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125"/>
  </bookViews>
  <sheets>
    <sheet name="dataset_information" sheetId="1" r:id="rId1"/>
  </sheets>
  <definedNames>
    <definedName name="_xlnm._FilterDatabase" localSheetId="0" hidden="1">dataset_information!$B$1:$B$22024</definedName>
  </definedNames>
  <calcPr calcId="144525"/>
</workbook>
</file>

<file path=xl/sharedStrings.xml><?xml version="1.0" encoding="utf-8"?>
<sst xmlns="http://schemas.openxmlformats.org/spreadsheetml/2006/main" count="608">
  <si>
    <t>Experiment_id</t>
  </si>
  <si>
    <t>Pubmed_id</t>
  </si>
  <si>
    <t>Dataset_id</t>
  </si>
  <si>
    <t>Platform_id</t>
  </si>
  <si>
    <t>Standard</t>
  </si>
  <si>
    <t>Class_id</t>
  </si>
  <si>
    <t>Class_name</t>
  </si>
  <si>
    <t>Sample_id</t>
  </si>
  <si>
    <t>Cancer_type</t>
  </si>
  <si>
    <t>Cancer_subtype</t>
  </si>
  <si>
    <t>Metastasis_status</t>
  </si>
  <si>
    <t>Primary_site</t>
  </si>
  <si>
    <t>Metastasis_site</t>
  </si>
  <si>
    <t>Sample_label</t>
  </si>
  <si>
    <t>GPL1390</t>
  </si>
  <si>
    <t>[metastasis tumors comparision] of breast cancer with different metastasis sites</t>
  </si>
  <si>
    <t>metastasis tumor of breast cancer brain metastasis</t>
  </si>
  <si>
    <t>breast cancer</t>
  </si>
  <si>
    <t>NA</t>
  </si>
  <si>
    <t>YES</t>
  </si>
  <si>
    <t>breast</t>
  </si>
  <si>
    <t>brain</t>
  </si>
  <si>
    <t>Metastasis Tumor</t>
  </si>
  <si>
    <t>metastasis tumor of breast cancer lymph node metastasis</t>
  </si>
  <si>
    <t>lymph node</t>
  </si>
  <si>
    <t>[primary tumor vs. metastasis tumor] of breast cancer with metastasis</t>
  </si>
  <si>
    <t>metastasis tumor</t>
  </si>
  <si>
    <t>skin</t>
  </si>
  <si>
    <t>primary tumor</t>
  </si>
  <si>
    <t>Primary Tumor</t>
  </si>
  <si>
    <t>[primary tumors with metastasis vs. primary tumor without metastasis] of breast cancer</t>
  </si>
  <si>
    <t>primary tumor with metastasis</t>
  </si>
  <si>
    <t>primary tumor without metastasis</t>
  </si>
  <si>
    <t>NO</t>
  </si>
  <si>
    <t>adrenal gland</t>
  </si>
  <si>
    <t>[primary tumor vs. primary normal] of breast cancer without metastasis</t>
  </si>
  <si>
    <t>primary normal</t>
  </si>
  <si>
    <t>Primary Normal</t>
  </si>
  <si>
    <t>GPL887</t>
  </si>
  <si>
    <t>[primary tumor vs. metastasis tumor] of breast cancer lymph node metastasis</t>
  </si>
  <si>
    <t>metastasis tumor of breast cancer lung metastasis</t>
  </si>
  <si>
    <t>lung</t>
  </si>
  <si>
    <t>caudaequina</t>
  </si>
  <si>
    <t>spinal cord</t>
  </si>
  <si>
    <t>liver</t>
  </si>
  <si>
    <t>GPL570</t>
  </si>
  <si>
    <t>metastasis tumor of breast cancer other metastasis</t>
  </si>
  <si>
    <t>other</t>
  </si>
  <si>
    <t>[primary tumor vs. metastasis tumor] of ewing's sarcoma unknown metastasis</t>
  </si>
  <si>
    <t>ewing's sarcoma</t>
  </si>
  <si>
    <t>bone</t>
  </si>
  <si>
    <t>unknown</t>
  </si>
  <si>
    <t>[primary tumors comparision] of breast cancer with different metastasis sites</t>
  </si>
  <si>
    <t>primary tumor of breast cancer brain metastasis</t>
  </si>
  <si>
    <t>primary tumor of breast cancer brain,other metastasis</t>
  </si>
  <si>
    <t>brain,other</t>
  </si>
  <si>
    <t>primary tumor of breast cancer breast metastasis</t>
  </si>
  <si>
    <t>primary tumor of breast cancer other metastasis</t>
  </si>
  <si>
    <t>[primary tumor vs. primary normal] of kindey cancer(clear cell renal cell carcinoma) without metastasis</t>
  </si>
  <si>
    <t>kindey cancer</t>
  </si>
  <si>
    <t>clear cell renal cell carcinoma</t>
  </si>
  <si>
    <t>kindey</t>
  </si>
  <si>
    <t>GPL96</t>
  </si>
  <si>
    <t>metastasis tumor of breast cancer liver metastasis</t>
  </si>
  <si>
    <t>metastasis tumor of breast cancer ovary metastasis</t>
  </si>
  <si>
    <t>ovary</t>
  </si>
  <si>
    <t>None</t>
  </si>
  <si>
    <t>metastasis tumor of breast cancer bone metastasis</t>
  </si>
  <si>
    <t>[primary tumors with metastasis vs. primary tumor without metastasis] of colorectal cancer</t>
  </si>
  <si>
    <t>colorectal cancer</t>
  </si>
  <si>
    <t>colorectum</t>
  </si>
  <si>
    <t>GPL6370</t>
  </si>
  <si>
    <t>[primary tumor vs. metastasis tumor] of colorectal cancer liver metastasis</t>
  </si>
  <si>
    <t>[primary tumor vs. primary normal] of colorectal cancer liver metastasis</t>
  </si>
  <si>
    <t>[metastasis tumor vs. metastasis normal] of colorectal cancer liver metastasis</t>
  </si>
  <si>
    <t>metastasis normal</t>
  </si>
  <si>
    <t>Metastasis Normal</t>
  </si>
  <si>
    <t>[primary tumor vs. primary normal] of osteosarcoma without metastasis</t>
  </si>
  <si>
    <t>osteosarcoma</t>
  </si>
  <si>
    <t>GPL8128</t>
  </si>
  <si>
    <t>[primary tumor vs. metastasis tumor] of breast cancer brain metastasis</t>
  </si>
  <si>
    <t>[primary tumor vs. primary normal] of skin cancer(melanoma) unknown metastasis</t>
  </si>
  <si>
    <t>skin cancer</t>
  </si>
  <si>
    <t>melanoma</t>
  </si>
  <si>
    <t>[metastasis tumors comparision] of skin cancer(melanoma) with different metastasis sites</t>
  </si>
  <si>
    <t>metastasis tumor of melanoma lymph node metastasis</t>
  </si>
  <si>
    <t>metastasis tumor of melanoma other metastasis</t>
  </si>
  <si>
    <t>metastasis tumor of melanoma subcutanious soft tissue metastasis</t>
  </si>
  <si>
    <t>subcutanious soft tissue</t>
  </si>
  <si>
    <t>[primary tumor vs. metastasis tumor] of skin cancer(melanoma) with metastasis</t>
  </si>
  <si>
    <t>[primary tumor vs. primary normal] of head and neck cancer(head and neck squamous cell carcinoma) without metastasis</t>
  </si>
  <si>
    <t>head and neck cancer</t>
  </si>
  <si>
    <t>head and neck squamous cell carcinoma</t>
  </si>
  <si>
    <t>hypopharynx</t>
  </si>
  <si>
    <t>oropharynx</t>
  </si>
  <si>
    <t>[primary tumor vs. primary normal] of colorectal cancer unknown metastasis</t>
  </si>
  <si>
    <t>[primary tumor vs. primary normal] of colorectal cancer without metastasis</t>
  </si>
  <si>
    <t>primary tumor of breast cancer chest wall metastasis</t>
  </si>
  <si>
    <t>chest wall</t>
  </si>
  <si>
    <t>primary tumor of breast cancer liver metastasis</t>
  </si>
  <si>
    <t>primary tumor of breast cancer lymph node metastasis</t>
  </si>
  <si>
    <t>[primary tumors comparision] of colorectal cancer with different metastasis sites</t>
  </si>
  <si>
    <t>primary tumor of colorectal cancer brain metastasis</t>
  </si>
  <si>
    <t>primary tumor of colorectal cancer colorectum metastasis</t>
  </si>
  <si>
    <t>primary tumor of colorectal cancer liver metastasis</t>
  </si>
  <si>
    <t>primary tumor of colorectal cancer lung metastasis</t>
  </si>
  <si>
    <t>[primary tumors comparision] of lung cancer with different metastasis sites</t>
  </si>
  <si>
    <t>primary tumor of lung cancer brain metastasis</t>
  </si>
  <si>
    <t>lung cancer</t>
  </si>
  <si>
    <t>primary tumor of lung cancer lymph node metastasis</t>
  </si>
  <si>
    <t>[primary tumor vs. metastasis tumor] of pancreatic cancer(pancreatic ductal adenocarcinoma) liver metastasis</t>
  </si>
  <si>
    <t>pancreatic cancer</t>
  </si>
  <si>
    <t>pancreatic ductal adenocarcinoma</t>
  </si>
  <si>
    <t>pancreas</t>
  </si>
  <si>
    <t>[primary tumor vs. primary normal] of pancreatic cancer(pancreatic ductal adenocarcinoma) liver metastasis</t>
  </si>
  <si>
    <t>[metastasis tumor vs. metastasis normal] of pancreatic cancer(pancreatic ductal adenocarcinoma) liver metastasis</t>
  </si>
  <si>
    <t>GPL97</t>
  </si>
  <si>
    <t>GPL91</t>
  </si>
  <si>
    <t>[primary tumor vs. primary normal] of lung cancer without metastasis</t>
  </si>
  <si>
    <t>lung squamous cell carcinoma</t>
  </si>
  <si>
    <t>lung adenocarcinoma</t>
  </si>
  <si>
    <t>[primary tumor vs. primary normal] of lung cancer(lung squamous cell carcinoma) without metastasis</t>
  </si>
  <si>
    <t>GPL6102</t>
  </si>
  <si>
    <t>metastasis tumor of melanoma subcutaneous metastasis</t>
  </si>
  <si>
    <t>subcutaneous</t>
  </si>
  <si>
    <t>[primary tumor vs. metastasis tumor] of kindey cancer(clear cell renal cell carcinoma) lung metastasis</t>
  </si>
  <si>
    <t>[primary tumors comparision] of kindey cancer(clear cell renal cell carcinoma) with different metastasis sites</t>
  </si>
  <si>
    <t>primary tumor of clear cell renal cell carcinoma lung metastasis</t>
  </si>
  <si>
    <t>primary tumor of clear cell renal cell carcinoma lymph node metastasis</t>
  </si>
  <si>
    <t>[primary tumor vs. metastasis tumor] of kindey cancer(clear cell renal cell carcinoma) with metastasis</t>
  </si>
  <si>
    <t>adrenal gland,bone,lymph node</t>
  </si>
  <si>
    <t>lung,liver</t>
  </si>
  <si>
    <t>lung,soft tissue</t>
  </si>
  <si>
    <t>adrenal gland,lung,renal</t>
  </si>
  <si>
    <t>adrenal gland,bone,lung</t>
  </si>
  <si>
    <t>lung,lymph node</t>
  </si>
  <si>
    <t>adrenal gland,renal,pancreas,parotis</t>
  </si>
  <si>
    <t>lung,mediastinal</t>
  </si>
  <si>
    <t>lung,skin</t>
  </si>
  <si>
    <t>[primary tumor vs. metastasis tumor] of oral cancer(oral squamous cell carcinoma) lymph node metastasis</t>
  </si>
  <si>
    <t>oral cancer</t>
  </si>
  <si>
    <t>oral squamous cell carcinoma</t>
  </si>
  <si>
    <t>oral cavity</t>
  </si>
  <si>
    <t>tongue</t>
  </si>
  <si>
    <t>mandible</t>
  </si>
  <si>
    <t>FOM</t>
  </si>
  <si>
    <t>[primary tumors with metastasis vs. primary tumor without metastasis] of oral cancer(oral squamous cell carcinoma)</t>
  </si>
  <si>
    <t>larynx</t>
  </si>
  <si>
    <t>[primary tumor vs. metastasis tumor] of kindey cancer(renal cell carcinoma) unknown metastasis</t>
  </si>
  <si>
    <t>renal cell carcinoma</t>
  </si>
  <si>
    <t>GPL80</t>
  </si>
  <si>
    <t>[primary tumor vs. metastasis tumor] of colorectal cancer lymph node metastasis</t>
  </si>
  <si>
    <t>[primary tumor vs. primary normal] of colorectal cancer lymph node metastasis</t>
  </si>
  <si>
    <t>primary tumor of colorectal cancer lymph node metastasis</t>
  </si>
  <si>
    <t>[metastasis tumors comparision] of colorectal cancer with different metastasis sites</t>
  </si>
  <si>
    <t>metastasis tumor of colorectal cancer liver metastasis</t>
  </si>
  <si>
    <t>metastasis tumor of colorectal cancer lymph node metastasis</t>
  </si>
  <si>
    <t>[primary tumor vs. metastasis tumor] of colorectal cancer with metastasis</t>
  </si>
  <si>
    <t>[primary tumor vs. primary normal] of colorectal cancer with metastasis</t>
  </si>
  <si>
    <t>GPL8469</t>
  </si>
  <si>
    <t>[primary tumor vs. metastasis tumor] of prostate cancer bone metastasis</t>
  </si>
  <si>
    <t>prostate cancer</t>
  </si>
  <si>
    <t>prostate</t>
  </si>
  <si>
    <t>GPL13140</t>
  </si>
  <si>
    <t>[primary tumor vs. metastasis tumor] of midgut carcinoid tumor lymph node metastasis</t>
  </si>
  <si>
    <t>midgut carcinoid tumor</t>
  </si>
  <si>
    <t>midgut</t>
  </si>
  <si>
    <t>[primary tumors comparision] of midgut carcinoid tumor with different metastasis sites</t>
  </si>
  <si>
    <t>primary tumor of midgut carcinoid tumor liver,lymph node metastasis</t>
  </si>
  <si>
    <t>liver,lymph node</t>
  </si>
  <si>
    <t>primary tumor of midgut carcinoid tumor lymph node metastasis</t>
  </si>
  <si>
    <t>[metastasis tumors comparision] of midgut carcinoid tumor with different metastasis sites</t>
  </si>
  <si>
    <t>metastasis tumor of midgut carcinoid tumor liver metastasis</t>
  </si>
  <si>
    <t>metastasis tumor of midgut carcinoid tumor lymph node metastasis</t>
  </si>
  <si>
    <t>[primary tumor vs. metastasis tumor] of midgut carcinoid tumor with metastasis</t>
  </si>
  <si>
    <t>GPL5858</t>
  </si>
  <si>
    <t>[primary tumor vs. primary normal] of liver cancer(hepatocellular carcinoma) bone metastasis</t>
  </si>
  <si>
    <t>liver cancer</t>
  </si>
  <si>
    <t>hepatocellular carcinoma</t>
  </si>
  <si>
    <t>[primary tumors with metastasis vs. primary tumor without metastasis] of liver cancer(hepatocellular carcinoma)</t>
  </si>
  <si>
    <t>[primary tumor vs. primary normal] of liver cancer(hepatocellular carcinoma) without metastasis</t>
  </si>
  <si>
    <t>[primary tumor vs. primary normal] of liver cancer(hepatocellular carcinoma) lymph node metastasis</t>
  </si>
  <si>
    <t>GPL334</t>
  </si>
  <si>
    <t>[metastasis tumors comparision] of different subtypes of lung cancer with metastasis</t>
  </si>
  <si>
    <t>metastasis tumor of lung adenocarcinoma with metastasis</t>
  </si>
  <si>
    <t>metastasis tumor of lung squamous cell carcinoma with metastasis</t>
  </si>
  <si>
    <t>GPL6480</t>
  </si>
  <si>
    <t>GPL6244</t>
  </si>
  <si>
    <t>[primary tumor vs. metastasis tumor] of ovarian cancer omentum metastasis</t>
  </si>
  <si>
    <t>ovarian cancer</t>
  </si>
  <si>
    <t>omentum</t>
  </si>
  <si>
    <t>[primary tumor vs. metastasis tumor] of kindey cancer(clear cell renal cell carcinoma) chest wall metastasis</t>
  </si>
  <si>
    <t>[metastasis tumor vs. metastasis normal] of prostate cancer(castration resistant prostate cancer) bone metastasis</t>
  </si>
  <si>
    <t>castration resistant prostate cancer</t>
  </si>
  <si>
    <t>GPL8432</t>
  </si>
  <si>
    <t>metastasis tumor of breast cancer spleen metastasis</t>
  </si>
  <si>
    <t>spleen</t>
  </si>
  <si>
    <t>GPL11350</t>
  </si>
  <si>
    <t>[primary tumor vs. metastasis tumor] of nasopharynx cancer lymph node metastasis</t>
  </si>
  <si>
    <t>nasopharynx cancer</t>
  </si>
  <si>
    <t>nasopharynx</t>
  </si>
  <si>
    <t>[primary tumor vs. primary normal] of nasopharynx cancer lymph node metastasis</t>
  </si>
  <si>
    <t>GPL3307</t>
  </si>
  <si>
    <t>[primary tumor vs. metastasis tumor] of osteosarcoma lung metastasis</t>
  </si>
  <si>
    <t>femur</t>
  </si>
  <si>
    <t>humerus</t>
  </si>
  <si>
    <t>fibula</t>
  </si>
  <si>
    <t>tibia</t>
  </si>
  <si>
    <t>costa</t>
  </si>
  <si>
    <t>pelvis</t>
  </si>
  <si>
    <t>[primary tumor vs. metastasis tumor] of osteosarcoma with metastasis</t>
  </si>
  <si>
    <t>skeleton</t>
  </si>
  <si>
    <t>lung,skeleton</t>
  </si>
  <si>
    <t>soft tissue</t>
  </si>
  <si>
    <t>GPL4133</t>
  </si>
  <si>
    <t>[metastasis tumors comparision] of pancreatic cancer with different metastasis sites</t>
  </si>
  <si>
    <t>metastasis tumor of pancreatic cancer fat metastasis</t>
  </si>
  <si>
    <t>fat</t>
  </si>
  <si>
    <t>metastasis tumor of pancreatic cancer liver metastasis</t>
  </si>
  <si>
    <t>metastasis tumor of pancreatic cancer lung metastasis</t>
  </si>
  <si>
    <t>metastasis tumor of pancreatic cancer lymph node metastasis</t>
  </si>
  <si>
    <t>metastasis tumor of pancreatic cancer muscle metastasis</t>
  </si>
  <si>
    <t>muscle</t>
  </si>
  <si>
    <t>metastasis tumor of pancreatic cancer pancreas metastasis</t>
  </si>
  <si>
    <t>metastasis tumor of breast cancer skin metastasis</t>
  </si>
  <si>
    <t>GPL15236</t>
  </si>
  <si>
    <t>GPL13703</t>
  </si>
  <si>
    <t>[primary tumor vs. primary normal] of breast cancer liver,ovary metastasis</t>
  </si>
  <si>
    <t>liver,ovary</t>
  </si>
  <si>
    <t>[metastasis tumor vs. metastasis normal] of breast cancer brain metastasis</t>
  </si>
  <si>
    <t>primary tumor of breast cancer brain,lymph node metastasis</t>
  </si>
  <si>
    <t>brain,lymph node</t>
  </si>
  <si>
    <t>primary tumor of breast cancer liver,ovary metastasis</t>
  </si>
  <si>
    <t>lymph node,skin</t>
  </si>
  <si>
    <t>liver,skin</t>
  </si>
  <si>
    <t>[primary tumor vs. primary normal] of breast cancer with metastasis</t>
  </si>
  <si>
    <t>[metastasis tumor vs. metastasis normal] of breast cancer with metastasis</t>
  </si>
  <si>
    <t>GPL5826</t>
  </si>
  <si>
    <t>GPL3282</t>
  </si>
  <si>
    <t>GPL13497</t>
  </si>
  <si>
    <t>[primary tumors with metastasis vs. primary tumor without metastasis] of synovial sarcoma</t>
  </si>
  <si>
    <t>synovial sarcoma</t>
  </si>
  <si>
    <t>synovium</t>
  </si>
  <si>
    <t>[primary tumors comparision] of different cancer types whith metastasis</t>
  </si>
  <si>
    <t>primary tumor of colorectal cancer with metastasis</t>
  </si>
  <si>
    <t>colon adenocarcinoma</t>
  </si>
  <si>
    <t>stomach</t>
  </si>
  <si>
    <t>primary tumor of liver cancer with metastasis</t>
  </si>
  <si>
    <t>cholangiocarcinoma</t>
  </si>
  <si>
    <t>[metastasis tumors comparision] of different cancer types whith metastasis</t>
  </si>
  <si>
    <t>metastasis tumor of colorectal cancer with metastasis</t>
  </si>
  <si>
    <t>metastasis tumor of liver cancer with metastasis</t>
  </si>
  <si>
    <t>[primary tumors comparision] of different subtypes of liver cancer with metastasis</t>
  </si>
  <si>
    <t>primary tumor of cholangiocarcinoma with metastasis</t>
  </si>
  <si>
    <t>primary tumor of hepatocellular carcinoma with metastasis</t>
  </si>
  <si>
    <t>[metastasis tumors comparision] of different subtypes of liver cancer with metastasis</t>
  </si>
  <si>
    <t>metastasis tumor of cholangiocarcinoma with metastasis</t>
  </si>
  <si>
    <t>metastasis tumor of hepatocellular carcinoma with metastasis</t>
  </si>
  <si>
    <t>[primary tumor vs. metastasis tumor] of liver cancer adrenal gland metastasis</t>
  </si>
  <si>
    <t>[primary tumor vs. metastasis tumor] of liver cancer lung metastasis</t>
  </si>
  <si>
    <t>[primary tumor vs. metastasis tumor] of liver cancer lymph node metastasis</t>
  </si>
  <si>
    <t>[primary tumors comparision] of liver cancer with different metastasis sites</t>
  </si>
  <si>
    <t>primary tumor of liver cancer adrenal gland metastasis</t>
  </si>
  <si>
    <t>primary tumor of liver cancer lung metastasis</t>
  </si>
  <si>
    <t>primary tumor of liver cancer lymph node metastasis</t>
  </si>
  <si>
    <t>[metastasis tumors comparision] of liver cancer with different metastasis sites</t>
  </si>
  <si>
    <t>metastasis tumor of liver cancer adrenal gland metastasis</t>
  </si>
  <si>
    <t>metastasis tumor of liver cancer lung metastasis</t>
  </si>
  <si>
    <t>metastasis tumor of liver cancer lymph node metastasis</t>
  </si>
  <si>
    <t>[primary tumor vs. metastasis tumor] of liver cancer with metastasis</t>
  </si>
  <si>
    <t>[primary tumors with metastasis vs. primary tumor without metastasis] of liver cancer</t>
  </si>
  <si>
    <t>[primary tumor vs. metastasis tumor] of liver cancer(cholangiocarcinoma) lymph node metastasis</t>
  </si>
  <si>
    <t>[primary tumor vs. metastasis tumor] of colorectal cancer(colon adenocarcinoma) liver metastasis</t>
  </si>
  <si>
    <t>[primary tumor vs. metastasis tumor] of liver cancer(hepatocellular carcinoma) adrenal gland metastasis</t>
  </si>
  <si>
    <t>[primary tumor vs. metastasis tumor] of liver cancer(hepatocellular carcinoma) lung metastasis</t>
  </si>
  <si>
    <t>[primary tumors comparision] of liver cancer(hepatocellular carcinoma) with different metastasis sites</t>
  </si>
  <si>
    <t>primary tumor of hepatocellular carcinoma adrenal gland metastasis</t>
  </si>
  <si>
    <t>primary tumor of hepatocellular carcinoma lung metastasis</t>
  </si>
  <si>
    <t>[metastasis tumors comparision] of liver cancer(hepatocellular carcinoma) with different metastasis sites</t>
  </si>
  <si>
    <t>metastasis tumor of hepatocellular carcinoma adrenal gland metastasis</t>
  </si>
  <si>
    <t>metastasis tumor of hepatocellular carcinoma lung metastasis</t>
  </si>
  <si>
    <t>[primary tumor vs. metastasis tumor] of liver cancer(cholangiocarcinoma) with metastasis</t>
  </si>
  <si>
    <t>[primary tumor vs. metastasis tumor] of liver cancer(hepatocellular carcinoma) with metastasis</t>
  </si>
  <si>
    <t>GPL3985</t>
  </si>
  <si>
    <t>[primary tumor vs. primary normal] of kindey cancer(clear cell renal cell carcinoma) bone metastasis</t>
  </si>
  <si>
    <t>[primary tumor vs. primary normal] of kindey cancer(clear cell renal cell carcinoma) liver metastasis</t>
  </si>
  <si>
    <t>[primary tumor vs. primary normal] of kindey cancer(clear cell renal cell carcinoma) lung metastasis</t>
  </si>
  <si>
    <t>primary tumor of clear cell renal cell carcinoma bone metastasis</t>
  </si>
  <si>
    <t>primary tumor of clear cell renal cell carcinoma liver metastasis</t>
  </si>
  <si>
    <t>[primary tumor vs. primary normal] of kindey cancer(clear cell renal cell carcinoma) with metastasis</t>
  </si>
  <si>
    <t>[primary tumors with metastasis vs. primary tumor without metastasis] of kindey cancer(clear cell renal cell carcinoma)</t>
  </si>
  <si>
    <t>primary tumor of clear cell renal cell carcinoma peritoneum metastasis</t>
  </si>
  <si>
    <t>peritoneum</t>
  </si>
  <si>
    <t>GPL7722</t>
  </si>
  <si>
    <t>[primary tumor vs. metastasis tumor] of liver cancer(hepatocellular carcinoma) liver metastasis</t>
  </si>
  <si>
    <t>[primary tumor vs. primary normal] of liver cancer(hepatocellular carcinoma) liver metastasis</t>
  </si>
  <si>
    <t>GPL5918</t>
  </si>
  <si>
    <t>[primary tumor vs. primary normal] of liver cancer(hepatocellular carcinoma) unknown metastasis</t>
  </si>
  <si>
    <t>GPL10379</t>
  </si>
  <si>
    <t>metastasis tumor of breast cancer breast metastasis</t>
  </si>
  <si>
    <t>GPL6884</t>
  </si>
  <si>
    <t>[primary tumors with metastasis vs. primary tumor without metastasis] of breast cancer(lymph node negative breast cancer)</t>
  </si>
  <si>
    <t>lymph node negative breast cancer</t>
  </si>
  <si>
    <t>GPL10558</t>
  </si>
  <si>
    <t>metastasis tumor of melanoma bone metastasis</t>
  </si>
  <si>
    <t>metastasis tumor of melanoma brain metastasis</t>
  </si>
  <si>
    <t>metastasis tumor of melanoma lung metastasis</t>
  </si>
  <si>
    <t>metastasis tumor of melanoma small intestine metastasis</t>
  </si>
  <si>
    <t>small intestine</t>
  </si>
  <si>
    <t>metastasis tumor of melanoma soft tissue metastasis</t>
  </si>
  <si>
    <t>metastasis tumor of melanoma spleen metastasis</t>
  </si>
  <si>
    <t>[primary tumors with metastasis vs. primary tumor without metastasis] of breast cancer(ER negative breast cancer)</t>
  </si>
  <si>
    <t>ER negative breast cancer</t>
  </si>
  <si>
    <t>GPL8178</t>
  </si>
  <si>
    <t>GPL10262</t>
  </si>
  <si>
    <t>metastasis tumor of melanoma skin metastasis</t>
  </si>
  <si>
    <t>GPL17077</t>
  </si>
  <si>
    <t>[metastasis tumors comparision] of testicular cancer(seminoma) with different metastasis sites</t>
  </si>
  <si>
    <t>metastasis tumor of seminoma lymph node metastasis</t>
  </si>
  <si>
    <t>testicular cancer</t>
  </si>
  <si>
    <t>seminoma</t>
  </si>
  <si>
    <t>testis</t>
  </si>
  <si>
    <t>metastasis tumor of seminoma unknown metastasis</t>
  </si>
  <si>
    <t>GPL16744</t>
  </si>
  <si>
    <t>primary tumor of colorectal cancer liver,lymph node metastasis</t>
  </si>
  <si>
    <t>GPL17537</t>
  </si>
  <si>
    <t>[primary tumor vs. metastasis tumor] of skin cancer(cutaneous squamous cell carcinoma) unknown metastasis</t>
  </si>
  <si>
    <t>cutaneous squamous cell carcinoma</t>
  </si>
  <si>
    <t>[primary tumor vs. primary normal] of skin cancer(cutaneous squamous cell carcinoma) unknown metastasis</t>
  </si>
  <si>
    <t>[primary tumors with metastasis vs. primary tumor without metastasis] of skin cancer(cutaneous squamous cell carcinoma)</t>
  </si>
  <si>
    <t>[primary tumor vs. primary normal] of skin cancer(cutaneous squamous cell carcinoma) without metastasis</t>
  </si>
  <si>
    <t>GPL11154</t>
  </si>
  <si>
    <t>[primary tumor vs. metastasis tumor] of thyroid cancer(papillary thyroid carcinoma) lymph node metastasis</t>
  </si>
  <si>
    <t>thyroid cancer</t>
  </si>
  <si>
    <t>papillary thyroid carcinoma</t>
  </si>
  <si>
    <t>thyroid</t>
  </si>
  <si>
    <t>[primary tumor vs. primary normal] of thyroid cancer(papillary thyroid carcinoma) lymph node metastasis</t>
  </si>
  <si>
    <t>GPL5175</t>
  </si>
  <si>
    <t>[primary tumor vs. metastasis tumor] of prostate cancer lymph node metastasis</t>
  </si>
  <si>
    <t>[primary tumors with metastasis vs. primary tumor without metastasis] of prostate cancer</t>
  </si>
  <si>
    <t>[primary tumor vs. primary normal] of prostate cancer without metastasis</t>
  </si>
  <si>
    <t>GPL14951</t>
  </si>
  <si>
    <t>[metastasis tumor vs. metastasis normal] of thyroid cancer(papillary thyroid carcinoma) lymph node metastasis</t>
  </si>
  <si>
    <t>[primary tumor vs. metastasis tumor] of thyroid cancer(papillary thyroid carcinoma) with metastasis</t>
  </si>
  <si>
    <t>pleura</t>
  </si>
  <si>
    <t>[metastasis tumor vs. metastasis normal] of thyroid cancer(papillary thyroid carcinoma) with metastasis</t>
  </si>
  <si>
    <t>[primary tumors with metastasis vs. primary tumor without metastasis] of thyroid cancer(papillary thyroid carcinoma)</t>
  </si>
  <si>
    <t>[primary tumor vs. primary normal] of thyroid cancer(papillary thyroid carcinoma) without metastasis</t>
  </si>
  <si>
    <t>GPL16686</t>
  </si>
  <si>
    <t>invasive ductal carcinomas</t>
  </si>
  <si>
    <t>triple negative breast cancer</t>
  </si>
  <si>
    <t>[primary tumor vs. primary normal] of breast cancer lymph node metastasis</t>
  </si>
  <si>
    <t>[primary tumor vs. metastasis tumor] of breast cancer(triple negative breast cancer) lymph node metastasis</t>
  </si>
  <si>
    <t>[primary tumor vs. primary normal] of breast cancer(triple negative breast cancer) lymph node metastasis</t>
  </si>
  <si>
    <t>[primary tumors with metastasis vs. primary tumor without metastasis] of breast cancer(triple negative breast cancer)</t>
  </si>
  <si>
    <t>[primary tumor vs. primary normal] of breast cancer(triple negative breast cancer) without metastasis</t>
  </si>
  <si>
    <t>[primary tumor vs. metastasis tumor] of skin cancer(melanoma) skin metastasis</t>
  </si>
  <si>
    <t>[primary tumors with metastasis vs. primary tumor without metastasis] of colorectal cancer(colon adenocarcinoma)</t>
  </si>
  <si>
    <t>[primary tumor vs. metastasis tumor] of pancreatic cancer lung metastasis</t>
  </si>
  <si>
    <t>metastasis tumor of pancreatic cancer peritoneum metastasis</t>
  </si>
  <si>
    <t>[primary tumor vs. metastasis tumor] of pancreatic cancer with metastasis</t>
  </si>
  <si>
    <t>[primary tumor vs. metastasis tumor] of brain cancer(medulloblastoma) brain metastasis</t>
  </si>
  <si>
    <t>brain cancer</t>
  </si>
  <si>
    <t>medulloblastoma</t>
  </si>
  <si>
    <t>metastasis tumor of melanoma viscera metastasis</t>
  </si>
  <si>
    <t>viscera</t>
  </si>
  <si>
    <t>GPL8300</t>
  </si>
  <si>
    <t>[metastasis tumors comparision] of prostate cancer with different metastasis sites</t>
  </si>
  <si>
    <t>metastasis tumor of prostate cancer adrenal gland metastasis</t>
  </si>
  <si>
    <t>metastasis tumor of prostate cancer liver metastasis</t>
  </si>
  <si>
    <t>metastasis tumor of prostate cancer lymph node metastasis</t>
  </si>
  <si>
    <t>GPL92</t>
  </si>
  <si>
    <t>GPL93</t>
  </si>
  <si>
    <t>[primary tumor vs. primary normal] of kindey cancer(clear cell renal cell carcinoma) unknown metastasis</t>
  </si>
  <si>
    <t>GPL2891</t>
  </si>
  <si>
    <t>[metastasis tumor vs. metastasis normal] of colorectal cancer lung metastasis</t>
  </si>
  <si>
    <t>metastasis tumor of colorectal cancer lung metastasis</t>
  </si>
  <si>
    <t>[metastasis tumor vs. metastasis normal] of colorectal cancer with metastasis</t>
  </si>
  <si>
    <t>GPL15018</t>
  </si>
  <si>
    <t>[primary tumors with metastasis vs. primary tumor without metastasis] of laryngeal cancer(laryngeal squamous cell carcinoma)</t>
  </si>
  <si>
    <t>laryngeal cancer</t>
  </si>
  <si>
    <t>laryngeal squamous cell carcinoma</t>
  </si>
  <si>
    <t>[primary tumor vs. primary normal] of laryngeal cancer(laryngeal squamous cell carcinoma) without metastasis</t>
  </si>
  <si>
    <t>GPL17537-2</t>
  </si>
  <si>
    <t>[primary tumor vs. metastasis tumor] of small intestine cancer(small bowel neuroendocrine tumor) lymph node metastasis</t>
  </si>
  <si>
    <t>small intestine cancer</t>
  </si>
  <si>
    <t>small bowel neuroendocrine tumor</t>
  </si>
  <si>
    <t>[primary tumor vs. primary normal] of small intestine cancer(small bowel neuroendocrine tumor) liver,lymph node metastasis</t>
  </si>
  <si>
    <t>[primary tumor vs. primary normal] of small intestine cancer(small bowel neuroendocrine tumor) lymph node metastasis</t>
  </si>
  <si>
    <t>[metastasis tumor vs. metastasis normal] of small intestine cancer(small bowel neuroendocrine tumor) lymph node metastasis</t>
  </si>
  <si>
    <t>[primary tumors comparision] of small intestine cancer(small bowel neuroendocrine tumor) with different metastasis sites</t>
  </si>
  <si>
    <t>primary tumor of small bowel neuroendocrine tumor liver,lymph node metastasis</t>
  </si>
  <si>
    <t>primary tumor of small bowel neuroendocrine tumor lymph node metastasis</t>
  </si>
  <si>
    <t>[metastasis tumors comparision] of small intestine cancer(small bowel neuroendocrine tumor) with different metastasis sites</t>
  </si>
  <si>
    <t>metastasis tumor of small bowel neuroendocrine tumor liver metastasis</t>
  </si>
  <si>
    <t>metastasis tumor of small bowel neuroendocrine tumor lymph node metastasis</t>
  </si>
  <si>
    <t>[primary tumor vs. metastasis tumor] of small intestine cancer(small bowel neuroendocrine tumor) with metastasis</t>
  </si>
  <si>
    <t>[primary tumor vs. primary normal] of small intestine cancer(small bowel neuroendocrine tumor) with metastasis</t>
  </si>
  <si>
    <t>[metastasis tumor vs. metastasis normal] of small intestine cancer(small bowel neuroendocrine tumor) with metastasis</t>
  </si>
  <si>
    <t>[primary tumors with metastasis vs. primary tumor without metastasis] of small intestine cancer(small bowel neuroendocrine tumor)</t>
  </si>
  <si>
    <t>[primary tumor vs. primary normal] of small intestine cancer(small bowel neuroendocrine tumor) without metastasis</t>
  </si>
  <si>
    <t>GPL15018-2</t>
  </si>
  <si>
    <t>GPL10332</t>
  </si>
  <si>
    <t>[primary tumor vs. primary normal] of kindey cancer(clear cell renal cell carcinoma) chest wall metastasis</t>
  </si>
  <si>
    <t>GPL20712</t>
  </si>
  <si>
    <t>GPL20945</t>
  </si>
  <si>
    <t>[primary tumor vs. metastasis tumor] of pancreatic neuroendocrine tumor liver metastasis</t>
  </si>
  <si>
    <t>pancreatic neuroendocrine tumor</t>
  </si>
  <si>
    <t>non-functional PanNET</t>
  </si>
  <si>
    <t>[primary tumor vs. metastasis tumor] of pancreatic neuroendocrine tumor lymph node metastasis</t>
  </si>
  <si>
    <t>[primary tumor vs. primary normal] of pancreatic neuroendocrine tumor liver metastasis</t>
  </si>
  <si>
    <t>[primary tumors comparision] of pancreatic neuroendocrine tumor with different metastasis sites</t>
  </si>
  <si>
    <t>primary tumor of pancreatic neuroendocrine tumor liver metastasis</t>
  </si>
  <si>
    <t>primary tumor of pancreatic neuroendocrine tumor lymph node metastasis</t>
  </si>
  <si>
    <t>[metastasis tumors comparision] of pancreatic neuroendocrine tumor with different metastasis sites</t>
  </si>
  <si>
    <t>metastasis tumor of pancreatic neuroendocrine tumor liver metastasis</t>
  </si>
  <si>
    <t>metastasis tumor of pancreatic neuroendocrine tumor lymph node metastasis</t>
  </si>
  <si>
    <t>[primary tumor vs. metastasis tumor] of pancreatic neuroendocrine tumor with metastasis</t>
  </si>
  <si>
    <t>[primary tumor vs. primary normal] of pancreatic neuroendocrine tumor with metastasis</t>
  </si>
  <si>
    <t>[primary tumors with metastasis vs. primary tumor without metastasis] of pancreatic neuroendocrine tumor</t>
  </si>
  <si>
    <t>insulinoma</t>
  </si>
  <si>
    <t>[primary tumor vs. primary normal] of pancreatic neuroendocrine tumor without metastasis</t>
  </si>
  <si>
    <t>[primary tumor vs. metastasis tumor] of pancreatic neuroendocrine tumor(non-functional PanNET) liver metastasis</t>
  </si>
  <si>
    <t>[primary tumor vs. metastasis tumor] of pancreatic neuroendocrine tumor(non-functional PanNET) lymph node metastasis</t>
  </si>
  <si>
    <t>[primary tumor vs. primary normal] of pancreatic neuroendocrine tumor(non-functional PanNET) liver metastasis</t>
  </si>
  <si>
    <t>[primary tumors comparision] of pancreatic neuroendocrine tumor(non-functional PanNET) with different metastasis sites</t>
  </si>
  <si>
    <t>primary tumor of non-functional PanNET liver metastasis</t>
  </si>
  <si>
    <t>primary tumor of non-functional PanNET lymph node metastasis</t>
  </si>
  <si>
    <t>[metastasis tumors comparision] of pancreatic neuroendocrine tumor(non-functional PanNET) with different metastasis sites</t>
  </si>
  <si>
    <t>metastasis tumor of non-functional PanNET liver metastasis</t>
  </si>
  <si>
    <t>metastasis tumor of non-functional PanNET lymph node metastasis</t>
  </si>
  <si>
    <t>[primary tumor vs. metastasis tumor] of pancreatic neuroendocrine tumor(non-functional PanNET) with metastasis</t>
  </si>
  <si>
    <t>[primary tumor vs. primary normal] of pancreatic neuroendocrine tumor(non-functional PanNET) with metastasis</t>
  </si>
  <si>
    <t>[primary tumors with metastasis vs. primary tumor without metastasis] of pancreatic neuroendocrine tumor(non-functional PanNET)</t>
  </si>
  <si>
    <t>[primary tumor vs. primary normal] of pancreatic neuroendocrine tumor(non-functional PanNET) without metastasis</t>
  </si>
  <si>
    <t>GPL11010</t>
  </si>
  <si>
    <t>[primary tumors with metastasis vs. primary tumor without metastasis] of breast cancer(ductal breast adenocarcinoma)</t>
  </si>
  <si>
    <t>ductal breast adenocarcinoma</t>
  </si>
  <si>
    <t>[primary tumors with metastasis vs. primary tumor without metastasis] of eye cancer(uveal melanoma)</t>
  </si>
  <si>
    <t>eye cancer</t>
  </si>
  <si>
    <t>uveal melanoma</t>
  </si>
  <si>
    <t>eye</t>
  </si>
  <si>
    <t>GPL1708-2</t>
  </si>
  <si>
    <t>[primary tumors with metastasis vs. primary tumor without metastasis] of cervical cancer</t>
  </si>
  <si>
    <t>cervical cancer</t>
  </si>
  <si>
    <t>cervix</t>
  </si>
  <si>
    <t>[primary tumor vs. primary normal] of cervical cancer without metastasis</t>
  </si>
  <si>
    <t>GPL15659</t>
  </si>
  <si>
    <t>[metastasis tumors comparision] of prostate cancer(castration resistant prostate cancer) with different metastasis sites</t>
  </si>
  <si>
    <t>metastasis tumor of castration resistant prostate cancer bone metastasis</t>
  </si>
  <si>
    <t>metastasis tumor of castration resistant prostate cancer liver metastasis</t>
  </si>
  <si>
    <t>metastasis tumor of castration resistant prostate cancer lung metastasis</t>
  </si>
  <si>
    <t>metastasis tumor of castration resistant prostate cancer lymph node metastasis</t>
  </si>
  <si>
    <t>metastasis tumor of castration resistant prostate cancer posterior peritoneum metastasis</t>
  </si>
  <si>
    <t>posterior peritoneum</t>
  </si>
  <si>
    <t>metastasis tumor of castration resistant prostate cancer adrenal gland metastasis</t>
  </si>
  <si>
    <t>metastasis tumor of castration resistant prostate cancer kindey metastasis</t>
  </si>
  <si>
    <t>metastasis tumor of castration resistant prostate cancer peritoneum metastasis</t>
  </si>
  <si>
    <t>GPL16699</t>
  </si>
  <si>
    <t>[primary tumor vs. metastasis tumor] of colorectal cancer peritoneum metastasis</t>
  </si>
  <si>
    <t>primary tumor of colorectal cancer ovary,peritoneum metastasis</t>
  </si>
  <si>
    <t>ovary,peritoneum</t>
  </si>
  <si>
    <t>primary tumor of colorectal cancer peritoneum metastasis</t>
  </si>
  <si>
    <t>metastasis tumor of colorectal cancer peritoneum metastasis</t>
  </si>
  <si>
    <t>[primary tumor vs. metastasis tumor] of skin cancer unknown metastasis</t>
  </si>
  <si>
    <t>[primary tumors with metastasis vs. primary tumor without metastasis] of skin cancer</t>
  </si>
  <si>
    <t>basal cell skin cancer</t>
  </si>
  <si>
    <t>squamous cell carcinoma</t>
  </si>
  <si>
    <t>[primary tumor vs. primary normal] of skin cancer without metastasis</t>
  </si>
  <si>
    <t>[primary tumor vs. metastasis tumor] of skin cancer(melanoma) unknown metastasis</t>
  </si>
  <si>
    <t>[primary tumors with metastasis vs. primary tumor without metastasis] of breast cancer(infiltrating ductal carcinoma)</t>
  </si>
  <si>
    <t>infiltrating ductal carcinoma</t>
  </si>
  <si>
    <t>[primary tumors comparision] of breast cancer(triple negative breast cancer) with different metastasis sites</t>
  </si>
  <si>
    <t>primary tumor of triple negative breast cancer brain metastasis</t>
  </si>
  <si>
    <t>primary tumor of triple negative breast cancer other metastasis</t>
  </si>
  <si>
    <t>GPL14550</t>
  </si>
  <si>
    <t>[primary tumor vs. primary normal] of kindey cancer(renal cell carcinoma) without metastasis</t>
  </si>
  <si>
    <t>GPL18044</t>
  </si>
  <si>
    <t>[primary tumor vs. metastasis tumor] of breast cancer(triple negative breast cancer) lung metastasis</t>
  </si>
  <si>
    <t>[primary tumor vs. primary normal] of breast cancer(triple negative breast cancer) lung metastasis</t>
  </si>
  <si>
    <t>[primary tumor vs. metastasis tumor] of kindey cancer lung metastasis</t>
  </si>
  <si>
    <t>papillary renal cell carcinoma</t>
  </si>
  <si>
    <t>GPL22330</t>
  </si>
  <si>
    <t>[primary tumor vs. primary normal] of penis cancer(penile squamous cell carcinoma) viscera metastasis</t>
  </si>
  <si>
    <t>penis cancer</t>
  </si>
  <si>
    <t>penile squamous cell carcinoma</t>
  </si>
  <si>
    <t>penis</t>
  </si>
  <si>
    <t>[primary tumors with metastasis vs. primary tumor without metastasis] of penis cancer(penile squamous cell carcinoma)</t>
  </si>
  <si>
    <t>[primary tumor vs. primary normal] of penis cancer(penile squamous cell carcinoma) without metastasis</t>
  </si>
  <si>
    <t>GPL201</t>
  </si>
  <si>
    <t>[primary tumors with metastasis vs. primary tumor without metastasis] of head and neck cancer(head and neck squamous cell carcinoma)</t>
  </si>
  <si>
    <t>mouth</t>
  </si>
  <si>
    <t>GPL5049</t>
  </si>
  <si>
    <t>TCGA</t>
  </si>
  <si>
    <t>[primary tumors comparision] of kindey cancer(adrenocortical carcinoma) with different metastasis sites</t>
  </si>
  <si>
    <t>primary tumor of adrenocortical carcinoma bone metastasis</t>
  </si>
  <si>
    <t>adrenocortical carcinoma</t>
  </si>
  <si>
    <t>primary tumor of adrenocortical carcinoma liver metastasis</t>
  </si>
  <si>
    <t>primary tumor of adrenocortical carcinoma liver,lung metastasis</t>
  </si>
  <si>
    <t>liver,lung</t>
  </si>
  <si>
    <t>primary tumor of adrenocortical carcinoma lung metastasis</t>
  </si>
  <si>
    <t>[primary tumors with metastasis vs. primary tumor without metastasis] of kindey cancer(adrenocortical carcinoma)</t>
  </si>
  <si>
    <t>peritoneal surfaces</t>
  </si>
  <si>
    <t>lung,other</t>
  </si>
  <si>
    <t>[primary tumors comparision] of bladder cancer(bladder urothelial carcinoma) with different metastasis sites</t>
  </si>
  <si>
    <t>primary tumor of bladder urothelial carcinoma bone metastasis</t>
  </si>
  <si>
    <t>bladder cancer</t>
  </si>
  <si>
    <t>bladder urothelial carcinoma</t>
  </si>
  <si>
    <t>bladder</t>
  </si>
  <si>
    <t>primary tumor of bladder urothelial carcinoma bone,liver metastasis</t>
  </si>
  <si>
    <t>bone,liver</t>
  </si>
  <si>
    <t>primary tumor of bladder urothelial carcinoma bone,lung metastasis</t>
  </si>
  <si>
    <t>bone,lung</t>
  </si>
  <si>
    <t>primary tumor of bladder urothelial carcinoma liver metastasis</t>
  </si>
  <si>
    <t>primary tumor of bladder urothelial carcinoma liver,lung metastasis</t>
  </si>
  <si>
    <t>primary tumor of bladder urothelial carcinoma lung metastasis</t>
  </si>
  <si>
    <t>[primary tumors with metastasis vs. primary tumor without metastasis] of bladder cancer(bladder urothelial carcinoma)</t>
  </si>
  <si>
    <t>bone,liver,other</t>
  </si>
  <si>
    <t>bone,liver,lung,other</t>
  </si>
  <si>
    <t>bone,liver,lymph node</t>
  </si>
  <si>
    <t>liver,lung,lymph node</t>
  </si>
  <si>
    <t>liver,other</t>
  </si>
  <si>
    <t>[primary tumor vs. primary normal] of bladder cancer(bladder urothelial carcinoma) without metastasis</t>
  </si>
  <si>
    <t>[primary tumor vs. metastasis tumor] of breast cancer(breast invasive carcinoma)  metastasis</t>
  </si>
  <si>
    <t>breast invasive carcinoma</t>
  </si>
  <si>
    <t>[primary tumor vs. primary normal] of breast cancer(breast invasive carcinoma)  metastasis</t>
  </si>
  <si>
    <t>[primary tumors comparision] of breast cancer(breast invasive carcinoma) with different metastasis sites</t>
  </si>
  <si>
    <t>primary tumor of breast invasive carcinoma  metastasis</t>
  </si>
  <si>
    <t>primary tumor of breast invasive carcinoma bone metastasis</t>
  </si>
  <si>
    <t>primary tumor of breast invasive carcinoma lung metastasis</t>
  </si>
  <si>
    <t>[primary tumor vs. metastasis tumor] of breast cancer(breast invasive carcinoma) with metastasis</t>
  </si>
  <si>
    <t>[primary tumor vs. primary normal] of breast cancer(breast invasive carcinoma) with metastasis</t>
  </si>
  <si>
    <t>[primary tumors with metastasis vs. primary tumor without metastasis] of breast cancer(breast invasive carcinoma)</t>
  </si>
  <si>
    <t>[primary tumor vs. primary normal] of breast cancer(breast invasive carcinoma) without metastasis</t>
  </si>
  <si>
    <t>[primary tumor vs. metastasis tumor] of cervical cancer(cervical squamous cell carcinoma and endocervical adenocarcinoma)  metastasis</t>
  </si>
  <si>
    <t>cervical squamous cell carcinoma and endocervical adenocarcinoma</t>
  </si>
  <si>
    <t>[primary tumors comparision] of cervical cancer(cervical squamous cell carcinoma and endocervical adenocarcinoma) with different metastasis sites</t>
  </si>
  <si>
    <t>primary tumor of cervical squamous cell carcinoma and endocervical adenocarcinoma  metastasis</t>
  </si>
  <si>
    <t>primary tumor of cervical squamous cell carcinoma and endocervical adenocarcinoma head &amp; neck metastasis</t>
  </si>
  <si>
    <t>head &amp; neck</t>
  </si>
  <si>
    <t>primary tumor of cervical squamous cell carcinoma and endocervical adenocarcinoma lung metastasis</t>
  </si>
  <si>
    <t>primary tumor of cervical squamous cell carcinoma and endocervical adenocarcinoma other metastasis</t>
  </si>
  <si>
    <t>[primary tumor vs. metastasis tumor] of cervical cancer(cervical squamous cell carcinoma and endocervical adenocarcinoma) with metastasis</t>
  </si>
  <si>
    <t>[primary tumors with metastasis vs. primary tumor without metastasis] of cervical cancer(cervical squamous cell carcinoma and endocervical adenocarcinoma)</t>
  </si>
  <si>
    <t>[primary tumor vs. primary normal] of cervical cancer(cervical squamous cell carcinoma and endocervical adenocarcinoma) without metastasis</t>
  </si>
  <si>
    <t>[primary tumor vs. primary normal] of colorectal cancer(colon adenocarcinoma) without metastasis</t>
  </si>
  <si>
    <t>colorectal</t>
  </si>
  <si>
    <t>[primary tumors comparision] of esophagus cancer(esophageal carcinoma) with different metastasis sites</t>
  </si>
  <si>
    <t>primary tumor of esophageal carcinoma brain metastasis</t>
  </si>
  <si>
    <t>esophagus cancer</t>
  </si>
  <si>
    <t>esophageal carcinoma</t>
  </si>
  <si>
    <t>esophagus</t>
  </si>
  <si>
    <t>primary tumor of esophageal carcinoma liver metastasis</t>
  </si>
  <si>
    <t>primary tumor of esophageal carcinoma liver,lung metastasis</t>
  </si>
  <si>
    <t>primary tumor of esophageal carcinoma lung metastasis</t>
  </si>
  <si>
    <t>primary tumor of esophageal carcinoma other metastasis</t>
  </si>
  <si>
    <t>[primary tumors with metastasis vs. primary tumor without metastasis] of esophagus cancer(esophageal carcinoma)</t>
  </si>
  <si>
    <t>brain,liver,lung</t>
  </si>
  <si>
    <t>brain,liver</t>
  </si>
  <si>
    <t>liver,lung,other</t>
  </si>
  <si>
    <t>[primary tumor vs. primary normal] of esophagus cancer(esophageal carcinoma) without metastasis</t>
  </si>
  <si>
    <t>[primary tumors comparision] of pancreatic cancer(pancreatic adenocarcinoma) with different metastasis sites</t>
  </si>
  <si>
    <t>primary tumor of pancreatic adenocarcinoma liver metastasis</t>
  </si>
  <si>
    <t>pancreatic adenocarcinoma</t>
  </si>
  <si>
    <t>primary tumor of pancreatic adenocarcinoma lung metastasis</t>
  </si>
  <si>
    <t>primary tumor of pancreatic adenocarcinoma peritoneal surfaces metastasis</t>
  </si>
  <si>
    <t>[primary tumors with metastasis vs. primary tumor without metastasis] of pancreatic cancer(pancreatic adenocarcinoma)</t>
  </si>
  <si>
    <t>[primary tumor vs. primary normal] of pancreatic cancer(pancreatic adenocarcinoma) without metastasis</t>
  </si>
  <si>
    <t>[primary tumors with metastasis vs. primary tumor without metastasis] of prostate cancer(prostate adenocarcinoma)</t>
  </si>
  <si>
    <t>prostate adenocarcinoma</t>
  </si>
  <si>
    <t>non-regional / distant lymph nodes</t>
  </si>
  <si>
    <t>[primary tumor vs. primary normal] of prostate cancer(prostate adenocarcinoma) without metastasis</t>
  </si>
  <si>
    <t>[primary tumors comparision] of gastric cancer(stomach adenocarcinoma) with different metastasis sites</t>
  </si>
  <si>
    <t>primary tumor of stomach adenocarcinoma liver metastasis</t>
  </si>
  <si>
    <t>gastric cancer</t>
  </si>
  <si>
    <t>stomach adenocarcinoma</t>
  </si>
  <si>
    <t>primary tumor of stomach adenocarcinoma lung metastasis</t>
  </si>
  <si>
    <t>primary tumor of stomach adenocarcinoma other metastasis</t>
  </si>
  <si>
    <t>primary tumor of stomach adenocarcinoma peritoneal surfaces metastasis</t>
  </si>
  <si>
    <t>[primary tumors with metastasis vs. primary tumor without metastasis] of gastric cancer(stomach adenocarcinoma)</t>
  </si>
  <si>
    <t>[primary tumor vs. primary normal] of gastric cancer(stomach adenocarcinoma) without metastasis</t>
  </si>
  <si>
    <t>[primary tumors with metastasis vs. primary tumor without metastasis] of testicular cancer(testicular germ cell tumors)</t>
  </si>
  <si>
    <t>testicular germ cell tumors</t>
  </si>
  <si>
    <t>[primary tumor vs. metastasis tumor] of thyroid cancer(thyroid carcinoma)  metastasis</t>
  </si>
  <si>
    <t>thyroid carcinoma</t>
  </si>
  <si>
    <t>[primary tumors comparision] of thyroid cancer(thyroid carcinoma) with different metastasis sites</t>
  </si>
  <si>
    <t>primary tumor of thyroid carcinoma  metastasis</t>
  </si>
  <si>
    <t>primary tumor of thyroid carcinoma lung metastasis</t>
  </si>
  <si>
    <t>[primary tumor vs. metastasis tumor] of thyroid cancer(thyroid carcinoma) with metastasis</t>
  </si>
  <si>
    <t>[primary tumor vs. primary normal] of thyroid cancer(thyroid carcinoma) with metastasis</t>
  </si>
  <si>
    <t>[primary tumors with metastasis vs. primary tumor without metastasis] of thyroid cancer(thyroid carcinoma)</t>
  </si>
  <si>
    <t>[primary tumor vs. primary normal] of thyroid cancer(thyroid carcinoma) without metastasis</t>
  </si>
  <si>
    <t>[primary tumors with metastasis vs. primary tumor without metastasis] of thymoma</t>
  </si>
  <si>
    <t>thymoma</t>
  </si>
  <si>
    <t>thymus</t>
  </si>
  <si>
    <t>pleura/pleural effusion</t>
  </si>
  <si>
    <t>bone,brain,liver,other</t>
  </si>
  <si>
    <t>[primary tumor vs. primary normal] of thymoma without metastasis</t>
  </si>
  <si>
    <t>[primary tumors with metastasis vs. primary tumor without metastasis] of cervical cancer(uterine corpus endometrial carcinoma)</t>
  </si>
  <si>
    <t>uterine corpus endometrial carcinoma</t>
  </si>
  <si>
    <t>uterus</t>
  </si>
  <si>
    <t>[primary tumor vs. primary normal] of cervical cancer(uterine corpus endometrial carcinoma) without metastasis</t>
  </si>
  <si>
    <t>[primary tumors comparision] of cervical cancer(uterine carcinosarcoma) with different metastasis sites</t>
  </si>
  <si>
    <t>primary tumor of uterine carcinosarcoma bone metastasis</t>
  </si>
  <si>
    <t>uterine carcinosarcoma</t>
  </si>
  <si>
    <t>primary tumor of uterine carcinosarcoma lung metastasis</t>
  </si>
  <si>
    <t>[primary tumors with metastasis vs. primary tumor without metastasis] of cervical cancer(uterine carcinosarcoma)</t>
  </si>
  <si>
    <t>brain,lung,lymph node,other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</si>
</sst>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等线"/>
      <charset val="134"/>
      <scheme val="minor"/>
    </font>
    <font>
      <sz val="11"/>
      <color theme="4"/>
      <name val="等线"/>
      <charset val="134"/>
      <scheme val="minor"/>
    </font>
    <font>
      <u/>
      <sz val="11"/>
      <color theme="4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sz val="11"/>
      <color indexed="8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650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8"/>
      <color theme="3"/>
      <name val="等线 Light"/>
      <charset val="134"/>
      <scheme val="major"/>
    </font>
    <font>
      <u/>
      <sz val="11"/>
      <color rgb="FF0000FF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u/>
      <sz val="11"/>
      <color rgb="FF80008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22024"/>
  <sheetViews>
    <sheetView tabSelected="1" workbookViewId="0">
      <pane xSplit="5" ySplit="1" topLeftCell="F2" activePane="bottomRight" state="frozen"/>
      <selection/>
      <selection pane="topRight"/>
      <selection pane="bottomLeft"/>
      <selection pane="bottomRight" activeCell="E5" sqref="E5"/>
    </sheetView>
  </sheetViews>
  <sheetFormatPr defaultColWidth="9" defaultRowHeight="14.25"/>
  <cols>
    <col min="1" max="1" width="13.375" style="1" customWidth="1"/>
    <col min="2" max="2" width="10.625" style="2" customWidth="1"/>
    <col min="3" max="3" width="12.375" style="1" customWidth="1"/>
    <col min="4" max="4" width="11.75" style="1" customWidth="1"/>
    <col min="5" max="5" width="27" customWidth="1"/>
    <col min="6" max="6" width="7.75" style="1" customWidth="1"/>
    <col min="7" max="7" width="53" style="1" customWidth="1"/>
    <col min="8" max="8" width="21.75" customWidth="1"/>
    <col min="9" max="9" width="11.625" customWidth="1"/>
  </cols>
  <sheetData>
    <row r="1" spans="1:14">
      <c r="A1" s="1" t="s">
        <v>0</v>
      </c>
      <c r="B1" s="3" t="s">
        <v>1</v>
      </c>
      <c r="C1" s="3" t="s">
        <v>2</v>
      </c>
      <c r="D1" s="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s="4" t="str">
        <f t="shared" ref="A2:A8" si="0">HYPERLINK("http://hcmdb.i-sanger.com/experiment/details/experiment_id/EXP00001","EXP00001")</f>
        <v>EXP00001</v>
      </c>
      <c r="B2" s="4" t="str">
        <f t="shared" ref="B2:B65" si="1">HYPERLINK("https://www.ncbi.nlm.nih.gov/pubmed/22048815","22048815")</f>
        <v>22048815</v>
      </c>
      <c r="C2" s="4" t="str">
        <f t="shared" ref="C2:C65" si="2">HYPERLINK("https://www.ncbi.nlm.nih.gov/geo/query/acc.cgi?acc=GSE10893","GSE10893")</f>
        <v>GSE10893</v>
      </c>
      <c r="D2" s="1" t="s">
        <v>14</v>
      </c>
      <c r="E2" t="s">
        <v>15</v>
      </c>
      <c r="F2" s="1">
        <v>1</v>
      </c>
      <c r="G2" s="1" t="s">
        <v>16</v>
      </c>
      <c r="H2" s="4" t="str">
        <f>HYPERLINK("https://www.ncbi.nlm.nih.gov/geo/query/acc.cgi?acc=GSM34453","GSM34453")</f>
        <v>GSM34453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14">
      <c r="A3" s="4" t="str">
        <f t="shared" si="0"/>
        <v>EXP00001</v>
      </c>
      <c r="B3" s="4" t="str">
        <f t="shared" si="1"/>
        <v>22048815</v>
      </c>
      <c r="C3" s="4" t="str">
        <f t="shared" si="2"/>
        <v>GSE10893</v>
      </c>
      <c r="D3" s="1" t="s">
        <v>14</v>
      </c>
      <c r="E3" t="s">
        <v>15</v>
      </c>
      <c r="F3" s="1">
        <v>1</v>
      </c>
      <c r="G3" s="1" t="s">
        <v>16</v>
      </c>
      <c r="H3" s="4" t="str">
        <f>HYPERLINK("https://www.ncbi.nlm.nih.gov/geo/query/acc.cgi?acc=GSM34472","GSM34472")</f>
        <v>GSM34472</v>
      </c>
      <c r="I3" t="s">
        <v>17</v>
      </c>
      <c r="J3" t="s">
        <v>18</v>
      </c>
      <c r="K3" t="s">
        <v>19</v>
      </c>
      <c r="L3" t="s">
        <v>20</v>
      </c>
      <c r="M3" t="s">
        <v>21</v>
      </c>
      <c r="N3" t="s">
        <v>22</v>
      </c>
    </row>
    <row r="4" spans="1:14">
      <c r="A4" s="4" t="str">
        <f t="shared" si="0"/>
        <v>EXP00001</v>
      </c>
      <c r="B4" s="4" t="str">
        <f t="shared" si="1"/>
        <v>22048815</v>
      </c>
      <c r="C4" s="4" t="str">
        <f t="shared" si="2"/>
        <v>GSE10893</v>
      </c>
      <c r="D4" s="1" t="s">
        <v>14</v>
      </c>
      <c r="E4" t="s">
        <v>15</v>
      </c>
      <c r="F4" s="1">
        <v>1</v>
      </c>
      <c r="G4" s="1" t="s">
        <v>16</v>
      </c>
      <c r="H4" s="4" t="str">
        <f>HYPERLINK("https://www.ncbi.nlm.nih.gov/geo/query/acc.cgi?acc=GSM34498","GSM34498")</f>
        <v>GSM34498</v>
      </c>
      <c r="I4" t="s">
        <v>17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</row>
    <row r="5" spans="1:14">
      <c r="A5" s="4" t="str">
        <f t="shared" si="0"/>
        <v>EXP00001</v>
      </c>
      <c r="B5" s="4" t="str">
        <f t="shared" si="1"/>
        <v>22048815</v>
      </c>
      <c r="C5" s="4" t="str">
        <f t="shared" si="2"/>
        <v>GSE10893</v>
      </c>
      <c r="D5" s="1" t="s">
        <v>14</v>
      </c>
      <c r="E5" t="s">
        <v>15</v>
      </c>
      <c r="F5" s="1">
        <v>1</v>
      </c>
      <c r="G5" s="1" t="s">
        <v>16</v>
      </c>
      <c r="H5" s="4" t="str">
        <f>HYPERLINK("https://www.ncbi.nlm.nih.gov/geo/query/acc.cgi?acc=GSM34511","GSM34511")</f>
        <v>GSM34511</v>
      </c>
      <c r="I5" t="s">
        <v>17</v>
      </c>
      <c r="J5" t="s">
        <v>18</v>
      </c>
      <c r="K5" t="s">
        <v>19</v>
      </c>
      <c r="L5" t="s">
        <v>20</v>
      </c>
      <c r="M5" t="s">
        <v>21</v>
      </c>
      <c r="N5" t="s">
        <v>22</v>
      </c>
    </row>
    <row r="6" spans="1:14">
      <c r="A6" s="4" t="str">
        <f t="shared" si="0"/>
        <v>EXP00001</v>
      </c>
      <c r="B6" s="4" t="str">
        <f t="shared" si="1"/>
        <v>22048815</v>
      </c>
      <c r="C6" s="4" t="str">
        <f t="shared" si="2"/>
        <v>GSE10893</v>
      </c>
      <c r="D6" s="1" t="s">
        <v>14</v>
      </c>
      <c r="E6" t="s">
        <v>15</v>
      </c>
      <c r="F6" s="1">
        <v>1</v>
      </c>
      <c r="G6" s="1" t="s">
        <v>16</v>
      </c>
      <c r="H6" s="4" t="str">
        <f>HYPERLINK("https://www.ncbi.nlm.nih.gov/geo/query/acc.cgi?acc=GSM52913","GSM52913")</f>
        <v>GSM52913</v>
      </c>
      <c r="I6" t="s">
        <v>17</v>
      </c>
      <c r="J6" t="s">
        <v>18</v>
      </c>
      <c r="K6" t="s">
        <v>19</v>
      </c>
      <c r="L6" t="s">
        <v>20</v>
      </c>
      <c r="M6" t="s">
        <v>21</v>
      </c>
      <c r="N6" t="s">
        <v>22</v>
      </c>
    </row>
    <row r="7" spans="1:14">
      <c r="A7" s="4" t="str">
        <f t="shared" si="0"/>
        <v>EXP00001</v>
      </c>
      <c r="B7" s="4" t="str">
        <f t="shared" si="1"/>
        <v>22048815</v>
      </c>
      <c r="C7" s="4" t="str">
        <f t="shared" si="2"/>
        <v>GSE10893</v>
      </c>
      <c r="D7" s="1" t="s">
        <v>14</v>
      </c>
      <c r="E7" t="s">
        <v>15</v>
      </c>
      <c r="F7" s="1">
        <v>2</v>
      </c>
      <c r="G7" s="1" t="s">
        <v>23</v>
      </c>
      <c r="H7" s="4" t="str">
        <f>HYPERLINK("https://www.ncbi.nlm.nih.gov/geo/query/acc.cgi?acc=GSM80241","GSM80241")</f>
        <v>GSM80241</v>
      </c>
      <c r="I7" t="s">
        <v>17</v>
      </c>
      <c r="J7" t="s">
        <v>18</v>
      </c>
      <c r="K7" t="s">
        <v>19</v>
      </c>
      <c r="L7" t="s">
        <v>20</v>
      </c>
      <c r="M7" t="s">
        <v>24</v>
      </c>
      <c r="N7" t="s">
        <v>22</v>
      </c>
    </row>
    <row r="8" spans="1:14">
      <c r="A8" s="4" t="str">
        <f t="shared" si="0"/>
        <v>EXP00001</v>
      </c>
      <c r="B8" s="4" t="str">
        <f t="shared" si="1"/>
        <v>22048815</v>
      </c>
      <c r="C8" s="4" t="str">
        <f t="shared" si="2"/>
        <v>GSE10893</v>
      </c>
      <c r="D8" s="1" t="s">
        <v>14</v>
      </c>
      <c r="E8" t="s">
        <v>15</v>
      </c>
      <c r="F8" s="1">
        <v>2</v>
      </c>
      <c r="G8" s="1" t="s">
        <v>23</v>
      </c>
      <c r="H8" s="4" t="str">
        <f>HYPERLINK("https://www.ncbi.nlm.nih.gov/geo/query/acc.cgi?acc=GSM80244","GSM80244")</f>
        <v>GSM80244</v>
      </c>
      <c r="I8" t="s">
        <v>17</v>
      </c>
      <c r="J8" t="s">
        <v>18</v>
      </c>
      <c r="K8" t="s">
        <v>19</v>
      </c>
      <c r="L8" t="s">
        <v>20</v>
      </c>
      <c r="M8" t="s">
        <v>24</v>
      </c>
      <c r="N8" t="s">
        <v>22</v>
      </c>
    </row>
    <row r="9" spans="1:14">
      <c r="A9" s="4" t="str">
        <f t="shared" ref="A9:A18" si="3">HYPERLINK("http://hcmdb.i-sanger.com/experiment/details/experiment_id/EXP00002","EXP00002")</f>
        <v>EXP00002</v>
      </c>
      <c r="B9" s="4" t="str">
        <f t="shared" si="1"/>
        <v>22048815</v>
      </c>
      <c r="C9" s="4" t="str">
        <f t="shared" si="2"/>
        <v>GSE10893</v>
      </c>
      <c r="D9" s="1" t="s">
        <v>14</v>
      </c>
      <c r="E9" t="s">
        <v>25</v>
      </c>
      <c r="F9" s="1">
        <v>1</v>
      </c>
      <c r="G9" s="1" t="s">
        <v>26</v>
      </c>
      <c r="H9" s="4" t="str">
        <f>HYPERLINK("https://www.ncbi.nlm.nih.gov/geo/query/acc.cgi?acc=GSM275775","GSM275775")</f>
        <v>GSM275775</v>
      </c>
      <c r="I9" t="s">
        <v>17</v>
      </c>
      <c r="J9" t="s">
        <v>18</v>
      </c>
      <c r="K9" t="s">
        <v>19</v>
      </c>
      <c r="L9" t="s">
        <v>20</v>
      </c>
      <c r="M9" t="s">
        <v>27</v>
      </c>
      <c r="N9" t="s">
        <v>22</v>
      </c>
    </row>
    <row r="10" spans="1:14">
      <c r="A10" s="4" t="str">
        <f t="shared" si="3"/>
        <v>EXP00002</v>
      </c>
      <c r="B10" s="4" t="str">
        <f t="shared" si="1"/>
        <v>22048815</v>
      </c>
      <c r="C10" s="4" t="str">
        <f t="shared" si="2"/>
        <v>GSE10893</v>
      </c>
      <c r="D10" s="1" t="s">
        <v>14</v>
      </c>
      <c r="E10" t="s">
        <v>25</v>
      </c>
      <c r="F10" s="1">
        <v>1</v>
      </c>
      <c r="G10" s="1" t="s">
        <v>26</v>
      </c>
      <c r="H10" s="4" t="str">
        <f>HYPERLINK("https://www.ncbi.nlm.nih.gov/geo/query/acc.cgi?acc=GSM34453","GSM34453")</f>
        <v>GSM34453</v>
      </c>
      <c r="I10" t="s">
        <v>17</v>
      </c>
      <c r="J10" t="s">
        <v>18</v>
      </c>
      <c r="K10" t="s">
        <v>19</v>
      </c>
      <c r="L10" t="s">
        <v>20</v>
      </c>
      <c r="M10" t="s">
        <v>21</v>
      </c>
      <c r="N10" t="s">
        <v>22</v>
      </c>
    </row>
    <row r="11" spans="1:14">
      <c r="A11" s="4" t="str">
        <f t="shared" si="3"/>
        <v>EXP00002</v>
      </c>
      <c r="B11" s="4" t="str">
        <f t="shared" si="1"/>
        <v>22048815</v>
      </c>
      <c r="C11" s="4" t="str">
        <f t="shared" si="2"/>
        <v>GSE10893</v>
      </c>
      <c r="D11" s="1" t="s">
        <v>14</v>
      </c>
      <c r="E11" t="s">
        <v>25</v>
      </c>
      <c r="F11" s="1">
        <v>1</v>
      </c>
      <c r="G11" s="1" t="s">
        <v>26</v>
      </c>
      <c r="H11" s="4" t="str">
        <f>HYPERLINK("https://www.ncbi.nlm.nih.gov/geo/query/acc.cgi?acc=GSM34472","GSM34472")</f>
        <v>GSM34472</v>
      </c>
      <c r="I11" t="s">
        <v>17</v>
      </c>
      <c r="J11" t="s">
        <v>18</v>
      </c>
      <c r="K11" t="s">
        <v>19</v>
      </c>
      <c r="L11" t="s">
        <v>20</v>
      </c>
      <c r="M11" t="s">
        <v>21</v>
      </c>
      <c r="N11" t="s">
        <v>22</v>
      </c>
    </row>
    <row r="12" spans="1:14">
      <c r="A12" s="4" t="str">
        <f t="shared" si="3"/>
        <v>EXP00002</v>
      </c>
      <c r="B12" s="4" t="str">
        <f t="shared" si="1"/>
        <v>22048815</v>
      </c>
      <c r="C12" s="4" t="str">
        <f t="shared" si="2"/>
        <v>GSE10893</v>
      </c>
      <c r="D12" s="1" t="s">
        <v>14</v>
      </c>
      <c r="E12" t="s">
        <v>25</v>
      </c>
      <c r="F12" s="1">
        <v>1</v>
      </c>
      <c r="G12" s="1" t="s">
        <v>26</v>
      </c>
      <c r="H12" s="4" t="str">
        <f>HYPERLINK("https://www.ncbi.nlm.nih.gov/geo/query/acc.cgi?acc=GSM34498","GSM34498")</f>
        <v>GSM34498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</row>
    <row r="13" spans="1:14">
      <c r="A13" s="4" t="str">
        <f t="shared" si="3"/>
        <v>EXP00002</v>
      </c>
      <c r="B13" s="4" t="str">
        <f t="shared" si="1"/>
        <v>22048815</v>
      </c>
      <c r="C13" s="4" t="str">
        <f t="shared" si="2"/>
        <v>GSE10893</v>
      </c>
      <c r="D13" s="1" t="s">
        <v>14</v>
      </c>
      <c r="E13" t="s">
        <v>25</v>
      </c>
      <c r="F13" s="1">
        <v>1</v>
      </c>
      <c r="G13" s="1" t="s">
        <v>26</v>
      </c>
      <c r="H13" s="4" t="str">
        <f>HYPERLINK("https://www.ncbi.nlm.nih.gov/geo/query/acc.cgi?acc=GSM34511","GSM34511")</f>
        <v>GSM34511</v>
      </c>
      <c r="I13" t="s">
        <v>17</v>
      </c>
      <c r="J13" t="s">
        <v>18</v>
      </c>
      <c r="K13" t="s">
        <v>19</v>
      </c>
      <c r="L13" t="s">
        <v>20</v>
      </c>
      <c r="M13" t="s">
        <v>21</v>
      </c>
      <c r="N13" t="s">
        <v>22</v>
      </c>
    </row>
    <row r="14" spans="1:14">
      <c r="A14" s="4" t="str">
        <f t="shared" si="3"/>
        <v>EXP00002</v>
      </c>
      <c r="B14" s="4" t="str">
        <f t="shared" si="1"/>
        <v>22048815</v>
      </c>
      <c r="C14" s="4" t="str">
        <f t="shared" si="2"/>
        <v>GSE10893</v>
      </c>
      <c r="D14" s="1" t="s">
        <v>14</v>
      </c>
      <c r="E14" t="s">
        <v>25</v>
      </c>
      <c r="F14" s="1">
        <v>1</v>
      </c>
      <c r="G14" s="1" t="s">
        <v>26</v>
      </c>
      <c r="H14" s="4" t="str">
        <f>HYPERLINK("https://www.ncbi.nlm.nih.gov/geo/query/acc.cgi?acc=GSM52913","GSM52913")</f>
        <v>GSM52913</v>
      </c>
      <c r="I14" t="s">
        <v>17</v>
      </c>
      <c r="J14" t="s">
        <v>18</v>
      </c>
      <c r="K14" t="s">
        <v>19</v>
      </c>
      <c r="L14" t="s">
        <v>20</v>
      </c>
      <c r="M14" t="s">
        <v>21</v>
      </c>
      <c r="N14" t="s">
        <v>22</v>
      </c>
    </row>
    <row r="15" spans="1:14">
      <c r="A15" s="4" t="str">
        <f t="shared" si="3"/>
        <v>EXP00002</v>
      </c>
      <c r="B15" s="4" t="str">
        <f t="shared" si="1"/>
        <v>22048815</v>
      </c>
      <c r="C15" s="4" t="str">
        <f t="shared" si="2"/>
        <v>GSE10893</v>
      </c>
      <c r="D15" s="1" t="s">
        <v>14</v>
      </c>
      <c r="E15" t="s">
        <v>25</v>
      </c>
      <c r="F15" s="1">
        <v>1</v>
      </c>
      <c r="G15" s="1" t="s">
        <v>26</v>
      </c>
      <c r="H15" s="4" t="str">
        <f>HYPERLINK("https://www.ncbi.nlm.nih.gov/geo/query/acc.cgi?acc=GSM80241","GSM80241")</f>
        <v>GSM80241</v>
      </c>
      <c r="I15" t="s">
        <v>17</v>
      </c>
      <c r="J15" t="s">
        <v>18</v>
      </c>
      <c r="K15" t="s">
        <v>19</v>
      </c>
      <c r="L15" t="s">
        <v>20</v>
      </c>
      <c r="M15" t="s">
        <v>24</v>
      </c>
      <c r="N15" t="s">
        <v>22</v>
      </c>
    </row>
    <row r="16" spans="1:14">
      <c r="A16" s="4" t="str">
        <f t="shared" si="3"/>
        <v>EXP00002</v>
      </c>
      <c r="B16" s="4" t="str">
        <f t="shared" si="1"/>
        <v>22048815</v>
      </c>
      <c r="C16" s="4" t="str">
        <f t="shared" si="2"/>
        <v>GSE10893</v>
      </c>
      <c r="D16" s="1" t="s">
        <v>14</v>
      </c>
      <c r="E16" t="s">
        <v>25</v>
      </c>
      <c r="F16" s="1">
        <v>1</v>
      </c>
      <c r="G16" s="1" t="s">
        <v>26</v>
      </c>
      <c r="H16" s="4" t="str">
        <f>HYPERLINK("https://www.ncbi.nlm.nih.gov/geo/query/acc.cgi?acc=GSM80244","GSM80244")</f>
        <v>GSM80244</v>
      </c>
      <c r="I16" t="s">
        <v>17</v>
      </c>
      <c r="J16" t="s">
        <v>18</v>
      </c>
      <c r="K16" t="s">
        <v>19</v>
      </c>
      <c r="L16" t="s">
        <v>20</v>
      </c>
      <c r="M16" t="s">
        <v>24</v>
      </c>
      <c r="N16" t="s">
        <v>22</v>
      </c>
    </row>
    <row r="17" spans="1:14">
      <c r="A17" s="4" t="str">
        <f t="shared" si="3"/>
        <v>EXP00002</v>
      </c>
      <c r="B17" s="4" t="str">
        <f t="shared" si="1"/>
        <v>22048815</v>
      </c>
      <c r="C17" s="4" t="str">
        <f t="shared" si="2"/>
        <v>GSE10893</v>
      </c>
      <c r="D17" s="1" t="s">
        <v>14</v>
      </c>
      <c r="E17" t="s">
        <v>25</v>
      </c>
      <c r="F17" s="1">
        <v>2</v>
      </c>
      <c r="G17" s="1" t="s">
        <v>28</v>
      </c>
      <c r="H17" s="4" t="str">
        <f>HYPERLINK("https://www.ncbi.nlm.nih.gov/geo/query/acc.cgi?acc=GSM34432","GSM34432")</f>
        <v>GSM34432</v>
      </c>
      <c r="I17" t="s">
        <v>17</v>
      </c>
      <c r="J17" t="s">
        <v>18</v>
      </c>
      <c r="K17" t="s">
        <v>19</v>
      </c>
      <c r="L17" t="s">
        <v>20</v>
      </c>
      <c r="M17" t="s">
        <v>21</v>
      </c>
      <c r="N17" t="s">
        <v>29</v>
      </c>
    </row>
    <row r="18" spans="1:14">
      <c r="A18" s="4" t="str">
        <f t="shared" si="3"/>
        <v>EXP00002</v>
      </c>
      <c r="B18" s="4" t="str">
        <f t="shared" si="1"/>
        <v>22048815</v>
      </c>
      <c r="C18" s="4" t="str">
        <f t="shared" si="2"/>
        <v>GSE10893</v>
      </c>
      <c r="D18" s="1" t="s">
        <v>14</v>
      </c>
      <c r="E18" t="s">
        <v>25</v>
      </c>
      <c r="F18" s="1">
        <v>2</v>
      </c>
      <c r="G18" s="1" t="s">
        <v>28</v>
      </c>
      <c r="H18" s="4" t="str">
        <f>HYPERLINK("https://www.ncbi.nlm.nih.gov/geo/query/acc.cgi?acc=GSM80243","GSM80243")</f>
        <v>GSM80243</v>
      </c>
      <c r="I18" t="s">
        <v>17</v>
      </c>
      <c r="J18" t="s">
        <v>18</v>
      </c>
      <c r="K18" t="s">
        <v>19</v>
      </c>
      <c r="L18" t="s">
        <v>20</v>
      </c>
      <c r="N18" t="s">
        <v>29</v>
      </c>
    </row>
    <row r="19" spans="1:14">
      <c r="A19" s="4" t="str">
        <f t="shared" ref="A19:A50" si="4">HYPERLINK("http://hcmdb.i-sanger.com/experiment/details/experiment_id/EXP00003","EXP00003")</f>
        <v>EXP00003</v>
      </c>
      <c r="B19" s="4" t="str">
        <f t="shared" si="1"/>
        <v>22048815</v>
      </c>
      <c r="C19" s="4" t="str">
        <f t="shared" si="2"/>
        <v>GSE10893</v>
      </c>
      <c r="D19" s="1" t="s">
        <v>14</v>
      </c>
      <c r="E19" t="s">
        <v>30</v>
      </c>
      <c r="F19" s="1">
        <v>1</v>
      </c>
      <c r="G19" s="1" t="s">
        <v>31</v>
      </c>
      <c r="H19" s="4" t="str">
        <f>HYPERLINK("https://www.ncbi.nlm.nih.gov/geo/query/acc.cgi?acc=GSM34432","GSM34432")</f>
        <v>GSM34432</v>
      </c>
      <c r="I19" t="s">
        <v>17</v>
      </c>
      <c r="J19" t="s">
        <v>18</v>
      </c>
      <c r="K19" t="s">
        <v>19</v>
      </c>
      <c r="L19" t="s">
        <v>20</v>
      </c>
      <c r="M19" t="s">
        <v>21</v>
      </c>
      <c r="N19" t="s">
        <v>29</v>
      </c>
    </row>
    <row r="20" spans="1:14">
      <c r="A20" s="4" t="str">
        <f t="shared" si="4"/>
        <v>EXP00003</v>
      </c>
      <c r="B20" s="4" t="str">
        <f t="shared" si="1"/>
        <v>22048815</v>
      </c>
      <c r="C20" s="4" t="str">
        <f t="shared" si="2"/>
        <v>GSE10893</v>
      </c>
      <c r="D20" s="1" t="s">
        <v>14</v>
      </c>
      <c r="E20" t="s">
        <v>30</v>
      </c>
      <c r="F20" s="1">
        <v>1</v>
      </c>
      <c r="G20" s="1" t="s">
        <v>31</v>
      </c>
      <c r="H20" s="4" t="str">
        <f>HYPERLINK("https://www.ncbi.nlm.nih.gov/geo/query/acc.cgi?acc=GSM80243","GSM80243")</f>
        <v>GSM80243</v>
      </c>
      <c r="I20" t="s">
        <v>17</v>
      </c>
      <c r="J20" t="s">
        <v>18</v>
      </c>
      <c r="K20" t="s">
        <v>19</v>
      </c>
      <c r="L20" t="s">
        <v>20</v>
      </c>
      <c r="N20" t="s">
        <v>29</v>
      </c>
    </row>
    <row r="21" spans="1:14">
      <c r="A21" s="4" t="str">
        <f t="shared" si="4"/>
        <v>EXP00003</v>
      </c>
      <c r="B21" s="4" t="str">
        <f t="shared" si="1"/>
        <v>22048815</v>
      </c>
      <c r="C21" s="4" t="str">
        <f t="shared" si="2"/>
        <v>GSE10893</v>
      </c>
      <c r="D21" s="1" t="s">
        <v>14</v>
      </c>
      <c r="E21" t="s">
        <v>30</v>
      </c>
      <c r="F21" s="1">
        <v>2</v>
      </c>
      <c r="G21" s="1" t="s">
        <v>32</v>
      </c>
      <c r="H21" s="4" t="str">
        <f>HYPERLINK("https://www.ncbi.nlm.nih.gov/geo/query/acc.cgi?acc=GSM141001","GSM141001")</f>
        <v>GSM141001</v>
      </c>
      <c r="I21" t="s">
        <v>17</v>
      </c>
      <c r="J21" t="s">
        <v>18</v>
      </c>
      <c r="K21" t="s">
        <v>33</v>
      </c>
      <c r="L21" t="s">
        <v>20</v>
      </c>
      <c r="N21" t="s">
        <v>29</v>
      </c>
    </row>
    <row r="22" spans="1:14">
      <c r="A22" s="4" t="str">
        <f t="shared" si="4"/>
        <v>EXP00003</v>
      </c>
      <c r="B22" s="4" t="str">
        <f t="shared" si="1"/>
        <v>22048815</v>
      </c>
      <c r="C22" s="4" t="str">
        <f t="shared" si="2"/>
        <v>GSE10893</v>
      </c>
      <c r="D22" s="1" t="s">
        <v>14</v>
      </c>
      <c r="E22" t="s">
        <v>30</v>
      </c>
      <c r="F22" s="1">
        <v>2</v>
      </c>
      <c r="G22" s="1" t="s">
        <v>32</v>
      </c>
      <c r="H22" s="4" t="str">
        <f>HYPERLINK("https://www.ncbi.nlm.nih.gov/geo/query/acc.cgi?acc=GSM141002","GSM141002")</f>
        <v>GSM141002</v>
      </c>
      <c r="I22" t="s">
        <v>17</v>
      </c>
      <c r="J22" t="s">
        <v>18</v>
      </c>
      <c r="K22" t="s">
        <v>33</v>
      </c>
      <c r="L22" t="s">
        <v>20</v>
      </c>
      <c r="N22" t="s">
        <v>29</v>
      </c>
    </row>
    <row r="23" spans="1:14">
      <c r="A23" s="4" t="str">
        <f t="shared" si="4"/>
        <v>EXP00003</v>
      </c>
      <c r="B23" s="4" t="str">
        <f t="shared" si="1"/>
        <v>22048815</v>
      </c>
      <c r="C23" s="4" t="str">
        <f t="shared" si="2"/>
        <v>GSE10893</v>
      </c>
      <c r="D23" s="1" t="s">
        <v>14</v>
      </c>
      <c r="E23" t="s">
        <v>30</v>
      </c>
      <c r="F23" s="1">
        <v>2</v>
      </c>
      <c r="G23" s="1" t="s">
        <v>32</v>
      </c>
      <c r="H23" s="4" t="str">
        <f>HYPERLINK("https://www.ncbi.nlm.nih.gov/geo/query/acc.cgi?acc=GSM141008","GSM141008")</f>
        <v>GSM141008</v>
      </c>
      <c r="I23" t="s">
        <v>17</v>
      </c>
      <c r="J23" t="s">
        <v>18</v>
      </c>
      <c r="K23" t="s">
        <v>33</v>
      </c>
      <c r="L23" t="s">
        <v>20</v>
      </c>
      <c r="N23" t="s">
        <v>29</v>
      </c>
    </row>
    <row r="24" spans="1:14">
      <c r="A24" s="4" t="str">
        <f t="shared" si="4"/>
        <v>EXP00003</v>
      </c>
      <c r="B24" s="4" t="str">
        <f t="shared" si="1"/>
        <v>22048815</v>
      </c>
      <c r="C24" s="4" t="str">
        <f t="shared" si="2"/>
        <v>GSE10893</v>
      </c>
      <c r="D24" s="1" t="s">
        <v>14</v>
      </c>
      <c r="E24" t="s">
        <v>30</v>
      </c>
      <c r="F24" s="1">
        <v>2</v>
      </c>
      <c r="G24" s="1" t="s">
        <v>32</v>
      </c>
      <c r="H24" s="4" t="str">
        <f>HYPERLINK("https://www.ncbi.nlm.nih.gov/geo/query/acc.cgi?acc=GSM141017","GSM141017")</f>
        <v>GSM141017</v>
      </c>
      <c r="I24" t="s">
        <v>17</v>
      </c>
      <c r="J24" t="s">
        <v>18</v>
      </c>
      <c r="K24" t="s">
        <v>33</v>
      </c>
      <c r="L24" t="s">
        <v>20</v>
      </c>
      <c r="N24" t="s">
        <v>29</v>
      </c>
    </row>
    <row r="25" spans="1:14">
      <c r="A25" s="4" t="str">
        <f t="shared" si="4"/>
        <v>EXP00003</v>
      </c>
      <c r="B25" s="4" t="str">
        <f t="shared" si="1"/>
        <v>22048815</v>
      </c>
      <c r="C25" s="4" t="str">
        <f t="shared" si="2"/>
        <v>GSE10893</v>
      </c>
      <c r="D25" s="1" t="s">
        <v>14</v>
      </c>
      <c r="E25" t="s">
        <v>30</v>
      </c>
      <c r="F25" s="1">
        <v>2</v>
      </c>
      <c r="G25" s="1" t="s">
        <v>32</v>
      </c>
      <c r="H25" s="4" t="str">
        <f>HYPERLINK("https://www.ncbi.nlm.nih.gov/geo/query/acc.cgi?acc=GSM141022","GSM141022")</f>
        <v>GSM141022</v>
      </c>
      <c r="I25" t="s">
        <v>17</v>
      </c>
      <c r="J25" t="s">
        <v>18</v>
      </c>
      <c r="K25" t="s">
        <v>33</v>
      </c>
      <c r="L25" t="s">
        <v>20</v>
      </c>
      <c r="N25" t="s">
        <v>29</v>
      </c>
    </row>
    <row r="26" spans="1:14">
      <c r="A26" s="4" t="str">
        <f t="shared" si="4"/>
        <v>EXP00003</v>
      </c>
      <c r="B26" s="4" t="str">
        <f t="shared" si="1"/>
        <v>22048815</v>
      </c>
      <c r="C26" s="4" t="str">
        <f t="shared" si="2"/>
        <v>GSE10893</v>
      </c>
      <c r="D26" s="1" t="s">
        <v>14</v>
      </c>
      <c r="E26" t="s">
        <v>30</v>
      </c>
      <c r="F26" s="1">
        <v>2</v>
      </c>
      <c r="G26" s="1" t="s">
        <v>32</v>
      </c>
      <c r="H26" s="4" t="str">
        <f>HYPERLINK("https://www.ncbi.nlm.nih.gov/geo/query/acc.cgi?acc=GSM141086","GSM141086")</f>
        <v>GSM141086</v>
      </c>
      <c r="I26" t="s">
        <v>17</v>
      </c>
      <c r="J26" t="s">
        <v>18</v>
      </c>
      <c r="K26" t="s">
        <v>33</v>
      </c>
      <c r="L26" t="s">
        <v>20</v>
      </c>
      <c r="N26" t="s">
        <v>29</v>
      </c>
    </row>
    <row r="27" spans="1:14">
      <c r="A27" s="4" t="str">
        <f t="shared" si="4"/>
        <v>EXP00003</v>
      </c>
      <c r="B27" s="4" t="str">
        <f t="shared" si="1"/>
        <v>22048815</v>
      </c>
      <c r="C27" s="4" t="str">
        <f t="shared" si="2"/>
        <v>GSE10893</v>
      </c>
      <c r="D27" s="1" t="s">
        <v>14</v>
      </c>
      <c r="E27" t="s">
        <v>30</v>
      </c>
      <c r="F27" s="1">
        <v>2</v>
      </c>
      <c r="G27" s="1" t="s">
        <v>32</v>
      </c>
      <c r="H27" s="4" t="str">
        <f>HYPERLINK("https://www.ncbi.nlm.nih.gov/geo/query/acc.cgi?acc=GSM141090","GSM141090")</f>
        <v>GSM141090</v>
      </c>
      <c r="I27" t="s">
        <v>17</v>
      </c>
      <c r="J27" t="s">
        <v>18</v>
      </c>
      <c r="K27" t="s">
        <v>33</v>
      </c>
      <c r="L27" t="s">
        <v>20</v>
      </c>
      <c r="N27" t="s">
        <v>29</v>
      </c>
    </row>
    <row r="28" spans="1:14">
      <c r="A28" s="4" t="str">
        <f t="shared" si="4"/>
        <v>EXP00003</v>
      </c>
      <c r="B28" s="4" t="str">
        <f t="shared" si="1"/>
        <v>22048815</v>
      </c>
      <c r="C28" s="4" t="str">
        <f t="shared" si="2"/>
        <v>GSE10893</v>
      </c>
      <c r="D28" s="1" t="s">
        <v>14</v>
      </c>
      <c r="E28" t="s">
        <v>30</v>
      </c>
      <c r="F28" s="1">
        <v>2</v>
      </c>
      <c r="G28" s="1" t="s">
        <v>32</v>
      </c>
      <c r="H28" s="4" t="str">
        <f>HYPERLINK("https://www.ncbi.nlm.nih.gov/geo/query/acc.cgi?acc=GSM141092","GSM141092")</f>
        <v>GSM141092</v>
      </c>
      <c r="I28" t="s">
        <v>17</v>
      </c>
      <c r="J28" t="s">
        <v>18</v>
      </c>
      <c r="K28" t="s">
        <v>33</v>
      </c>
      <c r="L28" t="s">
        <v>20</v>
      </c>
      <c r="N28" t="s">
        <v>29</v>
      </c>
    </row>
    <row r="29" spans="1:14">
      <c r="A29" s="4" t="str">
        <f t="shared" si="4"/>
        <v>EXP00003</v>
      </c>
      <c r="B29" s="4" t="str">
        <f t="shared" si="1"/>
        <v>22048815</v>
      </c>
      <c r="C29" s="4" t="str">
        <f t="shared" si="2"/>
        <v>GSE10893</v>
      </c>
      <c r="D29" s="1" t="s">
        <v>14</v>
      </c>
      <c r="E29" t="s">
        <v>30</v>
      </c>
      <c r="F29" s="1">
        <v>2</v>
      </c>
      <c r="G29" s="1" t="s">
        <v>32</v>
      </c>
      <c r="H29" s="4" t="str">
        <f>HYPERLINK("https://www.ncbi.nlm.nih.gov/geo/query/acc.cgi?acc=GSM141093","GSM141093")</f>
        <v>GSM141093</v>
      </c>
      <c r="I29" t="s">
        <v>17</v>
      </c>
      <c r="J29" t="s">
        <v>18</v>
      </c>
      <c r="K29" t="s">
        <v>33</v>
      </c>
      <c r="L29" t="s">
        <v>20</v>
      </c>
      <c r="N29" t="s">
        <v>29</v>
      </c>
    </row>
    <row r="30" spans="1:14">
      <c r="A30" s="4" t="str">
        <f t="shared" si="4"/>
        <v>EXP00003</v>
      </c>
      <c r="B30" s="4" t="str">
        <f t="shared" si="1"/>
        <v>22048815</v>
      </c>
      <c r="C30" s="4" t="str">
        <f t="shared" si="2"/>
        <v>GSE10893</v>
      </c>
      <c r="D30" s="1" t="s">
        <v>14</v>
      </c>
      <c r="E30" t="s">
        <v>30</v>
      </c>
      <c r="F30" s="1">
        <v>2</v>
      </c>
      <c r="G30" s="1" t="s">
        <v>32</v>
      </c>
      <c r="H30" s="4" t="str">
        <f>HYPERLINK("https://www.ncbi.nlm.nih.gov/geo/query/acc.cgi?acc=GSM141094","GSM141094")</f>
        <v>GSM141094</v>
      </c>
      <c r="I30" t="s">
        <v>17</v>
      </c>
      <c r="J30" t="s">
        <v>18</v>
      </c>
      <c r="K30" t="s">
        <v>33</v>
      </c>
      <c r="L30" t="s">
        <v>20</v>
      </c>
      <c r="N30" t="s">
        <v>29</v>
      </c>
    </row>
    <row r="31" spans="1:14">
      <c r="A31" s="4" t="str">
        <f t="shared" si="4"/>
        <v>EXP00003</v>
      </c>
      <c r="B31" s="4" t="str">
        <f t="shared" si="1"/>
        <v>22048815</v>
      </c>
      <c r="C31" s="4" t="str">
        <f t="shared" si="2"/>
        <v>GSE10893</v>
      </c>
      <c r="D31" s="1" t="s">
        <v>14</v>
      </c>
      <c r="E31" t="s">
        <v>30</v>
      </c>
      <c r="F31" s="1">
        <v>2</v>
      </c>
      <c r="G31" s="1" t="s">
        <v>32</v>
      </c>
      <c r="H31" s="4" t="str">
        <f>HYPERLINK("https://www.ncbi.nlm.nih.gov/geo/query/acc.cgi?acc=GSM141095","GSM141095")</f>
        <v>GSM141095</v>
      </c>
      <c r="I31" t="s">
        <v>17</v>
      </c>
      <c r="J31" t="s">
        <v>18</v>
      </c>
      <c r="K31" t="s">
        <v>33</v>
      </c>
      <c r="L31" t="s">
        <v>20</v>
      </c>
      <c r="N31" t="s">
        <v>29</v>
      </c>
    </row>
    <row r="32" spans="1:14">
      <c r="A32" s="4" t="str">
        <f t="shared" si="4"/>
        <v>EXP00003</v>
      </c>
      <c r="B32" s="4" t="str">
        <f t="shared" si="1"/>
        <v>22048815</v>
      </c>
      <c r="C32" s="4" t="str">
        <f t="shared" si="2"/>
        <v>GSE10893</v>
      </c>
      <c r="D32" s="1" t="s">
        <v>14</v>
      </c>
      <c r="E32" t="s">
        <v>30</v>
      </c>
      <c r="F32" s="1">
        <v>2</v>
      </c>
      <c r="G32" s="1" t="s">
        <v>32</v>
      </c>
      <c r="H32" s="4" t="str">
        <f>HYPERLINK("https://www.ncbi.nlm.nih.gov/geo/query/acc.cgi?acc=GSM141098","GSM141098")</f>
        <v>GSM141098</v>
      </c>
      <c r="I32" t="s">
        <v>17</v>
      </c>
      <c r="J32" t="s">
        <v>18</v>
      </c>
      <c r="K32" t="s">
        <v>33</v>
      </c>
      <c r="L32" t="s">
        <v>20</v>
      </c>
      <c r="N32" t="s">
        <v>29</v>
      </c>
    </row>
    <row r="33" spans="1:14">
      <c r="A33" s="4" t="str">
        <f t="shared" si="4"/>
        <v>EXP00003</v>
      </c>
      <c r="B33" s="4" t="str">
        <f t="shared" si="1"/>
        <v>22048815</v>
      </c>
      <c r="C33" s="4" t="str">
        <f t="shared" si="2"/>
        <v>GSE10893</v>
      </c>
      <c r="D33" s="1" t="s">
        <v>14</v>
      </c>
      <c r="E33" t="s">
        <v>30</v>
      </c>
      <c r="F33" s="1">
        <v>2</v>
      </c>
      <c r="G33" s="1" t="s">
        <v>32</v>
      </c>
      <c r="H33" s="4" t="str">
        <f>HYPERLINK("https://www.ncbi.nlm.nih.gov/geo/query/acc.cgi?acc=GSM141099","GSM141099")</f>
        <v>GSM141099</v>
      </c>
      <c r="I33" t="s">
        <v>17</v>
      </c>
      <c r="J33" t="s">
        <v>18</v>
      </c>
      <c r="K33" t="s">
        <v>33</v>
      </c>
      <c r="L33" t="s">
        <v>20</v>
      </c>
      <c r="N33" t="s">
        <v>29</v>
      </c>
    </row>
    <row r="34" spans="1:14">
      <c r="A34" s="4" t="str">
        <f t="shared" si="4"/>
        <v>EXP00003</v>
      </c>
      <c r="B34" s="4" t="str">
        <f t="shared" si="1"/>
        <v>22048815</v>
      </c>
      <c r="C34" s="4" t="str">
        <f t="shared" si="2"/>
        <v>GSE10893</v>
      </c>
      <c r="D34" s="1" t="s">
        <v>14</v>
      </c>
      <c r="E34" t="s">
        <v>30</v>
      </c>
      <c r="F34" s="1">
        <v>2</v>
      </c>
      <c r="G34" s="1" t="s">
        <v>32</v>
      </c>
      <c r="H34" s="4" t="str">
        <f>HYPERLINK("https://www.ncbi.nlm.nih.gov/geo/query/acc.cgi?acc=GSM141100","GSM141100")</f>
        <v>GSM141100</v>
      </c>
      <c r="I34" t="s">
        <v>17</v>
      </c>
      <c r="J34" t="s">
        <v>18</v>
      </c>
      <c r="K34" t="s">
        <v>33</v>
      </c>
      <c r="L34" t="s">
        <v>20</v>
      </c>
      <c r="N34" t="s">
        <v>29</v>
      </c>
    </row>
    <row r="35" spans="1:14">
      <c r="A35" s="4" t="str">
        <f t="shared" si="4"/>
        <v>EXP00003</v>
      </c>
      <c r="B35" s="4" t="str">
        <f t="shared" si="1"/>
        <v>22048815</v>
      </c>
      <c r="C35" s="4" t="str">
        <f t="shared" si="2"/>
        <v>GSE10893</v>
      </c>
      <c r="D35" s="1" t="s">
        <v>14</v>
      </c>
      <c r="E35" t="s">
        <v>30</v>
      </c>
      <c r="F35" s="1">
        <v>2</v>
      </c>
      <c r="G35" s="1" t="s">
        <v>32</v>
      </c>
      <c r="H35" s="4" t="str">
        <f>HYPERLINK("https://www.ncbi.nlm.nih.gov/geo/query/acc.cgi?acc=GSM141101","GSM141101")</f>
        <v>GSM141101</v>
      </c>
      <c r="I35" t="s">
        <v>17</v>
      </c>
      <c r="J35" t="s">
        <v>18</v>
      </c>
      <c r="K35" t="s">
        <v>33</v>
      </c>
      <c r="L35" t="s">
        <v>20</v>
      </c>
      <c r="N35" t="s">
        <v>29</v>
      </c>
    </row>
    <row r="36" spans="1:14">
      <c r="A36" s="4" t="str">
        <f t="shared" si="4"/>
        <v>EXP00003</v>
      </c>
      <c r="B36" s="4" t="str">
        <f t="shared" si="1"/>
        <v>22048815</v>
      </c>
      <c r="C36" s="4" t="str">
        <f t="shared" si="2"/>
        <v>GSE10893</v>
      </c>
      <c r="D36" s="1" t="s">
        <v>14</v>
      </c>
      <c r="E36" t="s">
        <v>30</v>
      </c>
      <c r="F36" s="1">
        <v>2</v>
      </c>
      <c r="G36" s="1" t="s">
        <v>32</v>
      </c>
      <c r="H36" s="4" t="str">
        <f>HYPERLINK("https://www.ncbi.nlm.nih.gov/geo/query/acc.cgi?acc=GSM141102","GSM141102")</f>
        <v>GSM141102</v>
      </c>
      <c r="I36" t="s">
        <v>17</v>
      </c>
      <c r="J36" t="s">
        <v>18</v>
      </c>
      <c r="K36" t="s">
        <v>33</v>
      </c>
      <c r="L36" t="s">
        <v>20</v>
      </c>
      <c r="N36" t="s">
        <v>29</v>
      </c>
    </row>
    <row r="37" spans="1:14">
      <c r="A37" s="4" t="str">
        <f t="shared" si="4"/>
        <v>EXP00003</v>
      </c>
      <c r="B37" s="4" t="str">
        <f t="shared" si="1"/>
        <v>22048815</v>
      </c>
      <c r="C37" s="4" t="str">
        <f t="shared" si="2"/>
        <v>GSE10893</v>
      </c>
      <c r="D37" s="1" t="s">
        <v>14</v>
      </c>
      <c r="E37" t="s">
        <v>30</v>
      </c>
      <c r="F37" s="1">
        <v>2</v>
      </c>
      <c r="G37" s="1" t="s">
        <v>32</v>
      </c>
      <c r="H37" s="4" t="str">
        <f>HYPERLINK("https://www.ncbi.nlm.nih.gov/geo/query/acc.cgi?acc=GSM141103","GSM141103")</f>
        <v>GSM141103</v>
      </c>
      <c r="I37" t="s">
        <v>17</v>
      </c>
      <c r="J37" t="s">
        <v>18</v>
      </c>
      <c r="K37" t="s">
        <v>33</v>
      </c>
      <c r="L37" t="s">
        <v>20</v>
      </c>
      <c r="N37" t="s">
        <v>29</v>
      </c>
    </row>
    <row r="38" spans="1:14">
      <c r="A38" s="4" t="str">
        <f t="shared" si="4"/>
        <v>EXP00003</v>
      </c>
      <c r="B38" s="4" t="str">
        <f t="shared" si="1"/>
        <v>22048815</v>
      </c>
      <c r="C38" s="4" t="str">
        <f t="shared" si="2"/>
        <v>GSE10893</v>
      </c>
      <c r="D38" s="1" t="s">
        <v>14</v>
      </c>
      <c r="E38" t="s">
        <v>30</v>
      </c>
      <c r="F38" s="1">
        <v>2</v>
      </c>
      <c r="G38" s="1" t="s">
        <v>32</v>
      </c>
      <c r="H38" s="4" t="str">
        <f>HYPERLINK("https://www.ncbi.nlm.nih.gov/geo/query/acc.cgi?acc=GSM141105","GSM141105")</f>
        <v>GSM141105</v>
      </c>
      <c r="I38" t="s">
        <v>17</v>
      </c>
      <c r="J38" t="s">
        <v>18</v>
      </c>
      <c r="K38" t="s">
        <v>33</v>
      </c>
      <c r="L38" t="s">
        <v>20</v>
      </c>
      <c r="N38" t="s">
        <v>29</v>
      </c>
    </row>
    <row r="39" spans="1:14">
      <c r="A39" s="4" t="str">
        <f t="shared" si="4"/>
        <v>EXP00003</v>
      </c>
      <c r="B39" s="4" t="str">
        <f t="shared" si="1"/>
        <v>22048815</v>
      </c>
      <c r="C39" s="4" t="str">
        <f t="shared" si="2"/>
        <v>GSE10893</v>
      </c>
      <c r="D39" s="1" t="s">
        <v>14</v>
      </c>
      <c r="E39" t="s">
        <v>30</v>
      </c>
      <c r="F39" s="1">
        <v>2</v>
      </c>
      <c r="G39" s="1" t="s">
        <v>32</v>
      </c>
      <c r="H39" s="4" t="str">
        <f>HYPERLINK("https://www.ncbi.nlm.nih.gov/geo/query/acc.cgi?acc=GSM141106","GSM141106")</f>
        <v>GSM141106</v>
      </c>
      <c r="I39" t="s">
        <v>17</v>
      </c>
      <c r="J39" t="s">
        <v>18</v>
      </c>
      <c r="K39" t="s">
        <v>33</v>
      </c>
      <c r="L39" t="s">
        <v>20</v>
      </c>
      <c r="N39" t="s">
        <v>29</v>
      </c>
    </row>
    <row r="40" spans="1:14">
      <c r="A40" s="4" t="str">
        <f t="shared" si="4"/>
        <v>EXP00003</v>
      </c>
      <c r="B40" s="4" t="str">
        <f t="shared" si="1"/>
        <v>22048815</v>
      </c>
      <c r="C40" s="4" t="str">
        <f t="shared" si="2"/>
        <v>GSE10893</v>
      </c>
      <c r="D40" s="1" t="s">
        <v>14</v>
      </c>
      <c r="E40" t="s">
        <v>30</v>
      </c>
      <c r="F40" s="1">
        <v>2</v>
      </c>
      <c r="G40" s="1" t="s">
        <v>32</v>
      </c>
      <c r="H40" s="4" t="str">
        <f>HYPERLINK("https://www.ncbi.nlm.nih.gov/geo/query/acc.cgi?acc=GSM141107","GSM141107")</f>
        <v>GSM141107</v>
      </c>
      <c r="I40" t="s">
        <v>17</v>
      </c>
      <c r="J40" t="s">
        <v>18</v>
      </c>
      <c r="K40" t="s">
        <v>33</v>
      </c>
      <c r="L40" t="s">
        <v>20</v>
      </c>
      <c r="N40" t="s">
        <v>29</v>
      </c>
    </row>
    <row r="41" spans="1:14">
      <c r="A41" s="4" t="str">
        <f t="shared" si="4"/>
        <v>EXP00003</v>
      </c>
      <c r="B41" s="4" t="str">
        <f t="shared" si="1"/>
        <v>22048815</v>
      </c>
      <c r="C41" s="4" t="str">
        <f t="shared" si="2"/>
        <v>GSE10893</v>
      </c>
      <c r="D41" s="1" t="s">
        <v>14</v>
      </c>
      <c r="E41" t="s">
        <v>30</v>
      </c>
      <c r="F41" s="1">
        <v>2</v>
      </c>
      <c r="G41" s="1" t="s">
        <v>32</v>
      </c>
      <c r="H41" s="4" t="str">
        <f>HYPERLINK("https://www.ncbi.nlm.nih.gov/geo/query/acc.cgi?acc=GSM141108","GSM141108")</f>
        <v>GSM141108</v>
      </c>
      <c r="I41" t="s">
        <v>17</v>
      </c>
      <c r="J41" t="s">
        <v>18</v>
      </c>
      <c r="K41" t="s">
        <v>33</v>
      </c>
      <c r="L41" t="s">
        <v>20</v>
      </c>
      <c r="N41" t="s">
        <v>29</v>
      </c>
    </row>
    <row r="42" spans="1:14">
      <c r="A42" s="4" t="str">
        <f t="shared" si="4"/>
        <v>EXP00003</v>
      </c>
      <c r="B42" s="4" t="str">
        <f t="shared" si="1"/>
        <v>22048815</v>
      </c>
      <c r="C42" s="4" t="str">
        <f t="shared" si="2"/>
        <v>GSE10893</v>
      </c>
      <c r="D42" s="1" t="s">
        <v>14</v>
      </c>
      <c r="E42" t="s">
        <v>30</v>
      </c>
      <c r="F42" s="1">
        <v>2</v>
      </c>
      <c r="G42" s="1" t="s">
        <v>32</v>
      </c>
      <c r="H42" s="4" t="str">
        <f>HYPERLINK("https://www.ncbi.nlm.nih.gov/geo/query/acc.cgi?acc=GSM141111","GSM141111")</f>
        <v>GSM141111</v>
      </c>
      <c r="I42" t="s">
        <v>17</v>
      </c>
      <c r="J42" t="s">
        <v>18</v>
      </c>
      <c r="K42" t="s">
        <v>33</v>
      </c>
      <c r="L42" t="s">
        <v>20</v>
      </c>
      <c r="N42" t="s">
        <v>29</v>
      </c>
    </row>
    <row r="43" spans="1:14">
      <c r="A43" s="4" t="str">
        <f t="shared" si="4"/>
        <v>EXP00003</v>
      </c>
      <c r="B43" s="4" t="str">
        <f t="shared" si="1"/>
        <v>22048815</v>
      </c>
      <c r="C43" s="4" t="str">
        <f t="shared" si="2"/>
        <v>GSE10893</v>
      </c>
      <c r="D43" s="1" t="s">
        <v>14</v>
      </c>
      <c r="E43" t="s">
        <v>30</v>
      </c>
      <c r="F43" s="1">
        <v>2</v>
      </c>
      <c r="G43" s="1" t="s">
        <v>32</v>
      </c>
      <c r="H43" s="4" t="str">
        <f>HYPERLINK("https://www.ncbi.nlm.nih.gov/geo/query/acc.cgi?acc=GSM141113","GSM141113")</f>
        <v>GSM141113</v>
      </c>
      <c r="I43" t="s">
        <v>17</v>
      </c>
      <c r="J43" t="s">
        <v>18</v>
      </c>
      <c r="K43" t="s">
        <v>33</v>
      </c>
      <c r="L43" t="s">
        <v>20</v>
      </c>
      <c r="N43" t="s">
        <v>29</v>
      </c>
    </row>
    <row r="44" spans="1:14">
      <c r="A44" s="4" t="str">
        <f t="shared" si="4"/>
        <v>EXP00003</v>
      </c>
      <c r="B44" s="4" t="str">
        <f t="shared" si="1"/>
        <v>22048815</v>
      </c>
      <c r="C44" s="4" t="str">
        <f t="shared" si="2"/>
        <v>GSE10893</v>
      </c>
      <c r="D44" s="1" t="s">
        <v>14</v>
      </c>
      <c r="E44" t="s">
        <v>30</v>
      </c>
      <c r="F44" s="1">
        <v>2</v>
      </c>
      <c r="G44" s="1" t="s">
        <v>32</v>
      </c>
      <c r="H44" s="4" t="str">
        <f>HYPERLINK("https://www.ncbi.nlm.nih.gov/geo/query/acc.cgi?acc=GSM141114","GSM141114")</f>
        <v>GSM141114</v>
      </c>
      <c r="I44" t="s">
        <v>17</v>
      </c>
      <c r="J44" t="s">
        <v>18</v>
      </c>
      <c r="K44" t="s">
        <v>33</v>
      </c>
      <c r="L44" t="s">
        <v>20</v>
      </c>
      <c r="N44" t="s">
        <v>29</v>
      </c>
    </row>
    <row r="45" spans="1:14">
      <c r="A45" s="4" t="str">
        <f t="shared" si="4"/>
        <v>EXP00003</v>
      </c>
      <c r="B45" s="4" t="str">
        <f t="shared" si="1"/>
        <v>22048815</v>
      </c>
      <c r="C45" s="4" t="str">
        <f t="shared" si="2"/>
        <v>GSE10893</v>
      </c>
      <c r="D45" s="1" t="s">
        <v>14</v>
      </c>
      <c r="E45" t="s">
        <v>30</v>
      </c>
      <c r="F45" s="1">
        <v>2</v>
      </c>
      <c r="G45" s="1" t="s">
        <v>32</v>
      </c>
      <c r="H45" s="4" t="str">
        <f>HYPERLINK("https://www.ncbi.nlm.nih.gov/geo/query/acc.cgi?acc=GSM141115","GSM141115")</f>
        <v>GSM141115</v>
      </c>
      <c r="I45" t="s">
        <v>17</v>
      </c>
      <c r="J45" t="s">
        <v>18</v>
      </c>
      <c r="K45" t="s">
        <v>33</v>
      </c>
      <c r="L45" t="s">
        <v>20</v>
      </c>
      <c r="N45" t="s">
        <v>29</v>
      </c>
    </row>
    <row r="46" spans="1:14">
      <c r="A46" s="4" t="str">
        <f t="shared" si="4"/>
        <v>EXP00003</v>
      </c>
      <c r="B46" s="4" t="str">
        <f t="shared" si="1"/>
        <v>22048815</v>
      </c>
      <c r="C46" s="4" t="str">
        <f t="shared" si="2"/>
        <v>GSE10893</v>
      </c>
      <c r="D46" s="1" t="s">
        <v>14</v>
      </c>
      <c r="E46" t="s">
        <v>30</v>
      </c>
      <c r="F46" s="1">
        <v>2</v>
      </c>
      <c r="G46" s="1" t="s">
        <v>32</v>
      </c>
      <c r="H46" s="4" t="str">
        <f>HYPERLINK("https://www.ncbi.nlm.nih.gov/geo/query/acc.cgi?acc=GSM141117","GSM141117")</f>
        <v>GSM141117</v>
      </c>
      <c r="I46" t="s">
        <v>17</v>
      </c>
      <c r="J46" t="s">
        <v>18</v>
      </c>
      <c r="K46" t="s">
        <v>33</v>
      </c>
      <c r="L46" t="s">
        <v>20</v>
      </c>
      <c r="N46" t="s">
        <v>29</v>
      </c>
    </row>
    <row r="47" spans="1:14">
      <c r="A47" s="4" t="str">
        <f t="shared" si="4"/>
        <v>EXP00003</v>
      </c>
      <c r="B47" s="4" t="str">
        <f t="shared" si="1"/>
        <v>22048815</v>
      </c>
      <c r="C47" s="4" t="str">
        <f t="shared" si="2"/>
        <v>GSE10893</v>
      </c>
      <c r="D47" s="1" t="s">
        <v>14</v>
      </c>
      <c r="E47" t="s">
        <v>30</v>
      </c>
      <c r="F47" s="1">
        <v>2</v>
      </c>
      <c r="G47" s="1" t="s">
        <v>32</v>
      </c>
      <c r="H47" s="4" t="str">
        <f>HYPERLINK("https://www.ncbi.nlm.nih.gov/geo/query/acc.cgi?acc=GSM141118","GSM141118")</f>
        <v>GSM141118</v>
      </c>
      <c r="I47" t="s">
        <v>17</v>
      </c>
      <c r="J47" t="s">
        <v>18</v>
      </c>
      <c r="K47" t="s">
        <v>33</v>
      </c>
      <c r="L47" t="s">
        <v>20</v>
      </c>
      <c r="N47" t="s">
        <v>29</v>
      </c>
    </row>
    <row r="48" spans="1:14">
      <c r="A48" s="4" t="str">
        <f t="shared" si="4"/>
        <v>EXP00003</v>
      </c>
      <c r="B48" s="4" t="str">
        <f t="shared" si="1"/>
        <v>22048815</v>
      </c>
      <c r="C48" s="4" t="str">
        <f t="shared" si="2"/>
        <v>GSE10893</v>
      </c>
      <c r="D48" s="1" t="s">
        <v>14</v>
      </c>
      <c r="E48" t="s">
        <v>30</v>
      </c>
      <c r="F48" s="1">
        <v>2</v>
      </c>
      <c r="G48" s="1" t="s">
        <v>32</v>
      </c>
      <c r="H48" s="4" t="str">
        <f>HYPERLINK("https://www.ncbi.nlm.nih.gov/geo/query/acc.cgi?acc=GSM275782","GSM275782")</f>
        <v>GSM275782</v>
      </c>
      <c r="I48" t="s">
        <v>17</v>
      </c>
      <c r="J48" t="s">
        <v>18</v>
      </c>
      <c r="K48" t="s">
        <v>33</v>
      </c>
      <c r="L48" t="s">
        <v>20</v>
      </c>
      <c r="N48" t="s">
        <v>29</v>
      </c>
    </row>
    <row r="49" spans="1:14">
      <c r="A49" s="4" t="str">
        <f t="shared" si="4"/>
        <v>EXP00003</v>
      </c>
      <c r="B49" s="4" t="str">
        <f t="shared" si="1"/>
        <v>22048815</v>
      </c>
      <c r="C49" s="4" t="str">
        <f t="shared" si="2"/>
        <v>GSE10893</v>
      </c>
      <c r="D49" s="1" t="s">
        <v>14</v>
      </c>
      <c r="E49" t="s">
        <v>30</v>
      </c>
      <c r="F49" s="1">
        <v>2</v>
      </c>
      <c r="G49" s="1" t="s">
        <v>32</v>
      </c>
      <c r="H49" s="4" t="str">
        <f>HYPERLINK("https://www.ncbi.nlm.nih.gov/geo/query/acc.cgi?acc=GSM275783","GSM275783")</f>
        <v>GSM275783</v>
      </c>
      <c r="I49" t="s">
        <v>17</v>
      </c>
      <c r="J49" t="s">
        <v>18</v>
      </c>
      <c r="K49" t="s">
        <v>33</v>
      </c>
      <c r="L49" t="s">
        <v>20</v>
      </c>
      <c r="N49" t="s">
        <v>29</v>
      </c>
    </row>
    <row r="50" spans="1:14">
      <c r="A50" s="4" t="str">
        <f t="shared" si="4"/>
        <v>EXP00003</v>
      </c>
      <c r="B50" s="4" t="str">
        <f t="shared" si="1"/>
        <v>22048815</v>
      </c>
      <c r="C50" s="4" t="str">
        <f t="shared" si="2"/>
        <v>GSE10893</v>
      </c>
      <c r="D50" s="1" t="s">
        <v>14</v>
      </c>
      <c r="E50" t="s">
        <v>30</v>
      </c>
      <c r="F50" s="1">
        <v>2</v>
      </c>
      <c r="G50" s="1" t="s">
        <v>32</v>
      </c>
      <c r="H50" s="4" t="str">
        <f>HYPERLINK("https://www.ncbi.nlm.nih.gov/geo/query/acc.cgi?acc=GSM275784","GSM275784")</f>
        <v>GSM275784</v>
      </c>
      <c r="I50" t="s">
        <v>17</v>
      </c>
      <c r="J50" t="s">
        <v>18</v>
      </c>
      <c r="K50" t="s">
        <v>33</v>
      </c>
      <c r="L50" t="s">
        <v>20</v>
      </c>
      <c r="N50" t="s">
        <v>29</v>
      </c>
    </row>
    <row r="51" spans="1:14">
      <c r="A51" s="4" t="str">
        <f t="shared" ref="A51:A82" si="5">HYPERLINK("http://hcmdb.i-sanger.com/experiment/details/experiment_id/EXP00003","EXP00003")</f>
        <v>EXP00003</v>
      </c>
      <c r="B51" s="4" t="str">
        <f t="shared" si="1"/>
        <v>22048815</v>
      </c>
      <c r="C51" s="4" t="str">
        <f t="shared" si="2"/>
        <v>GSE10893</v>
      </c>
      <c r="D51" s="1" t="s">
        <v>14</v>
      </c>
      <c r="E51" t="s">
        <v>30</v>
      </c>
      <c r="F51" s="1">
        <v>2</v>
      </c>
      <c r="G51" s="1" t="s">
        <v>32</v>
      </c>
      <c r="H51" s="4" t="str">
        <f>HYPERLINK("https://www.ncbi.nlm.nih.gov/geo/query/acc.cgi?acc=GSM275806","GSM275806")</f>
        <v>GSM275806</v>
      </c>
      <c r="I51" t="s">
        <v>17</v>
      </c>
      <c r="J51" t="s">
        <v>18</v>
      </c>
      <c r="K51" t="s">
        <v>33</v>
      </c>
      <c r="L51" t="s">
        <v>20</v>
      </c>
      <c r="N51" t="s">
        <v>29</v>
      </c>
    </row>
    <row r="52" spans="1:14">
      <c r="A52" s="4" t="str">
        <f t="shared" si="5"/>
        <v>EXP00003</v>
      </c>
      <c r="B52" s="4" t="str">
        <f t="shared" si="1"/>
        <v>22048815</v>
      </c>
      <c r="C52" s="4" t="str">
        <f t="shared" si="2"/>
        <v>GSE10893</v>
      </c>
      <c r="D52" s="1" t="s">
        <v>14</v>
      </c>
      <c r="E52" t="s">
        <v>30</v>
      </c>
      <c r="F52" s="1">
        <v>2</v>
      </c>
      <c r="G52" s="1" t="s">
        <v>32</v>
      </c>
      <c r="H52" s="4" t="str">
        <f>HYPERLINK("https://www.ncbi.nlm.nih.gov/geo/query/acc.cgi?acc=GSM275808","GSM275808")</f>
        <v>GSM275808</v>
      </c>
      <c r="I52" t="s">
        <v>17</v>
      </c>
      <c r="J52" t="s">
        <v>18</v>
      </c>
      <c r="K52" t="s">
        <v>33</v>
      </c>
      <c r="L52" t="s">
        <v>20</v>
      </c>
      <c r="N52" t="s">
        <v>29</v>
      </c>
    </row>
    <row r="53" spans="1:14">
      <c r="A53" s="4" t="str">
        <f t="shared" si="5"/>
        <v>EXP00003</v>
      </c>
      <c r="B53" s="4" t="str">
        <f t="shared" si="1"/>
        <v>22048815</v>
      </c>
      <c r="C53" s="4" t="str">
        <f t="shared" si="2"/>
        <v>GSE10893</v>
      </c>
      <c r="D53" s="1" t="s">
        <v>14</v>
      </c>
      <c r="E53" t="s">
        <v>30</v>
      </c>
      <c r="F53" s="1">
        <v>2</v>
      </c>
      <c r="G53" s="1" t="s">
        <v>32</v>
      </c>
      <c r="H53" s="4" t="str">
        <f>HYPERLINK("https://www.ncbi.nlm.nih.gov/geo/query/acc.cgi?acc=GSM275814","GSM275814")</f>
        <v>GSM275814</v>
      </c>
      <c r="I53" t="s">
        <v>17</v>
      </c>
      <c r="J53" t="s">
        <v>18</v>
      </c>
      <c r="K53" t="s">
        <v>33</v>
      </c>
      <c r="L53" t="s">
        <v>20</v>
      </c>
      <c r="N53" t="s">
        <v>29</v>
      </c>
    </row>
    <row r="54" spans="1:14">
      <c r="A54" s="4" t="str">
        <f t="shared" si="5"/>
        <v>EXP00003</v>
      </c>
      <c r="B54" s="4" t="str">
        <f t="shared" si="1"/>
        <v>22048815</v>
      </c>
      <c r="C54" s="4" t="str">
        <f t="shared" si="2"/>
        <v>GSE10893</v>
      </c>
      <c r="D54" s="1" t="s">
        <v>14</v>
      </c>
      <c r="E54" t="s">
        <v>30</v>
      </c>
      <c r="F54" s="1">
        <v>2</v>
      </c>
      <c r="G54" s="1" t="s">
        <v>32</v>
      </c>
      <c r="H54" s="4" t="str">
        <f>HYPERLINK("https://www.ncbi.nlm.nih.gov/geo/query/acc.cgi?acc=GSM275815","GSM275815")</f>
        <v>GSM275815</v>
      </c>
      <c r="I54" t="s">
        <v>17</v>
      </c>
      <c r="J54" t="s">
        <v>18</v>
      </c>
      <c r="K54" t="s">
        <v>33</v>
      </c>
      <c r="L54" t="s">
        <v>20</v>
      </c>
      <c r="N54" t="s">
        <v>29</v>
      </c>
    </row>
    <row r="55" spans="1:14">
      <c r="A55" s="4" t="str">
        <f t="shared" si="5"/>
        <v>EXP00003</v>
      </c>
      <c r="B55" s="4" t="str">
        <f t="shared" si="1"/>
        <v>22048815</v>
      </c>
      <c r="C55" s="4" t="str">
        <f t="shared" si="2"/>
        <v>GSE10893</v>
      </c>
      <c r="D55" s="1" t="s">
        <v>14</v>
      </c>
      <c r="E55" t="s">
        <v>30</v>
      </c>
      <c r="F55" s="1">
        <v>2</v>
      </c>
      <c r="G55" s="1" t="s">
        <v>32</v>
      </c>
      <c r="H55" s="4" t="str">
        <f>HYPERLINK("https://www.ncbi.nlm.nih.gov/geo/query/acc.cgi?acc=GSM275818","GSM275818")</f>
        <v>GSM275818</v>
      </c>
      <c r="I55" t="s">
        <v>17</v>
      </c>
      <c r="J55" t="s">
        <v>18</v>
      </c>
      <c r="K55" t="s">
        <v>33</v>
      </c>
      <c r="L55" t="s">
        <v>20</v>
      </c>
      <c r="N55" t="s">
        <v>29</v>
      </c>
    </row>
    <row r="56" spans="1:14">
      <c r="A56" s="4" t="str">
        <f t="shared" si="5"/>
        <v>EXP00003</v>
      </c>
      <c r="B56" s="4" t="str">
        <f t="shared" si="1"/>
        <v>22048815</v>
      </c>
      <c r="C56" s="4" t="str">
        <f t="shared" si="2"/>
        <v>GSE10893</v>
      </c>
      <c r="D56" s="1" t="s">
        <v>14</v>
      </c>
      <c r="E56" t="s">
        <v>30</v>
      </c>
      <c r="F56" s="1">
        <v>2</v>
      </c>
      <c r="G56" s="1" t="s">
        <v>32</v>
      </c>
      <c r="H56" s="4" t="str">
        <f>HYPERLINK("https://www.ncbi.nlm.nih.gov/geo/query/acc.cgi?acc=GSM275824","GSM275824")</f>
        <v>GSM275824</v>
      </c>
      <c r="I56" t="s">
        <v>17</v>
      </c>
      <c r="J56" t="s">
        <v>18</v>
      </c>
      <c r="K56" t="s">
        <v>33</v>
      </c>
      <c r="L56" t="s">
        <v>20</v>
      </c>
      <c r="N56" t="s">
        <v>29</v>
      </c>
    </row>
    <row r="57" spans="1:14">
      <c r="A57" s="4" t="str">
        <f t="shared" si="5"/>
        <v>EXP00003</v>
      </c>
      <c r="B57" s="4" t="str">
        <f t="shared" si="1"/>
        <v>22048815</v>
      </c>
      <c r="C57" s="4" t="str">
        <f t="shared" si="2"/>
        <v>GSE10893</v>
      </c>
      <c r="D57" s="1" t="s">
        <v>14</v>
      </c>
      <c r="E57" t="s">
        <v>30</v>
      </c>
      <c r="F57" s="1">
        <v>2</v>
      </c>
      <c r="G57" s="1" t="s">
        <v>32</v>
      </c>
      <c r="H57" s="4" t="str">
        <f>HYPERLINK("https://www.ncbi.nlm.nih.gov/geo/query/acc.cgi?acc=GSM275827","GSM275827")</f>
        <v>GSM275827</v>
      </c>
      <c r="I57" t="s">
        <v>17</v>
      </c>
      <c r="J57" t="s">
        <v>18</v>
      </c>
      <c r="K57" t="s">
        <v>33</v>
      </c>
      <c r="L57" t="s">
        <v>20</v>
      </c>
      <c r="N57" t="s">
        <v>29</v>
      </c>
    </row>
    <row r="58" spans="1:14">
      <c r="A58" s="4" t="str">
        <f t="shared" si="5"/>
        <v>EXP00003</v>
      </c>
      <c r="B58" s="4" t="str">
        <f t="shared" si="1"/>
        <v>22048815</v>
      </c>
      <c r="C58" s="4" t="str">
        <f t="shared" si="2"/>
        <v>GSE10893</v>
      </c>
      <c r="D58" s="1" t="s">
        <v>14</v>
      </c>
      <c r="E58" t="s">
        <v>30</v>
      </c>
      <c r="F58" s="1">
        <v>2</v>
      </c>
      <c r="G58" s="1" t="s">
        <v>32</v>
      </c>
      <c r="H58" s="4" t="str">
        <f>HYPERLINK("https://www.ncbi.nlm.nih.gov/geo/query/acc.cgi?acc=GSM275831","GSM275831")</f>
        <v>GSM275831</v>
      </c>
      <c r="I58" t="s">
        <v>17</v>
      </c>
      <c r="J58" t="s">
        <v>18</v>
      </c>
      <c r="K58" t="s">
        <v>33</v>
      </c>
      <c r="L58" t="s">
        <v>20</v>
      </c>
      <c r="N58" t="s">
        <v>29</v>
      </c>
    </row>
    <row r="59" spans="1:14">
      <c r="A59" s="4" t="str">
        <f t="shared" si="5"/>
        <v>EXP00003</v>
      </c>
      <c r="B59" s="4" t="str">
        <f t="shared" si="1"/>
        <v>22048815</v>
      </c>
      <c r="C59" s="4" t="str">
        <f t="shared" si="2"/>
        <v>GSE10893</v>
      </c>
      <c r="D59" s="1" t="s">
        <v>14</v>
      </c>
      <c r="E59" t="s">
        <v>30</v>
      </c>
      <c r="F59" s="1">
        <v>2</v>
      </c>
      <c r="G59" s="1" t="s">
        <v>32</v>
      </c>
      <c r="H59" s="4" t="str">
        <f>HYPERLINK("https://www.ncbi.nlm.nih.gov/geo/query/acc.cgi?acc=GSM275836","GSM275836")</f>
        <v>GSM275836</v>
      </c>
      <c r="I59" t="s">
        <v>17</v>
      </c>
      <c r="J59" t="s">
        <v>18</v>
      </c>
      <c r="K59" t="s">
        <v>33</v>
      </c>
      <c r="L59" t="s">
        <v>20</v>
      </c>
      <c r="N59" t="s">
        <v>29</v>
      </c>
    </row>
    <row r="60" spans="1:14">
      <c r="A60" s="4" t="str">
        <f t="shared" si="5"/>
        <v>EXP00003</v>
      </c>
      <c r="B60" s="4" t="str">
        <f t="shared" si="1"/>
        <v>22048815</v>
      </c>
      <c r="C60" s="4" t="str">
        <f t="shared" si="2"/>
        <v>GSE10893</v>
      </c>
      <c r="D60" s="1" t="s">
        <v>14</v>
      </c>
      <c r="E60" t="s">
        <v>30</v>
      </c>
      <c r="F60" s="1">
        <v>2</v>
      </c>
      <c r="G60" s="1" t="s">
        <v>32</v>
      </c>
      <c r="H60" s="4" t="str">
        <f>HYPERLINK("https://www.ncbi.nlm.nih.gov/geo/query/acc.cgi?acc=GSM275838","GSM275838")</f>
        <v>GSM275838</v>
      </c>
      <c r="I60" t="s">
        <v>17</v>
      </c>
      <c r="J60" t="s">
        <v>18</v>
      </c>
      <c r="K60" t="s">
        <v>33</v>
      </c>
      <c r="L60" t="s">
        <v>20</v>
      </c>
      <c r="N60" t="s">
        <v>29</v>
      </c>
    </row>
    <row r="61" spans="1:14">
      <c r="A61" s="4" t="str">
        <f t="shared" si="5"/>
        <v>EXP00003</v>
      </c>
      <c r="B61" s="4" t="str">
        <f t="shared" si="1"/>
        <v>22048815</v>
      </c>
      <c r="C61" s="4" t="str">
        <f t="shared" si="2"/>
        <v>GSE10893</v>
      </c>
      <c r="D61" s="1" t="s">
        <v>14</v>
      </c>
      <c r="E61" t="s">
        <v>30</v>
      </c>
      <c r="F61" s="1">
        <v>2</v>
      </c>
      <c r="G61" s="1" t="s">
        <v>32</v>
      </c>
      <c r="H61" s="4" t="str">
        <f>HYPERLINK("https://www.ncbi.nlm.nih.gov/geo/query/acc.cgi?acc=GSM275845","GSM275845")</f>
        <v>GSM275845</v>
      </c>
      <c r="I61" t="s">
        <v>17</v>
      </c>
      <c r="J61" t="s">
        <v>18</v>
      </c>
      <c r="K61" t="s">
        <v>33</v>
      </c>
      <c r="L61" t="s">
        <v>20</v>
      </c>
      <c r="N61" t="s">
        <v>29</v>
      </c>
    </row>
    <row r="62" spans="1:14">
      <c r="A62" s="4" t="str">
        <f t="shared" si="5"/>
        <v>EXP00003</v>
      </c>
      <c r="B62" s="4" t="str">
        <f t="shared" si="1"/>
        <v>22048815</v>
      </c>
      <c r="C62" s="4" t="str">
        <f t="shared" si="2"/>
        <v>GSE10893</v>
      </c>
      <c r="D62" s="1" t="s">
        <v>14</v>
      </c>
      <c r="E62" t="s">
        <v>30</v>
      </c>
      <c r="F62" s="1">
        <v>2</v>
      </c>
      <c r="G62" s="1" t="s">
        <v>32</v>
      </c>
      <c r="H62" s="4" t="str">
        <f>HYPERLINK("https://www.ncbi.nlm.nih.gov/geo/query/acc.cgi?acc=GSM275849","GSM275849")</f>
        <v>GSM275849</v>
      </c>
      <c r="I62" t="s">
        <v>17</v>
      </c>
      <c r="J62" t="s">
        <v>18</v>
      </c>
      <c r="K62" t="s">
        <v>33</v>
      </c>
      <c r="L62" t="s">
        <v>20</v>
      </c>
      <c r="N62" t="s">
        <v>29</v>
      </c>
    </row>
    <row r="63" spans="1:14">
      <c r="A63" s="4" t="str">
        <f t="shared" si="5"/>
        <v>EXP00003</v>
      </c>
      <c r="B63" s="4" t="str">
        <f t="shared" si="1"/>
        <v>22048815</v>
      </c>
      <c r="C63" s="4" t="str">
        <f t="shared" si="2"/>
        <v>GSE10893</v>
      </c>
      <c r="D63" s="1" t="s">
        <v>14</v>
      </c>
      <c r="E63" t="s">
        <v>30</v>
      </c>
      <c r="F63" s="1">
        <v>2</v>
      </c>
      <c r="G63" s="1" t="s">
        <v>32</v>
      </c>
      <c r="H63" s="4" t="str">
        <f>HYPERLINK("https://www.ncbi.nlm.nih.gov/geo/query/acc.cgi?acc=GSM275851","GSM275851")</f>
        <v>GSM275851</v>
      </c>
      <c r="I63" t="s">
        <v>17</v>
      </c>
      <c r="J63" t="s">
        <v>18</v>
      </c>
      <c r="K63" t="s">
        <v>33</v>
      </c>
      <c r="L63" t="s">
        <v>20</v>
      </c>
      <c r="N63" t="s">
        <v>29</v>
      </c>
    </row>
    <row r="64" spans="1:14">
      <c r="A64" s="4" t="str">
        <f t="shared" si="5"/>
        <v>EXP00003</v>
      </c>
      <c r="B64" s="4" t="str">
        <f t="shared" si="1"/>
        <v>22048815</v>
      </c>
      <c r="C64" s="4" t="str">
        <f t="shared" si="2"/>
        <v>GSE10893</v>
      </c>
      <c r="D64" s="1" t="s">
        <v>14</v>
      </c>
      <c r="E64" t="s">
        <v>30</v>
      </c>
      <c r="F64" s="1">
        <v>2</v>
      </c>
      <c r="G64" s="1" t="s">
        <v>32</v>
      </c>
      <c r="H64" s="4" t="str">
        <f>HYPERLINK("https://www.ncbi.nlm.nih.gov/geo/query/acc.cgi?acc=GSM275855","GSM275855")</f>
        <v>GSM275855</v>
      </c>
      <c r="I64" t="s">
        <v>17</v>
      </c>
      <c r="J64" t="s">
        <v>18</v>
      </c>
      <c r="K64" t="s">
        <v>33</v>
      </c>
      <c r="L64" t="s">
        <v>20</v>
      </c>
      <c r="N64" t="s">
        <v>29</v>
      </c>
    </row>
    <row r="65" spans="1:14">
      <c r="A65" s="4" t="str">
        <f t="shared" si="5"/>
        <v>EXP00003</v>
      </c>
      <c r="B65" s="4" t="str">
        <f t="shared" si="1"/>
        <v>22048815</v>
      </c>
      <c r="C65" s="4" t="str">
        <f t="shared" si="2"/>
        <v>GSE10893</v>
      </c>
      <c r="D65" s="1" t="s">
        <v>14</v>
      </c>
      <c r="E65" t="s">
        <v>30</v>
      </c>
      <c r="F65" s="1">
        <v>2</v>
      </c>
      <c r="G65" s="1" t="s">
        <v>32</v>
      </c>
      <c r="H65" s="4" t="str">
        <f>HYPERLINK("https://www.ncbi.nlm.nih.gov/geo/query/acc.cgi?acc=GSM275856","GSM275856")</f>
        <v>GSM275856</v>
      </c>
      <c r="I65" t="s">
        <v>17</v>
      </c>
      <c r="J65" t="s">
        <v>18</v>
      </c>
      <c r="K65" t="s">
        <v>33</v>
      </c>
      <c r="L65" t="s">
        <v>20</v>
      </c>
      <c r="N65" t="s">
        <v>29</v>
      </c>
    </row>
    <row r="66" spans="1:14">
      <c r="A66" s="4" t="str">
        <f t="shared" si="5"/>
        <v>EXP00003</v>
      </c>
      <c r="B66" s="4" t="str">
        <f t="shared" ref="B66:B129" si="6">HYPERLINK("https://www.ncbi.nlm.nih.gov/pubmed/22048815","22048815")</f>
        <v>22048815</v>
      </c>
      <c r="C66" s="4" t="str">
        <f t="shared" ref="C66:C129" si="7">HYPERLINK("https://www.ncbi.nlm.nih.gov/geo/query/acc.cgi?acc=GSE10893","GSE10893")</f>
        <v>GSE10893</v>
      </c>
      <c r="D66" s="1" t="s">
        <v>14</v>
      </c>
      <c r="E66" t="s">
        <v>30</v>
      </c>
      <c r="F66" s="1">
        <v>2</v>
      </c>
      <c r="G66" s="1" t="s">
        <v>32</v>
      </c>
      <c r="H66" s="4" t="str">
        <f>HYPERLINK("https://www.ncbi.nlm.nih.gov/geo/query/acc.cgi?acc=GSM275861","GSM275861")</f>
        <v>GSM275861</v>
      </c>
      <c r="I66" t="s">
        <v>17</v>
      </c>
      <c r="J66" t="s">
        <v>18</v>
      </c>
      <c r="K66" t="s">
        <v>33</v>
      </c>
      <c r="L66" t="s">
        <v>20</v>
      </c>
      <c r="N66" t="s">
        <v>29</v>
      </c>
    </row>
    <row r="67" spans="1:14">
      <c r="A67" s="4" t="str">
        <f t="shared" si="5"/>
        <v>EXP00003</v>
      </c>
      <c r="B67" s="4" t="str">
        <f t="shared" si="6"/>
        <v>22048815</v>
      </c>
      <c r="C67" s="4" t="str">
        <f t="shared" si="7"/>
        <v>GSE10893</v>
      </c>
      <c r="D67" s="1" t="s">
        <v>14</v>
      </c>
      <c r="E67" t="s">
        <v>30</v>
      </c>
      <c r="F67" s="1">
        <v>2</v>
      </c>
      <c r="G67" s="1" t="s">
        <v>32</v>
      </c>
      <c r="H67" s="4" t="str">
        <f>HYPERLINK("https://www.ncbi.nlm.nih.gov/geo/query/acc.cgi?acc=GSM275862","GSM275862")</f>
        <v>GSM275862</v>
      </c>
      <c r="I67" t="s">
        <v>17</v>
      </c>
      <c r="J67" t="s">
        <v>18</v>
      </c>
      <c r="K67" t="s">
        <v>33</v>
      </c>
      <c r="L67" t="s">
        <v>20</v>
      </c>
      <c r="N67" t="s">
        <v>29</v>
      </c>
    </row>
    <row r="68" spans="1:14">
      <c r="A68" s="4" t="str">
        <f t="shared" si="5"/>
        <v>EXP00003</v>
      </c>
      <c r="B68" s="4" t="str">
        <f t="shared" si="6"/>
        <v>22048815</v>
      </c>
      <c r="C68" s="4" t="str">
        <f t="shared" si="7"/>
        <v>GSE10893</v>
      </c>
      <c r="D68" s="1" t="s">
        <v>14</v>
      </c>
      <c r="E68" t="s">
        <v>30</v>
      </c>
      <c r="F68" s="1">
        <v>2</v>
      </c>
      <c r="G68" s="1" t="s">
        <v>32</v>
      </c>
      <c r="H68" s="4" t="str">
        <f>HYPERLINK("https://www.ncbi.nlm.nih.gov/geo/query/acc.cgi?acc=GSM275864","GSM275864")</f>
        <v>GSM275864</v>
      </c>
      <c r="I68" t="s">
        <v>17</v>
      </c>
      <c r="J68" t="s">
        <v>18</v>
      </c>
      <c r="K68" t="s">
        <v>33</v>
      </c>
      <c r="L68" t="s">
        <v>20</v>
      </c>
      <c r="N68" t="s">
        <v>29</v>
      </c>
    </row>
    <row r="69" spans="1:14">
      <c r="A69" s="4" t="str">
        <f t="shared" si="5"/>
        <v>EXP00003</v>
      </c>
      <c r="B69" s="4" t="str">
        <f t="shared" si="6"/>
        <v>22048815</v>
      </c>
      <c r="C69" s="4" t="str">
        <f t="shared" si="7"/>
        <v>GSE10893</v>
      </c>
      <c r="D69" s="1" t="s">
        <v>14</v>
      </c>
      <c r="E69" t="s">
        <v>30</v>
      </c>
      <c r="F69" s="1">
        <v>2</v>
      </c>
      <c r="G69" s="1" t="s">
        <v>32</v>
      </c>
      <c r="H69" s="4" t="str">
        <f>HYPERLINK("https://www.ncbi.nlm.nih.gov/geo/query/acc.cgi?acc=GSM275871","GSM275871")</f>
        <v>GSM275871</v>
      </c>
      <c r="I69" t="s">
        <v>17</v>
      </c>
      <c r="J69" t="s">
        <v>18</v>
      </c>
      <c r="K69" t="s">
        <v>33</v>
      </c>
      <c r="L69" t="s">
        <v>20</v>
      </c>
      <c r="N69" t="s">
        <v>29</v>
      </c>
    </row>
    <row r="70" spans="1:14">
      <c r="A70" s="4" t="str">
        <f t="shared" si="5"/>
        <v>EXP00003</v>
      </c>
      <c r="B70" s="4" t="str">
        <f t="shared" si="6"/>
        <v>22048815</v>
      </c>
      <c r="C70" s="4" t="str">
        <f t="shared" si="7"/>
        <v>GSE10893</v>
      </c>
      <c r="D70" s="1" t="s">
        <v>14</v>
      </c>
      <c r="E70" t="s">
        <v>30</v>
      </c>
      <c r="F70" s="1">
        <v>2</v>
      </c>
      <c r="G70" s="1" t="s">
        <v>32</v>
      </c>
      <c r="H70" s="4" t="str">
        <f>HYPERLINK("https://www.ncbi.nlm.nih.gov/geo/query/acc.cgi?acc=GSM275872","GSM275872")</f>
        <v>GSM275872</v>
      </c>
      <c r="I70" t="s">
        <v>17</v>
      </c>
      <c r="J70" t="s">
        <v>18</v>
      </c>
      <c r="K70" t="s">
        <v>33</v>
      </c>
      <c r="L70" t="s">
        <v>20</v>
      </c>
      <c r="N70" t="s">
        <v>29</v>
      </c>
    </row>
    <row r="71" spans="1:14">
      <c r="A71" s="4" t="str">
        <f t="shared" si="5"/>
        <v>EXP00003</v>
      </c>
      <c r="B71" s="4" t="str">
        <f t="shared" si="6"/>
        <v>22048815</v>
      </c>
      <c r="C71" s="4" t="str">
        <f t="shared" si="7"/>
        <v>GSE10893</v>
      </c>
      <c r="D71" s="1" t="s">
        <v>14</v>
      </c>
      <c r="E71" t="s">
        <v>30</v>
      </c>
      <c r="F71" s="1">
        <v>2</v>
      </c>
      <c r="G71" s="1" t="s">
        <v>32</v>
      </c>
      <c r="H71" s="4" t="str">
        <f>HYPERLINK("https://www.ncbi.nlm.nih.gov/geo/query/acc.cgi?acc=GSM275874","GSM275874")</f>
        <v>GSM275874</v>
      </c>
      <c r="I71" t="s">
        <v>17</v>
      </c>
      <c r="J71" t="s">
        <v>18</v>
      </c>
      <c r="K71" t="s">
        <v>33</v>
      </c>
      <c r="L71" t="s">
        <v>20</v>
      </c>
      <c r="N71" t="s">
        <v>29</v>
      </c>
    </row>
    <row r="72" spans="1:14">
      <c r="A72" s="4" t="str">
        <f t="shared" si="5"/>
        <v>EXP00003</v>
      </c>
      <c r="B72" s="4" t="str">
        <f t="shared" si="6"/>
        <v>22048815</v>
      </c>
      <c r="C72" s="4" t="str">
        <f t="shared" si="7"/>
        <v>GSE10893</v>
      </c>
      <c r="D72" s="1" t="s">
        <v>14</v>
      </c>
      <c r="E72" t="s">
        <v>30</v>
      </c>
      <c r="F72" s="1">
        <v>2</v>
      </c>
      <c r="G72" s="1" t="s">
        <v>32</v>
      </c>
      <c r="H72" s="4" t="str">
        <f>HYPERLINK("https://www.ncbi.nlm.nih.gov/geo/query/acc.cgi?acc=GSM275884","GSM275884")</f>
        <v>GSM275884</v>
      </c>
      <c r="I72" t="s">
        <v>17</v>
      </c>
      <c r="J72" t="s">
        <v>18</v>
      </c>
      <c r="K72" t="s">
        <v>33</v>
      </c>
      <c r="L72" t="s">
        <v>20</v>
      </c>
      <c r="N72" t="s">
        <v>29</v>
      </c>
    </row>
    <row r="73" spans="1:14">
      <c r="A73" s="4" t="str">
        <f t="shared" si="5"/>
        <v>EXP00003</v>
      </c>
      <c r="B73" s="4" t="str">
        <f t="shared" si="6"/>
        <v>22048815</v>
      </c>
      <c r="C73" s="4" t="str">
        <f t="shared" si="7"/>
        <v>GSE10893</v>
      </c>
      <c r="D73" s="1" t="s">
        <v>14</v>
      </c>
      <c r="E73" t="s">
        <v>30</v>
      </c>
      <c r="F73" s="1">
        <v>2</v>
      </c>
      <c r="G73" s="1" t="s">
        <v>32</v>
      </c>
      <c r="H73" s="4" t="str">
        <f>HYPERLINK("https://www.ncbi.nlm.nih.gov/geo/query/acc.cgi?acc=GSM275892","GSM275892")</f>
        <v>GSM275892</v>
      </c>
      <c r="I73" t="s">
        <v>17</v>
      </c>
      <c r="J73" t="s">
        <v>18</v>
      </c>
      <c r="K73" t="s">
        <v>33</v>
      </c>
      <c r="L73" t="s">
        <v>20</v>
      </c>
      <c r="N73" t="s">
        <v>29</v>
      </c>
    </row>
    <row r="74" spans="1:14">
      <c r="A74" s="4" t="str">
        <f t="shared" si="5"/>
        <v>EXP00003</v>
      </c>
      <c r="B74" s="4" t="str">
        <f t="shared" si="6"/>
        <v>22048815</v>
      </c>
      <c r="C74" s="4" t="str">
        <f t="shared" si="7"/>
        <v>GSE10893</v>
      </c>
      <c r="D74" s="1" t="s">
        <v>14</v>
      </c>
      <c r="E74" t="s">
        <v>30</v>
      </c>
      <c r="F74" s="1">
        <v>2</v>
      </c>
      <c r="G74" s="1" t="s">
        <v>32</v>
      </c>
      <c r="H74" s="4" t="str">
        <f>HYPERLINK("https://www.ncbi.nlm.nih.gov/geo/query/acc.cgi?acc=GSM275899","GSM275899")</f>
        <v>GSM275899</v>
      </c>
      <c r="I74" t="s">
        <v>17</v>
      </c>
      <c r="J74" t="s">
        <v>18</v>
      </c>
      <c r="K74" t="s">
        <v>33</v>
      </c>
      <c r="L74" t="s">
        <v>20</v>
      </c>
      <c r="N74" t="s">
        <v>29</v>
      </c>
    </row>
    <row r="75" spans="1:14">
      <c r="A75" s="4" t="str">
        <f t="shared" si="5"/>
        <v>EXP00003</v>
      </c>
      <c r="B75" s="4" t="str">
        <f t="shared" si="6"/>
        <v>22048815</v>
      </c>
      <c r="C75" s="4" t="str">
        <f t="shared" si="7"/>
        <v>GSE10893</v>
      </c>
      <c r="D75" s="1" t="s">
        <v>14</v>
      </c>
      <c r="E75" t="s">
        <v>30</v>
      </c>
      <c r="F75" s="1">
        <v>2</v>
      </c>
      <c r="G75" s="1" t="s">
        <v>32</v>
      </c>
      <c r="H75" s="4" t="str">
        <f>HYPERLINK("https://www.ncbi.nlm.nih.gov/geo/query/acc.cgi?acc=GSM275907","GSM275907")</f>
        <v>GSM275907</v>
      </c>
      <c r="I75" t="s">
        <v>17</v>
      </c>
      <c r="J75" t="s">
        <v>18</v>
      </c>
      <c r="K75" t="s">
        <v>33</v>
      </c>
      <c r="L75" t="s">
        <v>20</v>
      </c>
      <c r="N75" t="s">
        <v>29</v>
      </c>
    </row>
    <row r="76" spans="1:14">
      <c r="A76" s="4" t="str">
        <f t="shared" si="5"/>
        <v>EXP00003</v>
      </c>
      <c r="B76" s="4" t="str">
        <f t="shared" si="6"/>
        <v>22048815</v>
      </c>
      <c r="C76" s="4" t="str">
        <f t="shared" si="7"/>
        <v>GSE10893</v>
      </c>
      <c r="D76" s="1" t="s">
        <v>14</v>
      </c>
      <c r="E76" t="s">
        <v>30</v>
      </c>
      <c r="F76" s="1">
        <v>2</v>
      </c>
      <c r="G76" s="1" t="s">
        <v>32</v>
      </c>
      <c r="H76" s="4" t="str">
        <f>HYPERLINK("https://www.ncbi.nlm.nih.gov/geo/query/acc.cgi?acc=GSM34431","GSM34431")</f>
        <v>GSM34431</v>
      </c>
      <c r="I76" t="s">
        <v>17</v>
      </c>
      <c r="J76" t="s">
        <v>18</v>
      </c>
      <c r="K76" t="s">
        <v>33</v>
      </c>
      <c r="L76" t="s">
        <v>20</v>
      </c>
      <c r="N76" t="s">
        <v>29</v>
      </c>
    </row>
    <row r="77" spans="1:14">
      <c r="A77" s="4" t="str">
        <f t="shared" si="5"/>
        <v>EXP00003</v>
      </c>
      <c r="B77" s="4" t="str">
        <f t="shared" si="6"/>
        <v>22048815</v>
      </c>
      <c r="C77" s="4" t="str">
        <f t="shared" si="7"/>
        <v>GSE10893</v>
      </c>
      <c r="D77" s="1" t="s">
        <v>14</v>
      </c>
      <c r="E77" t="s">
        <v>30</v>
      </c>
      <c r="F77" s="1">
        <v>2</v>
      </c>
      <c r="G77" s="1" t="s">
        <v>32</v>
      </c>
      <c r="H77" s="4" t="str">
        <f>HYPERLINK("https://www.ncbi.nlm.nih.gov/geo/query/acc.cgi?acc=GSM34433","GSM34433")</f>
        <v>GSM34433</v>
      </c>
      <c r="I77" t="s">
        <v>17</v>
      </c>
      <c r="J77" t="s">
        <v>18</v>
      </c>
      <c r="K77" t="s">
        <v>33</v>
      </c>
      <c r="L77" t="s">
        <v>20</v>
      </c>
      <c r="N77" t="s">
        <v>29</v>
      </c>
    </row>
    <row r="78" spans="1:14">
      <c r="A78" s="4" t="str">
        <f t="shared" si="5"/>
        <v>EXP00003</v>
      </c>
      <c r="B78" s="4" t="str">
        <f t="shared" si="6"/>
        <v>22048815</v>
      </c>
      <c r="C78" s="4" t="str">
        <f t="shared" si="7"/>
        <v>GSE10893</v>
      </c>
      <c r="D78" s="1" t="s">
        <v>14</v>
      </c>
      <c r="E78" t="s">
        <v>30</v>
      </c>
      <c r="F78" s="1">
        <v>2</v>
      </c>
      <c r="G78" s="1" t="s">
        <v>32</v>
      </c>
      <c r="H78" s="4" t="str">
        <f>HYPERLINK("https://www.ncbi.nlm.nih.gov/geo/query/acc.cgi?acc=GSM34434","GSM34434")</f>
        <v>GSM34434</v>
      </c>
      <c r="I78" t="s">
        <v>17</v>
      </c>
      <c r="J78" t="s">
        <v>18</v>
      </c>
      <c r="K78" t="s">
        <v>33</v>
      </c>
      <c r="L78" t="s">
        <v>20</v>
      </c>
      <c r="N78" t="s">
        <v>29</v>
      </c>
    </row>
    <row r="79" spans="1:14">
      <c r="A79" s="4" t="str">
        <f t="shared" si="5"/>
        <v>EXP00003</v>
      </c>
      <c r="B79" s="4" t="str">
        <f t="shared" si="6"/>
        <v>22048815</v>
      </c>
      <c r="C79" s="4" t="str">
        <f t="shared" si="7"/>
        <v>GSE10893</v>
      </c>
      <c r="D79" s="1" t="s">
        <v>14</v>
      </c>
      <c r="E79" t="s">
        <v>30</v>
      </c>
      <c r="F79" s="1">
        <v>2</v>
      </c>
      <c r="G79" s="1" t="s">
        <v>32</v>
      </c>
      <c r="H79" s="4" t="str">
        <f>HYPERLINK("https://www.ncbi.nlm.nih.gov/geo/query/acc.cgi?acc=GSM34438","GSM34438")</f>
        <v>GSM34438</v>
      </c>
      <c r="I79" t="s">
        <v>17</v>
      </c>
      <c r="J79" t="s">
        <v>18</v>
      </c>
      <c r="K79" t="s">
        <v>33</v>
      </c>
      <c r="L79" t="s">
        <v>20</v>
      </c>
      <c r="N79" t="s">
        <v>29</v>
      </c>
    </row>
    <row r="80" spans="1:14">
      <c r="A80" s="4" t="str">
        <f t="shared" si="5"/>
        <v>EXP00003</v>
      </c>
      <c r="B80" s="4" t="str">
        <f t="shared" si="6"/>
        <v>22048815</v>
      </c>
      <c r="C80" s="4" t="str">
        <f t="shared" si="7"/>
        <v>GSE10893</v>
      </c>
      <c r="D80" s="1" t="s">
        <v>14</v>
      </c>
      <c r="E80" t="s">
        <v>30</v>
      </c>
      <c r="F80" s="1">
        <v>2</v>
      </c>
      <c r="G80" s="1" t="s">
        <v>32</v>
      </c>
      <c r="H80" s="4" t="str">
        <f>HYPERLINK("https://www.ncbi.nlm.nih.gov/geo/query/acc.cgi?acc=GSM34446","GSM34446")</f>
        <v>GSM34446</v>
      </c>
      <c r="I80" t="s">
        <v>17</v>
      </c>
      <c r="J80" t="s">
        <v>18</v>
      </c>
      <c r="K80" t="s">
        <v>33</v>
      </c>
      <c r="L80" t="s">
        <v>20</v>
      </c>
      <c r="N80" t="s">
        <v>29</v>
      </c>
    </row>
    <row r="81" spans="1:14">
      <c r="A81" s="4" t="str">
        <f t="shared" si="5"/>
        <v>EXP00003</v>
      </c>
      <c r="B81" s="4" t="str">
        <f t="shared" si="6"/>
        <v>22048815</v>
      </c>
      <c r="C81" s="4" t="str">
        <f t="shared" si="7"/>
        <v>GSE10893</v>
      </c>
      <c r="D81" s="1" t="s">
        <v>14</v>
      </c>
      <c r="E81" t="s">
        <v>30</v>
      </c>
      <c r="F81" s="1">
        <v>2</v>
      </c>
      <c r="G81" s="1" t="s">
        <v>32</v>
      </c>
      <c r="H81" s="4" t="str">
        <f>HYPERLINK("https://www.ncbi.nlm.nih.gov/geo/query/acc.cgi?acc=GSM34447","GSM34447")</f>
        <v>GSM34447</v>
      </c>
      <c r="I81" t="s">
        <v>17</v>
      </c>
      <c r="J81" t="s">
        <v>18</v>
      </c>
      <c r="K81" t="s">
        <v>33</v>
      </c>
      <c r="L81" t="s">
        <v>20</v>
      </c>
      <c r="N81" t="s">
        <v>29</v>
      </c>
    </row>
    <row r="82" spans="1:14">
      <c r="A82" s="4" t="str">
        <f t="shared" si="5"/>
        <v>EXP00003</v>
      </c>
      <c r="B82" s="4" t="str">
        <f t="shared" si="6"/>
        <v>22048815</v>
      </c>
      <c r="C82" s="4" t="str">
        <f t="shared" si="7"/>
        <v>GSE10893</v>
      </c>
      <c r="D82" s="1" t="s">
        <v>14</v>
      </c>
      <c r="E82" t="s">
        <v>30</v>
      </c>
      <c r="F82" s="1">
        <v>2</v>
      </c>
      <c r="G82" s="1" t="s">
        <v>32</v>
      </c>
      <c r="H82" s="4" t="str">
        <f>HYPERLINK("https://www.ncbi.nlm.nih.gov/geo/query/acc.cgi?acc=GSM34448","GSM34448")</f>
        <v>GSM34448</v>
      </c>
      <c r="I82" t="s">
        <v>17</v>
      </c>
      <c r="J82" t="s">
        <v>18</v>
      </c>
      <c r="K82" t="s">
        <v>33</v>
      </c>
      <c r="L82" t="s">
        <v>20</v>
      </c>
      <c r="N82" t="s">
        <v>29</v>
      </c>
    </row>
    <row r="83" spans="1:14">
      <c r="A83" s="4" t="str">
        <f t="shared" ref="A83:A114" si="8">HYPERLINK("http://hcmdb.i-sanger.com/experiment/details/experiment_id/EXP00003","EXP00003")</f>
        <v>EXP00003</v>
      </c>
      <c r="B83" s="4" t="str">
        <f t="shared" si="6"/>
        <v>22048815</v>
      </c>
      <c r="C83" s="4" t="str">
        <f t="shared" si="7"/>
        <v>GSE10893</v>
      </c>
      <c r="D83" s="1" t="s">
        <v>14</v>
      </c>
      <c r="E83" t="s">
        <v>30</v>
      </c>
      <c r="F83" s="1">
        <v>2</v>
      </c>
      <c r="G83" s="1" t="s">
        <v>32</v>
      </c>
      <c r="H83" s="4" t="str">
        <f>HYPERLINK("https://www.ncbi.nlm.nih.gov/geo/query/acc.cgi?acc=GSM34449","GSM34449")</f>
        <v>GSM34449</v>
      </c>
      <c r="I83" t="s">
        <v>17</v>
      </c>
      <c r="J83" t="s">
        <v>18</v>
      </c>
      <c r="K83" t="s">
        <v>33</v>
      </c>
      <c r="L83" t="s">
        <v>20</v>
      </c>
      <c r="N83" t="s">
        <v>29</v>
      </c>
    </row>
    <row r="84" spans="1:14">
      <c r="A84" s="4" t="str">
        <f t="shared" si="8"/>
        <v>EXP00003</v>
      </c>
      <c r="B84" s="4" t="str">
        <f t="shared" si="6"/>
        <v>22048815</v>
      </c>
      <c r="C84" s="4" t="str">
        <f t="shared" si="7"/>
        <v>GSE10893</v>
      </c>
      <c r="D84" s="1" t="s">
        <v>14</v>
      </c>
      <c r="E84" t="s">
        <v>30</v>
      </c>
      <c r="F84" s="1">
        <v>2</v>
      </c>
      <c r="G84" s="1" t="s">
        <v>32</v>
      </c>
      <c r="H84" s="4" t="str">
        <f>HYPERLINK("https://www.ncbi.nlm.nih.gov/geo/query/acc.cgi?acc=GSM34450","GSM34450")</f>
        <v>GSM34450</v>
      </c>
      <c r="I84" t="s">
        <v>17</v>
      </c>
      <c r="J84" t="s">
        <v>18</v>
      </c>
      <c r="K84" t="s">
        <v>33</v>
      </c>
      <c r="L84" t="s">
        <v>20</v>
      </c>
      <c r="N84" t="s">
        <v>29</v>
      </c>
    </row>
    <row r="85" spans="1:14">
      <c r="A85" s="4" t="str">
        <f t="shared" si="8"/>
        <v>EXP00003</v>
      </c>
      <c r="B85" s="4" t="str">
        <f t="shared" si="6"/>
        <v>22048815</v>
      </c>
      <c r="C85" s="4" t="str">
        <f t="shared" si="7"/>
        <v>GSE10893</v>
      </c>
      <c r="D85" s="1" t="s">
        <v>14</v>
      </c>
      <c r="E85" t="s">
        <v>30</v>
      </c>
      <c r="F85" s="1">
        <v>2</v>
      </c>
      <c r="G85" s="1" t="s">
        <v>32</v>
      </c>
      <c r="H85" s="4" t="str">
        <f>HYPERLINK("https://www.ncbi.nlm.nih.gov/geo/query/acc.cgi?acc=GSM34451","GSM34451")</f>
        <v>GSM34451</v>
      </c>
      <c r="I85" t="s">
        <v>17</v>
      </c>
      <c r="J85" t="s">
        <v>18</v>
      </c>
      <c r="K85" t="s">
        <v>33</v>
      </c>
      <c r="L85" t="s">
        <v>20</v>
      </c>
      <c r="N85" t="s">
        <v>29</v>
      </c>
    </row>
    <row r="86" spans="1:14">
      <c r="A86" s="4" t="str">
        <f t="shared" si="8"/>
        <v>EXP00003</v>
      </c>
      <c r="B86" s="4" t="str">
        <f t="shared" si="6"/>
        <v>22048815</v>
      </c>
      <c r="C86" s="4" t="str">
        <f t="shared" si="7"/>
        <v>GSE10893</v>
      </c>
      <c r="D86" s="1" t="s">
        <v>14</v>
      </c>
      <c r="E86" t="s">
        <v>30</v>
      </c>
      <c r="F86" s="1">
        <v>2</v>
      </c>
      <c r="G86" s="1" t="s">
        <v>32</v>
      </c>
      <c r="H86" s="4" t="str">
        <f>HYPERLINK("https://www.ncbi.nlm.nih.gov/geo/query/acc.cgi?acc=GSM34452","GSM34452")</f>
        <v>GSM34452</v>
      </c>
      <c r="I86" t="s">
        <v>17</v>
      </c>
      <c r="J86" t="s">
        <v>18</v>
      </c>
      <c r="K86" t="s">
        <v>33</v>
      </c>
      <c r="L86" t="s">
        <v>20</v>
      </c>
      <c r="N86" t="s">
        <v>29</v>
      </c>
    </row>
    <row r="87" spans="1:14">
      <c r="A87" s="4" t="str">
        <f t="shared" si="8"/>
        <v>EXP00003</v>
      </c>
      <c r="B87" s="4" t="str">
        <f t="shared" si="6"/>
        <v>22048815</v>
      </c>
      <c r="C87" s="4" t="str">
        <f t="shared" si="7"/>
        <v>GSE10893</v>
      </c>
      <c r="D87" s="1" t="s">
        <v>14</v>
      </c>
      <c r="E87" t="s">
        <v>30</v>
      </c>
      <c r="F87" s="1">
        <v>2</v>
      </c>
      <c r="G87" s="1" t="s">
        <v>32</v>
      </c>
      <c r="H87" s="4" t="str">
        <f>HYPERLINK("https://www.ncbi.nlm.nih.gov/geo/query/acc.cgi?acc=GSM34454","GSM34454")</f>
        <v>GSM34454</v>
      </c>
      <c r="I87" t="s">
        <v>17</v>
      </c>
      <c r="J87" t="s">
        <v>18</v>
      </c>
      <c r="K87" t="s">
        <v>33</v>
      </c>
      <c r="L87" t="s">
        <v>20</v>
      </c>
      <c r="N87" t="s">
        <v>29</v>
      </c>
    </row>
    <row r="88" spans="1:14">
      <c r="A88" s="4" t="str">
        <f t="shared" si="8"/>
        <v>EXP00003</v>
      </c>
      <c r="B88" s="4" t="str">
        <f t="shared" si="6"/>
        <v>22048815</v>
      </c>
      <c r="C88" s="4" t="str">
        <f t="shared" si="7"/>
        <v>GSE10893</v>
      </c>
      <c r="D88" s="1" t="s">
        <v>14</v>
      </c>
      <c r="E88" t="s">
        <v>30</v>
      </c>
      <c r="F88" s="1">
        <v>2</v>
      </c>
      <c r="G88" s="1" t="s">
        <v>32</v>
      </c>
      <c r="H88" s="4" t="str">
        <f>HYPERLINK("https://www.ncbi.nlm.nih.gov/geo/query/acc.cgi?acc=GSM34455","GSM34455")</f>
        <v>GSM34455</v>
      </c>
      <c r="I88" t="s">
        <v>17</v>
      </c>
      <c r="J88" t="s">
        <v>18</v>
      </c>
      <c r="K88" t="s">
        <v>33</v>
      </c>
      <c r="L88" t="s">
        <v>20</v>
      </c>
      <c r="N88" t="s">
        <v>29</v>
      </c>
    </row>
    <row r="89" spans="1:14">
      <c r="A89" s="4" t="str">
        <f t="shared" si="8"/>
        <v>EXP00003</v>
      </c>
      <c r="B89" s="4" t="str">
        <f t="shared" si="6"/>
        <v>22048815</v>
      </c>
      <c r="C89" s="4" t="str">
        <f t="shared" si="7"/>
        <v>GSE10893</v>
      </c>
      <c r="D89" s="1" t="s">
        <v>14</v>
      </c>
      <c r="E89" t="s">
        <v>30</v>
      </c>
      <c r="F89" s="1">
        <v>2</v>
      </c>
      <c r="G89" s="1" t="s">
        <v>32</v>
      </c>
      <c r="H89" s="4" t="str">
        <f>HYPERLINK("https://www.ncbi.nlm.nih.gov/geo/query/acc.cgi?acc=GSM34456","GSM34456")</f>
        <v>GSM34456</v>
      </c>
      <c r="I89" t="s">
        <v>17</v>
      </c>
      <c r="J89" t="s">
        <v>18</v>
      </c>
      <c r="K89" t="s">
        <v>33</v>
      </c>
      <c r="L89" t="s">
        <v>20</v>
      </c>
      <c r="N89" t="s">
        <v>29</v>
      </c>
    </row>
    <row r="90" spans="1:14">
      <c r="A90" s="4" t="str">
        <f t="shared" si="8"/>
        <v>EXP00003</v>
      </c>
      <c r="B90" s="4" t="str">
        <f t="shared" si="6"/>
        <v>22048815</v>
      </c>
      <c r="C90" s="4" t="str">
        <f t="shared" si="7"/>
        <v>GSE10893</v>
      </c>
      <c r="D90" s="1" t="s">
        <v>14</v>
      </c>
      <c r="E90" t="s">
        <v>30</v>
      </c>
      <c r="F90" s="1">
        <v>2</v>
      </c>
      <c r="G90" s="1" t="s">
        <v>32</v>
      </c>
      <c r="H90" s="4" t="str">
        <f>HYPERLINK("https://www.ncbi.nlm.nih.gov/geo/query/acc.cgi?acc=GSM34457","GSM34457")</f>
        <v>GSM34457</v>
      </c>
      <c r="I90" t="s">
        <v>17</v>
      </c>
      <c r="J90" t="s">
        <v>18</v>
      </c>
      <c r="K90" t="s">
        <v>33</v>
      </c>
      <c r="L90" t="s">
        <v>20</v>
      </c>
      <c r="N90" t="s">
        <v>29</v>
      </c>
    </row>
    <row r="91" spans="1:14">
      <c r="A91" s="4" t="str">
        <f t="shared" si="8"/>
        <v>EXP00003</v>
      </c>
      <c r="B91" s="4" t="str">
        <f t="shared" si="6"/>
        <v>22048815</v>
      </c>
      <c r="C91" s="4" t="str">
        <f t="shared" si="7"/>
        <v>GSE10893</v>
      </c>
      <c r="D91" s="1" t="s">
        <v>14</v>
      </c>
      <c r="E91" t="s">
        <v>30</v>
      </c>
      <c r="F91" s="1">
        <v>2</v>
      </c>
      <c r="G91" s="1" t="s">
        <v>32</v>
      </c>
      <c r="H91" s="4" t="str">
        <f>HYPERLINK("https://www.ncbi.nlm.nih.gov/geo/query/acc.cgi?acc=GSM34458","GSM34458")</f>
        <v>GSM34458</v>
      </c>
      <c r="I91" t="s">
        <v>17</v>
      </c>
      <c r="J91" t="s">
        <v>18</v>
      </c>
      <c r="K91" t="s">
        <v>33</v>
      </c>
      <c r="L91" t="s">
        <v>20</v>
      </c>
      <c r="N91" t="s">
        <v>29</v>
      </c>
    </row>
    <row r="92" spans="1:14">
      <c r="A92" s="4" t="str">
        <f t="shared" si="8"/>
        <v>EXP00003</v>
      </c>
      <c r="B92" s="4" t="str">
        <f t="shared" si="6"/>
        <v>22048815</v>
      </c>
      <c r="C92" s="4" t="str">
        <f t="shared" si="7"/>
        <v>GSE10893</v>
      </c>
      <c r="D92" s="1" t="s">
        <v>14</v>
      </c>
      <c r="E92" t="s">
        <v>30</v>
      </c>
      <c r="F92" s="1">
        <v>2</v>
      </c>
      <c r="G92" s="1" t="s">
        <v>32</v>
      </c>
      <c r="H92" s="4" t="str">
        <f>HYPERLINK("https://www.ncbi.nlm.nih.gov/geo/query/acc.cgi?acc=GSM34459","GSM34459")</f>
        <v>GSM34459</v>
      </c>
      <c r="I92" t="s">
        <v>17</v>
      </c>
      <c r="J92" t="s">
        <v>18</v>
      </c>
      <c r="K92" t="s">
        <v>33</v>
      </c>
      <c r="L92" t="s">
        <v>20</v>
      </c>
      <c r="N92" t="s">
        <v>29</v>
      </c>
    </row>
    <row r="93" spans="1:14">
      <c r="A93" s="4" t="str">
        <f t="shared" si="8"/>
        <v>EXP00003</v>
      </c>
      <c r="B93" s="4" t="str">
        <f t="shared" si="6"/>
        <v>22048815</v>
      </c>
      <c r="C93" s="4" t="str">
        <f t="shared" si="7"/>
        <v>GSE10893</v>
      </c>
      <c r="D93" s="1" t="s">
        <v>14</v>
      </c>
      <c r="E93" t="s">
        <v>30</v>
      </c>
      <c r="F93" s="1">
        <v>2</v>
      </c>
      <c r="G93" s="1" t="s">
        <v>32</v>
      </c>
      <c r="H93" s="4" t="str">
        <f>HYPERLINK("https://www.ncbi.nlm.nih.gov/geo/query/acc.cgi?acc=GSM34460","GSM34460")</f>
        <v>GSM34460</v>
      </c>
      <c r="I93" t="s">
        <v>17</v>
      </c>
      <c r="J93" t="s">
        <v>18</v>
      </c>
      <c r="K93" t="s">
        <v>33</v>
      </c>
      <c r="L93" t="s">
        <v>20</v>
      </c>
      <c r="N93" t="s">
        <v>29</v>
      </c>
    </row>
    <row r="94" spans="1:14">
      <c r="A94" s="4" t="str">
        <f t="shared" si="8"/>
        <v>EXP00003</v>
      </c>
      <c r="B94" s="4" t="str">
        <f t="shared" si="6"/>
        <v>22048815</v>
      </c>
      <c r="C94" s="4" t="str">
        <f t="shared" si="7"/>
        <v>GSE10893</v>
      </c>
      <c r="D94" s="1" t="s">
        <v>14</v>
      </c>
      <c r="E94" t="s">
        <v>30</v>
      </c>
      <c r="F94" s="1">
        <v>2</v>
      </c>
      <c r="G94" s="1" t="s">
        <v>32</v>
      </c>
      <c r="H94" s="4" t="str">
        <f>HYPERLINK("https://www.ncbi.nlm.nih.gov/geo/query/acc.cgi?acc=GSM34473","GSM34473")</f>
        <v>GSM34473</v>
      </c>
      <c r="I94" t="s">
        <v>17</v>
      </c>
      <c r="J94" t="s">
        <v>18</v>
      </c>
      <c r="K94" t="s">
        <v>19</v>
      </c>
      <c r="L94" t="s">
        <v>20</v>
      </c>
      <c r="M94" t="s">
        <v>34</v>
      </c>
      <c r="N94" t="s">
        <v>29</v>
      </c>
    </row>
    <row r="95" spans="1:14">
      <c r="A95" s="4" t="str">
        <f t="shared" si="8"/>
        <v>EXP00003</v>
      </c>
      <c r="B95" s="4" t="str">
        <f t="shared" si="6"/>
        <v>22048815</v>
      </c>
      <c r="C95" s="4" t="str">
        <f t="shared" si="7"/>
        <v>GSE10893</v>
      </c>
      <c r="D95" s="1" t="s">
        <v>14</v>
      </c>
      <c r="E95" t="s">
        <v>30</v>
      </c>
      <c r="F95" s="1">
        <v>2</v>
      </c>
      <c r="G95" s="1" t="s">
        <v>32</v>
      </c>
      <c r="H95" s="4" t="str">
        <f>HYPERLINK("https://www.ncbi.nlm.nih.gov/geo/query/acc.cgi?acc=GSM34474","GSM34474")</f>
        <v>GSM34474</v>
      </c>
      <c r="I95" t="s">
        <v>17</v>
      </c>
      <c r="J95" t="s">
        <v>18</v>
      </c>
      <c r="K95" t="s">
        <v>33</v>
      </c>
      <c r="L95" t="s">
        <v>20</v>
      </c>
      <c r="N95" t="s">
        <v>29</v>
      </c>
    </row>
    <row r="96" spans="1:14">
      <c r="A96" s="4" t="str">
        <f t="shared" si="8"/>
        <v>EXP00003</v>
      </c>
      <c r="B96" s="4" t="str">
        <f t="shared" si="6"/>
        <v>22048815</v>
      </c>
      <c r="C96" s="4" t="str">
        <f t="shared" si="7"/>
        <v>GSE10893</v>
      </c>
      <c r="D96" s="1" t="s">
        <v>14</v>
      </c>
      <c r="E96" t="s">
        <v>30</v>
      </c>
      <c r="F96" s="1">
        <v>2</v>
      </c>
      <c r="G96" s="1" t="s">
        <v>32</v>
      </c>
      <c r="H96" s="4" t="str">
        <f>HYPERLINK("https://www.ncbi.nlm.nih.gov/geo/query/acc.cgi?acc=GSM34475","GSM34475")</f>
        <v>GSM34475</v>
      </c>
      <c r="I96" t="s">
        <v>17</v>
      </c>
      <c r="J96" t="s">
        <v>18</v>
      </c>
      <c r="K96" t="s">
        <v>33</v>
      </c>
      <c r="L96" t="s">
        <v>20</v>
      </c>
      <c r="N96" t="s">
        <v>29</v>
      </c>
    </row>
    <row r="97" spans="1:14">
      <c r="A97" s="4" t="str">
        <f t="shared" si="8"/>
        <v>EXP00003</v>
      </c>
      <c r="B97" s="4" t="str">
        <f t="shared" si="6"/>
        <v>22048815</v>
      </c>
      <c r="C97" s="4" t="str">
        <f t="shared" si="7"/>
        <v>GSE10893</v>
      </c>
      <c r="D97" s="1" t="s">
        <v>14</v>
      </c>
      <c r="E97" t="s">
        <v>30</v>
      </c>
      <c r="F97" s="1">
        <v>2</v>
      </c>
      <c r="G97" s="1" t="s">
        <v>32</v>
      </c>
      <c r="H97" s="4" t="str">
        <f>HYPERLINK("https://www.ncbi.nlm.nih.gov/geo/query/acc.cgi?acc=GSM34479","GSM34479")</f>
        <v>GSM34479</v>
      </c>
      <c r="I97" t="s">
        <v>17</v>
      </c>
      <c r="J97" t="s">
        <v>18</v>
      </c>
      <c r="K97" t="s">
        <v>33</v>
      </c>
      <c r="L97" t="s">
        <v>20</v>
      </c>
      <c r="N97" t="s">
        <v>29</v>
      </c>
    </row>
    <row r="98" spans="1:14">
      <c r="A98" s="4" t="str">
        <f t="shared" si="8"/>
        <v>EXP00003</v>
      </c>
      <c r="B98" s="4" t="str">
        <f t="shared" si="6"/>
        <v>22048815</v>
      </c>
      <c r="C98" s="4" t="str">
        <f t="shared" si="7"/>
        <v>GSE10893</v>
      </c>
      <c r="D98" s="1" t="s">
        <v>14</v>
      </c>
      <c r="E98" t="s">
        <v>30</v>
      </c>
      <c r="F98" s="1">
        <v>2</v>
      </c>
      <c r="G98" s="1" t="s">
        <v>32</v>
      </c>
      <c r="H98" s="4" t="str">
        <f>HYPERLINK("https://www.ncbi.nlm.nih.gov/geo/query/acc.cgi?acc=GSM34480","GSM34480")</f>
        <v>GSM34480</v>
      </c>
      <c r="I98" t="s">
        <v>17</v>
      </c>
      <c r="J98" t="s">
        <v>18</v>
      </c>
      <c r="K98" t="s">
        <v>33</v>
      </c>
      <c r="L98" t="s">
        <v>20</v>
      </c>
      <c r="N98" t="s">
        <v>29</v>
      </c>
    </row>
    <row r="99" spans="1:14">
      <c r="A99" s="4" t="str">
        <f t="shared" si="8"/>
        <v>EXP00003</v>
      </c>
      <c r="B99" s="4" t="str">
        <f t="shared" si="6"/>
        <v>22048815</v>
      </c>
      <c r="C99" s="4" t="str">
        <f t="shared" si="7"/>
        <v>GSE10893</v>
      </c>
      <c r="D99" s="1" t="s">
        <v>14</v>
      </c>
      <c r="E99" t="s">
        <v>30</v>
      </c>
      <c r="F99" s="1">
        <v>2</v>
      </c>
      <c r="G99" s="1" t="s">
        <v>32</v>
      </c>
      <c r="H99" s="4" t="str">
        <f>HYPERLINK("https://www.ncbi.nlm.nih.gov/geo/query/acc.cgi?acc=GSM34481","GSM34481")</f>
        <v>GSM34481</v>
      </c>
      <c r="I99" t="s">
        <v>17</v>
      </c>
      <c r="J99" t="s">
        <v>18</v>
      </c>
      <c r="K99" t="s">
        <v>33</v>
      </c>
      <c r="L99" t="s">
        <v>20</v>
      </c>
      <c r="N99" t="s">
        <v>29</v>
      </c>
    </row>
    <row r="100" spans="1:14">
      <c r="A100" s="4" t="str">
        <f t="shared" si="8"/>
        <v>EXP00003</v>
      </c>
      <c r="B100" s="4" t="str">
        <f t="shared" si="6"/>
        <v>22048815</v>
      </c>
      <c r="C100" s="4" t="str">
        <f t="shared" si="7"/>
        <v>GSE10893</v>
      </c>
      <c r="D100" s="1" t="s">
        <v>14</v>
      </c>
      <c r="E100" t="s">
        <v>30</v>
      </c>
      <c r="F100" s="1">
        <v>2</v>
      </c>
      <c r="G100" s="1" t="s">
        <v>32</v>
      </c>
      <c r="H100" s="4" t="str">
        <f>HYPERLINK("https://www.ncbi.nlm.nih.gov/geo/query/acc.cgi?acc=GSM34486","GSM34486")</f>
        <v>GSM34486</v>
      </c>
      <c r="I100" t="s">
        <v>17</v>
      </c>
      <c r="J100" t="s">
        <v>18</v>
      </c>
      <c r="K100" t="s">
        <v>33</v>
      </c>
      <c r="L100" t="s">
        <v>20</v>
      </c>
      <c r="N100" t="s">
        <v>29</v>
      </c>
    </row>
    <row r="101" spans="1:14">
      <c r="A101" s="4" t="str">
        <f t="shared" si="8"/>
        <v>EXP00003</v>
      </c>
      <c r="B101" s="4" t="str">
        <f t="shared" si="6"/>
        <v>22048815</v>
      </c>
      <c r="C101" s="4" t="str">
        <f t="shared" si="7"/>
        <v>GSE10893</v>
      </c>
      <c r="D101" s="1" t="s">
        <v>14</v>
      </c>
      <c r="E101" t="s">
        <v>30</v>
      </c>
      <c r="F101" s="1">
        <v>2</v>
      </c>
      <c r="G101" s="1" t="s">
        <v>32</v>
      </c>
      <c r="H101" s="4" t="str">
        <f>HYPERLINK("https://www.ncbi.nlm.nih.gov/geo/query/acc.cgi?acc=GSM34488","GSM34488")</f>
        <v>GSM34488</v>
      </c>
      <c r="I101" t="s">
        <v>17</v>
      </c>
      <c r="J101" t="s">
        <v>18</v>
      </c>
      <c r="K101" t="s">
        <v>33</v>
      </c>
      <c r="L101" t="s">
        <v>20</v>
      </c>
      <c r="N101" t="s">
        <v>29</v>
      </c>
    </row>
    <row r="102" spans="1:14">
      <c r="A102" s="4" t="str">
        <f t="shared" si="8"/>
        <v>EXP00003</v>
      </c>
      <c r="B102" s="4" t="str">
        <f t="shared" si="6"/>
        <v>22048815</v>
      </c>
      <c r="C102" s="4" t="str">
        <f t="shared" si="7"/>
        <v>GSE10893</v>
      </c>
      <c r="D102" s="1" t="s">
        <v>14</v>
      </c>
      <c r="E102" t="s">
        <v>30</v>
      </c>
      <c r="F102" s="1">
        <v>2</v>
      </c>
      <c r="G102" s="1" t="s">
        <v>32</v>
      </c>
      <c r="H102" s="4" t="str">
        <f>HYPERLINK("https://www.ncbi.nlm.nih.gov/geo/query/acc.cgi?acc=GSM34494","GSM34494")</f>
        <v>GSM34494</v>
      </c>
      <c r="I102" t="s">
        <v>17</v>
      </c>
      <c r="J102" t="s">
        <v>18</v>
      </c>
      <c r="K102" t="s">
        <v>33</v>
      </c>
      <c r="L102" t="s">
        <v>20</v>
      </c>
      <c r="N102" t="s">
        <v>29</v>
      </c>
    </row>
    <row r="103" spans="1:14">
      <c r="A103" s="4" t="str">
        <f t="shared" si="8"/>
        <v>EXP00003</v>
      </c>
      <c r="B103" s="4" t="str">
        <f t="shared" si="6"/>
        <v>22048815</v>
      </c>
      <c r="C103" s="4" t="str">
        <f t="shared" si="7"/>
        <v>GSE10893</v>
      </c>
      <c r="D103" s="1" t="s">
        <v>14</v>
      </c>
      <c r="E103" t="s">
        <v>30</v>
      </c>
      <c r="F103" s="1">
        <v>2</v>
      </c>
      <c r="G103" s="1" t="s">
        <v>32</v>
      </c>
      <c r="H103" s="4" t="str">
        <f>HYPERLINK("https://www.ncbi.nlm.nih.gov/geo/query/acc.cgi?acc=GSM34495","GSM34495")</f>
        <v>GSM34495</v>
      </c>
      <c r="I103" t="s">
        <v>17</v>
      </c>
      <c r="J103" t="s">
        <v>18</v>
      </c>
      <c r="K103" t="s">
        <v>33</v>
      </c>
      <c r="L103" t="s">
        <v>20</v>
      </c>
      <c r="N103" t="s">
        <v>29</v>
      </c>
    </row>
    <row r="104" spans="1:14">
      <c r="A104" s="4" t="str">
        <f t="shared" si="8"/>
        <v>EXP00003</v>
      </c>
      <c r="B104" s="4" t="str">
        <f t="shared" si="6"/>
        <v>22048815</v>
      </c>
      <c r="C104" s="4" t="str">
        <f t="shared" si="7"/>
        <v>GSE10893</v>
      </c>
      <c r="D104" s="1" t="s">
        <v>14</v>
      </c>
      <c r="E104" t="s">
        <v>30</v>
      </c>
      <c r="F104" s="1">
        <v>2</v>
      </c>
      <c r="G104" s="1" t="s">
        <v>32</v>
      </c>
      <c r="H104" s="4" t="str">
        <f>HYPERLINK("https://www.ncbi.nlm.nih.gov/geo/query/acc.cgi?acc=GSM34496","GSM34496")</f>
        <v>GSM34496</v>
      </c>
      <c r="I104" t="s">
        <v>17</v>
      </c>
      <c r="J104" t="s">
        <v>18</v>
      </c>
      <c r="K104" t="s">
        <v>33</v>
      </c>
      <c r="L104" t="s">
        <v>20</v>
      </c>
      <c r="N104" t="s">
        <v>29</v>
      </c>
    </row>
    <row r="105" spans="1:14">
      <c r="A105" s="4" t="str">
        <f t="shared" si="8"/>
        <v>EXP00003</v>
      </c>
      <c r="B105" s="4" t="str">
        <f t="shared" si="6"/>
        <v>22048815</v>
      </c>
      <c r="C105" s="4" t="str">
        <f t="shared" si="7"/>
        <v>GSE10893</v>
      </c>
      <c r="D105" s="1" t="s">
        <v>14</v>
      </c>
      <c r="E105" t="s">
        <v>30</v>
      </c>
      <c r="F105" s="1">
        <v>2</v>
      </c>
      <c r="G105" s="1" t="s">
        <v>32</v>
      </c>
      <c r="H105" s="4" t="str">
        <f>HYPERLINK("https://www.ncbi.nlm.nih.gov/geo/query/acc.cgi?acc=GSM34497","GSM34497")</f>
        <v>GSM34497</v>
      </c>
      <c r="I105" t="s">
        <v>17</v>
      </c>
      <c r="J105" t="s">
        <v>18</v>
      </c>
      <c r="K105" t="s">
        <v>33</v>
      </c>
      <c r="L105" t="s">
        <v>20</v>
      </c>
      <c r="N105" t="s">
        <v>29</v>
      </c>
    </row>
    <row r="106" spans="1:14">
      <c r="A106" s="4" t="str">
        <f t="shared" si="8"/>
        <v>EXP00003</v>
      </c>
      <c r="B106" s="4" t="str">
        <f t="shared" si="6"/>
        <v>22048815</v>
      </c>
      <c r="C106" s="4" t="str">
        <f t="shared" si="7"/>
        <v>GSE10893</v>
      </c>
      <c r="D106" s="1" t="s">
        <v>14</v>
      </c>
      <c r="E106" t="s">
        <v>30</v>
      </c>
      <c r="F106" s="1">
        <v>2</v>
      </c>
      <c r="G106" s="1" t="s">
        <v>32</v>
      </c>
      <c r="H106" s="4" t="str">
        <f>HYPERLINK("https://www.ncbi.nlm.nih.gov/geo/query/acc.cgi?acc=GSM34534","GSM34534")</f>
        <v>GSM34534</v>
      </c>
      <c r="I106" t="s">
        <v>17</v>
      </c>
      <c r="J106" t="s">
        <v>18</v>
      </c>
      <c r="K106" t="s">
        <v>33</v>
      </c>
      <c r="L106" t="s">
        <v>20</v>
      </c>
      <c r="N106" t="s">
        <v>29</v>
      </c>
    </row>
    <row r="107" spans="1:14">
      <c r="A107" s="4" t="str">
        <f t="shared" si="8"/>
        <v>EXP00003</v>
      </c>
      <c r="B107" s="4" t="str">
        <f t="shared" si="6"/>
        <v>22048815</v>
      </c>
      <c r="C107" s="4" t="str">
        <f t="shared" si="7"/>
        <v>GSE10893</v>
      </c>
      <c r="D107" s="1" t="s">
        <v>14</v>
      </c>
      <c r="E107" t="s">
        <v>30</v>
      </c>
      <c r="F107" s="1">
        <v>2</v>
      </c>
      <c r="G107" s="1" t="s">
        <v>32</v>
      </c>
      <c r="H107" s="4" t="str">
        <f>HYPERLINK("https://www.ncbi.nlm.nih.gov/geo/query/acc.cgi?acc=GSM34535","GSM34535")</f>
        <v>GSM34535</v>
      </c>
      <c r="I107" t="s">
        <v>17</v>
      </c>
      <c r="J107" t="s">
        <v>18</v>
      </c>
      <c r="K107" t="s">
        <v>33</v>
      </c>
      <c r="L107" t="s">
        <v>20</v>
      </c>
      <c r="N107" t="s">
        <v>29</v>
      </c>
    </row>
    <row r="108" spans="1:14">
      <c r="A108" s="4" t="str">
        <f t="shared" si="8"/>
        <v>EXP00003</v>
      </c>
      <c r="B108" s="4" t="str">
        <f t="shared" si="6"/>
        <v>22048815</v>
      </c>
      <c r="C108" s="4" t="str">
        <f t="shared" si="7"/>
        <v>GSE10893</v>
      </c>
      <c r="D108" s="1" t="s">
        <v>14</v>
      </c>
      <c r="E108" t="s">
        <v>30</v>
      </c>
      <c r="F108" s="1">
        <v>2</v>
      </c>
      <c r="G108" s="1" t="s">
        <v>32</v>
      </c>
      <c r="H108" s="4" t="str">
        <f>HYPERLINK("https://www.ncbi.nlm.nih.gov/geo/query/acc.cgi?acc=GSM34536","GSM34536")</f>
        <v>GSM34536</v>
      </c>
      <c r="I108" t="s">
        <v>17</v>
      </c>
      <c r="J108" t="s">
        <v>18</v>
      </c>
      <c r="K108" t="s">
        <v>33</v>
      </c>
      <c r="L108" t="s">
        <v>20</v>
      </c>
      <c r="N108" t="s">
        <v>29</v>
      </c>
    </row>
    <row r="109" spans="1:14">
      <c r="A109" s="4" t="str">
        <f t="shared" si="8"/>
        <v>EXP00003</v>
      </c>
      <c r="B109" s="4" t="str">
        <f t="shared" si="6"/>
        <v>22048815</v>
      </c>
      <c r="C109" s="4" t="str">
        <f t="shared" si="7"/>
        <v>GSE10893</v>
      </c>
      <c r="D109" s="1" t="s">
        <v>14</v>
      </c>
      <c r="E109" t="s">
        <v>30</v>
      </c>
      <c r="F109" s="1">
        <v>2</v>
      </c>
      <c r="G109" s="1" t="s">
        <v>32</v>
      </c>
      <c r="H109" s="4" t="str">
        <f>HYPERLINK("https://www.ncbi.nlm.nih.gov/geo/query/acc.cgi?acc=GSM34537","GSM34537")</f>
        <v>GSM34537</v>
      </c>
      <c r="I109" t="s">
        <v>17</v>
      </c>
      <c r="J109" t="s">
        <v>18</v>
      </c>
      <c r="K109" t="s">
        <v>33</v>
      </c>
      <c r="L109" t="s">
        <v>20</v>
      </c>
      <c r="N109" t="s">
        <v>29</v>
      </c>
    </row>
    <row r="110" spans="1:14">
      <c r="A110" s="4" t="str">
        <f t="shared" si="8"/>
        <v>EXP00003</v>
      </c>
      <c r="B110" s="4" t="str">
        <f t="shared" si="6"/>
        <v>22048815</v>
      </c>
      <c r="C110" s="4" t="str">
        <f t="shared" si="7"/>
        <v>GSE10893</v>
      </c>
      <c r="D110" s="1" t="s">
        <v>14</v>
      </c>
      <c r="E110" t="s">
        <v>30</v>
      </c>
      <c r="F110" s="1">
        <v>2</v>
      </c>
      <c r="G110" s="1" t="s">
        <v>32</v>
      </c>
      <c r="H110" s="4" t="str">
        <f>HYPERLINK("https://www.ncbi.nlm.nih.gov/geo/query/acc.cgi?acc=GSM34538","GSM34538")</f>
        <v>GSM34538</v>
      </c>
      <c r="I110" t="s">
        <v>17</v>
      </c>
      <c r="J110" t="s">
        <v>18</v>
      </c>
      <c r="K110" t="s">
        <v>33</v>
      </c>
      <c r="L110" t="s">
        <v>20</v>
      </c>
      <c r="N110" t="s">
        <v>29</v>
      </c>
    </row>
    <row r="111" spans="1:14">
      <c r="A111" s="4" t="str">
        <f t="shared" si="8"/>
        <v>EXP00003</v>
      </c>
      <c r="B111" s="4" t="str">
        <f t="shared" si="6"/>
        <v>22048815</v>
      </c>
      <c r="C111" s="4" t="str">
        <f t="shared" si="7"/>
        <v>GSE10893</v>
      </c>
      <c r="D111" s="1" t="s">
        <v>14</v>
      </c>
      <c r="E111" t="s">
        <v>30</v>
      </c>
      <c r="F111" s="1">
        <v>2</v>
      </c>
      <c r="G111" s="1" t="s">
        <v>32</v>
      </c>
      <c r="H111" s="4" t="str">
        <f>HYPERLINK("https://www.ncbi.nlm.nih.gov/geo/query/acc.cgi?acc=GSM34539","GSM34539")</f>
        <v>GSM34539</v>
      </c>
      <c r="I111" t="s">
        <v>17</v>
      </c>
      <c r="J111" t="s">
        <v>18</v>
      </c>
      <c r="K111" t="s">
        <v>33</v>
      </c>
      <c r="L111" t="s">
        <v>20</v>
      </c>
      <c r="N111" t="s">
        <v>29</v>
      </c>
    </row>
    <row r="112" spans="1:14">
      <c r="A112" s="4" t="str">
        <f t="shared" si="8"/>
        <v>EXP00003</v>
      </c>
      <c r="B112" s="4" t="str">
        <f t="shared" si="6"/>
        <v>22048815</v>
      </c>
      <c r="C112" s="4" t="str">
        <f t="shared" si="7"/>
        <v>GSE10893</v>
      </c>
      <c r="D112" s="1" t="s">
        <v>14</v>
      </c>
      <c r="E112" t="s">
        <v>30</v>
      </c>
      <c r="F112" s="1">
        <v>2</v>
      </c>
      <c r="G112" s="1" t="s">
        <v>32</v>
      </c>
      <c r="H112" s="4" t="str">
        <f>HYPERLINK("https://www.ncbi.nlm.nih.gov/geo/query/acc.cgi?acc=GSM34540","GSM34540")</f>
        <v>GSM34540</v>
      </c>
      <c r="I112" t="s">
        <v>17</v>
      </c>
      <c r="J112" t="s">
        <v>18</v>
      </c>
      <c r="K112" t="s">
        <v>33</v>
      </c>
      <c r="L112" t="s">
        <v>20</v>
      </c>
      <c r="N112" t="s">
        <v>29</v>
      </c>
    </row>
    <row r="113" spans="1:14">
      <c r="A113" s="4" t="str">
        <f t="shared" si="8"/>
        <v>EXP00003</v>
      </c>
      <c r="B113" s="4" t="str">
        <f t="shared" si="6"/>
        <v>22048815</v>
      </c>
      <c r="C113" s="4" t="str">
        <f t="shared" si="7"/>
        <v>GSE10893</v>
      </c>
      <c r="D113" s="1" t="s">
        <v>14</v>
      </c>
      <c r="E113" t="s">
        <v>30</v>
      </c>
      <c r="F113" s="1">
        <v>2</v>
      </c>
      <c r="G113" s="1" t="s">
        <v>32</v>
      </c>
      <c r="H113" s="4" t="str">
        <f>HYPERLINK("https://www.ncbi.nlm.nih.gov/geo/query/acc.cgi?acc=GSM34541","GSM34541")</f>
        <v>GSM34541</v>
      </c>
      <c r="I113" t="s">
        <v>17</v>
      </c>
      <c r="J113" t="s">
        <v>18</v>
      </c>
      <c r="K113" t="s">
        <v>33</v>
      </c>
      <c r="L113" t="s">
        <v>20</v>
      </c>
      <c r="N113" t="s">
        <v>29</v>
      </c>
    </row>
    <row r="114" spans="1:14">
      <c r="A114" s="4" t="str">
        <f t="shared" si="8"/>
        <v>EXP00003</v>
      </c>
      <c r="B114" s="4" t="str">
        <f t="shared" si="6"/>
        <v>22048815</v>
      </c>
      <c r="C114" s="4" t="str">
        <f t="shared" si="7"/>
        <v>GSE10893</v>
      </c>
      <c r="D114" s="1" t="s">
        <v>14</v>
      </c>
      <c r="E114" t="s">
        <v>30</v>
      </c>
      <c r="F114" s="1">
        <v>2</v>
      </c>
      <c r="G114" s="1" t="s">
        <v>32</v>
      </c>
      <c r="H114" s="4" t="str">
        <f>HYPERLINK("https://www.ncbi.nlm.nih.gov/geo/query/acc.cgi?acc=GSM34542","GSM34542")</f>
        <v>GSM34542</v>
      </c>
      <c r="I114" t="s">
        <v>17</v>
      </c>
      <c r="J114" t="s">
        <v>18</v>
      </c>
      <c r="K114" t="s">
        <v>33</v>
      </c>
      <c r="L114" t="s">
        <v>20</v>
      </c>
      <c r="N114" t="s">
        <v>29</v>
      </c>
    </row>
    <row r="115" spans="1:14">
      <c r="A115" s="4" t="str">
        <f t="shared" ref="A115:A146" si="9">HYPERLINK("http://hcmdb.i-sanger.com/experiment/details/experiment_id/EXP00003","EXP00003")</f>
        <v>EXP00003</v>
      </c>
      <c r="B115" s="4" t="str">
        <f t="shared" si="6"/>
        <v>22048815</v>
      </c>
      <c r="C115" s="4" t="str">
        <f t="shared" si="7"/>
        <v>GSE10893</v>
      </c>
      <c r="D115" s="1" t="s">
        <v>14</v>
      </c>
      <c r="E115" t="s">
        <v>30</v>
      </c>
      <c r="F115" s="1">
        <v>2</v>
      </c>
      <c r="G115" s="1" t="s">
        <v>32</v>
      </c>
      <c r="H115" s="4" t="str">
        <f>HYPERLINK("https://www.ncbi.nlm.nih.gov/geo/query/acc.cgi?acc=GSM34544","GSM34544")</f>
        <v>GSM34544</v>
      </c>
      <c r="I115" t="s">
        <v>17</v>
      </c>
      <c r="J115" t="s">
        <v>18</v>
      </c>
      <c r="K115" t="s">
        <v>33</v>
      </c>
      <c r="L115" t="s">
        <v>20</v>
      </c>
      <c r="N115" t="s">
        <v>29</v>
      </c>
    </row>
    <row r="116" spans="1:14">
      <c r="A116" s="4" t="str">
        <f t="shared" si="9"/>
        <v>EXP00003</v>
      </c>
      <c r="B116" s="4" t="str">
        <f t="shared" si="6"/>
        <v>22048815</v>
      </c>
      <c r="C116" s="4" t="str">
        <f t="shared" si="7"/>
        <v>GSE10893</v>
      </c>
      <c r="D116" s="1" t="s">
        <v>14</v>
      </c>
      <c r="E116" t="s">
        <v>30</v>
      </c>
      <c r="F116" s="1">
        <v>2</v>
      </c>
      <c r="G116" s="1" t="s">
        <v>32</v>
      </c>
      <c r="H116" s="4" t="str">
        <f>HYPERLINK("https://www.ncbi.nlm.nih.gov/geo/query/acc.cgi?acc=GSM34545","GSM34545")</f>
        <v>GSM34545</v>
      </c>
      <c r="I116" t="s">
        <v>17</v>
      </c>
      <c r="J116" t="s">
        <v>18</v>
      </c>
      <c r="K116" t="s">
        <v>33</v>
      </c>
      <c r="L116" t="s">
        <v>20</v>
      </c>
      <c r="N116" t="s">
        <v>29</v>
      </c>
    </row>
    <row r="117" spans="1:14">
      <c r="A117" s="4" t="str">
        <f t="shared" si="9"/>
        <v>EXP00003</v>
      </c>
      <c r="B117" s="4" t="str">
        <f t="shared" si="6"/>
        <v>22048815</v>
      </c>
      <c r="C117" s="4" t="str">
        <f t="shared" si="7"/>
        <v>GSE10893</v>
      </c>
      <c r="D117" s="1" t="s">
        <v>14</v>
      </c>
      <c r="E117" t="s">
        <v>30</v>
      </c>
      <c r="F117" s="1">
        <v>2</v>
      </c>
      <c r="G117" s="1" t="s">
        <v>32</v>
      </c>
      <c r="H117" s="4" t="str">
        <f>HYPERLINK("https://www.ncbi.nlm.nih.gov/geo/query/acc.cgi?acc=GSM34546","GSM34546")</f>
        <v>GSM34546</v>
      </c>
      <c r="I117" t="s">
        <v>17</v>
      </c>
      <c r="J117" t="s">
        <v>18</v>
      </c>
      <c r="K117" t="s">
        <v>33</v>
      </c>
      <c r="L117" t="s">
        <v>20</v>
      </c>
      <c r="N117" t="s">
        <v>29</v>
      </c>
    </row>
    <row r="118" spans="1:14">
      <c r="A118" s="4" t="str">
        <f t="shared" si="9"/>
        <v>EXP00003</v>
      </c>
      <c r="B118" s="4" t="str">
        <f t="shared" si="6"/>
        <v>22048815</v>
      </c>
      <c r="C118" s="4" t="str">
        <f t="shared" si="7"/>
        <v>GSE10893</v>
      </c>
      <c r="D118" s="1" t="s">
        <v>14</v>
      </c>
      <c r="E118" t="s">
        <v>30</v>
      </c>
      <c r="F118" s="1">
        <v>2</v>
      </c>
      <c r="G118" s="1" t="s">
        <v>32</v>
      </c>
      <c r="H118" s="4" t="str">
        <f>HYPERLINK("https://www.ncbi.nlm.nih.gov/geo/query/acc.cgi?acc=GSM34548","GSM34548")</f>
        <v>GSM34548</v>
      </c>
      <c r="I118" t="s">
        <v>17</v>
      </c>
      <c r="J118" t="s">
        <v>18</v>
      </c>
      <c r="K118" t="s">
        <v>33</v>
      </c>
      <c r="L118" t="s">
        <v>20</v>
      </c>
      <c r="N118" t="s">
        <v>29</v>
      </c>
    </row>
    <row r="119" spans="1:14">
      <c r="A119" s="4" t="str">
        <f t="shared" si="9"/>
        <v>EXP00003</v>
      </c>
      <c r="B119" s="4" t="str">
        <f t="shared" si="6"/>
        <v>22048815</v>
      </c>
      <c r="C119" s="4" t="str">
        <f t="shared" si="7"/>
        <v>GSE10893</v>
      </c>
      <c r="D119" s="1" t="s">
        <v>14</v>
      </c>
      <c r="E119" t="s">
        <v>30</v>
      </c>
      <c r="F119" s="1">
        <v>2</v>
      </c>
      <c r="G119" s="1" t="s">
        <v>32</v>
      </c>
      <c r="H119" s="4" t="str">
        <f>HYPERLINK("https://www.ncbi.nlm.nih.gov/geo/query/acc.cgi?acc=GSM34549","GSM34549")</f>
        <v>GSM34549</v>
      </c>
      <c r="I119" t="s">
        <v>17</v>
      </c>
      <c r="J119" t="s">
        <v>18</v>
      </c>
      <c r="K119" t="s">
        <v>33</v>
      </c>
      <c r="L119" t="s">
        <v>20</v>
      </c>
      <c r="N119" t="s">
        <v>29</v>
      </c>
    </row>
    <row r="120" spans="1:14">
      <c r="A120" s="4" t="str">
        <f t="shared" si="9"/>
        <v>EXP00003</v>
      </c>
      <c r="B120" s="4" t="str">
        <f t="shared" si="6"/>
        <v>22048815</v>
      </c>
      <c r="C120" s="4" t="str">
        <f t="shared" si="7"/>
        <v>GSE10893</v>
      </c>
      <c r="D120" s="1" t="s">
        <v>14</v>
      </c>
      <c r="E120" t="s">
        <v>30</v>
      </c>
      <c r="F120" s="1">
        <v>2</v>
      </c>
      <c r="G120" s="1" t="s">
        <v>32</v>
      </c>
      <c r="H120" s="4" t="str">
        <f>HYPERLINK("https://www.ncbi.nlm.nih.gov/geo/query/acc.cgi?acc=GSM34550","GSM34550")</f>
        <v>GSM34550</v>
      </c>
      <c r="I120" t="s">
        <v>17</v>
      </c>
      <c r="J120" t="s">
        <v>18</v>
      </c>
      <c r="K120" t="s">
        <v>33</v>
      </c>
      <c r="L120" t="s">
        <v>20</v>
      </c>
      <c r="N120" t="s">
        <v>29</v>
      </c>
    </row>
    <row r="121" spans="1:14">
      <c r="A121" s="4" t="str">
        <f t="shared" si="9"/>
        <v>EXP00003</v>
      </c>
      <c r="B121" s="4" t="str">
        <f t="shared" si="6"/>
        <v>22048815</v>
      </c>
      <c r="C121" s="4" t="str">
        <f t="shared" si="7"/>
        <v>GSE10893</v>
      </c>
      <c r="D121" s="1" t="s">
        <v>14</v>
      </c>
      <c r="E121" t="s">
        <v>30</v>
      </c>
      <c r="F121" s="1">
        <v>2</v>
      </c>
      <c r="G121" s="1" t="s">
        <v>32</v>
      </c>
      <c r="H121" s="4" t="str">
        <f>HYPERLINK("https://www.ncbi.nlm.nih.gov/geo/query/acc.cgi?acc=GSM34553","GSM34553")</f>
        <v>GSM34553</v>
      </c>
      <c r="I121" t="s">
        <v>17</v>
      </c>
      <c r="J121" t="s">
        <v>18</v>
      </c>
      <c r="K121" t="s">
        <v>33</v>
      </c>
      <c r="L121" t="s">
        <v>20</v>
      </c>
      <c r="N121" t="s">
        <v>29</v>
      </c>
    </row>
    <row r="122" spans="1:14">
      <c r="A122" s="4" t="str">
        <f t="shared" si="9"/>
        <v>EXP00003</v>
      </c>
      <c r="B122" s="4" t="str">
        <f t="shared" si="6"/>
        <v>22048815</v>
      </c>
      <c r="C122" s="4" t="str">
        <f t="shared" si="7"/>
        <v>GSE10893</v>
      </c>
      <c r="D122" s="1" t="s">
        <v>14</v>
      </c>
      <c r="E122" t="s">
        <v>30</v>
      </c>
      <c r="F122" s="1">
        <v>2</v>
      </c>
      <c r="G122" s="1" t="s">
        <v>32</v>
      </c>
      <c r="H122" s="4" t="str">
        <f>HYPERLINK("https://www.ncbi.nlm.nih.gov/geo/query/acc.cgi?acc=GSM34554","GSM34554")</f>
        <v>GSM34554</v>
      </c>
      <c r="I122" t="s">
        <v>17</v>
      </c>
      <c r="J122" t="s">
        <v>18</v>
      </c>
      <c r="K122" t="s">
        <v>33</v>
      </c>
      <c r="L122" t="s">
        <v>20</v>
      </c>
      <c r="N122" t="s">
        <v>29</v>
      </c>
    </row>
    <row r="123" spans="1:14">
      <c r="A123" s="4" t="str">
        <f t="shared" si="9"/>
        <v>EXP00003</v>
      </c>
      <c r="B123" s="4" t="str">
        <f t="shared" si="6"/>
        <v>22048815</v>
      </c>
      <c r="C123" s="4" t="str">
        <f t="shared" si="7"/>
        <v>GSE10893</v>
      </c>
      <c r="D123" s="1" t="s">
        <v>14</v>
      </c>
      <c r="E123" t="s">
        <v>30</v>
      </c>
      <c r="F123" s="1">
        <v>2</v>
      </c>
      <c r="G123" s="1" t="s">
        <v>32</v>
      </c>
      <c r="H123" s="4" t="str">
        <f>HYPERLINK("https://www.ncbi.nlm.nih.gov/geo/query/acc.cgi?acc=GSM34558","GSM34558")</f>
        <v>GSM34558</v>
      </c>
      <c r="I123" t="s">
        <v>17</v>
      </c>
      <c r="J123" t="s">
        <v>18</v>
      </c>
      <c r="K123" t="s">
        <v>33</v>
      </c>
      <c r="L123" t="s">
        <v>20</v>
      </c>
      <c r="N123" t="s">
        <v>29</v>
      </c>
    </row>
    <row r="124" spans="1:14">
      <c r="A124" s="4" t="str">
        <f t="shared" si="9"/>
        <v>EXP00003</v>
      </c>
      <c r="B124" s="4" t="str">
        <f t="shared" si="6"/>
        <v>22048815</v>
      </c>
      <c r="C124" s="4" t="str">
        <f t="shared" si="7"/>
        <v>GSE10893</v>
      </c>
      <c r="D124" s="1" t="s">
        <v>14</v>
      </c>
      <c r="E124" t="s">
        <v>30</v>
      </c>
      <c r="F124" s="1">
        <v>2</v>
      </c>
      <c r="G124" s="1" t="s">
        <v>32</v>
      </c>
      <c r="H124" s="4" t="str">
        <f>HYPERLINK("https://www.ncbi.nlm.nih.gov/geo/query/acc.cgi?acc=GSM34559","GSM34559")</f>
        <v>GSM34559</v>
      </c>
      <c r="I124" t="s">
        <v>17</v>
      </c>
      <c r="J124" t="s">
        <v>18</v>
      </c>
      <c r="K124" t="s">
        <v>33</v>
      </c>
      <c r="L124" t="s">
        <v>20</v>
      </c>
      <c r="N124" t="s">
        <v>29</v>
      </c>
    </row>
    <row r="125" spans="1:14">
      <c r="A125" s="4" t="str">
        <f t="shared" si="9"/>
        <v>EXP00003</v>
      </c>
      <c r="B125" s="4" t="str">
        <f t="shared" si="6"/>
        <v>22048815</v>
      </c>
      <c r="C125" s="4" t="str">
        <f t="shared" si="7"/>
        <v>GSE10893</v>
      </c>
      <c r="D125" s="1" t="s">
        <v>14</v>
      </c>
      <c r="E125" t="s">
        <v>30</v>
      </c>
      <c r="F125" s="1">
        <v>2</v>
      </c>
      <c r="G125" s="1" t="s">
        <v>32</v>
      </c>
      <c r="H125" s="4" t="str">
        <f>HYPERLINK("https://www.ncbi.nlm.nih.gov/geo/query/acc.cgi?acc=GSM34560","GSM34560")</f>
        <v>GSM34560</v>
      </c>
      <c r="I125" t="s">
        <v>17</v>
      </c>
      <c r="J125" t="s">
        <v>18</v>
      </c>
      <c r="K125" t="s">
        <v>33</v>
      </c>
      <c r="L125" t="s">
        <v>20</v>
      </c>
      <c r="N125" t="s">
        <v>29</v>
      </c>
    </row>
    <row r="126" spans="1:14">
      <c r="A126" s="4" t="str">
        <f t="shared" si="9"/>
        <v>EXP00003</v>
      </c>
      <c r="B126" s="4" t="str">
        <f t="shared" si="6"/>
        <v>22048815</v>
      </c>
      <c r="C126" s="4" t="str">
        <f t="shared" si="7"/>
        <v>GSE10893</v>
      </c>
      <c r="D126" s="1" t="s">
        <v>14</v>
      </c>
      <c r="E126" t="s">
        <v>30</v>
      </c>
      <c r="F126" s="1">
        <v>2</v>
      </c>
      <c r="G126" s="1" t="s">
        <v>32</v>
      </c>
      <c r="H126" s="4" t="str">
        <f>HYPERLINK("https://www.ncbi.nlm.nih.gov/geo/query/acc.cgi?acc=GSM34561","GSM34561")</f>
        <v>GSM34561</v>
      </c>
      <c r="I126" t="s">
        <v>17</v>
      </c>
      <c r="J126" t="s">
        <v>18</v>
      </c>
      <c r="K126" t="s">
        <v>33</v>
      </c>
      <c r="L126" t="s">
        <v>20</v>
      </c>
      <c r="N126" t="s">
        <v>29</v>
      </c>
    </row>
    <row r="127" spans="1:14">
      <c r="A127" s="4" t="str">
        <f t="shared" si="9"/>
        <v>EXP00003</v>
      </c>
      <c r="B127" s="4" t="str">
        <f t="shared" si="6"/>
        <v>22048815</v>
      </c>
      <c r="C127" s="4" t="str">
        <f t="shared" si="7"/>
        <v>GSE10893</v>
      </c>
      <c r="D127" s="1" t="s">
        <v>14</v>
      </c>
      <c r="E127" t="s">
        <v>30</v>
      </c>
      <c r="F127" s="1">
        <v>2</v>
      </c>
      <c r="G127" s="1" t="s">
        <v>32</v>
      </c>
      <c r="H127" s="4" t="str">
        <f>HYPERLINK("https://www.ncbi.nlm.nih.gov/geo/query/acc.cgi?acc=GSM34562","GSM34562")</f>
        <v>GSM34562</v>
      </c>
      <c r="I127" t="s">
        <v>17</v>
      </c>
      <c r="J127" t="s">
        <v>18</v>
      </c>
      <c r="K127" t="s">
        <v>33</v>
      </c>
      <c r="L127" t="s">
        <v>20</v>
      </c>
      <c r="N127" t="s">
        <v>29</v>
      </c>
    </row>
    <row r="128" spans="1:14">
      <c r="A128" s="4" t="str">
        <f t="shared" si="9"/>
        <v>EXP00003</v>
      </c>
      <c r="B128" s="4" t="str">
        <f t="shared" si="6"/>
        <v>22048815</v>
      </c>
      <c r="C128" s="4" t="str">
        <f t="shared" si="7"/>
        <v>GSE10893</v>
      </c>
      <c r="D128" s="1" t="s">
        <v>14</v>
      </c>
      <c r="E128" t="s">
        <v>30</v>
      </c>
      <c r="F128" s="1">
        <v>2</v>
      </c>
      <c r="G128" s="1" t="s">
        <v>32</v>
      </c>
      <c r="H128" s="4" t="str">
        <f>HYPERLINK("https://www.ncbi.nlm.nih.gov/geo/query/acc.cgi?acc=GSM34563","GSM34563")</f>
        <v>GSM34563</v>
      </c>
      <c r="I128" t="s">
        <v>17</v>
      </c>
      <c r="J128" t="s">
        <v>18</v>
      </c>
      <c r="K128" t="s">
        <v>33</v>
      </c>
      <c r="L128" t="s">
        <v>20</v>
      </c>
      <c r="N128" t="s">
        <v>29</v>
      </c>
    </row>
    <row r="129" spans="1:14">
      <c r="A129" s="4" t="str">
        <f t="shared" si="9"/>
        <v>EXP00003</v>
      </c>
      <c r="B129" s="4" t="str">
        <f t="shared" si="6"/>
        <v>22048815</v>
      </c>
      <c r="C129" s="4" t="str">
        <f t="shared" si="7"/>
        <v>GSE10893</v>
      </c>
      <c r="D129" s="1" t="s">
        <v>14</v>
      </c>
      <c r="E129" t="s">
        <v>30</v>
      </c>
      <c r="F129" s="1">
        <v>2</v>
      </c>
      <c r="G129" s="1" t="s">
        <v>32</v>
      </c>
      <c r="H129" s="4" t="str">
        <f>HYPERLINK("https://www.ncbi.nlm.nih.gov/geo/query/acc.cgi?acc=GSM34565","GSM34565")</f>
        <v>GSM34565</v>
      </c>
      <c r="I129" t="s">
        <v>17</v>
      </c>
      <c r="J129" t="s">
        <v>18</v>
      </c>
      <c r="K129" t="s">
        <v>33</v>
      </c>
      <c r="L129" t="s">
        <v>20</v>
      </c>
      <c r="N129" t="s">
        <v>29</v>
      </c>
    </row>
    <row r="130" spans="1:14">
      <c r="A130" s="4" t="str">
        <f t="shared" si="9"/>
        <v>EXP00003</v>
      </c>
      <c r="B130" s="4" t="str">
        <f t="shared" ref="B130:B193" si="10">HYPERLINK("https://www.ncbi.nlm.nih.gov/pubmed/22048815","22048815")</f>
        <v>22048815</v>
      </c>
      <c r="C130" s="4" t="str">
        <f t="shared" ref="C130:C193" si="11">HYPERLINK("https://www.ncbi.nlm.nih.gov/geo/query/acc.cgi?acc=GSE10893","GSE10893")</f>
        <v>GSE10893</v>
      </c>
      <c r="D130" s="1" t="s">
        <v>14</v>
      </c>
      <c r="E130" t="s">
        <v>30</v>
      </c>
      <c r="F130" s="1">
        <v>2</v>
      </c>
      <c r="G130" s="1" t="s">
        <v>32</v>
      </c>
      <c r="H130" s="4" t="str">
        <f>HYPERLINK("https://www.ncbi.nlm.nih.gov/geo/query/acc.cgi?acc=GSM34566","GSM34566")</f>
        <v>GSM34566</v>
      </c>
      <c r="I130" t="s">
        <v>17</v>
      </c>
      <c r="J130" t="s">
        <v>18</v>
      </c>
      <c r="K130" t="s">
        <v>33</v>
      </c>
      <c r="L130" t="s">
        <v>20</v>
      </c>
      <c r="N130" t="s">
        <v>29</v>
      </c>
    </row>
    <row r="131" spans="1:14">
      <c r="A131" s="4" t="str">
        <f t="shared" si="9"/>
        <v>EXP00003</v>
      </c>
      <c r="B131" s="4" t="str">
        <f t="shared" si="10"/>
        <v>22048815</v>
      </c>
      <c r="C131" s="4" t="str">
        <f t="shared" si="11"/>
        <v>GSE10893</v>
      </c>
      <c r="D131" s="1" t="s">
        <v>14</v>
      </c>
      <c r="E131" t="s">
        <v>30</v>
      </c>
      <c r="F131" s="1">
        <v>2</v>
      </c>
      <c r="G131" s="1" t="s">
        <v>32</v>
      </c>
      <c r="H131" s="4" t="str">
        <f>HYPERLINK("https://www.ncbi.nlm.nih.gov/geo/query/acc.cgi?acc=GSM34567","GSM34567")</f>
        <v>GSM34567</v>
      </c>
      <c r="I131" t="s">
        <v>17</v>
      </c>
      <c r="J131" t="s">
        <v>18</v>
      </c>
      <c r="K131" t="s">
        <v>33</v>
      </c>
      <c r="L131" t="s">
        <v>20</v>
      </c>
      <c r="N131" t="s">
        <v>29</v>
      </c>
    </row>
    <row r="132" spans="1:14">
      <c r="A132" s="4" t="str">
        <f t="shared" si="9"/>
        <v>EXP00003</v>
      </c>
      <c r="B132" s="4" t="str">
        <f t="shared" si="10"/>
        <v>22048815</v>
      </c>
      <c r="C132" s="4" t="str">
        <f t="shared" si="11"/>
        <v>GSE10893</v>
      </c>
      <c r="D132" s="1" t="s">
        <v>14</v>
      </c>
      <c r="E132" t="s">
        <v>30</v>
      </c>
      <c r="F132" s="1">
        <v>2</v>
      </c>
      <c r="G132" s="1" t="s">
        <v>32</v>
      </c>
      <c r="H132" s="4" t="str">
        <f>HYPERLINK("https://www.ncbi.nlm.nih.gov/geo/query/acc.cgi?acc=GSM372557","GSM372557")</f>
        <v>GSM372557</v>
      </c>
      <c r="I132" t="s">
        <v>17</v>
      </c>
      <c r="J132" t="s">
        <v>18</v>
      </c>
      <c r="K132" t="s">
        <v>33</v>
      </c>
      <c r="L132" t="s">
        <v>20</v>
      </c>
      <c r="N132" t="s">
        <v>29</v>
      </c>
    </row>
    <row r="133" spans="1:14">
      <c r="A133" s="4" t="str">
        <f t="shared" si="9"/>
        <v>EXP00003</v>
      </c>
      <c r="B133" s="4" t="str">
        <f t="shared" si="10"/>
        <v>22048815</v>
      </c>
      <c r="C133" s="4" t="str">
        <f t="shared" si="11"/>
        <v>GSE10893</v>
      </c>
      <c r="D133" s="1" t="s">
        <v>14</v>
      </c>
      <c r="E133" t="s">
        <v>30</v>
      </c>
      <c r="F133" s="1">
        <v>2</v>
      </c>
      <c r="G133" s="1" t="s">
        <v>32</v>
      </c>
      <c r="H133" s="4" t="str">
        <f>HYPERLINK("https://www.ncbi.nlm.nih.gov/geo/query/acc.cgi?acc=GSM372558","GSM372558")</f>
        <v>GSM372558</v>
      </c>
      <c r="I133" t="s">
        <v>17</v>
      </c>
      <c r="J133" t="s">
        <v>18</v>
      </c>
      <c r="K133" t="s">
        <v>33</v>
      </c>
      <c r="L133" t="s">
        <v>20</v>
      </c>
      <c r="N133" t="s">
        <v>29</v>
      </c>
    </row>
    <row r="134" spans="1:14">
      <c r="A134" s="4" t="str">
        <f t="shared" si="9"/>
        <v>EXP00003</v>
      </c>
      <c r="B134" s="4" t="str">
        <f t="shared" si="10"/>
        <v>22048815</v>
      </c>
      <c r="C134" s="4" t="str">
        <f t="shared" si="11"/>
        <v>GSE10893</v>
      </c>
      <c r="D134" s="1" t="s">
        <v>14</v>
      </c>
      <c r="E134" t="s">
        <v>30</v>
      </c>
      <c r="F134" s="1">
        <v>2</v>
      </c>
      <c r="G134" s="1" t="s">
        <v>32</v>
      </c>
      <c r="H134" s="4" t="str">
        <f>HYPERLINK("https://www.ncbi.nlm.nih.gov/geo/query/acc.cgi?acc=GSM372559","GSM372559")</f>
        <v>GSM372559</v>
      </c>
      <c r="I134" t="s">
        <v>17</v>
      </c>
      <c r="J134" t="s">
        <v>18</v>
      </c>
      <c r="K134" t="s">
        <v>33</v>
      </c>
      <c r="L134" t="s">
        <v>20</v>
      </c>
      <c r="N134" t="s">
        <v>29</v>
      </c>
    </row>
    <row r="135" spans="1:14">
      <c r="A135" s="4" t="str">
        <f t="shared" si="9"/>
        <v>EXP00003</v>
      </c>
      <c r="B135" s="4" t="str">
        <f t="shared" si="10"/>
        <v>22048815</v>
      </c>
      <c r="C135" s="4" t="str">
        <f t="shared" si="11"/>
        <v>GSE10893</v>
      </c>
      <c r="D135" s="1" t="s">
        <v>14</v>
      </c>
      <c r="E135" t="s">
        <v>30</v>
      </c>
      <c r="F135" s="1">
        <v>2</v>
      </c>
      <c r="G135" s="1" t="s">
        <v>32</v>
      </c>
      <c r="H135" s="4" t="str">
        <f>HYPERLINK("https://www.ncbi.nlm.nih.gov/geo/query/acc.cgi?acc=GSM372560","GSM372560")</f>
        <v>GSM372560</v>
      </c>
      <c r="I135" t="s">
        <v>17</v>
      </c>
      <c r="J135" t="s">
        <v>18</v>
      </c>
      <c r="K135" t="s">
        <v>33</v>
      </c>
      <c r="L135" t="s">
        <v>20</v>
      </c>
      <c r="N135" t="s">
        <v>29</v>
      </c>
    </row>
    <row r="136" spans="1:14">
      <c r="A136" s="4" t="str">
        <f t="shared" si="9"/>
        <v>EXP00003</v>
      </c>
      <c r="B136" s="4" t="str">
        <f t="shared" si="10"/>
        <v>22048815</v>
      </c>
      <c r="C136" s="4" t="str">
        <f t="shared" si="11"/>
        <v>GSE10893</v>
      </c>
      <c r="D136" s="1" t="s">
        <v>14</v>
      </c>
      <c r="E136" t="s">
        <v>30</v>
      </c>
      <c r="F136" s="1">
        <v>2</v>
      </c>
      <c r="G136" s="1" t="s">
        <v>32</v>
      </c>
      <c r="H136" s="4" t="str">
        <f>HYPERLINK("https://www.ncbi.nlm.nih.gov/geo/query/acc.cgi?acc=GSM372561","GSM372561")</f>
        <v>GSM372561</v>
      </c>
      <c r="I136" t="s">
        <v>17</v>
      </c>
      <c r="J136" t="s">
        <v>18</v>
      </c>
      <c r="K136" t="s">
        <v>33</v>
      </c>
      <c r="L136" t="s">
        <v>20</v>
      </c>
      <c r="N136" t="s">
        <v>29</v>
      </c>
    </row>
    <row r="137" spans="1:14">
      <c r="A137" s="4" t="str">
        <f t="shared" si="9"/>
        <v>EXP00003</v>
      </c>
      <c r="B137" s="4" t="str">
        <f t="shared" si="10"/>
        <v>22048815</v>
      </c>
      <c r="C137" s="4" t="str">
        <f t="shared" si="11"/>
        <v>GSE10893</v>
      </c>
      <c r="D137" s="1" t="s">
        <v>14</v>
      </c>
      <c r="E137" t="s">
        <v>30</v>
      </c>
      <c r="F137" s="1">
        <v>2</v>
      </c>
      <c r="G137" s="1" t="s">
        <v>32</v>
      </c>
      <c r="H137" s="4" t="str">
        <f>HYPERLINK("https://www.ncbi.nlm.nih.gov/geo/query/acc.cgi?acc=GSM50135","GSM50135")</f>
        <v>GSM50135</v>
      </c>
      <c r="I137" t="s">
        <v>17</v>
      </c>
      <c r="J137" t="s">
        <v>18</v>
      </c>
      <c r="K137" t="s">
        <v>33</v>
      </c>
      <c r="L137" t="s">
        <v>20</v>
      </c>
      <c r="N137" t="s">
        <v>29</v>
      </c>
    </row>
    <row r="138" spans="1:14">
      <c r="A138" s="4" t="str">
        <f t="shared" si="9"/>
        <v>EXP00003</v>
      </c>
      <c r="B138" s="4" t="str">
        <f t="shared" si="10"/>
        <v>22048815</v>
      </c>
      <c r="C138" s="4" t="str">
        <f t="shared" si="11"/>
        <v>GSE10893</v>
      </c>
      <c r="D138" s="1" t="s">
        <v>14</v>
      </c>
      <c r="E138" t="s">
        <v>30</v>
      </c>
      <c r="F138" s="1">
        <v>2</v>
      </c>
      <c r="G138" s="1" t="s">
        <v>32</v>
      </c>
      <c r="H138" s="4" t="str">
        <f>HYPERLINK("https://www.ncbi.nlm.nih.gov/geo/query/acc.cgi?acc=GSM50149","GSM50149")</f>
        <v>GSM50149</v>
      </c>
      <c r="I138" t="s">
        <v>17</v>
      </c>
      <c r="J138" t="s">
        <v>18</v>
      </c>
      <c r="K138" t="s">
        <v>33</v>
      </c>
      <c r="L138" t="s">
        <v>20</v>
      </c>
      <c r="N138" t="s">
        <v>29</v>
      </c>
    </row>
    <row r="139" spans="1:14">
      <c r="A139" s="4" t="str">
        <f t="shared" si="9"/>
        <v>EXP00003</v>
      </c>
      <c r="B139" s="4" t="str">
        <f t="shared" si="10"/>
        <v>22048815</v>
      </c>
      <c r="C139" s="4" t="str">
        <f t="shared" si="11"/>
        <v>GSE10893</v>
      </c>
      <c r="D139" s="1" t="s">
        <v>14</v>
      </c>
      <c r="E139" t="s">
        <v>30</v>
      </c>
      <c r="F139" s="1">
        <v>2</v>
      </c>
      <c r="G139" s="1" t="s">
        <v>32</v>
      </c>
      <c r="H139" s="4" t="str">
        <f>HYPERLINK("https://www.ncbi.nlm.nih.gov/geo/query/acc.cgi?acc=GSM52885","GSM52885")</f>
        <v>GSM52885</v>
      </c>
      <c r="I139" t="s">
        <v>17</v>
      </c>
      <c r="J139" t="s">
        <v>18</v>
      </c>
      <c r="K139" t="s">
        <v>33</v>
      </c>
      <c r="L139" t="s">
        <v>20</v>
      </c>
      <c r="N139" t="s">
        <v>29</v>
      </c>
    </row>
    <row r="140" spans="1:14">
      <c r="A140" s="4" t="str">
        <f t="shared" si="9"/>
        <v>EXP00003</v>
      </c>
      <c r="B140" s="4" t="str">
        <f t="shared" si="10"/>
        <v>22048815</v>
      </c>
      <c r="C140" s="4" t="str">
        <f t="shared" si="11"/>
        <v>GSE10893</v>
      </c>
      <c r="D140" s="1" t="s">
        <v>14</v>
      </c>
      <c r="E140" t="s">
        <v>30</v>
      </c>
      <c r="F140" s="1">
        <v>2</v>
      </c>
      <c r="G140" s="1" t="s">
        <v>32</v>
      </c>
      <c r="H140" s="4" t="str">
        <f>HYPERLINK("https://www.ncbi.nlm.nih.gov/geo/query/acc.cgi?acc=GSM52886","GSM52886")</f>
        <v>GSM52886</v>
      </c>
      <c r="I140" t="s">
        <v>17</v>
      </c>
      <c r="J140" t="s">
        <v>18</v>
      </c>
      <c r="K140" t="s">
        <v>33</v>
      </c>
      <c r="L140" t="s">
        <v>20</v>
      </c>
      <c r="N140" t="s">
        <v>29</v>
      </c>
    </row>
    <row r="141" spans="1:14">
      <c r="A141" s="4" t="str">
        <f t="shared" si="9"/>
        <v>EXP00003</v>
      </c>
      <c r="B141" s="4" t="str">
        <f t="shared" si="10"/>
        <v>22048815</v>
      </c>
      <c r="C141" s="4" t="str">
        <f t="shared" si="11"/>
        <v>GSE10893</v>
      </c>
      <c r="D141" s="1" t="s">
        <v>14</v>
      </c>
      <c r="E141" t="s">
        <v>30</v>
      </c>
      <c r="F141" s="1">
        <v>2</v>
      </c>
      <c r="G141" s="1" t="s">
        <v>32</v>
      </c>
      <c r="H141" s="4" t="str">
        <f>HYPERLINK("https://www.ncbi.nlm.nih.gov/geo/query/acc.cgi?acc=GSM52887","GSM52887")</f>
        <v>GSM52887</v>
      </c>
      <c r="I141" t="s">
        <v>17</v>
      </c>
      <c r="J141" t="s">
        <v>18</v>
      </c>
      <c r="K141" t="s">
        <v>33</v>
      </c>
      <c r="L141" t="s">
        <v>20</v>
      </c>
      <c r="N141" t="s">
        <v>29</v>
      </c>
    </row>
    <row r="142" spans="1:14">
      <c r="A142" s="4" t="str">
        <f t="shared" si="9"/>
        <v>EXP00003</v>
      </c>
      <c r="B142" s="4" t="str">
        <f t="shared" si="10"/>
        <v>22048815</v>
      </c>
      <c r="C142" s="4" t="str">
        <f t="shared" si="11"/>
        <v>GSE10893</v>
      </c>
      <c r="D142" s="1" t="s">
        <v>14</v>
      </c>
      <c r="E142" t="s">
        <v>30</v>
      </c>
      <c r="F142" s="1">
        <v>2</v>
      </c>
      <c r="G142" s="1" t="s">
        <v>32</v>
      </c>
      <c r="H142" s="4" t="str">
        <f>HYPERLINK("https://www.ncbi.nlm.nih.gov/geo/query/acc.cgi?acc=GSM52888","GSM52888")</f>
        <v>GSM52888</v>
      </c>
      <c r="I142" t="s">
        <v>17</v>
      </c>
      <c r="J142" t="s">
        <v>18</v>
      </c>
      <c r="K142" t="s">
        <v>33</v>
      </c>
      <c r="L142" t="s">
        <v>20</v>
      </c>
      <c r="N142" t="s">
        <v>29</v>
      </c>
    </row>
    <row r="143" spans="1:14">
      <c r="A143" s="4" t="str">
        <f t="shared" si="9"/>
        <v>EXP00003</v>
      </c>
      <c r="B143" s="4" t="str">
        <f t="shared" si="10"/>
        <v>22048815</v>
      </c>
      <c r="C143" s="4" t="str">
        <f t="shared" si="11"/>
        <v>GSE10893</v>
      </c>
      <c r="D143" s="1" t="s">
        <v>14</v>
      </c>
      <c r="E143" t="s">
        <v>30</v>
      </c>
      <c r="F143" s="1">
        <v>2</v>
      </c>
      <c r="G143" s="1" t="s">
        <v>32</v>
      </c>
      <c r="H143" s="4" t="str">
        <f>HYPERLINK("https://www.ncbi.nlm.nih.gov/geo/query/acc.cgi?acc=GSM52889","GSM52889")</f>
        <v>GSM52889</v>
      </c>
      <c r="I143" t="s">
        <v>17</v>
      </c>
      <c r="J143" t="s">
        <v>18</v>
      </c>
      <c r="K143" t="s">
        <v>33</v>
      </c>
      <c r="L143" t="s">
        <v>20</v>
      </c>
      <c r="N143" t="s">
        <v>29</v>
      </c>
    </row>
    <row r="144" spans="1:14">
      <c r="A144" s="4" t="str">
        <f t="shared" si="9"/>
        <v>EXP00003</v>
      </c>
      <c r="B144" s="4" t="str">
        <f t="shared" si="10"/>
        <v>22048815</v>
      </c>
      <c r="C144" s="4" t="str">
        <f t="shared" si="11"/>
        <v>GSE10893</v>
      </c>
      <c r="D144" s="1" t="s">
        <v>14</v>
      </c>
      <c r="E144" t="s">
        <v>30</v>
      </c>
      <c r="F144" s="1">
        <v>2</v>
      </c>
      <c r="G144" s="1" t="s">
        <v>32</v>
      </c>
      <c r="H144" s="4" t="str">
        <f>HYPERLINK("https://www.ncbi.nlm.nih.gov/geo/query/acc.cgi?acc=GSM52890","GSM52890")</f>
        <v>GSM52890</v>
      </c>
      <c r="I144" t="s">
        <v>17</v>
      </c>
      <c r="J144" t="s">
        <v>18</v>
      </c>
      <c r="K144" t="s">
        <v>33</v>
      </c>
      <c r="L144" t="s">
        <v>20</v>
      </c>
      <c r="N144" t="s">
        <v>29</v>
      </c>
    </row>
    <row r="145" spans="1:14">
      <c r="A145" s="4" t="str">
        <f t="shared" si="9"/>
        <v>EXP00003</v>
      </c>
      <c r="B145" s="4" t="str">
        <f t="shared" si="10"/>
        <v>22048815</v>
      </c>
      <c r="C145" s="4" t="str">
        <f t="shared" si="11"/>
        <v>GSE10893</v>
      </c>
      <c r="D145" s="1" t="s">
        <v>14</v>
      </c>
      <c r="E145" t="s">
        <v>30</v>
      </c>
      <c r="F145" s="1">
        <v>2</v>
      </c>
      <c r="G145" s="1" t="s">
        <v>32</v>
      </c>
      <c r="H145" s="4" t="str">
        <f>HYPERLINK("https://www.ncbi.nlm.nih.gov/geo/query/acc.cgi?acc=GSM52891","GSM52891")</f>
        <v>GSM52891</v>
      </c>
      <c r="I145" t="s">
        <v>17</v>
      </c>
      <c r="J145" t="s">
        <v>18</v>
      </c>
      <c r="K145" t="s">
        <v>33</v>
      </c>
      <c r="L145" t="s">
        <v>20</v>
      </c>
      <c r="N145" t="s">
        <v>29</v>
      </c>
    </row>
    <row r="146" spans="1:14">
      <c r="A146" s="4" t="str">
        <f t="shared" si="9"/>
        <v>EXP00003</v>
      </c>
      <c r="B146" s="4" t="str">
        <f t="shared" si="10"/>
        <v>22048815</v>
      </c>
      <c r="C146" s="4" t="str">
        <f t="shared" si="11"/>
        <v>GSE10893</v>
      </c>
      <c r="D146" s="1" t="s">
        <v>14</v>
      </c>
      <c r="E146" t="s">
        <v>30</v>
      </c>
      <c r="F146" s="1">
        <v>2</v>
      </c>
      <c r="G146" s="1" t="s">
        <v>32</v>
      </c>
      <c r="H146" s="4" t="str">
        <f>HYPERLINK("https://www.ncbi.nlm.nih.gov/geo/query/acc.cgi?acc=GSM52892","GSM52892")</f>
        <v>GSM52892</v>
      </c>
      <c r="I146" t="s">
        <v>17</v>
      </c>
      <c r="J146" t="s">
        <v>18</v>
      </c>
      <c r="K146" t="s">
        <v>33</v>
      </c>
      <c r="L146" t="s">
        <v>20</v>
      </c>
      <c r="N146" t="s">
        <v>29</v>
      </c>
    </row>
    <row r="147" spans="1:14">
      <c r="A147" s="4" t="str">
        <f t="shared" ref="A147:A178" si="12">HYPERLINK("http://hcmdb.i-sanger.com/experiment/details/experiment_id/EXP00003","EXP00003")</f>
        <v>EXP00003</v>
      </c>
      <c r="B147" s="4" t="str">
        <f t="shared" si="10"/>
        <v>22048815</v>
      </c>
      <c r="C147" s="4" t="str">
        <f t="shared" si="11"/>
        <v>GSE10893</v>
      </c>
      <c r="D147" s="1" t="s">
        <v>14</v>
      </c>
      <c r="E147" t="s">
        <v>30</v>
      </c>
      <c r="F147" s="1">
        <v>2</v>
      </c>
      <c r="G147" s="1" t="s">
        <v>32</v>
      </c>
      <c r="H147" s="4" t="str">
        <f>HYPERLINK("https://www.ncbi.nlm.nih.gov/geo/query/acc.cgi?acc=GSM52893","GSM52893")</f>
        <v>GSM52893</v>
      </c>
      <c r="I147" t="s">
        <v>17</v>
      </c>
      <c r="J147" t="s">
        <v>18</v>
      </c>
      <c r="K147" t="s">
        <v>33</v>
      </c>
      <c r="L147" t="s">
        <v>20</v>
      </c>
      <c r="N147" t="s">
        <v>29</v>
      </c>
    </row>
    <row r="148" spans="1:14">
      <c r="A148" s="4" t="str">
        <f t="shared" si="12"/>
        <v>EXP00003</v>
      </c>
      <c r="B148" s="4" t="str">
        <f t="shared" si="10"/>
        <v>22048815</v>
      </c>
      <c r="C148" s="4" t="str">
        <f t="shared" si="11"/>
        <v>GSE10893</v>
      </c>
      <c r="D148" s="1" t="s">
        <v>14</v>
      </c>
      <c r="E148" t="s">
        <v>30</v>
      </c>
      <c r="F148" s="1">
        <v>2</v>
      </c>
      <c r="G148" s="1" t="s">
        <v>32</v>
      </c>
      <c r="H148" s="4" t="str">
        <f>HYPERLINK("https://www.ncbi.nlm.nih.gov/geo/query/acc.cgi?acc=GSM52894","GSM52894")</f>
        <v>GSM52894</v>
      </c>
      <c r="I148" t="s">
        <v>17</v>
      </c>
      <c r="J148" t="s">
        <v>18</v>
      </c>
      <c r="K148" t="s">
        <v>33</v>
      </c>
      <c r="L148" t="s">
        <v>20</v>
      </c>
      <c r="N148" t="s">
        <v>29</v>
      </c>
    </row>
    <row r="149" spans="1:14">
      <c r="A149" s="4" t="str">
        <f t="shared" si="12"/>
        <v>EXP00003</v>
      </c>
      <c r="B149" s="4" t="str">
        <f t="shared" si="10"/>
        <v>22048815</v>
      </c>
      <c r="C149" s="4" t="str">
        <f t="shared" si="11"/>
        <v>GSE10893</v>
      </c>
      <c r="D149" s="1" t="s">
        <v>14</v>
      </c>
      <c r="E149" t="s">
        <v>30</v>
      </c>
      <c r="F149" s="1">
        <v>2</v>
      </c>
      <c r="G149" s="1" t="s">
        <v>32</v>
      </c>
      <c r="H149" s="4" t="str">
        <f>HYPERLINK("https://www.ncbi.nlm.nih.gov/geo/query/acc.cgi?acc=GSM52895","GSM52895")</f>
        <v>GSM52895</v>
      </c>
      <c r="I149" t="s">
        <v>17</v>
      </c>
      <c r="J149" t="s">
        <v>18</v>
      </c>
      <c r="K149" t="s">
        <v>33</v>
      </c>
      <c r="L149" t="s">
        <v>20</v>
      </c>
      <c r="N149" t="s">
        <v>29</v>
      </c>
    </row>
    <row r="150" spans="1:14">
      <c r="A150" s="4" t="str">
        <f t="shared" si="12"/>
        <v>EXP00003</v>
      </c>
      <c r="B150" s="4" t="str">
        <f t="shared" si="10"/>
        <v>22048815</v>
      </c>
      <c r="C150" s="4" t="str">
        <f t="shared" si="11"/>
        <v>GSE10893</v>
      </c>
      <c r="D150" s="1" t="s">
        <v>14</v>
      </c>
      <c r="E150" t="s">
        <v>30</v>
      </c>
      <c r="F150" s="1">
        <v>2</v>
      </c>
      <c r="G150" s="1" t="s">
        <v>32</v>
      </c>
      <c r="H150" s="4" t="str">
        <f>HYPERLINK("https://www.ncbi.nlm.nih.gov/geo/query/acc.cgi?acc=GSM52896","GSM52896")</f>
        <v>GSM52896</v>
      </c>
      <c r="I150" t="s">
        <v>17</v>
      </c>
      <c r="J150" t="s">
        <v>18</v>
      </c>
      <c r="K150" t="s">
        <v>33</v>
      </c>
      <c r="L150" t="s">
        <v>20</v>
      </c>
      <c r="N150" t="s">
        <v>29</v>
      </c>
    </row>
    <row r="151" spans="1:14">
      <c r="A151" s="4" t="str">
        <f t="shared" si="12"/>
        <v>EXP00003</v>
      </c>
      <c r="B151" s="4" t="str">
        <f t="shared" si="10"/>
        <v>22048815</v>
      </c>
      <c r="C151" s="4" t="str">
        <f t="shared" si="11"/>
        <v>GSE10893</v>
      </c>
      <c r="D151" s="1" t="s">
        <v>14</v>
      </c>
      <c r="E151" t="s">
        <v>30</v>
      </c>
      <c r="F151" s="1">
        <v>2</v>
      </c>
      <c r="G151" s="1" t="s">
        <v>32</v>
      </c>
      <c r="H151" s="4" t="str">
        <f>HYPERLINK("https://www.ncbi.nlm.nih.gov/geo/query/acc.cgi?acc=GSM53474","GSM53474")</f>
        <v>GSM53474</v>
      </c>
      <c r="I151" t="s">
        <v>17</v>
      </c>
      <c r="J151" t="s">
        <v>18</v>
      </c>
      <c r="K151" t="s">
        <v>33</v>
      </c>
      <c r="L151" t="s">
        <v>20</v>
      </c>
      <c r="N151" t="s">
        <v>29</v>
      </c>
    </row>
    <row r="152" spans="1:14">
      <c r="A152" s="4" t="str">
        <f t="shared" si="12"/>
        <v>EXP00003</v>
      </c>
      <c r="B152" s="4" t="str">
        <f t="shared" si="10"/>
        <v>22048815</v>
      </c>
      <c r="C152" s="4" t="str">
        <f t="shared" si="11"/>
        <v>GSE10893</v>
      </c>
      <c r="D152" s="1" t="s">
        <v>14</v>
      </c>
      <c r="E152" t="s">
        <v>30</v>
      </c>
      <c r="F152" s="1">
        <v>2</v>
      </c>
      <c r="G152" s="1" t="s">
        <v>32</v>
      </c>
      <c r="H152" s="4" t="str">
        <f>HYPERLINK("https://www.ncbi.nlm.nih.gov/geo/query/acc.cgi?acc=GSM53478","GSM53478")</f>
        <v>GSM53478</v>
      </c>
      <c r="I152" t="s">
        <v>17</v>
      </c>
      <c r="J152" t="s">
        <v>18</v>
      </c>
      <c r="K152" t="s">
        <v>33</v>
      </c>
      <c r="L152" t="s">
        <v>20</v>
      </c>
      <c r="N152" t="s">
        <v>29</v>
      </c>
    </row>
    <row r="153" spans="1:14">
      <c r="A153" s="4" t="str">
        <f t="shared" si="12"/>
        <v>EXP00003</v>
      </c>
      <c r="B153" s="4" t="str">
        <f t="shared" si="10"/>
        <v>22048815</v>
      </c>
      <c r="C153" s="4" t="str">
        <f t="shared" si="11"/>
        <v>GSE10893</v>
      </c>
      <c r="D153" s="1" t="s">
        <v>14</v>
      </c>
      <c r="E153" t="s">
        <v>30</v>
      </c>
      <c r="F153" s="1">
        <v>2</v>
      </c>
      <c r="G153" s="1" t="s">
        <v>32</v>
      </c>
      <c r="H153" s="4" t="str">
        <f>HYPERLINK("https://www.ncbi.nlm.nih.gov/geo/query/acc.cgi?acc=GSM53479","GSM53479")</f>
        <v>GSM53479</v>
      </c>
      <c r="I153" t="s">
        <v>17</v>
      </c>
      <c r="J153" t="s">
        <v>18</v>
      </c>
      <c r="K153" t="s">
        <v>33</v>
      </c>
      <c r="L153" t="s">
        <v>20</v>
      </c>
      <c r="N153" t="s">
        <v>29</v>
      </c>
    </row>
    <row r="154" spans="1:14">
      <c r="A154" s="4" t="str">
        <f t="shared" si="12"/>
        <v>EXP00003</v>
      </c>
      <c r="B154" s="4" t="str">
        <f t="shared" si="10"/>
        <v>22048815</v>
      </c>
      <c r="C154" s="4" t="str">
        <f t="shared" si="11"/>
        <v>GSE10893</v>
      </c>
      <c r="D154" s="1" t="s">
        <v>14</v>
      </c>
      <c r="E154" t="s">
        <v>30</v>
      </c>
      <c r="F154" s="1">
        <v>2</v>
      </c>
      <c r="G154" s="1" t="s">
        <v>32</v>
      </c>
      <c r="H154" s="4" t="str">
        <f>HYPERLINK("https://www.ncbi.nlm.nih.gov/geo/query/acc.cgi?acc=GSM53480","GSM53480")</f>
        <v>GSM53480</v>
      </c>
      <c r="I154" t="s">
        <v>17</v>
      </c>
      <c r="J154" t="s">
        <v>18</v>
      </c>
      <c r="K154" t="s">
        <v>33</v>
      </c>
      <c r="L154" t="s">
        <v>20</v>
      </c>
      <c r="N154" t="s">
        <v>29</v>
      </c>
    </row>
    <row r="155" spans="1:14">
      <c r="A155" s="4" t="str">
        <f t="shared" si="12"/>
        <v>EXP00003</v>
      </c>
      <c r="B155" s="4" t="str">
        <f t="shared" si="10"/>
        <v>22048815</v>
      </c>
      <c r="C155" s="4" t="str">
        <f t="shared" si="11"/>
        <v>GSE10893</v>
      </c>
      <c r="D155" s="1" t="s">
        <v>14</v>
      </c>
      <c r="E155" t="s">
        <v>30</v>
      </c>
      <c r="F155" s="1">
        <v>2</v>
      </c>
      <c r="G155" s="1" t="s">
        <v>32</v>
      </c>
      <c r="H155" s="4" t="str">
        <f>HYPERLINK("https://www.ncbi.nlm.nih.gov/geo/query/acc.cgi?acc=GSM53481","GSM53481")</f>
        <v>GSM53481</v>
      </c>
      <c r="I155" t="s">
        <v>17</v>
      </c>
      <c r="J155" t="s">
        <v>18</v>
      </c>
      <c r="K155" t="s">
        <v>33</v>
      </c>
      <c r="L155" t="s">
        <v>20</v>
      </c>
      <c r="N155" t="s">
        <v>29</v>
      </c>
    </row>
    <row r="156" spans="1:14">
      <c r="A156" s="4" t="str">
        <f t="shared" si="12"/>
        <v>EXP00003</v>
      </c>
      <c r="B156" s="4" t="str">
        <f t="shared" si="10"/>
        <v>22048815</v>
      </c>
      <c r="C156" s="4" t="str">
        <f t="shared" si="11"/>
        <v>GSE10893</v>
      </c>
      <c r="D156" s="1" t="s">
        <v>14</v>
      </c>
      <c r="E156" t="s">
        <v>30</v>
      </c>
      <c r="F156" s="1">
        <v>2</v>
      </c>
      <c r="G156" s="1" t="s">
        <v>32</v>
      </c>
      <c r="H156" s="4" t="str">
        <f>HYPERLINK("https://www.ncbi.nlm.nih.gov/geo/query/acc.cgi?acc=GSM53482","GSM53482")</f>
        <v>GSM53482</v>
      </c>
      <c r="I156" t="s">
        <v>17</v>
      </c>
      <c r="J156" t="s">
        <v>18</v>
      </c>
      <c r="K156" t="s">
        <v>33</v>
      </c>
      <c r="L156" t="s">
        <v>20</v>
      </c>
      <c r="N156" t="s">
        <v>29</v>
      </c>
    </row>
    <row r="157" spans="1:14">
      <c r="A157" s="4" t="str">
        <f t="shared" si="12"/>
        <v>EXP00003</v>
      </c>
      <c r="B157" s="4" t="str">
        <f t="shared" si="10"/>
        <v>22048815</v>
      </c>
      <c r="C157" s="4" t="str">
        <f t="shared" si="11"/>
        <v>GSE10893</v>
      </c>
      <c r="D157" s="1" t="s">
        <v>14</v>
      </c>
      <c r="E157" t="s">
        <v>30</v>
      </c>
      <c r="F157" s="1">
        <v>2</v>
      </c>
      <c r="G157" s="1" t="s">
        <v>32</v>
      </c>
      <c r="H157" s="4" t="str">
        <f>HYPERLINK("https://www.ncbi.nlm.nih.gov/geo/query/acc.cgi?acc=GSM53483","GSM53483")</f>
        <v>GSM53483</v>
      </c>
      <c r="I157" t="s">
        <v>17</v>
      </c>
      <c r="J157" t="s">
        <v>18</v>
      </c>
      <c r="K157" t="s">
        <v>33</v>
      </c>
      <c r="L157" t="s">
        <v>20</v>
      </c>
      <c r="N157" t="s">
        <v>29</v>
      </c>
    </row>
    <row r="158" spans="1:14">
      <c r="A158" s="4" t="str">
        <f t="shared" si="12"/>
        <v>EXP00003</v>
      </c>
      <c r="B158" s="4" t="str">
        <f t="shared" si="10"/>
        <v>22048815</v>
      </c>
      <c r="C158" s="4" t="str">
        <f t="shared" si="11"/>
        <v>GSE10893</v>
      </c>
      <c r="D158" s="1" t="s">
        <v>14</v>
      </c>
      <c r="E158" t="s">
        <v>30</v>
      </c>
      <c r="F158" s="1">
        <v>2</v>
      </c>
      <c r="G158" s="1" t="s">
        <v>32</v>
      </c>
      <c r="H158" s="4" t="str">
        <f>HYPERLINK("https://www.ncbi.nlm.nih.gov/geo/query/acc.cgi?acc=GSM53484","GSM53484")</f>
        <v>GSM53484</v>
      </c>
      <c r="I158" t="s">
        <v>17</v>
      </c>
      <c r="J158" t="s">
        <v>18</v>
      </c>
      <c r="K158" t="s">
        <v>33</v>
      </c>
      <c r="L158" t="s">
        <v>20</v>
      </c>
      <c r="N158" t="s">
        <v>29</v>
      </c>
    </row>
    <row r="159" spans="1:14">
      <c r="A159" s="4" t="str">
        <f t="shared" si="12"/>
        <v>EXP00003</v>
      </c>
      <c r="B159" s="4" t="str">
        <f t="shared" si="10"/>
        <v>22048815</v>
      </c>
      <c r="C159" s="4" t="str">
        <f t="shared" si="11"/>
        <v>GSE10893</v>
      </c>
      <c r="D159" s="1" t="s">
        <v>14</v>
      </c>
      <c r="E159" t="s">
        <v>30</v>
      </c>
      <c r="F159" s="1">
        <v>2</v>
      </c>
      <c r="G159" s="1" t="s">
        <v>32</v>
      </c>
      <c r="H159" s="4" t="str">
        <f>HYPERLINK("https://www.ncbi.nlm.nih.gov/geo/query/acc.cgi?acc=GSM53485","GSM53485")</f>
        <v>GSM53485</v>
      </c>
      <c r="I159" t="s">
        <v>17</v>
      </c>
      <c r="J159" t="s">
        <v>18</v>
      </c>
      <c r="K159" t="s">
        <v>33</v>
      </c>
      <c r="L159" t="s">
        <v>20</v>
      </c>
      <c r="N159" t="s">
        <v>29</v>
      </c>
    </row>
    <row r="160" spans="1:14">
      <c r="A160" s="4" t="str">
        <f t="shared" si="12"/>
        <v>EXP00003</v>
      </c>
      <c r="B160" s="4" t="str">
        <f t="shared" si="10"/>
        <v>22048815</v>
      </c>
      <c r="C160" s="4" t="str">
        <f t="shared" si="11"/>
        <v>GSE10893</v>
      </c>
      <c r="D160" s="1" t="s">
        <v>14</v>
      </c>
      <c r="E160" t="s">
        <v>30</v>
      </c>
      <c r="F160" s="1">
        <v>2</v>
      </c>
      <c r="G160" s="1" t="s">
        <v>32</v>
      </c>
      <c r="H160" s="4" t="str">
        <f>HYPERLINK("https://www.ncbi.nlm.nih.gov/geo/query/acc.cgi?acc=GSM53486","GSM53486")</f>
        <v>GSM53486</v>
      </c>
      <c r="I160" t="s">
        <v>17</v>
      </c>
      <c r="J160" t="s">
        <v>18</v>
      </c>
      <c r="K160" t="s">
        <v>33</v>
      </c>
      <c r="L160" t="s">
        <v>20</v>
      </c>
      <c r="N160" t="s">
        <v>29</v>
      </c>
    </row>
    <row r="161" spans="1:14">
      <c r="A161" s="4" t="str">
        <f t="shared" si="12"/>
        <v>EXP00003</v>
      </c>
      <c r="B161" s="4" t="str">
        <f t="shared" si="10"/>
        <v>22048815</v>
      </c>
      <c r="C161" s="4" t="str">
        <f t="shared" si="11"/>
        <v>GSE10893</v>
      </c>
      <c r="D161" s="1" t="s">
        <v>14</v>
      </c>
      <c r="E161" t="s">
        <v>30</v>
      </c>
      <c r="F161" s="1">
        <v>2</v>
      </c>
      <c r="G161" s="1" t="s">
        <v>32</v>
      </c>
      <c r="H161" s="4" t="str">
        <f>HYPERLINK("https://www.ncbi.nlm.nih.gov/geo/query/acc.cgi?acc=GSM80216","GSM80216")</f>
        <v>GSM80216</v>
      </c>
      <c r="I161" t="s">
        <v>17</v>
      </c>
      <c r="J161" t="s">
        <v>18</v>
      </c>
      <c r="K161" t="s">
        <v>33</v>
      </c>
      <c r="L161" t="s">
        <v>20</v>
      </c>
      <c r="N161" t="s">
        <v>29</v>
      </c>
    </row>
    <row r="162" spans="1:14">
      <c r="A162" s="4" t="str">
        <f t="shared" si="12"/>
        <v>EXP00003</v>
      </c>
      <c r="B162" s="4" t="str">
        <f t="shared" si="10"/>
        <v>22048815</v>
      </c>
      <c r="C162" s="4" t="str">
        <f t="shared" si="11"/>
        <v>GSE10893</v>
      </c>
      <c r="D162" s="1" t="s">
        <v>14</v>
      </c>
      <c r="E162" t="s">
        <v>30</v>
      </c>
      <c r="F162" s="1">
        <v>2</v>
      </c>
      <c r="G162" s="1" t="s">
        <v>32</v>
      </c>
      <c r="H162" s="4" t="str">
        <f>HYPERLINK("https://www.ncbi.nlm.nih.gov/geo/query/acc.cgi?acc=GSM80217","GSM80217")</f>
        <v>GSM80217</v>
      </c>
      <c r="I162" t="s">
        <v>17</v>
      </c>
      <c r="J162" t="s">
        <v>18</v>
      </c>
      <c r="K162" t="s">
        <v>33</v>
      </c>
      <c r="L162" t="s">
        <v>20</v>
      </c>
      <c r="N162" t="s">
        <v>29</v>
      </c>
    </row>
    <row r="163" spans="1:14">
      <c r="A163" s="4" t="str">
        <f t="shared" si="12"/>
        <v>EXP00003</v>
      </c>
      <c r="B163" s="4" t="str">
        <f t="shared" si="10"/>
        <v>22048815</v>
      </c>
      <c r="C163" s="4" t="str">
        <f t="shared" si="11"/>
        <v>GSE10893</v>
      </c>
      <c r="D163" s="1" t="s">
        <v>14</v>
      </c>
      <c r="E163" t="s">
        <v>30</v>
      </c>
      <c r="F163" s="1">
        <v>2</v>
      </c>
      <c r="G163" s="1" t="s">
        <v>32</v>
      </c>
      <c r="H163" s="4" t="str">
        <f>HYPERLINK("https://www.ncbi.nlm.nih.gov/geo/query/acc.cgi?acc=GSM80218","GSM80218")</f>
        <v>GSM80218</v>
      </c>
      <c r="I163" t="s">
        <v>17</v>
      </c>
      <c r="J163" t="s">
        <v>18</v>
      </c>
      <c r="K163" t="s">
        <v>33</v>
      </c>
      <c r="L163" t="s">
        <v>20</v>
      </c>
      <c r="N163" t="s">
        <v>29</v>
      </c>
    </row>
    <row r="164" spans="1:14">
      <c r="A164" s="4" t="str">
        <f t="shared" si="12"/>
        <v>EXP00003</v>
      </c>
      <c r="B164" s="4" t="str">
        <f t="shared" si="10"/>
        <v>22048815</v>
      </c>
      <c r="C164" s="4" t="str">
        <f t="shared" si="11"/>
        <v>GSE10893</v>
      </c>
      <c r="D164" s="1" t="s">
        <v>14</v>
      </c>
      <c r="E164" t="s">
        <v>30</v>
      </c>
      <c r="F164" s="1">
        <v>2</v>
      </c>
      <c r="G164" s="1" t="s">
        <v>32</v>
      </c>
      <c r="H164" s="4" t="str">
        <f>HYPERLINK("https://www.ncbi.nlm.nih.gov/geo/query/acc.cgi?acc=GSM80219","GSM80219")</f>
        <v>GSM80219</v>
      </c>
      <c r="I164" t="s">
        <v>17</v>
      </c>
      <c r="J164" t="s">
        <v>18</v>
      </c>
      <c r="K164" t="s">
        <v>33</v>
      </c>
      <c r="L164" t="s">
        <v>20</v>
      </c>
      <c r="N164" t="s">
        <v>29</v>
      </c>
    </row>
    <row r="165" spans="1:14">
      <c r="A165" s="4" t="str">
        <f t="shared" si="12"/>
        <v>EXP00003</v>
      </c>
      <c r="B165" s="4" t="str">
        <f t="shared" si="10"/>
        <v>22048815</v>
      </c>
      <c r="C165" s="4" t="str">
        <f t="shared" si="11"/>
        <v>GSE10893</v>
      </c>
      <c r="D165" s="1" t="s">
        <v>14</v>
      </c>
      <c r="E165" t="s">
        <v>30</v>
      </c>
      <c r="F165" s="1">
        <v>2</v>
      </c>
      <c r="G165" s="1" t="s">
        <v>32</v>
      </c>
      <c r="H165" s="4" t="str">
        <f>HYPERLINK("https://www.ncbi.nlm.nih.gov/geo/query/acc.cgi?acc=GSM80220","GSM80220")</f>
        <v>GSM80220</v>
      </c>
      <c r="I165" t="s">
        <v>17</v>
      </c>
      <c r="J165" t="s">
        <v>18</v>
      </c>
      <c r="K165" t="s">
        <v>33</v>
      </c>
      <c r="L165" t="s">
        <v>20</v>
      </c>
      <c r="N165" t="s">
        <v>29</v>
      </c>
    </row>
    <row r="166" spans="1:14">
      <c r="A166" s="4" t="str">
        <f t="shared" si="12"/>
        <v>EXP00003</v>
      </c>
      <c r="B166" s="4" t="str">
        <f t="shared" si="10"/>
        <v>22048815</v>
      </c>
      <c r="C166" s="4" t="str">
        <f t="shared" si="11"/>
        <v>GSE10893</v>
      </c>
      <c r="D166" s="1" t="s">
        <v>14</v>
      </c>
      <c r="E166" t="s">
        <v>30</v>
      </c>
      <c r="F166" s="1">
        <v>2</v>
      </c>
      <c r="G166" s="1" t="s">
        <v>32</v>
      </c>
      <c r="H166" s="4" t="str">
        <f>HYPERLINK("https://www.ncbi.nlm.nih.gov/geo/query/acc.cgi?acc=GSM80221","GSM80221")</f>
        <v>GSM80221</v>
      </c>
      <c r="I166" t="s">
        <v>17</v>
      </c>
      <c r="J166" t="s">
        <v>18</v>
      </c>
      <c r="K166" t="s">
        <v>33</v>
      </c>
      <c r="L166" t="s">
        <v>20</v>
      </c>
      <c r="N166" t="s">
        <v>29</v>
      </c>
    </row>
    <row r="167" spans="1:14">
      <c r="A167" s="4" t="str">
        <f t="shared" si="12"/>
        <v>EXP00003</v>
      </c>
      <c r="B167" s="4" t="str">
        <f t="shared" si="10"/>
        <v>22048815</v>
      </c>
      <c r="C167" s="4" t="str">
        <f t="shared" si="11"/>
        <v>GSE10893</v>
      </c>
      <c r="D167" s="1" t="s">
        <v>14</v>
      </c>
      <c r="E167" t="s">
        <v>30</v>
      </c>
      <c r="F167" s="1">
        <v>2</v>
      </c>
      <c r="G167" s="1" t="s">
        <v>32</v>
      </c>
      <c r="H167" s="4" t="str">
        <f>HYPERLINK("https://www.ncbi.nlm.nih.gov/geo/query/acc.cgi?acc=GSM80222","GSM80222")</f>
        <v>GSM80222</v>
      </c>
      <c r="I167" t="s">
        <v>17</v>
      </c>
      <c r="J167" t="s">
        <v>18</v>
      </c>
      <c r="K167" t="s">
        <v>33</v>
      </c>
      <c r="L167" t="s">
        <v>20</v>
      </c>
      <c r="N167" t="s">
        <v>29</v>
      </c>
    </row>
    <row r="168" spans="1:14">
      <c r="A168" s="4" t="str">
        <f t="shared" si="12"/>
        <v>EXP00003</v>
      </c>
      <c r="B168" s="4" t="str">
        <f t="shared" si="10"/>
        <v>22048815</v>
      </c>
      <c r="C168" s="4" t="str">
        <f t="shared" si="11"/>
        <v>GSE10893</v>
      </c>
      <c r="D168" s="1" t="s">
        <v>14</v>
      </c>
      <c r="E168" t="s">
        <v>30</v>
      </c>
      <c r="F168" s="1">
        <v>2</v>
      </c>
      <c r="G168" s="1" t="s">
        <v>32</v>
      </c>
      <c r="H168" s="4" t="str">
        <f>HYPERLINK("https://www.ncbi.nlm.nih.gov/geo/query/acc.cgi?acc=GSM80226","GSM80226")</f>
        <v>GSM80226</v>
      </c>
      <c r="I168" t="s">
        <v>17</v>
      </c>
      <c r="J168" t="s">
        <v>18</v>
      </c>
      <c r="K168" t="s">
        <v>33</v>
      </c>
      <c r="L168" t="s">
        <v>20</v>
      </c>
      <c r="N168" t="s">
        <v>29</v>
      </c>
    </row>
    <row r="169" spans="1:14">
      <c r="A169" s="4" t="str">
        <f t="shared" si="12"/>
        <v>EXP00003</v>
      </c>
      <c r="B169" s="4" t="str">
        <f t="shared" si="10"/>
        <v>22048815</v>
      </c>
      <c r="C169" s="4" t="str">
        <f t="shared" si="11"/>
        <v>GSE10893</v>
      </c>
      <c r="D169" s="1" t="s">
        <v>14</v>
      </c>
      <c r="E169" t="s">
        <v>30</v>
      </c>
      <c r="F169" s="1">
        <v>2</v>
      </c>
      <c r="G169" s="1" t="s">
        <v>32</v>
      </c>
      <c r="H169" s="4" t="str">
        <f>HYPERLINK("https://www.ncbi.nlm.nih.gov/geo/query/acc.cgi?acc=GSM80227","GSM80227")</f>
        <v>GSM80227</v>
      </c>
      <c r="I169" t="s">
        <v>17</v>
      </c>
      <c r="J169" t="s">
        <v>18</v>
      </c>
      <c r="K169" t="s">
        <v>33</v>
      </c>
      <c r="L169" t="s">
        <v>20</v>
      </c>
      <c r="N169" t="s">
        <v>29</v>
      </c>
    </row>
    <row r="170" spans="1:14">
      <c r="A170" s="4" t="str">
        <f t="shared" si="12"/>
        <v>EXP00003</v>
      </c>
      <c r="B170" s="4" t="str">
        <f t="shared" si="10"/>
        <v>22048815</v>
      </c>
      <c r="C170" s="4" t="str">
        <f t="shared" si="11"/>
        <v>GSE10893</v>
      </c>
      <c r="D170" s="1" t="s">
        <v>14</v>
      </c>
      <c r="E170" t="s">
        <v>30</v>
      </c>
      <c r="F170" s="1">
        <v>2</v>
      </c>
      <c r="G170" s="1" t="s">
        <v>32</v>
      </c>
      <c r="H170" s="4" t="str">
        <f>HYPERLINK("https://www.ncbi.nlm.nih.gov/geo/query/acc.cgi?acc=GSM80229","GSM80229")</f>
        <v>GSM80229</v>
      </c>
      <c r="I170" t="s">
        <v>17</v>
      </c>
      <c r="J170" t="s">
        <v>18</v>
      </c>
      <c r="K170" t="s">
        <v>33</v>
      </c>
      <c r="L170" t="s">
        <v>20</v>
      </c>
      <c r="N170" t="s">
        <v>29</v>
      </c>
    </row>
    <row r="171" spans="1:14">
      <c r="A171" s="4" t="str">
        <f t="shared" si="12"/>
        <v>EXP00003</v>
      </c>
      <c r="B171" s="4" t="str">
        <f t="shared" si="10"/>
        <v>22048815</v>
      </c>
      <c r="C171" s="4" t="str">
        <f t="shared" si="11"/>
        <v>GSE10893</v>
      </c>
      <c r="D171" s="1" t="s">
        <v>14</v>
      </c>
      <c r="E171" t="s">
        <v>30</v>
      </c>
      <c r="F171" s="1">
        <v>2</v>
      </c>
      <c r="G171" s="1" t="s">
        <v>32</v>
      </c>
      <c r="H171" s="4" t="str">
        <f>HYPERLINK("https://www.ncbi.nlm.nih.gov/geo/query/acc.cgi?acc=GSM80230","GSM80230")</f>
        <v>GSM80230</v>
      </c>
      <c r="I171" t="s">
        <v>17</v>
      </c>
      <c r="J171" t="s">
        <v>18</v>
      </c>
      <c r="K171" t="s">
        <v>33</v>
      </c>
      <c r="L171" t="s">
        <v>20</v>
      </c>
      <c r="N171" t="s">
        <v>29</v>
      </c>
    </row>
    <row r="172" spans="1:14">
      <c r="A172" s="4" t="str">
        <f t="shared" si="12"/>
        <v>EXP00003</v>
      </c>
      <c r="B172" s="4" t="str">
        <f t="shared" si="10"/>
        <v>22048815</v>
      </c>
      <c r="C172" s="4" t="str">
        <f t="shared" si="11"/>
        <v>GSE10893</v>
      </c>
      <c r="D172" s="1" t="s">
        <v>14</v>
      </c>
      <c r="E172" t="s">
        <v>30</v>
      </c>
      <c r="F172" s="1">
        <v>2</v>
      </c>
      <c r="G172" s="1" t="s">
        <v>32</v>
      </c>
      <c r="H172" s="4" t="str">
        <f>HYPERLINK("https://www.ncbi.nlm.nih.gov/geo/query/acc.cgi?acc=GSM80232","GSM80232")</f>
        <v>GSM80232</v>
      </c>
      <c r="I172" t="s">
        <v>17</v>
      </c>
      <c r="J172" t="s">
        <v>18</v>
      </c>
      <c r="K172" t="s">
        <v>33</v>
      </c>
      <c r="L172" t="s">
        <v>20</v>
      </c>
      <c r="N172" t="s">
        <v>29</v>
      </c>
    </row>
    <row r="173" spans="1:14">
      <c r="A173" s="4" t="str">
        <f t="shared" si="12"/>
        <v>EXP00003</v>
      </c>
      <c r="B173" s="4" t="str">
        <f t="shared" si="10"/>
        <v>22048815</v>
      </c>
      <c r="C173" s="4" t="str">
        <f t="shared" si="11"/>
        <v>GSE10893</v>
      </c>
      <c r="D173" s="1" t="s">
        <v>14</v>
      </c>
      <c r="E173" t="s">
        <v>30</v>
      </c>
      <c r="F173" s="1">
        <v>2</v>
      </c>
      <c r="G173" s="1" t="s">
        <v>32</v>
      </c>
      <c r="H173" s="4" t="str">
        <f>HYPERLINK("https://www.ncbi.nlm.nih.gov/geo/query/acc.cgi?acc=GSM80237","GSM80237")</f>
        <v>GSM80237</v>
      </c>
      <c r="I173" t="s">
        <v>17</v>
      </c>
      <c r="J173" t="s">
        <v>18</v>
      </c>
      <c r="K173" t="s">
        <v>33</v>
      </c>
      <c r="L173" t="s">
        <v>20</v>
      </c>
      <c r="N173" t="s">
        <v>29</v>
      </c>
    </row>
    <row r="174" spans="1:14">
      <c r="A174" s="4" t="str">
        <f t="shared" si="12"/>
        <v>EXP00003</v>
      </c>
      <c r="B174" s="4" t="str">
        <f t="shared" si="10"/>
        <v>22048815</v>
      </c>
      <c r="C174" s="4" t="str">
        <f t="shared" si="11"/>
        <v>GSE10893</v>
      </c>
      <c r="D174" s="1" t="s">
        <v>14</v>
      </c>
      <c r="E174" t="s">
        <v>30</v>
      </c>
      <c r="F174" s="1">
        <v>2</v>
      </c>
      <c r="G174" s="1" t="s">
        <v>32</v>
      </c>
      <c r="H174" s="4" t="str">
        <f>HYPERLINK("https://www.ncbi.nlm.nih.gov/geo/query/acc.cgi?acc=GSM81166","GSM81166")</f>
        <v>GSM81166</v>
      </c>
      <c r="I174" t="s">
        <v>17</v>
      </c>
      <c r="J174" t="s">
        <v>18</v>
      </c>
      <c r="K174" t="s">
        <v>33</v>
      </c>
      <c r="L174" t="s">
        <v>20</v>
      </c>
      <c r="N174" t="s">
        <v>29</v>
      </c>
    </row>
    <row r="175" spans="1:14">
      <c r="A175" s="4" t="str">
        <f t="shared" si="12"/>
        <v>EXP00003</v>
      </c>
      <c r="B175" s="4" t="str">
        <f t="shared" si="10"/>
        <v>22048815</v>
      </c>
      <c r="C175" s="4" t="str">
        <f t="shared" si="11"/>
        <v>GSE10893</v>
      </c>
      <c r="D175" s="1" t="s">
        <v>14</v>
      </c>
      <c r="E175" t="s">
        <v>30</v>
      </c>
      <c r="F175" s="1">
        <v>2</v>
      </c>
      <c r="G175" s="1" t="s">
        <v>32</v>
      </c>
      <c r="H175" s="4" t="str">
        <f>HYPERLINK("https://www.ncbi.nlm.nih.gov/geo/query/acc.cgi?acc=GSM81167","GSM81167")</f>
        <v>GSM81167</v>
      </c>
      <c r="I175" t="s">
        <v>17</v>
      </c>
      <c r="J175" t="s">
        <v>18</v>
      </c>
      <c r="K175" t="s">
        <v>33</v>
      </c>
      <c r="L175" t="s">
        <v>20</v>
      </c>
      <c r="N175" t="s">
        <v>29</v>
      </c>
    </row>
    <row r="176" spans="1:14">
      <c r="A176" s="4" t="str">
        <f t="shared" si="12"/>
        <v>EXP00003</v>
      </c>
      <c r="B176" s="4" t="str">
        <f t="shared" si="10"/>
        <v>22048815</v>
      </c>
      <c r="C176" s="4" t="str">
        <f t="shared" si="11"/>
        <v>GSE10893</v>
      </c>
      <c r="D176" s="1" t="s">
        <v>14</v>
      </c>
      <c r="E176" t="s">
        <v>30</v>
      </c>
      <c r="F176" s="1">
        <v>2</v>
      </c>
      <c r="G176" s="1" t="s">
        <v>32</v>
      </c>
      <c r="H176" s="4" t="str">
        <f>HYPERLINK("https://www.ncbi.nlm.nih.gov/geo/query/acc.cgi?acc=GSM81168","GSM81168")</f>
        <v>GSM81168</v>
      </c>
      <c r="I176" t="s">
        <v>17</v>
      </c>
      <c r="J176" t="s">
        <v>18</v>
      </c>
      <c r="K176" t="s">
        <v>33</v>
      </c>
      <c r="L176" t="s">
        <v>20</v>
      </c>
      <c r="N176" t="s">
        <v>29</v>
      </c>
    </row>
    <row r="177" spans="1:14">
      <c r="A177" s="4" t="str">
        <f t="shared" si="12"/>
        <v>EXP00003</v>
      </c>
      <c r="B177" s="4" t="str">
        <f t="shared" si="10"/>
        <v>22048815</v>
      </c>
      <c r="C177" s="4" t="str">
        <f t="shared" si="11"/>
        <v>GSE10893</v>
      </c>
      <c r="D177" s="1" t="s">
        <v>14</v>
      </c>
      <c r="E177" t="s">
        <v>30</v>
      </c>
      <c r="F177" s="1">
        <v>2</v>
      </c>
      <c r="G177" s="1" t="s">
        <v>32</v>
      </c>
      <c r="H177" s="4" t="str">
        <f>HYPERLINK("https://www.ncbi.nlm.nih.gov/geo/query/acc.cgi?acc=GSM81169","GSM81169")</f>
        <v>GSM81169</v>
      </c>
      <c r="I177" t="s">
        <v>17</v>
      </c>
      <c r="J177" t="s">
        <v>18</v>
      </c>
      <c r="K177" t="s">
        <v>33</v>
      </c>
      <c r="L177" t="s">
        <v>20</v>
      </c>
      <c r="N177" t="s">
        <v>29</v>
      </c>
    </row>
    <row r="178" spans="1:14">
      <c r="A178" s="4" t="str">
        <f t="shared" si="12"/>
        <v>EXP00003</v>
      </c>
      <c r="B178" s="4" t="str">
        <f t="shared" si="10"/>
        <v>22048815</v>
      </c>
      <c r="C178" s="4" t="str">
        <f t="shared" si="11"/>
        <v>GSE10893</v>
      </c>
      <c r="D178" s="1" t="s">
        <v>14</v>
      </c>
      <c r="E178" t="s">
        <v>30</v>
      </c>
      <c r="F178" s="1">
        <v>2</v>
      </c>
      <c r="G178" s="1" t="s">
        <v>32</v>
      </c>
      <c r="H178" s="4" t="str">
        <f>HYPERLINK("https://www.ncbi.nlm.nih.gov/geo/query/acc.cgi?acc=GSM81170","GSM81170")</f>
        <v>GSM81170</v>
      </c>
      <c r="I178" t="s">
        <v>17</v>
      </c>
      <c r="J178" t="s">
        <v>18</v>
      </c>
      <c r="K178" t="s">
        <v>33</v>
      </c>
      <c r="L178" t="s">
        <v>20</v>
      </c>
      <c r="N178" t="s">
        <v>29</v>
      </c>
    </row>
    <row r="179" spans="1:14">
      <c r="A179" s="4" t="str">
        <f t="shared" ref="A179:A186" si="13">HYPERLINK("http://hcmdb.i-sanger.com/experiment/details/experiment_id/EXP00003","EXP00003")</f>
        <v>EXP00003</v>
      </c>
      <c r="B179" s="4" t="str">
        <f t="shared" si="10"/>
        <v>22048815</v>
      </c>
      <c r="C179" s="4" t="str">
        <f t="shared" si="11"/>
        <v>GSE10893</v>
      </c>
      <c r="D179" s="1" t="s">
        <v>14</v>
      </c>
      <c r="E179" t="s">
        <v>30</v>
      </c>
      <c r="F179" s="1">
        <v>2</v>
      </c>
      <c r="G179" s="1" t="s">
        <v>32</v>
      </c>
      <c r="H179" s="4" t="str">
        <f>HYPERLINK("https://www.ncbi.nlm.nih.gov/geo/query/acc.cgi?acc=GSM81171","GSM81171")</f>
        <v>GSM81171</v>
      </c>
      <c r="I179" t="s">
        <v>17</v>
      </c>
      <c r="J179" t="s">
        <v>18</v>
      </c>
      <c r="K179" t="s">
        <v>33</v>
      </c>
      <c r="L179" t="s">
        <v>20</v>
      </c>
      <c r="N179" t="s">
        <v>29</v>
      </c>
    </row>
    <row r="180" spans="1:14">
      <c r="A180" s="4" t="str">
        <f t="shared" si="13"/>
        <v>EXP00003</v>
      </c>
      <c r="B180" s="4" t="str">
        <f t="shared" si="10"/>
        <v>22048815</v>
      </c>
      <c r="C180" s="4" t="str">
        <f t="shared" si="11"/>
        <v>GSE10893</v>
      </c>
      <c r="D180" s="1" t="s">
        <v>14</v>
      </c>
      <c r="E180" t="s">
        <v>30</v>
      </c>
      <c r="F180" s="1">
        <v>2</v>
      </c>
      <c r="G180" s="1" t="s">
        <v>32</v>
      </c>
      <c r="H180" s="4" t="str">
        <f>HYPERLINK("https://www.ncbi.nlm.nih.gov/geo/query/acc.cgi?acc=GSM81172","GSM81172")</f>
        <v>GSM81172</v>
      </c>
      <c r="I180" t="s">
        <v>17</v>
      </c>
      <c r="J180" t="s">
        <v>18</v>
      </c>
      <c r="K180" t="s">
        <v>33</v>
      </c>
      <c r="L180" t="s">
        <v>20</v>
      </c>
      <c r="N180" t="s">
        <v>29</v>
      </c>
    </row>
    <row r="181" spans="1:14">
      <c r="A181" s="4" t="str">
        <f t="shared" si="13"/>
        <v>EXP00003</v>
      </c>
      <c r="B181" s="4" t="str">
        <f t="shared" si="10"/>
        <v>22048815</v>
      </c>
      <c r="C181" s="4" t="str">
        <f t="shared" si="11"/>
        <v>GSE10893</v>
      </c>
      <c r="D181" s="1" t="s">
        <v>14</v>
      </c>
      <c r="E181" t="s">
        <v>30</v>
      </c>
      <c r="F181" s="1">
        <v>2</v>
      </c>
      <c r="G181" s="1" t="s">
        <v>32</v>
      </c>
      <c r="H181" s="4" t="str">
        <f>HYPERLINK("https://www.ncbi.nlm.nih.gov/geo/query/acc.cgi?acc=GSM81173","GSM81173")</f>
        <v>GSM81173</v>
      </c>
      <c r="I181" t="s">
        <v>17</v>
      </c>
      <c r="J181" t="s">
        <v>18</v>
      </c>
      <c r="K181" t="s">
        <v>33</v>
      </c>
      <c r="L181" t="s">
        <v>20</v>
      </c>
      <c r="N181" t="s">
        <v>29</v>
      </c>
    </row>
    <row r="182" spans="1:14">
      <c r="A182" s="4" t="str">
        <f t="shared" si="13"/>
        <v>EXP00003</v>
      </c>
      <c r="B182" s="4" t="str">
        <f t="shared" si="10"/>
        <v>22048815</v>
      </c>
      <c r="C182" s="4" t="str">
        <f t="shared" si="11"/>
        <v>GSE10893</v>
      </c>
      <c r="D182" s="1" t="s">
        <v>14</v>
      </c>
      <c r="E182" t="s">
        <v>30</v>
      </c>
      <c r="F182" s="1">
        <v>2</v>
      </c>
      <c r="G182" s="1" t="s">
        <v>32</v>
      </c>
      <c r="H182" s="4" t="str">
        <f>HYPERLINK("https://www.ncbi.nlm.nih.gov/geo/query/acc.cgi?acc=GSM81174","GSM81174")</f>
        <v>GSM81174</v>
      </c>
      <c r="I182" t="s">
        <v>17</v>
      </c>
      <c r="J182" t="s">
        <v>18</v>
      </c>
      <c r="K182" t="s">
        <v>33</v>
      </c>
      <c r="L182" t="s">
        <v>20</v>
      </c>
      <c r="N182" t="s">
        <v>29</v>
      </c>
    </row>
    <row r="183" spans="1:14">
      <c r="A183" s="4" t="str">
        <f t="shared" si="13"/>
        <v>EXP00003</v>
      </c>
      <c r="B183" s="4" t="str">
        <f t="shared" si="10"/>
        <v>22048815</v>
      </c>
      <c r="C183" s="4" t="str">
        <f t="shared" si="11"/>
        <v>GSE10893</v>
      </c>
      <c r="D183" s="1" t="s">
        <v>14</v>
      </c>
      <c r="E183" t="s">
        <v>30</v>
      </c>
      <c r="F183" s="1">
        <v>2</v>
      </c>
      <c r="G183" s="1" t="s">
        <v>32</v>
      </c>
      <c r="H183" s="4" t="str">
        <f>HYPERLINK("https://www.ncbi.nlm.nih.gov/geo/query/acc.cgi?acc=GSM81175","GSM81175")</f>
        <v>GSM81175</v>
      </c>
      <c r="I183" t="s">
        <v>17</v>
      </c>
      <c r="J183" t="s">
        <v>18</v>
      </c>
      <c r="K183" t="s">
        <v>33</v>
      </c>
      <c r="L183" t="s">
        <v>20</v>
      </c>
      <c r="N183" t="s">
        <v>29</v>
      </c>
    </row>
    <row r="184" spans="1:14">
      <c r="A184" s="4" t="str">
        <f t="shared" si="13"/>
        <v>EXP00003</v>
      </c>
      <c r="B184" s="4" t="str">
        <f t="shared" si="10"/>
        <v>22048815</v>
      </c>
      <c r="C184" s="4" t="str">
        <f t="shared" si="11"/>
        <v>GSE10893</v>
      </c>
      <c r="D184" s="1" t="s">
        <v>14</v>
      </c>
      <c r="E184" t="s">
        <v>30</v>
      </c>
      <c r="F184" s="1">
        <v>2</v>
      </c>
      <c r="G184" s="1" t="s">
        <v>32</v>
      </c>
      <c r="H184" s="4" t="str">
        <f>HYPERLINK("https://www.ncbi.nlm.nih.gov/geo/query/acc.cgi?acc=GSM81176","GSM81176")</f>
        <v>GSM81176</v>
      </c>
      <c r="I184" t="s">
        <v>17</v>
      </c>
      <c r="J184" t="s">
        <v>18</v>
      </c>
      <c r="K184" t="s">
        <v>33</v>
      </c>
      <c r="L184" t="s">
        <v>20</v>
      </c>
      <c r="N184" t="s">
        <v>29</v>
      </c>
    </row>
    <row r="185" spans="1:14">
      <c r="A185" s="4" t="str">
        <f t="shared" si="13"/>
        <v>EXP00003</v>
      </c>
      <c r="B185" s="4" t="str">
        <f t="shared" si="10"/>
        <v>22048815</v>
      </c>
      <c r="C185" s="4" t="str">
        <f t="shared" si="11"/>
        <v>GSE10893</v>
      </c>
      <c r="D185" s="1" t="s">
        <v>14</v>
      </c>
      <c r="E185" t="s">
        <v>30</v>
      </c>
      <c r="F185" s="1">
        <v>2</v>
      </c>
      <c r="G185" s="1" t="s">
        <v>32</v>
      </c>
      <c r="H185" s="4" t="str">
        <f>HYPERLINK("https://www.ncbi.nlm.nih.gov/geo/query/acc.cgi?acc=GSM81177","GSM81177")</f>
        <v>GSM81177</v>
      </c>
      <c r="I185" t="s">
        <v>17</v>
      </c>
      <c r="J185" t="s">
        <v>18</v>
      </c>
      <c r="K185" t="s">
        <v>33</v>
      </c>
      <c r="L185" t="s">
        <v>20</v>
      </c>
      <c r="N185" t="s">
        <v>29</v>
      </c>
    </row>
    <row r="186" spans="1:14">
      <c r="A186" s="4" t="str">
        <f t="shared" si="13"/>
        <v>EXP00003</v>
      </c>
      <c r="B186" s="4" t="str">
        <f t="shared" si="10"/>
        <v>22048815</v>
      </c>
      <c r="C186" s="4" t="str">
        <f t="shared" si="11"/>
        <v>GSE10893</v>
      </c>
      <c r="D186" s="1" t="s">
        <v>14</v>
      </c>
      <c r="E186" t="s">
        <v>30</v>
      </c>
      <c r="F186" s="1">
        <v>2</v>
      </c>
      <c r="G186" s="1" t="s">
        <v>32</v>
      </c>
      <c r="H186" s="4" t="str">
        <f>HYPERLINK("https://www.ncbi.nlm.nih.gov/geo/query/acc.cgi?acc=GSM81178","GSM81178")</f>
        <v>GSM81178</v>
      </c>
      <c r="I186" t="s">
        <v>17</v>
      </c>
      <c r="J186" t="s">
        <v>18</v>
      </c>
      <c r="K186" t="s">
        <v>33</v>
      </c>
      <c r="L186" t="s">
        <v>20</v>
      </c>
      <c r="N186" t="s">
        <v>29</v>
      </c>
    </row>
    <row r="187" spans="1:14">
      <c r="A187" s="4" t="str">
        <f t="shared" ref="A187:A218" si="14">HYPERLINK("http://hcmdb.i-sanger.com/experiment/details/experiment_id/EXP00004","EXP00004")</f>
        <v>EXP00004</v>
      </c>
      <c r="B187" s="4" t="str">
        <f t="shared" si="10"/>
        <v>22048815</v>
      </c>
      <c r="C187" s="4" t="str">
        <f t="shared" si="11"/>
        <v>GSE10893</v>
      </c>
      <c r="D187" s="1" t="s">
        <v>14</v>
      </c>
      <c r="E187" t="s">
        <v>35</v>
      </c>
      <c r="F187" s="1">
        <v>1</v>
      </c>
      <c r="G187" s="1" t="s">
        <v>36</v>
      </c>
      <c r="H187" s="4" t="str">
        <f>HYPERLINK("https://www.ncbi.nlm.nih.gov/geo/query/acc.cgi?acc=GSM34482","GSM34482")</f>
        <v>GSM34482</v>
      </c>
      <c r="I187" t="s">
        <v>17</v>
      </c>
      <c r="J187" t="s">
        <v>18</v>
      </c>
      <c r="K187" t="s">
        <v>33</v>
      </c>
      <c r="L187" t="s">
        <v>20</v>
      </c>
      <c r="N187" t="s">
        <v>37</v>
      </c>
    </row>
    <row r="188" spans="1:14">
      <c r="A188" s="4" t="str">
        <f t="shared" si="14"/>
        <v>EXP00004</v>
      </c>
      <c r="B188" s="4" t="str">
        <f t="shared" si="10"/>
        <v>22048815</v>
      </c>
      <c r="C188" s="4" t="str">
        <f t="shared" si="11"/>
        <v>GSE10893</v>
      </c>
      <c r="D188" s="1" t="s">
        <v>14</v>
      </c>
      <c r="E188" t="s">
        <v>35</v>
      </c>
      <c r="F188" s="1">
        <v>1</v>
      </c>
      <c r="G188" s="1" t="s">
        <v>36</v>
      </c>
      <c r="H188" s="4" t="str">
        <f>HYPERLINK("https://www.ncbi.nlm.nih.gov/geo/query/acc.cgi?acc=GSM34483","GSM34483")</f>
        <v>GSM34483</v>
      </c>
      <c r="I188" t="s">
        <v>17</v>
      </c>
      <c r="J188" t="s">
        <v>18</v>
      </c>
      <c r="K188" t="s">
        <v>33</v>
      </c>
      <c r="L188" t="s">
        <v>20</v>
      </c>
      <c r="N188" t="s">
        <v>37</v>
      </c>
    </row>
    <row r="189" spans="1:14">
      <c r="A189" s="4" t="str">
        <f t="shared" si="14"/>
        <v>EXP00004</v>
      </c>
      <c r="B189" s="4" t="str">
        <f t="shared" si="10"/>
        <v>22048815</v>
      </c>
      <c r="C189" s="4" t="str">
        <f t="shared" si="11"/>
        <v>GSE10893</v>
      </c>
      <c r="D189" s="1" t="s">
        <v>14</v>
      </c>
      <c r="E189" t="s">
        <v>35</v>
      </c>
      <c r="F189" s="1">
        <v>1</v>
      </c>
      <c r="G189" s="1" t="s">
        <v>36</v>
      </c>
      <c r="H189" s="4" t="str">
        <f>HYPERLINK("https://www.ncbi.nlm.nih.gov/geo/query/acc.cgi?acc=GSM34547","GSM34547")</f>
        <v>GSM34547</v>
      </c>
      <c r="I189" t="s">
        <v>17</v>
      </c>
      <c r="J189" t="s">
        <v>18</v>
      </c>
      <c r="K189" t="s">
        <v>33</v>
      </c>
      <c r="L189" t="s">
        <v>20</v>
      </c>
      <c r="N189" t="s">
        <v>37</v>
      </c>
    </row>
    <row r="190" spans="1:14">
      <c r="A190" s="4" t="str">
        <f t="shared" si="14"/>
        <v>EXP00004</v>
      </c>
      <c r="B190" s="4" t="str">
        <f t="shared" si="10"/>
        <v>22048815</v>
      </c>
      <c r="C190" s="4" t="str">
        <f t="shared" si="11"/>
        <v>GSE10893</v>
      </c>
      <c r="D190" s="1" t="s">
        <v>14</v>
      </c>
      <c r="E190" t="s">
        <v>35</v>
      </c>
      <c r="F190" s="1">
        <v>1</v>
      </c>
      <c r="G190" s="1" t="s">
        <v>36</v>
      </c>
      <c r="H190" s="4" t="str">
        <f>HYPERLINK("https://www.ncbi.nlm.nih.gov/geo/query/acc.cgi?acc=GSM372539","GSM372539")</f>
        <v>GSM372539</v>
      </c>
      <c r="I190" t="s">
        <v>17</v>
      </c>
      <c r="J190" t="s">
        <v>18</v>
      </c>
      <c r="K190" t="s">
        <v>33</v>
      </c>
      <c r="L190" t="s">
        <v>20</v>
      </c>
      <c r="N190" t="s">
        <v>37</v>
      </c>
    </row>
    <row r="191" spans="1:14">
      <c r="A191" s="4" t="str">
        <f t="shared" si="14"/>
        <v>EXP00004</v>
      </c>
      <c r="B191" s="4" t="str">
        <f t="shared" si="10"/>
        <v>22048815</v>
      </c>
      <c r="C191" s="4" t="str">
        <f t="shared" si="11"/>
        <v>GSE10893</v>
      </c>
      <c r="D191" s="1" t="s">
        <v>14</v>
      </c>
      <c r="E191" t="s">
        <v>35</v>
      </c>
      <c r="F191" s="1">
        <v>1</v>
      </c>
      <c r="G191" s="1" t="s">
        <v>36</v>
      </c>
      <c r="H191" s="4" t="str">
        <f>HYPERLINK("https://www.ncbi.nlm.nih.gov/geo/query/acc.cgi?acc=GSM372540","GSM372540")</f>
        <v>GSM372540</v>
      </c>
      <c r="I191" t="s">
        <v>17</v>
      </c>
      <c r="J191" t="s">
        <v>18</v>
      </c>
      <c r="K191" t="s">
        <v>33</v>
      </c>
      <c r="L191" t="s">
        <v>20</v>
      </c>
      <c r="N191" t="s">
        <v>37</v>
      </c>
    </row>
    <row r="192" spans="1:14">
      <c r="A192" s="4" t="str">
        <f t="shared" si="14"/>
        <v>EXP00004</v>
      </c>
      <c r="B192" s="4" t="str">
        <f t="shared" si="10"/>
        <v>22048815</v>
      </c>
      <c r="C192" s="4" t="str">
        <f t="shared" si="11"/>
        <v>GSE10893</v>
      </c>
      <c r="D192" s="1" t="s">
        <v>14</v>
      </c>
      <c r="E192" t="s">
        <v>35</v>
      </c>
      <c r="F192" s="1">
        <v>1</v>
      </c>
      <c r="G192" s="1" t="s">
        <v>36</v>
      </c>
      <c r="H192" s="4" t="str">
        <f>HYPERLINK("https://www.ncbi.nlm.nih.gov/geo/query/acc.cgi?acc=GSM372541","GSM372541")</f>
        <v>GSM372541</v>
      </c>
      <c r="I192" t="s">
        <v>17</v>
      </c>
      <c r="J192" t="s">
        <v>18</v>
      </c>
      <c r="K192" t="s">
        <v>33</v>
      </c>
      <c r="L192" t="s">
        <v>20</v>
      </c>
      <c r="N192" t="s">
        <v>37</v>
      </c>
    </row>
    <row r="193" spans="1:14">
      <c r="A193" s="4" t="str">
        <f t="shared" si="14"/>
        <v>EXP00004</v>
      </c>
      <c r="B193" s="4" t="str">
        <f t="shared" si="10"/>
        <v>22048815</v>
      </c>
      <c r="C193" s="4" t="str">
        <f t="shared" si="11"/>
        <v>GSE10893</v>
      </c>
      <c r="D193" s="1" t="s">
        <v>14</v>
      </c>
      <c r="E193" t="s">
        <v>35</v>
      </c>
      <c r="F193" s="1">
        <v>1</v>
      </c>
      <c r="G193" s="1" t="s">
        <v>36</v>
      </c>
      <c r="H193" s="4" t="str">
        <f>HYPERLINK("https://www.ncbi.nlm.nih.gov/geo/query/acc.cgi?acc=GSM372562","GSM372562")</f>
        <v>GSM372562</v>
      </c>
      <c r="I193" t="s">
        <v>17</v>
      </c>
      <c r="J193" t="s">
        <v>18</v>
      </c>
      <c r="K193" t="s">
        <v>33</v>
      </c>
      <c r="L193" t="s">
        <v>20</v>
      </c>
      <c r="N193" t="s">
        <v>37</v>
      </c>
    </row>
    <row r="194" spans="1:14">
      <c r="A194" s="4" t="str">
        <f t="shared" si="14"/>
        <v>EXP00004</v>
      </c>
      <c r="B194" s="4" t="str">
        <f t="shared" ref="B194:B257" si="15">HYPERLINK("https://www.ncbi.nlm.nih.gov/pubmed/22048815","22048815")</f>
        <v>22048815</v>
      </c>
      <c r="C194" s="4" t="str">
        <f t="shared" ref="C194:C257" si="16">HYPERLINK("https://www.ncbi.nlm.nih.gov/geo/query/acc.cgi?acc=GSE10893","GSE10893")</f>
        <v>GSE10893</v>
      </c>
      <c r="D194" s="1" t="s">
        <v>14</v>
      </c>
      <c r="E194" t="s">
        <v>35</v>
      </c>
      <c r="F194" s="1">
        <v>1</v>
      </c>
      <c r="G194" s="1" t="s">
        <v>36</v>
      </c>
      <c r="H194" s="4" t="str">
        <f>HYPERLINK("https://www.ncbi.nlm.nih.gov/geo/query/acc.cgi?acc=GSM372563","GSM372563")</f>
        <v>GSM372563</v>
      </c>
      <c r="I194" t="s">
        <v>17</v>
      </c>
      <c r="J194" t="s">
        <v>18</v>
      </c>
      <c r="K194" t="s">
        <v>33</v>
      </c>
      <c r="L194" t="s">
        <v>20</v>
      </c>
      <c r="N194" t="s">
        <v>37</v>
      </c>
    </row>
    <row r="195" spans="1:14">
      <c r="A195" s="4" t="str">
        <f t="shared" si="14"/>
        <v>EXP00004</v>
      </c>
      <c r="B195" s="4" t="str">
        <f t="shared" si="15"/>
        <v>22048815</v>
      </c>
      <c r="C195" s="4" t="str">
        <f t="shared" si="16"/>
        <v>GSE10893</v>
      </c>
      <c r="D195" s="1" t="s">
        <v>14</v>
      </c>
      <c r="E195" t="s">
        <v>35</v>
      </c>
      <c r="F195" s="1">
        <v>2</v>
      </c>
      <c r="G195" s="1" t="s">
        <v>28</v>
      </c>
      <c r="H195" s="4" t="str">
        <f>HYPERLINK("https://www.ncbi.nlm.nih.gov/geo/query/acc.cgi?acc=GSM141001","GSM141001")</f>
        <v>GSM141001</v>
      </c>
      <c r="I195" t="s">
        <v>17</v>
      </c>
      <c r="J195" t="s">
        <v>18</v>
      </c>
      <c r="K195" t="s">
        <v>33</v>
      </c>
      <c r="L195" t="s">
        <v>20</v>
      </c>
      <c r="N195" t="s">
        <v>29</v>
      </c>
    </row>
    <row r="196" spans="1:14">
      <c r="A196" s="4" t="str">
        <f t="shared" si="14"/>
        <v>EXP00004</v>
      </c>
      <c r="B196" s="4" t="str">
        <f t="shared" si="15"/>
        <v>22048815</v>
      </c>
      <c r="C196" s="4" t="str">
        <f t="shared" si="16"/>
        <v>GSE10893</v>
      </c>
      <c r="D196" s="1" t="s">
        <v>14</v>
      </c>
      <c r="E196" t="s">
        <v>35</v>
      </c>
      <c r="F196" s="1">
        <v>2</v>
      </c>
      <c r="G196" s="1" t="s">
        <v>28</v>
      </c>
      <c r="H196" s="4" t="str">
        <f>HYPERLINK("https://www.ncbi.nlm.nih.gov/geo/query/acc.cgi?acc=GSM141002","GSM141002")</f>
        <v>GSM141002</v>
      </c>
      <c r="I196" t="s">
        <v>17</v>
      </c>
      <c r="J196" t="s">
        <v>18</v>
      </c>
      <c r="K196" t="s">
        <v>33</v>
      </c>
      <c r="L196" t="s">
        <v>20</v>
      </c>
      <c r="N196" t="s">
        <v>29</v>
      </c>
    </row>
    <row r="197" spans="1:14">
      <c r="A197" s="4" t="str">
        <f t="shared" si="14"/>
        <v>EXP00004</v>
      </c>
      <c r="B197" s="4" t="str">
        <f t="shared" si="15"/>
        <v>22048815</v>
      </c>
      <c r="C197" s="4" t="str">
        <f t="shared" si="16"/>
        <v>GSE10893</v>
      </c>
      <c r="D197" s="1" t="s">
        <v>14</v>
      </c>
      <c r="E197" t="s">
        <v>35</v>
      </c>
      <c r="F197" s="1">
        <v>2</v>
      </c>
      <c r="G197" s="1" t="s">
        <v>28</v>
      </c>
      <c r="H197" s="4" t="str">
        <f>HYPERLINK("https://www.ncbi.nlm.nih.gov/geo/query/acc.cgi?acc=GSM141008","GSM141008")</f>
        <v>GSM141008</v>
      </c>
      <c r="I197" t="s">
        <v>17</v>
      </c>
      <c r="J197" t="s">
        <v>18</v>
      </c>
      <c r="K197" t="s">
        <v>33</v>
      </c>
      <c r="L197" t="s">
        <v>20</v>
      </c>
      <c r="N197" t="s">
        <v>29</v>
      </c>
    </row>
    <row r="198" spans="1:14">
      <c r="A198" s="4" t="str">
        <f t="shared" si="14"/>
        <v>EXP00004</v>
      </c>
      <c r="B198" s="4" t="str">
        <f t="shared" si="15"/>
        <v>22048815</v>
      </c>
      <c r="C198" s="4" t="str">
        <f t="shared" si="16"/>
        <v>GSE10893</v>
      </c>
      <c r="D198" s="1" t="s">
        <v>14</v>
      </c>
      <c r="E198" t="s">
        <v>35</v>
      </c>
      <c r="F198" s="1">
        <v>2</v>
      </c>
      <c r="G198" s="1" t="s">
        <v>28</v>
      </c>
      <c r="H198" s="4" t="str">
        <f>HYPERLINK("https://www.ncbi.nlm.nih.gov/geo/query/acc.cgi?acc=GSM141017","GSM141017")</f>
        <v>GSM141017</v>
      </c>
      <c r="I198" t="s">
        <v>17</v>
      </c>
      <c r="J198" t="s">
        <v>18</v>
      </c>
      <c r="K198" t="s">
        <v>33</v>
      </c>
      <c r="L198" t="s">
        <v>20</v>
      </c>
      <c r="N198" t="s">
        <v>29</v>
      </c>
    </row>
    <row r="199" spans="1:14">
      <c r="A199" s="4" t="str">
        <f t="shared" si="14"/>
        <v>EXP00004</v>
      </c>
      <c r="B199" s="4" t="str">
        <f t="shared" si="15"/>
        <v>22048815</v>
      </c>
      <c r="C199" s="4" t="str">
        <f t="shared" si="16"/>
        <v>GSE10893</v>
      </c>
      <c r="D199" s="1" t="s">
        <v>14</v>
      </c>
      <c r="E199" t="s">
        <v>35</v>
      </c>
      <c r="F199" s="1">
        <v>2</v>
      </c>
      <c r="G199" s="1" t="s">
        <v>28</v>
      </c>
      <c r="H199" s="4" t="str">
        <f>HYPERLINK("https://www.ncbi.nlm.nih.gov/geo/query/acc.cgi?acc=GSM141022","GSM141022")</f>
        <v>GSM141022</v>
      </c>
      <c r="I199" t="s">
        <v>17</v>
      </c>
      <c r="J199" t="s">
        <v>18</v>
      </c>
      <c r="K199" t="s">
        <v>33</v>
      </c>
      <c r="L199" t="s">
        <v>20</v>
      </c>
      <c r="N199" t="s">
        <v>29</v>
      </c>
    </row>
    <row r="200" spans="1:14">
      <c r="A200" s="4" t="str">
        <f t="shared" si="14"/>
        <v>EXP00004</v>
      </c>
      <c r="B200" s="4" t="str">
        <f t="shared" si="15"/>
        <v>22048815</v>
      </c>
      <c r="C200" s="4" t="str">
        <f t="shared" si="16"/>
        <v>GSE10893</v>
      </c>
      <c r="D200" s="1" t="s">
        <v>14</v>
      </c>
      <c r="E200" t="s">
        <v>35</v>
      </c>
      <c r="F200" s="1">
        <v>2</v>
      </c>
      <c r="G200" s="1" t="s">
        <v>28</v>
      </c>
      <c r="H200" s="4" t="str">
        <f>HYPERLINK("https://www.ncbi.nlm.nih.gov/geo/query/acc.cgi?acc=GSM141086","GSM141086")</f>
        <v>GSM141086</v>
      </c>
      <c r="I200" t="s">
        <v>17</v>
      </c>
      <c r="J200" t="s">
        <v>18</v>
      </c>
      <c r="K200" t="s">
        <v>33</v>
      </c>
      <c r="L200" t="s">
        <v>20</v>
      </c>
      <c r="N200" t="s">
        <v>29</v>
      </c>
    </row>
    <row r="201" spans="1:14">
      <c r="A201" s="4" t="str">
        <f t="shared" si="14"/>
        <v>EXP00004</v>
      </c>
      <c r="B201" s="4" t="str">
        <f t="shared" si="15"/>
        <v>22048815</v>
      </c>
      <c r="C201" s="4" t="str">
        <f t="shared" si="16"/>
        <v>GSE10893</v>
      </c>
      <c r="D201" s="1" t="s">
        <v>14</v>
      </c>
      <c r="E201" t="s">
        <v>35</v>
      </c>
      <c r="F201" s="1">
        <v>2</v>
      </c>
      <c r="G201" s="1" t="s">
        <v>28</v>
      </c>
      <c r="H201" s="4" t="str">
        <f>HYPERLINK("https://www.ncbi.nlm.nih.gov/geo/query/acc.cgi?acc=GSM141090","GSM141090")</f>
        <v>GSM141090</v>
      </c>
      <c r="I201" t="s">
        <v>17</v>
      </c>
      <c r="J201" t="s">
        <v>18</v>
      </c>
      <c r="K201" t="s">
        <v>33</v>
      </c>
      <c r="L201" t="s">
        <v>20</v>
      </c>
      <c r="N201" t="s">
        <v>29</v>
      </c>
    </row>
    <row r="202" spans="1:14">
      <c r="A202" s="4" t="str">
        <f t="shared" si="14"/>
        <v>EXP00004</v>
      </c>
      <c r="B202" s="4" t="str">
        <f t="shared" si="15"/>
        <v>22048815</v>
      </c>
      <c r="C202" s="4" t="str">
        <f t="shared" si="16"/>
        <v>GSE10893</v>
      </c>
      <c r="D202" s="1" t="s">
        <v>14</v>
      </c>
      <c r="E202" t="s">
        <v>35</v>
      </c>
      <c r="F202" s="1">
        <v>2</v>
      </c>
      <c r="G202" s="1" t="s">
        <v>28</v>
      </c>
      <c r="H202" s="4" t="str">
        <f>HYPERLINK("https://www.ncbi.nlm.nih.gov/geo/query/acc.cgi?acc=GSM141092","GSM141092")</f>
        <v>GSM141092</v>
      </c>
      <c r="I202" t="s">
        <v>17</v>
      </c>
      <c r="J202" t="s">
        <v>18</v>
      </c>
      <c r="K202" t="s">
        <v>33</v>
      </c>
      <c r="L202" t="s">
        <v>20</v>
      </c>
      <c r="N202" t="s">
        <v>29</v>
      </c>
    </row>
    <row r="203" spans="1:14">
      <c r="A203" s="4" t="str">
        <f t="shared" si="14"/>
        <v>EXP00004</v>
      </c>
      <c r="B203" s="4" t="str">
        <f t="shared" si="15"/>
        <v>22048815</v>
      </c>
      <c r="C203" s="4" t="str">
        <f t="shared" si="16"/>
        <v>GSE10893</v>
      </c>
      <c r="D203" s="1" t="s">
        <v>14</v>
      </c>
      <c r="E203" t="s">
        <v>35</v>
      </c>
      <c r="F203" s="1">
        <v>2</v>
      </c>
      <c r="G203" s="1" t="s">
        <v>28</v>
      </c>
      <c r="H203" s="4" t="str">
        <f>HYPERLINK("https://www.ncbi.nlm.nih.gov/geo/query/acc.cgi?acc=GSM141093","GSM141093")</f>
        <v>GSM141093</v>
      </c>
      <c r="I203" t="s">
        <v>17</v>
      </c>
      <c r="J203" t="s">
        <v>18</v>
      </c>
      <c r="K203" t="s">
        <v>33</v>
      </c>
      <c r="L203" t="s">
        <v>20</v>
      </c>
      <c r="N203" t="s">
        <v>29</v>
      </c>
    </row>
    <row r="204" spans="1:14">
      <c r="A204" s="4" t="str">
        <f t="shared" si="14"/>
        <v>EXP00004</v>
      </c>
      <c r="B204" s="4" t="str">
        <f t="shared" si="15"/>
        <v>22048815</v>
      </c>
      <c r="C204" s="4" t="str">
        <f t="shared" si="16"/>
        <v>GSE10893</v>
      </c>
      <c r="D204" s="1" t="s">
        <v>14</v>
      </c>
      <c r="E204" t="s">
        <v>35</v>
      </c>
      <c r="F204" s="1">
        <v>2</v>
      </c>
      <c r="G204" s="1" t="s">
        <v>28</v>
      </c>
      <c r="H204" s="4" t="str">
        <f>HYPERLINK("https://www.ncbi.nlm.nih.gov/geo/query/acc.cgi?acc=GSM141094","GSM141094")</f>
        <v>GSM141094</v>
      </c>
      <c r="I204" t="s">
        <v>17</v>
      </c>
      <c r="J204" t="s">
        <v>18</v>
      </c>
      <c r="K204" t="s">
        <v>33</v>
      </c>
      <c r="L204" t="s">
        <v>20</v>
      </c>
      <c r="N204" t="s">
        <v>29</v>
      </c>
    </row>
    <row r="205" spans="1:14">
      <c r="A205" s="4" t="str">
        <f t="shared" si="14"/>
        <v>EXP00004</v>
      </c>
      <c r="B205" s="4" t="str">
        <f t="shared" si="15"/>
        <v>22048815</v>
      </c>
      <c r="C205" s="4" t="str">
        <f t="shared" si="16"/>
        <v>GSE10893</v>
      </c>
      <c r="D205" s="1" t="s">
        <v>14</v>
      </c>
      <c r="E205" t="s">
        <v>35</v>
      </c>
      <c r="F205" s="1">
        <v>2</v>
      </c>
      <c r="G205" s="1" t="s">
        <v>28</v>
      </c>
      <c r="H205" s="4" t="str">
        <f>HYPERLINK("https://www.ncbi.nlm.nih.gov/geo/query/acc.cgi?acc=GSM141095","GSM141095")</f>
        <v>GSM141095</v>
      </c>
      <c r="I205" t="s">
        <v>17</v>
      </c>
      <c r="J205" t="s">
        <v>18</v>
      </c>
      <c r="K205" t="s">
        <v>33</v>
      </c>
      <c r="L205" t="s">
        <v>20</v>
      </c>
      <c r="N205" t="s">
        <v>29</v>
      </c>
    </row>
    <row r="206" spans="1:14">
      <c r="A206" s="4" t="str">
        <f t="shared" si="14"/>
        <v>EXP00004</v>
      </c>
      <c r="B206" s="4" t="str">
        <f t="shared" si="15"/>
        <v>22048815</v>
      </c>
      <c r="C206" s="4" t="str">
        <f t="shared" si="16"/>
        <v>GSE10893</v>
      </c>
      <c r="D206" s="1" t="s">
        <v>14</v>
      </c>
      <c r="E206" t="s">
        <v>35</v>
      </c>
      <c r="F206" s="1">
        <v>2</v>
      </c>
      <c r="G206" s="1" t="s">
        <v>28</v>
      </c>
      <c r="H206" s="4" t="str">
        <f>HYPERLINK("https://www.ncbi.nlm.nih.gov/geo/query/acc.cgi?acc=GSM141098","GSM141098")</f>
        <v>GSM141098</v>
      </c>
      <c r="I206" t="s">
        <v>17</v>
      </c>
      <c r="J206" t="s">
        <v>18</v>
      </c>
      <c r="K206" t="s">
        <v>33</v>
      </c>
      <c r="L206" t="s">
        <v>20</v>
      </c>
      <c r="N206" t="s">
        <v>29</v>
      </c>
    </row>
    <row r="207" spans="1:14">
      <c r="A207" s="4" t="str">
        <f t="shared" si="14"/>
        <v>EXP00004</v>
      </c>
      <c r="B207" s="4" t="str">
        <f t="shared" si="15"/>
        <v>22048815</v>
      </c>
      <c r="C207" s="4" t="str">
        <f t="shared" si="16"/>
        <v>GSE10893</v>
      </c>
      <c r="D207" s="1" t="s">
        <v>14</v>
      </c>
      <c r="E207" t="s">
        <v>35</v>
      </c>
      <c r="F207" s="1">
        <v>2</v>
      </c>
      <c r="G207" s="1" t="s">
        <v>28</v>
      </c>
      <c r="H207" s="4" t="str">
        <f>HYPERLINK("https://www.ncbi.nlm.nih.gov/geo/query/acc.cgi?acc=GSM141099","GSM141099")</f>
        <v>GSM141099</v>
      </c>
      <c r="I207" t="s">
        <v>17</v>
      </c>
      <c r="J207" t="s">
        <v>18</v>
      </c>
      <c r="K207" t="s">
        <v>33</v>
      </c>
      <c r="L207" t="s">
        <v>20</v>
      </c>
      <c r="N207" t="s">
        <v>29</v>
      </c>
    </row>
    <row r="208" spans="1:14">
      <c r="A208" s="4" t="str">
        <f t="shared" si="14"/>
        <v>EXP00004</v>
      </c>
      <c r="B208" s="4" t="str">
        <f t="shared" si="15"/>
        <v>22048815</v>
      </c>
      <c r="C208" s="4" t="str">
        <f t="shared" si="16"/>
        <v>GSE10893</v>
      </c>
      <c r="D208" s="1" t="s">
        <v>14</v>
      </c>
      <c r="E208" t="s">
        <v>35</v>
      </c>
      <c r="F208" s="1">
        <v>2</v>
      </c>
      <c r="G208" s="1" t="s">
        <v>28</v>
      </c>
      <c r="H208" s="4" t="str">
        <f>HYPERLINK("https://www.ncbi.nlm.nih.gov/geo/query/acc.cgi?acc=GSM141100","GSM141100")</f>
        <v>GSM141100</v>
      </c>
      <c r="I208" t="s">
        <v>17</v>
      </c>
      <c r="J208" t="s">
        <v>18</v>
      </c>
      <c r="K208" t="s">
        <v>33</v>
      </c>
      <c r="L208" t="s">
        <v>20</v>
      </c>
      <c r="N208" t="s">
        <v>29</v>
      </c>
    </row>
    <row r="209" spans="1:14">
      <c r="A209" s="4" t="str">
        <f t="shared" si="14"/>
        <v>EXP00004</v>
      </c>
      <c r="B209" s="4" t="str">
        <f t="shared" si="15"/>
        <v>22048815</v>
      </c>
      <c r="C209" s="4" t="str">
        <f t="shared" si="16"/>
        <v>GSE10893</v>
      </c>
      <c r="D209" s="1" t="s">
        <v>14</v>
      </c>
      <c r="E209" t="s">
        <v>35</v>
      </c>
      <c r="F209" s="1">
        <v>2</v>
      </c>
      <c r="G209" s="1" t="s">
        <v>28</v>
      </c>
      <c r="H209" s="4" t="str">
        <f>HYPERLINK("https://www.ncbi.nlm.nih.gov/geo/query/acc.cgi?acc=GSM141101","GSM141101")</f>
        <v>GSM141101</v>
      </c>
      <c r="I209" t="s">
        <v>17</v>
      </c>
      <c r="J209" t="s">
        <v>18</v>
      </c>
      <c r="K209" t="s">
        <v>33</v>
      </c>
      <c r="L209" t="s">
        <v>20</v>
      </c>
      <c r="N209" t="s">
        <v>29</v>
      </c>
    </row>
    <row r="210" spans="1:14">
      <c r="A210" s="4" t="str">
        <f t="shared" si="14"/>
        <v>EXP00004</v>
      </c>
      <c r="B210" s="4" t="str">
        <f t="shared" si="15"/>
        <v>22048815</v>
      </c>
      <c r="C210" s="4" t="str">
        <f t="shared" si="16"/>
        <v>GSE10893</v>
      </c>
      <c r="D210" s="1" t="s">
        <v>14</v>
      </c>
      <c r="E210" t="s">
        <v>35</v>
      </c>
      <c r="F210" s="1">
        <v>2</v>
      </c>
      <c r="G210" s="1" t="s">
        <v>28</v>
      </c>
      <c r="H210" s="4" t="str">
        <f>HYPERLINK("https://www.ncbi.nlm.nih.gov/geo/query/acc.cgi?acc=GSM141102","GSM141102")</f>
        <v>GSM141102</v>
      </c>
      <c r="I210" t="s">
        <v>17</v>
      </c>
      <c r="J210" t="s">
        <v>18</v>
      </c>
      <c r="K210" t="s">
        <v>33</v>
      </c>
      <c r="L210" t="s">
        <v>20</v>
      </c>
      <c r="N210" t="s">
        <v>29</v>
      </c>
    </row>
    <row r="211" spans="1:14">
      <c r="A211" s="4" t="str">
        <f t="shared" si="14"/>
        <v>EXP00004</v>
      </c>
      <c r="B211" s="4" t="str">
        <f t="shared" si="15"/>
        <v>22048815</v>
      </c>
      <c r="C211" s="4" t="str">
        <f t="shared" si="16"/>
        <v>GSE10893</v>
      </c>
      <c r="D211" s="1" t="s">
        <v>14</v>
      </c>
      <c r="E211" t="s">
        <v>35</v>
      </c>
      <c r="F211" s="1">
        <v>2</v>
      </c>
      <c r="G211" s="1" t="s">
        <v>28</v>
      </c>
      <c r="H211" s="4" t="str">
        <f>HYPERLINK("https://www.ncbi.nlm.nih.gov/geo/query/acc.cgi?acc=GSM141103","GSM141103")</f>
        <v>GSM141103</v>
      </c>
      <c r="I211" t="s">
        <v>17</v>
      </c>
      <c r="J211" t="s">
        <v>18</v>
      </c>
      <c r="K211" t="s">
        <v>33</v>
      </c>
      <c r="L211" t="s">
        <v>20</v>
      </c>
      <c r="N211" t="s">
        <v>29</v>
      </c>
    </row>
    <row r="212" spans="1:14">
      <c r="A212" s="4" t="str">
        <f t="shared" si="14"/>
        <v>EXP00004</v>
      </c>
      <c r="B212" s="4" t="str">
        <f t="shared" si="15"/>
        <v>22048815</v>
      </c>
      <c r="C212" s="4" t="str">
        <f t="shared" si="16"/>
        <v>GSE10893</v>
      </c>
      <c r="D212" s="1" t="s">
        <v>14</v>
      </c>
      <c r="E212" t="s">
        <v>35</v>
      </c>
      <c r="F212" s="1">
        <v>2</v>
      </c>
      <c r="G212" s="1" t="s">
        <v>28</v>
      </c>
      <c r="H212" s="4" t="str">
        <f>HYPERLINK("https://www.ncbi.nlm.nih.gov/geo/query/acc.cgi?acc=GSM141105","GSM141105")</f>
        <v>GSM141105</v>
      </c>
      <c r="I212" t="s">
        <v>17</v>
      </c>
      <c r="J212" t="s">
        <v>18</v>
      </c>
      <c r="K212" t="s">
        <v>33</v>
      </c>
      <c r="L212" t="s">
        <v>20</v>
      </c>
      <c r="N212" t="s">
        <v>29</v>
      </c>
    </row>
    <row r="213" spans="1:14">
      <c r="A213" s="4" t="str">
        <f t="shared" si="14"/>
        <v>EXP00004</v>
      </c>
      <c r="B213" s="4" t="str">
        <f t="shared" si="15"/>
        <v>22048815</v>
      </c>
      <c r="C213" s="4" t="str">
        <f t="shared" si="16"/>
        <v>GSE10893</v>
      </c>
      <c r="D213" s="1" t="s">
        <v>14</v>
      </c>
      <c r="E213" t="s">
        <v>35</v>
      </c>
      <c r="F213" s="1">
        <v>2</v>
      </c>
      <c r="G213" s="1" t="s">
        <v>28</v>
      </c>
      <c r="H213" s="4" t="str">
        <f>HYPERLINK("https://www.ncbi.nlm.nih.gov/geo/query/acc.cgi?acc=GSM141106","GSM141106")</f>
        <v>GSM141106</v>
      </c>
      <c r="I213" t="s">
        <v>17</v>
      </c>
      <c r="J213" t="s">
        <v>18</v>
      </c>
      <c r="K213" t="s">
        <v>33</v>
      </c>
      <c r="L213" t="s">
        <v>20</v>
      </c>
      <c r="N213" t="s">
        <v>29</v>
      </c>
    </row>
    <row r="214" spans="1:14">
      <c r="A214" s="4" t="str">
        <f t="shared" si="14"/>
        <v>EXP00004</v>
      </c>
      <c r="B214" s="4" t="str">
        <f t="shared" si="15"/>
        <v>22048815</v>
      </c>
      <c r="C214" s="4" t="str">
        <f t="shared" si="16"/>
        <v>GSE10893</v>
      </c>
      <c r="D214" s="1" t="s">
        <v>14</v>
      </c>
      <c r="E214" t="s">
        <v>35</v>
      </c>
      <c r="F214" s="1">
        <v>2</v>
      </c>
      <c r="G214" s="1" t="s">
        <v>28</v>
      </c>
      <c r="H214" s="4" t="str">
        <f>HYPERLINK("https://www.ncbi.nlm.nih.gov/geo/query/acc.cgi?acc=GSM141107","GSM141107")</f>
        <v>GSM141107</v>
      </c>
      <c r="I214" t="s">
        <v>17</v>
      </c>
      <c r="J214" t="s">
        <v>18</v>
      </c>
      <c r="K214" t="s">
        <v>33</v>
      </c>
      <c r="L214" t="s">
        <v>20</v>
      </c>
      <c r="N214" t="s">
        <v>29</v>
      </c>
    </row>
    <row r="215" spans="1:14">
      <c r="A215" s="4" t="str">
        <f t="shared" si="14"/>
        <v>EXP00004</v>
      </c>
      <c r="B215" s="4" t="str">
        <f t="shared" si="15"/>
        <v>22048815</v>
      </c>
      <c r="C215" s="4" t="str">
        <f t="shared" si="16"/>
        <v>GSE10893</v>
      </c>
      <c r="D215" s="1" t="s">
        <v>14</v>
      </c>
      <c r="E215" t="s">
        <v>35</v>
      </c>
      <c r="F215" s="1">
        <v>2</v>
      </c>
      <c r="G215" s="1" t="s">
        <v>28</v>
      </c>
      <c r="H215" s="4" t="str">
        <f>HYPERLINK("https://www.ncbi.nlm.nih.gov/geo/query/acc.cgi?acc=GSM141108","GSM141108")</f>
        <v>GSM141108</v>
      </c>
      <c r="I215" t="s">
        <v>17</v>
      </c>
      <c r="J215" t="s">
        <v>18</v>
      </c>
      <c r="K215" t="s">
        <v>33</v>
      </c>
      <c r="L215" t="s">
        <v>20</v>
      </c>
      <c r="N215" t="s">
        <v>29</v>
      </c>
    </row>
    <row r="216" spans="1:14">
      <c r="A216" s="4" t="str">
        <f t="shared" si="14"/>
        <v>EXP00004</v>
      </c>
      <c r="B216" s="4" t="str">
        <f t="shared" si="15"/>
        <v>22048815</v>
      </c>
      <c r="C216" s="4" t="str">
        <f t="shared" si="16"/>
        <v>GSE10893</v>
      </c>
      <c r="D216" s="1" t="s">
        <v>14</v>
      </c>
      <c r="E216" t="s">
        <v>35</v>
      </c>
      <c r="F216" s="1">
        <v>2</v>
      </c>
      <c r="G216" s="1" t="s">
        <v>28</v>
      </c>
      <c r="H216" s="4" t="str">
        <f>HYPERLINK("https://www.ncbi.nlm.nih.gov/geo/query/acc.cgi?acc=GSM141111","GSM141111")</f>
        <v>GSM141111</v>
      </c>
      <c r="I216" t="s">
        <v>17</v>
      </c>
      <c r="J216" t="s">
        <v>18</v>
      </c>
      <c r="K216" t="s">
        <v>33</v>
      </c>
      <c r="L216" t="s">
        <v>20</v>
      </c>
      <c r="N216" t="s">
        <v>29</v>
      </c>
    </row>
    <row r="217" spans="1:14">
      <c r="A217" s="4" t="str">
        <f t="shared" si="14"/>
        <v>EXP00004</v>
      </c>
      <c r="B217" s="4" t="str">
        <f t="shared" si="15"/>
        <v>22048815</v>
      </c>
      <c r="C217" s="4" t="str">
        <f t="shared" si="16"/>
        <v>GSE10893</v>
      </c>
      <c r="D217" s="1" t="s">
        <v>14</v>
      </c>
      <c r="E217" t="s">
        <v>35</v>
      </c>
      <c r="F217" s="1">
        <v>2</v>
      </c>
      <c r="G217" s="1" t="s">
        <v>28</v>
      </c>
      <c r="H217" s="4" t="str">
        <f>HYPERLINK("https://www.ncbi.nlm.nih.gov/geo/query/acc.cgi?acc=GSM141113","GSM141113")</f>
        <v>GSM141113</v>
      </c>
      <c r="I217" t="s">
        <v>17</v>
      </c>
      <c r="J217" t="s">
        <v>18</v>
      </c>
      <c r="K217" t="s">
        <v>33</v>
      </c>
      <c r="L217" t="s">
        <v>20</v>
      </c>
      <c r="N217" t="s">
        <v>29</v>
      </c>
    </row>
    <row r="218" spans="1:14">
      <c r="A218" s="4" t="str">
        <f t="shared" si="14"/>
        <v>EXP00004</v>
      </c>
      <c r="B218" s="4" t="str">
        <f t="shared" si="15"/>
        <v>22048815</v>
      </c>
      <c r="C218" s="4" t="str">
        <f t="shared" si="16"/>
        <v>GSE10893</v>
      </c>
      <c r="D218" s="1" t="s">
        <v>14</v>
      </c>
      <c r="E218" t="s">
        <v>35</v>
      </c>
      <c r="F218" s="1">
        <v>2</v>
      </c>
      <c r="G218" s="1" t="s">
        <v>28</v>
      </c>
      <c r="H218" s="4" t="str">
        <f>HYPERLINK("https://www.ncbi.nlm.nih.gov/geo/query/acc.cgi?acc=GSM141114","GSM141114")</f>
        <v>GSM141114</v>
      </c>
      <c r="I218" t="s">
        <v>17</v>
      </c>
      <c r="J218" t="s">
        <v>18</v>
      </c>
      <c r="K218" t="s">
        <v>33</v>
      </c>
      <c r="L218" t="s">
        <v>20</v>
      </c>
      <c r="N218" t="s">
        <v>29</v>
      </c>
    </row>
    <row r="219" spans="1:14">
      <c r="A219" s="4" t="str">
        <f t="shared" ref="A219:A250" si="17">HYPERLINK("http://hcmdb.i-sanger.com/experiment/details/experiment_id/EXP00004","EXP00004")</f>
        <v>EXP00004</v>
      </c>
      <c r="B219" s="4" t="str">
        <f t="shared" si="15"/>
        <v>22048815</v>
      </c>
      <c r="C219" s="4" t="str">
        <f t="shared" si="16"/>
        <v>GSE10893</v>
      </c>
      <c r="D219" s="1" t="s">
        <v>14</v>
      </c>
      <c r="E219" t="s">
        <v>35</v>
      </c>
      <c r="F219" s="1">
        <v>2</v>
      </c>
      <c r="G219" s="1" t="s">
        <v>28</v>
      </c>
      <c r="H219" s="4" t="str">
        <f>HYPERLINK("https://www.ncbi.nlm.nih.gov/geo/query/acc.cgi?acc=GSM141115","GSM141115")</f>
        <v>GSM141115</v>
      </c>
      <c r="I219" t="s">
        <v>17</v>
      </c>
      <c r="J219" t="s">
        <v>18</v>
      </c>
      <c r="K219" t="s">
        <v>33</v>
      </c>
      <c r="L219" t="s">
        <v>20</v>
      </c>
      <c r="N219" t="s">
        <v>29</v>
      </c>
    </row>
    <row r="220" spans="1:14">
      <c r="A220" s="4" t="str">
        <f t="shared" si="17"/>
        <v>EXP00004</v>
      </c>
      <c r="B220" s="4" t="str">
        <f t="shared" si="15"/>
        <v>22048815</v>
      </c>
      <c r="C220" s="4" t="str">
        <f t="shared" si="16"/>
        <v>GSE10893</v>
      </c>
      <c r="D220" s="1" t="s">
        <v>14</v>
      </c>
      <c r="E220" t="s">
        <v>35</v>
      </c>
      <c r="F220" s="1">
        <v>2</v>
      </c>
      <c r="G220" s="1" t="s">
        <v>28</v>
      </c>
      <c r="H220" s="4" t="str">
        <f>HYPERLINK("https://www.ncbi.nlm.nih.gov/geo/query/acc.cgi?acc=GSM141117","GSM141117")</f>
        <v>GSM141117</v>
      </c>
      <c r="I220" t="s">
        <v>17</v>
      </c>
      <c r="J220" t="s">
        <v>18</v>
      </c>
      <c r="K220" t="s">
        <v>33</v>
      </c>
      <c r="L220" t="s">
        <v>20</v>
      </c>
      <c r="N220" t="s">
        <v>29</v>
      </c>
    </row>
    <row r="221" spans="1:14">
      <c r="A221" s="4" t="str">
        <f t="shared" si="17"/>
        <v>EXP00004</v>
      </c>
      <c r="B221" s="4" t="str">
        <f t="shared" si="15"/>
        <v>22048815</v>
      </c>
      <c r="C221" s="4" t="str">
        <f t="shared" si="16"/>
        <v>GSE10893</v>
      </c>
      <c r="D221" s="1" t="s">
        <v>14</v>
      </c>
      <c r="E221" t="s">
        <v>35</v>
      </c>
      <c r="F221" s="1">
        <v>2</v>
      </c>
      <c r="G221" s="1" t="s">
        <v>28</v>
      </c>
      <c r="H221" s="4" t="str">
        <f>HYPERLINK("https://www.ncbi.nlm.nih.gov/geo/query/acc.cgi?acc=GSM141118","GSM141118")</f>
        <v>GSM141118</v>
      </c>
      <c r="I221" t="s">
        <v>17</v>
      </c>
      <c r="J221" t="s">
        <v>18</v>
      </c>
      <c r="K221" t="s">
        <v>33</v>
      </c>
      <c r="L221" t="s">
        <v>20</v>
      </c>
      <c r="N221" t="s">
        <v>29</v>
      </c>
    </row>
    <row r="222" spans="1:14">
      <c r="A222" s="4" t="str">
        <f t="shared" si="17"/>
        <v>EXP00004</v>
      </c>
      <c r="B222" s="4" t="str">
        <f t="shared" si="15"/>
        <v>22048815</v>
      </c>
      <c r="C222" s="4" t="str">
        <f t="shared" si="16"/>
        <v>GSE10893</v>
      </c>
      <c r="D222" s="1" t="s">
        <v>14</v>
      </c>
      <c r="E222" t="s">
        <v>35</v>
      </c>
      <c r="F222" s="1">
        <v>2</v>
      </c>
      <c r="G222" s="1" t="s">
        <v>28</v>
      </c>
      <c r="H222" s="4" t="str">
        <f>HYPERLINK("https://www.ncbi.nlm.nih.gov/geo/query/acc.cgi?acc=GSM275782","GSM275782")</f>
        <v>GSM275782</v>
      </c>
      <c r="I222" t="s">
        <v>17</v>
      </c>
      <c r="J222" t="s">
        <v>18</v>
      </c>
      <c r="K222" t="s">
        <v>33</v>
      </c>
      <c r="L222" t="s">
        <v>20</v>
      </c>
      <c r="N222" t="s">
        <v>29</v>
      </c>
    </row>
    <row r="223" spans="1:14">
      <c r="A223" s="4" t="str">
        <f t="shared" si="17"/>
        <v>EXP00004</v>
      </c>
      <c r="B223" s="4" t="str">
        <f t="shared" si="15"/>
        <v>22048815</v>
      </c>
      <c r="C223" s="4" t="str">
        <f t="shared" si="16"/>
        <v>GSE10893</v>
      </c>
      <c r="D223" s="1" t="s">
        <v>14</v>
      </c>
      <c r="E223" t="s">
        <v>35</v>
      </c>
      <c r="F223" s="1">
        <v>2</v>
      </c>
      <c r="G223" s="1" t="s">
        <v>28</v>
      </c>
      <c r="H223" s="4" t="str">
        <f>HYPERLINK("https://www.ncbi.nlm.nih.gov/geo/query/acc.cgi?acc=GSM275783","GSM275783")</f>
        <v>GSM275783</v>
      </c>
      <c r="I223" t="s">
        <v>17</v>
      </c>
      <c r="J223" t="s">
        <v>18</v>
      </c>
      <c r="K223" t="s">
        <v>33</v>
      </c>
      <c r="L223" t="s">
        <v>20</v>
      </c>
      <c r="N223" t="s">
        <v>29</v>
      </c>
    </row>
    <row r="224" spans="1:14">
      <c r="A224" s="4" t="str">
        <f t="shared" si="17"/>
        <v>EXP00004</v>
      </c>
      <c r="B224" s="4" t="str">
        <f t="shared" si="15"/>
        <v>22048815</v>
      </c>
      <c r="C224" s="4" t="str">
        <f t="shared" si="16"/>
        <v>GSE10893</v>
      </c>
      <c r="D224" s="1" t="s">
        <v>14</v>
      </c>
      <c r="E224" t="s">
        <v>35</v>
      </c>
      <c r="F224" s="1">
        <v>2</v>
      </c>
      <c r="G224" s="1" t="s">
        <v>28</v>
      </c>
      <c r="H224" s="4" t="str">
        <f>HYPERLINK("https://www.ncbi.nlm.nih.gov/geo/query/acc.cgi?acc=GSM275784","GSM275784")</f>
        <v>GSM275784</v>
      </c>
      <c r="I224" t="s">
        <v>17</v>
      </c>
      <c r="J224" t="s">
        <v>18</v>
      </c>
      <c r="K224" t="s">
        <v>33</v>
      </c>
      <c r="L224" t="s">
        <v>20</v>
      </c>
      <c r="N224" t="s">
        <v>29</v>
      </c>
    </row>
    <row r="225" spans="1:14">
      <c r="A225" s="4" t="str">
        <f t="shared" si="17"/>
        <v>EXP00004</v>
      </c>
      <c r="B225" s="4" t="str">
        <f t="shared" si="15"/>
        <v>22048815</v>
      </c>
      <c r="C225" s="4" t="str">
        <f t="shared" si="16"/>
        <v>GSE10893</v>
      </c>
      <c r="D225" s="1" t="s">
        <v>14</v>
      </c>
      <c r="E225" t="s">
        <v>35</v>
      </c>
      <c r="F225" s="1">
        <v>2</v>
      </c>
      <c r="G225" s="1" t="s">
        <v>28</v>
      </c>
      <c r="H225" s="4" t="str">
        <f>HYPERLINK("https://www.ncbi.nlm.nih.gov/geo/query/acc.cgi?acc=GSM275806","GSM275806")</f>
        <v>GSM275806</v>
      </c>
      <c r="I225" t="s">
        <v>17</v>
      </c>
      <c r="J225" t="s">
        <v>18</v>
      </c>
      <c r="K225" t="s">
        <v>33</v>
      </c>
      <c r="L225" t="s">
        <v>20</v>
      </c>
      <c r="N225" t="s">
        <v>29</v>
      </c>
    </row>
    <row r="226" spans="1:14">
      <c r="A226" s="4" t="str">
        <f t="shared" si="17"/>
        <v>EXP00004</v>
      </c>
      <c r="B226" s="4" t="str">
        <f t="shared" si="15"/>
        <v>22048815</v>
      </c>
      <c r="C226" s="4" t="str">
        <f t="shared" si="16"/>
        <v>GSE10893</v>
      </c>
      <c r="D226" s="1" t="s">
        <v>14</v>
      </c>
      <c r="E226" t="s">
        <v>35</v>
      </c>
      <c r="F226" s="1">
        <v>2</v>
      </c>
      <c r="G226" s="1" t="s">
        <v>28</v>
      </c>
      <c r="H226" s="4" t="str">
        <f>HYPERLINK("https://www.ncbi.nlm.nih.gov/geo/query/acc.cgi?acc=GSM275808","GSM275808")</f>
        <v>GSM275808</v>
      </c>
      <c r="I226" t="s">
        <v>17</v>
      </c>
      <c r="J226" t="s">
        <v>18</v>
      </c>
      <c r="K226" t="s">
        <v>33</v>
      </c>
      <c r="L226" t="s">
        <v>20</v>
      </c>
      <c r="N226" t="s">
        <v>29</v>
      </c>
    </row>
    <row r="227" spans="1:14">
      <c r="A227" s="4" t="str">
        <f t="shared" si="17"/>
        <v>EXP00004</v>
      </c>
      <c r="B227" s="4" t="str">
        <f t="shared" si="15"/>
        <v>22048815</v>
      </c>
      <c r="C227" s="4" t="str">
        <f t="shared" si="16"/>
        <v>GSE10893</v>
      </c>
      <c r="D227" s="1" t="s">
        <v>14</v>
      </c>
      <c r="E227" t="s">
        <v>35</v>
      </c>
      <c r="F227" s="1">
        <v>2</v>
      </c>
      <c r="G227" s="1" t="s">
        <v>28</v>
      </c>
      <c r="H227" s="4" t="str">
        <f>HYPERLINK("https://www.ncbi.nlm.nih.gov/geo/query/acc.cgi?acc=GSM275814","GSM275814")</f>
        <v>GSM275814</v>
      </c>
      <c r="I227" t="s">
        <v>17</v>
      </c>
      <c r="J227" t="s">
        <v>18</v>
      </c>
      <c r="K227" t="s">
        <v>33</v>
      </c>
      <c r="L227" t="s">
        <v>20</v>
      </c>
      <c r="N227" t="s">
        <v>29</v>
      </c>
    </row>
    <row r="228" spans="1:14">
      <c r="A228" s="4" t="str">
        <f t="shared" si="17"/>
        <v>EXP00004</v>
      </c>
      <c r="B228" s="4" t="str">
        <f t="shared" si="15"/>
        <v>22048815</v>
      </c>
      <c r="C228" s="4" t="str">
        <f t="shared" si="16"/>
        <v>GSE10893</v>
      </c>
      <c r="D228" s="1" t="s">
        <v>14</v>
      </c>
      <c r="E228" t="s">
        <v>35</v>
      </c>
      <c r="F228" s="1">
        <v>2</v>
      </c>
      <c r="G228" s="1" t="s">
        <v>28</v>
      </c>
      <c r="H228" s="4" t="str">
        <f>HYPERLINK("https://www.ncbi.nlm.nih.gov/geo/query/acc.cgi?acc=GSM275815","GSM275815")</f>
        <v>GSM275815</v>
      </c>
      <c r="I228" t="s">
        <v>17</v>
      </c>
      <c r="J228" t="s">
        <v>18</v>
      </c>
      <c r="K228" t="s">
        <v>33</v>
      </c>
      <c r="L228" t="s">
        <v>20</v>
      </c>
      <c r="N228" t="s">
        <v>29</v>
      </c>
    </row>
    <row r="229" spans="1:14">
      <c r="A229" s="4" t="str">
        <f t="shared" si="17"/>
        <v>EXP00004</v>
      </c>
      <c r="B229" s="4" t="str">
        <f t="shared" si="15"/>
        <v>22048815</v>
      </c>
      <c r="C229" s="4" t="str">
        <f t="shared" si="16"/>
        <v>GSE10893</v>
      </c>
      <c r="D229" s="1" t="s">
        <v>14</v>
      </c>
      <c r="E229" t="s">
        <v>35</v>
      </c>
      <c r="F229" s="1">
        <v>2</v>
      </c>
      <c r="G229" s="1" t="s">
        <v>28</v>
      </c>
      <c r="H229" s="4" t="str">
        <f>HYPERLINK("https://www.ncbi.nlm.nih.gov/geo/query/acc.cgi?acc=GSM275818","GSM275818")</f>
        <v>GSM275818</v>
      </c>
      <c r="I229" t="s">
        <v>17</v>
      </c>
      <c r="J229" t="s">
        <v>18</v>
      </c>
      <c r="K229" t="s">
        <v>33</v>
      </c>
      <c r="L229" t="s">
        <v>20</v>
      </c>
      <c r="N229" t="s">
        <v>29</v>
      </c>
    </row>
    <row r="230" spans="1:14">
      <c r="A230" s="4" t="str">
        <f t="shared" si="17"/>
        <v>EXP00004</v>
      </c>
      <c r="B230" s="4" t="str">
        <f t="shared" si="15"/>
        <v>22048815</v>
      </c>
      <c r="C230" s="4" t="str">
        <f t="shared" si="16"/>
        <v>GSE10893</v>
      </c>
      <c r="D230" s="1" t="s">
        <v>14</v>
      </c>
      <c r="E230" t="s">
        <v>35</v>
      </c>
      <c r="F230" s="1">
        <v>2</v>
      </c>
      <c r="G230" s="1" t="s">
        <v>28</v>
      </c>
      <c r="H230" s="4" t="str">
        <f>HYPERLINK("https://www.ncbi.nlm.nih.gov/geo/query/acc.cgi?acc=GSM275824","GSM275824")</f>
        <v>GSM275824</v>
      </c>
      <c r="I230" t="s">
        <v>17</v>
      </c>
      <c r="J230" t="s">
        <v>18</v>
      </c>
      <c r="K230" t="s">
        <v>33</v>
      </c>
      <c r="L230" t="s">
        <v>20</v>
      </c>
      <c r="N230" t="s">
        <v>29</v>
      </c>
    </row>
    <row r="231" spans="1:14">
      <c r="A231" s="4" t="str">
        <f t="shared" si="17"/>
        <v>EXP00004</v>
      </c>
      <c r="B231" s="4" t="str">
        <f t="shared" si="15"/>
        <v>22048815</v>
      </c>
      <c r="C231" s="4" t="str">
        <f t="shared" si="16"/>
        <v>GSE10893</v>
      </c>
      <c r="D231" s="1" t="s">
        <v>14</v>
      </c>
      <c r="E231" t="s">
        <v>35</v>
      </c>
      <c r="F231" s="1">
        <v>2</v>
      </c>
      <c r="G231" s="1" t="s">
        <v>28</v>
      </c>
      <c r="H231" s="4" t="str">
        <f>HYPERLINK("https://www.ncbi.nlm.nih.gov/geo/query/acc.cgi?acc=GSM275827","GSM275827")</f>
        <v>GSM275827</v>
      </c>
      <c r="I231" t="s">
        <v>17</v>
      </c>
      <c r="J231" t="s">
        <v>18</v>
      </c>
      <c r="K231" t="s">
        <v>33</v>
      </c>
      <c r="L231" t="s">
        <v>20</v>
      </c>
      <c r="N231" t="s">
        <v>29</v>
      </c>
    </row>
    <row r="232" spans="1:14">
      <c r="A232" s="4" t="str">
        <f t="shared" si="17"/>
        <v>EXP00004</v>
      </c>
      <c r="B232" s="4" t="str">
        <f t="shared" si="15"/>
        <v>22048815</v>
      </c>
      <c r="C232" s="4" t="str">
        <f t="shared" si="16"/>
        <v>GSE10893</v>
      </c>
      <c r="D232" s="1" t="s">
        <v>14</v>
      </c>
      <c r="E232" t="s">
        <v>35</v>
      </c>
      <c r="F232" s="1">
        <v>2</v>
      </c>
      <c r="G232" s="1" t="s">
        <v>28</v>
      </c>
      <c r="H232" s="4" t="str">
        <f>HYPERLINK("https://www.ncbi.nlm.nih.gov/geo/query/acc.cgi?acc=GSM275831","GSM275831")</f>
        <v>GSM275831</v>
      </c>
      <c r="I232" t="s">
        <v>17</v>
      </c>
      <c r="J232" t="s">
        <v>18</v>
      </c>
      <c r="K232" t="s">
        <v>33</v>
      </c>
      <c r="L232" t="s">
        <v>20</v>
      </c>
      <c r="N232" t="s">
        <v>29</v>
      </c>
    </row>
    <row r="233" spans="1:14">
      <c r="A233" s="4" t="str">
        <f t="shared" si="17"/>
        <v>EXP00004</v>
      </c>
      <c r="B233" s="4" t="str">
        <f t="shared" si="15"/>
        <v>22048815</v>
      </c>
      <c r="C233" s="4" t="str">
        <f t="shared" si="16"/>
        <v>GSE10893</v>
      </c>
      <c r="D233" s="1" t="s">
        <v>14</v>
      </c>
      <c r="E233" t="s">
        <v>35</v>
      </c>
      <c r="F233" s="1">
        <v>2</v>
      </c>
      <c r="G233" s="1" t="s">
        <v>28</v>
      </c>
      <c r="H233" s="4" t="str">
        <f>HYPERLINK("https://www.ncbi.nlm.nih.gov/geo/query/acc.cgi?acc=GSM275836","GSM275836")</f>
        <v>GSM275836</v>
      </c>
      <c r="I233" t="s">
        <v>17</v>
      </c>
      <c r="J233" t="s">
        <v>18</v>
      </c>
      <c r="K233" t="s">
        <v>33</v>
      </c>
      <c r="L233" t="s">
        <v>20</v>
      </c>
      <c r="N233" t="s">
        <v>29</v>
      </c>
    </row>
    <row r="234" spans="1:14">
      <c r="A234" s="4" t="str">
        <f t="shared" si="17"/>
        <v>EXP00004</v>
      </c>
      <c r="B234" s="4" t="str">
        <f t="shared" si="15"/>
        <v>22048815</v>
      </c>
      <c r="C234" s="4" t="str">
        <f t="shared" si="16"/>
        <v>GSE10893</v>
      </c>
      <c r="D234" s="1" t="s">
        <v>14</v>
      </c>
      <c r="E234" t="s">
        <v>35</v>
      </c>
      <c r="F234" s="1">
        <v>2</v>
      </c>
      <c r="G234" s="1" t="s">
        <v>28</v>
      </c>
      <c r="H234" s="4" t="str">
        <f>HYPERLINK("https://www.ncbi.nlm.nih.gov/geo/query/acc.cgi?acc=GSM275838","GSM275838")</f>
        <v>GSM275838</v>
      </c>
      <c r="I234" t="s">
        <v>17</v>
      </c>
      <c r="J234" t="s">
        <v>18</v>
      </c>
      <c r="K234" t="s">
        <v>33</v>
      </c>
      <c r="L234" t="s">
        <v>20</v>
      </c>
      <c r="N234" t="s">
        <v>29</v>
      </c>
    </row>
    <row r="235" spans="1:14">
      <c r="A235" s="4" t="str">
        <f t="shared" si="17"/>
        <v>EXP00004</v>
      </c>
      <c r="B235" s="4" t="str">
        <f t="shared" si="15"/>
        <v>22048815</v>
      </c>
      <c r="C235" s="4" t="str">
        <f t="shared" si="16"/>
        <v>GSE10893</v>
      </c>
      <c r="D235" s="1" t="s">
        <v>14</v>
      </c>
      <c r="E235" t="s">
        <v>35</v>
      </c>
      <c r="F235" s="1">
        <v>2</v>
      </c>
      <c r="G235" s="1" t="s">
        <v>28</v>
      </c>
      <c r="H235" s="4" t="str">
        <f>HYPERLINK("https://www.ncbi.nlm.nih.gov/geo/query/acc.cgi?acc=GSM275845","GSM275845")</f>
        <v>GSM275845</v>
      </c>
      <c r="I235" t="s">
        <v>17</v>
      </c>
      <c r="J235" t="s">
        <v>18</v>
      </c>
      <c r="K235" t="s">
        <v>33</v>
      </c>
      <c r="L235" t="s">
        <v>20</v>
      </c>
      <c r="N235" t="s">
        <v>29</v>
      </c>
    </row>
    <row r="236" spans="1:14">
      <c r="A236" s="4" t="str">
        <f t="shared" si="17"/>
        <v>EXP00004</v>
      </c>
      <c r="B236" s="4" t="str">
        <f t="shared" si="15"/>
        <v>22048815</v>
      </c>
      <c r="C236" s="4" t="str">
        <f t="shared" si="16"/>
        <v>GSE10893</v>
      </c>
      <c r="D236" s="1" t="s">
        <v>14</v>
      </c>
      <c r="E236" t="s">
        <v>35</v>
      </c>
      <c r="F236" s="1">
        <v>2</v>
      </c>
      <c r="G236" s="1" t="s">
        <v>28</v>
      </c>
      <c r="H236" s="4" t="str">
        <f>HYPERLINK("https://www.ncbi.nlm.nih.gov/geo/query/acc.cgi?acc=GSM275849","GSM275849")</f>
        <v>GSM275849</v>
      </c>
      <c r="I236" t="s">
        <v>17</v>
      </c>
      <c r="J236" t="s">
        <v>18</v>
      </c>
      <c r="K236" t="s">
        <v>33</v>
      </c>
      <c r="L236" t="s">
        <v>20</v>
      </c>
      <c r="N236" t="s">
        <v>29</v>
      </c>
    </row>
    <row r="237" spans="1:14">
      <c r="A237" s="4" t="str">
        <f t="shared" si="17"/>
        <v>EXP00004</v>
      </c>
      <c r="B237" s="4" t="str">
        <f t="shared" si="15"/>
        <v>22048815</v>
      </c>
      <c r="C237" s="4" t="str">
        <f t="shared" si="16"/>
        <v>GSE10893</v>
      </c>
      <c r="D237" s="1" t="s">
        <v>14</v>
      </c>
      <c r="E237" t="s">
        <v>35</v>
      </c>
      <c r="F237" s="1">
        <v>2</v>
      </c>
      <c r="G237" s="1" t="s">
        <v>28</v>
      </c>
      <c r="H237" s="4" t="str">
        <f>HYPERLINK("https://www.ncbi.nlm.nih.gov/geo/query/acc.cgi?acc=GSM275851","GSM275851")</f>
        <v>GSM275851</v>
      </c>
      <c r="I237" t="s">
        <v>17</v>
      </c>
      <c r="J237" t="s">
        <v>18</v>
      </c>
      <c r="K237" t="s">
        <v>33</v>
      </c>
      <c r="L237" t="s">
        <v>20</v>
      </c>
      <c r="N237" t="s">
        <v>29</v>
      </c>
    </row>
    <row r="238" spans="1:14">
      <c r="A238" s="4" t="str">
        <f t="shared" si="17"/>
        <v>EXP00004</v>
      </c>
      <c r="B238" s="4" t="str">
        <f t="shared" si="15"/>
        <v>22048815</v>
      </c>
      <c r="C238" s="4" t="str">
        <f t="shared" si="16"/>
        <v>GSE10893</v>
      </c>
      <c r="D238" s="1" t="s">
        <v>14</v>
      </c>
      <c r="E238" t="s">
        <v>35</v>
      </c>
      <c r="F238" s="1">
        <v>2</v>
      </c>
      <c r="G238" s="1" t="s">
        <v>28</v>
      </c>
      <c r="H238" s="4" t="str">
        <f>HYPERLINK("https://www.ncbi.nlm.nih.gov/geo/query/acc.cgi?acc=GSM275855","GSM275855")</f>
        <v>GSM275855</v>
      </c>
      <c r="I238" t="s">
        <v>17</v>
      </c>
      <c r="J238" t="s">
        <v>18</v>
      </c>
      <c r="K238" t="s">
        <v>33</v>
      </c>
      <c r="L238" t="s">
        <v>20</v>
      </c>
      <c r="N238" t="s">
        <v>29</v>
      </c>
    </row>
    <row r="239" spans="1:14">
      <c r="A239" s="4" t="str">
        <f t="shared" si="17"/>
        <v>EXP00004</v>
      </c>
      <c r="B239" s="4" t="str">
        <f t="shared" si="15"/>
        <v>22048815</v>
      </c>
      <c r="C239" s="4" t="str">
        <f t="shared" si="16"/>
        <v>GSE10893</v>
      </c>
      <c r="D239" s="1" t="s">
        <v>14</v>
      </c>
      <c r="E239" t="s">
        <v>35</v>
      </c>
      <c r="F239" s="1">
        <v>2</v>
      </c>
      <c r="G239" s="1" t="s">
        <v>28</v>
      </c>
      <c r="H239" s="4" t="str">
        <f>HYPERLINK("https://www.ncbi.nlm.nih.gov/geo/query/acc.cgi?acc=GSM275856","GSM275856")</f>
        <v>GSM275856</v>
      </c>
      <c r="I239" t="s">
        <v>17</v>
      </c>
      <c r="J239" t="s">
        <v>18</v>
      </c>
      <c r="K239" t="s">
        <v>33</v>
      </c>
      <c r="L239" t="s">
        <v>20</v>
      </c>
      <c r="N239" t="s">
        <v>29</v>
      </c>
    </row>
    <row r="240" spans="1:14">
      <c r="A240" s="4" t="str">
        <f t="shared" si="17"/>
        <v>EXP00004</v>
      </c>
      <c r="B240" s="4" t="str">
        <f t="shared" si="15"/>
        <v>22048815</v>
      </c>
      <c r="C240" s="4" t="str">
        <f t="shared" si="16"/>
        <v>GSE10893</v>
      </c>
      <c r="D240" s="1" t="s">
        <v>14</v>
      </c>
      <c r="E240" t="s">
        <v>35</v>
      </c>
      <c r="F240" s="1">
        <v>2</v>
      </c>
      <c r="G240" s="1" t="s">
        <v>28</v>
      </c>
      <c r="H240" s="4" t="str">
        <f>HYPERLINK("https://www.ncbi.nlm.nih.gov/geo/query/acc.cgi?acc=GSM275861","GSM275861")</f>
        <v>GSM275861</v>
      </c>
      <c r="I240" t="s">
        <v>17</v>
      </c>
      <c r="J240" t="s">
        <v>18</v>
      </c>
      <c r="K240" t="s">
        <v>33</v>
      </c>
      <c r="L240" t="s">
        <v>20</v>
      </c>
      <c r="N240" t="s">
        <v>29</v>
      </c>
    </row>
    <row r="241" spans="1:14">
      <c r="A241" s="4" t="str">
        <f t="shared" si="17"/>
        <v>EXP00004</v>
      </c>
      <c r="B241" s="4" t="str">
        <f t="shared" si="15"/>
        <v>22048815</v>
      </c>
      <c r="C241" s="4" t="str">
        <f t="shared" si="16"/>
        <v>GSE10893</v>
      </c>
      <c r="D241" s="1" t="s">
        <v>14</v>
      </c>
      <c r="E241" t="s">
        <v>35</v>
      </c>
      <c r="F241" s="1">
        <v>2</v>
      </c>
      <c r="G241" s="1" t="s">
        <v>28</v>
      </c>
      <c r="H241" s="4" t="str">
        <f>HYPERLINK("https://www.ncbi.nlm.nih.gov/geo/query/acc.cgi?acc=GSM275862","GSM275862")</f>
        <v>GSM275862</v>
      </c>
      <c r="I241" t="s">
        <v>17</v>
      </c>
      <c r="J241" t="s">
        <v>18</v>
      </c>
      <c r="K241" t="s">
        <v>33</v>
      </c>
      <c r="L241" t="s">
        <v>20</v>
      </c>
      <c r="N241" t="s">
        <v>29</v>
      </c>
    </row>
    <row r="242" spans="1:14">
      <c r="A242" s="4" t="str">
        <f t="shared" si="17"/>
        <v>EXP00004</v>
      </c>
      <c r="B242" s="4" t="str">
        <f t="shared" si="15"/>
        <v>22048815</v>
      </c>
      <c r="C242" s="4" t="str">
        <f t="shared" si="16"/>
        <v>GSE10893</v>
      </c>
      <c r="D242" s="1" t="s">
        <v>14</v>
      </c>
      <c r="E242" t="s">
        <v>35</v>
      </c>
      <c r="F242" s="1">
        <v>2</v>
      </c>
      <c r="G242" s="1" t="s">
        <v>28</v>
      </c>
      <c r="H242" s="4" t="str">
        <f>HYPERLINK("https://www.ncbi.nlm.nih.gov/geo/query/acc.cgi?acc=GSM275864","GSM275864")</f>
        <v>GSM275864</v>
      </c>
      <c r="I242" t="s">
        <v>17</v>
      </c>
      <c r="J242" t="s">
        <v>18</v>
      </c>
      <c r="K242" t="s">
        <v>33</v>
      </c>
      <c r="L242" t="s">
        <v>20</v>
      </c>
      <c r="N242" t="s">
        <v>29</v>
      </c>
    </row>
    <row r="243" spans="1:14">
      <c r="A243" s="4" t="str">
        <f t="shared" si="17"/>
        <v>EXP00004</v>
      </c>
      <c r="B243" s="4" t="str">
        <f t="shared" si="15"/>
        <v>22048815</v>
      </c>
      <c r="C243" s="4" t="str">
        <f t="shared" si="16"/>
        <v>GSE10893</v>
      </c>
      <c r="D243" s="1" t="s">
        <v>14</v>
      </c>
      <c r="E243" t="s">
        <v>35</v>
      </c>
      <c r="F243" s="1">
        <v>2</v>
      </c>
      <c r="G243" s="1" t="s">
        <v>28</v>
      </c>
      <c r="H243" s="4" t="str">
        <f>HYPERLINK("https://www.ncbi.nlm.nih.gov/geo/query/acc.cgi?acc=GSM275871","GSM275871")</f>
        <v>GSM275871</v>
      </c>
      <c r="I243" t="s">
        <v>17</v>
      </c>
      <c r="J243" t="s">
        <v>18</v>
      </c>
      <c r="K243" t="s">
        <v>33</v>
      </c>
      <c r="L243" t="s">
        <v>20</v>
      </c>
      <c r="N243" t="s">
        <v>29</v>
      </c>
    </row>
    <row r="244" spans="1:14">
      <c r="A244" s="4" t="str">
        <f t="shared" si="17"/>
        <v>EXP00004</v>
      </c>
      <c r="B244" s="4" t="str">
        <f t="shared" si="15"/>
        <v>22048815</v>
      </c>
      <c r="C244" s="4" t="str">
        <f t="shared" si="16"/>
        <v>GSE10893</v>
      </c>
      <c r="D244" s="1" t="s">
        <v>14</v>
      </c>
      <c r="E244" t="s">
        <v>35</v>
      </c>
      <c r="F244" s="1">
        <v>2</v>
      </c>
      <c r="G244" s="1" t="s">
        <v>28</v>
      </c>
      <c r="H244" s="4" t="str">
        <f>HYPERLINK("https://www.ncbi.nlm.nih.gov/geo/query/acc.cgi?acc=GSM275872","GSM275872")</f>
        <v>GSM275872</v>
      </c>
      <c r="I244" t="s">
        <v>17</v>
      </c>
      <c r="J244" t="s">
        <v>18</v>
      </c>
      <c r="K244" t="s">
        <v>33</v>
      </c>
      <c r="L244" t="s">
        <v>20</v>
      </c>
      <c r="N244" t="s">
        <v>29</v>
      </c>
    </row>
    <row r="245" spans="1:14">
      <c r="A245" s="4" t="str">
        <f t="shared" si="17"/>
        <v>EXP00004</v>
      </c>
      <c r="B245" s="4" t="str">
        <f t="shared" si="15"/>
        <v>22048815</v>
      </c>
      <c r="C245" s="4" t="str">
        <f t="shared" si="16"/>
        <v>GSE10893</v>
      </c>
      <c r="D245" s="1" t="s">
        <v>14</v>
      </c>
      <c r="E245" t="s">
        <v>35</v>
      </c>
      <c r="F245" s="1">
        <v>2</v>
      </c>
      <c r="G245" s="1" t="s">
        <v>28</v>
      </c>
      <c r="H245" s="4" t="str">
        <f>HYPERLINK("https://www.ncbi.nlm.nih.gov/geo/query/acc.cgi?acc=GSM275874","GSM275874")</f>
        <v>GSM275874</v>
      </c>
      <c r="I245" t="s">
        <v>17</v>
      </c>
      <c r="J245" t="s">
        <v>18</v>
      </c>
      <c r="K245" t="s">
        <v>33</v>
      </c>
      <c r="L245" t="s">
        <v>20</v>
      </c>
      <c r="N245" t="s">
        <v>29</v>
      </c>
    </row>
    <row r="246" spans="1:14">
      <c r="A246" s="4" t="str">
        <f t="shared" si="17"/>
        <v>EXP00004</v>
      </c>
      <c r="B246" s="4" t="str">
        <f t="shared" si="15"/>
        <v>22048815</v>
      </c>
      <c r="C246" s="4" t="str">
        <f t="shared" si="16"/>
        <v>GSE10893</v>
      </c>
      <c r="D246" s="1" t="s">
        <v>14</v>
      </c>
      <c r="E246" t="s">
        <v>35</v>
      </c>
      <c r="F246" s="1">
        <v>2</v>
      </c>
      <c r="G246" s="1" t="s">
        <v>28</v>
      </c>
      <c r="H246" s="4" t="str">
        <f>HYPERLINK("https://www.ncbi.nlm.nih.gov/geo/query/acc.cgi?acc=GSM275884","GSM275884")</f>
        <v>GSM275884</v>
      </c>
      <c r="I246" t="s">
        <v>17</v>
      </c>
      <c r="J246" t="s">
        <v>18</v>
      </c>
      <c r="K246" t="s">
        <v>33</v>
      </c>
      <c r="L246" t="s">
        <v>20</v>
      </c>
      <c r="N246" t="s">
        <v>29</v>
      </c>
    </row>
    <row r="247" spans="1:14">
      <c r="A247" s="4" t="str">
        <f t="shared" si="17"/>
        <v>EXP00004</v>
      </c>
      <c r="B247" s="4" t="str">
        <f t="shared" si="15"/>
        <v>22048815</v>
      </c>
      <c r="C247" s="4" t="str">
        <f t="shared" si="16"/>
        <v>GSE10893</v>
      </c>
      <c r="D247" s="1" t="s">
        <v>14</v>
      </c>
      <c r="E247" t="s">
        <v>35</v>
      </c>
      <c r="F247" s="1">
        <v>2</v>
      </c>
      <c r="G247" s="1" t="s">
        <v>28</v>
      </c>
      <c r="H247" s="4" t="str">
        <f>HYPERLINK("https://www.ncbi.nlm.nih.gov/geo/query/acc.cgi?acc=GSM275892","GSM275892")</f>
        <v>GSM275892</v>
      </c>
      <c r="I247" t="s">
        <v>17</v>
      </c>
      <c r="J247" t="s">
        <v>18</v>
      </c>
      <c r="K247" t="s">
        <v>33</v>
      </c>
      <c r="L247" t="s">
        <v>20</v>
      </c>
      <c r="N247" t="s">
        <v>29</v>
      </c>
    </row>
    <row r="248" spans="1:14">
      <c r="A248" s="4" t="str">
        <f t="shared" si="17"/>
        <v>EXP00004</v>
      </c>
      <c r="B248" s="4" t="str">
        <f t="shared" si="15"/>
        <v>22048815</v>
      </c>
      <c r="C248" s="4" t="str">
        <f t="shared" si="16"/>
        <v>GSE10893</v>
      </c>
      <c r="D248" s="1" t="s">
        <v>14</v>
      </c>
      <c r="E248" t="s">
        <v>35</v>
      </c>
      <c r="F248" s="1">
        <v>2</v>
      </c>
      <c r="G248" s="1" t="s">
        <v>28</v>
      </c>
      <c r="H248" s="4" t="str">
        <f>HYPERLINK("https://www.ncbi.nlm.nih.gov/geo/query/acc.cgi?acc=GSM275899","GSM275899")</f>
        <v>GSM275899</v>
      </c>
      <c r="I248" t="s">
        <v>17</v>
      </c>
      <c r="J248" t="s">
        <v>18</v>
      </c>
      <c r="K248" t="s">
        <v>33</v>
      </c>
      <c r="L248" t="s">
        <v>20</v>
      </c>
      <c r="N248" t="s">
        <v>29</v>
      </c>
    </row>
    <row r="249" spans="1:14">
      <c r="A249" s="4" t="str">
        <f t="shared" si="17"/>
        <v>EXP00004</v>
      </c>
      <c r="B249" s="4" t="str">
        <f t="shared" si="15"/>
        <v>22048815</v>
      </c>
      <c r="C249" s="4" t="str">
        <f t="shared" si="16"/>
        <v>GSE10893</v>
      </c>
      <c r="D249" s="1" t="s">
        <v>14</v>
      </c>
      <c r="E249" t="s">
        <v>35</v>
      </c>
      <c r="F249" s="1">
        <v>2</v>
      </c>
      <c r="G249" s="1" t="s">
        <v>28</v>
      </c>
      <c r="H249" s="4" t="str">
        <f>HYPERLINK("https://www.ncbi.nlm.nih.gov/geo/query/acc.cgi?acc=GSM275907","GSM275907")</f>
        <v>GSM275907</v>
      </c>
      <c r="I249" t="s">
        <v>17</v>
      </c>
      <c r="J249" t="s">
        <v>18</v>
      </c>
      <c r="K249" t="s">
        <v>33</v>
      </c>
      <c r="L249" t="s">
        <v>20</v>
      </c>
      <c r="N249" t="s">
        <v>29</v>
      </c>
    </row>
    <row r="250" spans="1:14">
      <c r="A250" s="4" t="str">
        <f t="shared" si="17"/>
        <v>EXP00004</v>
      </c>
      <c r="B250" s="4" t="str">
        <f t="shared" si="15"/>
        <v>22048815</v>
      </c>
      <c r="C250" s="4" t="str">
        <f t="shared" si="16"/>
        <v>GSE10893</v>
      </c>
      <c r="D250" s="1" t="s">
        <v>14</v>
      </c>
      <c r="E250" t="s">
        <v>35</v>
      </c>
      <c r="F250" s="1">
        <v>2</v>
      </c>
      <c r="G250" s="1" t="s">
        <v>28</v>
      </c>
      <c r="H250" s="4" t="str">
        <f>HYPERLINK("https://www.ncbi.nlm.nih.gov/geo/query/acc.cgi?acc=GSM34431","GSM34431")</f>
        <v>GSM34431</v>
      </c>
      <c r="I250" t="s">
        <v>17</v>
      </c>
      <c r="J250" t="s">
        <v>18</v>
      </c>
      <c r="K250" t="s">
        <v>33</v>
      </c>
      <c r="L250" t="s">
        <v>20</v>
      </c>
      <c r="N250" t="s">
        <v>29</v>
      </c>
    </row>
    <row r="251" spans="1:14">
      <c r="A251" s="4" t="str">
        <f t="shared" ref="A251:A282" si="18">HYPERLINK("http://hcmdb.i-sanger.com/experiment/details/experiment_id/EXP00004","EXP00004")</f>
        <v>EXP00004</v>
      </c>
      <c r="B251" s="4" t="str">
        <f t="shared" si="15"/>
        <v>22048815</v>
      </c>
      <c r="C251" s="4" t="str">
        <f t="shared" si="16"/>
        <v>GSE10893</v>
      </c>
      <c r="D251" s="1" t="s">
        <v>14</v>
      </c>
      <c r="E251" t="s">
        <v>35</v>
      </c>
      <c r="F251" s="1">
        <v>2</v>
      </c>
      <c r="G251" s="1" t="s">
        <v>28</v>
      </c>
      <c r="H251" s="4" t="str">
        <f>HYPERLINK("https://www.ncbi.nlm.nih.gov/geo/query/acc.cgi?acc=GSM34433","GSM34433")</f>
        <v>GSM34433</v>
      </c>
      <c r="I251" t="s">
        <v>17</v>
      </c>
      <c r="J251" t="s">
        <v>18</v>
      </c>
      <c r="K251" t="s">
        <v>33</v>
      </c>
      <c r="L251" t="s">
        <v>20</v>
      </c>
      <c r="N251" t="s">
        <v>29</v>
      </c>
    </row>
    <row r="252" spans="1:14">
      <c r="A252" s="4" t="str">
        <f t="shared" si="18"/>
        <v>EXP00004</v>
      </c>
      <c r="B252" s="4" t="str">
        <f t="shared" si="15"/>
        <v>22048815</v>
      </c>
      <c r="C252" s="4" t="str">
        <f t="shared" si="16"/>
        <v>GSE10893</v>
      </c>
      <c r="D252" s="1" t="s">
        <v>14</v>
      </c>
      <c r="E252" t="s">
        <v>35</v>
      </c>
      <c r="F252" s="1">
        <v>2</v>
      </c>
      <c r="G252" s="1" t="s">
        <v>28</v>
      </c>
      <c r="H252" s="4" t="str">
        <f>HYPERLINK("https://www.ncbi.nlm.nih.gov/geo/query/acc.cgi?acc=GSM34434","GSM34434")</f>
        <v>GSM34434</v>
      </c>
      <c r="I252" t="s">
        <v>17</v>
      </c>
      <c r="J252" t="s">
        <v>18</v>
      </c>
      <c r="K252" t="s">
        <v>33</v>
      </c>
      <c r="L252" t="s">
        <v>20</v>
      </c>
      <c r="N252" t="s">
        <v>29</v>
      </c>
    </row>
    <row r="253" spans="1:14">
      <c r="A253" s="4" t="str">
        <f t="shared" si="18"/>
        <v>EXP00004</v>
      </c>
      <c r="B253" s="4" t="str">
        <f t="shared" si="15"/>
        <v>22048815</v>
      </c>
      <c r="C253" s="4" t="str">
        <f t="shared" si="16"/>
        <v>GSE10893</v>
      </c>
      <c r="D253" s="1" t="s">
        <v>14</v>
      </c>
      <c r="E253" t="s">
        <v>35</v>
      </c>
      <c r="F253" s="1">
        <v>2</v>
      </c>
      <c r="G253" s="1" t="s">
        <v>28</v>
      </c>
      <c r="H253" s="4" t="str">
        <f>HYPERLINK("https://www.ncbi.nlm.nih.gov/geo/query/acc.cgi?acc=GSM34438","GSM34438")</f>
        <v>GSM34438</v>
      </c>
      <c r="I253" t="s">
        <v>17</v>
      </c>
      <c r="J253" t="s">
        <v>18</v>
      </c>
      <c r="K253" t="s">
        <v>33</v>
      </c>
      <c r="L253" t="s">
        <v>20</v>
      </c>
      <c r="N253" t="s">
        <v>29</v>
      </c>
    </row>
    <row r="254" spans="1:14">
      <c r="A254" s="4" t="str">
        <f t="shared" si="18"/>
        <v>EXP00004</v>
      </c>
      <c r="B254" s="4" t="str">
        <f t="shared" si="15"/>
        <v>22048815</v>
      </c>
      <c r="C254" s="4" t="str">
        <f t="shared" si="16"/>
        <v>GSE10893</v>
      </c>
      <c r="D254" s="1" t="s">
        <v>14</v>
      </c>
      <c r="E254" t="s">
        <v>35</v>
      </c>
      <c r="F254" s="1">
        <v>2</v>
      </c>
      <c r="G254" s="1" t="s">
        <v>28</v>
      </c>
      <c r="H254" s="4" t="str">
        <f>HYPERLINK("https://www.ncbi.nlm.nih.gov/geo/query/acc.cgi?acc=GSM34446","GSM34446")</f>
        <v>GSM34446</v>
      </c>
      <c r="I254" t="s">
        <v>17</v>
      </c>
      <c r="J254" t="s">
        <v>18</v>
      </c>
      <c r="K254" t="s">
        <v>33</v>
      </c>
      <c r="L254" t="s">
        <v>20</v>
      </c>
      <c r="N254" t="s">
        <v>29</v>
      </c>
    </row>
    <row r="255" spans="1:14">
      <c r="A255" s="4" t="str">
        <f t="shared" si="18"/>
        <v>EXP00004</v>
      </c>
      <c r="B255" s="4" t="str">
        <f t="shared" si="15"/>
        <v>22048815</v>
      </c>
      <c r="C255" s="4" t="str">
        <f t="shared" si="16"/>
        <v>GSE10893</v>
      </c>
      <c r="D255" s="1" t="s">
        <v>14</v>
      </c>
      <c r="E255" t="s">
        <v>35</v>
      </c>
      <c r="F255" s="1">
        <v>2</v>
      </c>
      <c r="G255" s="1" t="s">
        <v>28</v>
      </c>
      <c r="H255" s="4" t="str">
        <f>HYPERLINK("https://www.ncbi.nlm.nih.gov/geo/query/acc.cgi?acc=GSM34447","GSM34447")</f>
        <v>GSM34447</v>
      </c>
      <c r="I255" t="s">
        <v>17</v>
      </c>
      <c r="J255" t="s">
        <v>18</v>
      </c>
      <c r="K255" t="s">
        <v>33</v>
      </c>
      <c r="L255" t="s">
        <v>20</v>
      </c>
      <c r="N255" t="s">
        <v>29</v>
      </c>
    </row>
    <row r="256" spans="1:14">
      <c r="A256" s="4" t="str">
        <f t="shared" si="18"/>
        <v>EXP00004</v>
      </c>
      <c r="B256" s="4" t="str">
        <f t="shared" si="15"/>
        <v>22048815</v>
      </c>
      <c r="C256" s="4" t="str">
        <f t="shared" si="16"/>
        <v>GSE10893</v>
      </c>
      <c r="D256" s="1" t="s">
        <v>14</v>
      </c>
      <c r="E256" t="s">
        <v>35</v>
      </c>
      <c r="F256" s="1">
        <v>2</v>
      </c>
      <c r="G256" s="1" t="s">
        <v>28</v>
      </c>
      <c r="H256" s="4" t="str">
        <f>HYPERLINK("https://www.ncbi.nlm.nih.gov/geo/query/acc.cgi?acc=GSM34448","GSM34448")</f>
        <v>GSM34448</v>
      </c>
      <c r="I256" t="s">
        <v>17</v>
      </c>
      <c r="J256" t="s">
        <v>18</v>
      </c>
      <c r="K256" t="s">
        <v>33</v>
      </c>
      <c r="L256" t="s">
        <v>20</v>
      </c>
      <c r="N256" t="s">
        <v>29</v>
      </c>
    </row>
    <row r="257" spans="1:14">
      <c r="A257" s="4" t="str">
        <f t="shared" si="18"/>
        <v>EXP00004</v>
      </c>
      <c r="B257" s="4" t="str">
        <f t="shared" si="15"/>
        <v>22048815</v>
      </c>
      <c r="C257" s="4" t="str">
        <f t="shared" si="16"/>
        <v>GSE10893</v>
      </c>
      <c r="D257" s="1" t="s">
        <v>14</v>
      </c>
      <c r="E257" t="s">
        <v>35</v>
      </c>
      <c r="F257" s="1">
        <v>2</v>
      </c>
      <c r="G257" s="1" t="s">
        <v>28</v>
      </c>
      <c r="H257" s="4" t="str">
        <f>HYPERLINK("https://www.ncbi.nlm.nih.gov/geo/query/acc.cgi?acc=GSM34449","GSM34449")</f>
        <v>GSM34449</v>
      </c>
      <c r="I257" t="s">
        <v>17</v>
      </c>
      <c r="J257" t="s">
        <v>18</v>
      </c>
      <c r="K257" t="s">
        <v>33</v>
      </c>
      <c r="L257" t="s">
        <v>20</v>
      </c>
      <c r="N257" t="s">
        <v>29</v>
      </c>
    </row>
    <row r="258" spans="1:14">
      <c r="A258" s="4" t="str">
        <f t="shared" si="18"/>
        <v>EXP00004</v>
      </c>
      <c r="B258" s="4" t="str">
        <f t="shared" ref="B258:B321" si="19">HYPERLINK("https://www.ncbi.nlm.nih.gov/pubmed/22048815","22048815")</f>
        <v>22048815</v>
      </c>
      <c r="C258" s="4" t="str">
        <f t="shared" ref="C258:C321" si="20">HYPERLINK("https://www.ncbi.nlm.nih.gov/geo/query/acc.cgi?acc=GSE10893","GSE10893")</f>
        <v>GSE10893</v>
      </c>
      <c r="D258" s="1" t="s">
        <v>14</v>
      </c>
      <c r="E258" t="s">
        <v>35</v>
      </c>
      <c r="F258" s="1">
        <v>2</v>
      </c>
      <c r="G258" s="1" t="s">
        <v>28</v>
      </c>
      <c r="H258" s="4" t="str">
        <f>HYPERLINK("https://www.ncbi.nlm.nih.gov/geo/query/acc.cgi?acc=GSM34450","GSM34450")</f>
        <v>GSM34450</v>
      </c>
      <c r="I258" t="s">
        <v>17</v>
      </c>
      <c r="J258" t="s">
        <v>18</v>
      </c>
      <c r="K258" t="s">
        <v>33</v>
      </c>
      <c r="L258" t="s">
        <v>20</v>
      </c>
      <c r="N258" t="s">
        <v>29</v>
      </c>
    </row>
    <row r="259" spans="1:14">
      <c r="A259" s="4" t="str">
        <f t="shared" si="18"/>
        <v>EXP00004</v>
      </c>
      <c r="B259" s="4" t="str">
        <f t="shared" si="19"/>
        <v>22048815</v>
      </c>
      <c r="C259" s="4" t="str">
        <f t="shared" si="20"/>
        <v>GSE10893</v>
      </c>
      <c r="D259" s="1" t="s">
        <v>14</v>
      </c>
      <c r="E259" t="s">
        <v>35</v>
      </c>
      <c r="F259" s="1">
        <v>2</v>
      </c>
      <c r="G259" s="1" t="s">
        <v>28</v>
      </c>
      <c r="H259" s="4" t="str">
        <f>HYPERLINK("https://www.ncbi.nlm.nih.gov/geo/query/acc.cgi?acc=GSM34451","GSM34451")</f>
        <v>GSM34451</v>
      </c>
      <c r="I259" t="s">
        <v>17</v>
      </c>
      <c r="J259" t="s">
        <v>18</v>
      </c>
      <c r="K259" t="s">
        <v>33</v>
      </c>
      <c r="L259" t="s">
        <v>20</v>
      </c>
      <c r="N259" t="s">
        <v>29</v>
      </c>
    </row>
    <row r="260" spans="1:14">
      <c r="A260" s="4" t="str">
        <f t="shared" si="18"/>
        <v>EXP00004</v>
      </c>
      <c r="B260" s="4" t="str">
        <f t="shared" si="19"/>
        <v>22048815</v>
      </c>
      <c r="C260" s="4" t="str">
        <f t="shared" si="20"/>
        <v>GSE10893</v>
      </c>
      <c r="D260" s="1" t="s">
        <v>14</v>
      </c>
      <c r="E260" t="s">
        <v>35</v>
      </c>
      <c r="F260" s="1">
        <v>2</v>
      </c>
      <c r="G260" s="1" t="s">
        <v>28</v>
      </c>
      <c r="H260" s="4" t="str">
        <f>HYPERLINK("https://www.ncbi.nlm.nih.gov/geo/query/acc.cgi?acc=GSM34452","GSM34452")</f>
        <v>GSM34452</v>
      </c>
      <c r="I260" t="s">
        <v>17</v>
      </c>
      <c r="J260" t="s">
        <v>18</v>
      </c>
      <c r="K260" t="s">
        <v>33</v>
      </c>
      <c r="L260" t="s">
        <v>20</v>
      </c>
      <c r="N260" t="s">
        <v>29</v>
      </c>
    </row>
    <row r="261" spans="1:14">
      <c r="A261" s="4" t="str">
        <f t="shared" si="18"/>
        <v>EXP00004</v>
      </c>
      <c r="B261" s="4" t="str">
        <f t="shared" si="19"/>
        <v>22048815</v>
      </c>
      <c r="C261" s="4" t="str">
        <f t="shared" si="20"/>
        <v>GSE10893</v>
      </c>
      <c r="D261" s="1" t="s">
        <v>14</v>
      </c>
      <c r="E261" t="s">
        <v>35</v>
      </c>
      <c r="F261" s="1">
        <v>2</v>
      </c>
      <c r="G261" s="1" t="s">
        <v>28</v>
      </c>
      <c r="H261" s="4" t="str">
        <f>HYPERLINK("https://www.ncbi.nlm.nih.gov/geo/query/acc.cgi?acc=GSM34454","GSM34454")</f>
        <v>GSM34454</v>
      </c>
      <c r="I261" t="s">
        <v>17</v>
      </c>
      <c r="J261" t="s">
        <v>18</v>
      </c>
      <c r="K261" t="s">
        <v>33</v>
      </c>
      <c r="L261" t="s">
        <v>20</v>
      </c>
      <c r="N261" t="s">
        <v>29</v>
      </c>
    </row>
    <row r="262" spans="1:14">
      <c r="A262" s="4" t="str">
        <f t="shared" si="18"/>
        <v>EXP00004</v>
      </c>
      <c r="B262" s="4" t="str">
        <f t="shared" si="19"/>
        <v>22048815</v>
      </c>
      <c r="C262" s="4" t="str">
        <f t="shared" si="20"/>
        <v>GSE10893</v>
      </c>
      <c r="D262" s="1" t="s">
        <v>14</v>
      </c>
      <c r="E262" t="s">
        <v>35</v>
      </c>
      <c r="F262" s="1">
        <v>2</v>
      </c>
      <c r="G262" s="1" t="s">
        <v>28</v>
      </c>
      <c r="H262" s="4" t="str">
        <f>HYPERLINK("https://www.ncbi.nlm.nih.gov/geo/query/acc.cgi?acc=GSM34455","GSM34455")</f>
        <v>GSM34455</v>
      </c>
      <c r="I262" t="s">
        <v>17</v>
      </c>
      <c r="J262" t="s">
        <v>18</v>
      </c>
      <c r="K262" t="s">
        <v>33</v>
      </c>
      <c r="L262" t="s">
        <v>20</v>
      </c>
      <c r="N262" t="s">
        <v>29</v>
      </c>
    </row>
    <row r="263" spans="1:14">
      <c r="A263" s="4" t="str">
        <f t="shared" si="18"/>
        <v>EXP00004</v>
      </c>
      <c r="B263" s="4" t="str">
        <f t="shared" si="19"/>
        <v>22048815</v>
      </c>
      <c r="C263" s="4" t="str">
        <f t="shared" si="20"/>
        <v>GSE10893</v>
      </c>
      <c r="D263" s="1" t="s">
        <v>14</v>
      </c>
      <c r="E263" t="s">
        <v>35</v>
      </c>
      <c r="F263" s="1">
        <v>2</v>
      </c>
      <c r="G263" s="1" t="s">
        <v>28</v>
      </c>
      <c r="H263" s="4" t="str">
        <f>HYPERLINK("https://www.ncbi.nlm.nih.gov/geo/query/acc.cgi?acc=GSM34456","GSM34456")</f>
        <v>GSM34456</v>
      </c>
      <c r="I263" t="s">
        <v>17</v>
      </c>
      <c r="J263" t="s">
        <v>18</v>
      </c>
      <c r="K263" t="s">
        <v>33</v>
      </c>
      <c r="L263" t="s">
        <v>20</v>
      </c>
      <c r="N263" t="s">
        <v>29</v>
      </c>
    </row>
    <row r="264" spans="1:14">
      <c r="A264" s="4" t="str">
        <f t="shared" si="18"/>
        <v>EXP00004</v>
      </c>
      <c r="B264" s="4" t="str">
        <f t="shared" si="19"/>
        <v>22048815</v>
      </c>
      <c r="C264" s="4" t="str">
        <f t="shared" si="20"/>
        <v>GSE10893</v>
      </c>
      <c r="D264" s="1" t="s">
        <v>14</v>
      </c>
      <c r="E264" t="s">
        <v>35</v>
      </c>
      <c r="F264" s="1">
        <v>2</v>
      </c>
      <c r="G264" s="1" t="s">
        <v>28</v>
      </c>
      <c r="H264" s="4" t="str">
        <f>HYPERLINK("https://www.ncbi.nlm.nih.gov/geo/query/acc.cgi?acc=GSM34457","GSM34457")</f>
        <v>GSM34457</v>
      </c>
      <c r="I264" t="s">
        <v>17</v>
      </c>
      <c r="J264" t="s">
        <v>18</v>
      </c>
      <c r="K264" t="s">
        <v>33</v>
      </c>
      <c r="L264" t="s">
        <v>20</v>
      </c>
      <c r="N264" t="s">
        <v>29</v>
      </c>
    </row>
    <row r="265" spans="1:14">
      <c r="A265" s="4" t="str">
        <f t="shared" si="18"/>
        <v>EXP00004</v>
      </c>
      <c r="B265" s="4" t="str">
        <f t="shared" si="19"/>
        <v>22048815</v>
      </c>
      <c r="C265" s="4" t="str">
        <f t="shared" si="20"/>
        <v>GSE10893</v>
      </c>
      <c r="D265" s="1" t="s">
        <v>14</v>
      </c>
      <c r="E265" t="s">
        <v>35</v>
      </c>
      <c r="F265" s="1">
        <v>2</v>
      </c>
      <c r="G265" s="1" t="s">
        <v>28</v>
      </c>
      <c r="H265" s="4" t="str">
        <f>HYPERLINK("https://www.ncbi.nlm.nih.gov/geo/query/acc.cgi?acc=GSM34458","GSM34458")</f>
        <v>GSM34458</v>
      </c>
      <c r="I265" t="s">
        <v>17</v>
      </c>
      <c r="J265" t="s">
        <v>18</v>
      </c>
      <c r="K265" t="s">
        <v>33</v>
      </c>
      <c r="L265" t="s">
        <v>20</v>
      </c>
      <c r="N265" t="s">
        <v>29</v>
      </c>
    </row>
    <row r="266" spans="1:14">
      <c r="A266" s="4" t="str">
        <f t="shared" si="18"/>
        <v>EXP00004</v>
      </c>
      <c r="B266" s="4" t="str">
        <f t="shared" si="19"/>
        <v>22048815</v>
      </c>
      <c r="C266" s="4" t="str">
        <f t="shared" si="20"/>
        <v>GSE10893</v>
      </c>
      <c r="D266" s="1" t="s">
        <v>14</v>
      </c>
      <c r="E266" t="s">
        <v>35</v>
      </c>
      <c r="F266" s="1">
        <v>2</v>
      </c>
      <c r="G266" s="1" t="s">
        <v>28</v>
      </c>
      <c r="H266" s="4" t="str">
        <f>HYPERLINK("https://www.ncbi.nlm.nih.gov/geo/query/acc.cgi?acc=GSM34459","GSM34459")</f>
        <v>GSM34459</v>
      </c>
      <c r="I266" t="s">
        <v>17</v>
      </c>
      <c r="J266" t="s">
        <v>18</v>
      </c>
      <c r="K266" t="s">
        <v>33</v>
      </c>
      <c r="L266" t="s">
        <v>20</v>
      </c>
      <c r="N266" t="s">
        <v>29</v>
      </c>
    </row>
    <row r="267" spans="1:14">
      <c r="A267" s="4" t="str">
        <f t="shared" si="18"/>
        <v>EXP00004</v>
      </c>
      <c r="B267" s="4" t="str">
        <f t="shared" si="19"/>
        <v>22048815</v>
      </c>
      <c r="C267" s="4" t="str">
        <f t="shared" si="20"/>
        <v>GSE10893</v>
      </c>
      <c r="D267" s="1" t="s">
        <v>14</v>
      </c>
      <c r="E267" t="s">
        <v>35</v>
      </c>
      <c r="F267" s="1">
        <v>2</v>
      </c>
      <c r="G267" s="1" t="s">
        <v>28</v>
      </c>
      <c r="H267" s="4" t="str">
        <f>HYPERLINK("https://www.ncbi.nlm.nih.gov/geo/query/acc.cgi?acc=GSM34460","GSM34460")</f>
        <v>GSM34460</v>
      </c>
      <c r="I267" t="s">
        <v>17</v>
      </c>
      <c r="J267" t="s">
        <v>18</v>
      </c>
      <c r="K267" t="s">
        <v>33</v>
      </c>
      <c r="L267" t="s">
        <v>20</v>
      </c>
      <c r="N267" t="s">
        <v>29</v>
      </c>
    </row>
    <row r="268" spans="1:14">
      <c r="A268" s="4" t="str">
        <f t="shared" si="18"/>
        <v>EXP00004</v>
      </c>
      <c r="B268" s="4" t="str">
        <f t="shared" si="19"/>
        <v>22048815</v>
      </c>
      <c r="C268" s="4" t="str">
        <f t="shared" si="20"/>
        <v>GSE10893</v>
      </c>
      <c r="D268" s="1" t="s">
        <v>14</v>
      </c>
      <c r="E268" t="s">
        <v>35</v>
      </c>
      <c r="F268" s="1">
        <v>2</v>
      </c>
      <c r="G268" s="1" t="s">
        <v>28</v>
      </c>
      <c r="H268" s="4" t="str">
        <f>HYPERLINK("https://www.ncbi.nlm.nih.gov/geo/query/acc.cgi?acc=GSM34473","GSM34473")</f>
        <v>GSM34473</v>
      </c>
      <c r="I268" t="s">
        <v>17</v>
      </c>
      <c r="J268" t="s">
        <v>18</v>
      </c>
      <c r="K268" t="s">
        <v>19</v>
      </c>
      <c r="L268" t="s">
        <v>20</v>
      </c>
      <c r="M268" t="s">
        <v>34</v>
      </c>
      <c r="N268" t="s">
        <v>29</v>
      </c>
    </row>
    <row r="269" spans="1:14">
      <c r="A269" s="4" t="str">
        <f t="shared" si="18"/>
        <v>EXP00004</v>
      </c>
      <c r="B269" s="4" t="str">
        <f t="shared" si="19"/>
        <v>22048815</v>
      </c>
      <c r="C269" s="4" t="str">
        <f t="shared" si="20"/>
        <v>GSE10893</v>
      </c>
      <c r="D269" s="1" t="s">
        <v>14</v>
      </c>
      <c r="E269" t="s">
        <v>35</v>
      </c>
      <c r="F269" s="1">
        <v>2</v>
      </c>
      <c r="G269" s="1" t="s">
        <v>28</v>
      </c>
      <c r="H269" s="4" t="str">
        <f>HYPERLINK("https://www.ncbi.nlm.nih.gov/geo/query/acc.cgi?acc=GSM34474","GSM34474")</f>
        <v>GSM34474</v>
      </c>
      <c r="I269" t="s">
        <v>17</v>
      </c>
      <c r="J269" t="s">
        <v>18</v>
      </c>
      <c r="K269" t="s">
        <v>33</v>
      </c>
      <c r="L269" t="s">
        <v>20</v>
      </c>
      <c r="N269" t="s">
        <v>29</v>
      </c>
    </row>
    <row r="270" spans="1:14">
      <c r="A270" s="4" t="str">
        <f t="shared" si="18"/>
        <v>EXP00004</v>
      </c>
      <c r="B270" s="4" t="str">
        <f t="shared" si="19"/>
        <v>22048815</v>
      </c>
      <c r="C270" s="4" t="str">
        <f t="shared" si="20"/>
        <v>GSE10893</v>
      </c>
      <c r="D270" s="1" t="s">
        <v>14</v>
      </c>
      <c r="E270" t="s">
        <v>35</v>
      </c>
      <c r="F270" s="1">
        <v>2</v>
      </c>
      <c r="G270" s="1" t="s">
        <v>28</v>
      </c>
      <c r="H270" s="4" t="str">
        <f>HYPERLINK("https://www.ncbi.nlm.nih.gov/geo/query/acc.cgi?acc=GSM34475","GSM34475")</f>
        <v>GSM34475</v>
      </c>
      <c r="I270" t="s">
        <v>17</v>
      </c>
      <c r="J270" t="s">
        <v>18</v>
      </c>
      <c r="K270" t="s">
        <v>33</v>
      </c>
      <c r="L270" t="s">
        <v>20</v>
      </c>
      <c r="N270" t="s">
        <v>29</v>
      </c>
    </row>
    <row r="271" spans="1:14">
      <c r="A271" s="4" t="str">
        <f t="shared" si="18"/>
        <v>EXP00004</v>
      </c>
      <c r="B271" s="4" t="str">
        <f t="shared" si="19"/>
        <v>22048815</v>
      </c>
      <c r="C271" s="4" t="str">
        <f t="shared" si="20"/>
        <v>GSE10893</v>
      </c>
      <c r="D271" s="1" t="s">
        <v>14</v>
      </c>
      <c r="E271" t="s">
        <v>35</v>
      </c>
      <c r="F271" s="1">
        <v>2</v>
      </c>
      <c r="G271" s="1" t="s">
        <v>28</v>
      </c>
      <c r="H271" s="4" t="str">
        <f>HYPERLINK("https://www.ncbi.nlm.nih.gov/geo/query/acc.cgi?acc=GSM34479","GSM34479")</f>
        <v>GSM34479</v>
      </c>
      <c r="I271" t="s">
        <v>17</v>
      </c>
      <c r="J271" t="s">
        <v>18</v>
      </c>
      <c r="K271" t="s">
        <v>33</v>
      </c>
      <c r="L271" t="s">
        <v>20</v>
      </c>
      <c r="N271" t="s">
        <v>29</v>
      </c>
    </row>
    <row r="272" spans="1:14">
      <c r="A272" s="4" t="str">
        <f t="shared" si="18"/>
        <v>EXP00004</v>
      </c>
      <c r="B272" s="4" t="str">
        <f t="shared" si="19"/>
        <v>22048815</v>
      </c>
      <c r="C272" s="4" t="str">
        <f t="shared" si="20"/>
        <v>GSE10893</v>
      </c>
      <c r="D272" s="1" t="s">
        <v>14</v>
      </c>
      <c r="E272" t="s">
        <v>35</v>
      </c>
      <c r="F272" s="1">
        <v>2</v>
      </c>
      <c r="G272" s="1" t="s">
        <v>28</v>
      </c>
      <c r="H272" s="4" t="str">
        <f>HYPERLINK("https://www.ncbi.nlm.nih.gov/geo/query/acc.cgi?acc=GSM34480","GSM34480")</f>
        <v>GSM34480</v>
      </c>
      <c r="I272" t="s">
        <v>17</v>
      </c>
      <c r="J272" t="s">
        <v>18</v>
      </c>
      <c r="K272" t="s">
        <v>33</v>
      </c>
      <c r="L272" t="s">
        <v>20</v>
      </c>
      <c r="N272" t="s">
        <v>29</v>
      </c>
    </row>
    <row r="273" spans="1:14">
      <c r="A273" s="4" t="str">
        <f t="shared" si="18"/>
        <v>EXP00004</v>
      </c>
      <c r="B273" s="4" t="str">
        <f t="shared" si="19"/>
        <v>22048815</v>
      </c>
      <c r="C273" s="4" t="str">
        <f t="shared" si="20"/>
        <v>GSE10893</v>
      </c>
      <c r="D273" s="1" t="s">
        <v>14</v>
      </c>
      <c r="E273" t="s">
        <v>35</v>
      </c>
      <c r="F273" s="1">
        <v>2</v>
      </c>
      <c r="G273" s="1" t="s">
        <v>28</v>
      </c>
      <c r="H273" s="4" t="str">
        <f>HYPERLINK("https://www.ncbi.nlm.nih.gov/geo/query/acc.cgi?acc=GSM34481","GSM34481")</f>
        <v>GSM34481</v>
      </c>
      <c r="I273" t="s">
        <v>17</v>
      </c>
      <c r="J273" t="s">
        <v>18</v>
      </c>
      <c r="K273" t="s">
        <v>33</v>
      </c>
      <c r="L273" t="s">
        <v>20</v>
      </c>
      <c r="N273" t="s">
        <v>29</v>
      </c>
    </row>
    <row r="274" spans="1:14">
      <c r="A274" s="4" t="str">
        <f t="shared" si="18"/>
        <v>EXP00004</v>
      </c>
      <c r="B274" s="4" t="str">
        <f t="shared" si="19"/>
        <v>22048815</v>
      </c>
      <c r="C274" s="4" t="str">
        <f t="shared" si="20"/>
        <v>GSE10893</v>
      </c>
      <c r="D274" s="1" t="s">
        <v>14</v>
      </c>
      <c r="E274" t="s">
        <v>35</v>
      </c>
      <c r="F274" s="1">
        <v>2</v>
      </c>
      <c r="G274" s="1" t="s">
        <v>28</v>
      </c>
      <c r="H274" s="4" t="str">
        <f>HYPERLINK("https://www.ncbi.nlm.nih.gov/geo/query/acc.cgi?acc=GSM34486","GSM34486")</f>
        <v>GSM34486</v>
      </c>
      <c r="I274" t="s">
        <v>17</v>
      </c>
      <c r="J274" t="s">
        <v>18</v>
      </c>
      <c r="K274" t="s">
        <v>33</v>
      </c>
      <c r="L274" t="s">
        <v>20</v>
      </c>
      <c r="N274" t="s">
        <v>29</v>
      </c>
    </row>
    <row r="275" spans="1:14">
      <c r="A275" s="4" t="str">
        <f t="shared" si="18"/>
        <v>EXP00004</v>
      </c>
      <c r="B275" s="4" t="str">
        <f t="shared" si="19"/>
        <v>22048815</v>
      </c>
      <c r="C275" s="4" t="str">
        <f t="shared" si="20"/>
        <v>GSE10893</v>
      </c>
      <c r="D275" s="1" t="s">
        <v>14</v>
      </c>
      <c r="E275" t="s">
        <v>35</v>
      </c>
      <c r="F275" s="1">
        <v>2</v>
      </c>
      <c r="G275" s="1" t="s">
        <v>28</v>
      </c>
      <c r="H275" s="4" t="str">
        <f>HYPERLINK("https://www.ncbi.nlm.nih.gov/geo/query/acc.cgi?acc=GSM34488","GSM34488")</f>
        <v>GSM34488</v>
      </c>
      <c r="I275" t="s">
        <v>17</v>
      </c>
      <c r="J275" t="s">
        <v>18</v>
      </c>
      <c r="K275" t="s">
        <v>33</v>
      </c>
      <c r="L275" t="s">
        <v>20</v>
      </c>
      <c r="N275" t="s">
        <v>29</v>
      </c>
    </row>
    <row r="276" spans="1:14">
      <c r="A276" s="4" t="str">
        <f t="shared" si="18"/>
        <v>EXP00004</v>
      </c>
      <c r="B276" s="4" t="str">
        <f t="shared" si="19"/>
        <v>22048815</v>
      </c>
      <c r="C276" s="4" t="str">
        <f t="shared" si="20"/>
        <v>GSE10893</v>
      </c>
      <c r="D276" s="1" t="s">
        <v>14</v>
      </c>
      <c r="E276" t="s">
        <v>35</v>
      </c>
      <c r="F276" s="1">
        <v>2</v>
      </c>
      <c r="G276" s="1" t="s">
        <v>28</v>
      </c>
      <c r="H276" s="4" t="str">
        <f>HYPERLINK("https://www.ncbi.nlm.nih.gov/geo/query/acc.cgi?acc=GSM34494","GSM34494")</f>
        <v>GSM34494</v>
      </c>
      <c r="I276" t="s">
        <v>17</v>
      </c>
      <c r="J276" t="s">
        <v>18</v>
      </c>
      <c r="K276" t="s">
        <v>33</v>
      </c>
      <c r="L276" t="s">
        <v>20</v>
      </c>
      <c r="N276" t="s">
        <v>29</v>
      </c>
    </row>
    <row r="277" spans="1:14">
      <c r="A277" s="4" t="str">
        <f t="shared" si="18"/>
        <v>EXP00004</v>
      </c>
      <c r="B277" s="4" t="str">
        <f t="shared" si="19"/>
        <v>22048815</v>
      </c>
      <c r="C277" s="4" t="str">
        <f t="shared" si="20"/>
        <v>GSE10893</v>
      </c>
      <c r="D277" s="1" t="s">
        <v>14</v>
      </c>
      <c r="E277" t="s">
        <v>35</v>
      </c>
      <c r="F277" s="1">
        <v>2</v>
      </c>
      <c r="G277" s="1" t="s">
        <v>28</v>
      </c>
      <c r="H277" s="4" t="str">
        <f>HYPERLINK("https://www.ncbi.nlm.nih.gov/geo/query/acc.cgi?acc=GSM34495","GSM34495")</f>
        <v>GSM34495</v>
      </c>
      <c r="I277" t="s">
        <v>17</v>
      </c>
      <c r="J277" t="s">
        <v>18</v>
      </c>
      <c r="K277" t="s">
        <v>33</v>
      </c>
      <c r="L277" t="s">
        <v>20</v>
      </c>
      <c r="N277" t="s">
        <v>29</v>
      </c>
    </row>
    <row r="278" spans="1:14">
      <c r="A278" s="4" t="str">
        <f t="shared" si="18"/>
        <v>EXP00004</v>
      </c>
      <c r="B278" s="4" t="str">
        <f t="shared" si="19"/>
        <v>22048815</v>
      </c>
      <c r="C278" s="4" t="str">
        <f t="shared" si="20"/>
        <v>GSE10893</v>
      </c>
      <c r="D278" s="1" t="s">
        <v>14</v>
      </c>
      <c r="E278" t="s">
        <v>35</v>
      </c>
      <c r="F278" s="1">
        <v>2</v>
      </c>
      <c r="G278" s="1" t="s">
        <v>28</v>
      </c>
      <c r="H278" s="4" t="str">
        <f>HYPERLINK("https://www.ncbi.nlm.nih.gov/geo/query/acc.cgi?acc=GSM34496","GSM34496")</f>
        <v>GSM34496</v>
      </c>
      <c r="I278" t="s">
        <v>17</v>
      </c>
      <c r="J278" t="s">
        <v>18</v>
      </c>
      <c r="K278" t="s">
        <v>33</v>
      </c>
      <c r="L278" t="s">
        <v>20</v>
      </c>
      <c r="N278" t="s">
        <v>29</v>
      </c>
    </row>
    <row r="279" spans="1:14">
      <c r="A279" s="4" t="str">
        <f t="shared" si="18"/>
        <v>EXP00004</v>
      </c>
      <c r="B279" s="4" t="str">
        <f t="shared" si="19"/>
        <v>22048815</v>
      </c>
      <c r="C279" s="4" t="str">
        <f t="shared" si="20"/>
        <v>GSE10893</v>
      </c>
      <c r="D279" s="1" t="s">
        <v>14</v>
      </c>
      <c r="E279" t="s">
        <v>35</v>
      </c>
      <c r="F279" s="1">
        <v>2</v>
      </c>
      <c r="G279" s="1" t="s">
        <v>28</v>
      </c>
      <c r="H279" s="4" t="str">
        <f>HYPERLINK("https://www.ncbi.nlm.nih.gov/geo/query/acc.cgi?acc=GSM34497","GSM34497")</f>
        <v>GSM34497</v>
      </c>
      <c r="I279" t="s">
        <v>17</v>
      </c>
      <c r="J279" t="s">
        <v>18</v>
      </c>
      <c r="K279" t="s">
        <v>33</v>
      </c>
      <c r="L279" t="s">
        <v>20</v>
      </c>
      <c r="N279" t="s">
        <v>29</v>
      </c>
    </row>
    <row r="280" spans="1:14">
      <c r="A280" s="4" t="str">
        <f t="shared" si="18"/>
        <v>EXP00004</v>
      </c>
      <c r="B280" s="4" t="str">
        <f t="shared" si="19"/>
        <v>22048815</v>
      </c>
      <c r="C280" s="4" t="str">
        <f t="shared" si="20"/>
        <v>GSE10893</v>
      </c>
      <c r="D280" s="1" t="s">
        <v>14</v>
      </c>
      <c r="E280" t="s">
        <v>35</v>
      </c>
      <c r="F280" s="1">
        <v>2</v>
      </c>
      <c r="G280" s="1" t="s">
        <v>28</v>
      </c>
      <c r="H280" s="4" t="str">
        <f>HYPERLINK("https://www.ncbi.nlm.nih.gov/geo/query/acc.cgi?acc=GSM34534","GSM34534")</f>
        <v>GSM34534</v>
      </c>
      <c r="I280" t="s">
        <v>17</v>
      </c>
      <c r="J280" t="s">
        <v>18</v>
      </c>
      <c r="K280" t="s">
        <v>33</v>
      </c>
      <c r="L280" t="s">
        <v>20</v>
      </c>
      <c r="N280" t="s">
        <v>29</v>
      </c>
    </row>
    <row r="281" spans="1:14">
      <c r="A281" s="4" t="str">
        <f t="shared" si="18"/>
        <v>EXP00004</v>
      </c>
      <c r="B281" s="4" t="str">
        <f t="shared" si="19"/>
        <v>22048815</v>
      </c>
      <c r="C281" s="4" t="str">
        <f t="shared" si="20"/>
        <v>GSE10893</v>
      </c>
      <c r="D281" s="1" t="s">
        <v>14</v>
      </c>
      <c r="E281" t="s">
        <v>35</v>
      </c>
      <c r="F281" s="1">
        <v>2</v>
      </c>
      <c r="G281" s="1" t="s">
        <v>28</v>
      </c>
      <c r="H281" s="4" t="str">
        <f>HYPERLINK("https://www.ncbi.nlm.nih.gov/geo/query/acc.cgi?acc=GSM34535","GSM34535")</f>
        <v>GSM34535</v>
      </c>
      <c r="I281" t="s">
        <v>17</v>
      </c>
      <c r="J281" t="s">
        <v>18</v>
      </c>
      <c r="K281" t="s">
        <v>33</v>
      </c>
      <c r="L281" t="s">
        <v>20</v>
      </c>
      <c r="N281" t="s">
        <v>29</v>
      </c>
    </row>
    <row r="282" spans="1:14">
      <c r="A282" s="4" t="str">
        <f t="shared" si="18"/>
        <v>EXP00004</v>
      </c>
      <c r="B282" s="4" t="str">
        <f t="shared" si="19"/>
        <v>22048815</v>
      </c>
      <c r="C282" s="4" t="str">
        <f t="shared" si="20"/>
        <v>GSE10893</v>
      </c>
      <c r="D282" s="1" t="s">
        <v>14</v>
      </c>
      <c r="E282" t="s">
        <v>35</v>
      </c>
      <c r="F282" s="1">
        <v>2</v>
      </c>
      <c r="G282" s="1" t="s">
        <v>28</v>
      </c>
      <c r="H282" s="4" t="str">
        <f>HYPERLINK("https://www.ncbi.nlm.nih.gov/geo/query/acc.cgi?acc=GSM34536","GSM34536")</f>
        <v>GSM34536</v>
      </c>
      <c r="I282" t="s">
        <v>17</v>
      </c>
      <c r="J282" t="s">
        <v>18</v>
      </c>
      <c r="K282" t="s">
        <v>33</v>
      </c>
      <c r="L282" t="s">
        <v>20</v>
      </c>
      <c r="N282" t="s">
        <v>29</v>
      </c>
    </row>
    <row r="283" spans="1:14">
      <c r="A283" s="4" t="str">
        <f t="shared" ref="A283:A314" si="21">HYPERLINK("http://hcmdb.i-sanger.com/experiment/details/experiment_id/EXP00004","EXP00004")</f>
        <v>EXP00004</v>
      </c>
      <c r="B283" s="4" t="str">
        <f t="shared" si="19"/>
        <v>22048815</v>
      </c>
      <c r="C283" s="4" t="str">
        <f t="shared" si="20"/>
        <v>GSE10893</v>
      </c>
      <c r="D283" s="1" t="s">
        <v>14</v>
      </c>
      <c r="E283" t="s">
        <v>35</v>
      </c>
      <c r="F283" s="1">
        <v>2</v>
      </c>
      <c r="G283" s="1" t="s">
        <v>28</v>
      </c>
      <c r="H283" s="4" t="str">
        <f>HYPERLINK("https://www.ncbi.nlm.nih.gov/geo/query/acc.cgi?acc=GSM34537","GSM34537")</f>
        <v>GSM34537</v>
      </c>
      <c r="I283" t="s">
        <v>17</v>
      </c>
      <c r="J283" t="s">
        <v>18</v>
      </c>
      <c r="K283" t="s">
        <v>33</v>
      </c>
      <c r="L283" t="s">
        <v>20</v>
      </c>
      <c r="N283" t="s">
        <v>29</v>
      </c>
    </row>
    <row r="284" spans="1:14">
      <c r="A284" s="4" t="str">
        <f t="shared" si="21"/>
        <v>EXP00004</v>
      </c>
      <c r="B284" s="4" t="str">
        <f t="shared" si="19"/>
        <v>22048815</v>
      </c>
      <c r="C284" s="4" t="str">
        <f t="shared" si="20"/>
        <v>GSE10893</v>
      </c>
      <c r="D284" s="1" t="s">
        <v>14</v>
      </c>
      <c r="E284" t="s">
        <v>35</v>
      </c>
      <c r="F284" s="1">
        <v>2</v>
      </c>
      <c r="G284" s="1" t="s">
        <v>28</v>
      </c>
      <c r="H284" s="4" t="str">
        <f>HYPERLINK("https://www.ncbi.nlm.nih.gov/geo/query/acc.cgi?acc=GSM34538","GSM34538")</f>
        <v>GSM34538</v>
      </c>
      <c r="I284" t="s">
        <v>17</v>
      </c>
      <c r="J284" t="s">
        <v>18</v>
      </c>
      <c r="K284" t="s">
        <v>33</v>
      </c>
      <c r="L284" t="s">
        <v>20</v>
      </c>
      <c r="N284" t="s">
        <v>29</v>
      </c>
    </row>
    <row r="285" spans="1:14">
      <c r="A285" s="4" t="str">
        <f t="shared" si="21"/>
        <v>EXP00004</v>
      </c>
      <c r="B285" s="4" t="str">
        <f t="shared" si="19"/>
        <v>22048815</v>
      </c>
      <c r="C285" s="4" t="str">
        <f t="shared" si="20"/>
        <v>GSE10893</v>
      </c>
      <c r="D285" s="1" t="s">
        <v>14</v>
      </c>
      <c r="E285" t="s">
        <v>35</v>
      </c>
      <c r="F285" s="1">
        <v>2</v>
      </c>
      <c r="G285" s="1" t="s">
        <v>28</v>
      </c>
      <c r="H285" s="4" t="str">
        <f>HYPERLINK("https://www.ncbi.nlm.nih.gov/geo/query/acc.cgi?acc=GSM34539","GSM34539")</f>
        <v>GSM34539</v>
      </c>
      <c r="I285" t="s">
        <v>17</v>
      </c>
      <c r="J285" t="s">
        <v>18</v>
      </c>
      <c r="K285" t="s">
        <v>33</v>
      </c>
      <c r="L285" t="s">
        <v>20</v>
      </c>
      <c r="N285" t="s">
        <v>29</v>
      </c>
    </row>
    <row r="286" spans="1:14">
      <c r="A286" s="4" t="str">
        <f t="shared" si="21"/>
        <v>EXP00004</v>
      </c>
      <c r="B286" s="4" t="str">
        <f t="shared" si="19"/>
        <v>22048815</v>
      </c>
      <c r="C286" s="4" t="str">
        <f t="shared" si="20"/>
        <v>GSE10893</v>
      </c>
      <c r="D286" s="1" t="s">
        <v>14</v>
      </c>
      <c r="E286" t="s">
        <v>35</v>
      </c>
      <c r="F286" s="1">
        <v>2</v>
      </c>
      <c r="G286" s="1" t="s">
        <v>28</v>
      </c>
      <c r="H286" s="4" t="str">
        <f>HYPERLINK("https://www.ncbi.nlm.nih.gov/geo/query/acc.cgi?acc=GSM34540","GSM34540")</f>
        <v>GSM34540</v>
      </c>
      <c r="I286" t="s">
        <v>17</v>
      </c>
      <c r="J286" t="s">
        <v>18</v>
      </c>
      <c r="K286" t="s">
        <v>33</v>
      </c>
      <c r="L286" t="s">
        <v>20</v>
      </c>
      <c r="N286" t="s">
        <v>29</v>
      </c>
    </row>
    <row r="287" spans="1:14">
      <c r="A287" s="4" t="str">
        <f t="shared" si="21"/>
        <v>EXP00004</v>
      </c>
      <c r="B287" s="4" t="str">
        <f t="shared" si="19"/>
        <v>22048815</v>
      </c>
      <c r="C287" s="4" t="str">
        <f t="shared" si="20"/>
        <v>GSE10893</v>
      </c>
      <c r="D287" s="1" t="s">
        <v>14</v>
      </c>
      <c r="E287" t="s">
        <v>35</v>
      </c>
      <c r="F287" s="1">
        <v>2</v>
      </c>
      <c r="G287" s="1" t="s">
        <v>28</v>
      </c>
      <c r="H287" s="4" t="str">
        <f>HYPERLINK("https://www.ncbi.nlm.nih.gov/geo/query/acc.cgi?acc=GSM34541","GSM34541")</f>
        <v>GSM34541</v>
      </c>
      <c r="I287" t="s">
        <v>17</v>
      </c>
      <c r="J287" t="s">
        <v>18</v>
      </c>
      <c r="K287" t="s">
        <v>33</v>
      </c>
      <c r="L287" t="s">
        <v>20</v>
      </c>
      <c r="N287" t="s">
        <v>29</v>
      </c>
    </row>
    <row r="288" spans="1:14">
      <c r="A288" s="4" t="str">
        <f t="shared" si="21"/>
        <v>EXP00004</v>
      </c>
      <c r="B288" s="4" t="str">
        <f t="shared" si="19"/>
        <v>22048815</v>
      </c>
      <c r="C288" s="4" t="str">
        <f t="shared" si="20"/>
        <v>GSE10893</v>
      </c>
      <c r="D288" s="1" t="s">
        <v>14</v>
      </c>
      <c r="E288" t="s">
        <v>35</v>
      </c>
      <c r="F288" s="1">
        <v>2</v>
      </c>
      <c r="G288" s="1" t="s">
        <v>28</v>
      </c>
      <c r="H288" s="4" t="str">
        <f>HYPERLINK("https://www.ncbi.nlm.nih.gov/geo/query/acc.cgi?acc=GSM34542","GSM34542")</f>
        <v>GSM34542</v>
      </c>
      <c r="I288" t="s">
        <v>17</v>
      </c>
      <c r="J288" t="s">
        <v>18</v>
      </c>
      <c r="K288" t="s">
        <v>33</v>
      </c>
      <c r="L288" t="s">
        <v>20</v>
      </c>
      <c r="N288" t="s">
        <v>29</v>
      </c>
    </row>
    <row r="289" spans="1:14">
      <c r="A289" s="4" t="str">
        <f t="shared" si="21"/>
        <v>EXP00004</v>
      </c>
      <c r="B289" s="4" t="str">
        <f t="shared" si="19"/>
        <v>22048815</v>
      </c>
      <c r="C289" s="4" t="str">
        <f t="shared" si="20"/>
        <v>GSE10893</v>
      </c>
      <c r="D289" s="1" t="s">
        <v>14</v>
      </c>
      <c r="E289" t="s">
        <v>35</v>
      </c>
      <c r="F289" s="1">
        <v>2</v>
      </c>
      <c r="G289" s="1" t="s">
        <v>28</v>
      </c>
      <c r="H289" s="4" t="str">
        <f>HYPERLINK("https://www.ncbi.nlm.nih.gov/geo/query/acc.cgi?acc=GSM34544","GSM34544")</f>
        <v>GSM34544</v>
      </c>
      <c r="I289" t="s">
        <v>17</v>
      </c>
      <c r="J289" t="s">
        <v>18</v>
      </c>
      <c r="K289" t="s">
        <v>33</v>
      </c>
      <c r="L289" t="s">
        <v>20</v>
      </c>
      <c r="N289" t="s">
        <v>29</v>
      </c>
    </row>
    <row r="290" spans="1:14">
      <c r="A290" s="4" t="str">
        <f t="shared" si="21"/>
        <v>EXP00004</v>
      </c>
      <c r="B290" s="4" t="str">
        <f t="shared" si="19"/>
        <v>22048815</v>
      </c>
      <c r="C290" s="4" t="str">
        <f t="shared" si="20"/>
        <v>GSE10893</v>
      </c>
      <c r="D290" s="1" t="s">
        <v>14</v>
      </c>
      <c r="E290" t="s">
        <v>35</v>
      </c>
      <c r="F290" s="1">
        <v>2</v>
      </c>
      <c r="G290" s="1" t="s">
        <v>28</v>
      </c>
      <c r="H290" s="4" t="str">
        <f>HYPERLINK("https://www.ncbi.nlm.nih.gov/geo/query/acc.cgi?acc=GSM34545","GSM34545")</f>
        <v>GSM34545</v>
      </c>
      <c r="I290" t="s">
        <v>17</v>
      </c>
      <c r="J290" t="s">
        <v>18</v>
      </c>
      <c r="K290" t="s">
        <v>33</v>
      </c>
      <c r="L290" t="s">
        <v>20</v>
      </c>
      <c r="N290" t="s">
        <v>29</v>
      </c>
    </row>
    <row r="291" spans="1:14">
      <c r="A291" s="4" t="str">
        <f t="shared" si="21"/>
        <v>EXP00004</v>
      </c>
      <c r="B291" s="4" t="str">
        <f t="shared" si="19"/>
        <v>22048815</v>
      </c>
      <c r="C291" s="4" t="str">
        <f t="shared" si="20"/>
        <v>GSE10893</v>
      </c>
      <c r="D291" s="1" t="s">
        <v>14</v>
      </c>
      <c r="E291" t="s">
        <v>35</v>
      </c>
      <c r="F291" s="1">
        <v>2</v>
      </c>
      <c r="G291" s="1" t="s">
        <v>28</v>
      </c>
      <c r="H291" s="4" t="str">
        <f>HYPERLINK("https://www.ncbi.nlm.nih.gov/geo/query/acc.cgi?acc=GSM34546","GSM34546")</f>
        <v>GSM34546</v>
      </c>
      <c r="I291" t="s">
        <v>17</v>
      </c>
      <c r="J291" t="s">
        <v>18</v>
      </c>
      <c r="K291" t="s">
        <v>33</v>
      </c>
      <c r="L291" t="s">
        <v>20</v>
      </c>
      <c r="N291" t="s">
        <v>29</v>
      </c>
    </row>
    <row r="292" spans="1:14">
      <c r="A292" s="4" t="str">
        <f t="shared" si="21"/>
        <v>EXP00004</v>
      </c>
      <c r="B292" s="4" t="str">
        <f t="shared" si="19"/>
        <v>22048815</v>
      </c>
      <c r="C292" s="4" t="str">
        <f t="shared" si="20"/>
        <v>GSE10893</v>
      </c>
      <c r="D292" s="1" t="s">
        <v>14</v>
      </c>
      <c r="E292" t="s">
        <v>35</v>
      </c>
      <c r="F292" s="1">
        <v>2</v>
      </c>
      <c r="G292" s="1" t="s">
        <v>28</v>
      </c>
      <c r="H292" s="4" t="str">
        <f>HYPERLINK("https://www.ncbi.nlm.nih.gov/geo/query/acc.cgi?acc=GSM34548","GSM34548")</f>
        <v>GSM34548</v>
      </c>
      <c r="I292" t="s">
        <v>17</v>
      </c>
      <c r="J292" t="s">
        <v>18</v>
      </c>
      <c r="K292" t="s">
        <v>33</v>
      </c>
      <c r="L292" t="s">
        <v>20</v>
      </c>
      <c r="N292" t="s">
        <v>29</v>
      </c>
    </row>
    <row r="293" spans="1:14">
      <c r="A293" s="4" t="str">
        <f t="shared" si="21"/>
        <v>EXP00004</v>
      </c>
      <c r="B293" s="4" t="str">
        <f t="shared" si="19"/>
        <v>22048815</v>
      </c>
      <c r="C293" s="4" t="str">
        <f t="shared" si="20"/>
        <v>GSE10893</v>
      </c>
      <c r="D293" s="1" t="s">
        <v>14</v>
      </c>
      <c r="E293" t="s">
        <v>35</v>
      </c>
      <c r="F293" s="1">
        <v>2</v>
      </c>
      <c r="G293" s="1" t="s">
        <v>28</v>
      </c>
      <c r="H293" s="4" t="str">
        <f>HYPERLINK("https://www.ncbi.nlm.nih.gov/geo/query/acc.cgi?acc=GSM34549","GSM34549")</f>
        <v>GSM34549</v>
      </c>
      <c r="I293" t="s">
        <v>17</v>
      </c>
      <c r="J293" t="s">
        <v>18</v>
      </c>
      <c r="K293" t="s">
        <v>33</v>
      </c>
      <c r="L293" t="s">
        <v>20</v>
      </c>
      <c r="N293" t="s">
        <v>29</v>
      </c>
    </row>
    <row r="294" spans="1:14">
      <c r="A294" s="4" t="str">
        <f t="shared" si="21"/>
        <v>EXP00004</v>
      </c>
      <c r="B294" s="4" t="str">
        <f t="shared" si="19"/>
        <v>22048815</v>
      </c>
      <c r="C294" s="4" t="str">
        <f t="shared" si="20"/>
        <v>GSE10893</v>
      </c>
      <c r="D294" s="1" t="s">
        <v>14</v>
      </c>
      <c r="E294" t="s">
        <v>35</v>
      </c>
      <c r="F294" s="1">
        <v>2</v>
      </c>
      <c r="G294" s="1" t="s">
        <v>28</v>
      </c>
      <c r="H294" s="4" t="str">
        <f>HYPERLINK("https://www.ncbi.nlm.nih.gov/geo/query/acc.cgi?acc=GSM34550","GSM34550")</f>
        <v>GSM34550</v>
      </c>
      <c r="I294" t="s">
        <v>17</v>
      </c>
      <c r="J294" t="s">
        <v>18</v>
      </c>
      <c r="K294" t="s">
        <v>33</v>
      </c>
      <c r="L294" t="s">
        <v>20</v>
      </c>
      <c r="N294" t="s">
        <v>29</v>
      </c>
    </row>
    <row r="295" spans="1:14">
      <c r="A295" s="4" t="str">
        <f t="shared" si="21"/>
        <v>EXP00004</v>
      </c>
      <c r="B295" s="4" t="str">
        <f t="shared" si="19"/>
        <v>22048815</v>
      </c>
      <c r="C295" s="4" t="str">
        <f t="shared" si="20"/>
        <v>GSE10893</v>
      </c>
      <c r="D295" s="1" t="s">
        <v>14</v>
      </c>
      <c r="E295" t="s">
        <v>35</v>
      </c>
      <c r="F295" s="1">
        <v>2</v>
      </c>
      <c r="G295" s="1" t="s">
        <v>28</v>
      </c>
      <c r="H295" s="4" t="str">
        <f>HYPERLINK("https://www.ncbi.nlm.nih.gov/geo/query/acc.cgi?acc=GSM34553","GSM34553")</f>
        <v>GSM34553</v>
      </c>
      <c r="I295" t="s">
        <v>17</v>
      </c>
      <c r="J295" t="s">
        <v>18</v>
      </c>
      <c r="K295" t="s">
        <v>33</v>
      </c>
      <c r="L295" t="s">
        <v>20</v>
      </c>
      <c r="N295" t="s">
        <v>29</v>
      </c>
    </row>
    <row r="296" spans="1:14">
      <c r="A296" s="4" t="str">
        <f t="shared" si="21"/>
        <v>EXP00004</v>
      </c>
      <c r="B296" s="4" t="str">
        <f t="shared" si="19"/>
        <v>22048815</v>
      </c>
      <c r="C296" s="4" t="str">
        <f t="shared" si="20"/>
        <v>GSE10893</v>
      </c>
      <c r="D296" s="1" t="s">
        <v>14</v>
      </c>
      <c r="E296" t="s">
        <v>35</v>
      </c>
      <c r="F296" s="1">
        <v>2</v>
      </c>
      <c r="G296" s="1" t="s">
        <v>28</v>
      </c>
      <c r="H296" s="4" t="str">
        <f>HYPERLINK("https://www.ncbi.nlm.nih.gov/geo/query/acc.cgi?acc=GSM34554","GSM34554")</f>
        <v>GSM34554</v>
      </c>
      <c r="I296" t="s">
        <v>17</v>
      </c>
      <c r="J296" t="s">
        <v>18</v>
      </c>
      <c r="K296" t="s">
        <v>33</v>
      </c>
      <c r="L296" t="s">
        <v>20</v>
      </c>
      <c r="N296" t="s">
        <v>29</v>
      </c>
    </row>
    <row r="297" spans="1:14">
      <c r="A297" s="4" t="str">
        <f t="shared" si="21"/>
        <v>EXP00004</v>
      </c>
      <c r="B297" s="4" t="str">
        <f t="shared" si="19"/>
        <v>22048815</v>
      </c>
      <c r="C297" s="4" t="str">
        <f t="shared" si="20"/>
        <v>GSE10893</v>
      </c>
      <c r="D297" s="1" t="s">
        <v>14</v>
      </c>
      <c r="E297" t="s">
        <v>35</v>
      </c>
      <c r="F297" s="1">
        <v>2</v>
      </c>
      <c r="G297" s="1" t="s">
        <v>28</v>
      </c>
      <c r="H297" s="4" t="str">
        <f>HYPERLINK("https://www.ncbi.nlm.nih.gov/geo/query/acc.cgi?acc=GSM34558","GSM34558")</f>
        <v>GSM34558</v>
      </c>
      <c r="I297" t="s">
        <v>17</v>
      </c>
      <c r="J297" t="s">
        <v>18</v>
      </c>
      <c r="K297" t="s">
        <v>33</v>
      </c>
      <c r="L297" t="s">
        <v>20</v>
      </c>
      <c r="N297" t="s">
        <v>29</v>
      </c>
    </row>
    <row r="298" spans="1:14">
      <c r="A298" s="4" t="str">
        <f t="shared" si="21"/>
        <v>EXP00004</v>
      </c>
      <c r="B298" s="4" t="str">
        <f t="shared" si="19"/>
        <v>22048815</v>
      </c>
      <c r="C298" s="4" t="str">
        <f t="shared" si="20"/>
        <v>GSE10893</v>
      </c>
      <c r="D298" s="1" t="s">
        <v>14</v>
      </c>
      <c r="E298" t="s">
        <v>35</v>
      </c>
      <c r="F298" s="1">
        <v>2</v>
      </c>
      <c r="G298" s="1" t="s">
        <v>28</v>
      </c>
      <c r="H298" s="4" t="str">
        <f>HYPERLINK("https://www.ncbi.nlm.nih.gov/geo/query/acc.cgi?acc=GSM34559","GSM34559")</f>
        <v>GSM34559</v>
      </c>
      <c r="I298" t="s">
        <v>17</v>
      </c>
      <c r="J298" t="s">
        <v>18</v>
      </c>
      <c r="K298" t="s">
        <v>33</v>
      </c>
      <c r="L298" t="s">
        <v>20</v>
      </c>
      <c r="N298" t="s">
        <v>29</v>
      </c>
    </row>
    <row r="299" spans="1:14">
      <c r="A299" s="4" t="str">
        <f t="shared" si="21"/>
        <v>EXP00004</v>
      </c>
      <c r="B299" s="4" t="str">
        <f t="shared" si="19"/>
        <v>22048815</v>
      </c>
      <c r="C299" s="4" t="str">
        <f t="shared" si="20"/>
        <v>GSE10893</v>
      </c>
      <c r="D299" s="1" t="s">
        <v>14</v>
      </c>
      <c r="E299" t="s">
        <v>35</v>
      </c>
      <c r="F299" s="1">
        <v>2</v>
      </c>
      <c r="G299" s="1" t="s">
        <v>28</v>
      </c>
      <c r="H299" s="4" t="str">
        <f>HYPERLINK("https://www.ncbi.nlm.nih.gov/geo/query/acc.cgi?acc=GSM34560","GSM34560")</f>
        <v>GSM34560</v>
      </c>
      <c r="I299" t="s">
        <v>17</v>
      </c>
      <c r="J299" t="s">
        <v>18</v>
      </c>
      <c r="K299" t="s">
        <v>33</v>
      </c>
      <c r="L299" t="s">
        <v>20</v>
      </c>
      <c r="N299" t="s">
        <v>29</v>
      </c>
    </row>
    <row r="300" spans="1:14">
      <c r="A300" s="4" t="str">
        <f t="shared" si="21"/>
        <v>EXP00004</v>
      </c>
      <c r="B300" s="4" t="str">
        <f t="shared" si="19"/>
        <v>22048815</v>
      </c>
      <c r="C300" s="4" t="str">
        <f t="shared" si="20"/>
        <v>GSE10893</v>
      </c>
      <c r="D300" s="1" t="s">
        <v>14</v>
      </c>
      <c r="E300" t="s">
        <v>35</v>
      </c>
      <c r="F300" s="1">
        <v>2</v>
      </c>
      <c r="G300" s="1" t="s">
        <v>28</v>
      </c>
      <c r="H300" s="4" t="str">
        <f>HYPERLINK("https://www.ncbi.nlm.nih.gov/geo/query/acc.cgi?acc=GSM34561","GSM34561")</f>
        <v>GSM34561</v>
      </c>
      <c r="I300" t="s">
        <v>17</v>
      </c>
      <c r="J300" t="s">
        <v>18</v>
      </c>
      <c r="K300" t="s">
        <v>33</v>
      </c>
      <c r="L300" t="s">
        <v>20</v>
      </c>
      <c r="N300" t="s">
        <v>29</v>
      </c>
    </row>
    <row r="301" spans="1:14">
      <c r="A301" s="4" t="str">
        <f t="shared" si="21"/>
        <v>EXP00004</v>
      </c>
      <c r="B301" s="4" t="str">
        <f t="shared" si="19"/>
        <v>22048815</v>
      </c>
      <c r="C301" s="4" t="str">
        <f t="shared" si="20"/>
        <v>GSE10893</v>
      </c>
      <c r="D301" s="1" t="s">
        <v>14</v>
      </c>
      <c r="E301" t="s">
        <v>35</v>
      </c>
      <c r="F301" s="1">
        <v>2</v>
      </c>
      <c r="G301" s="1" t="s">
        <v>28</v>
      </c>
      <c r="H301" s="4" t="str">
        <f>HYPERLINK("https://www.ncbi.nlm.nih.gov/geo/query/acc.cgi?acc=GSM34562","GSM34562")</f>
        <v>GSM34562</v>
      </c>
      <c r="I301" t="s">
        <v>17</v>
      </c>
      <c r="J301" t="s">
        <v>18</v>
      </c>
      <c r="K301" t="s">
        <v>33</v>
      </c>
      <c r="L301" t="s">
        <v>20</v>
      </c>
      <c r="N301" t="s">
        <v>29</v>
      </c>
    </row>
    <row r="302" spans="1:14">
      <c r="A302" s="4" t="str">
        <f t="shared" si="21"/>
        <v>EXP00004</v>
      </c>
      <c r="B302" s="4" t="str">
        <f t="shared" si="19"/>
        <v>22048815</v>
      </c>
      <c r="C302" s="4" t="str">
        <f t="shared" si="20"/>
        <v>GSE10893</v>
      </c>
      <c r="D302" s="1" t="s">
        <v>14</v>
      </c>
      <c r="E302" t="s">
        <v>35</v>
      </c>
      <c r="F302" s="1">
        <v>2</v>
      </c>
      <c r="G302" s="1" t="s">
        <v>28</v>
      </c>
      <c r="H302" s="4" t="str">
        <f>HYPERLINK("https://www.ncbi.nlm.nih.gov/geo/query/acc.cgi?acc=GSM34563","GSM34563")</f>
        <v>GSM34563</v>
      </c>
      <c r="I302" t="s">
        <v>17</v>
      </c>
      <c r="J302" t="s">
        <v>18</v>
      </c>
      <c r="K302" t="s">
        <v>33</v>
      </c>
      <c r="L302" t="s">
        <v>20</v>
      </c>
      <c r="N302" t="s">
        <v>29</v>
      </c>
    </row>
    <row r="303" spans="1:14">
      <c r="A303" s="4" t="str">
        <f t="shared" si="21"/>
        <v>EXP00004</v>
      </c>
      <c r="B303" s="4" t="str">
        <f t="shared" si="19"/>
        <v>22048815</v>
      </c>
      <c r="C303" s="4" t="str">
        <f t="shared" si="20"/>
        <v>GSE10893</v>
      </c>
      <c r="D303" s="1" t="s">
        <v>14</v>
      </c>
      <c r="E303" t="s">
        <v>35</v>
      </c>
      <c r="F303" s="1">
        <v>2</v>
      </c>
      <c r="G303" s="1" t="s">
        <v>28</v>
      </c>
      <c r="H303" s="4" t="str">
        <f>HYPERLINK("https://www.ncbi.nlm.nih.gov/geo/query/acc.cgi?acc=GSM34565","GSM34565")</f>
        <v>GSM34565</v>
      </c>
      <c r="I303" t="s">
        <v>17</v>
      </c>
      <c r="J303" t="s">
        <v>18</v>
      </c>
      <c r="K303" t="s">
        <v>33</v>
      </c>
      <c r="L303" t="s">
        <v>20</v>
      </c>
      <c r="N303" t="s">
        <v>29</v>
      </c>
    </row>
    <row r="304" spans="1:14">
      <c r="A304" s="4" t="str">
        <f t="shared" si="21"/>
        <v>EXP00004</v>
      </c>
      <c r="B304" s="4" t="str">
        <f t="shared" si="19"/>
        <v>22048815</v>
      </c>
      <c r="C304" s="4" t="str">
        <f t="shared" si="20"/>
        <v>GSE10893</v>
      </c>
      <c r="D304" s="1" t="s">
        <v>14</v>
      </c>
      <c r="E304" t="s">
        <v>35</v>
      </c>
      <c r="F304" s="1">
        <v>2</v>
      </c>
      <c r="G304" s="1" t="s">
        <v>28</v>
      </c>
      <c r="H304" s="4" t="str">
        <f>HYPERLINK("https://www.ncbi.nlm.nih.gov/geo/query/acc.cgi?acc=GSM34566","GSM34566")</f>
        <v>GSM34566</v>
      </c>
      <c r="I304" t="s">
        <v>17</v>
      </c>
      <c r="J304" t="s">
        <v>18</v>
      </c>
      <c r="K304" t="s">
        <v>33</v>
      </c>
      <c r="L304" t="s">
        <v>20</v>
      </c>
      <c r="N304" t="s">
        <v>29</v>
      </c>
    </row>
    <row r="305" spans="1:14">
      <c r="A305" s="4" t="str">
        <f t="shared" si="21"/>
        <v>EXP00004</v>
      </c>
      <c r="B305" s="4" t="str">
        <f t="shared" si="19"/>
        <v>22048815</v>
      </c>
      <c r="C305" s="4" t="str">
        <f t="shared" si="20"/>
        <v>GSE10893</v>
      </c>
      <c r="D305" s="1" t="s">
        <v>14</v>
      </c>
      <c r="E305" t="s">
        <v>35</v>
      </c>
      <c r="F305" s="1">
        <v>2</v>
      </c>
      <c r="G305" s="1" t="s">
        <v>28</v>
      </c>
      <c r="H305" s="4" t="str">
        <f>HYPERLINK("https://www.ncbi.nlm.nih.gov/geo/query/acc.cgi?acc=GSM34567","GSM34567")</f>
        <v>GSM34567</v>
      </c>
      <c r="I305" t="s">
        <v>17</v>
      </c>
      <c r="J305" t="s">
        <v>18</v>
      </c>
      <c r="K305" t="s">
        <v>33</v>
      </c>
      <c r="L305" t="s">
        <v>20</v>
      </c>
      <c r="N305" t="s">
        <v>29</v>
      </c>
    </row>
    <row r="306" spans="1:14">
      <c r="A306" s="4" t="str">
        <f t="shared" si="21"/>
        <v>EXP00004</v>
      </c>
      <c r="B306" s="4" t="str">
        <f t="shared" si="19"/>
        <v>22048815</v>
      </c>
      <c r="C306" s="4" t="str">
        <f t="shared" si="20"/>
        <v>GSE10893</v>
      </c>
      <c r="D306" s="1" t="s">
        <v>14</v>
      </c>
      <c r="E306" t="s">
        <v>35</v>
      </c>
      <c r="F306" s="1">
        <v>2</v>
      </c>
      <c r="G306" s="1" t="s">
        <v>28</v>
      </c>
      <c r="H306" s="4" t="str">
        <f>HYPERLINK("https://www.ncbi.nlm.nih.gov/geo/query/acc.cgi?acc=GSM372557","GSM372557")</f>
        <v>GSM372557</v>
      </c>
      <c r="I306" t="s">
        <v>17</v>
      </c>
      <c r="J306" t="s">
        <v>18</v>
      </c>
      <c r="K306" t="s">
        <v>33</v>
      </c>
      <c r="L306" t="s">
        <v>20</v>
      </c>
      <c r="N306" t="s">
        <v>29</v>
      </c>
    </row>
    <row r="307" spans="1:14">
      <c r="A307" s="4" t="str">
        <f t="shared" si="21"/>
        <v>EXP00004</v>
      </c>
      <c r="B307" s="4" t="str">
        <f t="shared" si="19"/>
        <v>22048815</v>
      </c>
      <c r="C307" s="4" t="str">
        <f t="shared" si="20"/>
        <v>GSE10893</v>
      </c>
      <c r="D307" s="1" t="s">
        <v>14</v>
      </c>
      <c r="E307" t="s">
        <v>35</v>
      </c>
      <c r="F307" s="1">
        <v>2</v>
      </c>
      <c r="G307" s="1" t="s">
        <v>28</v>
      </c>
      <c r="H307" s="4" t="str">
        <f>HYPERLINK("https://www.ncbi.nlm.nih.gov/geo/query/acc.cgi?acc=GSM372558","GSM372558")</f>
        <v>GSM372558</v>
      </c>
      <c r="I307" t="s">
        <v>17</v>
      </c>
      <c r="J307" t="s">
        <v>18</v>
      </c>
      <c r="K307" t="s">
        <v>33</v>
      </c>
      <c r="L307" t="s">
        <v>20</v>
      </c>
      <c r="N307" t="s">
        <v>29</v>
      </c>
    </row>
    <row r="308" spans="1:14">
      <c r="A308" s="4" t="str">
        <f t="shared" si="21"/>
        <v>EXP00004</v>
      </c>
      <c r="B308" s="4" t="str">
        <f t="shared" si="19"/>
        <v>22048815</v>
      </c>
      <c r="C308" s="4" t="str">
        <f t="shared" si="20"/>
        <v>GSE10893</v>
      </c>
      <c r="D308" s="1" t="s">
        <v>14</v>
      </c>
      <c r="E308" t="s">
        <v>35</v>
      </c>
      <c r="F308" s="1">
        <v>2</v>
      </c>
      <c r="G308" s="1" t="s">
        <v>28</v>
      </c>
      <c r="H308" s="4" t="str">
        <f>HYPERLINK("https://www.ncbi.nlm.nih.gov/geo/query/acc.cgi?acc=GSM372559","GSM372559")</f>
        <v>GSM372559</v>
      </c>
      <c r="I308" t="s">
        <v>17</v>
      </c>
      <c r="J308" t="s">
        <v>18</v>
      </c>
      <c r="K308" t="s">
        <v>33</v>
      </c>
      <c r="L308" t="s">
        <v>20</v>
      </c>
      <c r="N308" t="s">
        <v>29</v>
      </c>
    </row>
    <row r="309" spans="1:14">
      <c r="A309" s="4" t="str">
        <f t="shared" si="21"/>
        <v>EXP00004</v>
      </c>
      <c r="B309" s="4" t="str">
        <f t="shared" si="19"/>
        <v>22048815</v>
      </c>
      <c r="C309" s="4" t="str">
        <f t="shared" si="20"/>
        <v>GSE10893</v>
      </c>
      <c r="D309" s="1" t="s">
        <v>14</v>
      </c>
      <c r="E309" t="s">
        <v>35</v>
      </c>
      <c r="F309" s="1">
        <v>2</v>
      </c>
      <c r="G309" s="1" t="s">
        <v>28</v>
      </c>
      <c r="H309" s="4" t="str">
        <f>HYPERLINK("https://www.ncbi.nlm.nih.gov/geo/query/acc.cgi?acc=GSM372560","GSM372560")</f>
        <v>GSM372560</v>
      </c>
      <c r="I309" t="s">
        <v>17</v>
      </c>
      <c r="J309" t="s">
        <v>18</v>
      </c>
      <c r="K309" t="s">
        <v>33</v>
      </c>
      <c r="L309" t="s">
        <v>20</v>
      </c>
      <c r="N309" t="s">
        <v>29</v>
      </c>
    </row>
    <row r="310" spans="1:14">
      <c r="A310" s="4" t="str">
        <f t="shared" si="21"/>
        <v>EXP00004</v>
      </c>
      <c r="B310" s="4" t="str">
        <f t="shared" si="19"/>
        <v>22048815</v>
      </c>
      <c r="C310" s="4" t="str">
        <f t="shared" si="20"/>
        <v>GSE10893</v>
      </c>
      <c r="D310" s="1" t="s">
        <v>14</v>
      </c>
      <c r="E310" t="s">
        <v>35</v>
      </c>
      <c r="F310" s="1">
        <v>2</v>
      </c>
      <c r="G310" s="1" t="s">
        <v>28</v>
      </c>
      <c r="H310" s="4" t="str">
        <f>HYPERLINK("https://www.ncbi.nlm.nih.gov/geo/query/acc.cgi?acc=GSM372561","GSM372561")</f>
        <v>GSM372561</v>
      </c>
      <c r="I310" t="s">
        <v>17</v>
      </c>
      <c r="J310" t="s">
        <v>18</v>
      </c>
      <c r="K310" t="s">
        <v>33</v>
      </c>
      <c r="L310" t="s">
        <v>20</v>
      </c>
      <c r="N310" t="s">
        <v>29</v>
      </c>
    </row>
    <row r="311" spans="1:14">
      <c r="A311" s="4" t="str">
        <f t="shared" si="21"/>
        <v>EXP00004</v>
      </c>
      <c r="B311" s="4" t="str">
        <f t="shared" si="19"/>
        <v>22048815</v>
      </c>
      <c r="C311" s="4" t="str">
        <f t="shared" si="20"/>
        <v>GSE10893</v>
      </c>
      <c r="D311" s="1" t="s">
        <v>14</v>
      </c>
      <c r="E311" t="s">
        <v>35</v>
      </c>
      <c r="F311" s="1">
        <v>2</v>
      </c>
      <c r="G311" s="1" t="s">
        <v>28</v>
      </c>
      <c r="H311" s="4" t="str">
        <f>HYPERLINK("https://www.ncbi.nlm.nih.gov/geo/query/acc.cgi?acc=GSM50135","GSM50135")</f>
        <v>GSM50135</v>
      </c>
      <c r="I311" t="s">
        <v>17</v>
      </c>
      <c r="J311" t="s">
        <v>18</v>
      </c>
      <c r="K311" t="s">
        <v>33</v>
      </c>
      <c r="L311" t="s">
        <v>20</v>
      </c>
      <c r="N311" t="s">
        <v>29</v>
      </c>
    </row>
    <row r="312" spans="1:14">
      <c r="A312" s="4" t="str">
        <f t="shared" si="21"/>
        <v>EXP00004</v>
      </c>
      <c r="B312" s="4" t="str">
        <f t="shared" si="19"/>
        <v>22048815</v>
      </c>
      <c r="C312" s="4" t="str">
        <f t="shared" si="20"/>
        <v>GSE10893</v>
      </c>
      <c r="D312" s="1" t="s">
        <v>14</v>
      </c>
      <c r="E312" t="s">
        <v>35</v>
      </c>
      <c r="F312" s="1">
        <v>2</v>
      </c>
      <c r="G312" s="1" t="s">
        <v>28</v>
      </c>
      <c r="H312" s="4" t="str">
        <f>HYPERLINK("https://www.ncbi.nlm.nih.gov/geo/query/acc.cgi?acc=GSM50149","GSM50149")</f>
        <v>GSM50149</v>
      </c>
      <c r="I312" t="s">
        <v>17</v>
      </c>
      <c r="J312" t="s">
        <v>18</v>
      </c>
      <c r="K312" t="s">
        <v>33</v>
      </c>
      <c r="L312" t="s">
        <v>20</v>
      </c>
      <c r="N312" t="s">
        <v>29</v>
      </c>
    </row>
    <row r="313" spans="1:14">
      <c r="A313" s="4" t="str">
        <f t="shared" si="21"/>
        <v>EXP00004</v>
      </c>
      <c r="B313" s="4" t="str">
        <f t="shared" si="19"/>
        <v>22048815</v>
      </c>
      <c r="C313" s="4" t="str">
        <f t="shared" si="20"/>
        <v>GSE10893</v>
      </c>
      <c r="D313" s="1" t="s">
        <v>14</v>
      </c>
      <c r="E313" t="s">
        <v>35</v>
      </c>
      <c r="F313" s="1">
        <v>2</v>
      </c>
      <c r="G313" s="1" t="s">
        <v>28</v>
      </c>
      <c r="H313" s="4" t="str">
        <f>HYPERLINK("https://www.ncbi.nlm.nih.gov/geo/query/acc.cgi?acc=GSM52885","GSM52885")</f>
        <v>GSM52885</v>
      </c>
      <c r="I313" t="s">
        <v>17</v>
      </c>
      <c r="J313" t="s">
        <v>18</v>
      </c>
      <c r="K313" t="s">
        <v>33</v>
      </c>
      <c r="L313" t="s">
        <v>20</v>
      </c>
      <c r="N313" t="s">
        <v>29</v>
      </c>
    </row>
    <row r="314" spans="1:14">
      <c r="A314" s="4" t="str">
        <f t="shared" si="21"/>
        <v>EXP00004</v>
      </c>
      <c r="B314" s="4" t="str">
        <f t="shared" si="19"/>
        <v>22048815</v>
      </c>
      <c r="C314" s="4" t="str">
        <f t="shared" si="20"/>
        <v>GSE10893</v>
      </c>
      <c r="D314" s="1" t="s">
        <v>14</v>
      </c>
      <c r="E314" t="s">
        <v>35</v>
      </c>
      <c r="F314" s="1">
        <v>2</v>
      </c>
      <c r="G314" s="1" t="s">
        <v>28</v>
      </c>
      <c r="H314" s="4" t="str">
        <f>HYPERLINK("https://www.ncbi.nlm.nih.gov/geo/query/acc.cgi?acc=GSM52886","GSM52886")</f>
        <v>GSM52886</v>
      </c>
      <c r="I314" t="s">
        <v>17</v>
      </c>
      <c r="J314" t="s">
        <v>18</v>
      </c>
      <c r="K314" t="s">
        <v>33</v>
      </c>
      <c r="L314" t="s">
        <v>20</v>
      </c>
      <c r="N314" t="s">
        <v>29</v>
      </c>
    </row>
    <row r="315" spans="1:14">
      <c r="A315" s="4" t="str">
        <f t="shared" ref="A315:A346" si="22">HYPERLINK("http://hcmdb.i-sanger.com/experiment/details/experiment_id/EXP00004","EXP00004")</f>
        <v>EXP00004</v>
      </c>
      <c r="B315" s="4" t="str">
        <f t="shared" si="19"/>
        <v>22048815</v>
      </c>
      <c r="C315" s="4" t="str">
        <f t="shared" si="20"/>
        <v>GSE10893</v>
      </c>
      <c r="D315" s="1" t="s">
        <v>14</v>
      </c>
      <c r="E315" t="s">
        <v>35</v>
      </c>
      <c r="F315" s="1">
        <v>2</v>
      </c>
      <c r="G315" s="1" t="s">
        <v>28</v>
      </c>
      <c r="H315" s="4" t="str">
        <f>HYPERLINK("https://www.ncbi.nlm.nih.gov/geo/query/acc.cgi?acc=GSM52887","GSM52887")</f>
        <v>GSM52887</v>
      </c>
      <c r="I315" t="s">
        <v>17</v>
      </c>
      <c r="J315" t="s">
        <v>18</v>
      </c>
      <c r="K315" t="s">
        <v>33</v>
      </c>
      <c r="L315" t="s">
        <v>20</v>
      </c>
      <c r="N315" t="s">
        <v>29</v>
      </c>
    </row>
    <row r="316" spans="1:14">
      <c r="A316" s="4" t="str">
        <f t="shared" si="22"/>
        <v>EXP00004</v>
      </c>
      <c r="B316" s="4" t="str">
        <f t="shared" si="19"/>
        <v>22048815</v>
      </c>
      <c r="C316" s="4" t="str">
        <f t="shared" si="20"/>
        <v>GSE10893</v>
      </c>
      <c r="D316" s="1" t="s">
        <v>14</v>
      </c>
      <c r="E316" t="s">
        <v>35</v>
      </c>
      <c r="F316" s="1">
        <v>2</v>
      </c>
      <c r="G316" s="1" t="s">
        <v>28</v>
      </c>
      <c r="H316" s="4" t="str">
        <f>HYPERLINK("https://www.ncbi.nlm.nih.gov/geo/query/acc.cgi?acc=GSM52888","GSM52888")</f>
        <v>GSM52888</v>
      </c>
      <c r="I316" t="s">
        <v>17</v>
      </c>
      <c r="J316" t="s">
        <v>18</v>
      </c>
      <c r="K316" t="s">
        <v>33</v>
      </c>
      <c r="L316" t="s">
        <v>20</v>
      </c>
      <c r="N316" t="s">
        <v>29</v>
      </c>
    </row>
    <row r="317" spans="1:14">
      <c r="A317" s="4" t="str">
        <f t="shared" si="22"/>
        <v>EXP00004</v>
      </c>
      <c r="B317" s="4" t="str">
        <f t="shared" si="19"/>
        <v>22048815</v>
      </c>
      <c r="C317" s="4" t="str">
        <f t="shared" si="20"/>
        <v>GSE10893</v>
      </c>
      <c r="D317" s="1" t="s">
        <v>14</v>
      </c>
      <c r="E317" t="s">
        <v>35</v>
      </c>
      <c r="F317" s="1">
        <v>2</v>
      </c>
      <c r="G317" s="1" t="s">
        <v>28</v>
      </c>
      <c r="H317" s="4" t="str">
        <f>HYPERLINK("https://www.ncbi.nlm.nih.gov/geo/query/acc.cgi?acc=GSM52889","GSM52889")</f>
        <v>GSM52889</v>
      </c>
      <c r="I317" t="s">
        <v>17</v>
      </c>
      <c r="J317" t="s">
        <v>18</v>
      </c>
      <c r="K317" t="s">
        <v>33</v>
      </c>
      <c r="L317" t="s">
        <v>20</v>
      </c>
      <c r="N317" t="s">
        <v>29</v>
      </c>
    </row>
    <row r="318" spans="1:14">
      <c r="A318" s="4" t="str">
        <f t="shared" si="22"/>
        <v>EXP00004</v>
      </c>
      <c r="B318" s="4" t="str">
        <f t="shared" si="19"/>
        <v>22048815</v>
      </c>
      <c r="C318" s="4" t="str">
        <f t="shared" si="20"/>
        <v>GSE10893</v>
      </c>
      <c r="D318" s="1" t="s">
        <v>14</v>
      </c>
      <c r="E318" t="s">
        <v>35</v>
      </c>
      <c r="F318" s="1">
        <v>2</v>
      </c>
      <c r="G318" s="1" t="s">
        <v>28</v>
      </c>
      <c r="H318" s="4" t="str">
        <f>HYPERLINK("https://www.ncbi.nlm.nih.gov/geo/query/acc.cgi?acc=GSM52890","GSM52890")</f>
        <v>GSM52890</v>
      </c>
      <c r="I318" t="s">
        <v>17</v>
      </c>
      <c r="J318" t="s">
        <v>18</v>
      </c>
      <c r="K318" t="s">
        <v>33</v>
      </c>
      <c r="L318" t="s">
        <v>20</v>
      </c>
      <c r="N318" t="s">
        <v>29</v>
      </c>
    </row>
    <row r="319" spans="1:14">
      <c r="A319" s="4" t="str">
        <f t="shared" si="22"/>
        <v>EXP00004</v>
      </c>
      <c r="B319" s="4" t="str">
        <f t="shared" si="19"/>
        <v>22048815</v>
      </c>
      <c r="C319" s="4" t="str">
        <f t="shared" si="20"/>
        <v>GSE10893</v>
      </c>
      <c r="D319" s="1" t="s">
        <v>14</v>
      </c>
      <c r="E319" t="s">
        <v>35</v>
      </c>
      <c r="F319" s="1">
        <v>2</v>
      </c>
      <c r="G319" s="1" t="s">
        <v>28</v>
      </c>
      <c r="H319" s="4" t="str">
        <f>HYPERLINK("https://www.ncbi.nlm.nih.gov/geo/query/acc.cgi?acc=GSM52891","GSM52891")</f>
        <v>GSM52891</v>
      </c>
      <c r="I319" t="s">
        <v>17</v>
      </c>
      <c r="J319" t="s">
        <v>18</v>
      </c>
      <c r="K319" t="s">
        <v>33</v>
      </c>
      <c r="L319" t="s">
        <v>20</v>
      </c>
      <c r="N319" t="s">
        <v>29</v>
      </c>
    </row>
    <row r="320" spans="1:14">
      <c r="A320" s="4" t="str">
        <f t="shared" si="22"/>
        <v>EXP00004</v>
      </c>
      <c r="B320" s="4" t="str">
        <f t="shared" si="19"/>
        <v>22048815</v>
      </c>
      <c r="C320" s="4" t="str">
        <f t="shared" si="20"/>
        <v>GSE10893</v>
      </c>
      <c r="D320" s="1" t="s">
        <v>14</v>
      </c>
      <c r="E320" t="s">
        <v>35</v>
      </c>
      <c r="F320" s="1">
        <v>2</v>
      </c>
      <c r="G320" s="1" t="s">
        <v>28</v>
      </c>
      <c r="H320" s="4" t="str">
        <f>HYPERLINK("https://www.ncbi.nlm.nih.gov/geo/query/acc.cgi?acc=GSM52892","GSM52892")</f>
        <v>GSM52892</v>
      </c>
      <c r="I320" t="s">
        <v>17</v>
      </c>
      <c r="J320" t="s">
        <v>18</v>
      </c>
      <c r="K320" t="s">
        <v>33</v>
      </c>
      <c r="L320" t="s">
        <v>20</v>
      </c>
      <c r="N320" t="s">
        <v>29</v>
      </c>
    </row>
    <row r="321" spans="1:14">
      <c r="A321" s="4" t="str">
        <f t="shared" si="22"/>
        <v>EXP00004</v>
      </c>
      <c r="B321" s="4" t="str">
        <f t="shared" si="19"/>
        <v>22048815</v>
      </c>
      <c r="C321" s="4" t="str">
        <f t="shared" si="20"/>
        <v>GSE10893</v>
      </c>
      <c r="D321" s="1" t="s">
        <v>14</v>
      </c>
      <c r="E321" t="s">
        <v>35</v>
      </c>
      <c r="F321" s="1">
        <v>2</v>
      </c>
      <c r="G321" s="1" t="s">
        <v>28</v>
      </c>
      <c r="H321" s="4" t="str">
        <f>HYPERLINK("https://www.ncbi.nlm.nih.gov/geo/query/acc.cgi?acc=GSM52893","GSM52893")</f>
        <v>GSM52893</v>
      </c>
      <c r="I321" t="s">
        <v>17</v>
      </c>
      <c r="J321" t="s">
        <v>18</v>
      </c>
      <c r="K321" t="s">
        <v>33</v>
      </c>
      <c r="L321" t="s">
        <v>20</v>
      </c>
      <c r="N321" t="s">
        <v>29</v>
      </c>
    </row>
    <row r="322" spans="1:14">
      <c r="A322" s="4" t="str">
        <f t="shared" si="22"/>
        <v>EXP00004</v>
      </c>
      <c r="B322" s="4" t="str">
        <f t="shared" ref="B322:B385" si="23">HYPERLINK("https://www.ncbi.nlm.nih.gov/pubmed/22048815","22048815")</f>
        <v>22048815</v>
      </c>
      <c r="C322" s="4" t="str">
        <f t="shared" ref="C322:C385" si="24">HYPERLINK("https://www.ncbi.nlm.nih.gov/geo/query/acc.cgi?acc=GSE10893","GSE10893")</f>
        <v>GSE10893</v>
      </c>
      <c r="D322" s="1" t="s">
        <v>14</v>
      </c>
      <c r="E322" t="s">
        <v>35</v>
      </c>
      <c r="F322" s="1">
        <v>2</v>
      </c>
      <c r="G322" s="1" t="s">
        <v>28</v>
      </c>
      <c r="H322" s="4" t="str">
        <f>HYPERLINK("https://www.ncbi.nlm.nih.gov/geo/query/acc.cgi?acc=GSM52894","GSM52894")</f>
        <v>GSM52894</v>
      </c>
      <c r="I322" t="s">
        <v>17</v>
      </c>
      <c r="J322" t="s">
        <v>18</v>
      </c>
      <c r="K322" t="s">
        <v>33</v>
      </c>
      <c r="L322" t="s">
        <v>20</v>
      </c>
      <c r="N322" t="s">
        <v>29</v>
      </c>
    </row>
    <row r="323" spans="1:14">
      <c r="A323" s="4" t="str">
        <f t="shared" si="22"/>
        <v>EXP00004</v>
      </c>
      <c r="B323" s="4" t="str">
        <f t="shared" si="23"/>
        <v>22048815</v>
      </c>
      <c r="C323" s="4" t="str">
        <f t="shared" si="24"/>
        <v>GSE10893</v>
      </c>
      <c r="D323" s="1" t="s">
        <v>14</v>
      </c>
      <c r="E323" t="s">
        <v>35</v>
      </c>
      <c r="F323" s="1">
        <v>2</v>
      </c>
      <c r="G323" s="1" t="s">
        <v>28</v>
      </c>
      <c r="H323" s="4" t="str">
        <f>HYPERLINK("https://www.ncbi.nlm.nih.gov/geo/query/acc.cgi?acc=GSM52895","GSM52895")</f>
        <v>GSM52895</v>
      </c>
      <c r="I323" t="s">
        <v>17</v>
      </c>
      <c r="J323" t="s">
        <v>18</v>
      </c>
      <c r="K323" t="s">
        <v>33</v>
      </c>
      <c r="L323" t="s">
        <v>20</v>
      </c>
      <c r="N323" t="s">
        <v>29</v>
      </c>
    </row>
    <row r="324" spans="1:14">
      <c r="A324" s="4" t="str">
        <f t="shared" si="22"/>
        <v>EXP00004</v>
      </c>
      <c r="B324" s="4" t="str">
        <f t="shared" si="23"/>
        <v>22048815</v>
      </c>
      <c r="C324" s="4" t="str">
        <f t="shared" si="24"/>
        <v>GSE10893</v>
      </c>
      <c r="D324" s="1" t="s">
        <v>14</v>
      </c>
      <c r="E324" t="s">
        <v>35</v>
      </c>
      <c r="F324" s="1">
        <v>2</v>
      </c>
      <c r="G324" s="1" t="s">
        <v>28</v>
      </c>
      <c r="H324" s="4" t="str">
        <f>HYPERLINK("https://www.ncbi.nlm.nih.gov/geo/query/acc.cgi?acc=GSM52896","GSM52896")</f>
        <v>GSM52896</v>
      </c>
      <c r="I324" t="s">
        <v>17</v>
      </c>
      <c r="J324" t="s">
        <v>18</v>
      </c>
      <c r="K324" t="s">
        <v>33</v>
      </c>
      <c r="L324" t="s">
        <v>20</v>
      </c>
      <c r="N324" t="s">
        <v>29</v>
      </c>
    </row>
    <row r="325" spans="1:14">
      <c r="A325" s="4" t="str">
        <f t="shared" si="22"/>
        <v>EXP00004</v>
      </c>
      <c r="B325" s="4" t="str">
        <f t="shared" si="23"/>
        <v>22048815</v>
      </c>
      <c r="C325" s="4" t="str">
        <f t="shared" si="24"/>
        <v>GSE10893</v>
      </c>
      <c r="D325" s="1" t="s">
        <v>14</v>
      </c>
      <c r="E325" t="s">
        <v>35</v>
      </c>
      <c r="F325" s="1">
        <v>2</v>
      </c>
      <c r="G325" s="1" t="s">
        <v>28</v>
      </c>
      <c r="H325" s="4" t="str">
        <f>HYPERLINK("https://www.ncbi.nlm.nih.gov/geo/query/acc.cgi?acc=GSM53474","GSM53474")</f>
        <v>GSM53474</v>
      </c>
      <c r="I325" t="s">
        <v>17</v>
      </c>
      <c r="J325" t="s">
        <v>18</v>
      </c>
      <c r="K325" t="s">
        <v>33</v>
      </c>
      <c r="L325" t="s">
        <v>20</v>
      </c>
      <c r="N325" t="s">
        <v>29</v>
      </c>
    </row>
    <row r="326" spans="1:14">
      <c r="A326" s="4" t="str">
        <f t="shared" si="22"/>
        <v>EXP00004</v>
      </c>
      <c r="B326" s="4" t="str">
        <f t="shared" si="23"/>
        <v>22048815</v>
      </c>
      <c r="C326" s="4" t="str">
        <f t="shared" si="24"/>
        <v>GSE10893</v>
      </c>
      <c r="D326" s="1" t="s">
        <v>14</v>
      </c>
      <c r="E326" t="s">
        <v>35</v>
      </c>
      <c r="F326" s="1">
        <v>2</v>
      </c>
      <c r="G326" s="1" t="s">
        <v>28</v>
      </c>
      <c r="H326" s="4" t="str">
        <f>HYPERLINK("https://www.ncbi.nlm.nih.gov/geo/query/acc.cgi?acc=GSM53478","GSM53478")</f>
        <v>GSM53478</v>
      </c>
      <c r="I326" t="s">
        <v>17</v>
      </c>
      <c r="J326" t="s">
        <v>18</v>
      </c>
      <c r="K326" t="s">
        <v>33</v>
      </c>
      <c r="L326" t="s">
        <v>20</v>
      </c>
      <c r="N326" t="s">
        <v>29</v>
      </c>
    </row>
    <row r="327" spans="1:14">
      <c r="A327" s="4" t="str">
        <f t="shared" si="22"/>
        <v>EXP00004</v>
      </c>
      <c r="B327" s="4" t="str">
        <f t="shared" si="23"/>
        <v>22048815</v>
      </c>
      <c r="C327" s="4" t="str">
        <f t="shared" si="24"/>
        <v>GSE10893</v>
      </c>
      <c r="D327" s="1" t="s">
        <v>14</v>
      </c>
      <c r="E327" t="s">
        <v>35</v>
      </c>
      <c r="F327" s="1">
        <v>2</v>
      </c>
      <c r="G327" s="1" t="s">
        <v>28</v>
      </c>
      <c r="H327" s="4" t="str">
        <f>HYPERLINK("https://www.ncbi.nlm.nih.gov/geo/query/acc.cgi?acc=GSM53479","GSM53479")</f>
        <v>GSM53479</v>
      </c>
      <c r="I327" t="s">
        <v>17</v>
      </c>
      <c r="J327" t="s">
        <v>18</v>
      </c>
      <c r="K327" t="s">
        <v>33</v>
      </c>
      <c r="L327" t="s">
        <v>20</v>
      </c>
      <c r="N327" t="s">
        <v>29</v>
      </c>
    </row>
    <row r="328" spans="1:14">
      <c r="A328" s="4" t="str">
        <f t="shared" si="22"/>
        <v>EXP00004</v>
      </c>
      <c r="B328" s="4" t="str">
        <f t="shared" si="23"/>
        <v>22048815</v>
      </c>
      <c r="C328" s="4" t="str">
        <f t="shared" si="24"/>
        <v>GSE10893</v>
      </c>
      <c r="D328" s="1" t="s">
        <v>14</v>
      </c>
      <c r="E328" t="s">
        <v>35</v>
      </c>
      <c r="F328" s="1">
        <v>2</v>
      </c>
      <c r="G328" s="1" t="s">
        <v>28</v>
      </c>
      <c r="H328" s="4" t="str">
        <f>HYPERLINK("https://www.ncbi.nlm.nih.gov/geo/query/acc.cgi?acc=GSM53480","GSM53480")</f>
        <v>GSM53480</v>
      </c>
      <c r="I328" t="s">
        <v>17</v>
      </c>
      <c r="J328" t="s">
        <v>18</v>
      </c>
      <c r="K328" t="s">
        <v>33</v>
      </c>
      <c r="L328" t="s">
        <v>20</v>
      </c>
      <c r="N328" t="s">
        <v>29</v>
      </c>
    </row>
    <row r="329" spans="1:14">
      <c r="A329" s="4" t="str">
        <f t="shared" si="22"/>
        <v>EXP00004</v>
      </c>
      <c r="B329" s="4" t="str">
        <f t="shared" si="23"/>
        <v>22048815</v>
      </c>
      <c r="C329" s="4" t="str">
        <f t="shared" si="24"/>
        <v>GSE10893</v>
      </c>
      <c r="D329" s="1" t="s">
        <v>14</v>
      </c>
      <c r="E329" t="s">
        <v>35</v>
      </c>
      <c r="F329" s="1">
        <v>2</v>
      </c>
      <c r="G329" s="1" t="s">
        <v>28</v>
      </c>
      <c r="H329" s="4" t="str">
        <f>HYPERLINK("https://www.ncbi.nlm.nih.gov/geo/query/acc.cgi?acc=GSM53481","GSM53481")</f>
        <v>GSM53481</v>
      </c>
      <c r="I329" t="s">
        <v>17</v>
      </c>
      <c r="J329" t="s">
        <v>18</v>
      </c>
      <c r="K329" t="s">
        <v>33</v>
      </c>
      <c r="L329" t="s">
        <v>20</v>
      </c>
      <c r="N329" t="s">
        <v>29</v>
      </c>
    </row>
    <row r="330" spans="1:14">
      <c r="A330" s="4" t="str">
        <f t="shared" si="22"/>
        <v>EXP00004</v>
      </c>
      <c r="B330" s="4" t="str">
        <f t="shared" si="23"/>
        <v>22048815</v>
      </c>
      <c r="C330" s="4" t="str">
        <f t="shared" si="24"/>
        <v>GSE10893</v>
      </c>
      <c r="D330" s="1" t="s">
        <v>14</v>
      </c>
      <c r="E330" t="s">
        <v>35</v>
      </c>
      <c r="F330" s="1">
        <v>2</v>
      </c>
      <c r="G330" s="1" t="s">
        <v>28</v>
      </c>
      <c r="H330" s="4" t="str">
        <f>HYPERLINK("https://www.ncbi.nlm.nih.gov/geo/query/acc.cgi?acc=GSM53482","GSM53482")</f>
        <v>GSM53482</v>
      </c>
      <c r="I330" t="s">
        <v>17</v>
      </c>
      <c r="J330" t="s">
        <v>18</v>
      </c>
      <c r="K330" t="s">
        <v>33</v>
      </c>
      <c r="L330" t="s">
        <v>20</v>
      </c>
      <c r="N330" t="s">
        <v>29</v>
      </c>
    </row>
    <row r="331" spans="1:14">
      <c r="A331" s="4" t="str">
        <f t="shared" si="22"/>
        <v>EXP00004</v>
      </c>
      <c r="B331" s="4" t="str">
        <f t="shared" si="23"/>
        <v>22048815</v>
      </c>
      <c r="C331" s="4" t="str">
        <f t="shared" si="24"/>
        <v>GSE10893</v>
      </c>
      <c r="D331" s="1" t="s">
        <v>14</v>
      </c>
      <c r="E331" t="s">
        <v>35</v>
      </c>
      <c r="F331" s="1">
        <v>2</v>
      </c>
      <c r="G331" s="1" t="s">
        <v>28</v>
      </c>
      <c r="H331" s="4" t="str">
        <f>HYPERLINK("https://www.ncbi.nlm.nih.gov/geo/query/acc.cgi?acc=GSM53483","GSM53483")</f>
        <v>GSM53483</v>
      </c>
      <c r="I331" t="s">
        <v>17</v>
      </c>
      <c r="J331" t="s">
        <v>18</v>
      </c>
      <c r="K331" t="s">
        <v>33</v>
      </c>
      <c r="L331" t="s">
        <v>20</v>
      </c>
      <c r="N331" t="s">
        <v>29</v>
      </c>
    </row>
    <row r="332" spans="1:14">
      <c r="A332" s="4" t="str">
        <f t="shared" si="22"/>
        <v>EXP00004</v>
      </c>
      <c r="B332" s="4" t="str">
        <f t="shared" si="23"/>
        <v>22048815</v>
      </c>
      <c r="C332" s="4" t="str">
        <f t="shared" si="24"/>
        <v>GSE10893</v>
      </c>
      <c r="D332" s="1" t="s">
        <v>14</v>
      </c>
      <c r="E332" t="s">
        <v>35</v>
      </c>
      <c r="F332" s="1">
        <v>2</v>
      </c>
      <c r="G332" s="1" t="s">
        <v>28</v>
      </c>
      <c r="H332" s="4" t="str">
        <f>HYPERLINK("https://www.ncbi.nlm.nih.gov/geo/query/acc.cgi?acc=GSM53484","GSM53484")</f>
        <v>GSM53484</v>
      </c>
      <c r="I332" t="s">
        <v>17</v>
      </c>
      <c r="J332" t="s">
        <v>18</v>
      </c>
      <c r="K332" t="s">
        <v>33</v>
      </c>
      <c r="L332" t="s">
        <v>20</v>
      </c>
      <c r="N332" t="s">
        <v>29</v>
      </c>
    </row>
    <row r="333" spans="1:14">
      <c r="A333" s="4" t="str">
        <f t="shared" si="22"/>
        <v>EXP00004</v>
      </c>
      <c r="B333" s="4" t="str">
        <f t="shared" si="23"/>
        <v>22048815</v>
      </c>
      <c r="C333" s="4" t="str">
        <f t="shared" si="24"/>
        <v>GSE10893</v>
      </c>
      <c r="D333" s="1" t="s">
        <v>14</v>
      </c>
      <c r="E333" t="s">
        <v>35</v>
      </c>
      <c r="F333" s="1">
        <v>2</v>
      </c>
      <c r="G333" s="1" t="s">
        <v>28</v>
      </c>
      <c r="H333" s="4" t="str">
        <f>HYPERLINK("https://www.ncbi.nlm.nih.gov/geo/query/acc.cgi?acc=GSM53485","GSM53485")</f>
        <v>GSM53485</v>
      </c>
      <c r="I333" t="s">
        <v>17</v>
      </c>
      <c r="J333" t="s">
        <v>18</v>
      </c>
      <c r="K333" t="s">
        <v>33</v>
      </c>
      <c r="L333" t="s">
        <v>20</v>
      </c>
      <c r="N333" t="s">
        <v>29</v>
      </c>
    </row>
    <row r="334" spans="1:14">
      <c r="A334" s="4" t="str">
        <f t="shared" si="22"/>
        <v>EXP00004</v>
      </c>
      <c r="B334" s="4" t="str">
        <f t="shared" si="23"/>
        <v>22048815</v>
      </c>
      <c r="C334" s="4" t="str">
        <f t="shared" si="24"/>
        <v>GSE10893</v>
      </c>
      <c r="D334" s="1" t="s">
        <v>14</v>
      </c>
      <c r="E334" t="s">
        <v>35</v>
      </c>
      <c r="F334" s="1">
        <v>2</v>
      </c>
      <c r="G334" s="1" t="s">
        <v>28</v>
      </c>
      <c r="H334" s="4" t="str">
        <f>HYPERLINK("https://www.ncbi.nlm.nih.gov/geo/query/acc.cgi?acc=GSM53486","GSM53486")</f>
        <v>GSM53486</v>
      </c>
      <c r="I334" t="s">
        <v>17</v>
      </c>
      <c r="J334" t="s">
        <v>18</v>
      </c>
      <c r="K334" t="s">
        <v>33</v>
      </c>
      <c r="L334" t="s">
        <v>20</v>
      </c>
      <c r="N334" t="s">
        <v>29</v>
      </c>
    </row>
    <row r="335" spans="1:14">
      <c r="A335" s="4" t="str">
        <f t="shared" si="22"/>
        <v>EXP00004</v>
      </c>
      <c r="B335" s="4" t="str">
        <f t="shared" si="23"/>
        <v>22048815</v>
      </c>
      <c r="C335" s="4" t="str">
        <f t="shared" si="24"/>
        <v>GSE10893</v>
      </c>
      <c r="D335" s="1" t="s">
        <v>14</v>
      </c>
      <c r="E335" t="s">
        <v>35</v>
      </c>
      <c r="F335" s="1">
        <v>2</v>
      </c>
      <c r="G335" s="1" t="s">
        <v>28</v>
      </c>
      <c r="H335" s="4" t="str">
        <f>HYPERLINK("https://www.ncbi.nlm.nih.gov/geo/query/acc.cgi?acc=GSM80216","GSM80216")</f>
        <v>GSM80216</v>
      </c>
      <c r="I335" t="s">
        <v>17</v>
      </c>
      <c r="J335" t="s">
        <v>18</v>
      </c>
      <c r="K335" t="s">
        <v>33</v>
      </c>
      <c r="L335" t="s">
        <v>20</v>
      </c>
      <c r="N335" t="s">
        <v>29</v>
      </c>
    </row>
    <row r="336" spans="1:14">
      <c r="A336" s="4" t="str">
        <f t="shared" si="22"/>
        <v>EXP00004</v>
      </c>
      <c r="B336" s="4" t="str">
        <f t="shared" si="23"/>
        <v>22048815</v>
      </c>
      <c r="C336" s="4" t="str">
        <f t="shared" si="24"/>
        <v>GSE10893</v>
      </c>
      <c r="D336" s="1" t="s">
        <v>14</v>
      </c>
      <c r="E336" t="s">
        <v>35</v>
      </c>
      <c r="F336" s="1">
        <v>2</v>
      </c>
      <c r="G336" s="1" t="s">
        <v>28</v>
      </c>
      <c r="H336" s="4" t="str">
        <f>HYPERLINK("https://www.ncbi.nlm.nih.gov/geo/query/acc.cgi?acc=GSM80217","GSM80217")</f>
        <v>GSM80217</v>
      </c>
      <c r="I336" t="s">
        <v>17</v>
      </c>
      <c r="J336" t="s">
        <v>18</v>
      </c>
      <c r="K336" t="s">
        <v>33</v>
      </c>
      <c r="L336" t="s">
        <v>20</v>
      </c>
      <c r="N336" t="s">
        <v>29</v>
      </c>
    </row>
    <row r="337" spans="1:14">
      <c r="A337" s="4" t="str">
        <f t="shared" si="22"/>
        <v>EXP00004</v>
      </c>
      <c r="B337" s="4" t="str">
        <f t="shared" si="23"/>
        <v>22048815</v>
      </c>
      <c r="C337" s="4" t="str">
        <f t="shared" si="24"/>
        <v>GSE10893</v>
      </c>
      <c r="D337" s="1" t="s">
        <v>14</v>
      </c>
      <c r="E337" t="s">
        <v>35</v>
      </c>
      <c r="F337" s="1">
        <v>2</v>
      </c>
      <c r="G337" s="1" t="s">
        <v>28</v>
      </c>
      <c r="H337" s="4" t="str">
        <f>HYPERLINK("https://www.ncbi.nlm.nih.gov/geo/query/acc.cgi?acc=GSM80218","GSM80218")</f>
        <v>GSM80218</v>
      </c>
      <c r="I337" t="s">
        <v>17</v>
      </c>
      <c r="J337" t="s">
        <v>18</v>
      </c>
      <c r="K337" t="s">
        <v>33</v>
      </c>
      <c r="L337" t="s">
        <v>20</v>
      </c>
      <c r="N337" t="s">
        <v>29</v>
      </c>
    </row>
    <row r="338" spans="1:14">
      <c r="A338" s="4" t="str">
        <f t="shared" si="22"/>
        <v>EXP00004</v>
      </c>
      <c r="B338" s="4" t="str">
        <f t="shared" si="23"/>
        <v>22048815</v>
      </c>
      <c r="C338" s="4" t="str">
        <f t="shared" si="24"/>
        <v>GSE10893</v>
      </c>
      <c r="D338" s="1" t="s">
        <v>14</v>
      </c>
      <c r="E338" t="s">
        <v>35</v>
      </c>
      <c r="F338" s="1">
        <v>2</v>
      </c>
      <c r="G338" s="1" t="s">
        <v>28</v>
      </c>
      <c r="H338" s="4" t="str">
        <f>HYPERLINK("https://www.ncbi.nlm.nih.gov/geo/query/acc.cgi?acc=GSM80219","GSM80219")</f>
        <v>GSM80219</v>
      </c>
      <c r="I338" t="s">
        <v>17</v>
      </c>
      <c r="J338" t="s">
        <v>18</v>
      </c>
      <c r="K338" t="s">
        <v>33</v>
      </c>
      <c r="L338" t="s">
        <v>20</v>
      </c>
      <c r="N338" t="s">
        <v>29</v>
      </c>
    </row>
    <row r="339" spans="1:14">
      <c r="A339" s="4" t="str">
        <f t="shared" si="22"/>
        <v>EXP00004</v>
      </c>
      <c r="B339" s="4" t="str">
        <f t="shared" si="23"/>
        <v>22048815</v>
      </c>
      <c r="C339" s="4" t="str">
        <f t="shared" si="24"/>
        <v>GSE10893</v>
      </c>
      <c r="D339" s="1" t="s">
        <v>14</v>
      </c>
      <c r="E339" t="s">
        <v>35</v>
      </c>
      <c r="F339" s="1">
        <v>2</v>
      </c>
      <c r="G339" s="1" t="s">
        <v>28</v>
      </c>
      <c r="H339" s="4" t="str">
        <f>HYPERLINK("https://www.ncbi.nlm.nih.gov/geo/query/acc.cgi?acc=GSM80220","GSM80220")</f>
        <v>GSM80220</v>
      </c>
      <c r="I339" t="s">
        <v>17</v>
      </c>
      <c r="J339" t="s">
        <v>18</v>
      </c>
      <c r="K339" t="s">
        <v>33</v>
      </c>
      <c r="L339" t="s">
        <v>20</v>
      </c>
      <c r="N339" t="s">
        <v>29</v>
      </c>
    </row>
    <row r="340" spans="1:14">
      <c r="A340" s="4" t="str">
        <f t="shared" si="22"/>
        <v>EXP00004</v>
      </c>
      <c r="B340" s="4" t="str">
        <f t="shared" si="23"/>
        <v>22048815</v>
      </c>
      <c r="C340" s="4" t="str">
        <f t="shared" si="24"/>
        <v>GSE10893</v>
      </c>
      <c r="D340" s="1" t="s">
        <v>14</v>
      </c>
      <c r="E340" t="s">
        <v>35</v>
      </c>
      <c r="F340" s="1">
        <v>2</v>
      </c>
      <c r="G340" s="1" t="s">
        <v>28</v>
      </c>
      <c r="H340" s="4" t="str">
        <f>HYPERLINK("https://www.ncbi.nlm.nih.gov/geo/query/acc.cgi?acc=GSM80221","GSM80221")</f>
        <v>GSM80221</v>
      </c>
      <c r="I340" t="s">
        <v>17</v>
      </c>
      <c r="J340" t="s">
        <v>18</v>
      </c>
      <c r="K340" t="s">
        <v>33</v>
      </c>
      <c r="L340" t="s">
        <v>20</v>
      </c>
      <c r="N340" t="s">
        <v>29</v>
      </c>
    </row>
    <row r="341" spans="1:14">
      <c r="A341" s="4" t="str">
        <f t="shared" si="22"/>
        <v>EXP00004</v>
      </c>
      <c r="B341" s="4" t="str">
        <f t="shared" si="23"/>
        <v>22048815</v>
      </c>
      <c r="C341" s="4" t="str">
        <f t="shared" si="24"/>
        <v>GSE10893</v>
      </c>
      <c r="D341" s="1" t="s">
        <v>14</v>
      </c>
      <c r="E341" t="s">
        <v>35</v>
      </c>
      <c r="F341" s="1">
        <v>2</v>
      </c>
      <c r="G341" s="1" t="s">
        <v>28</v>
      </c>
      <c r="H341" s="4" t="str">
        <f>HYPERLINK("https://www.ncbi.nlm.nih.gov/geo/query/acc.cgi?acc=GSM80222","GSM80222")</f>
        <v>GSM80222</v>
      </c>
      <c r="I341" t="s">
        <v>17</v>
      </c>
      <c r="J341" t="s">
        <v>18</v>
      </c>
      <c r="K341" t="s">
        <v>33</v>
      </c>
      <c r="L341" t="s">
        <v>20</v>
      </c>
      <c r="N341" t="s">
        <v>29</v>
      </c>
    </row>
    <row r="342" spans="1:14">
      <c r="A342" s="4" t="str">
        <f t="shared" si="22"/>
        <v>EXP00004</v>
      </c>
      <c r="B342" s="4" t="str">
        <f t="shared" si="23"/>
        <v>22048815</v>
      </c>
      <c r="C342" s="4" t="str">
        <f t="shared" si="24"/>
        <v>GSE10893</v>
      </c>
      <c r="D342" s="1" t="s">
        <v>14</v>
      </c>
      <c r="E342" t="s">
        <v>35</v>
      </c>
      <c r="F342" s="1">
        <v>2</v>
      </c>
      <c r="G342" s="1" t="s">
        <v>28</v>
      </c>
      <c r="H342" s="4" t="str">
        <f>HYPERLINK("https://www.ncbi.nlm.nih.gov/geo/query/acc.cgi?acc=GSM80226","GSM80226")</f>
        <v>GSM80226</v>
      </c>
      <c r="I342" t="s">
        <v>17</v>
      </c>
      <c r="J342" t="s">
        <v>18</v>
      </c>
      <c r="K342" t="s">
        <v>33</v>
      </c>
      <c r="L342" t="s">
        <v>20</v>
      </c>
      <c r="N342" t="s">
        <v>29</v>
      </c>
    </row>
    <row r="343" spans="1:14">
      <c r="A343" s="4" t="str">
        <f t="shared" si="22"/>
        <v>EXP00004</v>
      </c>
      <c r="B343" s="4" t="str">
        <f t="shared" si="23"/>
        <v>22048815</v>
      </c>
      <c r="C343" s="4" t="str">
        <f t="shared" si="24"/>
        <v>GSE10893</v>
      </c>
      <c r="D343" s="1" t="s">
        <v>14</v>
      </c>
      <c r="E343" t="s">
        <v>35</v>
      </c>
      <c r="F343" s="1">
        <v>2</v>
      </c>
      <c r="G343" s="1" t="s">
        <v>28</v>
      </c>
      <c r="H343" s="4" t="str">
        <f>HYPERLINK("https://www.ncbi.nlm.nih.gov/geo/query/acc.cgi?acc=GSM80227","GSM80227")</f>
        <v>GSM80227</v>
      </c>
      <c r="I343" t="s">
        <v>17</v>
      </c>
      <c r="J343" t="s">
        <v>18</v>
      </c>
      <c r="K343" t="s">
        <v>33</v>
      </c>
      <c r="L343" t="s">
        <v>20</v>
      </c>
      <c r="N343" t="s">
        <v>29</v>
      </c>
    </row>
    <row r="344" spans="1:14">
      <c r="A344" s="4" t="str">
        <f t="shared" si="22"/>
        <v>EXP00004</v>
      </c>
      <c r="B344" s="4" t="str">
        <f t="shared" si="23"/>
        <v>22048815</v>
      </c>
      <c r="C344" s="4" t="str">
        <f t="shared" si="24"/>
        <v>GSE10893</v>
      </c>
      <c r="D344" s="1" t="s">
        <v>14</v>
      </c>
      <c r="E344" t="s">
        <v>35</v>
      </c>
      <c r="F344" s="1">
        <v>2</v>
      </c>
      <c r="G344" s="1" t="s">
        <v>28</v>
      </c>
      <c r="H344" s="4" t="str">
        <f>HYPERLINK("https://www.ncbi.nlm.nih.gov/geo/query/acc.cgi?acc=GSM80229","GSM80229")</f>
        <v>GSM80229</v>
      </c>
      <c r="I344" t="s">
        <v>17</v>
      </c>
      <c r="J344" t="s">
        <v>18</v>
      </c>
      <c r="K344" t="s">
        <v>33</v>
      </c>
      <c r="L344" t="s">
        <v>20</v>
      </c>
      <c r="N344" t="s">
        <v>29</v>
      </c>
    </row>
    <row r="345" spans="1:14">
      <c r="A345" s="4" t="str">
        <f t="shared" si="22"/>
        <v>EXP00004</v>
      </c>
      <c r="B345" s="4" t="str">
        <f t="shared" si="23"/>
        <v>22048815</v>
      </c>
      <c r="C345" s="4" t="str">
        <f t="shared" si="24"/>
        <v>GSE10893</v>
      </c>
      <c r="D345" s="1" t="s">
        <v>14</v>
      </c>
      <c r="E345" t="s">
        <v>35</v>
      </c>
      <c r="F345" s="1">
        <v>2</v>
      </c>
      <c r="G345" s="1" t="s">
        <v>28</v>
      </c>
      <c r="H345" s="4" t="str">
        <f>HYPERLINK("https://www.ncbi.nlm.nih.gov/geo/query/acc.cgi?acc=GSM80230","GSM80230")</f>
        <v>GSM80230</v>
      </c>
      <c r="I345" t="s">
        <v>17</v>
      </c>
      <c r="J345" t="s">
        <v>18</v>
      </c>
      <c r="K345" t="s">
        <v>33</v>
      </c>
      <c r="L345" t="s">
        <v>20</v>
      </c>
      <c r="N345" t="s">
        <v>29</v>
      </c>
    </row>
    <row r="346" spans="1:14">
      <c r="A346" s="4" t="str">
        <f t="shared" si="22"/>
        <v>EXP00004</v>
      </c>
      <c r="B346" s="4" t="str">
        <f t="shared" si="23"/>
        <v>22048815</v>
      </c>
      <c r="C346" s="4" t="str">
        <f t="shared" si="24"/>
        <v>GSE10893</v>
      </c>
      <c r="D346" s="1" t="s">
        <v>14</v>
      </c>
      <c r="E346" t="s">
        <v>35</v>
      </c>
      <c r="F346" s="1">
        <v>2</v>
      </c>
      <c r="G346" s="1" t="s">
        <v>28</v>
      </c>
      <c r="H346" s="4" t="str">
        <f>HYPERLINK("https://www.ncbi.nlm.nih.gov/geo/query/acc.cgi?acc=GSM80232","GSM80232")</f>
        <v>GSM80232</v>
      </c>
      <c r="I346" t="s">
        <v>17</v>
      </c>
      <c r="J346" t="s">
        <v>18</v>
      </c>
      <c r="K346" t="s">
        <v>33</v>
      </c>
      <c r="L346" t="s">
        <v>20</v>
      </c>
      <c r="N346" t="s">
        <v>29</v>
      </c>
    </row>
    <row r="347" spans="1:14">
      <c r="A347" s="4" t="str">
        <f t="shared" ref="A347:A360" si="25">HYPERLINK("http://hcmdb.i-sanger.com/experiment/details/experiment_id/EXP00004","EXP00004")</f>
        <v>EXP00004</v>
      </c>
      <c r="B347" s="4" t="str">
        <f t="shared" si="23"/>
        <v>22048815</v>
      </c>
      <c r="C347" s="4" t="str">
        <f t="shared" si="24"/>
        <v>GSE10893</v>
      </c>
      <c r="D347" s="1" t="s">
        <v>14</v>
      </c>
      <c r="E347" t="s">
        <v>35</v>
      </c>
      <c r="F347" s="1">
        <v>2</v>
      </c>
      <c r="G347" s="1" t="s">
        <v>28</v>
      </c>
      <c r="H347" s="4" t="str">
        <f>HYPERLINK("https://www.ncbi.nlm.nih.gov/geo/query/acc.cgi?acc=GSM80237","GSM80237")</f>
        <v>GSM80237</v>
      </c>
      <c r="I347" t="s">
        <v>17</v>
      </c>
      <c r="J347" t="s">
        <v>18</v>
      </c>
      <c r="K347" t="s">
        <v>33</v>
      </c>
      <c r="L347" t="s">
        <v>20</v>
      </c>
      <c r="N347" t="s">
        <v>29</v>
      </c>
    </row>
    <row r="348" spans="1:14">
      <c r="A348" s="4" t="str">
        <f t="shared" si="25"/>
        <v>EXP00004</v>
      </c>
      <c r="B348" s="4" t="str">
        <f t="shared" si="23"/>
        <v>22048815</v>
      </c>
      <c r="C348" s="4" t="str">
        <f t="shared" si="24"/>
        <v>GSE10893</v>
      </c>
      <c r="D348" s="1" t="s">
        <v>14</v>
      </c>
      <c r="E348" t="s">
        <v>35</v>
      </c>
      <c r="F348" s="1">
        <v>2</v>
      </c>
      <c r="G348" s="1" t="s">
        <v>28</v>
      </c>
      <c r="H348" s="4" t="str">
        <f>HYPERLINK("https://www.ncbi.nlm.nih.gov/geo/query/acc.cgi?acc=GSM81166","GSM81166")</f>
        <v>GSM81166</v>
      </c>
      <c r="I348" t="s">
        <v>17</v>
      </c>
      <c r="J348" t="s">
        <v>18</v>
      </c>
      <c r="K348" t="s">
        <v>33</v>
      </c>
      <c r="L348" t="s">
        <v>20</v>
      </c>
      <c r="N348" t="s">
        <v>29</v>
      </c>
    </row>
    <row r="349" spans="1:14">
      <c r="A349" s="4" t="str">
        <f t="shared" si="25"/>
        <v>EXP00004</v>
      </c>
      <c r="B349" s="4" t="str">
        <f t="shared" si="23"/>
        <v>22048815</v>
      </c>
      <c r="C349" s="4" t="str">
        <f t="shared" si="24"/>
        <v>GSE10893</v>
      </c>
      <c r="D349" s="1" t="s">
        <v>14</v>
      </c>
      <c r="E349" t="s">
        <v>35</v>
      </c>
      <c r="F349" s="1">
        <v>2</v>
      </c>
      <c r="G349" s="1" t="s">
        <v>28</v>
      </c>
      <c r="H349" s="4" t="str">
        <f>HYPERLINK("https://www.ncbi.nlm.nih.gov/geo/query/acc.cgi?acc=GSM81167","GSM81167")</f>
        <v>GSM81167</v>
      </c>
      <c r="I349" t="s">
        <v>17</v>
      </c>
      <c r="J349" t="s">
        <v>18</v>
      </c>
      <c r="K349" t="s">
        <v>33</v>
      </c>
      <c r="L349" t="s">
        <v>20</v>
      </c>
      <c r="N349" t="s">
        <v>29</v>
      </c>
    </row>
    <row r="350" spans="1:14">
      <c r="A350" s="4" t="str">
        <f t="shared" si="25"/>
        <v>EXP00004</v>
      </c>
      <c r="B350" s="4" t="str">
        <f t="shared" si="23"/>
        <v>22048815</v>
      </c>
      <c r="C350" s="4" t="str">
        <f t="shared" si="24"/>
        <v>GSE10893</v>
      </c>
      <c r="D350" s="1" t="s">
        <v>14</v>
      </c>
      <c r="E350" t="s">
        <v>35</v>
      </c>
      <c r="F350" s="1">
        <v>2</v>
      </c>
      <c r="G350" s="1" t="s">
        <v>28</v>
      </c>
      <c r="H350" s="4" t="str">
        <f>HYPERLINK("https://www.ncbi.nlm.nih.gov/geo/query/acc.cgi?acc=GSM81168","GSM81168")</f>
        <v>GSM81168</v>
      </c>
      <c r="I350" t="s">
        <v>17</v>
      </c>
      <c r="J350" t="s">
        <v>18</v>
      </c>
      <c r="K350" t="s">
        <v>33</v>
      </c>
      <c r="L350" t="s">
        <v>20</v>
      </c>
      <c r="N350" t="s">
        <v>29</v>
      </c>
    </row>
    <row r="351" spans="1:14">
      <c r="A351" s="4" t="str">
        <f t="shared" si="25"/>
        <v>EXP00004</v>
      </c>
      <c r="B351" s="4" t="str">
        <f t="shared" si="23"/>
        <v>22048815</v>
      </c>
      <c r="C351" s="4" t="str">
        <f t="shared" si="24"/>
        <v>GSE10893</v>
      </c>
      <c r="D351" s="1" t="s">
        <v>14</v>
      </c>
      <c r="E351" t="s">
        <v>35</v>
      </c>
      <c r="F351" s="1">
        <v>2</v>
      </c>
      <c r="G351" s="1" t="s">
        <v>28</v>
      </c>
      <c r="H351" s="4" t="str">
        <f>HYPERLINK("https://www.ncbi.nlm.nih.gov/geo/query/acc.cgi?acc=GSM81169","GSM81169")</f>
        <v>GSM81169</v>
      </c>
      <c r="I351" t="s">
        <v>17</v>
      </c>
      <c r="J351" t="s">
        <v>18</v>
      </c>
      <c r="K351" t="s">
        <v>33</v>
      </c>
      <c r="L351" t="s">
        <v>20</v>
      </c>
      <c r="N351" t="s">
        <v>29</v>
      </c>
    </row>
    <row r="352" spans="1:14">
      <c r="A352" s="4" t="str">
        <f t="shared" si="25"/>
        <v>EXP00004</v>
      </c>
      <c r="B352" s="4" t="str">
        <f t="shared" si="23"/>
        <v>22048815</v>
      </c>
      <c r="C352" s="4" t="str">
        <f t="shared" si="24"/>
        <v>GSE10893</v>
      </c>
      <c r="D352" s="1" t="s">
        <v>14</v>
      </c>
      <c r="E352" t="s">
        <v>35</v>
      </c>
      <c r="F352" s="1">
        <v>2</v>
      </c>
      <c r="G352" s="1" t="s">
        <v>28</v>
      </c>
      <c r="H352" s="4" t="str">
        <f>HYPERLINK("https://www.ncbi.nlm.nih.gov/geo/query/acc.cgi?acc=GSM81170","GSM81170")</f>
        <v>GSM81170</v>
      </c>
      <c r="I352" t="s">
        <v>17</v>
      </c>
      <c r="J352" t="s">
        <v>18</v>
      </c>
      <c r="K352" t="s">
        <v>33</v>
      </c>
      <c r="L352" t="s">
        <v>20</v>
      </c>
      <c r="N352" t="s">
        <v>29</v>
      </c>
    </row>
    <row r="353" spans="1:14">
      <c r="A353" s="4" t="str">
        <f t="shared" si="25"/>
        <v>EXP00004</v>
      </c>
      <c r="B353" s="4" t="str">
        <f t="shared" si="23"/>
        <v>22048815</v>
      </c>
      <c r="C353" s="4" t="str">
        <f t="shared" si="24"/>
        <v>GSE10893</v>
      </c>
      <c r="D353" s="1" t="s">
        <v>14</v>
      </c>
      <c r="E353" t="s">
        <v>35</v>
      </c>
      <c r="F353" s="1">
        <v>2</v>
      </c>
      <c r="G353" s="1" t="s">
        <v>28</v>
      </c>
      <c r="H353" s="4" t="str">
        <f>HYPERLINK("https://www.ncbi.nlm.nih.gov/geo/query/acc.cgi?acc=GSM81171","GSM81171")</f>
        <v>GSM81171</v>
      </c>
      <c r="I353" t="s">
        <v>17</v>
      </c>
      <c r="J353" t="s">
        <v>18</v>
      </c>
      <c r="K353" t="s">
        <v>33</v>
      </c>
      <c r="L353" t="s">
        <v>20</v>
      </c>
      <c r="N353" t="s">
        <v>29</v>
      </c>
    </row>
    <row r="354" spans="1:14">
      <c r="A354" s="4" t="str">
        <f t="shared" si="25"/>
        <v>EXP00004</v>
      </c>
      <c r="B354" s="4" t="str">
        <f t="shared" si="23"/>
        <v>22048815</v>
      </c>
      <c r="C354" s="4" t="str">
        <f t="shared" si="24"/>
        <v>GSE10893</v>
      </c>
      <c r="D354" s="1" t="s">
        <v>14</v>
      </c>
      <c r="E354" t="s">
        <v>35</v>
      </c>
      <c r="F354" s="1">
        <v>2</v>
      </c>
      <c r="G354" s="1" t="s">
        <v>28</v>
      </c>
      <c r="H354" s="4" t="str">
        <f>HYPERLINK("https://www.ncbi.nlm.nih.gov/geo/query/acc.cgi?acc=GSM81172","GSM81172")</f>
        <v>GSM81172</v>
      </c>
      <c r="I354" t="s">
        <v>17</v>
      </c>
      <c r="J354" t="s">
        <v>18</v>
      </c>
      <c r="K354" t="s">
        <v>33</v>
      </c>
      <c r="L354" t="s">
        <v>20</v>
      </c>
      <c r="N354" t="s">
        <v>29</v>
      </c>
    </row>
    <row r="355" spans="1:14">
      <c r="A355" s="4" t="str">
        <f t="shared" si="25"/>
        <v>EXP00004</v>
      </c>
      <c r="B355" s="4" t="str">
        <f t="shared" si="23"/>
        <v>22048815</v>
      </c>
      <c r="C355" s="4" t="str">
        <f t="shared" si="24"/>
        <v>GSE10893</v>
      </c>
      <c r="D355" s="1" t="s">
        <v>14</v>
      </c>
      <c r="E355" t="s">
        <v>35</v>
      </c>
      <c r="F355" s="1">
        <v>2</v>
      </c>
      <c r="G355" s="1" t="s">
        <v>28</v>
      </c>
      <c r="H355" s="4" t="str">
        <f>HYPERLINK("https://www.ncbi.nlm.nih.gov/geo/query/acc.cgi?acc=GSM81173","GSM81173")</f>
        <v>GSM81173</v>
      </c>
      <c r="I355" t="s">
        <v>17</v>
      </c>
      <c r="J355" t="s">
        <v>18</v>
      </c>
      <c r="K355" t="s">
        <v>33</v>
      </c>
      <c r="L355" t="s">
        <v>20</v>
      </c>
      <c r="N355" t="s">
        <v>29</v>
      </c>
    </row>
    <row r="356" spans="1:14">
      <c r="A356" s="4" t="str">
        <f t="shared" si="25"/>
        <v>EXP00004</v>
      </c>
      <c r="B356" s="4" t="str">
        <f t="shared" si="23"/>
        <v>22048815</v>
      </c>
      <c r="C356" s="4" t="str">
        <f t="shared" si="24"/>
        <v>GSE10893</v>
      </c>
      <c r="D356" s="1" t="s">
        <v>14</v>
      </c>
      <c r="E356" t="s">
        <v>35</v>
      </c>
      <c r="F356" s="1">
        <v>2</v>
      </c>
      <c r="G356" s="1" t="s">
        <v>28</v>
      </c>
      <c r="H356" s="4" t="str">
        <f>HYPERLINK("https://www.ncbi.nlm.nih.gov/geo/query/acc.cgi?acc=GSM81174","GSM81174")</f>
        <v>GSM81174</v>
      </c>
      <c r="I356" t="s">
        <v>17</v>
      </c>
      <c r="J356" t="s">
        <v>18</v>
      </c>
      <c r="K356" t="s">
        <v>33</v>
      </c>
      <c r="L356" t="s">
        <v>20</v>
      </c>
      <c r="N356" t="s">
        <v>29</v>
      </c>
    </row>
    <row r="357" spans="1:14">
      <c r="A357" s="4" t="str">
        <f t="shared" si="25"/>
        <v>EXP00004</v>
      </c>
      <c r="B357" s="4" t="str">
        <f t="shared" si="23"/>
        <v>22048815</v>
      </c>
      <c r="C357" s="4" t="str">
        <f t="shared" si="24"/>
        <v>GSE10893</v>
      </c>
      <c r="D357" s="1" t="s">
        <v>14</v>
      </c>
      <c r="E357" t="s">
        <v>35</v>
      </c>
      <c r="F357" s="1">
        <v>2</v>
      </c>
      <c r="G357" s="1" t="s">
        <v>28</v>
      </c>
      <c r="H357" s="4" t="str">
        <f>HYPERLINK("https://www.ncbi.nlm.nih.gov/geo/query/acc.cgi?acc=GSM81175","GSM81175")</f>
        <v>GSM81175</v>
      </c>
      <c r="I357" t="s">
        <v>17</v>
      </c>
      <c r="J357" t="s">
        <v>18</v>
      </c>
      <c r="K357" t="s">
        <v>33</v>
      </c>
      <c r="L357" t="s">
        <v>20</v>
      </c>
      <c r="N357" t="s">
        <v>29</v>
      </c>
    </row>
    <row r="358" spans="1:14">
      <c r="A358" s="4" t="str">
        <f t="shared" si="25"/>
        <v>EXP00004</v>
      </c>
      <c r="B358" s="4" t="str">
        <f t="shared" si="23"/>
        <v>22048815</v>
      </c>
      <c r="C358" s="4" t="str">
        <f t="shared" si="24"/>
        <v>GSE10893</v>
      </c>
      <c r="D358" s="1" t="s">
        <v>14</v>
      </c>
      <c r="E358" t="s">
        <v>35</v>
      </c>
      <c r="F358" s="1">
        <v>2</v>
      </c>
      <c r="G358" s="1" t="s">
        <v>28</v>
      </c>
      <c r="H358" s="4" t="str">
        <f>HYPERLINK("https://www.ncbi.nlm.nih.gov/geo/query/acc.cgi?acc=GSM81176","GSM81176")</f>
        <v>GSM81176</v>
      </c>
      <c r="I358" t="s">
        <v>17</v>
      </c>
      <c r="J358" t="s">
        <v>18</v>
      </c>
      <c r="K358" t="s">
        <v>33</v>
      </c>
      <c r="L358" t="s">
        <v>20</v>
      </c>
      <c r="N358" t="s">
        <v>29</v>
      </c>
    </row>
    <row r="359" spans="1:14">
      <c r="A359" s="4" t="str">
        <f t="shared" si="25"/>
        <v>EXP00004</v>
      </c>
      <c r="B359" s="4" t="str">
        <f t="shared" si="23"/>
        <v>22048815</v>
      </c>
      <c r="C359" s="4" t="str">
        <f t="shared" si="24"/>
        <v>GSE10893</v>
      </c>
      <c r="D359" s="1" t="s">
        <v>14</v>
      </c>
      <c r="E359" t="s">
        <v>35</v>
      </c>
      <c r="F359" s="1">
        <v>2</v>
      </c>
      <c r="G359" s="1" t="s">
        <v>28</v>
      </c>
      <c r="H359" s="4" t="str">
        <f>HYPERLINK("https://www.ncbi.nlm.nih.gov/geo/query/acc.cgi?acc=GSM81177","GSM81177")</f>
        <v>GSM81177</v>
      </c>
      <c r="I359" t="s">
        <v>17</v>
      </c>
      <c r="J359" t="s">
        <v>18</v>
      </c>
      <c r="K359" t="s">
        <v>33</v>
      </c>
      <c r="L359" t="s">
        <v>20</v>
      </c>
      <c r="N359" t="s">
        <v>29</v>
      </c>
    </row>
    <row r="360" spans="1:14">
      <c r="A360" s="4" t="str">
        <f t="shared" si="25"/>
        <v>EXP00004</v>
      </c>
      <c r="B360" s="4" t="str">
        <f t="shared" si="23"/>
        <v>22048815</v>
      </c>
      <c r="C360" s="4" t="str">
        <f t="shared" si="24"/>
        <v>GSE10893</v>
      </c>
      <c r="D360" s="1" t="s">
        <v>14</v>
      </c>
      <c r="E360" t="s">
        <v>35</v>
      </c>
      <c r="F360" s="1">
        <v>2</v>
      </c>
      <c r="G360" s="1" t="s">
        <v>28</v>
      </c>
      <c r="H360" s="4" t="str">
        <f>HYPERLINK("https://www.ncbi.nlm.nih.gov/geo/query/acc.cgi?acc=GSM81178","GSM81178")</f>
        <v>GSM81178</v>
      </c>
      <c r="I360" t="s">
        <v>17</v>
      </c>
      <c r="J360" t="s">
        <v>18</v>
      </c>
      <c r="K360" t="s">
        <v>33</v>
      </c>
      <c r="L360" t="s">
        <v>20</v>
      </c>
      <c r="N360" t="s">
        <v>29</v>
      </c>
    </row>
    <row r="361" spans="1:14">
      <c r="A361" s="4" t="str">
        <f t="shared" ref="A361:A371" si="26">HYPERLINK("http://hcmdb.i-sanger.com/experiment/details/experiment_id/EXP00005","EXP00005")</f>
        <v>EXP00005</v>
      </c>
      <c r="B361" s="4" t="str">
        <f t="shared" si="23"/>
        <v>22048815</v>
      </c>
      <c r="C361" s="4" t="str">
        <f t="shared" si="24"/>
        <v>GSE10893</v>
      </c>
      <c r="D361" s="1" t="s">
        <v>38</v>
      </c>
      <c r="E361" t="s">
        <v>39</v>
      </c>
      <c r="F361" s="1">
        <v>1</v>
      </c>
      <c r="G361" s="1" t="s">
        <v>26</v>
      </c>
      <c r="H361" s="4" t="str">
        <f>HYPERLINK("https://www.ncbi.nlm.nih.gov/geo/query/acc.cgi?acc=GSM34464","GSM34464")</f>
        <v>GSM34464</v>
      </c>
      <c r="I361" t="s">
        <v>17</v>
      </c>
      <c r="J361" t="s">
        <v>18</v>
      </c>
      <c r="K361" t="s">
        <v>19</v>
      </c>
      <c r="L361" t="s">
        <v>20</v>
      </c>
      <c r="M361" t="s">
        <v>24</v>
      </c>
      <c r="N361" t="s">
        <v>22</v>
      </c>
    </row>
    <row r="362" spans="1:14">
      <c r="A362" s="4" t="str">
        <f t="shared" si="26"/>
        <v>EXP00005</v>
      </c>
      <c r="B362" s="4" t="str">
        <f t="shared" si="23"/>
        <v>22048815</v>
      </c>
      <c r="C362" s="4" t="str">
        <f t="shared" si="24"/>
        <v>GSE10893</v>
      </c>
      <c r="D362" s="1" t="s">
        <v>38</v>
      </c>
      <c r="E362" t="s">
        <v>39</v>
      </c>
      <c r="F362" s="1">
        <v>1</v>
      </c>
      <c r="G362" s="1" t="s">
        <v>26</v>
      </c>
      <c r="H362" s="4" t="str">
        <f>HYPERLINK("https://www.ncbi.nlm.nih.gov/geo/query/acc.cgi?acc=GSM34466","GSM34466")</f>
        <v>GSM34466</v>
      </c>
      <c r="I362" t="s">
        <v>17</v>
      </c>
      <c r="J362" t="s">
        <v>18</v>
      </c>
      <c r="K362" t="s">
        <v>19</v>
      </c>
      <c r="L362" t="s">
        <v>20</v>
      </c>
      <c r="M362" t="s">
        <v>24</v>
      </c>
      <c r="N362" t="s">
        <v>22</v>
      </c>
    </row>
    <row r="363" spans="1:14">
      <c r="A363" s="4" t="str">
        <f t="shared" si="26"/>
        <v>EXP00005</v>
      </c>
      <c r="B363" s="4" t="str">
        <f t="shared" si="23"/>
        <v>22048815</v>
      </c>
      <c r="C363" s="4" t="str">
        <f t="shared" si="24"/>
        <v>GSE10893</v>
      </c>
      <c r="D363" s="1" t="s">
        <v>38</v>
      </c>
      <c r="E363" t="s">
        <v>39</v>
      </c>
      <c r="F363" s="1">
        <v>1</v>
      </c>
      <c r="G363" s="1" t="s">
        <v>26</v>
      </c>
      <c r="H363" s="4" t="str">
        <f>HYPERLINK("https://www.ncbi.nlm.nih.gov/geo/query/acc.cgi?acc=GSM34513","GSM34513")</f>
        <v>GSM34513</v>
      </c>
      <c r="I363" t="s">
        <v>17</v>
      </c>
      <c r="J363" t="s">
        <v>18</v>
      </c>
      <c r="K363" t="s">
        <v>19</v>
      </c>
      <c r="L363" t="s">
        <v>20</v>
      </c>
      <c r="M363" t="s">
        <v>24</v>
      </c>
      <c r="N363" t="s">
        <v>22</v>
      </c>
    </row>
    <row r="364" spans="1:14">
      <c r="A364" s="4" t="str">
        <f t="shared" si="26"/>
        <v>EXP00005</v>
      </c>
      <c r="B364" s="4" t="str">
        <f t="shared" si="23"/>
        <v>22048815</v>
      </c>
      <c r="C364" s="4" t="str">
        <f t="shared" si="24"/>
        <v>GSE10893</v>
      </c>
      <c r="D364" s="1" t="s">
        <v>38</v>
      </c>
      <c r="E364" t="s">
        <v>39</v>
      </c>
      <c r="F364" s="1">
        <v>1</v>
      </c>
      <c r="G364" s="1" t="s">
        <v>26</v>
      </c>
      <c r="H364" s="4" t="str">
        <f>HYPERLINK("https://www.ncbi.nlm.nih.gov/geo/query/acc.cgi?acc=GSM34533","GSM34533")</f>
        <v>GSM34533</v>
      </c>
      <c r="I364" t="s">
        <v>17</v>
      </c>
      <c r="J364" t="s">
        <v>18</v>
      </c>
      <c r="K364" t="s">
        <v>19</v>
      </c>
      <c r="L364" t="s">
        <v>20</v>
      </c>
      <c r="M364" t="s">
        <v>24</v>
      </c>
      <c r="N364" t="s">
        <v>22</v>
      </c>
    </row>
    <row r="365" spans="1:14">
      <c r="A365" s="4" t="str">
        <f t="shared" si="26"/>
        <v>EXP00005</v>
      </c>
      <c r="B365" s="4" t="str">
        <f t="shared" si="23"/>
        <v>22048815</v>
      </c>
      <c r="C365" s="4" t="str">
        <f t="shared" si="24"/>
        <v>GSE10893</v>
      </c>
      <c r="D365" s="1" t="s">
        <v>38</v>
      </c>
      <c r="E365" t="s">
        <v>39</v>
      </c>
      <c r="F365" s="1">
        <v>1</v>
      </c>
      <c r="G365" s="1" t="s">
        <v>26</v>
      </c>
      <c r="H365" s="4" t="str">
        <f>HYPERLINK("https://www.ncbi.nlm.nih.gov/geo/query/acc.cgi?acc=GSM50148","GSM50148")</f>
        <v>GSM50148</v>
      </c>
      <c r="I365" t="s">
        <v>17</v>
      </c>
      <c r="J365" t="s">
        <v>18</v>
      </c>
      <c r="K365" t="s">
        <v>19</v>
      </c>
      <c r="L365" t="s">
        <v>20</v>
      </c>
      <c r="M365" t="s">
        <v>24</v>
      </c>
      <c r="N365" t="s">
        <v>22</v>
      </c>
    </row>
    <row r="366" spans="1:14">
      <c r="A366" s="4" t="str">
        <f t="shared" si="26"/>
        <v>EXP00005</v>
      </c>
      <c r="B366" s="4" t="str">
        <f t="shared" si="23"/>
        <v>22048815</v>
      </c>
      <c r="C366" s="4" t="str">
        <f t="shared" si="24"/>
        <v>GSE10893</v>
      </c>
      <c r="D366" s="1" t="s">
        <v>38</v>
      </c>
      <c r="E366" t="s">
        <v>39</v>
      </c>
      <c r="F366" s="1">
        <v>1</v>
      </c>
      <c r="G366" s="1" t="s">
        <v>26</v>
      </c>
      <c r="H366" s="4" t="str">
        <f>HYPERLINK("https://www.ncbi.nlm.nih.gov/geo/query/acc.cgi?acc=GSM52917","GSM52917")</f>
        <v>GSM52917</v>
      </c>
      <c r="I366" t="s">
        <v>17</v>
      </c>
      <c r="J366" t="s">
        <v>18</v>
      </c>
      <c r="K366" t="s">
        <v>19</v>
      </c>
      <c r="L366" t="s">
        <v>20</v>
      </c>
      <c r="M366" t="s">
        <v>24</v>
      </c>
      <c r="N366" t="s">
        <v>22</v>
      </c>
    </row>
    <row r="367" spans="1:14">
      <c r="A367" s="4" t="str">
        <f t="shared" si="26"/>
        <v>EXP00005</v>
      </c>
      <c r="B367" s="4" t="str">
        <f t="shared" si="23"/>
        <v>22048815</v>
      </c>
      <c r="C367" s="4" t="str">
        <f t="shared" si="24"/>
        <v>GSE10893</v>
      </c>
      <c r="D367" s="1" t="s">
        <v>38</v>
      </c>
      <c r="E367" t="s">
        <v>39</v>
      </c>
      <c r="F367" s="1">
        <v>1</v>
      </c>
      <c r="G367" s="1" t="s">
        <v>26</v>
      </c>
      <c r="H367" s="4" t="str">
        <f>HYPERLINK("https://www.ncbi.nlm.nih.gov/geo/query/acc.cgi?acc=GSM80242","GSM80242")</f>
        <v>GSM80242</v>
      </c>
      <c r="I367" t="s">
        <v>17</v>
      </c>
      <c r="J367" t="s">
        <v>18</v>
      </c>
      <c r="K367" t="s">
        <v>19</v>
      </c>
      <c r="L367" t="s">
        <v>20</v>
      </c>
      <c r="M367" t="s">
        <v>24</v>
      </c>
      <c r="N367" t="s">
        <v>22</v>
      </c>
    </row>
    <row r="368" spans="1:14">
      <c r="A368" s="4" t="str">
        <f t="shared" si="26"/>
        <v>EXP00005</v>
      </c>
      <c r="B368" s="4" t="str">
        <f t="shared" si="23"/>
        <v>22048815</v>
      </c>
      <c r="C368" s="4" t="str">
        <f t="shared" si="24"/>
        <v>GSE10893</v>
      </c>
      <c r="D368" s="1" t="s">
        <v>38</v>
      </c>
      <c r="E368" t="s">
        <v>39</v>
      </c>
      <c r="F368" s="1">
        <v>1</v>
      </c>
      <c r="G368" s="1" t="s">
        <v>26</v>
      </c>
      <c r="H368" s="4" t="str">
        <f>HYPERLINK("https://www.ncbi.nlm.nih.gov/geo/query/acc.cgi?acc=GSM81165","GSM81165")</f>
        <v>GSM81165</v>
      </c>
      <c r="I368" t="s">
        <v>17</v>
      </c>
      <c r="J368" t="s">
        <v>18</v>
      </c>
      <c r="K368" t="s">
        <v>19</v>
      </c>
      <c r="L368" t="s">
        <v>20</v>
      </c>
      <c r="M368" t="s">
        <v>24</v>
      </c>
      <c r="N368" t="s">
        <v>22</v>
      </c>
    </row>
    <row r="369" spans="1:14">
      <c r="A369" s="4" t="str">
        <f t="shared" si="26"/>
        <v>EXP00005</v>
      </c>
      <c r="B369" s="4" t="str">
        <f t="shared" si="23"/>
        <v>22048815</v>
      </c>
      <c r="C369" s="4" t="str">
        <f t="shared" si="24"/>
        <v>GSE10893</v>
      </c>
      <c r="D369" s="1" t="s">
        <v>38</v>
      </c>
      <c r="E369" t="s">
        <v>39</v>
      </c>
      <c r="F369" s="1">
        <v>2</v>
      </c>
      <c r="G369" s="1" t="s">
        <v>28</v>
      </c>
      <c r="H369" s="4" t="str">
        <f>HYPERLINK("https://www.ncbi.nlm.nih.gov/geo/query/acc.cgi?acc=GSM34491","GSM34491")</f>
        <v>GSM34491</v>
      </c>
      <c r="I369" t="s">
        <v>17</v>
      </c>
      <c r="J369" t="s">
        <v>18</v>
      </c>
      <c r="K369" t="s">
        <v>19</v>
      </c>
      <c r="L369" t="s">
        <v>20</v>
      </c>
      <c r="M369" t="s">
        <v>24</v>
      </c>
      <c r="N369" t="s">
        <v>29</v>
      </c>
    </row>
    <row r="370" spans="1:14">
      <c r="A370" s="4" t="str">
        <f t="shared" si="26"/>
        <v>EXP00005</v>
      </c>
      <c r="B370" s="4" t="str">
        <f t="shared" si="23"/>
        <v>22048815</v>
      </c>
      <c r="C370" s="4" t="str">
        <f t="shared" si="24"/>
        <v>GSE10893</v>
      </c>
      <c r="D370" s="1" t="s">
        <v>38</v>
      </c>
      <c r="E370" t="s">
        <v>39</v>
      </c>
      <c r="F370" s="1">
        <v>2</v>
      </c>
      <c r="G370" s="1" t="s">
        <v>28</v>
      </c>
      <c r="H370" s="4" t="str">
        <f>HYPERLINK("https://www.ncbi.nlm.nih.gov/geo/query/acc.cgi?acc=GSM34512","GSM34512")</f>
        <v>GSM34512</v>
      </c>
      <c r="I370" t="s">
        <v>17</v>
      </c>
      <c r="J370" t="s">
        <v>18</v>
      </c>
      <c r="K370" t="s">
        <v>19</v>
      </c>
      <c r="L370" t="s">
        <v>20</v>
      </c>
      <c r="M370" t="s">
        <v>24</v>
      </c>
      <c r="N370" t="s">
        <v>29</v>
      </c>
    </row>
    <row r="371" spans="1:14">
      <c r="A371" s="4" t="str">
        <f t="shared" si="26"/>
        <v>EXP00005</v>
      </c>
      <c r="B371" s="4" t="str">
        <f t="shared" si="23"/>
        <v>22048815</v>
      </c>
      <c r="C371" s="4" t="str">
        <f t="shared" si="24"/>
        <v>GSE10893</v>
      </c>
      <c r="D371" s="1" t="s">
        <v>38</v>
      </c>
      <c r="E371" t="s">
        <v>39</v>
      </c>
      <c r="F371" s="1">
        <v>2</v>
      </c>
      <c r="G371" s="1" t="s">
        <v>28</v>
      </c>
      <c r="H371" s="4" t="str">
        <f>HYPERLINK("https://www.ncbi.nlm.nih.gov/geo/query/acc.cgi?acc=GSM34514","GSM34514")</f>
        <v>GSM34514</v>
      </c>
      <c r="I371" t="s">
        <v>17</v>
      </c>
      <c r="J371" t="s">
        <v>18</v>
      </c>
      <c r="K371" t="s">
        <v>19</v>
      </c>
      <c r="L371" t="s">
        <v>20</v>
      </c>
      <c r="M371" t="s">
        <v>24</v>
      </c>
      <c r="N371" t="s">
        <v>29</v>
      </c>
    </row>
    <row r="372" spans="1:14">
      <c r="A372" s="4" t="str">
        <f t="shared" ref="A372:A383" si="27">HYPERLINK("http://hcmdb.i-sanger.com/experiment/details/experiment_id/EXP00006","EXP00006")</f>
        <v>EXP00006</v>
      </c>
      <c r="B372" s="4" t="str">
        <f t="shared" si="23"/>
        <v>22048815</v>
      </c>
      <c r="C372" s="4" t="str">
        <f t="shared" si="24"/>
        <v>GSE10893</v>
      </c>
      <c r="D372" s="1" t="s">
        <v>38</v>
      </c>
      <c r="E372" t="s">
        <v>15</v>
      </c>
      <c r="F372" s="1">
        <v>1</v>
      </c>
      <c r="G372" s="1" t="s">
        <v>40</v>
      </c>
      <c r="H372" s="4" t="str">
        <f>HYPERLINK("https://www.ncbi.nlm.nih.gov/geo/query/acc.cgi?acc=GSM34442","GSM34442")</f>
        <v>GSM34442</v>
      </c>
      <c r="I372" t="s">
        <v>17</v>
      </c>
      <c r="J372" t="s">
        <v>18</v>
      </c>
      <c r="K372" t="s">
        <v>19</v>
      </c>
      <c r="L372" t="s">
        <v>20</v>
      </c>
      <c r="M372" t="s">
        <v>41</v>
      </c>
      <c r="N372" t="s">
        <v>22</v>
      </c>
    </row>
    <row r="373" spans="1:14">
      <c r="A373" s="4" t="str">
        <f t="shared" si="27"/>
        <v>EXP00006</v>
      </c>
      <c r="B373" s="4" t="str">
        <f t="shared" si="23"/>
        <v>22048815</v>
      </c>
      <c r="C373" s="4" t="str">
        <f t="shared" si="24"/>
        <v>GSE10893</v>
      </c>
      <c r="D373" s="1" t="s">
        <v>38</v>
      </c>
      <c r="E373" t="s">
        <v>15</v>
      </c>
      <c r="F373" s="1">
        <v>1</v>
      </c>
      <c r="G373" s="1" t="s">
        <v>40</v>
      </c>
      <c r="H373" s="4" t="str">
        <f>HYPERLINK("https://www.ncbi.nlm.nih.gov/geo/query/acc.cgi?acc=GSM34443","GSM34443")</f>
        <v>GSM34443</v>
      </c>
      <c r="I373" t="s">
        <v>17</v>
      </c>
      <c r="J373" t="s">
        <v>18</v>
      </c>
      <c r="K373" t="s">
        <v>19</v>
      </c>
      <c r="L373" t="s">
        <v>20</v>
      </c>
      <c r="M373" t="s">
        <v>41</v>
      </c>
      <c r="N373" t="s">
        <v>22</v>
      </c>
    </row>
    <row r="374" spans="1:14">
      <c r="A374" s="4" t="str">
        <f t="shared" si="27"/>
        <v>EXP00006</v>
      </c>
      <c r="B374" s="4" t="str">
        <f t="shared" si="23"/>
        <v>22048815</v>
      </c>
      <c r="C374" s="4" t="str">
        <f t="shared" si="24"/>
        <v>GSE10893</v>
      </c>
      <c r="D374" s="1" t="s">
        <v>38</v>
      </c>
      <c r="E374" t="s">
        <v>15</v>
      </c>
      <c r="F374" s="1">
        <v>1</v>
      </c>
      <c r="G374" s="1" t="s">
        <v>40</v>
      </c>
      <c r="H374" s="4" t="str">
        <f>HYPERLINK("https://www.ncbi.nlm.nih.gov/geo/query/acc.cgi?acc=GSM34467","GSM34467")</f>
        <v>GSM34467</v>
      </c>
      <c r="I374" t="s">
        <v>17</v>
      </c>
      <c r="J374" t="s">
        <v>18</v>
      </c>
      <c r="K374" t="s">
        <v>19</v>
      </c>
      <c r="L374" t="s">
        <v>20</v>
      </c>
      <c r="M374" t="s">
        <v>41</v>
      </c>
      <c r="N374" t="s">
        <v>22</v>
      </c>
    </row>
    <row r="375" spans="1:14">
      <c r="A375" s="4" t="str">
        <f t="shared" si="27"/>
        <v>EXP00006</v>
      </c>
      <c r="B375" s="4" t="str">
        <f t="shared" si="23"/>
        <v>22048815</v>
      </c>
      <c r="C375" s="4" t="str">
        <f t="shared" si="24"/>
        <v>GSE10893</v>
      </c>
      <c r="D375" s="1" t="s">
        <v>38</v>
      </c>
      <c r="E375" t="s">
        <v>15</v>
      </c>
      <c r="F375" s="1">
        <v>1</v>
      </c>
      <c r="G375" s="1" t="s">
        <v>40</v>
      </c>
      <c r="H375" s="4" t="str">
        <f>HYPERLINK("https://www.ncbi.nlm.nih.gov/geo/query/acc.cgi?acc=GSM52921","GSM52921")</f>
        <v>GSM52921</v>
      </c>
      <c r="I375" t="s">
        <v>17</v>
      </c>
      <c r="J375" t="s">
        <v>18</v>
      </c>
      <c r="K375" t="s">
        <v>19</v>
      </c>
      <c r="L375" t="s">
        <v>20</v>
      </c>
      <c r="M375" t="s">
        <v>41</v>
      </c>
      <c r="N375" t="s">
        <v>22</v>
      </c>
    </row>
    <row r="376" spans="1:14">
      <c r="A376" s="4" t="str">
        <f t="shared" si="27"/>
        <v>EXP00006</v>
      </c>
      <c r="B376" s="4" t="str">
        <f t="shared" si="23"/>
        <v>22048815</v>
      </c>
      <c r="C376" s="4" t="str">
        <f t="shared" si="24"/>
        <v>GSE10893</v>
      </c>
      <c r="D376" s="1" t="s">
        <v>38</v>
      </c>
      <c r="E376" t="s">
        <v>15</v>
      </c>
      <c r="F376" s="1">
        <v>2</v>
      </c>
      <c r="G376" s="1" t="s">
        <v>23</v>
      </c>
      <c r="H376" s="4" t="str">
        <f>HYPERLINK("https://www.ncbi.nlm.nih.gov/geo/query/acc.cgi?acc=GSM34464","GSM34464")</f>
        <v>GSM34464</v>
      </c>
      <c r="I376" t="s">
        <v>17</v>
      </c>
      <c r="J376" t="s">
        <v>18</v>
      </c>
      <c r="K376" t="s">
        <v>19</v>
      </c>
      <c r="L376" t="s">
        <v>20</v>
      </c>
      <c r="M376" t="s">
        <v>24</v>
      </c>
      <c r="N376" t="s">
        <v>22</v>
      </c>
    </row>
    <row r="377" spans="1:14">
      <c r="A377" s="4" t="str">
        <f t="shared" si="27"/>
        <v>EXP00006</v>
      </c>
      <c r="B377" s="4" t="str">
        <f t="shared" si="23"/>
        <v>22048815</v>
      </c>
      <c r="C377" s="4" t="str">
        <f t="shared" si="24"/>
        <v>GSE10893</v>
      </c>
      <c r="D377" s="1" t="s">
        <v>38</v>
      </c>
      <c r="E377" t="s">
        <v>15</v>
      </c>
      <c r="F377" s="1">
        <v>2</v>
      </c>
      <c r="G377" s="1" t="s">
        <v>23</v>
      </c>
      <c r="H377" s="4" t="str">
        <f>HYPERLINK("https://www.ncbi.nlm.nih.gov/geo/query/acc.cgi?acc=GSM34466","GSM34466")</f>
        <v>GSM34466</v>
      </c>
      <c r="I377" t="s">
        <v>17</v>
      </c>
      <c r="J377" t="s">
        <v>18</v>
      </c>
      <c r="K377" t="s">
        <v>19</v>
      </c>
      <c r="L377" t="s">
        <v>20</v>
      </c>
      <c r="M377" t="s">
        <v>24</v>
      </c>
      <c r="N377" t="s">
        <v>22</v>
      </c>
    </row>
    <row r="378" spans="1:14">
      <c r="A378" s="4" t="str">
        <f t="shared" si="27"/>
        <v>EXP00006</v>
      </c>
      <c r="B378" s="4" t="str">
        <f t="shared" si="23"/>
        <v>22048815</v>
      </c>
      <c r="C378" s="4" t="str">
        <f t="shared" si="24"/>
        <v>GSE10893</v>
      </c>
      <c r="D378" s="1" t="s">
        <v>38</v>
      </c>
      <c r="E378" t="s">
        <v>15</v>
      </c>
      <c r="F378" s="1">
        <v>2</v>
      </c>
      <c r="G378" s="1" t="s">
        <v>23</v>
      </c>
      <c r="H378" s="4" t="str">
        <f>HYPERLINK("https://www.ncbi.nlm.nih.gov/geo/query/acc.cgi?acc=GSM34513","GSM34513")</f>
        <v>GSM34513</v>
      </c>
      <c r="I378" t="s">
        <v>17</v>
      </c>
      <c r="J378" t="s">
        <v>18</v>
      </c>
      <c r="K378" t="s">
        <v>19</v>
      </c>
      <c r="L378" t="s">
        <v>20</v>
      </c>
      <c r="M378" t="s">
        <v>24</v>
      </c>
      <c r="N378" t="s">
        <v>22</v>
      </c>
    </row>
    <row r="379" spans="1:14">
      <c r="A379" s="4" t="str">
        <f t="shared" si="27"/>
        <v>EXP00006</v>
      </c>
      <c r="B379" s="4" t="str">
        <f t="shared" si="23"/>
        <v>22048815</v>
      </c>
      <c r="C379" s="4" t="str">
        <f t="shared" si="24"/>
        <v>GSE10893</v>
      </c>
      <c r="D379" s="1" t="s">
        <v>38</v>
      </c>
      <c r="E379" t="s">
        <v>15</v>
      </c>
      <c r="F379" s="1">
        <v>2</v>
      </c>
      <c r="G379" s="1" t="s">
        <v>23</v>
      </c>
      <c r="H379" s="4" t="str">
        <f>HYPERLINK("https://www.ncbi.nlm.nih.gov/geo/query/acc.cgi?acc=GSM34533","GSM34533")</f>
        <v>GSM34533</v>
      </c>
      <c r="I379" t="s">
        <v>17</v>
      </c>
      <c r="J379" t="s">
        <v>18</v>
      </c>
      <c r="K379" t="s">
        <v>19</v>
      </c>
      <c r="L379" t="s">
        <v>20</v>
      </c>
      <c r="M379" t="s">
        <v>24</v>
      </c>
      <c r="N379" t="s">
        <v>22</v>
      </c>
    </row>
    <row r="380" spans="1:14">
      <c r="A380" s="4" t="str">
        <f t="shared" si="27"/>
        <v>EXP00006</v>
      </c>
      <c r="B380" s="4" t="str">
        <f t="shared" si="23"/>
        <v>22048815</v>
      </c>
      <c r="C380" s="4" t="str">
        <f t="shared" si="24"/>
        <v>GSE10893</v>
      </c>
      <c r="D380" s="1" t="s">
        <v>38</v>
      </c>
      <c r="E380" t="s">
        <v>15</v>
      </c>
      <c r="F380" s="1">
        <v>2</v>
      </c>
      <c r="G380" s="1" t="s">
        <v>23</v>
      </c>
      <c r="H380" s="4" t="str">
        <f>HYPERLINK("https://www.ncbi.nlm.nih.gov/geo/query/acc.cgi?acc=GSM50148","GSM50148")</f>
        <v>GSM50148</v>
      </c>
      <c r="I380" t="s">
        <v>17</v>
      </c>
      <c r="J380" t="s">
        <v>18</v>
      </c>
      <c r="K380" t="s">
        <v>19</v>
      </c>
      <c r="L380" t="s">
        <v>20</v>
      </c>
      <c r="M380" t="s">
        <v>24</v>
      </c>
      <c r="N380" t="s">
        <v>22</v>
      </c>
    </row>
    <row r="381" spans="1:14">
      <c r="A381" s="4" t="str">
        <f t="shared" si="27"/>
        <v>EXP00006</v>
      </c>
      <c r="B381" s="4" t="str">
        <f t="shared" si="23"/>
        <v>22048815</v>
      </c>
      <c r="C381" s="4" t="str">
        <f t="shared" si="24"/>
        <v>GSE10893</v>
      </c>
      <c r="D381" s="1" t="s">
        <v>38</v>
      </c>
      <c r="E381" t="s">
        <v>15</v>
      </c>
      <c r="F381" s="1">
        <v>2</v>
      </c>
      <c r="G381" s="1" t="s">
        <v>23</v>
      </c>
      <c r="H381" s="4" t="str">
        <f>HYPERLINK("https://www.ncbi.nlm.nih.gov/geo/query/acc.cgi?acc=GSM52917","GSM52917")</f>
        <v>GSM52917</v>
      </c>
      <c r="I381" t="s">
        <v>17</v>
      </c>
      <c r="J381" t="s">
        <v>18</v>
      </c>
      <c r="K381" t="s">
        <v>19</v>
      </c>
      <c r="L381" t="s">
        <v>20</v>
      </c>
      <c r="M381" t="s">
        <v>24</v>
      </c>
      <c r="N381" t="s">
        <v>22</v>
      </c>
    </row>
    <row r="382" spans="1:14">
      <c r="A382" s="4" t="str">
        <f t="shared" si="27"/>
        <v>EXP00006</v>
      </c>
      <c r="B382" s="4" t="str">
        <f t="shared" si="23"/>
        <v>22048815</v>
      </c>
      <c r="C382" s="4" t="str">
        <f t="shared" si="24"/>
        <v>GSE10893</v>
      </c>
      <c r="D382" s="1" t="s">
        <v>38</v>
      </c>
      <c r="E382" t="s">
        <v>15</v>
      </c>
      <c r="F382" s="1">
        <v>2</v>
      </c>
      <c r="G382" s="1" t="s">
        <v>23</v>
      </c>
      <c r="H382" s="4" t="str">
        <f>HYPERLINK("https://www.ncbi.nlm.nih.gov/geo/query/acc.cgi?acc=GSM80242","GSM80242")</f>
        <v>GSM80242</v>
      </c>
      <c r="I382" t="s">
        <v>17</v>
      </c>
      <c r="J382" t="s">
        <v>18</v>
      </c>
      <c r="K382" t="s">
        <v>19</v>
      </c>
      <c r="L382" t="s">
        <v>20</v>
      </c>
      <c r="M382" t="s">
        <v>24</v>
      </c>
      <c r="N382" t="s">
        <v>22</v>
      </c>
    </row>
    <row r="383" spans="1:14">
      <c r="A383" s="4" t="str">
        <f t="shared" si="27"/>
        <v>EXP00006</v>
      </c>
      <c r="B383" s="4" t="str">
        <f t="shared" si="23"/>
        <v>22048815</v>
      </c>
      <c r="C383" s="4" t="str">
        <f t="shared" si="24"/>
        <v>GSE10893</v>
      </c>
      <c r="D383" s="1" t="s">
        <v>38</v>
      </c>
      <c r="E383" t="s">
        <v>15</v>
      </c>
      <c r="F383" s="1">
        <v>2</v>
      </c>
      <c r="G383" s="1" t="s">
        <v>23</v>
      </c>
      <c r="H383" s="4" t="str">
        <f>HYPERLINK("https://www.ncbi.nlm.nih.gov/geo/query/acc.cgi?acc=GSM81165","GSM81165")</f>
        <v>GSM81165</v>
      </c>
      <c r="I383" t="s">
        <v>17</v>
      </c>
      <c r="J383" t="s">
        <v>18</v>
      </c>
      <c r="K383" t="s">
        <v>19</v>
      </c>
      <c r="L383" t="s">
        <v>20</v>
      </c>
      <c r="M383" t="s">
        <v>24</v>
      </c>
      <c r="N383" t="s">
        <v>22</v>
      </c>
    </row>
    <row r="384" spans="1:14">
      <c r="A384" s="4" t="str">
        <f t="shared" ref="A384:A402" si="28">HYPERLINK("http://hcmdb.i-sanger.com/experiment/details/experiment_id/EXP00007","EXP00007")</f>
        <v>EXP00007</v>
      </c>
      <c r="B384" s="4" t="str">
        <f t="shared" si="23"/>
        <v>22048815</v>
      </c>
      <c r="C384" s="4" t="str">
        <f t="shared" si="24"/>
        <v>GSE10893</v>
      </c>
      <c r="D384" s="1" t="s">
        <v>38</v>
      </c>
      <c r="E384" t="s">
        <v>25</v>
      </c>
      <c r="F384" s="1">
        <v>1</v>
      </c>
      <c r="G384" s="1" t="s">
        <v>26</v>
      </c>
      <c r="H384" s="4" t="str">
        <f>HYPERLINK("https://www.ncbi.nlm.nih.gov/geo/query/acc.cgi?acc=GSM34442","GSM34442")</f>
        <v>GSM34442</v>
      </c>
      <c r="I384" t="s">
        <v>17</v>
      </c>
      <c r="J384" t="s">
        <v>18</v>
      </c>
      <c r="K384" t="s">
        <v>19</v>
      </c>
      <c r="L384" t="s">
        <v>20</v>
      </c>
      <c r="M384" t="s">
        <v>41</v>
      </c>
      <c r="N384" t="s">
        <v>22</v>
      </c>
    </row>
    <row r="385" spans="1:14">
      <c r="A385" s="4" t="str">
        <f t="shared" si="28"/>
        <v>EXP00007</v>
      </c>
      <c r="B385" s="4" t="str">
        <f t="shared" si="23"/>
        <v>22048815</v>
      </c>
      <c r="C385" s="4" t="str">
        <f t="shared" si="24"/>
        <v>GSE10893</v>
      </c>
      <c r="D385" s="1" t="s">
        <v>38</v>
      </c>
      <c r="E385" t="s">
        <v>25</v>
      </c>
      <c r="F385" s="1">
        <v>1</v>
      </c>
      <c r="G385" s="1" t="s">
        <v>26</v>
      </c>
      <c r="H385" s="4" t="str">
        <f>HYPERLINK("https://www.ncbi.nlm.nih.gov/geo/query/acc.cgi?acc=GSM34443","GSM34443")</f>
        <v>GSM34443</v>
      </c>
      <c r="I385" t="s">
        <v>17</v>
      </c>
      <c r="J385" t="s">
        <v>18</v>
      </c>
      <c r="K385" t="s">
        <v>19</v>
      </c>
      <c r="L385" t="s">
        <v>20</v>
      </c>
      <c r="M385" t="s">
        <v>41</v>
      </c>
      <c r="N385" t="s">
        <v>22</v>
      </c>
    </row>
    <row r="386" spans="1:14">
      <c r="A386" s="4" t="str">
        <f t="shared" si="28"/>
        <v>EXP00007</v>
      </c>
      <c r="B386" s="4" t="str">
        <f t="shared" ref="B386:B449" si="29">HYPERLINK("https://www.ncbi.nlm.nih.gov/pubmed/22048815","22048815")</f>
        <v>22048815</v>
      </c>
      <c r="C386" s="4" t="str">
        <f t="shared" ref="C386:C449" si="30">HYPERLINK("https://www.ncbi.nlm.nih.gov/geo/query/acc.cgi?acc=GSE10893","GSE10893")</f>
        <v>GSE10893</v>
      </c>
      <c r="D386" s="1" t="s">
        <v>38</v>
      </c>
      <c r="E386" t="s">
        <v>25</v>
      </c>
      <c r="F386" s="1">
        <v>1</v>
      </c>
      <c r="G386" s="1" t="s">
        <v>26</v>
      </c>
      <c r="H386" s="4" t="str">
        <f>HYPERLINK("https://www.ncbi.nlm.nih.gov/geo/query/acc.cgi?acc=GSM34464","GSM34464")</f>
        <v>GSM34464</v>
      </c>
      <c r="I386" t="s">
        <v>17</v>
      </c>
      <c r="J386" t="s">
        <v>18</v>
      </c>
      <c r="K386" t="s">
        <v>19</v>
      </c>
      <c r="L386" t="s">
        <v>20</v>
      </c>
      <c r="M386" t="s">
        <v>24</v>
      </c>
      <c r="N386" t="s">
        <v>22</v>
      </c>
    </row>
    <row r="387" spans="1:14">
      <c r="A387" s="4" t="str">
        <f t="shared" si="28"/>
        <v>EXP00007</v>
      </c>
      <c r="B387" s="4" t="str">
        <f t="shared" si="29"/>
        <v>22048815</v>
      </c>
      <c r="C387" s="4" t="str">
        <f t="shared" si="30"/>
        <v>GSE10893</v>
      </c>
      <c r="D387" s="1" t="s">
        <v>38</v>
      </c>
      <c r="E387" t="s">
        <v>25</v>
      </c>
      <c r="F387" s="1">
        <v>1</v>
      </c>
      <c r="G387" s="1" t="s">
        <v>26</v>
      </c>
      <c r="H387" s="4" t="str">
        <f>HYPERLINK("https://www.ncbi.nlm.nih.gov/geo/query/acc.cgi?acc=GSM34466","GSM34466")</f>
        <v>GSM34466</v>
      </c>
      <c r="I387" t="s">
        <v>17</v>
      </c>
      <c r="J387" t="s">
        <v>18</v>
      </c>
      <c r="K387" t="s">
        <v>19</v>
      </c>
      <c r="L387" t="s">
        <v>20</v>
      </c>
      <c r="M387" t="s">
        <v>24</v>
      </c>
      <c r="N387" t="s">
        <v>22</v>
      </c>
    </row>
    <row r="388" spans="1:14">
      <c r="A388" s="4" t="str">
        <f t="shared" si="28"/>
        <v>EXP00007</v>
      </c>
      <c r="B388" s="4" t="str">
        <f t="shared" si="29"/>
        <v>22048815</v>
      </c>
      <c r="C388" s="4" t="str">
        <f t="shared" si="30"/>
        <v>GSE10893</v>
      </c>
      <c r="D388" s="1" t="s">
        <v>38</v>
      </c>
      <c r="E388" t="s">
        <v>25</v>
      </c>
      <c r="F388" s="1">
        <v>1</v>
      </c>
      <c r="G388" s="1" t="s">
        <v>26</v>
      </c>
      <c r="H388" s="4" t="str">
        <f>HYPERLINK("https://www.ncbi.nlm.nih.gov/geo/query/acc.cgi?acc=GSM34467","GSM34467")</f>
        <v>GSM34467</v>
      </c>
      <c r="I388" t="s">
        <v>17</v>
      </c>
      <c r="J388" t="s">
        <v>18</v>
      </c>
      <c r="K388" t="s">
        <v>19</v>
      </c>
      <c r="L388" t="s">
        <v>20</v>
      </c>
      <c r="M388" t="s">
        <v>41</v>
      </c>
      <c r="N388" t="s">
        <v>22</v>
      </c>
    </row>
    <row r="389" spans="1:14">
      <c r="A389" s="4" t="str">
        <f t="shared" si="28"/>
        <v>EXP00007</v>
      </c>
      <c r="B389" s="4" t="str">
        <f t="shared" si="29"/>
        <v>22048815</v>
      </c>
      <c r="C389" s="4" t="str">
        <f t="shared" si="30"/>
        <v>GSE10893</v>
      </c>
      <c r="D389" s="1" t="s">
        <v>38</v>
      </c>
      <c r="E389" t="s">
        <v>25</v>
      </c>
      <c r="F389" s="1">
        <v>1</v>
      </c>
      <c r="G389" s="1" t="s">
        <v>26</v>
      </c>
      <c r="H389" s="4" t="str">
        <f>HYPERLINK("https://www.ncbi.nlm.nih.gov/geo/query/acc.cgi?acc=GSM34513","GSM34513")</f>
        <v>GSM34513</v>
      </c>
      <c r="I389" t="s">
        <v>17</v>
      </c>
      <c r="J389" t="s">
        <v>18</v>
      </c>
      <c r="K389" t="s">
        <v>19</v>
      </c>
      <c r="L389" t="s">
        <v>20</v>
      </c>
      <c r="M389" t="s">
        <v>24</v>
      </c>
      <c r="N389" t="s">
        <v>22</v>
      </c>
    </row>
    <row r="390" spans="1:14">
      <c r="A390" s="4" t="str">
        <f t="shared" si="28"/>
        <v>EXP00007</v>
      </c>
      <c r="B390" s="4" t="str">
        <f t="shared" si="29"/>
        <v>22048815</v>
      </c>
      <c r="C390" s="4" t="str">
        <f t="shared" si="30"/>
        <v>GSE10893</v>
      </c>
      <c r="D390" s="1" t="s">
        <v>38</v>
      </c>
      <c r="E390" t="s">
        <v>25</v>
      </c>
      <c r="F390" s="1">
        <v>1</v>
      </c>
      <c r="G390" s="1" t="s">
        <v>26</v>
      </c>
      <c r="H390" s="4" t="str">
        <f>HYPERLINK("https://www.ncbi.nlm.nih.gov/geo/query/acc.cgi?acc=GSM34533","GSM34533")</f>
        <v>GSM34533</v>
      </c>
      <c r="I390" t="s">
        <v>17</v>
      </c>
      <c r="J390" t="s">
        <v>18</v>
      </c>
      <c r="K390" t="s">
        <v>19</v>
      </c>
      <c r="L390" t="s">
        <v>20</v>
      </c>
      <c r="M390" t="s">
        <v>24</v>
      </c>
      <c r="N390" t="s">
        <v>22</v>
      </c>
    </row>
    <row r="391" spans="1:14">
      <c r="A391" s="4" t="str">
        <f t="shared" si="28"/>
        <v>EXP00007</v>
      </c>
      <c r="B391" s="4" t="str">
        <f t="shared" si="29"/>
        <v>22048815</v>
      </c>
      <c r="C391" s="4" t="str">
        <f t="shared" si="30"/>
        <v>GSE10893</v>
      </c>
      <c r="D391" s="1" t="s">
        <v>38</v>
      </c>
      <c r="E391" t="s">
        <v>25</v>
      </c>
      <c r="F391" s="1">
        <v>1</v>
      </c>
      <c r="G391" s="1" t="s">
        <v>26</v>
      </c>
      <c r="H391" s="4" t="str">
        <f>HYPERLINK("https://www.ncbi.nlm.nih.gov/geo/query/acc.cgi?acc=GSM34568","GSM34568")</f>
        <v>GSM34568</v>
      </c>
      <c r="I391" t="s">
        <v>17</v>
      </c>
      <c r="J391" t="s">
        <v>18</v>
      </c>
      <c r="K391" t="s">
        <v>19</v>
      </c>
      <c r="L391" t="s">
        <v>20</v>
      </c>
      <c r="M391" t="s">
        <v>27</v>
      </c>
      <c r="N391" t="s">
        <v>22</v>
      </c>
    </row>
    <row r="392" spans="1:14">
      <c r="A392" s="4" t="str">
        <f t="shared" si="28"/>
        <v>EXP00007</v>
      </c>
      <c r="B392" s="4" t="str">
        <f t="shared" si="29"/>
        <v>22048815</v>
      </c>
      <c r="C392" s="4" t="str">
        <f t="shared" si="30"/>
        <v>GSE10893</v>
      </c>
      <c r="D392" s="1" t="s">
        <v>38</v>
      </c>
      <c r="E392" t="s">
        <v>25</v>
      </c>
      <c r="F392" s="1">
        <v>1</v>
      </c>
      <c r="G392" s="1" t="s">
        <v>26</v>
      </c>
      <c r="H392" s="4" t="str">
        <f>HYPERLINK("https://www.ncbi.nlm.nih.gov/geo/query/acc.cgi?acc=GSM50148","GSM50148")</f>
        <v>GSM50148</v>
      </c>
      <c r="I392" t="s">
        <v>17</v>
      </c>
      <c r="J392" t="s">
        <v>18</v>
      </c>
      <c r="K392" t="s">
        <v>19</v>
      </c>
      <c r="L392" t="s">
        <v>20</v>
      </c>
      <c r="M392" t="s">
        <v>24</v>
      </c>
      <c r="N392" t="s">
        <v>22</v>
      </c>
    </row>
    <row r="393" spans="1:14">
      <c r="A393" s="4" t="str">
        <f t="shared" si="28"/>
        <v>EXP00007</v>
      </c>
      <c r="B393" s="4" t="str">
        <f t="shared" si="29"/>
        <v>22048815</v>
      </c>
      <c r="C393" s="4" t="str">
        <f t="shared" si="30"/>
        <v>GSE10893</v>
      </c>
      <c r="D393" s="1" t="s">
        <v>38</v>
      </c>
      <c r="E393" t="s">
        <v>25</v>
      </c>
      <c r="F393" s="1">
        <v>1</v>
      </c>
      <c r="G393" s="1" t="s">
        <v>26</v>
      </c>
      <c r="H393" s="4" t="str">
        <f>HYPERLINK("https://www.ncbi.nlm.nih.gov/geo/query/acc.cgi?acc=GSM52917","GSM52917")</f>
        <v>GSM52917</v>
      </c>
      <c r="I393" t="s">
        <v>17</v>
      </c>
      <c r="J393" t="s">
        <v>18</v>
      </c>
      <c r="K393" t="s">
        <v>19</v>
      </c>
      <c r="L393" t="s">
        <v>20</v>
      </c>
      <c r="M393" t="s">
        <v>24</v>
      </c>
      <c r="N393" t="s">
        <v>22</v>
      </c>
    </row>
    <row r="394" spans="1:14">
      <c r="A394" s="4" t="str">
        <f t="shared" si="28"/>
        <v>EXP00007</v>
      </c>
      <c r="B394" s="4" t="str">
        <f t="shared" si="29"/>
        <v>22048815</v>
      </c>
      <c r="C394" s="4" t="str">
        <f t="shared" si="30"/>
        <v>GSE10893</v>
      </c>
      <c r="D394" s="1" t="s">
        <v>38</v>
      </c>
      <c r="E394" t="s">
        <v>25</v>
      </c>
      <c r="F394" s="1">
        <v>1</v>
      </c>
      <c r="G394" s="1" t="s">
        <v>26</v>
      </c>
      <c r="H394" s="4" t="str">
        <f>HYPERLINK("https://www.ncbi.nlm.nih.gov/geo/query/acc.cgi?acc=GSM52919","GSM52919")</f>
        <v>GSM52919</v>
      </c>
      <c r="I394" t="s">
        <v>17</v>
      </c>
      <c r="J394" t="s">
        <v>18</v>
      </c>
      <c r="K394" t="s">
        <v>19</v>
      </c>
      <c r="L394" t="s">
        <v>20</v>
      </c>
      <c r="M394" t="s">
        <v>42</v>
      </c>
      <c r="N394" t="s">
        <v>22</v>
      </c>
    </row>
    <row r="395" spans="1:14">
      <c r="A395" s="4" t="str">
        <f t="shared" si="28"/>
        <v>EXP00007</v>
      </c>
      <c r="B395" s="4" t="str">
        <f t="shared" si="29"/>
        <v>22048815</v>
      </c>
      <c r="C395" s="4" t="str">
        <f t="shared" si="30"/>
        <v>GSE10893</v>
      </c>
      <c r="D395" s="1" t="s">
        <v>38</v>
      </c>
      <c r="E395" t="s">
        <v>25</v>
      </c>
      <c r="F395" s="1">
        <v>1</v>
      </c>
      <c r="G395" s="1" t="s">
        <v>26</v>
      </c>
      <c r="H395" s="4" t="str">
        <f>HYPERLINK("https://www.ncbi.nlm.nih.gov/geo/query/acc.cgi?acc=GSM52921","GSM52921")</f>
        <v>GSM52921</v>
      </c>
      <c r="I395" t="s">
        <v>17</v>
      </c>
      <c r="J395" t="s">
        <v>18</v>
      </c>
      <c r="K395" t="s">
        <v>19</v>
      </c>
      <c r="L395" t="s">
        <v>20</v>
      </c>
      <c r="M395" t="s">
        <v>41</v>
      </c>
      <c r="N395" t="s">
        <v>22</v>
      </c>
    </row>
    <row r="396" spans="1:14">
      <c r="A396" s="4" t="str">
        <f t="shared" si="28"/>
        <v>EXP00007</v>
      </c>
      <c r="B396" s="4" t="str">
        <f t="shared" si="29"/>
        <v>22048815</v>
      </c>
      <c r="C396" s="4" t="str">
        <f t="shared" si="30"/>
        <v>GSE10893</v>
      </c>
      <c r="D396" s="1" t="s">
        <v>38</v>
      </c>
      <c r="E396" t="s">
        <v>25</v>
      </c>
      <c r="F396" s="1">
        <v>1</v>
      </c>
      <c r="G396" s="1" t="s">
        <v>26</v>
      </c>
      <c r="H396" s="4" t="str">
        <f>HYPERLINK("https://www.ncbi.nlm.nih.gov/geo/query/acc.cgi?acc=GSM80213","GSM80213")</f>
        <v>GSM80213</v>
      </c>
      <c r="I396" t="s">
        <v>17</v>
      </c>
      <c r="J396" t="s">
        <v>18</v>
      </c>
      <c r="K396" t="s">
        <v>19</v>
      </c>
      <c r="L396" t="s">
        <v>20</v>
      </c>
      <c r="M396" t="s">
        <v>43</v>
      </c>
      <c r="N396" t="s">
        <v>22</v>
      </c>
    </row>
    <row r="397" spans="1:14">
      <c r="A397" s="4" t="str">
        <f t="shared" si="28"/>
        <v>EXP00007</v>
      </c>
      <c r="B397" s="4" t="str">
        <f t="shared" si="29"/>
        <v>22048815</v>
      </c>
      <c r="C397" s="4" t="str">
        <f t="shared" si="30"/>
        <v>GSE10893</v>
      </c>
      <c r="D397" s="1" t="s">
        <v>38</v>
      </c>
      <c r="E397" t="s">
        <v>25</v>
      </c>
      <c r="F397" s="1">
        <v>1</v>
      </c>
      <c r="G397" s="1" t="s">
        <v>26</v>
      </c>
      <c r="H397" s="4" t="str">
        <f>HYPERLINK("https://www.ncbi.nlm.nih.gov/geo/query/acc.cgi?acc=GSM80223","GSM80223")</f>
        <v>GSM80223</v>
      </c>
      <c r="I397" t="s">
        <v>17</v>
      </c>
      <c r="J397" t="s">
        <v>18</v>
      </c>
      <c r="K397" t="s">
        <v>19</v>
      </c>
      <c r="L397" t="s">
        <v>20</v>
      </c>
      <c r="M397" t="s">
        <v>44</v>
      </c>
      <c r="N397" t="s">
        <v>22</v>
      </c>
    </row>
    <row r="398" spans="1:14">
      <c r="A398" s="4" t="str">
        <f t="shared" si="28"/>
        <v>EXP00007</v>
      </c>
      <c r="B398" s="4" t="str">
        <f t="shared" si="29"/>
        <v>22048815</v>
      </c>
      <c r="C398" s="4" t="str">
        <f t="shared" si="30"/>
        <v>GSE10893</v>
      </c>
      <c r="D398" s="1" t="s">
        <v>38</v>
      </c>
      <c r="E398" t="s">
        <v>25</v>
      </c>
      <c r="F398" s="1">
        <v>1</v>
      </c>
      <c r="G398" s="1" t="s">
        <v>26</v>
      </c>
      <c r="H398" s="4" t="str">
        <f>HYPERLINK("https://www.ncbi.nlm.nih.gov/geo/query/acc.cgi?acc=GSM80242","GSM80242")</f>
        <v>GSM80242</v>
      </c>
      <c r="I398" t="s">
        <v>17</v>
      </c>
      <c r="J398" t="s">
        <v>18</v>
      </c>
      <c r="K398" t="s">
        <v>19</v>
      </c>
      <c r="L398" t="s">
        <v>20</v>
      </c>
      <c r="M398" t="s">
        <v>24</v>
      </c>
      <c r="N398" t="s">
        <v>22</v>
      </c>
    </row>
    <row r="399" spans="1:14">
      <c r="A399" s="4" t="str">
        <f t="shared" si="28"/>
        <v>EXP00007</v>
      </c>
      <c r="B399" s="4" t="str">
        <f t="shared" si="29"/>
        <v>22048815</v>
      </c>
      <c r="C399" s="4" t="str">
        <f t="shared" si="30"/>
        <v>GSE10893</v>
      </c>
      <c r="D399" s="1" t="s">
        <v>38</v>
      </c>
      <c r="E399" t="s">
        <v>25</v>
      </c>
      <c r="F399" s="1">
        <v>1</v>
      </c>
      <c r="G399" s="1" t="s">
        <v>26</v>
      </c>
      <c r="H399" s="4" t="str">
        <f>HYPERLINK("https://www.ncbi.nlm.nih.gov/geo/query/acc.cgi?acc=GSM81165","GSM81165")</f>
        <v>GSM81165</v>
      </c>
      <c r="I399" t="s">
        <v>17</v>
      </c>
      <c r="J399" t="s">
        <v>18</v>
      </c>
      <c r="K399" t="s">
        <v>19</v>
      </c>
      <c r="L399" t="s">
        <v>20</v>
      </c>
      <c r="M399" t="s">
        <v>24</v>
      </c>
      <c r="N399" t="s">
        <v>22</v>
      </c>
    </row>
    <row r="400" spans="1:14">
      <c r="A400" s="4" t="str">
        <f t="shared" si="28"/>
        <v>EXP00007</v>
      </c>
      <c r="B400" s="4" t="str">
        <f t="shared" si="29"/>
        <v>22048815</v>
      </c>
      <c r="C400" s="4" t="str">
        <f t="shared" si="30"/>
        <v>GSE10893</v>
      </c>
      <c r="D400" s="1" t="s">
        <v>38</v>
      </c>
      <c r="E400" t="s">
        <v>25</v>
      </c>
      <c r="F400" s="1">
        <v>2</v>
      </c>
      <c r="G400" s="1" t="s">
        <v>28</v>
      </c>
      <c r="H400" s="4" t="str">
        <f>HYPERLINK("https://www.ncbi.nlm.nih.gov/geo/query/acc.cgi?acc=GSM34491","GSM34491")</f>
        <v>GSM34491</v>
      </c>
      <c r="I400" t="s">
        <v>17</v>
      </c>
      <c r="J400" t="s">
        <v>18</v>
      </c>
      <c r="K400" t="s">
        <v>19</v>
      </c>
      <c r="L400" t="s">
        <v>20</v>
      </c>
      <c r="M400" t="s">
        <v>24</v>
      </c>
      <c r="N400" t="s">
        <v>29</v>
      </c>
    </row>
    <row r="401" spans="1:14">
      <c r="A401" s="4" t="str">
        <f t="shared" si="28"/>
        <v>EXP00007</v>
      </c>
      <c r="B401" s="4" t="str">
        <f t="shared" si="29"/>
        <v>22048815</v>
      </c>
      <c r="C401" s="4" t="str">
        <f t="shared" si="30"/>
        <v>GSE10893</v>
      </c>
      <c r="D401" s="1" t="s">
        <v>38</v>
      </c>
      <c r="E401" t="s">
        <v>25</v>
      </c>
      <c r="F401" s="1">
        <v>2</v>
      </c>
      <c r="G401" s="1" t="s">
        <v>28</v>
      </c>
      <c r="H401" s="4" t="str">
        <f>HYPERLINK("https://www.ncbi.nlm.nih.gov/geo/query/acc.cgi?acc=GSM34512","GSM34512")</f>
        <v>GSM34512</v>
      </c>
      <c r="I401" t="s">
        <v>17</v>
      </c>
      <c r="J401" t="s">
        <v>18</v>
      </c>
      <c r="K401" t="s">
        <v>19</v>
      </c>
      <c r="L401" t="s">
        <v>20</v>
      </c>
      <c r="M401" t="s">
        <v>24</v>
      </c>
      <c r="N401" t="s">
        <v>29</v>
      </c>
    </row>
    <row r="402" spans="1:14">
      <c r="A402" s="4" t="str">
        <f t="shared" si="28"/>
        <v>EXP00007</v>
      </c>
      <c r="B402" s="4" t="str">
        <f t="shared" si="29"/>
        <v>22048815</v>
      </c>
      <c r="C402" s="4" t="str">
        <f t="shared" si="30"/>
        <v>GSE10893</v>
      </c>
      <c r="D402" s="1" t="s">
        <v>38</v>
      </c>
      <c r="E402" t="s">
        <v>25</v>
      </c>
      <c r="F402" s="1">
        <v>2</v>
      </c>
      <c r="G402" s="1" t="s">
        <v>28</v>
      </c>
      <c r="H402" s="4" t="str">
        <f>HYPERLINK("https://www.ncbi.nlm.nih.gov/geo/query/acc.cgi?acc=GSM34514","GSM34514")</f>
        <v>GSM34514</v>
      </c>
      <c r="I402" t="s">
        <v>17</v>
      </c>
      <c r="J402" t="s">
        <v>18</v>
      </c>
      <c r="K402" t="s">
        <v>19</v>
      </c>
      <c r="L402" t="s">
        <v>20</v>
      </c>
      <c r="M402" t="s">
        <v>24</v>
      </c>
      <c r="N402" t="s">
        <v>29</v>
      </c>
    </row>
    <row r="403" spans="1:14">
      <c r="A403" s="4" t="str">
        <f t="shared" ref="A403:A434" si="31">HYPERLINK("http://hcmdb.i-sanger.com/experiment/details/experiment_id/EXP00008","EXP00008")</f>
        <v>EXP00008</v>
      </c>
      <c r="B403" s="4" t="str">
        <f t="shared" si="29"/>
        <v>22048815</v>
      </c>
      <c r="C403" s="4" t="str">
        <f t="shared" si="30"/>
        <v>GSE10893</v>
      </c>
      <c r="D403" s="1" t="s">
        <v>38</v>
      </c>
      <c r="E403" t="s">
        <v>30</v>
      </c>
      <c r="F403" s="1">
        <v>1</v>
      </c>
      <c r="G403" s="1" t="s">
        <v>31</v>
      </c>
      <c r="H403" s="4" t="str">
        <f>HYPERLINK("https://www.ncbi.nlm.nih.gov/geo/query/acc.cgi?acc=GSM34491","GSM34491")</f>
        <v>GSM34491</v>
      </c>
      <c r="I403" t="s">
        <v>17</v>
      </c>
      <c r="J403" t="s">
        <v>18</v>
      </c>
      <c r="K403" t="s">
        <v>19</v>
      </c>
      <c r="L403" t="s">
        <v>20</v>
      </c>
      <c r="M403" t="s">
        <v>24</v>
      </c>
      <c r="N403" t="s">
        <v>29</v>
      </c>
    </row>
    <row r="404" spans="1:14">
      <c r="A404" s="4" t="str">
        <f t="shared" si="31"/>
        <v>EXP00008</v>
      </c>
      <c r="B404" s="4" t="str">
        <f t="shared" si="29"/>
        <v>22048815</v>
      </c>
      <c r="C404" s="4" t="str">
        <f t="shared" si="30"/>
        <v>GSE10893</v>
      </c>
      <c r="D404" s="1" t="s">
        <v>38</v>
      </c>
      <c r="E404" t="s">
        <v>30</v>
      </c>
      <c r="F404" s="1">
        <v>1</v>
      </c>
      <c r="G404" s="1" t="s">
        <v>31</v>
      </c>
      <c r="H404" s="4" t="str">
        <f>HYPERLINK("https://www.ncbi.nlm.nih.gov/geo/query/acc.cgi?acc=GSM34512","GSM34512")</f>
        <v>GSM34512</v>
      </c>
      <c r="I404" t="s">
        <v>17</v>
      </c>
      <c r="J404" t="s">
        <v>18</v>
      </c>
      <c r="K404" t="s">
        <v>19</v>
      </c>
      <c r="L404" t="s">
        <v>20</v>
      </c>
      <c r="M404" t="s">
        <v>24</v>
      </c>
      <c r="N404" t="s">
        <v>29</v>
      </c>
    </row>
    <row r="405" spans="1:14">
      <c r="A405" s="4" t="str">
        <f t="shared" si="31"/>
        <v>EXP00008</v>
      </c>
      <c r="B405" s="4" t="str">
        <f t="shared" si="29"/>
        <v>22048815</v>
      </c>
      <c r="C405" s="4" t="str">
        <f t="shared" si="30"/>
        <v>GSE10893</v>
      </c>
      <c r="D405" s="1" t="s">
        <v>38</v>
      </c>
      <c r="E405" t="s">
        <v>30</v>
      </c>
      <c r="F405" s="1">
        <v>1</v>
      </c>
      <c r="G405" s="1" t="s">
        <v>31</v>
      </c>
      <c r="H405" s="4" t="str">
        <f>HYPERLINK("https://www.ncbi.nlm.nih.gov/geo/query/acc.cgi?acc=GSM34514","GSM34514")</f>
        <v>GSM34514</v>
      </c>
      <c r="I405" t="s">
        <v>17</v>
      </c>
      <c r="J405" t="s">
        <v>18</v>
      </c>
      <c r="K405" t="s">
        <v>19</v>
      </c>
      <c r="L405" t="s">
        <v>20</v>
      </c>
      <c r="M405" t="s">
        <v>24</v>
      </c>
      <c r="N405" t="s">
        <v>29</v>
      </c>
    </row>
    <row r="406" spans="1:14">
      <c r="A406" s="4" t="str">
        <f t="shared" si="31"/>
        <v>EXP00008</v>
      </c>
      <c r="B406" s="4" t="str">
        <f t="shared" si="29"/>
        <v>22048815</v>
      </c>
      <c r="C406" s="4" t="str">
        <f t="shared" si="30"/>
        <v>GSE10893</v>
      </c>
      <c r="D406" s="1" t="s">
        <v>38</v>
      </c>
      <c r="E406" t="s">
        <v>30</v>
      </c>
      <c r="F406" s="1">
        <v>2</v>
      </c>
      <c r="G406" s="1" t="s">
        <v>32</v>
      </c>
      <c r="H406" s="4" t="str">
        <f>HYPERLINK("https://www.ncbi.nlm.nih.gov/geo/query/acc.cgi?acc=GSM34424","GSM34424")</f>
        <v>GSM34424</v>
      </c>
      <c r="I406" t="s">
        <v>17</v>
      </c>
      <c r="J406" t="s">
        <v>18</v>
      </c>
      <c r="K406" t="s">
        <v>33</v>
      </c>
      <c r="L406" t="s">
        <v>20</v>
      </c>
      <c r="N406" t="s">
        <v>29</v>
      </c>
    </row>
    <row r="407" spans="1:14">
      <c r="A407" s="4" t="str">
        <f t="shared" si="31"/>
        <v>EXP00008</v>
      </c>
      <c r="B407" s="4" t="str">
        <f t="shared" si="29"/>
        <v>22048815</v>
      </c>
      <c r="C407" s="4" t="str">
        <f t="shared" si="30"/>
        <v>GSE10893</v>
      </c>
      <c r="D407" s="1" t="s">
        <v>38</v>
      </c>
      <c r="E407" t="s">
        <v>30</v>
      </c>
      <c r="F407" s="1">
        <v>2</v>
      </c>
      <c r="G407" s="1" t="s">
        <v>32</v>
      </c>
      <c r="H407" s="4" t="str">
        <f>HYPERLINK("https://www.ncbi.nlm.nih.gov/geo/query/acc.cgi?acc=GSM34425","GSM34425")</f>
        <v>GSM34425</v>
      </c>
      <c r="I407" t="s">
        <v>17</v>
      </c>
      <c r="J407" t="s">
        <v>18</v>
      </c>
      <c r="K407" t="s">
        <v>33</v>
      </c>
      <c r="L407" t="s">
        <v>20</v>
      </c>
      <c r="N407" t="s">
        <v>29</v>
      </c>
    </row>
    <row r="408" spans="1:14">
      <c r="A408" s="4" t="str">
        <f t="shared" si="31"/>
        <v>EXP00008</v>
      </c>
      <c r="B408" s="4" t="str">
        <f t="shared" si="29"/>
        <v>22048815</v>
      </c>
      <c r="C408" s="4" t="str">
        <f t="shared" si="30"/>
        <v>GSE10893</v>
      </c>
      <c r="D408" s="1" t="s">
        <v>38</v>
      </c>
      <c r="E408" t="s">
        <v>30</v>
      </c>
      <c r="F408" s="1">
        <v>2</v>
      </c>
      <c r="G408" s="1" t="s">
        <v>32</v>
      </c>
      <c r="H408" s="4" t="str">
        <f>HYPERLINK("https://www.ncbi.nlm.nih.gov/geo/query/acc.cgi?acc=GSM34426","GSM34426")</f>
        <v>GSM34426</v>
      </c>
      <c r="I408" t="s">
        <v>17</v>
      </c>
      <c r="J408" t="s">
        <v>18</v>
      </c>
      <c r="K408" t="s">
        <v>33</v>
      </c>
      <c r="L408" t="s">
        <v>20</v>
      </c>
      <c r="N408" t="s">
        <v>29</v>
      </c>
    </row>
    <row r="409" spans="1:14">
      <c r="A409" s="4" t="str">
        <f t="shared" si="31"/>
        <v>EXP00008</v>
      </c>
      <c r="B409" s="4" t="str">
        <f t="shared" si="29"/>
        <v>22048815</v>
      </c>
      <c r="C409" s="4" t="str">
        <f t="shared" si="30"/>
        <v>GSE10893</v>
      </c>
      <c r="D409" s="1" t="s">
        <v>38</v>
      </c>
      <c r="E409" t="s">
        <v>30</v>
      </c>
      <c r="F409" s="1">
        <v>2</v>
      </c>
      <c r="G409" s="1" t="s">
        <v>32</v>
      </c>
      <c r="H409" s="4" t="str">
        <f>HYPERLINK("https://www.ncbi.nlm.nih.gov/geo/query/acc.cgi?acc=GSM34428","GSM34428")</f>
        <v>GSM34428</v>
      </c>
      <c r="I409" t="s">
        <v>17</v>
      </c>
      <c r="J409" t="s">
        <v>18</v>
      </c>
      <c r="K409" t="s">
        <v>33</v>
      </c>
      <c r="L409" t="s">
        <v>20</v>
      </c>
      <c r="N409" t="s">
        <v>29</v>
      </c>
    </row>
    <row r="410" spans="1:14">
      <c r="A410" s="4" t="str">
        <f t="shared" si="31"/>
        <v>EXP00008</v>
      </c>
      <c r="B410" s="4" t="str">
        <f t="shared" si="29"/>
        <v>22048815</v>
      </c>
      <c r="C410" s="4" t="str">
        <f t="shared" si="30"/>
        <v>GSE10893</v>
      </c>
      <c r="D410" s="1" t="s">
        <v>38</v>
      </c>
      <c r="E410" t="s">
        <v>30</v>
      </c>
      <c r="F410" s="1">
        <v>2</v>
      </c>
      <c r="G410" s="1" t="s">
        <v>32</v>
      </c>
      <c r="H410" s="4" t="str">
        <f>HYPERLINK("https://www.ncbi.nlm.nih.gov/geo/query/acc.cgi?acc=GSM34429","GSM34429")</f>
        <v>GSM34429</v>
      </c>
      <c r="I410" t="s">
        <v>17</v>
      </c>
      <c r="J410" t="s">
        <v>18</v>
      </c>
      <c r="K410" t="s">
        <v>33</v>
      </c>
      <c r="L410" t="s">
        <v>20</v>
      </c>
      <c r="N410" t="s">
        <v>29</v>
      </c>
    </row>
    <row r="411" spans="1:14">
      <c r="A411" s="4" t="str">
        <f t="shared" si="31"/>
        <v>EXP00008</v>
      </c>
      <c r="B411" s="4" t="str">
        <f t="shared" si="29"/>
        <v>22048815</v>
      </c>
      <c r="C411" s="4" t="str">
        <f t="shared" si="30"/>
        <v>GSE10893</v>
      </c>
      <c r="D411" s="1" t="s">
        <v>38</v>
      </c>
      <c r="E411" t="s">
        <v>30</v>
      </c>
      <c r="F411" s="1">
        <v>2</v>
      </c>
      <c r="G411" s="1" t="s">
        <v>32</v>
      </c>
      <c r="H411" s="4" t="str">
        <f>HYPERLINK("https://www.ncbi.nlm.nih.gov/geo/query/acc.cgi?acc=GSM34430","GSM34430")</f>
        <v>GSM34430</v>
      </c>
      <c r="I411" t="s">
        <v>17</v>
      </c>
      <c r="J411" t="s">
        <v>18</v>
      </c>
      <c r="K411" t="s">
        <v>33</v>
      </c>
      <c r="L411" t="s">
        <v>20</v>
      </c>
      <c r="N411" t="s">
        <v>29</v>
      </c>
    </row>
    <row r="412" spans="1:14">
      <c r="A412" s="4" t="str">
        <f t="shared" si="31"/>
        <v>EXP00008</v>
      </c>
      <c r="B412" s="4" t="str">
        <f t="shared" si="29"/>
        <v>22048815</v>
      </c>
      <c r="C412" s="4" t="str">
        <f t="shared" si="30"/>
        <v>GSE10893</v>
      </c>
      <c r="D412" s="1" t="s">
        <v>38</v>
      </c>
      <c r="E412" t="s">
        <v>30</v>
      </c>
      <c r="F412" s="1">
        <v>2</v>
      </c>
      <c r="G412" s="1" t="s">
        <v>32</v>
      </c>
      <c r="H412" s="4" t="str">
        <f>HYPERLINK("https://www.ncbi.nlm.nih.gov/geo/query/acc.cgi?acc=GSM34437","GSM34437")</f>
        <v>GSM34437</v>
      </c>
      <c r="I412" t="s">
        <v>17</v>
      </c>
      <c r="J412" t="s">
        <v>18</v>
      </c>
      <c r="K412" t="s">
        <v>33</v>
      </c>
      <c r="L412" t="s">
        <v>20</v>
      </c>
      <c r="N412" t="s">
        <v>29</v>
      </c>
    </row>
    <row r="413" spans="1:14">
      <c r="A413" s="4" t="str">
        <f t="shared" si="31"/>
        <v>EXP00008</v>
      </c>
      <c r="B413" s="4" t="str">
        <f t="shared" si="29"/>
        <v>22048815</v>
      </c>
      <c r="C413" s="4" t="str">
        <f t="shared" si="30"/>
        <v>GSE10893</v>
      </c>
      <c r="D413" s="1" t="s">
        <v>38</v>
      </c>
      <c r="E413" t="s">
        <v>30</v>
      </c>
      <c r="F413" s="1">
        <v>2</v>
      </c>
      <c r="G413" s="1" t="s">
        <v>32</v>
      </c>
      <c r="H413" s="4" t="str">
        <f>HYPERLINK("https://www.ncbi.nlm.nih.gov/geo/query/acc.cgi?acc=GSM34439","GSM34439")</f>
        <v>GSM34439</v>
      </c>
      <c r="I413" t="s">
        <v>17</v>
      </c>
      <c r="J413" t="s">
        <v>18</v>
      </c>
      <c r="K413" t="s">
        <v>33</v>
      </c>
      <c r="L413" t="s">
        <v>20</v>
      </c>
      <c r="N413" t="s">
        <v>29</v>
      </c>
    </row>
    <row r="414" spans="1:14">
      <c r="A414" s="4" t="str">
        <f t="shared" si="31"/>
        <v>EXP00008</v>
      </c>
      <c r="B414" s="4" t="str">
        <f t="shared" si="29"/>
        <v>22048815</v>
      </c>
      <c r="C414" s="4" t="str">
        <f t="shared" si="30"/>
        <v>GSE10893</v>
      </c>
      <c r="D414" s="1" t="s">
        <v>38</v>
      </c>
      <c r="E414" t="s">
        <v>30</v>
      </c>
      <c r="F414" s="1">
        <v>2</v>
      </c>
      <c r="G414" s="1" t="s">
        <v>32</v>
      </c>
      <c r="H414" s="4" t="str">
        <f>HYPERLINK("https://www.ncbi.nlm.nih.gov/geo/query/acc.cgi?acc=GSM34461","GSM34461")</f>
        <v>GSM34461</v>
      </c>
      <c r="I414" t="s">
        <v>17</v>
      </c>
      <c r="J414" t="s">
        <v>18</v>
      </c>
      <c r="K414" t="s">
        <v>33</v>
      </c>
      <c r="L414" t="s">
        <v>20</v>
      </c>
      <c r="N414" t="s">
        <v>29</v>
      </c>
    </row>
    <row r="415" spans="1:14">
      <c r="A415" s="4" t="str">
        <f t="shared" si="31"/>
        <v>EXP00008</v>
      </c>
      <c r="B415" s="4" t="str">
        <f t="shared" si="29"/>
        <v>22048815</v>
      </c>
      <c r="C415" s="4" t="str">
        <f t="shared" si="30"/>
        <v>GSE10893</v>
      </c>
      <c r="D415" s="1" t="s">
        <v>38</v>
      </c>
      <c r="E415" t="s">
        <v>30</v>
      </c>
      <c r="F415" s="1">
        <v>2</v>
      </c>
      <c r="G415" s="1" t="s">
        <v>32</v>
      </c>
      <c r="H415" s="4" t="str">
        <f>HYPERLINK("https://www.ncbi.nlm.nih.gov/geo/query/acc.cgi?acc=GSM34462","GSM34462")</f>
        <v>GSM34462</v>
      </c>
      <c r="I415" t="s">
        <v>17</v>
      </c>
      <c r="J415" t="s">
        <v>18</v>
      </c>
      <c r="K415" t="s">
        <v>33</v>
      </c>
      <c r="L415" t="s">
        <v>20</v>
      </c>
      <c r="N415" t="s">
        <v>29</v>
      </c>
    </row>
    <row r="416" spans="1:14">
      <c r="A416" s="4" t="str">
        <f t="shared" si="31"/>
        <v>EXP00008</v>
      </c>
      <c r="B416" s="4" t="str">
        <f t="shared" si="29"/>
        <v>22048815</v>
      </c>
      <c r="C416" s="4" t="str">
        <f t="shared" si="30"/>
        <v>GSE10893</v>
      </c>
      <c r="D416" s="1" t="s">
        <v>38</v>
      </c>
      <c r="E416" t="s">
        <v>30</v>
      </c>
      <c r="F416" s="1">
        <v>2</v>
      </c>
      <c r="G416" s="1" t="s">
        <v>32</v>
      </c>
      <c r="H416" s="4" t="str">
        <f>HYPERLINK("https://www.ncbi.nlm.nih.gov/geo/query/acc.cgi?acc=GSM34463","GSM34463")</f>
        <v>GSM34463</v>
      </c>
      <c r="I416" t="s">
        <v>17</v>
      </c>
      <c r="J416" t="s">
        <v>18</v>
      </c>
      <c r="K416" t="s">
        <v>33</v>
      </c>
      <c r="L416" t="s">
        <v>20</v>
      </c>
      <c r="N416" t="s">
        <v>29</v>
      </c>
    </row>
    <row r="417" spans="1:14">
      <c r="A417" s="4" t="str">
        <f t="shared" si="31"/>
        <v>EXP00008</v>
      </c>
      <c r="B417" s="4" t="str">
        <f t="shared" si="29"/>
        <v>22048815</v>
      </c>
      <c r="C417" s="4" t="str">
        <f t="shared" si="30"/>
        <v>GSE10893</v>
      </c>
      <c r="D417" s="1" t="s">
        <v>38</v>
      </c>
      <c r="E417" t="s">
        <v>30</v>
      </c>
      <c r="F417" s="1">
        <v>2</v>
      </c>
      <c r="G417" s="1" t="s">
        <v>32</v>
      </c>
      <c r="H417" s="4" t="str">
        <f>HYPERLINK("https://www.ncbi.nlm.nih.gov/geo/query/acc.cgi?acc=GSM34470","GSM34470")</f>
        <v>GSM34470</v>
      </c>
      <c r="I417" t="s">
        <v>17</v>
      </c>
      <c r="J417" t="s">
        <v>18</v>
      </c>
      <c r="K417" t="s">
        <v>33</v>
      </c>
      <c r="L417" t="s">
        <v>20</v>
      </c>
      <c r="N417" t="s">
        <v>29</v>
      </c>
    </row>
    <row r="418" spans="1:14">
      <c r="A418" s="4" t="str">
        <f t="shared" si="31"/>
        <v>EXP00008</v>
      </c>
      <c r="B418" s="4" t="str">
        <f t="shared" si="29"/>
        <v>22048815</v>
      </c>
      <c r="C418" s="4" t="str">
        <f t="shared" si="30"/>
        <v>GSE10893</v>
      </c>
      <c r="D418" s="1" t="s">
        <v>38</v>
      </c>
      <c r="E418" t="s">
        <v>30</v>
      </c>
      <c r="F418" s="1">
        <v>2</v>
      </c>
      <c r="G418" s="1" t="s">
        <v>32</v>
      </c>
      <c r="H418" s="4" t="str">
        <f>HYPERLINK("https://www.ncbi.nlm.nih.gov/geo/query/acc.cgi?acc=GSM34471","GSM34471")</f>
        <v>GSM34471</v>
      </c>
      <c r="I418" t="s">
        <v>17</v>
      </c>
      <c r="J418" t="s">
        <v>18</v>
      </c>
      <c r="K418" t="s">
        <v>33</v>
      </c>
      <c r="L418" t="s">
        <v>20</v>
      </c>
      <c r="N418" t="s">
        <v>29</v>
      </c>
    </row>
    <row r="419" spans="1:14">
      <c r="A419" s="4" t="str">
        <f t="shared" si="31"/>
        <v>EXP00008</v>
      </c>
      <c r="B419" s="4" t="str">
        <f t="shared" si="29"/>
        <v>22048815</v>
      </c>
      <c r="C419" s="4" t="str">
        <f t="shared" si="30"/>
        <v>GSE10893</v>
      </c>
      <c r="D419" s="1" t="s">
        <v>38</v>
      </c>
      <c r="E419" t="s">
        <v>30</v>
      </c>
      <c r="F419" s="1">
        <v>2</v>
      </c>
      <c r="G419" s="1" t="s">
        <v>32</v>
      </c>
      <c r="H419" s="4" t="str">
        <f>HYPERLINK("https://www.ncbi.nlm.nih.gov/geo/query/acc.cgi?acc=GSM34476","GSM34476")</f>
        <v>GSM34476</v>
      </c>
      <c r="I419" t="s">
        <v>17</v>
      </c>
      <c r="J419" t="s">
        <v>18</v>
      </c>
      <c r="K419" t="s">
        <v>33</v>
      </c>
      <c r="L419" t="s">
        <v>20</v>
      </c>
      <c r="N419" t="s">
        <v>29</v>
      </c>
    </row>
    <row r="420" spans="1:14">
      <c r="A420" s="4" t="str">
        <f t="shared" si="31"/>
        <v>EXP00008</v>
      </c>
      <c r="B420" s="4" t="str">
        <f t="shared" si="29"/>
        <v>22048815</v>
      </c>
      <c r="C420" s="4" t="str">
        <f t="shared" si="30"/>
        <v>GSE10893</v>
      </c>
      <c r="D420" s="1" t="s">
        <v>38</v>
      </c>
      <c r="E420" t="s">
        <v>30</v>
      </c>
      <c r="F420" s="1">
        <v>2</v>
      </c>
      <c r="G420" s="1" t="s">
        <v>32</v>
      </c>
      <c r="H420" s="4" t="str">
        <f>HYPERLINK("https://www.ncbi.nlm.nih.gov/geo/query/acc.cgi?acc=GSM34477","GSM34477")</f>
        <v>GSM34477</v>
      </c>
      <c r="I420" t="s">
        <v>17</v>
      </c>
      <c r="J420" t="s">
        <v>18</v>
      </c>
      <c r="K420" t="s">
        <v>33</v>
      </c>
      <c r="L420" t="s">
        <v>20</v>
      </c>
      <c r="N420" t="s">
        <v>29</v>
      </c>
    </row>
    <row r="421" spans="1:14">
      <c r="A421" s="4" t="str">
        <f t="shared" si="31"/>
        <v>EXP00008</v>
      </c>
      <c r="B421" s="4" t="str">
        <f t="shared" si="29"/>
        <v>22048815</v>
      </c>
      <c r="C421" s="4" t="str">
        <f t="shared" si="30"/>
        <v>GSE10893</v>
      </c>
      <c r="D421" s="1" t="s">
        <v>38</v>
      </c>
      <c r="E421" t="s">
        <v>30</v>
      </c>
      <c r="F421" s="1">
        <v>2</v>
      </c>
      <c r="G421" s="1" t="s">
        <v>32</v>
      </c>
      <c r="H421" s="4" t="str">
        <f>HYPERLINK("https://www.ncbi.nlm.nih.gov/geo/query/acc.cgi?acc=GSM34478","GSM34478")</f>
        <v>GSM34478</v>
      </c>
      <c r="I421" t="s">
        <v>17</v>
      </c>
      <c r="J421" t="s">
        <v>18</v>
      </c>
      <c r="K421" t="s">
        <v>33</v>
      </c>
      <c r="L421" t="s">
        <v>20</v>
      </c>
      <c r="N421" t="s">
        <v>29</v>
      </c>
    </row>
    <row r="422" spans="1:14">
      <c r="A422" s="4" t="str">
        <f t="shared" si="31"/>
        <v>EXP00008</v>
      </c>
      <c r="B422" s="4" t="str">
        <f t="shared" si="29"/>
        <v>22048815</v>
      </c>
      <c r="C422" s="4" t="str">
        <f t="shared" si="30"/>
        <v>GSE10893</v>
      </c>
      <c r="D422" s="1" t="s">
        <v>38</v>
      </c>
      <c r="E422" t="s">
        <v>30</v>
      </c>
      <c r="F422" s="1">
        <v>2</v>
      </c>
      <c r="G422" s="1" t="s">
        <v>32</v>
      </c>
      <c r="H422" s="4" t="str">
        <f>HYPERLINK("https://www.ncbi.nlm.nih.gov/geo/query/acc.cgi?acc=GSM34484","GSM34484")</f>
        <v>GSM34484</v>
      </c>
      <c r="I422" t="s">
        <v>17</v>
      </c>
      <c r="J422" t="s">
        <v>18</v>
      </c>
      <c r="K422" t="s">
        <v>33</v>
      </c>
      <c r="L422" t="s">
        <v>20</v>
      </c>
      <c r="N422" t="s">
        <v>29</v>
      </c>
    </row>
    <row r="423" spans="1:14">
      <c r="A423" s="4" t="str">
        <f t="shared" si="31"/>
        <v>EXP00008</v>
      </c>
      <c r="B423" s="4" t="str">
        <f t="shared" si="29"/>
        <v>22048815</v>
      </c>
      <c r="C423" s="4" t="str">
        <f t="shared" si="30"/>
        <v>GSE10893</v>
      </c>
      <c r="D423" s="1" t="s">
        <v>38</v>
      </c>
      <c r="E423" t="s">
        <v>30</v>
      </c>
      <c r="F423" s="1">
        <v>2</v>
      </c>
      <c r="G423" s="1" t="s">
        <v>32</v>
      </c>
      <c r="H423" s="4" t="str">
        <f>HYPERLINK("https://www.ncbi.nlm.nih.gov/geo/query/acc.cgi?acc=GSM34485","GSM34485")</f>
        <v>GSM34485</v>
      </c>
      <c r="I423" t="s">
        <v>17</v>
      </c>
      <c r="J423" t="s">
        <v>18</v>
      </c>
      <c r="K423" t="s">
        <v>33</v>
      </c>
      <c r="L423" t="s">
        <v>20</v>
      </c>
      <c r="N423" t="s">
        <v>29</v>
      </c>
    </row>
    <row r="424" spans="1:14">
      <c r="A424" s="4" t="str">
        <f t="shared" si="31"/>
        <v>EXP00008</v>
      </c>
      <c r="B424" s="4" t="str">
        <f t="shared" si="29"/>
        <v>22048815</v>
      </c>
      <c r="C424" s="4" t="str">
        <f t="shared" si="30"/>
        <v>GSE10893</v>
      </c>
      <c r="D424" s="1" t="s">
        <v>38</v>
      </c>
      <c r="E424" t="s">
        <v>30</v>
      </c>
      <c r="F424" s="1">
        <v>2</v>
      </c>
      <c r="G424" s="1" t="s">
        <v>32</v>
      </c>
      <c r="H424" s="4" t="str">
        <f>HYPERLINK("https://www.ncbi.nlm.nih.gov/geo/query/acc.cgi?acc=GSM34487","GSM34487")</f>
        <v>GSM34487</v>
      </c>
      <c r="I424" t="s">
        <v>17</v>
      </c>
      <c r="J424" t="s">
        <v>18</v>
      </c>
      <c r="K424" t="s">
        <v>33</v>
      </c>
      <c r="L424" t="s">
        <v>20</v>
      </c>
      <c r="N424" t="s">
        <v>29</v>
      </c>
    </row>
    <row r="425" spans="1:14">
      <c r="A425" s="4" t="str">
        <f t="shared" si="31"/>
        <v>EXP00008</v>
      </c>
      <c r="B425" s="4" t="str">
        <f t="shared" si="29"/>
        <v>22048815</v>
      </c>
      <c r="C425" s="4" t="str">
        <f t="shared" si="30"/>
        <v>GSE10893</v>
      </c>
      <c r="D425" s="1" t="s">
        <v>38</v>
      </c>
      <c r="E425" t="s">
        <v>30</v>
      </c>
      <c r="F425" s="1">
        <v>2</v>
      </c>
      <c r="G425" s="1" t="s">
        <v>32</v>
      </c>
      <c r="H425" s="4" t="str">
        <f>HYPERLINK("https://www.ncbi.nlm.nih.gov/geo/query/acc.cgi?acc=GSM34489","GSM34489")</f>
        <v>GSM34489</v>
      </c>
      <c r="I425" t="s">
        <v>17</v>
      </c>
      <c r="J425" t="s">
        <v>18</v>
      </c>
      <c r="K425" t="s">
        <v>33</v>
      </c>
      <c r="L425" t="s">
        <v>20</v>
      </c>
      <c r="N425" t="s">
        <v>29</v>
      </c>
    </row>
    <row r="426" spans="1:14">
      <c r="A426" s="4" t="str">
        <f t="shared" si="31"/>
        <v>EXP00008</v>
      </c>
      <c r="B426" s="4" t="str">
        <f t="shared" si="29"/>
        <v>22048815</v>
      </c>
      <c r="C426" s="4" t="str">
        <f t="shared" si="30"/>
        <v>GSE10893</v>
      </c>
      <c r="D426" s="1" t="s">
        <v>38</v>
      </c>
      <c r="E426" t="s">
        <v>30</v>
      </c>
      <c r="F426" s="1">
        <v>2</v>
      </c>
      <c r="G426" s="1" t="s">
        <v>32</v>
      </c>
      <c r="H426" s="4" t="str">
        <f>HYPERLINK("https://www.ncbi.nlm.nih.gov/geo/query/acc.cgi?acc=GSM34492","GSM34492")</f>
        <v>GSM34492</v>
      </c>
      <c r="I426" t="s">
        <v>17</v>
      </c>
      <c r="J426" t="s">
        <v>18</v>
      </c>
      <c r="K426" t="s">
        <v>33</v>
      </c>
      <c r="L426" t="s">
        <v>20</v>
      </c>
      <c r="N426" t="s">
        <v>29</v>
      </c>
    </row>
    <row r="427" spans="1:14">
      <c r="A427" s="4" t="str">
        <f t="shared" si="31"/>
        <v>EXP00008</v>
      </c>
      <c r="B427" s="4" t="str">
        <f t="shared" si="29"/>
        <v>22048815</v>
      </c>
      <c r="C427" s="4" t="str">
        <f t="shared" si="30"/>
        <v>GSE10893</v>
      </c>
      <c r="D427" s="1" t="s">
        <v>38</v>
      </c>
      <c r="E427" t="s">
        <v>30</v>
      </c>
      <c r="F427" s="1">
        <v>2</v>
      </c>
      <c r="G427" s="1" t="s">
        <v>32</v>
      </c>
      <c r="H427" s="4" t="str">
        <f>HYPERLINK("https://www.ncbi.nlm.nih.gov/geo/query/acc.cgi?acc=GSM34499","GSM34499")</f>
        <v>GSM34499</v>
      </c>
      <c r="I427" t="s">
        <v>17</v>
      </c>
      <c r="J427" t="s">
        <v>18</v>
      </c>
      <c r="K427" t="s">
        <v>33</v>
      </c>
      <c r="L427" t="s">
        <v>20</v>
      </c>
      <c r="N427" t="s">
        <v>29</v>
      </c>
    </row>
    <row r="428" spans="1:14">
      <c r="A428" s="4" t="str">
        <f t="shared" si="31"/>
        <v>EXP00008</v>
      </c>
      <c r="B428" s="4" t="str">
        <f t="shared" si="29"/>
        <v>22048815</v>
      </c>
      <c r="C428" s="4" t="str">
        <f t="shared" si="30"/>
        <v>GSE10893</v>
      </c>
      <c r="D428" s="1" t="s">
        <v>38</v>
      </c>
      <c r="E428" t="s">
        <v>30</v>
      </c>
      <c r="F428" s="1">
        <v>2</v>
      </c>
      <c r="G428" s="1" t="s">
        <v>32</v>
      </c>
      <c r="H428" s="4" t="str">
        <f>HYPERLINK("https://www.ncbi.nlm.nih.gov/geo/query/acc.cgi?acc=GSM34504","GSM34504")</f>
        <v>GSM34504</v>
      </c>
      <c r="I428" t="s">
        <v>17</v>
      </c>
      <c r="J428" t="s">
        <v>18</v>
      </c>
      <c r="K428" t="s">
        <v>33</v>
      </c>
      <c r="L428" t="s">
        <v>20</v>
      </c>
      <c r="N428" t="s">
        <v>29</v>
      </c>
    </row>
    <row r="429" spans="1:14">
      <c r="A429" s="4" t="str">
        <f t="shared" si="31"/>
        <v>EXP00008</v>
      </c>
      <c r="B429" s="4" t="str">
        <f t="shared" si="29"/>
        <v>22048815</v>
      </c>
      <c r="C429" s="4" t="str">
        <f t="shared" si="30"/>
        <v>GSE10893</v>
      </c>
      <c r="D429" s="1" t="s">
        <v>38</v>
      </c>
      <c r="E429" t="s">
        <v>30</v>
      </c>
      <c r="F429" s="1">
        <v>2</v>
      </c>
      <c r="G429" s="1" t="s">
        <v>32</v>
      </c>
      <c r="H429" s="4" t="str">
        <f>HYPERLINK("https://www.ncbi.nlm.nih.gov/geo/query/acc.cgi?acc=GSM34505","GSM34505")</f>
        <v>GSM34505</v>
      </c>
      <c r="I429" t="s">
        <v>17</v>
      </c>
      <c r="J429" t="s">
        <v>18</v>
      </c>
      <c r="K429" t="s">
        <v>33</v>
      </c>
      <c r="L429" t="s">
        <v>20</v>
      </c>
      <c r="N429" t="s">
        <v>29</v>
      </c>
    </row>
    <row r="430" spans="1:14">
      <c r="A430" s="4" t="str">
        <f t="shared" si="31"/>
        <v>EXP00008</v>
      </c>
      <c r="B430" s="4" t="str">
        <f t="shared" si="29"/>
        <v>22048815</v>
      </c>
      <c r="C430" s="4" t="str">
        <f t="shared" si="30"/>
        <v>GSE10893</v>
      </c>
      <c r="D430" s="1" t="s">
        <v>38</v>
      </c>
      <c r="E430" t="s">
        <v>30</v>
      </c>
      <c r="F430" s="1">
        <v>2</v>
      </c>
      <c r="G430" s="1" t="s">
        <v>32</v>
      </c>
      <c r="H430" s="4" t="str">
        <f>HYPERLINK("https://www.ncbi.nlm.nih.gov/geo/query/acc.cgi?acc=GSM34506","GSM34506")</f>
        <v>GSM34506</v>
      </c>
      <c r="I430" t="s">
        <v>17</v>
      </c>
      <c r="J430" t="s">
        <v>18</v>
      </c>
      <c r="K430" t="s">
        <v>33</v>
      </c>
      <c r="L430" t="s">
        <v>20</v>
      </c>
      <c r="N430" t="s">
        <v>29</v>
      </c>
    </row>
    <row r="431" spans="1:14">
      <c r="A431" s="4" t="str">
        <f t="shared" si="31"/>
        <v>EXP00008</v>
      </c>
      <c r="B431" s="4" t="str">
        <f t="shared" si="29"/>
        <v>22048815</v>
      </c>
      <c r="C431" s="4" t="str">
        <f t="shared" si="30"/>
        <v>GSE10893</v>
      </c>
      <c r="D431" s="1" t="s">
        <v>38</v>
      </c>
      <c r="E431" t="s">
        <v>30</v>
      </c>
      <c r="F431" s="1">
        <v>2</v>
      </c>
      <c r="G431" s="1" t="s">
        <v>32</v>
      </c>
      <c r="H431" s="4" t="str">
        <f>HYPERLINK("https://www.ncbi.nlm.nih.gov/geo/query/acc.cgi?acc=GSM34507","GSM34507")</f>
        <v>GSM34507</v>
      </c>
      <c r="I431" t="s">
        <v>17</v>
      </c>
      <c r="J431" t="s">
        <v>18</v>
      </c>
      <c r="K431" t="s">
        <v>33</v>
      </c>
      <c r="L431" t="s">
        <v>20</v>
      </c>
      <c r="N431" t="s">
        <v>29</v>
      </c>
    </row>
    <row r="432" spans="1:14">
      <c r="A432" s="4" t="str">
        <f t="shared" si="31"/>
        <v>EXP00008</v>
      </c>
      <c r="B432" s="4" t="str">
        <f t="shared" si="29"/>
        <v>22048815</v>
      </c>
      <c r="C432" s="4" t="str">
        <f t="shared" si="30"/>
        <v>GSE10893</v>
      </c>
      <c r="D432" s="1" t="s">
        <v>38</v>
      </c>
      <c r="E432" t="s">
        <v>30</v>
      </c>
      <c r="F432" s="1">
        <v>2</v>
      </c>
      <c r="G432" s="1" t="s">
        <v>32</v>
      </c>
      <c r="H432" s="4" t="str">
        <f>HYPERLINK("https://www.ncbi.nlm.nih.gov/geo/query/acc.cgi?acc=GSM34508","GSM34508")</f>
        <v>GSM34508</v>
      </c>
      <c r="I432" t="s">
        <v>17</v>
      </c>
      <c r="J432" t="s">
        <v>18</v>
      </c>
      <c r="K432" t="s">
        <v>33</v>
      </c>
      <c r="L432" t="s">
        <v>20</v>
      </c>
      <c r="N432" t="s">
        <v>29</v>
      </c>
    </row>
    <row r="433" spans="1:14">
      <c r="A433" s="4" t="str">
        <f t="shared" si="31"/>
        <v>EXP00008</v>
      </c>
      <c r="B433" s="4" t="str">
        <f t="shared" si="29"/>
        <v>22048815</v>
      </c>
      <c r="C433" s="4" t="str">
        <f t="shared" si="30"/>
        <v>GSE10893</v>
      </c>
      <c r="D433" s="1" t="s">
        <v>38</v>
      </c>
      <c r="E433" t="s">
        <v>30</v>
      </c>
      <c r="F433" s="1">
        <v>2</v>
      </c>
      <c r="G433" s="1" t="s">
        <v>32</v>
      </c>
      <c r="H433" s="4" t="str">
        <f>HYPERLINK("https://www.ncbi.nlm.nih.gov/geo/query/acc.cgi?acc=GSM34510","GSM34510")</f>
        <v>GSM34510</v>
      </c>
      <c r="I433" t="s">
        <v>17</v>
      </c>
      <c r="J433" t="s">
        <v>18</v>
      </c>
      <c r="K433" t="s">
        <v>33</v>
      </c>
      <c r="L433" t="s">
        <v>20</v>
      </c>
      <c r="N433" t="s">
        <v>29</v>
      </c>
    </row>
    <row r="434" spans="1:14">
      <c r="A434" s="4" t="str">
        <f t="shared" si="31"/>
        <v>EXP00008</v>
      </c>
      <c r="B434" s="4" t="str">
        <f t="shared" si="29"/>
        <v>22048815</v>
      </c>
      <c r="C434" s="4" t="str">
        <f t="shared" si="30"/>
        <v>GSE10893</v>
      </c>
      <c r="D434" s="1" t="s">
        <v>38</v>
      </c>
      <c r="E434" t="s">
        <v>30</v>
      </c>
      <c r="F434" s="1">
        <v>2</v>
      </c>
      <c r="G434" s="1" t="s">
        <v>32</v>
      </c>
      <c r="H434" s="4" t="str">
        <f>HYPERLINK("https://www.ncbi.nlm.nih.gov/geo/query/acc.cgi?acc=GSM34515","GSM34515")</f>
        <v>GSM34515</v>
      </c>
      <c r="I434" t="s">
        <v>17</v>
      </c>
      <c r="J434" t="s">
        <v>18</v>
      </c>
      <c r="K434" t="s">
        <v>33</v>
      </c>
      <c r="L434" t="s">
        <v>20</v>
      </c>
      <c r="N434" t="s">
        <v>29</v>
      </c>
    </row>
    <row r="435" spans="1:14">
      <c r="A435" s="4" t="str">
        <f t="shared" ref="A435:A466" si="32">HYPERLINK("http://hcmdb.i-sanger.com/experiment/details/experiment_id/EXP00008","EXP00008")</f>
        <v>EXP00008</v>
      </c>
      <c r="B435" s="4" t="str">
        <f t="shared" si="29"/>
        <v>22048815</v>
      </c>
      <c r="C435" s="4" t="str">
        <f t="shared" si="30"/>
        <v>GSE10893</v>
      </c>
      <c r="D435" s="1" t="s">
        <v>38</v>
      </c>
      <c r="E435" t="s">
        <v>30</v>
      </c>
      <c r="F435" s="1">
        <v>2</v>
      </c>
      <c r="G435" s="1" t="s">
        <v>32</v>
      </c>
      <c r="H435" s="4" t="str">
        <f>HYPERLINK("https://www.ncbi.nlm.nih.gov/geo/query/acc.cgi?acc=GSM34516","GSM34516")</f>
        <v>GSM34516</v>
      </c>
      <c r="I435" t="s">
        <v>17</v>
      </c>
      <c r="J435" t="s">
        <v>18</v>
      </c>
      <c r="K435" t="s">
        <v>33</v>
      </c>
      <c r="L435" t="s">
        <v>20</v>
      </c>
      <c r="N435" t="s">
        <v>29</v>
      </c>
    </row>
    <row r="436" spans="1:14">
      <c r="A436" s="4" t="str">
        <f t="shared" si="32"/>
        <v>EXP00008</v>
      </c>
      <c r="B436" s="4" t="str">
        <f t="shared" si="29"/>
        <v>22048815</v>
      </c>
      <c r="C436" s="4" t="str">
        <f t="shared" si="30"/>
        <v>GSE10893</v>
      </c>
      <c r="D436" s="1" t="s">
        <v>38</v>
      </c>
      <c r="E436" t="s">
        <v>30</v>
      </c>
      <c r="F436" s="1">
        <v>2</v>
      </c>
      <c r="G436" s="1" t="s">
        <v>32</v>
      </c>
      <c r="H436" s="4" t="str">
        <f>HYPERLINK("https://www.ncbi.nlm.nih.gov/geo/query/acc.cgi?acc=GSM34517","GSM34517")</f>
        <v>GSM34517</v>
      </c>
      <c r="I436" t="s">
        <v>17</v>
      </c>
      <c r="J436" t="s">
        <v>18</v>
      </c>
      <c r="K436" t="s">
        <v>33</v>
      </c>
      <c r="L436" t="s">
        <v>20</v>
      </c>
      <c r="N436" t="s">
        <v>29</v>
      </c>
    </row>
    <row r="437" spans="1:14">
      <c r="A437" s="4" t="str">
        <f t="shared" si="32"/>
        <v>EXP00008</v>
      </c>
      <c r="B437" s="4" t="str">
        <f t="shared" si="29"/>
        <v>22048815</v>
      </c>
      <c r="C437" s="4" t="str">
        <f t="shared" si="30"/>
        <v>GSE10893</v>
      </c>
      <c r="D437" s="1" t="s">
        <v>38</v>
      </c>
      <c r="E437" t="s">
        <v>30</v>
      </c>
      <c r="F437" s="1">
        <v>2</v>
      </c>
      <c r="G437" s="1" t="s">
        <v>32</v>
      </c>
      <c r="H437" s="4" t="str">
        <f>HYPERLINK("https://www.ncbi.nlm.nih.gov/geo/query/acc.cgi?acc=GSM34518","GSM34518")</f>
        <v>GSM34518</v>
      </c>
      <c r="I437" t="s">
        <v>17</v>
      </c>
      <c r="J437" t="s">
        <v>18</v>
      </c>
      <c r="K437" t="s">
        <v>33</v>
      </c>
      <c r="L437" t="s">
        <v>20</v>
      </c>
      <c r="N437" t="s">
        <v>29</v>
      </c>
    </row>
    <row r="438" spans="1:14">
      <c r="A438" s="4" t="str">
        <f t="shared" si="32"/>
        <v>EXP00008</v>
      </c>
      <c r="B438" s="4" t="str">
        <f t="shared" si="29"/>
        <v>22048815</v>
      </c>
      <c r="C438" s="4" t="str">
        <f t="shared" si="30"/>
        <v>GSE10893</v>
      </c>
      <c r="D438" s="1" t="s">
        <v>38</v>
      </c>
      <c r="E438" t="s">
        <v>30</v>
      </c>
      <c r="F438" s="1">
        <v>2</v>
      </c>
      <c r="G438" s="1" t="s">
        <v>32</v>
      </c>
      <c r="H438" s="4" t="str">
        <f>HYPERLINK("https://www.ncbi.nlm.nih.gov/geo/query/acc.cgi?acc=GSM34519","GSM34519")</f>
        <v>GSM34519</v>
      </c>
      <c r="I438" t="s">
        <v>17</v>
      </c>
      <c r="J438" t="s">
        <v>18</v>
      </c>
      <c r="K438" t="s">
        <v>33</v>
      </c>
      <c r="L438" t="s">
        <v>20</v>
      </c>
      <c r="N438" t="s">
        <v>29</v>
      </c>
    </row>
    <row r="439" spans="1:14">
      <c r="A439" s="4" t="str">
        <f t="shared" si="32"/>
        <v>EXP00008</v>
      </c>
      <c r="B439" s="4" t="str">
        <f t="shared" si="29"/>
        <v>22048815</v>
      </c>
      <c r="C439" s="4" t="str">
        <f t="shared" si="30"/>
        <v>GSE10893</v>
      </c>
      <c r="D439" s="1" t="s">
        <v>38</v>
      </c>
      <c r="E439" t="s">
        <v>30</v>
      </c>
      <c r="F439" s="1">
        <v>2</v>
      </c>
      <c r="G439" s="1" t="s">
        <v>32</v>
      </c>
      <c r="H439" s="4" t="str">
        <f>HYPERLINK("https://www.ncbi.nlm.nih.gov/geo/query/acc.cgi?acc=GSM34521","GSM34521")</f>
        <v>GSM34521</v>
      </c>
      <c r="I439" t="s">
        <v>17</v>
      </c>
      <c r="J439" t="s">
        <v>18</v>
      </c>
      <c r="K439" t="s">
        <v>33</v>
      </c>
      <c r="L439" t="s">
        <v>20</v>
      </c>
      <c r="N439" t="s">
        <v>29</v>
      </c>
    </row>
    <row r="440" spans="1:14">
      <c r="A440" s="4" t="str">
        <f t="shared" si="32"/>
        <v>EXP00008</v>
      </c>
      <c r="B440" s="4" t="str">
        <f t="shared" si="29"/>
        <v>22048815</v>
      </c>
      <c r="C440" s="4" t="str">
        <f t="shared" si="30"/>
        <v>GSE10893</v>
      </c>
      <c r="D440" s="1" t="s">
        <v>38</v>
      </c>
      <c r="E440" t="s">
        <v>30</v>
      </c>
      <c r="F440" s="1">
        <v>2</v>
      </c>
      <c r="G440" s="1" t="s">
        <v>32</v>
      </c>
      <c r="H440" s="4" t="str">
        <f>HYPERLINK("https://www.ncbi.nlm.nih.gov/geo/query/acc.cgi?acc=GSM34523","GSM34523")</f>
        <v>GSM34523</v>
      </c>
      <c r="I440" t="s">
        <v>17</v>
      </c>
      <c r="J440" t="s">
        <v>18</v>
      </c>
      <c r="K440" t="s">
        <v>33</v>
      </c>
      <c r="L440" t="s">
        <v>20</v>
      </c>
      <c r="N440" t="s">
        <v>29</v>
      </c>
    </row>
    <row r="441" spans="1:14">
      <c r="A441" s="4" t="str">
        <f t="shared" si="32"/>
        <v>EXP00008</v>
      </c>
      <c r="B441" s="4" t="str">
        <f t="shared" si="29"/>
        <v>22048815</v>
      </c>
      <c r="C441" s="4" t="str">
        <f t="shared" si="30"/>
        <v>GSE10893</v>
      </c>
      <c r="D441" s="1" t="s">
        <v>38</v>
      </c>
      <c r="E441" t="s">
        <v>30</v>
      </c>
      <c r="F441" s="1">
        <v>2</v>
      </c>
      <c r="G441" s="1" t="s">
        <v>32</v>
      </c>
      <c r="H441" s="4" t="str">
        <f>HYPERLINK("https://www.ncbi.nlm.nih.gov/geo/query/acc.cgi?acc=GSM34525","GSM34525")</f>
        <v>GSM34525</v>
      </c>
      <c r="I441" t="s">
        <v>17</v>
      </c>
      <c r="J441" t="s">
        <v>18</v>
      </c>
      <c r="K441" t="s">
        <v>33</v>
      </c>
      <c r="L441" t="s">
        <v>20</v>
      </c>
      <c r="N441" t="s">
        <v>29</v>
      </c>
    </row>
    <row r="442" spans="1:14">
      <c r="A442" s="4" t="str">
        <f t="shared" si="32"/>
        <v>EXP00008</v>
      </c>
      <c r="B442" s="4" t="str">
        <f t="shared" si="29"/>
        <v>22048815</v>
      </c>
      <c r="C442" s="4" t="str">
        <f t="shared" si="30"/>
        <v>GSE10893</v>
      </c>
      <c r="D442" s="1" t="s">
        <v>38</v>
      </c>
      <c r="E442" t="s">
        <v>30</v>
      </c>
      <c r="F442" s="1">
        <v>2</v>
      </c>
      <c r="G442" s="1" t="s">
        <v>32</v>
      </c>
      <c r="H442" s="4" t="str">
        <f>HYPERLINK("https://www.ncbi.nlm.nih.gov/geo/query/acc.cgi?acc=GSM34526","GSM34526")</f>
        <v>GSM34526</v>
      </c>
      <c r="I442" t="s">
        <v>17</v>
      </c>
      <c r="J442" t="s">
        <v>18</v>
      </c>
      <c r="K442" t="s">
        <v>33</v>
      </c>
      <c r="L442" t="s">
        <v>20</v>
      </c>
      <c r="N442" t="s">
        <v>29</v>
      </c>
    </row>
    <row r="443" spans="1:14">
      <c r="A443" s="4" t="str">
        <f t="shared" si="32"/>
        <v>EXP00008</v>
      </c>
      <c r="B443" s="4" t="str">
        <f t="shared" si="29"/>
        <v>22048815</v>
      </c>
      <c r="C443" s="4" t="str">
        <f t="shared" si="30"/>
        <v>GSE10893</v>
      </c>
      <c r="D443" s="1" t="s">
        <v>38</v>
      </c>
      <c r="E443" t="s">
        <v>30</v>
      </c>
      <c r="F443" s="1">
        <v>2</v>
      </c>
      <c r="G443" s="1" t="s">
        <v>32</v>
      </c>
      <c r="H443" s="4" t="str">
        <f>HYPERLINK("https://www.ncbi.nlm.nih.gov/geo/query/acc.cgi?acc=GSM34527","GSM34527")</f>
        <v>GSM34527</v>
      </c>
      <c r="I443" t="s">
        <v>17</v>
      </c>
      <c r="J443" t="s">
        <v>18</v>
      </c>
      <c r="K443" t="s">
        <v>33</v>
      </c>
      <c r="L443" t="s">
        <v>20</v>
      </c>
      <c r="N443" t="s">
        <v>29</v>
      </c>
    </row>
    <row r="444" spans="1:14">
      <c r="A444" s="4" t="str">
        <f t="shared" si="32"/>
        <v>EXP00008</v>
      </c>
      <c r="B444" s="4" t="str">
        <f t="shared" si="29"/>
        <v>22048815</v>
      </c>
      <c r="C444" s="4" t="str">
        <f t="shared" si="30"/>
        <v>GSE10893</v>
      </c>
      <c r="D444" s="1" t="s">
        <v>38</v>
      </c>
      <c r="E444" t="s">
        <v>30</v>
      </c>
      <c r="F444" s="1">
        <v>2</v>
      </c>
      <c r="G444" s="1" t="s">
        <v>32</v>
      </c>
      <c r="H444" s="4" t="str">
        <f>HYPERLINK("https://www.ncbi.nlm.nih.gov/geo/query/acc.cgi?acc=GSM34528","GSM34528")</f>
        <v>GSM34528</v>
      </c>
      <c r="I444" t="s">
        <v>17</v>
      </c>
      <c r="J444" t="s">
        <v>18</v>
      </c>
      <c r="K444" t="s">
        <v>33</v>
      </c>
      <c r="L444" t="s">
        <v>20</v>
      </c>
      <c r="N444" t="s">
        <v>29</v>
      </c>
    </row>
    <row r="445" spans="1:14">
      <c r="A445" s="4" t="str">
        <f t="shared" si="32"/>
        <v>EXP00008</v>
      </c>
      <c r="B445" s="4" t="str">
        <f t="shared" si="29"/>
        <v>22048815</v>
      </c>
      <c r="C445" s="4" t="str">
        <f t="shared" si="30"/>
        <v>GSE10893</v>
      </c>
      <c r="D445" s="1" t="s">
        <v>38</v>
      </c>
      <c r="E445" t="s">
        <v>30</v>
      </c>
      <c r="F445" s="1">
        <v>2</v>
      </c>
      <c r="G445" s="1" t="s">
        <v>32</v>
      </c>
      <c r="H445" s="4" t="str">
        <f>HYPERLINK("https://www.ncbi.nlm.nih.gov/geo/query/acc.cgi?acc=GSM34529","GSM34529")</f>
        <v>GSM34529</v>
      </c>
      <c r="I445" t="s">
        <v>17</v>
      </c>
      <c r="J445" t="s">
        <v>18</v>
      </c>
      <c r="K445" t="s">
        <v>33</v>
      </c>
      <c r="L445" t="s">
        <v>20</v>
      </c>
      <c r="N445" t="s">
        <v>29</v>
      </c>
    </row>
    <row r="446" spans="1:14">
      <c r="A446" s="4" t="str">
        <f t="shared" si="32"/>
        <v>EXP00008</v>
      </c>
      <c r="B446" s="4" t="str">
        <f t="shared" si="29"/>
        <v>22048815</v>
      </c>
      <c r="C446" s="4" t="str">
        <f t="shared" si="30"/>
        <v>GSE10893</v>
      </c>
      <c r="D446" s="1" t="s">
        <v>38</v>
      </c>
      <c r="E446" t="s">
        <v>30</v>
      </c>
      <c r="F446" s="1">
        <v>2</v>
      </c>
      <c r="G446" s="1" t="s">
        <v>32</v>
      </c>
      <c r="H446" s="4" t="str">
        <f>HYPERLINK("https://www.ncbi.nlm.nih.gov/geo/query/acc.cgi?acc=GSM34530","GSM34530")</f>
        <v>GSM34530</v>
      </c>
      <c r="I446" t="s">
        <v>17</v>
      </c>
      <c r="J446" t="s">
        <v>18</v>
      </c>
      <c r="K446" t="s">
        <v>33</v>
      </c>
      <c r="L446" t="s">
        <v>20</v>
      </c>
      <c r="N446" t="s">
        <v>29</v>
      </c>
    </row>
    <row r="447" spans="1:14">
      <c r="A447" s="4" t="str">
        <f t="shared" si="32"/>
        <v>EXP00008</v>
      </c>
      <c r="B447" s="4" t="str">
        <f t="shared" si="29"/>
        <v>22048815</v>
      </c>
      <c r="C447" s="4" t="str">
        <f t="shared" si="30"/>
        <v>GSE10893</v>
      </c>
      <c r="D447" s="1" t="s">
        <v>38</v>
      </c>
      <c r="E447" t="s">
        <v>30</v>
      </c>
      <c r="F447" s="1">
        <v>2</v>
      </c>
      <c r="G447" s="1" t="s">
        <v>32</v>
      </c>
      <c r="H447" s="4" t="str">
        <f>HYPERLINK("https://www.ncbi.nlm.nih.gov/geo/query/acc.cgi?acc=GSM34531","GSM34531")</f>
        <v>GSM34531</v>
      </c>
      <c r="I447" t="s">
        <v>17</v>
      </c>
      <c r="J447" t="s">
        <v>18</v>
      </c>
      <c r="K447" t="s">
        <v>33</v>
      </c>
      <c r="L447" t="s">
        <v>20</v>
      </c>
      <c r="N447" t="s">
        <v>29</v>
      </c>
    </row>
    <row r="448" spans="1:14">
      <c r="A448" s="4" t="str">
        <f t="shared" si="32"/>
        <v>EXP00008</v>
      </c>
      <c r="B448" s="4" t="str">
        <f t="shared" si="29"/>
        <v>22048815</v>
      </c>
      <c r="C448" s="4" t="str">
        <f t="shared" si="30"/>
        <v>GSE10893</v>
      </c>
      <c r="D448" s="1" t="s">
        <v>38</v>
      </c>
      <c r="E448" t="s">
        <v>30</v>
      </c>
      <c r="F448" s="1">
        <v>2</v>
      </c>
      <c r="G448" s="1" t="s">
        <v>32</v>
      </c>
      <c r="H448" s="4" t="str">
        <f>HYPERLINK("https://www.ncbi.nlm.nih.gov/geo/query/acc.cgi?acc=GSM34532","GSM34532")</f>
        <v>GSM34532</v>
      </c>
      <c r="I448" t="s">
        <v>17</v>
      </c>
      <c r="J448" t="s">
        <v>18</v>
      </c>
      <c r="K448" t="s">
        <v>33</v>
      </c>
      <c r="L448" t="s">
        <v>20</v>
      </c>
      <c r="N448" t="s">
        <v>29</v>
      </c>
    </row>
    <row r="449" spans="1:14">
      <c r="A449" s="4" t="str">
        <f t="shared" si="32"/>
        <v>EXP00008</v>
      </c>
      <c r="B449" s="4" t="str">
        <f t="shared" si="29"/>
        <v>22048815</v>
      </c>
      <c r="C449" s="4" t="str">
        <f t="shared" si="30"/>
        <v>GSE10893</v>
      </c>
      <c r="D449" s="1" t="s">
        <v>38</v>
      </c>
      <c r="E449" t="s">
        <v>30</v>
      </c>
      <c r="F449" s="1">
        <v>2</v>
      </c>
      <c r="G449" s="1" t="s">
        <v>32</v>
      </c>
      <c r="H449" s="4" t="str">
        <f>HYPERLINK("https://www.ncbi.nlm.nih.gov/geo/query/acc.cgi?acc=GSM34556","GSM34556")</f>
        <v>GSM34556</v>
      </c>
      <c r="I449" t="s">
        <v>17</v>
      </c>
      <c r="J449" t="s">
        <v>18</v>
      </c>
      <c r="K449" t="s">
        <v>33</v>
      </c>
      <c r="L449" t="s">
        <v>20</v>
      </c>
      <c r="N449" t="s">
        <v>29</v>
      </c>
    </row>
    <row r="450" spans="1:14">
      <c r="A450" s="4" t="str">
        <f t="shared" si="32"/>
        <v>EXP00008</v>
      </c>
      <c r="B450" s="4" t="str">
        <f t="shared" ref="B450:B513" si="33">HYPERLINK("https://www.ncbi.nlm.nih.gov/pubmed/22048815","22048815")</f>
        <v>22048815</v>
      </c>
      <c r="C450" s="4" t="str">
        <f t="shared" ref="C450:C513" si="34">HYPERLINK("https://www.ncbi.nlm.nih.gov/geo/query/acc.cgi?acc=GSE10893","GSE10893")</f>
        <v>GSE10893</v>
      </c>
      <c r="D450" s="1" t="s">
        <v>38</v>
      </c>
      <c r="E450" t="s">
        <v>30</v>
      </c>
      <c r="F450" s="1">
        <v>2</v>
      </c>
      <c r="G450" s="1" t="s">
        <v>32</v>
      </c>
      <c r="H450" s="4" t="str">
        <f>HYPERLINK("https://www.ncbi.nlm.nih.gov/geo/query/acc.cgi?acc=GSM34557","GSM34557")</f>
        <v>GSM34557</v>
      </c>
      <c r="I450" t="s">
        <v>17</v>
      </c>
      <c r="J450" t="s">
        <v>18</v>
      </c>
      <c r="K450" t="s">
        <v>33</v>
      </c>
      <c r="L450" t="s">
        <v>20</v>
      </c>
      <c r="N450" t="s">
        <v>29</v>
      </c>
    </row>
    <row r="451" spans="1:14">
      <c r="A451" s="4" t="str">
        <f t="shared" si="32"/>
        <v>EXP00008</v>
      </c>
      <c r="B451" s="4" t="str">
        <f t="shared" si="33"/>
        <v>22048815</v>
      </c>
      <c r="C451" s="4" t="str">
        <f t="shared" si="34"/>
        <v>GSE10893</v>
      </c>
      <c r="D451" s="1" t="s">
        <v>38</v>
      </c>
      <c r="E451" t="s">
        <v>30</v>
      </c>
      <c r="F451" s="1">
        <v>2</v>
      </c>
      <c r="G451" s="1" t="s">
        <v>32</v>
      </c>
      <c r="H451" s="4" t="str">
        <f>HYPERLINK("https://www.ncbi.nlm.nih.gov/geo/query/acc.cgi?acc=GSM50154","GSM50154")</f>
        <v>GSM50154</v>
      </c>
      <c r="I451" t="s">
        <v>17</v>
      </c>
      <c r="J451" t="s">
        <v>18</v>
      </c>
      <c r="K451" t="s">
        <v>33</v>
      </c>
      <c r="L451" t="s">
        <v>20</v>
      </c>
      <c r="N451" t="s">
        <v>29</v>
      </c>
    </row>
    <row r="452" spans="1:14">
      <c r="A452" s="4" t="str">
        <f t="shared" si="32"/>
        <v>EXP00008</v>
      </c>
      <c r="B452" s="4" t="str">
        <f t="shared" si="33"/>
        <v>22048815</v>
      </c>
      <c r="C452" s="4" t="str">
        <f t="shared" si="34"/>
        <v>GSE10893</v>
      </c>
      <c r="D452" s="1" t="s">
        <v>38</v>
      </c>
      <c r="E452" t="s">
        <v>30</v>
      </c>
      <c r="F452" s="1">
        <v>2</v>
      </c>
      <c r="G452" s="1" t="s">
        <v>32</v>
      </c>
      <c r="H452" s="4" t="str">
        <f>HYPERLINK("https://www.ncbi.nlm.nih.gov/geo/query/acc.cgi?acc=GSM52883","GSM52883")</f>
        <v>GSM52883</v>
      </c>
      <c r="I452" t="s">
        <v>17</v>
      </c>
      <c r="J452" t="s">
        <v>18</v>
      </c>
      <c r="K452" t="s">
        <v>33</v>
      </c>
      <c r="L452" t="s">
        <v>20</v>
      </c>
      <c r="N452" t="s">
        <v>29</v>
      </c>
    </row>
    <row r="453" spans="1:14">
      <c r="A453" s="4" t="str">
        <f t="shared" si="32"/>
        <v>EXP00008</v>
      </c>
      <c r="B453" s="4" t="str">
        <f t="shared" si="33"/>
        <v>22048815</v>
      </c>
      <c r="C453" s="4" t="str">
        <f t="shared" si="34"/>
        <v>GSE10893</v>
      </c>
      <c r="D453" s="1" t="s">
        <v>38</v>
      </c>
      <c r="E453" t="s">
        <v>30</v>
      </c>
      <c r="F453" s="1">
        <v>2</v>
      </c>
      <c r="G453" s="1" t="s">
        <v>32</v>
      </c>
      <c r="H453" s="4" t="str">
        <f>HYPERLINK("https://www.ncbi.nlm.nih.gov/geo/query/acc.cgi?acc=GSM52884","GSM52884")</f>
        <v>GSM52884</v>
      </c>
      <c r="I453" t="s">
        <v>17</v>
      </c>
      <c r="J453" t="s">
        <v>18</v>
      </c>
      <c r="K453" t="s">
        <v>33</v>
      </c>
      <c r="L453" t="s">
        <v>20</v>
      </c>
      <c r="N453" t="s">
        <v>29</v>
      </c>
    </row>
    <row r="454" spans="1:14">
      <c r="A454" s="4" t="str">
        <f t="shared" si="32"/>
        <v>EXP00008</v>
      </c>
      <c r="B454" s="4" t="str">
        <f t="shared" si="33"/>
        <v>22048815</v>
      </c>
      <c r="C454" s="4" t="str">
        <f t="shared" si="34"/>
        <v>GSE10893</v>
      </c>
      <c r="D454" s="1" t="s">
        <v>38</v>
      </c>
      <c r="E454" t="s">
        <v>30</v>
      </c>
      <c r="F454" s="1">
        <v>2</v>
      </c>
      <c r="G454" s="1" t="s">
        <v>32</v>
      </c>
      <c r="H454" s="4" t="str">
        <f>HYPERLINK("https://www.ncbi.nlm.nih.gov/geo/query/acc.cgi?acc=GSM53475","GSM53475")</f>
        <v>GSM53475</v>
      </c>
      <c r="I454" t="s">
        <v>17</v>
      </c>
      <c r="J454" t="s">
        <v>18</v>
      </c>
      <c r="K454" t="s">
        <v>33</v>
      </c>
      <c r="L454" t="s">
        <v>20</v>
      </c>
      <c r="N454" t="s">
        <v>29</v>
      </c>
    </row>
    <row r="455" spans="1:14">
      <c r="A455" s="4" t="str">
        <f t="shared" si="32"/>
        <v>EXP00008</v>
      </c>
      <c r="B455" s="4" t="str">
        <f t="shared" si="33"/>
        <v>22048815</v>
      </c>
      <c r="C455" s="4" t="str">
        <f t="shared" si="34"/>
        <v>GSE10893</v>
      </c>
      <c r="D455" s="1" t="s">
        <v>38</v>
      </c>
      <c r="E455" t="s">
        <v>30</v>
      </c>
      <c r="F455" s="1">
        <v>2</v>
      </c>
      <c r="G455" s="1" t="s">
        <v>32</v>
      </c>
      <c r="H455" s="4" t="str">
        <f>HYPERLINK("https://www.ncbi.nlm.nih.gov/geo/query/acc.cgi?acc=GSM53476","GSM53476")</f>
        <v>GSM53476</v>
      </c>
      <c r="I455" t="s">
        <v>17</v>
      </c>
      <c r="J455" t="s">
        <v>18</v>
      </c>
      <c r="K455" t="s">
        <v>19</v>
      </c>
      <c r="L455" t="s">
        <v>20</v>
      </c>
      <c r="M455" t="s">
        <v>24</v>
      </c>
      <c r="N455" t="s">
        <v>29</v>
      </c>
    </row>
    <row r="456" spans="1:14">
      <c r="A456" s="4" t="str">
        <f t="shared" si="32"/>
        <v>EXP00008</v>
      </c>
      <c r="B456" s="4" t="str">
        <f t="shared" si="33"/>
        <v>22048815</v>
      </c>
      <c r="C456" s="4" t="str">
        <f t="shared" si="34"/>
        <v>GSE10893</v>
      </c>
      <c r="D456" s="1" t="s">
        <v>38</v>
      </c>
      <c r="E456" t="s">
        <v>30</v>
      </c>
      <c r="F456" s="1">
        <v>2</v>
      </c>
      <c r="G456" s="1" t="s">
        <v>32</v>
      </c>
      <c r="H456" s="4" t="str">
        <f>HYPERLINK("https://www.ncbi.nlm.nih.gov/geo/query/acc.cgi?acc=GSM53477","GSM53477")</f>
        <v>GSM53477</v>
      </c>
      <c r="I456" t="s">
        <v>17</v>
      </c>
      <c r="J456" t="s">
        <v>18</v>
      </c>
      <c r="K456" t="s">
        <v>33</v>
      </c>
      <c r="L456" t="s">
        <v>20</v>
      </c>
      <c r="N456" t="s">
        <v>29</v>
      </c>
    </row>
    <row r="457" spans="1:14">
      <c r="A457" s="4" t="str">
        <f t="shared" si="32"/>
        <v>EXP00008</v>
      </c>
      <c r="B457" s="4" t="str">
        <f t="shared" si="33"/>
        <v>22048815</v>
      </c>
      <c r="C457" s="4" t="str">
        <f t="shared" si="34"/>
        <v>GSE10893</v>
      </c>
      <c r="D457" s="1" t="s">
        <v>38</v>
      </c>
      <c r="E457" t="s">
        <v>30</v>
      </c>
      <c r="F457" s="1">
        <v>2</v>
      </c>
      <c r="G457" s="1" t="s">
        <v>32</v>
      </c>
      <c r="H457" s="4" t="str">
        <f>HYPERLINK("https://www.ncbi.nlm.nih.gov/geo/query/acc.cgi?acc=GSM80231","GSM80231")</f>
        <v>GSM80231</v>
      </c>
      <c r="I457" t="s">
        <v>17</v>
      </c>
      <c r="J457" t="s">
        <v>18</v>
      </c>
      <c r="K457" t="s">
        <v>33</v>
      </c>
      <c r="L457" t="s">
        <v>20</v>
      </c>
      <c r="N457" t="s">
        <v>29</v>
      </c>
    </row>
    <row r="458" spans="1:14">
      <c r="A458" s="4" t="str">
        <f t="shared" si="32"/>
        <v>EXP00008</v>
      </c>
      <c r="B458" s="4" t="str">
        <f t="shared" si="33"/>
        <v>22048815</v>
      </c>
      <c r="C458" s="4" t="str">
        <f t="shared" si="34"/>
        <v>GSE10893</v>
      </c>
      <c r="D458" s="1" t="s">
        <v>38</v>
      </c>
      <c r="E458" t="s">
        <v>30</v>
      </c>
      <c r="F458" s="1">
        <v>2</v>
      </c>
      <c r="G458" s="1" t="s">
        <v>32</v>
      </c>
      <c r="H458" s="4" t="str">
        <f>HYPERLINK("https://www.ncbi.nlm.nih.gov/geo/query/acc.cgi?acc=GSM80233","GSM80233")</f>
        <v>GSM80233</v>
      </c>
      <c r="I458" t="s">
        <v>17</v>
      </c>
      <c r="J458" t="s">
        <v>18</v>
      </c>
      <c r="K458" t="s">
        <v>33</v>
      </c>
      <c r="L458" t="s">
        <v>20</v>
      </c>
      <c r="N458" t="s">
        <v>29</v>
      </c>
    </row>
    <row r="459" spans="1:14">
      <c r="A459" s="4" t="str">
        <f t="shared" si="32"/>
        <v>EXP00008</v>
      </c>
      <c r="B459" s="4" t="str">
        <f t="shared" si="33"/>
        <v>22048815</v>
      </c>
      <c r="C459" s="4" t="str">
        <f t="shared" si="34"/>
        <v>GSE10893</v>
      </c>
      <c r="D459" s="1" t="s">
        <v>38</v>
      </c>
      <c r="E459" t="s">
        <v>30</v>
      </c>
      <c r="F459" s="1">
        <v>2</v>
      </c>
      <c r="G459" s="1" t="s">
        <v>32</v>
      </c>
      <c r="H459" s="4" t="str">
        <f>HYPERLINK("https://www.ncbi.nlm.nih.gov/geo/query/acc.cgi?acc=GSM80235","GSM80235")</f>
        <v>GSM80235</v>
      </c>
      <c r="I459" t="s">
        <v>17</v>
      </c>
      <c r="J459" t="s">
        <v>18</v>
      </c>
      <c r="K459" t="s">
        <v>33</v>
      </c>
      <c r="L459" t="s">
        <v>20</v>
      </c>
      <c r="N459" t="s">
        <v>29</v>
      </c>
    </row>
    <row r="460" spans="1:14">
      <c r="A460" s="4" t="str">
        <f t="shared" si="32"/>
        <v>EXP00008</v>
      </c>
      <c r="B460" s="4" t="str">
        <f t="shared" si="33"/>
        <v>22048815</v>
      </c>
      <c r="C460" s="4" t="str">
        <f t="shared" si="34"/>
        <v>GSE10893</v>
      </c>
      <c r="D460" s="1" t="s">
        <v>38</v>
      </c>
      <c r="E460" t="s">
        <v>30</v>
      </c>
      <c r="F460" s="1">
        <v>2</v>
      </c>
      <c r="G460" s="1" t="s">
        <v>32</v>
      </c>
      <c r="H460" s="4" t="str">
        <f>HYPERLINK("https://www.ncbi.nlm.nih.gov/geo/query/acc.cgi?acc=GSM80238","GSM80238")</f>
        <v>GSM80238</v>
      </c>
      <c r="I460" t="s">
        <v>17</v>
      </c>
      <c r="J460" t="s">
        <v>18</v>
      </c>
      <c r="K460" t="s">
        <v>33</v>
      </c>
      <c r="L460" t="s">
        <v>20</v>
      </c>
      <c r="N460" t="s">
        <v>29</v>
      </c>
    </row>
    <row r="461" spans="1:14">
      <c r="A461" s="4" t="str">
        <f t="shared" si="32"/>
        <v>EXP00008</v>
      </c>
      <c r="B461" s="4" t="str">
        <f t="shared" si="33"/>
        <v>22048815</v>
      </c>
      <c r="C461" s="4" t="str">
        <f t="shared" si="34"/>
        <v>GSE10893</v>
      </c>
      <c r="D461" s="1" t="s">
        <v>38</v>
      </c>
      <c r="E461" t="s">
        <v>30</v>
      </c>
      <c r="F461" s="1">
        <v>2</v>
      </c>
      <c r="G461" s="1" t="s">
        <v>32</v>
      </c>
      <c r="H461" s="4" t="str">
        <f>HYPERLINK("https://www.ncbi.nlm.nih.gov/geo/query/acc.cgi?acc=GSM80245","GSM80245")</f>
        <v>GSM80245</v>
      </c>
      <c r="I461" t="s">
        <v>17</v>
      </c>
      <c r="J461" t="s">
        <v>18</v>
      </c>
      <c r="K461" t="s">
        <v>33</v>
      </c>
      <c r="L461" t="s">
        <v>20</v>
      </c>
      <c r="N461" t="s">
        <v>29</v>
      </c>
    </row>
    <row r="462" spans="1:14">
      <c r="A462" s="4" t="str">
        <f t="shared" si="32"/>
        <v>EXP00008</v>
      </c>
      <c r="B462" s="4" t="str">
        <f t="shared" si="33"/>
        <v>22048815</v>
      </c>
      <c r="C462" s="4" t="str">
        <f t="shared" si="34"/>
        <v>GSE10893</v>
      </c>
      <c r="D462" s="1" t="s">
        <v>38</v>
      </c>
      <c r="E462" t="s">
        <v>30</v>
      </c>
      <c r="F462" s="1">
        <v>2</v>
      </c>
      <c r="G462" s="1" t="s">
        <v>32</v>
      </c>
      <c r="H462" s="4" t="str">
        <f>HYPERLINK("https://www.ncbi.nlm.nih.gov/geo/query/acc.cgi?acc=GSM80246","GSM80246")</f>
        <v>GSM80246</v>
      </c>
      <c r="I462" t="s">
        <v>17</v>
      </c>
      <c r="J462" t="s">
        <v>18</v>
      </c>
      <c r="K462" t="s">
        <v>19</v>
      </c>
      <c r="L462" t="s">
        <v>20</v>
      </c>
      <c r="M462" t="s">
        <v>24</v>
      </c>
      <c r="N462" t="s">
        <v>22</v>
      </c>
    </row>
    <row r="463" spans="1:14">
      <c r="A463" s="4" t="str">
        <f t="shared" si="32"/>
        <v>EXP00008</v>
      </c>
      <c r="B463" s="4" t="str">
        <f t="shared" si="33"/>
        <v>22048815</v>
      </c>
      <c r="C463" s="4" t="str">
        <f t="shared" si="34"/>
        <v>GSE10893</v>
      </c>
      <c r="D463" s="1" t="s">
        <v>38</v>
      </c>
      <c r="E463" t="s">
        <v>30</v>
      </c>
      <c r="F463" s="1">
        <v>2</v>
      </c>
      <c r="G463" s="1" t="s">
        <v>32</v>
      </c>
      <c r="H463" s="4" t="str">
        <f>HYPERLINK("https://www.ncbi.nlm.nih.gov/geo/query/acc.cgi?acc=GSM81164","GSM81164")</f>
        <v>GSM81164</v>
      </c>
      <c r="I463" t="s">
        <v>17</v>
      </c>
      <c r="J463" t="s">
        <v>18</v>
      </c>
      <c r="K463" t="s">
        <v>33</v>
      </c>
      <c r="L463" t="s">
        <v>20</v>
      </c>
      <c r="N463" t="s">
        <v>29</v>
      </c>
    </row>
    <row r="464" spans="1:14">
      <c r="A464" s="4" t="str">
        <f t="shared" si="32"/>
        <v>EXP00008</v>
      </c>
      <c r="B464" s="4" t="str">
        <f t="shared" si="33"/>
        <v>22048815</v>
      </c>
      <c r="C464" s="4" t="str">
        <f t="shared" si="34"/>
        <v>GSE10893</v>
      </c>
      <c r="D464" s="1" t="s">
        <v>38</v>
      </c>
      <c r="E464" t="s">
        <v>30</v>
      </c>
      <c r="F464" s="1">
        <v>2</v>
      </c>
      <c r="G464" s="1" t="s">
        <v>32</v>
      </c>
      <c r="H464" s="4" t="str">
        <f>HYPERLINK("https://www.ncbi.nlm.nih.gov/geo/query/acc.cgi?acc=GSM81179","GSM81179")</f>
        <v>GSM81179</v>
      </c>
      <c r="I464" t="s">
        <v>17</v>
      </c>
      <c r="J464" t="s">
        <v>18</v>
      </c>
      <c r="K464" t="s">
        <v>33</v>
      </c>
      <c r="L464" t="s">
        <v>20</v>
      </c>
      <c r="N464" t="s">
        <v>29</v>
      </c>
    </row>
    <row r="465" spans="1:14">
      <c r="A465" s="4" t="str">
        <f t="shared" si="32"/>
        <v>EXP00008</v>
      </c>
      <c r="B465" s="4" t="str">
        <f t="shared" si="33"/>
        <v>22048815</v>
      </c>
      <c r="C465" s="4" t="str">
        <f t="shared" si="34"/>
        <v>GSE10893</v>
      </c>
      <c r="D465" s="1" t="s">
        <v>38</v>
      </c>
      <c r="E465" t="s">
        <v>30</v>
      </c>
      <c r="F465" s="1">
        <v>2</v>
      </c>
      <c r="G465" s="1" t="s">
        <v>32</v>
      </c>
      <c r="H465" s="4" t="str">
        <f>HYPERLINK("https://www.ncbi.nlm.nih.gov/geo/query/acc.cgi?acc=GSM81180","GSM81180")</f>
        <v>GSM81180</v>
      </c>
      <c r="I465" t="s">
        <v>17</v>
      </c>
      <c r="J465" t="s">
        <v>18</v>
      </c>
      <c r="K465" t="s">
        <v>33</v>
      </c>
      <c r="L465" t="s">
        <v>20</v>
      </c>
      <c r="N465" t="s">
        <v>29</v>
      </c>
    </row>
    <row r="466" spans="1:14">
      <c r="A466" s="4" t="str">
        <f t="shared" si="32"/>
        <v>EXP00008</v>
      </c>
      <c r="B466" s="4" t="str">
        <f t="shared" si="33"/>
        <v>22048815</v>
      </c>
      <c r="C466" s="4" t="str">
        <f t="shared" si="34"/>
        <v>GSE10893</v>
      </c>
      <c r="D466" s="1" t="s">
        <v>38</v>
      </c>
      <c r="E466" t="s">
        <v>30</v>
      </c>
      <c r="F466" s="1">
        <v>2</v>
      </c>
      <c r="G466" s="1" t="s">
        <v>32</v>
      </c>
      <c r="H466" s="4" t="str">
        <f>HYPERLINK("https://www.ncbi.nlm.nih.gov/geo/query/acc.cgi?acc=GSM81181","GSM81181")</f>
        <v>GSM81181</v>
      </c>
      <c r="I466" t="s">
        <v>17</v>
      </c>
      <c r="J466" t="s">
        <v>18</v>
      </c>
      <c r="K466" t="s">
        <v>33</v>
      </c>
      <c r="L466" t="s">
        <v>20</v>
      </c>
      <c r="N466" t="s">
        <v>29</v>
      </c>
    </row>
    <row r="467" spans="1:14">
      <c r="A467" s="4" t="str">
        <f t="shared" ref="A467:A473" si="35">HYPERLINK("http://hcmdb.i-sanger.com/experiment/details/experiment_id/EXP00008","EXP00008")</f>
        <v>EXP00008</v>
      </c>
      <c r="B467" s="4" t="str">
        <f t="shared" si="33"/>
        <v>22048815</v>
      </c>
      <c r="C467" s="4" t="str">
        <f t="shared" si="34"/>
        <v>GSE10893</v>
      </c>
      <c r="D467" s="1" t="s">
        <v>38</v>
      </c>
      <c r="E467" t="s">
        <v>30</v>
      </c>
      <c r="F467" s="1">
        <v>2</v>
      </c>
      <c r="G467" s="1" t="s">
        <v>32</v>
      </c>
      <c r="H467" s="4" t="str">
        <f>HYPERLINK("https://www.ncbi.nlm.nih.gov/geo/query/acc.cgi?acc=GSM81182","GSM81182")</f>
        <v>GSM81182</v>
      </c>
      <c r="I467" t="s">
        <v>17</v>
      </c>
      <c r="J467" t="s">
        <v>18</v>
      </c>
      <c r="K467" t="s">
        <v>33</v>
      </c>
      <c r="L467" t="s">
        <v>20</v>
      </c>
      <c r="N467" t="s">
        <v>29</v>
      </c>
    </row>
    <row r="468" spans="1:14">
      <c r="A468" s="4" t="str">
        <f t="shared" si="35"/>
        <v>EXP00008</v>
      </c>
      <c r="B468" s="4" t="str">
        <f t="shared" si="33"/>
        <v>22048815</v>
      </c>
      <c r="C468" s="4" t="str">
        <f t="shared" si="34"/>
        <v>GSE10893</v>
      </c>
      <c r="D468" s="1" t="s">
        <v>38</v>
      </c>
      <c r="E468" t="s">
        <v>30</v>
      </c>
      <c r="F468" s="1">
        <v>2</v>
      </c>
      <c r="G468" s="1" t="s">
        <v>32</v>
      </c>
      <c r="H468" s="4" t="str">
        <f>HYPERLINK("https://www.ncbi.nlm.nih.gov/geo/query/acc.cgi?acc=GSM81183","GSM81183")</f>
        <v>GSM81183</v>
      </c>
      <c r="I468" t="s">
        <v>17</v>
      </c>
      <c r="J468" t="s">
        <v>18</v>
      </c>
      <c r="K468" t="s">
        <v>33</v>
      </c>
      <c r="L468" t="s">
        <v>20</v>
      </c>
      <c r="N468" t="s">
        <v>29</v>
      </c>
    </row>
    <row r="469" spans="1:14">
      <c r="A469" s="4" t="str">
        <f t="shared" si="35"/>
        <v>EXP00008</v>
      </c>
      <c r="B469" s="4" t="str">
        <f t="shared" si="33"/>
        <v>22048815</v>
      </c>
      <c r="C469" s="4" t="str">
        <f t="shared" si="34"/>
        <v>GSE10893</v>
      </c>
      <c r="D469" s="1" t="s">
        <v>38</v>
      </c>
      <c r="E469" t="s">
        <v>30</v>
      </c>
      <c r="F469" s="1">
        <v>2</v>
      </c>
      <c r="G469" s="1" t="s">
        <v>32</v>
      </c>
      <c r="H469" s="4" t="str">
        <f>HYPERLINK("https://www.ncbi.nlm.nih.gov/geo/query/acc.cgi?acc=GSM81184","GSM81184")</f>
        <v>GSM81184</v>
      </c>
      <c r="I469" t="s">
        <v>17</v>
      </c>
      <c r="J469" t="s">
        <v>18</v>
      </c>
      <c r="K469" t="s">
        <v>33</v>
      </c>
      <c r="L469" t="s">
        <v>20</v>
      </c>
      <c r="N469" t="s">
        <v>29</v>
      </c>
    </row>
    <row r="470" spans="1:14">
      <c r="A470" s="4" t="str">
        <f t="shared" si="35"/>
        <v>EXP00008</v>
      </c>
      <c r="B470" s="4" t="str">
        <f t="shared" si="33"/>
        <v>22048815</v>
      </c>
      <c r="C470" s="4" t="str">
        <f t="shared" si="34"/>
        <v>GSE10893</v>
      </c>
      <c r="D470" s="1" t="s">
        <v>38</v>
      </c>
      <c r="E470" t="s">
        <v>30</v>
      </c>
      <c r="F470" s="1">
        <v>2</v>
      </c>
      <c r="G470" s="1" t="s">
        <v>32</v>
      </c>
      <c r="H470" s="4" t="str">
        <f>HYPERLINK("https://www.ncbi.nlm.nih.gov/geo/query/acc.cgi?acc=GSM81185","GSM81185")</f>
        <v>GSM81185</v>
      </c>
      <c r="I470" t="s">
        <v>17</v>
      </c>
      <c r="J470" t="s">
        <v>18</v>
      </c>
      <c r="K470" t="s">
        <v>33</v>
      </c>
      <c r="L470" t="s">
        <v>20</v>
      </c>
      <c r="N470" t="s">
        <v>29</v>
      </c>
    </row>
    <row r="471" spans="1:14">
      <c r="A471" s="4" t="str">
        <f t="shared" si="35"/>
        <v>EXP00008</v>
      </c>
      <c r="B471" s="4" t="str">
        <f t="shared" si="33"/>
        <v>22048815</v>
      </c>
      <c r="C471" s="4" t="str">
        <f t="shared" si="34"/>
        <v>GSE10893</v>
      </c>
      <c r="D471" s="1" t="s">
        <v>38</v>
      </c>
      <c r="E471" t="s">
        <v>30</v>
      </c>
      <c r="F471" s="1">
        <v>2</v>
      </c>
      <c r="G471" s="1" t="s">
        <v>32</v>
      </c>
      <c r="H471" s="4" t="str">
        <f>HYPERLINK("https://www.ncbi.nlm.nih.gov/geo/query/acc.cgi?acc=GSM81186","GSM81186")</f>
        <v>GSM81186</v>
      </c>
      <c r="I471" t="s">
        <v>17</v>
      </c>
      <c r="J471" t="s">
        <v>18</v>
      </c>
      <c r="K471" t="s">
        <v>33</v>
      </c>
      <c r="L471" t="s">
        <v>20</v>
      </c>
      <c r="N471" t="s">
        <v>29</v>
      </c>
    </row>
    <row r="472" spans="1:14">
      <c r="A472" s="4" t="str">
        <f t="shared" si="35"/>
        <v>EXP00008</v>
      </c>
      <c r="B472" s="4" t="str">
        <f t="shared" si="33"/>
        <v>22048815</v>
      </c>
      <c r="C472" s="4" t="str">
        <f t="shared" si="34"/>
        <v>GSE10893</v>
      </c>
      <c r="D472" s="1" t="s">
        <v>38</v>
      </c>
      <c r="E472" t="s">
        <v>30</v>
      </c>
      <c r="F472" s="1">
        <v>2</v>
      </c>
      <c r="G472" s="1" t="s">
        <v>32</v>
      </c>
      <c r="H472" s="4" t="str">
        <f>HYPERLINK("https://www.ncbi.nlm.nih.gov/geo/query/acc.cgi?acc=GSM81187","GSM81187")</f>
        <v>GSM81187</v>
      </c>
      <c r="I472" t="s">
        <v>17</v>
      </c>
      <c r="J472" t="s">
        <v>18</v>
      </c>
      <c r="K472" t="s">
        <v>33</v>
      </c>
      <c r="L472" t="s">
        <v>20</v>
      </c>
      <c r="N472" t="s">
        <v>29</v>
      </c>
    </row>
    <row r="473" spans="1:14">
      <c r="A473" s="4" t="str">
        <f t="shared" si="35"/>
        <v>EXP00008</v>
      </c>
      <c r="B473" s="4" t="str">
        <f t="shared" si="33"/>
        <v>22048815</v>
      </c>
      <c r="C473" s="4" t="str">
        <f t="shared" si="34"/>
        <v>GSE10893</v>
      </c>
      <c r="D473" s="1" t="s">
        <v>38</v>
      </c>
      <c r="E473" t="s">
        <v>30</v>
      </c>
      <c r="F473" s="1">
        <v>2</v>
      </c>
      <c r="G473" s="1" t="s">
        <v>32</v>
      </c>
      <c r="H473" s="4" t="str">
        <f>HYPERLINK("https://www.ncbi.nlm.nih.gov/geo/query/acc.cgi?acc=GSM81188","GSM81188")</f>
        <v>GSM81188</v>
      </c>
      <c r="I473" t="s">
        <v>17</v>
      </c>
      <c r="J473" t="s">
        <v>18</v>
      </c>
      <c r="K473" t="s">
        <v>33</v>
      </c>
      <c r="L473" t="s">
        <v>20</v>
      </c>
      <c r="N473" t="s">
        <v>29</v>
      </c>
    </row>
    <row r="474" spans="1:14">
      <c r="A474" s="4" t="str">
        <f t="shared" ref="A474:A505" si="36">HYPERLINK("http://hcmdb.i-sanger.com/experiment/details/experiment_id/EXP00009","EXP00009")</f>
        <v>EXP00009</v>
      </c>
      <c r="B474" s="4" t="str">
        <f t="shared" si="33"/>
        <v>22048815</v>
      </c>
      <c r="C474" s="4" t="str">
        <f t="shared" si="34"/>
        <v>GSE10893</v>
      </c>
      <c r="D474" s="1" t="s">
        <v>38</v>
      </c>
      <c r="E474" t="s">
        <v>35</v>
      </c>
      <c r="F474" s="1">
        <v>1</v>
      </c>
      <c r="G474" s="1" t="s">
        <v>36</v>
      </c>
      <c r="H474" s="4" t="str">
        <f>HYPERLINK("https://www.ncbi.nlm.nih.gov/geo/query/acc.cgi?acc=GSM34427","GSM34427")</f>
        <v>GSM34427</v>
      </c>
      <c r="I474" t="s">
        <v>17</v>
      </c>
      <c r="J474" t="s">
        <v>18</v>
      </c>
      <c r="K474" t="s">
        <v>33</v>
      </c>
      <c r="L474" t="s">
        <v>20</v>
      </c>
      <c r="N474" t="s">
        <v>37</v>
      </c>
    </row>
    <row r="475" spans="1:14">
      <c r="A475" s="4" t="str">
        <f t="shared" si="36"/>
        <v>EXP00009</v>
      </c>
      <c r="B475" s="4" t="str">
        <f t="shared" si="33"/>
        <v>22048815</v>
      </c>
      <c r="C475" s="4" t="str">
        <f t="shared" si="34"/>
        <v>GSE10893</v>
      </c>
      <c r="D475" s="1" t="s">
        <v>38</v>
      </c>
      <c r="E475" t="s">
        <v>35</v>
      </c>
      <c r="F475" s="1">
        <v>1</v>
      </c>
      <c r="G475" s="1" t="s">
        <v>36</v>
      </c>
      <c r="H475" s="4" t="str">
        <f>HYPERLINK("https://www.ncbi.nlm.nih.gov/geo/query/acc.cgi?acc=GSM34440","GSM34440")</f>
        <v>GSM34440</v>
      </c>
      <c r="I475" t="s">
        <v>17</v>
      </c>
      <c r="J475" t="s">
        <v>18</v>
      </c>
      <c r="K475" t="s">
        <v>33</v>
      </c>
      <c r="L475" t="s">
        <v>20</v>
      </c>
      <c r="N475" t="s">
        <v>37</v>
      </c>
    </row>
    <row r="476" spans="1:14">
      <c r="A476" s="4" t="str">
        <f t="shared" si="36"/>
        <v>EXP00009</v>
      </c>
      <c r="B476" s="4" t="str">
        <f t="shared" si="33"/>
        <v>22048815</v>
      </c>
      <c r="C476" s="4" t="str">
        <f t="shared" si="34"/>
        <v>GSE10893</v>
      </c>
      <c r="D476" s="1" t="s">
        <v>38</v>
      </c>
      <c r="E476" t="s">
        <v>35</v>
      </c>
      <c r="F476" s="1">
        <v>1</v>
      </c>
      <c r="G476" s="1" t="s">
        <v>36</v>
      </c>
      <c r="H476" s="4" t="str">
        <f>HYPERLINK("https://www.ncbi.nlm.nih.gov/geo/query/acc.cgi?acc=GSM34441","GSM34441")</f>
        <v>GSM34441</v>
      </c>
      <c r="I476" t="s">
        <v>17</v>
      </c>
      <c r="J476" t="s">
        <v>18</v>
      </c>
      <c r="K476" t="s">
        <v>33</v>
      </c>
      <c r="L476" t="s">
        <v>20</v>
      </c>
      <c r="N476" t="s">
        <v>37</v>
      </c>
    </row>
    <row r="477" spans="1:14">
      <c r="A477" s="4" t="str">
        <f t="shared" si="36"/>
        <v>EXP00009</v>
      </c>
      <c r="B477" s="4" t="str">
        <f t="shared" si="33"/>
        <v>22048815</v>
      </c>
      <c r="C477" s="4" t="str">
        <f t="shared" si="34"/>
        <v>GSE10893</v>
      </c>
      <c r="D477" s="1" t="s">
        <v>38</v>
      </c>
      <c r="E477" t="s">
        <v>35</v>
      </c>
      <c r="F477" s="1">
        <v>1</v>
      </c>
      <c r="G477" s="1" t="s">
        <v>36</v>
      </c>
      <c r="H477" s="4" t="str">
        <f>HYPERLINK("https://www.ncbi.nlm.nih.gov/geo/query/acc.cgi?acc=GSM34465","GSM34465")</f>
        <v>GSM34465</v>
      </c>
      <c r="I477" t="s">
        <v>17</v>
      </c>
      <c r="J477" t="s">
        <v>18</v>
      </c>
      <c r="K477" t="s">
        <v>33</v>
      </c>
      <c r="L477" t="s">
        <v>20</v>
      </c>
      <c r="N477" t="s">
        <v>37</v>
      </c>
    </row>
    <row r="478" spans="1:14">
      <c r="A478" s="4" t="str">
        <f t="shared" si="36"/>
        <v>EXP00009</v>
      </c>
      <c r="B478" s="4" t="str">
        <f t="shared" si="33"/>
        <v>22048815</v>
      </c>
      <c r="C478" s="4" t="str">
        <f t="shared" si="34"/>
        <v>GSE10893</v>
      </c>
      <c r="D478" s="1" t="s">
        <v>38</v>
      </c>
      <c r="E478" t="s">
        <v>35</v>
      </c>
      <c r="F478" s="1">
        <v>2</v>
      </c>
      <c r="G478" s="1" t="s">
        <v>28</v>
      </c>
      <c r="H478" s="4" t="str">
        <f>HYPERLINK("https://www.ncbi.nlm.nih.gov/geo/query/acc.cgi?acc=GSM34424","GSM34424")</f>
        <v>GSM34424</v>
      </c>
      <c r="I478" t="s">
        <v>17</v>
      </c>
      <c r="J478" t="s">
        <v>18</v>
      </c>
      <c r="K478" t="s">
        <v>33</v>
      </c>
      <c r="L478" t="s">
        <v>20</v>
      </c>
      <c r="N478" t="s">
        <v>29</v>
      </c>
    </row>
    <row r="479" spans="1:14">
      <c r="A479" s="4" t="str">
        <f t="shared" si="36"/>
        <v>EXP00009</v>
      </c>
      <c r="B479" s="4" t="str">
        <f t="shared" si="33"/>
        <v>22048815</v>
      </c>
      <c r="C479" s="4" t="str">
        <f t="shared" si="34"/>
        <v>GSE10893</v>
      </c>
      <c r="D479" s="1" t="s">
        <v>38</v>
      </c>
      <c r="E479" t="s">
        <v>35</v>
      </c>
      <c r="F479" s="1">
        <v>2</v>
      </c>
      <c r="G479" s="1" t="s">
        <v>28</v>
      </c>
      <c r="H479" s="4" t="str">
        <f>HYPERLINK("https://www.ncbi.nlm.nih.gov/geo/query/acc.cgi?acc=GSM34425","GSM34425")</f>
        <v>GSM34425</v>
      </c>
      <c r="I479" t="s">
        <v>17</v>
      </c>
      <c r="J479" t="s">
        <v>18</v>
      </c>
      <c r="K479" t="s">
        <v>33</v>
      </c>
      <c r="L479" t="s">
        <v>20</v>
      </c>
      <c r="N479" t="s">
        <v>29</v>
      </c>
    </row>
    <row r="480" spans="1:14">
      <c r="A480" s="4" t="str">
        <f t="shared" si="36"/>
        <v>EXP00009</v>
      </c>
      <c r="B480" s="4" t="str">
        <f t="shared" si="33"/>
        <v>22048815</v>
      </c>
      <c r="C480" s="4" t="str">
        <f t="shared" si="34"/>
        <v>GSE10893</v>
      </c>
      <c r="D480" s="1" t="s">
        <v>38</v>
      </c>
      <c r="E480" t="s">
        <v>35</v>
      </c>
      <c r="F480" s="1">
        <v>2</v>
      </c>
      <c r="G480" s="1" t="s">
        <v>28</v>
      </c>
      <c r="H480" s="4" t="str">
        <f>HYPERLINK("https://www.ncbi.nlm.nih.gov/geo/query/acc.cgi?acc=GSM34426","GSM34426")</f>
        <v>GSM34426</v>
      </c>
      <c r="I480" t="s">
        <v>17</v>
      </c>
      <c r="J480" t="s">
        <v>18</v>
      </c>
      <c r="K480" t="s">
        <v>33</v>
      </c>
      <c r="L480" t="s">
        <v>20</v>
      </c>
      <c r="N480" t="s">
        <v>29</v>
      </c>
    </row>
    <row r="481" spans="1:14">
      <c r="A481" s="4" t="str">
        <f t="shared" si="36"/>
        <v>EXP00009</v>
      </c>
      <c r="B481" s="4" t="str">
        <f t="shared" si="33"/>
        <v>22048815</v>
      </c>
      <c r="C481" s="4" t="str">
        <f t="shared" si="34"/>
        <v>GSE10893</v>
      </c>
      <c r="D481" s="1" t="s">
        <v>38</v>
      </c>
      <c r="E481" t="s">
        <v>35</v>
      </c>
      <c r="F481" s="1">
        <v>2</v>
      </c>
      <c r="G481" s="1" t="s">
        <v>28</v>
      </c>
      <c r="H481" s="4" t="str">
        <f>HYPERLINK("https://www.ncbi.nlm.nih.gov/geo/query/acc.cgi?acc=GSM34428","GSM34428")</f>
        <v>GSM34428</v>
      </c>
      <c r="I481" t="s">
        <v>17</v>
      </c>
      <c r="J481" t="s">
        <v>18</v>
      </c>
      <c r="K481" t="s">
        <v>33</v>
      </c>
      <c r="L481" t="s">
        <v>20</v>
      </c>
      <c r="N481" t="s">
        <v>29</v>
      </c>
    </row>
    <row r="482" spans="1:14">
      <c r="A482" s="4" t="str">
        <f t="shared" si="36"/>
        <v>EXP00009</v>
      </c>
      <c r="B482" s="4" t="str">
        <f t="shared" si="33"/>
        <v>22048815</v>
      </c>
      <c r="C482" s="4" t="str">
        <f t="shared" si="34"/>
        <v>GSE10893</v>
      </c>
      <c r="D482" s="1" t="s">
        <v>38</v>
      </c>
      <c r="E482" t="s">
        <v>35</v>
      </c>
      <c r="F482" s="1">
        <v>2</v>
      </c>
      <c r="G482" s="1" t="s">
        <v>28</v>
      </c>
      <c r="H482" s="4" t="str">
        <f>HYPERLINK("https://www.ncbi.nlm.nih.gov/geo/query/acc.cgi?acc=GSM34429","GSM34429")</f>
        <v>GSM34429</v>
      </c>
      <c r="I482" t="s">
        <v>17</v>
      </c>
      <c r="J482" t="s">
        <v>18</v>
      </c>
      <c r="K482" t="s">
        <v>33</v>
      </c>
      <c r="L482" t="s">
        <v>20</v>
      </c>
      <c r="N482" t="s">
        <v>29</v>
      </c>
    </row>
    <row r="483" spans="1:14">
      <c r="A483" s="4" t="str">
        <f t="shared" si="36"/>
        <v>EXP00009</v>
      </c>
      <c r="B483" s="4" t="str">
        <f t="shared" si="33"/>
        <v>22048815</v>
      </c>
      <c r="C483" s="4" t="str">
        <f t="shared" si="34"/>
        <v>GSE10893</v>
      </c>
      <c r="D483" s="1" t="s">
        <v>38</v>
      </c>
      <c r="E483" t="s">
        <v>35</v>
      </c>
      <c r="F483" s="1">
        <v>2</v>
      </c>
      <c r="G483" s="1" t="s">
        <v>28</v>
      </c>
      <c r="H483" s="4" t="str">
        <f>HYPERLINK("https://www.ncbi.nlm.nih.gov/geo/query/acc.cgi?acc=GSM34430","GSM34430")</f>
        <v>GSM34430</v>
      </c>
      <c r="I483" t="s">
        <v>17</v>
      </c>
      <c r="J483" t="s">
        <v>18</v>
      </c>
      <c r="K483" t="s">
        <v>33</v>
      </c>
      <c r="L483" t="s">
        <v>20</v>
      </c>
      <c r="N483" t="s">
        <v>29</v>
      </c>
    </row>
    <row r="484" spans="1:14">
      <c r="A484" s="4" t="str">
        <f t="shared" si="36"/>
        <v>EXP00009</v>
      </c>
      <c r="B484" s="4" t="str">
        <f t="shared" si="33"/>
        <v>22048815</v>
      </c>
      <c r="C484" s="4" t="str">
        <f t="shared" si="34"/>
        <v>GSE10893</v>
      </c>
      <c r="D484" s="1" t="s">
        <v>38</v>
      </c>
      <c r="E484" t="s">
        <v>35</v>
      </c>
      <c r="F484" s="1">
        <v>2</v>
      </c>
      <c r="G484" s="1" t="s">
        <v>28</v>
      </c>
      <c r="H484" s="4" t="str">
        <f>HYPERLINK("https://www.ncbi.nlm.nih.gov/geo/query/acc.cgi?acc=GSM34437","GSM34437")</f>
        <v>GSM34437</v>
      </c>
      <c r="I484" t="s">
        <v>17</v>
      </c>
      <c r="J484" t="s">
        <v>18</v>
      </c>
      <c r="K484" t="s">
        <v>33</v>
      </c>
      <c r="L484" t="s">
        <v>20</v>
      </c>
      <c r="N484" t="s">
        <v>29</v>
      </c>
    </row>
    <row r="485" spans="1:14">
      <c r="A485" s="4" t="str">
        <f t="shared" si="36"/>
        <v>EXP00009</v>
      </c>
      <c r="B485" s="4" t="str">
        <f t="shared" si="33"/>
        <v>22048815</v>
      </c>
      <c r="C485" s="4" t="str">
        <f t="shared" si="34"/>
        <v>GSE10893</v>
      </c>
      <c r="D485" s="1" t="s">
        <v>38</v>
      </c>
      <c r="E485" t="s">
        <v>35</v>
      </c>
      <c r="F485" s="1">
        <v>2</v>
      </c>
      <c r="G485" s="1" t="s">
        <v>28</v>
      </c>
      <c r="H485" s="4" t="str">
        <f>HYPERLINK("https://www.ncbi.nlm.nih.gov/geo/query/acc.cgi?acc=GSM34439","GSM34439")</f>
        <v>GSM34439</v>
      </c>
      <c r="I485" t="s">
        <v>17</v>
      </c>
      <c r="J485" t="s">
        <v>18</v>
      </c>
      <c r="K485" t="s">
        <v>33</v>
      </c>
      <c r="L485" t="s">
        <v>20</v>
      </c>
      <c r="N485" t="s">
        <v>29</v>
      </c>
    </row>
    <row r="486" spans="1:14">
      <c r="A486" s="4" t="str">
        <f t="shared" si="36"/>
        <v>EXP00009</v>
      </c>
      <c r="B486" s="4" t="str">
        <f t="shared" si="33"/>
        <v>22048815</v>
      </c>
      <c r="C486" s="4" t="str">
        <f t="shared" si="34"/>
        <v>GSE10893</v>
      </c>
      <c r="D486" s="1" t="s">
        <v>38</v>
      </c>
      <c r="E486" t="s">
        <v>35</v>
      </c>
      <c r="F486" s="1">
        <v>2</v>
      </c>
      <c r="G486" s="1" t="s">
        <v>28</v>
      </c>
      <c r="H486" s="4" t="str">
        <f>HYPERLINK("https://www.ncbi.nlm.nih.gov/geo/query/acc.cgi?acc=GSM34461","GSM34461")</f>
        <v>GSM34461</v>
      </c>
      <c r="I486" t="s">
        <v>17</v>
      </c>
      <c r="J486" t="s">
        <v>18</v>
      </c>
      <c r="K486" t="s">
        <v>33</v>
      </c>
      <c r="L486" t="s">
        <v>20</v>
      </c>
      <c r="N486" t="s">
        <v>29</v>
      </c>
    </row>
    <row r="487" spans="1:14">
      <c r="A487" s="4" t="str">
        <f t="shared" si="36"/>
        <v>EXP00009</v>
      </c>
      <c r="B487" s="4" t="str">
        <f t="shared" si="33"/>
        <v>22048815</v>
      </c>
      <c r="C487" s="4" t="str">
        <f t="shared" si="34"/>
        <v>GSE10893</v>
      </c>
      <c r="D487" s="1" t="s">
        <v>38</v>
      </c>
      <c r="E487" t="s">
        <v>35</v>
      </c>
      <c r="F487" s="1">
        <v>2</v>
      </c>
      <c r="G487" s="1" t="s">
        <v>28</v>
      </c>
      <c r="H487" s="4" t="str">
        <f>HYPERLINK("https://www.ncbi.nlm.nih.gov/geo/query/acc.cgi?acc=GSM34462","GSM34462")</f>
        <v>GSM34462</v>
      </c>
      <c r="I487" t="s">
        <v>17</v>
      </c>
      <c r="J487" t="s">
        <v>18</v>
      </c>
      <c r="K487" t="s">
        <v>33</v>
      </c>
      <c r="L487" t="s">
        <v>20</v>
      </c>
      <c r="N487" t="s">
        <v>29</v>
      </c>
    </row>
    <row r="488" spans="1:14">
      <c r="A488" s="4" t="str">
        <f t="shared" si="36"/>
        <v>EXP00009</v>
      </c>
      <c r="B488" s="4" t="str">
        <f t="shared" si="33"/>
        <v>22048815</v>
      </c>
      <c r="C488" s="4" t="str">
        <f t="shared" si="34"/>
        <v>GSE10893</v>
      </c>
      <c r="D488" s="1" t="s">
        <v>38</v>
      </c>
      <c r="E488" t="s">
        <v>35</v>
      </c>
      <c r="F488" s="1">
        <v>2</v>
      </c>
      <c r="G488" s="1" t="s">
        <v>28</v>
      </c>
      <c r="H488" s="4" t="str">
        <f>HYPERLINK("https://www.ncbi.nlm.nih.gov/geo/query/acc.cgi?acc=GSM34463","GSM34463")</f>
        <v>GSM34463</v>
      </c>
      <c r="I488" t="s">
        <v>17</v>
      </c>
      <c r="J488" t="s">
        <v>18</v>
      </c>
      <c r="K488" t="s">
        <v>33</v>
      </c>
      <c r="L488" t="s">
        <v>20</v>
      </c>
      <c r="N488" t="s">
        <v>29</v>
      </c>
    </row>
    <row r="489" spans="1:14">
      <c r="A489" s="4" t="str">
        <f t="shared" si="36"/>
        <v>EXP00009</v>
      </c>
      <c r="B489" s="4" t="str">
        <f t="shared" si="33"/>
        <v>22048815</v>
      </c>
      <c r="C489" s="4" t="str">
        <f t="shared" si="34"/>
        <v>GSE10893</v>
      </c>
      <c r="D489" s="1" t="s">
        <v>38</v>
      </c>
      <c r="E489" t="s">
        <v>35</v>
      </c>
      <c r="F489" s="1">
        <v>2</v>
      </c>
      <c r="G489" s="1" t="s">
        <v>28</v>
      </c>
      <c r="H489" s="4" t="str">
        <f>HYPERLINK("https://www.ncbi.nlm.nih.gov/geo/query/acc.cgi?acc=GSM34470","GSM34470")</f>
        <v>GSM34470</v>
      </c>
      <c r="I489" t="s">
        <v>17</v>
      </c>
      <c r="J489" t="s">
        <v>18</v>
      </c>
      <c r="K489" t="s">
        <v>33</v>
      </c>
      <c r="L489" t="s">
        <v>20</v>
      </c>
      <c r="N489" t="s">
        <v>29</v>
      </c>
    </row>
    <row r="490" spans="1:14">
      <c r="A490" s="4" t="str">
        <f t="shared" si="36"/>
        <v>EXP00009</v>
      </c>
      <c r="B490" s="4" t="str">
        <f t="shared" si="33"/>
        <v>22048815</v>
      </c>
      <c r="C490" s="4" t="str">
        <f t="shared" si="34"/>
        <v>GSE10893</v>
      </c>
      <c r="D490" s="1" t="s">
        <v>38</v>
      </c>
      <c r="E490" t="s">
        <v>35</v>
      </c>
      <c r="F490" s="1">
        <v>2</v>
      </c>
      <c r="G490" s="1" t="s">
        <v>28</v>
      </c>
      <c r="H490" s="4" t="str">
        <f>HYPERLINK("https://www.ncbi.nlm.nih.gov/geo/query/acc.cgi?acc=GSM34471","GSM34471")</f>
        <v>GSM34471</v>
      </c>
      <c r="I490" t="s">
        <v>17</v>
      </c>
      <c r="J490" t="s">
        <v>18</v>
      </c>
      <c r="K490" t="s">
        <v>33</v>
      </c>
      <c r="L490" t="s">
        <v>20</v>
      </c>
      <c r="N490" t="s">
        <v>29</v>
      </c>
    </row>
    <row r="491" spans="1:14">
      <c r="A491" s="4" t="str">
        <f t="shared" si="36"/>
        <v>EXP00009</v>
      </c>
      <c r="B491" s="4" t="str">
        <f t="shared" si="33"/>
        <v>22048815</v>
      </c>
      <c r="C491" s="4" t="str">
        <f t="shared" si="34"/>
        <v>GSE10893</v>
      </c>
      <c r="D491" s="1" t="s">
        <v>38</v>
      </c>
      <c r="E491" t="s">
        <v>35</v>
      </c>
      <c r="F491" s="1">
        <v>2</v>
      </c>
      <c r="G491" s="1" t="s">
        <v>28</v>
      </c>
      <c r="H491" s="4" t="str">
        <f>HYPERLINK("https://www.ncbi.nlm.nih.gov/geo/query/acc.cgi?acc=GSM34476","GSM34476")</f>
        <v>GSM34476</v>
      </c>
      <c r="I491" t="s">
        <v>17</v>
      </c>
      <c r="J491" t="s">
        <v>18</v>
      </c>
      <c r="K491" t="s">
        <v>33</v>
      </c>
      <c r="L491" t="s">
        <v>20</v>
      </c>
      <c r="N491" t="s">
        <v>29</v>
      </c>
    </row>
    <row r="492" spans="1:14">
      <c r="A492" s="4" t="str">
        <f t="shared" si="36"/>
        <v>EXP00009</v>
      </c>
      <c r="B492" s="4" t="str">
        <f t="shared" si="33"/>
        <v>22048815</v>
      </c>
      <c r="C492" s="4" t="str">
        <f t="shared" si="34"/>
        <v>GSE10893</v>
      </c>
      <c r="D492" s="1" t="s">
        <v>38</v>
      </c>
      <c r="E492" t="s">
        <v>35</v>
      </c>
      <c r="F492" s="1">
        <v>2</v>
      </c>
      <c r="G492" s="1" t="s">
        <v>28</v>
      </c>
      <c r="H492" s="4" t="str">
        <f>HYPERLINK("https://www.ncbi.nlm.nih.gov/geo/query/acc.cgi?acc=GSM34477","GSM34477")</f>
        <v>GSM34477</v>
      </c>
      <c r="I492" t="s">
        <v>17</v>
      </c>
      <c r="J492" t="s">
        <v>18</v>
      </c>
      <c r="K492" t="s">
        <v>33</v>
      </c>
      <c r="L492" t="s">
        <v>20</v>
      </c>
      <c r="N492" t="s">
        <v>29</v>
      </c>
    </row>
    <row r="493" spans="1:14">
      <c r="A493" s="4" t="str">
        <f t="shared" si="36"/>
        <v>EXP00009</v>
      </c>
      <c r="B493" s="4" t="str">
        <f t="shared" si="33"/>
        <v>22048815</v>
      </c>
      <c r="C493" s="4" t="str">
        <f t="shared" si="34"/>
        <v>GSE10893</v>
      </c>
      <c r="D493" s="1" t="s">
        <v>38</v>
      </c>
      <c r="E493" t="s">
        <v>35</v>
      </c>
      <c r="F493" s="1">
        <v>2</v>
      </c>
      <c r="G493" s="1" t="s">
        <v>28</v>
      </c>
      <c r="H493" s="4" t="str">
        <f>HYPERLINK("https://www.ncbi.nlm.nih.gov/geo/query/acc.cgi?acc=GSM34478","GSM34478")</f>
        <v>GSM34478</v>
      </c>
      <c r="I493" t="s">
        <v>17</v>
      </c>
      <c r="J493" t="s">
        <v>18</v>
      </c>
      <c r="K493" t="s">
        <v>33</v>
      </c>
      <c r="L493" t="s">
        <v>20</v>
      </c>
      <c r="N493" t="s">
        <v>29</v>
      </c>
    </row>
    <row r="494" spans="1:14">
      <c r="A494" s="4" t="str">
        <f t="shared" si="36"/>
        <v>EXP00009</v>
      </c>
      <c r="B494" s="4" t="str">
        <f t="shared" si="33"/>
        <v>22048815</v>
      </c>
      <c r="C494" s="4" t="str">
        <f t="shared" si="34"/>
        <v>GSE10893</v>
      </c>
      <c r="D494" s="1" t="s">
        <v>38</v>
      </c>
      <c r="E494" t="s">
        <v>35</v>
      </c>
      <c r="F494" s="1">
        <v>2</v>
      </c>
      <c r="G494" s="1" t="s">
        <v>28</v>
      </c>
      <c r="H494" s="4" t="str">
        <f>HYPERLINK("https://www.ncbi.nlm.nih.gov/geo/query/acc.cgi?acc=GSM34484","GSM34484")</f>
        <v>GSM34484</v>
      </c>
      <c r="I494" t="s">
        <v>17</v>
      </c>
      <c r="J494" t="s">
        <v>18</v>
      </c>
      <c r="K494" t="s">
        <v>33</v>
      </c>
      <c r="L494" t="s">
        <v>20</v>
      </c>
      <c r="N494" t="s">
        <v>29</v>
      </c>
    </row>
    <row r="495" spans="1:14">
      <c r="A495" s="4" t="str">
        <f t="shared" si="36"/>
        <v>EXP00009</v>
      </c>
      <c r="B495" s="4" t="str">
        <f t="shared" si="33"/>
        <v>22048815</v>
      </c>
      <c r="C495" s="4" t="str">
        <f t="shared" si="34"/>
        <v>GSE10893</v>
      </c>
      <c r="D495" s="1" t="s">
        <v>38</v>
      </c>
      <c r="E495" t="s">
        <v>35</v>
      </c>
      <c r="F495" s="1">
        <v>2</v>
      </c>
      <c r="G495" s="1" t="s">
        <v>28</v>
      </c>
      <c r="H495" s="4" t="str">
        <f>HYPERLINK("https://www.ncbi.nlm.nih.gov/geo/query/acc.cgi?acc=GSM34485","GSM34485")</f>
        <v>GSM34485</v>
      </c>
      <c r="I495" t="s">
        <v>17</v>
      </c>
      <c r="J495" t="s">
        <v>18</v>
      </c>
      <c r="K495" t="s">
        <v>33</v>
      </c>
      <c r="L495" t="s">
        <v>20</v>
      </c>
      <c r="N495" t="s">
        <v>29</v>
      </c>
    </row>
    <row r="496" spans="1:14">
      <c r="A496" s="4" t="str">
        <f t="shared" si="36"/>
        <v>EXP00009</v>
      </c>
      <c r="B496" s="4" t="str">
        <f t="shared" si="33"/>
        <v>22048815</v>
      </c>
      <c r="C496" s="4" t="str">
        <f t="shared" si="34"/>
        <v>GSE10893</v>
      </c>
      <c r="D496" s="1" t="s">
        <v>38</v>
      </c>
      <c r="E496" t="s">
        <v>35</v>
      </c>
      <c r="F496" s="1">
        <v>2</v>
      </c>
      <c r="G496" s="1" t="s">
        <v>28</v>
      </c>
      <c r="H496" s="4" t="str">
        <f>HYPERLINK("https://www.ncbi.nlm.nih.gov/geo/query/acc.cgi?acc=GSM34487","GSM34487")</f>
        <v>GSM34487</v>
      </c>
      <c r="I496" t="s">
        <v>17</v>
      </c>
      <c r="J496" t="s">
        <v>18</v>
      </c>
      <c r="K496" t="s">
        <v>33</v>
      </c>
      <c r="L496" t="s">
        <v>20</v>
      </c>
      <c r="N496" t="s">
        <v>29</v>
      </c>
    </row>
    <row r="497" spans="1:14">
      <c r="A497" s="4" t="str">
        <f t="shared" si="36"/>
        <v>EXP00009</v>
      </c>
      <c r="B497" s="4" t="str">
        <f t="shared" si="33"/>
        <v>22048815</v>
      </c>
      <c r="C497" s="4" t="str">
        <f t="shared" si="34"/>
        <v>GSE10893</v>
      </c>
      <c r="D497" s="1" t="s">
        <v>38</v>
      </c>
      <c r="E497" t="s">
        <v>35</v>
      </c>
      <c r="F497" s="1">
        <v>2</v>
      </c>
      <c r="G497" s="1" t="s">
        <v>28</v>
      </c>
      <c r="H497" s="4" t="str">
        <f>HYPERLINK("https://www.ncbi.nlm.nih.gov/geo/query/acc.cgi?acc=GSM34489","GSM34489")</f>
        <v>GSM34489</v>
      </c>
      <c r="I497" t="s">
        <v>17</v>
      </c>
      <c r="J497" t="s">
        <v>18</v>
      </c>
      <c r="K497" t="s">
        <v>33</v>
      </c>
      <c r="L497" t="s">
        <v>20</v>
      </c>
      <c r="N497" t="s">
        <v>29</v>
      </c>
    </row>
    <row r="498" spans="1:14">
      <c r="A498" s="4" t="str">
        <f t="shared" si="36"/>
        <v>EXP00009</v>
      </c>
      <c r="B498" s="4" t="str">
        <f t="shared" si="33"/>
        <v>22048815</v>
      </c>
      <c r="C498" s="4" t="str">
        <f t="shared" si="34"/>
        <v>GSE10893</v>
      </c>
      <c r="D498" s="1" t="s">
        <v>38</v>
      </c>
      <c r="E498" t="s">
        <v>35</v>
      </c>
      <c r="F498" s="1">
        <v>2</v>
      </c>
      <c r="G498" s="1" t="s">
        <v>28</v>
      </c>
      <c r="H498" s="4" t="str">
        <f>HYPERLINK("https://www.ncbi.nlm.nih.gov/geo/query/acc.cgi?acc=GSM34492","GSM34492")</f>
        <v>GSM34492</v>
      </c>
      <c r="I498" t="s">
        <v>17</v>
      </c>
      <c r="J498" t="s">
        <v>18</v>
      </c>
      <c r="K498" t="s">
        <v>33</v>
      </c>
      <c r="L498" t="s">
        <v>20</v>
      </c>
      <c r="N498" t="s">
        <v>29</v>
      </c>
    </row>
    <row r="499" spans="1:14">
      <c r="A499" s="4" t="str">
        <f t="shared" si="36"/>
        <v>EXP00009</v>
      </c>
      <c r="B499" s="4" t="str">
        <f t="shared" si="33"/>
        <v>22048815</v>
      </c>
      <c r="C499" s="4" t="str">
        <f t="shared" si="34"/>
        <v>GSE10893</v>
      </c>
      <c r="D499" s="1" t="s">
        <v>38</v>
      </c>
      <c r="E499" t="s">
        <v>35</v>
      </c>
      <c r="F499" s="1">
        <v>2</v>
      </c>
      <c r="G499" s="1" t="s">
        <v>28</v>
      </c>
      <c r="H499" s="4" t="str">
        <f>HYPERLINK("https://www.ncbi.nlm.nih.gov/geo/query/acc.cgi?acc=GSM34499","GSM34499")</f>
        <v>GSM34499</v>
      </c>
      <c r="I499" t="s">
        <v>17</v>
      </c>
      <c r="J499" t="s">
        <v>18</v>
      </c>
      <c r="K499" t="s">
        <v>33</v>
      </c>
      <c r="L499" t="s">
        <v>20</v>
      </c>
      <c r="N499" t="s">
        <v>29</v>
      </c>
    </row>
    <row r="500" spans="1:14">
      <c r="A500" s="4" t="str">
        <f t="shared" si="36"/>
        <v>EXP00009</v>
      </c>
      <c r="B500" s="4" t="str">
        <f t="shared" si="33"/>
        <v>22048815</v>
      </c>
      <c r="C500" s="4" t="str">
        <f t="shared" si="34"/>
        <v>GSE10893</v>
      </c>
      <c r="D500" s="1" t="s">
        <v>38</v>
      </c>
      <c r="E500" t="s">
        <v>35</v>
      </c>
      <c r="F500" s="1">
        <v>2</v>
      </c>
      <c r="G500" s="1" t="s">
        <v>28</v>
      </c>
      <c r="H500" s="4" t="str">
        <f>HYPERLINK("https://www.ncbi.nlm.nih.gov/geo/query/acc.cgi?acc=GSM34504","GSM34504")</f>
        <v>GSM34504</v>
      </c>
      <c r="I500" t="s">
        <v>17</v>
      </c>
      <c r="J500" t="s">
        <v>18</v>
      </c>
      <c r="K500" t="s">
        <v>33</v>
      </c>
      <c r="L500" t="s">
        <v>20</v>
      </c>
      <c r="N500" t="s">
        <v>29</v>
      </c>
    </row>
    <row r="501" spans="1:14">
      <c r="A501" s="4" t="str">
        <f t="shared" si="36"/>
        <v>EXP00009</v>
      </c>
      <c r="B501" s="4" t="str">
        <f t="shared" si="33"/>
        <v>22048815</v>
      </c>
      <c r="C501" s="4" t="str">
        <f t="shared" si="34"/>
        <v>GSE10893</v>
      </c>
      <c r="D501" s="1" t="s">
        <v>38</v>
      </c>
      <c r="E501" t="s">
        <v>35</v>
      </c>
      <c r="F501" s="1">
        <v>2</v>
      </c>
      <c r="G501" s="1" t="s">
        <v>28</v>
      </c>
      <c r="H501" s="4" t="str">
        <f>HYPERLINK("https://www.ncbi.nlm.nih.gov/geo/query/acc.cgi?acc=GSM34505","GSM34505")</f>
        <v>GSM34505</v>
      </c>
      <c r="I501" t="s">
        <v>17</v>
      </c>
      <c r="J501" t="s">
        <v>18</v>
      </c>
      <c r="K501" t="s">
        <v>33</v>
      </c>
      <c r="L501" t="s">
        <v>20</v>
      </c>
      <c r="N501" t="s">
        <v>29</v>
      </c>
    </row>
    <row r="502" spans="1:14">
      <c r="A502" s="4" t="str">
        <f t="shared" si="36"/>
        <v>EXP00009</v>
      </c>
      <c r="B502" s="4" t="str">
        <f t="shared" si="33"/>
        <v>22048815</v>
      </c>
      <c r="C502" s="4" t="str">
        <f t="shared" si="34"/>
        <v>GSE10893</v>
      </c>
      <c r="D502" s="1" t="s">
        <v>38</v>
      </c>
      <c r="E502" t="s">
        <v>35</v>
      </c>
      <c r="F502" s="1">
        <v>2</v>
      </c>
      <c r="G502" s="1" t="s">
        <v>28</v>
      </c>
      <c r="H502" s="4" t="str">
        <f>HYPERLINK("https://www.ncbi.nlm.nih.gov/geo/query/acc.cgi?acc=GSM34506","GSM34506")</f>
        <v>GSM34506</v>
      </c>
      <c r="I502" t="s">
        <v>17</v>
      </c>
      <c r="J502" t="s">
        <v>18</v>
      </c>
      <c r="K502" t="s">
        <v>33</v>
      </c>
      <c r="L502" t="s">
        <v>20</v>
      </c>
      <c r="N502" t="s">
        <v>29</v>
      </c>
    </row>
    <row r="503" spans="1:14">
      <c r="A503" s="4" t="str">
        <f t="shared" si="36"/>
        <v>EXP00009</v>
      </c>
      <c r="B503" s="4" t="str">
        <f t="shared" si="33"/>
        <v>22048815</v>
      </c>
      <c r="C503" s="4" t="str">
        <f t="shared" si="34"/>
        <v>GSE10893</v>
      </c>
      <c r="D503" s="1" t="s">
        <v>38</v>
      </c>
      <c r="E503" t="s">
        <v>35</v>
      </c>
      <c r="F503" s="1">
        <v>2</v>
      </c>
      <c r="G503" s="1" t="s">
        <v>28</v>
      </c>
      <c r="H503" s="4" t="str">
        <f>HYPERLINK("https://www.ncbi.nlm.nih.gov/geo/query/acc.cgi?acc=GSM34507","GSM34507")</f>
        <v>GSM34507</v>
      </c>
      <c r="I503" t="s">
        <v>17</v>
      </c>
      <c r="J503" t="s">
        <v>18</v>
      </c>
      <c r="K503" t="s">
        <v>33</v>
      </c>
      <c r="L503" t="s">
        <v>20</v>
      </c>
      <c r="N503" t="s">
        <v>29</v>
      </c>
    </row>
    <row r="504" spans="1:14">
      <c r="A504" s="4" t="str">
        <f t="shared" si="36"/>
        <v>EXP00009</v>
      </c>
      <c r="B504" s="4" t="str">
        <f t="shared" si="33"/>
        <v>22048815</v>
      </c>
      <c r="C504" s="4" t="str">
        <f t="shared" si="34"/>
        <v>GSE10893</v>
      </c>
      <c r="D504" s="1" t="s">
        <v>38</v>
      </c>
      <c r="E504" t="s">
        <v>35</v>
      </c>
      <c r="F504" s="1">
        <v>2</v>
      </c>
      <c r="G504" s="1" t="s">
        <v>28</v>
      </c>
      <c r="H504" s="4" t="str">
        <f>HYPERLINK("https://www.ncbi.nlm.nih.gov/geo/query/acc.cgi?acc=GSM34508","GSM34508")</f>
        <v>GSM34508</v>
      </c>
      <c r="I504" t="s">
        <v>17</v>
      </c>
      <c r="J504" t="s">
        <v>18</v>
      </c>
      <c r="K504" t="s">
        <v>33</v>
      </c>
      <c r="L504" t="s">
        <v>20</v>
      </c>
      <c r="N504" t="s">
        <v>29</v>
      </c>
    </row>
    <row r="505" spans="1:14">
      <c r="A505" s="4" t="str">
        <f t="shared" si="36"/>
        <v>EXP00009</v>
      </c>
      <c r="B505" s="4" t="str">
        <f t="shared" si="33"/>
        <v>22048815</v>
      </c>
      <c r="C505" s="4" t="str">
        <f t="shared" si="34"/>
        <v>GSE10893</v>
      </c>
      <c r="D505" s="1" t="s">
        <v>38</v>
      </c>
      <c r="E505" t="s">
        <v>35</v>
      </c>
      <c r="F505" s="1">
        <v>2</v>
      </c>
      <c r="G505" s="1" t="s">
        <v>28</v>
      </c>
      <c r="H505" s="4" t="str">
        <f>HYPERLINK("https://www.ncbi.nlm.nih.gov/geo/query/acc.cgi?acc=GSM34510","GSM34510")</f>
        <v>GSM34510</v>
      </c>
      <c r="I505" t="s">
        <v>17</v>
      </c>
      <c r="J505" t="s">
        <v>18</v>
      </c>
      <c r="K505" t="s">
        <v>33</v>
      </c>
      <c r="L505" t="s">
        <v>20</v>
      </c>
      <c r="N505" t="s">
        <v>29</v>
      </c>
    </row>
    <row r="506" spans="1:14">
      <c r="A506" s="4" t="str">
        <f t="shared" ref="A506:A537" si="37">HYPERLINK("http://hcmdb.i-sanger.com/experiment/details/experiment_id/EXP00009","EXP00009")</f>
        <v>EXP00009</v>
      </c>
      <c r="B506" s="4" t="str">
        <f t="shared" si="33"/>
        <v>22048815</v>
      </c>
      <c r="C506" s="4" t="str">
        <f t="shared" si="34"/>
        <v>GSE10893</v>
      </c>
      <c r="D506" s="1" t="s">
        <v>38</v>
      </c>
      <c r="E506" t="s">
        <v>35</v>
      </c>
      <c r="F506" s="1">
        <v>2</v>
      </c>
      <c r="G506" s="1" t="s">
        <v>28</v>
      </c>
      <c r="H506" s="4" t="str">
        <f>HYPERLINK("https://www.ncbi.nlm.nih.gov/geo/query/acc.cgi?acc=GSM34515","GSM34515")</f>
        <v>GSM34515</v>
      </c>
      <c r="I506" t="s">
        <v>17</v>
      </c>
      <c r="J506" t="s">
        <v>18</v>
      </c>
      <c r="K506" t="s">
        <v>33</v>
      </c>
      <c r="L506" t="s">
        <v>20</v>
      </c>
      <c r="N506" t="s">
        <v>29</v>
      </c>
    </row>
    <row r="507" spans="1:14">
      <c r="A507" s="4" t="str">
        <f t="shared" si="37"/>
        <v>EXP00009</v>
      </c>
      <c r="B507" s="4" t="str">
        <f t="shared" si="33"/>
        <v>22048815</v>
      </c>
      <c r="C507" s="4" t="str">
        <f t="shared" si="34"/>
        <v>GSE10893</v>
      </c>
      <c r="D507" s="1" t="s">
        <v>38</v>
      </c>
      <c r="E507" t="s">
        <v>35</v>
      </c>
      <c r="F507" s="1">
        <v>2</v>
      </c>
      <c r="G507" s="1" t="s">
        <v>28</v>
      </c>
      <c r="H507" s="4" t="str">
        <f>HYPERLINK("https://www.ncbi.nlm.nih.gov/geo/query/acc.cgi?acc=GSM34516","GSM34516")</f>
        <v>GSM34516</v>
      </c>
      <c r="I507" t="s">
        <v>17</v>
      </c>
      <c r="J507" t="s">
        <v>18</v>
      </c>
      <c r="K507" t="s">
        <v>33</v>
      </c>
      <c r="L507" t="s">
        <v>20</v>
      </c>
      <c r="N507" t="s">
        <v>29</v>
      </c>
    </row>
    <row r="508" spans="1:14">
      <c r="A508" s="4" t="str">
        <f t="shared" si="37"/>
        <v>EXP00009</v>
      </c>
      <c r="B508" s="4" t="str">
        <f t="shared" si="33"/>
        <v>22048815</v>
      </c>
      <c r="C508" s="4" t="str">
        <f t="shared" si="34"/>
        <v>GSE10893</v>
      </c>
      <c r="D508" s="1" t="s">
        <v>38</v>
      </c>
      <c r="E508" t="s">
        <v>35</v>
      </c>
      <c r="F508" s="1">
        <v>2</v>
      </c>
      <c r="G508" s="1" t="s">
        <v>28</v>
      </c>
      <c r="H508" s="4" t="str">
        <f>HYPERLINK("https://www.ncbi.nlm.nih.gov/geo/query/acc.cgi?acc=GSM34517","GSM34517")</f>
        <v>GSM34517</v>
      </c>
      <c r="I508" t="s">
        <v>17</v>
      </c>
      <c r="J508" t="s">
        <v>18</v>
      </c>
      <c r="K508" t="s">
        <v>33</v>
      </c>
      <c r="L508" t="s">
        <v>20</v>
      </c>
      <c r="N508" t="s">
        <v>29</v>
      </c>
    </row>
    <row r="509" spans="1:14">
      <c r="A509" s="4" t="str">
        <f t="shared" si="37"/>
        <v>EXP00009</v>
      </c>
      <c r="B509" s="4" t="str">
        <f t="shared" si="33"/>
        <v>22048815</v>
      </c>
      <c r="C509" s="4" t="str">
        <f t="shared" si="34"/>
        <v>GSE10893</v>
      </c>
      <c r="D509" s="1" t="s">
        <v>38</v>
      </c>
      <c r="E509" t="s">
        <v>35</v>
      </c>
      <c r="F509" s="1">
        <v>2</v>
      </c>
      <c r="G509" s="1" t="s">
        <v>28</v>
      </c>
      <c r="H509" s="4" t="str">
        <f>HYPERLINK("https://www.ncbi.nlm.nih.gov/geo/query/acc.cgi?acc=GSM34518","GSM34518")</f>
        <v>GSM34518</v>
      </c>
      <c r="I509" t="s">
        <v>17</v>
      </c>
      <c r="J509" t="s">
        <v>18</v>
      </c>
      <c r="K509" t="s">
        <v>33</v>
      </c>
      <c r="L509" t="s">
        <v>20</v>
      </c>
      <c r="N509" t="s">
        <v>29</v>
      </c>
    </row>
    <row r="510" spans="1:14">
      <c r="A510" s="4" t="str">
        <f t="shared" si="37"/>
        <v>EXP00009</v>
      </c>
      <c r="B510" s="4" t="str">
        <f t="shared" si="33"/>
        <v>22048815</v>
      </c>
      <c r="C510" s="4" t="str">
        <f t="shared" si="34"/>
        <v>GSE10893</v>
      </c>
      <c r="D510" s="1" t="s">
        <v>38</v>
      </c>
      <c r="E510" t="s">
        <v>35</v>
      </c>
      <c r="F510" s="1">
        <v>2</v>
      </c>
      <c r="G510" s="1" t="s">
        <v>28</v>
      </c>
      <c r="H510" s="4" t="str">
        <f>HYPERLINK("https://www.ncbi.nlm.nih.gov/geo/query/acc.cgi?acc=GSM34519","GSM34519")</f>
        <v>GSM34519</v>
      </c>
      <c r="I510" t="s">
        <v>17</v>
      </c>
      <c r="J510" t="s">
        <v>18</v>
      </c>
      <c r="K510" t="s">
        <v>33</v>
      </c>
      <c r="L510" t="s">
        <v>20</v>
      </c>
      <c r="N510" t="s">
        <v>29</v>
      </c>
    </row>
    <row r="511" spans="1:14">
      <c r="A511" s="4" t="str">
        <f t="shared" si="37"/>
        <v>EXP00009</v>
      </c>
      <c r="B511" s="4" t="str">
        <f t="shared" si="33"/>
        <v>22048815</v>
      </c>
      <c r="C511" s="4" t="str">
        <f t="shared" si="34"/>
        <v>GSE10893</v>
      </c>
      <c r="D511" s="1" t="s">
        <v>38</v>
      </c>
      <c r="E511" t="s">
        <v>35</v>
      </c>
      <c r="F511" s="1">
        <v>2</v>
      </c>
      <c r="G511" s="1" t="s">
        <v>28</v>
      </c>
      <c r="H511" s="4" t="str">
        <f>HYPERLINK("https://www.ncbi.nlm.nih.gov/geo/query/acc.cgi?acc=GSM34521","GSM34521")</f>
        <v>GSM34521</v>
      </c>
      <c r="I511" t="s">
        <v>17</v>
      </c>
      <c r="J511" t="s">
        <v>18</v>
      </c>
      <c r="K511" t="s">
        <v>33</v>
      </c>
      <c r="L511" t="s">
        <v>20</v>
      </c>
      <c r="N511" t="s">
        <v>29</v>
      </c>
    </row>
    <row r="512" spans="1:14">
      <c r="A512" s="4" t="str">
        <f t="shared" si="37"/>
        <v>EXP00009</v>
      </c>
      <c r="B512" s="4" t="str">
        <f t="shared" si="33"/>
        <v>22048815</v>
      </c>
      <c r="C512" s="4" t="str">
        <f t="shared" si="34"/>
        <v>GSE10893</v>
      </c>
      <c r="D512" s="1" t="s">
        <v>38</v>
      </c>
      <c r="E512" t="s">
        <v>35</v>
      </c>
      <c r="F512" s="1">
        <v>2</v>
      </c>
      <c r="G512" s="1" t="s">
        <v>28</v>
      </c>
      <c r="H512" s="4" t="str">
        <f>HYPERLINK("https://www.ncbi.nlm.nih.gov/geo/query/acc.cgi?acc=GSM34523","GSM34523")</f>
        <v>GSM34523</v>
      </c>
      <c r="I512" t="s">
        <v>17</v>
      </c>
      <c r="J512" t="s">
        <v>18</v>
      </c>
      <c r="K512" t="s">
        <v>33</v>
      </c>
      <c r="L512" t="s">
        <v>20</v>
      </c>
      <c r="N512" t="s">
        <v>29</v>
      </c>
    </row>
    <row r="513" spans="1:14">
      <c r="A513" s="4" t="str">
        <f t="shared" si="37"/>
        <v>EXP00009</v>
      </c>
      <c r="B513" s="4" t="str">
        <f t="shared" si="33"/>
        <v>22048815</v>
      </c>
      <c r="C513" s="4" t="str">
        <f t="shared" si="34"/>
        <v>GSE10893</v>
      </c>
      <c r="D513" s="1" t="s">
        <v>38</v>
      </c>
      <c r="E513" t="s">
        <v>35</v>
      </c>
      <c r="F513" s="1">
        <v>2</v>
      </c>
      <c r="G513" s="1" t="s">
        <v>28</v>
      </c>
      <c r="H513" s="4" t="str">
        <f>HYPERLINK("https://www.ncbi.nlm.nih.gov/geo/query/acc.cgi?acc=GSM34525","GSM34525")</f>
        <v>GSM34525</v>
      </c>
      <c r="I513" t="s">
        <v>17</v>
      </c>
      <c r="J513" t="s">
        <v>18</v>
      </c>
      <c r="K513" t="s">
        <v>33</v>
      </c>
      <c r="L513" t="s">
        <v>20</v>
      </c>
      <c r="N513" t="s">
        <v>29</v>
      </c>
    </row>
    <row r="514" spans="1:14">
      <c r="A514" s="4" t="str">
        <f t="shared" si="37"/>
        <v>EXP00009</v>
      </c>
      <c r="B514" s="4" t="str">
        <f t="shared" ref="B514:B545" si="38">HYPERLINK("https://www.ncbi.nlm.nih.gov/pubmed/22048815","22048815")</f>
        <v>22048815</v>
      </c>
      <c r="C514" s="4" t="str">
        <f t="shared" ref="C514:C545" si="39">HYPERLINK("https://www.ncbi.nlm.nih.gov/geo/query/acc.cgi?acc=GSE10893","GSE10893")</f>
        <v>GSE10893</v>
      </c>
      <c r="D514" s="1" t="s">
        <v>38</v>
      </c>
      <c r="E514" t="s">
        <v>35</v>
      </c>
      <c r="F514" s="1">
        <v>2</v>
      </c>
      <c r="G514" s="1" t="s">
        <v>28</v>
      </c>
      <c r="H514" s="4" t="str">
        <f>HYPERLINK("https://www.ncbi.nlm.nih.gov/geo/query/acc.cgi?acc=GSM34526","GSM34526")</f>
        <v>GSM34526</v>
      </c>
      <c r="I514" t="s">
        <v>17</v>
      </c>
      <c r="J514" t="s">
        <v>18</v>
      </c>
      <c r="K514" t="s">
        <v>33</v>
      </c>
      <c r="L514" t="s">
        <v>20</v>
      </c>
      <c r="N514" t="s">
        <v>29</v>
      </c>
    </row>
    <row r="515" spans="1:14">
      <c r="A515" s="4" t="str">
        <f t="shared" si="37"/>
        <v>EXP00009</v>
      </c>
      <c r="B515" s="4" t="str">
        <f t="shared" si="38"/>
        <v>22048815</v>
      </c>
      <c r="C515" s="4" t="str">
        <f t="shared" si="39"/>
        <v>GSE10893</v>
      </c>
      <c r="D515" s="1" t="s">
        <v>38</v>
      </c>
      <c r="E515" t="s">
        <v>35</v>
      </c>
      <c r="F515" s="1">
        <v>2</v>
      </c>
      <c r="G515" s="1" t="s">
        <v>28</v>
      </c>
      <c r="H515" s="4" t="str">
        <f>HYPERLINK("https://www.ncbi.nlm.nih.gov/geo/query/acc.cgi?acc=GSM34527","GSM34527")</f>
        <v>GSM34527</v>
      </c>
      <c r="I515" t="s">
        <v>17</v>
      </c>
      <c r="J515" t="s">
        <v>18</v>
      </c>
      <c r="K515" t="s">
        <v>33</v>
      </c>
      <c r="L515" t="s">
        <v>20</v>
      </c>
      <c r="N515" t="s">
        <v>29</v>
      </c>
    </row>
    <row r="516" spans="1:14">
      <c r="A516" s="4" t="str">
        <f t="shared" si="37"/>
        <v>EXP00009</v>
      </c>
      <c r="B516" s="4" t="str">
        <f t="shared" si="38"/>
        <v>22048815</v>
      </c>
      <c r="C516" s="4" t="str">
        <f t="shared" si="39"/>
        <v>GSE10893</v>
      </c>
      <c r="D516" s="1" t="s">
        <v>38</v>
      </c>
      <c r="E516" t="s">
        <v>35</v>
      </c>
      <c r="F516" s="1">
        <v>2</v>
      </c>
      <c r="G516" s="1" t="s">
        <v>28</v>
      </c>
      <c r="H516" s="4" t="str">
        <f>HYPERLINK("https://www.ncbi.nlm.nih.gov/geo/query/acc.cgi?acc=GSM34528","GSM34528")</f>
        <v>GSM34528</v>
      </c>
      <c r="I516" t="s">
        <v>17</v>
      </c>
      <c r="J516" t="s">
        <v>18</v>
      </c>
      <c r="K516" t="s">
        <v>33</v>
      </c>
      <c r="L516" t="s">
        <v>20</v>
      </c>
      <c r="N516" t="s">
        <v>29</v>
      </c>
    </row>
    <row r="517" spans="1:14">
      <c r="A517" s="4" t="str">
        <f t="shared" si="37"/>
        <v>EXP00009</v>
      </c>
      <c r="B517" s="4" t="str">
        <f t="shared" si="38"/>
        <v>22048815</v>
      </c>
      <c r="C517" s="4" t="str">
        <f t="shared" si="39"/>
        <v>GSE10893</v>
      </c>
      <c r="D517" s="1" t="s">
        <v>38</v>
      </c>
      <c r="E517" t="s">
        <v>35</v>
      </c>
      <c r="F517" s="1">
        <v>2</v>
      </c>
      <c r="G517" s="1" t="s">
        <v>28</v>
      </c>
      <c r="H517" s="4" t="str">
        <f>HYPERLINK("https://www.ncbi.nlm.nih.gov/geo/query/acc.cgi?acc=GSM34529","GSM34529")</f>
        <v>GSM34529</v>
      </c>
      <c r="I517" t="s">
        <v>17</v>
      </c>
      <c r="J517" t="s">
        <v>18</v>
      </c>
      <c r="K517" t="s">
        <v>33</v>
      </c>
      <c r="L517" t="s">
        <v>20</v>
      </c>
      <c r="N517" t="s">
        <v>29</v>
      </c>
    </row>
    <row r="518" spans="1:14">
      <c r="A518" s="4" t="str">
        <f t="shared" si="37"/>
        <v>EXP00009</v>
      </c>
      <c r="B518" s="4" t="str">
        <f t="shared" si="38"/>
        <v>22048815</v>
      </c>
      <c r="C518" s="4" t="str">
        <f t="shared" si="39"/>
        <v>GSE10893</v>
      </c>
      <c r="D518" s="1" t="s">
        <v>38</v>
      </c>
      <c r="E518" t="s">
        <v>35</v>
      </c>
      <c r="F518" s="1">
        <v>2</v>
      </c>
      <c r="G518" s="1" t="s">
        <v>28</v>
      </c>
      <c r="H518" s="4" t="str">
        <f>HYPERLINK("https://www.ncbi.nlm.nih.gov/geo/query/acc.cgi?acc=GSM34530","GSM34530")</f>
        <v>GSM34530</v>
      </c>
      <c r="I518" t="s">
        <v>17</v>
      </c>
      <c r="J518" t="s">
        <v>18</v>
      </c>
      <c r="K518" t="s">
        <v>33</v>
      </c>
      <c r="L518" t="s">
        <v>20</v>
      </c>
      <c r="N518" t="s">
        <v>29</v>
      </c>
    </row>
    <row r="519" spans="1:14">
      <c r="A519" s="4" t="str">
        <f t="shared" si="37"/>
        <v>EXP00009</v>
      </c>
      <c r="B519" s="4" t="str">
        <f t="shared" si="38"/>
        <v>22048815</v>
      </c>
      <c r="C519" s="4" t="str">
        <f t="shared" si="39"/>
        <v>GSE10893</v>
      </c>
      <c r="D519" s="1" t="s">
        <v>38</v>
      </c>
      <c r="E519" t="s">
        <v>35</v>
      </c>
      <c r="F519" s="1">
        <v>2</v>
      </c>
      <c r="G519" s="1" t="s">
        <v>28</v>
      </c>
      <c r="H519" s="4" t="str">
        <f>HYPERLINK("https://www.ncbi.nlm.nih.gov/geo/query/acc.cgi?acc=GSM34531","GSM34531")</f>
        <v>GSM34531</v>
      </c>
      <c r="I519" t="s">
        <v>17</v>
      </c>
      <c r="J519" t="s">
        <v>18</v>
      </c>
      <c r="K519" t="s">
        <v>33</v>
      </c>
      <c r="L519" t="s">
        <v>20</v>
      </c>
      <c r="N519" t="s">
        <v>29</v>
      </c>
    </row>
    <row r="520" spans="1:14">
      <c r="A520" s="4" t="str">
        <f t="shared" si="37"/>
        <v>EXP00009</v>
      </c>
      <c r="B520" s="4" t="str">
        <f t="shared" si="38"/>
        <v>22048815</v>
      </c>
      <c r="C520" s="4" t="str">
        <f t="shared" si="39"/>
        <v>GSE10893</v>
      </c>
      <c r="D520" s="1" t="s">
        <v>38</v>
      </c>
      <c r="E520" t="s">
        <v>35</v>
      </c>
      <c r="F520" s="1">
        <v>2</v>
      </c>
      <c r="G520" s="1" t="s">
        <v>28</v>
      </c>
      <c r="H520" s="4" t="str">
        <f>HYPERLINK("https://www.ncbi.nlm.nih.gov/geo/query/acc.cgi?acc=GSM34532","GSM34532")</f>
        <v>GSM34532</v>
      </c>
      <c r="I520" t="s">
        <v>17</v>
      </c>
      <c r="J520" t="s">
        <v>18</v>
      </c>
      <c r="K520" t="s">
        <v>33</v>
      </c>
      <c r="L520" t="s">
        <v>20</v>
      </c>
      <c r="N520" t="s">
        <v>29</v>
      </c>
    </row>
    <row r="521" spans="1:14">
      <c r="A521" s="4" t="str">
        <f t="shared" si="37"/>
        <v>EXP00009</v>
      </c>
      <c r="B521" s="4" t="str">
        <f t="shared" si="38"/>
        <v>22048815</v>
      </c>
      <c r="C521" s="4" t="str">
        <f t="shared" si="39"/>
        <v>GSE10893</v>
      </c>
      <c r="D521" s="1" t="s">
        <v>38</v>
      </c>
      <c r="E521" t="s">
        <v>35</v>
      </c>
      <c r="F521" s="1">
        <v>2</v>
      </c>
      <c r="G521" s="1" t="s">
        <v>28</v>
      </c>
      <c r="H521" s="4" t="str">
        <f>HYPERLINK("https://www.ncbi.nlm.nih.gov/geo/query/acc.cgi?acc=GSM34556","GSM34556")</f>
        <v>GSM34556</v>
      </c>
      <c r="I521" t="s">
        <v>17</v>
      </c>
      <c r="J521" t="s">
        <v>18</v>
      </c>
      <c r="K521" t="s">
        <v>33</v>
      </c>
      <c r="L521" t="s">
        <v>20</v>
      </c>
      <c r="N521" t="s">
        <v>29</v>
      </c>
    </row>
    <row r="522" spans="1:14">
      <c r="A522" s="4" t="str">
        <f t="shared" si="37"/>
        <v>EXP00009</v>
      </c>
      <c r="B522" s="4" t="str">
        <f t="shared" si="38"/>
        <v>22048815</v>
      </c>
      <c r="C522" s="4" t="str">
        <f t="shared" si="39"/>
        <v>GSE10893</v>
      </c>
      <c r="D522" s="1" t="s">
        <v>38</v>
      </c>
      <c r="E522" t="s">
        <v>35</v>
      </c>
      <c r="F522" s="1">
        <v>2</v>
      </c>
      <c r="G522" s="1" t="s">
        <v>28</v>
      </c>
      <c r="H522" s="4" t="str">
        <f>HYPERLINK("https://www.ncbi.nlm.nih.gov/geo/query/acc.cgi?acc=GSM34557","GSM34557")</f>
        <v>GSM34557</v>
      </c>
      <c r="I522" t="s">
        <v>17</v>
      </c>
      <c r="J522" t="s">
        <v>18</v>
      </c>
      <c r="K522" t="s">
        <v>33</v>
      </c>
      <c r="L522" t="s">
        <v>20</v>
      </c>
      <c r="N522" t="s">
        <v>29</v>
      </c>
    </row>
    <row r="523" spans="1:14">
      <c r="A523" s="4" t="str">
        <f t="shared" si="37"/>
        <v>EXP00009</v>
      </c>
      <c r="B523" s="4" t="str">
        <f t="shared" si="38"/>
        <v>22048815</v>
      </c>
      <c r="C523" s="4" t="str">
        <f t="shared" si="39"/>
        <v>GSE10893</v>
      </c>
      <c r="D523" s="1" t="s">
        <v>38</v>
      </c>
      <c r="E523" t="s">
        <v>35</v>
      </c>
      <c r="F523" s="1">
        <v>2</v>
      </c>
      <c r="G523" s="1" t="s">
        <v>28</v>
      </c>
      <c r="H523" s="4" t="str">
        <f>HYPERLINK("https://www.ncbi.nlm.nih.gov/geo/query/acc.cgi?acc=GSM50154","GSM50154")</f>
        <v>GSM50154</v>
      </c>
      <c r="I523" t="s">
        <v>17</v>
      </c>
      <c r="J523" t="s">
        <v>18</v>
      </c>
      <c r="K523" t="s">
        <v>33</v>
      </c>
      <c r="L523" t="s">
        <v>20</v>
      </c>
      <c r="N523" t="s">
        <v>29</v>
      </c>
    </row>
    <row r="524" spans="1:14">
      <c r="A524" s="4" t="str">
        <f t="shared" si="37"/>
        <v>EXP00009</v>
      </c>
      <c r="B524" s="4" t="str">
        <f t="shared" si="38"/>
        <v>22048815</v>
      </c>
      <c r="C524" s="4" t="str">
        <f t="shared" si="39"/>
        <v>GSE10893</v>
      </c>
      <c r="D524" s="1" t="s">
        <v>38</v>
      </c>
      <c r="E524" t="s">
        <v>35</v>
      </c>
      <c r="F524" s="1">
        <v>2</v>
      </c>
      <c r="G524" s="1" t="s">
        <v>28</v>
      </c>
      <c r="H524" s="4" t="str">
        <f>HYPERLINK("https://www.ncbi.nlm.nih.gov/geo/query/acc.cgi?acc=GSM52883","GSM52883")</f>
        <v>GSM52883</v>
      </c>
      <c r="I524" t="s">
        <v>17</v>
      </c>
      <c r="J524" t="s">
        <v>18</v>
      </c>
      <c r="K524" t="s">
        <v>33</v>
      </c>
      <c r="L524" t="s">
        <v>20</v>
      </c>
      <c r="N524" t="s">
        <v>29</v>
      </c>
    </row>
    <row r="525" spans="1:14">
      <c r="A525" s="4" t="str">
        <f t="shared" si="37"/>
        <v>EXP00009</v>
      </c>
      <c r="B525" s="4" t="str">
        <f t="shared" si="38"/>
        <v>22048815</v>
      </c>
      <c r="C525" s="4" t="str">
        <f t="shared" si="39"/>
        <v>GSE10893</v>
      </c>
      <c r="D525" s="1" t="s">
        <v>38</v>
      </c>
      <c r="E525" t="s">
        <v>35</v>
      </c>
      <c r="F525" s="1">
        <v>2</v>
      </c>
      <c r="G525" s="1" t="s">
        <v>28</v>
      </c>
      <c r="H525" s="4" t="str">
        <f>HYPERLINK("https://www.ncbi.nlm.nih.gov/geo/query/acc.cgi?acc=GSM52884","GSM52884")</f>
        <v>GSM52884</v>
      </c>
      <c r="I525" t="s">
        <v>17</v>
      </c>
      <c r="J525" t="s">
        <v>18</v>
      </c>
      <c r="K525" t="s">
        <v>33</v>
      </c>
      <c r="L525" t="s">
        <v>20</v>
      </c>
      <c r="N525" t="s">
        <v>29</v>
      </c>
    </row>
    <row r="526" spans="1:14">
      <c r="A526" s="4" t="str">
        <f t="shared" si="37"/>
        <v>EXP00009</v>
      </c>
      <c r="B526" s="4" t="str">
        <f t="shared" si="38"/>
        <v>22048815</v>
      </c>
      <c r="C526" s="4" t="str">
        <f t="shared" si="39"/>
        <v>GSE10893</v>
      </c>
      <c r="D526" s="1" t="s">
        <v>38</v>
      </c>
      <c r="E526" t="s">
        <v>35</v>
      </c>
      <c r="F526" s="1">
        <v>2</v>
      </c>
      <c r="G526" s="1" t="s">
        <v>28</v>
      </c>
      <c r="H526" s="4" t="str">
        <f>HYPERLINK("https://www.ncbi.nlm.nih.gov/geo/query/acc.cgi?acc=GSM53475","GSM53475")</f>
        <v>GSM53475</v>
      </c>
      <c r="I526" t="s">
        <v>17</v>
      </c>
      <c r="J526" t="s">
        <v>18</v>
      </c>
      <c r="K526" t="s">
        <v>33</v>
      </c>
      <c r="L526" t="s">
        <v>20</v>
      </c>
      <c r="N526" t="s">
        <v>29</v>
      </c>
    </row>
    <row r="527" spans="1:14">
      <c r="A527" s="4" t="str">
        <f t="shared" si="37"/>
        <v>EXP00009</v>
      </c>
      <c r="B527" s="4" t="str">
        <f t="shared" si="38"/>
        <v>22048815</v>
      </c>
      <c r="C527" s="4" t="str">
        <f t="shared" si="39"/>
        <v>GSE10893</v>
      </c>
      <c r="D527" s="1" t="s">
        <v>38</v>
      </c>
      <c r="E527" t="s">
        <v>35</v>
      </c>
      <c r="F527" s="1">
        <v>2</v>
      </c>
      <c r="G527" s="1" t="s">
        <v>28</v>
      </c>
      <c r="H527" s="4" t="str">
        <f>HYPERLINK("https://www.ncbi.nlm.nih.gov/geo/query/acc.cgi?acc=GSM53476","GSM53476")</f>
        <v>GSM53476</v>
      </c>
      <c r="I527" t="s">
        <v>17</v>
      </c>
      <c r="J527" t="s">
        <v>18</v>
      </c>
      <c r="K527" t="s">
        <v>19</v>
      </c>
      <c r="L527" t="s">
        <v>20</v>
      </c>
      <c r="M527" t="s">
        <v>24</v>
      </c>
      <c r="N527" t="s">
        <v>29</v>
      </c>
    </row>
    <row r="528" spans="1:14">
      <c r="A528" s="4" t="str">
        <f t="shared" si="37"/>
        <v>EXP00009</v>
      </c>
      <c r="B528" s="4" t="str">
        <f t="shared" si="38"/>
        <v>22048815</v>
      </c>
      <c r="C528" s="4" t="str">
        <f t="shared" si="39"/>
        <v>GSE10893</v>
      </c>
      <c r="D528" s="1" t="s">
        <v>38</v>
      </c>
      <c r="E528" t="s">
        <v>35</v>
      </c>
      <c r="F528" s="1">
        <v>2</v>
      </c>
      <c r="G528" s="1" t="s">
        <v>28</v>
      </c>
      <c r="H528" s="4" t="str">
        <f>HYPERLINK("https://www.ncbi.nlm.nih.gov/geo/query/acc.cgi?acc=GSM53477","GSM53477")</f>
        <v>GSM53477</v>
      </c>
      <c r="I528" t="s">
        <v>17</v>
      </c>
      <c r="J528" t="s">
        <v>18</v>
      </c>
      <c r="K528" t="s">
        <v>33</v>
      </c>
      <c r="L528" t="s">
        <v>20</v>
      </c>
      <c r="N528" t="s">
        <v>29</v>
      </c>
    </row>
    <row r="529" spans="1:14">
      <c r="A529" s="4" t="str">
        <f t="shared" si="37"/>
        <v>EXP00009</v>
      </c>
      <c r="B529" s="4" t="str">
        <f t="shared" si="38"/>
        <v>22048815</v>
      </c>
      <c r="C529" s="4" t="str">
        <f t="shared" si="39"/>
        <v>GSE10893</v>
      </c>
      <c r="D529" s="1" t="s">
        <v>38</v>
      </c>
      <c r="E529" t="s">
        <v>35</v>
      </c>
      <c r="F529" s="1">
        <v>2</v>
      </c>
      <c r="G529" s="1" t="s">
        <v>28</v>
      </c>
      <c r="H529" s="4" t="str">
        <f>HYPERLINK("https://www.ncbi.nlm.nih.gov/geo/query/acc.cgi?acc=GSM80231","GSM80231")</f>
        <v>GSM80231</v>
      </c>
      <c r="I529" t="s">
        <v>17</v>
      </c>
      <c r="J529" t="s">
        <v>18</v>
      </c>
      <c r="K529" t="s">
        <v>33</v>
      </c>
      <c r="L529" t="s">
        <v>20</v>
      </c>
      <c r="N529" t="s">
        <v>29</v>
      </c>
    </row>
    <row r="530" spans="1:14">
      <c r="A530" s="4" t="str">
        <f t="shared" si="37"/>
        <v>EXP00009</v>
      </c>
      <c r="B530" s="4" t="str">
        <f t="shared" si="38"/>
        <v>22048815</v>
      </c>
      <c r="C530" s="4" t="str">
        <f t="shared" si="39"/>
        <v>GSE10893</v>
      </c>
      <c r="D530" s="1" t="s">
        <v>38</v>
      </c>
      <c r="E530" t="s">
        <v>35</v>
      </c>
      <c r="F530" s="1">
        <v>2</v>
      </c>
      <c r="G530" s="1" t="s">
        <v>28</v>
      </c>
      <c r="H530" s="4" t="str">
        <f>HYPERLINK("https://www.ncbi.nlm.nih.gov/geo/query/acc.cgi?acc=GSM80233","GSM80233")</f>
        <v>GSM80233</v>
      </c>
      <c r="I530" t="s">
        <v>17</v>
      </c>
      <c r="J530" t="s">
        <v>18</v>
      </c>
      <c r="K530" t="s">
        <v>33</v>
      </c>
      <c r="L530" t="s">
        <v>20</v>
      </c>
      <c r="N530" t="s">
        <v>29</v>
      </c>
    </row>
    <row r="531" spans="1:14">
      <c r="A531" s="4" t="str">
        <f t="shared" si="37"/>
        <v>EXP00009</v>
      </c>
      <c r="B531" s="4" t="str">
        <f t="shared" si="38"/>
        <v>22048815</v>
      </c>
      <c r="C531" s="4" t="str">
        <f t="shared" si="39"/>
        <v>GSE10893</v>
      </c>
      <c r="D531" s="1" t="s">
        <v>38</v>
      </c>
      <c r="E531" t="s">
        <v>35</v>
      </c>
      <c r="F531" s="1">
        <v>2</v>
      </c>
      <c r="G531" s="1" t="s">
        <v>28</v>
      </c>
      <c r="H531" s="4" t="str">
        <f>HYPERLINK("https://www.ncbi.nlm.nih.gov/geo/query/acc.cgi?acc=GSM80235","GSM80235")</f>
        <v>GSM80235</v>
      </c>
      <c r="I531" t="s">
        <v>17</v>
      </c>
      <c r="J531" t="s">
        <v>18</v>
      </c>
      <c r="K531" t="s">
        <v>33</v>
      </c>
      <c r="L531" t="s">
        <v>20</v>
      </c>
      <c r="N531" t="s">
        <v>29</v>
      </c>
    </row>
    <row r="532" spans="1:14">
      <c r="A532" s="4" t="str">
        <f t="shared" si="37"/>
        <v>EXP00009</v>
      </c>
      <c r="B532" s="4" t="str">
        <f t="shared" si="38"/>
        <v>22048815</v>
      </c>
      <c r="C532" s="4" t="str">
        <f t="shared" si="39"/>
        <v>GSE10893</v>
      </c>
      <c r="D532" s="1" t="s">
        <v>38</v>
      </c>
      <c r="E532" t="s">
        <v>35</v>
      </c>
      <c r="F532" s="1">
        <v>2</v>
      </c>
      <c r="G532" s="1" t="s">
        <v>28</v>
      </c>
      <c r="H532" s="4" t="str">
        <f>HYPERLINK("https://www.ncbi.nlm.nih.gov/geo/query/acc.cgi?acc=GSM80238","GSM80238")</f>
        <v>GSM80238</v>
      </c>
      <c r="I532" t="s">
        <v>17</v>
      </c>
      <c r="J532" t="s">
        <v>18</v>
      </c>
      <c r="K532" t="s">
        <v>33</v>
      </c>
      <c r="L532" t="s">
        <v>20</v>
      </c>
      <c r="N532" t="s">
        <v>29</v>
      </c>
    </row>
    <row r="533" spans="1:14">
      <c r="A533" s="4" t="str">
        <f t="shared" si="37"/>
        <v>EXP00009</v>
      </c>
      <c r="B533" s="4" t="str">
        <f t="shared" si="38"/>
        <v>22048815</v>
      </c>
      <c r="C533" s="4" t="str">
        <f t="shared" si="39"/>
        <v>GSE10893</v>
      </c>
      <c r="D533" s="1" t="s">
        <v>38</v>
      </c>
      <c r="E533" t="s">
        <v>35</v>
      </c>
      <c r="F533" s="1">
        <v>2</v>
      </c>
      <c r="G533" s="1" t="s">
        <v>28</v>
      </c>
      <c r="H533" s="4" t="str">
        <f>HYPERLINK("https://www.ncbi.nlm.nih.gov/geo/query/acc.cgi?acc=GSM80245","GSM80245")</f>
        <v>GSM80245</v>
      </c>
      <c r="I533" t="s">
        <v>17</v>
      </c>
      <c r="J533" t="s">
        <v>18</v>
      </c>
      <c r="K533" t="s">
        <v>33</v>
      </c>
      <c r="L533" t="s">
        <v>20</v>
      </c>
      <c r="N533" t="s">
        <v>29</v>
      </c>
    </row>
    <row r="534" spans="1:14">
      <c r="A534" s="4" t="str">
        <f t="shared" si="37"/>
        <v>EXP00009</v>
      </c>
      <c r="B534" s="4" t="str">
        <f t="shared" si="38"/>
        <v>22048815</v>
      </c>
      <c r="C534" s="4" t="str">
        <f t="shared" si="39"/>
        <v>GSE10893</v>
      </c>
      <c r="D534" s="1" t="s">
        <v>38</v>
      </c>
      <c r="E534" t="s">
        <v>35</v>
      </c>
      <c r="F534" s="1">
        <v>2</v>
      </c>
      <c r="G534" s="1" t="s">
        <v>28</v>
      </c>
      <c r="H534" s="4" t="str">
        <f>HYPERLINK("https://www.ncbi.nlm.nih.gov/geo/query/acc.cgi?acc=GSM80246","GSM80246")</f>
        <v>GSM80246</v>
      </c>
      <c r="I534" t="s">
        <v>17</v>
      </c>
      <c r="J534" t="s">
        <v>18</v>
      </c>
      <c r="K534" t="s">
        <v>19</v>
      </c>
      <c r="L534" t="s">
        <v>20</v>
      </c>
      <c r="M534" t="s">
        <v>24</v>
      </c>
      <c r="N534" t="s">
        <v>22</v>
      </c>
    </row>
    <row r="535" spans="1:14">
      <c r="A535" s="4" t="str">
        <f t="shared" si="37"/>
        <v>EXP00009</v>
      </c>
      <c r="B535" s="4" t="str">
        <f t="shared" si="38"/>
        <v>22048815</v>
      </c>
      <c r="C535" s="4" t="str">
        <f t="shared" si="39"/>
        <v>GSE10893</v>
      </c>
      <c r="D535" s="1" t="s">
        <v>38</v>
      </c>
      <c r="E535" t="s">
        <v>35</v>
      </c>
      <c r="F535" s="1">
        <v>2</v>
      </c>
      <c r="G535" s="1" t="s">
        <v>28</v>
      </c>
      <c r="H535" s="4" t="str">
        <f>HYPERLINK("https://www.ncbi.nlm.nih.gov/geo/query/acc.cgi?acc=GSM81164","GSM81164")</f>
        <v>GSM81164</v>
      </c>
      <c r="I535" t="s">
        <v>17</v>
      </c>
      <c r="J535" t="s">
        <v>18</v>
      </c>
      <c r="K535" t="s">
        <v>33</v>
      </c>
      <c r="L535" t="s">
        <v>20</v>
      </c>
      <c r="N535" t="s">
        <v>29</v>
      </c>
    </row>
    <row r="536" spans="1:14">
      <c r="A536" s="4" t="str">
        <f t="shared" si="37"/>
        <v>EXP00009</v>
      </c>
      <c r="B536" s="4" t="str">
        <f t="shared" si="38"/>
        <v>22048815</v>
      </c>
      <c r="C536" s="4" t="str">
        <f t="shared" si="39"/>
        <v>GSE10893</v>
      </c>
      <c r="D536" s="1" t="s">
        <v>38</v>
      </c>
      <c r="E536" t="s">
        <v>35</v>
      </c>
      <c r="F536" s="1">
        <v>2</v>
      </c>
      <c r="G536" s="1" t="s">
        <v>28</v>
      </c>
      <c r="H536" s="4" t="str">
        <f>HYPERLINK("https://www.ncbi.nlm.nih.gov/geo/query/acc.cgi?acc=GSM81179","GSM81179")</f>
        <v>GSM81179</v>
      </c>
      <c r="I536" t="s">
        <v>17</v>
      </c>
      <c r="J536" t="s">
        <v>18</v>
      </c>
      <c r="K536" t="s">
        <v>33</v>
      </c>
      <c r="L536" t="s">
        <v>20</v>
      </c>
      <c r="N536" t="s">
        <v>29</v>
      </c>
    </row>
    <row r="537" spans="1:14">
      <c r="A537" s="4" t="str">
        <f t="shared" si="37"/>
        <v>EXP00009</v>
      </c>
      <c r="B537" s="4" t="str">
        <f t="shared" si="38"/>
        <v>22048815</v>
      </c>
      <c r="C537" s="4" t="str">
        <f t="shared" si="39"/>
        <v>GSE10893</v>
      </c>
      <c r="D537" s="1" t="s">
        <v>38</v>
      </c>
      <c r="E537" t="s">
        <v>35</v>
      </c>
      <c r="F537" s="1">
        <v>2</v>
      </c>
      <c r="G537" s="1" t="s">
        <v>28</v>
      </c>
      <c r="H537" s="4" t="str">
        <f>HYPERLINK("https://www.ncbi.nlm.nih.gov/geo/query/acc.cgi?acc=GSM81180","GSM81180")</f>
        <v>GSM81180</v>
      </c>
      <c r="I537" t="s">
        <v>17</v>
      </c>
      <c r="J537" t="s">
        <v>18</v>
      </c>
      <c r="K537" t="s">
        <v>33</v>
      </c>
      <c r="L537" t="s">
        <v>20</v>
      </c>
      <c r="N537" t="s">
        <v>29</v>
      </c>
    </row>
    <row r="538" spans="1:14">
      <c r="A538" s="4" t="str">
        <f t="shared" ref="A538:A545" si="40">HYPERLINK("http://hcmdb.i-sanger.com/experiment/details/experiment_id/EXP00009","EXP00009")</f>
        <v>EXP00009</v>
      </c>
      <c r="B538" s="4" t="str">
        <f t="shared" si="38"/>
        <v>22048815</v>
      </c>
      <c r="C538" s="4" t="str">
        <f t="shared" si="39"/>
        <v>GSE10893</v>
      </c>
      <c r="D538" s="1" t="s">
        <v>38</v>
      </c>
      <c r="E538" t="s">
        <v>35</v>
      </c>
      <c r="F538" s="1">
        <v>2</v>
      </c>
      <c r="G538" s="1" t="s">
        <v>28</v>
      </c>
      <c r="H538" s="4" t="str">
        <f>HYPERLINK("https://www.ncbi.nlm.nih.gov/geo/query/acc.cgi?acc=GSM81181","GSM81181")</f>
        <v>GSM81181</v>
      </c>
      <c r="I538" t="s">
        <v>17</v>
      </c>
      <c r="J538" t="s">
        <v>18</v>
      </c>
      <c r="K538" t="s">
        <v>33</v>
      </c>
      <c r="L538" t="s">
        <v>20</v>
      </c>
      <c r="N538" t="s">
        <v>29</v>
      </c>
    </row>
    <row r="539" spans="1:14">
      <c r="A539" s="4" t="str">
        <f t="shared" si="40"/>
        <v>EXP00009</v>
      </c>
      <c r="B539" s="4" t="str">
        <f t="shared" si="38"/>
        <v>22048815</v>
      </c>
      <c r="C539" s="4" t="str">
        <f t="shared" si="39"/>
        <v>GSE10893</v>
      </c>
      <c r="D539" s="1" t="s">
        <v>38</v>
      </c>
      <c r="E539" t="s">
        <v>35</v>
      </c>
      <c r="F539" s="1">
        <v>2</v>
      </c>
      <c r="G539" s="1" t="s">
        <v>28</v>
      </c>
      <c r="H539" s="4" t="str">
        <f>HYPERLINK("https://www.ncbi.nlm.nih.gov/geo/query/acc.cgi?acc=GSM81182","GSM81182")</f>
        <v>GSM81182</v>
      </c>
      <c r="I539" t="s">
        <v>17</v>
      </c>
      <c r="J539" t="s">
        <v>18</v>
      </c>
      <c r="K539" t="s">
        <v>33</v>
      </c>
      <c r="L539" t="s">
        <v>20</v>
      </c>
      <c r="N539" t="s">
        <v>29</v>
      </c>
    </row>
    <row r="540" spans="1:14">
      <c r="A540" s="4" t="str">
        <f t="shared" si="40"/>
        <v>EXP00009</v>
      </c>
      <c r="B540" s="4" t="str">
        <f t="shared" si="38"/>
        <v>22048815</v>
      </c>
      <c r="C540" s="4" t="str">
        <f t="shared" si="39"/>
        <v>GSE10893</v>
      </c>
      <c r="D540" s="1" t="s">
        <v>38</v>
      </c>
      <c r="E540" t="s">
        <v>35</v>
      </c>
      <c r="F540" s="1">
        <v>2</v>
      </c>
      <c r="G540" s="1" t="s">
        <v>28</v>
      </c>
      <c r="H540" s="4" t="str">
        <f>HYPERLINK("https://www.ncbi.nlm.nih.gov/geo/query/acc.cgi?acc=GSM81183","GSM81183")</f>
        <v>GSM81183</v>
      </c>
      <c r="I540" t="s">
        <v>17</v>
      </c>
      <c r="J540" t="s">
        <v>18</v>
      </c>
      <c r="K540" t="s">
        <v>33</v>
      </c>
      <c r="L540" t="s">
        <v>20</v>
      </c>
      <c r="N540" t="s">
        <v>29</v>
      </c>
    </row>
    <row r="541" spans="1:14">
      <c r="A541" s="4" t="str">
        <f t="shared" si="40"/>
        <v>EXP00009</v>
      </c>
      <c r="B541" s="4" t="str">
        <f t="shared" si="38"/>
        <v>22048815</v>
      </c>
      <c r="C541" s="4" t="str">
        <f t="shared" si="39"/>
        <v>GSE10893</v>
      </c>
      <c r="D541" s="1" t="s">
        <v>38</v>
      </c>
      <c r="E541" t="s">
        <v>35</v>
      </c>
      <c r="F541" s="1">
        <v>2</v>
      </c>
      <c r="G541" s="1" t="s">
        <v>28</v>
      </c>
      <c r="H541" s="4" t="str">
        <f>HYPERLINK("https://www.ncbi.nlm.nih.gov/geo/query/acc.cgi?acc=GSM81184","GSM81184")</f>
        <v>GSM81184</v>
      </c>
      <c r="I541" t="s">
        <v>17</v>
      </c>
      <c r="J541" t="s">
        <v>18</v>
      </c>
      <c r="K541" t="s">
        <v>33</v>
      </c>
      <c r="L541" t="s">
        <v>20</v>
      </c>
      <c r="N541" t="s">
        <v>29</v>
      </c>
    </row>
    <row r="542" spans="1:14">
      <c r="A542" s="4" t="str">
        <f t="shared" si="40"/>
        <v>EXP00009</v>
      </c>
      <c r="B542" s="4" t="str">
        <f t="shared" si="38"/>
        <v>22048815</v>
      </c>
      <c r="C542" s="4" t="str">
        <f t="shared" si="39"/>
        <v>GSE10893</v>
      </c>
      <c r="D542" s="1" t="s">
        <v>38</v>
      </c>
      <c r="E542" t="s">
        <v>35</v>
      </c>
      <c r="F542" s="1">
        <v>2</v>
      </c>
      <c r="G542" s="1" t="s">
        <v>28</v>
      </c>
      <c r="H542" s="4" t="str">
        <f>HYPERLINK("https://www.ncbi.nlm.nih.gov/geo/query/acc.cgi?acc=GSM81185","GSM81185")</f>
        <v>GSM81185</v>
      </c>
      <c r="I542" t="s">
        <v>17</v>
      </c>
      <c r="J542" t="s">
        <v>18</v>
      </c>
      <c r="K542" t="s">
        <v>33</v>
      </c>
      <c r="L542" t="s">
        <v>20</v>
      </c>
      <c r="N542" t="s">
        <v>29</v>
      </c>
    </row>
    <row r="543" spans="1:14">
      <c r="A543" s="4" t="str">
        <f t="shared" si="40"/>
        <v>EXP00009</v>
      </c>
      <c r="B543" s="4" t="str">
        <f t="shared" si="38"/>
        <v>22048815</v>
      </c>
      <c r="C543" s="4" t="str">
        <f t="shared" si="39"/>
        <v>GSE10893</v>
      </c>
      <c r="D543" s="1" t="s">
        <v>38</v>
      </c>
      <c r="E543" t="s">
        <v>35</v>
      </c>
      <c r="F543" s="1">
        <v>2</v>
      </c>
      <c r="G543" s="1" t="s">
        <v>28</v>
      </c>
      <c r="H543" s="4" t="str">
        <f>HYPERLINK("https://www.ncbi.nlm.nih.gov/geo/query/acc.cgi?acc=GSM81186","GSM81186")</f>
        <v>GSM81186</v>
      </c>
      <c r="I543" t="s">
        <v>17</v>
      </c>
      <c r="J543" t="s">
        <v>18</v>
      </c>
      <c r="K543" t="s">
        <v>33</v>
      </c>
      <c r="L543" t="s">
        <v>20</v>
      </c>
      <c r="N543" t="s">
        <v>29</v>
      </c>
    </row>
    <row r="544" spans="1:14">
      <c r="A544" s="4" t="str">
        <f t="shared" si="40"/>
        <v>EXP00009</v>
      </c>
      <c r="B544" s="4" t="str">
        <f t="shared" si="38"/>
        <v>22048815</v>
      </c>
      <c r="C544" s="4" t="str">
        <f t="shared" si="39"/>
        <v>GSE10893</v>
      </c>
      <c r="D544" s="1" t="s">
        <v>38</v>
      </c>
      <c r="E544" t="s">
        <v>35</v>
      </c>
      <c r="F544" s="1">
        <v>2</v>
      </c>
      <c r="G544" s="1" t="s">
        <v>28</v>
      </c>
      <c r="H544" s="4" t="str">
        <f>HYPERLINK("https://www.ncbi.nlm.nih.gov/geo/query/acc.cgi?acc=GSM81187","GSM81187")</f>
        <v>GSM81187</v>
      </c>
      <c r="I544" t="s">
        <v>17</v>
      </c>
      <c r="J544" t="s">
        <v>18</v>
      </c>
      <c r="K544" t="s">
        <v>33</v>
      </c>
      <c r="L544" t="s">
        <v>20</v>
      </c>
      <c r="N544" t="s">
        <v>29</v>
      </c>
    </row>
    <row r="545" spans="1:14">
      <c r="A545" s="4" t="str">
        <f t="shared" si="40"/>
        <v>EXP00009</v>
      </c>
      <c r="B545" s="4" t="str">
        <f t="shared" si="38"/>
        <v>22048815</v>
      </c>
      <c r="C545" s="4" t="str">
        <f t="shared" si="39"/>
        <v>GSE10893</v>
      </c>
      <c r="D545" s="1" t="s">
        <v>38</v>
      </c>
      <c r="E545" t="s">
        <v>35</v>
      </c>
      <c r="F545" s="1">
        <v>2</v>
      </c>
      <c r="G545" s="1" t="s">
        <v>28</v>
      </c>
      <c r="H545" s="4" t="str">
        <f>HYPERLINK("https://www.ncbi.nlm.nih.gov/geo/query/acc.cgi?acc=GSM81188","GSM81188")</f>
        <v>GSM81188</v>
      </c>
      <c r="I545" t="s">
        <v>17</v>
      </c>
      <c r="J545" t="s">
        <v>18</v>
      </c>
      <c r="K545" t="s">
        <v>33</v>
      </c>
      <c r="L545" t="s">
        <v>20</v>
      </c>
      <c r="N545" t="s">
        <v>29</v>
      </c>
    </row>
    <row r="546" spans="1:14">
      <c r="A546" s="4" t="str">
        <f t="shared" ref="A546:A568" si="41">HYPERLINK("http://hcmdb.i-sanger.com/experiment/details/experiment_id/EXP00010","EXP00010")</f>
        <v>EXP00010</v>
      </c>
      <c r="B546" s="4" t="str">
        <f t="shared" ref="B546:B568" si="42">HYPERLINK("https://www.ncbi.nlm.nih.gov/pubmed/18676831","18676831")</f>
        <v>18676831</v>
      </c>
      <c r="C546" s="4" t="str">
        <f t="shared" ref="C546:C568" si="43">HYPERLINK("https://www.ncbi.nlm.nih.gov/geo/query/acc.cgi?acc=GSE11078","GSE11078")</f>
        <v>GSE11078</v>
      </c>
      <c r="D546" s="1" t="s">
        <v>45</v>
      </c>
      <c r="E546" t="s">
        <v>15</v>
      </c>
      <c r="F546" s="1">
        <v>1</v>
      </c>
      <c r="G546" s="1" t="s">
        <v>40</v>
      </c>
      <c r="H546" s="4" t="str">
        <f>HYPERLINK("https://www.ncbi.nlm.nih.gov/geo/query/acc.cgi?acc=GSM279964","GSM279964")</f>
        <v>GSM279964</v>
      </c>
      <c r="I546" t="s">
        <v>17</v>
      </c>
      <c r="J546" t="s">
        <v>18</v>
      </c>
      <c r="K546" t="s">
        <v>19</v>
      </c>
      <c r="L546" t="s">
        <v>20</v>
      </c>
      <c r="M546" t="s">
        <v>41</v>
      </c>
      <c r="N546" t="s">
        <v>22</v>
      </c>
    </row>
    <row r="547" spans="1:14">
      <c r="A547" s="4" t="str">
        <f t="shared" si="41"/>
        <v>EXP00010</v>
      </c>
      <c r="B547" s="4" t="str">
        <f t="shared" si="42"/>
        <v>18676831</v>
      </c>
      <c r="C547" s="4" t="str">
        <f t="shared" si="43"/>
        <v>GSE11078</v>
      </c>
      <c r="D547" s="1" t="s">
        <v>45</v>
      </c>
      <c r="E547" t="s">
        <v>15</v>
      </c>
      <c r="F547" s="1">
        <v>1</v>
      </c>
      <c r="G547" s="1" t="s">
        <v>40</v>
      </c>
      <c r="H547" s="4" t="str">
        <f>HYPERLINK("https://www.ncbi.nlm.nih.gov/geo/query/acc.cgi?acc=GSM279974","GSM279974")</f>
        <v>GSM279974</v>
      </c>
      <c r="I547" t="s">
        <v>17</v>
      </c>
      <c r="J547" t="s">
        <v>18</v>
      </c>
      <c r="K547" t="s">
        <v>19</v>
      </c>
      <c r="L547" t="s">
        <v>20</v>
      </c>
      <c r="M547" t="s">
        <v>41</v>
      </c>
      <c r="N547" t="s">
        <v>22</v>
      </c>
    </row>
    <row r="548" spans="1:14">
      <c r="A548" s="4" t="str">
        <f t="shared" si="41"/>
        <v>EXP00010</v>
      </c>
      <c r="B548" s="4" t="str">
        <f t="shared" si="42"/>
        <v>18676831</v>
      </c>
      <c r="C548" s="4" t="str">
        <f t="shared" si="43"/>
        <v>GSE11078</v>
      </c>
      <c r="D548" s="1" t="s">
        <v>45</v>
      </c>
      <c r="E548" t="s">
        <v>15</v>
      </c>
      <c r="F548" s="1">
        <v>1</v>
      </c>
      <c r="G548" s="1" t="s">
        <v>40</v>
      </c>
      <c r="H548" s="4" t="str">
        <f>HYPERLINK("https://www.ncbi.nlm.nih.gov/geo/query/acc.cgi?acc=GSM279975","GSM279975")</f>
        <v>GSM279975</v>
      </c>
      <c r="I548" t="s">
        <v>17</v>
      </c>
      <c r="J548" t="s">
        <v>18</v>
      </c>
      <c r="K548" t="s">
        <v>19</v>
      </c>
      <c r="L548" t="s">
        <v>20</v>
      </c>
      <c r="M548" t="s">
        <v>41</v>
      </c>
      <c r="N548" t="s">
        <v>22</v>
      </c>
    </row>
    <row r="549" spans="1:14">
      <c r="A549" s="4" t="str">
        <f t="shared" si="41"/>
        <v>EXP00010</v>
      </c>
      <c r="B549" s="4" t="str">
        <f t="shared" si="42"/>
        <v>18676831</v>
      </c>
      <c r="C549" s="4" t="str">
        <f t="shared" si="43"/>
        <v>GSE11078</v>
      </c>
      <c r="D549" s="1" t="s">
        <v>45</v>
      </c>
      <c r="E549" t="s">
        <v>15</v>
      </c>
      <c r="F549" s="1">
        <v>1</v>
      </c>
      <c r="G549" s="1" t="s">
        <v>40</v>
      </c>
      <c r="H549" s="4" t="str">
        <f>HYPERLINK("https://www.ncbi.nlm.nih.gov/geo/query/acc.cgi?acc=GSM279977","GSM279977")</f>
        <v>GSM279977</v>
      </c>
      <c r="I549" t="s">
        <v>17</v>
      </c>
      <c r="J549" t="s">
        <v>18</v>
      </c>
      <c r="K549" t="s">
        <v>19</v>
      </c>
      <c r="L549" t="s">
        <v>20</v>
      </c>
      <c r="M549" t="s">
        <v>41</v>
      </c>
      <c r="N549" t="s">
        <v>22</v>
      </c>
    </row>
    <row r="550" spans="1:14">
      <c r="A550" s="4" t="str">
        <f t="shared" si="41"/>
        <v>EXP00010</v>
      </c>
      <c r="B550" s="4" t="str">
        <f t="shared" si="42"/>
        <v>18676831</v>
      </c>
      <c r="C550" s="4" t="str">
        <f t="shared" si="43"/>
        <v>GSE11078</v>
      </c>
      <c r="D550" s="1" t="s">
        <v>45</v>
      </c>
      <c r="E550" t="s">
        <v>15</v>
      </c>
      <c r="F550" s="1">
        <v>1</v>
      </c>
      <c r="G550" s="1" t="s">
        <v>40</v>
      </c>
      <c r="H550" s="4" t="str">
        <f>HYPERLINK("https://www.ncbi.nlm.nih.gov/geo/query/acc.cgi?acc=GSM279978","GSM279978")</f>
        <v>GSM279978</v>
      </c>
      <c r="I550" t="s">
        <v>17</v>
      </c>
      <c r="J550" t="s">
        <v>18</v>
      </c>
      <c r="K550" t="s">
        <v>19</v>
      </c>
      <c r="L550" t="s">
        <v>20</v>
      </c>
      <c r="M550" t="s">
        <v>41</v>
      </c>
      <c r="N550" t="s">
        <v>22</v>
      </c>
    </row>
    <row r="551" spans="1:14">
      <c r="A551" s="4" t="str">
        <f t="shared" si="41"/>
        <v>EXP00010</v>
      </c>
      <c r="B551" s="4" t="str">
        <f t="shared" si="42"/>
        <v>18676831</v>
      </c>
      <c r="C551" s="4" t="str">
        <f t="shared" si="43"/>
        <v>GSE11078</v>
      </c>
      <c r="D551" s="1" t="s">
        <v>45</v>
      </c>
      <c r="E551" t="s">
        <v>15</v>
      </c>
      <c r="F551" s="1">
        <v>2</v>
      </c>
      <c r="G551" s="1" t="s">
        <v>46</v>
      </c>
      <c r="H551" s="4" t="str">
        <f>HYPERLINK("https://www.ncbi.nlm.nih.gov/geo/query/acc.cgi?acc=GSM279958","GSM279958")</f>
        <v>GSM279958</v>
      </c>
      <c r="I551" t="s">
        <v>17</v>
      </c>
      <c r="J551" t="s">
        <v>18</v>
      </c>
      <c r="K551" t="s">
        <v>19</v>
      </c>
      <c r="L551" t="s">
        <v>20</v>
      </c>
      <c r="M551" t="s">
        <v>47</v>
      </c>
      <c r="N551" t="s">
        <v>22</v>
      </c>
    </row>
    <row r="552" spans="1:14">
      <c r="A552" s="4" t="str">
        <f t="shared" si="41"/>
        <v>EXP00010</v>
      </c>
      <c r="B552" s="4" t="str">
        <f t="shared" si="42"/>
        <v>18676831</v>
      </c>
      <c r="C552" s="4" t="str">
        <f t="shared" si="43"/>
        <v>GSE11078</v>
      </c>
      <c r="D552" s="1" t="s">
        <v>45</v>
      </c>
      <c r="E552" t="s">
        <v>15</v>
      </c>
      <c r="F552" s="1">
        <v>2</v>
      </c>
      <c r="G552" s="1" t="s">
        <v>46</v>
      </c>
      <c r="H552" s="4" t="str">
        <f>HYPERLINK("https://www.ncbi.nlm.nih.gov/geo/query/acc.cgi?acc=GSM279961","GSM279961")</f>
        <v>GSM279961</v>
      </c>
      <c r="I552" t="s">
        <v>17</v>
      </c>
      <c r="J552" t="s">
        <v>18</v>
      </c>
      <c r="K552" t="s">
        <v>19</v>
      </c>
      <c r="L552" t="s">
        <v>20</v>
      </c>
      <c r="M552" t="s">
        <v>47</v>
      </c>
      <c r="N552" t="s">
        <v>22</v>
      </c>
    </row>
    <row r="553" spans="1:14">
      <c r="A553" s="4" t="str">
        <f t="shared" si="41"/>
        <v>EXP00010</v>
      </c>
      <c r="B553" s="4" t="str">
        <f t="shared" si="42"/>
        <v>18676831</v>
      </c>
      <c r="C553" s="4" t="str">
        <f t="shared" si="43"/>
        <v>GSE11078</v>
      </c>
      <c r="D553" s="1" t="s">
        <v>45</v>
      </c>
      <c r="E553" t="s">
        <v>15</v>
      </c>
      <c r="F553" s="1">
        <v>2</v>
      </c>
      <c r="G553" s="1" t="s">
        <v>46</v>
      </c>
      <c r="H553" s="4" t="str">
        <f>HYPERLINK("https://www.ncbi.nlm.nih.gov/geo/query/acc.cgi?acc=GSM279963","GSM279963")</f>
        <v>GSM279963</v>
      </c>
      <c r="I553" t="s">
        <v>17</v>
      </c>
      <c r="J553" t="s">
        <v>18</v>
      </c>
      <c r="K553" t="s">
        <v>19</v>
      </c>
      <c r="L553" t="s">
        <v>20</v>
      </c>
      <c r="M553" t="s">
        <v>47</v>
      </c>
      <c r="N553" t="s">
        <v>22</v>
      </c>
    </row>
    <row r="554" spans="1:14">
      <c r="A554" s="4" t="str">
        <f t="shared" si="41"/>
        <v>EXP00010</v>
      </c>
      <c r="B554" s="4" t="str">
        <f t="shared" si="42"/>
        <v>18676831</v>
      </c>
      <c r="C554" s="4" t="str">
        <f t="shared" si="43"/>
        <v>GSE11078</v>
      </c>
      <c r="D554" s="1" t="s">
        <v>45</v>
      </c>
      <c r="E554" t="s">
        <v>15</v>
      </c>
      <c r="F554" s="1">
        <v>2</v>
      </c>
      <c r="G554" s="1" t="s">
        <v>46</v>
      </c>
      <c r="H554" s="4" t="str">
        <f>HYPERLINK("https://www.ncbi.nlm.nih.gov/geo/query/acc.cgi?acc=GSM279965","GSM279965")</f>
        <v>GSM279965</v>
      </c>
      <c r="I554" t="s">
        <v>17</v>
      </c>
      <c r="J554" t="s">
        <v>18</v>
      </c>
      <c r="K554" t="s">
        <v>19</v>
      </c>
      <c r="L554" t="s">
        <v>20</v>
      </c>
      <c r="M554" t="s">
        <v>47</v>
      </c>
      <c r="N554" t="s">
        <v>22</v>
      </c>
    </row>
    <row r="555" spans="1:14">
      <c r="A555" s="4" t="str">
        <f t="shared" si="41"/>
        <v>EXP00010</v>
      </c>
      <c r="B555" s="4" t="str">
        <f t="shared" si="42"/>
        <v>18676831</v>
      </c>
      <c r="C555" s="4" t="str">
        <f t="shared" si="43"/>
        <v>GSE11078</v>
      </c>
      <c r="D555" s="1" t="s">
        <v>45</v>
      </c>
      <c r="E555" t="s">
        <v>15</v>
      </c>
      <c r="F555" s="1">
        <v>2</v>
      </c>
      <c r="G555" s="1" t="s">
        <v>46</v>
      </c>
      <c r="H555" s="4" t="str">
        <f>HYPERLINK("https://www.ncbi.nlm.nih.gov/geo/query/acc.cgi?acc=GSM279966","GSM279966")</f>
        <v>GSM279966</v>
      </c>
      <c r="I555" t="s">
        <v>17</v>
      </c>
      <c r="J555" t="s">
        <v>18</v>
      </c>
      <c r="K555" t="s">
        <v>19</v>
      </c>
      <c r="L555" t="s">
        <v>20</v>
      </c>
      <c r="M555" t="s">
        <v>47</v>
      </c>
      <c r="N555" t="s">
        <v>22</v>
      </c>
    </row>
    <row r="556" spans="1:14">
      <c r="A556" s="4" t="str">
        <f t="shared" si="41"/>
        <v>EXP00010</v>
      </c>
      <c r="B556" s="4" t="str">
        <f t="shared" si="42"/>
        <v>18676831</v>
      </c>
      <c r="C556" s="4" t="str">
        <f t="shared" si="43"/>
        <v>GSE11078</v>
      </c>
      <c r="D556" s="1" t="s">
        <v>45</v>
      </c>
      <c r="E556" t="s">
        <v>15</v>
      </c>
      <c r="F556" s="1">
        <v>2</v>
      </c>
      <c r="G556" s="1" t="s">
        <v>46</v>
      </c>
      <c r="H556" s="4" t="str">
        <f>HYPERLINK("https://www.ncbi.nlm.nih.gov/geo/query/acc.cgi?acc=GSM279968","GSM279968")</f>
        <v>GSM279968</v>
      </c>
      <c r="I556" t="s">
        <v>17</v>
      </c>
      <c r="J556" t="s">
        <v>18</v>
      </c>
      <c r="K556" t="s">
        <v>19</v>
      </c>
      <c r="L556" t="s">
        <v>20</v>
      </c>
      <c r="M556" t="s">
        <v>47</v>
      </c>
      <c r="N556" t="s">
        <v>22</v>
      </c>
    </row>
    <row r="557" spans="1:14">
      <c r="A557" s="4" t="str">
        <f t="shared" si="41"/>
        <v>EXP00010</v>
      </c>
      <c r="B557" s="4" t="str">
        <f t="shared" si="42"/>
        <v>18676831</v>
      </c>
      <c r="C557" s="4" t="str">
        <f t="shared" si="43"/>
        <v>GSE11078</v>
      </c>
      <c r="D557" s="1" t="s">
        <v>45</v>
      </c>
      <c r="E557" t="s">
        <v>15</v>
      </c>
      <c r="F557" s="1">
        <v>2</v>
      </c>
      <c r="G557" s="1" t="s">
        <v>46</v>
      </c>
      <c r="H557" s="4" t="str">
        <f>HYPERLINK("https://www.ncbi.nlm.nih.gov/geo/query/acc.cgi?acc=GSM279969","GSM279969")</f>
        <v>GSM279969</v>
      </c>
      <c r="I557" t="s">
        <v>17</v>
      </c>
      <c r="J557" t="s">
        <v>18</v>
      </c>
      <c r="K557" t="s">
        <v>19</v>
      </c>
      <c r="L557" t="s">
        <v>20</v>
      </c>
      <c r="M557" t="s">
        <v>47</v>
      </c>
      <c r="N557" t="s">
        <v>22</v>
      </c>
    </row>
    <row r="558" spans="1:14">
      <c r="A558" s="4" t="str">
        <f t="shared" si="41"/>
        <v>EXP00010</v>
      </c>
      <c r="B558" s="4" t="str">
        <f t="shared" si="42"/>
        <v>18676831</v>
      </c>
      <c r="C558" s="4" t="str">
        <f t="shared" si="43"/>
        <v>GSE11078</v>
      </c>
      <c r="D558" s="1" t="s">
        <v>45</v>
      </c>
      <c r="E558" t="s">
        <v>15</v>
      </c>
      <c r="F558" s="1">
        <v>2</v>
      </c>
      <c r="G558" s="1" t="s">
        <v>46</v>
      </c>
      <c r="H558" s="4" t="str">
        <f>HYPERLINK("https://www.ncbi.nlm.nih.gov/geo/query/acc.cgi?acc=GSM279971","GSM279971")</f>
        <v>GSM279971</v>
      </c>
      <c r="I558" t="s">
        <v>17</v>
      </c>
      <c r="J558" t="s">
        <v>18</v>
      </c>
      <c r="K558" t="s">
        <v>19</v>
      </c>
      <c r="L558" t="s">
        <v>20</v>
      </c>
      <c r="M558" t="s">
        <v>47</v>
      </c>
      <c r="N558" t="s">
        <v>22</v>
      </c>
    </row>
    <row r="559" spans="1:14">
      <c r="A559" s="4" t="str">
        <f t="shared" si="41"/>
        <v>EXP00010</v>
      </c>
      <c r="B559" s="4" t="str">
        <f t="shared" si="42"/>
        <v>18676831</v>
      </c>
      <c r="C559" s="4" t="str">
        <f t="shared" si="43"/>
        <v>GSE11078</v>
      </c>
      <c r="D559" s="1" t="s">
        <v>45</v>
      </c>
      <c r="E559" t="s">
        <v>15</v>
      </c>
      <c r="F559" s="1">
        <v>2</v>
      </c>
      <c r="G559" s="1" t="s">
        <v>46</v>
      </c>
      <c r="H559" s="4" t="str">
        <f>HYPERLINK("https://www.ncbi.nlm.nih.gov/geo/query/acc.cgi?acc=GSM279972","GSM279972")</f>
        <v>GSM279972</v>
      </c>
      <c r="I559" t="s">
        <v>17</v>
      </c>
      <c r="J559" t="s">
        <v>18</v>
      </c>
      <c r="K559" t="s">
        <v>19</v>
      </c>
      <c r="L559" t="s">
        <v>20</v>
      </c>
      <c r="M559" t="s">
        <v>47</v>
      </c>
      <c r="N559" t="s">
        <v>22</v>
      </c>
    </row>
    <row r="560" spans="1:14">
      <c r="A560" s="4" t="str">
        <f t="shared" si="41"/>
        <v>EXP00010</v>
      </c>
      <c r="B560" s="4" t="str">
        <f t="shared" si="42"/>
        <v>18676831</v>
      </c>
      <c r="C560" s="4" t="str">
        <f t="shared" si="43"/>
        <v>GSE11078</v>
      </c>
      <c r="D560" s="1" t="s">
        <v>45</v>
      </c>
      <c r="E560" t="s">
        <v>15</v>
      </c>
      <c r="F560" s="1">
        <v>2</v>
      </c>
      <c r="G560" s="1" t="s">
        <v>46</v>
      </c>
      <c r="H560" s="4" t="str">
        <f>HYPERLINK("https://www.ncbi.nlm.nih.gov/geo/query/acc.cgi?acc=GSM279973","GSM279973")</f>
        <v>GSM279973</v>
      </c>
      <c r="I560" t="s">
        <v>17</v>
      </c>
      <c r="J560" t="s">
        <v>18</v>
      </c>
      <c r="K560" t="s">
        <v>19</v>
      </c>
      <c r="L560" t="s">
        <v>20</v>
      </c>
      <c r="M560" t="s">
        <v>47</v>
      </c>
      <c r="N560" t="s">
        <v>22</v>
      </c>
    </row>
    <row r="561" spans="1:14">
      <c r="A561" s="4" t="str">
        <f t="shared" si="41"/>
        <v>EXP00010</v>
      </c>
      <c r="B561" s="4" t="str">
        <f t="shared" si="42"/>
        <v>18676831</v>
      </c>
      <c r="C561" s="4" t="str">
        <f t="shared" si="43"/>
        <v>GSE11078</v>
      </c>
      <c r="D561" s="1" t="s">
        <v>45</v>
      </c>
      <c r="E561" t="s">
        <v>15</v>
      </c>
      <c r="F561" s="1">
        <v>2</v>
      </c>
      <c r="G561" s="1" t="s">
        <v>46</v>
      </c>
      <c r="H561" s="4" t="str">
        <f>HYPERLINK("https://www.ncbi.nlm.nih.gov/geo/query/acc.cgi?acc=GSM279979","GSM279979")</f>
        <v>GSM279979</v>
      </c>
      <c r="I561" t="s">
        <v>17</v>
      </c>
      <c r="J561" t="s">
        <v>18</v>
      </c>
      <c r="K561" t="s">
        <v>19</v>
      </c>
      <c r="L561" t="s">
        <v>20</v>
      </c>
      <c r="M561" t="s">
        <v>47</v>
      </c>
      <c r="N561" t="s">
        <v>22</v>
      </c>
    </row>
    <row r="562" spans="1:14">
      <c r="A562" s="4" t="str">
        <f t="shared" si="41"/>
        <v>EXP00010</v>
      </c>
      <c r="B562" s="4" t="str">
        <f t="shared" si="42"/>
        <v>18676831</v>
      </c>
      <c r="C562" s="4" t="str">
        <f t="shared" si="43"/>
        <v>GSE11078</v>
      </c>
      <c r="D562" s="1" t="s">
        <v>45</v>
      </c>
      <c r="E562" t="s">
        <v>15</v>
      </c>
      <c r="F562" s="1">
        <v>2</v>
      </c>
      <c r="G562" s="1" t="s">
        <v>46</v>
      </c>
      <c r="H562" s="4" t="str">
        <f>HYPERLINK("https://www.ncbi.nlm.nih.gov/geo/query/acc.cgi?acc=GSM279980","GSM279980")</f>
        <v>GSM279980</v>
      </c>
      <c r="I562" t="s">
        <v>17</v>
      </c>
      <c r="J562" t="s">
        <v>18</v>
      </c>
      <c r="K562" t="s">
        <v>19</v>
      </c>
      <c r="L562" t="s">
        <v>20</v>
      </c>
      <c r="M562" t="s">
        <v>47</v>
      </c>
      <c r="N562" t="s">
        <v>22</v>
      </c>
    </row>
    <row r="563" spans="1:14">
      <c r="A563" s="4" t="str">
        <f t="shared" si="41"/>
        <v>EXP00010</v>
      </c>
      <c r="B563" s="4" t="str">
        <f t="shared" si="42"/>
        <v>18676831</v>
      </c>
      <c r="C563" s="4" t="str">
        <f t="shared" si="43"/>
        <v>GSE11078</v>
      </c>
      <c r="D563" s="1" t="s">
        <v>45</v>
      </c>
      <c r="E563" t="s">
        <v>15</v>
      </c>
      <c r="F563" s="1">
        <v>2</v>
      </c>
      <c r="G563" s="1" t="s">
        <v>46</v>
      </c>
      <c r="H563" s="4" t="str">
        <f>HYPERLINK("https://www.ncbi.nlm.nih.gov/geo/query/acc.cgi?acc=GSM279981","GSM279981")</f>
        <v>GSM279981</v>
      </c>
      <c r="I563" t="s">
        <v>17</v>
      </c>
      <c r="J563" t="s">
        <v>18</v>
      </c>
      <c r="K563" t="s">
        <v>19</v>
      </c>
      <c r="L563" t="s">
        <v>20</v>
      </c>
      <c r="M563" t="s">
        <v>47</v>
      </c>
      <c r="N563" t="s">
        <v>22</v>
      </c>
    </row>
    <row r="564" spans="1:14">
      <c r="A564" s="4" t="str">
        <f t="shared" si="41"/>
        <v>EXP00010</v>
      </c>
      <c r="B564" s="4" t="str">
        <f t="shared" si="42"/>
        <v>18676831</v>
      </c>
      <c r="C564" s="4" t="str">
        <f t="shared" si="43"/>
        <v>GSE11078</v>
      </c>
      <c r="D564" s="1" t="s">
        <v>45</v>
      </c>
      <c r="E564" t="s">
        <v>15</v>
      </c>
      <c r="F564" s="1">
        <v>2</v>
      </c>
      <c r="G564" s="1" t="s">
        <v>46</v>
      </c>
      <c r="H564" s="4" t="str">
        <f>HYPERLINK("https://www.ncbi.nlm.nih.gov/geo/query/acc.cgi?acc=GSM279983","GSM279983")</f>
        <v>GSM279983</v>
      </c>
      <c r="I564" t="s">
        <v>17</v>
      </c>
      <c r="J564" t="s">
        <v>18</v>
      </c>
      <c r="K564" t="s">
        <v>19</v>
      </c>
      <c r="L564" t="s">
        <v>20</v>
      </c>
      <c r="M564" t="s">
        <v>47</v>
      </c>
      <c r="N564" t="s">
        <v>22</v>
      </c>
    </row>
    <row r="565" spans="1:14">
      <c r="A565" s="4" t="str">
        <f t="shared" si="41"/>
        <v>EXP00010</v>
      </c>
      <c r="B565" s="4" t="str">
        <f t="shared" si="42"/>
        <v>18676831</v>
      </c>
      <c r="C565" s="4" t="str">
        <f t="shared" si="43"/>
        <v>GSE11078</v>
      </c>
      <c r="D565" s="1" t="s">
        <v>45</v>
      </c>
      <c r="E565" t="s">
        <v>15</v>
      </c>
      <c r="F565" s="1">
        <v>2</v>
      </c>
      <c r="G565" s="1" t="s">
        <v>46</v>
      </c>
      <c r="H565" s="4" t="str">
        <f>HYPERLINK("https://www.ncbi.nlm.nih.gov/geo/query/acc.cgi?acc=GSM279984","GSM279984")</f>
        <v>GSM279984</v>
      </c>
      <c r="I565" t="s">
        <v>17</v>
      </c>
      <c r="J565" t="s">
        <v>18</v>
      </c>
      <c r="K565" t="s">
        <v>19</v>
      </c>
      <c r="L565" t="s">
        <v>20</v>
      </c>
      <c r="M565" t="s">
        <v>47</v>
      </c>
      <c r="N565" t="s">
        <v>22</v>
      </c>
    </row>
    <row r="566" spans="1:14">
      <c r="A566" s="4" t="str">
        <f t="shared" si="41"/>
        <v>EXP00010</v>
      </c>
      <c r="B566" s="4" t="str">
        <f t="shared" si="42"/>
        <v>18676831</v>
      </c>
      <c r="C566" s="4" t="str">
        <f t="shared" si="43"/>
        <v>GSE11078</v>
      </c>
      <c r="D566" s="1" t="s">
        <v>45</v>
      </c>
      <c r="E566" t="s">
        <v>15</v>
      </c>
      <c r="F566" s="1">
        <v>2</v>
      </c>
      <c r="G566" s="1" t="s">
        <v>46</v>
      </c>
      <c r="H566" s="4" t="str">
        <f>HYPERLINK("https://www.ncbi.nlm.nih.gov/geo/query/acc.cgi?acc=GSM279985","GSM279985")</f>
        <v>GSM279985</v>
      </c>
      <c r="I566" t="s">
        <v>17</v>
      </c>
      <c r="J566" t="s">
        <v>18</v>
      </c>
      <c r="K566" t="s">
        <v>19</v>
      </c>
      <c r="L566" t="s">
        <v>20</v>
      </c>
      <c r="M566" t="s">
        <v>47</v>
      </c>
      <c r="N566" t="s">
        <v>22</v>
      </c>
    </row>
    <row r="567" spans="1:14">
      <c r="A567" s="4" t="str">
        <f t="shared" si="41"/>
        <v>EXP00010</v>
      </c>
      <c r="B567" s="4" t="str">
        <f t="shared" si="42"/>
        <v>18676831</v>
      </c>
      <c r="C567" s="4" t="str">
        <f t="shared" si="43"/>
        <v>GSE11078</v>
      </c>
      <c r="D567" s="1" t="s">
        <v>45</v>
      </c>
      <c r="E567" t="s">
        <v>15</v>
      </c>
      <c r="F567" s="1">
        <v>2</v>
      </c>
      <c r="G567" s="1" t="s">
        <v>46</v>
      </c>
      <c r="H567" s="4" t="str">
        <f>HYPERLINK("https://www.ncbi.nlm.nih.gov/geo/query/acc.cgi?acc=GSM279986","GSM279986")</f>
        <v>GSM279986</v>
      </c>
      <c r="I567" t="s">
        <v>17</v>
      </c>
      <c r="J567" t="s">
        <v>18</v>
      </c>
      <c r="K567" t="s">
        <v>19</v>
      </c>
      <c r="L567" t="s">
        <v>20</v>
      </c>
      <c r="M567" t="s">
        <v>47</v>
      </c>
      <c r="N567" t="s">
        <v>22</v>
      </c>
    </row>
    <row r="568" spans="1:14">
      <c r="A568" s="4" t="str">
        <f t="shared" si="41"/>
        <v>EXP00010</v>
      </c>
      <c r="B568" s="4" t="str">
        <f t="shared" si="42"/>
        <v>18676831</v>
      </c>
      <c r="C568" s="4" t="str">
        <f t="shared" si="43"/>
        <v>GSE11078</v>
      </c>
      <c r="D568" s="1" t="s">
        <v>45</v>
      </c>
      <c r="E568" t="s">
        <v>15</v>
      </c>
      <c r="F568" s="1">
        <v>2</v>
      </c>
      <c r="G568" s="1" t="s">
        <v>46</v>
      </c>
      <c r="H568" s="4" t="str">
        <f>HYPERLINK("https://www.ncbi.nlm.nih.gov/geo/query/acc.cgi?acc=GSM279987","GSM279987")</f>
        <v>GSM279987</v>
      </c>
      <c r="I568" t="s">
        <v>17</v>
      </c>
      <c r="J568" t="s">
        <v>18</v>
      </c>
      <c r="K568" t="s">
        <v>19</v>
      </c>
      <c r="L568" t="s">
        <v>20</v>
      </c>
      <c r="M568" t="s">
        <v>47</v>
      </c>
      <c r="N568" t="s">
        <v>22</v>
      </c>
    </row>
    <row r="569" spans="1:14">
      <c r="A569" s="4" t="str">
        <f t="shared" ref="A569:A605" si="44">HYPERLINK("http://hcmdb.i-sanger.com/experiment/details/experiment_id/EXP00011","EXP00011")</f>
        <v>EXP00011</v>
      </c>
      <c r="B569" s="4" t="str">
        <f t="shared" ref="B569:B605" si="45">HYPERLINK("https://www.ncbi.nlm.nih.gov/pubmed/19307502","19307502")</f>
        <v>19307502</v>
      </c>
      <c r="C569" s="4" t="str">
        <f t="shared" ref="C569:C605" si="46">HYPERLINK("https://www.ncbi.nlm.nih.gov/geo/query/acc.cgi?acc=GSE12102","GSE12102")</f>
        <v>GSE12102</v>
      </c>
      <c r="D569" s="1" t="s">
        <v>45</v>
      </c>
      <c r="E569" t="s">
        <v>48</v>
      </c>
      <c r="F569" s="1">
        <v>1</v>
      </c>
      <c r="G569" s="1" t="s">
        <v>26</v>
      </c>
      <c r="H569" s="4" t="str">
        <f>HYPERLINK("https://www.ncbi.nlm.nih.gov/geo/query/acc.cgi?acc=GSM305365","GSM305365")</f>
        <v>GSM305365</v>
      </c>
      <c r="I569" t="s">
        <v>49</v>
      </c>
      <c r="J569" t="s">
        <v>18</v>
      </c>
      <c r="K569" t="s">
        <v>19</v>
      </c>
      <c r="L569" t="s">
        <v>50</v>
      </c>
      <c r="M569" t="s">
        <v>51</v>
      </c>
      <c r="N569" t="s">
        <v>22</v>
      </c>
    </row>
    <row r="570" spans="1:14">
      <c r="A570" s="4" t="str">
        <f t="shared" si="44"/>
        <v>EXP00011</v>
      </c>
      <c r="B570" s="4" t="str">
        <f t="shared" si="45"/>
        <v>19307502</v>
      </c>
      <c r="C570" s="4" t="str">
        <f t="shared" si="46"/>
        <v>GSE12102</v>
      </c>
      <c r="D570" s="1" t="s">
        <v>45</v>
      </c>
      <c r="E570" t="s">
        <v>48</v>
      </c>
      <c r="F570" s="1">
        <v>1</v>
      </c>
      <c r="G570" s="1" t="s">
        <v>26</v>
      </c>
      <c r="H570" s="4" t="str">
        <f>HYPERLINK("https://www.ncbi.nlm.nih.gov/geo/query/acc.cgi?acc=GSM305366","GSM305366")</f>
        <v>GSM305366</v>
      </c>
      <c r="I570" t="s">
        <v>49</v>
      </c>
      <c r="J570" t="s">
        <v>18</v>
      </c>
      <c r="K570" t="s">
        <v>19</v>
      </c>
      <c r="L570" t="s">
        <v>50</v>
      </c>
      <c r="M570" t="s">
        <v>51</v>
      </c>
      <c r="N570" t="s">
        <v>22</v>
      </c>
    </row>
    <row r="571" spans="1:14">
      <c r="A571" s="4" t="str">
        <f t="shared" si="44"/>
        <v>EXP00011</v>
      </c>
      <c r="B571" s="4" t="str">
        <f t="shared" si="45"/>
        <v>19307502</v>
      </c>
      <c r="C571" s="4" t="str">
        <f t="shared" si="46"/>
        <v>GSE12102</v>
      </c>
      <c r="D571" s="1" t="s">
        <v>45</v>
      </c>
      <c r="E571" t="s">
        <v>48</v>
      </c>
      <c r="F571" s="1">
        <v>1</v>
      </c>
      <c r="G571" s="1" t="s">
        <v>26</v>
      </c>
      <c r="H571" s="4" t="str">
        <f>HYPERLINK("https://www.ncbi.nlm.nih.gov/geo/query/acc.cgi?acc=GSM305367","GSM305367")</f>
        <v>GSM305367</v>
      </c>
      <c r="I571" t="s">
        <v>49</v>
      </c>
      <c r="J571" t="s">
        <v>18</v>
      </c>
      <c r="K571" t="s">
        <v>19</v>
      </c>
      <c r="L571" t="s">
        <v>50</v>
      </c>
      <c r="M571" t="s">
        <v>51</v>
      </c>
      <c r="N571" t="s">
        <v>22</v>
      </c>
    </row>
    <row r="572" spans="1:14">
      <c r="A572" s="4" t="str">
        <f t="shared" si="44"/>
        <v>EXP00011</v>
      </c>
      <c r="B572" s="4" t="str">
        <f t="shared" si="45"/>
        <v>19307502</v>
      </c>
      <c r="C572" s="4" t="str">
        <f t="shared" si="46"/>
        <v>GSE12102</v>
      </c>
      <c r="D572" s="1" t="s">
        <v>45</v>
      </c>
      <c r="E572" t="s">
        <v>48</v>
      </c>
      <c r="F572" s="1">
        <v>1</v>
      </c>
      <c r="G572" s="1" t="s">
        <v>26</v>
      </c>
      <c r="H572" s="4" t="str">
        <f>HYPERLINK("https://www.ncbi.nlm.nih.gov/geo/query/acc.cgi?acc=GSM305370","GSM305370")</f>
        <v>GSM305370</v>
      </c>
      <c r="I572" t="s">
        <v>49</v>
      </c>
      <c r="J572" t="s">
        <v>18</v>
      </c>
      <c r="K572" t="s">
        <v>19</v>
      </c>
      <c r="L572" t="s">
        <v>50</v>
      </c>
      <c r="M572" t="s">
        <v>51</v>
      </c>
      <c r="N572" t="s">
        <v>22</v>
      </c>
    </row>
    <row r="573" spans="1:14">
      <c r="A573" s="4" t="str">
        <f t="shared" si="44"/>
        <v>EXP00011</v>
      </c>
      <c r="B573" s="4" t="str">
        <f t="shared" si="45"/>
        <v>19307502</v>
      </c>
      <c r="C573" s="4" t="str">
        <f t="shared" si="46"/>
        <v>GSE12102</v>
      </c>
      <c r="D573" s="1" t="s">
        <v>45</v>
      </c>
      <c r="E573" t="s">
        <v>48</v>
      </c>
      <c r="F573" s="1">
        <v>1</v>
      </c>
      <c r="G573" s="1" t="s">
        <v>26</v>
      </c>
      <c r="H573" s="4" t="str">
        <f>HYPERLINK("https://www.ncbi.nlm.nih.gov/geo/query/acc.cgi?acc=GSM305386","GSM305386")</f>
        <v>GSM305386</v>
      </c>
      <c r="I573" t="s">
        <v>49</v>
      </c>
      <c r="J573" t="s">
        <v>18</v>
      </c>
      <c r="K573" t="s">
        <v>19</v>
      </c>
      <c r="L573" t="s">
        <v>50</v>
      </c>
      <c r="M573" t="s">
        <v>51</v>
      </c>
      <c r="N573" t="s">
        <v>22</v>
      </c>
    </row>
    <row r="574" spans="1:14">
      <c r="A574" s="4" t="str">
        <f t="shared" si="44"/>
        <v>EXP00011</v>
      </c>
      <c r="B574" s="4" t="str">
        <f t="shared" si="45"/>
        <v>19307502</v>
      </c>
      <c r="C574" s="4" t="str">
        <f t="shared" si="46"/>
        <v>GSE12102</v>
      </c>
      <c r="D574" s="1" t="s">
        <v>45</v>
      </c>
      <c r="E574" t="s">
        <v>48</v>
      </c>
      <c r="F574" s="1">
        <v>1</v>
      </c>
      <c r="G574" s="1" t="s">
        <v>26</v>
      </c>
      <c r="H574" s="4" t="str">
        <f>HYPERLINK("https://www.ncbi.nlm.nih.gov/geo/query/acc.cgi?acc=GSM305387","GSM305387")</f>
        <v>GSM305387</v>
      </c>
      <c r="I574" t="s">
        <v>49</v>
      </c>
      <c r="J574" t="s">
        <v>18</v>
      </c>
      <c r="K574" t="s">
        <v>19</v>
      </c>
      <c r="L574" t="s">
        <v>50</v>
      </c>
      <c r="M574" t="s">
        <v>51</v>
      </c>
      <c r="N574" t="s">
        <v>22</v>
      </c>
    </row>
    <row r="575" spans="1:14">
      <c r="A575" s="4" t="str">
        <f t="shared" si="44"/>
        <v>EXP00011</v>
      </c>
      <c r="B575" s="4" t="str">
        <f t="shared" si="45"/>
        <v>19307502</v>
      </c>
      <c r="C575" s="4" t="str">
        <f t="shared" si="46"/>
        <v>GSE12102</v>
      </c>
      <c r="D575" s="1" t="s">
        <v>45</v>
      </c>
      <c r="E575" t="s">
        <v>48</v>
      </c>
      <c r="F575" s="1">
        <v>1</v>
      </c>
      <c r="G575" s="1" t="s">
        <v>26</v>
      </c>
      <c r="H575" s="4" t="str">
        <f>HYPERLINK("https://www.ncbi.nlm.nih.gov/geo/query/acc.cgi?acc=GSM305388","GSM305388")</f>
        <v>GSM305388</v>
      </c>
      <c r="I575" t="s">
        <v>49</v>
      </c>
      <c r="J575" t="s">
        <v>18</v>
      </c>
      <c r="K575" t="s">
        <v>19</v>
      </c>
      <c r="L575" t="s">
        <v>50</v>
      </c>
      <c r="M575" t="s">
        <v>51</v>
      </c>
      <c r="N575" t="s">
        <v>22</v>
      </c>
    </row>
    <row r="576" spans="1:14">
      <c r="A576" s="4" t="str">
        <f t="shared" si="44"/>
        <v>EXP00011</v>
      </c>
      <c r="B576" s="4" t="str">
        <f t="shared" si="45"/>
        <v>19307502</v>
      </c>
      <c r="C576" s="4" t="str">
        <f t="shared" si="46"/>
        <v>GSE12102</v>
      </c>
      <c r="D576" s="1" t="s">
        <v>45</v>
      </c>
      <c r="E576" t="s">
        <v>48</v>
      </c>
      <c r="F576" s="1">
        <v>2</v>
      </c>
      <c r="G576" s="1" t="s">
        <v>28</v>
      </c>
      <c r="H576" s="4" t="str">
        <f>HYPERLINK("https://www.ncbi.nlm.nih.gov/geo/query/acc.cgi?acc=GSM305352","GSM305352")</f>
        <v>GSM305352</v>
      </c>
      <c r="I576" t="s">
        <v>49</v>
      </c>
      <c r="J576" t="s">
        <v>18</v>
      </c>
      <c r="K576" t="s">
        <v>19</v>
      </c>
      <c r="L576" t="s">
        <v>50</v>
      </c>
      <c r="M576" t="s">
        <v>51</v>
      </c>
      <c r="N576" t="s">
        <v>29</v>
      </c>
    </row>
    <row r="577" spans="1:14">
      <c r="A577" s="4" t="str">
        <f t="shared" si="44"/>
        <v>EXP00011</v>
      </c>
      <c r="B577" s="4" t="str">
        <f t="shared" si="45"/>
        <v>19307502</v>
      </c>
      <c r="C577" s="4" t="str">
        <f t="shared" si="46"/>
        <v>GSE12102</v>
      </c>
      <c r="D577" s="1" t="s">
        <v>45</v>
      </c>
      <c r="E577" t="s">
        <v>48</v>
      </c>
      <c r="F577" s="1">
        <v>2</v>
      </c>
      <c r="G577" s="1" t="s">
        <v>28</v>
      </c>
      <c r="H577" s="4" t="str">
        <f>HYPERLINK("https://www.ncbi.nlm.nih.gov/geo/query/acc.cgi?acc=GSM305353","GSM305353")</f>
        <v>GSM305353</v>
      </c>
      <c r="I577" t="s">
        <v>49</v>
      </c>
      <c r="J577" t="s">
        <v>18</v>
      </c>
      <c r="K577" t="s">
        <v>19</v>
      </c>
      <c r="L577" t="s">
        <v>50</v>
      </c>
      <c r="M577" t="s">
        <v>51</v>
      </c>
      <c r="N577" t="s">
        <v>29</v>
      </c>
    </row>
    <row r="578" spans="1:14">
      <c r="A578" s="4" t="str">
        <f t="shared" si="44"/>
        <v>EXP00011</v>
      </c>
      <c r="B578" s="4" t="str">
        <f t="shared" si="45"/>
        <v>19307502</v>
      </c>
      <c r="C578" s="4" t="str">
        <f t="shared" si="46"/>
        <v>GSE12102</v>
      </c>
      <c r="D578" s="1" t="s">
        <v>45</v>
      </c>
      <c r="E578" t="s">
        <v>48</v>
      </c>
      <c r="F578" s="1">
        <v>2</v>
      </c>
      <c r="G578" s="1" t="s">
        <v>28</v>
      </c>
      <c r="H578" s="4" t="str">
        <f>HYPERLINK("https://www.ncbi.nlm.nih.gov/geo/query/acc.cgi?acc=GSM305354","GSM305354")</f>
        <v>GSM305354</v>
      </c>
      <c r="I578" t="s">
        <v>49</v>
      </c>
      <c r="J578" t="s">
        <v>18</v>
      </c>
      <c r="K578" t="s">
        <v>19</v>
      </c>
      <c r="L578" t="s">
        <v>50</v>
      </c>
      <c r="M578" t="s">
        <v>51</v>
      </c>
      <c r="N578" t="s">
        <v>29</v>
      </c>
    </row>
    <row r="579" spans="1:14">
      <c r="A579" s="4" t="str">
        <f t="shared" si="44"/>
        <v>EXP00011</v>
      </c>
      <c r="B579" s="4" t="str">
        <f t="shared" si="45"/>
        <v>19307502</v>
      </c>
      <c r="C579" s="4" t="str">
        <f t="shared" si="46"/>
        <v>GSE12102</v>
      </c>
      <c r="D579" s="1" t="s">
        <v>45</v>
      </c>
      <c r="E579" t="s">
        <v>48</v>
      </c>
      <c r="F579" s="1">
        <v>2</v>
      </c>
      <c r="G579" s="1" t="s">
        <v>28</v>
      </c>
      <c r="H579" s="4" t="str">
        <f>HYPERLINK("https://www.ncbi.nlm.nih.gov/geo/query/acc.cgi?acc=GSM305355","GSM305355")</f>
        <v>GSM305355</v>
      </c>
      <c r="I579" t="s">
        <v>49</v>
      </c>
      <c r="J579" t="s">
        <v>18</v>
      </c>
      <c r="K579" t="s">
        <v>19</v>
      </c>
      <c r="L579" t="s">
        <v>50</v>
      </c>
      <c r="M579" t="s">
        <v>51</v>
      </c>
      <c r="N579" t="s">
        <v>29</v>
      </c>
    </row>
    <row r="580" spans="1:14">
      <c r="A580" s="4" t="str">
        <f t="shared" si="44"/>
        <v>EXP00011</v>
      </c>
      <c r="B580" s="4" t="str">
        <f t="shared" si="45"/>
        <v>19307502</v>
      </c>
      <c r="C580" s="4" t="str">
        <f t="shared" si="46"/>
        <v>GSE12102</v>
      </c>
      <c r="D580" s="1" t="s">
        <v>45</v>
      </c>
      <c r="E580" t="s">
        <v>48</v>
      </c>
      <c r="F580" s="1">
        <v>2</v>
      </c>
      <c r="G580" s="1" t="s">
        <v>28</v>
      </c>
      <c r="H580" s="4" t="str">
        <f>HYPERLINK("https://www.ncbi.nlm.nih.gov/geo/query/acc.cgi?acc=GSM305356","GSM305356")</f>
        <v>GSM305356</v>
      </c>
      <c r="I580" t="s">
        <v>49</v>
      </c>
      <c r="J580" t="s">
        <v>18</v>
      </c>
      <c r="K580" t="s">
        <v>19</v>
      </c>
      <c r="L580" t="s">
        <v>50</v>
      </c>
      <c r="M580" t="s">
        <v>51</v>
      </c>
      <c r="N580" t="s">
        <v>29</v>
      </c>
    </row>
    <row r="581" spans="1:14">
      <c r="A581" s="4" t="str">
        <f t="shared" si="44"/>
        <v>EXP00011</v>
      </c>
      <c r="B581" s="4" t="str">
        <f t="shared" si="45"/>
        <v>19307502</v>
      </c>
      <c r="C581" s="4" t="str">
        <f t="shared" si="46"/>
        <v>GSE12102</v>
      </c>
      <c r="D581" s="1" t="s">
        <v>45</v>
      </c>
      <c r="E581" t="s">
        <v>48</v>
      </c>
      <c r="F581" s="1">
        <v>2</v>
      </c>
      <c r="G581" s="1" t="s">
        <v>28</v>
      </c>
      <c r="H581" s="4" t="str">
        <f>HYPERLINK("https://www.ncbi.nlm.nih.gov/geo/query/acc.cgi?acc=GSM305357","GSM305357")</f>
        <v>GSM305357</v>
      </c>
      <c r="I581" t="s">
        <v>49</v>
      </c>
      <c r="J581" t="s">
        <v>18</v>
      </c>
      <c r="K581" t="s">
        <v>19</v>
      </c>
      <c r="L581" t="s">
        <v>50</v>
      </c>
      <c r="M581" t="s">
        <v>51</v>
      </c>
      <c r="N581" t="s">
        <v>29</v>
      </c>
    </row>
    <row r="582" spans="1:14">
      <c r="A582" s="4" t="str">
        <f t="shared" si="44"/>
        <v>EXP00011</v>
      </c>
      <c r="B582" s="4" t="str">
        <f t="shared" si="45"/>
        <v>19307502</v>
      </c>
      <c r="C582" s="4" t="str">
        <f t="shared" si="46"/>
        <v>GSE12102</v>
      </c>
      <c r="D582" s="1" t="s">
        <v>45</v>
      </c>
      <c r="E582" t="s">
        <v>48</v>
      </c>
      <c r="F582" s="1">
        <v>2</v>
      </c>
      <c r="G582" s="1" t="s">
        <v>28</v>
      </c>
      <c r="H582" s="4" t="str">
        <f>HYPERLINK("https://www.ncbi.nlm.nih.gov/geo/query/acc.cgi?acc=GSM305358","GSM305358")</f>
        <v>GSM305358</v>
      </c>
      <c r="I582" t="s">
        <v>49</v>
      </c>
      <c r="J582" t="s">
        <v>18</v>
      </c>
      <c r="K582" t="s">
        <v>19</v>
      </c>
      <c r="L582" t="s">
        <v>50</v>
      </c>
      <c r="M582" t="s">
        <v>51</v>
      </c>
      <c r="N582" t="s">
        <v>29</v>
      </c>
    </row>
    <row r="583" spans="1:14">
      <c r="A583" s="4" t="str">
        <f t="shared" si="44"/>
        <v>EXP00011</v>
      </c>
      <c r="B583" s="4" t="str">
        <f t="shared" si="45"/>
        <v>19307502</v>
      </c>
      <c r="C583" s="4" t="str">
        <f t="shared" si="46"/>
        <v>GSE12102</v>
      </c>
      <c r="D583" s="1" t="s">
        <v>45</v>
      </c>
      <c r="E583" t="s">
        <v>48</v>
      </c>
      <c r="F583" s="1">
        <v>2</v>
      </c>
      <c r="G583" s="1" t="s">
        <v>28</v>
      </c>
      <c r="H583" s="4" t="str">
        <f>HYPERLINK("https://www.ncbi.nlm.nih.gov/geo/query/acc.cgi?acc=GSM305359","GSM305359")</f>
        <v>GSM305359</v>
      </c>
      <c r="I583" t="s">
        <v>49</v>
      </c>
      <c r="J583" t="s">
        <v>18</v>
      </c>
      <c r="K583" t="s">
        <v>19</v>
      </c>
      <c r="L583" t="s">
        <v>50</v>
      </c>
      <c r="M583" t="s">
        <v>51</v>
      </c>
      <c r="N583" t="s">
        <v>29</v>
      </c>
    </row>
    <row r="584" spans="1:14">
      <c r="A584" s="4" t="str">
        <f t="shared" si="44"/>
        <v>EXP00011</v>
      </c>
      <c r="B584" s="4" t="str">
        <f t="shared" si="45"/>
        <v>19307502</v>
      </c>
      <c r="C584" s="4" t="str">
        <f t="shared" si="46"/>
        <v>GSE12102</v>
      </c>
      <c r="D584" s="1" t="s">
        <v>45</v>
      </c>
      <c r="E584" t="s">
        <v>48</v>
      </c>
      <c r="F584" s="1">
        <v>2</v>
      </c>
      <c r="G584" s="1" t="s">
        <v>28</v>
      </c>
      <c r="H584" s="4" t="str">
        <f>HYPERLINK("https://www.ncbi.nlm.nih.gov/geo/query/acc.cgi?acc=GSM305360","GSM305360")</f>
        <v>GSM305360</v>
      </c>
      <c r="I584" t="s">
        <v>49</v>
      </c>
      <c r="J584" t="s">
        <v>18</v>
      </c>
      <c r="K584" t="s">
        <v>19</v>
      </c>
      <c r="L584" t="s">
        <v>50</v>
      </c>
      <c r="M584" t="s">
        <v>51</v>
      </c>
      <c r="N584" t="s">
        <v>29</v>
      </c>
    </row>
    <row r="585" spans="1:14">
      <c r="A585" s="4" t="str">
        <f t="shared" si="44"/>
        <v>EXP00011</v>
      </c>
      <c r="B585" s="4" t="str">
        <f t="shared" si="45"/>
        <v>19307502</v>
      </c>
      <c r="C585" s="4" t="str">
        <f t="shared" si="46"/>
        <v>GSE12102</v>
      </c>
      <c r="D585" s="1" t="s">
        <v>45</v>
      </c>
      <c r="E585" t="s">
        <v>48</v>
      </c>
      <c r="F585" s="1">
        <v>2</v>
      </c>
      <c r="G585" s="1" t="s">
        <v>28</v>
      </c>
      <c r="H585" s="4" t="str">
        <f>HYPERLINK("https://www.ncbi.nlm.nih.gov/geo/query/acc.cgi?acc=GSM305361","GSM305361")</f>
        <v>GSM305361</v>
      </c>
      <c r="I585" t="s">
        <v>49</v>
      </c>
      <c r="J585" t="s">
        <v>18</v>
      </c>
      <c r="K585" t="s">
        <v>19</v>
      </c>
      <c r="L585" t="s">
        <v>50</v>
      </c>
      <c r="M585" t="s">
        <v>51</v>
      </c>
      <c r="N585" t="s">
        <v>29</v>
      </c>
    </row>
    <row r="586" spans="1:14">
      <c r="A586" s="4" t="str">
        <f t="shared" si="44"/>
        <v>EXP00011</v>
      </c>
      <c r="B586" s="4" t="str">
        <f t="shared" si="45"/>
        <v>19307502</v>
      </c>
      <c r="C586" s="4" t="str">
        <f t="shared" si="46"/>
        <v>GSE12102</v>
      </c>
      <c r="D586" s="1" t="s">
        <v>45</v>
      </c>
      <c r="E586" t="s">
        <v>48</v>
      </c>
      <c r="F586" s="1">
        <v>2</v>
      </c>
      <c r="G586" s="1" t="s">
        <v>28</v>
      </c>
      <c r="H586" s="4" t="str">
        <f>HYPERLINK("https://www.ncbi.nlm.nih.gov/geo/query/acc.cgi?acc=GSM305362","GSM305362")</f>
        <v>GSM305362</v>
      </c>
      <c r="I586" t="s">
        <v>49</v>
      </c>
      <c r="J586" t="s">
        <v>18</v>
      </c>
      <c r="K586" t="s">
        <v>19</v>
      </c>
      <c r="L586" t="s">
        <v>50</v>
      </c>
      <c r="M586" t="s">
        <v>51</v>
      </c>
      <c r="N586" t="s">
        <v>29</v>
      </c>
    </row>
    <row r="587" spans="1:14">
      <c r="A587" s="4" t="str">
        <f t="shared" si="44"/>
        <v>EXP00011</v>
      </c>
      <c r="B587" s="4" t="str">
        <f t="shared" si="45"/>
        <v>19307502</v>
      </c>
      <c r="C587" s="4" t="str">
        <f t="shared" si="46"/>
        <v>GSE12102</v>
      </c>
      <c r="D587" s="1" t="s">
        <v>45</v>
      </c>
      <c r="E587" t="s">
        <v>48</v>
      </c>
      <c r="F587" s="1">
        <v>2</v>
      </c>
      <c r="G587" s="1" t="s">
        <v>28</v>
      </c>
      <c r="H587" s="4" t="str">
        <f>HYPERLINK("https://www.ncbi.nlm.nih.gov/geo/query/acc.cgi?acc=GSM305363","GSM305363")</f>
        <v>GSM305363</v>
      </c>
      <c r="I587" t="s">
        <v>49</v>
      </c>
      <c r="J587" t="s">
        <v>18</v>
      </c>
      <c r="K587" t="s">
        <v>19</v>
      </c>
      <c r="L587" t="s">
        <v>50</v>
      </c>
      <c r="M587" t="s">
        <v>51</v>
      </c>
      <c r="N587" t="s">
        <v>29</v>
      </c>
    </row>
    <row r="588" spans="1:14">
      <c r="A588" s="4" t="str">
        <f t="shared" si="44"/>
        <v>EXP00011</v>
      </c>
      <c r="B588" s="4" t="str">
        <f t="shared" si="45"/>
        <v>19307502</v>
      </c>
      <c r="C588" s="4" t="str">
        <f t="shared" si="46"/>
        <v>GSE12102</v>
      </c>
      <c r="D588" s="1" t="s">
        <v>45</v>
      </c>
      <c r="E588" t="s">
        <v>48</v>
      </c>
      <c r="F588" s="1">
        <v>2</v>
      </c>
      <c r="G588" s="1" t="s">
        <v>28</v>
      </c>
      <c r="H588" s="4" t="str">
        <f>HYPERLINK("https://www.ncbi.nlm.nih.gov/geo/query/acc.cgi?acc=GSM305364","GSM305364")</f>
        <v>GSM305364</v>
      </c>
      <c r="I588" t="s">
        <v>49</v>
      </c>
      <c r="J588" t="s">
        <v>18</v>
      </c>
      <c r="K588" t="s">
        <v>19</v>
      </c>
      <c r="L588" t="s">
        <v>50</v>
      </c>
      <c r="M588" t="s">
        <v>51</v>
      </c>
      <c r="N588" t="s">
        <v>29</v>
      </c>
    </row>
    <row r="589" spans="1:14">
      <c r="A589" s="4" t="str">
        <f t="shared" si="44"/>
        <v>EXP00011</v>
      </c>
      <c r="B589" s="4" t="str">
        <f t="shared" si="45"/>
        <v>19307502</v>
      </c>
      <c r="C589" s="4" t="str">
        <f t="shared" si="46"/>
        <v>GSE12102</v>
      </c>
      <c r="D589" s="1" t="s">
        <v>45</v>
      </c>
      <c r="E589" t="s">
        <v>48</v>
      </c>
      <c r="F589" s="1">
        <v>2</v>
      </c>
      <c r="G589" s="1" t="s">
        <v>28</v>
      </c>
      <c r="H589" s="4" t="str">
        <f>HYPERLINK("https://www.ncbi.nlm.nih.gov/geo/query/acc.cgi?acc=GSM305368","GSM305368")</f>
        <v>GSM305368</v>
      </c>
      <c r="I589" t="s">
        <v>49</v>
      </c>
      <c r="J589" t="s">
        <v>18</v>
      </c>
      <c r="K589" t="s">
        <v>19</v>
      </c>
      <c r="L589" t="s">
        <v>50</v>
      </c>
      <c r="M589" t="s">
        <v>51</v>
      </c>
      <c r="N589" t="s">
        <v>29</v>
      </c>
    </row>
    <row r="590" spans="1:14">
      <c r="A590" s="4" t="str">
        <f t="shared" si="44"/>
        <v>EXP00011</v>
      </c>
      <c r="B590" s="4" t="str">
        <f t="shared" si="45"/>
        <v>19307502</v>
      </c>
      <c r="C590" s="4" t="str">
        <f t="shared" si="46"/>
        <v>GSE12102</v>
      </c>
      <c r="D590" s="1" t="s">
        <v>45</v>
      </c>
      <c r="E590" t="s">
        <v>48</v>
      </c>
      <c r="F590" s="1">
        <v>2</v>
      </c>
      <c r="G590" s="1" t="s">
        <v>28</v>
      </c>
      <c r="H590" s="4" t="str">
        <f>HYPERLINK("https://www.ncbi.nlm.nih.gov/geo/query/acc.cgi?acc=GSM305369","GSM305369")</f>
        <v>GSM305369</v>
      </c>
      <c r="I590" t="s">
        <v>49</v>
      </c>
      <c r="J590" t="s">
        <v>18</v>
      </c>
      <c r="K590" t="s">
        <v>19</v>
      </c>
      <c r="L590" t="s">
        <v>50</v>
      </c>
      <c r="M590" t="s">
        <v>51</v>
      </c>
      <c r="N590" t="s">
        <v>29</v>
      </c>
    </row>
    <row r="591" spans="1:14">
      <c r="A591" s="4" t="str">
        <f t="shared" si="44"/>
        <v>EXP00011</v>
      </c>
      <c r="B591" s="4" t="str">
        <f t="shared" si="45"/>
        <v>19307502</v>
      </c>
      <c r="C591" s="4" t="str">
        <f t="shared" si="46"/>
        <v>GSE12102</v>
      </c>
      <c r="D591" s="1" t="s">
        <v>45</v>
      </c>
      <c r="E591" t="s">
        <v>48</v>
      </c>
      <c r="F591" s="1">
        <v>2</v>
      </c>
      <c r="G591" s="1" t="s">
        <v>28</v>
      </c>
      <c r="H591" s="4" t="str">
        <f>HYPERLINK("https://www.ncbi.nlm.nih.gov/geo/query/acc.cgi?acc=GSM305371","GSM305371")</f>
        <v>GSM305371</v>
      </c>
      <c r="I591" t="s">
        <v>49</v>
      </c>
      <c r="J591" t="s">
        <v>18</v>
      </c>
      <c r="K591" t="s">
        <v>19</v>
      </c>
      <c r="L591" t="s">
        <v>50</v>
      </c>
      <c r="M591" t="s">
        <v>51</v>
      </c>
      <c r="N591" t="s">
        <v>29</v>
      </c>
    </row>
    <row r="592" spans="1:14">
      <c r="A592" s="4" t="str">
        <f t="shared" si="44"/>
        <v>EXP00011</v>
      </c>
      <c r="B592" s="4" t="str">
        <f t="shared" si="45"/>
        <v>19307502</v>
      </c>
      <c r="C592" s="4" t="str">
        <f t="shared" si="46"/>
        <v>GSE12102</v>
      </c>
      <c r="D592" s="1" t="s">
        <v>45</v>
      </c>
      <c r="E592" t="s">
        <v>48</v>
      </c>
      <c r="F592" s="1">
        <v>2</v>
      </c>
      <c r="G592" s="1" t="s">
        <v>28</v>
      </c>
      <c r="H592" s="4" t="str">
        <f>HYPERLINK("https://www.ncbi.nlm.nih.gov/geo/query/acc.cgi?acc=GSM305372","GSM305372")</f>
        <v>GSM305372</v>
      </c>
      <c r="I592" t="s">
        <v>49</v>
      </c>
      <c r="J592" t="s">
        <v>18</v>
      </c>
      <c r="K592" t="s">
        <v>19</v>
      </c>
      <c r="L592" t="s">
        <v>50</v>
      </c>
      <c r="M592" t="s">
        <v>51</v>
      </c>
      <c r="N592" t="s">
        <v>29</v>
      </c>
    </row>
    <row r="593" spans="1:14">
      <c r="A593" s="4" t="str">
        <f t="shared" si="44"/>
        <v>EXP00011</v>
      </c>
      <c r="B593" s="4" t="str">
        <f t="shared" si="45"/>
        <v>19307502</v>
      </c>
      <c r="C593" s="4" t="str">
        <f t="shared" si="46"/>
        <v>GSE12102</v>
      </c>
      <c r="D593" s="1" t="s">
        <v>45</v>
      </c>
      <c r="E593" t="s">
        <v>48</v>
      </c>
      <c r="F593" s="1">
        <v>2</v>
      </c>
      <c r="G593" s="1" t="s">
        <v>28</v>
      </c>
      <c r="H593" s="4" t="str">
        <f>HYPERLINK("https://www.ncbi.nlm.nih.gov/geo/query/acc.cgi?acc=GSM305373","GSM305373")</f>
        <v>GSM305373</v>
      </c>
      <c r="I593" t="s">
        <v>49</v>
      </c>
      <c r="J593" t="s">
        <v>18</v>
      </c>
      <c r="K593" t="s">
        <v>19</v>
      </c>
      <c r="L593" t="s">
        <v>50</v>
      </c>
      <c r="M593" t="s">
        <v>51</v>
      </c>
      <c r="N593" t="s">
        <v>29</v>
      </c>
    </row>
    <row r="594" spans="1:14">
      <c r="A594" s="4" t="str">
        <f t="shared" si="44"/>
        <v>EXP00011</v>
      </c>
      <c r="B594" s="4" t="str">
        <f t="shared" si="45"/>
        <v>19307502</v>
      </c>
      <c r="C594" s="4" t="str">
        <f t="shared" si="46"/>
        <v>GSE12102</v>
      </c>
      <c r="D594" s="1" t="s">
        <v>45</v>
      </c>
      <c r="E594" t="s">
        <v>48</v>
      </c>
      <c r="F594" s="1">
        <v>2</v>
      </c>
      <c r="G594" s="1" t="s">
        <v>28</v>
      </c>
      <c r="H594" s="4" t="str">
        <f>HYPERLINK("https://www.ncbi.nlm.nih.gov/geo/query/acc.cgi?acc=GSM305374","GSM305374")</f>
        <v>GSM305374</v>
      </c>
      <c r="I594" t="s">
        <v>49</v>
      </c>
      <c r="J594" t="s">
        <v>18</v>
      </c>
      <c r="K594" t="s">
        <v>19</v>
      </c>
      <c r="L594" t="s">
        <v>50</v>
      </c>
      <c r="M594" t="s">
        <v>51</v>
      </c>
      <c r="N594" t="s">
        <v>29</v>
      </c>
    </row>
    <row r="595" spans="1:14">
      <c r="A595" s="4" t="str">
        <f t="shared" si="44"/>
        <v>EXP00011</v>
      </c>
      <c r="B595" s="4" t="str">
        <f t="shared" si="45"/>
        <v>19307502</v>
      </c>
      <c r="C595" s="4" t="str">
        <f t="shared" si="46"/>
        <v>GSE12102</v>
      </c>
      <c r="D595" s="1" t="s">
        <v>45</v>
      </c>
      <c r="E595" t="s">
        <v>48</v>
      </c>
      <c r="F595" s="1">
        <v>2</v>
      </c>
      <c r="G595" s="1" t="s">
        <v>28</v>
      </c>
      <c r="H595" s="4" t="str">
        <f>HYPERLINK("https://www.ncbi.nlm.nih.gov/geo/query/acc.cgi?acc=GSM305375","GSM305375")</f>
        <v>GSM305375</v>
      </c>
      <c r="I595" t="s">
        <v>49</v>
      </c>
      <c r="J595" t="s">
        <v>18</v>
      </c>
      <c r="K595" t="s">
        <v>19</v>
      </c>
      <c r="L595" t="s">
        <v>50</v>
      </c>
      <c r="M595" t="s">
        <v>51</v>
      </c>
      <c r="N595" t="s">
        <v>29</v>
      </c>
    </row>
    <row r="596" spans="1:14">
      <c r="A596" s="4" t="str">
        <f t="shared" si="44"/>
        <v>EXP00011</v>
      </c>
      <c r="B596" s="4" t="str">
        <f t="shared" si="45"/>
        <v>19307502</v>
      </c>
      <c r="C596" s="4" t="str">
        <f t="shared" si="46"/>
        <v>GSE12102</v>
      </c>
      <c r="D596" s="1" t="s">
        <v>45</v>
      </c>
      <c r="E596" t="s">
        <v>48</v>
      </c>
      <c r="F596" s="1">
        <v>2</v>
      </c>
      <c r="G596" s="1" t="s">
        <v>28</v>
      </c>
      <c r="H596" s="4" t="str">
        <f>HYPERLINK("https://www.ncbi.nlm.nih.gov/geo/query/acc.cgi?acc=GSM305376","GSM305376")</f>
        <v>GSM305376</v>
      </c>
      <c r="I596" t="s">
        <v>49</v>
      </c>
      <c r="J596" t="s">
        <v>18</v>
      </c>
      <c r="K596" t="s">
        <v>19</v>
      </c>
      <c r="L596" t="s">
        <v>50</v>
      </c>
      <c r="M596" t="s">
        <v>51</v>
      </c>
      <c r="N596" t="s">
        <v>29</v>
      </c>
    </row>
    <row r="597" spans="1:14">
      <c r="A597" s="4" t="str">
        <f t="shared" si="44"/>
        <v>EXP00011</v>
      </c>
      <c r="B597" s="4" t="str">
        <f t="shared" si="45"/>
        <v>19307502</v>
      </c>
      <c r="C597" s="4" t="str">
        <f t="shared" si="46"/>
        <v>GSE12102</v>
      </c>
      <c r="D597" s="1" t="s">
        <v>45</v>
      </c>
      <c r="E597" t="s">
        <v>48</v>
      </c>
      <c r="F597" s="1">
        <v>2</v>
      </c>
      <c r="G597" s="1" t="s">
        <v>28</v>
      </c>
      <c r="H597" s="4" t="str">
        <f>HYPERLINK("https://www.ncbi.nlm.nih.gov/geo/query/acc.cgi?acc=GSM305377","GSM305377")</f>
        <v>GSM305377</v>
      </c>
      <c r="I597" t="s">
        <v>49</v>
      </c>
      <c r="J597" t="s">
        <v>18</v>
      </c>
      <c r="K597" t="s">
        <v>19</v>
      </c>
      <c r="L597" t="s">
        <v>50</v>
      </c>
      <c r="M597" t="s">
        <v>51</v>
      </c>
      <c r="N597" t="s">
        <v>29</v>
      </c>
    </row>
    <row r="598" spans="1:14">
      <c r="A598" s="4" t="str">
        <f t="shared" si="44"/>
        <v>EXP00011</v>
      </c>
      <c r="B598" s="4" t="str">
        <f t="shared" si="45"/>
        <v>19307502</v>
      </c>
      <c r="C598" s="4" t="str">
        <f t="shared" si="46"/>
        <v>GSE12102</v>
      </c>
      <c r="D598" s="1" t="s">
        <v>45</v>
      </c>
      <c r="E598" t="s">
        <v>48</v>
      </c>
      <c r="F598" s="1">
        <v>2</v>
      </c>
      <c r="G598" s="1" t="s">
        <v>28</v>
      </c>
      <c r="H598" s="4" t="str">
        <f>HYPERLINK("https://www.ncbi.nlm.nih.gov/geo/query/acc.cgi?acc=GSM305378","GSM305378")</f>
        <v>GSM305378</v>
      </c>
      <c r="I598" t="s">
        <v>49</v>
      </c>
      <c r="J598" t="s">
        <v>18</v>
      </c>
      <c r="K598" t="s">
        <v>19</v>
      </c>
      <c r="L598" t="s">
        <v>50</v>
      </c>
      <c r="M598" t="s">
        <v>51</v>
      </c>
      <c r="N598" t="s">
        <v>29</v>
      </c>
    </row>
    <row r="599" spans="1:14">
      <c r="A599" s="4" t="str">
        <f t="shared" si="44"/>
        <v>EXP00011</v>
      </c>
      <c r="B599" s="4" t="str">
        <f t="shared" si="45"/>
        <v>19307502</v>
      </c>
      <c r="C599" s="4" t="str">
        <f t="shared" si="46"/>
        <v>GSE12102</v>
      </c>
      <c r="D599" s="1" t="s">
        <v>45</v>
      </c>
      <c r="E599" t="s">
        <v>48</v>
      </c>
      <c r="F599" s="1">
        <v>2</v>
      </c>
      <c r="G599" s="1" t="s">
        <v>28</v>
      </c>
      <c r="H599" s="4" t="str">
        <f>HYPERLINK("https://www.ncbi.nlm.nih.gov/geo/query/acc.cgi?acc=GSM305379","GSM305379")</f>
        <v>GSM305379</v>
      </c>
      <c r="I599" t="s">
        <v>49</v>
      </c>
      <c r="J599" t="s">
        <v>18</v>
      </c>
      <c r="K599" t="s">
        <v>19</v>
      </c>
      <c r="L599" t="s">
        <v>50</v>
      </c>
      <c r="M599" t="s">
        <v>51</v>
      </c>
      <c r="N599" t="s">
        <v>29</v>
      </c>
    </row>
    <row r="600" spans="1:14">
      <c r="A600" s="4" t="str">
        <f t="shared" si="44"/>
        <v>EXP00011</v>
      </c>
      <c r="B600" s="4" t="str">
        <f t="shared" si="45"/>
        <v>19307502</v>
      </c>
      <c r="C600" s="4" t="str">
        <f t="shared" si="46"/>
        <v>GSE12102</v>
      </c>
      <c r="D600" s="1" t="s">
        <v>45</v>
      </c>
      <c r="E600" t="s">
        <v>48</v>
      </c>
      <c r="F600" s="1">
        <v>2</v>
      </c>
      <c r="G600" s="1" t="s">
        <v>28</v>
      </c>
      <c r="H600" s="4" t="str">
        <f>HYPERLINK("https://www.ncbi.nlm.nih.gov/geo/query/acc.cgi?acc=GSM305380","GSM305380")</f>
        <v>GSM305380</v>
      </c>
      <c r="I600" t="s">
        <v>49</v>
      </c>
      <c r="J600" t="s">
        <v>18</v>
      </c>
      <c r="K600" t="s">
        <v>19</v>
      </c>
      <c r="L600" t="s">
        <v>50</v>
      </c>
      <c r="M600" t="s">
        <v>51</v>
      </c>
      <c r="N600" t="s">
        <v>29</v>
      </c>
    </row>
    <row r="601" spans="1:14">
      <c r="A601" s="4" t="str">
        <f t="shared" si="44"/>
        <v>EXP00011</v>
      </c>
      <c r="B601" s="4" t="str">
        <f t="shared" si="45"/>
        <v>19307502</v>
      </c>
      <c r="C601" s="4" t="str">
        <f t="shared" si="46"/>
        <v>GSE12102</v>
      </c>
      <c r="D601" s="1" t="s">
        <v>45</v>
      </c>
      <c r="E601" t="s">
        <v>48</v>
      </c>
      <c r="F601" s="1">
        <v>2</v>
      </c>
      <c r="G601" s="1" t="s">
        <v>28</v>
      </c>
      <c r="H601" s="4" t="str">
        <f>HYPERLINK("https://www.ncbi.nlm.nih.gov/geo/query/acc.cgi?acc=GSM305381","GSM305381")</f>
        <v>GSM305381</v>
      </c>
      <c r="I601" t="s">
        <v>49</v>
      </c>
      <c r="J601" t="s">
        <v>18</v>
      </c>
      <c r="K601" t="s">
        <v>19</v>
      </c>
      <c r="L601" t="s">
        <v>50</v>
      </c>
      <c r="M601" t="s">
        <v>51</v>
      </c>
      <c r="N601" t="s">
        <v>29</v>
      </c>
    </row>
    <row r="602" spans="1:14">
      <c r="A602" s="4" t="str">
        <f t="shared" si="44"/>
        <v>EXP00011</v>
      </c>
      <c r="B602" s="4" t="str">
        <f t="shared" si="45"/>
        <v>19307502</v>
      </c>
      <c r="C602" s="4" t="str">
        <f t="shared" si="46"/>
        <v>GSE12102</v>
      </c>
      <c r="D602" s="1" t="s">
        <v>45</v>
      </c>
      <c r="E602" t="s">
        <v>48</v>
      </c>
      <c r="F602" s="1">
        <v>2</v>
      </c>
      <c r="G602" s="1" t="s">
        <v>28</v>
      </c>
      <c r="H602" s="4" t="str">
        <f>HYPERLINK("https://www.ncbi.nlm.nih.gov/geo/query/acc.cgi?acc=GSM305382","GSM305382")</f>
        <v>GSM305382</v>
      </c>
      <c r="I602" t="s">
        <v>49</v>
      </c>
      <c r="J602" t="s">
        <v>18</v>
      </c>
      <c r="K602" t="s">
        <v>19</v>
      </c>
      <c r="L602" t="s">
        <v>50</v>
      </c>
      <c r="M602" t="s">
        <v>51</v>
      </c>
      <c r="N602" t="s">
        <v>29</v>
      </c>
    </row>
    <row r="603" spans="1:14">
      <c r="A603" s="4" t="str">
        <f t="shared" si="44"/>
        <v>EXP00011</v>
      </c>
      <c r="B603" s="4" t="str">
        <f t="shared" si="45"/>
        <v>19307502</v>
      </c>
      <c r="C603" s="4" t="str">
        <f t="shared" si="46"/>
        <v>GSE12102</v>
      </c>
      <c r="D603" s="1" t="s">
        <v>45</v>
      </c>
      <c r="E603" t="s">
        <v>48</v>
      </c>
      <c r="F603" s="1">
        <v>2</v>
      </c>
      <c r="G603" s="1" t="s">
        <v>28</v>
      </c>
      <c r="H603" s="4" t="str">
        <f>HYPERLINK("https://www.ncbi.nlm.nih.gov/geo/query/acc.cgi?acc=GSM305383","GSM305383")</f>
        <v>GSM305383</v>
      </c>
      <c r="I603" t="s">
        <v>49</v>
      </c>
      <c r="J603" t="s">
        <v>18</v>
      </c>
      <c r="K603" t="s">
        <v>19</v>
      </c>
      <c r="L603" t="s">
        <v>50</v>
      </c>
      <c r="M603" t="s">
        <v>51</v>
      </c>
      <c r="N603" t="s">
        <v>29</v>
      </c>
    </row>
    <row r="604" spans="1:14">
      <c r="A604" s="4" t="str">
        <f t="shared" si="44"/>
        <v>EXP00011</v>
      </c>
      <c r="B604" s="4" t="str">
        <f t="shared" si="45"/>
        <v>19307502</v>
      </c>
      <c r="C604" s="4" t="str">
        <f t="shared" si="46"/>
        <v>GSE12102</v>
      </c>
      <c r="D604" s="1" t="s">
        <v>45</v>
      </c>
      <c r="E604" t="s">
        <v>48</v>
      </c>
      <c r="F604" s="1">
        <v>2</v>
      </c>
      <c r="G604" s="1" t="s">
        <v>28</v>
      </c>
      <c r="H604" s="4" t="str">
        <f>HYPERLINK("https://www.ncbi.nlm.nih.gov/geo/query/acc.cgi?acc=GSM305384","GSM305384")</f>
        <v>GSM305384</v>
      </c>
      <c r="I604" t="s">
        <v>49</v>
      </c>
      <c r="J604" t="s">
        <v>18</v>
      </c>
      <c r="K604" t="s">
        <v>19</v>
      </c>
      <c r="L604" t="s">
        <v>50</v>
      </c>
      <c r="M604" t="s">
        <v>51</v>
      </c>
      <c r="N604" t="s">
        <v>29</v>
      </c>
    </row>
    <row r="605" spans="1:14">
      <c r="A605" s="4" t="str">
        <f t="shared" si="44"/>
        <v>EXP00011</v>
      </c>
      <c r="B605" s="4" t="str">
        <f t="shared" si="45"/>
        <v>19307502</v>
      </c>
      <c r="C605" s="4" t="str">
        <f t="shared" si="46"/>
        <v>GSE12102</v>
      </c>
      <c r="D605" s="1" t="s">
        <v>45</v>
      </c>
      <c r="E605" t="s">
        <v>48</v>
      </c>
      <c r="F605" s="1">
        <v>2</v>
      </c>
      <c r="G605" s="1" t="s">
        <v>28</v>
      </c>
      <c r="H605" s="4" t="str">
        <f>HYPERLINK("https://www.ncbi.nlm.nih.gov/geo/query/acc.cgi?acc=GSM305385","GSM305385")</f>
        <v>GSM305385</v>
      </c>
      <c r="I605" t="s">
        <v>49</v>
      </c>
      <c r="J605" t="s">
        <v>18</v>
      </c>
      <c r="K605" t="s">
        <v>19</v>
      </c>
      <c r="L605" t="s">
        <v>50</v>
      </c>
      <c r="M605" t="s">
        <v>51</v>
      </c>
      <c r="N605" t="s">
        <v>29</v>
      </c>
    </row>
    <row r="606" spans="1:14">
      <c r="A606" s="4" t="str">
        <f t="shared" ref="A606:A669" si="47">HYPERLINK("http://hcmdb.i-sanger.com/experiment/details/experiment_id/EXP00013","EXP00013")</f>
        <v>EXP00013</v>
      </c>
      <c r="B606" s="4" t="str">
        <f t="shared" ref="B606:B669" si="48">HYPERLINK("https://www.ncbi.nlm.nih.gov/pubmed/19421193","19421193")</f>
        <v>19421193</v>
      </c>
      <c r="C606" s="4" t="str">
        <f t="shared" ref="C606:C669" si="49">HYPERLINK("https://www.ncbi.nlm.nih.gov/geo/query/acc.cgi?acc=GSE12276","GSE12276")</f>
        <v>GSE12276</v>
      </c>
      <c r="D606" s="1" t="s">
        <v>45</v>
      </c>
      <c r="E606" t="s">
        <v>52</v>
      </c>
      <c r="F606" s="1">
        <v>1</v>
      </c>
      <c r="G606" s="1" t="s">
        <v>53</v>
      </c>
      <c r="H606" s="4" t="str">
        <f>HYPERLINK("https://www.ncbi.nlm.nih.gov/geo/query/acc.cgi?acc=GSM308280","GSM308280")</f>
        <v>GSM308280</v>
      </c>
      <c r="I606" t="s">
        <v>17</v>
      </c>
      <c r="J606" t="s">
        <v>18</v>
      </c>
      <c r="K606" t="s">
        <v>19</v>
      </c>
      <c r="L606" t="s">
        <v>20</v>
      </c>
      <c r="M606" t="s">
        <v>21</v>
      </c>
      <c r="N606" t="s">
        <v>29</v>
      </c>
    </row>
    <row r="607" spans="1:14">
      <c r="A607" s="4" t="str">
        <f t="shared" si="47"/>
        <v>EXP00013</v>
      </c>
      <c r="B607" s="4" t="str">
        <f t="shared" si="48"/>
        <v>19421193</v>
      </c>
      <c r="C607" s="4" t="str">
        <f t="shared" si="49"/>
        <v>GSE12276</v>
      </c>
      <c r="D607" s="1" t="s">
        <v>45</v>
      </c>
      <c r="E607" t="s">
        <v>52</v>
      </c>
      <c r="F607" s="1">
        <v>1</v>
      </c>
      <c r="G607" s="1" t="s">
        <v>53</v>
      </c>
      <c r="H607" s="4" t="str">
        <f>HYPERLINK("https://www.ncbi.nlm.nih.gov/geo/query/acc.cgi?acc=GSM308303","GSM308303")</f>
        <v>GSM308303</v>
      </c>
      <c r="I607" t="s">
        <v>17</v>
      </c>
      <c r="J607" t="s">
        <v>18</v>
      </c>
      <c r="K607" t="s">
        <v>19</v>
      </c>
      <c r="L607" t="s">
        <v>20</v>
      </c>
      <c r="M607" t="s">
        <v>21</v>
      </c>
      <c r="N607" t="s">
        <v>29</v>
      </c>
    </row>
    <row r="608" spans="1:14">
      <c r="A608" s="4" t="str">
        <f t="shared" si="47"/>
        <v>EXP00013</v>
      </c>
      <c r="B608" s="4" t="str">
        <f t="shared" si="48"/>
        <v>19421193</v>
      </c>
      <c r="C608" s="4" t="str">
        <f t="shared" si="49"/>
        <v>GSE12276</v>
      </c>
      <c r="D608" s="1" t="s">
        <v>45</v>
      </c>
      <c r="E608" t="s">
        <v>52</v>
      </c>
      <c r="F608" s="1">
        <v>1</v>
      </c>
      <c r="G608" s="1" t="s">
        <v>53</v>
      </c>
      <c r="H608" s="4" t="str">
        <f>HYPERLINK("https://www.ncbi.nlm.nih.gov/geo/query/acc.cgi?acc=GSM308326","GSM308326")</f>
        <v>GSM308326</v>
      </c>
      <c r="I608" t="s">
        <v>17</v>
      </c>
      <c r="J608" t="s">
        <v>18</v>
      </c>
      <c r="K608" t="s">
        <v>19</v>
      </c>
      <c r="L608" t="s">
        <v>20</v>
      </c>
      <c r="M608" t="s">
        <v>21</v>
      </c>
      <c r="N608" t="s">
        <v>29</v>
      </c>
    </row>
    <row r="609" spans="1:14">
      <c r="A609" s="4" t="str">
        <f t="shared" si="47"/>
        <v>EXP00013</v>
      </c>
      <c r="B609" s="4" t="str">
        <f t="shared" si="48"/>
        <v>19421193</v>
      </c>
      <c r="C609" s="4" t="str">
        <f t="shared" si="49"/>
        <v>GSE12276</v>
      </c>
      <c r="D609" s="1" t="s">
        <v>45</v>
      </c>
      <c r="E609" t="s">
        <v>52</v>
      </c>
      <c r="F609" s="1">
        <v>1</v>
      </c>
      <c r="G609" s="1" t="s">
        <v>53</v>
      </c>
      <c r="H609" s="4" t="str">
        <f>HYPERLINK("https://www.ncbi.nlm.nih.gov/geo/query/acc.cgi?acc=GSM308366","GSM308366")</f>
        <v>GSM308366</v>
      </c>
      <c r="I609" t="s">
        <v>17</v>
      </c>
      <c r="J609" t="s">
        <v>18</v>
      </c>
      <c r="K609" t="s">
        <v>19</v>
      </c>
      <c r="L609" t="s">
        <v>20</v>
      </c>
      <c r="M609" t="s">
        <v>21</v>
      </c>
      <c r="N609" t="s">
        <v>29</v>
      </c>
    </row>
    <row r="610" spans="1:14">
      <c r="A610" s="4" t="str">
        <f t="shared" si="47"/>
        <v>EXP00013</v>
      </c>
      <c r="B610" s="4" t="str">
        <f t="shared" si="48"/>
        <v>19421193</v>
      </c>
      <c r="C610" s="4" t="str">
        <f t="shared" si="49"/>
        <v>GSE12276</v>
      </c>
      <c r="D610" s="1" t="s">
        <v>45</v>
      </c>
      <c r="E610" t="s">
        <v>52</v>
      </c>
      <c r="F610" s="1">
        <v>1</v>
      </c>
      <c r="G610" s="1" t="s">
        <v>53</v>
      </c>
      <c r="H610" s="4" t="str">
        <f>HYPERLINK("https://www.ncbi.nlm.nih.gov/geo/query/acc.cgi?acc=GSM308370","GSM308370")</f>
        <v>GSM308370</v>
      </c>
      <c r="I610" t="s">
        <v>17</v>
      </c>
      <c r="J610" t="s">
        <v>18</v>
      </c>
      <c r="K610" t="s">
        <v>19</v>
      </c>
      <c r="L610" t="s">
        <v>20</v>
      </c>
      <c r="M610" t="s">
        <v>21</v>
      </c>
      <c r="N610" t="s">
        <v>29</v>
      </c>
    </row>
    <row r="611" spans="1:14">
      <c r="A611" s="4" t="str">
        <f t="shared" si="47"/>
        <v>EXP00013</v>
      </c>
      <c r="B611" s="4" t="str">
        <f t="shared" si="48"/>
        <v>19421193</v>
      </c>
      <c r="C611" s="4" t="str">
        <f t="shared" si="49"/>
        <v>GSE12276</v>
      </c>
      <c r="D611" s="1" t="s">
        <v>45</v>
      </c>
      <c r="E611" t="s">
        <v>52</v>
      </c>
      <c r="F611" s="1">
        <v>1</v>
      </c>
      <c r="G611" s="1" t="s">
        <v>53</v>
      </c>
      <c r="H611" s="4" t="str">
        <f>HYPERLINK("https://www.ncbi.nlm.nih.gov/geo/query/acc.cgi?acc=GSM308372","GSM308372")</f>
        <v>GSM308372</v>
      </c>
      <c r="I611" t="s">
        <v>17</v>
      </c>
      <c r="J611" t="s">
        <v>18</v>
      </c>
      <c r="K611" t="s">
        <v>19</v>
      </c>
      <c r="L611" t="s">
        <v>20</v>
      </c>
      <c r="M611" t="s">
        <v>21</v>
      </c>
      <c r="N611" t="s">
        <v>29</v>
      </c>
    </row>
    <row r="612" spans="1:14">
      <c r="A612" s="4" t="str">
        <f t="shared" si="47"/>
        <v>EXP00013</v>
      </c>
      <c r="B612" s="4" t="str">
        <f t="shared" si="48"/>
        <v>19421193</v>
      </c>
      <c r="C612" s="4" t="str">
        <f t="shared" si="49"/>
        <v>GSE12276</v>
      </c>
      <c r="D612" s="1" t="s">
        <v>45</v>
      </c>
      <c r="E612" t="s">
        <v>52</v>
      </c>
      <c r="F612" s="1">
        <v>1</v>
      </c>
      <c r="G612" s="1" t="s">
        <v>53</v>
      </c>
      <c r="H612" s="4" t="str">
        <f>HYPERLINK("https://www.ncbi.nlm.nih.gov/geo/query/acc.cgi?acc=GSM308374","GSM308374")</f>
        <v>GSM308374</v>
      </c>
      <c r="I612" t="s">
        <v>17</v>
      </c>
      <c r="J612" t="s">
        <v>18</v>
      </c>
      <c r="K612" t="s">
        <v>19</v>
      </c>
      <c r="L612" t="s">
        <v>20</v>
      </c>
      <c r="M612" t="s">
        <v>21</v>
      </c>
      <c r="N612" t="s">
        <v>29</v>
      </c>
    </row>
    <row r="613" spans="1:14">
      <c r="A613" s="4" t="str">
        <f t="shared" si="47"/>
        <v>EXP00013</v>
      </c>
      <c r="B613" s="4" t="str">
        <f t="shared" si="48"/>
        <v>19421193</v>
      </c>
      <c r="C613" s="4" t="str">
        <f t="shared" si="49"/>
        <v>GSE12276</v>
      </c>
      <c r="D613" s="1" t="s">
        <v>45</v>
      </c>
      <c r="E613" t="s">
        <v>52</v>
      </c>
      <c r="F613" s="1">
        <v>1</v>
      </c>
      <c r="G613" s="1" t="s">
        <v>53</v>
      </c>
      <c r="H613" s="4" t="str">
        <f>HYPERLINK("https://www.ncbi.nlm.nih.gov/geo/query/acc.cgi?acc=GSM308397","GSM308397")</f>
        <v>GSM308397</v>
      </c>
      <c r="I613" t="s">
        <v>17</v>
      </c>
      <c r="J613" t="s">
        <v>18</v>
      </c>
      <c r="K613" t="s">
        <v>19</v>
      </c>
      <c r="L613" t="s">
        <v>20</v>
      </c>
      <c r="M613" t="s">
        <v>21</v>
      </c>
      <c r="N613" t="s">
        <v>29</v>
      </c>
    </row>
    <row r="614" spans="1:14">
      <c r="A614" s="4" t="str">
        <f t="shared" si="47"/>
        <v>EXP00013</v>
      </c>
      <c r="B614" s="4" t="str">
        <f t="shared" si="48"/>
        <v>19421193</v>
      </c>
      <c r="C614" s="4" t="str">
        <f t="shared" si="49"/>
        <v>GSE12276</v>
      </c>
      <c r="D614" s="1" t="s">
        <v>45</v>
      </c>
      <c r="E614" t="s">
        <v>52</v>
      </c>
      <c r="F614" s="1">
        <v>2</v>
      </c>
      <c r="G614" s="1" t="s">
        <v>54</v>
      </c>
      <c r="H614" s="4" t="str">
        <f>HYPERLINK("https://www.ncbi.nlm.nih.gov/geo/query/acc.cgi?acc=GSM308261","GSM308261")</f>
        <v>GSM308261</v>
      </c>
      <c r="I614" t="s">
        <v>17</v>
      </c>
      <c r="J614" t="s">
        <v>18</v>
      </c>
      <c r="K614" t="s">
        <v>19</v>
      </c>
      <c r="L614" t="s">
        <v>20</v>
      </c>
      <c r="M614" t="s">
        <v>55</v>
      </c>
      <c r="N614" t="s">
        <v>29</v>
      </c>
    </row>
    <row r="615" spans="1:14">
      <c r="A615" s="4" t="str">
        <f t="shared" si="47"/>
        <v>EXP00013</v>
      </c>
      <c r="B615" s="4" t="str">
        <f t="shared" si="48"/>
        <v>19421193</v>
      </c>
      <c r="C615" s="4" t="str">
        <f t="shared" si="49"/>
        <v>GSE12276</v>
      </c>
      <c r="D615" s="1" t="s">
        <v>45</v>
      </c>
      <c r="E615" t="s">
        <v>52</v>
      </c>
      <c r="F615" s="1">
        <v>2</v>
      </c>
      <c r="G615" s="1" t="s">
        <v>54</v>
      </c>
      <c r="H615" s="4" t="str">
        <f>HYPERLINK("https://www.ncbi.nlm.nih.gov/geo/query/acc.cgi?acc=GSM308291","GSM308291")</f>
        <v>GSM308291</v>
      </c>
      <c r="I615" t="s">
        <v>17</v>
      </c>
      <c r="J615" t="s">
        <v>18</v>
      </c>
      <c r="K615" t="s">
        <v>19</v>
      </c>
      <c r="L615" t="s">
        <v>20</v>
      </c>
      <c r="M615" t="s">
        <v>55</v>
      </c>
      <c r="N615" t="s">
        <v>29</v>
      </c>
    </row>
    <row r="616" spans="1:14">
      <c r="A616" s="4" t="str">
        <f t="shared" si="47"/>
        <v>EXP00013</v>
      </c>
      <c r="B616" s="4" t="str">
        <f t="shared" si="48"/>
        <v>19421193</v>
      </c>
      <c r="C616" s="4" t="str">
        <f t="shared" si="49"/>
        <v>GSE12276</v>
      </c>
      <c r="D616" s="1" t="s">
        <v>45</v>
      </c>
      <c r="E616" t="s">
        <v>52</v>
      </c>
      <c r="F616" s="1">
        <v>2</v>
      </c>
      <c r="G616" s="1" t="s">
        <v>54</v>
      </c>
      <c r="H616" s="4" t="str">
        <f>HYPERLINK("https://www.ncbi.nlm.nih.gov/geo/query/acc.cgi?acc=GSM308299","GSM308299")</f>
        <v>GSM308299</v>
      </c>
      <c r="I616" t="s">
        <v>17</v>
      </c>
      <c r="J616" t="s">
        <v>18</v>
      </c>
      <c r="K616" t="s">
        <v>19</v>
      </c>
      <c r="L616" t="s">
        <v>20</v>
      </c>
      <c r="M616" t="s">
        <v>55</v>
      </c>
      <c r="N616" t="s">
        <v>29</v>
      </c>
    </row>
    <row r="617" spans="1:14">
      <c r="A617" s="4" t="str">
        <f t="shared" si="47"/>
        <v>EXP00013</v>
      </c>
      <c r="B617" s="4" t="str">
        <f t="shared" si="48"/>
        <v>19421193</v>
      </c>
      <c r="C617" s="4" t="str">
        <f t="shared" si="49"/>
        <v>GSE12276</v>
      </c>
      <c r="D617" s="1" t="s">
        <v>45</v>
      </c>
      <c r="E617" t="s">
        <v>52</v>
      </c>
      <c r="F617" s="1">
        <v>2</v>
      </c>
      <c r="G617" s="1" t="s">
        <v>54</v>
      </c>
      <c r="H617" s="4" t="str">
        <f>HYPERLINK("https://www.ncbi.nlm.nih.gov/geo/query/acc.cgi?acc=GSM308307","GSM308307")</f>
        <v>GSM308307</v>
      </c>
      <c r="I617" t="s">
        <v>17</v>
      </c>
      <c r="J617" t="s">
        <v>18</v>
      </c>
      <c r="K617" t="s">
        <v>19</v>
      </c>
      <c r="L617" t="s">
        <v>20</v>
      </c>
      <c r="M617" t="s">
        <v>55</v>
      </c>
      <c r="N617" t="s">
        <v>29</v>
      </c>
    </row>
    <row r="618" spans="1:14">
      <c r="A618" s="4" t="str">
        <f t="shared" si="47"/>
        <v>EXP00013</v>
      </c>
      <c r="B618" s="4" t="str">
        <f t="shared" si="48"/>
        <v>19421193</v>
      </c>
      <c r="C618" s="4" t="str">
        <f t="shared" si="49"/>
        <v>GSE12276</v>
      </c>
      <c r="D618" s="1" t="s">
        <v>45</v>
      </c>
      <c r="E618" t="s">
        <v>52</v>
      </c>
      <c r="F618" s="1">
        <v>2</v>
      </c>
      <c r="G618" s="1" t="s">
        <v>54</v>
      </c>
      <c r="H618" s="4" t="str">
        <f>HYPERLINK("https://www.ncbi.nlm.nih.gov/geo/query/acc.cgi?acc=GSM308316","GSM308316")</f>
        <v>GSM308316</v>
      </c>
      <c r="I618" t="s">
        <v>17</v>
      </c>
      <c r="J618" t="s">
        <v>18</v>
      </c>
      <c r="K618" t="s">
        <v>19</v>
      </c>
      <c r="L618" t="s">
        <v>20</v>
      </c>
      <c r="M618" t="s">
        <v>55</v>
      </c>
      <c r="N618" t="s">
        <v>29</v>
      </c>
    </row>
    <row r="619" spans="1:14">
      <c r="A619" s="4" t="str">
        <f t="shared" si="47"/>
        <v>EXP00013</v>
      </c>
      <c r="B619" s="4" t="str">
        <f t="shared" si="48"/>
        <v>19421193</v>
      </c>
      <c r="C619" s="4" t="str">
        <f t="shared" si="49"/>
        <v>GSE12276</v>
      </c>
      <c r="D619" s="1" t="s">
        <v>45</v>
      </c>
      <c r="E619" t="s">
        <v>52</v>
      </c>
      <c r="F619" s="1">
        <v>2</v>
      </c>
      <c r="G619" s="1" t="s">
        <v>54</v>
      </c>
      <c r="H619" s="4" t="str">
        <f>HYPERLINK("https://www.ncbi.nlm.nih.gov/geo/query/acc.cgi?acc=GSM308392","GSM308392")</f>
        <v>GSM308392</v>
      </c>
      <c r="I619" t="s">
        <v>17</v>
      </c>
      <c r="J619" t="s">
        <v>18</v>
      </c>
      <c r="K619" t="s">
        <v>19</v>
      </c>
      <c r="L619" t="s">
        <v>20</v>
      </c>
      <c r="M619" t="s">
        <v>55</v>
      </c>
      <c r="N619" t="s">
        <v>29</v>
      </c>
    </row>
    <row r="620" spans="1:14">
      <c r="A620" s="4" t="str">
        <f t="shared" si="47"/>
        <v>EXP00013</v>
      </c>
      <c r="B620" s="4" t="str">
        <f t="shared" si="48"/>
        <v>19421193</v>
      </c>
      <c r="C620" s="4" t="str">
        <f t="shared" si="49"/>
        <v>GSE12276</v>
      </c>
      <c r="D620" s="1" t="s">
        <v>45</v>
      </c>
      <c r="E620" t="s">
        <v>52</v>
      </c>
      <c r="F620" s="1">
        <v>2</v>
      </c>
      <c r="G620" s="1" t="s">
        <v>54</v>
      </c>
      <c r="H620" s="4" t="str">
        <f>HYPERLINK("https://www.ncbi.nlm.nih.gov/geo/query/acc.cgi?acc=GSM308402","GSM308402")</f>
        <v>GSM308402</v>
      </c>
      <c r="I620" t="s">
        <v>17</v>
      </c>
      <c r="J620" t="s">
        <v>18</v>
      </c>
      <c r="K620" t="s">
        <v>19</v>
      </c>
      <c r="L620" t="s">
        <v>20</v>
      </c>
      <c r="M620" t="s">
        <v>55</v>
      </c>
      <c r="N620" t="s">
        <v>29</v>
      </c>
    </row>
    <row r="621" spans="1:14">
      <c r="A621" s="4" t="str">
        <f t="shared" si="47"/>
        <v>EXP00013</v>
      </c>
      <c r="B621" s="4" t="str">
        <f t="shared" si="48"/>
        <v>19421193</v>
      </c>
      <c r="C621" s="4" t="str">
        <f t="shared" si="49"/>
        <v>GSE12276</v>
      </c>
      <c r="D621" s="1" t="s">
        <v>45</v>
      </c>
      <c r="E621" t="s">
        <v>52</v>
      </c>
      <c r="F621" s="1">
        <v>2</v>
      </c>
      <c r="G621" s="1" t="s">
        <v>54</v>
      </c>
      <c r="H621" s="4" t="str">
        <f>HYPERLINK("https://www.ncbi.nlm.nih.gov/geo/query/acc.cgi?acc=GSM308413","GSM308413")</f>
        <v>GSM308413</v>
      </c>
      <c r="I621" t="s">
        <v>17</v>
      </c>
      <c r="J621" t="s">
        <v>18</v>
      </c>
      <c r="K621" t="s">
        <v>19</v>
      </c>
      <c r="L621" t="s">
        <v>20</v>
      </c>
      <c r="M621" t="s">
        <v>55</v>
      </c>
      <c r="N621" t="s">
        <v>29</v>
      </c>
    </row>
    <row r="622" spans="1:14">
      <c r="A622" s="4" t="str">
        <f t="shared" si="47"/>
        <v>EXP00013</v>
      </c>
      <c r="B622" s="4" t="str">
        <f t="shared" si="48"/>
        <v>19421193</v>
      </c>
      <c r="C622" s="4" t="str">
        <f t="shared" si="49"/>
        <v>GSE12276</v>
      </c>
      <c r="D622" s="1" t="s">
        <v>45</v>
      </c>
      <c r="E622" t="s">
        <v>52</v>
      </c>
      <c r="F622" s="1">
        <v>3</v>
      </c>
      <c r="G622" s="1" t="s">
        <v>56</v>
      </c>
      <c r="H622" s="4" t="str">
        <f>HYPERLINK("https://www.ncbi.nlm.nih.gov/geo/query/acc.cgi?acc=GSM308264","GSM308264")</f>
        <v>GSM308264</v>
      </c>
      <c r="I622" t="s">
        <v>17</v>
      </c>
      <c r="J622" t="s">
        <v>18</v>
      </c>
      <c r="K622" t="s">
        <v>19</v>
      </c>
      <c r="L622" t="s">
        <v>20</v>
      </c>
      <c r="M622" t="s">
        <v>20</v>
      </c>
      <c r="N622" t="s">
        <v>29</v>
      </c>
    </row>
    <row r="623" spans="1:14">
      <c r="A623" s="4" t="str">
        <f t="shared" si="47"/>
        <v>EXP00013</v>
      </c>
      <c r="B623" s="4" t="str">
        <f t="shared" si="48"/>
        <v>19421193</v>
      </c>
      <c r="C623" s="4" t="str">
        <f t="shared" si="49"/>
        <v>GSE12276</v>
      </c>
      <c r="D623" s="1" t="s">
        <v>45</v>
      </c>
      <c r="E623" t="s">
        <v>52</v>
      </c>
      <c r="F623" s="1">
        <v>3</v>
      </c>
      <c r="G623" s="1" t="s">
        <v>56</v>
      </c>
      <c r="H623" s="4" t="str">
        <f>HYPERLINK("https://www.ncbi.nlm.nih.gov/geo/query/acc.cgi?acc=GSM308271","GSM308271")</f>
        <v>GSM308271</v>
      </c>
      <c r="I623" t="s">
        <v>17</v>
      </c>
      <c r="J623" t="s">
        <v>18</v>
      </c>
      <c r="K623" t="s">
        <v>19</v>
      </c>
      <c r="L623" t="s">
        <v>20</v>
      </c>
      <c r="M623" t="s">
        <v>20</v>
      </c>
      <c r="N623" t="s">
        <v>29</v>
      </c>
    </row>
    <row r="624" spans="1:14">
      <c r="A624" s="4" t="str">
        <f t="shared" si="47"/>
        <v>EXP00013</v>
      </c>
      <c r="B624" s="4" t="str">
        <f t="shared" si="48"/>
        <v>19421193</v>
      </c>
      <c r="C624" s="4" t="str">
        <f t="shared" si="49"/>
        <v>GSE12276</v>
      </c>
      <c r="D624" s="1" t="s">
        <v>45</v>
      </c>
      <c r="E624" t="s">
        <v>52</v>
      </c>
      <c r="F624" s="1">
        <v>3</v>
      </c>
      <c r="G624" s="1" t="s">
        <v>56</v>
      </c>
      <c r="H624" s="4" t="str">
        <f>HYPERLINK("https://www.ncbi.nlm.nih.gov/geo/query/acc.cgi?acc=GSM308274","GSM308274")</f>
        <v>GSM308274</v>
      </c>
      <c r="I624" t="s">
        <v>17</v>
      </c>
      <c r="J624" t="s">
        <v>18</v>
      </c>
      <c r="K624" t="s">
        <v>19</v>
      </c>
      <c r="L624" t="s">
        <v>20</v>
      </c>
      <c r="M624" t="s">
        <v>20</v>
      </c>
      <c r="N624" t="s">
        <v>29</v>
      </c>
    </row>
    <row r="625" spans="1:14">
      <c r="A625" s="4" t="str">
        <f t="shared" si="47"/>
        <v>EXP00013</v>
      </c>
      <c r="B625" s="4" t="str">
        <f t="shared" si="48"/>
        <v>19421193</v>
      </c>
      <c r="C625" s="4" t="str">
        <f t="shared" si="49"/>
        <v>GSE12276</v>
      </c>
      <c r="D625" s="1" t="s">
        <v>45</v>
      </c>
      <c r="E625" t="s">
        <v>52</v>
      </c>
      <c r="F625" s="1">
        <v>3</v>
      </c>
      <c r="G625" s="1" t="s">
        <v>56</v>
      </c>
      <c r="H625" s="4" t="str">
        <f>HYPERLINK("https://www.ncbi.nlm.nih.gov/geo/query/acc.cgi?acc=GSM308296","GSM308296")</f>
        <v>GSM308296</v>
      </c>
      <c r="I625" t="s">
        <v>17</v>
      </c>
      <c r="J625" t="s">
        <v>18</v>
      </c>
      <c r="K625" t="s">
        <v>19</v>
      </c>
      <c r="L625" t="s">
        <v>20</v>
      </c>
      <c r="M625" t="s">
        <v>20</v>
      </c>
      <c r="N625" t="s">
        <v>29</v>
      </c>
    </row>
    <row r="626" spans="1:14">
      <c r="A626" s="4" t="str">
        <f t="shared" si="47"/>
        <v>EXP00013</v>
      </c>
      <c r="B626" s="4" t="str">
        <f t="shared" si="48"/>
        <v>19421193</v>
      </c>
      <c r="C626" s="4" t="str">
        <f t="shared" si="49"/>
        <v>GSE12276</v>
      </c>
      <c r="D626" s="1" t="s">
        <v>45</v>
      </c>
      <c r="E626" t="s">
        <v>52</v>
      </c>
      <c r="F626" s="1">
        <v>3</v>
      </c>
      <c r="G626" s="1" t="s">
        <v>56</v>
      </c>
      <c r="H626" s="4" t="str">
        <f>HYPERLINK("https://www.ncbi.nlm.nih.gov/geo/query/acc.cgi?acc=GSM308301","GSM308301")</f>
        <v>GSM308301</v>
      </c>
      <c r="I626" t="s">
        <v>17</v>
      </c>
      <c r="J626" t="s">
        <v>18</v>
      </c>
      <c r="K626" t="s">
        <v>19</v>
      </c>
      <c r="L626" t="s">
        <v>20</v>
      </c>
      <c r="M626" t="s">
        <v>20</v>
      </c>
      <c r="N626" t="s">
        <v>29</v>
      </c>
    </row>
    <row r="627" spans="1:14">
      <c r="A627" s="4" t="str">
        <f t="shared" si="47"/>
        <v>EXP00013</v>
      </c>
      <c r="B627" s="4" t="str">
        <f t="shared" si="48"/>
        <v>19421193</v>
      </c>
      <c r="C627" s="4" t="str">
        <f t="shared" si="49"/>
        <v>GSE12276</v>
      </c>
      <c r="D627" s="1" t="s">
        <v>45</v>
      </c>
      <c r="E627" t="s">
        <v>52</v>
      </c>
      <c r="F627" s="1">
        <v>3</v>
      </c>
      <c r="G627" s="1" t="s">
        <v>56</v>
      </c>
      <c r="H627" s="4" t="str">
        <f>HYPERLINK("https://www.ncbi.nlm.nih.gov/geo/query/acc.cgi?acc=GSM308310","GSM308310")</f>
        <v>GSM308310</v>
      </c>
      <c r="I627" t="s">
        <v>17</v>
      </c>
      <c r="J627" t="s">
        <v>18</v>
      </c>
      <c r="K627" t="s">
        <v>19</v>
      </c>
      <c r="L627" t="s">
        <v>20</v>
      </c>
      <c r="M627" t="s">
        <v>20</v>
      </c>
      <c r="N627" t="s">
        <v>29</v>
      </c>
    </row>
    <row r="628" spans="1:14">
      <c r="A628" s="4" t="str">
        <f t="shared" si="47"/>
        <v>EXP00013</v>
      </c>
      <c r="B628" s="4" t="str">
        <f t="shared" si="48"/>
        <v>19421193</v>
      </c>
      <c r="C628" s="4" t="str">
        <f t="shared" si="49"/>
        <v>GSE12276</v>
      </c>
      <c r="D628" s="1" t="s">
        <v>45</v>
      </c>
      <c r="E628" t="s">
        <v>52</v>
      </c>
      <c r="F628" s="1">
        <v>3</v>
      </c>
      <c r="G628" s="1" t="s">
        <v>56</v>
      </c>
      <c r="H628" s="4" t="str">
        <f>HYPERLINK("https://www.ncbi.nlm.nih.gov/geo/query/acc.cgi?acc=GSM308312","GSM308312")</f>
        <v>GSM308312</v>
      </c>
      <c r="I628" t="s">
        <v>17</v>
      </c>
      <c r="J628" t="s">
        <v>18</v>
      </c>
      <c r="K628" t="s">
        <v>19</v>
      </c>
      <c r="L628" t="s">
        <v>20</v>
      </c>
      <c r="M628" t="s">
        <v>20</v>
      </c>
      <c r="N628" t="s">
        <v>29</v>
      </c>
    </row>
    <row r="629" spans="1:14">
      <c r="A629" s="4" t="str">
        <f t="shared" si="47"/>
        <v>EXP00013</v>
      </c>
      <c r="B629" s="4" t="str">
        <f t="shared" si="48"/>
        <v>19421193</v>
      </c>
      <c r="C629" s="4" t="str">
        <f t="shared" si="49"/>
        <v>GSE12276</v>
      </c>
      <c r="D629" s="1" t="s">
        <v>45</v>
      </c>
      <c r="E629" t="s">
        <v>52</v>
      </c>
      <c r="F629" s="1">
        <v>3</v>
      </c>
      <c r="G629" s="1" t="s">
        <v>56</v>
      </c>
      <c r="H629" s="4" t="str">
        <f>HYPERLINK("https://www.ncbi.nlm.nih.gov/geo/query/acc.cgi?acc=GSM308327","GSM308327")</f>
        <v>GSM308327</v>
      </c>
      <c r="I629" t="s">
        <v>17</v>
      </c>
      <c r="J629" t="s">
        <v>18</v>
      </c>
      <c r="K629" t="s">
        <v>19</v>
      </c>
      <c r="L629" t="s">
        <v>20</v>
      </c>
      <c r="M629" t="s">
        <v>20</v>
      </c>
      <c r="N629" t="s">
        <v>29</v>
      </c>
    </row>
    <row r="630" spans="1:14">
      <c r="A630" s="4" t="str">
        <f t="shared" si="47"/>
        <v>EXP00013</v>
      </c>
      <c r="B630" s="4" t="str">
        <f t="shared" si="48"/>
        <v>19421193</v>
      </c>
      <c r="C630" s="4" t="str">
        <f t="shared" si="49"/>
        <v>GSE12276</v>
      </c>
      <c r="D630" s="1" t="s">
        <v>45</v>
      </c>
      <c r="E630" t="s">
        <v>52</v>
      </c>
      <c r="F630" s="1">
        <v>3</v>
      </c>
      <c r="G630" s="1" t="s">
        <v>56</v>
      </c>
      <c r="H630" s="4" t="str">
        <f>HYPERLINK("https://www.ncbi.nlm.nih.gov/geo/query/acc.cgi?acc=GSM308329","GSM308329")</f>
        <v>GSM308329</v>
      </c>
      <c r="I630" t="s">
        <v>17</v>
      </c>
      <c r="J630" t="s">
        <v>18</v>
      </c>
      <c r="K630" t="s">
        <v>19</v>
      </c>
      <c r="L630" t="s">
        <v>20</v>
      </c>
      <c r="M630" t="s">
        <v>20</v>
      </c>
      <c r="N630" t="s">
        <v>29</v>
      </c>
    </row>
    <row r="631" spans="1:14">
      <c r="A631" s="4" t="str">
        <f t="shared" si="47"/>
        <v>EXP00013</v>
      </c>
      <c r="B631" s="4" t="str">
        <f t="shared" si="48"/>
        <v>19421193</v>
      </c>
      <c r="C631" s="4" t="str">
        <f t="shared" si="49"/>
        <v>GSE12276</v>
      </c>
      <c r="D631" s="1" t="s">
        <v>45</v>
      </c>
      <c r="E631" t="s">
        <v>52</v>
      </c>
      <c r="F631" s="1">
        <v>3</v>
      </c>
      <c r="G631" s="1" t="s">
        <v>56</v>
      </c>
      <c r="H631" s="4" t="str">
        <f>HYPERLINK("https://www.ncbi.nlm.nih.gov/geo/query/acc.cgi?acc=GSM308334","GSM308334")</f>
        <v>GSM308334</v>
      </c>
      <c r="I631" t="s">
        <v>17</v>
      </c>
      <c r="J631" t="s">
        <v>18</v>
      </c>
      <c r="K631" t="s">
        <v>19</v>
      </c>
      <c r="L631" t="s">
        <v>20</v>
      </c>
      <c r="M631" t="s">
        <v>20</v>
      </c>
      <c r="N631" t="s">
        <v>29</v>
      </c>
    </row>
    <row r="632" spans="1:14">
      <c r="A632" s="4" t="str">
        <f t="shared" si="47"/>
        <v>EXP00013</v>
      </c>
      <c r="B632" s="4" t="str">
        <f t="shared" si="48"/>
        <v>19421193</v>
      </c>
      <c r="C632" s="4" t="str">
        <f t="shared" si="49"/>
        <v>GSE12276</v>
      </c>
      <c r="D632" s="1" t="s">
        <v>45</v>
      </c>
      <c r="E632" t="s">
        <v>52</v>
      </c>
      <c r="F632" s="1">
        <v>3</v>
      </c>
      <c r="G632" s="1" t="s">
        <v>56</v>
      </c>
      <c r="H632" s="4" t="str">
        <f>HYPERLINK("https://www.ncbi.nlm.nih.gov/geo/query/acc.cgi?acc=GSM308337","GSM308337")</f>
        <v>GSM308337</v>
      </c>
      <c r="I632" t="s">
        <v>17</v>
      </c>
      <c r="J632" t="s">
        <v>18</v>
      </c>
      <c r="K632" t="s">
        <v>19</v>
      </c>
      <c r="L632" t="s">
        <v>20</v>
      </c>
      <c r="M632" t="s">
        <v>20</v>
      </c>
      <c r="N632" t="s">
        <v>29</v>
      </c>
    </row>
    <row r="633" spans="1:14">
      <c r="A633" s="4" t="str">
        <f t="shared" si="47"/>
        <v>EXP00013</v>
      </c>
      <c r="B633" s="4" t="str">
        <f t="shared" si="48"/>
        <v>19421193</v>
      </c>
      <c r="C633" s="4" t="str">
        <f t="shared" si="49"/>
        <v>GSE12276</v>
      </c>
      <c r="D633" s="1" t="s">
        <v>45</v>
      </c>
      <c r="E633" t="s">
        <v>52</v>
      </c>
      <c r="F633" s="1">
        <v>3</v>
      </c>
      <c r="G633" s="1" t="s">
        <v>56</v>
      </c>
      <c r="H633" s="4" t="str">
        <f>HYPERLINK("https://www.ncbi.nlm.nih.gov/geo/query/acc.cgi?acc=GSM308341","GSM308341")</f>
        <v>GSM308341</v>
      </c>
      <c r="I633" t="s">
        <v>17</v>
      </c>
      <c r="J633" t="s">
        <v>18</v>
      </c>
      <c r="K633" t="s">
        <v>19</v>
      </c>
      <c r="L633" t="s">
        <v>20</v>
      </c>
      <c r="M633" t="s">
        <v>20</v>
      </c>
      <c r="N633" t="s">
        <v>29</v>
      </c>
    </row>
    <row r="634" spans="1:14">
      <c r="A634" s="4" t="str">
        <f t="shared" si="47"/>
        <v>EXP00013</v>
      </c>
      <c r="B634" s="4" t="str">
        <f t="shared" si="48"/>
        <v>19421193</v>
      </c>
      <c r="C634" s="4" t="str">
        <f t="shared" si="49"/>
        <v>GSE12276</v>
      </c>
      <c r="D634" s="1" t="s">
        <v>45</v>
      </c>
      <c r="E634" t="s">
        <v>52</v>
      </c>
      <c r="F634" s="1">
        <v>3</v>
      </c>
      <c r="G634" s="1" t="s">
        <v>56</v>
      </c>
      <c r="H634" s="4" t="str">
        <f>HYPERLINK("https://www.ncbi.nlm.nih.gov/geo/query/acc.cgi?acc=GSM308351","GSM308351")</f>
        <v>GSM308351</v>
      </c>
      <c r="I634" t="s">
        <v>17</v>
      </c>
      <c r="J634" t="s">
        <v>18</v>
      </c>
      <c r="K634" t="s">
        <v>19</v>
      </c>
      <c r="L634" t="s">
        <v>20</v>
      </c>
      <c r="M634" t="s">
        <v>20</v>
      </c>
      <c r="N634" t="s">
        <v>29</v>
      </c>
    </row>
    <row r="635" spans="1:14">
      <c r="A635" s="4" t="str">
        <f t="shared" si="47"/>
        <v>EXP00013</v>
      </c>
      <c r="B635" s="4" t="str">
        <f t="shared" si="48"/>
        <v>19421193</v>
      </c>
      <c r="C635" s="4" t="str">
        <f t="shared" si="49"/>
        <v>GSE12276</v>
      </c>
      <c r="D635" s="1" t="s">
        <v>45</v>
      </c>
      <c r="E635" t="s">
        <v>52</v>
      </c>
      <c r="F635" s="1">
        <v>3</v>
      </c>
      <c r="G635" s="1" t="s">
        <v>56</v>
      </c>
      <c r="H635" s="4" t="str">
        <f>HYPERLINK("https://www.ncbi.nlm.nih.gov/geo/query/acc.cgi?acc=GSM308353","GSM308353")</f>
        <v>GSM308353</v>
      </c>
      <c r="I635" t="s">
        <v>17</v>
      </c>
      <c r="J635" t="s">
        <v>18</v>
      </c>
      <c r="K635" t="s">
        <v>19</v>
      </c>
      <c r="L635" t="s">
        <v>20</v>
      </c>
      <c r="M635" t="s">
        <v>20</v>
      </c>
      <c r="N635" t="s">
        <v>29</v>
      </c>
    </row>
    <row r="636" spans="1:14">
      <c r="A636" s="4" t="str">
        <f t="shared" si="47"/>
        <v>EXP00013</v>
      </c>
      <c r="B636" s="4" t="str">
        <f t="shared" si="48"/>
        <v>19421193</v>
      </c>
      <c r="C636" s="4" t="str">
        <f t="shared" si="49"/>
        <v>GSE12276</v>
      </c>
      <c r="D636" s="1" t="s">
        <v>45</v>
      </c>
      <c r="E636" t="s">
        <v>52</v>
      </c>
      <c r="F636" s="1">
        <v>3</v>
      </c>
      <c r="G636" s="1" t="s">
        <v>56</v>
      </c>
      <c r="H636" s="4" t="str">
        <f>HYPERLINK("https://www.ncbi.nlm.nih.gov/geo/query/acc.cgi?acc=GSM308357","GSM308357")</f>
        <v>GSM308357</v>
      </c>
      <c r="I636" t="s">
        <v>17</v>
      </c>
      <c r="J636" t="s">
        <v>18</v>
      </c>
      <c r="K636" t="s">
        <v>19</v>
      </c>
      <c r="L636" t="s">
        <v>20</v>
      </c>
      <c r="M636" t="s">
        <v>20</v>
      </c>
      <c r="N636" t="s">
        <v>29</v>
      </c>
    </row>
    <row r="637" spans="1:14">
      <c r="A637" s="4" t="str">
        <f t="shared" si="47"/>
        <v>EXP00013</v>
      </c>
      <c r="B637" s="4" t="str">
        <f t="shared" si="48"/>
        <v>19421193</v>
      </c>
      <c r="C637" s="4" t="str">
        <f t="shared" si="49"/>
        <v>GSE12276</v>
      </c>
      <c r="D637" s="1" t="s">
        <v>45</v>
      </c>
      <c r="E637" t="s">
        <v>52</v>
      </c>
      <c r="F637" s="1">
        <v>3</v>
      </c>
      <c r="G637" s="1" t="s">
        <v>56</v>
      </c>
      <c r="H637" s="4" t="str">
        <f>HYPERLINK("https://www.ncbi.nlm.nih.gov/geo/query/acc.cgi?acc=GSM308380","GSM308380")</f>
        <v>GSM308380</v>
      </c>
      <c r="I637" t="s">
        <v>17</v>
      </c>
      <c r="J637" t="s">
        <v>18</v>
      </c>
      <c r="K637" t="s">
        <v>19</v>
      </c>
      <c r="L637" t="s">
        <v>20</v>
      </c>
      <c r="M637" t="s">
        <v>20</v>
      </c>
      <c r="N637" t="s">
        <v>29</v>
      </c>
    </row>
    <row r="638" spans="1:14">
      <c r="A638" s="4" t="str">
        <f t="shared" si="47"/>
        <v>EXP00013</v>
      </c>
      <c r="B638" s="4" t="str">
        <f t="shared" si="48"/>
        <v>19421193</v>
      </c>
      <c r="C638" s="4" t="str">
        <f t="shared" si="49"/>
        <v>GSE12276</v>
      </c>
      <c r="D638" s="1" t="s">
        <v>45</v>
      </c>
      <c r="E638" t="s">
        <v>52</v>
      </c>
      <c r="F638" s="1">
        <v>3</v>
      </c>
      <c r="G638" s="1" t="s">
        <v>56</v>
      </c>
      <c r="H638" s="4" t="str">
        <f>HYPERLINK("https://www.ncbi.nlm.nih.gov/geo/query/acc.cgi?acc=GSM308388","GSM308388")</f>
        <v>GSM308388</v>
      </c>
      <c r="I638" t="s">
        <v>17</v>
      </c>
      <c r="J638" t="s">
        <v>18</v>
      </c>
      <c r="K638" t="s">
        <v>19</v>
      </c>
      <c r="L638" t="s">
        <v>20</v>
      </c>
      <c r="M638" t="s">
        <v>20</v>
      </c>
      <c r="N638" t="s">
        <v>29</v>
      </c>
    </row>
    <row r="639" spans="1:14">
      <c r="A639" s="4" t="str">
        <f t="shared" si="47"/>
        <v>EXP00013</v>
      </c>
      <c r="B639" s="4" t="str">
        <f t="shared" si="48"/>
        <v>19421193</v>
      </c>
      <c r="C639" s="4" t="str">
        <f t="shared" si="49"/>
        <v>GSE12276</v>
      </c>
      <c r="D639" s="1" t="s">
        <v>45</v>
      </c>
      <c r="E639" t="s">
        <v>52</v>
      </c>
      <c r="F639" s="1">
        <v>3</v>
      </c>
      <c r="G639" s="1" t="s">
        <v>56</v>
      </c>
      <c r="H639" s="4" t="str">
        <f>HYPERLINK("https://www.ncbi.nlm.nih.gov/geo/query/acc.cgi?acc=GSM308406","GSM308406")</f>
        <v>GSM308406</v>
      </c>
      <c r="I639" t="s">
        <v>17</v>
      </c>
      <c r="J639" t="s">
        <v>18</v>
      </c>
      <c r="K639" t="s">
        <v>19</v>
      </c>
      <c r="L639" t="s">
        <v>20</v>
      </c>
      <c r="M639" t="s">
        <v>20</v>
      </c>
      <c r="N639" t="s">
        <v>29</v>
      </c>
    </row>
    <row r="640" spans="1:14">
      <c r="A640" s="4" t="str">
        <f t="shared" si="47"/>
        <v>EXP00013</v>
      </c>
      <c r="B640" s="4" t="str">
        <f t="shared" si="48"/>
        <v>19421193</v>
      </c>
      <c r="C640" s="4" t="str">
        <f t="shared" si="49"/>
        <v>GSE12276</v>
      </c>
      <c r="D640" s="1" t="s">
        <v>45</v>
      </c>
      <c r="E640" t="s">
        <v>52</v>
      </c>
      <c r="F640" s="1">
        <v>3</v>
      </c>
      <c r="G640" s="1" t="s">
        <v>56</v>
      </c>
      <c r="H640" s="4" t="str">
        <f>HYPERLINK("https://www.ncbi.nlm.nih.gov/geo/query/acc.cgi?acc=GSM308409","GSM308409")</f>
        <v>GSM308409</v>
      </c>
      <c r="I640" t="s">
        <v>17</v>
      </c>
      <c r="J640" t="s">
        <v>18</v>
      </c>
      <c r="K640" t="s">
        <v>19</v>
      </c>
      <c r="L640" t="s">
        <v>20</v>
      </c>
      <c r="M640" t="s">
        <v>20</v>
      </c>
      <c r="N640" t="s">
        <v>29</v>
      </c>
    </row>
    <row r="641" spans="1:14">
      <c r="A641" s="4" t="str">
        <f t="shared" si="47"/>
        <v>EXP00013</v>
      </c>
      <c r="B641" s="4" t="str">
        <f t="shared" si="48"/>
        <v>19421193</v>
      </c>
      <c r="C641" s="4" t="str">
        <f t="shared" si="49"/>
        <v>GSE12276</v>
      </c>
      <c r="D641" s="1" t="s">
        <v>45</v>
      </c>
      <c r="E641" t="s">
        <v>52</v>
      </c>
      <c r="F641" s="1">
        <v>4</v>
      </c>
      <c r="G641" s="1" t="s">
        <v>57</v>
      </c>
      <c r="H641" s="4" t="str">
        <f>HYPERLINK("https://www.ncbi.nlm.nih.gov/geo/query/acc.cgi?acc=GSM308256","GSM308256")</f>
        <v>GSM308256</v>
      </c>
      <c r="I641" t="s">
        <v>17</v>
      </c>
      <c r="J641" t="s">
        <v>18</v>
      </c>
      <c r="K641" t="s">
        <v>19</v>
      </c>
      <c r="L641" t="s">
        <v>20</v>
      </c>
      <c r="M641" t="s">
        <v>47</v>
      </c>
      <c r="N641" t="s">
        <v>29</v>
      </c>
    </row>
    <row r="642" spans="1:14">
      <c r="A642" s="4" t="str">
        <f t="shared" si="47"/>
        <v>EXP00013</v>
      </c>
      <c r="B642" s="4" t="str">
        <f t="shared" si="48"/>
        <v>19421193</v>
      </c>
      <c r="C642" s="4" t="str">
        <f t="shared" si="49"/>
        <v>GSE12276</v>
      </c>
      <c r="D642" s="1" t="s">
        <v>45</v>
      </c>
      <c r="E642" t="s">
        <v>52</v>
      </c>
      <c r="F642" s="1">
        <v>4</v>
      </c>
      <c r="G642" s="1" t="s">
        <v>57</v>
      </c>
      <c r="H642" s="4" t="str">
        <f>HYPERLINK("https://www.ncbi.nlm.nih.gov/geo/query/acc.cgi?acc=GSM308257","GSM308257")</f>
        <v>GSM308257</v>
      </c>
      <c r="I642" t="s">
        <v>17</v>
      </c>
      <c r="J642" t="s">
        <v>18</v>
      </c>
      <c r="K642" t="s">
        <v>19</v>
      </c>
      <c r="L642" t="s">
        <v>20</v>
      </c>
      <c r="M642" t="s">
        <v>47</v>
      </c>
      <c r="N642" t="s">
        <v>29</v>
      </c>
    </row>
    <row r="643" spans="1:14">
      <c r="A643" s="4" t="str">
        <f t="shared" si="47"/>
        <v>EXP00013</v>
      </c>
      <c r="B643" s="4" t="str">
        <f t="shared" si="48"/>
        <v>19421193</v>
      </c>
      <c r="C643" s="4" t="str">
        <f t="shared" si="49"/>
        <v>GSE12276</v>
      </c>
      <c r="D643" s="1" t="s">
        <v>45</v>
      </c>
      <c r="E643" t="s">
        <v>52</v>
      </c>
      <c r="F643" s="1">
        <v>4</v>
      </c>
      <c r="G643" s="1" t="s">
        <v>57</v>
      </c>
      <c r="H643" s="4" t="str">
        <f>HYPERLINK("https://www.ncbi.nlm.nih.gov/geo/query/acc.cgi?acc=GSM308258","GSM308258")</f>
        <v>GSM308258</v>
      </c>
      <c r="I643" t="s">
        <v>17</v>
      </c>
      <c r="J643" t="s">
        <v>18</v>
      </c>
      <c r="K643" t="s">
        <v>19</v>
      </c>
      <c r="L643" t="s">
        <v>20</v>
      </c>
      <c r="M643" t="s">
        <v>47</v>
      </c>
      <c r="N643" t="s">
        <v>29</v>
      </c>
    </row>
    <row r="644" spans="1:14">
      <c r="A644" s="4" t="str">
        <f t="shared" si="47"/>
        <v>EXP00013</v>
      </c>
      <c r="B644" s="4" t="str">
        <f t="shared" si="48"/>
        <v>19421193</v>
      </c>
      <c r="C644" s="4" t="str">
        <f t="shared" si="49"/>
        <v>GSE12276</v>
      </c>
      <c r="D644" s="1" t="s">
        <v>45</v>
      </c>
      <c r="E644" t="s">
        <v>52</v>
      </c>
      <c r="F644" s="1">
        <v>4</v>
      </c>
      <c r="G644" s="1" t="s">
        <v>57</v>
      </c>
      <c r="H644" s="4" t="str">
        <f>HYPERLINK("https://www.ncbi.nlm.nih.gov/geo/query/acc.cgi?acc=GSM308259","GSM308259")</f>
        <v>GSM308259</v>
      </c>
      <c r="I644" t="s">
        <v>17</v>
      </c>
      <c r="J644" t="s">
        <v>18</v>
      </c>
      <c r="K644" t="s">
        <v>19</v>
      </c>
      <c r="L644" t="s">
        <v>20</v>
      </c>
      <c r="M644" t="s">
        <v>47</v>
      </c>
      <c r="N644" t="s">
        <v>29</v>
      </c>
    </row>
    <row r="645" spans="1:14">
      <c r="A645" s="4" t="str">
        <f t="shared" si="47"/>
        <v>EXP00013</v>
      </c>
      <c r="B645" s="4" t="str">
        <f t="shared" si="48"/>
        <v>19421193</v>
      </c>
      <c r="C645" s="4" t="str">
        <f t="shared" si="49"/>
        <v>GSE12276</v>
      </c>
      <c r="D645" s="1" t="s">
        <v>45</v>
      </c>
      <c r="E645" t="s">
        <v>52</v>
      </c>
      <c r="F645" s="1">
        <v>4</v>
      </c>
      <c r="G645" s="1" t="s">
        <v>57</v>
      </c>
      <c r="H645" s="4" t="str">
        <f>HYPERLINK("https://www.ncbi.nlm.nih.gov/geo/query/acc.cgi?acc=GSM308260","GSM308260")</f>
        <v>GSM308260</v>
      </c>
      <c r="I645" t="s">
        <v>17</v>
      </c>
      <c r="J645" t="s">
        <v>18</v>
      </c>
      <c r="K645" t="s">
        <v>19</v>
      </c>
      <c r="L645" t="s">
        <v>20</v>
      </c>
      <c r="M645" t="s">
        <v>47</v>
      </c>
      <c r="N645" t="s">
        <v>29</v>
      </c>
    </row>
    <row r="646" spans="1:14">
      <c r="A646" s="4" t="str">
        <f t="shared" si="47"/>
        <v>EXP00013</v>
      </c>
      <c r="B646" s="4" t="str">
        <f t="shared" si="48"/>
        <v>19421193</v>
      </c>
      <c r="C646" s="4" t="str">
        <f t="shared" si="49"/>
        <v>GSE12276</v>
      </c>
      <c r="D646" s="1" t="s">
        <v>45</v>
      </c>
      <c r="E646" t="s">
        <v>52</v>
      </c>
      <c r="F646" s="1">
        <v>4</v>
      </c>
      <c r="G646" s="1" t="s">
        <v>57</v>
      </c>
      <c r="H646" s="4" t="str">
        <f>HYPERLINK("https://www.ncbi.nlm.nih.gov/geo/query/acc.cgi?acc=GSM308262","GSM308262")</f>
        <v>GSM308262</v>
      </c>
      <c r="I646" t="s">
        <v>17</v>
      </c>
      <c r="J646" t="s">
        <v>18</v>
      </c>
      <c r="K646" t="s">
        <v>19</v>
      </c>
      <c r="L646" t="s">
        <v>20</v>
      </c>
      <c r="M646" t="s">
        <v>47</v>
      </c>
      <c r="N646" t="s">
        <v>29</v>
      </c>
    </row>
    <row r="647" spans="1:14">
      <c r="A647" s="4" t="str">
        <f t="shared" si="47"/>
        <v>EXP00013</v>
      </c>
      <c r="B647" s="4" t="str">
        <f t="shared" si="48"/>
        <v>19421193</v>
      </c>
      <c r="C647" s="4" t="str">
        <f t="shared" si="49"/>
        <v>GSE12276</v>
      </c>
      <c r="D647" s="1" t="s">
        <v>45</v>
      </c>
      <c r="E647" t="s">
        <v>52</v>
      </c>
      <c r="F647" s="1">
        <v>4</v>
      </c>
      <c r="G647" s="1" t="s">
        <v>57</v>
      </c>
      <c r="H647" s="4" t="str">
        <f>HYPERLINK("https://www.ncbi.nlm.nih.gov/geo/query/acc.cgi?acc=GSM308263","GSM308263")</f>
        <v>GSM308263</v>
      </c>
      <c r="I647" t="s">
        <v>17</v>
      </c>
      <c r="J647" t="s">
        <v>18</v>
      </c>
      <c r="K647" t="s">
        <v>19</v>
      </c>
      <c r="L647" t="s">
        <v>20</v>
      </c>
      <c r="M647" t="s">
        <v>47</v>
      </c>
      <c r="N647" t="s">
        <v>29</v>
      </c>
    </row>
    <row r="648" spans="1:14">
      <c r="A648" s="4" t="str">
        <f t="shared" si="47"/>
        <v>EXP00013</v>
      </c>
      <c r="B648" s="4" t="str">
        <f t="shared" si="48"/>
        <v>19421193</v>
      </c>
      <c r="C648" s="4" t="str">
        <f t="shared" si="49"/>
        <v>GSE12276</v>
      </c>
      <c r="D648" s="1" t="s">
        <v>45</v>
      </c>
      <c r="E648" t="s">
        <v>52</v>
      </c>
      <c r="F648" s="1">
        <v>4</v>
      </c>
      <c r="G648" s="1" t="s">
        <v>57</v>
      </c>
      <c r="H648" s="4" t="str">
        <f>HYPERLINK("https://www.ncbi.nlm.nih.gov/geo/query/acc.cgi?acc=GSM308265","GSM308265")</f>
        <v>GSM308265</v>
      </c>
      <c r="I648" t="s">
        <v>17</v>
      </c>
      <c r="J648" t="s">
        <v>18</v>
      </c>
      <c r="K648" t="s">
        <v>19</v>
      </c>
      <c r="L648" t="s">
        <v>20</v>
      </c>
      <c r="M648" t="s">
        <v>47</v>
      </c>
      <c r="N648" t="s">
        <v>29</v>
      </c>
    </row>
    <row r="649" spans="1:14">
      <c r="A649" s="4" t="str">
        <f t="shared" si="47"/>
        <v>EXP00013</v>
      </c>
      <c r="B649" s="4" t="str">
        <f t="shared" si="48"/>
        <v>19421193</v>
      </c>
      <c r="C649" s="4" t="str">
        <f t="shared" si="49"/>
        <v>GSE12276</v>
      </c>
      <c r="D649" s="1" t="s">
        <v>45</v>
      </c>
      <c r="E649" t="s">
        <v>52</v>
      </c>
      <c r="F649" s="1">
        <v>4</v>
      </c>
      <c r="G649" s="1" t="s">
        <v>57</v>
      </c>
      <c r="H649" s="4" t="str">
        <f>HYPERLINK("https://www.ncbi.nlm.nih.gov/geo/query/acc.cgi?acc=GSM308266","GSM308266")</f>
        <v>GSM308266</v>
      </c>
      <c r="I649" t="s">
        <v>17</v>
      </c>
      <c r="J649" t="s">
        <v>18</v>
      </c>
      <c r="K649" t="s">
        <v>19</v>
      </c>
      <c r="L649" t="s">
        <v>20</v>
      </c>
      <c r="M649" t="s">
        <v>47</v>
      </c>
      <c r="N649" t="s">
        <v>29</v>
      </c>
    </row>
    <row r="650" spans="1:14">
      <c r="A650" s="4" t="str">
        <f t="shared" si="47"/>
        <v>EXP00013</v>
      </c>
      <c r="B650" s="4" t="str">
        <f t="shared" si="48"/>
        <v>19421193</v>
      </c>
      <c r="C650" s="4" t="str">
        <f t="shared" si="49"/>
        <v>GSE12276</v>
      </c>
      <c r="D650" s="1" t="s">
        <v>45</v>
      </c>
      <c r="E650" t="s">
        <v>52</v>
      </c>
      <c r="F650" s="1">
        <v>4</v>
      </c>
      <c r="G650" s="1" t="s">
        <v>57</v>
      </c>
      <c r="H650" s="4" t="str">
        <f>HYPERLINK("https://www.ncbi.nlm.nih.gov/geo/query/acc.cgi?acc=GSM308267","GSM308267")</f>
        <v>GSM308267</v>
      </c>
      <c r="I650" t="s">
        <v>17</v>
      </c>
      <c r="J650" t="s">
        <v>18</v>
      </c>
      <c r="K650" t="s">
        <v>19</v>
      </c>
      <c r="L650" t="s">
        <v>20</v>
      </c>
      <c r="M650" t="s">
        <v>47</v>
      </c>
      <c r="N650" t="s">
        <v>29</v>
      </c>
    </row>
    <row r="651" spans="1:14">
      <c r="A651" s="4" t="str">
        <f t="shared" si="47"/>
        <v>EXP00013</v>
      </c>
      <c r="B651" s="4" t="str">
        <f t="shared" si="48"/>
        <v>19421193</v>
      </c>
      <c r="C651" s="4" t="str">
        <f t="shared" si="49"/>
        <v>GSE12276</v>
      </c>
      <c r="D651" s="1" t="s">
        <v>45</v>
      </c>
      <c r="E651" t="s">
        <v>52</v>
      </c>
      <c r="F651" s="1">
        <v>4</v>
      </c>
      <c r="G651" s="1" t="s">
        <v>57</v>
      </c>
      <c r="H651" s="4" t="str">
        <f>HYPERLINK("https://www.ncbi.nlm.nih.gov/geo/query/acc.cgi?acc=GSM308268","GSM308268")</f>
        <v>GSM308268</v>
      </c>
      <c r="I651" t="s">
        <v>17</v>
      </c>
      <c r="J651" t="s">
        <v>18</v>
      </c>
      <c r="K651" t="s">
        <v>19</v>
      </c>
      <c r="L651" t="s">
        <v>20</v>
      </c>
      <c r="M651" t="s">
        <v>47</v>
      </c>
      <c r="N651" t="s">
        <v>29</v>
      </c>
    </row>
    <row r="652" spans="1:14">
      <c r="A652" s="4" t="str">
        <f t="shared" si="47"/>
        <v>EXP00013</v>
      </c>
      <c r="B652" s="4" t="str">
        <f t="shared" si="48"/>
        <v>19421193</v>
      </c>
      <c r="C652" s="4" t="str">
        <f t="shared" si="49"/>
        <v>GSE12276</v>
      </c>
      <c r="D652" s="1" t="s">
        <v>45</v>
      </c>
      <c r="E652" t="s">
        <v>52</v>
      </c>
      <c r="F652" s="1">
        <v>4</v>
      </c>
      <c r="G652" s="1" t="s">
        <v>57</v>
      </c>
      <c r="H652" s="4" t="str">
        <f>HYPERLINK("https://www.ncbi.nlm.nih.gov/geo/query/acc.cgi?acc=GSM308269","GSM308269")</f>
        <v>GSM308269</v>
      </c>
      <c r="I652" t="s">
        <v>17</v>
      </c>
      <c r="J652" t="s">
        <v>18</v>
      </c>
      <c r="K652" t="s">
        <v>19</v>
      </c>
      <c r="L652" t="s">
        <v>20</v>
      </c>
      <c r="M652" t="s">
        <v>47</v>
      </c>
      <c r="N652" t="s">
        <v>29</v>
      </c>
    </row>
    <row r="653" spans="1:14">
      <c r="A653" s="4" t="str">
        <f t="shared" si="47"/>
        <v>EXP00013</v>
      </c>
      <c r="B653" s="4" t="str">
        <f t="shared" si="48"/>
        <v>19421193</v>
      </c>
      <c r="C653" s="4" t="str">
        <f t="shared" si="49"/>
        <v>GSE12276</v>
      </c>
      <c r="D653" s="1" t="s">
        <v>45</v>
      </c>
      <c r="E653" t="s">
        <v>52</v>
      </c>
      <c r="F653" s="1">
        <v>4</v>
      </c>
      <c r="G653" s="1" t="s">
        <v>57</v>
      </c>
      <c r="H653" s="4" t="str">
        <f>HYPERLINK("https://www.ncbi.nlm.nih.gov/geo/query/acc.cgi?acc=GSM308270","GSM308270")</f>
        <v>GSM308270</v>
      </c>
      <c r="I653" t="s">
        <v>17</v>
      </c>
      <c r="J653" t="s">
        <v>18</v>
      </c>
      <c r="K653" t="s">
        <v>19</v>
      </c>
      <c r="L653" t="s">
        <v>20</v>
      </c>
      <c r="M653" t="s">
        <v>47</v>
      </c>
      <c r="N653" t="s">
        <v>29</v>
      </c>
    </row>
    <row r="654" spans="1:14">
      <c r="A654" s="4" t="str">
        <f t="shared" si="47"/>
        <v>EXP00013</v>
      </c>
      <c r="B654" s="4" t="str">
        <f t="shared" si="48"/>
        <v>19421193</v>
      </c>
      <c r="C654" s="4" t="str">
        <f t="shared" si="49"/>
        <v>GSE12276</v>
      </c>
      <c r="D654" s="1" t="s">
        <v>45</v>
      </c>
      <c r="E654" t="s">
        <v>52</v>
      </c>
      <c r="F654" s="1">
        <v>4</v>
      </c>
      <c r="G654" s="1" t="s">
        <v>57</v>
      </c>
      <c r="H654" s="4" t="str">
        <f>HYPERLINK("https://www.ncbi.nlm.nih.gov/geo/query/acc.cgi?acc=GSM308272","GSM308272")</f>
        <v>GSM308272</v>
      </c>
      <c r="I654" t="s">
        <v>17</v>
      </c>
      <c r="J654" t="s">
        <v>18</v>
      </c>
      <c r="K654" t="s">
        <v>19</v>
      </c>
      <c r="L654" t="s">
        <v>20</v>
      </c>
      <c r="M654" t="s">
        <v>47</v>
      </c>
      <c r="N654" t="s">
        <v>29</v>
      </c>
    </row>
    <row r="655" spans="1:14">
      <c r="A655" s="4" t="str">
        <f t="shared" si="47"/>
        <v>EXP00013</v>
      </c>
      <c r="B655" s="4" t="str">
        <f t="shared" si="48"/>
        <v>19421193</v>
      </c>
      <c r="C655" s="4" t="str">
        <f t="shared" si="49"/>
        <v>GSE12276</v>
      </c>
      <c r="D655" s="1" t="s">
        <v>45</v>
      </c>
      <c r="E655" t="s">
        <v>52</v>
      </c>
      <c r="F655" s="1">
        <v>4</v>
      </c>
      <c r="G655" s="1" t="s">
        <v>57</v>
      </c>
      <c r="H655" s="4" t="str">
        <f>HYPERLINK("https://www.ncbi.nlm.nih.gov/geo/query/acc.cgi?acc=GSM308273","GSM308273")</f>
        <v>GSM308273</v>
      </c>
      <c r="I655" t="s">
        <v>17</v>
      </c>
      <c r="J655" t="s">
        <v>18</v>
      </c>
      <c r="K655" t="s">
        <v>19</v>
      </c>
      <c r="L655" t="s">
        <v>20</v>
      </c>
      <c r="M655" t="s">
        <v>47</v>
      </c>
      <c r="N655" t="s">
        <v>29</v>
      </c>
    </row>
    <row r="656" spans="1:14">
      <c r="A656" s="4" t="str">
        <f t="shared" si="47"/>
        <v>EXP00013</v>
      </c>
      <c r="B656" s="4" t="str">
        <f t="shared" si="48"/>
        <v>19421193</v>
      </c>
      <c r="C656" s="4" t="str">
        <f t="shared" si="49"/>
        <v>GSE12276</v>
      </c>
      <c r="D656" s="1" t="s">
        <v>45</v>
      </c>
      <c r="E656" t="s">
        <v>52</v>
      </c>
      <c r="F656" s="1">
        <v>4</v>
      </c>
      <c r="G656" s="1" t="s">
        <v>57</v>
      </c>
      <c r="H656" s="4" t="str">
        <f>HYPERLINK("https://www.ncbi.nlm.nih.gov/geo/query/acc.cgi?acc=GSM308275","GSM308275")</f>
        <v>GSM308275</v>
      </c>
      <c r="I656" t="s">
        <v>17</v>
      </c>
      <c r="J656" t="s">
        <v>18</v>
      </c>
      <c r="K656" t="s">
        <v>19</v>
      </c>
      <c r="L656" t="s">
        <v>20</v>
      </c>
      <c r="M656" t="s">
        <v>47</v>
      </c>
      <c r="N656" t="s">
        <v>29</v>
      </c>
    </row>
    <row r="657" spans="1:14">
      <c r="A657" s="4" t="str">
        <f t="shared" si="47"/>
        <v>EXP00013</v>
      </c>
      <c r="B657" s="4" t="str">
        <f t="shared" si="48"/>
        <v>19421193</v>
      </c>
      <c r="C657" s="4" t="str">
        <f t="shared" si="49"/>
        <v>GSE12276</v>
      </c>
      <c r="D657" s="1" t="s">
        <v>45</v>
      </c>
      <c r="E657" t="s">
        <v>52</v>
      </c>
      <c r="F657" s="1">
        <v>4</v>
      </c>
      <c r="G657" s="1" t="s">
        <v>57</v>
      </c>
      <c r="H657" s="4" t="str">
        <f>HYPERLINK("https://www.ncbi.nlm.nih.gov/geo/query/acc.cgi?acc=GSM308276","GSM308276")</f>
        <v>GSM308276</v>
      </c>
      <c r="I657" t="s">
        <v>17</v>
      </c>
      <c r="J657" t="s">
        <v>18</v>
      </c>
      <c r="K657" t="s">
        <v>19</v>
      </c>
      <c r="L657" t="s">
        <v>20</v>
      </c>
      <c r="M657" t="s">
        <v>47</v>
      </c>
      <c r="N657" t="s">
        <v>29</v>
      </c>
    </row>
    <row r="658" spans="1:14">
      <c r="A658" s="4" t="str">
        <f t="shared" si="47"/>
        <v>EXP00013</v>
      </c>
      <c r="B658" s="4" t="str">
        <f t="shared" si="48"/>
        <v>19421193</v>
      </c>
      <c r="C658" s="4" t="str">
        <f t="shared" si="49"/>
        <v>GSE12276</v>
      </c>
      <c r="D658" s="1" t="s">
        <v>45</v>
      </c>
      <c r="E658" t="s">
        <v>52</v>
      </c>
      <c r="F658" s="1">
        <v>4</v>
      </c>
      <c r="G658" s="1" t="s">
        <v>57</v>
      </c>
      <c r="H658" s="4" t="str">
        <f>HYPERLINK("https://www.ncbi.nlm.nih.gov/geo/query/acc.cgi?acc=GSM308277","GSM308277")</f>
        <v>GSM308277</v>
      </c>
      <c r="I658" t="s">
        <v>17</v>
      </c>
      <c r="J658" t="s">
        <v>18</v>
      </c>
      <c r="K658" t="s">
        <v>19</v>
      </c>
      <c r="L658" t="s">
        <v>20</v>
      </c>
      <c r="M658" t="s">
        <v>47</v>
      </c>
      <c r="N658" t="s">
        <v>29</v>
      </c>
    </row>
    <row r="659" spans="1:14">
      <c r="A659" s="4" t="str">
        <f t="shared" si="47"/>
        <v>EXP00013</v>
      </c>
      <c r="B659" s="4" t="str">
        <f t="shared" si="48"/>
        <v>19421193</v>
      </c>
      <c r="C659" s="4" t="str">
        <f t="shared" si="49"/>
        <v>GSE12276</v>
      </c>
      <c r="D659" s="1" t="s">
        <v>45</v>
      </c>
      <c r="E659" t="s">
        <v>52</v>
      </c>
      <c r="F659" s="1">
        <v>4</v>
      </c>
      <c r="G659" s="1" t="s">
        <v>57</v>
      </c>
      <c r="H659" s="4" t="str">
        <f>HYPERLINK("https://www.ncbi.nlm.nih.gov/geo/query/acc.cgi?acc=GSM308278","GSM308278")</f>
        <v>GSM308278</v>
      </c>
      <c r="I659" t="s">
        <v>17</v>
      </c>
      <c r="J659" t="s">
        <v>18</v>
      </c>
      <c r="K659" t="s">
        <v>19</v>
      </c>
      <c r="L659" t="s">
        <v>20</v>
      </c>
      <c r="M659" t="s">
        <v>47</v>
      </c>
      <c r="N659" t="s">
        <v>29</v>
      </c>
    </row>
    <row r="660" spans="1:14">
      <c r="A660" s="4" t="str">
        <f t="shared" si="47"/>
        <v>EXP00013</v>
      </c>
      <c r="B660" s="4" t="str">
        <f t="shared" si="48"/>
        <v>19421193</v>
      </c>
      <c r="C660" s="4" t="str">
        <f t="shared" si="49"/>
        <v>GSE12276</v>
      </c>
      <c r="D660" s="1" t="s">
        <v>45</v>
      </c>
      <c r="E660" t="s">
        <v>52</v>
      </c>
      <c r="F660" s="1">
        <v>4</v>
      </c>
      <c r="G660" s="1" t="s">
        <v>57</v>
      </c>
      <c r="H660" s="4" t="str">
        <f>HYPERLINK("https://www.ncbi.nlm.nih.gov/geo/query/acc.cgi?acc=GSM308279","GSM308279")</f>
        <v>GSM308279</v>
      </c>
      <c r="I660" t="s">
        <v>17</v>
      </c>
      <c r="J660" t="s">
        <v>18</v>
      </c>
      <c r="K660" t="s">
        <v>19</v>
      </c>
      <c r="L660" t="s">
        <v>20</v>
      </c>
      <c r="M660" t="s">
        <v>47</v>
      </c>
      <c r="N660" t="s">
        <v>29</v>
      </c>
    </row>
    <row r="661" spans="1:14">
      <c r="A661" s="4" t="str">
        <f t="shared" si="47"/>
        <v>EXP00013</v>
      </c>
      <c r="B661" s="4" t="str">
        <f t="shared" si="48"/>
        <v>19421193</v>
      </c>
      <c r="C661" s="4" t="str">
        <f t="shared" si="49"/>
        <v>GSE12276</v>
      </c>
      <c r="D661" s="1" t="s">
        <v>45</v>
      </c>
      <c r="E661" t="s">
        <v>52</v>
      </c>
      <c r="F661" s="1">
        <v>4</v>
      </c>
      <c r="G661" s="1" t="s">
        <v>57</v>
      </c>
      <c r="H661" s="4" t="str">
        <f>HYPERLINK("https://www.ncbi.nlm.nih.gov/geo/query/acc.cgi?acc=GSM308281","GSM308281")</f>
        <v>GSM308281</v>
      </c>
      <c r="I661" t="s">
        <v>17</v>
      </c>
      <c r="J661" t="s">
        <v>18</v>
      </c>
      <c r="K661" t="s">
        <v>19</v>
      </c>
      <c r="L661" t="s">
        <v>20</v>
      </c>
      <c r="M661" t="s">
        <v>47</v>
      </c>
      <c r="N661" t="s">
        <v>29</v>
      </c>
    </row>
    <row r="662" spans="1:14">
      <c r="A662" s="4" t="str">
        <f t="shared" si="47"/>
        <v>EXP00013</v>
      </c>
      <c r="B662" s="4" t="str">
        <f t="shared" si="48"/>
        <v>19421193</v>
      </c>
      <c r="C662" s="4" t="str">
        <f t="shared" si="49"/>
        <v>GSE12276</v>
      </c>
      <c r="D662" s="1" t="s">
        <v>45</v>
      </c>
      <c r="E662" t="s">
        <v>52</v>
      </c>
      <c r="F662" s="1">
        <v>4</v>
      </c>
      <c r="G662" s="1" t="s">
        <v>57</v>
      </c>
      <c r="H662" s="4" t="str">
        <f>HYPERLINK("https://www.ncbi.nlm.nih.gov/geo/query/acc.cgi?acc=GSM308282","GSM308282")</f>
        <v>GSM308282</v>
      </c>
      <c r="I662" t="s">
        <v>17</v>
      </c>
      <c r="J662" t="s">
        <v>18</v>
      </c>
      <c r="K662" t="s">
        <v>19</v>
      </c>
      <c r="L662" t="s">
        <v>20</v>
      </c>
      <c r="M662" t="s">
        <v>47</v>
      </c>
      <c r="N662" t="s">
        <v>29</v>
      </c>
    </row>
    <row r="663" spans="1:14">
      <c r="A663" s="4" t="str">
        <f t="shared" si="47"/>
        <v>EXP00013</v>
      </c>
      <c r="B663" s="4" t="str">
        <f t="shared" si="48"/>
        <v>19421193</v>
      </c>
      <c r="C663" s="4" t="str">
        <f t="shared" si="49"/>
        <v>GSE12276</v>
      </c>
      <c r="D663" s="1" t="s">
        <v>45</v>
      </c>
      <c r="E663" t="s">
        <v>52</v>
      </c>
      <c r="F663" s="1">
        <v>4</v>
      </c>
      <c r="G663" s="1" t="s">
        <v>57</v>
      </c>
      <c r="H663" s="4" t="str">
        <f>HYPERLINK("https://www.ncbi.nlm.nih.gov/geo/query/acc.cgi?acc=GSM308283","GSM308283")</f>
        <v>GSM308283</v>
      </c>
      <c r="I663" t="s">
        <v>17</v>
      </c>
      <c r="J663" t="s">
        <v>18</v>
      </c>
      <c r="K663" t="s">
        <v>19</v>
      </c>
      <c r="L663" t="s">
        <v>20</v>
      </c>
      <c r="M663" t="s">
        <v>47</v>
      </c>
      <c r="N663" t="s">
        <v>29</v>
      </c>
    </row>
    <row r="664" spans="1:14">
      <c r="A664" s="4" t="str">
        <f t="shared" si="47"/>
        <v>EXP00013</v>
      </c>
      <c r="B664" s="4" t="str">
        <f t="shared" si="48"/>
        <v>19421193</v>
      </c>
      <c r="C664" s="4" t="str">
        <f t="shared" si="49"/>
        <v>GSE12276</v>
      </c>
      <c r="D664" s="1" t="s">
        <v>45</v>
      </c>
      <c r="E664" t="s">
        <v>52</v>
      </c>
      <c r="F664" s="1">
        <v>4</v>
      </c>
      <c r="G664" s="1" t="s">
        <v>57</v>
      </c>
      <c r="H664" s="4" t="str">
        <f>HYPERLINK("https://www.ncbi.nlm.nih.gov/geo/query/acc.cgi?acc=GSM308284","GSM308284")</f>
        <v>GSM308284</v>
      </c>
      <c r="I664" t="s">
        <v>17</v>
      </c>
      <c r="J664" t="s">
        <v>18</v>
      </c>
      <c r="K664" t="s">
        <v>19</v>
      </c>
      <c r="L664" t="s">
        <v>20</v>
      </c>
      <c r="M664" t="s">
        <v>47</v>
      </c>
      <c r="N664" t="s">
        <v>29</v>
      </c>
    </row>
    <row r="665" spans="1:14">
      <c r="A665" s="4" t="str">
        <f t="shared" si="47"/>
        <v>EXP00013</v>
      </c>
      <c r="B665" s="4" t="str">
        <f t="shared" si="48"/>
        <v>19421193</v>
      </c>
      <c r="C665" s="4" t="str">
        <f t="shared" si="49"/>
        <v>GSE12276</v>
      </c>
      <c r="D665" s="1" t="s">
        <v>45</v>
      </c>
      <c r="E665" t="s">
        <v>52</v>
      </c>
      <c r="F665" s="1">
        <v>4</v>
      </c>
      <c r="G665" s="1" t="s">
        <v>57</v>
      </c>
      <c r="H665" s="4" t="str">
        <f>HYPERLINK("https://www.ncbi.nlm.nih.gov/geo/query/acc.cgi?acc=GSM308285","GSM308285")</f>
        <v>GSM308285</v>
      </c>
      <c r="I665" t="s">
        <v>17</v>
      </c>
      <c r="J665" t="s">
        <v>18</v>
      </c>
      <c r="K665" t="s">
        <v>19</v>
      </c>
      <c r="L665" t="s">
        <v>20</v>
      </c>
      <c r="M665" t="s">
        <v>47</v>
      </c>
      <c r="N665" t="s">
        <v>29</v>
      </c>
    </row>
    <row r="666" spans="1:14">
      <c r="A666" s="4" t="str">
        <f t="shared" si="47"/>
        <v>EXP00013</v>
      </c>
      <c r="B666" s="4" t="str">
        <f t="shared" si="48"/>
        <v>19421193</v>
      </c>
      <c r="C666" s="4" t="str">
        <f t="shared" si="49"/>
        <v>GSE12276</v>
      </c>
      <c r="D666" s="1" t="s">
        <v>45</v>
      </c>
      <c r="E666" t="s">
        <v>52</v>
      </c>
      <c r="F666" s="1">
        <v>4</v>
      </c>
      <c r="G666" s="1" t="s">
        <v>57</v>
      </c>
      <c r="H666" s="4" t="str">
        <f>HYPERLINK("https://www.ncbi.nlm.nih.gov/geo/query/acc.cgi?acc=GSM308286","GSM308286")</f>
        <v>GSM308286</v>
      </c>
      <c r="I666" t="s">
        <v>17</v>
      </c>
      <c r="J666" t="s">
        <v>18</v>
      </c>
      <c r="K666" t="s">
        <v>19</v>
      </c>
      <c r="L666" t="s">
        <v>20</v>
      </c>
      <c r="M666" t="s">
        <v>47</v>
      </c>
      <c r="N666" t="s">
        <v>29</v>
      </c>
    </row>
    <row r="667" spans="1:14">
      <c r="A667" s="4" t="str">
        <f t="shared" si="47"/>
        <v>EXP00013</v>
      </c>
      <c r="B667" s="4" t="str">
        <f t="shared" si="48"/>
        <v>19421193</v>
      </c>
      <c r="C667" s="4" t="str">
        <f t="shared" si="49"/>
        <v>GSE12276</v>
      </c>
      <c r="D667" s="1" t="s">
        <v>45</v>
      </c>
      <c r="E667" t="s">
        <v>52</v>
      </c>
      <c r="F667" s="1">
        <v>4</v>
      </c>
      <c r="G667" s="1" t="s">
        <v>57</v>
      </c>
      <c r="H667" s="4" t="str">
        <f>HYPERLINK("https://www.ncbi.nlm.nih.gov/geo/query/acc.cgi?acc=GSM308287","GSM308287")</f>
        <v>GSM308287</v>
      </c>
      <c r="I667" t="s">
        <v>17</v>
      </c>
      <c r="J667" t="s">
        <v>18</v>
      </c>
      <c r="K667" t="s">
        <v>19</v>
      </c>
      <c r="L667" t="s">
        <v>20</v>
      </c>
      <c r="M667" t="s">
        <v>47</v>
      </c>
      <c r="N667" t="s">
        <v>29</v>
      </c>
    </row>
    <row r="668" spans="1:14">
      <c r="A668" s="4" t="str">
        <f t="shared" si="47"/>
        <v>EXP00013</v>
      </c>
      <c r="B668" s="4" t="str">
        <f t="shared" si="48"/>
        <v>19421193</v>
      </c>
      <c r="C668" s="4" t="str">
        <f t="shared" si="49"/>
        <v>GSE12276</v>
      </c>
      <c r="D668" s="1" t="s">
        <v>45</v>
      </c>
      <c r="E668" t="s">
        <v>52</v>
      </c>
      <c r="F668" s="1">
        <v>4</v>
      </c>
      <c r="G668" s="1" t="s">
        <v>57</v>
      </c>
      <c r="H668" s="4" t="str">
        <f>HYPERLINK("https://www.ncbi.nlm.nih.gov/geo/query/acc.cgi?acc=GSM308288","GSM308288")</f>
        <v>GSM308288</v>
      </c>
      <c r="I668" t="s">
        <v>17</v>
      </c>
      <c r="J668" t="s">
        <v>18</v>
      </c>
      <c r="K668" t="s">
        <v>19</v>
      </c>
      <c r="L668" t="s">
        <v>20</v>
      </c>
      <c r="M668" t="s">
        <v>47</v>
      </c>
      <c r="N668" t="s">
        <v>29</v>
      </c>
    </row>
    <row r="669" spans="1:14">
      <c r="A669" s="4" t="str">
        <f t="shared" si="47"/>
        <v>EXP00013</v>
      </c>
      <c r="B669" s="4" t="str">
        <f t="shared" si="48"/>
        <v>19421193</v>
      </c>
      <c r="C669" s="4" t="str">
        <f t="shared" si="49"/>
        <v>GSE12276</v>
      </c>
      <c r="D669" s="1" t="s">
        <v>45</v>
      </c>
      <c r="E669" t="s">
        <v>52</v>
      </c>
      <c r="F669" s="1">
        <v>4</v>
      </c>
      <c r="G669" s="1" t="s">
        <v>57</v>
      </c>
      <c r="H669" s="4" t="str">
        <f>HYPERLINK("https://www.ncbi.nlm.nih.gov/geo/query/acc.cgi?acc=GSM308289","GSM308289")</f>
        <v>GSM308289</v>
      </c>
      <c r="I669" t="s">
        <v>17</v>
      </c>
      <c r="J669" t="s">
        <v>18</v>
      </c>
      <c r="K669" t="s">
        <v>19</v>
      </c>
      <c r="L669" t="s">
        <v>20</v>
      </c>
      <c r="M669" t="s">
        <v>47</v>
      </c>
      <c r="N669" t="s">
        <v>29</v>
      </c>
    </row>
    <row r="670" spans="1:14">
      <c r="A670" s="4" t="str">
        <f t="shared" ref="A670:A733" si="50">HYPERLINK("http://hcmdb.i-sanger.com/experiment/details/experiment_id/EXP00013","EXP00013")</f>
        <v>EXP00013</v>
      </c>
      <c r="B670" s="4" t="str">
        <f t="shared" ref="B670:B733" si="51">HYPERLINK("https://www.ncbi.nlm.nih.gov/pubmed/19421193","19421193")</f>
        <v>19421193</v>
      </c>
      <c r="C670" s="4" t="str">
        <f t="shared" ref="C670:C733" si="52">HYPERLINK("https://www.ncbi.nlm.nih.gov/geo/query/acc.cgi?acc=GSE12276","GSE12276")</f>
        <v>GSE12276</v>
      </c>
      <c r="D670" s="1" t="s">
        <v>45</v>
      </c>
      <c r="E670" t="s">
        <v>52</v>
      </c>
      <c r="F670" s="1">
        <v>4</v>
      </c>
      <c r="G670" s="1" t="s">
        <v>57</v>
      </c>
      <c r="H670" s="4" t="str">
        <f>HYPERLINK("https://www.ncbi.nlm.nih.gov/geo/query/acc.cgi?acc=GSM308290","GSM308290")</f>
        <v>GSM308290</v>
      </c>
      <c r="I670" t="s">
        <v>17</v>
      </c>
      <c r="J670" t="s">
        <v>18</v>
      </c>
      <c r="K670" t="s">
        <v>19</v>
      </c>
      <c r="L670" t="s">
        <v>20</v>
      </c>
      <c r="M670" t="s">
        <v>47</v>
      </c>
      <c r="N670" t="s">
        <v>29</v>
      </c>
    </row>
    <row r="671" spans="1:14">
      <c r="A671" s="4" t="str">
        <f t="shared" si="50"/>
        <v>EXP00013</v>
      </c>
      <c r="B671" s="4" t="str">
        <f t="shared" si="51"/>
        <v>19421193</v>
      </c>
      <c r="C671" s="4" t="str">
        <f t="shared" si="52"/>
        <v>GSE12276</v>
      </c>
      <c r="D671" s="1" t="s">
        <v>45</v>
      </c>
      <c r="E671" t="s">
        <v>52</v>
      </c>
      <c r="F671" s="1">
        <v>4</v>
      </c>
      <c r="G671" s="1" t="s">
        <v>57</v>
      </c>
      <c r="H671" s="4" t="str">
        <f>HYPERLINK("https://www.ncbi.nlm.nih.gov/geo/query/acc.cgi?acc=GSM308292","GSM308292")</f>
        <v>GSM308292</v>
      </c>
      <c r="I671" t="s">
        <v>17</v>
      </c>
      <c r="J671" t="s">
        <v>18</v>
      </c>
      <c r="K671" t="s">
        <v>19</v>
      </c>
      <c r="L671" t="s">
        <v>20</v>
      </c>
      <c r="M671" t="s">
        <v>47</v>
      </c>
      <c r="N671" t="s">
        <v>29</v>
      </c>
    </row>
    <row r="672" spans="1:14">
      <c r="A672" s="4" t="str">
        <f t="shared" si="50"/>
        <v>EXP00013</v>
      </c>
      <c r="B672" s="4" t="str">
        <f t="shared" si="51"/>
        <v>19421193</v>
      </c>
      <c r="C672" s="4" t="str">
        <f t="shared" si="52"/>
        <v>GSE12276</v>
      </c>
      <c r="D672" s="1" t="s">
        <v>45</v>
      </c>
      <c r="E672" t="s">
        <v>52</v>
      </c>
      <c r="F672" s="1">
        <v>4</v>
      </c>
      <c r="G672" s="1" t="s">
        <v>57</v>
      </c>
      <c r="H672" s="4" t="str">
        <f>HYPERLINK("https://www.ncbi.nlm.nih.gov/geo/query/acc.cgi?acc=GSM308293","GSM308293")</f>
        <v>GSM308293</v>
      </c>
      <c r="I672" t="s">
        <v>17</v>
      </c>
      <c r="J672" t="s">
        <v>18</v>
      </c>
      <c r="K672" t="s">
        <v>19</v>
      </c>
      <c r="L672" t="s">
        <v>20</v>
      </c>
      <c r="M672" t="s">
        <v>47</v>
      </c>
      <c r="N672" t="s">
        <v>29</v>
      </c>
    </row>
    <row r="673" spans="1:14">
      <c r="A673" s="4" t="str">
        <f t="shared" si="50"/>
        <v>EXP00013</v>
      </c>
      <c r="B673" s="4" t="str">
        <f t="shared" si="51"/>
        <v>19421193</v>
      </c>
      <c r="C673" s="4" t="str">
        <f t="shared" si="52"/>
        <v>GSE12276</v>
      </c>
      <c r="D673" s="1" t="s">
        <v>45</v>
      </c>
      <c r="E673" t="s">
        <v>52</v>
      </c>
      <c r="F673" s="1">
        <v>4</v>
      </c>
      <c r="G673" s="1" t="s">
        <v>57</v>
      </c>
      <c r="H673" s="4" t="str">
        <f>HYPERLINK("https://www.ncbi.nlm.nih.gov/geo/query/acc.cgi?acc=GSM308294","GSM308294")</f>
        <v>GSM308294</v>
      </c>
      <c r="I673" t="s">
        <v>17</v>
      </c>
      <c r="J673" t="s">
        <v>18</v>
      </c>
      <c r="K673" t="s">
        <v>19</v>
      </c>
      <c r="L673" t="s">
        <v>20</v>
      </c>
      <c r="M673" t="s">
        <v>47</v>
      </c>
      <c r="N673" t="s">
        <v>29</v>
      </c>
    </row>
    <row r="674" spans="1:14">
      <c r="A674" s="4" t="str">
        <f t="shared" si="50"/>
        <v>EXP00013</v>
      </c>
      <c r="B674" s="4" t="str">
        <f t="shared" si="51"/>
        <v>19421193</v>
      </c>
      <c r="C674" s="4" t="str">
        <f t="shared" si="52"/>
        <v>GSE12276</v>
      </c>
      <c r="D674" s="1" t="s">
        <v>45</v>
      </c>
      <c r="E674" t="s">
        <v>52</v>
      </c>
      <c r="F674" s="1">
        <v>4</v>
      </c>
      <c r="G674" s="1" t="s">
        <v>57</v>
      </c>
      <c r="H674" s="4" t="str">
        <f>HYPERLINK("https://www.ncbi.nlm.nih.gov/geo/query/acc.cgi?acc=GSM308295","GSM308295")</f>
        <v>GSM308295</v>
      </c>
      <c r="I674" t="s">
        <v>17</v>
      </c>
      <c r="J674" t="s">
        <v>18</v>
      </c>
      <c r="K674" t="s">
        <v>19</v>
      </c>
      <c r="L674" t="s">
        <v>20</v>
      </c>
      <c r="M674" t="s">
        <v>47</v>
      </c>
      <c r="N674" t="s">
        <v>29</v>
      </c>
    </row>
    <row r="675" spans="1:14">
      <c r="A675" s="4" t="str">
        <f t="shared" si="50"/>
        <v>EXP00013</v>
      </c>
      <c r="B675" s="4" t="str">
        <f t="shared" si="51"/>
        <v>19421193</v>
      </c>
      <c r="C675" s="4" t="str">
        <f t="shared" si="52"/>
        <v>GSE12276</v>
      </c>
      <c r="D675" s="1" t="s">
        <v>45</v>
      </c>
      <c r="E675" t="s">
        <v>52</v>
      </c>
      <c r="F675" s="1">
        <v>4</v>
      </c>
      <c r="G675" s="1" t="s">
        <v>57</v>
      </c>
      <c r="H675" s="4" t="str">
        <f>HYPERLINK("https://www.ncbi.nlm.nih.gov/geo/query/acc.cgi?acc=GSM308297","GSM308297")</f>
        <v>GSM308297</v>
      </c>
      <c r="I675" t="s">
        <v>17</v>
      </c>
      <c r="J675" t="s">
        <v>18</v>
      </c>
      <c r="K675" t="s">
        <v>19</v>
      </c>
      <c r="L675" t="s">
        <v>20</v>
      </c>
      <c r="M675" t="s">
        <v>47</v>
      </c>
      <c r="N675" t="s">
        <v>29</v>
      </c>
    </row>
    <row r="676" spans="1:14">
      <c r="A676" s="4" t="str">
        <f t="shared" si="50"/>
        <v>EXP00013</v>
      </c>
      <c r="B676" s="4" t="str">
        <f t="shared" si="51"/>
        <v>19421193</v>
      </c>
      <c r="C676" s="4" t="str">
        <f t="shared" si="52"/>
        <v>GSE12276</v>
      </c>
      <c r="D676" s="1" t="s">
        <v>45</v>
      </c>
      <c r="E676" t="s">
        <v>52</v>
      </c>
      <c r="F676" s="1">
        <v>4</v>
      </c>
      <c r="G676" s="1" t="s">
        <v>57</v>
      </c>
      <c r="H676" s="4" t="str">
        <f>HYPERLINK("https://www.ncbi.nlm.nih.gov/geo/query/acc.cgi?acc=GSM308298","GSM308298")</f>
        <v>GSM308298</v>
      </c>
      <c r="I676" t="s">
        <v>17</v>
      </c>
      <c r="J676" t="s">
        <v>18</v>
      </c>
      <c r="K676" t="s">
        <v>19</v>
      </c>
      <c r="L676" t="s">
        <v>20</v>
      </c>
      <c r="M676" t="s">
        <v>47</v>
      </c>
      <c r="N676" t="s">
        <v>29</v>
      </c>
    </row>
    <row r="677" spans="1:14">
      <c r="A677" s="4" t="str">
        <f t="shared" si="50"/>
        <v>EXP00013</v>
      </c>
      <c r="B677" s="4" t="str">
        <f t="shared" si="51"/>
        <v>19421193</v>
      </c>
      <c r="C677" s="4" t="str">
        <f t="shared" si="52"/>
        <v>GSE12276</v>
      </c>
      <c r="D677" s="1" t="s">
        <v>45</v>
      </c>
      <c r="E677" t="s">
        <v>52</v>
      </c>
      <c r="F677" s="1">
        <v>4</v>
      </c>
      <c r="G677" s="1" t="s">
        <v>57</v>
      </c>
      <c r="H677" s="4" t="str">
        <f>HYPERLINK("https://www.ncbi.nlm.nih.gov/geo/query/acc.cgi?acc=GSM308300","GSM308300")</f>
        <v>GSM308300</v>
      </c>
      <c r="I677" t="s">
        <v>17</v>
      </c>
      <c r="J677" t="s">
        <v>18</v>
      </c>
      <c r="K677" t="s">
        <v>19</v>
      </c>
      <c r="L677" t="s">
        <v>20</v>
      </c>
      <c r="M677" t="s">
        <v>47</v>
      </c>
      <c r="N677" t="s">
        <v>29</v>
      </c>
    </row>
    <row r="678" spans="1:14">
      <c r="A678" s="4" t="str">
        <f t="shared" si="50"/>
        <v>EXP00013</v>
      </c>
      <c r="B678" s="4" t="str">
        <f t="shared" si="51"/>
        <v>19421193</v>
      </c>
      <c r="C678" s="4" t="str">
        <f t="shared" si="52"/>
        <v>GSE12276</v>
      </c>
      <c r="D678" s="1" t="s">
        <v>45</v>
      </c>
      <c r="E678" t="s">
        <v>52</v>
      </c>
      <c r="F678" s="1">
        <v>4</v>
      </c>
      <c r="G678" s="1" t="s">
        <v>57</v>
      </c>
      <c r="H678" s="4" t="str">
        <f>HYPERLINK("https://www.ncbi.nlm.nih.gov/geo/query/acc.cgi?acc=GSM308302","GSM308302")</f>
        <v>GSM308302</v>
      </c>
      <c r="I678" t="s">
        <v>17</v>
      </c>
      <c r="J678" t="s">
        <v>18</v>
      </c>
      <c r="K678" t="s">
        <v>19</v>
      </c>
      <c r="L678" t="s">
        <v>20</v>
      </c>
      <c r="M678" t="s">
        <v>47</v>
      </c>
      <c r="N678" t="s">
        <v>29</v>
      </c>
    </row>
    <row r="679" spans="1:14">
      <c r="A679" s="4" t="str">
        <f t="shared" si="50"/>
        <v>EXP00013</v>
      </c>
      <c r="B679" s="4" t="str">
        <f t="shared" si="51"/>
        <v>19421193</v>
      </c>
      <c r="C679" s="4" t="str">
        <f t="shared" si="52"/>
        <v>GSE12276</v>
      </c>
      <c r="D679" s="1" t="s">
        <v>45</v>
      </c>
      <c r="E679" t="s">
        <v>52</v>
      </c>
      <c r="F679" s="1">
        <v>4</v>
      </c>
      <c r="G679" s="1" t="s">
        <v>57</v>
      </c>
      <c r="H679" s="4" t="str">
        <f>HYPERLINK("https://www.ncbi.nlm.nih.gov/geo/query/acc.cgi?acc=GSM308304","GSM308304")</f>
        <v>GSM308304</v>
      </c>
      <c r="I679" t="s">
        <v>17</v>
      </c>
      <c r="J679" t="s">
        <v>18</v>
      </c>
      <c r="K679" t="s">
        <v>19</v>
      </c>
      <c r="L679" t="s">
        <v>20</v>
      </c>
      <c r="M679" t="s">
        <v>47</v>
      </c>
      <c r="N679" t="s">
        <v>29</v>
      </c>
    </row>
    <row r="680" spans="1:14">
      <c r="A680" s="4" t="str">
        <f t="shared" si="50"/>
        <v>EXP00013</v>
      </c>
      <c r="B680" s="4" t="str">
        <f t="shared" si="51"/>
        <v>19421193</v>
      </c>
      <c r="C680" s="4" t="str">
        <f t="shared" si="52"/>
        <v>GSE12276</v>
      </c>
      <c r="D680" s="1" t="s">
        <v>45</v>
      </c>
      <c r="E680" t="s">
        <v>52</v>
      </c>
      <c r="F680" s="1">
        <v>4</v>
      </c>
      <c r="G680" s="1" t="s">
        <v>57</v>
      </c>
      <c r="H680" s="4" t="str">
        <f>HYPERLINK("https://www.ncbi.nlm.nih.gov/geo/query/acc.cgi?acc=GSM308305","GSM308305")</f>
        <v>GSM308305</v>
      </c>
      <c r="I680" t="s">
        <v>17</v>
      </c>
      <c r="J680" t="s">
        <v>18</v>
      </c>
      <c r="K680" t="s">
        <v>19</v>
      </c>
      <c r="L680" t="s">
        <v>20</v>
      </c>
      <c r="M680" t="s">
        <v>47</v>
      </c>
      <c r="N680" t="s">
        <v>29</v>
      </c>
    </row>
    <row r="681" spans="1:14">
      <c r="A681" s="4" t="str">
        <f t="shared" si="50"/>
        <v>EXP00013</v>
      </c>
      <c r="B681" s="4" t="str">
        <f t="shared" si="51"/>
        <v>19421193</v>
      </c>
      <c r="C681" s="4" t="str">
        <f t="shared" si="52"/>
        <v>GSE12276</v>
      </c>
      <c r="D681" s="1" t="s">
        <v>45</v>
      </c>
      <c r="E681" t="s">
        <v>52</v>
      </c>
      <c r="F681" s="1">
        <v>4</v>
      </c>
      <c r="G681" s="1" t="s">
        <v>57</v>
      </c>
      <c r="H681" s="4" t="str">
        <f>HYPERLINK("https://www.ncbi.nlm.nih.gov/geo/query/acc.cgi?acc=GSM308306","GSM308306")</f>
        <v>GSM308306</v>
      </c>
      <c r="I681" t="s">
        <v>17</v>
      </c>
      <c r="J681" t="s">
        <v>18</v>
      </c>
      <c r="K681" t="s">
        <v>19</v>
      </c>
      <c r="L681" t="s">
        <v>20</v>
      </c>
      <c r="M681" t="s">
        <v>47</v>
      </c>
      <c r="N681" t="s">
        <v>29</v>
      </c>
    </row>
    <row r="682" spans="1:14">
      <c r="A682" s="4" t="str">
        <f t="shared" si="50"/>
        <v>EXP00013</v>
      </c>
      <c r="B682" s="4" t="str">
        <f t="shared" si="51"/>
        <v>19421193</v>
      </c>
      <c r="C682" s="4" t="str">
        <f t="shared" si="52"/>
        <v>GSE12276</v>
      </c>
      <c r="D682" s="1" t="s">
        <v>45</v>
      </c>
      <c r="E682" t="s">
        <v>52</v>
      </c>
      <c r="F682" s="1">
        <v>4</v>
      </c>
      <c r="G682" s="1" t="s">
        <v>57</v>
      </c>
      <c r="H682" s="4" t="str">
        <f>HYPERLINK("https://www.ncbi.nlm.nih.gov/geo/query/acc.cgi?acc=GSM308308","GSM308308")</f>
        <v>GSM308308</v>
      </c>
      <c r="I682" t="s">
        <v>17</v>
      </c>
      <c r="J682" t="s">
        <v>18</v>
      </c>
      <c r="K682" t="s">
        <v>19</v>
      </c>
      <c r="L682" t="s">
        <v>20</v>
      </c>
      <c r="M682" t="s">
        <v>47</v>
      </c>
      <c r="N682" t="s">
        <v>29</v>
      </c>
    </row>
    <row r="683" spans="1:14">
      <c r="A683" s="4" t="str">
        <f t="shared" si="50"/>
        <v>EXP00013</v>
      </c>
      <c r="B683" s="4" t="str">
        <f t="shared" si="51"/>
        <v>19421193</v>
      </c>
      <c r="C683" s="4" t="str">
        <f t="shared" si="52"/>
        <v>GSE12276</v>
      </c>
      <c r="D683" s="1" t="s">
        <v>45</v>
      </c>
      <c r="E683" t="s">
        <v>52</v>
      </c>
      <c r="F683" s="1">
        <v>4</v>
      </c>
      <c r="G683" s="1" t="s">
        <v>57</v>
      </c>
      <c r="H683" s="4" t="str">
        <f>HYPERLINK("https://www.ncbi.nlm.nih.gov/geo/query/acc.cgi?acc=GSM308309","GSM308309")</f>
        <v>GSM308309</v>
      </c>
      <c r="I683" t="s">
        <v>17</v>
      </c>
      <c r="J683" t="s">
        <v>18</v>
      </c>
      <c r="K683" t="s">
        <v>19</v>
      </c>
      <c r="L683" t="s">
        <v>20</v>
      </c>
      <c r="M683" t="s">
        <v>47</v>
      </c>
      <c r="N683" t="s">
        <v>29</v>
      </c>
    </row>
    <row r="684" spans="1:14">
      <c r="A684" s="4" t="str">
        <f t="shared" si="50"/>
        <v>EXP00013</v>
      </c>
      <c r="B684" s="4" t="str">
        <f t="shared" si="51"/>
        <v>19421193</v>
      </c>
      <c r="C684" s="4" t="str">
        <f t="shared" si="52"/>
        <v>GSE12276</v>
      </c>
      <c r="D684" s="1" t="s">
        <v>45</v>
      </c>
      <c r="E684" t="s">
        <v>52</v>
      </c>
      <c r="F684" s="1">
        <v>4</v>
      </c>
      <c r="G684" s="1" t="s">
        <v>57</v>
      </c>
      <c r="H684" s="4" t="str">
        <f>HYPERLINK("https://www.ncbi.nlm.nih.gov/geo/query/acc.cgi?acc=GSM308311","GSM308311")</f>
        <v>GSM308311</v>
      </c>
      <c r="I684" t="s">
        <v>17</v>
      </c>
      <c r="J684" t="s">
        <v>18</v>
      </c>
      <c r="K684" t="s">
        <v>19</v>
      </c>
      <c r="L684" t="s">
        <v>20</v>
      </c>
      <c r="M684" t="s">
        <v>47</v>
      </c>
      <c r="N684" t="s">
        <v>29</v>
      </c>
    </row>
    <row r="685" spans="1:14">
      <c r="A685" s="4" t="str">
        <f t="shared" si="50"/>
        <v>EXP00013</v>
      </c>
      <c r="B685" s="4" t="str">
        <f t="shared" si="51"/>
        <v>19421193</v>
      </c>
      <c r="C685" s="4" t="str">
        <f t="shared" si="52"/>
        <v>GSE12276</v>
      </c>
      <c r="D685" s="1" t="s">
        <v>45</v>
      </c>
      <c r="E685" t="s">
        <v>52</v>
      </c>
      <c r="F685" s="1">
        <v>4</v>
      </c>
      <c r="G685" s="1" t="s">
        <v>57</v>
      </c>
      <c r="H685" s="4" t="str">
        <f>HYPERLINK("https://www.ncbi.nlm.nih.gov/geo/query/acc.cgi?acc=GSM308313","GSM308313")</f>
        <v>GSM308313</v>
      </c>
      <c r="I685" t="s">
        <v>17</v>
      </c>
      <c r="J685" t="s">
        <v>18</v>
      </c>
      <c r="K685" t="s">
        <v>19</v>
      </c>
      <c r="L685" t="s">
        <v>20</v>
      </c>
      <c r="M685" t="s">
        <v>47</v>
      </c>
      <c r="N685" t="s">
        <v>29</v>
      </c>
    </row>
    <row r="686" spans="1:14">
      <c r="A686" s="4" t="str">
        <f t="shared" si="50"/>
        <v>EXP00013</v>
      </c>
      <c r="B686" s="4" t="str">
        <f t="shared" si="51"/>
        <v>19421193</v>
      </c>
      <c r="C686" s="4" t="str">
        <f t="shared" si="52"/>
        <v>GSE12276</v>
      </c>
      <c r="D686" s="1" t="s">
        <v>45</v>
      </c>
      <c r="E686" t="s">
        <v>52</v>
      </c>
      <c r="F686" s="1">
        <v>4</v>
      </c>
      <c r="G686" s="1" t="s">
        <v>57</v>
      </c>
      <c r="H686" s="4" t="str">
        <f>HYPERLINK("https://www.ncbi.nlm.nih.gov/geo/query/acc.cgi?acc=GSM308314","GSM308314")</f>
        <v>GSM308314</v>
      </c>
      <c r="I686" t="s">
        <v>17</v>
      </c>
      <c r="J686" t="s">
        <v>18</v>
      </c>
      <c r="K686" t="s">
        <v>19</v>
      </c>
      <c r="L686" t="s">
        <v>20</v>
      </c>
      <c r="M686" t="s">
        <v>47</v>
      </c>
      <c r="N686" t="s">
        <v>29</v>
      </c>
    </row>
    <row r="687" spans="1:14">
      <c r="A687" s="4" t="str">
        <f t="shared" si="50"/>
        <v>EXP00013</v>
      </c>
      <c r="B687" s="4" t="str">
        <f t="shared" si="51"/>
        <v>19421193</v>
      </c>
      <c r="C687" s="4" t="str">
        <f t="shared" si="52"/>
        <v>GSE12276</v>
      </c>
      <c r="D687" s="1" t="s">
        <v>45</v>
      </c>
      <c r="E687" t="s">
        <v>52</v>
      </c>
      <c r="F687" s="1">
        <v>4</v>
      </c>
      <c r="G687" s="1" t="s">
        <v>57</v>
      </c>
      <c r="H687" s="4" t="str">
        <f>HYPERLINK("https://www.ncbi.nlm.nih.gov/geo/query/acc.cgi?acc=GSM308315","GSM308315")</f>
        <v>GSM308315</v>
      </c>
      <c r="I687" t="s">
        <v>17</v>
      </c>
      <c r="J687" t="s">
        <v>18</v>
      </c>
      <c r="K687" t="s">
        <v>19</v>
      </c>
      <c r="L687" t="s">
        <v>20</v>
      </c>
      <c r="M687" t="s">
        <v>47</v>
      </c>
      <c r="N687" t="s">
        <v>29</v>
      </c>
    </row>
    <row r="688" spans="1:14">
      <c r="A688" s="4" t="str">
        <f t="shared" si="50"/>
        <v>EXP00013</v>
      </c>
      <c r="B688" s="4" t="str">
        <f t="shared" si="51"/>
        <v>19421193</v>
      </c>
      <c r="C688" s="4" t="str">
        <f t="shared" si="52"/>
        <v>GSE12276</v>
      </c>
      <c r="D688" s="1" t="s">
        <v>45</v>
      </c>
      <c r="E688" t="s">
        <v>52</v>
      </c>
      <c r="F688" s="1">
        <v>4</v>
      </c>
      <c r="G688" s="1" t="s">
        <v>57</v>
      </c>
      <c r="H688" s="4" t="str">
        <f>HYPERLINK("https://www.ncbi.nlm.nih.gov/geo/query/acc.cgi?acc=GSM308318","GSM308318")</f>
        <v>GSM308318</v>
      </c>
      <c r="I688" t="s">
        <v>17</v>
      </c>
      <c r="J688" t="s">
        <v>18</v>
      </c>
      <c r="K688" t="s">
        <v>19</v>
      </c>
      <c r="L688" t="s">
        <v>20</v>
      </c>
      <c r="M688" t="s">
        <v>47</v>
      </c>
      <c r="N688" t="s">
        <v>29</v>
      </c>
    </row>
    <row r="689" spans="1:14">
      <c r="A689" s="4" t="str">
        <f t="shared" si="50"/>
        <v>EXP00013</v>
      </c>
      <c r="B689" s="4" t="str">
        <f t="shared" si="51"/>
        <v>19421193</v>
      </c>
      <c r="C689" s="4" t="str">
        <f t="shared" si="52"/>
        <v>GSE12276</v>
      </c>
      <c r="D689" s="1" t="s">
        <v>45</v>
      </c>
      <c r="E689" t="s">
        <v>52</v>
      </c>
      <c r="F689" s="1">
        <v>4</v>
      </c>
      <c r="G689" s="1" t="s">
        <v>57</v>
      </c>
      <c r="H689" s="4" t="str">
        <f>HYPERLINK("https://www.ncbi.nlm.nih.gov/geo/query/acc.cgi?acc=GSM308319","GSM308319")</f>
        <v>GSM308319</v>
      </c>
      <c r="I689" t="s">
        <v>17</v>
      </c>
      <c r="J689" t="s">
        <v>18</v>
      </c>
      <c r="K689" t="s">
        <v>19</v>
      </c>
      <c r="L689" t="s">
        <v>20</v>
      </c>
      <c r="M689" t="s">
        <v>47</v>
      </c>
      <c r="N689" t="s">
        <v>29</v>
      </c>
    </row>
    <row r="690" spans="1:14">
      <c r="A690" s="4" t="str">
        <f t="shared" si="50"/>
        <v>EXP00013</v>
      </c>
      <c r="B690" s="4" t="str">
        <f t="shared" si="51"/>
        <v>19421193</v>
      </c>
      <c r="C690" s="4" t="str">
        <f t="shared" si="52"/>
        <v>GSE12276</v>
      </c>
      <c r="D690" s="1" t="s">
        <v>45</v>
      </c>
      <c r="E690" t="s">
        <v>52</v>
      </c>
      <c r="F690" s="1">
        <v>4</v>
      </c>
      <c r="G690" s="1" t="s">
        <v>57</v>
      </c>
      <c r="H690" s="4" t="str">
        <f>HYPERLINK("https://www.ncbi.nlm.nih.gov/geo/query/acc.cgi?acc=GSM308320","GSM308320")</f>
        <v>GSM308320</v>
      </c>
      <c r="I690" t="s">
        <v>17</v>
      </c>
      <c r="J690" t="s">
        <v>18</v>
      </c>
      <c r="K690" t="s">
        <v>19</v>
      </c>
      <c r="L690" t="s">
        <v>20</v>
      </c>
      <c r="M690" t="s">
        <v>47</v>
      </c>
      <c r="N690" t="s">
        <v>29</v>
      </c>
    </row>
    <row r="691" spans="1:14">
      <c r="A691" s="4" t="str">
        <f t="shared" si="50"/>
        <v>EXP00013</v>
      </c>
      <c r="B691" s="4" t="str">
        <f t="shared" si="51"/>
        <v>19421193</v>
      </c>
      <c r="C691" s="4" t="str">
        <f t="shared" si="52"/>
        <v>GSE12276</v>
      </c>
      <c r="D691" s="1" t="s">
        <v>45</v>
      </c>
      <c r="E691" t="s">
        <v>52</v>
      </c>
      <c r="F691" s="1">
        <v>4</v>
      </c>
      <c r="G691" s="1" t="s">
        <v>57</v>
      </c>
      <c r="H691" s="4" t="str">
        <f>HYPERLINK("https://www.ncbi.nlm.nih.gov/geo/query/acc.cgi?acc=GSM308321","GSM308321")</f>
        <v>GSM308321</v>
      </c>
      <c r="I691" t="s">
        <v>17</v>
      </c>
      <c r="J691" t="s">
        <v>18</v>
      </c>
      <c r="K691" t="s">
        <v>19</v>
      </c>
      <c r="L691" t="s">
        <v>20</v>
      </c>
      <c r="M691" t="s">
        <v>47</v>
      </c>
      <c r="N691" t="s">
        <v>29</v>
      </c>
    </row>
    <row r="692" spans="1:14">
      <c r="A692" s="4" t="str">
        <f t="shared" si="50"/>
        <v>EXP00013</v>
      </c>
      <c r="B692" s="4" t="str">
        <f t="shared" si="51"/>
        <v>19421193</v>
      </c>
      <c r="C692" s="4" t="str">
        <f t="shared" si="52"/>
        <v>GSE12276</v>
      </c>
      <c r="D692" s="1" t="s">
        <v>45</v>
      </c>
      <c r="E692" t="s">
        <v>52</v>
      </c>
      <c r="F692" s="1">
        <v>4</v>
      </c>
      <c r="G692" s="1" t="s">
        <v>57</v>
      </c>
      <c r="H692" s="4" t="str">
        <f>HYPERLINK("https://www.ncbi.nlm.nih.gov/geo/query/acc.cgi?acc=GSM308322","GSM308322")</f>
        <v>GSM308322</v>
      </c>
      <c r="I692" t="s">
        <v>17</v>
      </c>
      <c r="J692" t="s">
        <v>18</v>
      </c>
      <c r="K692" t="s">
        <v>19</v>
      </c>
      <c r="L692" t="s">
        <v>20</v>
      </c>
      <c r="M692" t="s">
        <v>47</v>
      </c>
      <c r="N692" t="s">
        <v>29</v>
      </c>
    </row>
    <row r="693" spans="1:14">
      <c r="A693" s="4" t="str">
        <f t="shared" si="50"/>
        <v>EXP00013</v>
      </c>
      <c r="B693" s="4" t="str">
        <f t="shared" si="51"/>
        <v>19421193</v>
      </c>
      <c r="C693" s="4" t="str">
        <f t="shared" si="52"/>
        <v>GSE12276</v>
      </c>
      <c r="D693" s="1" t="s">
        <v>45</v>
      </c>
      <c r="E693" t="s">
        <v>52</v>
      </c>
      <c r="F693" s="1">
        <v>4</v>
      </c>
      <c r="G693" s="1" t="s">
        <v>57</v>
      </c>
      <c r="H693" s="4" t="str">
        <f>HYPERLINK("https://www.ncbi.nlm.nih.gov/geo/query/acc.cgi?acc=GSM308323","GSM308323")</f>
        <v>GSM308323</v>
      </c>
      <c r="I693" t="s">
        <v>17</v>
      </c>
      <c r="J693" t="s">
        <v>18</v>
      </c>
      <c r="K693" t="s">
        <v>19</v>
      </c>
      <c r="L693" t="s">
        <v>20</v>
      </c>
      <c r="M693" t="s">
        <v>47</v>
      </c>
      <c r="N693" t="s">
        <v>29</v>
      </c>
    </row>
    <row r="694" spans="1:14">
      <c r="A694" s="4" t="str">
        <f t="shared" si="50"/>
        <v>EXP00013</v>
      </c>
      <c r="B694" s="4" t="str">
        <f t="shared" si="51"/>
        <v>19421193</v>
      </c>
      <c r="C694" s="4" t="str">
        <f t="shared" si="52"/>
        <v>GSE12276</v>
      </c>
      <c r="D694" s="1" t="s">
        <v>45</v>
      </c>
      <c r="E694" t="s">
        <v>52</v>
      </c>
      <c r="F694" s="1">
        <v>4</v>
      </c>
      <c r="G694" s="1" t="s">
        <v>57</v>
      </c>
      <c r="H694" s="4" t="str">
        <f>HYPERLINK("https://www.ncbi.nlm.nih.gov/geo/query/acc.cgi?acc=GSM308324","GSM308324")</f>
        <v>GSM308324</v>
      </c>
      <c r="I694" t="s">
        <v>17</v>
      </c>
      <c r="J694" t="s">
        <v>18</v>
      </c>
      <c r="K694" t="s">
        <v>19</v>
      </c>
      <c r="L694" t="s">
        <v>20</v>
      </c>
      <c r="M694" t="s">
        <v>47</v>
      </c>
      <c r="N694" t="s">
        <v>29</v>
      </c>
    </row>
    <row r="695" spans="1:14">
      <c r="A695" s="4" t="str">
        <f t="shared" si="50"/>
        <v>EXP00013</v>
      </c>
      <c r="B695" s="4" t="str">
        <f t="shared" si="51"/>
        <v>19421193</v>
      </c>
      <c r="C695" s="4" t="str">
        <f t="shared" si="52"/>
        <v>GSE12276</v>
      </c>
      <c r="D695" s="1" t="s">
        <v>45</v>
      </c>
      <c r="E695" t="s">
        <v>52</v>
      </c>
      <c r="F695" s="1">
        <v>4</v>
      </c>
      <c r="G695" s="1" t="s">
        <v>57</v>
      </c>
      <c r="H695" s="4" t="str">
        <f>HYPERLINK("https://www.ncbi.nlm.nih.gov/geo/query/acc.cgi?acc=GSM308325","GSM308325")</f>
        <v>GSM308325</v>
      </c>
      <c r="I695" t="s">
        <v>17</v>
      </c>
      <c r="J695" t="s">
        <v>18</v>
      </c>
      <c r="K695" t="s">
        <v>19</v>
      </c>
      <c r="L695" t="s">
        <v>20</v>
      </c>
      <c r="M695" t="s">
        <v>47</v>
      </c>
      <c r="N695" t="s">
        <v>29</v>
      </c>
    </row>
    <row r="696" spans="1:14">
      <c r="A696" s="4" t="str">
        <f t="shared" si="50"/>
        <v>EXP00013</v>
      </c>
      <c r="B696" s="4" t="str">
        <f t="shared" si="51"/>
        <v>19421193</v>
      </c>
      <c r="C696" s="4" t="str">
        <f t="shared" si="52"/>
        <v>GSE12276</v>
      </c>
      <c r="D696" s="1" t="s">
        <v>45</v>
      </c>
      <c r="E696" t="s">
        <v>52</v>
      </c>
      <c r="F696" s="1">
        <v>4</v>
      </c>
      <c r="G696" s="1" t="s">
        <v>57</v>
      </c>
      <c r="H696" s="4" t="str">
        <f>HYPERLINK("https://www.ncbi.nlm.nih.gov/geo/query/acc.cgi?acc=GSM308328","GSM308328")</f>
        <v>GSM308328</v>
      </c>
      <c r="I696" t="s">
        <v>17</v>
      </c>
      <c r="J696" t="s">
        <v>18</v>
      </c>
      <c r="K696" t="s">
        <v>19</v>
      </c>
      <c r="L696" t="s">
        <v>20</v>
      </c>
      <c r="M696" t="s">
        <v>47</v>
      </c>
      <c r="N696" t="s">
        <v>29</v>
      </c>
    </row>
    <row r="697" spans="1:14">
      <c r="A697" s="4" t="str">
        <f t="shared" si="50"/>
        <v>EXP00013</v>
      </c>
      <c r="B697" s="4" t="str">
        <f t="shared" si="51"/>
        <v>19421193</v>
      </c>
      <c r="C697" s="4" t="str">
        <f t="shared" si="52"/>
        <v>GSE12276</v>
      </c>
      <c r="D697" s="1" t="s">
        <v>45</v>
      </c>
      <c r="E697" t="s">
        <v>52</v>
      </c>
      <c r="F697" s="1">
        <v>4</v>
      </c>
      <c r="G697" s="1" t="s">
        <v>57</v>
      </c>
      <c r="H697" s="4" t="str">
        <f>HYPERLINK("https://www.ncbi.nlm.nih.gov/geo/query/acc.cgi?acc=GSM308330","GSM308330")</f>
        <v>GSM308330</v>
      </c>
      <c r="I697" t="s">
        <v>17</v>
      </c>
      <c r="J697" t="s">
        <v>18</v>
      </c>
      <c r="K697" t="s">
        <v>19</v>
      </c>
      <c r="L697" t="s">
        <v>20</v>
      </c>
      <c r="M697" t="s">
        <v>47</v>
      </c>
      <c r="N697" t="s">
        <v>29</v>
      </c>
    </row>
    <row r="698" spans="1:14">
      <c r="A698" s="4" t="str">
        <f t="shared" si="50"/>
        <v>EXP00013</v>
      </c>
      <c r="B698" s="4" t="str">
        <f t="shared" si="51"/>
        <v>19421193</v>
      </c>
      <c r="C698" s="4" t="str">
        <f t="shared" si="52"/>
        <v>GSE12276</v>
      </c>
      <c r="D698" s="1" t="s">
        <v>45</v>
      </c>
      <c r="E698" t="s">
        <v>52</v>
      </c>
      <c r="F698" s="1">
        <v>4</v>
      </c>
      <c r="G698" s="1" t="s">
        <v>57</v>
      </c>
      <c r="H698" s="4" t="str">
        <f>HYPERLINK("https://www.ncbi.nlm.nih.gov/geo/query/acc.cgi?acc=GSM308331","GSM308331")</f>
        <v>GSM308331</v>
      </c>
      <c r="I698" t="s">
        <v>17</v>
      </c>
      <c r="J698" t="s">
        <v>18</v>
      </c>
      <c r="K698" t="s">
        <v>19</v>
      </c>
      <c r="L698" t="s">
        <v>20</v>
      </c>
      <c r="M698" t="s">
        <v>47</v>
      </c>
      <c r="N698" t="s">
        <v>29</v>
      </c>
    </row>
    <row r="699" spans="1:14">
      <c r="A699" s="4" t="str">
        <f t="shared" si="50"/>
        <v>EXP00013</v>
      </c>
      <c r="B699" s="4" t="str">
        <f t="shared" si="51"/>
        <v>19421193</v>
      </c>
      <c r="C699" s="4" t="str">
        <f t="shared" si="52"/>
        <v>GSE12276</v>
      </c>
      <c r="D699" s="1" t="s">
        <v>45</v>
      </c>
      <c r="E699" t="s">
        <v>52</v>
      </c>
      <c r="F699" s="1">
        <v>4</v>
      </c>
      <c r="G699" s="1" t="s">
        <v>57</v>
      </c>
      <c r="H699" s="4" t="str">
        <f>HYPERLINK("https://www.ncbi.nlm.nih.gov/geo/query/acc.cgi?acc=GSM308332","GSM308332")</f>
        <v>GSM308332</v>
      </c>
      <c r="I699" t="s">
        <v>17</v>
      </c>
      <c r="J699" t="s">
        <v>18</v>
      </c>
      <c r="K699" t="s">
        <v>19</v>
      </c>
      <c r="L699" t="s">
        <v>20</v>
      </c>
      <c r="M699" t="s">
        <v>47</v>
      </c>
      <c r="N699" t="s">
        <v>29</v>
      </c>
    </row>
    <row r="700" spans="1:14">
      <c r="A700" s="4" t="str">
        <f t="shared" si="50"/>
        <v>EXP00013</v>
      </c>
      <c r="B700" s="4" t="str">
        <f t="shared" si="51"/>
        <v>19421193</v>
      </c>
      <c r="C700" s="4" t="str">
        <f t="shared" si="52"/>
        <v>GSE12276</v>
      </c>
      <c r="D700" s="1" t="s">
        <v>45</v>
      </c>
      <c r="E700" t="s">
        <v>52</v>
      </c>
      <c r="F700" s="1">
        <v>4</v>
      </c>
      <c r="G700" s="1" t="s">
        <v>57</v>
      </c>
      <c r="H700" s="4" t="str">
        <f>HYPERLINK("https://www.ncbi.nlm.nih.gov/geo/query/acc.cgi?acc=GSM308333","GSM308333")</f>
        <v>GSM308333</v>
      </c>
      <c r="I700" t="s">
        <v>17</v>
      </c>
      <c r="J700" t="s">
        <v>18</v>
      </c>
      <c r="K700" t="s">
        <v>19</v>
      </c>
      <c r="L700" t="s">
        <v>20</v>
      </c>
      <c r="M700" t="s">
        <v>47</v>
      </c>
      <c r="N700" t="s">
        <v>29</v>
      </c>
    </row>
    <row r="701" spans="1:14">
      <c r="A701" s="4" t="str">
        <f t="shared" si="50"/>
        <v>EXP00013</v>
      </c>
      <c r="B701" s="4" t="str">
        <f t="shared" si="51"/>
        <v>19421193</v>
      </c>
      <c r="C701" s="4" t="str">
        <f t="shared" si="52"/>
        <v>GSE12276</v>
      </c>
      <c r="D701" s="1" t="s">
        <v>45</v>
      </c>
      <c r="E701" t="s">
        <v>52</v>
      </c>
      <c r="F701" s="1">
        <v>4</v>
      </c>
      <c r="G701" s="1" t="s">
        <v>57</v>
      </c>
      <c r="H701" s="4" t="str">
        <f>HYPERLINK("https://www.ncbi.nlm.nih.gov/geo/query/acc.cgi?acc=GSM308335","GSM308335")</f>
        <v>GSM308335</v>
      </c>
      <c r="I701" t="s">
        <v>17</v>
      </c>
      <c r="J701" t="s">
        <v>18</v>
      </c>
      <c r="K701" t="s">
        <v>19</v>
      </c>
      <c r="L701" t="s">
        <v>20</v>
      </c>
      <c r="M701" t="s">
        <v>47</v>
      </c>
      <c r="N701" t="s">
        <v>29</v>
      </c>
    </row>
    <row r="702" spans="1:14">
      <c r="A702" s="4" t="str">
        <f t="shared" si="50"/>
        <v>EXP00013</v>
      </c>
      <c r="B702" s="4" t="str">
        <f t="shared" si="51"/>
        <v>19421193</v>
      </c>
      <c r="C702" s="4" t="str">
        <f t="shared" si="52"/>
        <v>GSE12276</v>
      </c>
      <c r="D702" s="1" t="s">
        <v>45</v>
      </c>
      <c r="E702" t="s">
        <v>52</v>
      </c>
      <c r="F702" s="1">
        <v>4</v>
      </c>
      <c r="G702" s="1" t="s">
        <v>57</v>
      </c>
      <c r="H702" s="4" t="str">
        <f>HYPERLINK("https://www.ncbi.nlm.nih.gov/geo/query/acc.cgi?acc=GSM308336","GSM308336")</f>
        <v>GSM308336</v>
      </c>
      <c r="I702" t="s">
        <v>17</v>
      </c>
      <c r="J702" t="s">
        <v>18</v>
      </c>
      <c r="K702" t="s">
        <v>19</v>
      </c>
      <c r="L702" t="s">
        <v>20</v>
      </c>
      <c r="M702" t="s">
        <v>47</v>
      </c>
      <c r="N702" t="s">
        <v>29</v>
      </c>
    </row>
    <row r="703" spans="1:14">
      <c r="A703" s="4" t="str">
        <f t="shared" si="50"/>
        <v>EXP00013</v>
      </c>
      <c r="B703" s="4" t="str">
        <f t="shared" si="51"/>
        <v>19421193</v>
      </c>
      <c r="C703" s="4" t="str">
        <f t="shared" si="52"/>
        <v>GSE12276</v>
      </c>
      <c r="D703" s="1" t="s">
        <v>45</v>
      </c>
      <c r="E703" t="s">
        <v>52</v>
      </c>
      <c r="F703" s="1">
        <v>4</v>
      </c>
      <c r="G703" s="1" t="s">
        <v>57</v>
      </c>
      <c r="H703" s="4" t="str">
        <f>HYPERLINK("https://www.ncbi.nlm.nih.gov/geo/query/acc.cgi?acc=GSM308338","GSM308338")</f>
        <v>GSM308338</v>
      </c>
      <c r="I703" t="s">
        <v>17</v>
      </c>
      <c r="J703" t="s">
        <v>18</v>
      </c>
      <c r="K703" t="s">
        <v>19</v>
      </c>
      <c r="L703" t="s">
        <v>20</v>
      </c>
      <c r="M703" t="s">
        <v>47</v>
      </c>
      <c r="N703" t="s">
        <v>29</v>
      </c>
    </row>
    <row r="704" spans="1:14">
      <c r="A704" s="4" t="str">
        <f t="shared" si="50"/>
        <v>EXP00013</v>
      </c>
      <c r="B704" s="4" t="str">
        <f t="shared" si="51"/>
        <v>19421193</v>
      </c>
      <c r="C704" s="4" t="str">
        <f t="shared" si="52"/>
        <v>GSE12276</v>
      </c>
      <c r="D704" s="1" t="s">
        <v>45</v>
      </c>
      <c r="E704" t="s">
        <v>52</v>
      </c>
      <c r="F704" s="1">
        <v>4</v>
      </c>
      <c r="G704" s="1" t="s">
        <v>57</v>
      </c>
      <c r="H704" s="4" t="str">
        <f>HYPERLINK("https://www.ncbi.nlm.nih.gov/geo/query/acc.cgi?acc=GSM308339","GSM308339")</f>
        <v>GSM308339</v>
      </c>
      <c r="I704" t="s">
        <v>17</v>
      </c>
      <c r="J704" t="s">
        <v>18</v>
      </c>
      <c r="K704" t="s">
        <v>19</v>
      </c>
      <c r="L704" t="s">
        <v>20</v>
      </c>
      <c r="M704" t="s">
        <v>47</v>
      </c>
      <c r="N704" t="s">
        <v>29</v>
      </c>
    </row>
    <row r="705" spans="1:14">
      <c r="A705" s="4" t="str">
        <f t="shared" si="50"/>
        <v>EXP00013</v>
      </c>
      <c r="B705" s="4" t="str">
        <f t="shared" si="51"/>
        <v>19421193</v>
      </c>
      <c r="C705" s="4" t="str">
        <f t="shared" si="52"/>
        <v>GSE12276</v>
      </c>
      <c r="D705" s="1" t="s">
        <v>45</v>
      </c>
      <c r="E705" t="s">
        <v>52</v>
      </c>
      <c r="F705" s="1">
        <v>4</v>
      </c>
      <c r="G705" s="1" t="s">
        <v>57</v>
      </c>
      <c r="H705" s="4" t="str">
        <f>HYPERLINK("https://www.ncbi.nlm.nih.gov/geo/query/acc.cgi?acc=GSM308340","GSM308340")</f>
        <v>GSM308340</v>
      </c>
      <c r="I705" t="s">
        <v>17</v>
      </c>
      <c r="J705" t="s">
        <v>18</v>
      </c>
      <c r="K705" t="s">
        <v>19</v>
      </c>
      <c r="L705" t="s">
        <v>20</v>
      </c>
      <c r="M705" t="s">
        <v>47</v>
      </c>
      <c r="N705" t="s">
        <v>29</v>
      </c>
    </row>
    <row r="706" spans="1:14">
      <c r="A706" s="4" t="str">
        <f t="shared" si="50"/>
        <v>EXP00013</v>
      </c>
      <c r="B706" s="4" t="str">
        <f t="shared" si="51"/>
        <v>19421193</v>
      </c>
      <c r="C706" s="4" t="str">
        <f t="shared" si="52"/>
        <v>GSE12276</v>
      </c>
      <c r="D706" s="1" t="s">
        <v>45</v>
      </c>
      <c r="E706" t="s">
        <v>52</v>
      </c>
      <c r="F706" s="1">
        <v>4</v>
      </c>
      <c r="G706" s="1" t="s">
        <v>57</v>
      </c>
      <c r="H706" s="4" t="str">
        <f>HYPERLINK("https://www.ncbi.nlm.nih.gov/geo/query/acc.cgi?acc=GSM308342","GSM308342")</f>
        <v>GSM308342</v>
      </c>
      <c r="I706" t="s">
        <v>17</v>
      </c>
      <c r="J706" t="s">
        <v>18</v>
      </c>
      <c r="K706" t="s">
        <v>19</v>
      </c>
      <c r="L706" t="s">
        <v>20</v>
      </c>
      <c r="M706" t="s">
        <v>47</v>
      </c>
      <c r="N706" t="s">
        <v>29</v>
      </c>
    </row>
    <row r="707" spans="1:14">
      <c r="A707" s="4" t="str">
        <f t="shared" si="50"/>
        <v>EXP00013</v>
      </c>
      <c r="B707" s="4" t="str">
        <f t="shared" si="51"/>
        <v>19421193</v>
      </c>
      <c r="C707" s="4" t="str">
        <f t="shared" si="52"/>
        <v>GSE12276</v>
      </c>
      <c r="D707" s="1" t="s">
        <v>45</v>
      </c>
      <c r="E707" t="s">
        <v>52</v>
      </c>
      <c r="F707" s="1">
        <v>4</v>
      </c>
      <c r="G707" s="1" t="s">
        <v>57</v>
      </c>
      <c r="H707" s="4" t="str">
        <f>HYPERLINK("https://www.ncbi.nlm.nih.gov/geo/query/acc.cgi?acc=GSM308343","GSM308343")</f>
        <v>GSM308343</v>
      </c>
      <c r="I707" t="s">
        <v>17</v>
      </c>
      <c r="J707" t="s">
        <v>18</v>
      </c>
      <c r="K707" t="s">
        <v>19</v>
      </c>
      <c r="L707" t="s">
        <v>20</v>
      </c>
      <c r="M707" t="s">
        <v>47</v>
      </c>
      <c r="N707" t="s">
        <v>29</v>
      </c>
    </row>
    <row r="708" spans="1:14">
      <c r="A708" s="4" t="str">
        <f t="shared" si="50"/>
        <v>EXP00013</v>
      </c>
      <c r="B708" s="4" t="str">
        <f t="shared" si="51"/>
        <v>19421193</v>
      </c>
      <c r="C708" s="4" t="str">
        <f t="shared" si="52"/>
        <v>GSE12276</v>
      </c>
      <c r="D708" s="1" t="s">
        <v>45</v>
      </c>
      <c r="E708" t="s">
        <v>52</v>
      </c>
      <c r="F708" s="1">
        <v>4</v>
      </c>
      <c r="G708" s="1" t="s">
        <v>57</v>
      </c>
      <c r="H708" s="4" t="str">
        <f>HYPERLINK("https://www.ncbi.nlm.nih.gov/geo/query/acc.cgi?acc=GSM308344","GSM308344")</f>
        <v>GSM308344</v>
      </c>
      <c r="I708" t="s">
        <v>17</v>
      </c>
      <c r="J708" t="s">
        <v>18</v>
      </c>
      <c r="K708" t="s">
        <v>19</v>
      </c>
      <c r="L708" t="s">
        <v>20</v>
      </c>
      <c r="M708" t="s">
        <v>47</v>
      </c>
      <c r="N708" t="s">
        <v>29</v>
      </c>
    </row>
    <row r="709" spans="1:14">
      <c r="A709" s="4" t="str">
        <f t="shared" si="50"/>
        <v>EXP00013</v>
      </c>
      <c r="B709" s="4" t="str">
        <f t="shared" si="51"/>
        <v>19421193</v>
      </c>
      <c r="C709" s="4" t="str">
        <f t="shared" si="52"/>
        <v>GSE12276</v>
      </c>
      <c r="D709" s="1" t="s">
        <v>45</v>
      </c>
      <c r="E709" t="s">
        <v>52</v>
      </c>
      <c r="F709" s="1">
        <v>4</v>
      </c>
      <c r="G709" s="1" t="s">
        <v>57</v>
      </c>
      <c r="H709" s="4" t="str">
        <f>HYPERLINK("https://www.ncbi.nlm.nih.gov/geo/query/acc.cgi?acc=GSM308345","GSM308345")</f>
        <v>GSM308345</v>
      </c>
      <c r="I709" t="s">
        <v>17</v>
      </c>
      <c r="J709" t="s">
        <v>18</v>
      </c>
      <c r="K709" t="s">
        <v>19</v>
      </c>
      <c r="L709" t="s">
        <v>20</v>
      </c>
      <c r="M709" t="s">
        <v>47</v>
      </c>
      <c r="N709" t="s">
        <v>29</v>
      </c>
    </row>
    <row r="710" spans="1:14">
      <c r="A710" s="4" t="str">
        <f t="shared" si="50"/>
        <v>EXP00013</v>
      </c>
      <c r="B710" s="4" t="str">
        <f t="shared" si="51"/>
        <v>19421193</v>
      </c>
      <c r="C710" s="4" t="str">
        <f t="shared" si="52"/>
        <v>GSE12276</v>
      </c>
      <c r="D710" s="1" t="s">
        <v>45</v>
      </c>
      <c r="E710" t="s">
        <v>52</v>
      </c>
      <c r="F710" s="1">
        <v>4</v>
      </c>
      <c r="G710" s="1" t="s">
        <v>57</v>
      </c>
      <c r="H710" s="4" t="str">
        <f>HYPERLINK("https://www.ncbi.nlm.nih.gov/geo/query/acc.cgi?acc=GSM308346","GSM308346")</f>
        <v>GSM308346</v>
      </c>
      <c r="I710" t="s">
        <v>17</v>
      </c>
      <c r="J710" t="s">
        <v>18</v>
      </c>
      <c r="K710" t="s">
        <v>19</v>
      </c>
      <c r="L710" t="s">
        <v>20</v>
      </c>
      <c r="M710" t="s">
        <v>47</v>
      </c>
      <c r="N710" t="s">
        <v>29</v>
      </c>
    </row>
    <row r="711" spans="1:14">
      <c r="A711" s="4" t="str">
        <f t="shared" si="50"/>
        <v>EXP00013</v>
      </c>
      <c r="B711" s="4" t="str">
        <f t="shared" si="51"/>
        <v>19421193</v>
      </c>
      <c r="C711" s="4" t="str">
        <f t="shared" si="52"/>
        <v>GSE12276</v>
      </c>
      <c r="D711" s="1" t="s">
        <v>45</v>
      </c>
      <c r="E711" t="s">
        <v>52</v>
      </c>
      <c r="F711" s="1">
        <v>4</v>
      </c>
      <c r="G711" s="1" t="s">
        <v>57</v>
      </c>
      <c r="H711" s="4" t="str">
        <f>HYPERLINK("https://www.ncbi.nlm.nih.gov/geo/query/acc.cgi?acc=GSM308347","GSM308347")</f>
        <v>GSM308347</v>
      </c>
      <c r="I711" t="s">
        <v>17</v>
      </c>
      <c r="J711" t="s">
        <v>18</v>
      </c>
      <c r="K711" t="s">
        <v>19</v>
      </c>
      <c r="L711" t="s">
        <v>20</v>
      </c>
      <c r="M711" t="s">
        <v>47</v>
      </c>
      <c r="N711" t="s">
        <v>29</v>
      </c>
    </row>
    <row r="712" spans="1:14">
      <c r="A712" s="4" t="str">
        <f t="shared" si="50"/>
        <v>EXP00013</v>
      </c>
      <c r="B712" s="4" t="str">
        <f t="shared" si="51"/>
        <v>19421193</v>
      </c>
      <c r="C712" s="4" t="str">
        <f t="shared" si="52"/>
        <v>GSE12276</v>
      </c>
      <c r="D712" s="1" t="s">
        <v>45</v>
      </c>
      <c r="E712" t="s">
        <v>52</v>
      </c>
      <c r="F712" s="1">
        <v>4</v>
      </c>
      <c r="G712" s="1" t="s">
        <v>57</v>
      </c>
      <c r="H712" s="4" t="str">
        <f>HYPERLINK("https://www.ncbi.nlm.nih.gov/geo/query/acc.cgi?acc=GSM308348","GSM308348")</f>
        <v>GSM308348</v>
      </c>
      <c r="I712" t="s">
        <v>17</v>
      </c>
      <c r="J712" t="s">
        <v>18</v>
      </c>
      <c r="K712" t="s">
        <v>19</v>
      </c>
      <c r="L712" t="s">
        <v>20</v>
      </c>
      <c r="M712" t="s">
        <v>47</v>
      </c>
      <c r="N712" t="s">
        <v>29</v>
      </c>
    </row>
    <row r="713" spans="1:14">
      <c r="A713" s="4" t="str">
        <f t="shared" si="50"/>
        <v>EXP00013</v>
      </c>
      <c r="B713" s="4" t="str">
        <f t="shared" si="51"/>
        <v>19421193</v>
      </c>
      <c r="C713" s="4" t="str">
        <f t="shared" si="52"/>
        <v>GSE12276</v>
      </c>
      <c r="D713" s="1" t="s">
        <v>45</v>
      </c>
      <c r="E713" t="s">
        <v>52</v>
      </c>
      <c r="F713" s="1">
        <v>4</v>
      </c>
      <c r="G713" s="1" t="s">
        <v>57</v>
      </c>
      <c r="H713" s="4" t="str">
        <f>HYPERLINK("https://www.ncbi.nlm.nih.gov/geo/query/acc.cgi?acc=GSM308349","GSM308349")</f>
        <v>GSM308349</v>
      </c>
      <c r="I713" t="s">
        <v>17</v>
      </c>
      <c r="J713" t="s">
        <v>18</v>
      </c>
      <c r="K713" t="s">
        <v>19</v>
      </c>
      <c r="L713" t="s">
        <v>20</v>
      </c>
      <c r="M713" t="s">
        <v>47</v>
      </c>
      <c r="N713" t="s">
        <v>29</v>
      </c>
    </row>
    <row r="714" spans="1:14">
      <c r="A714" s="4" t="str">
        <f t="shared" si="50"/>
        <v>EXP00013</v>
      </c>
      <c r="B714" s="4" t="str">
        <f t="shared" si="51"/>
        <v>19421193</v>
      </c>
      <c r="C714" s="4" t="str">
        <f t="shared" si="52"/>
        <v>GSE12276</v>
      </c>
      <c r="D714" s="1" t="s">
        <v>45</v>
      </c>
      <c r="E714" t="s">
        <v>52</v>
      </c>
      <c r="F714" s="1">
        <v>4</v>
      </c>
      <c r="G714" s="1" t="s">
        <v>57</v>
      </c>
      <c r="H714" s="4" t="str">
        <f>HYPERLINK("https://www.ncbi.nlm.nih.gov/geo/query/acc.cgi?acc=GSM308350","GSM308350")</f>
        <v>GSM308350</v>
      </c>
      <c r="I714" t="s">
        <v>17</v>
      </c>
      <c r="J714" t="s">
        <v>18</v>
      </c>
      <c r="K714" t="s">
        <v>19</v>
      </c>
      <c r="L714" t="s">
        <v>20</v>
      </c>
      <c r="M714" t="s">
        <v>47</v>
      </c>
      <c r="N714" t="s">
        <v>29</v>
      </c>
    </row>
    <row r="715" spans="1:14">
      <c r="A715" s="4" t="str">
        <f t="shared" si="50"/>
        <v>EXP00013</v>
      </c>
      <c r="B715" s="4" t="str">
        <f t="shared" si="51"/>
        <v>19421193</v>
      </c>
      <c r="C715" s="4" t="str">
        <f t="shared" si="52"/>
        <v>GSE12276</v>
      </c>
      <c r="D715" s="1" t="s">
        <v>45</v>
      </c>
      <c r="E715" t="s">
        <v>52</v>
      </c>
      <c r="F715" s="1">
        <v>4</v>
      </c>
      <c r="G715" s="1" t="s">
        <v>57</v>
      </c>
      <c r="H715" s="4" t="str">
        <f>HYPERLINK("https://www.ncbi.nlm.nih.gov/geo/query/acc.cgi?acc=GSM308352","GSM308352")</f>
        <v>GSM308352</v>
      </c>
      <c r="I715" t="s">
        <v>17</v>
      </c>
      <c r="J715" t="s">
        <v>18</v>
      </c>
      <c r="K715" t="s">
        <v>19</v>
      </c>
      <c r="L715" t="s">
        <v>20</v>
      </c>
      <c r="M715" t="s">
        <v>47</v>
      </c>
      <c r="N715" t="s">
        <v>29</v>
      </c>
    </row>
    <row r="716" spans="1:14">
      <c r="A716" s="4" t="str">
        <f t="shared" si="50"/>
        <v>EXP00013</v>
      </c>
      <c r="B716" s="4" t="str">
        <f t="shared" si="51"/>
        <v>19421193</v>
      </c>
      <c r="C716" s="4" t="str">
        <f t="shared" si="52"/>
        <v>GSE12276</v>
      </c>
      <c r="D716" s="1" t="s">
        <v>45</v>
      </c>
      <c r="E716" t="s">
        <v>52</v>
      </c>
      <c r="F716" s="1">
        <v>4</v>
      </c>
      <c r="G716" s="1" t="s">
        <v>57</v>
      </c>
      <c r="H716" s="4" t="str">
        <f>HYPERLINK("https://www.ncbi.nlm.nih.gov/geo/query/acc.cgi?acc=GSM308354","GSM308354")</f>
        <v>GSM308354</v>
      </c>
      <c r="I716" t="s">
        <v>17</v>
      </c>
      <c r="J716" t="s">
        <v>18</v>
      </c>
      <c r="K716" t="s">
        <v>19</v>
      </c>
      <c r="L716" t="s">
        <v>20</v>
      </c>
      <c r="M716" t="s">
        <v>47</v>
      </c>
      <c r="N716" t="s">
        <v>29</v>
      </c>
    </row>
    <row r="717" spans="1:14">
      <c r="A717" s="4" t="str">
        <f t="shared" si="50"/>
        <v>EXP00013</v>
      </c>
      <c r="B717" s="4" t="str">
        <f t="shared" si="51"/>
        <v>19421193</v>
      </c>
      <c r="C717" s="4" t="str">
        <f t="shared" si="52"/>
        <v>GSE12276</v>
      </c>
      <c r="D717" s="1" t="s">
        <v>45</v>
      </c>
      <c r="E717" t="s">
        <v>52</v>
      </c>
      <c r="F717" s="1">
        <v>4</v>
      </c>
      <c r="G717" s="1" t="s">
        <v>57</v>
      </c>
      <c r="H717" s="4" t="str">
        <f>HYPERLINK("https://www.ncbi.nlm.nih.gov/geo/query/acc.cgi?acc=GSM308355","GSM308355")</f>
        <v>GSM308355</v>
      </c>
      <c r="I717" t="s">
        <v>17</v>
      </c>
      <c r="J717" t="s">
        <v>18</v>
      </c>
      <c r="K717" t="s">
        <v>19</v>
      </c>
      <c r="L717" t="s">
        <v>20</v>
      </c>
      <c r="M717" t="s">
        <v>47</v>
      </c>
      <c r="N717" t="s">
        <v>29</v>
      </c>
    </row>
    <row r="718" spans="1:14">
      <c r="A718" s="4" t="str">
        <f t="shared" si="50"/>
        <v>EXP00013</v>
      </c>
      <c r="B718" s="4" t="str">
        <f t="shared" si="51"/>
        <v>19421193</v>
      </c>
      <c r="C718" s="4" t="str">
        <f t="shared" si="52"/>
        <v>GSE12276</v>
      </c>
      <c r="D718" s="1" t="s">
        <v>45</v>
      </c>
      <c r="E718" t="s">
        <v>52</v>
      </c>
      <c r="F718" s="1">
        <v>4</v>
      </c>
      <c r="G718" s="1" t="s">
        <v>57</v>
      </c>
      <c r="H718" s="4" t="str">
        <f>HYPERLINK("https://www.ncbi.nlm.nih.gov/geo/query/acc.cgi?acc=GSM308356","GSM308356")</f>
        <v>GSM308356</v>
      </c>
      <c r="I718" t="s">
        <v>17</v>
      </c>
      <c r="J718" t="s">
        <v>18</v>
      </c>
      <c r="K718" t="s">
        <v>19</v>
      </c>
      <c r="L718" t="s">
        <v>20</v>
      </c>
      <c r="M718" t="s">
        <v>47</v>
      </c>
      <c r="N718" t="s">
        <v>29</v>
      </c>
    </row>
    <row r="719" spans="1:14">
      <c r="A719" s="4" t="str">
        <f t="shared" si="50"/>
        <v>EXP00013</v>
      </c>
      <c r="B719" s="4" t="str">
        <f t="shared" si="51"/>
        <v>19421193</v>
      </c>
      <c r="C719" s="4" t="str">
        <f t="shared" si="52"/>
        <v>GSE12276</v>
      </c>
      <c r="D719" s="1" t="s">
        <v>45</v>
      </c>
      <c r="E719" t="s">
        <v>52</v>
      </c>
      <c r="F719" s="1">
        <v>4</v>
      </c>
      <c r="G719" s="1" t="s">
        <v>57</v>
      </c>
      <c r="H719" s="4" t="str">
        <f>HYPERLINK("https://www.ncbi.nlm.nih.gov/geo/query/acc.cgi?acc=GSM308358","GSM308358")</f>
        <v>GSM308358</v>
      </c>
      <c r="I719" t="s">
        <v>17</v>
      </c>
      <c r="J719" t="s">
        <v>18</v>
      </c>
      <c r="K719" t="s">
        <v>19</v>
      </c>
      <c r="L719" t="s">
        <v>20</v>
      </c>
      <c r="M719" t="s">
        <v>47</v>
      </c>
      <c r="N719" t="s">
        <v>29</v>
      </c>
    </row>
    <row r="720" spans="1:14">
      <c r="A720" s="4" t="str">
        <f t="shared" si="50"/>
        <v>EXP00013</v>
      </c>
      <c r="B720" s="4" t="str">
        <f t="shared" si="51"/>
        <v>19421193</v>
      </c>
      <c r="C720" s="4" t="str">
        <f t="shared" si="52"/>
        <v>GSE12276</v>
      </c>
      <c r="D720" s="1" t="s">
        <v>45</v>
      </c>
      <c r="E720" t="s">
        <v>52</v>
      </c>
      <c r="F720" s="1">
        <v>4</v>
      </c>
      <c r="G720" s="1" t="s">
        <v>57</v>
      </c>
      <c r="H720" s="4" t="str">
        <f>HYPERLINK("https://www.ncbi.nlm.nih.gov/geo/query/acc.cgi?acc=GSM308359","GSM308359")</f>
        <v>GSM308359</v>
      </c>
      <c r="I720" t="s">
        <v>17</v>
      </c>
      <c r="J720" t="s">
        <v>18</v>
      </c>
      <c r="K720" t="s">
        <v>19</v>
      </c>
      <c r="L720" t="s">
        <v>20</v>
      </c>
      <c r="M720" t="s">
        <v>47</v>
      </c>
      <c r="N720" t="s">
        <v>29</v>
      </c>
    </row>
    <row r="721" spans="1:14">
      <c r="A721" s="4" t="str">
        <f t="shared" si="50"/>
        <v>EXP00013</v>
      </c>
      <c r="B721" s="4" t="str">
        <f t="shared" si="51"/>
        <v>19421193</v>
      </c>
      <c r="C721" s="4" t="str">
        <f t="shared" si="52"/>
        <v>GSE12276</v>
      </c>
      <c r="D721" s="1" t="s">
        <v>45</v>
      </c>
      <c r="E721" t="s">
        <v>52</v>
      </c>
      <c r="F721" s="1">
        <v>4</v>
      </c>
      <c r="G721" s="1" t="s">
        <v>57</v>
      </c>
      <c r="H721" s="4" t="str">
        <f>HYPERLINK("https://www.ncbi.nlm.nih.gov/geo/query/acc.cgi?acc=GSM308360","GSM308360")</f>
        <v>GSM308360</v>
      </c>
      <c r="I721" t="s">
        <v>17</v>
      </c>
      <c r="J721" t="s">
        <v>18</v>
      </c>
      <c r="K721" t="s">
        <v>19</v>
      </c>
      <c r="L721" t="s">
        <v>20</v>
      </c>
      <c r="M721" t="s">
        <v>47</v>
      </c>
      <c r="N721" t="s">
        <v>29</v>
      </c>
    </row>
    <row r="722" spans="1:14">
      <c r="A722" s="4" t="str">
        <f t="shared" si="50"/>
        <v>EXP00013</v>
      </c>
      <c r="B722" s="4" t="str">
        <f t="shared" si="51"/>
        <v>19421193</v>
      </c>
      <c r="C722" s="4" t="str">
        <f t="shared" si="52"/>
        <v>GSE12276</v>
      </c>
      <c r="D722" s="1" t="s">
        <v>45</v>
      </c>
      <c r="E722" t="s">
        <v>52</v>
      </c>
      <c r="F722" s="1">
        <v>4</v>
      </c>
      <c r="G722" s="1" t="s">
        <v>57</v>
      </c>
      <c r="H722" s="4" t="str">
        <f>HYPERLINK("https://www.ncbi.nlm.nih.gov/geo/query/acc.cgi?acc=GSM308361","GSM308361")</f>
        <v>GSM308361</v>
      </c>
      <c r="I722" t="s">
        <v>17</v>
      </c>
      <c r="J722" t="s">
        <v>18</v>
      </c>
      <c r="K722" t="s">
        <v>19</v>
      </c>
      <c r="L722" t="s">
        <v>20</v>
      </c>
      <c r="M722" t="s">
        <v>47</v>
      </c>
      <c r="N722" t="s">
        <v>29</v>
      </c>
    </row>
    <row r="723" spans="1:14">
      <c r="A723" s="4" t="str">
        <f t="shared" si="50"/>
        <v>EXP00013</v>
      </c>
      <c r="B723" s="4" t="str">
        <f t="shared" si="51"/>
        <v>19421193</v>
      </c>
      <c r="C723" s="4" t="str">
        <f t="shared" si="52"/>
        <v>GSE12276</v>
      </c>
      <c r="D723" s="1" t="s">
        <v>45</v>
      </c>
      <c r="E723" t="s">
        <v>52</v>
      </c>
      <c r="F723" s="1">
        <v>4</v>
      </c>
      <c r="G723" s="1" t="s">
        <v>57</v>
      </c>
      <c r="H723" s="4" t="str">
        <f>HYPERLINK("https://www.ncbi.nlm.nih.gov/geo/query/acc.cgi?acc=GSM308362","GSM308362")</f>
        <v>GSM308362</v>
      </c>
      <c r="I723" t="s">
        <v>17</v>
      </c>
      <c r="J723" t="s">
        <v>18</v>
      </c>
      <c r="K723" t="s">
        <v>19</v>
      </c>
      <c r="L723" t="s">
        <v>20</v>
      </c>
      <c r="M723" t="s">
        <v>47</v>
      </c>
      <c r="N723" t="s">
        <v>29</v>
      </c>
    </row>
    <row r="724" spans="1:14">
      <c r="A724" s="4" t="str">
        <f t="shared" si="50"/>
        <v>EXP00013</v>
      </c>
      <c r="B724" s="4" t="str">
        <f t="shared" si="51"/>
        <v>19421193</v>
      </c>
      <c r="C724" s="4" t="str">
        <f t="shared" si="52"/>
        <v>GSE12276</v>
      </c>
      <c r="D724" s="1" t="s">
        <v>45</v>
      </c>
      <c r="E724" t="s">
        <v>52</v>
      </c>
      <c r="F724" s="1">
        <v>4</v>
      </c>
      <c r="G724" s="1" t="s">
        <v>57</v>
      </c>
      <c r="H724" s="4" t="str">
        <f>HYPERLINK("https://www.ncbi.nlm.nih.gov/geo/query/acc.cgi?acc=GSM308363","GSM308363")</f>
        <v>GSM308363</v>
      </c>
      <c r="I724" t="s">
        <v>17</v>
      </c>
      <c r="J724" t="s">
        <v>18</v>
      </c>
      <c r="K724" t="s">
        <v>19</v>
      </c>
      <c r="L724" t="s">
        <v>20</v>
      </c>
      <c r="M724" t="s">
        <v>47</v>
      </c>
      <c r="N724" t="s">
        <v>29</v>
      </c>
    </row>
    <row r="725" spans="1:14">
      <c r="A725" s="4" t="str">
        <f t="shared" si="50"/>
        <v>EXP00013</v>
      </c>
      <c r="B725" s="4" t="str">
        <f t="shared" si="51"/>
        <v>19421193</v>
      </c>
      <c r="C725" s="4" t="str">
        <f t="shared" si="52"/>
        <v>GSE12276</v>
      </c>
      <c r="D725" s="1" t="s">
        <v>45</v>
      </c>
      <c r="E725" t="s">
        <v>52</v>
      </c>
      <c r="F725" s="1">
        <v>4</v>
      </c>
      <c r="G725" s="1" t="s">
        <v>57</v>
      </c>
      <c r="H725" s="4" t="str">
        <f>HYPERLINK("https://www.ncbi.nlm.nih.gov/geo/query/acc.cgi?acc=GSM308364","GSM308364")</f>
        <v>GSM308364</v>
      </c>
      <c r="I725" t="s">
        <v>17</v>
      </c>
      <c r="J725" t="s">
        <v>18</v>
      </c>
      <c r="K725" t="s">
        <v>19</v>
      </c>
      <c r="L725" t="s">
        <v>20</v>
      </c>
      <c r="M725" t="s">
        <v>47</v>
      </c>
      <c r="N725" t="s">
        <v>29</v>
      </c>
    </row>
    <row r="726" spans="1:14">
      <c r="A726" s="4" t="str">
        <f t="shared" si="50"/>
        <v>EXP00013</v>
      </c>
      <c r="B726" s="4" t="str">
        <f t="shared" si="51"/>
        <v>19421193</v>
      </c>
      <c r="C726" s="4" t="str">
        <f t="shared" si="52"/>
        <v>GSE12276</v>
      </c>
      <c r="D726" s="1" t="s">
        <v>45</v>
      </c>
      <c r="E726" t="s">
        <v>52</v>
      </c>
      <c r="F726" s="1">
        <v>4</v>
      </c>
      <c r="G726" s="1" t="s">
        <v>57</v>
      </c>
      <c r="H726" s="4" t="str">
        <f>HYPERLINK("https://www.ncbi.nlm.nih.gov/geo/query/acc.cgi?acc=GSM308365","GSM308365")</f>
        <v>GSM308365</v>
      </c>
      <c r="I726" t="s">
        <v>17</v>
      </c>
      <c r="J726" t="s">
        <v>18</v>
      </c>
      <c r="K726" t="s">
        <v>19</v>
      </c>
      <c r="L726" t="s">
        <v>20</v>
      </c>
      <c r="M726" t="s">
        <v>47</v>
      </c>
      <c r="N726" t="s">
        <v>29</v>
      </c>
    </row>
    <row r="727" spans="1:14">
      <c r="A727" s="4" t="str">
        <f t="shared" si="50"/>
        <v>EXP00013</v>
      </c>
      <c r="B727" s="4" t="str">
        <f t="shared" si="51"/>
        <v>19421193</v>
      </c>
      <c r="C727" s="4" t="str">
        <f t="shared" si="52"/>
        <v>GSE12276</v>
      </c>
      <c r="D727" s="1" t="s">
        <v>45</v>
      </c>
      <c r="E727" t="s">
        <v>52</v>
      </c>
      <c r="F727" s="1">
        <v>4</v>
      </c>
      <c r="G727" s="1" t="s">
        <v>57</v>
      </c>
      <c r="H727" s="4" t="str">
        <f>HYPERLINK("https://www.ncbi.nlm.nih.gov/geo/query/acc.cgi?acc=GSM308367","GSM308367")</f>
        <v>GSM308367</v>
      </c>
      <c r="I727" t="s">
        <v>17</v>
      </c>
      <c r="J727" t="s">
        <v>18</v>
      </c>
      <c r="K727" t="s">
        <v>19</v>
      </c>
      <c r="L727" t="s">
        <v>20</v>
      </c>
      <c r="M727" t="s">
        <v>47</v>
      </c>
      <c r="N727" t="s">
        <v>29</v>
      </c>
    </row>
    <row r="728" spans="1:14">
      <c r="A728" s="4" t="str">
        <f t="shared" si="50"/>
        <v>EXP00013</v>
      </c>
      <c r="B728" s="4" t="str">
        <f t="shared" si="51"/>
        <v>19421193</v>
      </c>
      <c r="C728" s="4" t="str">
        <f t="shared" si="52"/>
        <v>GSE12276</v>
      </c>
      <c r="D728" s="1" t="s">
        <v>45</v>
      </c>
      <c r="E728" t="s">
        <v>52</v>
      </c>
      <c r="F728" s="1">
        <v>4</v>
      </c>
      <c r="G728" s="1" t="s">
        <v>57</v>
      </c>
      <c r="H728" s="4" t="str">
        <f>HYPERLINK("https://www.ncbi.nlm.nih.gov/geo/query/acc.cgi?acc=GSM308368","GSM308368")</f>
        <v>GSM308368</v>
      </c>
      <c r="I728" t="s">
        <v>17</v>
      </c>
      <c r="J728" t="s">
        <v>18</v>
      </c>
      <c r="K728" t="s">
        <v>19</v>
      </c>
      <c r="L728" t="s">
        <v>20</v>
      </c>
      <c r="M728" t="s">
        <v>47</v>
      </c>
      <c r="N728" t="s">
        <v>29</v>
      </c>
    </row>
    <row r="729" spans="1:14">
      <c r="A729" s="4" t="str">
        <f t="shared" si="50"/>
        <v>EXP00013</v>
      </c>
      <c r="B729" s="4" t="str">
        <f t="shared" si="51"/>
        <v>19421193</v>
      </c>
      <c r="C729" s="4" t="str">
        <f t="shared" si="52"/>
        <v>GSE12276</v>
      </c>
      <c r="D729" s="1" t="s">
        <v>45</v>
      </c>
      <c r="E729" t="s">
        <v>52</v>
      </c>
      <c r="F729" s="1">
        <v>4</v>
      </c>
      <c r="G729" s="1" t="s">
        <v>57</v>
      </c>
      <c r="H729" s="4" t="str">
        <f>HYPERLINK("https://www.ncbi.nlm.nih.gov/geo/query/acc.cgi?acc=GSM308369","GSM308369")</f>
        <v>GSM308369</v>
      </c>
      <c r="I729" t="s">
        <v>17</v>
      </c>
      <c r="J729" t="s">
        <v>18</v>
      </c>
      <c r="K729" t="s">
        <v>19</v>
      </c>
      <c r="L729" t="s">
        <v>20</v>
      </c>
      <c r="M729" t="s">
        <v>47</v>
      </c>
      <c r="N729" t="s">
        <v>29</v>
      </c>
    </row>
    <row r="730" spans="1:14">
      <c r="A730" s="4" t="str">
        <f t="shared" si="50"/>
        <v>EXP00013</v>
      </c>
      <c r="B730" s="4" t="str">
        <f t="shared" si="51"/>
        <v>19421193</v>
      </c>
      <c r="C730" s="4" t="str">
        <f t="shared" si="52"/>
        <v>GSE12276</v>
      </c>
      <c r="D730" s="1" t="s">
        <v>45</v>
      </c>
      <c r="E730" t="s">
        <v>52</v>
      </c>
      <c r="F730" s="1">
        <v>4</v>
      </c>
      <c r="G730" s="1" t="s">
        <v>57</v>
      </c>
      <c r="H730" s="4" t="str">
        <f>HYPERLINK("https://www.ncbi.nlm.nih.gov/geo/query/acc.cgi?acc=GSM308371","GSM308371")</f>
        <v>GSM308371</v>
      </c>
      <c r="I730" t="s">
        <v>17</v>
      </c>
      <c r="J730" t="s">
        <v>18</v>
      </c>
      <c r="K730" t="s">
        <v>19</v>
      </c>
      <c r="L730" t="s">
        <v>20</v>
      </c>
      <c r="M730" t="s">
        <v>47</v>
      </c>
      <c r="N730" t="s">
        <v>29</v>
      </c>
    </row>
    <row r="731" spans="1:14">
      <c r="A731" s="4" t="str">
        <f t="shared" si="50"/>
        <v>EXP00013</v>
      </c>
      <c r="B731" s="4" t="str">
        <f t="shared" si="51"/>
        <v>19421193</v>
      </c>
      <c r="C731" s="4" t="str">
        <f t="shared" si="52"/>
        <v>GSE12276</v>
      </c>
      <c r="D731" s="1" t="s">
        <v>45</v>
      </c>
      <c r="E731" t="s">
        <v>52</v>
      </c>
      <c r="F731" s="1">
        <v>4</v>
      </c>
      <c r="G731" s="1" t="s">
        <v>57</v>
      </c>
      <c r="H731" s="4" t="str">
        <f>HYPERLINK("https://www.ncbi.nlm.nih.gov/geo/query/acc.cgi?acc=GSM308373","GSM308373")</f>
        <v>GSM308373</v>
      </c>
      <c r="I731" t="s">
        <v>17</v>
      </c>
      <c r="J731" t="s">
        <v>18</v>
      </c>
      <c r="K731" t="s">
        <v>19</v>
      </c>
      <c r="L731" t="s">
        <v>20</v>
      </c>
      <c r="M731" t="s">
        <v>47</v>
      </c>
      <c r="N731" t="s">
        <v>29</v>
      </c>
    </row>
    <row r="732" spans="1:14">
      <c r="A732" s="4" t="str">
        <f t="shared" si="50"/>
        <v>EXP00013</v>
      </c>
      <c r="B732" s="4" t="str">
        <f t="shared" si="51"/>
        <v>19421193</v>
      </c>
      <c r="C732" s="4" t="str">
        <f t="shared" si="52"/>
        <v>GSE12276</v>
      </c>
      <c r="D732" s="1" t="s">
        <v>45</v>
      </c>
      <c r="E732" t="s">
        <v>52</v>
      </c>
      <c r="F732" s="1">
        <v>4</v>
      </c>
      <c r="G732" s="1" t="s">
        <v>57</v>
      </c>
      <c r="H732" s="4" t="str">
        <f>HYPERLINK("https://www.ncbi.nlm.nih.gov/geo/query/acc.cgi?acc=GSM308375","GSM308375")</f>
        <v>GSM308375</v>
      </c>
      <c r="I732" t="s">
        <v>17</v>
      </c>
      <c r="J732" t="s">
        <v>18</v>
      </c>
      <c r="K732" t="s">
        <v>19</v>
      </c>
      <c r="L732" t="s">
        <v>20</v>
      </c>
      <c r="M732" t="s">
        <v>47</v>
      </c>
      <c r="N732" t="s">
        <v>29</v>
      </c>
    </row>
    <row r="733" spans="1:14">
      <c r="A733" s="4" t="str">
        <f t="shared" si="50"/>
        <v>EXP00013</v>
      </c>
      <c r="B733" s="4" t="str">
        <f t="shared" si="51"/>
        <v>19421193</v>
      </c>
      <c r="C733" s="4" t="str">
        <f t="shared" si="52"/>
        <v>GSE12276</v>
      </c>
      <c r="D733" s="1" t="s">
        <v>45</v>
      </c>
      <c r="E733" t="s">
        <v>52</v>
      </c>
      <c r="F733" s="1">
        <v>4</v>
      </c>
      <c r="G733" s="1" t="s">
        <v>57</v>
      </c>
      <c r="H733" s="4" t="str">
        <f>HYPERLINK("https://www.ncbi.nlm.nih.gov/geo/query/acc.cgi?acc=GSM308376","GSM308376")</f>
        <v>GSM308376</v>
      </c>
      <c r="I733" t="s">
        <v>17</v>
      </c>
      <c r="J733" t="s">
        <v>18</v>
      </c>
      <c r="K733" t="s">
        <v>19</v>
      </c>
      <c r="L733" t="s">
        <v>20</v>
      </c>
      <c r="M733" t="s">
        <v>47</v>
      </c>
      <c r="N733" t="s">
        <v>29</v>
      </c>
    </row>
    <row r="734" spans="1:14">
      <c r="A734" s="4" t="str">
        <f t="shared" ref="A734:A797" si="53">HYPERLINK("http://hcmdb.i-sanger.com/experiment/details/experiment_id/EXP00013","EXP00013")</f>
        <v>EXP00013</v>
      </c>
      <c r="B734" s="4" t="str">
        <f t="shared" ref="B734:B797" si="54">HYPERLINK("https://www.ncbi.nlm.nih.gov/pubmed/19421193","19421193")</f>
        <v>19421193</v>
      </c>
      <c r="C734" s="4" t="str">
        <f t="shared" ref="C734:C797" si="55">HYPERLINK("https://www.ncbi.nlm.nih.gov/geo/query/acc.cgi?acc=GSE12276","GSE12276")</f>
        <v>GSE12276</v>
      </c>
      <c r="D734" s="1" t="s">
        <v>45</v>
      </c>
      <c r="E734" t="s">
        <v>52</v>
      </c>
      <c r="F734" s="1">
        <v>4</v>
      </c>
      <c r="G734" s="1" t="s">
        <v>57</v>
      </c>
      <c r="H734" s="4" t="str">
        <f>HYPERLINK("https://www.ncbi.nlm.nih.gov/geo/query/acc.cgi?acc=GSM308377","GSM308377")</f>
        <v>GSM308377</v>
      </c>
      <c r="I734" t="s">
        <v>17</v>
      </c>
      <c r="J734" t="s">
        <v>18</v>
      </c>
      <c r="K734" t="s">
        <v>19</v>
      </c>
      <c r="L734" t="s">
        <v>20</v>
      </c>
      <c r="M734" t="s">
        <v>47</v>
      </c>
      <c r="N734" t="s">
        <v>29</v>
      </c>
    </row>
    <row r="735" spans="1:14">
      <c r="A735" s="4" t="str">
        <f t="shared" si="53"/>
        <v>EXP00013</v>
      </c>
      <c r="B735" s="4" t="str">
        <f t="shared" si="54"/>
        <v>19421193</v>
      </c>
      <c r="C735" s="4" t="str">
        <f t="shared" si="55"/>
        <v>GSE12276</v>
      </c>
      <c r="D735" s="1" t="s">
        <v>45</v>
      </c>
      <c r="E735" t="s">
        <v>52</v>
      </c>
      <c r="F735" s="1">
        <v>4</v>
      </c>
      <c r="G735" s="1" t="s">
        <v>57</v>
      </c>
      <c r="H735" s="4" t="str">
        <f>HYPERLINK("https://www.ncbi.nlm.nih.gov/geo/query/acc.cgi?acc=GSM308378","GSM308378")</f>
        <v>GSM308378</v>
      </c>
      <c r="I735" t="s">
        <v>17</v>
      </c>
      <c r="J735" t="s">
        <v>18</v>
      </c>
      <c r="K735" t="s">
        <v>19</v>
      </c>
      <c r="L735" t="s">
        <v>20</v>
      </c>
      <c r="M735" t="s">
        <v>47</v>
      </c>
      <c r="N735" t="s">
        <v>29</v>
      </c>
    </row>
    <row r="736" spans="1:14">
      <c r="A736" s="4" t="str">
        <f t="shared" si="53"/>
        <v>EXP00013</v>
      </c>
      <c r="B736" s="4" t="str">
        <f t="shared" si="54"/>
        <v>19421193</v>
      </c>
      <c r="C736" s="4" t="str">
        <f t="shared" si="55"/>
        <v>GSE12276</v>
      </c>
      <c r="D736" s="1" t="s">
        <v>45</v>
      </c>
      <c r="E736" t="s">
        <v>52</v>
      </c>
      <c r="F736" s="1">
        <v>4</v>
      </c>
      <c r="G736" s="1" t="s">
        <v>57</v>
      </c>
      <c r="H736" s="4" t="str">
        <f>HYPERLINK("https://www.ncbi.nlm.nih.gov/geo/query/acc.cgi?acc=GSM308379","GSM308379")</f>
        <v>GSM308379</v>
      </c>
      <c r="I736" t="s">
        <v>17</v>
      </c>
      <c r="J736" t="s">
        <v>18</v>
      </c>
      <c r="K736" t="s">
        <v>19</v>
      </c>
      <c r="L736" t="s">
        <v>20</v>
      </c>
      <c r="M736" t="s">
        <v>47</v>
      </c>
      <c r="N736" t="s">
        <v>29</v>
      </c>
    </row>
    <row r="737" spans="1:14">
      <c r="A737" s="4" t="str">
        <f t="shared" si="53"/>
        <v>EXP00013</v>
      </c>
      <c r="B737" s="4" t="str">
        <f t="shared" si="54"/>
        <v>19421193</v>
      </c>
      <c r="C737" s="4" t="str">
        <f t="shared" si="55"/>
        <v>GSE12276</v>
      </c>
      <c r="D737" s="1" t="s">
        <v>45</v>
      </c>
      <c r="E737" t="s">
        <v>52</v>
      </c>
      <c r="F737" s="1">
        <v>4</v>
      </c>
      <c r="G737" s="1" t="s">
        <v>57</v>
      </c>
      <c r="H737" s="4" t="str">
        <f>HYPERLINK("https://www.ncbi.nlm.nih.gov/geo/query/acc.cgi?acc=GSM308381","GSM308381")</f>
        <v>GSM308381</v>
      </c>
      <c r="I737" t="s">
        <v>17</v>
      </c>
      <c r="J737" t="s">
        <v>18</v>
      </c>
      <c r="K737" t="s">
        <v>19</v>
      </c>
      <c r="L737" t="s">
        <v>20</v>
      </c>
      <c r="M737" t="s">
        <v>47</v>
      </c>
      <c r="N737" t="s">
        <v>29</v>
      </c>
    </row>
    <row r="738" spans="1:14">
      <c r="A738" s="4" t="str">
        <f t="shared" si="53"/>
        <v>EXP00013</v>
      </c>
      <c r="B738" s="4" t="str">
        <f t="shared" si="54"/>
        <v>19421193</v>
      </c>
      <c r="C738" s="4" t="str">
        <f t="shared" si="55"/>
        <v>GSE12276</v>
      </c>
      <c r="D738" s="1" t="s">
        <v>45</v>
      </c>
      <c r="E738" t="s">
        <v>52</v>
      </c>
      <c r="F738" s="1">
        <v>4</v>
      </c>
      <c r="G738" s="1" t="s">
        <v>57</v>
      </c>
      <c r="H738" s="4" t="str">
        <f>HYPERLINK("https://www.ncbi.nlm.nih.gov/geo/query/acc.cgi?acc=GSM308382","GSM308382")</f>
        <v>GSM308382</v>
      </c>
      <c r="I738" t="s">
        <v>17</v>
      </c>
      <c r="J738" t="s">
        <v>18</v>
      </c>
      <c r="K738" t="s">
        <v>19</v>
      </c>
      <c r="L738" t="s">
        <v>20</v>
      </c>
      <c r="M738" t="s">
        <v>47</v>
      </c>
      <c r="N738" t="s">
        <v>29</v>
      </c>
    </row>
    <row r="739" spans="1:14">
      <c r="A739" s="4" t="str">
        <f t="shared" si="53"/>
        <v>EXP00013</v>
      </c>
      <c r="B739" s="4" t="str">
        <f t="shared" si="54"/>
        <v>19421193</v>
      </c>
      <c r="C739" s="4" t="str">
        <f t="shared" si="55"/>
        <v>GSE12276</v>
      </c>
      <c r="D739" s="1" t="s">
        <v>45</v>
      </c>
      <c r="E739" t="s">
        <v>52</v>
      </c>
      <c r="F739" s="1">
        <v>4</v>
      </c>
      <c r="G739" s="1" t="s">
        <v>57</v>
      </c>
      <c r="H739" s="4" t="str">
        <f>HYPERLINK("https://www.ncbi.nlm.nih.gov/geo/query/acc.cgi?acc=GSM308383","GSM308383")</f>
        <v>GSM308383</v>
      </c>
      <c r="I739" t="s">
        <v>17</v>
      </c>
      <c r="J739" t="s">
        <v>18</v>
      </c>
      <c r="K739" t="s">
        <v>19</v>
      </c>
      <c r="L739" t="s">
        <v>20</v>
      </c>
      <c r="M739" t="s">
        <v>47</v>
      </c>
      <c r="N739" t="s">
        <v>29</v>
      </c>
    </row>
    <row r="740" spans="1:14">
      <c r="A740" s="4" t="str">
        <f t="shared" si="53"/>
        <v>EXP00013</v>
      </c>
      <c r="B740" s="4" t="str">
        <f t="shared" si="54"/>
        <v>19421193</v>
      </c>
      <c r="C740" s="4" t="str">
        <f t="shared" si="55"/>
        <v>GSE12276</v>
      </c>
      <c r="D740" s="1" t="s">
        <v>45</v>
      </c>
      <c r="E740" t="s">
        <v>52</v>
      </c>
      <c r="F740" s="1">
        <v>4</v>
      </c>
      <c r="G740" s="1" t="s">
        <v>57</v>
      </c>
      <c r="H740" s="4" t="str">
        <f>HYPERLINK("https://www.ncbi.nlm.nih.gov/geo/query/acc.cgi?acc=GSM308384","GSM308384")</f>
        <v>GSM308384</v>
      </c>
      <c r="I740" t="s">
        <v>17</v>
      </c>
      <c r="J740" t="s">
        <v>18</v>
      </c>
      <c r="K740" t="s">
        <v>19</v>
      </c>
      <c r="L740" t="s">
        <v>20</v>
      </c>
      <c r="M740" t="s">
        <v>47</v>
      </c>
      <c r="N740" t="s">
        <v>29</v>
      </c>
    </row>
    <row r="741" spans="1:14">
      <c r="A741" s="4" t="str">
        <f t="shared" si="53"/>
        <v>EXP00013</v>
      </c>
      <c r="B741" s="4" t="str">
        <f t="shared" si="54"/>
        <v>19421193</v>
      </c>
      <c r="C741" s="4" t="str">
        <f t="shared" si="55"/>
        <v>GSE12276</v>
      </c>
      <c r="D741" s="1" t="s">
        <v>45</v>
      </c>
      <c r="E741" t="s">
        <v>52</v>
      </c>
      <c r="F741" s="1">
        <v>4</v>
      </c>
      <c r="G741" s="1" t="s">
        <v>57</v>
      </c>
      <c r="H741" s="4" t="str">
        <f>HYPERLINK("https://www.ncbi.nlm.nih.gov/geo/query/acc.cgi?acc=GSM308385","GSM308385")</f>
        <v>GSM308385</v>
      </c>
      <c r="I741" t="s">
        <v>17</v>
      </c>
      <c r="J741" t="s">
        <v>18</v>
      </c>
      <c r="K741" t="s">
        <v>19</v>
      </c>
      <c r="L741" t="s">
        <v>20</v>
      </c>
      <c r="M741" t="s">
        <v>47</v>
      </c>
      <c r="N741" t="s">
        <v>29</v>
      </c>
    </row>
    <row r="742" spans="1:14">
      <c r="A742" s="4" t="str">
        <f t="shared" si="53"/>
        <v>EXP00013</v>
      </c>
      <c r="B742" s="4" t="str">
        <f t="shared" si="54"/>
        <v>19421193</v>
      </c>
      <c r="C742" s="4" t="str">
        <f t="shared" si="55"/>
        <v>GSE12276</v>
      </c>
      <c r="D742" s="1" t="s">
        <v>45</v>
      </c>
      <c r="E742" t="s">
        <v>52</v>
      </c>
      <c r="F742" s="1">
        <v>4</v>
      </c>
      <c r="G742" s="1" t="s">
        <v>57</v>
      </c>
      <c r="H742" s="4" t="str">
        <f>HYPERLINK("https://www.ncbi.nlm.nih.gov/geo/query/acc.cgi?acc=GSM308386","GSM308386")</f>
        <v>GSM308386</v>
      </c>
      <c r="I742" t="s">
        <v>17</v>
      </c>
      <c r="J742" t="s">
        <v>18</v>
      </c>
      <c r="K742" t="s">
        <v>19</v>
      </c>
      <c r="L742" t="s">
        <v>20</v>
      </c>
      <c r="M742" t="s">
        <v>47</v>
      </c>
      <c r="N742" t="s">
        <v>29</v>
      </c>
    </row>
    <row r="743" spans="1:14">
      <c r="A743" s="4" t="str">
        <f t="shared" si="53"/>
        <v>EXP00013</v>
      </c>
      <c r="B743" s="4" t="str">
        <f t="shared" si="54"/>
        <v>19421193</v>
      </c>
      <c r="C743" s="4" t="str">
        <f t="shared" si="55"/>
        <v>GSE12276</v>
      </c>
      <c r="D743" s="1" t="s">
        <v>45</v>
      </c>
      <c r="E743" t="s">
        <v>52</v>
      </c>
      <c r="F743" s="1">
        <v>4</v>
      </c>
      <c r="G743" s="1" t="s">
        <v>57</v>
      </c>
      <c r="H743" s="4" t="str">
        <f>HYPERLINK("https://www.ncbi.nlm.nih.gov/geo/query/acc.cgi?acc=GSM308387","GSM308387")</f>
        <v>GSM308387</v>
      </c>
      <c r="I743" t="s">
        <v>17</v>
      </c>
      <c r="J743" t="s">
        <v>18</v>
      </c>
      <c r="K743" t="s">
        <v>19</v>
      </c>
      <c r="L743" t="s">
        <v>20</v>
      </c>
      <c r="M743" t="s">
        <v>47</v>
      </c>
      <c r="N743" t="s">
        <v>29</v>
      </c>
    </row>
    <row r="744" spans="1:14">
      <c r="A744" s="4" t="str">
        <f t="shared" si="53"/>
        <v>EXP00013</v>
      </c>
      <c r="B744" s="4" t="str">
        <f t="shared" si="54"/>
        <v>19421193</v>
      </c>
      <c r="C744" s="4" t="str">
        <f t="shared" si="55"/>
        <v>GSE12276</v>
      </c>
      <c r="D744" s="1" t="s">
        <v>45</v>
      </c>
      <c r="E744" t="s">
        <v>52</v>
      </c>
      <c r="F744" s="1">
        <v>4</v>
      </c>
      <c r="G744" s="1" t="s">
        <v>57</v>
      </c>
      <c r="H744" s="4" t="str">
        <f>HYPERLINK("https://www.ncbi.nlm.nih.gov/geo/query/acc.cgi?acc=GSM308389","GSM308389")</f>
        <v>GSM308389</v>
      </c>
      <c r="I744" t="s">
        <v>17</v>
      </c>
      <c r="J744" t="s">
        <v>18</v>
      </c>
      <c r="K744" t="s">
        <v>19</v>
      </c>
      <c r="L744" t="s">
        <v>20</v>
      </c>
      <c r="M744" t="s">
        <v>47</v>
      </c>
      <c r="N744" t="s">
        <v>29</v>
      </c>
    </row>
    <row r="745" spans="1:14">
      <c r="A745" s="4" t="str">
        <f t="shared" si="53"/>
        <v>EXP00013</v>
      </c>
      <c r="B745" s="4" t="str">
        <f t="shared" si="54"/>
        <v>19421193</v>
      </c>
      <c r="C745" s="4" t="str">
        <f t="shared" si="55"/>
        <v>GSE12276</v>
      </c>
      <c r="D745" s="1" t="s">
        <v>45</v>
      </c>
      <c r="E745" t="s">
        <v>52</v>
      </c>
      <c r="F745" s="1">
        <v>4</v>
      </c>
      <c r="G745" s="1" t="s">
        <v>57</v>
      </c>
      <c r="H745" s="4" t="str">
        <f>HYPERLINK("https://www.ncbi.nlm.nih.gov/geo/query/acc.cgi?acc=GSM308390","GSM308390")</f>
        <v>GSM308390</v>
      </c>
      <c r="I745" t="s">
        <v>17</v>
      </c>
      <c r="J745" t="s">
        <v>18</v>
      </c>
      <c r="K745" t="s">
        <v>19</v>
      </c>
      <c r="L745" t="s">
        <v>20</v>
      </c>
      <c r="M745" t="s">
        <v>47</v>
      </c>
      <c r="N745" t="s">
        <v>29</v>
      </c>
    </row>
    <row r="746" spans="1:14">
      <c r="A746" s="4" t="str">
        <f t="shared" si="53"/>
        <v>EXP00013</v>
      </c>
      <c r="B746" s="4" t="str">
        <f t="shared" si="54"/>
        <v>19421193</v>
      </c>
      <c r="C746" s="4" t="str">
        <f t="shared" si="55"/>
        <v>GSE12276</v>
      </c>
      <c r="D746" s="1" t="s">
        <v>45</v>
      </c>
      <c r="E746" t="s">
        <v>52</v>
      </c>
      <c r="F746" s="1">
        <v>4</v>
      </c>
      <c r="G746" s="1" t="s">
        <v>57</v>
      </c>
      <c r="H746" s="4" t="str">
        <f>HYPERLINK("https://www.ncbi.nlm.nih.gov/geo/query/acc.cgi?acc=GSM308391","GSM308391")</f>
        <v>GSM308391</v>
      </c>
      <c r="I746" t="s">
        <v>17</v>
      </c>
      <c r="J746" t="s">
        <v>18</v>
      </c>
      <c r="K746" t="s">
        <v>19</v>
      </c>
      <c r="L746" t="s">
        <v>20</v>
      </c>
      <c r="M746" t="s">
        <v>47</v>
      </c>
      <c r="N746" t="s">
        <v>29</v>
      </c>
    </row>
    <row r="747" spans="1:14">
      <c r="A747" s="4" t="str">
        <f t="shared" si="53"/>
        <v>EXP00013</v>
      </c>
      <c r="B747" s="4" t="str">
        <f t="shared" si="54"/>
        <v>19421193</v>
      </c>
      <c r="C747" s="4" t="str">
        <f t="shared" si="55"/>
        <v>GSE12276</v>
      </c>
      <c r="D747" s="1" t="s">
        <v>45</v>
      </c>
      <c r="E747" t="s">
        <v>52</v>
      </c>
      <c r="F747" s="1">
        <v>4</v>
      </c>
      <c r="G747" s="1" t="s">
        <v>57</v>
      </c>
      <c r="H747" s="4" t="str">
        <f>HYPERLINK("https://www.ncbi.nlm.nih.gov/geo/query/acc.cgi?acc=GSM308393","GSM308393")</f>
        <v>GSM308393</v>
      </c>
      <c r="I747" t="s">
        <v>17</v>
      </c>
      <c r="J747" t="s">
        <v>18</v>
      </c>
      <c r="K747" t="s">
        <v>19</v>
      </c>
      <c r="L747" t="s">
        <v>20</v>
      </c>
      <c r="M747" t="s">
        <v>47</v>
      </c>
      <c r="N747" t="s">
        <v>29</v>
      </c>
    </row>
    <row r="748" spans="1:14">
      <c r="A748" s="4" t="str">
        <f t="shared" si="53"/>
        <v>EXP00013</v>
      </c>
      <c r="B748" s="4" t="str">
        <f t="shared" si="54"/>
        <v>19421193</v>
      </c>
      <c r="C748" s="4" t="str">
        <f t="shared" si="55"/>
        <v>GSE12276</v>
      </c>
      <c r="D748" s="1" t="s">
        <v>45</v>
      </c>
      <c r="E748" t="s">
        <v>52</v>
      </c>
      <c r="F748" s="1">
        <v>4</v>
      </c>
      <c r="G748" s="1" t="s">
        <v>57</v>
      </c>
      <c r="H748" s="4" t="str">
        <f>HYPERLINK("https://www.ncbi.nlm.nih.gov/geo/query/acc.cgi?acc=GSM308394","GSM308394")</f>
        <v>GSM308394</v>
      </c>
      <c r="I748" t="s">
        <v>17</v>
      </c>
      <c r="J748" t="s">
        <v>18</v>
      </c>
      <c r="K748" t="s">
        <v>19</v>
      </c>
      <c r="L748" t="s">
        <v>20</v>
      </c>
      <c r="M748" t="s">
        <v>47</v>
      </c>
      <c r="N748" t="s">
        <v>29</v>
      </c>
    </row>
    <row r="749" spans="1:14">
      <c r="A749" s="4" t="str">
        <f t="shared" si="53"/>
        <v>EXP00013</v>
      </c>
      <c r="B749" s="4" t="str">
        <f t="shared" si="54"/>
        <v>19421193</v>
      </c>
      <c r="C749" s="4" t="str">
        <f t="shared" si="55"/>
        <v>GSE12276</v>
      </c>
      <c r="D749" s="1" t="s">
        <v>45</v>
      </c>
      <c r="E749" t="s">
        <v>52</v>
      </c>
      <c r="F749" s="1">
        <v>4</v>
      </c>
      <c r="G749" s="1" t="s">
        <v>57</v>
      </c>
      <c r="H749" s="4" t="str">
        <f>HYPERLINK("https://www.ncbi.nlm.nih.gov/geo/query/acc.cgi?acc=GSM308395","GSM308395")</f>
        <v>GSM308395</v>
      </c>
      <c r="I749" t="s">
        <v>17</v>
      </c>
      <c r="J749" t="s">
        <v>18</v>
      </c>
      <c r="K749" t="s">
        <v>19</v>
      </c>
      <c r="L749" t="s">
        <v>20</v>
      </c>
      <c r="M749" t="s">
        <v>47</v>
      </c>
      <c r="N749" t="s">
        <v>29</v>
      </c>
    </row>
    <row r="750" spans="1:14">
      <c r="A750" s="4" t="str">
        <f t="shared" si="53"/>
        <v>EXP00013</v>
      </c>
      <c r="B750" s="4" t="str">
        <f t="shared" si="54"/>
        <v>19421193</v>
      </c>
      <c r="C750" s="4" t="str">
        <f t="shared" si="55"/>
        <v>GSE12276</v>
      </c>
      <c r="D750" s="1" t="s">
        <v>45</v>
      </c>
      <c r="E750" t="s">
        <v>52</v>
      </c>
      <c r="F750" s="1">
        <v>4</v>
      </c>
      <c r="G750" s="1" t="s">
        <v>57</v>
      </c>
      <c r="H750" s="4" t="str">
        <f>HYPERLINK("https://www.ncbi.nlm.nih.gov/geo/query/acc.cgi?acc=GSM308396","GSM308396")</f>
        <v>GSM308396</v>
      </c>
      <c r="I750" t="s">
        <v>17</v>
      </c>
      <c r="J750" t="s">
        <v>18</v>
      </c>
      <c r="K750" t="s">
        <v>19</v>
      </c>
      <c r="L750" t="s">
        <v>20</v>
      </c>
      <c r="M750" t="s">
        <v>47</v>
      </c>
      <c r="N750" t="s">
        <v>29</v>
      </c>
    </row>
    <row r="751" spans="1:14">
      <c r="A751" s="4" t="str">
        <f t="shared" si="53"/>
        <v>EXP00013</v>
      </c>
      <c r="B751" s="4" t="str">
        <f t="shared" si="54"/>
        <v>19421193</v>
      </c>
      <c r="C751" s="4" t="str">
        <f t="shared" si="55"/>
        <v>GSE12276</v>
      </c>
      <c r="D751" s="1" t="s">
        <v>45</v>
      </c>
      <c r="E751" t="s">
        <v>52</v>
      </c>
      <c r="F751" s="1">
        <v>4</v>
      </c>
      <c r="G751" s="1" t="s">
        <v>57</v>
      </c>
      <c r="H751" s="4" t="str">
        <f>HYPERLINK("https://www.ncbi.nlm.nih.gov/geo/query/acc.cgi?acc=GSM308398","GSM308398")</f>
        <v>GSM308398</v>
      </c>
      <c r="I751" t="s">
        <v>17</v>
      </c>
      <c r="J751" t="s">
        <v>18</v>
      </c>
      <c r="K751" t="s">
        <v>19</v>
      </c>
      <c r="L751" t="s">
        <v>20</v>
      </c>
      <c r="M751" t="s">
        <v>47</v>
      </c>
      <c r="N751" t="s">
        <v>29</v>
      </c>
    </row>
    <row r="752" spans="1:14">
      <c r="A752" s="4" t="str">
        <f t="shared" si="53"/>
        <v>EXP00013</v>
      </c>
      <c r="B752" s="4" t="str">
        <f t="shared" si="54"/>
        <v>19421193</v>
      </c>
      <c r="C752" s="4" t="str">
        <f t="shared" si="55"/>
        <v>GSE12276</v>
      </c>
      <c r="D752" s="1" t="s">
        <v>45</v>
      </c>
      <c r="E752" t="s">
        <v>52</v>
      </c>
      <c r="F752" s="1">
        <v>4</v>
      </c>
      <c r="G752" s="1" t="s">
        <v>57</v>
      </c>
      <c r="H752" s="4" t="str">
        <f>HYPERLINK("https://www.ncbi.nlm.nih.gov/geo/query/acc.cgi?acc=GSM308399","GSM308399")</f>
        <v>GSM308399</v>
      </c>
      <c r="I752" t="s">
        <v>17</v>
      </c>
      <c r="J752" t="s">
        <v>18</v>
      </c>
      <c r="K752" t="s">
        <v>19</v>
      </c>
      <c r="L752" t="s">
        <v>20</v>
      </c>
      <c r="M752" t="s">
        <v>47</v>
      </c>
      <c r="N752" t="s">
        <v>29</v>
      </c>
    </row>
    <row r="753" spans="1:14">
      <c r="A753" s="4" t="str">
        <f t="shared" si="53"/>
        <v>EXP00013</v>
      </c>
      <c r="B753" s="4" t="str">
        <f t="shared" si="54"/>
        <v>19421193</v>
      </c>
      <c r="C753" s="4" t="str">
        <f t="shared" si="55"/>
        <v>GSE12276</v>
      </c>
      <c r="D753" s="1" t="s">
        <v>45</v>
      </c>
      <c r="E753" t="s">
        <v>52</v>
      </c>
      <c r="F753" s="1">
        <v>4</v>
      </c>
      <c r="G753" s="1" t="s">
        <v>57</v>
      </c>
      <c r="H753" s="4" t="str">
        <f>HYPERLINK("https://www.ncbi.nlm.nih.gov/geo/query/acc.cgi?acc=GSM308400","GSM308400")</f>
        <v>GSM308400</v>
      </c>
      <c r="I753" t="s">
        <v>17</v>
      </c>
      <c r="J753" t="s">
        <v>18</v>
      </c>
      <c r="K753" t="s">
        <v>19</v>
      </c>
      <c r="L753" t="s">
        <v>20</v>
      </c>
      <c r="M753" t="s">
        <v>47</v>
      </c>
      <c r="N753" t="s">
        <v>29</v>
      </c>
    </row>
    <row r="754" spans="1:14">
      <c r="A754" s="4" t="str">
        <f t="shared" si="53"/>
        <v>EXP00013</v>
      </c>
      <c r="B754" s="4" t="str">
        <f t="shared" si="54"/>
        <v>19421193</v>
      </c>
      <c r="C754" s="4" t="str">
        <f t="shared" si="55"/>
        <v>GSE12276</v>
      </c>
      <c r="D754" s="1" t="s">
        <v>45</v>
      </c>
      <c r="E754" t="s">
        <v>52</v>
      </c>
      <c r="F754" s="1">
        <v>4</v>
      </c>
      <c r="G754" s="1" t="s">
        <v>57</v>
      </c>
      <c r="H754" s="4" t="str">
        <f>HYPERLINK("https://www.ncbi.nlm.nih.gov/geo/query/acc.cgi?acc=GSM308401","GSM308401")</f>
        <v>GSM308401</v>
      </c>
      <c r="I754" t="s">
        <v>17</v>
      </c>
      <c r="J754" t="s">
        <v>18</v>
      </c>
      <c r="K754" t="s">
        <v>19</v>
      </c>
      <c r="L754" t="s">
        <v>20</v>
      </c>
      <c r="M754" t="s">
        <v>47</v>
      </c>
      <c r="N754" t="s">
        <v>29</v>
      </c>
    </row>
    <row r="755" spans="1:14">
      <c r="A755" s="4" t="str">
        <f t="shared" si="53"/>
        <v>EXP00013</v>
      </c>
      <c r="B755" s="4" t="str">
        <f t="shared" si="54"/>
        <v>19421193</v>
      </c>
      <c r="C755" s="4" t="str">
        <f t="shared" si="55"/>
        <v>GSE12276</v>
      </c>
      <c r="D755" s="1" t="s">
        <v>45</v>
      </c>
      <c r="E755" t="s">
        <v>52</v>
      </c>
      <c r="F755" s="1">
        <v>4</v>
      </c>
      <c r="G755" s="1" t="s">
        <v>57</v>
      </c>
      <c r="H755" s="4" t="str">
        <f>HYPERLINK("https://www.ncbi.nlm.nih.gov/geo/query/acc.cgi?acc=GSM308403","GSM308403")</f>
        <v>GSM308403</v>
      </c>
      <c r="I755" t="s">
        <v>17</v>
      </c>
      <c r="J755" t="s">
        <v>18</v>
      </c>
      <c r="K755" t="s">
        <v>19</v>
      </c>
      <c r="L755" t="s">
        <v>20</v>
      </c>
      <c r="M755" t="s">
        <v>47</v>
      </c>
      <c r="N755" t="s">
        <v>29</v>
      </c>
    </row>
    <row r="756" spans="1:14">
      <c r="A756" s="4" t="str">
        <f t="shared" si="53"/>
        <v>EXP00013</v>
      </c>
      <c r="B756" s="4" t="str">
        <f t="shared" si="54"/>
        <v>19421193</v>
      </c>
      <c r="C756" s="4" t="str">
        <f t="shared" si="55"/>
        <v>GSE12276</v>
      </c>
      <c r="D756" s="1" t="s">
        <v>45</v>
      </c>
      <c r="E756" t="s">
        <v>52</v>
      </c>
      <c r="F756" s="1">
        <v>4</v>
      </c>
      <c r="G756" s="1" t="s">
        <v>57</v>
      </c>
      <c r="H756" s="4" t="str">
        <f>HYPERLINK("https://www.ncbi.nlm.nih.gov/geo/query/acc.cgi?acc=GSM308404","GSM308404")</f>
        <v>GSM308404</v>
      </c>
      <c r="I756" t="s">
        <v>17</v>
      </c>
      <c r="J756" t="s">
        <v>18</v>
      </c>
      <c r="K756" t="s">
        <v>19</v>
      </c>
      <c r="L756" t="s">
        <v>20</v>
      </c>
      <c r="M756" t="s">
        <v>47</v>
      </c>
      <c r="N756" t="s">
        <v>29</v>
      </c>
    </row>
    <row r="757" spans="1:14">
      <c r="A757" s="4" t="str">
        <f t="shared" si="53"/>
        <v>EXP00013</v>
      </c>
      <c r="B757" s="4" t="str">
        <f t="shared" si="54"/>
        <v>19421193</v>
      </c>
      <c r="C757" s="4" t="str">
        <f t="shared" si="55"/>
        <v>GSE12276</v>
      </c>
      <c r="D757" s="1" t="s">
        <v>45</v>
      </c>
      <c r="E757" t="s">
        <v>52</v>
      </c>
      <c r="F757" s="1">
        <v>4</v>
      </c>
      <c r="G757" s="1" t="s">
        <v>57</v>
      </c>
      <c r="H757" s="4" t="str">
        <f>HYPERLINK("https://www.ncbi.nlm.nih.gov/geo/query/acc.cgi?acc=GSM308405","GSM308405")</f>
        <v>GSM308405</v>
      </c>
      <c r="I757" t="s">
        <v>17</v>
      </c>
      <c r="J757" t="s">
        <v>18</v>
      </c>
      <c r="K757" t="s">
        <v>19</v>
      </c>
      <c r="L757" t="s">
        <v>20</v>
      </c>
      <c r="M757" t="s">
        <v>47</v>
      </c>
      <c r="N757" t="s">
        <v>29</v>
      </c>
    </row>
    <row r="758" spans="1:14">
      <c r="A758" s="4" t="str">
        <f t="shared" si="53"/>
        <v>EXP00013</v>
      </c>
      <c r="B758" s="4" t="str">
        <f t="shared" si="54"/>
        <v>19421193</v>
      </c>
      <c r="C758" s="4" t="str">
        <f t="shared" si="55"/>
        <v>GSE12276</v>
      </c>
      <c r="D758" s="1" t="s">
        <v>45</v>
      </c>
      <c r="E758" t="s">
        <v>52</v>
      </c>
      <c r="F758" s="1">
        <v>4</v>
      </c>
      <c r="G758" s="1" t="s">
        <v>57</v>
      </c>
      <c r="H758" s="4" t="str">
        <f>HYPERLINK("https://www.ncbi.nlm.nih.gov/geo/query/acc.cgi?acc=GSM308407","GSM308407")</f>
        <v>GSM308407</v>
      </c>
      <c r="I758" t="s">
        <v>17</v>
      </c>
      <c r="J758" t="s">
        <v>18</v>
      </c>
      <c r="K758" t="s">
        <v>19</v>
      </c>
      <c r="L758" t="s">
        <v>20</v>
      </c>
      <c r="M758" t="s">
        <v>47</v>
      </c>
      <c r="N758" t="s">
        <v>29</v>
      </c>
    </row>
    <row r="759" spans="1:14">
      <c r="A759" s="4" t="str">
        <f t="shared" si="53"/>
        <v>EXP00013</v>
      </c>
      <c r="B759" s="4" t="str">
        <f t="shared" si="54"/>
        <v>19421193</v>
      </c>
      <c r="C759" s="4" t="str">
        <f t="shared" si="55"/>
        <v>GSE12276</v>
      </c>
      <c r="D759" s="1" t="s">
        <v>45</v>
      </c>
      <c r="E759" t="s">
        <v>52</v>
      </c>
      <c r="F759" s="1">
        <v>4</v>
      </c>
      <c r="G759" s="1" t="s">
        <v>57</v>
      </c>
      <c r="H759" s="4" t="str">
        <f>HYPERLINK("https://www.ncbi.nlm.nih.gov/geo/query/acc.cgi?acc=GSM308408","GSM308408")</f>
        <v>GSM308408</v>
      </c>
      <c r="I759" t="s">
        <v>17</v>
      </c>
      <c r="J759" t="s">
        <v>18</v>
      </c>
      <c r="K759" t="s">
        <v>19</v>
      </c>
      <c r="L759" t="s">
        <v>20</v>
      </c>
      <c r="M759" t="s">
        <v>47</v>
      </c>
      <c r="N759" t="s">
        <v>29</v>
      </c>
    </row>
    <row r="760" spans="1:14">
      <c r="A760" s="4" t="str">
        <f t="shared" si="53"/>
        <v>EXP00013</v>
      </c>
      <c r="B760" s="4" t="str">
        <f t="shared" si="54"/>
        <v>19421193</v>
      </c>
      <c r="C760" s="4" t="str">
        <f t="shared" si="55"/>
        <v>GSE12276</v>
      </c>
      <c r="D760" s="1" t="s">
        <v>45</v>
      </c>
      <c r="E760" t="s">
        <v>52</v>
      </c>
      <c r="F760" s="1">
        <v>4</v>
      </c>
      <c r="G760" s="1" t="s">
        <v>57</v>
      </c>
      <c r="H760" s="4" t="str">
        <f>HYPERLINK("https://www.ncbi.nlm.nih.gov/geo/query/acc.cgi?acc=GSM308410","GSM308410")</f>
        <v>GSM308410</v>
      </c>
      <c r="I760" t="s">
        <v>17</v>
      </c>
      <c r="J760" t="s">
        <v>18</v>
      </c>
      <c r="K760" t="s">
        <v>19</v>
      </c>
      <c r="L760" t="s">
        <v>20</v>
      </c>
      <c r="M760" t="s">
        <v>47</v>
      </c>
      <c r="N760" t="s">
        <v>29</v>
      </c>
    </row>
    <row r="761" spans="1:14">
      <c r="A761" s="4" t="str">
        <f t="shared" si="53"/>
        <v>EXP00013</v>
      </c>
      <c r="B761" s="4" t="str">
        <f t="shared" si="54"/>
        <v>19421193</v>
      </c>
      <c r="C761" s="4" t="str">
        <f t="shared" si="55"/>
        <v>GSE12276</v>
      </c>
      <c r="D761" s="1" t="s">
        <v>45</v>
      </c>
      <c r="E761" t="s">
        <v>52</v>
      </c>
      <c r="F761" s="1">
        <v>4</v>
      </c>
      <c r="G761" s="1" t="s">
        <v>57</v>
      </c>
      <c r="H761" s="4" t="str">
        <f>HYPERLINK("https://www.ncbi.nlm.nih.gov/geo/query/acc.cgi?acc=GSM308411","GSM308411")</f>
        <v>GSM308411</v>
      </c>
      <c r="I761" t="s">
        <v>17</v>
      </c>
      <c r="J761" t="s">
        <v>18</v>
      </c>
      <c r="K761" t="s">
        <v>19</v>
      </c>
      <c r="L761" t="s">
        <v>20</v>
      </c>
      <c r="M761" t="s">
        <v>47</v>
      </c>
      <c r="N761" t="s">
        <v>29</v>
      </c>
    </row>
    <row r="762" spans="1:14">
      <c r="A762" s="4" t="str">
        <f t="shared" si="53"/>
        <v>EXP00013</v>
      </c>
      <c r="B762" s="4" t="str">
        <f t="shared" si="54"/>
        <v>19421193</v>
      </c>
      <c r="C762" s="4" t="str">
        <f t="shared" si="55"/>
        <v>GSE12276</v>
      </c>
      <c r="D762" s="1" t="s">
        <v>45</v>
      </c>
      <c r="E762" t="s">
        <v>52</v>
      </c>
      <c r="F762" s="1">
        <v>4</v>
      </c>
      <c r="G762" s="1" t="s">
        <v>57</v>
      </c>
      <c r="H762" s="4" t="str">
        <f>HYPERLINK("https://www.ncbi.nlm.nih.gov/geo/query/acc.cgi?acc=GSM308412","GSM308412")</f>
        <v>GSM308412</v>
      </c>
      <c r="I762" t="s">
        <v>17</v>
      </c>
      <c r="J762" t="s">
        <v>18</v>
      </c>
      <c r="K762" t="s">
        <v>19</v>
      </c>
      <c r="L762" t="s">
        <v>20</v>
      </c>
      <c r="M762" t="s">
        <v>47</v>
      </c>
      <c r="N762" t="s">
        <v>29</v>
      </c>
    </row>
    <row r="763" spans="1:14">
      <c r="A763" s="4" t="str">
        <f t="shared" si="53"/>
        <v>EXP00013</v>
      </c>
      <c r="B763" s="4" t="str">
        <f t="shared" si="54"/>
        <v>19421193</v>
      </c>
      <c r="C763" s="4" t="str">
        <f t="shared" si="55"/>
        <v>GSE12276</v>
      </c>
      <c r="D763" s="1" t="s">
        <v>45</v>
      </c>
      <c r="E763" t="s">
        <v>52</v>
      </c>
      <c r="F763" s="1">
        <v>4</v>
      </c>
      <c r="G763" s="1" t="s">
        <v>57</v>
      </c>
      <c r="H763" s="4" t="str">
        <f>HYPERLINK("https://www.ncbi.nlm.nih.gov/geo/query/acc.cgi?acc=GSM308414","GSM308414")</f>
        <v>GSM308414</v>
      </c>
      <c r="I763" t="s">
        <v>17</v>
      </c>
      <c r="J763" t="s">
        <v>18</v>
      </c>
      <c r="K763" t="s">
        <v>19</v>
      </c>
      <c r="L763" t="s">
        <v>20</v>
      </c>
      <c r="M763" t="s">
        <v>47</v>
      </c>
      <c r="N763" t="s">
        <v>29</v>
      </c>
    </row>
    <row r="764" spans="1:14">
      <c r="A764" s="4" t="str">
        <f t="shared" si="53"/>
        <v>EXP00013</v>
      </c>
      <c r="B764" s="4" t="str">
        <f t="shared" si="54"/>
        <v>19421193</v>
      </c>
      <c r="C764" s="4" t="str">
        <f t="shared" si="55"/>
        <v>GSE12276</v>
      </c>
      <c r="D764" s="1" t="s">
        <v>45</v>
      </c>
      <c r="E764" t="s">
        <v>52</v>
      </c>
      <c r="F764" s="1">
        <v>4</v>
      </c>
      <c r="G764" s="1" t="s">
        <v>57</v>
      </c>
      <c r="H764" s="4" t="str">
        <f>HYPERLINK("https://www.ncbi.nlm.nih.gov/geo/query/acc.cgi?acc=GSM308415","GSM308415")</f>
        <v>GSM308415</v>
      </c>
      <c r="I764" t="s">
        <v>17</v>
      </c>
      <c r="J764" t="s">
        <v>18</v>
      </c>
      <c r="K764" t="s">
        <v>19</v>
      </c>
      <c r="L764" t="s">
        <v>20</v>
      </c>
      <c r="M764" t="s">
        <v>47</v>
      </c>
      <c r="N764" t="s">
        <v>29</v>
      </c>
    </row>
    <row r="765" spans="1:14">
      <c r="A765" s="4" t="str">
        <f t="shared" si="53"/>
        <v>EXP00013</v>
      </c>
      <c r="B765" s="4" t="str">
        <f t="shared" si="54"/>
        <v>19421193</v>
      </c>
      <c r="C765" s="4" t="str">
        <f t="shared" si="55"/>
        <v>GSE12276</v>
      </c>
      <c r="D765" s="1" t="s">
        <v>45</v>
      </c>
      <c r="E765" t="s">
        <v>52</v>
      </c>
      <c r="F765" s="1">
        <v>4</v>
      </c>
      <c r="G765" s="1" t="s">
        <v>57</v>
      </c>
      <c r="H765" s="4" t="str">
        <f>HYPERLINK("https://www.ncbi.nlm.nih.gov/geo/query/acc.cgi?acc=GSM308416","GSM308416")</f>
        <v>GSM308416</v>
      </c>
      <c r="I765" t="s">
        <v>17</v>
      </c>
      <c r="J765" t="s">
        <v>18</v>
      </c>
      <c r="K765" t="s">
        <v>19</v>
      </c>
      <c r="L765" t="s">
        <v>20</v>
      </c>
      <c r="M765" t="s">
        <v>47</v>
      </c>
      <c r="N765" t="s">
        <v>29</v>
      </c>
    </row>
    <row r="766" spans="1:14">
      <c r="A766" s="4" t="str">
        <f t="shared" si="53"/>
        <v>EXP00013</v>
      </c>
      <c r="B766" s="4" t="str">
        <f t="shared" si="54"/>
        <v>19421193</v>
      </c>
      <c r="C766" s="4" t="str">
        <f t="shared" si="55"/>
        <v>GSE12276</v>
      </c>
      <c r="D766" s="1" t="s">
        <v>45</v>
      </c>
      <c r="E766" t="s">
        <v>52</v>
      </c>
      <c r="F766" s="1">
        <v>4</v>
      </c>
      <c r="G766" s="1" t="s">
        <v>57</v>
      </c>
      <c r="H766" s="4" t="str">
        <f>HYPERLINK("https://www.ncbi.nlm.nih.gov/geo/query/acc.cgi?acc=GSM308417","GSM308417")</f>
        <v>GSM308417</v>
      </c>
      <c r="I766" t="s">
        <v>17</v>
      </c>
      <c r="J766" t="s">
        <v>18</v>
      </c>
      <c r="K766" t="s">
        <v>19</v>
      </c>
      <c r="L766" t="s">
        <v>20</v>
      </c>
      <c r="M766" t="s">
        <v>47</v>
      </c>
      <c r="N766" t="s">
        <v>29</v>
      </c>
    </row>
    <row r="767" spans="1:14">
      <c r="A767" s="4" t="str">
        <f t="shared" si="53"/>
        <v>EXP00013</v>
      </c>
      <c r="B767" s="4" t="str">
        <f t="shared" si="54"/>
        <v>19421193</v>
      </c>
      <c r="C767" s="4" t="str">
        <f t="shared" si="55"/>
        <v>GSE12276</v>
      </c>
      <c r="D767" s="1" t="s">
        <v>45</v>
      </c>
      <c r="E767" t="s">
        <v>52</v>
      </c>
      <c r="F767" s="1">
        <v>4</v>
      </c>
      <c r="G767" s="1" t="s">
        <v>57</v>
      </c>
      <c r="H767" s="4" t="str">
        <f>HYPERLINK("https://www.ncbi.nlm.nih.gov/geo/query/acc.cgi?acc=GSM308418","GSM308418")</f>
        <v>GSM308418</v>
      </c>
      <c r="I767" t="s">
        <v>17</v>
      </c>
      <c r="J767" t="s">
        <v>18</v>
      </c>
      <c r="K767" t="s">
        <v>19</v>
      </c>
      <c r="L767" t="s">
        <v>20</v>
      </c>
      <c r="M767" t="s">
        <v>47</v>
      </c>
      <c r="N767" t="s">
        <v>29</v>
      </c>
    </row>
    <row r="768" spans="1:14">
      <c r="A768" s="4" t="str">
        <f t="shared" si="53"/>
        <v>EXP00013</v>
      </c>
      <c r="B768" s="4" t="str">
        <f t="shared" si="54"/>
        <v>19421193</v>
      </c>
      <c r="C768" s="4" t="str">
        <f t="shared" si="55"/>
        <v>GSE12276</v>
      </c>
      <c r="D768" s="1" t="s">
        <v>45</v>
      </c>
      <c r="E768" t="s">
        <v>52</v>
      </c>
      <c r="F768" s="1">
        <v>4</v>
      </c>
      <c r="G768" s="1" t="s">
        <v>57</v>
      </c>
      <c r="H768" s="4" t="str">
        <f>HYPERLINK("https://www.ncbi.nlm.nih.gov/geo/query/acc.cgi?acc=GSM308419","GSM308419")</f>
        <v>GSM308419</v>
      </c>
      <c r="I768" t="s">
        <v>17</v>
      </c>
      <c r="J768" t="s">
        <v>18</v>
      </c>
      <c r="K768" t="s">
        <v>19</v>
      </c>
      <c r="L768" t="s">
        <v>20</v>
      </c>
      <c r="M768" t="s">
        <v>47</v>
      </c>
      <c r="N768" t="s">
        <v>29</v>
      </c>
    </row>
    <row r="769" spans="1:14">
      <c r="A769" s="4" t="str">
        <f t="shared" si="53"/>
        <v>EXP00013</v>
      </c>
      <c r="B769" s="4" t="str">
        <f t="shared" si="54"/>
        <v>19421193</v>
      </c>
      <c r="C769" s="4" t="str">
        <f t="shared" si="55"/>
        <v>GSE12276</v>
      </c>
      <c r="D769" s="1" t="s">
        <v>45</v>
      </c>
      <c r="E769" t="s">
        <v>52</v>
      </c>
      <c r="F769" s="1">
        <v>4</v>
      </c>
      <c r="G769" s="1" t="s">
        <v>57</v>
      </c>
      <c r="H769" s="4" t="str">
        <f>HYPERLINK("https://www.ncbi.nlm.nih.gov/geo/query/acc.cgi?acc=GSM308420","GSM308420")</f>
        <v>GSM308420</v>
      </c>
      <c r="I769" t="s">
        <v>17</v>
      </c>
      <c r="J769" t="s">
        <v>18</v>
      </c>
      <c r="K769" t="s">
        <v>19</v>
      </c>
      <c r="L769" t="s">
        <v>20</v>
      </c>
      <c r="M769" t="s">
        <v>47</v>
      </c>
      <c r="N769" t="s">
        <v>29</v>
      </c>
    </row>
    <row r="770" spans="1:14">
      <c r="A770" s="4" t="str">
        <f t="shared" si="53"/>
        <v>EXP00013</v>
      </c>
      <c r="B770" s="4" t="str">
        <f t="shared" si="54"/>
        <v>19421193</v>
      </c>
      <c r="C770" s="4" t="str">
        <f t="shared" si="55"/>
        <v>GSE12276</v>
      </c>
      <c r="D770" s="1" t="s">
        <v>45</v>
      </c>
      <c r="E770" t="s">
        <v>52</v>
      </c>
      <c r="F770" s="1">
        <v>4</v>
      </c>
      <c r="G770" s="1" t="s">
        <v>57</v>
      </c>
      <c r="H770" s="4" t="str">
        <f>HYPERLINK("https://www.ncbi.nlm.nih.gov/geo/query/acc.cgi?acc=GSM308421","GSM308421")</f>
        <v>GSM308421</v>
      </c>
      <c r="I770" t="s">
        <v>17</v>
      </c>
      <c r="J770" t="s">
        <v>18</v>
      </c>
      <c r="K770" t="s">
        <v>19</v>
      </c>
      <c r="L770" t="s">
        <v>20</v>
      </c>
      <c r="M770" t="s">
        <v>47</v>
      </c>
      <c r="N770" t="s">
        <v>29</v>
      </c>
    </row>
    <row r="771" spans="1:14">
      <c r="A771" s="4" t="str">
        <f t="shared" si="53"/>
        <v>EXP00013</v>
      </c>
      <c r="B771" s="4" t="str">
        <f t="shared" si="54"/>
        <v>19421193</v>
      </c>
      <c r="C771" s="4" t="str">
        <f t="shared" si="55"/>
        <v>GSE12276</v>
      </c>
      <c r="D771" s="1" t="s">
        <v>45</v>
      </c>
      <c r="E771" t="s">
        <v>52</v>
      </c>
      <c r="F771" s="1">
        <v>4</v>
      </c>
      <c r="G771" s="1" t="s">
        <v>57</v>
      </c>
      <c r="H771" s="4" t="str">
        <f>HYPERLINK("https://www.ncbi.nlm.nih.gov/geo/query/acc.cgi?acc=GSM308422","GSM308422")</f>
        <v>GSM308422</v>
      </c>
      <c r="I771" t="s">
        <v>17</v>
      </c>
      <c r="J771" t="s">
        <v>18</v>
      </c>
      <c r="K771" t="s">
        <v>19</v>
      </c>
      <c r="L771" t="s">
        <v>20</v>
      </c>
      <c r="M771" t="s">
        <v>47</v>
      </c>
      <c r="N771" t="s">
        <v>29</v>
      </c>
    </row>
    <row r="772" spans="1:14">
      <c r="A772" s="4" t="str">
        <f t="shared" si="53"/>
        <v>EXP00013</v>
      </c>
      <c r="B772" s="4" t="str">
        <f t="shared" si="54"/>
        <v>19421193</v>
      </c>
      <c r="C772" s="4" t="str">
        <f t="shared" si="55"/>
        <v>GSE12276</v>
      </c>
      <c r="D772" s="1" t="s">
        <v>45</v>
      </c>
      <c r="E772" t="s">
        <v>52</v>
      </c>
      <c r="F772" s="1">
        <v>4</v>
      </c>
      <c r="G772" s="1" t="s">
        <v>57</v>
      </c>
      <c r="H772" s="4" t="str">
        <f>HYPERLINK("https://www.ncbi.nlm.nih.gov/geo/query/acc.cgi?acc=GSM308423","GSM308423")</f>
        <v>GSM308423</v>
      </c>
      <c r="I772" t="s">
        <v>17</v>
      </c>
      <c r="J772" t="s">
        <v>18</v>
      </c>
      <c r="K772" t="s">
        <v>19</v>
      </c>
      <c r="L772" t="s">
        <v>20</v>
      </c>
      <c r="M772" t="s">
        <v>47</v>
      </c>
      <c r="N772" t="s">
        <v>29</v>
      </c>
    </row>
    <row r="773" spans="1:14">
      <c r="A773" s="4" t="str">
        <f t="shared" si="53"/>
        <v>EXP00013</v>
      </c>
      <c r="B773" s="4" t="str">
        <f t="shared" si="54"/>
        <v>19421193</v>
      </c>
      <c r="C773" s="4" t="str">
        <f t="shared" si="55"/>
        <v>GSE12276</v>
      </c>
      <c r="D773" s="1" t="s">
        <v>45</v>
      </c>
      <c r="E773" t="s">
        <v>52</v>
      </c>
      <c r="F773" s="1">
        <v>4</v>
      </c>
      <c r="G773" s="1" t="s">
        <v>57</v>
      </c>
      <c r="H773" s="4" t="str">
        <f>HYPERLINK("https://www.ncbi.nlm.nih.gov/geo/query/acc.cgi?acc=GSM308424","GSM308424")</f>
        <v>GSM308424</v>
      </c>
      <c r="I773" t="s">
        <v>17</v>
      </c>
      <c r="J773" t="s">
        <v>18</v>
      </c>
      <c r="K773" t="s">
        <v>19</v>
      </c>
      <c r="L773" t="s">
        <v>20</v>
      </c>
      <c r="M773" t="s">
        <v>47</v>
      </c>
      <c r="N773" t="s">
        <v>29</v>
      </c>
    </row>
    <row r="774" spans="1:14">
      <c r="A774" s="4" t="str">
        <f t="shared" si="53"/>
        <v>EXP00013</v>
      </c>
      <c r="B774" s="4" t="str">
        <f t="shared" si="54"/>
        <v>19421193</v>
      </c>
      <c r="C774" s="4" t="str">
        <f t="shared" si="55"/>
        <v>GSE12276</v>
      </c>
      <c r="D774" s="1" t="s">
        <v>45</v>
      </c>
      <c r="E774" t="s">
        <v>52</v>
      </c>
      <c r="F774" s="1">
        <v>4</v>
      </c>
      <c r="G774" s="1" t="s">
        <v>57</v>
      </c>
      <c r="H774" s="4" t="str">
        <f>HYPERLINK("https://www.ncbi.nlm.nih.gov/geo/query/acc.cgi?acc=GSM308425","GSM308425")</f>
        <v>GSM308425</v>
      </c>
      <c r="I774" t="s">
        <v>17</v>
      </c>
      <c r="J774" t="s">
        <v>18</v>
      </c>
      <c r="K774" t="s">
        <v>19</v>
      </c>
      <c r="L774" t="s">
        <v>20</v>
      </c>
      <c r="M774" t="s">
        <v>47</v>
      </c>
      <c r="N774" t="s">
        <v>29</v>
      </c>
    </row>
    <row r="775" spans="1:14">
      <c r="A775" s="4" t="str">
        <f t="shared" si="53"/>
        <v>EXP00013</v>
      </c>
      <c r="B775" s="4" t="str">
        <f t="shared" si="54"/>
        <v>19421193</v>
      </c>
      <c r="C775" s="4" t="str">
        <f t="shared" si="55"/>
        <v>GSE12276</v>
      </c>
      <c r="D775" s="1" t="s">
        <v>45</v>
      </c>
      <c r="E775" t="s">
        <v>52</v>
      </c>
      <c r="F775" s="1">
        <v>4</v>
      </c>
      <c r="G775" s="1" t="s">
        <v>57</v>
      </c>
      <c r="H775" s="4" t="str">
        <f>HYPERLINK("https://www.ncbi.nlm.nih.gov/geo/query/acc.cgi?acc=GSM308426","GSM308426")</f>
        <v>GSM308426</v>
      </c>
      <c r="I775" t="s">
        <v>17</v>
      </c>
      <c r="J775" t="s">
        <v>18</v>
      </c>
      <c r="K775" t="s">
        <v>19</v>
      </c>
      <c r="L775" t="s">
        <v>20</v>
      </c>
      <c r="M775" t="s">
        <v>47</v>
      </c>
      <c r="N775" t="s">
        <v>29</v>
      </c>
    </row>
    <row r="776" spans="1:14">
      <c r="A776" s="4" t="str">
        <f t="shared" si="53"/>
        <v>EXP00013</v>
      </c>
      <c r="B776" s="4" t="str">
        <f t="shared" si="54"/>
        <v>19421193</v>
      </c>
      <c r="C776" s="4" t="str">
        <f t="shared" si="55"/>
        <v>GSE12276</v>
      </c>
      <c r="D776" s="1" t="s">
        <v>45</v>
      </c>
      <c r="E776" t="s">
        <v>52</v>
      </c>
      <c r="F776" s="1">
        <v>4</v>
      </c>
      <c r="G776" s="1" t="s">
        <v>57</v>
      </c>
      <c r="H776" s="4" t="str">
        <f>HYPERLINK("https://www.ncbi.nlm.nih.gov/geo/query/acc.cgi?acc=GSM308427","GSM308427")</f>
        <v>GSM308427</v>
      </c>
      <c r="I776" t="s">
        <v>17</v>
      </c>
      <c r="J776" t="s">
        <v>18</v>
      </c>
      <c r="K776" t="s">
        <v>19</v>
      </c>
      <c r="L776" t="s">
        <v>20</v>
      </c>
      <c r="M776" t="s">
        <v>47</v>
      </c>
      <c r="N776" t="s">
        <v>29</v>
      </c>
    </row>
    <row r="777" spans="1:14">
      <c r="A777" s="4" t="str">
        <f t="shared" si="53"/>
        <v>EXP00013</v>
      </c>
      <c r="B777" s="4" t="str">
        <f t="shared" si="54"/>
        <v>19421193</v>
      </c>
      <c r="C777" s="4" t="str">
        <f t="shared" si="55"/>
        <v>GSE12276</v>
      </c>
      <c r="D777" s="1" t="s">
        <v>45</v>
      </c>
      <c r="E777" t="s">
        <v>52</v>
      </c>
      <c r="F777" s="1">
        <v>4</v>
      </c>
      <c r="G777" s="1" t="s">
        <v>57</v>
      </c>
      <c r="H777" s="4" t="str">
        <f>HYPERLINK("https://www.ncbi.nlm.nih.gov/geo/query/acc.cgi?acc=GSM308428","GSM308428")</f>
        <v>GSM308428</v>
      </c>
      <c r="I777" t="s">
        <v>17</v>
      </c>
      <c r="J777" t="s">
        <v>18</v>
      </c>
      <c r="K777" t="s">
        <v>19</v>
      </c>
      <c r="L777" t="s">
        <v>20</v>
      </c>
      <c r="M777" t="s">
        <v>47</v>
      </c>
      <c r="N777" t="s">
        <v>29</v>
      </c>
    </row>
    <row r="778" spans="1:14">
      <c r="A778" s="4" t="str">
        <f t="shared" si="53"/>
        <v>EXP00013</v>
      </c>
      <c r="B778" s="4" t="str">
        <f t="shared" si="54"/>
        <v>19421193</v>
      </c>
      <c r="C778" s="4" t="str">
        <f t="shared" si="55"/>
        <v>GSE12276</v>
      </c>
      <c r="D778" s="1" t="s">
        <v>45</v>
      </c>
      <c r="E778" t="s">
        <v>52</v>
      </c>
      <c r="F778" s="1">
        <v>4</v>
      </c>
      <c r="G778" s="1" t="s">
        <v>57</v>
      </c>
      <c r="H778" s="4" t="str">
        <f>HYPERLINK("https://www.ncbi.nlm.nih.gov/geo/query/acc.cgi?acc=GSM308429","GSM308429")</f>
        <v>GSM308429</v>
      </c>
      <c r="I778" t="s">
        <v>17</v>
      </c>
      <c r="J778" t="s">
        <v>18</v>
      </c>
      <c r="K778" t="s">
        <v>19</v>
      </c>
      <c r="L778" t="s">
        <v>20</v>
      </c>
      <c r="M778" t="s">
        <v>47</v>
      </c>
      <c r="N778" t="s">
        <v>29</v>
      </c>
    </row>
    <row r="779" spans="1:14">
      <c r="A779" s="4" t="str">
        <f t="shared" si="53"/>
        <v>EXP00013</v>
      </c>
      <c r="B779" s="4" t="str">
        <f t="shared" si="54"/>
        <v>19421193</v>
      </c>
      <c r="C779" s="4" t="str">
        <f t="shared" si="55"/>
        <v>GSE12276</v>
      </c>
      <c r="D779" s="1" t="s">
        <v>45</v>
      </c>
      <c r="E779" t="s">
        <v>52</v>
      </c>
      <c r="F779" s="1">
        <v>4</v>
      </c>
      <c r="G779" s="1" t="s">
        <v>57</v>
      </c>
      <c r="H779" s="4" t="str">
        <f>HYPERLINK("https://www.ncbi.nlm.nih.gov/geo/query/acc.cgi?acc=GSM308430","GSM308430")</f>
        <v>GSM308430</v>
      </c>
      <c r="I779" t="s">
        <v>17</v>
      </c>
      <c r="J779" t="s">
        <v>18</v>
      </c>
      <c r="K779" t="s">
        <v>19</v>
      </c>
      <c r="L779" t="s">
        <v>20</v>
      </c>
      <c r="M779" t="s">
        <v>47</v>
      </c>
      <c r="N779" t="s">
        <v>29</v>
      </c>
    </row>
    <row r="780" spans="1:14">
      <c r="A780" s="4" t="str">
        <f t="shared" si="53"/>
        <v>EXP00013</v>
      </c>
      <c r="B780" s="4" t="str">
        <f t="shared" si="54"/>
        <v>19421193</v>
      </c>
      <c r="C780" s="4" t="str">
        <f t="shared" si="55"/>
        <v>GSE12276</v>
      </c>
      <c r="D780" s="1" t="s">
        <v>45</v>
      </c>
      <c r="E780" t="s">
        <v>52</v>
      </c>
      <c r="F780" s="1">
        <v>4</v>
      </c>
      <c r="G780" s="1" t="s">
        <v>57</v>
      </c>
      <c r="H780" s="4" t="str">
        <f>HYPERLINK("https://www.ncbi.nlm.nih.gov/geo/query/acc.cgi?acc=GSM308431","GSM308431")</f>
        <v>GSM308431</v>
      </c>
      <c r="I780" t="s">
        <v>17</v>
      </c>
      <c r="J780" t="s">
        <v>18</v>
      </c>
      <c r="K780" t="s">
        <v>19</v>
      </c>
      <c r="L780" t="s">
        <v>20</v>
      </c>
      <c r="M780" t="s">
        <v>47</v>
      </c>
      <c r="N780" t="s">
        <v>29</v>
      </c>
    </row>
    <row r="781" spans="1:14">
      <c r="A781" s="4" t="str">
        <f t="shared" si="53"/>
        <v>EXP00013</v>
      </c>
      <c r="B781" s="4" t="str">
        <f t="shared" si="54"/>
        <v>19421193</v>
      </c>
      <c r="C781" s="4" t="str">
        <f t="shared" si="55"/>
        <v>GSE12276</v>
      </c>
      <c r="D781" s="1" t="s">
        <v>45</v>
      </c>
      <c r="E781" t="s">
        <v>52</v>
      </c>
      <c r="F781" s="1">
        <v>4</v>
      </c>
      <c r="G781" s="1" t="s">
        <v>57</v>
      </c>
      <c r="H781" s="4" t="str">
        <f>HYPERLINK("https://www.ncbi.nlm.nih.gov/geo/query/acc.cgi?acc=GSM308432","GSM308432")</f>
        <v>GSM308432</v>
      </c>
      <c r="I781" t="s">
        <v>17</v>
      </c>
      <c r="J781" t="s">
        <v>18</v>
      </c>
      <c r="K781" t="s">
        <v>19</v>
      </c>
      <c r="L781" t="s">
        <v>20</v>
      </c>
      <c r="M781" t="s">
        <v>47</v>
      </c>
      <c r="N781" t="s">
        <v>29</v>
      </c>
    </row>
    <row r="782" spans="1:14">
      <c r="A782" s="4" t="str">
        <f t="shared" si="53"/>
        <v>EXP00013</v>
      </c>
      <c r="B782" s="4" t="str">
        <f t="shared" si="54"/>
        <v>19421193</v>
      </c>
      <c r="C782" s="4" t="str">
        <f t="shared" si="55"/>
        <v>GSE12276</v>
      </c>
      <c r="D782" s="1" t="s">
        <v>45</v>
      </c>
      <c r="E782" t="s">
        <v>52</v>
      </c>
      <c r="F782" s="1">
        <v>4</v>
      </c>
      <c r="G782" s="1" t="s">
        <v>57</v>
      </c>
      <c r="H782" s="4" t="str">
        <f>HYPERLINK("https://www.ncbi.nlm.nih.gov/geo/query/acc.cgi?acc=GSM308433","GSM308433")</f>
        <v>GSM308433</v>
      </c>
      <c r="I782" t="s">
        <v>17</v>
      </c>
      <c r="J782" t="s">
        <v>18</v>
      </c>
      <c r="K782" t="s">
        <v>19</v>
      </c>
      <c r="L782" t="s">
        <v>20</v>
      </c>
      <c r="M782" t="s">
        <v>47</v>
      </c>
      <c r="N782" t="s">
        <v>29</v>
      </c>
    </row>
    <row r="783" spans="1:14">
      <c r="A783" s="4" t="str">
        <f t="shared" si="53"/>
        <v>EXP00013</v>
      </c>
      <c r="B783" s="4" t="str">
        <f t="shared" si="54"/>
        <v>19421193</v>
      </c>
      <c r="C783" s="4" t="str">
        <f t="shared" si="55"/>
        <v>GSE12276</v>
      </c>
      <c r="D783" s="1" t="s">
        <v>45</v>
      </c>
      <c r="E783" t="s">
        <v>52</v>
      </c>
      <c r="F783" s="1">
        <v>4</v>
      </c>
      <c r="G783" s="1" t="s">
        <v>57</v>
      </c>
      <c r="H783" s="4" t="str">
        <f>HYPERLINK("https://www.ncbi.nlm.nih.gov/geo/query/acc.cgi?acc=GSM308434","GSM308434")</f>
        <v>GSM308434</v>
      </c>
      <c r="I783" t="s">
        <v>17</v>
      </c>
      <c r="J783" t="s">
        <v>18</v>
      </c>
      <c r="K783" t="s">
        <v>19</v>
      </c>
      <c r="L783" t="s">
        <v>20</v>
      </c>
      <c r="M783" t="s">
        <v>47</v>
      </c>
      <c r="N783" t="s">
        <v>29</v>
      </c>
    </row>
    <row r="784" spans="1:14">
      <c r="A784" s="4" t="str">
        <f t="shared" si="53"/>
        <v>EXP00013</v>
      </c>
      <c r="B784" s="4" t="str">
        <f t="shared" si="54"/>
        <v>19421193</v>
      </c>
      <c r="C784" s="4" t="str">
        <f t="shared" si="55"/>
        <v>GSE12276</v>
      </c>
      <c r="D784" s="1" t="s">
        <v>45</v>
      </c>
      <c r="E784" t="s">
        <v>52</v>
      </c>
      <c r="F784" s="1">
        <v>4</v>
      </c>
      <c r="G784" s="1" t="s">
        <v>57</v>
      </c>
      <c r="H784" s="4" t="str">
        <f>HYPERLINK("https://www.ncbi.nlm.nih.gov/geo/query/acc.cgi?acc=GSM308435","GSM308435")</f>
        <v>GSM308435</v>
      </c>
      <c r="I784" t="s">
        <v>17</v>
      </c>
      <c r="J784" t="s">
        <v>18</v>
      </c>
      <c r="K784" t="s">
        <v>19</v>
      </c>
      <c r="L784" t="s">
        <v>20</v>
      </c>
      <c r="M784" t="s">
        <v>47</v>
      </c>
      <c r="N784" t="s">
        <v>29</v>
      </c>
    </row>
    <row r="785" spans="1:14">
      <c r="A785" s="4" t="str">
        <f t="shared" si="53"/>
        <v>EXP00013</v>
      </c>
      <c r="B785" s="4" t="str">
        <f t="shared" si="54"/>
        <v>19421193</v>
      </c>
      <c r="C785" s="4" t="str">
        <f t="shared" si="55"/>
        <v>GSE12276</v>
      </c>
      <c r="D785" s="1" t="s">
        <v>45</v>
      </c>
      <c r="E785" t="s">
        <v>52</v>
      </c>
      <c r="F785" s="1">
        <v>4</v>
      </c>
      <c r="G785" s="1" t="s">
        <v>57</v>
      </c>
      <c r="H785" s="4" t="str">
        <f>HYPERLINK("https://www.ncbi.nlm.nih.gov/geo/query/acc.cgi?acc=GSM308436","GSM308436")</f>
        <v>GSM308436</v>
      </c>
      <c r="I785" t="s">
        <v>17</v>
      </c>
      <c r="J785" t="s">
        <v>18</v>
      </c>
      <c r="K785" t="s">
        <v>19</v>
      </c>
      <c r="L785" t="s">
        <v>20</v>
      </c>
      <c r="M785" t="s">
        <v>47</v>
      </c>
      <c r="N785" t="s">
        <v>29</v>
      </c>
    </row>
    <row r="786" spans="1:14">
      <c r="A786" s="4" t="str">
        <f t="shared" si="53"/>
        <v>EXP00013</v>
      </c>
      <c r="B786" s="4" t="str">
        <f t="shared" si="54"/>
        <v>19421193</v>
      </c>
      <c r="C786" s="4" t="str">
        <f t="shared" si="55"/>
        <v>GSE12276</v>
      </c>
      <c r="D786" s="1" t="s">
        <v>45</v>
      </c>
      <c r="E786" t="s">
        <v>52</v>
      </c>
      <c r="F786" s="1">
        <v>4</v>
      </c>
      <c r="G786" s="1" t="s">
        <v>57</v>
      </c>
      <c r="H786" s="4" t="str">
        <f>HYPERLINK("https://www.ncbi.nlm.nih.gov/geo/query/acc.cgi?acc=GSM308437","GSM308437")</f>
        <v>GSM308437</v>
      </c>
      <c r="I786" t="s">
        <v>17</v>
      </c>
      <c r="J786" t="s">
        <v>18</v>
      </c>
      <c r="K786" t="s">
        <v>19</v>
      </c>
      <c r="L786" t="s">
        <v>20</v>
      </c>
      <c r="M786" t="s">
        <v>47</v>
      </c>
      <c r="N786" t="s">
        <v>29</v>
      </c>
    </row>
    <row r="787" spans="1:14">
      <c r="A787" s="4" t="str">
        <f t="shared" si="53"/>
        <v>EXP00013</v>
      </c>
      <c r="B787" s="4" t="str">
        <f t="shared" si="54"/>
        <v>19421193</v>
      </c>
      <c r="C787" s="4" t="str">
        <f t="shared" si="55"/>
        <v>GSE12276</v>
      </c>
      <c r="D787" s="1" t="s">
        <v>45</v>
      </c>
      <c r="E787" t="s">
        <v>52</v>
      </c>
      <c r="F787" s="1">
        <v>4</v>
      </c>
      <c r="G787" s="1" t="s">
        <v>57</v>
      </c>
      <c r="H787" s="4" t="str">
        <f>HYPERLINK("https://www.ncbi.nlm.nih.gov/geo/query/acc.cgi?acc=GSM308438","GSM308438")</f>
        <v>GSM308438</v>
      </c>
      <c r="I787" t="s">
        <v>17</v>
      </c>
      <c r="J787" t="s">
        <v>18</v>
      </c>
      <c r="K787" t="s">
        <v>19</v>
      </c>
      <c r="L787" t="s">
        <v>20</v>
      </c>
      <c r="M787" t="s">
        <v>47</v>
      </c>
      <c r="N787" t="s">
        <v>29</v>
      </c>
    </row>
    <row r="788" spans="1:14">
      <c r="A788" s="4" t="str">
        <f t="shared" si="53"/>
        <v>EXP00013</v>
      </c>
      <c r="B788" s="4" t="str">
        <f t="shared" si="54"/>
        <v>19421193</v>
      </c>
      <c r="C788" s="4" t="str">
        <f t="shared" si="55"/>
        <v>GSE12276</v>
      </c>
      <c r="D788" s="1" t="s">
        <v>45</v>
      </c>
      <c r="E788" t="s">
        <v>52</v>
      </c>
      <c r="F788" s="1">
        <v>4</v>
      </c>
      <c r="G788" s="1" t="s">
        <v>57</v>
      </c>
      <c r="H788" s="4" t="str">
        <f>HYPERLINK("https://www.ncbi.nlm.nih.gov/geo/query/acc.cgi?acc=GSM308439","GSM308439")</f>
        <v>GSM308439</v>
      </c>
      <c r="I788" t="s">
        <v>17</v>
      </c>
      <c r="J788" t="s">
        <v>18</v>
      </c>
      <c r="K788" t="s">
        <v>19</v>
      </c>
      <c r="L788" t="s">
        <v>20</v>
      </c>
      <c r="M788" t="s">
        <v>47</v>
      </c>
      <c r="N788" t="s">
        <v>29</v>
      </c>
    </row>
    <row r="789" spans="1:14">
      <c r="A789" s="4" t="str">
        <f t="shared" si="53"/>
        <v>EXP00013</v>
      </c>
      <c r="B789" s="4" t="str">
        <f t="shared" si="54"/>
        <v>19421193</v>
      </c>
      <c r="C789" s="4" t="str">
        <f t="shared" si="55"/>
        <v>GSE12276</v>
      </c>
      <c r="D789" s="1" t="s">
        <v>45</v>
      </c>
      <c r="E789" t="s">
        <v>52</v>
      </c>
      <c r="F789" s="1">
        <v>4</v>
      </c>
      <c r="G789" s="1" t="s">
        <v>57</v>
      </c>
      <c r="H789" s="4" t="str">
        <f>HYPERLINK("https://www.ncbi.nlm.nih.gov/geo/query/acc.cgi?acc=GSM308440","GSM308440")</f>
        <v>GSM308440</v>
      </c>
      <c r="I789" t="s">
        <v>17</v>
      </c>
      <c r="J789" t="s">
        <v>18</v>
      </c>
      <c r="K789" t="s">
        <v>19</v>
      </c>
      <c r="L789" t="s">
        <v>20</v>
      </c>
      <c r="M789" t="s">
        <v>47</v>
      </c>
      <c r="N789" t="s">
        <v>29</v>
      </c>
    </row>
    <row r="790" spans="1:14">
      <c r="A790" s="4" t="str">
        <f t="shared" si="53"/>
        <v>EXP00013</v>
      </c>
      <c r="B790" s="4" t="str">
        <f t="shared" si="54"/>
        <v>19421193</v>
      </c>
      <c r="C790" s="4" t="str">
        <f t="shared" si="55"/>
        <v>GSE12276</v>
      </c>
      <c r="D790" s="1" t="s">
        <v>45</v>
      </c>
      <c r="E790" t="s">
        <v>52</v>
      </c>
      <c r="F790" s="1">
        <v>4</v>
      </c>
      <c r="G790" s="1" t="s">
        <v>57</v>
      </c>
      <c r="H790" s="4" t="str">
        <f>HYPERLINK("https://www.ncbi.nlm.nih.gov/geo/query/acc.cgi?acc=GSM308441","GSM308441")</f>
        <v>GSM308441</v>
      </c>
      <c r="I790" t="s">
        <v>17</v>
      </c>
      <c r="J790" t="s">
        <v>18</v>
      </c>
      <c r="K790" t="s">
        <v>19</v>
      </c>
      <c r="L790" t="s">
        <v>20</v>
      </c>
      <c r="M790" t="s">
        <v>47</v>
      </c>
      <c r="N790" t="s">
        <v>29</v>
      </c>
    </row>
    <row r="791" spans="1:14">
      <c r="A791" s="4" t="str">
        <f t="shared" si="53"/>
        <v>EXP00013</v>
      </c>
      <c r="B791" s="4" t="str">
        <f t="shared" si="54"/>
        <v>19421193</v>
      </c>
      <c r="C791" s="4" t="str">
        <f t="shared" si="55"/>
        <v>GSE12276</v>
      </c>
      <c r="D791" s="1" t="s">
        <v>45</v>
      </c>
      <c r="E791" t="s">
        <v>52</v>
      </c>
      <c r="F791" s="1">
        <v>4</v>
      </c>
      <c r="G791" s="1" t="s">
        <v>57</v>
      </c>
      <c r="H791" s="4" t="str">
        <f>HYPERLINK("https://www.ncbi.nlm.nih.gov/geo/query/acc.cgi?acc=GSM308442","GSM308442")</f>
        <v>GSM308442</v>
      </c>
      <c r="I791" t="s">
        <v>17</v>
      </c>
      <c r="J791" t="s">
        <v>18</v>
      </c>
      <c r="K791" t="s">
        <v>19</v>
      </c>
      <c r="L791" t="s">
        <v>20</v>
      </c>
      <c r="M791" t="s">
        <v>47</v>
      </c>
      <c r="N791" t="s">
        <v>29</v>
      </c>
    </row>
    <row r="792" spans="1:14">
      <c r="A792" s="4" t="str">
        <f t="shared" si="53"/>
        <v>EXP00013</v>
      </c>
      <c r="B792" s="4" t="str">
        <f t="shared" si="54"/>
        <v>19421193</v>
      </c>
      <c r="C792" s="4" t="str">
        <f t="shared" si="55"/>
        <v>GSE12276</v>
      </c>
      <c r="D792" s="1" t="s">
        <v>45</v>
      </c>
      <c r="E792" t="s">
        <v>52</v>
      </c>
      <c r="F792" s="1">
        <v>4</v>
      </c>
      <c r="G792" s="1" t="s">
        <v>57</v>
      </c>
      <c r="H792" s="4" t="str">
        <f>HYPERLINK("https://www.ncbi.nlm.nih.gov/geo/query/acc.cgi?acc=GSM308443","GSM308443")</f>
        <v>GSM308443</v>
      </c>
      <c r="I792" t="s">
        <v>17</v>
      </c>
      <c r="J792" t="s">
        <v>18</v>
      </c>
      <c r="K792" t="s">
        <v>19</v>
      </c>
      <c r="L792" t="s">
        <v>20</v>
      </c>
      <c r="M792" t="s">
        <v>47</v>
      </c>
      <c r="N792" t="s">
        <v>29</v>
      </c>
    </row>
    <row r="793" spans="1:14">
      <c r="A793" s="4" t="str">
        <f t="shared" si="53"/>
        <v>EXP00013</v>
      </c>
      <c r="B793" s="4" t="str">
        <f t="shared" si="54"/>
        <v>19421193</v>
      </c>
      <c r="C793" s="4" t="str">
        <f t="shared" si="55"/>
        <v>GSE12276</v>
      </c>
      <c r="D793" s="1" t="s">
        <v>45</v>
      </c>
      <c r="E793" t="s">
        <v>52</v>
      </c>
      <c r="F793" s="1">
        <v>4</v>
      </c>
      <c r="G793" s="1" t="s">
        <v>57</v>
      </c>
      <c r="H793" s="4" t="str">
        <f>HYPERLINK("https://www.ncbi.nlm.nih.gov/geo/query/acc.cgi?acc=GSM308444","GSM308444")</f>
        <v>GSM308444</v>
      </c>
      <c r="I793" t="s">
        <v>17</v>
      </c>
      <c r="J793" t="s">
        <v>18</v>
      </c>
      <c r="K793" t="s">
        <v>19</v>
      </c>
      <c r="L793" t="s">
        <v>20</v>
      </c>
      <c r="M793" t="s">
        <v>47</v>
      </c>
      <c r="N793" t="s">
        <v>29</v>
      </c>
    </row>
    <row r="794" spans="1:14">
      <c r="A794" s="4" t="str">
        <f t="shared" si="53"/>
        <v>EXP00013</v>
      </c>
      <c r="B794" s="4" t="str">
        <f t="shared" si="54"/>
        <v>19421193</v>
      </c>
      <c r="C794" s="4" t="str">
        <f t="shared" si="55"/>
        <v>GSE12276</v>
      </c>
      <c r="D794" s="1" t="s">
        <v>45</v>
      </c>
      <c r="E794" t="s">
        <v>52</v>
      </c>
      <c r="F794" s="1">
        <v>4</v>
      </c>
      <c r="G794" s="1" t="s">
        <v>57</v>
      </c>
      <c r="H794" s="4" t="str">
        <f>HYPERLINK("https://www.ncbi.nlm.nih.gov/geo/query/acc.cgi?acc=GSM308445","GSM308445")</f>
        <v>GSM308445</v>
      </c>
      <c r="I794" t="s">
        <v>17</v>
      </c>
      <c r="J794" t="s">
        <v>18</v>
      </c>
      <c r="K794" t="s">
        <v>19</v>
      </c>
      <c r="L794" t="s">
        <v>20</v>
      </c>
      <c r="M794" t="s">
        <v>47</v>
      </c>
      <c r="N794" t="s">
        <v>29</v>
      </c>
    </row>
    <row r="795" spans="1:14">
      <c r="A795" s="4" t="str">
        <f t="shared" si="53"/>
        <v>EXP00013</v>
      </c>
      <c r="B795" s="4" t="str">
        <f t="shared" si="54"/>
        <v>19421193</v>
      </c>
      <c r="C795" s="4" t="str">
        <f t="shared" si="55"/>
        <v>GSE12276</v>
      </c>
      <c r="D795" s="1" t="s">
        <v>45</v>
      </c>
      <c r="E795" t="s">
        <v>52</v>
      </c>
      <c r="F795" s="1">
        <v>4</v>
      </c>
      <c r="G795" s="1" t="s">
        <v>57</v>
      </c>
      <c r="H795" s="4" t="str">
        <f>HYPERLINK("https://www.ncbi.nlm.nih.gov/geo/query/acc.cgi?acc=GSM308446","GSM308446")</f>
        <v>GSM308446</v>
      </c>
      <c r="I795" t="s">
        <v>17</v>
      </c>
      <c r="J795" t="s">
        <v>18</v>
      </c>
      <c r="K795" t="s">
        <v>19</v>
      </c>
      <c r="L795" t="s">
        <v>20</v>
      </c>
      <c r="M795" t="s">
        <v>47</v>
      </c>
      <c r="N795" t="s">
        <v>29</v>
      </c>
    </row>
    <row r="796" spans="1:14">
      <c r="A796" s="4" t="str">
        <f t="shared" si="53"/>
        <v>EXP00013</v>
      </c>
      <c r="B796" s="4" t="str">
        <f t="shared" si="54"/>
        <v>19421193</v>
      </c>
      <c r="C796" s="4" t="str">
        <f t="shared" si="55"/>
        <v>GSE12276</v>
      </c>
      <c r="D796" s="1" t="s">
        <v>45</v>
      </c>
      <c r="E796" t="s">
        <v>52</v>
      </c>
      <c r="F796" s="1">
        <v>4</v>
      </c>
      <c r="G796" s="1" t="s">
        <v>57</v>
      </c>
      <c r="H796" s="4" t="str">
        <f>HYPERLINK("https://www.ncbi.nlm.nih.gov/geo/query/acc.cgi?acc=GSM308447","GSM308447")</f>
        <v>GSM308447</v>
      </c>
      <c r="I796" t="s">
        <v>17</v>
      </c>
      <c r="J796" t="s">
        <v>18</v>
      </c>
      <c r="K796" t="s">
        <v>19</v>
      </c>
      <c r="L796" t="s">
        <v>20</v>
      </c>
      <c r="M796" t="s">
        <v>47</v>
      </c>
      <c r="N796" t="s">
        <v>29</v>
      </c>
    </row>
    <row r="797" spans="1:14">
      <c r="A797" s="4" t="str">
        <f t="shared" si="53"/>
        <v>EXP00013</v>
      </c>
      <c r="B797" s="4" t="str">
        <f t="shared" si="54"/>
        <v>19421193</v>
      </c>
      <c r="C797" s="4" t="str">
        <f t="shared" si="55"/>
        <v>GSE12276</v>
      </c>
      <c r="D797" s="1" t="s">
        <v>45</v>
      </c>
      <c r="E797" t="s">
        <v>52</v>
      </c>
      <c r="F797" s="1">
        <v>4</v>
      </c>
      <c r="G797" s="1" t="s">
        <v>57</v>
      </c>
      <c r="H797" s="4" t="str">
        <f>HYPERLINK("https://www.ncbi.nlm.nih.gov/geo/query/acc.cgi?acc=GSM308448","GSM308448")</f>
        <v>GSM308448</v>
      </c>
      <c r="I797" t="s">
        <v>17</v>
      </c>
      <c r="J797" t="s">
        <v>18</v>
      </c>
      <c r="K797" t="s">
        <v>19</v>
      </c>
      <c r="L797" t="s">
        <v>20</v>
      </c>
      <c r="M797" t="s">
        <v>47</v>
      </c>
      <c r="N797" t="s">
        <v>29</v>
      </c>
    </row>
    <row r="798" spans="1:14">
      <c r="A798" s="4" t="str">
        <f t="shared" ref="A798:A809" si="56">HYPERLINK("http://hcmdb.i-sanger.com/experiment/details/experiment_id/EXP00013","EXP00013")</f>
        <v>EXP00013</v>
      </c>
      <c r="B798" s="4" t="str">
        <f t="shared" ref="B798:B809" si="57">HYPERLINK("https://www.ncbi.nlm.nih.gov/pubmed/19421193","19421193")</f>
        <v>19421193</v>
      </c>
      <c r="C798" s="4" t="str">
        <f t="shared" ref="C798:C809" si="58">HYPERLINK("https://www.ncbi.nlm.nih.gov/geo/query/acc.cgi?acc=GSE12276","GSE12276")</f>
        <v>GSE12276</v>
      </c>
      <c r="D798" s="1" t="s">
        <v>45</v>
      </c>
      <c r="E798" t="s">
        <v>52</v>
      </c>
      <c r="F798" s="1">
        <v>4</v>
      </c>
      <c r="G798" s="1" t="s">
        <v>57</v>
      </c>
      <c r="H798" s="4" t="str">
        <f>HYPERLINK("https://www.ncbi.nlm.nih.gov/geo/query/acc.cgi?acc=GSM308449","GSM308449")</f>
        <v>GSM308449</v>
      </c>
      <c r="I798" t="s">
        <v>17</v>
      </c>
      <c r="J798" t="s">
        <v>18</v>
      </c>
      <c r="K798" t="s">
        <v>19</v>
      </c>
      <c r="L798" t="s">
        <v>20</v>
      </c>
      <c r="M798" t="s">
        <v>47</v>
      </c>
      <c r="N798" t="s">
        <v>29</v>
      </c>
    </row>
    <row r="799" spans="1:14">
      <c r="A799" s="4" t="str">
        <f t="shared" si="56"/>
        <v>EXP00013</v>
      </c>
      <c r="B799" s="4" t="str">
        <f t="shared" si="57"/>
        <v>19421193</v>
      </c>
      <c r="C799" s="4" t="str">
        <f t="shared" si="58"/>
        <v>GSE12276</v>
      </c>
      <c r="D799" s="1" t="s">
        <v>45</v>
      </c>
      <c r="E799" t="s">
        <v>52</v>
      </c>
      <c r="F799" s="1">
        <v>4</v>
      </c>
      <c r="G799" s="1" t="s">
        <v>57</v>
      </c>
      <c r="H799" s="4" t="str">
        <f>HYPERLINK("https://www.ncbi.nlm.nih.gov/geo/query/acc.cgi?acc=GSM308450","GSM308450")</f>
        <v>GSM308450</v>
      </c>
      <c r="I799" t="s">
        <v>17</v>
      </c>
      <c r="J799" t="s">
        <v>18</v>
      </c>
      <c r="K799" t="s">
        <v>19</v>
      </c>
      <c r="L799" t="s">
        <v>20</v>
      </c>
      <c r="M799" t="s">
        <v>47</v>
      </c>
      <c r="N799" t="s">
        <v>29</v>
      </c>
    </row>
    <row r="800" spans="1:14">
      <c r="A800" s="4" t="str">
        <f t="shared" si="56"/>
        <v>EXP00013</v>
      </c>
      <c r="B800" s="4" t="str">
        <f t="shared" si="57"/>
        <v>19421193</v>
      </c>
      <c r="C800" s="4" t="str">
        <f t="shared" si="58"/>
        <v>GSE12276</v>
      </c>
      <c r="D800" s="1" t="s">
        <v>45</v>
      </c>
      <c r="E800" t="s">
        <v>52</v>
      </c>
      <c r="F800" s="1">
        <v>4</v>
      </c>
      <c r="G800" s="1" t="s">
        <v>57</v>
      </c>
      <c r="H800" s="4" t="str">
        <f>HYPERLINK("https://www.ncbi.nlm.nih.gov/geo/query/acc.cgi?acc=GSM308451","GSM308451")</f>
        <v>GSM308451</v>
      </c>
      <c r="I800" t="s">
        <v>17</v>
      </c>
      <c r="J800" t="s">
        <v>18</v>
      </c>
      <c r="K800" t="s">
        <v>19</v>
      </c>
      <c r="L800" t="s">
        <v>20</v>
      </c>
      <c r="M800" t="s">
        <v>47</v>
      </c>
      <c r="N800" t="s">
        <v>29</v>
      </c>
    </row>
    <row r="801" spans="1:14">
      <c r="A801" s="4" t="str">
        <f t="shared" si="56"/>
        <v>EXP00013</v>
      </c>
      <c r="B801" s="4" t="str">
        <f t="shared" si="57"/>
        <v>19421193</v>
      </c>
      <c r="C801" s="4" t="str">
        <f t="shared" si="58"/>
        <v>GSE12276</v>
      </c>
      <c r="D801" s="1" t="s">
        <v>45</v>
      </c>
      <c r="E801" t="s">
        <v>52</v>
      </c>
      <c r="F801" s="1">
        <v>4</v>
      </c>
      <c r="G801" s="1" t="s">
        <v>57</v>
      </c>
      <c r="H801" s="4" t="str">
        <f>HYPERLINK("https://www.ncbi.nlm.nih.gov/geo/query/acc.cgi?acc=GSM308452","GSM308452")</f>
        <v>GSM308452</v>
      </c>
      <c r="I801" t="s">
        <v>17</v>
      </c>
      <c r="J801" t="s">
        <v>18</v>
      </c>
      <c r="K801" t="s">
        <v>19</v>
      </c>
      <c r="L801" t="s">
        <v>20</v>
      </c>
      <c r="M801" t="s">
        <v>47</v>
      </c>
      <c r="N801" t="s">
        <v>29</v>
      </c>
    </row>
    <row r="802" spans="1:14">
      <c r="A802" s="4" t="str">
        <f t="shared" si="56"/>
        <v>EXP00013</v>
      </c>
      <c r="B802" s="4" t="str">
        <f t="shared" si="57"/>
        <v>19421193</v>
      </c>
      <c r="C802" s="4" t="str">
        <f t="shared" si="58"/>
        <v>GSE12276</v>
      </c>
      <c r="D802" s="1" t="s">
        <v>45</v>
      </c>
      <c r="E802" t="s">
        <v>52</v>
      </c>
      <c r="F802" s="1">
        <v>4</v>
      </c>
      <c r="G802" s="1" t="s">
        <v>57</v>
      </c>
      <c r="H802" s="4" t="str">
        <f>HYPERLINK("https://www.ncbi.nlm.nih.gov/geo/query/acc.cgi?acc=GSM308453","GSM308453")</f>
        <v>GSM308453</v>
      </c>
      <c r="I802" t="s">
        <v>17</v>
      </c>
      <c r="J802" t="s">
        <v>18</v>
      </c>
      <c r="K802" t="s">
        <v>19</v>
      </c>
      <c r="L802" t="s">
        <v>20</v>
      </c>
      <c r="M802" t="s">
        <v>47</v>
      </c>
      <c r="N802" t="s">
        <v>29</v>
      </c>
    </row>
    <row r="803" spans="1:14">
      <c r="A803" s="4" t="str">
        <f t="shared" si="56"/>
        <v>EXP00013</v>
      </c>
      <c r="B803" s="4" t="str">
        <f t="shared" si="57"/>
        <v>19421193</v>
      </c>
      <c r="C803" s="4" t="str">
        <f t="shared" si="58"/>
        <v>GSE12276</v>
      </c>
      <c r="D803" s="1" t="s">
        <v>45</v>
      </c>
      <c r="E803" t="s">
        <v>52</v>
      </c>
      <c r="F803" s="1">
        <v>4</v>
      </c>
      <c r="G803" s="1" t="s">
        <v>57</v>
      </c>
      <c r="H803" s="4" t="str">
        <f>HYPERLINK("https://www.ncbi.nlm.nih.gov/geo/query/acc.cgi?acc=GSM308454","GSM308454")</f>
        <v>GSM308454</v>
      </c>
      <c r="I803" t="s">
        <v>17</v>
      </c>
      <c r="J803" t="s">
        <v>18</v>
      </c>
      <c r="K803" t="s">
        <v>19</v>
      </c>
      <c r="L803" t="s">
        <v>20</v>
      </c>
      <c r="M803" t="s">
        <v>47</v>
      </c>
      <c r="N803" t="s">
        <v>29</v>
      </c>
    </row>
    <row r="804" spans="1:14">
      <c r="A804" s="4" t="str">
        <f t="shared" si="56"/>
        <v>EXP00013</v>
      </c>
      <c r="B804" s="4" t="str">
        <f t="shared" si="57"/>
        <v>19421193</v>
      </c>
      <c r="C804" s="4" t="str">
        <f t="shared" si="58"/>
        <v>GSE12276</v>
      </c>
      <c r="D804" s="1" t="s">
        <v>45</v>
      </c>
      <c r="E804" t="s">
        <v>52</v>
      </c>
      <c r="F804" s="1">
        <v>4</v>
      </c>
      <c r="G804" s="1" t="s">
        <v>57</v>
      </c>
      <c r="H804" s="4" t="str">
        <f>HYPERLINK("https://www.ncbi.nlm.nih.gov/geo/query/acc.cgi?acc=GSM308455","GSM308455")</f>
        <v>GSM308455</v>
      </c>
      <c r="I804" t="s">
        <v>17</v>
      </c>
      <c r="J804" t="s">
        <v>18</v>
      </c>
      <c r="K804" t="s">
        <v>19</v>
      </c>
      <c r="L804" t="s">
        <v>20</v>
      </c>
      <c r="M804" t="s">
        <v>47</v>
      </c>
      <c r="N804" t="s">
        <v>29</v>
      </c>
    </row>
    <row r="805" spans="1:14">
      <c r="A805" s="4" t="str">
        <f t="shared" si="56"/>
        <v>EXP00013</v>
      </c>
      <c r="B805" s="4" t="str">
        <f t="shared" si="57"/>
        <v>19421193</v>
      </c>
      <c r="C805" s="4" t="str">
        <f t="shared" si="58"/>
        <v>GSE12276</v>
      </c>
      <c r="D805" s="1" t="s">
        <v>45</v>
      </c>
      <c r="E805" t="s">
        <v>52</v>
      </c>
      <c r="F805" s="1">
        <v>4</v>
      </c>
      <c r="G805" s="1" t="s">
        <v>57</v>
      </c>
      <c r="H805" s="4" t="str">
        <f>HYPERLINK("https://www.ncbi.nlm.nih.gov/geo/query/acc.cgi?acc=GSM308456","GSM308456")</f>
        <v>GSM308456</v>
      </c>
      <c r="I805" t="s">
        <v>17</v>
      </c>
      <c r="J805" t="s">
        <v>18</v>
      </c>
      <c r="K805" t="s">
        <v>19</v>
      </c>
      <c r="L805" t="s">
        <v>20</v>
      </c>
      <c r="M805" t="s">
        <v>47</v>
      </c>
      <c r="N805" t="s">
        <v>29</v>
      </c>
    </row>
    <row r="806" spans="1:14">
      <c r="A806" s="4" t="str">
        <f t="shared" si="56"/>
        <v>EXP00013</v>
      </c>
      <c r="B806" s="4" t="str">
        <f t="shared" si="57"/>
        <v>19421193</v>
      </c>
      <c r="C806" s="4" t="str">
        <f t="shared" si="58"/>
        <v>GSE12276</v>
      </c>
      <c r="D806" s="1" t="s">
        <v>45</v>
      </c>
      <c r="E806" t="s">
        <v>52</v>
      </c>
      <c r="F806" s="1">
        <v>4</v>
      </c>
      <c r="G806" s="1" t="s">
        <v>57</v>
      </c>
      <c r="H806" s="4" t="str">
        <f>HYPERLINK("https://www.ncbi.nlm.nih.gov/geo/query/acc.cgi?acc=GSM308457","GSM308457")</f>
        <v>GSM308457</v>
      </c>
      <c r="I806" t="s">
        <v>17</v>
      </c>
      <c r="J806" t="s">
        <v>18</v>
      </c>
      <c r="K806" t="s">
        <v>19</v>
      </c>
      <c r="L806" t="s">
        <v>20</v>
      </c>
      <c r="M806" t="s">
        <v>47</v>
      </c>
      <c r="N806" t="s">
        <v>29</v>
      </c>
    </row>
    <row r="807" spans="1:14">
      <c r="A807" s="4" t="str">
        <f t="shared" si="56"/>
        <v>EXP00013</v>
      </c>
      <c r="B807" s="4" t="str">
        <f t="shared" si="57"/>
        <v>19421193</v>
      </c>
      <c r="C807" s="4" t="str">
        <f t="shared" si="58"/>
        <v>GSE12276</v>
      </c>
      <c r="D807" s="1" t="s">
        <v>45</v>
      </c>
      <c r="E807" t="s">
        <v>52</v>
      </c>
      <c r="F807" s="1">
        <v>4</v>
      </c>
      <c r="G807" s="1" t="s">
        <v>57</v>
      </c>
      <c r="H807" s="4" t="str">
        <f>HYPERLINK("https://www.ncbi.nlm.nih.gov/geo/query/acc.cgi?acc=GSM308458","GSM308458")</f>
        <v>GSM308458</v>
      </c>
      <c r="I807" t="s">
        <v>17</v>
      </c>
      <c r="J807" t="s">
        <v>18</v>
      </c>
      <c r="K807" t="s">
        <v>19</v>
      </c>
      <c r="L807" t="s">
        <v>20</v>
      </c>
      <c r="M807" t="s">
        <v>47</v>
      </c>
      <c r="N807" t="s">
        <v>29</v>
      </c>
    </row>
    <row r="808" spans="1:14">
      <c r="A808" s="4" t="str">
        <f t="shared" si="56"/>
        <v>EXP00013</v>
      </c>
      <c r="B808" s="4" t="str">
        <f t="shared" si="57"/>
        <v>19421193</v>
      </c>
      <c r="C808" s="4" t="str">
        <f t="shared" si="58"/>
        <v>GSE12276</v>
      </c>
      <c r="D808" s="1" t="s">
        <v>45</v>
      </c>
      <c r="E808" t="s">
        <v>52</v>
      </c>
      <c r="F808" s="1">
        <v>4</v>
      </c>
      <c r="G808" s="1" t="s">
        <v>57</v>
      </c>
      <c r="H808" s="4" t="str">
        <f>HYPERLINK("https://www.ncbi.nlm.nih.gov/geo/query/acc.cgi?acc=GSM308459","GSM308459")</f>
        <v>GSM308459</v>
      </c>
      <c r="I808" t="s">
        <v>17</v>
      </c>
      <c r="J808" t="s">
        <v>18</v>
      </c>
      <c r="K808" t="s">
        <v>19</v>
      </c>
      <c r="L808" t="s">
        <v>20</v>
      </c>
      <c r="M808" t="s">
        <v>47</v>
      </c>
      <c r="N808" t="s">
        <v>29</v>
      </c>
    </row>
    <row r="809" spans="1:14">
      <c r="A809" s="4" t="str">
        <f t="shared" si="56"/>
        <v>EXP00013</v>
      </c>
      <c r="B809" s="4" t="str">
        <f t="shared" si="57"/>
        <v>19421193</v>
      </c>
      <c r="C809" s="4" t="str">
        <f t="shared" si="58"/>
        <v>GSE12276</v>
      </c>
      <c r="D809" s="1" t="s">
        <v>45</v>
      </c>
      <c r="E809" t="s">
        <v>52</v>
      </c>
      <c r="F809" s="1">
        <v>4</v>
      </c>
      <c r="G809" s="1" t="s">
        <v>57</v>
      </c>
      <c r="H809" s="4" t="str">
        <f>HYPERLINK("https://www.ncbi.nlm.nih.gov/geo/query/acc.cgi?acc=GSM308460","GSM308460")</f>
        <v>GSM308460</v>
      </c>
      <c r="I809" t="s">
        <v>17</v>
      </c>
      <c r="J809" t="s">
        <v>18</v>
      </c>
      <c r="K809" t="s">
        <v>19</v>
      </c>
      <c r="L809" t="s">
        <v>20</v>
      </c>
      <c r="M809" t="s">
        <v>47</v>
      </c>
      <c r="N809" t="s">
        <v>29</v>
      </c>
    </row>
    <row r="810" spans="1:14">
      <c r="A810" s="4" t="str">
        <f t="shared" ref="A810:A815" si="59">HYPERLINK("http://hcmdb.i-sanger.com/experiment/details/experiment_id/EXP00012","EXP00012")</f>
        <v>EXP00012</v>
      </c>
      <c r="B810" s="4" t="str">
        <f t="shared" ref="B810:B815" si="60">HYPERLINK("https://www.ncbi.nlm.nih.gov/pubmed/19184600","19184600")</f>
        <v>19184600</v>
      </c>
      <c r="C810" s="4" t="str">
        <f t="shared" ref="C810:C815" si="61">HYPERLINK("https://www.ncbi.nlm.nih.gov/geo/query/acc.cgi?acc=GSE12606","GSE12606")</f>
        <v>GSE12606</v>
      </c>
      <c r="D810" s="1" t="s">
        <v>45</v>
      </c>
      <c r="E810" t="s">
        <v>58</v>
      </c>
      <c r="F810" s="1">
        <v>1</v>
      </c>
      <c r="G810" s="1" t="s">
        <v>36</v>
      </c>
      <c r="H810" s="4" t="str">
        <f>HYPERLINK("https://www.ncbi.nlm.nih.gov/geo/query/acc.cgi?acc=GSM315856","GSM315856")</f>
        <v>GSM315856</v>
      </c>
      <c r="I810" t="s">
        <v>59</v>
      </c>
      <c r="J810" t="s">
        <v>60</v>
      </c>
      <c r="K810" t="s">
        <v>33</v>
      </c>
      <c r="L810" t="s">
        <v>61</v>
      </c>
      <c r="N810" t="s">
        <v>37</v>
      </c>
    </row>
    <row r="811" spans="1:14">
      <c r="A811" s="4" t="str">
        <f t="shared" si="59"/>
        <v>EXP00012</v>
      </c>
      <c r="B811" s="4" t="str">
        <f t="shared" si="60"/>
        <v>19184600</v>
      </c>
      <c r="C811" s="4" t="str">
        <f t="shared" si="61"/>
        <v>GSE12606</v>
      </c>
      <c r="D811" s="1" t="s">
        <v>45</v>
      </c>
      <c r="E811" t="s">
        <v>58</v>
      </c>
      <c r="F811" s="1">
        <v>1</v>
      </c>
      <c r="G811" s="1" t="s">
        <v>36</v>
      </c>
      <c r="H811" s="4" t="str">
        <f>HYPERLINK("https://www.ncbi.nlm.nih.gov/geo/query/acc.cgi?acc=GSM315859","GSM315859")</f>
        <v>GSM315859</v>
      </c>
      <c r="I811" t="s">
        <v>59</v>
      </c>
      <c r="J811" t="s">
        <v>60</v>
      </c>
      <c r="K811" t="s">
        <v>33</v>
      </c>
      <c r="L811" t="s">
        <v>61</v>
      </c>
      <c r="N811" t="s">
        <v>37</v>
      </c>
    </row>
    <row r="812" spans="1:14">
      <c r="A812" s="4" t="str">
        <f t="shared" si="59"/>
        <v>EXP00012</v>
      </c>
      <c r="B812" s="4" t="str">
        <f t="shared" si="60"/>
        <v>19184600</v>
      </c>
      <c r="C812" s="4" t="str">
        <f t="shared" si="61"/>
        <v>GSE12606</v>
      </c>
      <c r="D812" s="1" t="s">
        <v>45</v>
      </c>
      <c r="E812" t="s">
        <v>58</v>
      </c>
      <c r="F812" s="1">
        <v>1</v>
      </c>
      <c r="G812" s="1" t="s">
        <v>36</v>
      </c>
      <c r="H812" s="4" t="str">
        <f>HYPERLINK("https://www.ncbi.nlm.nih.gov/geo/query/acc.cgi?acc=GSM315862","GSM315862")</f>
        <v>GSM315862</v>
      </c>
      <c r="I812" t="s">
        <v>59</v>
      </c>
      <c r="J812" t="s">
        <v>60</v>
      </c>
      <c r="K812" t="s">
        <v>33</v>
      </c>
      <c r="L812" t="s">
        <v>61</v>
      </c>
      <c r="N812" t="s">
        <v>37</v>
      </c>
    </row>
    <row r="813" spans="1:14">
      <c r="A813" s="4" t="str">
        <f t="shared" si="59"/>
        <v>EXP00012</v>
      </c>
      <c r="B813" s="4" t="str">
        <f t="shared" si="60"/>
        <v>19184600</v>
      </c>
      <c r="C813" s="4" t="str">
        <f t="shared" si="61"/>
        <v>GSE12606</v>
      </c>
      <c r="D813" s="1" t="s">
        <v>45</v>
      </c>
      <c r="E813" t="s">
        <v>58</v>
      </c>
      <c r="F813" s="1">
        <v>2</v>
      </c>
      <c r="G813" s="1" t="s">
        <v>28</v>
      </c>
      <c r="H813" s="4" t="str">
        <f>HYPERLINK("https://www.ncbi.nlm.nih.gov/geo/query/acc.cgi?acc=GSM315857","GSM315857")</f>
        <v>GSM315857</v>
      </c>
      <c r="I813" t="s">
        <v>59</v>
      </c>
      <c r="J813" t="s">
        <v>60</v>
      </c>
      <c r="K813" t="s">
        <v>33</v>
      </c>
      <c r="L813" t="s">
        <v>61</v>
      </c>
      <c r="N813" t="s">
        <v>29</v>
      </c>
    </row>
    <row r="814" spans="1:14">
      <c r="A814" s="4" t="str">
        <f t="shared" si="59"/>
        <v>EXP00012</v>
      </c>
      <c r="B814" s="4" t="str">
        <f t="shared" si="60"/>
        <v>19184600</v>
      </c>
      <c r="C814" s="4" t="str">
        <f t="shared" si="61"/>
        <v>GSE12606</v>
      </c>
      <c r="D814" s="1" t="s">
        <v>45</v>
      </c>
      <c r="E814" t="s">
        <v>58</v>
      </c>
      <c r="F814" s="1">
        <v>2</v>
      </c>
      <c r="G814" s="1" t="s">
        <v>28</v>
      </c>
      <c r="H814" s="4" t="str">
        <f>HYPERLINK("https://www.ncbi.nlm.nih.gov/geo/query/acc.cgi?acc=GSM315860","GSM315860")</f>
        <v>GSM315860</v>
      </c>
      <c r="I814" t="s">
        <v>59</v>
      </c>
      <c r="J814" t="s">
        <v>60</v>
      </c>
      <c r="K814" t="s">
        <v>33</v>
      </c>
      <c r="L814" t="s">
        <v>61</v>
      </c>
      <c r="N814" t="s">
        <v>29</v>
      </c>
    </row>
    <row r="815" spans="1:14">
      <c r="A815" s="4" t="str">
        <f t="shared" si="59"/>
        <v>EXP00012</v>
      </c>
      <c r="B815" s="4" t="str">
        <f t="shared" si="60"/>
        <v>19184600</v>
      </c>
      <c r="C815" s="4" t="str">
        <f t="shared" si="61"/>
        <v>GSE12606</v>
      </c>
      <c r="D815" s="1" t="s">
        <v>45</v>
      </c>
      <c r="E815" t="s">
        <v>58</v>
      </c>
      <c r="F815" s="1">
        <v>2</v>
      </c>
      <c r="G815" s="1" t="s">
        <v>28</v>
      </c>
      <c r="H815" s="4" t="str">
        <f>HYPERLINK("https://www.ncbi.nlm.nih.gov/geo/query/acc.cgi?acc=GSM315863","GSM315863")</f>
        <v>GSM315863</v>
      </c>
      <c r="I815" t="s">
        <v>59</v>
      </c>
      <c r="J815" t="s">
        <v>60</v>
      </c>
      <c r="K815" t="s">
        <v>33</v>
      </c>
      <c r="L815" t="s">
        <v>61</v>
      </c>
      <c r="N815" t="s">
        <v>29</v>
      </c>
    </row>
    <row r="816" spans="1:14">
      <c r="A816" s="4" t="str">
        <f t="shared" ref="A816:A821" si="62">HYPERLINK("http://hcmdb.i-sanger.com/experiment/details/experiment_id/EXP00014","EXP00014")</f>
        <v>EXP00014</v>
      </c>
      <c r="B816" s="4" t="str">
        <f t="shared" ref="B816:B821" si="63">HYPERLINK("https://www.ncbi.nlm.nih.gov/pubmed/19332734","19332734")</f>
        <v>19332734</v>
      </c>
      <c r="C816" s="4" t="str">
        <f t="shared" ref="C816:C821" si="64">HYPERLINK("https://www.ncbi.nlm.nih.gov/geo/query/acc.cgi?acc=GSE12630","GSE12630")</f>
        <v>GSE12630</v>
      </c>
      <c r="D816" s="1" t="s">
        <v>62</v>
      </c>
      <c r="E816" t="s">
        <v>15</v>
      </c>
      <c r="F816" s="1">
        <v>1</v>
      </c>
      <c r="G816" s="1" t="s">
        <v>63</v>
      </c>
      <c r="H816" s="4" t="str">
        <f>HYPERLINK("https://www.ncbi.nlm.nih.gov/geo/query/acc.cgi?acc=GSM319678","GSM319678")</f>
        <v>GSM319678</v>
      </c>
      <c r="I816" t="s">
        <v>17</v>
      </c>
      <c r="J816" t="s">
        <v>18</v>
      </c>
      <c r="K816" t="s">
        <v>19</v>
      </c>
      <c r="L816" t="s">
        <v>20</v>
      </c>
      <c r="M816" t="s">
        <v>44</v>
      </c>
      <c r="N816" t="s">
        <v>22</v>
      </c>
    </row>
    <row r="817" spans="1:14">
      <c r="A817" s="4" t="str">
        <f t="shared" si="62"/>
        <v>EXP00014</v>
      </c>
      <c r="B817" s="4" t="str">
        <f t="shared" si="63"/>
        <v>19332734</v>
      </c>
      <c r="C817" s="4" t="str">
        <f t="shared" si="64"/>
        <v>GSE12630</v>
      </c>
      <c r="D817" s="1" t="s">
        <v>62</v>
      </c>
      <c r="E817" t="s">
        <v>15</v>
      </c>
      <c r="F817" s="1">
        <v>1</v>
      </c>
      <c r="G817" s="1" t="s">
        <v>63</v>
      </c>
      <c r="H817" s="4" t="str">
        <f>HYPERLINK("https://www.ncbi.nlm.nih.gov/geo/query/acc.cgi?acc=GSM319687","GSM319687")</f>
        <v>GSM319687</v>
      </c>
      <c r="I817" t="s">
        <v>17</v>
      </c>
      <c r="J817" t="s">
        <v>18</v>
      </c>
      <c r="K817" t="s">
        <v>19</v>
      </c>
      <c r="L817" t="s">
        <v>20</v>
      </c>
      <c r="M817" t="s">
        <v>44</v>
      </c>
      <c r="N817" t="s">
        <v>22</v>
      </c>
    </row>
    <row r="818" spans="1:14">
      <c r="A818" s="4" t="str">
        <f t="shared" si="62"/>
        <v>EXP00014</v>
      </c>
      <c r="B818" s="4" t="str">
        <f t="shared" si="63"/>
        <v>19332734</v>
      </c>
      <c r="C818" s="4" t="str">
        <f t="shared" si="64"/>
        <v>GSE12630</v>
      </c>
      <c r="D818" s="1" t="s">
        <v>62</v>
      </c>
      <c r="E818" t="s">
        <v>15</v>
      </c>
      <c r="F818" s="1">
        <v>2</v>
      </c>
      <c r="G818" s="1" t="s">
        <v>23</v>
      </c>
      <c r="H818" s="4" t="str">
        <f>HYPERLINK("https://www.ncbi.nlm.nih.gov/geo/query/acc.cgi?acc=GSM319691","GSM319691")</f>
        <v>GSM319691</v>
      </c>
      <c r="I818" t="s">
        <v>17</v>
      </c>
      <c r="J818" t="s">
        <v>18</v>
      </c>
      <c r="K818" t="s">
        <v>19</v>
      </c>
      <c r="L818" t="s">
        <v>20</v>
      </c>
      <c r="M818" t="s">
        <v>24</v>
      </c>
      <c r="N818" t="s">
        <v>22</v>
      </c>
    </row>
    <row r="819" spans="1:14">
      <c r="A819" s="4" t="str">
        <f t="shared" si="62"/>
        <v>EXP00014</v>
      </c>
      <c r="B819" s="4" t="str">
        <f t="shared" si="63"/>
        <v>19332734</v>
      </c>
      <c r="C819" s="4" t="str">
        <f t="shared" si="64"/>
        <v>GSE12630</v>
      </c>
      <c r="D819" s="1" t="s">
        <v>62</v>
      </c>
      <c r="E819" t="s">
        <v>15</v>
      </c>
      <c r="F819" s="1">
        <v>2</v>
      </c>
      <c r="G819" s="1" t="s">
        <v>23</v>
      </c>
      <c r="H819" s="4" t="str">
        <f>HYPERLINK("https://www.ncbi.nlm.nih.gov/geo/query/acc.cgi?acc=GSM319703","GSM319703")</f>
        <v>GSM319703</v>
      </c>
      <c r="I819" t="s">
        <v>17</v>
      </c>
      <c r="J819" t="s">
        <v>18</v>
      </c>
      <c r="K819" t="s">
        <v>19</v>
      </c>
      <c r="L819" t="s">
        <v>20</v>
      </c>
      <c r="M819" t="s">
        <v>24</v>
      </c>
      <c r="N819" t="s">
        <v>22</v>
      </c>
    </row>
    <row r="820" spans="1:14">
      <c r="A820" s="4" t="str">
        <f t="shared" si="62"/>
        <v>EXP00014</v>
      </c>
      <c r="B820" s="4" t="str">
        <f t="shared" si="63"/>
        <v>19332734</v>
      </c>
      <c r="C820" s="4" t="str">
        <f t="shared" si="64"/>
        <v>GSE12630</v>
      </c>
      <c r="D820" s="1" t="s">
        <v>62</v>
      </c>
      <c r="E820" t="s">
        <v>15</v>
      </c>
      <c r="F820" s="1">
        <v>3</v>
      </c>
      <c r="G820" s="1" t="s">
        <v>64</v>
      </c>
      <c r="H820" s="4" t="str">
        <f>HYPERLINK("https://www.ncbi.nlm.nih.gov/geo/query/acc.cgi?acc=GSM319670","GSM319670")</f>
        <v>GSM319670</v>
      </c>
      <c r="I820" t="s">
        <v>17</v>
      </c>
      <c r="J820" t="s">
        <v>18</v>
      </c>
      <c r="K820" t="s">
        <v>19</v>
      </c>
      <c r="L820" t="s">
        <v>20</v>
      </c>
      <c r="M820" t="s">
        <v>65</v>
      </c>
      <c r="N820" t="s">
        <v>22</v>
      </c>
    </row>
    <row r="821" spans="1:14">
      <c r="A821" s="4" t="str">
        <f t="shared" si="62"/>
        <v>EXP00014</v>
      </c>
      <c r="B821" s="4" t="str">
        <f t="shared" si="63"/>
        <v>19332734</v>
      </c>
      <c r="C821" s="4" t="str">
        <f t="shared" si="64"/>
        <v>GSE12630</v>
      </c>
      <c r="D821" s="1" t="s">
        <v>62</v>
      </c>
      <c r="E821" t="s">
        <v>15</v>
      </c>
      <c r="F821" s="1">
        <v>3</v>
      </c>
      <c r="G821" s="1" t="s">
        <v>64</v>
      </c>
      <c r="H821" s="4" t="str">
        <f>HYPERLINK("https://www.ncbi.nlm.nih.gov/geo/query/acc.cgi?acc=GSM319702","GSM319702")</f>
        <v>GSM319702</v>
      </c>
      <c r="I821" t="s">
        <v>17</v>
      </c>
      <c r="J821" t="s">
        <v>18</v>
      </c>
      <c r="K821" t="s">
        <v>19</v>
      </c>
      <c r="L821" t="s">
        <v>20</v>
      </c>
      <c r="M821" t="s">
        <v>65</v>
      </c>
      <c r="N821" t="s">
        <v>22</v>
      </c>
    </row>
    <row r="822" spans="1:14">
      <c r="A822" s="4" t="str">
        <f t="shared" ref="A822:A850" si="65">HYPERLINK("http://hcmdb.i-sanger.com/experiment/details/experiment_id/EXP00015","EXP00015")</f>
        <v>EXP00015</v>
      </c>
      <c r="B822" s="3" t="s">
        <v>66</v>
      </c>
      <c r="C822" s="4" t="str">
        <f t="shared" ref="C822:C850" si="66">HYPERLINK("https://www.ncbi.nlm.nih.gov/geo/query/acc.cgi?acc=GSE14017","GSE14017")</f>
        <v>GSE14017</v>
      </c>
      <c r="D822" s="1" t="s">
        <v>45</v>
      </c>
      <c r="E822" t="s">
        <v>15</v>
      </c>
      <c r="F822" s="1">
        <v>1</v>
      </c>
      <c r="G822" s="1" t="s">
        <v>67</v>
      </c>
      <c r="H822" s="4" t="str">
        <f>HYPERLINK("https://www.ncbi.nlm.nih.gov/geo/query/acc.cgi?acc=GSM352100","GSM352100")</f>
        <v>GSM352100</v>
      </c>
      <c r="I822" t="s">
        <v>17</v>
      </c>
      <c r="J822" t="s">
        <v>18</v>
      </c>
      <c r="K822" t="s">
        <v>19</v>
      </c>
      <c r="L822" t="s">
        <v>20</v>
      </c>
      <c r="M822" t="s">
        <v>50</v>
      </c>
      <c r="N822" t="s">
        <v>22</v>
      </c>
    </row>
    <row r="823" spans="1:14">
      <c r="A823" s="4" t="str">
        <f t="shared" si="65"/>
        <v>EXP00015</v>
      </c>
      <c r="B823" s="3" t="s">
        <v>66</v>
      </c>
      <c r="C823" s="4" t="str">
        <f t="shared" si="66"/>
        <v>GSE14017</v>
      </c>
      <c r="D823" s="1" t="s">
        <v>45</v>
      </c>
      <c r="E823" t="s">
        <v>15</v>
      </c>
      <c r="F823" s="1">
        <v>1</v>
      </c>
      <c r="G823" s="1" t="s">
        <v>67</v>
      </c>
      <c r="H823" s="4" t="str">
        <f>HYPERLINK("https://www.ncbi.nlm.nih.gov/geo/query/acc.cgi?acc=GSM352103","GSM352103")</f>
        <v>GSM352103</v>
      </c>
      <c r="I823" t="s">
        <v>17</v>
      </c>
      <c r="J823" t="s">
        <v>18</v>
      </c>
      <c r="K823" t="s">
        <v>19</v>
      </c>
      <c r="L823" t="s">
        <v>20</v>
      </c>
      <c r="M823" t="s">
        <v>50</v>
      </c>
      <c r="N823" t="s">
        <v>22</v>
      </c>
    </row>
    <row r="824" spans="1:14">
      <c r="A824" s="4" t="str">
        <f t="shared" si="65"/>
        <v>EXP00015</v>
      </c>
      <c r="B824" s="3" t="s">
        <v>66</v>
      </c>
      <c r="C824" s="4" t="str">
        <f t="shared" si="66"/>
        <v>GSE14017</v>
      </c>
      <c r="D824" s="1" t="s">
        <v>45</v>
      </c>
      <c r="E824" t="s">
        <v>15</v>
      </c>
      <c r="F824" s="1">
        <v>1</v>
      </c>
      <c r="G824" s="1" t="s">
        <v>67</v>
      </c>
      <c r="H824" s="4" t="str">
        <f>HYPERLINK("https://www.ncbi.nlm.nih.gov/geo/query/acc.cgi?acc=GSM352105","GSM352105")</f>
        <v>GSM352105</v>
      </c>
      <c r="I824" t="s">
        <v>17</v>
      </c>
      <c r="J824" t="s">
        <v>18</v>
      </c>
      <c r="K824" t="s">
        <v>19</v>
      </c>
      <c r="L824" t="s">
        <v>20</v>
      </c>
      <c r="M824" t="s">
        <v>50</v>
      </c>
      <c r="N824" t="s">
        <v>22</v>
      </c>
    </row>
    <row r="825" spans="1:14">
      <c r="A825" s="4" t="str">
        <f t="shared" si="65"/>
        <v>EXP00015</v>
      </c>
      <c r="B825" s="3" t="s">
        <v>66</v>
      </c>
      <c r="C825" s="4" t="str">
        <f t="shared" si="66"/>
        <v>GSE14017</v>
      </c>
      <c r="D825" s="1" t="s">
        <v>45</v>
      </c>
      <c r="E825" t="s">
        <v>15</v>
      </c>
      <c r="F825" s="1">
        <v>1</v>
      </c>
      <c r="G825" s="1" t="s">
        <v>67</v>
      </c>
      <c r="H825" s="4" t="str">
        <f>HYPERLINK("https://www.ncbi.nlm.nih.gov/geo/query/acc.cgi?acc=GSM352109","GSM352109")</f>
        <v>GSM352109</v>
      </c>
      <c r="I825" t="s">
        <v>17</v>
      </c>
      <c r="J825" t="s">
        <v>18</v>
      </c>
      <c r="K825" t="s">
        <v>19</v>
      </c>
      <c r="L825" t="s">
        <v>20</v>
      </c>
      <c r="M825" t="s">
        <v>50</v>
      </c>
      <c r="N825" t="s">
        <v>22</v>
      </c>
    </row>
    <row r="826" spans="1:14">
      <c r="A826" s="4" t="str">
        <f t="shared" si="65"/>
        <v>EXP00015</v>
      </c>
      <c r="B826" s="3" t="s">
        <v>66</v>
      </c>
      <c r="C826" s="4" t="str">
        <f t="shared" si="66"/>
        <v>GSE14017</v>
      </c>
      <c r="D826" s="1" t="s">
        <v>45</v>
      </c>
      <c r="E826" t="s">
        <v>15</v>
      </c>
      <c r="F826" s="1">
        <v>1</v>
      </c>
      <c r="G826" s="1" t="s">
        <v>67</v>
      </c>
      <c r="H826" s="4" t="str">
        <f>HYPERLINK("https://www.ncbi.nlm.nih.gov/geo/query/acc.cgi?acc=GSM352117","GSM352117")</f>
        <v>GSM352117</v>
      </c>
      <c r="I826" t="s">
        <v>17</v>
      </c>
      <c r="J826" t="s">
        <v>18</v>
      </c>
      <c r="K826" t="s">
        <v>19</v>
      </c>
      <c r="L826" t="s">
        <v>20</v>
      </c>
      <c r="M826" t="s">
        <v>50</v>
      </c>
      <c r="N826" t="s">
        <v>22</v>
      </c>
    </row>
    <row r="827" spans="1:14">
      <c r="A827" s="4" t="str">
        <f t="shared" si="65"/>
        <v>EXP00015</v>
      </c>
      <c r="B827" s="3" t="s">
        <v>66</v>
      </c>
      <c r="C827" s="4" t="str">
        <f t="shared" si="66"/>
        <v>GSE14017</v>
      </c>
      <c r="D827" s="1" t="s">
        <v>45</v>
      </c>
      <c r="E827" t="s">
        <v>15</v>
      </c>
      <c r="F827" s="1">
        <v>1</v>
      </c>
      <c r="G827" s="1" t="s">
        <v>67</v>
      </c>
      <c r="H827" s="4" t="str">
        <f>HYPERLINK("https://www.ncbi.nlm.nih.gov/geo/query/acc.cgi?acc=GSM352119","GSM352119")</f>
        <v>GSM352119</v>
      </c>
      <c r="I827" t="s">
        <v>17</v>
      </c>
      <c r="J827" t="s">
        <v>18</v>
      </c>
      <c r="K827" t="s">
        <v>19</v>
      </c>
      <c r="L827" t="s">
        <v>20</v>
      </c>
      <c r="M827" t="s">
        <v>50</v>
      </c>
      <c r="N827" t="s">
        <v>22</v>
      </c>
    </row>
    <row r="828" spans="1:14">
      <c r="A828" s="4" t="str">
        <f t="shared" si="65"/>
        <v>EXP00015</v>
      </c>
      <c r="B828" s="3" t="s">
        <v>66</v>
      </c>
      <c r="C828" s="4" t="str">
        <f t="shared" si="66"/>
        <v>GSE14017</v>
      </c>
      <c r="D828" s="1" t="s">
        <v>45</v>
      </c>
      <c r="E828" t="s">
        <v>15</v>
      </c>
      <c r="F828" s="1">
        <v>1</v>
      </c>
      <c r="G828" s="1" t="s">
        <v>67</v>
      </c>
      <c r="H828" s="4" t="str">
        <f>HYPERLINK("https://www.ncbi.nlm.nih.gov/geo/query/acc.cgi?acc=GSM352123","GSM352123")</f>
        <v>GSM352123</v>
      </c>
      <c r="I828" t="s">
        <v>17</v>
      </c>
      <c r="J828" t="s">
        <v>18</v>
      </c>
      <c r="K828" t="s">
        <v>19</v>
      </c>
      <c r="L828" t="s">
        <v>20</v>
      </c>
      <c r="M828" t="s">
        <v>50</v>
      </c>
      <c r="N828" t="s">
        <v>22</v>
      </c>
    </row>
    <row r="829" spans="1:14">
      <c r="A829" s="4" t="str">
        <f t="shared" si="65"/>
        <v>EXP00015</v>
      </c>
      <c r="B829" s="3" t="s">
        <v>66</v>
      </c>
      <c r="C829" s="4" t="str">
        <f t="shared" si="66"/>
        <v>GSE14017</v>
      </c>
      <c r="D829" s="1" t="s">
        <v>45</v>
      </c>
      <c r="E829" t="s">
        <v>15</v>
      </c>
      <c r="F829" s="1">
        <v>1</v>
      </c>
      <c r="G829" s="1" t="s">
        <v>67</v>
      </c>
      <c r="H829" s="4" t="str">
        <f>HYPERLINK("https://www.ncbi.nlm.nih.gov/geo/query/acc.cgi?acc=GSM352124","GSM352124")</f>
        <v>GSM352124</v>
      </c>
      <c r="I829" t="s">
        <v>17</v>
      </c>
      <c r="J829" t="s">
        <v>18</v>
      </c>
      <c r="K829" t="s">
        <v>19</v>
      </c>
      <c r="L829" t="s">
        <v>20</v>
      </c>
      <c r="M829" t="s">
        <v>50</v>
      </c>
      <c r="N829" t="s">
        <v>22</v>
      </c>
    </row>
    <row r="830" spans="1:14">
      <c r="A830" s="4" t="str">
        <f t="shared" si="65"/>
        <v>EXP00015</v>
      </c>
      <c r="B830" s="3" t="s">
        <v>66</v>
      </c>
      <c r="C830" s="4" t="str">
        <f t="shared" si="66"/>
        <v>GSE14017</v>
      </c>
      <c r="D830" s="1" t="s">
        <v>45</v>
      </c>
      <c r="E830" t="s">
        <v>15</v>
      </c>
      <c r="F830" s="1">
        <v>1</v>
      </c>
      <c r="G830" s="1" t="s">
        <v>67</v>
      </c>
      <c r="H830" s="4" t="str">
        <f>HYPERLINK("https://www.ncbi.nlm.nih.gov/geo/query/acc.cgi?acc=GSM352126","GSM352126")</f>
        <v>GSM352126</v>
      </c>
      <c r="I830" t="s">
        <v>17</v>
      </c>
      <c r="J830" t="s">
        <v>18</v>
      </c>
      <c r="K830" t="s">
        <v>19</v>
      </c>
      <c r="L830" t="s">
        <v>20</v>
      </c>
      <c r="M830" t="s">
        <v>50</v>
      </c>
      <c r="N830" t="s">
        <v>22</v>
      </c>
    </row>
    <row r="831" spans="1:14">
      <c r="A831" s="4" t="str">
        <f t="shared" si="65"/>
        <v>EXP00015</v>
      </c>
      <c r="B831" s="3" t="s">
        <v>66</v>
      </c>
      <c r="C831" s="4" t="str">
        <f t="shared" si="66"/>
        <v>GSE14017</v>
      </c>
      <c r="D831" s="1" t="s">
        <v>45</v>
      </c>
      <c r="E831" t="s">
        <v>15</v>
      </c>
      <c r="F831" s="1">
        <v>1</v>
      </c>
      <c r="G831" s="1" t="s">
        <v>67</v>
      </c>
      <c r="H831" s="4" t="str">
        <f>HYPERLINK("https://www.ncbi.nlm.nih.gov/geo/query/acc.cgi?acc=GSM352131","GSM352131")</f>
        <v>GSM352131</v>
      </c>
      <c r="I831" t="s">
        <v>17</v>
      </c>
      <c r="J831" t="s">
        <v>18</v>
      </c>
      <c r="K831" t="s">
        <v>19</v>
      </c>
      <c r="L831" t="s">
        <v>20</v>
      </c>
      <c r="M831" t="s">
        <v>50</v>
      </c>
      <c r="N831" t="s">
        <v>22</v>
      </c>
    </row>
    <row r="832" spans="1:14">
      <c r="A832" s="4" t="str">
        <f t="shared" si="65"/>
        <v>EXP00015</v>
      </c>
      <c r="B832" s="3" t="s">
        <v>66</v>
      </c>
      <c r="C832" s="4" t="str">
        <f t="shared" si="66"/>
        <v>GSE14017</v>
      </c>
      <c r="D832" s="1" t="s">
        <v>45</v>
      </c>
      <c r="E832" t="s">
        <v>15</v>
      </c>
      <c r="F832" s="1">
        <v>2</v>
      </c>
      <c r="G832" s="1" t="s">
        <v>16</v>
      </c>
      <c r="H832" s="4" t="str">
        <f>HYPERLINK("https://www.ncbi.nlm.nih.gov/geo/query/acc.cgi?acc=GSM352097","GSM352097")</f>
        <v>GSM352097</v>
      </c>
      <c r="I832" t="s">
        <v>17</v>
      </c>
      <c r="J832" t="s">
        <v>18</v>
      </c>
      <c r="K832" t="s">
        <v>19</v>
      </c>
      <c r="L832" t="s">
        <v>20</v>
      </c>
      <c r="M832" t="s">
        <v>21</v>
      </c>
      <c r="N832" t="s">
        <v>22</v>
      </c>
    </row>
    <row r="833" spans="1:14">
      <c r="A833" s="4" t="str">
        <f t="shared" si="65"/>
        <v>EXP00015</v>
      </c>
      <c r="B833" s="3" t="s">
        <v>66</v>
      </c>
      <c r="C833" s="4" t="str">
        <f t="shared" si="66"/>
        <v>GSE14017</v>
      </c>
      <c r="D833" s="1" t="s">
        <v>45</v>
      </c>
      <c r="E833" t="s">
        <v>15</v>
      </c>
      <c r="F833" s="1">
        <v>2</v>
      </c>
      <c r="G833" s="1" t="s">
        <v>16</v>
      </c>
      <c r="H833" s="4" t="str">
        <f>HYPERLINK("https://www.ncbi.nlm.nih.gov/geo/query/acc.cgi?acc=GSM352098","GSM352098")</f>
        <v>GSM352098</v>
      </c>
      <c r="I833" t="s">
        <v>17</v>
      </c>
      <c r="J833" t="s">
        <v>18</v>
      </c>
      <c r="K833" t="s">
        <v>19</v>
      </c>
      <c r="L833" t="s">
        <v>20</v>
      </c>
      <c r="M833" t="s">
        <v>21</v>
      </c>
      <c r="N833" t="s">
        <v>22</v>
      </c>
    </row>
    <row r="834" spans="1:14">
      <c r="A834" s="4" t="str">
        <f t="shared" si="65"/>
        <v>EXP00015</v>
      </c>
      <c r="B834" s="3" t="s">
        <v>66</v>
      </c>
      <c r="C834" s="4" t="str">
        <f t="shared" si="66"/>
        <v>GSE14017</v>
      </c>
      <c r="D834" s="1" t="s">
        <v>45</v>
      </c>
      <c r="E834" t="s">
        <v>15</v>
      </c>
      <c r="F834" s="1">
        <v>2</v>
      </c>
      <c r="G834" s="1" t="s">
        <v>16</v>
      </c>
      <c r="H834" s="4" t="str">
        <f>HYPERLINK("https://www.ncbi.nlm.nih.gov/geo/query/acc.cgi?acc=GSM352101","GSM352101")</f>
        <v>GSM352101</v>
      </c>
      <c r="I834" t="s">
        <v>17</v>
      </c>
      <c r="J834" t="s">
        <v>18</v>
      </c>
      <c r="K834" t="s">
        <v>19</v>
      </c>
      <c r="L834" t="s">
        <v>20</v>
      </c>
      <c r="M834" t="s">
        <v>21</v>
      </c>
      <c r="N834" t="s">
        <v>22</v>
      </c>
    </row>
    <row r="835" spans="1:14">
      <c r="A835" s="4" t="str">
        <f t="shared" si="65"/>
        <v>EXP00015</v>
      </c>
      <c r="B835" s="3" t="s">
        <v>66</v>
      </c>
      <c r="C835" s="4" t="str">
        <f t="shared" si="66"/>
        <v>GSE14017</v>
      </c>
      <c r="D835" s="1" t="s">
        <v>45</v>
      </c>
      <c r="E835" t="s">
        <v>15</v>
      </c>
      <c r="F835" s="1">
        <v>2</v>
      </c>
      <c r="G835" s="1" t="s">
        <v>16</v>
      </c>
      <c r="H835" s="4" t="str">
        <f>HYPERLINK("https://www.ncbi.nlm.nih.gov/geo/query/acc.cgi?acc=GSM352107","GSM352107")</f>
        <v>GSM352107</v>
      </c>
      <c r="I835" t="s">
        <v>17</v>
      </c>
      <c r="J835" t="s">
        <v>18</v>
      </c>
      <c r="K835" t="s">
        <v>19</v>
      </c>
      <c r="L835" t="s">
        <v>20</v>
      </c>
      <c r="M835" t="s">
        <v>21</v>
      </c>
      <c r="N835" t="s">
        <v>22</v>
      </c>
    </row>
    <row r="836" spans="1:14">
      <c r="A836" s="4" t="str">
        <f t="shared" si="65"/>
        <v>EXP00015</v>
      </c>
      <c r="B836" s="3" t="s">
        <v>66</v>
      </c>
      <c r="C836" s="4" t="str">
        <f t="shared" si="66"/>
        <v>GSE14017</v>
      </c>
      <c r="D836" s="1" t="s">
        <v>45</v>
      </c>
      <c r="E836" t="s">
        <v>15</v>
      </c>
      <c r="F836" s="1">
        <v>2</v>
      </c>
      <c r="G836" s="1" t="s">
        <v>16</v>
      </c>
      <c r="H836" s="4" t="str">
        <f>HYPERLINK("https://www.ncbi.nlm.nih.gov/geo/query/acc.cgi?acc=GSM352110","GSM352110")</f>
        <v>GSM352110</v>
      </c>
      <c r="I836" t="s">
        <v>17</v>
      </c>
      <c r="J836" t="s">
        <v>18</v>
      </c>
      <c r="K836" t="s">
        <v>19</v>
      </c>
      <c r="L836" t="s">
        <v>20</v>
      </c>
      <c r="M836" t="s">
        <v>21</v>
      </c>
      <c r="N836" t="s">
        <v>22</v>
      </c>
    </row>
    <row r="837" spans="1:14">
      <c r="A837" s="4" t="str">
        <f t="shared" si="65"/>
        <v>EXP00015</v>
      </c>
      <c r="B837" s="3" t="s">
        <v>66</v>
      </c>
      <c r="C837" s="4" t="str">
        <f t="shared" si="66"/>
        <v>GSE14017</v>
      </c>
      <c r="D837" s="1" t="s">
        <v>45</v>
      </c>
      <c r="E837" t="s">
        <v>15</v>
      </c>
      <c r="F837" s="1">
        <v>2</v>
      </c>
      <c r="G837" s="1" t="s">
        <v>16</v>
      </c>
      <c r="H837" s="4" t="str">
        <f>HYPERLINK("https://www.ncbi.nlm.nih.gov/geo/query/acc.cgi?acc=GSM352111","GSM352111")</f>
        <v>GSM352111</v>
      </c>
      <c r="I837" t="s">
        <v>17</v>
      </c>
      <c r="J837" t="s">
        <v>18</v>
      </c>
      <c r="K837" t="s">
        <v>19</v>
      </c>
      <c r="L837" t="s">
        <v>20</v>
      </c>
      <c r="M837" t="s">
        <v>21</v>
      </c>
      <c r="N837" t="s">
        <v>22</v>
      </c>
    </row>
    <row r="838" spans="1:14">
      <c r="A838" s="4" t="str">
        <f t="shared" si="65"/>
        <v>EXP00015</v>
      </c>
      <c r="B838" s="3" t="s">
        <v>66</v>
      </c>
      <c r="C838" s="4" t="str">
        <f t="shared" si="66"/>
        <v>GSE14017</v>
      </c>
      <c r="D838" s="1" t="s">
        <v>45</v>
      </c>
      <c r="E838" t="s">
        <v>15</v>
      </c>
      <c r="F838" s="1">
        <v>2</v>
      </c>
      <c r="G838" s="1" t="s">
        <v>16</v>
      </c>
      <c r="H838" s="4" t="str">
        <f>HYPERLINK("https://www.ncbi.nlm.nih.gov/geo/query/acc.cgi?acc=GSM352113","GSM352113")</f>
        <v>GSM352113</v>
      </c>
      <c r="I838" t="s">
        <v>17</v>
      </c>
      <c r="J838" t="s">
        <v>18</v>
      </c>
      <c r="K838" t="s">
        <v>19</v>
      </c>
      <c r="L838" t="s">
        <v>20</v>
      </c>
      <c r="M838" t="s">
        <v>21</v>
      </c>
      <c r="N838" t="s">
        <v>22</v>
      </c>
    </row>
    <row r="839" spans="1:14">
      <c r="A839" s="4" t="str">
        <f t="shared" si="65"/>
        <v>EXP00015</v>
      </c>
      <c r="B839" s="3" t="s">
        <v>66</v>
      </c>
      <c r="C839" s="4" t="str">
        <f t="shared" si="66"/>
        <v>GSE14017</v>
      </c>
      <c r="D839" s="1" t="s">
        <v>45</v>
      </c>
      <c r="E839" t="s">
        <v>15</v>
      </c>
      <c r="F839" s="1">
        <v>2</v>
      </c>
      <c r="G839" s="1" t="s">
        <v>16</v>
      </c>
      <c r="H839" s="4" t="str">
        <f>HYPERLINK("https://www.ncbi.nlm.nih.gov/geo/query/acc.cgi?acc=GSM352115","GSM352115")</f>
        <v>GSM352115</v>
      </c>
      <c r="I839" t="s">
        <v>17</v>
      </c>
      <c r="J839" t="s">
        <v>18</v>
      </c>
      <c r="K839" t="s">
        <v>19</v>
      </c>
      <c r="L839" t="s">
        <v>20</v>
      </c>
      <c r="M839" t="s">
        <v>21</v>
      </c>
      <c r="N839" t="s">
        <v>22</v>
      </c>
    </row>
    <row r="840" spans="1:14">
      <c r="A840" s="4" t="str">
        <f t="shared" si="65"/>
        <v>EXP00015</v>
      </c>
      <c r="B840" s="3" t="s">
        <v>66</v>
      </c>
      <c r="C840" s="4" t="str">
        <f t="shared" si="66"/>
        <v>GSE14017</v>
      </c>
      <c r="D840" s="1" t="s">
        <v>45</v>
      </c>
      <c r="E840" t="s">
        <v>15</v>
      </c>
      <c r="F840" s="1">
        <v>2</v>
      </c>
      <c r="G840" s="1" t="s">
        <v>16</v>
      </c>
      <c r="H840" s="4" t="str">
        <f>HYPERLINK("https://www.ncbi.nlm.nih.gov/geo/query/acc.cgi?acc=GSM352120","GSM352120")</f>
        <v>GSM352120</v>
      </c>
      <c r="I840" t="s">
        <v>17</v>
      </c>
      <c r="J840" t="s">
        <v>18</v>
      </c>
      <c r="K840" t="s">
        <v>19</v>
      </c>
      <c r="L840" t="s">
        <v>20</v>
      </c>
      <c r="M840" t="s">
        <v>21</v>
      </c>
      <c r="N840" t="s">
        <v>22</v>
      </c>
    </row>
    <row r="841" spans="1:14">
      <c r="A841" s="4" t="str">
        <f t="shared" si="65"/>
        <v>EXP00015</v>
      </c>
      <c r="B841" s="3" t="s">
        <v>66</v>
      </c>
      <c r="C841" s="4" t="str">
        <f t="shared" si="66"/>
        <v>GSE14017</v>
      </c>
      <c r="D841" s="1" t="s">
        <v>45</v>
      </c>
      <c r="E841" t="s">
        <v>15</v>
      </c>
      <c r="F841" s="1">
        <v>2</v>
      </c>
      <c r="G841" s="1" t="s">
        <v>16</v>
      </c>
      <c r="H841" s="4" t="str">
        <f>HYPERLINK("https://www.ncbi.nlm.nih.gov/geo/query/acc.cgi?acc=GSM352121","GSM352121")</f>
        <v>GSM352121</v>
      </c>
      <c r="I841" t="s">
        <v>17</v>
      </c>
      <c r="J841" t="s">
        <v>18</v>
      </c>
      <c r="K841" t="s">
        <v>19</v>
      </c>
      <c r="L841" t="s">
        <v>20</v>
      </c>
      <c r="M841" t="s">
        <v>21</v>
      </c>
      <c r="N841" t="s">
        <v>22</v>
      </c>
    </row>
    <row r="842" spans="1:14">
      <c r="A842" s="4" t="str">
        <f t="shared" si="65"/>
        <v>EXP00015</v>
      </c>
      <c r="B842" s="3" t="s">
        <v>66</v>
      </c>
      <c r="C842" s="4" t="str">
        <f t="shared" si="66"/>
        <v>GSE14017</v>
      </c>
      <c r="D842" s="1" t="s">
        <v>45</v>
      </c>
      <c r="E842" t="s">
        <v>15</v>
      </c>
      <c r="F842" s="1">
        <v>2</v>
      </c>
      <c r="G842" s="1" t="s">
        <v>16</v>
      </c>
      <c r="H842" s="4" t="str">
        <f>HYPERLINK("https://www.ncbi.nlm.nih.gov/geo/query/acc.cgi?acc=GSM352122","GSM352122")</f>
        <v>GSM352122</v>
      </c>
      <c r="I842" t="s">
        <v>17</v>
      </c>
      <c r="J842" t="s">
        <v>18</v>
      </c>
      <c r="K842" t="s">
        <v>19</v>
      </c>
      <c r="L842" t="s">
        <v>20</v>
      </c>
      <c r="M842" t="s">
        <v>21</v>
      </c>
      <c r="N842" t="s">
        <v>22</v>
      </c>
    </row>
    <row r="843" spans="1:14">
      <c r="A843" s="4" t="str">
        <f t="shared" si="65"/>
        <v>EXP00015</v>
      </c>
      <c r="B843" s="3" t="s">
        <v>66</v>
      </c>
      <c r="C843" s="4" t="str">
        <f t="shared" si="66"/>
        <v>GSE14017</v>
      </c>
      <c r="D843" s="1" t="s">
        <v>45</v>
      </c>
      <c r="E843" t="s">
        <v>15</v>
      </c>
      <c r="F843" s="1">
        <v>2</v>
      </c>
      <c r="G843" s="1" t="s">
        <v>16</v>
      </c>
      <c r="H843" s="4" t="str">
        <f>HYPERLINK("https://www.ncbi.nlm.nih.gov/geo/query/acc.cgi?acc=GSM352125","GSM352125")</f>
        <v>GSM352125</v>
      </c>
      <c r="I843" t="s">
        <v>17</v>
      </c>
      <c r="J843" t="s">
        <v>18</v>
      </c>
      <c r="K843" t="s">
        <v>19</v>
      </c>
      <c r="L843" t="s">
        <v>20</v>
      </c>
      <c r="M843" t="s">
        <v>21</v>
      </c>
      <c r="N843" t="s">
        <v>22</v>
      </c>
    </row>
    <row r="844" spans="1:14">
      <c r="A844" s="4" t="str">
        <f t="shared" si="65"/>
        <v>EXP00015</v>
      </c>
      <c r="B844" s="3" t="s">
        <v>66</v>
      </c>
      <c r="C844" s="4" t="str">
        <f t="shared" si="66"/>
        <v>GSE14017</v>
      </c>
      <c r="D844" s="1" t="s">
        <v>45</v>
      </c>
      <c r="E844" t="s">
        <v>15</v>
      </c>
      <c r="F844" s="1">
        <v>2</v>
      </c>
      <c r="G844" s="1" t="s">
        <v>16</v>
      </c>
      <c r="H844" s="4" t="str">
        <f>HYPERLINK("https://www.ncbi.nlm.nih.gov/geo/query/acc.cgi?acc=GSM352128","GSM352128")</f>
        <v>GSM352128</v>
      </c>
      <c r="I844" t="s">
        <v>17</v>
      </c>
      <c r="J844" t="s">
        <v>18</v>
      </c>
      <c r="K844" t="s">
        <v>19</v>
      </c>
      <c r="L844" t="s">
        <v>20</v>
      </c>
      <c r="M844" t="s">
        <v>21</v>
      </c>
      <c r="N844" t="s">
        <v>22</v>
      </c>
    </row>
    <row r="845" spans="1:14">
      <c r="A845" s="4" t="str">
        <f t="shared" si="65"/>
        <v>EXP00015</v>
      </c>
      <c r="B845" s="3" t="s">
        <v>66</v>
      </c>
      <c r="C845" s="4" t="str">
        <f t="shared" si="66"/>
        <v>GSE14017</v>
      </c>
      <c r="D845" s="1" t="s">
        <v>45</v>
      </c>
      <c r="E845" t="s">
        <v>15</v>
      </c>
      <c r="F845" s="1">
        <v>2</v>
      </c>
      <c r="G845" s="1" t="s">
        <v>16</v>
      </c>
      <c r="H845" s="4" t="str">
        <f>HYPERLINK("https://www.ncbi.nlm.nih.gov/geo/query/acc.cgi?acc=GSM352129","GSM352129")</f>
        <v>GSM352129</v>
      </c>
      <c r="I845" t="s">
        <v>17</v>
      </c>
      <c r="J845" t="s">
        <v>18</v>
      </c>
      <c r="K845" t="s">
        <v>19</v>
      </c>
      <c r="L845" t="s">
        <v>20</v>
      </c>
      <c r="M845" t="s">
        <v>21</v>
      </c>
      <c r="N845" t="s">
        <v>22</v>
      </c>
    </row>
    <row r="846" spans="1:14">
      <c r="A846" s="4" t="str">
        <f t="shared" si="65"/>
        <v>EXP00015</v>
      </c>
      <c r="B846" s="3" t="s">
        <v>66</v>
      </c>
      <c r="C846" s="4" t="str">
        <f t="shared" si="66"/>
        <v>GSE14017</v>
      </c>
      <c r="D846" s="1" t="s">
        <v>45</v>
      </c>
      <c r="E846" t="s">
        <v>15</v>
      </c>
      <c r="F846" s="1">
        <v>2</v>
      </c>
      <c r="G846" s="1" t="s">
        <v>16</v>
      </c>
      <c r="H846" s="4" t="str">
        <f>HYPERLINK("https://www.ncbi.nlm.nih.gov/geo/query/acc.cgi?acc=GSM352130","GSM352130")</f>
        <v>GSM352130</v>
      </c>
      <c r="I846" t="s">
        <v>17</v>
      </c>
      <c r="J846" t="s">
        <v>18</v>
      </c>
      <c r="K846" t="s">
        <v>19</v>
      </c>
      <c r="L846" t="s">
        <v>20</v>
      </c>
      <c r="M846" t="s">
        <v>21</v>
      </c>
      <c r="N846" t="s">
        <v>22</v>
      </c>
    </row>
    <row r="847" spans="1:14">
      <c r="A847" s="4" t="str">
        <f t="shared" si="65"/>
        <v>EXP00015</v>
      </c>
      <c r="B847" s="3" t="s">
        <v>66</v>
      </c>
      <c r="C847" s="4" t="str">
        <f t="shared" si="66"/>
        <v>GSE14017</v>
      </c>
      <c r="D847" s="1" t="s">
        <v>45</v>
      </c>
      <c r="E847" t="s">
        <v>15</v>
      </c>
      <c r="F847" s="1">
        <v>3</v>
      </c>
      <c r="G847" s="1" t="s">
        <v>40</v>
      </c>
      <c r="H847" s="4" t="str">
        <f>HYPERLINK("https://www.ncbi.nlm.nih.gov/geo/query/acc.cgi?acc=GSM352095","GSM352095")</f>
        <v>GSM352095</v>
      </c>
      <c r="I847" t="s">
        <v>17</v>
      </c>
      <c r="J847" t="s">
        <v>18</v>
      </c>
      <c r="K847" t="s">
        <v>19</v>
      </c>
      <c r="L847" t="s">
        <v>20</v>
      </c>
      <c r="M847" t="s">
        <v>41</v>
      </c>
      <c r="N847" t="s">
        <v>22</v>
      </c>
    </row>
    <row r="848" spans="1:14">
      <c r="A848" s="4" t="str">
        <f t="shared" si="65"/>
        <v>EXP00015</v>
      </c>
      <c r="B848" s="3" t="s">
        <v>66</v>
      </c>
      <c r="C848" s="4" t="str">
        <f t="shared" si="66"/>
        <v>GSE14017</v>
      </c>
      <c r="D848" s="1" t="s">
        <v>45</v>
      </c>
      <c r="E848" t="s">
        <v>15</v>
      </c>
      <c r="F848" s="1">
        <v>3</v>
      </c>
      <c r="G848" s="1" t="s">
        <v>40</v>
      </c>
      <c r="H848" s="4" t="str">
        <f>HYPERLINK("https://www.ncbi.nlm.nih.gov/geo/query/acc.cgi?acc=GSM352114","GSM352114")</f>
        <v>GSM352114</v>
      </c>
      <c r="I848" t="s">
        <v>17</v>
      </c>
      <c r="J848" t="s">
        <v>18</v>
      </c>
      <c r="K848" t="s">
        <v>19</v>
      </c>
      <c r="L848" t="s">
        <v>20</v>
      </c>
      <c r="M848" t="s">
        <v>41</v>
      </c>
      <c r="N848" t="s">
        <v>22</v>
      </c>
    </row>
    <row r="849" spans="1:14">
      <c r="A849" s="4" t="str">
        <f t="shared" si="65"/>
        <v>EXP00015</v>
      </c>
      <c r="B849" s="3" t="s">
        <v>66</v>
      </c>
      <c r="C849" s="4" t="str">
        <f t="shared" si="66"/>
        <v>GSE14017</v>
      </c>
      <c r="D849" s="1" t="s">
        <v>45</v>
      </c>
      <c r="E849" t="s">
        <v>15</v>
      </c>
      <c r="F849" s="1">
        <v>3</v>
      </c>
      <c r="G849" s="1" t="s">
        <v>40</v>
      </c>
      <c r="H849" s="4" t="str">
        <f>HYPERLINK("https://www.ncbi.nlm.nih.gov/geo/query/acc.cgi?acc=GSM352127","GSM352127")</f>
        <v>GSM352127</v>
      </c>
      <c r="I849" t="s">
        <v>17</v>
      </c>
      <c r="J849" t="s">
        <v>18</v>
      </c>
      <c r="K849" t="s">
        <v>19</v>
      </c>
      <c r="L849" t="s">
        <v>20</v>
      </c>
      <c r="M849" t="s">
        <v>41</v>
      </c>
      <c r="N849" t="s">
        <v>22</v>
      </c>
    </row>
    <row r="850" spans="1:14">
      <c r="A850" s="4" t="str">
        <f t="shared" si="65"/>
        <v>EXP00015</v>
      </c>
      <c r="B850" s="3" t="s">
        <v>66</v>
      </c>
      <c r="C850" s="4" t="str">
        <f t="shared" si="66"/>
        <v>GSE14017</v>
      </c>
      <c r="D850" s="1" t="s">
        <v>45</v>
      </c>
      <c r="E850" t="s">
        <v>15</v>
      </c>
      <c r="F850" s="1">
        <v>3</v>
      </c>
      <c r="G850" s="1" t="s">
        <v>40</v>
      </c>
      <c r="H850" s="4" t="str">
        <f>HYPERLINK("https://www.ncbi.nlm.nih.gov/geo/query/acc.cgi?acc=GSM352132","GSM352132")</f>
        <v>GSM352132</v>
      </c>
      <c r="I850" t="s">
        <v>17</v>
      </c>
      <c r="J850" t="s">
        <v>18</v>
      </c>
      <c r="K850" t="s">
        <v>19</v>
      </c>
      <c r="L850" t="s">
        <v>20</v>
      </c>
      <c r="M850" t="s">
        <v>41</v>
      </c>
      <c r="N850" t="s">
        <v>22</v>
      </c>
    </row>
    <row r="851" spans="1:14">
      <c r="A851" s="4" t="str">
        <f t="shared" ref="A851:A886" si="67">HYPERLINK("http://hcmdb.i-sanger.com/experiment/details/experiment_id/EXP00016","EXP00016")</f>
        <v>EXP00016</v>
      </c>
      <c r="B851" s="3" t="s">
        <v>66</v>
      </c>
      <c r="C851" s="4" t="str">
        <f t="shared" ref="C851:C886" si="68">HYPERLINK("https://www.ncbi.nlm.nih.gov/geo/query/acc.cgi?acc=GSE14018","GSE14018")</f>
        <v>GSE14018</v>
      </c>
      <c r="D851" s="1" t="s">
        <v>62</v>
      </c>
      <c r="E851" t="s">
        <v>15</v>
      </c>
      <c r="F851" s="1">
        <v>1</v>
      </c>
      <c r="G851" s="1" t="s">
        <v>67</v>
      </c>
      <c r="H851" s="4" t="str">
        <f>HYPERLINK("https://www.ncbi.nlm.nih.gov/geo/query/acc.cgi?acc=GSM352144","GSM352144")</f>
        <v>GSM352144</v>
      </c>
      <c r="I851" t="s">
        <v>17</v>
      </c>
      <c r="J851" t="s">
        <v>18</v>
      </c>
      <c r="K851" t="s">
        <v>19</v>
      </c>
      <c r="L851" t="s">
        <v>20</v>
      </c>
      <c r="M851" t="s">
        <v>50</v>
      </c>
      <c r="N851" t="s">
        <v>22</v>
      </c>
    </row>
    <row r="852" spans="1:14">
      <c r="A852" s="4" t="str">
        <f t="shared" si="67"/>
        <v>EXP00016</v>
      </c>
      <c r="B852" s="3" t="s">
        <v>66</v>
      </c>
      <c r="C852" s="4" t="str">
        <f t="shared" si="68"/>
        <v>GSE14018</v>
      </c>
      <c r="D852" s="1" t="s">
        <v>62</v>
      </c>
      <c r="E852" t="s">
        <v>15</v>
      </c>
      <c r="F852" s="1">
        <v>1</v>
      </c>
      <c r="G852" s="1" t="s">
        <v>67</v>
      </c>
      <c r="H852" s="4" t="str">
        <f>HYPERLINK("https://www.ncbi.nlm.nih.gov/geo/query/acc.cgi?acc=GSM352149","GSM352149")</f>
        <v>GSM352149</v>
      </c>
      <c r="I852" t="s">
        <v>17</v>
      </c>
      <c r="J852" t="s">
        <v>18</v>
      </c>
      <c r="K852" t="s">
        <v>19</v>
      </c>
      <c r="L852" t="s">
        <v>20</v>
      </c>
      <c r="M852" t="s">
        <v>50</v>
      </c>
      <c r="N852" t="s">
        <v>22</v>
      </c>
    </row>
    <row r="853" spans="1:14">
      <c r="A853" s="4" t="str">
        <f t="shared" si="67"/>
        <v>EXP00016</v>
      </c>
      <c r="B853" s="3" t="s">
        <v>66</v>
      </c>
      <c r="C853" s="4" t="str">
        <f t="shared" si="68"/>
        <v>GSE14018</v>
      </c>
      <c r="D853" s="1" t="s">
        <v>62</v>
      </c>
      <c r="E853" t="s">
        <v>15</v>
      </c>
      <c r="F853" s="1">
        <v>1</v>
      </c>
      <c r="G853" s="1" t="s">
        <v>67</v>
      </c>
      <c r="H853" s="4" t="str">
        <f>HYPERLINK("https://www.ncbi.nlm.nih.gov/geo/query/acc.cgi?acc=GSM352151","GSM352151")</f>
        <v>GSM352151</v>
      </c>
      <c r="I853" t="s">
        <v>17</v>
      </c>
      <c r="J853" t="s">
        <v>18</v>
      </c>
      <c r="K853" t="s">
        <v>19</v>
      </c>
      <c r="L853" t="s">
        <v>20</v>
      </c>
      <c r="M853" t="s">
        <v>50</v>
      </c>
      <c r="N853" t="s">
        <v>22</v>
      </c>
    </row>
    <row r="854" spans="1:14">
      <c r="A854" s="4" t="str">
        <f t="shared" si="67"/>
        <v>EXP00016</v>
      </c>
      <c r="B854" s="3" t="s">
        <v>66</v>
      </c>
      <c r="C854" s="4" t="str">
        <f t="shared" si="68"/>
        <v>GSE14018</v>
      </c>
      <c r="D854" s="1" t="s">
        <v>62</v>
      </c>
      <c r="E854" t="s">
        <v>15</v>
      </c>
      <c r="F854" s="1">
        <v>1</v>
      </c>
      <c r="G854" s="1" t="s">
        <v>67</v>
      </c>
      <c r="H854" s="4" t="str">
        <f>HYPERLINK("https://www.ncbi.nlm.nih.gov/geo/query/acc.cgi?acc=GSM352154","GSM352154")</f>
        <v>GSM352154</v>
      </c>
      <c r="I854" t="s">
        <v>17</v>
      </c>
      <c r="J854" t="s">
        <v>18</v>
      </c>
      <c r="K854" t="s">
        <v>19</v>
      </c>
      <c r="L854" t="s">
        <v>20</v>
      </c>
      <c r="M854" t="s">
        <v>50</v>
      </c>
      <c r="N854" t="s">
        <v>22</v>
      </c>
    </row>
    <row r="855" spans="1:14">
      <c r="A855" s="4" t="str">
        <f t="shared" si="67"/>
        <v>EXP00016</v>
      </c>
      <c r="B855" s="3" t="s">
        <v>66</v>
      </c>
      <c r="C855" s="4" t="str">
        <f t="shared" si="68"/>
        <v>GSE14018</v>
      </c>
      <c r="D855" s="1" t="s">
        <v>62</v>
      </c>
      <c r="E855" t="s">
        <v>15</v>
      </c>
      <c r="F855" s="1">
        <v>1</v>
      </c>
      <c r="G855" s="1" t="s">
        <v>67</v>
      </c>
      <c r="H855" s="4" t="str">
        <f>HYPERLINK("https://www.ncbi.nlm.nih.gov/geo/query/acc.cgi?acc=GSM352155","GSM352155")</f>
        <v>GSM352155</v>
      </c>
      <c r="I855" t="s">
        <v>17</v>
      </c>
      <c r="J855" t="s">
        <v>18</v>
      </c>
      <c r="K855" t="s">
        <v>19</v>
      </c>
      <c r="L855" t="s">
        <v>20</v>
      </c>
      <c r="M855" t="s">
        <v>50</v>
      </c>
      <c r="N855" t="s">
        <v>22</v>
      </c>
    </row>
    <row r="856" spans="1:14">
      <c r="A856" s="4" t="str">
        <f t="shared" si="67"/>
        <v>EXP00016</v>
      </c>
      <c r="B856" s="3" t="s">
        <v>66</v>
      </c>
      <c r="C856" s="4" t="str">
        <f t="shared" si="68"/>
        <v>GSE14018</v>
      </c>
      <c r="D856" s="1" t="s">
        <v>62</v>
      </c>
      <c r="E856" t="s">
        <v>15</v>
      </c>
      <c r="F856" s="1">
        <v>1</v>
      </c>
      <c r="G856" s="1" t="s">
        <v>67</v>
      </c>
      <c r="H856" s="4" t="str">
        <f>HYPERLINK("https://www.ncbi.nlm.nih.gov/geo/query/acc.cgi?acc=GSM352159","GSM352159")</f>
        <v>GSM352159</v>
      </c>
      <c r="I856" t="s">
        <v>17</v>
      </c>
      <c r="J856" t="s">
        <v>18</v>
      </c>
      <c r="K856" t="s">
        <v>19</v>
      </c>
      <c r="L856" t="s">
        <v>20</v>
      </c>
      <c r="M856" t="s">
        <v>50</v>
      </c>
      <c r="N856" t="s">
        <v>22</v>
      </c>
    </row>
    <row r="857" spans="1:14">
      <c r="A857" s="4" t="str">
        <f t="shared" si="67"/>
        <v>EXP00016</v>
      </c>
      <c r="B857" s="3" t="s">
        <v>66</v>
      </c>
      <c r="C857" s="4" t="str">
        <f t="shared" si="68"/>
        <v>GSE14018</v>
      </c>
      <c r="D857" s="1" t="s">
        <v>62</v>
      </c>
      <c r="E857" t="s">
        <v>15</v>
      </c>
      <c r="F857" s="1">
        <v>1</v>
      </c>
      <c r="G857" s="1" t="s">
        <v>67</v>
      </c>
      <c r="H857" s="4" t="str">
        <f>HYPERLINK("https://www.ncbi.nlm.nih.gov/geo/query/acc.cgi?acc=GSM352163","GSM352163")</f>
        <v>GSM352163</v>
      </c>
      <c r="I857" t="s">
        <v>17</v>
      </c>
      <c r="J857" t="s">
        <v>18</v>
      </c>
      <c r="K857" t="s">
        <v>19</v>
      </c>
      <c r="L857" t="s">
        <v>20</v>
      </c>
      <c r="M857" t="s">
        <v>50</v>
      </c>
      <c r="N857" t="s">
        <v>22</v>
      </c>
    </row>
    <row r="858" spans="1:14">
      <c r="A858" s="4" t="str">
        <f t="shared" si="67"/>
        <v>EXP00016</v>
      </c>
      <c r="B858" s="3" t="s">
        <v>66</v>
      </c>
      <c r="C858" s="4" t="str">
        <f t="shared" si="68"/>
        <v>GSE14018</v>
      </c>
      <c r="D858" s="1" t="s">
        <v>62</v>
      </c>
      <c r="E858" t="s">
        <v>15</v>
      </c>
      <c r="F858" s="1">
        <v>1</v>
      </c>
      <c r="G858" s="1" t="s">
        <v>67</v>
      </c>
      <c r="H858" s="4" t="str">
        <f>HYPERLINK("https://www.ncbi.nlm.nih.gov/geo/query/acc.cgi?acc=GSM352167","GSM352167")</f>
        <v>GSM352167</v>
      </c>
      <c r="I858" t="s">
        <v>17</v>
      </c>
      <c r="J858" t="s">
        <v>18</v>
      </c>
      <c r="K858" t="s">
        <v>19</v>
      </c>
      <c r="L858" t="s">
        <v>20</v>
      </c>
      <c r="M858" t="s">
        <v>50</v>
      </c>
      <c r="N858" t="s">
        <v>22</v>
      </c>
    </row>
    <row r="859" spans="1:14">
      <c r="A859" s="4" t="str">
        <f t="shared" si="67"/>
        <v>EXP00016</v>
      </c>
      <c r="B859" s="3" t="s">
        <v>66</v>
      </c>
      <c r="C859" s="4" t="str">
        <f t="shared" si="68"/>
        <v>GSE14018</v>
      </c>
      <c r="D859" s="1" t="s">
        <v>62</v>
      </c>
      <c r="E859" t="s">
        <v>15</v>
      </c>
      <c r="F859" s="1">
        <v>2</v>
      </c>
      <c r="G859" s="1" t="s">
        <v>16</v>
      </c>
      <c r="H859" s="4" t="str">
        <f>HYPERLINK("https://www.ncbi.nlm.nih.gov/geo/query/acc.cgi?acc=GSM352137","GSM352137")</f>
        <v>GSM352137</v>
      </c>
      <c r="I859" t="s">
        <v>17</v>
      </c>
      <c r="J859" t="s">
        <v>18</v>
      </c>
      <c r="K859" t="s">
        <v>19</v>
      </c>
      <c r="L859" t="s">
        <v>20</v>
      </c>
      <c r="M859" t="s">
        <v>21</v>
      </c>
      <c r="N859" t="s">
        <v>22</v>
      </c>
    </row>
    <row r="860" spans="1:14">
      <c r="A860" s="4" t="str">
        <f t="shared" si="67"/>
        <v>EXP00016</v>
      </c>
      <c r="B860" s="3" t="s">
        <v>66</v>
      </c>
      <c r="C860" s="4" t="str">
        <f t="shared" si="68"/>
        <v>GSE14018</v>
      </c>
      <c r="D860" s="1" t="s">
        <v>62</v>
      </c>
      <c r="E860" t="s">
        <v>15</v>
      </c>
      <c r="F860" s="1">
        <v>2</v>
      </c>
      <c r="G860" s="1" t="s">
        <v>16</v>
      </c>
      <c r="H860" s="4" t="str">
        <f>HYPERLINK("https://www.ncbi.nlm.nih.gov/geo/query/acc.cgi?acc=GSM352140","GSM352140")</f>
        <v>GSM352140</v>
      </c>
      <c r="I860" t="s">
        <v>17</v>
      </c>
      <c r="J860" t="s">
        <v>18</v>
      </c>
      <c r="K860" t="s">
        <v>19</v>
      </c>
      <c r="L860" t="s">
        <v>20</v>
      </c>
      <c r="M860" t="s">
        <v>21</v>
      </c>
      <c r="N860" t="s">
        <v>22</v>
      </c>
    </row>
    <row r="861" spans="1:14">
      <c r="A861" s="4" t="str">
        <f t="shared" si="67"/>
        <v>EXP00016</v>
      </c>
      <c r="B861" s="3" t="s">
        <v>66</v>
      </c>
      <c r="C861" s="4" t="str">
        <f t="shared" si="68"/>
        <v>GSE14018</v>
      </c>
      <c r="D861" s="1" t="s">
        <v>62</v>
      </c>
      <c r="E861" t="s">
        <v>15</v>
      </c>
      <c r="F861" s="1">
        <v>2</v>
      </c>
      <c r="G861" s="1" t="s">
        <v>16</v>
      </c>
      <c r="H861" s="4" t="str">
        <f>HYPERLINK("https://www.ncbi.nlm.nih.gov/geo/query/acc.cgi?acc=GSM352142","GSM352142")</f>
        <v>GSM352142</v>
      </c>
      <c r="I861" t="s">
        <v>17</v>
      </c>
      <c r="J861" t="s">
        <v>18</v>
      </c>
      <c r="K861" t="s">
        <v>19</v>
      </c>
      <c r="L861" t="s">
        <v>20</v>
      </c>
      <c r="M861" t="s">
        <v>21</v>
      </c>
      <c r="N861" t="s">
        <v>22</v>
      </c>
    </row>
    <row r="862" spans="1:14">
      <c r="A862" s="4" t="str">
        <f t="shared" si="67"/>
        <v>EXP00016</v>
      </c>
      <c r="B862" s="3" t="s">
        <v>66</v>
      </c>
      <c r="C862" s="4" t="str">
        <f t="shared" si="68"/>
        <v>GSE14018</v>
      </c>
      <c r="D862" s="1" t="s">
        <v>62</v>
      </c>
      <c r="E862" t="s">
        <v>15</v>
      </c>
      <c r="F862" s="1">
        <v>2</v>
      </c>
      <c r="G862" s="1" t="s">
        <v>16</v>
      </c>
      <c r="H862" s="4" t="str">
        <f>HYPERLINK("https://www.ncbi.nlm.nih.gov/geo/query/acc.cgi?acc=GSM352148","GSM352148")</f>
        <v>GSM352148</v>
      </c>
      <c r="I862" t="s">
        <v>17</v>
      </c>
      <c r="J862" t="s">
        <v>18</v>
      </c>
      <c r="K862" t="s">
        <v>19</v>
      </c>
      <c r="L862" t="s">
        <v>20</v>
      </c>
      <c r="M862" t="s">
        <v>21</v>
      </c>
      <c r="N862" t="s">
        <v>22</v>
      </c>
    </row>
    <row r="863" spans="1:14">
      <c r="A863" s="4" t="str">
        <f t="shared" si="67"/>
        <v>EXP00016</v>
      </c>
      <c r="B863" s="3" t="s">
        <v>66</v>
      </c>
      <c r="C863" s="4" t="str">
        <f t="shared" si="68"/>
        <v>GSE14018</v>
      </c>
      <c r="D863" s="1" t="s">
        <v>62</v>
      </c>
      <c r="E863" t="s">
        <v>15</v>
      </c>
      <c r="F863" s="1">
        <v>2</v>
      </c>
      <c r="G863" s="1" t="s">
        <v>16</v>
      </c>
      <c r="H863" s="4" t="str">
        <f>HYPERLINK("https://www.ncbi.nlm.nih.gov/geo/query/acc.cgi?acc=GSM352150","GSM352150")</f>
        <v>GSM352150</v>
      </c>
      <c r="I863" t="s">
        <v>17</v>
      </c>
      <c r="J863" t="s">
        <v>18</v>
      </c>
      <c r="K863" t="s">
        <v>19</v>
      </c>
      <c r="L863" t="s">
        <v>20</v>
      </c>
      <c r="M863" t="s">
        <v>21</v>
      </c>
      <c r="N863" t="s">
        <v>22</v>
      </c>
    </row>
    <row r="864" spans="1:14">
      <c r="A864" s="4" t="str">
        <f t="shared" si="67"/>
        <v>EXP00016</v>
      </c>
      <c r="B864" s="3" t="s">
        <v>66</v>
      </c>
      <c r="C864" s="4" t="str">
        <f t="shared" si="68"/>
        <v>GSE14018</v>
      </c>
      <c r="D864" s="1" t="s">
        <v>62</v>
      </c>
      <c r="E864" t="s">
        <v>15</v>
      </c>
      <c r="F864" s="1">
        <v>2</v>
      </c>
      <c r="G864" s="1" t="s">
        <v>16</v>
      </c>
      <c r="H864" s="4" t="str">
        <f>HYPERLINK("https://www.ncbi.nlm.nih.gov/geo/query/acc.cgi?acc=GSM352152","GSM352152")</f>
        <v>GSM352152</v>
      </c>
      <c r="I864" t="s">
        <v>17</v>
      </c>
      <c r="J864" t="s">
        <v>18</v>
      </c>
      <c r="K864" t="s">
        <v>19</v>
      </c>
      <c r="L864" t="s">
        <v>20</v>
      </c>
      <c r="M864" t="s">
        <v>21</v>
      </c>
      <c r="N864" t="s">
        <v>22</v>
      </c>
    </row>
    <row r="865" spans="1:14">
      <c r="A865" s="4" t="str">
        <f t="shared" si="67"/>
        <v>EXP00016</v>
      </c>
      <c r="B865" s="3" t="s">
        <v>66</v>
      </c>
      <c r="C865" s="4" t="str">
        <f t="shared" si="68"/>
        <v>GSE14018</v>
      </c>
      <c r="D865" s="1" t="s">
        <v>62</v>
      </c>
      <c r="E865" t="s">
        <v>15</v>
      </c>
      <c r="F865" s="1">
        <v>2</v>
      </c>
      <c r="G865" s="1" t="s">
        <v>16</v>
      </c>
      <c r="H865" s="4" t="str">
        <f>HYPERLINK("https://www.ncbi.nlm.nih.gov/geo/query/acc.cgi?acc=GSM352153","GSM352153")</f>
        <v>GSM352153</v>
      </c>
      <c r="I865" t="s">
        <v>17</v>
      </c>
      <c r="J865" t="s">
        <v>18</v>
      </c>
      <c r="K865" t="s">
        <v>19</v>
      </c>
      <c r="L865" t="s">
        <v>20</v>
      </c>
      <c r="M865" t="s">
        <v>21</v>
      </c>
      <c r="N865" t="s">
        <v>22</v>
      </c>
    </row>
    <row r="866" spans="1:14">
      <c r="A866" s="4" t="str">
        <f t="shared" si="67"/>
        <v>EXP00016</v>
      </c>
      <c r="B866" s="3" t="s">
        <v>66</v>
      </c>
      <c r="C866" s="4" t="str">
        <f t="shared" si="68"/>
        <v>GSE14018</v>
      </c>
      <c r="D866" s="1" t="s">
        <v>62</v>
      </c>
      <c r="E866" t="s">
        <v>15</v>
      </c>
      <c r="F866" s="1">
        <v>3</v>
      </c>
      <c r="G866" s="1" t="s">
        <v>63</v>
      </c>
      <c r="H866" s="4" t="str">
        <f>HYPERLINK("https://www.ncbi.nlm.nih.gov/geo/query/acc.cgi?acc=GSM352136","GSM352136")</f>
        <v>GSM352136</v>
      </c>
      <c r="I866" t="s">
        <v>17</v>
      </c>
      <c r="J866" t="s">
        <v>18</v>
      </c>
      <c r="K866" t="s">
        <v>19</v>
      </c>
      <c r="L866" t="s">
        <v>20</v>
      </c>
      <c r="M866" t="s">
        <v>44</v>
      </c>
      <c r="N866" t="s">
        <v>22</v>
      </c>
    </row>
    <row r="867" spans="1:14">
      <c r="A867" s="4" t="str">
        <f t="shared" si="67"/>
        <v>EXP00016</v>
      </c>
      <c r="B867" s="3" t="s">
        <v>66</v>
      </c>
      <c r="C867" s="4" t="str">
        <f t="shared" si="68"/>
        <v>GSE14018</v>
      </c>
      <c r="D867" s="1" t="s">
        <v>62</v>
      </c>
      <c r="E867" t="s">
        <v>15</v>
      </c>
      <c r="F867" s="1">
        <v>3</v>
      </c>
      <c r="G867" s="1" t="s">
        <v>63</v>
      </c>
      <c r="H867" s="4" t="str">
        <f>HYPERLINK("https://www.ncbi.nlm.nih.gov/geo/query/acc.cgi?acc=GSM352139","GSM352139")</f>
        <v>GSM352139</v>
      </c>
      <c r="I867" t="s">
        <v>17</v>
      </c>
      <c r="J867" t="s">
        <v>18</v>
      </c>
      <c r="K867" t="s">
        <v>19</v>
      </c>
      <c r="L867" t="s">
        <v>20</v>
      </c>
      <c r="M867" t="s">
        <v>44</v>
      </c>
      <c r="N867" t="s">
        <v>22</v>
      </c>
    </row>
    <row r="868" spans="1:14">
      <c r="A868" s="4" t="str">
        <f t="shared" si="67"/>
        <v>EXP00016</v>
      </c>
      <c r="B868" s="3" t="s">
        <v>66</v>
      </c>
      <c r="C868" s="4" t="str">
        <f t="shared" si="68"/>
        <v>GSE14018</v>
      </c>
      <c r="D868" s="1" t="s">
        <v>62</v>
      </c>
      <c r="E868" t="s">
        <v>15</v>
      </c>
      <c r="F868" s="1">
        <v>3</v>
      </c>
      <c r="G868" s="1" t="s">
        <v>63</v>
      </c>
      <c r="H868" s="4" t="str">
        <f>HYPERLINK("https://www.ncbi.nlm.nih.gov/geo/query/acc.cgi?acc=GSM352146","GSM352146")</f>
        <v>GSM352146</v>
      </c>
      <c r="I868" t="s">
        <v>17</v>
      </c>
      <c r="J868" t="s">
        <v>18</v>
      </c>
      <c r="K868" t="s">
        <v>19</v>
      </c>
      <c r="L868" t="s">
        <v>20</v>
      </c>
      <c r="M868" t="s">
        <v>44</v>
      </c>
      <c r="N868" t="s">
        <v>22</v>
      </c>
    </row>
    <row r="869" spans="1:14">
      <c r="A869" s="4" t="str">
        <f t="shared" si="67"/>
        <v>EXP00016</v>
      </c>
      <c r="B869" s="3" t="s">
        <v>66</v>
      </c>
      <c r="C869" s="4" t="str">
        <f t="shared" si="68"/>
        <v>GSE14018</v>
      </c>
      <c r="D869" s="1" t="s">
        <v>62</v>
      </c>
      <c r="E869" t="s">
        <v>15</v>
      </c>
      <c r="F869" s="1">
        <v>3</v>
      </c>
      <c r="G869" s="1" t="s">
        <v>63</v>
      </c>
      <c r="H869" s="4" t="str">
        <f>HYPERLINK("https://www.ncbi.nlm.nih.gov/geo/query/acc.cgi?acc=GSM352157","GSM352157")</f>
        <v>GSM352157</v>
      </c>
      <c r="I869" t="s">
        <v>17</v>
      </c>
      <c r="J869" t="s">
        <v>18</v>
      </c>
      <c r="K869" t="s">
        <v>19</v>
      </c>
      <c r="L869" t="s">
        <v>20</v>
      </c>
      <c r="M869" t="s">
        <v>44</v>
      </c>
      <c r="N869" t="s">
        <v>22</v>
      </c>
    </row>
    <row r="870" spans="1:14">
      <c r="A870" s="4" t="str">
        <f t="shared" si="67"/>
        <v>EXP00016</v>
      </c>
      <c r="B870" s="3" t="s">
        <v>66</v>
      </c>
      <c r="C870" s="4" t="str">
        <f t="shared" si="68"/>
        <v>GSE14018</v>
      </c>
      <c r="D870" s="1" t="s">
        <v>62</v>
      </c>
      <c r="E870" t="s">
        <v>15</v>
      </c>
      <c r="F870" s="1">
        <v>3</v>
      </c>
      <c r="G870" s="1" t="s">
        <v>63</v>
      </c>
      <c r="H870" s="4" t="str">
        <f>HYPERLINK("https://www.ncbi.nlm.nih.gov/geo/query/acc.cgi?acc=GSM352162","GSM352162")</f>
        <v>GSM352162</v>
      </c>
      <c r="I870" t="s">
        <v>17</v>
      </c>
      <c r="J870" t="s">
        <v>18</v>
      </c>
      <c r="K870" t="s">
        <v>19</v>
      </c>
      <c r="L870" t="s">
        <v>20</v>
      </c>
      <c r="M870" t="s">
        <v>44</v>
      </c>
      <c r="N870" t="s">
        <v>22</v>
      </c>
    </row>
    <row r="871" spans="1:14">
      <c r="A871" s="4" t="str">
        <f t="shared" si="67"/>
        <v>EXP00016</v>
      </c>
      <c r="B871" s="3" t="s">
        <v>66</v>
      </c>
      <c r="C871" s="4" t="str">
        <f t="shared" si="68"/>
        <v>GSE14018</v>
      </c>
      <c r="D871" s="1" t="s">
        <v>62</v>
      </c>
      <c r="E871" t="s">
        <v>15</v>
      </c>
      <c r="F871" s="1">
        <v>4</v>
      </c>
      <c r="G871" s="1" t="s">
        <v>40</v>
      </c>
      <c r="H871" s="4" t="str">
        <f>HYPERLINK("https://www.ncbi.nlm.nih.gov/geo/query/acc.cgi?acc=GSM352133","GSM352133")</f>
        <v>GSM352133</v>
      </c>
      <c r="I871" t="s">
        <v>17</v>
      </c>
      <c r="J871" t="s">
        <v>18</v>
      </c>
      <c r="K871" t="s">
        <v>19</v>
      </c>
      <c r="L871" t="s">
        <v>20</v>
      </c>
      <c r="M871" t="s">
        <v>41</v>
      </c>
      <c r="N871" t="s">
        <v>22</v>
      </c>
    </row>
    <row r="872" spans="1:14">
      <c r="A872" s="4" t="str">
        <f t="shared" si="67"/>
        <v>EXP00016</v>
      </c>
      <c r="B872" s="3" t="s">
        <v>66</v>
      </c>
      <c r="C872" s="4" t="str">
        <f t="shared" si="68"/>
        <v>GSE14018</v>
      </c>
      <c r="D872" s="1" t="s">
        <v>62</v>
      </c>
      <c r="E872" t="s">
        <v>15</v>
      </c>
      <c r="F872" s="1">
        <v>4</v>
      </c>
      <c r="G872" s="1" t="s">
        <v>40</v>
      </c>
      <c r="H872" s="4" t="str">
        <f>HYPERLINK("https://www.ncbi.nlm.nih.gov/geo/query/acc.cgi?acc=GSM352134","GSM352134")</f>
        <v>GSM352134</v>
      </c>
      <c r="I872" t="s">
        <v>17</v>
      </c>
      <c r="J872" t="s">
        <v>18</v>
      </c>
      <c r="K872" t="s">
        <v>19</v>
      </c>
      <c r="L872" t="s">
        <v>20</v>
      </c>
      <c r="M872" t="s">
        <v>41</v>
      </c>
      <c r="N872" t="s">
        <v>22</v>
      </c>
    </row>
    <row r="873" spans="1:14">
      <c r="A873" s="4" t="str">
        <f t="shared" si="67"/>
        <v>EXP00016</v>
      </c>
      <c r="B873" s="3" t="s">
        <v>66</v>
      </c>
      <c r="C873" s="4" t="str">
        <f t="shared" si="68"/>
        <v>GSE14018</v>
      </c>
      <c r="D873" s="1" t="s">
        <v>62</v>
      </c>
      <c r="E873" t="s">
        <v>15</v>
      </c>
      <c r="F873" s="1">
        <v>4</v>
      </c>
      <c r="G873" s="1" t="s">
        <v>40</v>
      </c>
      <c r="H873" s="4" t="str">
        <f>HYPERLINK("https://www.ncbi.nlm.nih.gov/geo/query/acc.cgi?acc=GSM352135","GSM352135")</f>
        <v>GSM352135</v>
      </c>
      <c r="I873" t="s">
        <v>17</v>
      </c>
      <c r="J873" t="s">
        <v>18</v>
      </c>
      <c r="K873" t="s">
        <v>19</v>
      </c>
      <c r="L873" t="s">
        <v>20</v>
      </c>
      <c r="M873" t="s">
        <v>41</v>
      </c>
      <c r="N873" t="s">
        <v>22</v>
      </c>
    </row>
    <row r="874" spans="1:14">
      <c r="A874" s="4" t="str">
        <f t="shared" si="67"/>
        <v>EXP00016</v>
      </c>
      <c r="B874" s="3" t="s">
        <v>66</v>
      </c>
      <c r="C874" s="4" t="str">
        <f t="shared" si="68"/>
        <v>GSE14018</v>
      </c>
      <c r="D874" s="1" t="s">
        <v>62</v>
      </c>
      <c r="E874" t="s">
        <v>15</v>
      </c>
      <c r="F874" s="1">
        <v>4</v>
      </c>
      <c r="G874" s="1" t="s">
        <v>40</v>
      </c>
      <c r="H874" s="4" t="str">
        <f>HYPERLINK("https://www.ncbi.nlm.nih.gov/geo/query/acc.cgi?acc=GSM352138","GSM352138")</f>
        <v>GSM352138</v>
      </c>
      <c r="I874" t="s">
        <v>17</v>
      </c>
      <c r="J874" t="s">
        <v>18</v>
      </c>
      <c r="K874" t="s">
        <v>19</v>
      </c>
      <c r="L874" t="s">
        <v>20</v>
      </c>
      <c r="M874" t="s">
        <v>41</v>
      </c>
      <c r="N874" t="s">
        <v>22</v>
      </c>
    </row>
    <row r="875" spans="1:14">
      <c r="A875" s="4" t="str">
        <f t="shared" si="67"/>
        <v>EXP00016</v>
      </c>
      <c r="B875" s="3" t="s">
        <v>66</v>
      </c>
      <c r="C875" s="4" t="str">
        <f t="shared" si="68"/>
        <v>GSE14018</v>
      </c>
      <c r="D875" s="1" t="s">
        <v>62</v>
      </c>
      <c r="E875" t="s">
        <v>15</v>
      </c>
      <c r="F875" s="1">
        <v>4</v>
      </c>
      <c r="G875" s="1" t="s">
        <v>40</v>
      </c>
      <c r="H875" s="4" t="str">
        <f>HYPERLINK("https://www.ncbi.nlm.nih.gov/geo/query/acc.cgi?acc=GSM352141","GSM352141")</f>
        <v>GSM352141</v>
      </c>
      <c r="I875" t="s">
        <v>17</v>
      </c>
      <c r="J875" t="s">
        <v>18</v>
      </c>
      <c r="K875" t="s">
        <v>19</v>
      </c>
      <c r="L875" t="s">
        <v>20</v>
      </c>
      <c r="M875" t="s">
        <v>41</v>
      </c>
      <c r="N875" t="s">
        <v>22</v>
      </c>
    </row>
    <row r="876" spans="1:14">
      <c r="A876" s="4" t="str">
        <f t="shared" si="67"/>
        <v>EXP00016</v>
      </c>
      <c r="B876" s="3" t="s">
        <v>66</v>
      </c>
      <c r="C876" s="4" t="str">
        <f t="shared" si="68"/>
        <v>GSE14018</v>
      </c>
      <c r="D876" s="1" t="s">
        <v>62</v>
      </c>
      <c r="E876" t="s">
        <v>15</v>
      </c>
      <c r="F876" s="1">
        <v>4</v>
      </c>
      <c r="G876" s="1" t="s">
        <v>40</v>
      </c>
      <c r="H876" s="4" t="str">
        <f>HYPERLINK("https://www.ncbi.nlm.nih.gov/geo/query/acc.cgi?acc=GSM352143","GSM352143")</f>
        <v>GSM352143</v>
      </c>
      <c r="I876" t="s">
        <v>17</v>
      </c>
      <c r="J876" t="s">
        <v>18</v>
      </c>
      <c r="K876" t="s">
        <v>19</v>
      </c>
      <c r="L876" t="s">
        <v>20</v>
      </c>
      <c r="M876" t="s">
        <v>41</v>
      </c>
      <c r="N876" t="s">
        <v>22</v>
      </c>
    </row>
    <row r="877" spans="1:14">
      <c r="A877" s="4" t="str">
        <f t="shared" si="67"/>
        <v>EXP00016</v>
      </c>
      <c r="B877" s="3" t="s">
        <v>66</v>
      </c>
      <c r="C877" s="4" t="str">
        <f t="shared" si="68"/>
        <v>GSE14018</v>
      </c>
      <c r="D877" s="1" t="s">
        <v>62</v>
      </c>
      <c r="E877" t="s">
        <v>15</v>
      </c>
      <c r="F877" s="1">
        <v>4</v>
      </c>
      <c r="G877" s="1" t="s">
        <v>40</v>
      </c>
      <c r="H877" s="4" t="str">
        <f>HYPERLINK("https://www.ncbi.nlm.nih.gov/geo/query/acc.cgi?acc=GSM352145","GSM352145")</f>
        <v>GSM352145</v>
      </c>
      <c r="I877" t="s">
        <v>17</v>
      </c>
      <c r="J877" t="s">
        <v>18</v>
      </c>
      <c r="K877" t="s">
        <v>19</v>
      </c>
      <c r="L877" t="s">
        <v>20</v>
      </c>
      <c r="M877" t="s">
        <v>41</v>
      </c>
      <c r="N877" t="s">
        <v>22</v>
      </c>
    </row>
    <row r="878" spans="1:14">
      <c r="A878" s="4" t="str">
        <f t="shared" si="67"/>
        <v>EXP00016</v>
      </c>
      <c r="B878" s="3" t="s">
        <v>66</v>
      </c>
      <c r="C878" s="4" t="str">
        <f t="shared" si="68"/>
        <v>GSE14018</v>
      </c>
      <c r="D878" s="1" t="s">
        <v>62</v>
      </c>
      <c r="E878" t="s">
        <v>15</v>
      </c>
      <c r="F878" s="1">
        <v>4</v>
      </c>
      <c r="G878" s="1" t="s">
        <v>40</v>
      </c>
      <c r="H878" s="4" t="str">
        <f>HYPERLINK("https://www.ncbi.nlm.nih.gov/geo/query/acc.cgi?acc=GSM352147","GSM352147")</f>
        <v>GSM352147</v>
      </c>
      <c r="I878" t="s">
        <v>17</v>
      </c>
      <c r="J878" t="s">
        <v>18</v>
      </c>
      <c r="K878" t="s">
        <v>19</v>
      </c>
      <c r="L878" t="s">
        <v>20</v>
      </c>
      <c r="M878" t="s">
        <v>41</v>
      </c>
      <c r="N878" t="s">
        <v>22</v>
      </c>
    </row>
    <row r="879" spans="1:14">
      <c r="A879" s="4" t="str">
        <f t="shared" si="67"/>
        <v>EXP00016</v>
      </c>
      <c r="B879" s="3" t="s">
        <v>66</v>
      </c>
      <c r="C879" s="4" t="str">
        <f t="shared" si="68"/>
        <v>GSE14018</v>
      </c>
      <c r="D879" s="1" t="s">
        <v>62</v>
      </c>
      <c r="E879" t="s">
        <v>15</v>
      </c>
      <c r="F879" s="1">
        <v>4</v>
      </c>
      <c r="G879" s="1" t="s">
        <v>40</v>
      </c>
      <c r="H879" s="4" t="str">
        <f>HYPERLINK("https://www.ncbi.nlm.nih.gov/geo/query/acc.cgi?acc=GSM352156","GSM352156")</f>
        <v>GSM352156</v>
      </c>
      <c r="I879" t="s">
        <v>17</v>
      </c>
      <c r="J879" t="s">
        <v>18</v>
      </c>
      <c r="K879" t="s">
        <v>19</v>
      </c>
      <c r="L879" t="s">
        <v>20</v>
      </c>
      <c r="M879" t="s">
        <v>41</v>
      </c>
      <c r="N879" t="s">
        <v>22</v>
      </c>
    </row>
    <row r="880" spans="1:14">
      <c r="A880" s="4" t="str">
        <f t="shared" si="67"/>
        <v>EXP00016</v>
      </c>
      <c r="B880" s="3" t="s">
        <v>66</v>
      </c>
      <c r="C880" s="4" t="str">
        <f t="shared" si="68"/>
        <v>GSE14018</v>
      </c>
      <c r="D880" s="1" t="s">
        <v>62</v>
      </c>
      <c r="E880" t="s">
        <v>15</v>
      </c>
      <c r="F880" s="1">
        <v>4</v>
      </c>
      <c r="G880" s="1" t="s">
        <v>40</v>
      </c>
      <c r="H880" s="4" t="str">
        <f>HYPERLINK("https://www.ncbi.nlm.nih.gov/geo/query/acc.cgi?acc=GSM352158","GSM352158")</f>
        <v>GSM352158</v>
      </c>
      <c r="I880" t="s">
        <v>17</v>
      </c>
      <c r="J880" t="s">
        <v>18</v>
      </c>
      <c r="K880" t="s">
        <v>19</v>
      </c>
      <c r="L880" t="s">
        <v>20</v>
      </c>
      <c r="M880" t="s">
        <v>41</v>
      </c>
      <c r="N880" t="s">
        <v>22</v>
      </c>
    </row>
    <row r="881" spans="1:14">
      <c r="A881" s="4" t="str">
        <f t="shared" si="67"/>
        <v>EXP00016</v>
      </c>
      <c r="B881" s="3" t="s">
        <v>66</v>
      </c>
      <c r="C881" s="4" t="str">
        <f t="shared" si="68"/>
        <v>GSE14018</v>
      </c>
      <c r="D881" s="1" t="s">
        <v>62</v>
      </c>
      <c r="E881" t="s">
        <v>15</v>
      </c>
      <c r="F881" s="1">
        <v>4</v>
      </c>
      <c r="G881" s="1" t="s">
        <v>40</v>
      </c>
      <c r="H881" s="4" t="str">
        <f>HYPERLINK("https://www.ncbi.nlm.nih.gov/geo/query/acc.cgi?acc=GSM352160","GSM352160")</f>
        <v>GSM352160</v>
      </c>
      <c r="I881" t="s">
        <v>17</v>
      </c>
      <c r="J881" t="s">
        <v>18</v>
      </c>
      <c r="K881" t="s">
        <v>19</v>
      </c>
      <c r="L881" t="s">
        <v>20</v>
      </c>
      <c r="M881" t="s">
        <v>41</v>
      </c>
      <c r="N881" t="s">
        <v>22</v>
      </c>
    </row>
    <row r="882" spans="1:14">
      <c r="A882" s="4" t="str">
        <f t="shared" si="67"/>
        <v>EXP00016</v>
      </c>
      <c r="B882" s="3" t="s">
        <v>66</v>
      </c>
      <c r="C882" s="4" t="str">
        <f t="shared" si="68"/>
        <v>GSE14018</v>
      </c>
      <c r="D882" s="1" t="s">
        <v>62</v>
      </c>
      <c r="E882" t="s">
        <v>15</v>
      </c>
      <c r="F882" s="1">
        <v>4</v>
      </c>
      <c r="G882" s="1" t="s">
        <v>40</v>
      </c>
      <c r="H882" s="4" t="str">
        <f>HYPERLINK("https://www.ncbi.nlm.nih.gov/geo/query/acc.cgi?acc=GSM352161","GSM352161")</f>
        <v>GSM352161</v>
      </c>
      <c r="I882" t="s">
        <v>17</v>
      </c>
      <c r="J882" t="s">
        <v>18</v>
      </c>
      <c r="K882" t="s">
        <v>19</v>
      </c>
      <c r="L882" t="s">
        <v>20</v>
      </c>
      <c r="M882" t="s">
        <v>41</v>
      </c>
      <c r="N882" t="s">
        <v>22</v>
      </c>
    </row>
    <row r="883" spans="1:14">
      <c r="A883" s="4" t="str">
        <f t="shared" si="67"/>
        <v>EXP00016</v>
      </c>
      <c r="B883" s="3" t="s">
        <v>66</v>
      </c>
      <c r="C883" s="4" t="str">
        <f t="shared" si="68"/>
        <v>GSE14018</v>
      </c>
      <c r="D883" s="1" t="s">
        <v>62</v>
      </c>
      <c r="E883" t="s">
        <v>15</v>
      </c>
      <c r="F883" s="1">
        <v>4</v>
      </c>
      <c r="G883" s="1" t="s">
        <v>40</v>
      </c>
      <c r="H883" s="4" t="str">
        <f>HYPERLINK("https://www.ncbi.nlm.nih.gov/geo/query/acc.cgi?acc=GSM352164","GSM352164")</f>
        <v>GSM352164</v>
      </c>
      <c r="I883" t="s">
        <v>17</v>
      </c>
      <c r="J883" t="s">
        <v>18</v>
      </c>
      <c r="K883" t="s">
        <v>19</v>
      </c>
      <c r="L883" t="s">
        <v>20</v>
      </c>
      <c r="M883" t="s">
        <v>41</v>
      </c>
      <c r="N883" t="s">
        <v>22</v>
      </c>
    </row>
    <row r="884" spans="1:14">
      <c r="A884" s="4" t="str">
        <f t="shared" si="67"/>
        <v>EXP00016</v>
      </c>
      <c r="B884" s="3" t="s">
        <v>66</v>
      </c>
      <c r="C884" s="4" t="str">
        <f t="shared" si="68"/>
        <v>GSE14018</v>
      </c>
      <c r="D884" s="1" t="s">
        <v>62</v>
      </c>
      <c r="E884" t="s">
        <v>15</v>
      </c>
      <c r="F884" s="1">
        <v>4</v>
      </c>
      <c r="G884" s="1" t="s">
        <v>40</v>
      </c>
      <c r="H884" s="4" t="str">
        <f>HYPERLINK("https://www.ncbi.nlm.nih.gov/geo/query/acc.cgi?acc=GSM352165","GSM352165")</f>
        <v>GSM352165</v>
      </c>
      <c r="I884" t="s">
        <v>17</v>
      </c>
      <c r="J884" t="s">
        <v>18</v>
      </c>
      <c r="K884" t="s">
        <v>19</v>
      </c>
      <c r="L884" t="s">
        <v>20</v>
      </c>
      <c r="M884" t="s">
        <v>41</v>
      </c>
      <c r="N884" t="s">
        <v>22</v>
      </c>
    </row>
    <row r="885" spans="1:14">
      <c r="A885" s="4" t="str">
        <f t="shared" si="67"/>
        <v>EXP00016</v>
      </c>
      <c r="B885" s="3" t="s">
        <v>66</v>
      </c>
      <c r="C885" s="4" t="str">
        <f t="shared" si="68"/>
        <v>GSE14018</v>
      </c>
      <c r="D885" s="1" t="s">
        <v>62</v>
      </c>
      <c r="E885" t="s">
        <v>15</v>
      </c>
      <c r="F885" s="1">
        <v>4</v>
      </c>
      <c r="G885" s="1" t="s">
        <v>40</v>
      </c>
      <c r="H885" s="4" t="str">
        <f>HYPERLINK("https://www.ncbi.nlm.nih.gov/geo/query/acc.cgi?acc=GSM352166","GSM352166")</f>
        <v>GSM352166</v>
      </c>
      <c r="I885" t="s">
        <v>17</v>
      </c>
      <c r="J885" t="s">
        <v>18</v>
      </c>
      <c r="K885" t="s">
        <v>19</v>
      </c>
      <c r="L885" t="s">
        <v>20</v>
      </c>
      <c r="M885" t="s">
        <v>41</v>
      </c>
      <c r="N885" t="s">
        <v>22</v>
      </c>
    </row>
    <row r="886" spans="1:14">
      <c r="A886" s="4" t="str">
        <f t="shared" si="67"/>
        <v>EXP00016</v>
      </c>
      <c r="B886" s="3" t="s">
        <v>66</v>
      </c>
      <c r="C886" s="4" t="str">
        <f t="shared" si="68"/>
        <v>GSE14018</v>
      </c>
      <c r="D886" s="1" t="s">
        <v>62</v>
      </c>
      <c r="E886" t="s">
        <v>15</v>
      </c>
      <c r="F886" s="1">
        <v>4</v>
      </c>
      <c r="G886" s="1" t="s">
        <v>40</v>
      </c>
      <c r="H886" s="4" t="str">
        <f>HYPERLINK("https://www.ncbi.nlm.nih.gov/geo/query/acc.cgi?acc=GSM352168","GSM352168")</f>
        <v>GSM352168</v>
      </c>
      <c r="I886" t="s">
        <v>17</v>
      </c>
      <c r="J886" t="s">
        <v>18</v>
      </c>
      <c r="K886" t="s">
        <v>19</v>
      </c>
      <c r="L886" t="s">
        <v>20</v>
      </c>
      <c r="M886" t="s">
        <v>41</v>
      </c>
      <c r="N886" t="s">
        <v>22</v>
      </c>
    </row>
    <row r="887" spans="1:14">
      <c r="A887" s="4" t="str">
        <f t="shared" ref="A887:A914" si="69">HYPERLINK("http://hcmdb.i-sanger.com/experiment/details/experiment_id/EXP00017","EXP00017")</f>
        <v>EXP00017</v>
      </c>
      <c r="B887" s="3" t="s">
        <v>66</v>
      </c>
      <c r="C887" s="4" t="str">
        <f t="shared" ref="C887:C918" si="70">HYPERLINK("https://www.ncbi.nlm.nih.gov/geo/query/acc.cgi?acc=GSE14020","GSE14020")</f>
        <v>GSE14020</v>
      </c>
      <c r="D887" s="1" t="s">
        <v>45</v>
      </c>
      <c r="E887" t="s">
        <v>15</v>
      </c>
      <c r="F887" s="1">
        <v>1</v>
      </c>
      <c r="G887" s="1" t="s">
        <v>67</v>
      </c>
      <c r="H887" s="4" t="str">
        <f>HYPERLINK("https://www.ncbi.nlm.nih.gov/geo/query/acc.cgi?acc=GSM352100","GSM352100")</f>
        <v>GSM352100</v>
      </c>
      <c r="I887" t="s">
        <v>17</v>
      </c>
      <c r="J887" t="s">
        <v>18</v>
      </c>
      <c r="K887" t="s">
        <v>19</v>
      </c>
      <c r="L887" t="s">
        <v>20</v>
      </c>
      <c r="M887" t="s">
        <v>50</v>
      </c>
      <c r="N887" t="s">
        <v>22</v>
      </c>
    </row>
    <row r="888" spans="1:14">
      <c r="A888" s="4" t="str">
        <f t="shared" si="69"/>
        <v>EXP00017</v>
      </c>
      <c r="B888" s="3" t="s">
        <v>66</v>
      </c>
      <c r="C888" s="4" t="str">
        <f t="shared" si="70"/>
        <v>GSE14020</v>
      </c>
      <c r="D888" s="1" t="s">
        <v>45</v>
      </c>
      <c r="E888" t="s">
        <v>15</v>
      </c>
      <c r="F888" s="1">
        <v>1</v>
      </c>
      <c r="G888" s="1" t="s">
        <v>67</v>
      </c>
      <c r="H888" s="4" t="str">
        <f>HYPERLINK("https://www.ncbi.nlm.nih.gov/geo/query/acc.cgi?acc=GSM352103","GSM352103")</f>
        <v>GSM352103</v>
      </c>
      <c r="I888" t="s">
        <v>17</v>
      </c>
      <c r="J888" t="s">
        <v>18</v>
      </c>
      <c r="K888" t="s">
        <v>19</v>
      </c>
      <c r="L888" t="s">
        <v>20</v>
      </c>
      <c r="M888" t="s">
        <v>50</v>
      </c>
      <c r="N888" t="s">
        <v>22</v>
      </c>
    </row>
    <row r="889" spans="1:14">
      <c r="A889" s="4" t="str">
        <f t="shared" si="69"/>
        <v>EXP00017</v>
      </c>
      <c r="B889" s="3" t="s">
        <v>66</v>
      </c>
      <c r="C889" s="4" t="str">
        <f t="shared" si="70"/>
        <v>GSE14020</v>
      </c>
      <c r="D889" s="1" t="s">
        <v>45</v>
      </c>
      <c r="E889" t="s">
        <v>15</v>
      </c>
      <c r="F889" s="1">
        <v>1</v>
      </c>
      <c r="G889" s="1" t="s">
        <v>67</v>
      </c>
      <c r="H889" s="4" t="str">
        <f>HYPERLINK("https://www.ncbi.nlm.nih.gov/geo/query/acc.cgi?acc=GSM352105","GSM352105")</f>
        <v>GSM352105</v>
      </c>
      <c r="I889" t="s">
        <v>17</v>
      </c>
      <c r="J889" t="s">
        <v>18</v>
      </c>
      <c r="K889" t="s">
        <v>19</v>
      </c>
      <c r="L889" t="s">
        <v>20</v>
      </c>
      <c r="M889" t="s">
        <v>50</v>
      </c>
      <c r="N889" t="s">
        <v>22</v>
      </c>
    </row>
    <row r="890" spans="1:14">
      <c r="A890" s="4" t="str">
        <f t="shared" si="69"/>
        <v>EXP00017</v>
      </c>
      <c r="B890" s="3" t="s">
        <v>66</v>
      </c>
      <c r="C890" s="4" t="str">
        <f t="shared" si="70"/>
        <v>GSE14020</v>
      </c>
      <c r="D890" s="1" t="s">
        <v>45</v>
      </c>
      <c r="E890" t="s">
        <v>15</v>
      </c>
      <c r="F890" s="1">
        <v>1</v>
      </c>
      <c r="G890" s="1" t="s">
        <v>67</v>
      </c>
      <c r="H890" s="4" t="str">
        <f>HYPERLINK("https://www.ncbi.nlm.nih.gov/geo/query/acc.cgi?acc=GSM352109","GSM352109")</f>
        <v>GSM352109</v>
      </c>
      <c r="I890" t="s">
        <v>17</v>
      </c>
      <c r="J890" t="s">
        <v>18</v>
      </c>
      <c r="K890" t="s">
        <v>19</v>
      </c>
      <c r="L890" t="s">
        <v>20</v>
      </c>
      <c r="M890" t="s">
        <v>50</v>
      </c>
      <c r="N890" t="s">
        <v>22</v>
      </c>
    </row>
    <row r="891" spans="1:14">
      <c r="A891" s="4" t="str">
        <f t="shared" si="69"/>
        <v>EXP00017</v>
      </c>
      <c r="B891" s="3" t="s">
        <v>66</v>
      </c>
      <c r="C891" s="4" t="str">
        <f t="shared" si="70"/>
        <v>GSE14020</v>
      </c>
      <c r="D891" s="1" t="s">
        <v>45</v>
      </c>
      <c r="E891" t="s">
        <v>15</v>
      </c>
      <c r="F891" s="1">
        <v>1</v>
      </c>
      <c r="G891" s="1" t="s">
        <v>67</v>
      </c>
      <c r="H891" s="4" t="str">
        <f>HYPERLINK("https://www.ncbi.nlm.nih.gov/geo/query/acc.cgi?acc=GSM352117","GSM352117")</f>
        <v>GSM352117</v>
      </c>
      <c r="I891" t="s">
        <v>17</v>
      </c>
      <c r="J891" t="s">
        <v>18</v>
      </c>
      <c r="K891" t="s">
        <v>19</v>
      </c>
      <c r="L891" t="s">
        <v>20</v>
      </c>
      <c r="M891" t="s">
        <v>50</v>
      </c>
      <c r="N891" t="s">
        <v>22</v>
      </c>
    </row>
    <row r="892" spans="1:14">
      <c r="A892" s="4" t="str">
        <f t="shared" si="69"/>
        <v>EXP00017</v>
      </c>
      <c r="B892" s="3" t="s">
        <v>66</v>
      </c>
      <c r="C892" s="4" t="str">
        <f t="shared" si="70"/>
        <v>GSE14020</v>
      </c>
      <c r="D892" s="1" t="s">
        <v>45</v>
      </c>
      <c r="E892" t="s">
        <v>15</v>
      </c>
      <c r="F892" s="1">
        <v>1</v>
      </c>
      <c r="G892" s="1" t="s">
        <v>67</v>
      </c>
      <c r="H892" s="4" t="str">
        <f>HYPERLINK("https://www.ncbi.nlm.nih.gov/geo/query/acc.cgi?acc=GSM352119","GSM352119")</f>
        <v>GSM352119</v>
      </c>
      <c r="I892" t="s">
        <v>17</v>
      </c>
      <c r="J892" t="s">
        <v>18</v>
      </c>
      <c r="K892" t="s">
        <v>19</v>
      </c>
      <c r="L892" t="s">
        <v>20</v>
      </c>
      <c r="M892" t="s">
        <v>50</v>
      </c>
      <c r="N892" t="s">
        <v>22</v>
      </c>
    </row>
    <row r="893" spans="1:14">
      <c r="A893" s="4" t="str">
        <f t="shared" si="69"/>
        <v>EXP00017</v>
      </c>
      <c r="B893" s="3" t="s">
        <v>66</v>
      </c>
      <c r="C893" s="4" t="str">
        <f t="shared" si="70"/>
        <v>GSE14020</v>
      </c>
      <c r="D893" s="1" t="s">
        <v>45</v>
      </c>
      <c r="E893" t="s">
        <v>15</v>
      </c>
      <c r="F893" s="1">
        <v>1</v>
      </c>
      <c r="G893" s="1" t="s">
        <v>67</v>
      </c>
      <c r="H893" s="4" t="str">
        <f>HYPERLINK("https://www.ncbi.nlm.nih.gov/geo/query/acc.cgi?acc=GSM352123","GSM352123")</f>
        <v>GSM352123</v>
      </c>
      <c r="I893" t="s">
        <v>17</v>
      </c>
      <c r="J893" t="s">
        <v>18</v>
      </c>
      <c r="K893" t="s">
        <v>19</v>
      </c>
      <c r="L893" t="s">
        <v>20</v>
      </c>
      <c r="M893" t="s">
        <v>50</v>
      </c>
      <c r="N893" t="s">
        <v>22</v>
      </c>
    </row>
    <row r="894" spans="1:14">
      <c r="A894" s="4" t="str">
        <f t="shared" si="69"/>
        <v>EXP00017</v>
      </c>
      <c r="B894" s="3" t="s">
        <v>66</v>
      </c>
      <c r="C894" s="4" t="str">
        <f t="shared" si="70"/>
        <v>GSE14020</v>
      </c>
      <c r="D894" s="1" t="s">
        <v>45</v>
      </c>
      <c r="E894" t="s">
        <v>15</v>
      </c>
      <c r="F894" s="1">
        <v>1</v>
      </c>
      <c r="G894" s="1" t="s">
        <v>67</v>
      </c>
      <c r="H894" s="4" t="str">
        <f>HYPERLINK("https://www.ncbi.nlm.nih.gov/geo/query/acc.cgi?acc=GSM352124","GSM352124")</f>
        <v>GSM352124</v>
      </c>
      <c r="I894" t="s">
        <v>17</v>
      </c>
      <c r="J894" t="s">
        <v>18</v>
      </c>
      <c r="K894" t="s">
        <v>19</v>
      </c>
      <c r="L894" t="s">
        <v>20</v>
      </c>
      <c r="M894" t="s">
        <v>50</v>
      </c>
      <c r="N894" t="s">
        <v>22</v>
      </c>
    </row>
    <row r="895" spans="1:14">
      <c r="A895" s="4" t="str">
        <f t="shared" si="69"/>
        <v>EXP00017</v>
      </c>
      <c r="B895" s="3" t="s">
        <v>66</v>
      </c>
      <c r="C895" s="4" t="str">
        <f t="shared" si="70"/>
        <v>GSE14020</v>
      </c>
      <c r="D895" s="1" t="s">
        <v>45</v>
      </c>
      <c r="E895" t="s">
        <v>15</v>
      </c>
      <c r="F895" s="1">
        <v>1</v>
      </c>
      <c r="G895" s="1" t="s">
        <v>67</v>
      </c>
      <c r="H895" s="4" t="str">
        <f>HYPERLINK("https://www.ncbi.nlm.nih.gov/geo/query/acc.cgi?acc=GSM352126","GSM352126")</f>
        <v>GSM352126</v>
      </c>
      <c r="I895" t="s">
        <v>17</v>
      </c>
      <c r="J895" t="s">
        <v>18</v>
      </c>
      <c r="K895" t="s">
        <v>19</v>
      </c>
      <c r="L895" t="s">
        <v>20</v>
      </c>
      <c r="M895" t="s">
        <v>50</v>
      </c>
      <c r="N895" t="s">
        <v>22</v>
      </c>
    </row>
    <row r="896" spans="1:14">
      <c r="A896" s="4" t="str">
        <f t="shared" si="69"/>
        <v>EXP00017</v>
      </c>
      <c r="B896" s="3" t="s">
        <v>66</v>
      </c>
      <c r="C896" s="4" t="str">
        <f t="shared" si="70"/>
        <v>GSE14020</v>
      </c>
      <c r="D896" s="1" t="s">
        <v>45</v>
      </c>
      <c r="E896" t="s">
        <v>15</v>
      </c>
      <c r="F896" s="1">
        <v>1</v>
      </c>
      <c r="G896" s="1" t="s">
        <v>67</v>
      </c>
      <c r="H896" s="4" t="str">
        <f>HYPERLINK("https://www.ncbi.nlm.nih.gov/geo/query/acc.cgi?acc=GSM352131","GSM352131")</f>
        <v>GSM352131</v>
      </c>
      <c r="I896" t="s">
        <v>17</v>
      </c>
      <c r="J896" t="s">
        <v>18</v>
      </c>
      <c r="K896" t="s">
        <v>19</v>
      </c>
      <c r="L896" t="s">
        <v>20</v>
      </c>
      <c r="M896" t="s">
        <v>50</v>
      </c>
      <c r="N896" t="s">
        <v>22</v>
      </c>
    </row>
    <row r="897" spans="1:14">
      <c r="A897" s="4" t="str">
        <f t="shared" si="69"/>
        <v>EXP00017</v>
      </c>
      <c r="B897" s="3" t="s">
        <v>66</v>
      </c>
      <c r="C897" s="4" t="str">
        <f t="shared" si="70"/>
        <v>GSE14020</v>
      </c>
      <c r="D897" s="1" t="s">
        <v>45</v>
      </c>
      <c r="E897" t="s">
        <v>15</v>
      </c>
      <c r="F897" s="1">
        <v>2</v>
      </c>
      <c r="G897" s="1" t="s">
        <v>16</v>
      </c>
      <c r="H897" s="4" t="str">
        <f>HYPERLINK("https://www.ncbi.nlm.nih.gov/geo/query/acc.cgi?acc=GSM352097","GSM352097")</f>
        <v>GSM352097</v>
      </c>
      <c r="I897" t="s">
        <v>17</v>
      </c>
      <c r="J897" t="s">
        <v>18</v>
      </c>
      <c r="K897" t="s">
        <v>19</v>
      </c>
      <c r="L897" t="s">
        <v>20</v>
      </c>
      <c r="M897" t="s">
        <v>21</v>
      </c>
      <c r="N897" t="s">
        <v>22</v>
      </c>
    </row>
    <row r="898" spans="1:14">
      <c r="A898" s="4" t="str">
        <f t="shared" si="69"/>
        <v>EXP00017</v>
      </c>
      <c r="B898" s="3" t="s">
        <v>66</v>
      </c>
      <c r="C898" s="4" t="str">
        <f t="shared" si="70"/>
        <v>GSE14020</v>
      </c>
      <c r="D898" s="1" t="s">
        <v>45</v>
      </c>
      <c r="E898" t="s">
        <v>15</v>
      </c>
      <c r="F898" s="1">
        <v>2</v>
      </c>
      <c r="G898" s="1" t="s">
        <v>16</v>
      </c>
      <c r="H898" s="4" t="str">
        <f>HYPERLINK("https://www.ncbi.nlm.nih.gov/geo/query/acc.cgi?acc=GSM352098","GSM352098")</f>
        <v>GSM352098</v>
      </c>
      <c r="I898" t="s">
        <v>17</v>
      </c>
      <c r="J898" t="s">
        <v>18</v>
      </c>
      <c r="K898" t="s">
        <v>19</v>
      </c>
      <c r="L898" t="s">
        <v>20</v>
      </c>
      <c r="M898" t="s">
        <v>21</v>
      </c>
      <c r="N898" t="s">
        <v>22</v>
      </c>
    </row>
    <row r="899" spans="1:14">
      <c r="A899" s="4" t="str">
        <f t="shared" si="69"/>
        <v>EXP00017</v>
      </c>
      <c r="B899" s="3" t="s">
        <v>66</v>
      </c>
      <c r="C899" s="4" t="str">
        <f t="shared" si="70"/>
        <v>GSE14020</v>
      </c>
      <c r="D899" s="1" t="s">
        <v>45</v>
      </c>
      <c r="E899" t="s">
        <v>15</v>
      </c>
      <c r="F899" s="1">
        <v>2</v>
      </c>
      <c r="G899" s="1" t="s">
        <v>16</v>
      </c>
      <c r="H899" s="4" t="str">
        <f>HYPERLINK("https://www.ncbi.nlm.nih.gov/geo/query/acc.cgi?acc=GSM352101","GSM352101")</f>
        <v>GSM352101</v>
      </c>
      <c r="I899" t="s">
        <v>17</v>
      </c>
      <c r="J899" t="s">
        <v>18</v>
      </c>
      <c r="K899" t="s">
        <v>19</v>
      </c>
      <c r="L899" t="s">
        <v>20</v>
      </c>
      <c r="M899" t="s">
        <v>21</v>
      </c>
      <c r="N899" t="s">
        <v>22</v>
      </c>
    </row>
    <row r="900" spans="1:14">
      <c r="A900" s="4" t="str">
        <f t="shared" si="69"/>
        <v>EXP00017</v>
      </c>
      <c r="B900" s="3" t="s">
        <v>66</v>
      </c>
      <c r="C900" s="4" t="str">
        <f t="shared" si="70"/>
        <v>GSE14020</v>
      </c>
      <c r="D900" s="1" t="s">
        <v>45</v>
      </c>
      <c r="E900" t="s">
        <v>15</v>
      </c>
      <c r="F900" s="1">
        <v>2</v>
      </c>
      <c r="G900" s="1" t="s">
        <v>16</v>
      </c>
      <c r="H900" s="4" t="str">
        <f>HYPERLINK("https://www.ncbi.nlm.nih.gov/geo/query/acc.cgi?acc=GSM352107","GSM352107")</f>
        <v>GSM352107</v>
      </c>
      <c r="I900" t="s">
        <v>17</v>
      </c>
      <c r="J900" t="s">
        <v>18</v>
      </c>
      <c r="K900" t="s">
        <v>19</v>
      </c>
      <c r="L900" t="s">
        <v>20</v>
      </c>
      <c r="M900" t="s">
        <v>21</v>
      </c>
      <c r="N900" t="s">
        <v>22</v>
      </c>
    </row>
    <row r="901" spans="1:14">
      <c r="A901" s="4" t="str">
        <f t="shared" si="69"/>
        <v>EXP00017</v>
      </c>
      <c r="B901" s="3" t="s">
        <v>66</v>
      </c>
      <c r="C901" s="4" t="str">
        <f t="shared" si="70"/>
        <v>GSE14020</v>
      </c>
      <c r="D901" s="1" t="s">
        <v>45</v>
      </c>
      <c r="E901" t="s">
        <v>15</v>
      </c>
      <c r="F901" s="1">
        <v>2</v>
      </c>
      <c r="G901" s="1" t="s">
        <v>16</v>
      </c>
      <c r="H901" s="4" t="str">
        <f>HYPERLINK("https://www.ncbi.nlm.nih.gov/geo/query/acc.cgi?acc=GSM352110","GSM352110")</f>
        <v>GSM352110</v>
      </c>
      <c r="I901" t="s">
        <v>17</v>
      </c>
      <c r="J901" t="s">
        <v>18</v>
      </c>
      <c r="K901" t="s">
        <v>19</v>
      </c>
      <c r="L901" t="s">
        <v>20</v>
      </c>
      <c r="M901" t="s">
        <v>21</v>
      </c>
      <c r="N901" t="s">
        <v>22</v>
      </c>
    </row>
    <row r="902" spans="1:14">
      <c r="A902" s="4" t="str">
        <f t="shared" si="69"/>
        <v>EXP00017</v>
      </c>
      <c r="B902" s="3" t="s">
        <v>66</v>
      </c>
      <c r="C902" s="4" t="str">
        <f t="shared" si="70"/>
        <v>GSE14020</v>
      </c>
      <c r="D902" s="1" t="s">
        <v>45</v>
      </c>
      <c r="E902" t="s">
        <v>15</v>
      </c>
      <c r="F902" s="1">
        <v>2</v>
      </c>
      <c r="G902" s="1" t="s">
        <v>16</v>
      </c>
      <c r="H902" s="4" t="str">
        <f>HYPERLINK("https://www.ncbi.nlm.nih.gov/geo/query/acc.cgi?acc=GSM352111","GSM352111")</f>
        <v>GSM352111</v>
      </c>
      <c r="I902" t="s">
        <v>17</v>
      </c>
      <c r="J902" t="s">
        <v>18</v>
      </c>
      <c r="K902" t="s">
        <v>19</v>
      </c>
      <c r="L902" t="s">
        <v>20</v>
      </c>
      <c r="M902" t="s">
        <v>21</v>
      </c>
      <c r="N902" t="s">
        <v>22</v>
      </c>
    </row>
    <row r="903" spans="1:14">
      <c r="A903" s="4" t="str">
        <f t="shared" si="69"/>
        <v>EXP00017</v>
      </c>
      <c r="B903" s="3" t="s">
        <v>66</v>
      </c>
      <c r="C903" s="4" t="str">
        <f t="shared" si="70"/>
        <v>GSE14020</v>
      </c>
      <c r="D903" s="1" t="s">
        <v>45</v>
      </c>
      <c r="E903" t="s">
        <v>15</v>
      </c>
      <c r="F903" s="1">
        <v>2</v>
      </c>
      <c r="G903" s="1" t="s">
        <v>16</v>
      </c>
      <c r="H903" s="4" t="str">
        <f>HYPERLINK("https://www.ncbi.nlm.nih.gov/geo/query/acc.cgi?acc=GSM352113","GSM352113")</f>
        <v>GSM352113</v>
      </c>
      <c r="I903" t="s">
        <v>17</v>
      </c>
      <c r="J903" t="s">
        <v>18</v>
      </c>
      <c r="K903" t="s">
        <v>19</v>
      </c>
      <c r="L903" t="s">
        <v>20</v>
      </c>
      <c r="M903" t="s">
        <v>21</v>
      </c>
      <c r="N903" t="s">
        <v>22</v>
      </c>
    </row>
    <row r="904" spans="1:14">
      <c r="A904" s="4" t="str">
        <f t="shared" si="69"/>
        <v>EXP00017</v>
      </c>
      <c r="B904" s="3" t="s">
        <v>66</v>
      </c>
      <c r="C904" s="4" t="str">
        <f t="shared" si="70"/>
        <v>GSE14020</v>
      </c>
      <c r="D904" s="1" t="s">
        <v>45</v>
      </c>
      <c r="E904" t="s">
        <v>15</v>
      </c>
      <c r="F904" s="1">
        <v>2</v>
      </c>
      <c r="G904" s="1" t="s">
        <v>16</v>
      </c>
      <c r="H904" s="4" t="str">
        <f>HYPERLINK("https://www.ncbi.nlm.nih.gov/geo/query/acc.cgi?acc=GSM352115","GSM352115")</f>
        <v>GSM352115</v>
      </c>
      <c r="I904" t="s">
        <v>17</v>
      </c>
      <c r="J904" t="s">
        <v>18</v>
      </c>
      <c r="K904" t="s">
        <v>19</v>
      </c>
      <c r="L904" t="s">
        <v>20</v>
      </c>
      <c r="M904" t="s">
        <v>21</v>
      </c>
      <c r="N904" t="s">
        <v>22</v>
      </c>
    </row>
    <row r="905" spans="1:14">
      <c r="A905" s="4" t="str">
        <f t="shared" si="69"/>
        <v>EXP00017</v>
      </c>
      <c r="B905" s="3" t="s">
        <v>66</v>
      </c>
      <c r="C905" s="4" t="str">
        <f t="shared" si="70"/>
        <v>GSE14020</v>
      </c>
      <c r="D905" s="1" t="s">
        <v>45</v>
      </c>
      <c r="E905" t="s">
        <v>15</v>
      </c>
      <c r="F905" s="1">
        <v>2</v>
      </c>
      <c r="G905" s="1" t="s">
        <v>16</v>
      </c>
      <c r="H905" s="4" t="str">
        <f>HYPERLINK("https://www.ncbi.nlm.nih.gov/geo/query/acc.cgi?acc=GSM352120","GSM352120")</f>
        <v>GSM352120</v>
      </c>
      <c r="I905" t="s">
        <v>17</v>
      </c>
      <c r="J905" t="s">
        <v>18</v>
      </c>
      <c r="K905" t="s">
        <v>19</v>
      </c>
      <c r="L905" t="s">
        <v>20</v>
      </c>
      <c r="M905" t="s">
        <v>21</v>
      </c>
      <c r="N905" t="s">
        <v>22</v>
      </c>
    </row>
    <row r="906" spans="1:14">
      <c r="A906" s="4" t="str">
        <f t="shared" si="69"/>
        <v>EXP00017</v>
      </c>
      <c r="B906" s="3" t="s">
        <v>66</v>
      </c>
      <c r="C906" s="4" t="str">
        <f t="shared" si="70"/>
        <v>GSE14020</v>
      </c>
      <c r="D906" s="1" t="s">
        <v>45</v>
      </c>
      <c r="E906" t="s">
        <v>15</v>
      </c>
      <c r="F906" s="1">
        <v>2</v>
      </c>
      <c r="G906" s="1" t="s">
        <v>16</v>
      </c>
      <c r="H906" s="4" t="str">
        <f>HYPERLINK("https://www.ncbi.nlm.nih.gov/geo/query/acc.cgi?acc=GSM352121","GSM352121")</f>
        <v>GSM352121</v>
      </c>
      <c r="I906" t="s">
        <v>17</v>
      </c>
      <c r="J906" t="s">
        <v>18</v>
      </c>
      <c r="K906" t="s">
        <v>19</v>
      </c>
      <c r="L906" t="s">
        <v>20</v>
      </c>
      <c r="M906" t="s">
        <v>21</v>
      </c>
      <c r="N906" t="s">
        <v>22</v>
      </c>
    </row>
    <row r="907" spans="1:14">
      <c r="A907" s="4" t="str">
        <f t="shared" si="69"/>
        <v>EXP00017</v>
      </c>
      <c r="B907" s="3" t="s">
        <v>66</v>
      </c>
      <c r="C907" s="4" t="str">
        <f t="shared" si="70"/>
        <v>GSE14020</v>
      </c>
      <c r="D907" s="1" t="s">
        <v>45</v>
      </c>
      <c r="E907" t="s">
        <v>15</v>
      </c>
      <c r="F907" s="1">
        <v>2</v>
      </c>
      <c r="G907" s="1" t="s">
        <v>16</v>
      </c>
      <c r="H907" s="4" t="str">
        <f>HYPERLINK("https://www.ncbi.nlm.nih.gov/geo/query/acc.cgi?acc=GSM352122","GSM352122")</f>
        <v>GSM352122</v>
      </c>
      <c r="I907" t="s">
        <v>17</v>
      </c>
      <c r="J907" t="s">
        <v>18</v>
      </c>
      <c r="K907" t="s">
        <v>19</v>
      </c>
      <c r="L907" t="s">
        <v>20</v>
      </c>
      <c r="M907" t="s">
        <v>21</v>
      </c>
      <c r="N907" t="s">
        <v>22</v>
      </c>
    </row>
    <row r="908" spans="1:14">
      <c r="A908" s="4" t="str">
        <f t="shared" si="69"/>
        <v>EXP00017</v>
      </c>
      <c r="B908" s="3" t="s">
        <v>66</v>
      </c>
      <c r="C908" s="4" t="str">
        <f t="shared" si="70"/>
        <v>GSE14020</v>
      </c>
      <c r="D908" s="1" t="s">
        <v>45</v>
      </c>
      <c r="E908" t="s">
        <v>15</v>
      </c>
      <c r="F908" s="1">
        <v>2</v>
      </c>
      <c r="G908" s="1" t="s">
        <v>16</v>
      </c>
      <c r="H908" s="4" t="str">
        <f>HYPERLINK("https://www.ncbi.nlm.nih.gov/geo/query/acc.cgi?acc=GSM352125","GSM352125")</f>
        <v>GSM352125</v>
      </c>
      <c r="I908" t="s">
        <v>17</v>
      </c>
      <c r="J908" t="s">
        <v>18</v>
      </c>
      <c r="K908" t="s">
        <v>19</v>
      </c>
      <c r="L908" t="s">
        <v>20</v>
      </c>
      <c r="M908" t="s">
        <v>21</v>
      </c>
      <c r="N908" t="s">
        <v>22</v>
      </c>
    </row>
    <row r="909" spans="1:14">
      <c r="A909" s="4" t="str">
        <f t="shared" si="69"/>
        <v>EXP00017</v>
      </c>
      <c r="B909" s="3" t="s">
        <v>66</v>
      </c>
      <c r="C909" s="4" t="str">
        <f t="shared" si="70"/>
        <v>GSE14020</v>
      </c>
      <c r="D909" s="1" t="s">
        <v>45</v>
      </c>
      <c r="E909" t="s">
        <v>15</v>
      </c>
      <c r="F909" s="1">
        <v>2</v>
      </c>
      <c r="G909" s="1" t="s">
        <v>16</v>
      </c>
      <c r="H909" s="4" t="str">
        <f>HYPERLINK("https://www.ncbi.nlm.nih.gov/geo/query/acc.cgi?acc=GSM352128","GSM352128")</f>
        <v>GSM352128</v>
      </c>
      <c r="I909" t="s">
        <v>17</v>
      </c>
      <c r="J909" t="s">
        <v>18</v>
      </c>
      <c r="K909" t="s">
        <v>19</v>
      </c>
      <c r="L909" t="s">
        <v>20</v>
      </c>
      <c r="M909" t="s">
        <v>21</v>
      </c>
      <c r="N909" t="s">
        <v>22</v>
      </c>
    </row>
    <row r="910" spans="1:14">
      <c r="A910" s="4" t="str">
        <f t="shared" si="69"/>
        <v>EXP00017</v>
      </c>
      <c r="B910" s="3" t="s">
        <v>66</v>
      </c>
      <c r="C910" s="4" t="str">
        <f t="shared" si="70"/>
        <v>GSE14020</v>
      </c>
      <c r="D910" s="1" t="s">
        <v>45</v>
      </c>
      <c r="E910" t="s">
        <v>15</v>
      </c>
      <c r="F910" s="1">
        <v>2</v>
      </c>
      <c r="G910" s="1" t="s">
        <v>16</v>
      </c>
      <c r="H910" s="4" t="str">
        <f>HYPERLINK("https://www.ncbi.nlm.nih.gov/geo/query/acc.cgi?acc=GSM352129","GSM352129")</f>
        <v>GSM352129</v>
      </c>
      <c r="I910" t="s">
        <v>17</v>
      </c>
      <c r="J910" t="s">
        <v>18</v>
      </c>
      <c r="K910" t="s">
        <v>19</v>
      </c>
      <c r="L910" t="s">
        <v>20</v>
      </c>
      <c r="M910" t="s">
        <v>21</v>
      </c>
      <c r="N910" t="s">
        <v>22</v>
      </c>
    </row>
    <row r="911" spans="1:14">
      <c r="A911" s="4" t="str">
        <f t="shared" si="69"/>
        <v>EXP00017</v>
      </c>
      <c r="B911" s="3" t="s">
        <v>66</v>
      </c>
      <c r="C911" s="4" t="str">
        <f t="shared" si="70"/>
        <v>GSE14020</v>
      </c>
      <c r="D911" s="1" t="s">
        <v>45</v>
      </c>
      <c r="E911" t="s">
        <v>15</v>
      </c>
      <c r="F911" s="1">
        <v>2</v>
      </c>
      <c r="G911" s="1" t="s">
        <v>16</v>
      </c>
      <c r="H911" s="4" t="str">
        <f>HYPERLINK("https://www.ncbi.nlm.nih.gov/geo/query/acc.cgi?acc=GSM352130","GSM352130")</f>
        <v>GSM352130</v>
      </c>
      <c r="I911" t="s">
        <v>17</v>
      </c>
      <c r="J911" t="s">
        <v>18</v>
      </c>
      <c r="K911" t="s">
        <v>19</v>
      </c>
      <c r="L911" t="s">
        <v>20</v>
      </c>
      <c r="M911" t="s">
        <v>21</v>
      </c>
      <c r="N911" t="s">
        <v>22</v>
      </c>
    </row>
    <row r="912" spans="1:14">
      <c r="A912" s="4" t="str">
        <f t="shared" si="69"/>
        <v>EXP00017</v>
      </c>
      <c r="B912" s="3" t="s">
        <v>66</v>
      </c>
      <c r="C912" s="4" t="str">
        <f t="shared" si="70"/>
        <v>GSE14020</v>
      </c>
      <c r="D912" s="1" t="s">
        <v>45</v>
      </c>
      <c r="E912" t="s">
        <v>15</v>
      </c>
      <c r="F912" s="1">
        <v>3</v>
      </c>
      <c r="G912" s="1" t="s">
        <v>40</v>
      </c>
      <c r="H912" s="4" t="str">
        <f>HYPERLINK("https://www.ncbi.nlm.nih.gov/geo/query/acc.cgi?acc=GSM352114","GSM352114")</f>
        <v>GSM352114</v>
      </c>
      <c r="I912" t="s">
        <v>17</v>
      </c>
      <c r="J912" t="s">
        <v>18</v>
      </c>
      <c r="K912" t="s">
        <v>19</v>
      </c>
      <c r="L912" t="s">
        <v>20</v>
      </c>
      <c r="M912" t="s">
        <v>41</v>
      </c>
      <c r="N912" t="s">
        <v>22</v>
      </c>
    </row>
    <row r="913" spans="1:14">
      <c r="A913" s="4" t="str">
        <f t="shared" si="69"/>
        <v>EXP00017</v>
      </c>
      <c r="B913" s="3" t="s">
        <v>66</v>
      </c>
      <c r="C913" s="4" t="str">
        <f t="shared" si="70"/>
        <v>GSE14020</v>
      </c>
      <c r="D913" s="1" t="s">
        <v>45</v>
      </c>
      <c r="E913" t="s">
        <v>15</v>
      </c>
      <c r="F913" s="1">
        <v>3</v>
      </c>
      <c r="G913" s="1" t="s">
        <v>40</v>
      </c>
      <c r="H913" s="4" t="str">
        <f>HYPERLINK("https://www.ncbi.nlm.nih.gov/geo/query/acc.cgi?acc=GSM352127","GSM352127")</f>
        <v>GSM352127</v>
      </c>
      <c r="I913" t="s">
        <v>17</v>
      </c>
      <c r="J913" t="s">
        <v>18</v>
      </c>
      <c r="K913" t="s">
        <v>19</v>
      </c>
      <c r="L913" t="s">
        <v>20</v>
      </c>
      <c r="M913" t="s">
        <v>41</v>
      </c>
      <c r="N913" t="s">
        <v>22</v>
      </c>
    </row>
    <row r="914" spans="1:14">
      <c r="A914" s="4" t="str">
        <f t="shared" si="69"/>
        <v>EXP00017</v>
      </c>
      <c r="B914" s="3" t="s">
        <v>66</v>
      </c>
      <c r="C914" s="4" t="str">
        <f t="shared" si="70"/>
        <v>GSE14020</v>
      </c>
      <c r="D914" s="1" t="s">
        <v>45</v>
      </c>
      <c r="E914" t="s">
        <v>15</v>
      </c>
      <c r="F914" s="1">
        <v>3</v>
      </c>
      <c r="G914" s="1" t="s">
        <v>40</v>
      </c>
      <c r="H914" s="4" t="str">
        <f>HYPERLINK("https://www.ncbi.nlm.nih.gov/geo/query/acc.cgi?acc=GSM352132","GSM352132")</f>
        <v>GSM352132</v>
      </c>
      <c r="I914" t="s">
        <v>17</v>
      </c>
      <c r="J914" t="s">
        <v>18</v>
      </c>
      <c r="K914" t="s">
        <v>19</v>
      </c>
      <c r="L914" t="s">
        <v>20</v>
      </c>
      <c r="M914" t="s">
        <v>41</v>
      </c>
      <c r="N914" t="s">
        <v>22</v>
      </c>
    </row>
    <row r="915" spans="1:14">
      <c r="A915" s="4" t="str">
        <f t="shared" ref="A915:A950" si="71">HYPERLINK("http://hcmdb.i-sanger.com/experiment/details/experiment_id/EXP00018","EXP00018")</f>
        <v>EXP00018</v>
      </c>
      <c r="B915" s="3" t="s">
        <v>66</v>
      </c>
      <c r="C915" s="4" t="str">
        <f t="shared" si="70"/>
        <v>GSE14020</v>
      </c>
      <c r="D915" s="1" t="s">
        <v>62</v>
      </c>
      <c r="E915" t="s">
        <v>15</v>
      </c>
      <c r="F915" s="1">
        <v>1</v>
      </c>
      <c r="G915" s="1" t="s">
        <v>67</v>
      </c>
      <c r="H915" s="4" t="str">
        <f>HYPERLINK("https://www.ncbi.nlm.nih.gov/geo/query/acc.cgi?acc=GSM352144","GSM352144")</f>
        <v>GSM352144</v>
      </c>
      <c r="I915" t="s">
        <v>17</v>
      </c>
      <c r="J915" t="s">
        <v>18</v>
      </c>
      <c r="K915" t="s">
        <v>19</v>
      </c>
      <c r="L915" t="s">
        <v>20</v>
      </c>
      <c r="M915" t="s">
        <v>50</v>
      </c>
      <c r="N915" t="s">
        <v>22</v>
      </c>
    </row>
    <row r="916" spans="1:14">
      <c r="A916" s="4" t="str">
        <f t="shared" si="71"/>
        <v>EXP00018</v>
      </c>
      <c r="B916" s="3" t="s">
        <v>66</v>
      </c>
      <c r="C916" s="4" t="str">
        <f t="shared" si="70"/>
        <v>GSE14020</v>
      </c>
      <c r="D916" s="1" t="s">
        <v>62</v>
      </c>
      <c r="E916" t="s">
        <v>15</v>
      </c>
      <c r="F916" s="1">
        <v>1</v>
      </c>
      <c r="G916" s="1" t="s">
        <v>67</v>
      </c>
      <c r="H916" s="4" t="str">
        <f>HYPERLINK("https://www.ncbi.nlm.nih.gov/geo/query/acc.cgi?acc=GSM352149","GSM352149")</f>
        <v>GSM352149</v>
      </c>
      <c r="I916" t="s">
        <v>17</v>
      </c>
      <c r="J916" t="s">
        <v>18</v>
      </c>
      <c r="K916" t="s">
        <v>19</v>
      </c>
      <c r="L916" t="s">
        <v>20</v>
      </c>
      <c r="M916" t="s">
        <v>50</v>
      </c>
      <c r="N916" t="s">
        <v>22</v>
      </c>
    </row>
    <row r="917" spans="1:14">
      <c r="A917" s="4" t="str">
        <f t="shared" si="71"/>
        <v>EXP00018</v>
      </c>
      <c r="B917" s="3" t="s">
        <v>66</v>
      </c>
      <c r="C917" s="4" t="str">
        <f t="shared" si="70"/>
        <v>GSE14020</v>
      </c>
      <c r="D917" s="1" t="s">
        <v>62</v>
      </c>
      <c r="E917" t="s">
        <v>15</v>
      </c>
      <c r="F917" s="1">
        <v>1</v>
      </c>
      <c r="G917" s="1" t="s">
        <v>67</v>
      </c>
      <c r="H917" s="4" t="str">
        <f>HYPERLINK("https://www.ncbi.nlm.nih.gov/geo/query/acc.cgi?acc=GSM352151","GSM352151")</f>
        <v>GSM352151</v>
      </c>
      <c r="I917" t="s">
        <v>17</v>
      </c>
      <c r="J917" t="s">
        <v>18</v>
      </c>
      <c r="K917" t="s">
        <v>19</v>
      </c>
      <c r="L917" t="s">
        <v>20</v>
      </c>
      <c r="M917" t="s">
        <v>50</v>
      </c>
      <c r="N917" t="s">
        <v>22</v>
      </c>
    </row>
    <row r="918" spans="1:14">
      <c r="A918" s="4" t="str">
        <f t="shared" si="71"/>
        <v>EXP00018</v>
      </c>
      <c r="B918" s="3" t="s">
        <v>66</v>
      </c>
      <c r="C918" s="4" t="str">
        <f t="shared" si="70"/>
        <v>GSE14020</v>
      </c>
      <c r="D918" s="1" t="s">
        <v>62</v>
      </c>
      <c r="E918" t="s">
        <v>15</v>
      </c>
      <c r="F918" s="1">
        <v>1</v>
      </c>
      <c r="G918" s="1" t="s">
        <v>67</v>
      </c>
      <c r="H918" s="4" t="str">
        <f>HYPERLINK("https://www.ncbi.nlm.nih.gov/geo/query/acc.cgi?acc=GSM352154","GSM352154")</f>
        <v>GSM352154</v>
      </c>
      <c r="I918" t="s">
        <v>17</v>
      </c>
      <c r="J918" t="s">
        <v>18</v>
      </c>
      <c r="K918" t="s">
        <v>19</v>
      </c>
      <c r="L918" t="s">
        <v>20</v>
      </c>
      <c r="M918" t="s">
        <v>50</v>
      </c>
      <c r="N918" t="s">
        <v>22</v>
      </c>
    </row>
    <row r="919" spans="1:14">
      <c r="A919" s="4" t="str">
        <f t="shared" si="71"/>
        <v>EXP00018</v>
      </c>
      <c r="B919" s="3" t="s">
        <v>66</v>
      </c>
      <c r="C919" s="4" t="str">
        <f t="shared" ref="C919:C950" si="72">HYPERLINK("https://www.ncbi.nlm.nih.gov/geo/query/acc.cgi?acc=GSE14020","GSE14020")</f>
        <v>GSE14020</v>
      </c>
      <c r="D919" s="1" t="s">
        <v>62</v>
      </c>
      <c r="E919" t="s">
        <v>15</v>
      </c>
      <c r="F919" s="1">
        <v>1</v>
      </c>
      <c r="G919" s="1" t="s">
        <v>67</v>
      </c>
      <c r="H919" s="4" t="str">
        <f>HYPERLINK("https://www.ncbi.nlm.nih.gov/geo/query/acc.cgi?acc=GSM352155","GSM352155")</f>
        <v>GSM352155</v>
      </c>
      <c r="I919" t="s">
        <v>17</v>
      </c>
      <c r="J919" t="s">
        <v>18</v>
      </c>
      <c r="K919" t="s">
        <v>19</v>
      </c>
      <c r="L919" t="s">
        <v>20</v>
      </c>
      <c r="M919" t="s">
        <v>50</v>
      </c>
      <c r="N919" t="s">
        <v>22</v>
      </c>
    </row>
    <row r="920" spans="1:14">
      <c r="A920" s="4" t="str">
        <f t="shared" si="71"/>
        <v>EXP00018</v>
      </c>
      <c r="B920" s="3" t="s">
        <v>66</v>
      </c>
      <c r="C920" s="4" t="str">
        <f t="shared" si="72"/>
        <v>GSE14020</v>
      </c>
      <c r="D920" s="1" t="s">
        <v>62</v>
      </c>
      <c r="E920" t="s">
        <v>15</v>
      </c>
      <c r="F920" s="1">
        <v>1</v>
      </c>
      <c r="G920" s="1" t="s">
        <v>67</v>
      </c>
      <c r="H920" s="4" t="str">
        <f>HYPERLINK("https://www.ncbi.nlm.nih.gov/geo/query/acc.cgi?acc=GSM352159","GSM352159")</f>
        <v>GSM352159</v>
      </c>
      <c r="I920" t="s">
        <v>17</v>
      </c>
      <c r="J920" t="s">
        <v>18</v>
      </c>
      <c r="K920" t="s">
        <v>19</v>
      </c>
      <c r="L920" t="s">
        <v>20</v>
      </c>
      <c r="M920" t="s">
        <v>50</v>
      </c>
      <c r="N920" t="s">
        <v>22</v>
      </c>
    </row>
    <row r="921" spans="1:14">
      <c r="A921" s="4" t="str">
        <f t="shared" si="71"/>
        <v>EXP00018</v>
      </c>
      <c r="B921" s="3" t="s">
        <v>66</v>
      </c>
      <c r="C921" s="4" t="str">
        <f t="shared" si="72"/>
        <v>GSE14020</v>
      </c>
      <c r="D921" s="1" t="s">
        <v>62</v>
      </c>
      <c r="E921" t="s">
        <v>15</v>
      </c>
      <c r="F921" s="1">
        <v>1</v>
      </c>
      <c r="G921" s="1" t="s">
        <v>67</v>
      </c>
      <c r="H921" s="4" t="str">
        <f>HYPERLINK("https://www.ncbi.nlm.nih.gov/geo/query/acc.cgi?acc=GSM352163","GSM352163")</f>
        <v>GSM352163</v>
      </c>
      <c r="I921" t="s">
        <v>17</v>
      </c>
      <c r="J921" t="s">
        <v>18</v>
      </c>
      <c r="K921" t="s">
        <v>19</v>
      </c>
      <c r="L921" t="s">
        <v>20</v>
      </c>
      <c r="M921" t="s">
        <v>50</v>
      </c>
      <c r="N921" t="s">
        <v>22</v>
      </c>
    </row>
    <row r="922" spans="1:14">
      <c r="A922" s="4" t="str">
        <f t="shared" si="71"/>
        <v>EXP00018</v>
      </c>
      <c r="B922" s="3" t="s">
        <v>66</v>
      </c>
      <c r="C922" s="4" t="str">
        <f t="shared" si="72"/>
        <v>GSE14020</v>
      </c>
      <c r="D922" s="1" t="s">
        <v>62</v>
      </c>
      <c r="E922" t="s">
        <v>15</v>
      </c>
      <c r="F922" s="1">
        <v>1</v>
      </c>
      <c r="G922" s="1" t="s">
        <v>67</v>
      </c>
      <c r="H922" s="4" t="str">
        <f>HYPERLINK("https://www.ncbi.nlm.nih.gov/geo/query/acc.cgi?acc=GSM352167","GSM352167")</f>
        <v>GSM352167</v>
      </c>
      <c r="I922" t="s">
        <v>17</v>
      </c>
      <c r="J922" t="s">
        <v>18</v>
      </c>
      <c r="K922" t="s">
        <v>19</v>
      </c>
      <c r="L922" t="s">
        <v>20</v>
      </c>
      <c r="M922" t="s">
        <v>50</v>
      </c>
      <c r="N922" t="s">
        <v>22</v>
      </c>
    </row>
    <row r="923" spans="1:14">
      <c r="A923" s="4" t="str">
        <f t="shared" si="71"/>
        <v>EXP00018</v>
      </c>
      <c r="B923" s="3" t="s">
        <v>66</v>
      </c>
      <c r="C923" s="4" t="str">
        <f t="shared" si="72"/>
        <v>GSE14020</v>
      </c>
      <c r="D923" s="1" t="s">
        <v>62</v>
      </c>
      <c r="E923" t="s">
        <v>15</v>
      </c>
      <c r="F923" s="1">
        <v>2</v>
      </c>
      <c r="G923" s="1" t="s">
        <v>16</v>
      </c>
      <c r="H923" s="4" t="str">
        <f>HYPERLINK("https://www.ncbi.nlm.nih.gov/geo/query/acc.cgi?acc=GSM352137","GSM352137")</f>
        <v>GSM352137</v>
      </c>
      <c r="I923" t="s">
        <v>17</v>
      </c>
      <c r="J923" t="s">
        <v>18</v>
      </c>
      <c r="K923" t="s">
        <v>19</v>
      </c>
      <c r="L923" t="s">
        <v>20</v>
      </c>
      <c r="M923" t="s">
        <v>21</v>
      </c>
      <c r="N923" t="s">
        <v>22</v>
      </c>
    </row>
    <row r="924" spans="1:14">
      <c r="A924" s="4" t="str">
        <f t="shared" si="71"/>
        <v>EXP00018</v>
      </c>
      <c r="B924" s="3" t="s">
        <v>66</v>
      </c>
      <c r="C924" s="4" t="str">
        <f t="shared" si="72"/>
        <v>GSE14020</v>
      </c>
      <c r="D924" s="1" t="s">
        <v>62</v>
      </c>
      <c r="E924" t="s">
        <v>15</v>
      </c>
      <c r="F924" s="1">
        <v>2</v>
      </c>
      <c r="G924" s="1" t="s">
        <v>16</v>
      </c>
      <c r="H924" s="4" t="str">
        <f>HYPERLINK("https://www.ncbi.nlm.nih.gov/geo/query/acc.cgi?acc=GSM352140","GSM352140")</f>
        <v>GSM352140</v>
      </c>
      <c r="I924" t="s">
        <v>17</v>
      </c>
      <c r="J924" t="s">
        <v>18</v>
      </c>
      <c r="K924" t="s">
        <v>19</v>
      </c>
      <c r="L924" t="s">
        <v>20</v>
      </c>
      <c r="M924" t="s">
        <v>21</v>
      </c>
      <c r="N924" t="s">
        <v>22</v>
      </c>
    </row>
    <row r="925" spans="1:14">
      <c r="A925" s="4" t="str">
        <f t="shared" si="71"/>
        <v>EXP00018</v>
      </c>
      <c r="B925" s="3" t="s">
        <v>66</v>
      </c>
      <c r="C925" s="4" t="str">
        <f t="shared" si="72"/>
        <v>GSE14020</v>
      </c>
      <c r="D925" s="1" t="s">
        <v>62</v>
      </c>
      <c r="E925" t="s">
        <v>15</v>
      </c>
      <c r="F925" s="1">
        <v>2</v>
      </c>
      <c r="G925" s="1" t="s">
        <v>16</v>
      </c>
      <c r="H925" s="4" t="str">
        <f>HYPERLINK("https://www.ncbi.nlm.nih.gov/geo/query/acc.cgi?acc=GSM352142","GSM352142")</f>
        <v>GSM352142</v>
      </c>
      <c r="I925" t="s">
        <v>17</v>
      </c>
      <c r="J925" t="s">
        <v>18</v>
      </c>
      <c r="K925" t="s">
        <v>19</v>
      </c>
      <c r="L925" t="s">
        <v>20</v>
      </c>
      <c r="M925" t="s">
        <v>21</v>
      </c>
      <c r="N925" t="s">
        <v>22</v>
      </c>
    </row>
    <row r="926" spans="1:14">
      <c r="A926" s="4" t="str">
        <f t="shared" si="71"/>
        <v>EXP00018</v>
      </c>
      <c r="B926" s="3" t="s">
        <v>66</v>
      </c>
      <c r="C926" s="4" t="str">
        <f t="shared" si="72"/>
        <v>GSE14020</v>
      </c>
      <c r="D926" s="1" t="s">
        <v>62</v>
      </c>
      <c r="E926" t="s">
        <v>15</v>
      </c>
      <c r="F926" s="1">
        <v>2</v>
      </c>
      <c r="G926" s="1" t="s">
        <v>16</v>
      </c>
      <c r="H926" s="4" t="str">
        <f>HYPERLINK("https://www.ncbi.nlm.nih.gov/geo/query/acc.cgi?acc=GSM352148","GSM352148")</f>
        <v>GSM352148</v>
      </c>
      <c r="I926" t="s">
        <v>17</v>
      </c>
      <c r="J926" t="s">
        <v>18</v>
      </c>
      <c r="K926" t="s">
        <v>19</v>
      </c>
      <c r="L926" t="s">
        <v>20</v>
      </c>
      <c r="M926" t="s">
        <v>21</v>
      </c>
      <c r="N926" t="s">
        <v>22</v>
      </c>
    </row>
    <row r="927" spans="1:14">
      <c r="A927" s="4" t="str">
        <f t="shared" si="71"/>
        <v>EXP00018</v>
      </c>
      <c r="B927" s="3" t="s">
        <v>66</v>
      </c>
      <c r="C927" s="4" t="str">
        <f t="shared" si="72"/>
        <v>GSE14020</v>
      </c>
      <c r="D927" s="1" t="s">
        <v>62</v>
      </c>
      <c r="E927" t="s">
        <v>15</v>
      </c>
      <c r="F927" s="1">
        <v>2</v>
      </c>
      <c r="G927" s="1" t="s">
        <v>16</v>
      </c>
      <c r="H927" s="4" t="str">
        <f>HYPERLINK("https://www.ncbi.nlm.nih.gov/geo/query/acc.cgi?acc=GSM352150","GSM352150")</f>
        <v>GSM352150</v>
      </c>
      <c r="I927" t="s">
        <v>17</v>
      </c>
      <c r="J927" t="s">
        <v>18</v>
      </c>
      <c r="K927" t="s">
        <v>19</v>
      </c>
      <c r="L927" t="s">
        <v>20</v>
      </c>
      <c r="M927" t="s">
        <v>21</v>
      </c>
      <c r="N927" t="s">
        <v>22</v>
      </c>
    </row>
    <row r="928" spans="1:14">
      <c r="A928" s="4" t="str">
        <f t="shared" si="71"/>
        <v>EXP00018</v>
      </c>
      <c r="B928" s="3" t="s">
        <v>66</v>
      </c>
      <c r="C928" s="4" t="str">
        <f t="shared" si="72"/>
        <v>GSE14020</v>
      </c>
      <c r="D928" s="1" t="s">
        <v>62</v>
      </c>
      <c r="E928" t="s">
        <v>15</v>
      </c>
      <c r="F928" s="1">
        <v>2</v>
      </c>
      <c r="G928" s="1" t="s">
        <v>16</v>
      </c>
      <c r="H928" s="4" t="str">
        <f>HYPERLINK("https://www.ncbi.nlm.nih.gov/geo/query/acc.cgi?acc=GSM352152","GSM352152")</f>
        <v>GSM352152</v>
      </c>
      <c r="I928" t="s">
        <v>17</v>
      </c>
      <c r="J928" t="s">
        <v>18</v>
      </c>
      <c r="K928" t="s">
        <v>19</v>
      </c>
      <c r="L928" t="s">
        <v>20</v>
      </c>
      <c r="M928" t="s">
        <v>21</v>
      </c>
      <c r="N928" t="s">
        <v>22</v>
      </c>
    </row>
    <row r="929" spans="1:14">
      <c r="A929" s="4" t="str">
        <f t="shared" si="71"/>
        <v>EXP00018</v>
      </c>
      <c r="B929" s="3" t="s">
        <v>66</v>
      </c>
      <c r="C929" s="4" t="str">
        <f t="shared" si="72"/>
        <v>GSE14020</v>
      </c>
      <c r="D929" s="1" t="s">
        <v>62</v>
      </c>
      <c r="E929" t="s">
        <v>15</v>
      </c>
      <c r="F929" s="1">
        <v>2</v>
      </c>
      <c r="G929" s="1" t="s">
        <v>16</v>
      </c>
      <c r="H929" s="4" t="str">
        <f>HYPERLINK("https://www.ncbi.nlm.nih.gov/geo/query/acc.cgi?acc=GSM352153","GSM352153")</f>
        <v>GSM352153</v>
      </c>
      <c r="I929" t="s">
        <v>17</v>
      </c>
      <c r="J929" t="s">
        <v>18</v>
      </c>
      <c r="K929" t="s">
        <v>19</v>
      </c>
      <c r="L929" t="s">
        <v>20</v>
      </c>
      <c r="M929" t="s">
        <v>21</v>
      </c>
      <c r="N929" t="s">
        <v>22</v>
      </c>
    </row>
    <row r="930" spans="1:14">
      <c r="A930" s="4" t="str">
        <f t="shared" si="71"/>
        <v>EXP00018</v>
      </c>
      <c r="B930" s="3" t="s">
        <v>66</v>
      </c>
      <c r="C930" s="4" t="str">
        <f t="shared" si="72"/>
        <v>GSE14020</v>
      </c>
      <c r="D930" s="1" t="s">
        <v>62</v>
      </c>
      <c r="E930" t="s">
        <v>15</v>
      </c>
      <c r="F930" s="1">
        <v>3</v>
      </c>
      <c r="G930" s="1" t="s">
        <v>63</v>
      </c>
      <c r="H930" s="4" t="str">
        <f>HYPERLINK("https://www.ncbi.nlm.nih.gov/geo/query/acc.cgi?acc=GSM352136","GSM352136")</f>
        <v>GSM352136</v>
      </c>
      <c r="I930" t="s">
        <v>17</v>
      </c>
      <c r="J930" t="s">
        <v>18</v>
      </c>
      <c r="K930" t="s">
        <v>19</v>
      </c>
      <c r="L930" t="s">
        <v>20</v>
      </c>
      <c r="M930" t="s">
        <v>44</v>
      </c>
      <c r="N930" t="s">
        <v>22</v>
      </c>
    </row>
    <row r="931" spans="1:14">
      <c r="A931" s="4" t="str">
        <f t="shared" si="71"/>
        <v>EXP00018</v>
      </c>
      <c r="B931" s="3" t="s">
        <v>66</v>
      </c>
      <c r="C931" s="4" t="str">
        <f t="shared" si="72"/>
        <v>GSE14020</v>
      </c>
      <c r="D931" s="1" t="s">
        <v>62</v>
      </c>
      <c r="E931" t="s">
        <v>15</v>
      </c>
      <c r="F931" s="1">
        <v>3</v>
      </c>
      <c r="G931" s="1" t="s">
        <v>63</v>
      </c>
      <c r="H931" s="4" t="str">
        <f>HYPERLINK("https://www.ncbi.nlm.nih.gov/geo/query/acc.cgi?acc=GSM352139","GSM352139")</f>
        <v>GSM352139</v>
      </c>
      <c r="I931" t="s">
        <v>17</v>
      </c>
      <c r="J931" t="s">
        <v>18</v>
      </c>
      <c r="K931" t="s">
        <v>19</v>
      </c>
      <c r="L931" t="s">
        <v>20</v>
      </c>
      <c r="M931" t="s">
        <v>44</v>
      </c>
      <c r="N931" t="s">
        <v>22</v>
      </c>
    </row>
    <row r="932" spans="1:14">
      <c r="A932" s="4" t="str">
        <f t="shared" si="71"/>
        <v>EXP00018</v>
      </c>
      <c r="B932" s="3" t="s">
        <v>66</v>
      </c>
      <c r="C932" s="4" t="str">
        <f t="shared" si="72"/>
        <v>GSE14020</v>
      </c>
      <c r="D932" s="1" t="s">
        <v>62</v>
      </c>
      <c r="E932" t="s">
        <v>15</v>
      </c>
      <c r="F932" s="1">
        <v>3</v>
      </c>
      <c r="G932" s="1" t="s">
        <v>63</v>
      </c>
      <c r="H932" s="4" t="str">
        <f>HYPERLINK("https://www.ncbi.nlm.nih.gov/geo/query/acc.cgi?acc=GSM352146","GSM352146")</f>
        <v>GSM352146</v>
      </c>
      <c r="I932" t="s">
        <v>17</v>
      </c>
      <c r="J932" t="s">
        <v>18</v>
      </c>
      <c r="K932" t="s">
        <v>19</v>
      </c>
      <c r="L932" t="s">
        <v>20</v>
      </c>
      <c r="M932" t="s">
        <v>44</v>
      </c>
      <c r="N932" t="s">
        <v>22</v>
      </c>
    </row>
    <row r="933" spans="1:14">
      <c r="A933" s="4" t="str">
        <f t="shared" si="71"/>
        <v>EXP00018</v>
      </c>
      <c r="B933" s="3" t="s">
        <v>66</v>
      </c>
      <c r="C933" s="4" t="str">
        <f t="shared" si="72"/>
        <v>GSE14020</v>
      </c>
      <c r="D933" s="1" t="s">
        <v>62</v>
      </c>
      <c r="E933" t="s">
        <v>15</v>
      </c>
      <c r="F933" s="1">
        <v>3</v>
      </c>
      <c r="G933" s="1" t="s">
        <v>63</v>
      </c>
      <c r="H933" s="4" t="str">
        <f>HYPERLINK("https://www.ncbi.nlm.nih.gov/geo/query/acc.cgi?acc=GSM352157","GSM352157")</f>
        <v>GSM352157</v>
      </c>
      <c r="I933" t="s">
        <v>17</v>
      </c>
      <c r="J933" t="s">
        <v>18</v>
      </c>
      <c r="K933" t="s">
        <v>19</v>
      </c>
      <c r="L933" t="s">
        <v>20</v>
      </c>
      <c r="M933" t="s">
        <v>44</v>
      </c>
      <c r="N933" t="s">
        <v>22</v>
      </c>
    </row>
    <row r="934" spans="1:14">
      <c r="A934" s="4" t="str">
        <f t="shared" si="71"/>
        <v>EXP00018</v>
      </c>
      <c r="B934" s="3" t="s">
        <v>66</v>
      </c>
      <c r="C934" s="4" t="str">
        <f t="shared" si="72"/>
        <v>GSE14020</v>
      </c>
      <c r="D934" s="1" t="s">
        <v>62</v>
      </c>
      <c r="E934" t="s">
        <v>15</v>
      </c>
      <c r="F934" s="1">
        <v>3</v>
      </c>
      <c r="G934" s="1" t="s">
        <v>63</v>
      </c>
      <c r="H934" s="4" t="str">
        <f>HYPERLINK("https://www.ncbi.nlm.nih.gov/geo/query/acc.cgi?acc=GSM352162","GSM352162")</f>
        <v>GSM352162</v>
      </c>
      <c r="I934" t="s">
        <v>17</v>
      </c>
      <c r="J934" t="s">
        <v>18</v>
      </c>
      <c r="K934" t="s">
        <v>19</v>
      </c>
      <c r="L934" t="s">
        <v>20</v>
      </c>
      <c r="M934" t="s">
        <v>44</v>
      </c>
      <c r="N934" t="s">
        <v>22</v>
      </c>
    </row>
    <row r="935" spans="1:14">
      <c r="A935" s="4" t="str">
        <f t="shared" si="71"/>
        <v>EXP00018</v>
      </c>
      <c r="B935" s="3" t="s">
        <v>66</v>
      </c>
      <c r="C935" s="4" t="str">
        <f t="shared" si="72"/>
        <v>GSE14020</v>
      </c>
      <c r="D935" s="1" t="s">
        <v>62</v>
      </c>
      <c r="E935" t="s">
        <v>15</v>
      </c>
      <c r="F935" s="1">
        <v>4</v>
      </c>
      <c r="G935" s="1" t="s">
        <v>40</v>
      </c>
      <c r="H935" s="4" t="str">
        <f>HYPERLINK("https://www.ncbi.nlm.nih.gov/geo/query/acc.cgi?acc=GSM352133","GSM352133")</f>
        <v>GSM352133</v>
      </c>
      <c r="I935" t="s">
        <v>17</v>
      </c>
      <c r="J935" t="s">
        <v>18</v>
      </c>
      <c r="K935" t="s">
        <v>19</v>
      </c>
      <c r="L935" t="s">
        <v>20</v>
      </c>
      <c r="M935" t="s">
        <v>41</v>
      </c>
      <c r="N935" t="s">
        <v>22</v>
      </c>
    </row>
    <row r="936" spans="1:14">
      <c r="A936" s="4" t="str">
        <f t="shared" si="71"/>
        <v>EXP00018</v>
      </c>
      <c r="B936" s="3" t="s">
        <v>66</v>
      </c>
      <c r="C936" s="4" t="str">
        <f t="shared" si="72"/>
        <v>GSE14020</v>
      </c>
      <c r="D936" s="1" t="s">
        <v>62</v>
      </c>
      <c r="E936" t="s">
        <v>15</v>
      </c>
      <c r="F936" s="1">
        <v>4</v>
      </c>
      <c r="G936" s="1" t="s">
        <v>40</v>
      </c>
      <c r="H936" s="4" t="str">
        <f>HYPERLINK("https://www.ncbi.nlm.nih.gov/geo/query/acc.cgi?acc=GSM352134","GSM352134")</f>
        <v>GSM352134</v>
      </c>
      <c r="I936" t="s">
        <v>17</v>
      </c>
      <c r="J936" t="s">
        <v>18</v>
      </c>
      <c r="K936" t="s">
        <v>19</v>
      </c>
      <c r="L936" t="s">
        <v>20</v>
      </c>
      <c r="M936" t="s">
        <v>41</v>
      </c>
      <c r="N936" t="s">
        <v>22</v>
      </c>
    </row>
    <row r="937" spans="1:14">
      <c r="A937" s="4" t="str">
        <f t="shared" si="71"/>
        <v>EXP00018</v>
      </c>
      <c r="B937" s="3" t="s">
        <v>66</v>
      </c>
      <c r="C937" s="4" t="str">
        <f t="shared" si="72"/>
        <v>GSE14020</v>
      </c>
      <c r="D937" s="1" t="s">
        <v>62</v>
      </c>
      <c r="E937" t="s">
        <v>15</v>
      </c>
      <c r="F937" s="1">
        <v>4</v>
      </c>
      <c r="G937" s="1" t="s">
        <v>40</v>
      </c>
      <c r="H937" s="4" t="str">
        <f>HYPERLINK("https://www.ncbi.nlm.nih.gov/geo/query/acc.cgi?acc=GSM352135","GSM352135")</f>
        <v>GSM352135</v>
      </c>
      <c r="I937" t="s">
        <v>17</v>
      </c>
      <c r="J937" t="s">
        <v>18</v>
      </c>
      <c r="K937" t="s">
        <v>19</v>
      </c>
      <c r="L937" t="s">
        <v>20</v>
      </c>
      <c r="M937" t="s">
        <v>41</v>
      </c>
      <c r="N937" t="s">
        <v>22</v>
      </c>
    </row>
    <row r="938" spans="1:14">
      <c r="A938" s="4" t="str">
        <f t="shared" si="71"/>
        <v>EXP00018</v>
      </c>
      <c r="B938" s="3" t="s">
        <v>66</v>
      </c>
      <c r="C938" s="4" t="str">
        <f t="shared" si="72"/>
        <v>GSE14020</v>
      </c>
      <c r="D938" s="1" t="s">
        <v>62</v>
      </c>
      <c r="E938" t="s">
        <v>15</v>
      </c>
      <c r="F938" s="1">
        <v>4</v>
      </c>
      <c r="G938" s="1" t="s">
        <v>40</v>
      </c>
      <c r="H938" s="4" t="str">
        <f>HYPERLINK("https://www.ncbi.nlm.nih.gov/geo/query/acc.cgi?acc=GSM352138","GSM352138")</f>
        <v>GSM352138</v>
      </c>
      <c r="I938" t="s">
        <v>17</v>
      </c>
      <c r="J938" t="s">
        <v>18</v>
      </c>
      <c r="K938" t="s">
        <v>19</v>
      </c>
      <c r="L938" t="s">
        <v>20</v>
      </c>
      <c r="M938" t="s">
        <v>41</v>
      </c>
      <c r="N938" t="s">
        <v>22</v>
      </c>
    </row>
    <row r="939" spans="1:14">
      <c r="A939" s="4" t="str">
        <f t="shared" si="71"/>
        <v>EXP00018</v>
      </c>
      <c r="B939" s="3" t="s">
        <v>66</v>
      </c>
      <c r="C939" s="4" t="str">
        <f t="shared" si="72"/>
        <v>GSE14020</v>
      </c>
      <c r="D939" s="1" t="s">
        <v>62</v>
      </c>
      <c r="E939" t="s">
        <v>15</v>
      </c>
      <c r="F939" s="1">
        <v>4</v>
      </c>
      <c r="G939" s="1" t="s">
        <v>40</v>
      </c>
      <c r="H939" s="4" t="str">
        <f>HYPERLINK("https://www.ncbi.nlm.nih.gov/geo/query/acc.cgi?acc=GSM352141","GSM352141")</f>
        <v>GSM352141</v>
      </c>
      <c r="I939" t="s">
        <v>17</v>
      </c>
      <c r="J939" t="s">
        <v>18</v>
      </c>
      <c r="K939" t="s">
        <v>19</v>
      </c>
      <c r="L939" t="s">
        <v>20</v>
      </c>
      <c r="M939" t="s">
        <v>41</v>
      </c>
      <c r="N939" t="s">
        <v>22</v>
      </c>
    </row>
    <row r="940" spans="1:14">
      <c r="A940" s="4" t="str">
        <f t="shared" si="71"/>
        <v>EXP00018</v>
      </c>
      <c r="B940" s="3" t="s">
        <v>66</v>
      </c>
      <c r="C940" s="4" t="str">
        <f t="shared" si="72"/>
        <v>GSE14020</v>
      </c>
      <c r="D940" s="1" t="s">
        <v>62</v>
      </c>
      <c r="E940" t="s">
        <v>15</v>
      </c>
      <c r="F940" s="1">
        <v>4</v>
      </c>
      <c r="G940" s="1" t="s">
        <v>40</v>
      </c>
      <c r="H940" s="4" t="str">
        <f>HYPERLINK("https://www.ncbi.nlm.nih.gov/geo/query/acc.cgi?acc=GSM352143","GSM352143")</f>
        <v>GSM352143</v>
      </c>
      <c r="I940" t="s">
        <v>17</v>
      </c>
      <c r="J940" t="s">
        <v>18</v>
      </c>
      <c r="K940" t="s">
        <v>19</v>
      </c>
      <c r="L940" t="s">
        <v>20</v>
      </c>
      <c r="M940" t="s">
        <v>41</v>
      </c>
      <c r="N940" t="s">
        <v>22</v>
      </c>
    </row>
    <row r="941" spans="1:14">
      <c r="A941" s="4" t="str">
        <f t="shared" si="71"/>
        <v>EXP00018</v>
      </c>
      <c r="B941" s="3" t="s">
        <v>66</v>
      </c>
      <c r="C941" s="4" t="str">
        <f t="shared" si="72"/>
        <v>GSE14020</v>
      </c>
      <c r="D941" s="1" t="s">
        <v>62</v>
      </c>
      <c r="E941" t="s">
        <v>15</v>
      </c>
      <c r="F941" s="1">
        <v>4</v>
      </c>
      <c r="G941" s="1" t="s">
        <v>40</v>
      </c>
      <c r="H941" s="4" t="str">
        <f>HYPERLINK("https://www.ncbi.nlm.nih.gov/geo/query/acc.cgi?acc=GSM352145","GSM352145")</f>
        <v>GSM352145</v>
      </c>
      <c r="I941" t="s">
        <v>17</v>
      </c>
      <c r="J941" t="s">
        <v>18</v>
      </c>
      <c r="K941" t="s">
        <v>19</v>
      </c>
      <c r="L941" t="s">
        <v>20</v>
      </c>
      <c r="M941" t="s">
        <v>41</v>
      </c>
      <c r="N941" t="s">
        <v>22</v>
      </c>
    </row>
    <row r="942" spans="1:14">
      <c r="A942" s="4" t="str">
        <f t="shared" si="71"/>
        <v>EXP00018</v>
      </c>
      <c r="B942" s="3" t="s">
        <v>66</v>
      </c>
      <c r="C942" s="4" t="str">
        <f t="shared" si="72"/>
        <v>GSE14020</v>
      </c>
      <c r="D942" s="1" t="s">
        <v>62</v>
      </c>
      <c r="E942" t="s">
        <v>15</v>
      </c>
      <c r="F942" s="1">
        <v>4</v>
      </c>
      <c r="G942" s="1" t="s">
        <v>40</v>
      </c>
      <c r="H942" s="4" t="str">
        <f>HYPERLINK("https://www.ncbi.nlm.nih.gov/geo/query/acc.cgi?acc=GSM352147","GSM352147")</f>
        <v>GSM352147</v>
      </c>
      <c r="I942" t="s">
        <v>17</v>
      </c>
      <c r="J942" t="s">
        <v>18</v>
      </c>
      <c r="K942" t="s">
        <v>19</v>
      </c>
      <c r="L942" t="s">
        <v>20</v>
      </c>
      <c r="M942" t="s">
        <v>41</v>
      </c>
      <c r="N942" t="s">
        <v>22</v>
      </c>
    </row>
    <row r="943" spans="1:14">
      <c r="A943" s="4" t="str">
        <f t="shared" si="71"/>
        <v>EXP00018</v>
      </c>
      <c r="B943" s="3" t="s">
        <v>66</v>
      </c>
      <c r="C943" s="4" t="str">
        <f t="shared" si="72"/>
        <v>GSE14020</v>
      </c>
      <c r="D943" s="1" t="s">
        <v>62</v>
      </c>
      <c r="E943" t="s">
        <v>15</v>
      </c>
      <c r="F943" s="1">
        <v>4</v>
      </c>
      <c r="G943" s="1" t="s">
        <v>40</v>
      </c>
      <c r="H943" s="4" t="str">
        <f>HYPERLINK("https://www.ncbi.nlm.nih.gov/geo/query/acc.cgi?acc=GSM352156","GSM352156")</f>
        <v>GSM352156</v>
      </c>
      <c r="I943" t="s">
        <v>17</v>
      </c>
      <c r="J943" t="s">
        <v>18</v>
      </c>
      <c r="K943" t="s">
        <v>19</v>
      </c>
      <c r="L943" t="s">
        <v>20</v>
      </c>
      <c r="M943" t="s">
        <v>41</v>
      </c>
      <c r="N943" t="s">
        <v>22</v>
      </c>
    </row>
    <row r="944" spans="1:14">
      <c r="A944" s="4" t="str">
        <f t="shared" si="71"/>
        <v>EXP00018</v>
      </c>
      <c r="B944" s="3" t="s">
        <v>66</v>
      </c>
      <c r="C944" s="4" t="str">
        <f t="shared" si="72"/>
        <v>GSE14020</v>
      </c>
      <c r="D944" s="1" t="s">
        <v>62</v>
      </c>
      <c r="E944" t="s">
        <v>15</v>
      </c>
      <c r="F944" s="1">
        <v>4</v>
      </c>
      <c r="G944" s="1" t="s">
        <v>40</v>
      </c>
      <c r="H944" s="4" t="str">
        <f>HYPERLINK("https://www.ncbi.nlm.nih.gov/geo/query/acc.cgi?acc=GSM352158","GSM352158")</f>
        <v>GSM352158</v>
      </c>
      <c r="I944" t="s">
        <v>17</v>
      </c>
      <c r="J944" t="s">
        <v>18</v>
      </c>
      <c r="K944" t="s">
        <v>19</v>
      </c>
      <c r="L944" t="s">
        <v>20</v>
      </c>
      <c r="M944" t="s">
        <v>41</v>
      </c>
      <c r="N944" t="s">
        <v>22</v>
      </c>
    </row>
    <row r="945" spans="1:14">
      <c r="A945" s="4" t="str">
        <f t="shared" si="71"/>
        <v>EXP00018</v>
      </c>
      <c r="B945" s="3" t="s">
        <v>66</v>
      </c>
      <c r="C945" s="4" t="str">
        <f t="shared" si="72"/>
        <v>GSE14020</v>
      </c>
      <c r="D945" s="1" t="s">
        <v>62</v>
      </c>
      <c r="E945" t="s">
        <v>15</v>
      </c>
      <c r="F945" s="1">
        <v>4</v>
      </c>
      <c r="G945" s="1" t="s">
        <v>40</v>
      </c>
      <c r="H945" s="4" t="str">
        <f>HYPERLINK("https://www.ncbi.nlm.nih.gov/geo/query/acc.cgi?acc=GSM352160","GSM352160")</f>
        <v>GSM352160</v>
      </c>
      <c r="I945" t="s">
        <v>17</v>
      </c>
      <c r="J945" t="s">
        <v>18</v>
      </c>
      <c r="K945" t="s">
        <v>19</v>
      </c>
      <c r="L945" t="s">
        <v>20</v>
      </c>
      <c r="M945" t="s">
        <v>41</v>
      </c>
      <c r="N945" t="s">
        <v>22</v>
      </c>
    </row>
    <row r="946" spans="1:14">
      <c r="A946" s="4" t="str">
        <f t="shared" si="71"/>
        <v>EXP00018</v>
      </c>
      <c r="B946" s="3" t="s">
        <v>66</v>
      </c>
      <c r="C946" s="4" t="str">
        <f t="shared" si="72"/>
        <v>GSE14020</v>
      </c>
      <c r="D946" s="1" t="s">
        <v>62</v>
      </c>
      <c r="E946" t="s">
        <v>15</v>
      </c>
      <c r="F946" s="1">
        <v>4</v>
      </c>
      <c r="G946" s="1" t="s">
        <v>40</v>
      </c>
      <c r="H946" s="4" t="str">
        <f>HYPERLINK("https://www.ncbi.nlm.nih.gov/geo/query/acc.cgi?acc=GSM352161","GSM352161")</f>
        <v>GSM352161</v>
      </c>
      <c r="I946" t="s">
        <v>17</v>
      </c>
      <c r="J946" t="s">
        <v>18</v>
      </c>
      <c r="K946" t="s">
        <v>19</v>
      </c>
      <c r="L946" t="s">
        <v>20</v>
      </c>
      <c r="M946" t="s">
        <v>41</v>
      </c>
      <c r="N946" t="s">
        <v>22</v>
      </c>
    </row>
    <row r="947" spans="1:14">
      <c r="A947" s="4" t="str">
        <f t="shared" si="71"/>
        <v>EXP00018</v>
      </c>
      <c r="B947" s="3" t="s">
        <v>66</v>
      </c>
      <c r="C947" s="4" t="str">
        <f t="shared" si="72"/>
        <v>GSE14020</v>
      </c>
      <c r="D947" s="1" t="s">
        <v>62</v>
      </c>
      <c r="E947" t="s">
        <v>15</v>
      </c>
      <c r="F947" s="1">
        <v>4</v>
      </c>
      <c r="G947" s="1" t="s">
        <v>40</v>
      </c>
      <c r="H947" s="4" t="str">
        <f>HYPERLINK("https://www.ncbi.nlm.nih.gov/geo/query/acc.cgi?acc=GSM352164","GSM352164")</f>
        <v>GSM352164</v>
      </c>
      <c r="I947" t="s">
        <v>17</v>
      </c>
      <c r="J947" t="s">
        <v>18</v>
      </c>
      <c r="K947" t="s">
        <v>19</v>
      </c>
      <c r="L947" t="s">
        <v>20</v>
      </c>
      <c r="M947" t="s">
        <v>41</v>
      </c>
      <c r="N947" t="s">
        <v>22</v>
      </c>
    </row>
    <row r="948" spans="1:14">
      <c r="A948" s="4" t="str">
        <f t="shared" si="71"/>
        <v>EXP00018</v>
      </c>
      <c r="B948" s="3" t="s">
        <v>66</v>
      </c>
      <c r="C948" s="4" t="str">
        <f t="shared" si="72"/>
        <v>GSE14020</v>
      </c>
      <c r="D948" s="1" t="s">
        <v>62</v>
      </c>
      <c r="E948" t="s">
        <v>15</v>
      </c>
      <c r="F948" s="1">
        <v>4</v>
      </c>
      <c r="G948" s="1" t="s">
        <v>40</v>
      </c>
      <c r="H948" s="4" t="str">
        <f>HYPERLINK("https://www.ncbi.nlm.nih.gov/geo/query/acc.cgi?acc=GSM352165","GSM352165")</f>
        <v>GSM352165</v>
      </c>
      <c r="I948" t="s">
        <v>17</v>
      </c>
      <c r="J948" t="s">
        <v>18</v>
      </c>
      <c r="K948" t="s">
        <v>19</v>
      </c>
      <c r="L948" t="s">
        <v>20</v>
      </c>
      <c r="M948" t="s">
        <v>41</v>
      </c>
      <c r="N948" t="s">
        <v>22</v>
      </c>
    </row>
    <row r="949" spans="1:14">
      <c r="A949" s="4" t="str">
        <f t="shared" si="71"/>
        <v>EXP00018</v>
      </c>
      <c r="B949" s="3" t="s">
        <v>66</v>
      </c>
      <c r="C949" s="4" t="str">
        <f t="shared" si="72"/>
        <v>GSE14020</v>
      </c>
      <c r="D949" s="1" t="s">
        <v>62</v>
      </c>
      <c r="E949" t="s">
        <v>15</v>
      </c>
      <c r="F949" s="1">
        <v>4</v>
      </c>
      <c r="G949" s="1" t="s">
        <v>40</v>
      </c>
      <c r="H949" s="4" t="str">
        <f>HYPERLINK("https://www.ncbi.nlm.nih.gov/geo/query/acc.cgi?acc=GSM352166","GSM352166")</f>
        <v>GSM352166</v>
      </c>
      <c r="I949" t="s">
        <v>17</v>
      </c>
      <c r="J949" t="s">
        <v>18</v>
      </c>
      <c r="K949" t="s">
        <v>19</v>
      </c>
      <c r="L949" t="s">
        <v>20</v>
      </c>
      <c r="M949" t="s">
        <v>41</v>
      </c>
      <c r="N949" t="s">
        <v>22</v>
      </c>
    </row>
    <row r="950" spans="1:14">
      <c r="A950" s="4" t="str">
        <f t="shared" si="71"/>
        <v>EXP00018</v>
      </c>
      <c r="B950" s="3" t="s">
        <v>66</v>
      </c>
      <c r="C950" s="4" t="str">
        <f t="shared" si="72"/>
        <v>GSE14020</v>
      </c>
      <c r="D950" s="1" t="s">
        <v>62</v>
      </c>
      <c r="E950" t="s">
        <v>15</v>
      </c>
      <c r="F950" s="1">
        <v>4</v>
      </c>
      <c r="G950" s="1" t="s">
        <v>40</v>
      </c>
      <c r="H950" s="4" t="str">
        <f>HYPERLINK("https://www.ncbi.nlm.nih.gov/geo/query/acc.cgi?acc=GSM352168","GSM352168")</f>
        <v>GSM352168</v>
      </c>
      <c r="I950" t="s">
        <v>17</v>
      </c>
      <c r="J950" t="s">
        <v>18</v>
      </c>
      <c r="K950" t="s">
        <v>19</v>
      </c>
      <c r="L950" t="s">
        <v>20</v>
      </c>
      <c r="M950" t="s">
        <v>41</v>
      </c>
      <c r="N950" t="s">
        <v>22</v>
      </c>
    </row>
    <row r="951" spans="1:14">
      <c r="A951" s="4" t="str">
        <f t="shared" ref="A951:A982" si="73">HYPERLINK("http://hcmdb.i-sanger.com/experiment/details/experiment_id/EXP00021","EXP00021")</f>
        <v>EXP00021</v>
      </c>
      <c r="B951" s="4" t="str">
        <f t="shared" ref="B951:B982" si="74">HYPERLINK("https://www.ncbi.nlm.nih.gov/pubmed/21680303","21680303")</f>
        <v>21680303</v>
      </c>
      <c r="C951" s="4" t="str">
        <f t="shared" ref="C951:C982" si="75">HYPERLINK("https://www.ncbi.nlm.nih.gov/geo/query/acc.cgi?acc=GSE14095","GSE14095")</f>
        <v>GSE14095</v>
      </c>
      <c r="D951" s="1" t="s">
        <v>45</v>
      </c>
      <c r="E951" t="s">
        <v>68</v>
      </c>
      <c r="F951" s="1">
        <v>1</v>
      </c>
      <c r="G951" s="1" t="s">
        <v>31</v>
      </c>
      <c r="H951" s="4" t="str">
        <f>HYPERLINK("https://www.ncbi.nlm.nih.gov/geo/query/acc.cgi?acc=GSM353663","GSM353663")</f>
        <v>GSM353663</v>
      </c>
      <c r="I951" t="s">
        <v>69</v>
      </c>
      <c r="J951" t="s">
        <v>18</v>
      </c>
      <c r="K951" t="s">
        <v>19</v>
      </c>
      <c r="L951" t="s">
        <v>70</v>
      </c>
      <c r="M951" t="s">
        <v>44</v>
      </c>
      <c r="N951" t="s">
        <v>29</v>
      </c>
    </row>
    <row r="952" spans="1:14">
      <c r="A952" s="4" t="str">
        <f t="shared" si="73"/>
        <v>EXP00021</v>
      </c>
      <c r="B952" s="4" t="str">
        <f t="shared" si="74"/>
        <v>21680303</v>
      </c>
      <c r="C952" s="4" t="str">
        <f t="shared" si="75"/>
        <v>GSE14095</v>
      </c>
      <c r="D952" s="1" t="s">
        <v>45</v>
      </c>
      <c r="E952" t="s">
        <v>68</v>
      </c>
      <c r="F952" s="1">
        <v>1</v>
      </c>
      <c r="G952" s="1" t="s">
        <v>31</v>
      </c>
      <c r="H952" s="4" t="str">
        <f>HYPERLINK("https://www.ncbi.nlm.nih.gov/geo/query/acc.cgi?acc=GSM353664","GSM353664")</f>
        <v>GSM353664</v>
      </c>
      <c r="I952" t="s">
        <v>69</v>
      </c>
      <c r="J952" t="s">
        <v>18</v>
      </c>
      <c r="K952" t="s">
        <v>19</v>
      </c>
      <c r="L952" t="s">
        <v>70</v>
      </c>
      <c r="M952" t="s">
        <v>44</v>
      </c>
      <c r="N952" t="s">
        <v>29</v>
      </c>
    </row>
    <row r="953" spans="1:14">
      <c r="A953" s="4" t="str">
        <f t="shared" si="73"/>
        <v>EXP00021</v>
      </c>
      <c r="B953" s="4" t="str">
        <f t="shared" si="74"/>
        <v>21680303</v>
      </c>
      <c r="C953" s="4" t="str">
        <f t="shared" si="75"/>
        <v>GSE14095</v>
      </c>
      <c r="D953" s="1" t="s">
        <v>45</v>
      </c>
      <c r="E953" t="s">
        <v>68</v>
      </c>
      <c r="F953" s="1">
        <v>1</v>
      </c>
      <c r="G953" s="1" t="s">
        <v>31</v>
      </c>
      <c r="H953" s="4" t="str">
        <f>HYPERLINK("https://www.ncbi.nlm.nih.gov/geo/query/acc.cgi?acc=GSM353665","GSM353665")</f>
        <v>GSM353665</v>
      </c>
      <c r="I953" t="s">
        <v>69</v>
      </c>
      <c r="J953" t="s">
        <v>18</v>
      </c>
      <c r="K953" t="s">
        <v>19</v>
      </c>
      <c r="L953" t="s">
        <v>70</v>
      </c>
      <c r="M953" t="s">
        <v>44</v>
      </c>
      <c r="N953" t="s">
        <v>29</v>
      </c>
    </row>
    <row r="954" spans="1:14">
      <c r="A954" s="4" t="str">
        <f t="shared" si="73"/>
        <v>EXP00021</v>
      </c>
      <c r="B954" s="4" t="str">
        <f t="shared" si="74"/>
        <v>21680303</v>
      </c>
      <c r="C954" s="4" t="str">
        <f t="shared" si="75"/>
        <v>GSE14095</v>
      </c>
      <c r="D954" s="1" t="s">
        <v>45</v>
      </c>
      <c r="E954" t="s">
        <v>68</v>
      </c>
      <c r="F954" s="1">
        <v>1</v>
      </c>
      <c r="G954" s="1" t="s">
        <v>31</v>
      </c>
      <c r="H954" s="4" t="str">
        <f>HYPERLINK("https://www.ncbi.nlm.nih.gov/geo/query/acc.cgi?acc=GSM353675","GSM353675")</f>
        <v>GSM353675</v>
      </c>
      <c r="I954" t="s">
        <v>69</v>
      </c>
      <c r="J954" t="s">
        <v>18</v>
      </c>
      <c r="K954" t="s">
        <v>19</v>
      </c>
      <c r="L954" t="s">
        <v>70</v>
      </c>
      <c r="M954" t="s">
        <v>44</v>
      </c>
      <c r="N954" t="s">
        <v>29</v>
      </c>
    </row>
    <row r="955" spans="1:14">
      <c r="A955" s="4" t="str">
        <f t="shared" si="73"/>
        <v>EXP00021</v>
      </c>
      <c r="B955" s="4" t="str">
        <f t="shared" si="74"/>
        <v>21680303</v>
      </c>
      <c r="C955" s="4" t="str">
        <f t="shared" si="75"/>
        <v>GSE14095</v>
      </c>
      <c r="D955" s="1" t="s">
        <v>45</v>
      </c>
      <c r="E955" t="s">
        <v>68</v>
      </c>
      <c r="F955" s="1">
        <v>1</v>
      </c>
      <c r="G955" s="1" t="s">
        <v>31</v>
      </c>
      <c r="H955" s="4" t="str">
        <f>HYPERLINK("https://www.ncbi.nlm.nih.gov/geo/query/acc.cgi?acc=GSM353676","GSM353676")</f>
        <v>GSM353676</v>
      </c>
      <c r="I955" t="s">
        <v>69</v>
      </c>
      <c r="J955" t="s">
        <v>18</v>
      </c>
      <c r="K955" t="s">
        <v>19</v>
      </c>
      <c r="L955" t="s">
        <v>70</v>
      </c>
      <c r="M955" t="s">
        <v>44</v>
      </c>
      <c r="N955" t="s">
        <v>29</v>
      </c>
    </row>
    <row r="956" spans="1:14">
      <c r="A956" s="4" t="str">
        <f t="shared" si="73"/>
        <v>EXP00021</v>
      </c>
      <c r="B956" s="4" t="str">
        <f t="shared" si="74"/>
        <v>21680303</v>
      </c>
      <c r="C956" s="4" t="str">
        <f t="shared" si="75"/>
        <v>GSE14095</v>
      </c>
      <c r="D956" s="1" t="s">
        <v>45</v>
      </c>
      <c r="E956" t="s">
        <v>68</v>
      </c>
      <c r="F956" s="1">
        <v>1</v>
      </c>
      <c r="G956" s="1" t="s">
        <v>31</v>
      </c>
      <c r="H956" s="4" t="str">
        <f>HYPERLINK("https://www.ncbi.nlm.nih.gov/geo/query/acc.cgi?acc=GSM353677","GSM353677")</f>
        <v>GSM353677</v>
      </c>
      <c r="I956" t="s">
        <v>69</v>
      </c>
      <c r="J956" t="s">
        <v>18</v>
      </c>
      <c r="K956" t="s">
        <v>19</v>
      </c>
      <c r="L956" t="s">
        <v>70</v>
      </c>
      <c r="M956" t="s">
        <v>44</v>
      </c>
      <c r="N956" t="s">
        <v>29</v>
      </c>
    </row>
    <row r="957" spans="1:14">
      <c r="A957" s="4" t="str">
        <f t="shared" si="73"/>
        <v>EXP00021</v>
      </c>
      <c r="B957" s="4" t="str">
        <f t="shared" si="74"/>
        <v>21680303</v>
      </c>
      <c r="C957" s="4" t="str">
        <f t="shared" si="75"/>
        <v>GSE14095</v>
      </c>
      <c r="D957" s="1" t="s">
        <v>45</v>
      </c>
      <c r="E957" t="s">
        <v>68</v>
      </c>
      <c r="F957" s="1">
        <v>1</v>
      </c>
      <c r="G957" s="1" t="s">
        <v>31</v>
      </c>
      <c r="H957" s="4" t="str">
        <f>HYPERLINK("https://www.ncbi.nlm.nih.gov/geo/query/acc.cgi?acc=GSM353681","GSM353681")</f>
        <v>GSM353681</v>
      </c>
      <c r="I957" t="s">
        <v>69</v>
      </c>
      <c r="J957" t="s">
        <v>18</v>
      </c>
      <c r="K957" t="s">
        <v>19</v>
      </c>
      <c r="L957" t="s">
        <v>70</v>
      </c>
      <c r="M957" t="s">
        <v>44</v>
      </c>
      <c r="N957" t="s">
        <v>29</v>
      </c>
    </row>
    <row r="958" spans="1:14">
      <c r="A958" s="4" t="str">
        <f t="shared" si="73"/>
        <v>EXP00021</v>
      </c>
      <c r="B958" s="4" t="str">
        <f t="shared" si="74"/>
        <v>21680303</v>
      </c>
      <c r="C958" s="4" t="str">
        <f t="shared" si="75"/>
        <v>GSE14095</v>
      </c>
      <c r="D958" s="1" t="s">
        <v>45</v>
      </c>
      <c r="E958" t="s">
        <v>68</v>
      </c>
      <c r="F958" s="1">
        <v>1</v>
      </c>
      <c r="G958" s="1" t="s">
        <v>31</v>
      </c>
      <c r="H958" s="4" t="str">
        <f>HYPERLINK("https://www.ncbi.nlm.nih.gov/geo/query/acc.cgi?acc=GSM353682","GSM353682")</f>
        <v>GSM353682</v>
      </c>
      <c r="I958" t="s">
        <v>69</v>
      </c>
      <c r="J958" t="s">
        <v>18</v>
      </c>
      <c r="K958" t="s">
        <v>19</v>
      </c>
      <c r="L958" t="s">
        <v>70</v>
      </c>
      <c r="M958" t="s">
        <v>44</v>
      </c>
      <c r="N958" t="s">
        <v>29</v>
      </c>
    </row>
    <row r="959" spans="1:14">
      <c r="A959" s="4" t="str">
        <f t="shared" si="73"/>
        <v>EXP00021</v>
      </c>
      <c r="B959" s="4" t="str">
        <f t="shared" si="74"/>
        <v>21680303</v>
      </c>
      <c r="C959" s="4" t="str">
        <f t="shared" si="75"/>
        <v>GSE14095</v>
      </c>
      <c r="D959" s="1" t="s">
        <v>45</v>
      </c>
      <c r="E959" t="s">
        <v>68</v>
      </c>
      <c r="F959" s="1">
        <v>1</v>
      </c>
      <c r="G959" s="1" t="s">
        <v>31</v>
      </c>
      <c r="H959" s="4" t="str">
        <f>HYPERLINK("https://www.ncbi.nlm.nih.gov/geo/query/acc.cgi?acc=GSM353685","GSM353685")</f>
        <v>GSM353685</v>
      </c>
      <c r="I959" t="s">
        <v>69</v>
      </c>
      <c r="J959" t="s">
        <v>18</v>
      </c>
      <c r="K959" t="s">
        <v>19</v>
      </c>
      <c r="L959" t="s">
        <v>70</v>
      </c>
      <c r="M959" t="s">
        <v>44</v>
      </c>
      <c r="N959" t="s">
        <v>29</v>
      </c>
    </row>
    <row r="960" spans="1:14">
      <c r="A960" s="4" t="str">
        <f t="shared" si="73"/>
        <v>EXP00021</v>
      </c>
      <c r="B960" s="4" t="str">
        <f t="shared" si="74"/>
        <v>21680303</v>
      </c>
      <c r="C960" s="4" t="str">
        <f t="shared" si="75"/>
        <v>GSE14095</v>
      </c>
      <c r="D960" s="1" t="s">
        <v>45</v>
      </c>
      <c r="E960" t="s">
        <v>68</v>
      </c>
      <c r="F960" s="1">
        <v>1</v>
      </c>
      <c r="G960" s="1" t="s">
        <v>31</v>
      </c>
      <c r="H960" s="4" t="str">
        <f>HYPERLINK("https://www.ncbi.nlm.nih.gov/geo/query/acc.cgi?acc=GSM353688","GSM353688")</f>
        <v>GSM353688</v>
      </c>
      <c r="I960" t="s">
        <v>69</v>
      </c>
      <c r="J960" t="s">
        <v>18</v>
      </c>
      <c r="K960" t="s">
        <v>19</v>
      </c>
      <c r="L960" t="s">
        <v>70</v>
      </c>
      <c r="M960" t="s">
        <v>44</v>
      </c>
      <c r="N960" t="s">
        <v>29</v>
      </c>
    </row>
    <row r="961" spans="1:14">
      <c r="A961" s="4" t="str">
        <f t="shared" si="73"/>
        <v>EXP00021</v>
      </c>
      <c r="B961" s="4" t="str">
        <f t="shared" si="74"/>
        <v>21680303</v>
      </c>
      <c r="C961" s="4" t="str">
        <f t="shared" si="75"/>
        <v>GSE14095</v>
      </c>
      <c r="D961" s="1" t="s">
        <v>45</v>
      </c>
      <c r="E961" t="s">
        <v>68</v>
      </c>
      <c r="F961" s="1">
        <v>1</v>
      </c>
      <c r="G961" s="1" t="s">
        <v>31</v>
      </c>
      <c r="H961" s="4" t="str">
        <f>HYPERLINK("https://www.ncbi.nlm.nih.gov/geo/query/acc.cgi?acc=GSM353689","GSM353689")</f>
        <v>GSM353689</v>
      </c>
      <c r="I961" t="s">
        <v>69</v>
      </c>
      <c r="J961" t="s">
        <v>18</v>
      </c>
      <c r="K961" t="s">
        <v>19</v>
      </c>
      <c r="L961" t="s">
        <v>70</v>
      </c>
      <c r="M961" t="s">
        <v>44</v>
      </c>
      <c r="N961" t="s">
        <v>29</v>
      </c>
    </row>
    <row r="962" spans="1:14">
      <c r="A962" s="4" t="str">
        <f t="shared" si="73"/>
        <v>EXP00021</v>
      </c>
      <c r="B962" s="4" t="str">
        <f t="shared" si="74"/>
        <v>21680303</v>
      </c>
      <c r="C962" s="4" t="str">
        <f t="shared" si="75"/>
        <v>GSE14095</v>
      </c>
      <c r="D962" s="1" t="s">
        <v>45</v>
      </c>
      <c r="E962" t="s">
        <v>68</v>
      </c>
      <c r="F962" s="1">
        <v>1</v>
      </c>
      <c r="G962" s="1" t="s">
        <v>31</v>
      </c>
      <c r="H962" s="4" t="str">
        <f>HYPERLINK("https://www.ncbi.nlm.nih.gov/geo/query/acc.cgi?acc=GSM353690","GSM353690")</f>
        <v>GSM353690</v>
      </c>
      <c r="I962" t="s">
        <v>69</v>
      </c>
      <c r="J962" t="s">
        <v>18</v>
      </c>
      <c r="K962" t="s">
        <v>19</v>
      </c>
      <c r="L962" t="s">
        <v>70</v>
      </c>
      <c r="M962" t="s">
        <v>44</v>
      </c>
      <c r="N962" t="s">
        <v>29</v>
      </c>
    </row>
    <row r="963" spans="1:14">
      <c r="A963" s="4" t="str">
        <f t="shared" si="73"/>
        <v>EXP00021</v>
      </c>
      <c r="B963" s="4" t="str">
        <f t="shared" si="74"/>
        <v>21680303</v>
      </c>
      <c r="C963" s="4" t="str">
        <f t="shared" si="75"/>
        <v>GSE14095</v>
      </c>
      <c r="D963" s="1" t="s">
        <v>45</v>
      </c>
      <c r="E963" t="s">
        <v>68</v>
      </c>
      <c r="F963" s="1">
        <v>1</v>
      </c>
      <c r="G963" s="1" t="s">
        <v>31</v>
      </c>
      <c r="H963" s="4" t="str">
        <f>HYPERLINK("https://www.ncbi.nlm.nih.gov/geo/query/acc.cgi?acc=GSM353715","GSM353715")</f>
        <v>GSM353715</v>
      </c>
      <c r="I963" t="s">
        <v>69</v>
      </c>
      <c r="J963" t="s">
        <v>18</v>
      </c>
      <c r="K963" t="s">
        <v>19</v>
      </c>
      <c r="L963" t="s">
        <v>70</v>
      </c>
      <c r="M963" t="s">
        <v>44</v>
      </c>
      <c r="N963" t="s">
        <v>29</v>
      </c>
    </row>
    <row r="964" spans="1:14">
      <c r="A964" s="4" t="str">
        <f t="shared" si="73"/>
        <v>EXP00021</v>
      </c>
      <c r="B964" s="4" t="str">
        <f t="shared" si="74"/>
        <v>21680303</v>
      </c>
      <c r="C964" s="4" t="str">
        <f t="shared" si="75"/>
        <v>GSE14095</v>
      </c>
      <c r="D964" s="1" t="s">
        <v>45</v>
      </c>
      <c r="E964" t="s">
        <v>68</v>
      </c>
      <c r="F964" s="1">
        <v>1</v>
      </c>
      <c r="G964" s="1" t="s">
        <v>31</v>
      </c>
      <c r="H964" s="4" t="str">
        <f>HYPERLINK("https://www.ncbi.nlm.nih.gov/geo/query/acc.cgi?acc=GSM353716","GSM353716")</f>
        <v>GSM353716</v>
      </c>
      <c r="I964" t="s">
        <v>69</v>
      </c>
      <c r="J964" t="s">
        <v>18</v>
      </c>
      <c r="K964" t="s">
        <v>19</v>
      </c>
      <c r="L964" t="s">
        <v>70</v>
      </c>
      <c r="M964" t="s">
        <v>44</v>
      </c>
      <c r="N964" t="s">
        <v>29</v>
      </c>
    </row>
    <row r="965" spans="1:14">
      <c r="A965" s="4" t="str">
        <f t="shared" si="73"/>
        <v>EXP00021</v>
      </c>
      <c r="B965" s="4" t="str">
        <f t="shared" si="74"/>
        <v>21680303</v>
      </c>
      <c r="C965" s="4" t="str">
        <f t="shared" si="75"/>
        <v>GSE14095</v>
      </c>
      <c r="D965" s="1" t="s">
        <v>45</v>
      </c>
      <c r="E965" t="s">
        <v>68</v>
      </c>
      <c r="F965" s="1">
        <v>1</v>
      </c>
      <c r="G965" s="1" t="s">
        <v>31</v>
      </c>
      <c r="H965" s="4" t="str">
        <f>HYPERLINK("https://www.ncbi.nlm.nih.gov/geo/query/acc.cgi?acc=GSM353717","GSM353717")</f>
        <v>GSM353717</v>
      </c>
      <c r="I965" t="s">
        <v>69</v>
      </c>
      <c r="J965" t="s">
        <v>18</v>
      </c>
      <c r="K965" t="s">
        <v>19</v>
      </c>
      <c r="L965" t="s">
        <v>70</v>
      </c>
      <c r="M965" t="s">
        <v>44</v>
      </c>
      <c r="N965" t="s">
        <v>29</v>
      </c>
    </row>
    <row r="966" spans="1:14">
      <c r="A966" s="4" t="str">
        <f t="shared" si="73"/>
        <v>EXP00021</v>
      </c>
      <c r="B966" s="4" t="str">
        <f t="shared" si="74"/>
        <v>21680303</v>
      </c>
      <c r="C966" s="4" t="str">
        <f t="shared" si="75"/>
        <v>GSE14095</v>
      </c>
      <c r="D966" s="1" t="s">
        <v>45</v>
      </c>
      <c r="E966" t="s">
        <v>68</v>
      </c>
      <c r="F966" s="1">
        <v>1</v>
      </c>
      <c r="G966" s="1" t="s">
        <v>31</v>
      </c>
      <c r="H966" s="4" t="str">
        <f>HYPERLINK("https://www.ncbi.nlm.nih.gov/geo/query/acc.cgi?acc=GSM353718","GSM353718")</f>
        <v>GSM353718</v>
      </c>
      <c r="I966" t="s">
        <v>69</v>
      </c>
      <c r="J966" t="s">
        <v>18</v>
      </c>
      <c r="K966" t="s">
        <v>19</v>
      </c>
      <c r="L966" t="s">
        <v>70</v>
      </c>
      <c r="M966" t="s">
        <v>44</v>
      </c>
      <c r="N966" t="s">
        <v>29</v>
      </c>
    </row>
    <row r="967" spans="1:14">
      <c r="A967" s="4" t="str">
        <f t="shared" si="73"/>
        <v>EXP00021</v>
      </c>
      <c r="B967" s="4" t="str">
        <f t="shared" si="74"/>
        <v>21680303</v>
      </c>
      <c r="C967" s="4" t="str">
        <f t="shared" si="75"/>
        <v>GSE14095</v>
      </c>
      <c r="D967" s="1" t="s">
        <v>45</v>
      </c>
      <c r="E967" t="s">
        <v>68</v>
      </c>
      <c r="F967" s="1">
        <v>1</v>
      </c>
      <c r="G967" s="1" t="s">
        <v>31</v>
      </c>
      <c r="H967" s="4" t="str">
        <f>HYPERLINK("https://www.ncbi.nlm.nih.gov/geo/query/acc.cgi?acc=GSM353719","GSM353719")</f>
        <v>GSM353719</v>
      </c>
      <c r="I967" t="s">
        <v>69</v>
      </c>
      <c r="J967" t="s">
        <v>18</v>
      </c>
      <c r="K967" t="s">
        <v>19</v>
      </c>
      <c r="L967" t="s">
        <v>70</v>
      </c>
      <c r="M967" t="s">
        <v>44</v>
      </c>
      <c r="N967" t="s">
        <v>29</v>
      </c>
    </row>
    <row r="968" spans="1:14">
      <c r="A968" s="4" t="str">
        <f t="shared" si="73"/>
        <v>EXP00021</v>
      </c>
      <c r="B968" s="4" t="str">
        <f t="shared" si="74"/>
        <v>21680303</v>
      </c>
      <c r="C968" s="4" t="str">
        <f t="shared" si="75"/>
        <v>GSE14095</v>
      </c>
      <c r="D968" s="1" t="s">
        <v>45</v>
      </c>
      <c r="E968" t="s">
        <v>68</v>
      </c>
      <c r="F968" s="1">
        <v>1</v>
      </c>
      <c r="G968" s="1" t="s">
        <v>31</v>
      </c>
      <c r="H968" s="4" t="str">
        <f>HYPERLINK("https://www.ncbi.nlm.nih.gov/geo/query/acc.cgi?acc=GSM353720","GSM353720")</f>
        <v>GSM353720</v>
      </c>
      <c r="I968" t="s">
        <v>69</v>
      </c>
      <c r="J968" t="s">
        <v>18</v>
      </c>
      <c r="K968" t="s">
        <v>19</v>
      </c>
      <c r="L968" t="s">
        <v>70</v>
      </c>
      <c r="M968" t="s">
        <v>44</v>
      </c>
      <c r="N968" t="s">
        <v>29</v>
      </c>
    </row>
    <row r="969" spans="1:14">
      <c r="A969" s="4" t="str">
        <f t="shared" si="73"/>
        <v>EXP00021</v>
      </c>
      <c r="B969" s="4" t="str">
        <f t="shared" si="74"/>
        <v>21680303</v>
      </c>
      <c r="C969" s="4" t="str">
        <f t="shared" si="75"/>
        <v>GSE14095</v>
      </c>
      <c r="D969" s="1" t="s">
        <v>45</v>
      </c>
      <c r="E969" t="s">
        <v>68</v>
      </c>
      <c r="F969" s="1">
        <v>1</v>
      </c>
      <c r="G969" s="1" t="s">
        <v>31</v>
      </c>
      <c r="H969" s="4" t="str">
        <f>HYPERLINK("https://www.ncbi.nlm.nih.gov/geo/query/acc.cgi?acc=GSM353721","GSM353721")</f>
        <v>GSM353721</v>
      </c>
      <c r="I969" t="s">
        <v>69</v>
      </c>
      <c r="J969" t="s">
        <v>18</v>
      </c>
      <c r="K969" t="s">
        <v>19</v>
      </c>
      <c r="L969" t="s">
        <v>70</v>
      </c>
      <c r="M969" t="s">
        <v>44</v>
      </c>
      <c r="N969" t="s">
        <v>29</v>
      </c>
    </row>
    <row r="970" spans="1:14">
      <c r="A970" s="4" t="str">
        <f t="shared" si="73"/>
        <v>EXP00021</v>
      </c>
      <c r="B970" s="4" t="str">
        <f t="shared" si="74"/>
        <v>21680303</v>
      </c>
      <c r="C970" s="4" t="str">
        <f t="shared" si="75"/>
        <v>GSE14095</v>
      </c>
      <c r="D970" s="1" t="s">
        <v>45</v>
      </c>
      <c r="E970" t="s">
        <v>68</v>
      </c>
      <c r="F970" s="1">
        <v>1</v>
      </c>
      <c r="G970" s="1" t="s">
        <v>31</v>
      </c>
      <c r="H970" s="4" t="str">
        <f>HYPERLINK("https://www.ncbi.nlm.nih.gov/geo/query/acc.cgi?acc=GSM353722","GSM353722")</f>
        <v>GSM353722</v>
      </c>
      <c r="I970" t="s">
        <v>69</v>
      </c>
      <c r="J970" t="s">
        <v>18</v>
      </c>
      <c r="K970" t="s">
        <v>19</v>
      </c>
      <c r="L970" t="s">
        <v>70</v>
      </c>
      <c r="M970" t="s">
        <v>44</v>
      </c>
      <c r="N970" t="s">
        <v>29</v>
      </c>
    </row>
    <row r="971" spans="1:14">
      <c r="A971" s="4" t="str">
        <f t="shared" si="73"/>
        <v>EXP00021</v>
      </c>
      <c r="B971" s="4" t="str">
        <f t="shared" si="74"/>
        <v>21680303</v>
      </c>
      <c r="C971" s="4" t="str">
        <f t="shared" si="75"/>
        <v>GSE14095</v>
      </c>
      <c r="D971" s="1" t="s">
        <v>45</v>
      </c>
      <c r="E971" t="s">
        <v>68</v>
      </c>
      <c r="F971" s="1">
        <v>1</v>
      </c>
      <c r="G971" s="1" t="s">
        <v>31</v>
      </c>
      <c r="H971" s="4" t="str">
        <f>HYPERLINK("https://www.ncbi.nlm.nih.gov/geo/query/acc.cgi?acc=GSM353723","GSM353723")</f>
        <v>GSM353723</v>
      </c>
      <c r="I971" t="s">
        <v>69</v>
      </c>
      <c r="J971" t="s">
        <v>18</v>
      </c>
      <c r="K971" t="s">
        <v>19</v>
      </c>
      <c r="L971" t="s">
        <v>70</v>
      </c>
      <c r="M971" t="s">
        <v>44</v>
      </c>
      <c r="N971" t="s">
        <v>29</v>
      </c>
    </row>
    <row r="972" spans="1:14">
      <c r="A972" s="4" t="str">
        <f t="shared" si="73"/>
        <v>EXP00021</v>
      </c>
      <c r="B972" s="4" t="str">
        <f t="shared" si="74"/>
        <v>21680303</v>
      </c>
      <c r="C972" s="4" t="str">
        <f t="shared" si="75"/>
        <v>GSE14095</v>
      </c>
      <c r="D972" s="1" t="s">
        <v>45</v>
      </c>
      <c r="E972" t="s">
        <v>68</v>
      </c>
      <c r="F972" s="1">
        <v>1</v>
      </c>
      <c r="G972" s="1" t="s">
        <v>31</v>
      </c>
      <c r="H972" s="4" t="str">
        <f>HYPERLINK("https://www.ncbi.nlm.nih.gov/geo/query/acc.cgi?acc=GSM353724","GSM353724")</f>
        <v>GSM353724</v>
      </c>
      <c r="I972" t="s">
        <v>69</v>
      </c>
      <c r="J972" t="s">
        <v>18</v>
      </c>
      <c r="K972" t="s">
        <v>19</v>
      </c>
      <c r="L972" t="s">
        <v>70</v>
      </c>
      <c r="M972" t="s">
        <v>44</v>
      </c>
      <c r="N972" t="s">
        <v>29</v>
      </c>
    </row>
    <row r="973" spans="1:14">
      <c r="A973" s="4" t="str">
        <f t="shared" si="73"/>
        <v>EXP00021</v>
      </c>
      <c r="B973" s="4" t="str">
        <f t="shared" si="74"/>
        <v>21680303</v>
      </c>
      <c r="C973" s="4" t="str">
        <f t="shared" si="75"/>
        <v>GSE14095</v>
      </c>
      <c r="D973" s="1" t="s">
        <v>45</v>
      </c>
      <c r="E973" t="s">
        <v>68</v>
      </c>
      <c r="F973" s="1">
        <v>1</v>
      </c>
      <c r="G973" s="1" t="s">
        <v>31</v>
      </c>
      <c r="H973" s="4" t="str">
        <f>HYPERLINK("https://www.ncbi.nlm.nih.gov/geo/query/acc.cgi?acc=GSM353725","GSM353725")</f>
        <v>GSM353725</v>
      </c>
      <c r="I973" t="s">
        <v>69</v>
      </c>
      <c r="J973" t="s">
        <v>18</v>
      </c>
      <c r="K973" t="s">
        <v>19</v>
      </c>
      <c r="L973" t="s">
        <v>70</v>
      </c>
      <c r="M973" t="s">
        <v>44</v>
      </c>
      <c r="N973" t="s">
        <v>29</v>
      </c>
    </row>
    <row r="974" spans="1:14">
      <c r="A974" s="4" t="str">
        <f t="shared" si="73"/>
        <v>EXP00021</v>
      </c>
      <c r="B974" s="4" t="str">
        <f t="shared" si="74"/>
        <v>21680303</v>
      </c>
      <c r="C974" s="4" t="str">
        <f t="shared" si="75"/>
        <v>GSE14095</v>
      </c>
      <c r="D974" s="1" t="s">
        <v>45</v>
      </c>
      <c r="E974" t="s">
        <v>68</v>
      </c>
      <c r="F974" s="1">
        <v>1</v>
      </c>
      <c r="G974" s="1" t="s">
        <v>31</v>
      </c>
      <c r="H974" s="4" t="str">
        <f>HYPERLINK("https://www.ncbi.nlm.nih.gov/geo/query/acc.cgi?acc=GSM353726","GSM353726")</f>
        <v>GSM353726</v>
      </c>
      <c r="I974" t="s">
        <v>69</v>
      </c>
      <c r="J974" t="s">
        <v>18</v>
      </c>
      <c r="K974" t="s">
        <v>19</v>
      </c>
      <c r="L974" t="s">
        <v>70</v>
      </c>
      <c r="M974" t="s">
        <v>44</v>
      </c>
      <c r="N974" t="s">
        <v>29</v>
      </c>
    </row>
    <row r="975" spans="1:14">
      <c r="A975" s="4" t="str">
        <f t="shared" si="73"/>
        <v>EXP00021</v>
      </c>
      <c r="B975" s="4" t="str">
        <f t="shared" si="74"/>
        <v>21680303</v>
      </c>
      <c r="C975" s="4" t="str">
        <f t="shared" si="75"/>
        <v>GSE14095</v>
      </c>
      <c r="D975" s="1" t="s">
        <v>45</v>
      </c>
      <c r="E975" t="s">
        <v>68</v>
      </c>
      <c r="F975" s="1">
        <v>1</v>
      </c>
      <c r="G975" s="1" t="s">
        <v>31</v>
      </c>
      <c r="H975" s="4" t="str">
        <f>HYPERLINK("https://www.ncbi.nlm.nih.gov/geo/query/acc.cgi?acc=GSM353727","GSM353727")</f>
        <v>GSM353727</v>
      </c>
      <c r="I975" t="s">
        <v>69</v>
      </c>
      <c r="J975" t="s">
        <v>18</v>
      </c>
      <c r="K975" t="s">
        <v>19</v>
      </c>
      <c r="L975" t="s">
        <v>70</v>
      </c>
      <c r="M975" t="s">
        <v>44</v>
      </c>
      <c r="N975" t="s">
        <v>29</v>
      </c>
    </row>
    <row r="976" spans="1:14">
      <c r="A976" s="4" t="str">
        <f t="shared" si="73"/>
        <v>EXP00021</v>
      </c>
      <c r="B976" s="4" t="str">
        <f t="shared" si="74"/>
        <v>21680303</v>
      </c>
      <c r="C976" s="4" t="str">
        <f t="shared" si="75"/>
        <v>GSE14095</v>
      </c>
      <c r="D976" s="1" t="s">
        <v>45</v>
      </c>
      <c r="E976" t="s">
        <v>68</v>
      </c>
      <c r="F976" s="1">
        <v>1</v>
      </c>
      <c r="G976" s="1" t="s">
        <v>31</v>
      </c>
      <c r="H976" s="4" t="str">
        <f>HYPERLINK("https://www.ncbi.nlm.nih.gov/geo/query/acc.cgi?acc=GSM353728","GSM353728")</f>
        <v>GSM353728</v>
      </c>
      <c r="I976" t="s">
        <v>69</v>
      </c>
      <c r="J976" t="s">
        <v>18</v>
      </c>
      <c r="K976" t="s">
        <v>19</v>
      </c>
      <c r="L976" t="s">
        <v>70</v>
      </c>
      <c r="M976" t="s">
        <v>44</v>
      </c>
      <c r="N976" t="s">
        <v>29</v>
      </c>
    </row>
    <row r="977" spans="1:14">
      <c r="A977" s="4" t="str">
        <f t="shared" si="73"/>
        <v>EXP00021</v>
      </c>
      <c r="B977" s="4" t="str">
        <f t="shared" si="74"/>
        <v>21680303</v>
      </c>
      <c r="C977" s="4" t="str">
        <f t="shared" si="75"/>
        <v>GSE14095</v>
      </c>
      <c r="D977" s="1" t="s">
        <v>45</v>
      </c>
      <c r="E977" t="s">
        <v>68</v>
      </c>
      <c r="F977" s="1">
        <v>1</v>
      </c>
      <c r="G977" s="1" t="s">
        <v>31</v>
      </c>
      <c r="H977" s="4" t="str">
        <f>HYPERLINK("https://www.ncbi.nlm.nih.gov/geo/query/acc.cgi?acc=GSM353729","GSM353729")</f>
        <v>GSM353729</v>
      </c>
      <c r="I977" t="s">
        <v>69</v>
      </c>
      <c r="J977" t="s">
        <v>18</v>
      </c>
      <c r="K977" t="s">
        <v>19</v>
      </c>
      <c r="L977" t="s">
        <v>70</v>
      </c>
      <c r="M977" t="s">
        <v>44</v>
      </c>
      <c r="N977" t="s">
        <v>29</v>
      </c>
    </row>
    <row r="978" spans="1:14">
      <c r="A978" s="4" t="str">
        <f t="shared" si="73"/>
        <v>EXP00021</v>
      </c>
      <c r="B978" s="4" t="str">
        <f t="shared" si="74"/>
        <v>21680303</v>
      </c>
      <c r="C978" s="4" t="str">
        <f t="shared" si="75"/>
        <v>GSE14095</v>
      </c>
      <c r="D978" s="1" t="s">
        <v>45</v>
      </c>
      <c r="E978" t="s">
        <v>68</v>
      </c>
      <c r="F978" s="1">
        <v>1</v>
      </c>
      <c r="G978" s="1" t="s">
        <v>31</v>
      </c>
      <c r="H978" s="4" t="str">
        <f>HYPERLINK("https://www.ncbi.nlm.nih.gov/geo/query/acc.cgi?acc=GSM353730","GSM353730")</f>
        <v>GSM353730</v>
      </c>
      <c r="I978" t="s">
        <v>69</v>
      </c>
      <c r="J978" t="s">
        <v>18</v>
      </c>
      <c r="K978" t="s">
        <v>19</v>
      </c>
      <c r="L978" t="s">
        <v>70</v>
      </c>
      <c r="M978" t="s">
        <v>44</v>
      </c>
      <c r="N978" t="s">
        <v>29</v>
      </c>
    </row>
    <row r="979" spans="1:14">
      <c r="A979" s="4" t="str">
        <f t="shared" si="73"/>
        <v>EXP00021</v>
      </c>
      <c r="B979" s="4" t="str">
        <f t="shared" si="74"/>
        <v>21680303</v>
      </c>
      <c r="C979" s="4" t="str">
        <f t="shared" si="75"/>
        <v>GSE14095</v>
      </c>
      <c r="D979" s="1" t="s">
        <v>45</v>
      </c>
      <c r="E979" t="s">
        <v>68</v>
      </c>
      <c r="F979" s="1">
        <v>1</v>
      </c>
      <c r="G979" s="1" t="s">
        <v>31</v>
      </c>
      <c r="H979" s="4" t="str">
        <f>HYPERLINK("https://www.ncbi.nlm.nih.gov/geo/query/acc.cgi?acc=GSM353731","GSM353731")</f>
        <v>GSM353731</v>
      </c>
      <c r="I979" t="s">
        <v>69</v>
      </c>
      <c r="J979" t="s">
        <v>18</v>
      </c>
      <c r="K979" t="s">
        <v>19</v>
      </c>
      <c r="L979" t="s">
        <v>70</v>
      </c>
      <c r="M979" t="s">
        <v>44</v>
      </c>
      <c r="N979" t="s">
        <v>29</v>
      </c>
    </row>
    <row r="980" spans="1:14">
      <c r="A980" s="4" t="str">
        <f t="shared" si="73"/>
        <v>EXP00021</v>
      </c>
      <c r="B980" s="4" t="str">
        <f t="shared" si="74"/>
        <v>21680303</v>
      </c>
      <c r="C980" s="4" t="str">
        <f t="shared" si="75"/>
        <v>GSE14095</v>
      </c>
      <c r="D980" s="1" t="s">
        <v>45</v>
      </c>
      <c r="E980" t="s">
        <v>68</v>
      </c>
      <c r="F980" s="1">
        <v>1</v>
      </c>
      <c r="G980" s="1" t="s">
        <v>31</v>
      </c>
      <c r="H980" s="4" t="str">
        <f>HYPERLINK("https://www.ncbi.nlm.nih.gov/geo/query/acc.cgi?acc=GSM353732","GSM353732")</f>
        <v>GSM353732</v>
      </c>
      <c r="I980" t="s">
        <v>69</v>
      </c>
      <c r="J980" t="s">
        <v>18</v>
      </c>
      <c r="K980" t="s">
        <v>19</v>
      </c>
      <c r="L980" t="s">
        <v>70</v>
      </c>
      <c r="M980" t="s">
        <v>44</v>
      </c>
      <c r="N980" t="s">
        <v>29</v>
      </c>
    </row>
    <row r="981" spans="1:14">
      <c r="A981" s="4" t="str">
        <f t="shared" si="73"/>
        <v>EXP00021</v>
      </c>
      <c r="B981" s="4" t="str">
        <f t="shared" si="74"/>
        <v>21680303</v>
      </c>
      <c r="C981" s="4" t="str">
        <f t="shared" si="75"/>
        <v>GSE14095</v>
      </c>
      <c r="D981" s="1" t="s">
        <v>45</v>
      </c>
      <c r="E981" t="s">
        <v>68</v>
      </c>
      <c r="F981" s="1">
        <v>1</v>
      </c>
      <c r="G981" s="1" t="s">
        <v>31</v>
      </c>
      <c r="H981" s="4" t="str">
        <f>HYPERLINK("https://www.ncbi.nlm.nih.gov/geo/query/acc.cgi?acc=GSM353733","GSM353733")</f>
        <v>GSM353733</v>
      </c>
      <c r="I981" t="s">
        <v>69</v>
      </c>
      <c r="J981" t="s">
        <v>18</v>
      </c>
      <c r="K981" t="s">
        <v>19</v>
      </c>
      <c r="L981" t="s">
        <v>70</v>
      </c>
      <c r="M981" t="s">
        <v>44</v>
      </c>
      <c r="N981" t="s">
        <v>29</v>
      </c>
    </row>
    <row r="982" spans="1:14">
      <c r="A982" s="4" t="str">
        <f t="shared" si="73"/>
        <v>EXP00021</v>
      </c>
      <c r="B982" s="4" t="str">
        <f t="shared" si="74"/>
        <v>21680303</v>
      </c>
      <c r="C982" s="4" t="str">
        <f t="shared" si="75"/>
        <v>GSE14095</v>
      </c>
      <c r="D982" s="1" t="s">
        <v>45</v>
      </c>
      <c r="E982" t="s">
        <v>68</v>
      </c>
      <c r="F982" s="1">
        <v>1</v>
      </c>
      <c r="G982" s="1" t="s">
        <v>31</v>
      </c>
      <c r="H982" s="4" t="str">
        <f>HYPERLINK("https://www.ncbi.nlm.nih.gov/geo/query/acc.cgi?acc=GSM353734","GSM353734")</f>
        <v>GSM353734</v>
      </c>
      <c r="I982" t="s">
        <v>69</v>
      </c>
      <c r="J982" t="s">
        <v>18</v>
      </c>
      <c r="K982" t="s">
        <v>19</v>
      </c>
      <c r="L982" t="s">
        <v>70</v>
      </c>
      <c r="M982" t="s">
        <v>44</v>
      </c>
      <c r="N982" t="s">
        <v>29</v>
      </c>
    </row>
    <row r="983" spans="1:14">
      <c r="A983" s="4" t="str">
        <f t="shared" ref="A983:A1014" si="76">HYPERLINK("http://hcmdb.i-sanger.com/experiment/details/experiment_id/EXP00021","EXP00021")</f>
        <v>EXP00021</v>
      </c>
      <c r="B983" s="4" t="str">
        <f t="shared" ref="B983:B1014" si="77">HYPERLINK("https://www.ncbi.nlm.nih.gov/pubmed/21680303","21680303")</f>
        <v>21680303</v>
      </c>
      <c r="C983" s="4" t="str">
        <f t="shared" ref="C983:C1014" si="78">HYPERLINK("https://www.ncbi.nlm.nih.gov/geo/query/acc.cgi?acc=GSE14095","GSE14095")</f>
        <v>GSE14095</v>
      </c>
      <c r="D983" s="1" t="s">
        <v>45</v>
      </c>
      <c r="E983" t="s">
        <v>68</v>
      </c>
      <c r="F983" s="1">
        <v>1</v>
      </c>
      <c r="G983" s="1" t="s">
        <v>31</v>
      </c>
      <c r="H983" s="4" t="str">
        <f>HYPERLINK("https://www.ncbi.nlm.nih.gov/geo/query/acc.cgi?acc=GSM353735","GSM353735")</f>
        <v>GSM353735</v>
      </c>
      <c r="I983" t="s">
        <v>69</v>
      </c>
      <c r="J983" t="s">
        <v>18</v>
      </c>
      <c r="K983" t="s">
        <v>19</v>
      </c>
      <c r="L983" t="s">
        <v>70</v>
      </c>
      <c r="M983" t="s">
        <v>44</v>
      </c>
      <c r="N983" t="s">
        <v>29</v>
      </c>
    </row>
    <row r="984" spans="1:14">
      <c r="A984" s="4" t="str">
        <f t="shared" si="76"/>
        <v>EXP00021</v>
      </c>
      <c r="B984" s="4" t="str">
        <f t="shared" si="77"/>
        <v>21680303</v>
      </c>
      <c r="C984" s="4" t="str">
        <f t="shared" si="78"/>
        <v>GSE14095</v>
      </c>
      <c r="D984" s="1" t="s">
        <v>45</v>
      </c>
      <c r="E984" t="s">
        <v>68</v>
      </c>
      <c r="F984" s="1">
        <v>1</v>
      </c>
      <c r="G984" s="1" t="s">
        <v>31</v>
      </c>
      <c r="H984" s="4" t="str">
        <f>HYPERLINK("https://www.ncbi.nlm.nih.gov/geo/query/acc.cgi?acc=GSM353737","GSM353737")</f>
        <v>GSM353737</v>
      </c>
      <c r="I984" t="s">
        <v>69</v>
      </c>
      <c r="J984" t="s">
        <v>18</v>
      </c>
      <c r="K984" t="s">
        <v>19</v>
      </c>
      <c r="L984" t="s">
        <v>70</v>
      </c>
      <c r="M984" t="s">
        <v>44</v>
      </c>
      <c r="N984" t="s">
        <v>29</v>
      </c>
    </row>
    <row r="985" spans="1:14">
      <c r="A985" s="4" t="str">
        <f t="shared" si="76"/>
        <v>EXP00021</v>
      </c>
      <c r="B985" s="4" t="str">
        <f t="shared" si="77"/>
        <v>21680303</v>
      </c>
      <c r="C985" s="4" t="str">
        <f t="shared" si="78"/>
        <v>GSE14095</v>
      </c>
      <c r="D985" s="1" t="s">
        <v>45</v>
      </c>
      <c r="E985" t="s">
        <v>68</v>
      </c>
      <c r="F985" s="1">
        <v>1</v>
      </c>
      <c r="G985" s="1" t="s">
        <v>31</v>
      </c>
      <c r="H985" s="4" t="str">
        <f>HYPERLINK("https://www.ncbi.nlm.nih.gov/geo/query/acc.cgi?acc=GSM353738","GSM353738")</f>
        <v>GSM353738</v>
      </c>
      <c r="I985" t="s">
        <v>69</v>
      </c>
      <c r="J985" t="s">
        <v>18</v>
      </c>
      <c r="K985" t="s">
        <v>19</v>
      </c>
      <c r="L985" t="s">
        <v>70</v>
      </c>
      <c r="M985" t="s">
        <v>44</v>
      </c>
      <c r="N985" t="s">
        <v>29</v>
      </c>
    </row>
    <row r="986" spans="1:14">
      <c r="A986" s="4" t="str">
        <f t="shared" si="76"/>
        <v>EXP00021</v>
      </c>
      <c r="B986" s="4" t="str">
        <f t="shared" si="77"/>
        <v>21680303</v>
      </c>
      <c r="C986" s="4" t="str">
        <f t="shared" si="78"/>
        <v>GSE14095</v>
      </c>
      <c r="D986" s="1" t="s">
        <v>45</v>
      </c>
      <c r="E986" t="s">
        <v>68</v>
      </c>
      <c r="F986" s="1">
        <v>1</v>
      </c>
      <c r="G986" s="1" t="s">
        <v>31</v>
      </c>
      <c r="H986" s="4" t="str">
        <f>HYPERLINK("https://www.ncbi.nlm.nih.gov/geo/query/acc.cgi?acc=GSM353739","GSM353739")</f>
        <v>GSM353739</v>
      </c>
      <c r="I986" t="s">
        <v>69</v>
      </c>
      <c r="J986" t="s">
        <v>18</v>
      </c>
      <c r="K986" t="s">
        <v>19</v>
      </c>
      <c r="L986" t="s">
        <v>70</v>
      </c>
      <c r="M986" t="s">
        <v>44</v>
      </c>
      <c r="N986" t="s">
        <v>29</v>
      </c>
    </row>
    <row r="987" spans="1:14">
      <c r="A987" s="4" t="str">
        <f t="shared" si="76"/>
        <v>EXP00021</v>
      </c>
      <c r="B987" s="4" t="str">
        <f t="shared" si="77"/>
        <v>21680303</v>
      </c>
      <c r="C987" s="4" t="str">
        <f t="shared" si="78"/>
        <v>GSE14095</v>
      </c>
      <c r="D987" s="1" t="s">
        <v>45</v>
      </c>
      <c r="E987" t="s">
        <v>68</v>
      </c>
      <c r="F987" s="1">
        <v>1</v>
      </c>
      <c r="G987" s="1" t="s">
        <v>31</v>
      </c>
      <c r="H987" s="4" t="str">
        <f>HYPERLINK("https://www.ncbi.nlm.nih.gov/geo/query/acc.cgi?acc=GSM353740","GSM353740")</f>
        <v>GSM353740</v>
      </c>
      <c r="I987" t="s">
        <v>69</v>
      </c>
      <c r="J987" t="s">
        <v>18</v>
      </c>
      <c r="K987" t="s">
        <v>19</v>
      </c>
      <c r="L987" t="s">
        <v>70</v>
      </c>
      <c r="M987" t="s">
        <v>44</v>
      </c>
      <c r="N987" t="s">
        <v>29</v>
      </c>
    </row>
    <row r="988" spans="1:14">
      <c r="A988" s="4" t="str">
        <f t="shared" si="76"/>
        <v>EXP00021</v>
      </c>
      <c r="B988" s="4" t="str">
        <f t="shared" si="77"/>
        <v>21680303</v>
      </c>
      <c r="C988" s="4" t="str">
        <f t="shared" si="78"/>
        <v>GSE14095</v>
      </c>
      <c r="D988" s="1" t="s">
        <v>45</v>
      </c>
      <c r="E988" t="s">
        <v>68</v>
      </c>
      <c r="F988" s="1">
        <v>1</v>
      </c>
      <c r="G988" s="1" t="s">
        <v>31</v>
      </c>
      <c r="H988" s="4" t="str">
        <f>HYPERLINK("https://www.ncbi.nlm.nih.gov/geo/query/acc.cgi?acc=GSM353741","GSM353741")</f>
        <v>GSM353741</v>
      </c>
      <c r="I988" t="s">
        <v>69</v>
      </c>
      <c r="J988" t="s">
        <v>18</v>
      </c>
      <c r="K988" t="s">
        <v>19</v>
      </c>
      <c r="L988" t="s">
        <v>70</v>
      </c>
      <c r="M988" t="s">
        <v>44</v>
      </c>
      <c r="N988" t="s">
        <v>29</v>
      </c>
    </row>
    <row r="989" spans="1:14">
      <c r="A989" s="4" t="str">
        <f t="shared" si="76"/>
        <v>EXP00021</v>
      </c>
      <c r="B989" s="4" t="str">
        <f t="shared" si="77"/>
        <v>21680303</v>
      </c>
      <c r="C989" s="4" t="str">
        <f t="shared" si="78"/>
        <v>GSE14095</v>
      </c>
      <c r="D989" s="1" t="s">
        <v>45</v>
      </c>
      <c r="E989" t="s">
        <v>68</v>
      </c>
      <c r="F989" s="1">
        <v>1</v>
      </c>
      <c r="G989" s="1" t="s">
        <v>31</v>
      </c>
      <c r="H989" s="4" t="str">
        <f>HYPERLINK("https://www.ncbi.nlm.nih.gov/geo/query/acc.cgi?acc=GSM353742","GSM353742")</f>
        <v>GSM353742</v>
      </c>
      <c r="I989" t="s">
        <v>69</v>
      </c>
      <c r="J989" t="s">
        <v>18</v>
      </c>
      <c r="K989" t="s">
        <v>19</v>
      </c>
      <c r="L989" t="s">
        <v>70</v>
      </c>
      <c r="M989" t="s">
        <v>44</v>
      </c>
      <c r="N989" t="s">
        <v>29</v>
      </c>
    </row>
    <row r="990" spans="1:14">
      <c r="A990" s="4" t="str">
        <f t="shared" si="76"/>
        <v>EXP00021</v>
      </c>
      <c r="B990" s="4" t="str">
        <f t="shared" si="77"/>
        <v>21680303</v>
      </c>
      <c r="C990" s="4" t="str">
        <f t="shared" si="78"/>
        <v>GSE14095</v>
      </c>
      <c r="D990" s="1" t="s">
        <v>45</v>
      </c>
      <c r="E990" t="s">
        <v>68</v>
      </c>
      <c r="F990" s="1">
        <v>1</v>
      </c>
      <c r="G990" s="1" t="s">
        <v>31</v>
      </c>
      <c r="H990" s="4" t="str">
        <f>HYPERLINK("https://www.ncbi.nlm.nih.gov/geo/query/acc.cgi?acc=GSM353743","GSM353743")</f>
        <v>GSM353743</v>
      </c>
      <c r="I990" t="s">
        <v>69</v>
      </c>
      <c r="J990" t="s">
        <v>18</v>
      </c>
      <c r="K990" t="s">
        <v>19</v>
      </c>
      <c r="L990" t="s">
        <v>70</v>
      </c>
      <c r="M990" t="s">
        <v>44</v>
      </c>
      <c r="N990" t="s">
        <v>29</v>
      </c>
    </row>
    <row r="991" spans="1:14">
      <c r="A991" s="4" t="str">
        <f t="shared" si="76"/>
        <v>EXP00021</v>
      </c>
      <c r="B991" s="4" t="str">
        <f t="shared" si="77"/>
        <v>21680303</v>
      </c>
      <c r="C991" s="4" t="str">
        <f t="shared" si="78"/>
        <v>GSE14095</v>
      </c>
      <c r="D991" s="1" t="s">
        <v>45</v>
      </c>
      <c r="E991" t="s">
        <v>68</v>
      </c>
      <c r="F991" s="1">
        <v>1</v>
      </c>
      <c r="G991" s="1" t="s">
        <v>31</v>
      </c>
      <c r="H991" s="4" t="str">
        <f>HYPERLINK("https://www.ncbi.nlm.nih.gov/geo/query/acc.cgi?acc=GSM353744","GSM353744")</f>
        <v>GSM353744</v>
      </c>
      <c r="I991" t="s">
        <v>69</v>
      </c>
      <c r="J991" t="s">
        <v>18</v>
      </c>
      <c r="K991" t="s">
        <v>19</v>
      </c>
      <c r="L991" t="s">
        <v>70</v>
      </c>
      <c r="M991" t="s">
        <v>44</v>
      </c>
      <c r="N991" t="s">
        <v>29</v>
      </c>
    </row>
    <row r="992" spans="1:14">
      <c r="A992" s="4" t="str">
        <f t="shared" si="76"/>
        <v>EXP00021</v>
      </c>
      <c r="B992" s="4" t="str">
        <f t="shared" si="77"/>
        <v>21680303</v>
      </c>
      <c r="C992" s="4" t="str">
        <f t="shared" si="78"/>
        <v>GSE14095</v>
      </c>
      <c r="D992" s="1" t="s">
        <v>45</v>
      </c>
      <c r="E992" t="s">
        <v>68</v>
      </c>
      <c r="F992" s="1">
        <v>1</v>
      </c>
      <c r="G992" s="1" t="s">
        <v>31</v>
      </c>
      <c r="H992" s="4" t="str">
        <f>HYPERLINK("https://www.ncbi.nlm.nih.gov/geo/query/acc.cgi?acc=GSM353745","GSM353745")</f>
        <v>GSM353745</v>
      </c>
      <c r="I992" t="s">
        <v>69</v>
      </c>
      <c r="J992" t="s">
        <v>18</v>
      </c>
      <c r="K992" t="s">
        <v>19</v>
      </c>
      <c r="L992" t="s">
        <v>70</v>
      </c>
      <c r="M992" t="s">
        <v>44</v>
      </c>
      <c r="N992" t="s">
        <v>29</v>
      </c>
    </row>
    <row r="993" spans="1:14">
      <c r="A993" s="4" t="str">
        <f t="shared" si="76"/>
        <v>EXP00021</v>
      </c>
      <c r="B993" s="4" t="str">
        <f t="shared" si="77"/>
        <v>21680303</v>
      </c>
      <c r="C993" s="4" t="str">
        <f t="shared" si="78"/>
        <v>GSE14095</v>
      </c>
      <c r="D993" s="1" t="s">
        <v>45</v>
      </c>
      <c r="E993" t="s">
        <v>68</v>
      </c>
      <c r="F993" s="1">
        <v>1</v>
      </c>
      <c r="G993" s="1" t="s">
        <v>31</v>
      </c>
      <c r="H993" s="4" t="str">
        <f>HYPERLINK("https://www.ncbi.nlm.nih.gov/geo/query/acc.cgi?acc=GSM353748","GSM353748")</f>
        <v>GSM353748</v>
      </c>
      <c r="I993" t="s">
        <v>69</v>
      </c>
      <c r="J993" t="s">
        <v>18</v>
      </c>
      <c r="K993" t="s">
        <v>19</v>
      </c>
      <c r="L993" t="s">
        <v>70</v>
      </c>
      <c r="M993" t="s">
        <v>44</v>
      </c>
      <c r="N993" t="s">
        <v>29</v>
      </c>
    </row>
    <row r="994" spans="1:14">
      <c r="A994" s="4" t="str">
        <f t="shared" si="76"/>
        <v>EXP00021</v>
      </c>
      <c r="B994" s="4" t="str">
        <f t="shared" si="77"/>
        <v>21680303</v>
      </c>
      <c r="C994" s="4" t="str">
        <f t="shared" si="78"/>
        <v>GSE14095</v>
      </c>
      <c r="D994" s="1" t="s">
        <v>45</v>
      </c>
      <c r="E994" t="s">
        <v>68</v>
      </c>
      <c r="F994" s="1">
        <v>1</v>
      </c>
      <c r="G994" s="1" t="s">
        <v>31</v>
      </c>
      <c r="H994" s="4" t="str">
        <f>HYPERLINK("https://www.ncbi.nlm.nih.gov/geo/query/acc.cgi?acc=GSM353797","GSM353797")</f>
        <v>GSM353797</v>
      </c>
      <c r="I994" t="s">
        <v>69</v>
      </c>
      <c r="J994" t="s">
        <v>18</v>
      </c>
      <c r="K994" t="s">
        <v>19</v>
      </c>
      <c r="L994" t="s">
        <v>70</v>
      </c>
      <c r="M994" t="s">
        <v>44</v>
      </c>
      <c r="N994" t="s">
        <v>29</v>
      </c>
    </row>
    <row r="995" spans="1:14">
      <c r="A995" s="4" t="str">
        <f t="shared" si="76"/>
        <v>EXP00021</v>
      </c>
      <c r="B995" s="4" t="str">
        <f t="shared" si="77"/>
        <v>21680303</v>
      </c>
      <c r="C995" s="4" t="str">
        <f t="shared" si="78"/>
        <v>GSE14095</v>
      </c>
      <c r="D995" s="1" t="s">
        <v>45</v>
      </c>
      <c r="E995" t="s">
        <v>68</v>
      </c>
      <c r="F995" s="1">
        <v>1</v>
      </c>
      <c r="G995" s="1" t="s">
        <v>31</v>
      </c>
      <c r="H995" s="4" t="str">
        <f>HYPERLINK("https://www.ncbi.nlm.nih.gov/geo/query/acc.cgi?acc=GSM353799","GSM353799")</f>
        <v>GSM353799</v>
      </c>
      <c r="I995" t="s">
        <v>69</v>
      </c>
      <c r="J995" t="s">
        <v>18</v>
      </c>
      <c r="K995" t="s">
        <v>19</v>
      </c>
      <c r="L995" t="s">
        <v>70</v>
      </c>
      <c r="M995" t="s">
        <v>44</v>
      </c>
      <c r="N995" t="s">
        <v>29</v>
      </c>
    </row>
    <row r="996" spans="1:14">
      <c r="A996" s="4" t="str">
        <f t="shared" si="76"/>
        <v>EXP00021</v>
      </c>
      <c r="B996" s="4" t="str">
        <f t="shared" si="77"/>
        <v>21680303</v>
      </c>
      <c r="C996" s="4" t="str">
        <f t="shared" si="78"/>
        <v>GSE14095</v>
      </c>
      <c r="D996" s="1" t="s">
        <v>45</v>
      </c>
      <c r="E996" t="s">
        <v>68</v>
      </c>
      <c r="F996" s="1">
        <v>1</v>
      </c>
      <c r="G996" s="1" t="s">
        <v>31</v>
      </c>
      <c r="H996" s="4" t="str">
        <f>HYPERLINK("https://www.ncbi.nlm.nih.gov/geo/query/acc.cgi?acc=GSM353800","GSM353800")</f>
        <v>GSM353800</v>
      </c>
      <c r="I996" t="s">
        <v>69</v>
      </c>
      <c r="J996" t="s">
        <v>18</v>
      </c>
      <c r="K996" t="s">
        <v>19</v>
      </c>
      <c r="L996" t="s">
        <v>70</v>
      </c>
      <c r="M996" t="s">
        <v>44</v>
      </c>
      <c r="N996" t="s">
        <v>29</v>
      </c>
    </row>
    <row r="997" spans="1:14">
      <c r="A997" s="4" t="str">
        <f t="shared" si="76"/>
        <v>EXP00021</v>
      </c>
      <c r="B997" s="4" t="str">
        <f t="shared" si="77"/>
        <v>21680303</v>
      </c>
      <c r="C997" s="4" t="str">
        <f t="shared" si="78"/>
        <v>GSE14095</v>
      </c>
      <c r="D997" s="1" t="s">
        <v>45</v>
      </c>
      <c r="E997" t="s">
        <v>68</v>
      </c>
      <c r="F997" s="1">
        <v>1</v>
      </c>
      <c r="G997" s="1" t="s">
        <v>31</v>
      </c>
      <c r="H997" s="4" t="str">
        <f>HYPERLINK("https://www.ncbi.nlm.nih.gov/geo/query/acc.cgi?acc=GSM353802","GSM353802")</f>
        <v>GSM353802</v>
      </c>
      <c r="I997" t="s">
        <v>69</v>
      </c>
      <c r="J997" t="s">
        <v>18</v>
      </c>
      <c r="K997" t="s">
        <v>19</v>
      </c>
      <c r="L997" t="s">
        <v>70</v>
      </c>
      <c r="M997" t="s">
        <v>44</v>
      </c>
      <c r="N997" t="s">
        <v>29</v>
      </c>
    </row>
    <row r="998" spans="1:14">
      <c r="A998" s="4" t="str">
        <f t="shared" si="76"/>
        <v>EXP00021</v>
      </c>
      <c r="B998" s="4" t="str">
        <f t="shared" si="77"/>
        <v>21680303</v>
      </c>
      <c r="C998" s="4" t="str">
        <f t="shared" si="78"/>
        <v>GSE14095</v>
      </c>
      <c r="D998" s="1" t="s">
        <v>45</v>
      </c>
      <c r="E998" t="s">
        <v>68</v>
      </c>
      <c r="F998" s="1">
        <v>1</v>
      </c>
      <c r="G998" s="1" t="s">
        <v>31</v>
      </c>
      <c r="H998" s="4" t="str">
        <f>HYPERLINK("https://www.ncbi.nlm.nih.gov/geo/query/acc.cgi?acc=GSM353810","GSM353810")</f>
        <v>GSM353810</v>
      </c>
      <c r="I998" t="s">
        <v>69</v>
      </c>
      <c r="J998" t="s">
        <v>18</v>
      </c>
      <c r="K998" t="s">
        <v>19</v>
      </c>
      <c r="L998" t="s">
        <v>70</v>
      </c>
      <c r="M998" t="s">
        <v>44</v>
      </c>
      <c r="N998" t="s">
        <v>29</v>
      </c>
    </row>
    <row r="999" spans="1:14">
      <c r="A999" s="4" t="str">
        <f t="shared" si="76"/>
        <v>EXP00021</v>
      </c>
      <c r="B999" s="4" t="str">
        <f t="shared" si="77"/>
        <v>21680303</v>
      </c>
      <c r="C999" s="4" t="str">
        <f t="shared" si="78"/>
        <v>GSE14095</v>
      </c>
      <c r="D999" s="1" t="s">
        <v>45</v>
      </c>
      <c r="E999" t="s">
        <v>68</v>
      </c>
      <c r="F999" s="1">
        <v>1</v>
      </c>
      <c r="G999" s="1" t="s">
        <v>31</v>
      </c>
      <c r="H999" s="4" t="str">
        <f>HYPERLINK("https://www.ncbi.nlm.nih.gov/geo/query/acc.cgi?acc=GSM353813","GSM353813")</f>
        <v>GSM353813</v>
      </c>
      <c r="I999" t="s">
        <v>69</v>
      </c>
      <c r="J999" t="s">
        <v>18</v>
      </c>
      <c r="K999" t="s">
        <v>19</v>
      </c>
      <c r="L999" t="s">
        <v>70</v>
      </c>
      <c r="M999" t="s">
        <v>44</v>
      </c>
      <c r="N999" t="s">
        <v>29</v>
      </c>
    </row>
    <row r="1000" spans="1:14">
      <c r="A1000" s="4" t="str">
        <f t="shared" si="76"/>
        <v>EXP00021</v>
      </c>
      <c r="B1000" s="4" t="str">
        <f t="shared" si="77"/>
        <v>21680303</v>
      </c>
      <c r="C1000" s="4" t="str">
        <f t="shared" si="78"/>
        <v>GSE14095</v>
      </c>
      <c r="D1000" s="1" t="s">
        <v>45</v>
      </c>
      <c r="E1000" t="s">
        <v>68</v>
      </c>
      <c r="F1000" s="1">
        <v>1</v>
      </c>
      <c r="G1000" s="1" t="s">
        <v>31</v>
      </c>
      <c r="H1000" s="4" t="str">
        <f>HYPERLINK("https://www.ncbi.nlm.nih.gov/geo/query/acc.cgi?acc=GSM353824","GSM353824")</f>
        <v>GSM353824</v>
      </c>
      <c r="I1000" t="s">
        <v>69</v>
      </c>
      <c r="J1000" t="s">
        <v>18</v>
      </c>
      <c r="K1000" t="s">
        <v>19</v>
      </c>
      <c r="L1000" t="s">
        <v>70</v>
      </c>
      <c r="M1000" t="s">
        <v>44</v>
      </c>
      <c r="N1000" t="s">
        <v>29</v>
      </c>
    </row>
    <row r="1001" spans="1:14">
      <c r="A1001" s="4" t="str">
        <f t="shared" si="76"/>
        <v>EXP00021</v>
      </c>
      <c r="B1001" s="4" t="str">
        <f t="shared" si="77"/>
        <v>21680303</v>
      </c>
      <c r="C1001" s="4" t="str">
        <f t="shared" si="78"/>
        <v>GSE14095</v>
      </c>
      <c r="D1001" s="1" t="s">
        <v>45</v>
      </c>
      <c r="E1001" t="s">
        <v>68</v>
      </c>
      <c r="F1001" s="1">
        <v>1</v>
      </c>
      <c r="G1001" s="1" t="s">
        <v>31</v>
      </c>
      <c r="H1001" s="4" t="str">
        <f>HYPERLINK("https://www.ncbi.nlm.nih.gov/geo/query/acc.cgi?acc=GSM353826","GSM353826")</f>
        <v>GSM353826</v>
      </c>
      <c r="I1001" t="s">
        <v>69</v>
      </c>
      <c r="J1001" t="s">
        <v>18</v>
      </c>
      <c r="K1001" t="s">
        <v>19</v>
      </c>
      <c r="L1001" t="s">
        <v>70</v>
      </c>
      <c r="M1001" t="s">
        <v>44</v>
      </c>
      <c r="N1001" t="s">
        <v>29</v>
      </c>
    </row>
    <row r="1002" spans="1:14">
      <c r="A1002" s="4" t="str">
        <f t="shared" si="76"/>
        <v>EXP00021</v>
      </c>
      <c r="B1002" s="4" t="str">
        <f t="shared" si="77"/>
        <v>21680303</v>
      </c>
      <c r="C1002" s="4" t="str">
        <f t="shared" si="78"/>
        <v>GSE14095</v>
      </c>
      <c r="D1002" s="1" t="s">
        <v>45</v>
      </c>
      <c r="E1002" t="s">
        <v>68</v>
      </c>
      <c r="F1002" s="1">
        <v>1</v>
      </c>
      <c r="G1002" s="1" t="s">
        <v>31</v>
      </c>
      <c r="H1002" s="4" t="str">
        <f>HYPERLINK("https://www.ncbi.nlm.nih.gov/geo/query/acc.cgi?acc=GSM353860","GSM353860")</f>
        <v>GSM353860</v>
      </c>
      <c r="I1002" t="s">
        <v>69</v>
      </c>
      <c r="J1002" t="s">
        <v>18</v>
      </c>
      <c r="K1002" t="s">
        <v>19</v>
      </c>
      <c r="L1002" t="s">
        <v>70</v>
      </c>
      <c r="M1002" t="s">
        <v>44</v>
      </c>
      <c r="N1002" t="s">
        <v>29</v>
      </c>
    </row>
    <row r="1003" spans="1:14">
      <c r="A1003" s="4" t="str">
        <f t="shared" si="76"/>
        <v>EXP00021</v>
      </c>
      <c r="B1003" s="4" t="str">
        <f t="shared" si="77"/>
        <v>21680303</v>
      </c>
      <c r="C1003" s="4" t="str">
        <f t="shared" si="78"/>
        <v>GSE14095</v>
      </c>
      <c r="D1003" s="1" t="s">
        <v>45</v>
      </c>
      <c r="E1003" t="s">
        <v>68</v>
      </c>
      <c r="F1003" s="1">
        <v>1</v>
      </c>
      <c r="G1003" s="1" t="s">
        <v>31</v>
      </c>
      <c r="H1003" s="4" t="str">
        <f>HYPERLINK("https://www.ncbi.nlm.nih.gov/geo/query/acc.cgi?acc=GSM353861","GSM353861")</f>
        <v>GSM353861</v>
      </c>
      <c r="I1003" t="s">
        <v>69</v>
      </c>
      <c r="J1003" t="s">
        <v>18</v>
      </c>
      <c r="K1003" t="s">
        <v>19</v>
      </c>
      <c r="L1003" t="s">
        <v>70</v>
      </c>
      <c r="M1003" t="s">
        <v>44</v>
      </c>
      <c r="N1003" t="s">
        <v>29</v>
      </c>
    </row>
    <row r="1004" spans="1:14">
      <c r="A1004" s="4" t="str">
        <f t="shared" si="76"/>
        <v>EXP00021</v>
      </c>
      <c r="B1004" s="4" t="str">
        <f t="shared" si="77"/>
        <v>21680303</v>
      </c>
      <c r="C1004" s="4" t="str">
        <f t="shared" si="78"/>
        <v>GSE14095</v>
      </c>
      <c r="D1004" s="1" t="s">
        <v>45</v>
      </c>
      <c r="E1004" t="s">
        <v>68</v>
      </c>
      <c r="F1004" s="1">
        <v>2</v>
      </c>
      <c r="G1004" s="1" t="s">
        <v>32</v>
      </c>
      <c r="H1004" s="4" t="str">
        <f>HYPERLINK("https://www.ncbi.nlm.nih.gov/geo/query/acc.cgi?acc=GSM353666","GSM353666")</f>
        <v>GSM353666</v>
      </c>
      <c r="I1004" t="s">
        <v>69</v>
      </c>
      <c r="J1004" t="s">
        <v>18</v>
      </c>
      <c r="K1004" t="s">
        <v>33</v>
      </c>
      <c r="L1004" t="s">
        <v>70</v>
      </c>
      <c r="N1004" t="s">
        <v>29</v>
      </c>
    </row>
    <row r="1005" spans="1:14">
      <c r="A1005" s="4" t="str">
        <f t="shared" si="76"/>
        <v>EXP00021</v>
      </c>
      <c r="B1005" s="4" t="str">
        <f t="shared" si="77"/>
        <v>21680303</v>
      </c>
      <c r="C1005" s="4" t="str">
        <f t="shared" si="78"/>
        <v>GSE14095</v>
      </c>
      <c r="D1005" s="1" t="s">
        <v>45</v>
      </c>
      <c r="E1005" t="s">
        <v>68</v>
      </c>
      <c r="F1005" s="1">
        <v>2</v>
      </c>
      <c r="G1005" s="1" t="s">
        <v>32</v>
      </c>
      <c r="H1005" s="4" t="str">
        <f>HYPERLINK("https://www.ncbi.nlm.nih.gov/geo/query/acc.cgi?acc=GSM353667","GSM353667")</f>
        <v>GSM353667</v>
      </c>
      <c r="I1005" t="s">
        <v>69</v>
      </c>
      <c r="J1005" t="s">
        <v>18</v>
      </c>
      <c r="K1005" t="s">
        <v>33</v>
      </c>
      <c r="L1005" t="s">
        <v>70</v>
      </c>
      <c r="N1005" t="s">
        <v>29</v>
      </c>
    </row>
    <row r="1006" spans="1:14">
      <c r="A1006" s="4" t="str">
        <f t="shared" si="76"/>
        <v>EXP00021</v>
      </c>
      <c r="B1006" s="4" t="str">
        <f t="shared" si="77"/>
        <v>21680303</v>
      </c>
      <c r="C1006" s="4" t="str">
        <f t="shared" si="78"/>
        <v>GSE14095</v>
      </c>
      <c r="D1006" s="1" t="s">
        <v>45</v>
      </c>
      <c r="E1006" t="s">
        <v>68</v>
      </c>
      <c r="F1006" s="1">
        <v>2</v>
      </c>
      <c r="G1006" s="1" t="s">
        <v>32</v>
      </c>
      <c r="H1006" s="4" t="str">
        <f>HYPERLINK("https://www.ncbi.nlm.nih.gov/geo/query/acc.cgi?acc=GSM353668","GSM353668")</f>
        <v>GSM353668</v>
      </c>
      <c r="I1006" t="s">
        <v>69</v>
      </c>
      <c r="J1006" t="s">
        <v>18</v>
      </c>
      <c r="K1006" t="s">
        <v>33</v>
      </c>
      <c r="L1006" t="s">
        <v>70</v>
      </c>
      <c r="N1006" t="s">
        <v>29</v>
      </c>
    </row>
    <row r="1007" spans="1:14">
      <c r="A1007" s="4" t="str">
        <f t="shared" si="76"/>
        <v>EXP00021</v>
      </c>
      <c r="B1007" s="4" t="str">
        <f t="shared" si="77"/>
        <v>21680303</v>
      </c>
      <c r="C1007" s="4" t="str">
        <f t="shared" si="78"/>
        <v>GSE14095</v>
      </c>
      <c r="D1007" s="1" t="s">
        <v>45</v>
      </c>
      <c r="E1007" t="s">
        <v>68</v>
      </c>
      <c r="F1007" s="1">
        <v>2</v>
      </c>
      <c r="G1007" s="1" t="s">
        <v>32</v>
      </c>
      <c r="H1007" s="4" t="str">
        <f>HYPERLINK("https://www.ncbi.nlm.nih.gov/geo/query/acc.cgi?acc=GSM353669","GSM353669")</f>
        <v>GSM353669</v>
      </c>
      <c r="I1007" t="s">
        <v>69</v>
      </c>
      <c r="J1007" t="s">
        <v>18</v>
      </c>
      <c r="K1007" t="s">
        <v>33</v>
      </c>
      <c r="L1007" t="s">
        <v>70</v>
      </c>
      <c r="N1007" t="s">
        <v>29</v>
      </c>
    </row>
    <row r="1008" spans="1:14">
      <c r="A1008" s="4" t="str">
        <f t="shared" si="76"/>
        <v>EXP00021</v>
      </c>
      <c r="B1008" s="4" t="str">
        <f t="shared" si="77"/>
        <v>21680303</v>
      </c>
      <c r="C1008" s="4" t="str">
        <f t="shared" si="78"/>
        <v>GSE14095</v>
      </c>
      <c r="D1008" s="1" t="s">
        <v>45</v>
      </c>
      <c r="E1008" t="s">
        <v>68</v>
      </c>
      <c r="F1008" s="1">
        <v>2</v>
      </c>
      <c r="G1008" s="1" t="s">
        <v>32</v>
      </c>
      <c r="H1008" s="4" t="str">
        <f>HYPERLINK("https://www.ncbi.nlm.nih.gov/geo/query/acc.cgi?acc=GSM353670","GSM353670")</f>
        <v>GSM353670</v>
      </c>
      <c r="I1008" t="s">
        <v>69</v>
      </c>
      <c r="J1008" t="s">
        <v>18</v>
      </c>
      <c r="K1008" t="s">
        <v>33</v>
      </c>
      <c r="L1008" t="s">
        <v>70</v>
      </c>
      <c r="N1008" t="s">
        <v>29</v>
      </c>
    </row>
    <row r="1009" spans="1:14">
      <c r="A1009" s="4" t="str">
        <f t="shared" si="76"/>
        <v>EXP00021</v>
      </c>
      <c r="B1009" s="4" t="str">
        <f t="shared" si="77"/>
        <v>21680303</v>
      </c>
      <c r="C1009" s="4" t="str">
        <f t="shared" si="78"/>
        <v>GSE14095</v>
      </c>
      <c r="D1009" s="1" t="s">
        <v>45</v>
      </c>
      <c r="E1009" t="s">
        <v>68</v>
      </c>
      <c r="F1009" s="1">
        <v>2</v>
      </c>
      <c r="G1009" s="1" t="s">
        <v>32</v>
      </c>
      <c r="H1009" s="4" t="str">
        <f>HYPERLINK("https://www.ncbi.nlm.nih.gov/geo/query/acc.cgi?acc=GSM353671","GSM353671")</f>
        <v>GSM353671</v>
      </c>
      <c r="I1009" t="s">
        <v>69</v>
      </c>
      <c r="J1009" t="s">
        <v>18</v>
      </c>
      <c r="K1009" t="s">
        <v>33</v>
      </c>
      <c r="L1009" t="s">
        <v>70</v>
      </c>
      <c r="N1009" t="s">
        <v>29</v>
      </c>
    </row>
    <row r="1010" spans="1:14">
      <c r="A1010" s="4" t="str">
        <f t="shared" si="76"/>
        <v>EXP00021</v>
      </c>
      <c r="B1010" s="4" t="str">
        <f t="shared" si="77"/>
        <v>21680303</v>
      </c>
      <c r="C1010" s="4" t="str">
        <f t="shared" si="78"/>
        <v>GSE14095</v>
      </c>
      <c r="D1010" s="1" t="s">
        <v>45</v>
      </c>
      <c r="E1010" t="s">
        <v>68</v>
      </c>
      <c r="F1010" s="1">
        <v>2</v>
      </c>
      <c r="G1010" s="1" t="s">
        <v>32</v>
      </c>
      <c r="H1010" s="4" t="str">
        <f>HYPERLINK("https://www.ncbi.nlm.nih.gov/geo/query/acc.cgi?acc=GSM353672","GSM353672")</f>
        <v>GSM353672</v>
      </c>
      <c r="I1010" t="s">
        <v>69</v>
      </c>
      <c r="J1010" t="s">
        <v>18</v>
      </c>
      <c r="K1010" t="s">
        <v>33</v>
      </c>
      <c r="L1010" t="s">
        <v>70</v>
      </c>
      <c r="N1010" t="s">
        <v>29</v>
      </c>
    </row>
    <row r="1011" spans="1:14">
      <c r="A1011" s="4" t="str">
        <f t="shared" si="76"/>
        <v>EXP00021</v>
      </c>
      <c r="B1011" s="4" t="str">
        <f t="shared" si="77"/>
        <v>21680303</v>
      </c>
      <c r="C1011" s="4" t="str">
        <f t="shared" si="78"/>
        <v>GSE14095</v>
      </c>
      <c r="D1011" s="1" t="s">
        <v>45</v>
      </c>
      <c r="E1011" t="s">
        <v>68</v>
      </c>
      <c r="F1011" s="1">
        <v>2</v>
      </c>
      <c r="G1011" s="1" t="s">
        <v>32</v>
      </c>
      <c r="H1011" s="4" t="str">
        <f>HYPERLINK("https://www.ncbi.nlm.nih.gov/geo/query/acc.cgi?acc=GSM353673","GSM353673")</f>
        <v>GSM353673</v>
      </c>
      <c r="I1011" t="s">
        <v>69</v>
      </c>
      <c r="J1011" t="s">
        <v>18</v>
      </c>
      <c r="K1011" t="s">
        <v>33</v>
      </c>
      <c r="L1011" t="s">
        <v>70</v>
      </c>
      <c r="N1011" t="s">
        <v>29</v>
      </c>
    </row>
    <row r="1012" spans="1:14">
      <c r="A1012" s="4" t="str">
        <f t="shared" si="76"/>
        <v>EXP00021</v>
      </c>
      <c r="B1012" s="4" t="str">
        <f t="shared" si="77"/>
        <v>21680303</v>
      </c>
      <c r="C1012" s="4" t="str">
        <f t="shared" si="78"/>
        <v>GSE14095</v>
      </c>
      <c r="D1012" s="1" t="s">
        <v>45</v>
      </c>
      <c r="E1012" t="s">
        <v>68</v>
      </c>
      <c r="F1012" s="1">
        <v>2</v>
      </c>
      <c r="G1012" s="1" t="s">
        <v>32</v>
      </c>
      <c r="H1012" s="4" t="str">
        <f>HYPERLINK("https://www.ncbi.nlm.nih.gov/geo/query/acc.cgi?acc=GSM353674","GSM353674")</f>
        <v>GSM353674</v>
      </c>
      <c r="I1012" t="s">
        <v>69</v>
      </c>
      <c r="J1012" t="s">
        <v>18</v>
      </c>
      <c r="K1012" t="s">
        <v>33</v>
      </c>
      <c r="L1012" t="s">
        <v>70</v>
      </c>
      <c r="N1012" t="s">
        <v>29</v>
      </c>
    </row>
    <row r="1013" spans="1:14">
      <c r="A1013" s="4" t="str">
        <f t="shared" si="76"/>
        <v>EXP00021</v>
      </c>
      <c r="B1013" s="4" t="str">
        <f t="shared" si="77"/>
        <v>21680303</v>
      </c>
      <c r="C1013" s="4" t="str">
        <f t="shared" si="78"/>
        <v>GSE14095</v>
      </c>
      <c r="D1013" s="1" t="s">
        <v>45</v>
      </c>
      <c r="E1013" t="s">
        <v>68</v>
      </c>
      <c r="F1013" s="1">
        <v>2</v>
      </c>
      <c r="G1013" s="1" t="s">
        <v>32</v>
      </c>
      <c r="H1013" s="4" t="str">
        <f>HYPERLINK("https://www.ncbi.nlm.nih.gov/geo/query/acc.cgi?acc=GSM353678","GSM353678")</f>
        <v>GSM353678</v>
      </c>
      <c r="I1013" t="s">
        <v>69</v>
      </c>
      <c r="J1013" t="s">
        <v>18</v>
      </c>
      <c r="K1013" t="s">
        <v>33</v>
      </c>
      <c r="L1013" t="s">
        <v>70</v>
      </c>
      <c r="N1013" t="s">
        <v>29</v>
      </c>
    </row>
    <row r="1014" spans="1:14">
      <c r="A1014" s="4" t="str">
        <f t="shared" si="76"/>
        <v>EXP00021</v>
      </c>
      <c r="B1014" s="4" t="str">
        <f t="shared" si="77"/>
        <v>21680303</v>
      </c>
      <c r="C1014" s="4" t="str">
        <f t="shared" si="78"/>
        <v>GSE14095</v>
      </c>
      <c r="D1014" s="1" t="s">
        <v>45</v>
      </c>
      <c r="E1014" t="s">
        <v>68</v>
      </c>
      <c r="F1014" s="1">
        <v>2</v>
      </c>
      <c r="G1014" s="1" t="s">
        <v>32</v>
      </c>
      <c r="H1014" s="4" t="str">
        <f>HYPERLINK("https://www.ncbi.nlm.nih.gov/geo/query/acc.cgi?acc=GSM353679","GSM353679")</f>
        <v>GSM353679</v>
      </c>
      <c r="I1014" t="s">
        <v>69</v>
      </c>
      <c r="J1014" t="s">
        <v>18</v>
      </c>
      <c r="K1014" t="s">
        <v>33</v>
      </c>
      <c r="L1014" t="s">
        <v>70</v>
      </c>
      <c r="N1014" t="s">
        <v>29</v>
      </c>
    </row>
    <row r="1015" spans="1:14">
      <c r="A1015" s="4" t="str">
        <f t="shared" ref="A1015:A1046" si="79">HYPERLINK("http://hcmdb.i-sanger.com/experiment/details/experiment_id/EXP00021","EXP00021")</f>
        <v>EXP00021</v>
      </c>
      <c r="B1015" s="4" t="str">
        <f t="shared" ref="B1015:B1046" si="80">HYPERLINK("https://www.ncbi.nlm.nih.gov/pubmed/21680303","21680303")</f>
        <v>21680303</v>
      </c>
      <c r="C1015" s="4" t="str">
        <f t="shared" ref="C1015:C1046" si="81">HYPERLINK("https://www.ncbi.nlm.nih.gov/geo/query/acc.cgi?acc=GSE14095","GSE14095")</f>
        <v>GSE14095</v>
      </c>
      <c r="D1015" s="1" t="s">
        <v>45</v>
      </c>
      <c r="E1015" t="s">
        <v>68</v>
      </c>
      <c r="F1015" s="1">
        <v>2</v>
      </c>
      <c r="G1015" s="1" t="s">
        <v>32</v>
      </c>
      <c r="H1015" s="4" t="str">
        <f>HYPERLINK("https://www.ncbi.nlm.nih.gov/geo/query/acc.cgi?acc=GSM353680","GSM353680")</f>
        <v>GSM353680</v>
      </c>
      <c r="I1015" t="s">
        <v>69</v>
      </c>
      <c r="J1015" t="s">
        <v>18</v>
      </c>
      <c r="K1015" t="s">
        <v>33</v>
      </c>
      <c r="L1015" t="s">
        <v>70</v>
      </c>
      <c r="N1015" t="s">
        <v>29</v>
      </c>
    </row>
    <row r="1016" spans="1:14">
      <c r="A1016" s="4" t="str">
        <f t="shared" si="79"/>
        <v>EXP00021</v>
      </c>
      <c r="B1016" s="4" t="str">
        <f t="shared" si="80"/>
        <v>21680303</v>
      </c>
      <c r="C1016" s="4" t="str">
        <f t="shared" si="81"/>
        <v>GSE14095</v>
      </c>
      <c r="D1016" s="1" t="s">
        <v>45</v>
      </c>
      <c r="E1016" t="s">
        <v>68</v>
      </c>
      <c r="F1016" s="1">
        <v>2</v>
      </c>
      <c r="G1016" s="1" t="s">
        <v>32</v>
      </c>
      <c r="H1016" s="4" t="str">
        <f>HYPERLINK("https://www.ncbi.nlm.nih.gov/geo/query/acc.cgi?acc=GSM353683","GSM353683")</f>
        <v>GSM353683</v>
      </c>
      <c r="I1016" t="s">
        <v>69</v>
      </c>
      <c r="J1016" t="s">
        <v>18</v>
      </c>
      <c r="K1016" t="s">
        <v>33</v>
      </c>
      <c r="L1016" t="s">
        <v>70</v>
      </c>
      <c r="N1016" t="s">
        <v>29</v>
      </c>
    </row>
    <row r="1017" spans="1:14">
      <c r="A1017" s="4" t="str">
        <f t="shared" si="79"/>
        <v>EXP00021</v>
      </c>
      <c r="B1017" s="4" t="str">
        <f t="shared" si="80"/>
        <v>21680303</v>
      </c>
      <c r="C1017" s="4" t="str">
        <f t="shared" si="81"/>
        <v>GSE14095</v>
      </c>
      <c r="D1017" s="1" t="s">
        <v>45</v>
      </c>
      <c r="E1017" t="s">
        <v>68</v>
      </c>
      <c r="F1017" s="1">
        <v>2</v>
      </c>
      <c r="G1017" s="1" t="s">
        <v>32</v>
      </c>
      <c r="H1017" s="4" t="str">
        <f>HYPERLINK("https://www.ncbi.nlm.nih.gov/geo/query/acc.cgi?acc=GSM353684","GSM353684")</f>
        <v>GSM353684</v>
      </c>
      <c r="I1017" t="s">
        <v>69</v>
      </c>
      <c r="J1017" t="s">
        <v>18</v>
      </c>
      <c r="K1017" t="s">
        <v>33</v>
      </c>
      <c r="L1017" t="s">
        <v>70</v>
      </c>
      <c r="N1017" t="s">
        <v>29</v>
      </c>
    </row>
    <row r="1018" spans="1:14">
      <c r="A1018" s="4" t="str">
        <f t="shared" si="79"/>
        <v>EXP00021</v>
      </c>
      <c r="B1018" s="4" t="str">
        <f t="shared" si="80"/>
        <v>21680303</v>
      </c>
      <c r="C1018" s="4" t="str">
        <f t="shared" si="81"/>
        <v>GSE14095</v>
      </c>
      <c r="D1018" s="1" t="s">
        <v>45</v>
      </c>
      <c r="E1018" t="s">
        <v>68</v>
      </c>
      <c r="F1018" s="1">
        <v>2</v>
      </c>
      <c r="G1018" s="1" t="s">
        <v>32</v>
      </c>
      <c r="H1018" s="4" t="str">
        <f>HYPERLINK("https://www.ncbi.nlm.nih.gov/geo/query/acc.cgi?acc=GSM353686","GSM353686")</f>
        <v>GSM353686</v>
      </c>
      <c r="I1018" t="s">
        <v>69</v>
      </c>
      <c r="J1018" t="s">
        <v>18</v>
      </c>
      <c r="K1018" t="s">
        <v>33</v>
      </c>
      <c r="L1018" t="s">
        <v>70</v>
      </c>
      <c r="N1018" t="s">
        <v>29</v>
      </c>
    </row>
    <row r="1019" spans="1:14">
      <c r="A1019" s="4" t="str">
        <f t="shared" si="79"/>
        <v>EXP00021</v>
      </c>
      <c r="B1019" s="4" t="str">
        <f t="shared" si="80"/>
        <v>21680303</v>
      </c>
      <c r="C1019" s="4" t="str">
        <f t="shared" si="81"/>
        <v>GSE14095</v>
      </c>
      <c r="D1019" s="1" t="s">
        <v>45</v>
      </c>
      <c r="E1019" t="s">
        <v>68</v>
      </c>
      <c r="F1019" s="1">
        <v>2</v>
      </c>
      <c r="G1019" s="1" t="s">
        <v>32</v>
      </c>
      <c r="H1019" s="4" t="str">
        <f>HYPERLINK("https://www.ncbi.nlm.nih.gov/geo/query/acc.cgi?acc=GSM353687","GSM353687")</f>
        <v>GSM353687</v>
      </c>
      <c r="I1019" t="s">
        <v>69</v>
      </c>
      <c r="J1019" t="s">
        <v>18</v>
      </c>
      <c r="K1019" t="s">
        <v>33</v>
      </c>
      <c r="L1019" t="s">
        <v>70</v>
      </c>
      <c r="N1019" t="s">
        <v>29</v>
      </c>
    </row>
    <row r="1020" spans="1:14">
      <c r="A1020" s="4" t="str">
        <f t="shared" si="79"/>
        <v>EXP00021</v>
      </c>
      <c r="B1020" s="4" t="str">
        <f t="shared" si="80"/>
        <v>21680303</v>
      </c>
      <c r="C1020" s="4" t="str">
        <f t="shared" si="81"/>
        <v>GSE14095</v>
      </c>
      <c r="D1020" s="1" t="s">
        <v>45</v>
      </c>
      <c r="E1020" t="s">
        <v>68</v>
      </c>
      <c r="F1020" s="1">
        <v>2</v>
      </c>
      <c r="G1020" s="1" t="s">
        <v>32</v>
      </c>
      <c r="H1020" s="4" t="str">
        <f>HYPERLINK("https://www.ncbi.nlm.nih.gov/geo/query/acc.cgi?acc=GSM353691","GSM353691")</f>
        <v>GSM353691</v>
      </c>
      <c r="I1020" t="s">
        <v>69</v>
      </c>
      <c r="J1020" t="s">
        <v>18</v>
      </c>
      <c r="K1020" t="s">
        <v>33</v>
      </c>
      <c r="L1020" t="s">
        <v>70</v>
      </c>
      <c r="N1020" t="s">
        <v>29</v>
      </c>
    </row>
    <row r="1021" spans="1:14">
      <c r="A1021" s="4" t="str">
        <f t="shared" si="79"/>
        <v>EXP00021</v>
      </c>
      <c r="B1021" s="4" t="str">
        <f t="shared" si="80"/>
        <v>21680303</v>
      </c>
      <c r="C1021" s="4" t="str">
        <f t="shared" si="81"/>
        <v>GSE14095</v>
      </c>
      <c r="D1021" s="1" t="s">
        <v>45</v>
      </c>
      <c r="E1021" t="s">
        <v>68</v>
      </c>
      <c r="F1021" s="1">
        <v>2</v>
      </c>
      <c r="G1021" s="1" t="s">
        <v>32</v>
      </c>
      <c r="H1021" s="4" t="str">
        <f>HYPERLINK("https://www.ncbi.nlm.nih.gov/geo/query/acc.cgi?acc=GSM353692","GSM353692")</f>
        <v>GSM353692</v>
      </c>
      <c r="I1021" t="s">
        <v>69</v>
      </c>
      <c r="J1021" t="s">
        <v>18</v>
      </c>
      <c r="K1021" t="s">
        <v>33</v>
      </c>
      <c r="L1021" t="s">
        <v>70</v>
      </c>
      <c r="N1021" t="s">
        <v>29</v>
      </c>
    </row>
    <row r="1022" spans="1:14">
      <c r="A1022" s="4" t="str">
        <f t="shared" si="79"/>
        <v>EXP00021</v>
      </c>
      <c r="B1022" s="4" t="str">
        <f t="shared" si="80"/>
        <v>21680303</v>
      </c>
      <c r="C1022" s="4" t="str">
        <f t="shared" si="81"/>
        <v>GSE14095</v>
      </c>
      <c r="D1022" s="1" t="s">
        <v>45</v>
      </c>
      <c r="E1022" t="s">
        <v>68</v>
      </c>
      <c r="F1022" s="1">
        <v>2</v>
      </c>
      <c r="G1022" s="1" t="s">
        <v>32</v>
      </c>
      <c r="H1022" s="4" t="str">
        <f>HYPERLINK("https://www.ncbi.nlm.nih.gov/geo/query/acc.cgi?acc=GSM353693","GSM353693")</f>
        <v>GSM353693</v>
      </c>
      <c r="I1022" t="s">
        <v>69</v>
      </c>
      <c r="J1022" t="s">
        <v>18</v>
      </c>
      <c r="K1022" t="s">
        <v>33</v>
      </c>
      <c r="L1022" t="s">
        <v>70</v>
      </c>
      <c r="N1022" t="s">
        <v>29</v>
      </c>
    </row>
    <row r="1023" spans="1:14">
      <c r="A1023" s="4" t="str">
        <f t="shared" si="79"/>
        <v>EXP00021</v>
      </c>
      <c r="B1023" s="4" t="str">
        <f t="shared" si="80"/>
        <v>21680303</v>
      </c>
      <c r="C1023" s="4" t="str">
        <f t="shared" si="81"/>
        <v>GSE14095</v>
      </c>
      <c r="D1023" s="1" t="s">
        <v>45</v>
      </c>
      <c r="E1023" t="s">
        <v>68</v>
      </c>
      <c r="F1023" s="1">
        <v>2</v>
      </c>
      <c r="G1023" s="1" t="s">
        <v>32</v>
      </c>
      <c r="H1023" s="4" t="str">
        <f>HYPERLINK("https://www.ncbi.nlm.nih.gov/geo/query/acc.cgi?acc=GSM353694","GSM353694")</f>
        <v>GSM353694</v>
      </c>
      <c r="I1023" t="s">
        <v>69</v>
      </c>
      <c r="J1023" t="s">
        <v>18</v>
      </c>
      <c r="K1023" t="s">
        <v>33</v>
      </c>
      <c r="L1023" t="s">
        <v>70</v>
      </c>
      <c r="N1023" t="s">
        <v>29</v>
      </c>
    </row>
    <row r="1024" spans="1:14">
      <c r="A1024" s="4" t="str">
        <f t="shared" si="79"/>
        <v>EXP00021</v>
      </c>
      <c r="B1024" s="4" t="str">
        <f t="shared" si="80"/>
        <v>21680303</v>
      </c>
      <c r="C1024" s="4" t="str">
        <f t="shared" si="81"/>
        <v>GSE14095</v>
      </c>
      <c r="D1024" s="1" t="s">
        <v>45</v>
      </c>
      <c r="E1024" t="s">
        <v>68</v>
      </c>
      <c r="F1024" s="1">
        <v>2</v>
      </c>
      <c r="G1024" s="1" t="s">
        <v>32</v>
      </c>
      <c r="H1024" s="4" t="str">
        <f>HYPERLINK("https://www.ncbi.nlm.nih.gov/geo/query/acc.cgi?acc=GSM353695","GSM353695")</f>
        <v>GSM353695</v>
      </c>
      <c r="I1024" t="s">
        <v>69</v>
      </c>
      <c r="J1024" t="s">
        <v>18</v>
      </c>
      <c r="K1024" t="s">
        <v>33</v>
      </c>
      <c r="L1024" t="s">
        <v>70</v>
      </c>
      <c r="N1024" t="s">
        <v>29</v>
      </c>
    </row>
    <row r="1025" spans="1:14">
      <c r="A1025" s="4" t="str">
        <f t="shared" si="79"/>
        <v>EXP00021</v>
      </c>
      <c r="B1025" s="4" t="str">
        <f t="shared" si="80"/>
        <v>21680303</v>
      </c>
      <c r="C1025" s="4" t="str">
        <f t="shared" si="81"/>
        <v>GSE14095</v>
      </c>
      <c r="D1025" s="1" t="s">
        <v>45</v>
      </c>
      <c r="E1025" t="s">
        <v>68</v>
      </c>
      <c r="F1025" s="1">
        <v>2</v>
      </c>
      <c r="G1025" s="1" t="s">
        <v>32</v>
      </c>
      <c r="H1025" s="4" t="str">
        <f>HYPERLINK("https://www.ncbi.nlm.nih.gov/geo/query/acc.cgi?acc=GSM353696","GSM353696")</f>
        <v>GSM353696</v>
      </c>
      <c r="I1025" t="s">
        <v>69</v>
      </c>
      <c r="J1025" t="s">
        <v>18</v>
      </c>
      <c r="K1025" t="s">
        <v>33</v>
      </c>
      <c r="L1025" t="s">
        <v>70</v>
      </c>
      <c r="N1025" t="s">
        <v>29</v>
      </c>
    </row>
    <row r="1026" spans="1:14">
      <c r="A1026" s="4" t="str">
        <f t="shared" si="79"/>
        <v>EXP00021</v>
      </c>
      <c r="B1026" s="4" t="str">
        <f t="shared" si="80"/>
        <v>21680303</v>
      </c>
      <c r="C1026" s="4" t="str">
        <f t="shared" si="81"/>
        <v>GSE14095</v>
      </c>
      <c r="D1026" s="1" t="s">
        <v>45</v>
      </c>
      <c r="E1026" t="s">
        <v>68</v>
      </c>
      <c r="F1026" s="1">
        <v>2</v>
      </c>
      <c r="G1026" s="1" t="s">
        <v>32</v>
      </c>
      <c r="H1026" s="4" t="str">
        <f>HYPERLINK("https://www.ncbi.nlm.nih.gov/geo/query/acc.cgi?acc=GSM353697","GSM353697")</f>
        <v>GSM353697</v>
      </c>
      <c r="I1026" t="s">
        <v>69</v>
      </c>
      <c r="J1026" t="s">
        <v>18</v>
      </c>
      <c r="K1026" t="s">
        <v>33</v>
      </c>
      <c r="L1026" t="s">
        <v>70</v>
      </c>
      <c r="N1026" t="s">
        <v>29</v>
      </c>
    </row>
    <row r="1027" spans="1:14">
      <c r="A1027" s="4" t="str">
        <f t="shared" si="79"/>
        <v>EXP00021</v>
      </c>
      <c r="B1027" s="4" t="str">
        <f t="shared" si="80"/>
        <v>21680303</v>
      </c>
      <c r="C1027" s="4" t="str">
        <f t="shared" si="81"/>
        <v>GSE14095</v>
      </c>
      <c r="D1027" s="1" t="s">
        <v>45</v>
      </c>
      <c r="E1027" t="s">
        <v>68</v>
      </c>
      <c r="F1027" s="1">
        <v>2</v>
      </c>
      <c r="G1027" s="1" t="s">
        <v>32</v>
      </c>
      <c r="H1027" s="4" t="str">
        <f>HYPERLINK("https://www.ncbi.nlm.nih.gov/geo/query/acc.cgi?acc=GSM353698","GSM353698")</f>
        <v>GSM353698</v>
      </c>
      <c r="I1027" t="s">
        <v>69</v>
      </c>
      <c r="J1027" t="s">
        <v>18</v>
      </c>
      <c r="K1027" t="s">
        <v>33</v>
      </c>
      <c r="L1027" t="s">
        <v>70</v>
      </c>
      <c r="N1027" t="s">
        <v>29</v>
      </c>
    </row>
    <row r="1028" spans="1:14">
      <c r="A1028" s="4" t="str">
        <f t="shared" si="79"/>
        <v>EXP00021</v>
      </c>
      <c r="B1028" s="4" t="str">
        <f t="shared" si="80"/>
        <v>21680303</v>
      </c>
      <c r="C1028" s="4" t="str">
        <f t="shared" si="81"/>
        <v>GSE14095</v>
      </c>
      <c r="D1028" s="1" t="s">
        <v>45</v>
      </c>
      <c r="E1028" t="s">
        <v>68</v>
      </c>
      <c r="F1028" s="1">
        <v>2</v>
      </c>
      <c r="G1028" s="1" t="s">
        <v>32</v>
      </c>
      <c r="H1028" s="4" t="str">
        <f>HYPERLINK("https://www.ncbi.nlm.nih.gov/geo/query/acc.cgi?acc=GSM353699","GSM353699")</f>
        <v>GSM353699</v>
      </c>
      <c r="I1028" t="s">
        <v>69</v>
      </c>
      <c r="J1028" t="s">
        <v>18</v>
      </c>
      <c r="K1028" t="s">
        <v>33</v>
      </c>
      <c r="L1028" t="s">
        <v>70</v>
      </c>
      <c r="N1028" t="s">
        <v>29</v>
      </c>
    </row>
    <row r="1029" spans="1:14">
      <c r="A1029" s="4" t="str">
        <f t="shared" si="79"/>
        <v>EXP00021</v>
      </c>
      <c r="B1029" s="4" t="str">
        <f t="shared" si="80"/>
        <v>21680303</v>
      </c>
      <c r="C1029" s="4" t="str">
        <f t="shared" si="81"/>
        <v>GSE14095</v>
      </c>
      <c r="D1029" s="1" t="s">
        <v>45</v>
      </c>
      <c r="E1029" t="s">
        <v>68</v>
      </c>
      <c r="F1029" s="1">
        <v>2</v>
      </c>
      <c r="G1029" s="1" t="s">
        <v>32</v>
      </c>
      <c r="H1029" s="4" t="str">
        <f>HYPERLINK("https://www.ncbi.nlm.nih.gov/geo/query/acc.cgi?acc=GSM353700","GSM353700")</f>
        <v>GSM353700</v>
      </c>
      <c r="I1029" t="s">
        <v>69</v>
      </c>
      <c r="J1029" t="s">
        <v>18</v>
      </c>
      <c r="K1029" t="s">
        <v>33</v>
      </c>
      <c r="L1029" t="s">
        <v>70</v>
      </c>
      <c r="N1029" t="s">
        <v>29</v>
      </c>
    </row>
    <row r="1030" spans="1:14">
      <c r="A1030" s="4" t="str">
        <f t="shared" si="79"/>
        <v>EXP00021</v>
      </c>
      <c r="B1030" s="4" t="str">
        <f t="shared" si="80"/>
        <v>21680303</v>
      </c>
      <c r="C1030" s="4" t="str">
        <f t="shared" si="81"/>
        <v>GSE14095</v>
      </c>
      <c r="D1030" s="1" t="s">
        <v>45</v>
      </c>
      <c r="E1030" t="s">
        <v>68</v>
      </c>
      <c r="F1030" s="1">
        <v>2</v>
      </c>
      <c r="G1030" s="1" t="s">
        <v>32</v>
      </c>
      <c r="H1030" s="4" t="str">
        <f>HYPERLINK("https://www.ncbi.nlm.nih.gov/geo/query/acc.cgi?acc=GSM353701","GSM353701")</f>
        <v>GSM353701</v>
      </c>
      <c r="I1030" t="s">
        <v>69</v>
      </c>
      <c r="J1030" t="s">
        <v>18</v>
      </c>
      <c r="K1030" t="s">
        <v>33</v>
      </c>
      <c r="L1030" t="s">
        <v>70</v>
      </c>
      <c r="N1030" t="s">
        <v>29</v>
      </c>
    </row>
    <row r="1031" spans="1:14">
      <c r="A1031" s="4" t="str">
        <f t="shared" si="79"/>
        <v>EXP00021</v>
      </c>
      <c r="B1031" s="4" t="str">
        <f t="shared" si="80"/>
        <v>21680303</v>
      </c>
      <c r="C1031" s="4" t="str">
        <f t="shared" si="81"/>
        <v>GSE14095</v>
      </c>
      <c r="D1031" s="1" t="s">
        <v>45</v>
      </c>
      <c r="E1031" t="s">
        <v>68</v>
      </c>
      <c r="F1031" s="1">
        <v>2</v>
      </c>
      <c r="G1031" s="1" t="s">
        <v>32</v>
      </c>
      <c r="H1031" s="4" t="str">
        <f>HYPERLINK("https://www.ncbi.nlm.nih.gov/geo/query/acc.cgi?acc=GSM353702","GSM353702")</f>
        <v>GSM353702</v>
      </c>
      <c r="I1031" t="s">
        <v>69</v>
      </c>
      <c r="J1031" t="s">
        <v>18</v>
      </c>
      <c r="K1031" t="s">
        <v>33</v>
      </c>
      <c r="L1031" t="s">
        <v>70</v>
      </c>
      <c r="N1031" t="s">
        <v>29</v>
      </c>
    </row>
    <row r="1032" spans="1:14">
      <c r="A1032" s="4" t="str">
        <f t="shared" si="79"/>
        <v>EXP00021</v>
      </c>
      <c r="B1032" s="4" t="str">
        <f t="shared" si="80"/>
        <v>21680303</v>
      </c>
      <c r="C1032" s="4" t="str">
        <f t="shared" si="81"/>
        <v>GSE14095</v>
      </c>
      <c r="D1032" s="1" t="s">
        <v>45</v>
      </c>
      <c r="E1032" t="s">
        <v>68</v>
      </c>
      <c r="F1032" s="1">
        <v>2</v>
      </c>
      <c r="G1032" s="1" t="s">
        <v>32</v>
      </c>
      <c r="H1032" s="4" t="str">
        <f>HYPERLINK("https://www.ncbi.nlm.nih.gov/geo/query/acc.cgi?acc=GSM353703","GSM353703")</f>
        <v>GSM353703</v>
      </c>
      <c r="I1032" t="s">
        <v>69</v>
      </c>
      <c r="J1032" t="s">
        <v>18</v>
      </c>
      <c r="K1032" t="s">
        <v>33</v>
      </c>
      <c r="L1032" t="s">
        <v>70</v>
      </c>
      <c r="N1032" t="s">
        <v>29</v>
      </c>
    </row>
    <row r="1033" spans="1:14">
      <c r="A1033" s="4" t="str">
        <f t="shared" si="79"/>
        <v>EXP00021</v>
      </c>
      <c r="B1033" s="4" t="str">
        <f t="shared" si="80"/>
        <v>21680303</v>
      </c>
      <c r="C1033" s="4" t="str">
        <f t="shared" si="81"/>
        <v>GSE14095</v>
      </c>
      <c r="D1033" s="1" t="s">
        <v>45</v>
      </c>
      <c r="E1033" t="s">
        <v>68</v>
      </c>
      <c r="F1033" s="1">
        <v>2</v>
      </c>
      <c r="G1033" s="1" t="s">
        <v>32</v>
      </c>
      <c r="H1033" s="4" t="str">
        <f>HYPERLINK("https://www.ncbi.nlm.nih.gov/geo/query/acc.cgi?acc=GSM353704","GSM353704")</f>
        <v>GSM353704</v>
      </c>
      <c r="I1033" t="s">
        <v>69</v>
      </c>
      <c r="J1033" t="s">
        <v>18</v>
      </c>
      <c r="K1033" t="s">
        <v>33</v>
      </c>
      <c r="L1033" t="s">
        <v>70</v>
      </c>
      <c r="N1033" t="s">
        <v>29</v>
      </c>
    </row>
    <row r="1034" spans="1:14">
      <c r="A1034" s="4" t="str">
        <f t="shared" si="79"/>
        <v>EXP00021</v>
      </c>
      <c r="B1034" s="4" t="str">
        <f t="shared" si="80"/>
        <v>21680303</v>
      </c>
      <c r="C1034" s="4" t="str">
        <f t="shared" si="81"/>
        <v>GSE14095</v>
      </c>
      <c r="D1034" s="1" t="s">
        <v>45</v>
      </c>
      <c r="E1034" t="s">
        <v>68</v>
      </c>
      <c r="F1034" s="1">
        <v>2</v>
      </c>
      <c r="G1034" s="1" t="s">
        <v>32</v>
      </c>
      <c r="H1034" s="4" t="str">
        <f>HYPERLINK("https://www.ncbi.nlm.nih.gov/geo/query/acc.cgi?acc=GSM353705","GSM353705")</f>
        <v>GSM353705</v>
      </c>
      <c r="I1034" t="s">
        <v>69</v>
      </c>
      <c r="J1034" t="s">
        <v>18</v>
      </c>
      <c r="K1034" t="s">
        <v>33</v>
      </c>
      <c r="L1034" t="s">
        <v>70</v>
      </c>
      <c r="N1034" t="s">
        <v>29</v>
      </c>
    </row>
    <row r="1035" spans="1:14">
      <c r="A1035" s="4" t="str">
        <f t="shared" si="79"/>
        <v>EXP00021</v>
      </c>
      <c r="B1035" s="4" t="str">
        <f t="shared" si="80"/>
        <v>21680303</v>
      </c>
      <c r="C1035" s="4" t="str">
        <f t="shared" si="81"/>
        <v>GSE14095</v>
      </c>
      <c r="D1035" s="1" t="s">
        <v>45</v>
      </c>
      <c r="E1035" t="s">
        <v>68</v>
      </c>
      <c r="F1035" s="1">
        <v>2</v>
      </c>
      <c r="G1035" s="1" t="s">
        <v>32</v>
      </c>
      <c r="H1035" s="4" t="str">
        <f>HYPERLINK("https://www.ncbi.nlm.nih.gov/geo/query/acc.cgi?acc=GSM353706","GSM353706")</f>
        <v>GSM353706</v>
      </c>
      <c r="I1035" t="s">
        <v>69</v>
      </c>
      <c r="J1035" t="s">
        <v>18</v>
      </c>
      <c r="K1035" t="s">
        <v>33</v>
      </c>
      <c r="L1035" t="s">
        <v>70</v>
      </c>
      <c r="N1035" t="s">
        <v>29</v>
      </c>
    </row>
    <row r="1036" spans="1:14">
      <c r="A1036" s="4" t="str">
        <f t="shared" si="79"/>
        <v>EXP00021</v>
      </c>
      <c r="B1036" s="4" t="str">
        <f t="shared" si="80"/>
        <v>21680303</v>
      </c>
      <c r="C1036" s="4" t="str">
        <f t="shared" si="81"/>
        <v>GSE14095</v>
      </c>
      <c r="D1036" s="1" t="s">
        <v>45</v>
      </c>
      <c r="E1036" t="s">
        <v>68</v>
      </c>
      <c r="F1036" s="1">
        <v>2</v>
      </c>
      <c r="G1036" s="1" t="s">
        <v>32</v>
      </c>
      <c r="H1036" s="4" t="str">
        <f>HYPERLINK("https://www.ncbi.nlm.nih.gov/geo/query/acc.cgi?acc=GSM353707","GSM353707")</f>
        <v>GSM353707</v>
      </c>
      <c r="I1036" t="s">
        <v>69</v>
      </c>
      <c r="J1036" t="s">
        <v>18</v>
      </c>
      <c r="K1036" t="s">
        <v>33</v>
      </c>
      <c r="L1036" t="s">
        <v>70</v>
      </c>
      <c r="N1036" t="s">
        <v>29</v>
      </c>
    </row>
    <row r="1037" spans="1:14">
      <c r="A1037" s="4" t="str">
        <f t="shared" si="79"/>
        <v>EXP00021</v>
      </c>
      <c r="B1037" s="4" t="str">
        <f t="shared" si="80"/>
        <v>21680303</v>
      </c>
      <c r="C1037" s="4" t="str">
        <f t="shared" si="81"/>
        <v>GSE14095</v>
      </c>
      <c r="D1037" s="1" t="s">
        <v>45</v>
      </c>
      <c r="E1037" t="s">
        <v>68</v>
      </c>
      <c r="F1037" s="1">
        <v>2</v>
      </c>
      <c r="G1037" s="1" t="s">
        <v>32</v>
      </c>
      <c r="H1037" s="4" t="str">
        <f>HYPERLINK("https://www.ncbi.nlm.nih.gov/geo/query/acc.cgi?acc=GSM353708","GSM353708")</f>
        <v>GSM353708</v>
      </c>
      <c r="I1037" t="s">
        <v>69</v>
      </c>
      <c r="J1037" t="s">
        <v>18</v>
      </c>
      <c r="K1037" t="s">
        <v>33</v>
      </c>
      <c r="L1037" t="s">
        <v>70</v>
      </c>
      <c r="N1037" t="s">
        <v>29</v>
      </c>
    </row>
    <row r="1038" spans="1:14">
      <c r="A1038" s="4" t="str">
        <f t="shared" si="79"/>
        <v>EXP00021</v>
      </c>
      <c r="B1038" s="4" t="str">
        <f t="shared" si="80"/>
        <v>21680303</v>
      </c>
      <c r="C1038" s="4" t="str">
        <f t="shared" si="81"/>
        <v>GSE14095</v>
      </c>
      <c r="D1038" s="1" t="s">
        <v>45</v>
      </c>
      <c r="E1038" t="s">
        <v>68</v>
      </c>
      <c r="F1038" s="1">
        <v>2</v>
      </c>
      <c r="G1038" s="1" t="s">
        <v>32</v>
      </c>
      <c r="H1038" s="4" t="str">
        <f>HYPERLINK("https://www.ncbi.nlm.nih.gov/geo/query/acc.cgi?acc=GSM353709","GSM353709")</f>
        <v>GSM353709</v>
      </c>
      <c r="I1038" t="s">
        <v>69</v>
      </c>
      <c r="J1038" t="s">
        <v>18</v>
      </c>
      <c r="K1038" t="s">
        <v>33</v>
      </c>
      <c r="L1038" t="s">
        <v>70</v>
      </c>
      <c r="N1038" t="s">
        <v>29</v>
      </c>
    </row>
    <row r="1039" spans="1:14">
      <c r="A1039" s="4" t="str">
        <f t="shared" si="79"/>
        <v>EXP00021</v>
      </c>
      <c r="B1039" s="4" t="str">
        <f t="shared" si="80"/>
        <v>21680303</v>
      </c>
      <c r="C1039" s="4" t="str">
        <f t="shared" si="81"/>
        <v>GSE14095</v>
      </c>
      <c r="D1039" s="1" t="s">
        <v>45</v>
      </c>
      <c r="E1039" t="s">
        <v>68</v>
      </c>
      <c r="F1039" s="1">
        <v>2</v>
      </c>
      <c r="G1039" s="1" t="s">
        <v>32</v>
      </c>
      <c r="H1039" s="4" t="str">
        <f>HYPERLINK("https://www.ncbi.nlm.nih.gov/geo/query/acc.cgi?acc=GSM353710","GSM353710")</f>
        <v>GSM353710</v>
      </c>
      <c r="I1039" t="s">
        <v>69</v>
      </c>
      <c r="J1039" t="s">
        <v>18</v>
      </c>
      <c r="K1039" t="s">
        <v>33</v>
      </c>
      <c r="L1039" t="s">
        <v>70</v>
      </c>
      <c r="N1039" t="s">
        <v>29</v>
      </c>
    </row>
    <row r="1040" spans="1:14">
      <c r="A1040" s="4" t="str">
        <f t="shared" si="79"/>
        <v>EXP00021</v>
      </c>
      <c r="B1040" s="4" t="str">
        <f t="shared" si="80"/>
        <v>21680303</v>
      </c>
      <c r="C1040" s="4" t="str">
        <f t="shared" si="81"/>
        <v>GSE14095</v>
      </c>
      <c r="D1040" s="1" t="s">
        <v>45</v>
      </c>
      <c r="E1040" t="s">
        <v>68</v>
      </c>
      <c r="F1040" s="1">
        <v>2</v>
      </c>
      <c r="G1040" s="1" t="s">
        <v>32</v>
      </c>
      <c r="H1040" s="4" t="str">
        <f>HYPERLINK("https://www.ncbi.nlm.nih.gov/geo/query/acc.cgi?acc=GSM353711","GSM353711")</f>
        <v>GSM353711</v>
      </c>
      <c r="I1040" t="s">
        <v>69</v>
      </c>
      <c r="J1040" t="s">
        <v>18</v>
      </c>
      <c r="K1040" t="s">
        <v>33</v>
      </c>
      <c r="L1040" t="s">
        <v>70</v>
      </c>
      <c r="N1040" t="s">
        <v>29</v>
      </c>
    </row>
    <row r="1041" spans="1:14">
      <c r="A1041" s="4" t="str">
        <f t="shared" si="79"/>
        <v>EXP00021</v>
      </c>
      <c r="B1041" s="4" t="str">
        <f t="shared" si="80"/>
        <v>21680303</v>
      </c>
      <c r="C1041" s="4" t="str">
        <f t="shared" si="81"/>
        <v>GSE14095</v>
      </c>
      <c r="D1041" s="1" t="s">
        <v>45</v>
      </c>
      <c r="E1041" t="s">
        <v>68</v>
      </c>
      <c r="F1041" s="1">
        <v>2</v>
      </c>
      <c r="G1041" s="1" t="s">
        <v>32</v>
      </c>
      <c r="H1041" s="4" t="str">
        <f>HYPERLINK("https://www.ncbi.nlm.nih.gov/geo/query/acc.cgi?acc=GSM353712","GSM353712")</f>
        <v>GSM353712</v>
      </c>
      <c r="I1041" t="s">
        <v>69</v>
      </c>
      <c r="J1041" t="s">
        <v>18</v>
      </c>
      <c r="K1041" t="s">
        <v>33</v>
      </c>
      <c r="L1041" t="s">
        <v>70</v>
      </c>
      <c r="N1041" t="s">
        <v>29</v>
      </c>
    </row>
    <row r="1042" spans="1:14">
      <c r="A1042" s="4" t="str">
        <f t="shared" si="79"/>
        <v>EXP00021</v>
      </c>
      <c r="B1042" s="4" t="str">
        <f t="shared" si="80"/>
        <v>21680303</v>
      </c>
      <c r="C1042" s="4" t="str">
        <f t="shared" si="81"/>
        <v>GSE14095</v>
      </c>
      <c r="D1042" s="1" t="s">
        <v>45</v>
      </c>
      <c r="E1042" t="s">
        <v>68</v>
      </c>
      <c r="F1042" s="1">
        <v>2</v>
      </c>
      <c r="G1042" s="1" t="s">
        <v>32</v>
      </c>
      <c r="H1042" s="4" t="str">
        <f>HYPERLINK("https://www.ncbi.nlm.nih.gov/geo/query/acc.cgi?acc=GSM353713","GSM353713")</f>
        <v>GSM353713</v>
      </c>
      <c r="I1042" t="s">
        <v>69</v>
      </c>
      <c r="J1042" t="s">
        <v>18</v>
      </c>
      <c r="K1042" t="s">
        <v>33</v>
      </c>
      <c r="L1042" t="s">
        <v>70</v>
      </c>
      <c r="N1042" t="s">
        <v>29</v>
      </c>
    </row>
    <row r="1043" spans="1:14">
      <c r="A1043" s="4" t="str">
        <f t="shared" si="79"/>
        <v>EXP00021</v>
      </c>
      <c r="B1043" s="4" t="str">
        <f t="shared" si="80"/>
        <v>21680303</v>
      </c>
      <c r="C1043" s="4" t="str">
        <f t="shared" si="81"/>
        <v>GSE14095</v>
      </c>
      <c r="D1043" s="1" t="s">
        <v>45</v>
      </c>
      <c r="E1043" t="s">
        <v>68</v>
      </c>
      <c r="F1043" s="1">
        <v>2</v>
      </c>
      <c r="G1043" s="1" t="s">
        <v>32</v>
      </c>
      <c r="H1043" s="4" t="str">
        <f>HYPERLINK("https://www.ncbi.nlm.nih.gov/geo/query/acc.cgi?acc=GSM353714","GSM353714")</f>
        <v>GSM353714</v>
      </c>
      <c r="I1043" t="s">
        <v>69</v>
      </c>
      <c r="J1043" t="s">
        <v>18</v>
      </c>
      <c r="K1043" t="s">
        <v>33</v>
      </c>
      <c r="L1043" t="s">
        <v>70</v>
      </c>
      <c r="N1043" t="s">
        <v>29</v>
      </c>
    </row>
    <row r="1044" spans="1:14">
      <c r="A1044" s="4" t="str">
        <f t="shared" si="79"/>
        <v>EXP00021</v>
      </c>
      <c r="B1044" s="4" t="str">
        <f t="shared" si="80"/>
        <v>21680303</v>
      </c>
      <c r="C1044" s="4" t="str">
        <f t="shared" si="81"/>
        <v>GSE14095</v>
      </c>
      <c r="D1044" s="1" t="s">
        <v>45</v>
      </c>
      <c r="E1044" t="s">
        <v>68</v>
      </c>
      <c r="F1044" s="1">
        <v>2</v>
      </c>
      <c r="G1044" s="1" t="s">
        <v>32</v>
      </c>
      <c r="H1044" s="4" t="str">
        <f>HYPERLINK("https://www.ncbi.nlm.nih.gov/geo/query/acc.cgi?acc=GSM353736","GSM353736")</f>
        <v>GSM353736</v>
      </c>
      <c r="I1044" t="s">
        <v>69</v>
      </c>
      <c r="J1044" t="s">
        <v>18</v>
      </c>
      <c r="K1044" t="s">
        <v>33</v>
      </c>
      <c r="L1044" t="s">
        <v>70</v>
      </c>
      <c r="N1044" t="s">
        <v>29</v>
      </c>
    </row>
    <row r="1045" spans="1:14">
      <c r="A1045" s="4" t="str">
        <f t="shared" si="79"/>
        <v>EXP00021</v>
      </c>
      <c r="B1045" s="4" t="str">
        <f t="shared" si="80"/>
        <v>21680303</v>
      </c>
      <c r="C1045" s="4" t="str">
        <f t="shared" si="81"/>
        <v>GSE14095</v>
      </c>
      <c r="D1045" s="1" t="s">
        <v>45</v>
      </c>
      <c r="E1045" t="s">
        <v>68</v>
      </c>
      <c r="F1045" s="1">
        <v>2</v>
      </c>
      <c r="G1045" s="1" t="s">
        <v>32</v>
      </c>
      <c r="H1045" s="4" t="str">
        <f>HYPERLINK("https://www.ncbi.nlm.nih.gov/geo/query/acc.cgi?acc=GSM353746","GSM353746")</f>
        <v>GSM353746</v>
      </c>
      <c r="I1045" t="s">
        <v>69</v>
      </c>
      <c r="J1045" t="s">
        <v>18</v>
      </c>
      <c r="K1045" t="s">
        <v>33</v>
      </c>
      <c r="L1045" t="s">
        <v>70</v>
      </c>
      <c r="N1045" t="s">
        <v>29</v>
      </c>
    </row>
    <row r="1046" spans="1:14">
      <c r="A1046" s="4" t="str">
        <f t="shared" si="79"/>
        <v>EXP00021</v>
      </c>
      <c r="B1046" s="4" t="str">
        <f t="shared" si="80"/>
        <v>21680303</v>
      </c>
      <c r="C1046" s="4" t="str">
        <f t="shared" si="81"/>
        <v>GSE14095</v>
      </c>
      <c r="D1046" s="1" t="s">
        <v>45</v>
      </c>
      <c r="E1046" t="s">
        <v>68</v>
      </c>
      <c r="F1046" s="1">
        <v>2</v>
      </c>
      <c r="G1046" s="1" t="s">
        <v>32</v>
      </c>
      <c r="H1046" s="4" t="str">
        <f>HYPERLINK("https://www.ncbi.nlm.nih.gov/geo/query/acc.cgi?acc=GSM353747","GSM353747")</f>
        <v>GSM353747</v>
      </c>
      <c r="I1046" t="s">
        <v>69</v>
      </c>
      <c r="J1046" t="s">
        <v>18</v>
      </c>
      <c r="K1046" t="s">
        <v>33</v>
      </c>
      <c r="L1046" t="s">
        <v>70</v>
      </c>
      <c r="N1046" t="s">
        <v>29</v>
      </c>
    </row>
    <row r="1047" spans="1:14">
      <c r="A1047" s="4" t="str">
        <f t="shared" ref="A1047:A1078" si="82">HYPERLINK("http://hcmdb.i-sanger.com/experiment/details/experiment_id/EXP00021","EXP00021")</f>
        <v>EXP00021</v>
      </c>
      <c r="B1047" s="4" t="str">
        <f t="shared" ref="B1047:B1078" si="83">HYPERLINK("https://www.ncbi.nlm.nih.gov/pubmed/21680303","21680303")</f>
        <v>21680303</v>
      </c>
      <c r="C1047" s="4" t="str">
        <f t="shared" ref="C1047:C1078" si="84">HYPERLINK("https://www.ncbi.nlm.nih.gov/geo/query/acc.cgi?acc=GSE14095","GSE14095")</f>
        <v>GSE14095</v>
      </c>
      <c r="D1047" s="1" t="s">
        <v>45</v>
      </c>
      <c r="E1047" t="s">
        <v>68</v>
      </c>
      <c r="F1047" s="1">
        <v>2</v>
      </c>
      <c r="G1047" s="1" t="s">
        <v>32</v>
      </c>
      <c r="H1047" s="4" t="str">
        <f>HYPERLINK("https://www.ncbi.nlm.nih.gov/geo/query/acc.cgi?acc=GSM353749","GSM353749")</f>
        <v>GSM353749</v>
      </c>
      <c r="I1047" t="s">
        <v>69</v>
      </c>
      <c r="J1047" t="s">
        <v>18</v>
      </c>
      <c r="K1047" t="s">
        <v>33</v>
      </c>
      <c r="L1047" t="s">
        <v>70</v>
      </c>
      <c r="N1047" t="s">
        <v>29</v>
      </c>
    </row>
    <row r="1048" spans="1:14">
      <c r="A1048" s="4" t="str">
        <f t="shared" si="82"/>
        <v>EXP00021</v>
      </c>
      <c r="B1048" s="4" t="str">
        <f t="shared" si="83"/>
        <v>21680303</v>
      </c>
      <c r="C1048" s="4" t="str">
        <f t="shared" si="84"/>
        <v>GSE14095</v>
      </c>
      <c r="D1048" s="1" t="s">
        <v>45</v>
      </c>
      <c r="E1048" t="s">
        <v>68</v>
      </c>
      <c r="F1048" s="1">
        <v>2</v>
      </c>
      <c r="G1048" s="1" t="s">
        <v>32</v>
      </c>
      <c r="H1048" s="4" t="str">
        <f>HYPERLINK("https://www.ncbi.nlm.nih.gov/geo/query/acc.cgi?acc=GSM353750","GSM353750")</f>
        <v>GSM353750</v>
      </c>
      <c r="I1048" t="s">
        <v>69</v>
      </c>
      <c r="J1048" t="s">
        <v>18</v>
      </c>
      <c r="K1048" t="s">
        <v>33</v>
      </c>
      <c r="L1048" t="s">
        <v>70</v>
      </c>
      <c r="N1048" t="s">
        <v>29</v>
      </c>
    </row>
    <row r="1049" spans="1:14">
      <c r="A1049" s="4" t="str">
        <f t="shared" si="82"/>
        <v>EXP00021</v>
      </c>
      <c r="B1049" s="4" t="str">
        <f t="shared" si="83"/>
        <v>21680303</v>
      </c>
      <c r="C1049" s="4" t="str">
        <f t="shared" si="84"/>
        <v>GSE14095</v>
      </c>
      <c r="D1049" s="1" t="s">
        <v>45</v>
      </c>
      <c r="E1049" t="s">
        <v>68</v>
      </c>
      <c r="F1049" s="1">
        <v>2</v>
      </c>
      <c r="G1049" s="1" t="s">
        <v>32</v>
      </c>
      <c r="H1049" s="4" t="str">
        <f>HYPERLINK("https://www.ncbi.nlm.nih.gov/geo/query/acc.cgi?acc=GSM353751","GSM353751")</f>
        <v>GSM353751</v>
      </c>
      <c r="I1049" t="s">
        <v>69</v>
      </c>
      <c r="J1049" t="s">
        <v>18</v>
      </c>
      <c r="K1049" t="s">
        <v>33</v>
      </c>
      <c r="L1049" t="s">
        <v>70</v>
      </c>
      <c r="N1049" t="s">
        <v>29</v>
      </c>
    </row>
    <row r="1050" spans="1:14">
      <c r="A1050" s="4" t="str">
        <f t="shared" si="82"/>
        <v>EXP00021</v>
      </c>
      <c r="B1050" s="4" t="str">
        <f t="shared" si="83"/>
        <v>21680303</v>
      </c>
      <c r="C1050" s="4" t="str">
        <f t="shared" si="84"/>
        <v>GSE14095</v>
      </c>
      <c r="D1050" s="1" t="s">
        <v>45</v>
      </c>
      <c r="E1050" t="s">
        <v>68</v>
      </c>
      <c r="F1050" s="1">
        <v>2</v>
      </c>
      <c r="G1050" s="1" t="s">
        <v>32</v>
      </c>
      <c r="H1050" s="4" t="str">
        <f>HYPERLINK("https://www.ncbi.nlm.nih.gov/geo/query/acc.cgi?acc=GSM353752","GSM353752")</f>
        <v>GSM353752</v>
      </c>
      <c r="I1050" t="s">
        <v>69</v>
      </c>
      <c r="J1050" t="s">
        <v>18</v>
      </c>
      <c r="K1050" t="s">
        <v>33</v>
      </c>
      <c r="L1050" t="s">
        <v>70</v>
      </c>
      <c r="N1050" t="s">
        <v>29</v>
      </c>
    </row>
    <row r="1051" spans="1:14">
      <c r="A1051" s="4" t="str">
        <f t="shared" si="82"/>
        <v>EXP00021</v>
      </c>
      <c r="B1051" s="4" t="str">
        <f t="shared" si="83"/>
        <v>21680303</v>
      </c>
      <c r="C1051" s="4" t="str">
        <f t="shared" si="84"/>
        <v>GSE14095</v>
      </c>
      <c r="D1051" s="1" t="s">
        <v>45</v>
      </c>
      <c r="E1051" t="s">
        <v>68</v>
      </c>
      <c r="F1051" s="1">
        <v>2</v>
      </c>
      <c r="G1051" s="1" t="s">
        <v>32</v>
      </c>
      <c r="H1051" s="4" t="str">
        <f>HYPERLINK("https://www.ncbi.nlm.nih.gov/geo/query/acc.cgi?acc=GSM353753","GSM353753")</f>
        <v>GSM353753</v>
      </c>
      <c r="I1051" t="s">
        <v>69</v>
      </c>
      <c r="J1051" t="s">
        <v>18</v>
      </c>
      <c r="K1051" t="s">
        <v>33</v>
      </c>
      <c r="L1051" t="s">
        <v>70</v>
      </c>
      <c r="N1051" t="s">
        <v>29</v>
      </c>
    </row>
    <row r="1052" spans="1:14">
      <c r="A1052" s="4" t="str">
        <f t="shared" si="82"/>
        <v>EXP00021</v>
      </c>
      <c r="B1052" s="4" t="str">
        <f t="shared" si="83"/>
        <v>21680303</v>
      </c>
      <c r="C1052" s="4" t="str">
        <f t="shared" si="84"/>
        <v>GSE14095</v>
      </c>
      <c r="D1052" s="1" t="s">
        <v>45</v>
      </c>
      <c r="E1052" t="s">
        <v>68</v>
      </c>
      <c r="F1052" s="1">
        <v>2</v>
      </c>
      <c r="G1052" s="1" t="s">
        <v>32</v>
      </c>
      <c r="H1052" s="4" t="str">
        <f>HYPERLINK("https://www.ncbi.nlm.nih.gov/geo/query/acc.cgi?acc=GSM353754","GSM353754")</f>
        <v>GSM353754</v>
      </c>
      <c r="I1052" t="s">
        <v>69</v>
      </c>
      <c r="J1052" t="s">
        <v>18</v>
      </c>
      <c r="K1052" t="s">
        <v>33</v>
      </c>
      <c r="L1052" t="s">
        <v>70</v>
      </c>
      <c r="N1052" t="s">
        <v>29</v>
      </c>
    </row>
    <row r="1053" spans="1:14">
      <c r="A1053" s="4" t="str">
        <f t="shared" si="82"/>
        <v>EXP00021</v>
      </c>
      <c r="B1053" s="4" t="str">
        <f t="shared" si="83"/>
        <v>21680303</v>
      </c>
      <c r="C1053" s="4" t="str">
        <f t="shared" si="84"/>
        <v>GSE14095</v>
      </c>
      <c r="D1053" s="1" t="s">
        <v>45</v>
      </c>
      <c r="E1053" t="s">
        <v>68</v>
      </c>
      <c r="F1053" s="1">
        <v>2</v>
      </c>
      <c r="G1053" s="1" t="s">
        <v>32</v>
      </c>
      <c r="H1053" s="4" t="str">
        <f>HYPERLINK("https://www.ncbi.nlm.nih.gov/geo/query/acc.cgi?acc=GSM353755","GSM353755")</f>
        <v>GSM353755</v>
      </c>
      <c r="I1053" t="s">
        <v>69</v>
      </c>
      <c r="J1053" t="s">
        <v>18</v>
      </c>
      <c r="K1053" t="s">
        <v>33</v>
      </c>
      <c r="L1053" t="s">
        <v>70</v>
      </c>
      <c r="N1053" t="s">
        <v>29</v>
      </c>
    </row>
    <row r="1054" spans="1:14">
      <c r="A1054" s="4" t="str">
        <f t="shared" si="82"/>
        <v>EXP00021</v>
      </c>
      <c r="B1054" s="4" t="str">
        <f t="shared" si="83"/>
        <v>21680303</v>
      </c>
      <c r="C1054" s="4" t="str">
        <f t="shared" si="84"/>
        <v>GSE14095</v>
      </c>
      <c r="D1054" s="1" t="s">
        <v>45</v>
      </c>
      <c r="E1054" t="s">
        <v>68</v>
      </c>
      <c r="F1054" s="1">
        <v>2</v>
      </c>
      <c r="G1054" s="1" t="s">
        <v>32</v>
      </c>
      <c r="H1054" s="4" t="str">
        <f>HYPERLINK("https://www.ncbi.nlm.nih.gov/geo/query/acc.cgi?acc=GSM353756","GSM353756")</f>
        <v>GSM353756</v>
      </c>
      <c r="I1054" t="s">
        <v>69</v>
      </c>
      <c r="J1054" t="s">
        <v>18</v>
      </c>
      <c r="K1054" t="s">
        <v>33</v>
      </c>
      <c r="L1054" t="s">
        <v>70</v>
      </c>
      <c r="N1054" t="s">
        <v>29</v>
      </c>
    </row>
    <row r="1055" spans="1:14">
      <c r="A1055" s="4" t="str">
        <f t="shared" si="82"/>
        <v>EXP00021</v>
      </c>
      <c r="B1055" s="4" t="str">
        <f t="shared" si="83"/>
        <v>21680303</v>
      </c>
      <c r="C1055" s="4" t="str">
        <f t="shared" si="84"/>
        <v>GSE14095</v>
      </c>
      <c r="D1055" s="1" t="s">
        <v>45</v>
      </c>
      <c r="E1055" t="s">
        <v>68</v>
      </c>
      <c r="F1055" s="1">
        <v>2</v>
      </c>
      <c r="G1055" s="1" t="s">
        <v>32</v>
      </c>
      <c r="H1055" s="4" t="str">
        <f>HYPERLINK("https://www.ncbi.nlm.nih.gov/geo/query/acc.cgi?acc=GSM353757","GSM353757")</f>
        <v>GSM353757</v>
      </c>
      <c r="I1055" t="s">
        <v>69</v>
      </c>
      <c r="J1055" t="s">
        <v>18</v>
      </c>
      <c r="K1055" t="s">
        <v>33</v>
      </c>
      <c r="L1055" t="s">
        <v>70</v>
      </c>
      <c r="N1055" t="s">
        <v>29</v>
      </c>
    </row>
    <row r="1056" spans="1:14">
      <c r="A1056" s="4" t="str">
        <f t="shared" si="82"/>
        <v>EXP00021</v>
      </c>
      <c r="B1056" s="4" t="str">
        <f t="shared" si="83"/>
        <v>21680303</v>
      </c>
      <c r="C1056" s="4" t="str">
        <f t="shared" si="84"/>
        <v>GSE14095</v>
      </c>
      <c r="D1056" s="1" t="s">
        <v>45</v>
      </c>
      <c r="E1056" t="s">
        <v>68</v>
      </c>
      <c r="F1056" s="1">
        <v>2</v>
      </c>
      <c r="G1056" s="1" t="s">
        <v>32</v>
      </c>
      <c r="H1056" s="4" t="str">
        <f>HYPERLINK("https://www.ncbi.nlm.nih.gov/geo/query/acc.cgi?acc=GSM353758","GSM353758")</f>
        <v>GSM353758</v>
      </c>
      <c r="I1056" t="s">
        <v>69</v>
      </c>
      <c r="J1056" t="s">
        <v>18</v>
      </c>
      <c r="K1056" t="s">
        <v>33</v>
      </c>
      <c r="L1056" t="s">
        <v>70</v>
      </c>
      <c r="N1056" t="s">
        <v>29</v>
      </c>
    </row>
    <row r="1057" spans="1:14">
      <c r="A1057" s="4" t="str">
        <f t="shared" si="82"/>
        <v>EXP00021</v>
      </c>
      <c r="B1057" s="4" t="str">
        <f t="shared" si="83"/>
        <v>21680303</v>
      </c>
      <c r="C1057" s="4" t="str">
        <f t="shared" si="84"/>
        <v>GSE14095</v>
      </c>
      <c r="D1057" s="1" t="s">
        <v>45</v>
      </c>
      <c r="E1057" t="s">
        <v>68</v>
      </c>
      <c r="F1057" s="1">
        <v>2</v>
      </c>
      <c r="G1057" s="1" t="s">
        <v>32</v>
      </c>
      <c r="H1057" s="4" t="str">
        <f>HYPERLINK("https://www.ncbi.nlm.nih.gov/geo/query/acc.cgi?acc=GSM353759","GSM353759")</f>
        <v>GSM353759</v>
      </c>
      <c r="I1057" t="s">
        <v>69</v>
      </c>
      <c r="J1057" t="s">
        <v>18</v>
      </c>
      <c r="K1057" t="s">
        <v>33</v>
      </c>
      <c r="L1057" t="s">
        <v>70</v>
      </c>
      <c r="N1057" t="s">
        <v>29</v>
      </c>
    </row>
    <row r="1058" spans="1:14">
      <c r="A1058" s="4" t="str">
        <f t="shared" si="82"/>
        <v>EXP00021</v>
      </c>
      <c r="B1058" s="4" t="str">
        <f t="shared" si="83"/>
        <v>21680303</v>
      </c>
      <c r="C1058" s="4" t="str">
        <f t="shared" si="84"/>
        <v>GSE14095</v>
      </c>
      <c r="D1058" s="1" t="s">
        <v>45</v>
      </c>
      <c r="E1058" t="s">
        <v>68</v>
      </c>
      <c r="F1058" s="1">
        <v>2</v>
      </c>
      <c r="G1058" s="1" t="s">
        <v>32</v>
      </c>
      <c r="H1058" s="4" t="str">
        <f>HYPERLINK("https://www.ncbi.nlm.nih.gov/geo/query/acc.cgi?acc=GSM353760","GSM353760")</f>
        <v>GSM353760</v>
      </c>
      <c r="I1058" t="s">
        <v>69</v>
      </c>
      <c r="J1058" t="s">
        <v>18</v>
      </c>
      <c r="K1058" t="s">
        <v>33</v>
      </c>
      <c r="L1058" t="s">
        <v>70</v>
      </c>
      <c r="N1058" t="s">
        <v>29</v>
      </c>
    </row>
    <row r="1059" spans="1:14">
      <c r="A1059" s="4" t="str">
        <f t="shared" si="82"/>
        <v>EXP00021</v>
      </c>
      <c r="B1059" s="4" t="str">
        <f t="shared" si="83"/>
        <v>21680303</v>
      </c>
      <c r="C1059" s="4" t="str">
        <f t="shared" si="84"/>
        <v>GSE14095</v>
      </c>
      <c r="D1059" s="1" t="s">
        <v>45</v>
      </c>
      <c r="E1059" t="s">
        <v>68</v>
      </c>
      <c r="F1059" s="1">
        <v>2</v>
      </c>
      <c r="G1059" s="1" t="s">
        <v>32</v>
      </c>
      <c r="H1059" s="4" t="str">
        <f>HYPERLINK("https://www.ncbi.nlm.nih.gov/geo/query/acc.cgi?acc=GSM353761","GSM353761")</f>
        <v>GSM353761</v>
      </c>
      <c r="I1059" t="s">
        <v>69</v>
      </c>
      <c r="J1059" t="s">
        <v>18</v>
      </c>
      <c r="K1059" t="s">
        <v>33</v>
      </c>
      <c r="L1059" t="s">
        <v>70</v>
      </c>
      <c r="N1059" t="s">
        <v>29</v>
      </c>
    </row>
    <row r="1060" spans="1:14">
      <c r="A1060" s="4" t="str">
        <f t="shared" si="82"/>
        <v>EXP00021</v>
      </c>
      <c r="B1060" s="4" t="str">
        <f t="shared" si="83"/>
        <v>21680303</v>
      </c>
      <c r="C1060" s="4" t="str">
        <f t="shared" si="84"/>
        <v>GSE14095</v>
      </c>
      <c r="D1060" s="1" t="s">
        <v>45</v>
      </c>
      <c r="E1060" t="s">
        <v>68</v>
      </c>
      <c r="F1060" s="1">
        <v>2</v>
      </c>
      <c r="G1060" s="1" t="s">
        <v>32</v>
      </c>
      <c r="H1060" s="4" t="str">
        <f>HYPERLINK("https://www.ncbi.nlm.nih.gov/geo/query/acc.cgi?acc=GSM353762","GSM353762")</f>
        <v>GSM353762</v>
      </c>
      <c r="I1060" t="s">
        <v>69</v>
      </c>
      <c r="J1060" t="s">
        <v>18</v>
      </c>
      <c r="K1060" t="s">
        <v>33</v>
      </c>
      <c r="L1060" t="s">
        <v>70</v>
      </c>
      <c r="N1060" t="s">
        <v>29</v>
      </c>
    </row>
    <row r="1061" spans="1:14">
      <c r="A1061" s="4" t="str">
        <f t="shared" si="82"/>
        <v>EXP00021</v>
      </c>
      <c r="B1061" s="4" t="str">
        <f t="shared" si="83"/>
        <v>21680303</v>
      </c>
      <c r="C1061" s="4" t="str">
        <f t="shared" si="84"/>
        <v>GSE14095</v>
      </c>
      <c r="D1061" s="1" t="s">
        <v>45</v>
      </c>
      <c r="E1061" t="s">
        <v>68</v>
      </c>
      <c r="F1061" s="1">
        <v>2</v>
      </c>
      <c r="G1061" s="1" t="s">
        <v>32</v>
      </c>
      <c r="H1061" s="4" t="str">
        <f>HYPERLINK("https://www.ncbi.nlm.nih.gov/geo/query/acc.cgi?acc=GSM353772","GSM353772")</f>
        <v>GSM353772</v>
      </c>
      <c r="I1061" t="s">
        <v>69</v>
      </c>
      <c r="J1061" t="s">
        <v>18</v>
      </c>
      <c r="K1061" t="s">
        <v>33</v>
      </c>
      <c r="L1061" t="s">
        <v>70</v>
      </c>
      <c r="N1061" t="s">
        <v>29</v>
      </c>
    </row>
    <row r="1062" spans="1:14">
      <c r="A1062" s="4" t="str">
        <f t="shared" si="82"/>
        <v>EXP00021</v>
      </c>
      <c r="B1062" s="4" t="str">
        <f t="shared" si="83"/>
        <v>21680303</v>
      </c>
      <c r="C1062" s="4" t="str">
        <f t="shared" si="84"/>
        <v>GSE14095</v>
      </c>
      <c r="D1062" s="1" t="s">
        <v>45</v>
      </c>
      <c r="E1062" t="s">
        <v>68</v>
      </c>
      <c r="F1062" s="1">
        <v>2</v>
      </c>
      <c r="G1062" s="1" t="s">
        <v>32</v>
      </c>
      <c r="H1062" s="4" t="str">
        <f>HYPERLINK("https://www.ncbi.nlm.nih.gov/geo/query/acc.cgi?acc=GSM353773","GSM353773")</f>
        <v>GSM353773</v>
      </c>
      <c r="I1062" t="s">
        <v>69</v>
      </c>
      <c r="J1062" t="s">
        <v>18</v>
      </c>
      <c r="K1062" t="s">
        <v>33</v>
      </c>
      <c r="L1062" t="s">
        <v>70</v>
      </c>
      <c r="N1062" t="s">
        <v>29</v>
      </c>
    </row>
    <row r="1063" spans="1:14">
      <c r="A1063" s="4" t="str">
        <f t="shared" si="82"/>
        <v>EXP00021</v>
      </c>
      <c r="B1063" s="4" t="str">
        <f t="shared" si="83"/>
        <v>21680303</v>
      </c>
      <c r="C1063" s="4" t="str">
        <f t="shared" si="84"/>
        <v>GSE14095</v>
      </c>
      <c r="D1063" s="1" t="s">
        <v>45</v>
      </c>
      <c r="E1063" t="s">
        <v>68</v>
      </c>
      <c r="F1063" s="1">
        <v>2</v>
      </c>
      <c r="G1063" s="1" t="s">
        <v>32</v>
      </c>
      <c r="H1063" s="4" t="str">
        <f>HYPERLINK("https://www.ncbi.nlm.nih.gov/geo/query/acc.cgi?acc=GSM353774","GSM353774")</f>
        <v>GSM353774</v>
      </c>
      <c r="I1063" t="s">
        <v>69</v>
      </c>
      <c r="J1063" t="s">
        <v>18</v>
      </c>
      <c r="K1063" t="s">
        <v>33</v>
      </c>
      <c r="L1063" t="s">
        <v>70</v>
      </c>
      <c r="N1063" t="s">
        <v>29</v>
      </c>
    </row>
    <row r="1064" spans="1:14">
      <c r="A1064" s="4" t="str">
        <f t="shared" si="82"/>
        <v>EXP00021</v>
      </c>
      <c r="B1064" s="4" t="str">
        <f t="shared" si="83"/>
        <v>21680303</v>
      </c>
      <c r="C1064" s="4" t="str">
        <f t="shared" si="84"/>
        <v>GSE14095</v>
      </c>
      <c r="D1064" s="1" t="s">
        <v>45</v>
      </c>
      <c r="E1064" t="s">
        <v>68</v>
      </c>
      <c r="F1064" s="1">
        <v>2</v>
      </c>
      <c r="G1064" s="1" t="s">
        <v>32</v>
      </c>
      <c r="H1064" s="4" t="str">
        <f>HYPERLINK("https://www.ncbi.nlm.nih.gov/geo/query/acc.cgi?acc=GSM353775","GSM353775")</f>
        <v>GSM353775</v>
      </c>
      <c r="I1064" t="s">
        <v>69</v>
      </c>
      <c r="J1064" t="s">
        <v>18</v>
      </c>
      <c r="K1064" t="s">
        <v>33</v>
      </c>
      <c r="L1064" t="s">
        <v>70</v>
      </c>
      <c r="N1064" t="s">
        <v>29</v>
      </c>
    </row>
    <row r="1065" spans="1:14">
      <c r="A1065" s="4" t="str">
        <f t="shared" si="82"/>
        <v>EXP00021</v>
      </c>
      <c r="B1065" s="4" t="str">
        <f t="shared" si="83"/>
        <v>21680303</v>
      </c>
      <c r="C1065" s="4" t="str">
        <f t="shared" si="84"/>
        <v>GSE14095</v>
      </c>
      <c r="D1065" s="1" t="s">
        <v>45</v>
      </c>
      <c r="E1065" t="s">
        <v>68</v>
      </c>
      <c r="F1065" s="1">
        <v>2</v>
      </c>
      <c r="G1065" s="1" t="s">
        <v>32</v>
      </c>
      <c r="H1065" s="4" t="str">
        <f>HYPERLINK("https://www.ncbi.nlm.nih.gov/geo/query/acc.cgi?acc=GSM353776","GSM353776")</f>
        <v>GSM353776</v>
      </c>
      <c r="I1065" t="s">
        <v>69</v>
      </c>
      <c r="J1065" t="s">
        <v>18</v>
      </c>
      <c r="K1065" t="s">
        <v>33</v>
      </c>
      <c r="L1065" t="s">
        <v>70</v>
      </c>
      <c r="N1065" t="s">
        <v>29</v>
      </c>
    </row>
    <row r="1066" spans="1:14">
      <c r="A1066" s="4" t="str">
        <f t="shared" si="82"/>
        <v>EXP00021</v>
      </c>
      <c r="B1066" s="4" t="str">
        <f t="shared" si="83"/>
        <v>21680303</v>
      </c>
      <c r="C1066" s="4" t="str">
        <f t="shared" si="84"/>
        <v>GSE14095</v>
      </c>
      <c r="D1066" s="1" t="s">
        <v>45</v>
      </c>
      <c r="E1066" t="s">
        <v>68</v>
      </c>
      <c r="F1066" s="1">
        <v>2</v>
      </c>
      <c r="G1066" s="1" t="s">
        <v>32</v>
      </c>
      <c r="H1066" s="4" t="str">
        <f>HYPERLINK("https://www.ncbi.nlm.nih.gov/geo/query/acc.cgi?acc=GSM353777","GSM353777")</f>
        <v>GSM353777</v>
      </c>
      <c r="I1066" t="s">
        <v>69</v>
      </c>
      <c r="J1066" t="s">
        <v>18</v>
      </c>
      <c r="K1066" t="s">
        <v>33</v>
      </c>
      <c r="L1066" t="s">
        <v>70</v>
      </c>
      <c r="N1066" t="s">
        <v>29</v>
      </c>
    </row>
    <row r="1067" spans="1:14">
      <c r="A1067" s="4" t="str">
        <f t="shared" si="82"/>
        <v>EXP00021</v>
      </c>
      <c r="B1067" s="4" t="str">
        <f t="shared" si="83"/>
        <v>21680303</v>
      </c>
      <c r="C1067" s="4" t="str">
        <f t="shared" si="84"/>
        <v>GSE14095</v>
      </c>
      <c r="D1067" s="1" t="s">
        <v>45</v>
      </c>
      <c r="E1067" t="s">
        <v>68</v>
      </c>
      <c r="F1067" s="1">
        <v>2</v>
      </c>
      <c r="G1067" s="1" t="s">
        <v>32</v>
      </c>
      <c r="H1067" s="4" t="str">
        <f>HYPERLINK("https://www.ncbi.nlm.nih.gov/geo/query/acc.cgi?acc=GSM353778","GSM353778")</f>
        <v>GSM353778</v>
      </c>
      <c r="I1067" t="s">
        <v>69</v>
      </c>
      <c r="J1067" t="s">
        <v>18</v>
      </c>
      <c r="K1067" t="s">
        <v>33</v>
      </c>
      <c r="L1067" t="s">
        <v>70</v>
      </c>
      <c r="N1067" t="s">
        <v>29</v>
      </c>
    </row>
    <row r="1068" spans="1:14">
      <c r="A1068" s="4" t="str">
        <f t="shared" si="82"/>
        <v>EXP00021</v>
      </c>
      <c r="B1068" s="4" t="str">
        <f t="shared" si="83"/>
        <v>21680303</v>
      </c>
      <c r="C1068" s="4" t="str">
        <f t="shared" si="84"/>
        <v>GSE14095</v>
      </c>
      <c r="D1068" s="1" t="s">
        <v>45</v>
      </c>
      <c r="E1068" t="s">
        <v>68</v>
      </c>
      <c r="F1068" s="1">
        <v>2</v>
      </c>
      <c r="G1068" s="1" t="s">
        <v>32</v>
      </c>
      <c r="H1068" s="4" t="str">
        <f>HYPERLINK("https://www.ncbi.nlm.nih.gov/geo/query/acc.cgi?acc=GSM353779","GSM353779")</f>
        <v>GSM353779</v>
      </c>
      <c r="I1068" t="s">
        <v>69</v>
      </c>
      <c r="J1068" t="s">
        <v>18</v>
      </c>
      <c r="K1068" t="s">
        <v>33</v>
      </c>
      <c r="L1068" t="s">
        <v>70</v>
      </c>
      <c r="N1068" t="s">
        <v>29</v>
      </c>
    </row>
    <row r="1069" spans="1:14">
      <c r="A1069" s="4" t="str">
        <f t="shared" si="82"/>
        <v>EXP00021</v>
      </c>
      <c r="B1069" s="4" t="str">
        <f t="shared" si="83"/>
        <v>21680303</v>
      </c>
      <c r="C1069" s="4" t="str">
        <f t="shared" si="84"/>
        <v>GSE14095</v>
      </c>
      <c r="D1069" s="1" t="s">
        <v>45</v>
      </c>
      <c r="E1069" t="s">
        <v>68</v>
      </c>
      <c r="F1069" s="1">
        <v>2</v>
      </c>
      <c r="G1069" s="1" t="s">
        <v>32</v>
      </c>
      <c r="H1069" s="4" t="str">
        <f>HYPERLINK("https://www.ncbi.nlm.nih.gov/geo/query/acc.cgi?acc=GSM353780","GSM353780")</f>
        <v>GSM353780</v>
      </c>
      <c r="I1069" t="s">
        <v>69</v>
      </c>
      <c r="J1069" t="s">
        <v>18</v>
      </c>
      <c r="K1069" t="s">
        <v>33</v>
      </c>
      <c r="L1069" t="s">
        <v>70</v>
      </c>
      <c r="N1069" t="s">
        <v>29</v>
      </c>
    </row>
    <row r="1070" spans="1:14">
      <c r="A1070" s="4" t="str">
        <f t="shared" si="82"/>
        <v>EXP00021</v>
      </c>
      <c r="B1070" s="4" t="str">
        <f t="shared" si="83"/>
        <v>21680303</v>
      </c>
      <c r="C1070" s="4" t="str">
        <f t="shared" si="84"/>
        <v>GSE14095</v>
      </c>
      <c r="D1070" s="1" t="s">
        <v>45</v>
      </c>
      <c r="E1070" t="s">
        <v>68</v>
      </c>
      <c r="F1070" s="1">
        <v>2</v>
      </c>
      <c r="G1070" s="1" t="s">
        <v>32</v>
      </c>
      <c r="H1070" s="4" t="str">
        <f>HYPERLINK("https://www.ncbi.nlm.nih.gov/geo/query/acc.cgi?acc=GSM353781","GSM353781")</f>
        <v>GSM353781</v>
      </c>
      <c r="I1070" t="s">
        <v>69</v>
      </c>
      <c r="J1070" t="s">
        <v>18</v>
      </c>
      <c r="K1070" t="s">
        <v>33</v>
      </c>
      <c r="L1070" t="s">
        <v>70</v>
      </c>
      <c r="N1070" t="s">
        <v>29</v>
      </c>
    </row>
    <row r="1071" spans="1:14">
      <c r="A1071" s="4" t="str">
        <f t="shared" si="82"/>
        <v>EXP00021</v>
      </c>
      <c r="B1071" s="4" t="str">
        <f t="shared" si="83"/>
        <v>21680303</v>
      </c>
      <c r="C1071" s="4" t="str">
        <f t="shared" si="84"/>
        <v>GSE14095</v>
      </c>
      <c r="D1071" s="1" t="s">
        <v>45</v>
      </c>
      <c r="E1071" t="s">
        <v>68</v>
      </c>
      <c r="F1071" s="1">
        <v>2</v>
      </c>
      <c r="G1071" s="1" t="s">
        <v>32</v>
      </c>
      <c r="H1071" s="4" t="str">
        <f>HYPERLINK("https://www.ncbi.nlm.nih.gov/geo/query/acc.cgi?acc=GSM353782","GSM353782")</f>
        <v>GSM353782</v>
      </c>
      <c r="I1071" t="s">
        <v>69</v>
      </c>
      <c r="J1071" t="s">
        <v>18</v>
      </c>
      <c r="K1071" t="s">
        <v>33</v>
      </c>
      <c r="L1071" t="s">
        <v>70</v>
      </c>
      <c r="N1071" t="s">
        <v>29</v>
      </c>
    </row>
    <row r="1072" spans="1:14">
      <c r="A1072" s="4" t="str">
        <f t="shared" si="82"/>
        <v>EXP00021</v>
      </c>
      <c r="B1072" s="4" t="str">
        <f t="shared" si="83"/>
        <v>21680303</v>
      </c>
      <c r="C1072" s="4" t="str">
        <f t="shared" si="84"/>
        <v>GSE14095</v>
      </c>
      <c r="D1072" s="1" t="s">
        <v>45</v>
      </c>
      <c r="E1072" t="s">
        <v>68</v>
      </c>
      <c r="F1072" s="1">
        <v>2</v>
      </c>
      <c r="G1072" s="1" t="s">
        <v>32</v>
      </c>
      <c r="H1072" s="4" t="str">
        <f>HYPERLINK("https://www.ncbi.nlm.nih.gov/geo/query/acc.cgi?acc=GSM353783","GSM353783")</f>
        <v>GSM353783</v>
      </c>
      <c r="I1072" t="s">
        <v>69</v>
      </c>
      <c r="J1072" t="s">
        <v>18</v>
      </c>
      <c r="K1072" t="s">
        <v>33</v>
      </c>
      <c r="L1072" t="s">
        <v>70</v>
      </c>
      <c r="N1072" t="s">
        <v>29</v>
      </c>
    </row>
    <row r="1073" spans="1:14">
      <c r="A1073" s="4" t="str">
        <f t="shared" si="82"/>
        <v>EXP00021</v>
      </c>
      <c r="B1073" s="4" t="str">
        <f t="shared" si="83"/>
        <v>21680303</v>
      </c>
      <c r="C1073" s="4" t="str">
        <f t="shared" si="84"/>
        <v>GSE14095</v>
      </c>
      <c r="D1073" s="1" t="s">
        <v>45</v>
      </c>
      <c r="E1073" t="s">
        <v>68</v>
      </c>
      <c r="F1073" s="1">
        <v>2</v>
      </c>
      <c r="G1073" s="1" t="s">
        <v>32</v>
      </c>
      <c r="H1073" s="4" t="str">
        <f>HYPERLINK("https://www.ncbi.nlm.nih.gov/geo/query/acc.cgi?acc=GSM353784","GSM353784")</f>
        <v>GSM353784</v>
      </c>
      <c r="I1073" t="s">
        <v>69</v>
      </c>
      <c r="J1073" t="s">
        <v>18</v>
      </c>
      <c r="K1073" t="s">
        <v>33</v>
      </c>
      <c r="L1073" t="s">
        <v>70</v>
      </c>
      <c r="N1073" t="s">
        <v>29</v>
      </c>
    </row>
    <row r="1074" spans="1:14">
      <c r="A1074" s="4" t="str">
        <f t="shared" si="82"/>
        <v>EXP00021</v>
      </c>
      <c r="B1074" s="4" t="str">
        <f t="shared" si="83"/>
        <v>21680303</v>
      </c>
      <c r="C1074" s="4" t="str">
        <f t="shared" si="84"/>
        <v>GSE14095</v>
      </c>
      <c r="D1074" s="1" t="s">
        <v>45</v>
      </c>
      <c r="E1074" t="s">
        <v>68</v>
      </c>
      <c r="F1074" s="1">
        <v>2</v>
      </c>
      <c r="G1074" s="1" t="s">
        <v>32</v>
      </c>
      <c r="H1074" s="4" t="str">
        <f>HYPERLINK("https://www.ncbi.nlm.nih.gov/geo/query/acc.cgi?acc=GSM353786","GSM353786")</f>
        <v>GSM353786</v>
      </c>
      <c r="I1074" t="s">
        <v>69</v>
      </c>
      <c r="J1074" t="s">
        <v>18</v>
      </c>
      <c r="K1074" t="s">
        <v>33</v>
      </c>
      <c r="L1074" t="s">
        <v>70</v>
      </c>
      <c r="N1074" t="s">
        <v>29</v>
      </c>
    </row>
    <row r="1075" spans="1:14">
      <c r="A1075" s="4" t="str">
        <f t="shared" si="82"/>
        <v>EXP00021</v>
      </c>
      <c r="B1075" s="4" t="str">
        <f t="shared" si="83"/>
        <v>21680303</v>
      </c>
      <c r="C1075" s="4" t="str">
        <f t="shared" si="84"/>
        <v>GSE14095</v>
      </c>
      <c r="D1075" s="1" t="s">
        <v>45</v>
      </c>
      <c r="E1075" t="s">
        <v>68</v>
      </c>
      <c r="F1075" s="1">
        <v>2</v>
      </c>
      <c r="G1075" s="1" t="s">
        <v>32</v>
      </c>
      <c r="H1075" s="4" t="str">
        <f>HYPERLINK("https://www.ncbi.nlm.nih.gov/geo/query/acc.cgi?acc=GSM353787","GSM353787")</f>
        <v>GSM353787</v>
      </c>
      <c r="I1075" t="s">
        <v>69</v>
      </c>
      <c r="J1075" t="s">
        <v>18</v>
      </c>
      <c r="K1075" t="s">
        <v>33</v>
      </c>
      <c r="L1075" t="s">
        <v>70</v>
      </c>
      <c r="N1075" t="s">
        <v>29</v>
      </c>
    </row>
    <row r="1076" spans="1:14">
      <c r="A1076" s="4" t="str">
        <f t="shared" si="82"/>
        <v>EXP00021</v>
      </c>
      <c r="B1076" s="4" t="str">
        <f t="shared" si="83"/>
        <v>21680303</v>
      </c>
      <c r="C1076" s="4" t="str">
        <f t="shared" si="84"/>
        <v>GSE14095</v>
      </c>
      <c r="D1076" s="1" t="s">
        <v>45</v>
      </c>
      <c r="E1076" t="s">
        <v>68</v>
      </c>
      <c r="F1076" s="1">
        <v>2</v>
      </c>
      <c r="G1076" s="1" t="s">
        <v>32</v>
      </c>
      <c r="H1076" s="4" t="str">
        <f>HYPERLINK("https://www.ncbi.nlm.nih.gov/geo/query/acc.cgi?acc=GSM353788","GSM353788")</f>
        <v>GSM353788</v>
      </c>
      <c r="I1076" t="s">
        <v>69</v>
      </c>
      <c r="J1076" t="s">
        <v>18</v>
      </c>
      <c r="K1076" t="s">
        <v>33</v>
      </c>
      <c r="L1076" t="s">
        <v>70</v>
      </c>
      <c r="N1076" t="s">
        <v>29</v>
      </c>
    </row>
    <row r="1077" spans="1:14">
      <c r="A1077" s="4" t="str">
        <f t="shared" si="82"/>
        <v>EXP00021</v>
      </c>
      <c r="B1077" s="4" t="str">
        <f t="shared" si="83"/>
        <v>21680303</v>
      </c>
      <c r="C1077" s="4" t="str">
        <f t="shared" si="84"/>
        <v>GSE14095</v>
      </c>
      <c r="D1077" s="1" t="s">
        <v>45</v>
      </c>
      <c r="E1077" t="s">
        <v>68</v>
      </c>
      <c r="F1077" s="1">
        <v>2</v>
      </c>
      <c r="G1077" s="1" t="s">
        <v>32</v>
      </c>
      <c r="H1077" s="4" t="str">
        <f>HYPERLINK("https://www.ncbi.nlm.nih.gov/geo/query/acc.cgi?acc=GSM353789","GSM353789")</f>
        <v>GSM353789</v>
      </c>
      <c r="I1077" t="s">
        <v>69</v>
      </c>
      <c r="J1077" t="s">
        <v>18</v>
      </c>
      <c r="K1077" t="s">
        <v>33</v>
      </c>
      <c r="L1077" t="s">
        <v>70</v>
      </c>
      <c r="N1077" t="s">
        <v>29</v>
      </c>
    </row>
    <row r="1078" spans="1:14">
      <c r="A1078" s="4" t="str">
        <f t="shared" si="82"/>
        <v>EXP00021</v>
      </c>
      <c r="B1078" s="4" t="str">
        <f t="shared" si="83"/>
        <v>21680303</v>
      </c>
      <c r="C1078" s="4" t="str">
        <f t="shared" si="84"/>
        <v>GSE14095</v>
      </c>
      <c r="D1078" s="1" t="s">
        <v>45</v>
      </c>
      <c r="E1078" t="s">
        <v>68</v>
      </c>
      <c r="F1078" s="1">
        <v>2</v>
      </c>
      <c r="G1078" s="1" t="s">
        <v>32</v>
      </c>
      <c r="H1078" s="4" t="str">
        <f>HYPERLINK("https://www.ncbi.nlm.nih.gov/geo/query/acc.cgi?acc=GSM353790","GSM353790")</f>
        <v>GSM353790</v>
      </c>
      <c r="I1078" t="s">
        <v>69</v>
      </c>
      <c r="J1078" t="s">
        <v>18</v>
      </c>
      <c r="K1078" t="s">
        <v>33</v>
      </c>
      <c r="L1078" t="s">
        <v>70</v>
      </c>
      <c r="N1078" t="s">
        <v>29</v>
      </c>
    </row>
    <row r="1079" spans="1:14">
      <c r="A1079" s="4" t="str">
        <f t="shared" ref="A1079:A1110" si="85">HYPERLINK("http://hcmdb.i-sanger.com/experiment/details/experiment_id/EXP00021","EXP00021")</f>
        <v>EXP00021</v>
      </c>
      <c r="B1079" s="4" t="str">
        <f t="shared" ref="B1079:B1110" si="86">HYPERLINK("https://www.ncbi.nlm.nih.gov/pubmed/21680303","21680303")</f>
        <v>21680303</v>
      </c>
      <c r="C1079" s="4" t="str">
        <f t="shared" ref="C1079:C1110" si="87">HYPERLINK("https://www.ncbi.nlm.nih.gov/geo/query/acc.cgi?acc=GSE14095","GSE14095")</f>
        <v>GSE14095</v>
      </c>
      <c r="D1079" s="1" t="s">
        <v>45</v>
      </c>
      <c r="E1079" t="s">
        <v>68</v>
      </c>
      <c r="F1079" s="1">
        <v>2</v>
      </c>
      <c r="G1079" s="1" t="s">
        <v>32</v>
      </c>
      <c r="H1079" s="4" t="str">
        <f>HYPERLINK("https://www.ncbi.nlm.nih.gov/geo/query/acc.cgi?acc=GSM353791","GSM353791")</f>
        <v>GSM353791</v>
      </c>
      <c r="I1079" t="s">
        <v>69</v>
      </c>
      <c r="J1079" t="s">
        <v>18</v>
      </c>
      <c r="K1079" t="s">
        <v>33</v>
      </c>
      <c r="L1079" t="s">
        <v>70</v>
      </c>
      <c r="N1079" t="s">
        <v>29</v>
      </c>
    </row>
    <row r="1080" spans="1:14">
      <c r="A1080" s="4" t="str">
        <f t="shared" si="85"/>
        <v>EXP00021</v>
      </c>
      <c r="B1080" s="4" t="str">
        <f t="shared" si="86"/>
        <v>21680303</v>
      </c>
      <c r="C1080" s="4" t="str">
        <f t="shared" si="87"/>
        <v>GSE14095</v>
      </c>
      <c r="D1080" s="1" t="s">
        <v>45</v>
      </c>
      <c r="E1080" t="s">
        <v>68</v>
      </c>
      <c r="F1080" s="1">
        <v>2</v>
      </c>
      <c r="G1080" s="1" t="s">
        <v>32</v>
      </c>
      <c r="H1080" s="4" t="str">
        <f>HYPERLINK("https://www.ncbi.nlm.nih.gov/geo/query/acc.cgi?acc=GSM353792","GSM353792")</f>
        <v>GSM353792</v>
      </c>
      <c r="I1080" t="s">
        <v>69</v>
      </c>
      <c r="J1080" t="s">
        <v>18</v>
      </c>
      <c r="K1080" t="s">
        <v>33</v>
      </c>
      <c r="L1080" t="s">
        <v>70</v>
      </c>
      <c r="N1080" t="s">
        <v>29</v>
      </c>
    </row>
    <row r="1081" spans="1:14">
      <c r="A1081" s="4" t="str">
        <f t="shared" si="85"/>
        <v>EXP00021</v>
      </c>
      <c r="B1081" s="4" t="str">
        <f t="shared" si="86"/>
        <v>21680303</v>
      </c>
      <c r="C1081" s="4" t="str">
        <f t="shared" si="87"/>
        <v>GSE14095</v>
      </c>
      <c r="D1081" s="1" t="s">
        <v>45</v>
      </c>
      <c r="E1081" t="s">
        <v>68</v>
      </c>
      <c r="F1081" s="1">
        <v>2</v>
      </c>
      <c r="G1081" s="1" t="s">
        <v>32</v>
      </c>
      <c r="H1081" s="4" t="str">
        <f>HYPERLINK("https://www.ncbi.nlm.nih.gov/geo/query/acc.cgi?acc=GSM353793","GSM353793")</f>
        <v>GSM353793</v>
      </c>
      <c r="I1081" t="s">
        <v>69</v>
      </c>
      <c r="J1081" t="s">
        <v>18</v>
      </c>
      <c r="K1081" t="s">
        <v>33</v>
      </c>
      <c r="L1081" t="s">
        <v>70</v>
      </c>
      <c r="N1081" t="s">
        <v>29</v>
      </c>
    </row>
    <row r="1082" spans="1:14">
      <c r="A1082" s="4" t="str">
        <f t="shared" si="85"/>
        <v>EXP00021</v>
      </c>
      <c r="B1082" s="4" t="str">
        <f t="shared" si="86"/>
        <v>21680303</v>
      </c>
      <c r="C1082" s="4" t="str">
        <f t="shared" si="87"/>
        <v>GSE14095</v>
      </c>
      <c r="D1082" s="1" t="s">
        <v>45</v>
      </c>
      <c r="E1082" t="s">
        <v>68</v>
      </c>
      <c r="F1082" s="1">
        <v>2</v>
      </c>
      <c r="G1082" s="1" t="s">
        <v>32</v>
      </c>
      <c r="H1082" s="4" t="str">
        <f>HYPERLINK("https://www.ncbi.nlm.nih.gov/geo/query/acc.cgi?acc=GSM353794","GSM353794")</f>
        <v>GSM353794</v>
      </c>
      <c r="I1082" t="s">
        <v>69</v>
      </c>
      <c r="J1082" t="s">
        <v>18</v>
      </c>
      <c r="K1082" t="s">
        <v>33</v>
      </c>
      <c r="L1082" t="s">
        <v>70</v>
      </c>
      <c r="N1082" t="s">
        <v>29</v>
      </c>
    </row>
    <row r="1083" spans="1:14">
      <c r="A1083" s="4" t="str">
        <f t="shared" si="85"/>
        <v>EXP00021</v>
      </c>
      <c r="B1083" s="4" t="str">
        <f t="shared" si="86"/>
        <v>21680303</v>
      </c>
      <c r="C1083" s="4" t="str">
        <f t="shared" si="87"/>
        <v>GSE14095</v>
      </c>
      <c r="D1083" s="1" t="s">
        <v>45</v>
      </c>
      <c r="E1083" t="s">
        <v>68</v>
      </c>
      <c r="F1083" s="1">
        <v>2</v>
      </c>
      <c r="G1083" s="1" t="s">
        <v>32</v>
      </c>
      <c r="H1083" s="4" t="str">
        <f>HYPERLINK("https://www.ncbi.nlm.nih.gov/geo/query/acc.cgi?acc=GSM353795","GSM353795")</f>
        <v>GSM353795</v>
      </c>
      <c r="I1083" t="s">
        <v>69</v>
      </c>
      <c r="J1083" t="s">
        <v>18</v>
      </c>
      <c r="K1083" t="s">
        <v>33</v>
      </c>
      <c r="L1083" t="s">
        <v>70</v>
      </c>
      <c r="N1083" t="s">
        <v>29</v>
      </c>
    </row>
    <row r="1084" spans="1:14">
      <c r="A1084" s="4" t="str">
        <f t="shared" si="85"/>
        <v>EXP00021</v>
      </c>
      <c r="B1084" s="4" t="str">
        <f t="shared" si="86"/>
        <v>21680303</v>
      </c>
      <c r="C1084" s="4" t="str">
        <f t="shared" si="87"/>
        <v>GSE14095</v>
      </c>
      <c r="D1084" s="1" t="s">
        <v>45</v>
      </c>
      <c r="E1084" t="s">
        <v>68</v>
      </c>
      <c r="F1084" s="1">
        <v>2</v>
      </c>
      <c r="G1084" s="1" t="s">
        <v>32</v>
      </c>
      <c r="H1084" s="4" t="str">
        <f>HYPERLINK("https://www.ncbi.nlm.nih.gov/geo/query/acc.cgi?acc=GSM353796","GSM353796")</f>
        <v>GSM353796</v>
      </c>
      <c r="I1084" t="s">
        <v>69</v>
      </c>
      <c r="J1084" t="s">
        <v>18</v>
      </c>
      <c r="K1084" t="s">
        <v>33</v>
      </c>
      <c r="L1084" t="s">
        <v>70</v>
      </c>
      <c r="N1084" t="s">
        <v>29</v>
      </c>
    </row>
    <row r="1085" spans="1:14">
      <c r="A1085" s="4" t="str">
        <f t="shared" si="85"/>
        <v>EXP00021</v>
      </c>
      <c r="B1085" s="4" t="str">
        <f t="shared" si="86"/>
        <v>21680303</v>
      </c>
      <c r="C1085" s="4" t="str">
        <f t="shared" si="87"/>
        <v>GSE14095</v>
      </c>
      <c r="D1085" s="1" t="s">
        <v>45</v>
      </c>
      <c r="E1085" t="s">
        <v>68</v>
      </c>
      <c r="F1085" s="1">
        <v>2</v>
      </c>
      <c r="G1085" s="1" t="s">
        <v>32</v>
      </c>
      <c r="H1085" s="4" t="str">
        <f>HYPERLINK("https://www.ncbi.nlm.nih.gov/geo/query/acc.cgi?acc=GSM353798","GSM353798")</f>
        <v>GSM353798</v>
      </c>
      <c r="I1085" t="s">
        <v>69</v>
      </c>
      <c r="J1085" t="s">
        <v>18</v>
      </c>
      <c r="K1085" t="s">
        <v>33</v>
      </c>
      <c r="L1085" t="s">
        <v>70</v>
      </c>
      <c r="N1085" t="s">
        <v>29</v>
      </c>
    </row>
    <row r="1086" spans="1:14">
      <c r="A1086" s="4" t="str">
        <f t="shared" si="85"/>
        <v>EXP00021</v>
      </c>
      <c r="B1086" s="4" t="str">
        <f t="shared" si="86"/>
        <v>21680303</v>
      </c>
      <c r="C1086" s="4" t="str">
        <f t="shared" si="87"/>
        <v>GSE14095</v>
      </c>
      <c r="D1086" s="1" t="s">
        <v>45</v>
      </c>
      <c r="E1086" t="s">
        <v>68</v>
      </c>
      <c r="F1086" s="1">
        <v>2</v>
      </c>
      <c r="G1086" s="1" t="s">
        <v>32</v>
      </c>
      <c r="H1086" s="4" t="str">
        <f>HYPERLINK("https://www.ncbi.nlm.nih.gov/geo/query/acc.cgi?acc=GSM353801","GSM353801")</f>
        <v>GSM353801</v>
      </c>
      <c r="I1086" t="s">
        <v>69</v>
      </c>
      <c r="J1086" t="s">
        <v>18</v>
      </c>
      <c r="K1086" t="s">
        <v>33</v>
      </c>
      <c r="L1086" t="s">
        <v>70</v>
      </c>
      <c r="N1086" t="s">
        <v>29</v>
      </c>
    </row>
    <row r="1087" spans="1:14">
      <c r="A1087" s="4" t="str">
        <f t="shared" si="85"/>
        <v>EXP00021</v>
      </c>
      <c r="B1087" s="4" t="str">
        <f t="shared" si="86"/>
        <v>21680303</v>
      </c>
      <c r="C1087" s="4" t="str">
        <f t="shared" si="87"/>
        <v>GSE14095</v>
      </c>
      <c r="D1087" s="1" t="s">
        <v>45</v>
      </c>
      <c r="E1087" t="s">
        <v>68</v>
      </c>
      <c r="F1087" s="1">
        <v>2</v>
      </c>
      <c r="G1087" s="1" t="s">
        <v>32</v>
      </c>
      <c r="H1087" s="4" t="str">
        <f>HYPERLINK("https://www.ncbi.nlm.nih.gov/geo/query/acc.cgi?acc=GSM353803","GSM353803")</f>
        <v>GSM353803</v>
      </c>
      <c r="I1087" t="s">
        <v>69</v>
      </c>
      <c r="J1087" t="s">
        <v>18</v>
      </c>
      <c r="K1087" t="s">
        <v>33</v>
      </c>
      <c r="L1087" t="s">
        <v>70</v>
      </c>
      <c r="N1087" t="s">
        <v>29</v>
      </c>
    </row>
    <row r="1088" spans="1:14">
      <c r="A1088" s="4" t="str">
        <f t="shared" si="85"/>
        <v>EXP00021</v>
      </c>
      <c r="B1088" s="4" t="str">
        <f t="shared" si="86"/>
        <v>21680303</v>
      </c>
      <c r="C1088" s="4" t="str">
        <f t="shared" si="87"/>
        <v>GSE14095</v>
      </c>
      <c r="D1088" s="1" t="s">
        <v>45</v>
      </c>
      <c r="E1088" t="s">
        <v>68</v>
      </c>
      <c r="F1088" s="1">
        <v>2</v>
      </c>
      <c r="G1088" s="1" t="s">
        <v>32</v>
      </c>
      <c r="H1088" s="4" t="str">
        <f>HYPERLINK("https://www.ncbi.nlm.nih.gov/geo/query/acc.cgi?acc=GSM353804","GSM353804")</f>
        <v>GSM353804</v>
      </c>
      <c r="I1088" t="s">
        <v>69</v>
      </c>
      <c r="J1088" t="s">
        <v>18</v>
      </c>
      <c r="K1088" t="s">
        <v>33</v>
      </c>
      <c r="L1088" t="s">
        <v>70</v>
      </c>
      <c r="N1088" t="s">
        <v>29</v>
      </c>
    </row>
    <row r="1089" spans="1:14">
      <c r="A1089" s="4" t="str">
        <f t="shared" si="85"/>
        <v>EXP00021</v>
      </c>
      <c r="B1089" s="4" t="str">
        <f t="shared" si="86"/>
        <v>21680303</v>
      </c>
      <c r="C1089" s="4" t="str">
        <f t="shared" si="87"/>
        <v>GSE14095</v>
      </c>
      <c r="D1089" s="1" t="s">
        <v>45</v>
      </c>
      <c r="E1089" t="s">
        <v>68</v>
      </c>
      <c r="F1089" s="1">
        <v>2</v>
      </c>
      <c r="G1089" s="1" t="s">
        <v>32</v>
      </c>
      <c r="H1089" s="4" t="str">
        <f>HYPERLINK("https://www.ncbi.nlm.nih.gov/geo/query/acc.cgi?acc=GSM353805","GSM353805")</f>
        <v>GSM353805</v>
      </c>
      <c r="I1089" t="s">
        <v>69</v>
      </c>
      <c r="J1089" t="s">
        <v>18</v>
      </c>
      <c r="K1089" t="s">
        <v>33</v>
      </c>
      <c r="L1089" t="s">
        <v>70</v>
      </c>
      <c r="N1089" t="s">
        <v>29</v>
      </c>
    </row>
    <row r="1090" spans="1:14">
      <c r="A1090" s="4" t="str">
        <f t="shared" si="85"/>
        <v>EXP00021</v>
      </c>
      <c r="B1090" s="4" t="str">
        <f t="shared" si="86"/>
        <v>21680303</v>
      </c>
      <c r="C1090" s="4" t="str">
        <f t="shared" si="87"/>
        <v>GSE14095</v>
      </c>
      <c r="D1090" s="1" t="s">
        <v>45</v>
      </c>
      <c r="E1090" t="s">
        <v>68</v>
      </c>
      <c r="F1090" s="1">
        <v>2</v>
      </c>
      <c r="G1090" s="1" t="s">
        <v>32</v>
      </c>
      <c r="H1090" s="4" t="str">
        <f>HYPERLINK("https://www.ncbi.nlm.nih.gov/geo/query/acc.cgi?acc=GSM353806","GSM353806")</f>
        <v>GSM353806</v>
      </c>
      <c r="I1090" t="s">
        <v>69</v>
      </c>
      <c r="J1090" t="s">
        <v>18</v>
      </c>
      <c r="K1090" t="s">
        <v>33</v>
      </c>
      <c r="L1090" t="s">
        <v>70</v>
      </c>
      <c r="N1090" t="s">
        <v>29</v>
      </c>
    </row>
    <row r="1091" spans="1:14">
      <c r="A1091" s="4" t="str">
        <f t="shared" si="85"/>
        <v>EXP00021</v>
      </c>
      <c r="B1091" s="4" t="str">
        <f t="shared" si="86"/>
        <v>21680303</v>
      </c>
      <c r="C1091" s="4" t="str">
        <f t="shared" si="87"/>
        <v>GSE14095</v>
      </c>
      <c r="D1091" s="1" t="s">
        <v>45</v>
      </c>
      <c r="E1091" t="s">
        <v>68</v>
      </c>
      <c r="F1091" s="1">
        <v>2</v>
      </c>
      <c r="G1091" s="1" t="s">
        <v>32</v>
      </c>
      <c r="H1091" s="4" t="str">
        <f>HYPERLINK("https://www.ncbi.nlm.nih.gov/geo/query/acc.cgi?acc=GSM353807","GSM353807")</f>
        <v>GSM353807</v>
      </c>
      <c r="I1091" t="s">
        <v>69</v>
      </c>
      <c r="J1091" t="s">
        <v>18</v>
      </c>
      <c r="K1091" t="s">
        <v>33</v>
      </c>
      <c r="L1091" t="s">
        <v>70</v>
      </c>
      <c r="N1091" t="s">
        <v>29</v>
      </c>
    </row>
    <row r="1092" spans="1:14">
      <c r="A1092" s="4" t="str">
        <f t="shared" si="85"/>
        <v>EXP00021</v>
      </c>
      <c r="B1092" s="4" t="str">
        <f t="shared" si="86"/>
        <v>21680303</v>
      </c>
      <c r="C1092" s="4" t="str">
        <f t="shared" si="87"/>
        <v>GSE14095</v>
      </c>
      <c r="D1092" s="1" t="s">
        <v>45</v>
      </c>
      <c r="E1092" t="s">
        <v>68</v>
      </c>
      <c r="F1092" s="1">
        <v>2</v>
      </c>
      <c r="G1092" s="1" t="s">
        <v>32</v>
      </c>
      <c r="H1092" s="4" t="str">
        <f>HYPERLINK("https://www.ncbi.nlm.nih.gov/geo/query/acc.cgi?acc=GSM353808","GSM353808")</f>
        <v>GSM353808</v>
      </c>
      <c r="I1092" t="s">
        <v>69</v>
      </c>
      <c r="J1092" t="s">
        <v>18</v>
      </c>
      <c r="K1092" t="s">
        <v>33</v>
      </c>
      <c r="L1092" t="s">
        <v>70</v>
      </c>
      <c r="N1092" t="s">
        <v>29</v>
      </c>
    </row>
    <row r="1093" spans="1:14">
      <c r="A1093" s="4" t="str">
        <f t="shared" si="85"/>
        <v>EXP00021</v>
      </c>
      <c r="B1093" s="4" t="str">
        <f t="shared" si="86"/>
        <v>21680303</v>
      </c>
      <c r="C1093" s="4" t="str">
        <f t="shared" si="87"/>
        <v>GSE14095</v>
      </c>
      <c r="D1093" s="1" t="s">
        <v>45</v>
      </c>
      <c r="E1093" t="s">
        <v>68</v>
      </c>
      <c r="F1093" s="1">
        <v>2</v>
      </c>
      <c r="G1093" s="1" t="s">
        <v>32</v>
      </c>
      <c r="H1093" s="4" t="str">
        <f>HYPERLINK("https://www.ncbi.nlm.nih.gov/geo/query/acc.cgi?acc=GSM353809","GSM353809")</f>
        <v>GSM353809</v>
      </c>
      <c r="I1093" t="s">
        <v>69</v>
      </c>
      <c r="J1093" t="s">
        <v>18</v>
      </c>
      <c r="K1093" t="s">
        <v>33</v>
      </c>
      <c r="L1093" t="s">
        <v>70</v>
      </c>
      <c r="N1093" t="s">
        <v>29</v>
      </c>
    </row>
    <row r="1094" spans="1:14">
      <c r="A1094" s="4" t="str">
        <f t="shared" si="85"/>
        <v>EXP00021</v>
      </c>
      <c r="B1094" s="4" t="str">
        <f t="shared" si="86"/>
        <v>21680303</v>
      </c>
      <c r="C1094" s="4" t="str">
        <f t="shared" si="87"/>
        <v>GSE14095</v>
      </c>
      <c r="D1094" s="1" t="s">
        <v>45</v>
      </c>
      <c r="E1094" t="s">
        <v>68</v>
      </c>
      <c r="F1094" s="1">
        <v>2</v>
      </c>
      <c r="G1094" s="1" t="s">
        <v>32</v>
      </c>
      <c r="H1094" s="4" t="str">
        <f>HYPERLINK("https://www.ncbi.nlm.nih.gov/geo/query/acc.cgi?acc=GSM353811","GSM353811")</f>
        <v>GSM353811</v>
      </c>
      <c r="I1094" t="s">
        <v>69</v>
      </c>
      <c r="J1094" t="s">
        <v>18</v>
      </c>
      <c r="K1094" t="s">
        <v>33</v>
      </c>
      <c r="L1094" t="s">
        <v>70</v>
      </c>
      <c r="N1094" t="s">
        <v>29</v>
      </c>
    </row>
    <row r="1095" spans="1:14">
      <c r="A1095" s="4" t="str">
        <f t="shared" si="85"/>
        <v>EXP00021</v>
      </c>
      <c r="B1095" s="4" t="str">
        <f t="shared" si="86"/>
        <v>21680303</v>
      </c>
      <c r="C1095" s="4" t="str">
        <f t="shared" si="87"/>
        <v>GSE14095</v>
      </c>
      <c r="D1095" s="1" t="s">
        <v>45</v>
      </c>
      <c r="E1095" t="s">
        <v>68</v>
      </c>
      <c r="F1095" s="1">
        <v>2</v>
      </c>
      <c r="G1095" s="1" t="s">
        <v>32</v>
      </c>
      <c r="H1095" s="4" t="str">
        <f>HYPERLINK("https://www.ncbi.nlm.nih.gov/geo/query/acc.cgi?acc=GSM353812","GSM353812")</f>
        <v>GSM353812</v>
      </c>
      <c r="I1095" t="s">
        <v>69</v>
      </c>
      <c r="J1095" t="s">
        <v>18</v>
      </c>
      <c r="K1095" t="s">
        <v>33</v>
      </c>
      <c r="L1095" t="s">
        <v>70</v>
      </c>
      <c r="N1095" t="s">
        <v>29</v>
      </c>
    </row>
    <row r="1096" spans="1:14">
      <c r="A1096" s="4" t="str">
        <f t="shared" si="85"/>
        <v>EXP00021</v>
      </c>
      <c r="B1096" s="4" t="str">
        <f t="shared" si="86"/>
        <v>21680303</v>
      </c>
      <c r="C1096" s="4" t="str">
        <f t="shared" si="87"/>
        <v>GSE14095</v>
      </c>
      <c r="D1096" s="1" t="s">
        <v>45</v>
      </c>
      <c r="E1096" t="s">
        <v>68</v>
      </c>
      <c r="F1096" s="1">
        <v>2</v>
      </c>
      <c r="G1096" s="1" t="s">
        <v>32</v>
      </c>
      <c r="H1096" s="4" t="str">
        <f>HYPERLINK("https://www.ncbi.nlm.nih.gov/geo/query/acc.cgi?acc=GSM353814","GSM353814")</f>
        <v>GSM353814</v>
      </c>
      <c r="I1096" t="s">
        <v>69</v>
      </c>
      <c r="J1096" t="s">
        <v>18</v>
      </c>
      <c r="K1096" t="s">
        <v>33</v>
      </c>
      <c r="L1096" t="s">
        <v>70</v>
      </c>
      <c r="N1096" t="s">
        <v>29</v>
      </c>
    </row>
    <row r="1097" spans="1:14">
      <c r="A1097" s="4" t="str">
        <f t="shared" si="85"/>
        <v>EXP00021</v>
      </c>
      <c r="B1097" s="4" t="str">
        <f t="shared" si="86"/>
        <v>21680303</v>
      </c>
      <c r="C1097" s="4" t="str">
        <f t="shared" si="87"/>
        <v>GSE14095</v>
      </c>
      <c r="D1097" s="1" t="s">
        <v>45</v>
      </c>
      <c r="E1097" t="s">
        <v>68</v>
      </c>
      <c r="F1097" s="1">
        <v>2</v>
      </c>
      <c r="G1097" s="1" t="s">
        <v>32</v>
      </c>
      <c r="H1097" s="4" t="str">
        <f>HYPERLINK("https://www.ncbi.nlm.nih.gov/geo/query/acc.cgi?acc=GSM353815","GSM353815")</f>
        <v>GSM353815</v>
      </c>
      <c r="I1097" t="s">
        <v>69</v>
      </c>
      <c r="J1097" t="s">
        <v>18</v>
      </c>
      <c r="K1097" t="s">
        <v>33</v>
      </c>
      <c r="L1097" t="s">
        <v>70</v>
      </c>
      <c r="N1097" t="s">
        <v>29</v>
      </c>
    </row>
    <row r="1098" spans="1:14">
      <c r="A1098" s="4" t="str">
        <f t="shared" si="85"/>
        <v>EXP00021</v>
      </c>
      <c r="B1098" s="4" t="str">
        <f t="shared" si="86"/>
        <v>21680303</v>
      </c>
      <c r="C1098" s="4" t="str">
        <f t="shared" si="87"/>
        <v>GSE14095</v>
      </c>
      <c r="D1098" s="1" t="s">
        <v>45</v>
      </c>
      <c r="E1098" t="s">
        <v>68</v>
      </c>
      <c r="F1098" s="1">
        <v>2</v>
      </c>
      <c r="G1098" s="1" t="s">
        <v>32</v>
      </c>
      <c r="H1098" s="4" t="str">
        <f>HYPERLINK("https://www.ncbi.nlm.nih.gov/geo/query/acc.cgi?acc=GSM353816","GSM353816")</f>
        <v>GSM353816</v>
      </c>
      <c r="I1098" t="s">
        <v>69</v>
      </c>
      <c r="J1098" t="s">
        <v>18</v>
      </c>
      <c r="K1098" t="s">
        <v>33</v>
      </c>
      <c r="L1098" t="s">
        <v>70</v>
      </c>
      <c r="N1098" t="s">
        <v>29</v>
      </c>
    </row>
    <row r="1099" spans="1:14">
      <c r="A1099" s="4" t="str">
        <f t="shared" si="85"/>
        <v>EXP00021</v>
      </c>
      <c r="B1099" s="4" t="str">
        <f t="shared" si="86"/>
        <v>21680303</v>
      </c>
      <c r="C1099" s="4" t="str">
        <f t="shared" si="87"/>
        <v>GSE14095</v>
      </c>
      <c r="D1099" s="1" t="s">
        <v>45</v>
      </c>
      <c r="E1099" t="s">
        <v>68</v>
      </c>
      <c r="F1099" s="1">
        <v>2</v>
      </c>
      <c r="G1099" s="1" t="s">
        <v>32</v>
      </c>
      <c r="H1099" s="4" t="str">
        <f>HYPERLINK("https://www.ncbi.nlm.nih.gov/geo/query/acc.cgi?acc=GSM353817","GSM353817")</f>
        <v>GSM353817</v>
      </c>
      <c r="I1099" t="s">
        <v>69</v>
      </c>
      <c r="J1099" t="s">
        <v>18</v>
      </c>
      <c r="K1099" t="s">
        <v>33</v>
      </c>
      <c r="L1099" t="s">
        <v>70</v>
      </c>
      <c r="N1099" t="s">
        <v>29</v>
      </c>
    </row>
    <row r="1100" spans="1:14">
      <c r="A1100" s="4" t="str">
        <f t="shared" si="85"/>
        <v>EXP00021</v>
      </c>
      <c r="B1100" s="4" t="str">
        <f t="shared" si="86"/>
        <v>21680303</v>
      </c>
      <c r="C1100" s="4" t="str">
        <f t="shared" si="87"/>
        <v>GSE14095</v>
      </c>
      <c r="D1100" s="1" t="s">
        <v>45</v>
      </c>
      <c r="E1100" t="s">
        <v>68</v>
      </c>
      <c r="F1100" s="1">
        <v>2</v>
      </c>
      <c r="G1100" s="1" t="s">
        <v>32</v>
      </c>
      <c r="H1100" s="4" t="str">
        <f>HYPERLINK("https://www.ncbi.nlm.nih.gov/geo/query/acc.cgi?acc=GSM353818","GSM353818")</f>
        <v>GSM353818</v>
      </c>
      <c r="I1100" t="s">
        <v>69</v>
      </c>
      <c r="J1100" t="s">
        <v>18</v>
      </c>
      <c r="K1100" t="s">
        <v>33</v>
      </c>
      <c r="L1100" t="s">
        <v>70</v>
      </c>
      <c r="N1100" t="s">
        <v>29</v>
      </c>
    </row>
    <row r="1101" spans="1:14">
      <c r="A1101" s="4" t="str">
        <f t="shared" si="85"/>
        <v>EXP00021</v>
      </c>
      <c r="B1101" s="4" t="str">
        <f t="shared" si="86"/>
        <v>21680303</v>
      </c>
      <c r="C1101" s="4" t="str">
        <f t="shared" si="87"/>
        <v>GSE14095</v>
      </c>
      <c r="D1101" s="1" t="s">
        <v>45</v>
      </c>
      <c r="E1101" t="s">
        <v>68</v>
      </c>
      <c r="F1101" s="1">
        <v>2</v>
      </c>
      <c r="G1101" s="1" t="s">
        <v>32</v>
      </c>
      <c r="H1101" s="4" t="str">
        <f>HYPERLINK("https://www.ncbi.nlm.nih.gov/geo/query/acc.cgi?acc=GSM353819","GSM353819")</f>
        <v>GSM353819</v>
      </c>
      <c r="I1101" t="s">
        <v>69</v>
      </c>
      <c r="J1101" t="s">
        <v>18</v>
      </c>
      <c r="K1101" t="s">
        <v>33</v>
      </c>
      <c r="L1101" t="s">
        <v>70</v>
      </c>
      <c r="N1101" t="s">
        <v>29</v>
      </c>
    </row>
    <row r="1102" spans="1:14">
      <c r="A1102" s="4" t="str">
        <f t="shared" si="85"/>
        <v>EXP00021</v>
      </c>
      <c r="B1102" s="4" t="str">
        <f t="shared" si="86"/>
        <v>21680303</v>
      </c>
      <c r="C1102" s="4" t="str">
        <f t="shared" si="87"/>
        <v>GSE14095</v>
      </c>
      <c r="D1102" s="1" t="s">
        <v>45</v>
      </c>
      <c r="E1102" t="s">
        <v>68</v>
      </c>
      <c r="F1102" s="1">
        <v>2</v>
      </c>
      <c r="G1102" s="1" t="s">
        <v>32</v>
      </c>
      <c r="H1102" s="4" t="str">
        <f>HYPERLINK("https://www.ncbi.nlm.nih.gov/geo/query/acc.cgi?acc=GSM353820","GSM353820")</f>
        <v>GSM353820</v>
      </c>
      <c r="I1102" t="s">
        <v>69</v>
      </c>
      <c r="J1102" t="s">
        <v>18</v>
      </c>
      <c r="K1102" t="s">
        <v>33</v>
      </c>
      <c r="L1102" t="s">
        <v>70</v>
      </c>
      <c r="N1102" t="s">
        <v>29</v>
      </c>
    </row>
    <row r="1103" spans="1:14">
      <c r="A1103" s="4" t="str">
        <f t="shared" si="85"/>
        <v>EXP00021</v>
      </c>
      <c r="B1103" s="4" t="str">
        <f t="shared" si="86"/>
        <v>21680303</v>
      </c>
      <c r="C1103" s="4" t="str">
        <f t="shared" si="87"/>
        <v>GSE14095</v>
      </c>
      <c r="D1103" s="1" t="s">
        <v>45</v>
      </c>
      <c r="E1103" t="s">
        <v>68</v>
      </c>
      <c r="F1103" s="1">
        <v>2</v>
      </c>
      <c r="G1103" s="1" t="s">
        <v>32</v>
      </c>
      <c r="H1103" s="4" t="str">
        <f>HYPERLINK("https://www.ncbi.nlm.nih.gov/geo/query/acc.cgi?acc=GSM353821","GSM353821")</f>
        <v>GSM353821</v>
      </c>
      <c r="I1103" t="s">
        <v>69</v>
      </c>
      <c r="J1103" t="s">
        <v>18</v>
      </c>
      <c r="K1103" t="s">
        <v>33</v>
      </c>
      <c r="L1103" t="s">
        <v>70</v>
      </c>
      <c r="N1103" t="s">
        <v>29</v>
      </c>
    </row>
    <row r="1104" spans="1:14">
      <c r="A1104" s="4" t="str">
        <f t="shared" si="85"/>
        <v>EXP00021</v>
      </c>
      <c r="B1104" s="4" t="str">
        <f t="shared" si="86"/>
        <v>21680303</v>
      </c>
      <c r="C1104" s="4" t="str">
        <f t="shared" si="87"/>
        <v>GSE14095</v>
      </c>
      <c r="D1104" s="1" t="s">
        <v>45</v>
      </c>
      <c r="E1104" t="s">
        <v>68</v>
      </c>
      <c r="F1104" s="1">
        <v>2</v>
      </c>
      <c r="G1104" s="1" t="s">
        <v>32</v>
      </c>
      <c r="H1104" s="4" t="str">
        <f>HYPERLINK("https://www.ncbi.nlm.nih.gov/geo/query/acc.cgi?acc=GSM353822","GSM353822")</f>
        <v>GSM353822</v>
      </c>
      <c r="I1104" t="s">
        <v>69</v>
      </c>
      <c r="J1104" t="s">
        <v>18</v>
      </c>
      <c r="K1104" t="s">
        <v>33</v>
      </c>
      <c r="L1104" t="s">
        <v>70</v>
      </c>
      <c r="N1104" t="s">
        <v>29</v>
      </c>
    </row>
    <row r="1105" spans="1:14">
      <c r="A1105" s="4" t="str">
        <f t="shared" si="85"/>
        <v>EXP00021</v>
      </c>
      <c r="B1105" s="4" t="str">
        <f t="shared" si="86"/>
        <v>21680303</v>
      </c>
      <c r="C1105" s="4" t="str">
        <f t="shared" si="87"/>
        <v>GSE14095</v>
      </c>
      <c r="D1105" s="1" t="s">
        <v>45</v>
      </c>
      <c r="E1105" t="s">
        <v>68</v>
      </c>
      <c r="F1105" s="1">
        <v>2</v>
      </c>
      <c r="G1105" s="1" t="s">
        <v>32</v>
      </c>
      <c r="H1105" s="4" t="str">
        <f>HYPERLINK("https://www.ncbi.nlm.nih.gov/geo/query/acc.cgi?acc=GSM353823","GSM353823")</f>
        <v>GSM353823</v>
      </c>
      <c r="I1105" t="s">
        <v>69</v>
      </c>
      <c r="J1105" t="s">
        <v>18</v>
      </c>
      <c r="K1105" t="s">
        <v>33</v>
      </c>
      <c r="L1105" t="s">
        <v>70</v>
      </c>
      <c r="N1105" t="s">
        <v>29</v>
      </c>
    </row>
    <row r="1106" spans="1:14">
      <c r="A1106" s="4" t="str">
        <f t="shared" si="85"/>
        <v>EXP00021</v>
      </c>
      <c r="B1106" s="4" t="str">
        <f t="shared" si="86"/>
        <v>21680303</v>
      </c>
      <c r="C1106" s="4" t="str">
        <f t="shared" si="87"/>
        <v>GSE14095</v>
      </c>
      <c r="D1106" s="1" t="s">
        <v>45</v>
      </c>
      <c r="E1106" t="s">
        <v>68</v>
      </c>
      <c r="F1106" s="1">
        <v>2</v>
      </c>
      <c r="G1106" s="1" t="s">
        <v>32</v>
      </c>
      <c r="H1106" s="4" t="str">
        <f>HYPERLINK("https://www.ncbi.nlm.nih.gov/geo/query/acc.cgi?acc=GSM353825","GSM353825")</f>
        <v>GSM353825</v>
      </c>
      <c r="I1106" t="s">
        <v>69</v>
      </c>
      <c r="J1106" t="s">
        <v>18</v>
      </c>
      <c r="K1106" t="s">
        <v>33</v>
      </c>
      <c r="L1106" t="s">
        <v>70</v>
      </c>
      <c r="N1106" t="s">
        <v>29</v>
      </c>
    </row>
    <row r="1107" spans="1:14">
      <c r="A1107" s="4" t="str">
        <f t="shared" si="85"/>
        <v>EXP00021</v>
      </c>
      <c r="B1107" s="4" t="str">
        <f t="shared" si="86"/>
        <v>21680303</v>
      </c>
      <c r="C1107" s="4" t="str">
        <f t="shared" si="87"/>
        <v>GSE14095</v>
      </c>
      <c r="D1107" s="1" t="s">
        <v>45</v>
      </c>
      <c r="E1107" t="s">
        <v>68</v>
      </c>
      <c r="F1107" s="1">
        <v>2</v>
      </c>
      <c r="G1107" s="1" t="s">
        <v>32</v>
      </c>
      <c r="H1107" s="4" t="str">
        <f>HYPERLINK("https://www.ncbi.nlm.nih.gov/geo/query/acc.cgi?acc=GSM353827","GSM353827")</f>
        <v>GSM353827</v>
      </c>
      <c r="I1107" t="s">
        <v>69</v>
      </c>
      <c r="J1107" t="s">
        <v>18</v>
      </c>
      <c r="K1107" t="s">
        <v>33</v>
      </c>
      <c r="L1107" t="s">
        <v>70</v>
      </c>
      <c r="N1107" t="s">
        <v>29</v>
      </c>
    </row>
    <row r="1108" spans="1:14">
      <c r="A1108" s="4" t="str">
        <f t="shared" si="85"/>
        <v>EXP00021</v>
      </c>
      <c r="B1108" s="4" t="str">
        <f t="shared" si="86"/>
        <v>21680303</v>
      </c>
      <c r="C1108" s="4" t="str">
        <f t="shared" si="87"/>
        <v>GSE14095</v>
      </c>
      <c r="D1108" s="1" t="s">
        <v>45</v>
      </c>
      <c r="E1108" t="s">
        <v>68</v>
      </c>
      <c r="F1108" s="1">
        <v>2</v>
      </c>
      <c r="G1108" s="1" t="s">
        <v>32</v>
      </c>
      <c r="H1108" s="4" t="str">
        <f>HYPERLINK("https://www.ncbi.nlm.nih.gov/geo/query/acc.cgi?acc=GSM353828","GSM353828")</f>
        <v>GSM353828</v>
      </c>
      <c r="I1108" t="s">
        <v>69</v>
      </c>
      <c r="J1108" t="s">
        <v>18</v>
      </c>
      <c r="K1108" t="s">
        <v>33</v>
      </c>
      <c r="L1108" t="s">
        <v>70</v>
      </c>
      <c r="N1108" t="s">
        <v>29</v>
      </c>
    </row>
    <row r="1109" spans="1:14">
      <c r="A1109" s="4" t="str">
        <f t="shared" si="85"/>
        <v>EXP00021</v>
      </c>
      <c r="B1109" s="4" t="str">
        <f t="shared" si="86"/>
        <v>21680303</v>
      </c>
      <c r="C1109" s="4" t="str">
        <f t="shared" si="87"/>
        <v>GSE14095</v>
      </c>
      <c r="D1109" s="1" t="s">
        <v>45</v>
      </c>
      <c r="E1109" t="s">
        <v>68</v>
      </c>
      <c r="F1109" s="1">
        <v>2</v>
      </c>
      <c r="G1109" s="1" t="s">
        <v>32</v>
      </c>
      <c r="H1109" s="4" t="str">
        <f>HYPERLINK("https://www.ncbi.nlm.nih.gov/geo/query/acc.cgi?acc=GSM353829","GSM353829")</f>
        <v>GSM353829</v>
      </c>
      <c r="I1109" t="s">
        <v>69</v>
      </c>
      <c r="J1109" t="s">
        <v>18</v>
      </c>
      <c r="K1109" t="s">
        <v>33</v>
      </c>
      <c r="L1109" t="s">
        <v>70</v>
      </c>
      <c r="N1109" t="s">
        <v>29</v>
      </c>
    </row>
    <row r="1110" spans="1:14">
      <c r="A1110" s="4" t="str">
        <f t="shared" si="85"/>
        <v>EXP00021</v>
      </c>
      <c r="B1110" s="4" t="str">
        <f t="shared" si="86"/>
        <v>21680303</v>
      </c>
      <c r="C1110" s="4" t="str">
        <f t="shared" si="87"/>
        <v>GSE14095</v>
      </c>
      <c r="D1110" s="1" t="s">
        <v>45</v>
      </c>
      <c r="E1110" t="s">
        <v>68</v>
      </c>
      <c r="F1110" s="1">
        <v>2</v>
      </c>
      <c r="G1110" s="1" t="s">
        <v>32</v>
      </c>
      <c r="H1110" s="4" t="str">
        <f>HYPERLINK("https://www.ncbi.nlm.nih.gov/geo/query/acc.cgi?acc=GSM353830","GSM353830")</f>
        <v>GSM353830</v>
      </c>
      <c r="I1110" t="s">
        <v>69</v>
      </c>
      <c r="J1110" t="s">
        <v>18</v>
      </c>
      <c r="K1110" t="s">
        <v>33</v>
      </c>
      <c r="L1110" t="s">
        <v>70</v>
      </c>
      <c r="N1110" t="s">
        <v>29</v>
      </c>
    </row>
    <row r="1111" spans="1:14">
      <c r="A1111" s="4" t="str">
        <f t="shared" ref="A1111:A1139" si="88">HYPERLINK("http://hcmdb.i-sanger.com/experiment/details/experiment_id/EXP00021","EXP00021")</f>
        <v>EXP00021</v>
      </c>
      <c r="B1111" s="4" t="str">
        <f t="shared" ref="B1111:B1139" si="89">HYPERLINK("https://www.ncbi.nlm.nih.gov/pubmed/21680303","21680303")</f>
        <v>21680303</v>
      </c>
      <c r="C1111" s="4" t="str">
        <f t="shared" ref="C1111:C1139" si="90">HYPERLINK("https://www.ncbi.nlm.nih.gov/geo/query/acc.cgi?acc=GSE14095","GSE14095")</f>
        <v>GSE14095</v>
      </c>
      <c r="D1111" s="1" t="s">
        <v>45</v>
      </c>
      <c r="E1111" t="s">
        <v>68</v>
      </c>
      <c r="F1111" s="1">
        <v>2</v>
      </c>
      <c r="G1111" s="1" t="s">
        <v>32</v>
      </c>
      <c r="H1111" s="4" t="str">
        <f>HYPERLINK("https://www.ncbi.nlm.nih.gov/geo/query/acc.cgi?acc=GSM353831","GSM353831")</f>
        <v>GSM353831</v>
      </c>
      <c r="I1111" t="s">
        <v>69</v>
      </c>
      <c r="J1111" t="s">
        <v>18</v>
      </c>
      <c r="K1111" t="s">
        <v>33</v>
      </c>
      <c r="L1111" t="s">
        <v>70</v>
      </c>
      <c r="N1111" t="s">
        <v>29</v>
      </c>
    </row>
    <row r="1112" spans="1:14">
      <c r="A1112" s="4" t="str">
        <f t="shared" si="88"/>
        <v>EXP00021</v>
      </c>
      <c r="B1112" s="4" t="str">
        <f t="shared" si="89"/>
        <v>21680303</v>
      </c>
      <c r="C1112" s="4" t="str">
        <f t="shared" si="90"/>
        <v>GSE14095</v>
      </c>
      <c r="D1112" s="1" t="s">
        <v>45</v>
      </c>
      <c r="E1112" t="s">
        <v>68</v>
      </c>
      <c r="F1112" s="1">
        <v>2</v>
      </c>
      <c r="G1112" s="1" t="s">
        <v>32</v>
      </c>
      <c r="H1112" s="4" t="str">
        <f>HYPERLINK("https://www.ncbi.nlm.nih.gov/geo/query/acc.cgi?acc=GSM353832","GSM353832")</f>
        <v>GSM353832</v>
      </c>
      <c r="I1112" t="s">
        <v>69</v>
      </c>
      <c r="J1112" t="s">
        <v>18</v>
      </c>
      <c r="K1112" t="s">
        <v>33</v>
      </c>
      <c r="L1112" t="s">
        <v>70</v>
      </c>
      <c r="N1112" t="s">
        <v>29</v>
      </c>
    </row>
    <row r="1113" spans="1:14">
      <c r="A1113" s="4" t="str">
        <f t="shared" si="88"/>
        <v>EXP00021</v>
      </c>
      <c r="B1113" s="4" t="str">
        <f t="shared" si="89"/>
        <v>21680303</v>
      </c>
      <c r="C1113" s="4" t="str">
        <f t="shared" si="90"/>
        <v>GSE14095</v>
      </c>
      <c r="D1113" s="1" t="s">
        <v>45</v>
      </c>
      <c r="E1113" t="s">
        <v>68</v>
      </c>
      <c r="F1113" s="1">
        <v>2</v>
      </c>
      <c r="G1113" s="1" t="s">
        <v>32</v>
      </c>
      <c r="H1113" s="4" t="str">
        <f>HYPERLINK("https://www.ncbi.nlm.nih.gov/geo/query/acc.cgi?acc=GSM353833","GSM353833")</f>
        <v>GSM353833</v>
      </c>
      <c r="I1113" t="s">
        <v>69</v>
      </c>
      <c r="J1113" t="s">
        <v>18</v>
      </c>
      <c r="K1113" t="s">
        <v>33</v>
      </c>
      <c r="L1113" t="s">
        <v>70</v>
      </c>
      <c r="N1113" t="s">
        <v>29</v>
      </c>
    </row>
    <row r="1114" spans="1:14">
      <c r="A1114" s="4" t="str">
        <f t="shared" si="88"/>
        <v>EXP00021</v>
      </c>
      <c r="B1114" s="4" t="str">
        <f t="shared" si="89"/>
        <v>21680303</v>
      </c>
      <c r="C1114" s="4" t="str">
        <f t="shared" si="90"/>
        <v>GSE14095</v>
      </c>
      <c r="D1114" s="1" t="s">
        <v>45</v>
      </c>
      <c r="E1114" t="s">
        <v>68</v>
      </c>
      <c r="F1114" s="1">
        <v>2</v>
      </c>
      <c r="G1114" s="1" t="s">
        <v>32</v>
      </c>
      <c r="H1114" s="4" t="str">
        <f>HYPERLINK("https://www.ncbi.nlm.nih.gov/geo/query/acc.cgi?acc=GSM353834","GSM353834")</f>
        <v>GSM353834</v>
      </c>
      <c r="I1114" t="s">
        <v>69</v>
      </c>
      <c r="J1114" t="s">
        <v>18</v>
      </c>
      <c r="K1114" t="s">
        <v>33</v>
      </c>
      <c r="L1114" t="s">
        <v>70</v>
      </c>
      <c r="N1114" t="s">
        <v>29</v>
      </c>
    </row>
    <row r="1115" spans="1:14">
      <c r="A1115" s="4" t="str">
        <f t="shared" si="88"/>
        <v>EXP00021</v>
      </c>
      <c r="B1115" s="4" t="str">
        <f t="shared" si="89"/>
        <v>21680303</v>
      </c>
      <c r="C1115" s="4" t="str">
        <f t="shared" si="90"/>
        <v>GSE14095</v>
      </c>
      <c r="D1115" s="1" t="s">
        <v>45</v>
      </c>
      <c r="E1115" t="s">
        <v>68</v>
      </c>
      <c r="F1115" s="1">
        <v>2</v>
      </c>
      <c r="G1115" s="1" t="s">
        <v>32</v>
      </c>
      <c r="H1115" s="4" t="str">
        <f>HYPERLINK("https://www.ncbi.nlm.nih.gov/geo/query/acc.cgi?acc=GSM353835","GSM353835")</f>
        <v>GSM353835</v>
      </c>
      <c r="I1115" t="s">
        <v>69</v>
      </c>
      <c r="J1115" t="s">
        <v>18</v>
      </c>
      <c r="K1115" t="s">
        <v>33</v>
      </c>
      <c r="L1115" t="s">
        <v>70</v>
      </c>
      <c r="N1115" t="s">
        <v>29</v>
      </c>
    </row>
    <row r="1116" spans="1:14">
      <c r="A1116" s="4" t="str">
        <f t="shared" si="88"/>
        <v>EXP00021</v>
      </c>
      <c r="B1116" s="4" t="str">
        <f t="shared" si="89"/>
        <v>21680303</v>
      </c>
      <c r="C1116" s="4" t="str">
        <f t="shared" si="90"/>
        <v>GSE14095</v>
      </c>
      <c r="D1116" s="1" t="s">
        <v>45</v>
      </c>
      <c r="E1116" t="s">
        <v>68</v>
      </c>
      <c r="F1116" s="1">
        <v>2</v>
      </c>
      <c r="G1116" s="1" t="s">
        <v>32</v>
      </c>
      <c r="H1116" s="4" t="str">
        <f>HYPERLINK("https://www.ncbi.nlm.nih.gov/geo/query/acc.cgi?acc=GSM353836","GSM353836")</f>
        <v>GSM353836</v>
      </c>
      <c r="I1116" t="s">
        <v>69</v>
      </c>
      <c r="J1116" t="s">
        <v>18</v>
      </c>
      <c r="K1116" t="s">
        <v>33</v>
      </c>
      <c r="L1116" t="s">
        <v>70</v>
      </c>
      <c r="N1116" t="s">
        <v>29</v>
      </c>
    </row>
    <row r="1117" spans="1:14">
      <c r="A1117" s="4" t="str">
        <f t="shared" si="88"/>
        <v>EXP00021</v>
      </c>
      <c r="B1117" s="4" t="str">
        <f t="shared" si="89"/>
        <v>21680303</v>
      </c>
      <c r="C1117" s="4" t="str">
        <f t="shared" si="90"/>
        <v>GSE14095</v>
      </c>
      <c r="D1117" s="1" t="s">
        <v>45</v>
      </c>
      <c r="E1117" t="s">
        <v>68</v>
      </c>
      <c r="F1117" s="1">
        <v>2</v>
      </c>
      <c r="G1117" s="1" t="s">
        <v>32</v>
      </c>
      <c r="H1117" s="4" t="str">
        <f>HYPERLINK("https://www.ncbi.nlm.nih.gov/geo/query/acc.cgi?acc=GSM353837","GSM353837")</f>
        <v>GSM353837</v>
      </c>
      <c r="I1117" t="s">
        <v>69</v>
      </c>
      <c r="J1117" t="s">
        <v>18</v>
      </c>
      <c r="K1117" t="s">
        <v>33</v>
      </c>
      <c r="L1117" t="s">
        <v>70</v>
      </c>
      <c r="N1117" t="s">
        <v>29</v>
      </c>
    </row>
    <row r="1118" spans="1:14">
      <c r="A1118" s="4" t="str">
        <f t="shared" si="88"/>
        <v>EXP00021</v>
      </c>
      <c r="B1118" s="4" t="str">
        <f t="shared" si="89"/>
        <v>21680303</v>
      </c>
      <c r="C1118" s="4" t="str">
        <f t="shared" si="90"/>
        <v>GSE14095</v>
      </c>
      <c r="D1118" s="1" t="s">
        <v>45</v>
      </c>
      <c r="E1118" t="s">
        <v>68</v>
      </c>
      <c r="F1118" s="1">
        <v>2</v>
      </c>
      <c r="G1118" s="1" t="s">
        <v>32</v>
      </c>
      <c r="H1118" s="4" t="str">
        <f>HYPERLINK("https://www.ncbi.nlm.nih.gov/geo/query/acc.cgi?acc=GSM353838","GSM353838")</f>
        <v>GSM353838</v>
      </c>
      <c r="I1118" t="s">
        <v>69</v>
      </c>
      <c r="J1118" t="s">
        <v>18</v>
      </c>
      <c r="K1118" t="s">
        <v>33</v>
      </c>
      <c r="L1118" t="s">
        <v>70</v>
      </c>
      <c r="N1118" t="s">
        <v>29</v>
      </c>
    </row>
    <row r="1119" spans="1:14">
      <c r="A1119" s="4" t="str">
        <f t="shared" si="88"/>
        <v>EXP00021</v>
      </c>
      <c r="B1119" s="4" t="str">
        <f t="shared" si="89"/>
        <v>21680303</v>
      </c>
      <c r="C1119" s="4" t="str">
        <f t="shared" si="90"/>
        <v>GSE14095</v>
      </c>
      <c r="D1119" s="1" t="s">
        <v>45</v>
      </c>
      <c r="E1119" t="s">
        <v>68</v>
      </c>
      <c r="F1119" s="1">
        <v>2</v>
      </c>
      <c r="G1119" s="1" t="s">
        <v>32</v>
      </c>
      <c r="H1119" s="4" t="str">
        <f>HYPERLINK("https://www.ncbi.nlm.nih.gov/geo/query/acc.cgi?acc=GSM353839","GSM353839")</f>
        <v>GSM353839</v>
      </c>
      <c r="I1119" t="s">
        <v>69</v>
      </c>
      <c r="J1119" t="s">
        <v>18</v>
      </c>
      <c r="K1119" t="s">
        <v>33</v>
      </c>
      <c r="L1119" t="s">
        <v>70</v>
      </c>
      <c r="N1119" t="s">
        <v>29</v>
      </c>
    </row>
    <row r="1120" spans="1:14">
      <c r="A1120" s="4" t="str">
        <f t="shared" si="88"/>
        <v>EXP00021</v>
      </c>
      <c r="B1120" s="4" t="str">
        <f t="shared" si="89"/>
        <v>21680303</v>
      </c>
      <c r="C1120" s="4" t="str">
        <f t="shared" si="90"/>
        <v>GSE14095</v>
      </c>
      <c r="D1120" s="1" t="s">
        <v>45</v>
      </c>
      <c r="E1120" t="s">
        <v>68</v>
      </c>
      <c r="F1120" s="1">
        <v>2</v>
      </c>
      <c r="G1120" s="1" t="s">
        <v>32</v>
      </c>
      <c r="H1120" s="4" t="str">
        <f>HYPERLINK("https://www.ncbi.nlm.nih.gov/geo/query/acc.cgi?acc=GSM353840","GSM353840")</f>
        <v>GSM353840</v>
      </c>
      <c r="I1120" t="s">
        <v>69</v>
      </c>
      <c r="J1120" t="s">
        <v>18</v>
      </c>
      <c r="K1120" t="s">
        <v>33</v>
      </c>
      <c r="L1120" t="s">
        <v>70</v>
      </c>
      <c r="N1120" t="s">
        <v>29</v>
      </c>
    </row>
    <row r="1121" spans="1:14">
      <c r="A1121" s="4" t="str">
        <f t="shared" si="88"/>
        <v>EXP00021</v>
      </c>
      <c r="B1121" s="4" t="str">
        <f t="shared" si="89"/>
        <v>21680303</v>
      </c>
      <c r="C1121" s="4" t="str">
        <f t="shared" si="90"/>
        <v>GSE14095</v>
      </c>
      <c r="D1121" s="1" t="s">
        <v>45</v>
      </c>
      <c r="E1121" t="s">
        <v>68</v>
      </c>
      <c r="F1121" s="1">
        <v>2</v>
      </c>
      <c r="G1121" s="1" t="s">
        <v>32</v>
      </c>
      <c r="H1121" s="4" t="str">
        <f>HYPERLINK("https://www.ncbi.nlm.nih.gov/geo/query/acc.cgi?acc=GSM353841","GSM353841")</f>
        <v>GSM353841</v>
      </c>
      <c r="I1121" t="s">
        <v>69</v>
      </c>
      <c r="J1121" t="s">
        <v>18</v>
      </c>
      <c r="K1121" t="s">
        <v>33</v>
      </c>
      <c r="L1121" t="s">
        <v>70</v>
      </c>
      <c r="N1121" t="s">
        <v>29</v>
      </c>
    </row>
    <row r="1122" spans="1:14">
      <c r="A1122" s="4" t="str">
        <f t="shared" si="88"/>
        <v>EXP00021</v>
      </c>
      <c r="B1122" s="4" t="str">
        <f t="shared" si="89"/>
        <v>21680303</v>
      </c>
      <c r="C1122" s="4" t="str">
        <f t="shared" si="90"/>
        <v>GSE14095</v>
      </c>
      <c r="D1122" s="1" t="s">
        <v>45</v>
      </c>
      <c r="E1122" t="s">
        <v>68</v>
      </c>
      <c r="F1122" s="1">
        <v>2</v>
      </c>
      <c r="G1122" s="1" t="s">
        <v>32</v>
      </c>
      <c r="H1122" s="4" t="str">
        <f>HYPERLINK("https://www.ncbi.nlm.nih.gov/geo/query/acc.cgi?acc=GSM353842","GSM353842")</f>
        <v>GSM353842</v>
      </c>
      <c r="I1122" t="s">
        <v>69</v>
      </c>
      <c r="J1122" t="s">
        <v>18</v>
      </c>
      <c r="K1122" t="s">
        <v>33</v>
      </c>
      <c r="L1122" t="s">
        <v>70</v>
      </c>
      <c r="N1122" t="s">
        <v>29</v>
      </c>
    </row>
    <row r="1123" spans="1:14">
      <c r="A1123" s="4" t="str">
        <f t="shared" si="88"/>
        <v>EXP00021</v>
      </c>
      <c r="B1123" s="4" t="str">
        <f t="shared" si="89"/>
        <v>21680303</v>
      </c>
      <c r="C1123" s="4" t="str">
        <f t="shared" si="90"/>
        <v>GSE14095</v>
      </c>
      <c r="D1123" s="1" t="s">
        <v>45</v>
      </c>
      <c r="E1123" t="s">
        <v>68</v>
      </c>
      <c r="F1123" s="1">
        <v>2</v>
      </c>
      <c r="G1123" s="1" t="s">
        <v>32</v>
      </c>
      <c r="H1123" s="4" t="str">
        <f>HYPERLINK("https://www.ncbi.nlm.nih.gov/geo/query/acc.cgi?acc=GSM353843","GSM353843")</f>
        <v>GSM353843</v>
      </c>
      <c r="I1123" t="s">
        <v>69</v>
      </c>
      <c r="J1123" t="s">
        <v>18</v>
      </c>
      <c r="K1123" t="s">
        <v>33</v>
      </c>
      <c r="L1123" t="s">
        <v>70</v>
      </c>
      <c r="N1123" t="s">
        <v>29</v>
      </c>
    </row>
    <row r="1124" spans="1:14">
      <c r="A1124" s="4" t="str">
        <f t="shared" si="88"/>
        <v>EXP00021</v>
      </c>
      <c r="B1124" s="4" t="str">
        <f t="shared" si="89"/>
        <v>21680303</v>
      </c>
      <c r="C1124" s="4" t="str">
        <f t="shared" si="90"/>
        <v>GSE14095</v>
      </c>
      <c r="D1124" s="1" t="s">
        <v>45</v>
      </c>
      <c r="E1124" t="s">
        <v>68</v>
      </c>
      <c r="F1124" s="1">
        <v>2</v>
      </c>
      <c r="G1124" s="1" t="s">
        <v>32</v>
      </c>
      <c r="H1124" s="4" t="str">
        <f>HYPERLINK("https://www.ncbi.nlm.nih.gov/geo/query/acc.cgi?acc=GSM353844","GSM353844")</f>
        <v>GSM353844</v>
      </c>
      <c r="I1124" t="s">
        <v>69</v>
      </c>
      <c r="J1124" t="s">
        <v>18</v>
      </c>
      <c r="K1124" t="s">
        <v>33</v>
      </c>
      <c r="L1124" t="s">
        <v>70</v>
      </c>
      <c r="N1124" t="s">
        <v>29</v>
      </c>
    </row>
    <row r="1125" spans="1:14">
      <c r="A1125" s="4" t="str">
        <f t="shared" si="88"/>
        <v>EXP00021</v>
      </c>
      <c r="B1125" s="4" t="str">
        <f t="shared" si="89"/>
        <v>21680303</v>
      </c>
      <c r="C1125" s="4" t="str">
        <f t="shared" si="90"/>
        <v>GSE14095</v>
      </c>
      <c r="D1125" s="1" t="s">
        <v>45</v>
      </c>
      <c r="E1125" t="s">
        <v>68</v>
      </c>
      <c r="F1125" s="1">
        <v>2</v>
      </c>
      <c r="G1125" s="1" t="s">
        <v>32</v>
      </c>
      <c r="H1125" s="4" t="str">
        <f>HYPERLINK("https://www.ncbi.nlm.nih.gov/geo/query/acc.cgi?acc=GSM353845","GSM353845")</f>
        <v>GSM353845</v>
      </c>
      <c r="I1125" t="s">
        <v>69</v>
      </c>
      <c r="J1125" t="s">
        <v>18</v>
      </c>
      <c r="K1125" t="s">
        <v>33</v>
      </c>
      <c r="L1125" t="s">
        <v>70</v>
      </c>
      <c r="N1125" t="s">
        <v>29</v>
      </c>
    </row>
    <row r="1126" spans="1:14">
      <c r="A1126" s="4" t="str">
        <f t="shared" si="88"/>
        <v>EXP00021</v>
      </c>
      <c r="B1126" s="4" t="str">
        <f t="shared" si="89"/>
        <v>21680303</v>
      </c>
      <c r="C1126" s="4" t="str">
        <f t="shared" si="90"/>
        <v>GSE14095</v>
      </c>
      <c r="D1126" s="1" t="s">
        <v>45</v>
      </c>
      <c r="E1126" t="s">
        <v>68</v>
      </c>
      <c r="F1126" s="1">
        <v>2</v>
      </c>
      <c r="G1126" s="1" t="s">
        <v>32</v>
      </c>
      <c r="H1126" s="4" t="str">
        <f>HYPERLINK("https://www.ncbi.nlm.nih.gov/geo/query/acc.cgi?acc=GSM353846","GSM353846")</f>
        <v>GSM353846</v>
      </c>
      <c r="I1126" t="s">
        <v>69</v>
      </c>
      <c r="J1126" t="s">
        <v>18</v>
      </c>
      <c r="K1126" t="s">
        <v>33</v>
      </c>
      <c r="L1126" t="s">
        <v>70</v>
      </c>
      <c r="N1126" t="s">
        <v>29</v>
      </c>
    </row>
    <row r="1127" spans="1:14">
      <c r="A1127" s="4" t="str">
        <f t="shared" si="88"/>
        <v>EXP00021</v>
      </c>
      <c r="B1127" s="4" t="str">
        <f t="shared" si="89"/>
        <v>21680303</v>
      </c>
      <c r="C1127" s="4" t="str">
        <f t="shared" si="90"/>
        <v>GSE14095</v>
      </c>
      <c r="D1127" s="1" t="s">
        <v>45</v>
      </c>
      <c r="E1127" t="s">
        <v>68</v>
      </c>
      <c r="F1127" s="1">
        <v>2</v>
      </c>
      <c r="G1127" s="1" t="s">
        <v>32</v>
      </c>
      <c r="H1127" s="4" t="str">
        <f>HYPERLINK("https://www.ncbi.nlm.nih.gov/geo/query/acc.cgi?acc=GSM353847","GSM353847")</f>
        <v>GSM353847</v>
      </c>
      <c r="I1127" t="s">
        <v>69</v>
      </c>
      <c r="J1127" t="s">
        <v>18</v>
      </c>
      <c r="K1127" t="s">
        <v>33</v>
      </c>
      <c r="L1127" t="s">
        <v>70</v>
      </c>
      <c r="N1127" t="s">
        <v>29</v>
      </c>
    </row>
    <row r="1128" spans="1:14">
      <c r="A1128" s="4" t="str">
        <f t="shared" si="88"/>
        <v>EXP00021</v>
      </c>
      <c r="B1128" s="4" t="str">
        <f t="shared" si="89"/>
        <v>21680303</v>
      </c>
      <c r="C1128" s="4" t="str">
        <f t="shared" si="90"/>
        <v>GSE14095</v>
      </c>
      <c r="D1128" s="1" t="s">
        <v>45</v>
      </c>
      <c r="E1128" t="s">
        <v>68</v>
      </c>
      <c r="F1128" s="1">
        <v>2</v>
      </c>
      <c r="G1128" s="1" t="s">
        <v>32</v>
      </c>
      <c r="H1128" s="4" t="str">
        <f>HYPERLINK("https://www.ncbi.nlm.nih.gov/geo/query/acc.cgi?acc=GSM353848","GSM353848")</f>
        <v>GSM353848</v>
      </c>
      <c r="I1128" t="s">
        <v>69</v>
      </c>
      <c r="J1128" t="s">
        <v>18</v>
      </c>
      <c r="K1128" t="s">
        <v>33</v>
      </c>
      <c r="L1128" t="s">
        <v>70</v>
      </c>
      <c r="N1128" t="s">
        <v>29</v>
      </c>
    </row>
    <row r="1129" spans="1:14">
      <c r="A1129" s="4" t="str">
        <f t="shared" si="88"/>
        <v>EXP00021</v>
      </c>
      <c r="B1129" s="4" t="str">
        <f t="shared" si="89"/>
        <v>21680303</v>
      </c>
      <c r="C1129" s="4" t="str">
        <f t="shared" si="90"/>
        <v>GSE14095</v>
      </c>
      <c r="D1129" s="1" t="s">
        <v>45</v>
      </c>
      <c r="E1129" t="s">
        <v>68</v>
      </c>
      <c r="F1129" s="1">
        <v>2</v>
      </c>
      <c r="G1129" s="1" t="s">
        <v>32</v>
      </c>
      <c r="H1129" s="4" t="str">
        <f>HYPERLINK("https://www.ncbi.nlm.nih.gov/geo/query/acc.cgi?acc=GSM353849","GSM353849")</f>
        <v>GSM353849</v>
      </c>
      <c r="I1129" t="s">
        <v>69</v>
      </c>
      <c r="J1129" t="s">
        <v>18</v>
      </c>
      <c r="K1129" t="s">
        <v>33</v>
      </c>
      <c r="L1129" t="s">
        <v>70</v>
      </c>
      <c r="N1129" t="s">
        <v>29</v>
      </c>
    </row>
    <row r="1130" spans="1:14">
      <c r="A1130" s="4" t="str">
        <f t="shared" si="88"/>
        <v>EXP00021</v>
      </c>
      <c r="B1130" s="4" t="str">
        <f t="shared" si="89"/>
        <v>21680303</v>
      </c>
      <c r="C1130" s="4" t="str">
        <f t="shared" si="90"/>
        <v>GSE14095</v>
      </c>
      <c r="D1130" s="1" t="s">
        <v>45</v>
      </c>
      <c r="E1130" t="s">
        <v>68</v>
      </c>
      <c r="F1130" s="1">
        <v>2</v>
      </c>
      <c r="G1130" s="1" t="s">
        <v>32</v>
      </c>
      <c r="H1130" s="4" t="str">
        <f>HYPERLINK("https://www.ncbi.nlm.nih.gov/geo/query/acc.cgi?acc=GSM353850","GSM353850")</f>
        <v>GSM353850</v>
      </c>
      <c r="I1130" t="s">
        <v>69</v>
      </c>
      <c r="J1130" t="s">
        <v>18</v>
      </c>
      <c r="K1130" t="s">
        <v>33</v>
      </c>
      <c r="L1130" t="s">
        <v>70</v>
      </c>
      <c r="N1130" t="s">
        <v>29</v>
      </c>
    </row>
    <row r="1131" spans="1:14">
      <c r="A1131" s="4" t="str">
        <f t="shared" si="88"/>
        <v>EXP00021</v>
      </c>
      <c r="B1131" s="4" t="str">
        <f t="shared" si="89"/>
        <v>21680303</v>
      </c>
      <c r="C1131" s="4" t="str">
        <f t="shared" si="90"/>
        <v>GSE14095</v>
      </c>
      <c r="D1131" s="1" t="s">
        <v>45</v>
      </c>
      <c r="E1131" t="s">
        <v>68</v>
      </c>
      <c r="F1131" s="1">
        <v>2</v>
      </c>
      <c r="G1131" s="1" t="s">
        <v>32</v>
      </c>
      <c r="H1131" s="4" t="str">
        <f>HYPERLINK("https://www.ncbi.nlm.nih.gov/geo/query/acc.cgi?acc=GSM353851","GSM353851")</f>
        <v>GSM353851</v>
      </c>
      <c r="I1131" t="s">
        <v>69</v>
      </c>
      <c r="J1131" t="s">
        <v>18</v>
      </c>
      <c r="K1131" t="s">
        <v>33</v>
      </c>
      <c r="L1131" t="s">
        <v>70</v>
      </c>
      <c r="N1131" t="s">
        <v>29</v>
      </c>
    </row>
    <row r="1132" spans="1:14">
      <c r="A1132" s="4" t="str">
        <f t="shared" si="88"/>
        <v>EXP00021</v>
      </c>
      <c r="B1132" s="4" t="str">
        <f t="shared" si="89"/>
        <v>21680303</v>
      </c>
      <c r="C1132" s="4" t="str">
        <f t="shared" si="90"/>
        <v>GSE14095</v>
      </c>
      <c r="D1132" s="1" t="s">
        <v>45</v>
      </c>
      <c r="E1132" t="s">
        <v>68</v>
      </c>
      <c r="F1132" s="1">
        <v>2</v>
      </c>
      <c r="G1132" s="1" t="s">
        <v>32</v>
      </c>
      <c r="H1132" s="4" t="str">
        <f>HYPERLINK("https://www.ncbi.nlm.nih.gov/geo/query/acc.cgi?acc=GSM353852","GSM353852")</f>
        <v>GSM353852</v>
      </c>
      <c r="I1132" t="s">
        <v>69</v>
      </c>
      <c r="J1132" t="s">
        <v>18</v>
      </c>
      <c r="K1132" t="s">
        <v>33</v>
      </c>
      <c r="L1132" t="s">
        <v>70</v>
      </c>
      <c r="N1132" t="s">
        <v>29</v>
      </c>
    </row>
    <row r="1133" spans="1:14">
      <c r="A1133" s="4" t="str">
        <f t="shared" si="88"/>
        <v>EXP00021</v>
      </c>
      <c r="B1133" s="4" t="str">
        <f t="shared" si="89"/>
        <v>21680303</v>
      </c>
      <c r="C1133" s="4" t="str">
        <f t="shared" si="90"/>
        <v>GSE14095</v>
      </c>
      <c r="D1133" s="1" t="s">
        <v>45</v>
      </c>
      <c r="E1133" t="s">
        <v>68</v>
      </c>
      <c r="F1133" s="1">
        <v>2</v>
      </c>
      <c r="G1133" s="1" t="s">
        <v>32</v>
      </c>
      <c r="H1133" s="4" t="str">
        <f>HYPERLINK("https://www.ncbi.nlm.nih.gov/geo/query/acc.cgi?acc=GSM353853","GSM353853")</f>
        <v>GSM353853</v>
      </c>
      <c r="I1133" t="s">
        <v>69</v>
      </c>
      <c r="J1133" t="s">
        <v>18</v>
      </c>
      <c r="K1133" t="s">
        <v>33</v>
      </c>
      <c r="L1133" t="s">
        <v>70</v>
      </c>
      <c r="N1133" t="s">
        <v>29</v>
      </c>
    </row>
    <row r="1134" spans="1:14">
      <c r="A1134" s="4" t="str">
        <f t="shared" si="88"/>
        <v>EXP00021</v>
      </c>
      <c r="B1134" s="4" t="str">
        <f t="shared" si="89"/>
        <v>21680303</v>
      </c>
      <c r="C1134" s="4" t="str">
        <f t="shared" si="90"/>
        <v>GSE14095</v>
      </c>
      <c r="D1134" s="1" t="s">
        <v>45</v>
      </c>
      <c r="E1134" t="s">
        <v>68</v>
      </c>
      <c r="F1134" s="1">
        <v>2</v>
      </c>
      <c r="G1134" s="1" t="s">
        <v>32</v>
      </c>
      <c r="H1134" s="4" t="str">
        <f>HYPERLINK("https://www.ncbi.nlm.nih.gov/geo/query/acc.cgi?acc=GSM353854","GSM353854")</f>
        <v>GSM353854</v>
      </c>
      <c r="I1134" t="s">
        <v>69</v>
      </c>
      <c r="J1134" t="s">
        <v>18</v>
      </c>
      <c r="K1134" t="s">
        <v>33</v>
      </c>
      <c r="L1134" t="s">
        <v>70</v>
      </c>
      <c r="N1134" t="s">
        <v>29</v>
      </c>
    </row>
    <row r="1135" spans="1:14">
      <c r="A1135" s="4" t="str">
        <f t="shared" si="88"/>
        <v>EXP00021</v>
      </c>
      <c r="B1135" s="4" t="str">
        <f t="shared" si="89"/>
        <v>21680303</v>
      </c>
      <c r="C1135" s="4" t="str">
        <f t="shared" si="90"/>
        <v>GSE14095</v>
      </c>
      <c r="D1135" s="1" t="s">
        <v>45</v>
      </c>
      <c r="E1135" t="s">
        <v>68</v>
      </c>
      <c r="F1135" s="1">
        <v>2</v>
      </c>
      <c r="G1135" s="1" t="s">
        <v>32</v>
      </c>
      <c r="H1135" s="4" t="str">
        <f>HYPERLINK("https://www.ncbi.nlm.nih.gov/geo/query/acc.cgi?acc=GSM353855","GSM353855")</f>
        <v>GSM353855</v>
      </c>
      <c r="I1135" t="s">
        <v>69</v>
      </c>
      <c r="J1135" t="s">
        <v>18</v>
      </c>
      <c r="K1135" t="s">
        <v>33</v>
      </c>
      <c r="L1135" t="s">
        <v>70</v>
      </c>
      <c r="N1135" t="s">
        <v>29</v>
      </c>
    </row>
    <row r="1136" spans="1:14">
      <c r="A1136" s="4" t="str">
        <f t="shared" si="88"/>
        <v>EXP00021</v>
      </c>
      <c r="B1136" s="4" t="str">
        <f t="shared" si="89"/>
        <v>21680303</v>
      </c>
      <c r="C1136" s="4" t="str">
        <f t="shared" si="90"/>
        <v>GSE14095</v>
      </c>
      <c r="D1136" s="1" t="s">
        <v>45</v>
      </c>
      <c r="E1136" t="s">
        <v>68</v>
      </c>
      <c r="F1136" s="1">
        <v>2</v>
      </c>
      <c r="G1136" s="1" t="s">
        <v>32</v>
      </c>
      <c r="H1136" s="4" t="str">
        <f>HYPERLINK("https://www.ncbi.nlm.nih.gov/geo/query/acc.cgi?acc=GSM353856","GSM353856")</f>
        <v>GSM353856</v>
      </c>
      <c r="I1136" t="s">
        <v>69</v>
      </c>
      <c r="J1136" t="s">
        <v>18</v>
      </c>
      <c r="K1136" t="s">
        <v>33</v>
      </c>
      <c r="L1136" t="s">
        <v>70</v>
      </c>
      <c r="N1136" t="s">
        <v>29</v>
      </c>
    </row>
    <row r="1137" spans="1:14">
      <c r="A1137" s="4" t="str">
        <f t="shared" si="88"/>
        <v>EXP00021</v>
      </c>
      <c r="B1137" s="4" t="str">
        <f t="shared" si="89"/>
        <v>21680303</v>
      </c>
      <c r="C1137" s="4" t="str">
        <f t="shared" si="90"/>
        <v>GSE14095</v>
      </c>
      <c r="D1137" s="1" t="s">
        <v>45</v>
      </c>
      <c r="E1137" t="s">
        <v>68</v>
      </c>
      <c r="F1137" s="1">
        <v>2</v>
      </c>
      <c r="G1137" s="1" t="s">
        <v>32</v>
      </c>
      <c r="H1137" s="4" t="str">
        <f>HYPERLINK("https://www.ncbi.nlm.nih.gov/geo/query/acc.cgi?acc=GSM353857","GSM353857")</f>
        <v>GSM353857</v>
      </c>
      <c r="I1137" t="s">
        <v>69</v>
      </c>
      <c r="J1137" t="s">
        <v>18</v>
      </c>
      <c r="K1137" t="s">
        <v>33</v>
      </c>
      <c r="L1137" t="s">
        <v>70</v>
      </c>
      <c r="N1137" t="s">
        <v>29</v>
      </c>
    </row>
    <row r="1138" spans="1:14">
      <c r="A1138" s="4" t="str">
        <f t="shared" si="88"/>
        <v>EXP00021</v>
      </c>
      <c r="B1138" s="4" t="str">
        <f t="shared" si="89"/>
        <v>21680303</v>
      </c>
      <c r="C1138" s="4" t="str">
        <f t="shared" si="90"/>
        <v>GSE14095</v>
      </c>
      <c r="D1138" s="1" t="s">
        <v>45</v>
      </c>
      <c r="E1138" t="s">
        <v>68</v>
      </c>
      <c r="F1138" s="1">
        <v>2</v>
      </c>
      <c r="G1138" s="1" t="s">
        <v>32</v>
      </c>
      <c r="H1138" s="4" t="str">
        <f>HYPERLINK("https://www.ncbi.nlm.nih.gov/geo/query/acc.cgi?acc=GSM353858","GSM353858")</f>
        <v>GSM353858</v>
      </c>
      <c r="I1138" t="s">
        <v>69</v>
      </c>
      <c r="J1138" t="s">
        <v>18</v>
      </c>
      <c r="K1138" t="s">
        <v>33</v>
      </c>
      <c r="L1138" t="s">
        <v>70</v>
      </c>
      <c r="N1138" t="s">
        <v>29</v>
      </c>
    </row>
    <row r="1139" spans="1:14">
      <c r="A1139" s="4" t="str">
        <f t="shared" si="88"/>
        <v>EXP00021</v>
      </c>
      <c r="B1139" s="4" t="str">
        <f t="shared" si="89"/>
        <v>21680303</v>
      </c>
      <c r="C1139" s="4" t="str">
        <f t="shared" si="90"/>
        <v>GSE14095</v>
      </c>
      <c r="D1139" s="1" t="s">
        <v>45</v>
      </c>
      <c r="E1139" t="s">
        <v>68</v>
      </c>
      <c r="F1139" s="1">
        <v>2</v>
      </c>
      <c r="G1139" s="1" t="s">
        <v>32</v>
      </c>
      <c r="H1139" s="4" t="str">
        <f>HYPERLINK("https://www.ncbi.nlm.nih.gov/geo/query/acc.cgi?acc=GSM353859","GSM353859")</f>
        <v>GSM353859</v>
      </c>
      <c r="I1139" t="s">
        <v>69</v>
      </c>
      <c r="J1139" t="s">
        <v>18</v>
      </c>
      <c r="K1139" t="s">
        <v>33</v>
      </c>
      <c r="L1139" t="s">
        <v>70</v>
      </c>
      <c r="N1139" t="s">
        <v>29</v>
      </c>
    </row>
    <row r="1140" spans="1:14">
      <c r="A1140" s="4" t="str">
        <f t="shared" ref="A1140:A1175" si="91">HYPERLINK("http://hcmdb.i-sanger.com/experiment/details/experiment_id/EXP00020","EXP00020")</f>
        <v>EXP00020</v>
      </c>
      <c r="B1140" s="4" t="str">
        <f t="shared" ref="B1140:B1171" si="92">HYPERLINK("https://www.ncbi.nlm.nih.gov/pubmed/20479215","20479215")</f>
        <v>20479215</v>
      </c>
      <c r="C1140" s="4" t="str">
        <f t="shared" ref="C1140:C1171" si="93">HYPERLINK("https://www.ncbi.nlm.nih.gov/geo/query/acc.cgi?acc=GSE14297","GSE14297")</f>
        <v>GSE14297</v>
      </c>
      <c r="D1140" s="1" t="s">
        <v>71</v>
      </c>
      <c r="E1140" t="s">
        <v>72</v>
      </c>
      <c r="F1140" s="1">
        <v>1</v>
      </c>
      <c r="G1140" s="1" t="s">
        <v>26</v>
      </c>
      <c r="H1140" s="4" t="str">
        <f>HYPERLINK("https://www.ncbi.nlm.nih.gov/geo/query/acc.cgi?acc=GSM357551","GSM357551")</f>
        <v>GSM357551</v>
      </c>
      <c r="I1140" t="s">
        <v>69</v>
      </c>
      <c r="J1140" t="s">
        <v>18</v>
      </c>
      <c r="K1140" t="s">
        <v>19</v>
      </c>
      <c r="L1140" t="s">
        <v>70</v>
      </c>
      <c r="M1140" t="s">
        <v>44</v>
      </c>
      <c r="N1140" t="s">
        <v>22</v>
      </c>
    </row>
    <row r="1141" spans="1:14">
      <c r="A1141" s="4" t="str">
        <f t="shared" si="91"/>
        <v>EXP00020</v>
      </c>
      <c r="B1141" s="4" t="str">
        <f t="shared" si="92"/>
        <v>20479215</v>
      </c>
      <c r="C1141" s="4" t="str">
        <f t="shared" si="93"/>
        <v>GSE14297</v>
      </c>
      <c r="D1141" s="1" t="s">
        <v>71</v>
      </c>
      <c r="E1141" t="s">
        <v>72</v>
      </c>
      <c r="F1141" s="1">
        <v>1</v>
      </c>
      <c r="G1141" s="1" t="s">
        <v>26</v>
      </c>
      <c r="H1141" s="4" t="str">
        <f>HYPERLINK("https://www.ncbi.nlm.nih.gov/geo/query/acc.cgi?acc=GSM357553","GSM357553")</f>
        <v>GSM357553</v>
      </c>
      <c r="I1141" t="s">
        <v>69</v>
      </c>
      <c r="J1141" t="s">
        <v>18</v>
      </c>
      <c r="K1141" t="s">
        <v>19</v>
      </c>
      <c r="L1141" t="s">
        <v>70</v>
      </c>
      <c r="M1141" t="s">
        <v>44</v>
      </c>
      <c r="N1141" t="s">
        <v>22</v>
      </c>
    </row>
    <row r="1142" spans="1:14">
      <c r="A1142" s="4" t="str">
        <f t="shared" si="91"/>
        <v>EXP00020</v>
      </c>
      <c r="B1142" s="4" t="str">
        <f t="shared" si="92"/>
        <v>20479215</v>
      </c>
      <c r="C1142" s="4" t="str">
        <f t="shared" si="93"/>
        <v>GSE14297</v>
      </c>
      <c r="D1142" s="1" t="s">
        <v>71</v>
      </c>
      <c r="E1142" t="s">
        <v>72</v>
      </c>
      <c r="F1142" s="1">
        <v>1</v>
      </c>
      <c r="G1142" s="1" t="s">
        <v>26</v>
      </c>
      <c r="H1142" s="4" t="str">
        <f>HYPERLINK("https://www.ncbi.nlm.nih.gov/geo/query/acc.cgi?acc=GSM357555","GSM357555")</f>
        <v>GSM357555</v>
      </c>
      <c r="I1142" t="s">
        <v>69</v>
      </c>
      <c r="J1142" t="s">
        <v>18</v>
      </c>
      <c r="K1142" t="s">
        <v>19</v>
      </c>
      <c r="L1142" t="s">
        <v>70</v>
      </c>
      <c r="M1142" t="s">
        <v>44</v>
      </c>
      <c r="N1142" t="s">
        <v>22</v>
      </c>
    </row>
    <row r="1143" spans="1:14">
      <c r="A1143" s="4" t="str">
        <f t="shared" si="91"/>
        <v>EXP00020</v>
      </c>
      <c r="B1143" s="4" t="str">
        <f t="shared" si="92"/>
        <v>20479215</v>
      </c>
      <c r="C1143" s="4" t="str">
        <f t="shared" si="93"/>
        <v>GSE14297</v>
      </c>
      <c r="D1143" s="1" t="s">
        <v>71</v>
      </c>
      <c r="E1143" t="s">
        <v>72</v>
      </c>
      <c r="F1143" s="1">
        <v>1</v>
      </c>
      <c r="G1143" s="1" t="s">
        <v>26</v>
      </c>
      <c r="H1143" s="4" t="str">
        <f>HYPERLINK("https://www.ncbi.nlm.nih.gov/geo/query/acc.cgi?acc=GSM357557","GSM357557")</f>
        <v>GSM357557</v>
      </c>
      <c r="I1143" t="s">
        <v>69</v>
      </c>
      <c r="J1143" t="s">
        <v>18</v>
      </c>
      <c r="K1143" t="s">
        <v>19</v>
      </c>
      <c r="L1143" t="s">
        <v>70</v>
      </c>
      <c r="M1143" t="s">
        <v>44</v>
      </c>
      <c r="N1143" t="s">
        <v>22</v>
      </c>
    </row>
    <row r="1144" spans="1:14">
      <c r="A1144" s="4" t="str">
        <f t="shared" si="91"/>
        <v>EXP00020</v>
      </c>
      <c r="B1144" s="4" t="str">
        <f t="shared" si="92"/>
        <v>20479215</v>
      </c>
      <c r="C1144" s="4" t="str">
        <f t="shared" si="93"/>
        <v>GSE14297</v>
      </c>
      <c r="D1144" s="1" t="s">
        <v>71</v>
      </c>
      <c r="E1144" t="s">
        <v>72</v>
      </c>
      <c r="F1144" s="1">
        <v>1</v>
      </c>
      <c r="G1144" s="1" t="s">
        <v>26</v>
      </c>
      <c r="H1144" s="4" t="str">
        <f>HYPERLINK("https://www.ncbi.nlm.nih.gov/geo/query/acc.cgi?acc=GSM357559","GSM357559")</f>
        <v>GSM357559</v>
      </c>
      <c r="I1144" t="s">
        <v>69</v>
      </c>
      <c r="J1144" t="s">
        <v>18</v>
      </c>
      <c r="K1144" t="s">
        <v>19</v>
      </c>
      <c r="L1144" t="s">
        <v>70</v>
      </c>
      <c r="M1144" t="s">
        <v>44</v>
      </c>
      <c r="N1144" t="s">
        <v>22</v>
      </c>
    </row>
    <row r="1145" spans="1:14">
      <c r="A1145" s="4" t="str">
        <f t="shared" si="91"/>
        <v>EXP00020</v>
      </c>
      <c r="B1145" s="4" t="str">
        <f t="shared" si="92"/>
        <v>20479215</v>
      </c>
      <c r="C1145" s="4" t="str">
        <f t="shared" si="93"/>
        <v>GSE14297</v>
      </c>
      <c r="D1145" s="1" t="s">
        <v>71</v>
      </c>
      <c r="E1145" t="s">
        <v>72</v>
      </c>
      <c r="F1145" s="1">
        <v>1</v>
      </c>
      <c r="G1145" s="1" t="s">
        <v>26</v>
      </c>
      <c r="H1145" s="4" t="str">
        <f>HYPERLINK("https://www.ncbi.nlm.nih.gov/geo/query/acc.cgi?acc=GSM357561","GSM357561")</f>
        <v>GSM357561</v>
      </c>
      <c r="I1145" t="s">
        <v>69</v>
      </c>
      <c r="J1145" t="s">
        <v>18</v>
      </c>
      <c r="K1145" t="s">
        <v>19</v>
      </c>
      <c r="L1145" t="s">
        <v>70</v>
      </c>
      <c r="M1145" t="s">
        <v>44</v>
      </c>
      <c r="N1145" t="s">
        <v>22</v>
      </c>
    </row>
    <row r="1146" spans="1:14">
      <c r="A1146" s="4" t="str">
        <f t="shared" si="91"/>
        <v>EXP00020</v>
      </c>
      <c r="B1146" s="4" t="str">
        <f t="shared" si="92"/>
        <v>20479215</v>
      </c>
      <c r="C1146" s="4" t="str">
        <f t="shared" si="93"/>
        <v>GSE14297</v>
      </c>
      <c r="D1146" s="1" t="s">
        <v>71</v>
      </c>
      <c r="E1146" t="s">
        <v>72</v>
      </c>
      <c r="F1146" s="1">
        <v>1</v>
      </c>
      <c r="G1146" s="1" t="s">
        <v>26</v>
      </c>
      <c r="H1146" s="4" t="str">
        <f>HYPERLINK("https://www.ncbi.nlm.nih.gov/geo/query/acc.cgi?acc=GSM357570","GSM357570")</f>
        <v>GSM357570</v>
      </c>
      <c r="I1146" t="s">
        <v>69</v>
      </c>
      <c r="J1146" t="s">
        <v>18</v>
      </c>
      <c r="K1146" t="s">
        <v>19</v>
      </c>
      <c r="L1146" t="s">
        <v>70</v>
      </c>
      <c r="M1146" t="s">
        <v>44</v>
      </c>
      <c r="N1146" t="s">
        <v>22</v>
      </c>
    </row>
    <row r="1147" spans="1:14">
      <c r="A1147" s="4" t="str">
        <f t="shared" si="91"/>
        <v>EXP00020</v>
      </c>
      <c r="B1147" s="4" t="str">
        <f t="shared" si="92"/>
        <v>20479215</v>
      </c>
      <c r="C1147" s="4" t="str">
        <f t="shared" si="93"/>
        <v>GSE14297</v>
      </c>
      <c r="D1147" s="1" t="s">
        <v>71</v>
      </c>
      <c r="E1147" t="s">
        <v>72</v>
      </c>
      <c r="F1147" s="1">
        <v>1</v>
      </c>
      <c r="G1147" s="1" t="s">
        <v>26</v>
      </c>
      <c r="H1147" s="4" t="str">
        <f>HYPERLINK("https://www.ncbi.nlm.nih.gov/geo/query/acc.cgi?acc=GSM357572","GSM357572")</f>
        <v>GSM357572</v>
      </c>
      <c r="I1147" t="s">
        <v>69</v>
      </c>
      <c r="J1147" t="s">
        <v>18</v>
      </c>
      <c r="K1147" t="s">
        <v>19</v>
      </c>
      <c r="L1147" t="s">
        <v>70</v>
      </c>
      <c r="M1147" t="s">
        <v>44</v>
      </c>
      <c r="N1147" t="s">
        <v>22</v>
      </c>
    </row>
    <row r="1148" spans="1:14">
      <c r="A1148" s="4" t="str">
        <f t="shared" si="91"/>
        <v>EXP00020</v>
      </c>
      <c r="B1148" s="4" t="str">
        <f t="shared" si="92"/>
        <v>20479215</v>
      </c>
      <c r="C1148" s="4" t="str">
        <f t="shared" si="93"/>
        <v>GSE14297</v>
      </c>
      <c r="D1148" s="1" t="s">
        <v>71</v>
      </c>
      <c r="E1148" t="s">
        <v>72</v>
      </c>
      <c r="F1148" s="1">
        <v>1</v>
      </c>
      <c r="G1148" s="1" t="s">
        <v>26</v>
      </c>
      <c r="H1148" s="4" t="str">
        <f>HYPERLINK("https://www.ncbi.nlm.nih.gov/geo/query/acc.cgi?acc=GSM357574","GSM357574")</f>
        <v>GSM357574</v>
      </c>
      <c r="I1148" t="s">
        <v>69</v>
      </c>
      <c r="J1148" t="s">
        <v>18</v>
      </c>
      <c r="K1148" t="s">
        <v>19</v>
      </c>
      <c r="L1148" t="s">
        <v>70</v>
      </c>
      <c r="M1148" t="s">
        <v>44</v>
      </c>
      <c r="N1148" t="s">
        <v>22</v>
      </c>
    </row>
    <row r="1149" spans="1:14">
      <c r="A1149" s="4" t="str">
        <f t="shared" si="91"/>
        <v>EXP00020</v>
      </c>
      <c r="B1149" s="4" t="str">
        <f t="shared" si="92"/>
        <v>20479215</v>
      </c>
      <c r="C1149" s="4" t="str">
        <f t="shared" si="93"/>
        <v>GSE14297</v>
      </c>
      <c r="D1149" s="1" t="s">
        <v>71</v>
      </c>
      <c r="E1149" t="s">
        <v>72</v>
      </c>
      <c r="F1149" s="1">
        <v>1</v>
      </c>
      <c r="G1149" s="1" t="s">
        <v>26</v>
      </c>
      <c r="H1149" s="4" t="str">
        <f>HYPERLINK("https://www.ncbi.nlm.nih.gov/geo/query/acc.cgi?acc=GSM357576","GSM357576")</f>
        <v>GSM357576</v>
      </c>
      <c r="I1149" t="s">
        <v>69</v>
      </c>
      <c r="J1149" t="s">
        <v>18</v>
      </c>
      <c r="K1149" t="s">
        <v>19</v>
      </c>
      <c r="L1149" t="s">
        <v>70</v>
      </c>
      <c r="M1149" t="s">
        <v>44</v>
      </c>
      <c r="N1149" t="s">
        <v>22</v>
      </c>
    </row>
    <row r="1150" spans="1:14">
      <c r="A1150" s="4" t="str">
        <f t="shared" si="91"/>
        <v>EXP00020</v>
      </c>
      <c r="B1150" s="4" t="str">
        <f t="shared" si="92"/>
        <v>20479215</v>
      </c>
      <c r="C1150" s="4" t="str">
        <f t="shared" si="93"/>
        <v>GSE14297</v>
      </c>
      <c r="D1150" s="1" t="s">
        <v>71</v>
      </c>
      <c r="E1150" t="s">
        <v>72</v>
      </c>
      <c r="F1150" s="1">
        <v>1</v>
      </c>
      <c r="G1150" s="1" t="s">
        <v>26</v>
      </c>
      <c r="H1150" s="4" t="str">
        <f>HYPERLINK("https://www.ncbi.nlm.nih.gov/geo/query/acc.cgi?acc=GSM357578","GSM357578")</f>
        <v>GSM357578</v>
      </c>
      <c r="I1150" t="s">
        <v>69</v>
      </c>
      <c r="J1150" t="s">
        <v>18</v>
      </c>
      <c r="K1150" t="s">
        <v>19</v>
      </c>
      <c r="L1150" t="s">
        <v>70</v>
      </c>
      <c r="M1150" t="s">
        <v>44</v>
      </c>
      <c r="N1150" t="s">
        <v>22</v>
      </c>
    </row>
    <row r="1151" spans="1:14">
      <c r="A1151" s="4" t="str">
        <f t="shared" si="91"/>
        <v>EXP00020</v>
      </c>
      <c r="B1151" s="4" t="str">
        <f t="shared" si="92"/>
        <v>20479215</v>
      </c>
      <c r="C1151" s="4" t="str">
        <f t="shared" si="93"/>
        <v>GSE14297</v>
      </c>
      <c r="D1151" s="1" t="s">
        <v>71</v>
      </c>
      <c r="E1151" t="s">
        <v>72</v>
      </c>
      <c r="F1151" s="1">
        <v>1</v>
      </c>
      <c r="G1151" s="1" t="s">
        <v>26</v>
      </c>
      <c r="H1151" s="4" t="str">
        <f>HYPERLINK("https://www.ncbi.nlm.nih.gov/geo/query/acc.cgi?acc=GSM357580","GSM357580")</f>
        <v>GSM357580</v>
      </c>
      <c r="I1151" t="s">
        <v>69</v>
      </c>
      <c r="J1151" t="s">
        <v>18</v>
      </c>
      <c r="K1151" t="s">
        <v>19</v>
      </c>
      <c r="L1151" t="s">
        <v>70</v>
      </c>
      <c r="M1151" t="s">
        <v>44</v>
      </c>
      <c r="N1151" t="s">
        <v>22</v>
      </c>
    </row>
    <row r="1152" spans="1:14">
      <c r="A1152" s="4" t="str">
        <f t="shared" si="91"/>
        <v>EXP00020</v>
      </c>
      <c r="B1152" s="4" t="str">
        <f t="shared" si="92"/>
        <v>20479215</v>
      </c>
      <c r="C1152" s="4" t="str">
        <f t="shared" si="93"/>
        <v>GSE14297</v>
      </c>
      <c r="D1152" s="1" t="s">
        <v>71</v>
      </c>
      <c r="E1152" t="s">
        <v>72</v>
      </c>
      <c r="F1152" s="1">
        <v>1</v>
      </c>
      <c r="G1152" s="1" t="s">
        <v>26</v>
      </c>
      <c r="H1152" s="4" t="str">
        <f>HYPERLINK("https://www.ncbi.nlm.nih.gov/geo/query/acc.cgi?acc=GSM357582","GSM357582")</f>
        <v>GSM357582</v>
      </c>
      <c r="I1152" t="s">
        <v>69</v>
      </c>
      <c r="J1152" t="s">
        <v>18</v>
      </c>
      <c r="K1152" t="s">
        <v>19</v>
      </c>
      <c r="L1152" t="s">
        <v>70</v>
      </c>
      <c r="M1152" t="s">
        <v>44</v>
      </c>
      <c r="N1152" t="s">
        <v>22</v>
      </c>
    </row>
    <row r="1153" spans="1:14">
      <c r="A1153" s="4" t="str">
        <f t="shared" si="91"/>
        <v>EXP00020</v>
      </c>
      <c r="B1153" s="4" t="str">
        <f t="shared" si="92"/>
        <v>20479215</v>
      </c>
      <c r="C1153" s="4" t="str">
        <f t="shared" si="93"/>
        <v>GSE14297</v>
      </c>
      <c r="D1153" s="1" t="s">
        <v>71</v>
      </c>
      <c r="E1153" t="s">
        <v>72</v>
      </c>
      <c r="F1153" s="1">
        <v>1</v>
      </c>
      <c r="G1153" s="1" t="s">
        <v>26</v>
      </c>
      <c r="H1153" s="4" t="str">
        <f>HYPERLINK("https://www.ncbi.nlm.nih.gov/geo/query/acc.cgi?acc=GSM357584","GSM357584")</f>
        <v>GSM357584</v>
      </c>
      <c r="I1153" t="s">
        <v>69</v>
      </c>
      <c r="J1153" t="s">
        <v>18</v>
      </c>
      <c r="K1153" t="s">
        <v>19</v>
      </c>
      <c r="L1153" t="s">
        <v>70</v>
      </c>
      <c r="M1153" t="s">
        <v>44</v>
      </c>
      <c r="N1153" t="s">
        <v>22</v>
      </c>
    </row>
    <row r="1154" spans="1:14">
      <c r="A1154" s="4" t="str">
        <f t="shared" si="91"/>
        <v>EXP00020</v>
      </c>
      <c r="B1154" s="4" t="str">
        <f t="shared" si="92"/>
        <v>20479215</v>
      </c>
      <c r="C1154" s="4" t="str">
        <f t="shared" si="93"/>
        <v>GSE14297</v>
      </c>
      <c r="D1154" s="1" t="s">
        <v>71</v>
      </c>
      <c r="E1154" t="s">
        <v>72</v>
      </c>
      <c r="F1154" s="1">
        <v>1</v>
      </c>
      <c r="G1154" s="1" t="s">
        <v>26</v>
      </c>
      <c r="H1154" s="4" t="str">
        <f>HYPERLINK("https://www.ncbi.nlm.nih.gov/geo/query/acc.cgi?acc=GSM357586","GSM357586")</f>
        <v>GSM357586</v>
      </c>
      <c r="I1154" t="s">
        <v>69</v>
      </c>
      <c r="J1154" t="s">
        <v>18</v>
      </c>
      <c r="K1154" t="s">
        <v>19</v>
      </c>
      <c r="L1154" t="s">
        <v>70</v>
      </c>
      <c r="M1154" t="s">
        <v>44</v>
      </c>
      <c r="N1154" t="s">
        <v>22</v>
      </c>
    </row>
    <row r="1155" spans="1:14">
      <c r="A1155" s="4" t="str">
        <f t="shared" si="91"/>
        <v>EXP00020</v>
      </c>
      <c r="B1155" s="4" t="str">
        <f t="shared" si="92"/>
        <v>20479215</v>
      </c>
      <c r="C1155" s="4" t="str">
        <f t="shared" si="93"/>
        <v>GSE14297</v>
      </c>
      <c r="D1155" s="1" t="s">
        <v>71</v>
      </c>
      <c r="E1155" t="s">
        <v>72</v>
      </c>
      <c r="F1155" s="1">
        <v>1</v>
      </c>
      <c r="G1155" s="1" t="s">
        <v>26</v>
      </c>
      <c r="H1155" s="4" t="str">
        <f>HYPERLINK("https://www.ncbi.nlm.nih.gov/geo/query/acc.cgi?acc=GSM357588","GSM357588")</f>
        <v>GSM357588</v>
      </c>
      <c r="I1155" t="s">
        <v>69</v>
      </c>
      <c r="J1155" t="s">
        <v>18</v>
      </c>
      <c r="K1155" t="s">
        <v>19</v>
      </c>
      <c r="L1155" t="s">
        <v>70</v>
      </c>
      <c r="M1155" t="s">
        <v>44</v>
      </c>
      <c r="N1155" t="s">
        <v>22</v>
      </c>
    </row>
    <row r="1156" spans="1:14">
      <c r="A1156" s="4" t="str">
        <f t="shared" si="91"/>
        <v>EXP00020</v>
      </c>
      <c r="B1156" s="4" t="str">
        <f t="shared" si="92"/>
        <v>20479215</v>
      </c>
      <c r="C1156" s="4" t="str">
        <f t="shared" si="93"/>
        <v>GSE14297</v>
      </c>
      <c r="D1156" s="1" t="s">
        <v>71</v>
      </c>
      <c r="E1156" t="s">
        <v>72</v>
      </c>
      <c r="F1156" s="1">
        <v>1</v>
      </c>
      <c r="G1156" s="1" t="s">
        <v>26</v>
      </c>
      <c r="H1156" s="4" t="str">
        <f>HYPERLINK("https://www.ncbi.nlm.nih.gov/geo/query/acc.cgi?acc=GSM357590","GSM357590")</f>
        <v>GSM357590</v>
      </c>
      <c r="I1156" t="s">
        <v>69</v>
      </c>
      <c r="J1156" t="s">
        <v>18</v>
      </c>
      <c r="K1156" t="s">
        <v>19</v>
      </c>
      <c r="L1156" t="s">
        <v>70</v>
      </c>
      <c r="M1156" t="s">
        <v>44</v>
      </c>
      <c r="N1156" t="s">
        <v>22</v>
      </c>
    </row>
    <row r="1157" spans="1:14">
      <c r="A1157" s="4" t="str">
        <f t="shared" si="91"/>
        <v>EXP00020</v>
      </c>
      <c r="B1157" s="4" t="str">
        <f t="shared" si="92"/>
        <v>20479215</v>
      </c>
      <c r="C1157" s="4" t="str">
        <f t="shared" si="93"/>
        <v>GSE14297</v>
      </c>
      <c r="D1157" s="1" t="s">
        <v>71</v>
      </c>
      <c r="E1157" t="s">
        <v>72</v>
      </c>
      <c r="F1157" s="1">
        <v>1</v>
      </c>
      <c r="G1157" s="1" t="s">
        <v>26</v>
      </c>
      <c r="H1157" s="4" t="str">
        <f>HYPERLINK("https://www.ncbi.nlm.nih.gov/geo/query/acc.cgi?acc=GSM357592","GSM357592")</f>
        <v>GSM357592</v>
      </c>
      <c r="I1157" t="s">
        <v>69</v>
      </c>
      <c r="J1157" t="s">
        <v>18</v>
      </c>
      <c r="K1157" t="s">
        <v>19</v>
      </c>
      <c r="L1157" t="s">
        <v>70</v>
      </c>
      <c r="M1157" t="s">
        <v>44</v>
      </c>
      <c r="N1157" t="s">
        <v>22</v>
      </c>
    </row>
    <row r="1158" spans="1:14">
      <c r="A1158" s="4" t="str">
        <f t="shared" si="91"/>
        <v>EXP00020</v>
      </c>
      <c r="B1158" s="4" t="str">
        <f t="shared" si="92"/>
        <v>20479215</v>
      </c>
      <c r="C1158" s="4" t="str">
        <f t="shared" si="93"/>
        <v>GSE14297</v>
      </c>
      <c r="D1158" s="1" t="s">
        <v>71</v>
      </c>
      <c r="E1158" t="s">
        <v>72</v>
      </c>
      <c r="F1158" s="1">
        <v>2</v>
      </c>
      <c r="G1158" s="1" t="s">
        <v>28</v>
      </c>
      <c r="H1158" s="4" t="str">
        <f>HYPERLINK("https://www.ncbi.nlm.nih.gov/geo/query/acc.cgi?acc=GSM357552","GSM357552")</f>
        <v>GSM357552</v>
      </c>
      <c r="I1158" t="s">
        <v>69</v>
      </c>
      <c r="J1158" t="s">
        <v>18</v>
      </c>
      <c r="K1158" t="s">
        <v>19</v>
      </c>
      <c r="L1158" t="s">
        <v>70</v>
      </c>
      <c r="M1158" t="s">
        <v>44</v>
      </c>
      <c r="N1158" t="s">
        <v>29</v>
      </c>
    </row>
    <row r="1159" spans="1:14">
      <c r="A1159" s="4" t="str">
        <f t="shared" si="91"/>
        <v>EXP00020</v>
      </c>
      <c r="B1159" s="4" t="str">
        <f t="shared" si="92"/>
        <v>20479215</v>
      </c>
      <c r="C1159" s="4" t="str">
        <f t="shared" si="93"/>
        <v>GSE14297</v>
      </c>
      <c r="D1159" s="1" t="s">
        <v>71</v>
      </c>
      <c r="E1159" t="s">
        <v>72</v>
      </c>
      <c r="F1159" s="1">
        <v>2</v>
      </c>
      <c r="G1159" s="1" t="s">
        <v>28</v>
      </c>
      <c r="H1159" s="4" t="str">
        <f>HYPERLINK("https://www.ncbi.nlm.nih.gov/geo/query/acc.cgi?acc=GSM357554","GSM357554")</f>
        <v>GSM357554</v>
      </c>
      <c r="I1159" t="s">
        <v>69</v>
      </c>
      <c r="J1159" t="s">
        <v>18</v>
      </c>
      <c r="K1159" t="s">
        <v>19</v>
      </c>
      <c r="L1159" t="s">
        <v>70</v>
      </c>
      <c r="M1159" t="s">
        <v>44</v>
      </c>
      <c r="N1159" t="s">
        <v>29</v>
      </c>
    </row>
    <row r="1160" spans="1:14">
      <c r="A1160" s="4" t="str">
        <f t="shared" si="91"/>
        <v>EXP00020</v>
      </c>
      <c r="B1160" s="4" t="str">
        <f t="shared" si="92"/>
        <v>20479215</v>
      </c>
      <c r="C1160" s="4" t="str">
        <f t="shared" si="93"/>
        <v>GSE14297</v>
      </c>
      <c r="D1160" s="1" t="s">
        <v>71</v>
      </c>
      <c r="E1160" t="s">
        <v>72</v>
      </c>
      <c r="F1160" s="1">
        <v>2</v>
      </c>
      <c r="G1160" s="1" t="s">
        <v>28</v>
      </c>
      <c r="H1160" s="4" t="str">
        <f>HYPERLINK("https://www.ncbi.nlm.nih.gov/geo/query/acc.cgi?acc=GSM357556","GSM357556")</f>
        <v>GSM357556</v>
      </c>
      <c r="I1160" t="s">
        <v>69</v>
      </c>
      <c r="J1160" t="s">
        <v>18</v>
      </c>
      <c r="K1160" t="s">
        <v>19</v>
      </c>
      <c r="L1160" t="s">
        <v>70</v>
      </c>
      <c r="M1160" t="s">
        <v>44</v>
      </c>
      <c r="N1160" t="s">
        <v>29</v>
      </c>
    </row>
    <row r="1161" spans="1:14">
      <c r="A1161" s="4" t="str">
        <f t="shared" si="91"/>
        <v>EXP00020</v>
      </c>
      <c r="B1161" s="4" t="str">
        <f t="shared" si="92"/>
        <v>20479215</v>
      </c>
      <c r="C1161" s="4" t="str">
        <f t="shared" si="93"/>
        <v>GSE14297</v>
      </c>
      <c r="D1161" s="1" t="s">
        <v>71</v>
      </c>
      <c r="E1161" t="s">
        <v>72</v>
      </c>
      <c r="F1161" s="1">
        <v>2</v>
      </c>
      <c r="G1161" s="1" t="s">
        <v>28</v>
      </c>
      <c r="H1161" s="4" t="str">
        <f>HYPERLINK("https://www.ncbi.nlm.nih.gov/geo/query/acc.cgi?acc=GSM357558","GSM357558")</f>
        <v>GSM357558</v>
      </c>
      <c r="I1161" t="s">
        <v>69</v>
      </c>
      <c r="J1161" t="s">
        <v>18</v>
      </c>
      <c r="K1161" t="s">
        <v>19</v>
      </c>
      <c r="L1161" t="s">
        <v>70</v>
      </c>
      <c r="M1161" t="s">
        <v>44</v>
      </c>
      <c r="N1161" t="s">
        <v>29</v>
      </c>
    </row>
    <row r="1162" spans="1:14">
      <c r="A1162" s="4" t="str">
        <f t="shared" si="91"/>
        <v>EXP00020</v>
      </c>
      <c r="B1162" s="4" t="str">
        <f t="shared" si="92"/>
        <v>20479215</v>
      </c>
      <c r="C1162" s="4" t="str">
        <f t="shared" si="93"/>
        <v>GSE14297</v>
      </c>
      <c r="D1162" s="1" t="s">
        <v>71</v>
      </c>
      <c r="E1162" t="s">
        <v>72</v>
      </c>
      <c r="F1162" s="1">
        <v>2</v>
      </c>
      <c r="G1162" s="1" t="s">
        <v>28</v>
      </c>
      <c r="H1162" s="4" t="str">
        <f>HYPERLINK("https://www.ncbi.nlm.nih.gov/geo/query/acc.cgi?acc=GSM357560","GSM357560")</f>
        <v>GSM357560</v>
      </c>
      <c r="I1162" t="s">
        <v>69</v>
      </c>
      <c r="J1162" t="s">
        <v>18</v>
      </c>
      <c r="K1162" t="s">
        <v>19</v>
      </c>
      <c r="L1162" t="s">
        <v>70</v>
      </c>
      <c r="M1162" t="s">
        <v>44</v>
      </c>
      <c r="N1162" t="s">
        <v>29</v>
      </c>
    </row>
    <row r="1163" spans="1:14">
      <c r="A1163" s="4" t="str">
        <f t="shared" si="91"/>
        <v>EXP00020</v>
      </c>
      <c r="B1163" s="4" t="str">
        <f t="shared" si="92"/>
        <v>20479215</v>
      </c>
      <c r="C1163" s="4" t="str">
        <f t="shared" si="93"/>
        <v>GSE14297</v>
      </c>
      <c r="D1163" s="1" t="s">
        <v>71</v>
      </c>
      <c r="E1163" t="s">
        <v>72</v>
      </c>
      <c r="F1163" s="1">
        <v>2</v>
      </c>
      <c r="G1163" s="1" t="s">
        <v>28</v>
      </c>
      <c r="H1163" s="4" t="str">
        <f>HYPERLINK("https://www.ncbi.nlm.nih.gov/geo/query/acc.cgi?acc=GSM357562","GSM357562")</f>
        <v>GSM357562</v>
      </c>
      <c r="I1163" t="s">
        <v>69</v>
      </c>
      <c r="J1163" t="s">
        <v>18</v>
      </c>
      <c r="K1163" t="s">
        <v>19</v>
      </c>
      <c r="L1163" t="s">
        <v>70</v>
      </c>
      <c r="M1163" t="s">
        <v>44</v>
      </c>
      <c r="N1163" t="s">
        <v>29</v>
      </c>
    </row>
    <row r="1164" spans="1:14">
      <c r="A1164" s="4" t="str">
        <f t="shared" si="91"/>
        <v>EXP00020</v>
      </c>
      <c r="B1164" s="4" t="str">
        <f t="shared" si="92"/>
        <v>20479215</v>
      </c>
      <c r="C1164" s="4" t="str">
        <f t="shared" si="93"/>
        <v>GSE14297</v>
      </c>
      <c r="D1164" s="1" t="s">
        <v>71</v>
      </c>
      <c r="E1164" t="s">
        <v>72</v>
      </c>
      <c r="F1164" s="1">
        <v>2</v>
      </c>
      <c r="G1164" s="1" t="s">
        <v>28</v>
      </c>
      <c r="H1164" s="4" t="str">
        <f>HYPERLINK("https://www.ncbi.nlm.nih.gov/geo/query/acc.cgi?acc=GSM357571","GSM357571")</f>
        <v>GSM357571</v>
      </c>
      <c r="I1164" t="s">
        <v>69</v>
      </c>
      <c r="J1164" t="s">
        <v>18</v>
      </c>
      <c r="K1164" t="s">
        <v>19</v>
      </c>
      <c r="L1164" t="s">
        <v>70</v>
      </c>
      <c r="M1164" t="s">
        <v>44</v>
      </c>
      <c r="N1164" t="s">
        <v>29</v>
      </c>
    </row>
    <row r="1165" spans="1:14">
      <c r="A1165" s="4" t="str">
        <f t="shared" si="91"/>
        <v>EXP00020</v>
      </c>
      <c r="B1165" s="4" t="str">
        <f t="shared" si="92"/>
        <v>20479215</v>
      </c>
      <c r="C1165" s="4" t="str">
        <f t="shared" si="93"/>
        <v>GSE14297</v>
      </c>
      <c r="D1165" s="1" t="s">
        <v>71</v>
      </c>
      <c r="E1165" t="s">
        <v>72</v>
      </c>
      <c r="F1165" s="1">
        <v>2</v>
      </c>
      <c r="G1165" s="1" t="s">
        <v>28</v>
      </c>
      <c r="H1165" s="4" t="str">
        <f>HYPERLINK("https://www.ncbi.nlm.nih.gov/geo/query/acc.cgi?acc=GSM357573","GSM357573")</f>
        <v>GSM357573</v>
      </c>
      <c r="I1165" t="s">
        <v>69</v>
      </c>
      <c r="J1165" t="s">
        <v>18</v>
      </c>
      <c r="K1165" t="s">
        <v>19</v>
      </c>
      <c r="L1165" t="s">
        <v>70</v>
      </c>
      <c r="M1165" t="s">
        <v>44</v>
      </c>
      <c r="N1165" t="s">
        <v>29</v>
      </c>
    </row>
    <row r="1166" spans="1:14">
      <c r="A1166" s="4" t="str">
        <f t="shared" si="91"/>
        <v>EXP00020</v>
      </c>
      <c r="B1166" s="4" t="str">
        <f t="shared" si="92"/>
        <v>20479215</v>
      </c>
      <c r="C1166" s="4" t="str">
        <f t="shared" si="93"/>
        <v>GSE14297</v>
      </c>
      <c r="D1166" s="1" t="s">
        <v>71</v>
      </c>
      <c r="E1166" t="s">
        <v>72</v>
      </c>
      <c r="F1166" s="1">
        <v>2</v>
      </c>
      <c r="G1166" s="1" t="s">
        <v>28</v>
      </c>
      <c r="H1166" s="4" t="str">
        <f>HYPERLINK("https://www.ncbi.nlm.nih.gov/geo/query/acc.cgi?acc=GSM357575","GSM357575")</f>
        <v>GSM357575</v>
      </c>
      <c r="I1166" t="s">
        <v>69</v>
      </c>
      <c r="J1166" t="s">
        <v>18</v>
      </c>
      <c r="K1166" t="s">
        <v>19</v>
      </c>
      <c r="L1166" t="s">
        <v>70</v>
      </c>
      <c r="M1166" t="s">
        <v>44</v>
      </c>
      <c r="N1166" t="s">
        <v>29</v>
      </c>
    </row>
    <row r="1167" spans="1:14">
      <c r="A1167" s="4" t="str">
        <f t="shared" si="91"/>
        <v>EXP00020</v>
      </c>
      <c r="B1167" s="4" t="str">
        <f t="shared" si="92"/>
        <v>20479215</v>
      </c>
      <c r="C1167" s="4" t="str">
        <f t="shared" si="93"/>
        <v>GSE14297</v>
      </c>
      <c r="D1167" s="1" t="s">
        <v>71</v>
      </c>
      <c r="E1167" t="s">
        <v>72</v>
      </c>
      <c r="F1167" s="1">
        <v>2</v>
      </c>
      <c r="G1167" s="1" t="s">
        <v>28</v>
      </c>
      <c r="H1167" s="4" t="str">
        <f>HYPERLINK("https://www.ncbi.nlm.nih.gov/geo/query/acc.cgi?acc=GSM357577","GSM357577")</f>
        <v>GSM357577</v>
      </c>
      <c r="I1167" t="s">
        <v>69</v>
      </c>
      <c r="J1167" t="s">
        <v>18</v>
      </c>
      <c r="K1167" t="s">
        <v>19</v>
      </c>
      <c r="L1167" t="s">
        <v>70</v>
      </c>
      <c r="M1167" t="s">
        <v>44</v>
      </c>
      <c r="N1167" t="s">
        <v>29</v>
      </c>
    </row>
    <row r="1168" spans="1:14">
      <c r="A1168" s="4" t="str">
        <f t="shared" si="91"/>
        <v>EXP00020</v>
      </c>
      <c r="B1168" s="4" t="str">
        <f t="shared" si="92"/>
        <v>20479215</v>
      </c>
      <c r="C1168" s="4" t="str">
        <f t="shared" si="93"/>
        <v>GSE14297</v>
      </c>
      <c r="D1168" s="1" t="s">
        <v>71</v>
      </c>
      <c r="E1168" t="s">
        <v>72</v>
      </c>
      <c r="F1168" s="1">
        <v>2</v>
      </c>
      <c r="G1168" s="1" t="s">
        <v>28</v>
      </c>
      <c r="H1168" s="4" t="str">
        <f>HYPERLINK("https://www.ncbi.nlm.nih.gov/geo/query/acc.cgi?acc=GSM357579","GSM357579")</f>
        <v>GSM357579</v>
      </c>
      <c r="I1168" t="s">
        <v>69</v>
      </c>
      <c r="J1168" t="s">
        <v>18</v>
      </c>
      <c r="K1168" t="s">
        <v>19</v>
      </c>
      <c r="L1168" t="s">
        <v>70</v>
      </c>
      <c r="M1168" t="s">
        <v>44</v>
      </c>
      <c r="N1168" t="s">
        <v>29</v>
      </c>
    </row>
    <row r="1169" spans="1:14">
      <c r="A1169" s="4" t="str">
        <f t="shared" si="91"/>
        <v>EXP00020</v>
      </c>
      <c r="B1169" s="4" t="str">
        <f t="shared" si="92"/>
        <v>20479215</v>
      </c>
      <c r="C1169" s="4" t="str">
        <f t="shared" si="93"/>
        <v>GSE14297</v>
      </c>
      <c r="D1169" s="1" t="s">
        <v>71</v>
      </c>
      <c r="E1169" t="s">
        <v>72</v>
      </c>
      <c r="F1169" s="1">
        <v>2</v>
      </c>
      <c r="G1169" s="1" t="s">
        <v>28</v>
      </c>
      <c r="H1169" s="4" t="str">
        <f>HYPERLINK("https://www.ncbi.nlm.nih.gov/geo/query/acc.cgi?acc=GSM357581","GSM357581")</f>
        <v>GSM357581</v>
      </c>
      <c r="I1169" t="s">
        <v>69</v>
      </c>
      <c r="J1169" t="s">
        <v>18</v>
      </c>
      <c r="K1169" t="s">
        <v>19</v>
      </c>
      <c r="L1169" t="s">
        <v>70</v>
      </c>
      <c r="M1169" t="s">
        <v>44</v>
      </c>
      <c r="N1169" t="s">
        <v>29</v>
      </c>
    </row>
    <row r="1170" spans="1:14">
      <c r="A1170" s="4" t="str">
        <f t="shared" si="91"/>
        <v>EXP00020</v>
      </c>
      <c r="B1170" s="4" t="str">
        <f t="shared" si="92"/>
        <v>20479215</v>
      </c>
      <c r="C1170" s="4" t="str">
        <f t="shared" si="93"/>
        <v>GSE14297</v>
      </c>
      <c r="D1170" s="1" t="s">
        <v>71</v>
      </c>
      <c r="E1170" t="s">
        <v>72</v>
      </c>
      <c r="F1170" s="1">
        <v>2</v>
      </c>
      <c r="G1170" s="1" t="s">
        <v>28</v>
      </c>
      <c r="H1170" s="4" t="str">
        <f>HYPERLINK("https://www.ncbi.nlm.nih.gov/geo/query/acc.cgi?acc=GSM357583","GSM357583")</f>
        <v>GSM357583</v>
      </c>
      <c r="I1170" t="s">
        <v>69</v>
      </c>
      <c r="J1170" t="s">
        <v>18</v>
      </c>
      <c r="K1170" t="s">
        <v>19</v>
      </c>
      <c r="L1170" t="s">
        <v>70</v>
      </c>
      <c r="M1170" t="s">
        <v>44</v>
      </c>
      <c r="N1170" t="s">
        <v>29</v>
      </c>
    </row>
    <row r="1171" spans="1:14">
      <c r="A1171" s="4" t="str">
        <f t="shared" si="91"/>
        <v>EXP00020</v>
      </c>
      <c r="B1171" s="4" t="str">
        <f t="shared" si="92"/>
        <v>20479215</v>
      </c>
      <c r="C1171" s="4" t="str">
        <f t="shared" si="93"/>
        <v>GSE14297</v>
      </c>
      <c r="D1171" s="1" t="s">
        <v>71</v>
      </c>
      <c r="E1171" t="s">
        <v>72</v>
      </c>
      <c r="F1171" s="1">
        <v>2</v>
      </c>
      <c r="G1171" s="1" t="s">
        <v>28</v>
      </c>
      <c r="H1171" s="4" t="str">
        <f>HYPERLINK("https://www.ncbi.nlm.nih.gov/geo/query/acc.cgi?acc=GSM357585","GSM357585")</f>
        <v>GSM357585</v>
      </c>
      <c r="I1171" t="s">
        <v>69</v>
      </c>
      <c r="J1171" t="s">
        <v>18</v>
      </c>
      <c r="K1171" t="s">
        <v>19</v>
      </c>
      <c r="L1171" t="s">
        <v>70</v>
      </c>
      <c r="M1171" t="s">
        <v>44</v>
      </c>
      <c r="N1171" t="s">
        <v>29</v>
      </c>
    </row>
    <row r="1172" spans="1:14">
      <c r="A1172" s="4" t="str">
        <f t="shared" si="91"/>
        <v>EXP00020</v>
      </c>
      <c r="B1172" s="4" t="str">
        <f t="shared" ref="B1172:B1203" si="94">HYPERLINK("https://www.ncbi.nlm.nih.gov/pubmed/20479215","20479215")</f>
        <v>20479215</v>
      </c>
      <c r="C1172" s="4" t="str">
        <f t="shared" ref="C1172:C1203" si="95">HYPERLINK("https://www.ncbi.nlm.nih.gov/geo/query/acc.cgi?acc=GSE14297","GSE14297")</f>
        <v>GSE14297</v>
      </c>
      <c r="D1172" s="1" t="s">
        <v>71</v>
      </c>
      <c r="E1172" t="s">
        <v>72</v>
      </c>
      <c r="F1172" s="1">
        <v>2</v>
      </c>
      <c r="G1172" s="1" t="s">
        <v>28</v>
      </c>
      <c r="H1172" s="4" t="str">
        <f>HYPERLINK("https://www.ncbi.nlm.nih.gov/geo/query/acc.cgi?acc=GSM357587","GSM357587")</f>
        <v>GSM357587</v>
      </c>
      <c r="I1172" t="s">
        <v>69</v>
      </c>
      <c r="J1172" t="s">
        <v>18</v>
      </c>
      <c r="K1172" t="s">
        <v>19</v>
      </c>
      <c r="L1172" t="s">
        <v>70</v>
      </c>
      <c r="M1172" t="s">
        <v>44</v>
      </c>
      <c r="N1172" t="s">
        <v>29</v>
      </c>
    </row>
    <row r="1173" spans="1:14">
      <c r="A1173" s="4" t="str">
        <f t="shared" si="91"/>
        <v>EXP00020</v>
      </c>
      <c r="B1173" s="4" t="str">
        <f t="shared" si="94"/>
        <v>20479215</v>
      </c>
      <c r="C1173" s="4" t="str">
        <f t="shared" si="95"/>
        <v>GSE14297</v>
      </c>
      <c r="D1173" s="1" t="s">
        <v>71</v>
      </c>
      <c r="E1173" t="s">
        <v>72</v>
      </c>
      <c r="F1173" s="1">
        <v>2</v>
      </c>
      <c r="G1173" s="1" t="s">
        <v>28</v>
      </c>
      <c r="H1173" s="4" t="str">
        <f>HYPERLINK("https://www.ncbi.nlm.nih.gov/geo/query/acc.cgi?acc=GSM357589","GSM357589")</f>
        <v>GSM357589</v>
      </c>
      <c r="I1173" t="s">
        <v>69</v>
      </c>
      <c r="J1173" t="s">
        <v>18</v>
      </c>
      <c r="K1173" t="s">
        <v>19</v>
      </c>
      <c r="L1173" t="s">
        <v>70</v>
      </c>
      <c r="M1173" t="s">
        <v>44</v>
      </c>
      <c r="N1173" t="s">
        <v>29</v>
      </c>
    </row>
    <row r="1174" spans="1:14">
      <c r="A1174" s="4" t="str">
        <f t="shared" si="91"/>
        <v>EXP00020</v>
      </c>
      <c r="B1174" s="4" t="str">
        <f t="shared" si="94"/>
        <v>20479215</v>
      </c>
      <c r="C1174" s="4" t="str">
        <f t="shared" si="95"/>
        <v>GSE14297</v>
      </c>
      <c r="D1174" s="1" t="s">
        <v>71</v>
      </c>
      <c r="E1174" t="s">
        <v>72</v>
      </c>
      <c r="F1174" s="1">
        <v>2</v>
      </c>
      <c r="G1174" s="1" t="s">
        <v>28</v>
      </c>
      <c r="H1174" s="4" t="str">
        <f>HYPERLINK("https://www.ncbi.nlm.nih.gov/geo/query/acc.cgi?acc=GSM357591","GSM357591")</f>
        <v>GSM357591</v>
      </c>
      <c r="I1174" t="s">
        <v>69</v>
      </c>
      <c r="J1174" t="s">
        <v>18</v>
      </c>
      <c r="K1174" t="s">
        <v>19</v>
      </c>
      <c r="L1174" t="s">
        <v>70</v>
      </c>
      <c r="M1174" t="s">
        <v>44</v>
      </c>
      <c r="N1174" t="s">
        <v>29</v>
      </c>
    </row>
    <row r="1175" spans="1:14">
      <c r="A1175" s="4" t="str">
        <f t="shared" si="91"/>
        <v>EXP00020</v>
      </c>
      <c r="B1175" s="4" t="str">
        <f t="shared" si="94"/>
        <v>20479215</v>
      </c>
      <c r="C1175" s="4" t="str">
        <f t="shared" si="95"/>
        <v>GSE14297</v>
      </c>
      <c r="D1175" s="1" t="s">
        <v>71</v>
      </c>
      <c r="E1175" t="s">
        <v>72</v>
      </c>
      <c r="F1175" s="1">
        <v>2</v>
      </c>
      <c r="G1175" s="1" t="s">
        <v>28</v>
      </c>
      <c r="H1175" s="4" t="str">
        <f>HYPERLINK("https://www.ncbi.nlm.nih.gov/geo/query/acc.cgi?acc=GSM357593","GSM357593")</f>
        <v>GSM357593</v>
      </c>
      <c r="I1175" t="s">
        <v>69</v>
      </c>
      <c r="J1175" t="s">
        <v>18</v>
      </c>
      <c r="K1175" t="s">
        <v>19</v>
      </c>
      <c r="L1175" t="s">
        <v>70</v>
      </c>
      <c r="M1175" t="s">
        <v>44</v>
      </c>
      <c r="N1175" t="s">
        <v>29</v>
      </c>
    </row>
    <row r="1176" spans="1:14">
      <c r="A1176" s="4" t="str">
        <f t="shared" ref="A1176:A1200" si="96">HYPERLINK("http://hcmdb.i-sanger.com/experiment/details/experiment_id/EXP00019","EXP00019")</f>
        <v>EXP00019</v>
      </c>
      <c r="B1176" s="4" t="str">
        <f t="shared" si="94"/>
        <v>20479215</v>
      </c>
      <c r="C1176" s="4" t="str">
        <f t="shared" si="95"/>
        <v>GSE14297</v>
      </c>
      <c r="D1176" s="1" t="s">
        <v>71</v>
      </c>
      <c r="E1176" t="s">
        <v>73</v>
      </c>
      <c r="F1176" s="1">
        <v>1</v>
      </c>
      <c r="G1176" s="1" t="s">
        <v>36</v>
      </c>
      <c r="H1176" s="4" t="str">
        <f>HYPERLINK("https://www.ncbi.nlm.nih.gov/geo/query/acc.cgi?acc=GSM357563","GSM357563")</f>
        <v>GSM357563</v>
      </c>
      <c r="I1176" t="s">
        <v>69</v>
      </c>
      <c r="J1176" t="s">
        <v>18</v>
      </c>
      <c r="K1176" t="s">
        <v>19</v>
      </c>
      <c r="L1176" t="s">
        <v>70</v>
      </c>
      <c r="M1176" t="s">
        <v>44</v>
      </c>
      <c r="N1176" t="s">
        <v>37</v>
      </c>
    </row>
    <row r="1177" spans="1:14">
      <c r="A1177" s="4" t="str">
        <f t="shared" si="96"/>
        <v>EXP00019</v>
      </c>
      <c r="B1177" s="4" t="str">
        <f t="shared" si="94"/>
        <v>20479215</v>
      </c>
      <c r="C1177" s="4" t="str">
        <f t="shared" si="95"/>
        <v>GSE14297</v>
      </c>
      <c r="D1177" s="1" t="s">
        <v>71</v>
      </c>
      <c r="E1177" t="s">
        <v>73</v>
      </c>
      <c r="F1177" s="1">
        <v>1</v>
      </c>
      <c r="G1177" s="1" t="s">
        <v>36</v>
      </c>
      <c r="H1177" s="4" t="str">
        <f>HYPERLINK("https://www.ncbi.nlm.nih.gov/geo/query/acc.cgi?acc=GSM357564","GSM357564")</f>
        <v>GSM357564</v>
      </c>
      <c r="I1177" t="s">
        <v>69</v>
      </c>
      <c r="J1177" t="s">
        <v>18</v>
      </c>
      <c r="K1177" t="s">
        <v>19</v>
      </c>
      <c r="L1177" t="s">
        <v>70</v>
      </c>
      <c r="M1177" t="s">
        <v>44</v>
      </c>
      <c r="N1177" t="s">
        <v>37</v>
      </c>
    </row>
    <row r="1178" spans="1:14">
      <c r="A1178" s="4" t="str">
        <f t="shared" si="96"/>
        <v>EXP00019</v>
      </c>
      <c r="B1178" s="4" t="str">
        <f t="shared" si="94"/>
        <v>20479215</v>
      </c>
      <c r="C1178" s="4" t="str">
        <f t="shared" si="95"/>
        <v>GSE14297</v>
      </c>
      <c r="D1178" s="1" t="s">
        <v>71</v>
      </c>
      <c r="E1178" t="s">
        <v>73</v>
      </c>
      <c r="F1178" s="1">
        <v>1</v>
      </c>
      <c r="G1178" s="1" t="s">
        <v>36</v>
      </c>
      <c r="H1178" s="4" t="str">
        <f>HYPERLINK("https://www.ncbi.nlm.nih.gov/geo/query/acc.cgi?acc=GSM357565","GSM357565")</f>
        <v>GSM357565</v>
      </c>
      <c r="I1178" t="s">
        <v>69</v>
      </c>
      <c r="J1178" t="s">
        <v>18</v>
      </c>
      <c r="K1178" t="s">
        <v>19</v>
      </c>
      <c r="L1178" t="s">
        <v>70</v>
      </c>
      <c r="M1178" t="s">
        <v>44</v>
      </c>
      <c r="N1178" t="s">
        <v>37</v>
      </c>
    </row>
    <row r="1179" spans="1:14">
      <c r="A1179" s="4" t="str">
        <f t="shared" si="96"/>
        <v>EXP00019</v>
      </c>
      <c r="B1179" s="4" t="str">
        <f t="shared" si="94"/>
        <v>20479215</v>
      </c>
      <c r="C1179" s="4" t="str">
        <f t="shared" si="95"/>
        <v>GSE14297</v>
      </c>
      <c r="D1179" s="1" t="s">
        <v>71</v>
      </c>
      <c r="E1179" t="s">
        <v>73</v>
      </c>
      <c r="F1179" s="1">
        <v>1</v>
      </c>
      <c r="G1179" s="1" t="s">
        <v>36</v>
      </c>
      <c r="H1179" s="4" t="str">
        <f>HYPERLINK("https://www.ncbi.nlm.nih.gov/geo/query/acc.cgi?acc=GSM357566","GSM357566")</f>
        <v>GSM357566</v>
      </c>
      <c r="I1179" t="s">
        <v>69</v>
      </c>
      <c r="J1179" t="s">
        <v>18</v>
      </c>
      <c r="K1179" t="s">
        <v>19</v>
      </c>
      <c r="L1179" t="s">
        <v>70</v>
      </c>
      <c r="M1179" t="s">
        <v>44</v>
      </c>
      <c r="N1179" t="s">
        <v>37</v>
      </c>
    </row>
    <row r="1180" spans="1:14">
      <c r="A1180" s="4" t="str">
        <f t="shared" si="96"/>
        <v>EXP00019</v>
      </c>
      <c r="B1180" s="4" t="str">
        <f t="shared" si="94"/>
        <v>20479215</v>
      </c>
      <c r="C1180" s="4" t="str">
        <f t="shared" si="95"/>
        <v>GSE14297</v>
      </c>
      <c r="D1180" s="1" t="s">
        <v>71</v>
      </c>
      <c r="E1180" t="s">
        <v>73</v>
      </c>
      <c r="F1180" s="1">
        <v>1</v>
      </c>
      <c r="G1180" s="1" t="s">
        <v>36</v>
      </c>
      <c r="H1180" s="4" t="str">
        <f>HYPERLINK("https://www.ncbi.nlm.nih.gov/geo/query/acc.cgi?acc=GSM357567","GSM357567")</f>
        <v>GSM357567</v>
      </c>
      <c r="I1180" t="s">
        <v>69</v>
      </c>
      <c r="J1180" t="s">
        <v>18</v>
      </c>
      <c r="K1180" t="s">
        <v>19</v>
      </c>
      <c r="L1180" t="s">
        <v>70</v>
      </c>
      <c r="M1180" t="s">
        <v>44</v>
      </c>
      <c r="N1180" t="s">
        <v>37</v>
      </c>
    </row>
    <row r="1181" spans="1:14">
      <c r="A1181" s="4" t="str">
        <f t="shared" si="96"/>
        <v>EXP00019</v>
      </c>
      <c r="B1181" s="4" t="str">
        <f t="shared" si="94"/>
        <v>20479215</v>
      </c>
      <c r="C1181" s="4" t="str">
        <f t="shared" si="95"/>
        <v>GSE14297</v>
      </c>
      <c r="D1181" s="1" t="s">
        <v>71</v>
      </c>
      <c r="E1181" t="s">
        <v>73</v>
      </c>
      <c r="F1181" s="1">
        <v>1</v>
      </c>
      <c r="G1181" s="1" t="s">
        <v>36</v>
      </c>
      <c r="H1181" s="4" t="str">
        <f>HYPERLINK("https://www.ncbi.nlm.nih.gov/geo/query/acc.cgi?acc=GSM357568","GSM357568")</f>
        <v>GSM357568</v>
      </c>
      <c r="I1181" t="s">
        <v>69</v>
      </c>
      <c r="J1181" t="s">
        <v>18</v>
      </c>
      <c r="K1181" t="s">
        <v>19</v>
      </c>
      <c r="L1181" t="s">
        <v>70</v>
      </c>
      <c r="M1181" t="s">
        <v>44</v>
      </c>
      <c r="N1181" t="s">
        <v>37</v>
      </c>
    </row>
    <row r="1182" spans="1:14">
      <c r="A1182" s="4" t="str">
        <f t="shared" si="96"/>
        <v>EXP00019</v>
      </c>
      <c r="B1182" s="4" t="str">
        <f t="shared" si="94"/>
        <v>20479215</v>
      </c>
      <c r="C1182" s="4" t="str">
        <f t="shared" si="95"/>
        <v>GSE14297</v>
      </c>
      <c r="D1182" s="1" t="s">
        <v>71</v>
      </c>
      <c r="E1182" t="s">
        <v>73</v>
      </c>
      <c r="F1182" s="1">
        <v>1</v>
      </c>
      <c r="G1182" s="1" t="s">
        <v>36</v>
      </c>
      <c r="H1182" s="4" t="str">
        <f>HYPERLINK("https://www.ncbi.nlm.nih.gov/geo/query/acc.cgi?acc=GSM357569","GSM357569")</f>
        <v>GSM357569</v>
      </c>
      <c r="I1182" t="s">
        <v>69</v>
      </c>
      <c r="J1182" t="s">
        <v>18</v>
      </c>
      <c r="K1182" t="s">
        <v>19</v>
      </c>
      <c r="L1182" t="s">
        <v>70</v>
      </c>
      <c r="M1182" t="s">
        <v>44</v>
      </c>
      <c r="N1182" t="s">
        <v>37</v>
      </c>
    </row>
    <row r="1183" spans="1:14">
      <c r="A1183" s="4" t="str">
        <f t="shared" si="96"/>
        <v>EXP00019</v>
      </c>
      <c r="B1183" s="4" t="str">
        <f t="shared" si="94"/>
        <v>20479215</v>
      </c>
      <c r="C1183" s="4" t="str">
        <f t="shared" si="95"/>
        <v>GSE14297</v>
      </c>
      <c r="D1183" s="1" t="s">
        <v>71</v>
      </c>
      <c r="E1183" t="s">
        <v>73</v>
      </c>
      <c r="F1183" s="1">
        <v>2</v>
      </c>
      <c r="G1183" s="1" t="s">
        <v>28</v>
      </c>
      <c r="H1183" s="4" t="str">
        <f>HYPERLINK("https://www.ncbi.nlm.nih.gov/geo/query/acc.cgi?acc=GSM357552","GSM357552")</f>
        <v>GSM357552</v>
      </c>
      <c r="I1183" t="s">
        <v>69</v>
      </c>
      <c r="J1183" t="s">
        <v>18</v>
      </c>
      <c r="K1183" t="s">
        <v>19</v>
      </c>
      <c r="L1183" t="s">
        <v>70</v>
      </c>
      <c r="M1183" t="s">
        <v>44</v>
      </c>
      <c r="N1183" t="s">
        <v>29</v>
      </c>
    </row>
    <row r="1184" spans="1:14">
      <c r="A1184" s="4" t="str">
        <f t="shared" si="96"/>
        <v>EXP00019</v>
      </c>
      <c r="B1184" s="4" t="str">
        <f t="shared" si="94"/>
        <v>20479215</v>
      </c>
      <c r="C1184" s="4" t="str">
        <f t="shared" si="95"/>
        <v>GSE14297</v>
      </c>
      <c r="D1184" s="1" t="s">
        <v>71</v>
      </c>
      <c r="E1184" t="s">
        <v>73</v>
      </c>
      <c r="F1184" s="1">
        <v>2</v>
      </c>
      <c r="G1184" s="1" t="s">
        <v>28</v>
      </c>
      <c r="H1184" s="4" t="str">
        <f>HYPERLINK("https://www.ncbi.nlm.nih.gov/geo/query/acc.cgi?acc=GSM357554","GSM357554")</f>
        <v>GSM357554</v>
      </c>
      <c r="I1184" t="s">
        <v>69</v>
      </c>
      <c r="J1184" t="s">
        <v>18</v>
      </c>
      <c r="K1184" t="s">
        <v>19</v>
      </c>
      <c r="L1184" t="s">
        <v>70</v>
      </c>
      <c r="M1184" t="s">
        <v>44</v>
      </c>
      <c r="N1184" t="s">
        <v>29</v>
      </c>
    </row>
    <row r="1185" spans="1:14">
      <c r="A1185" s="4" t="str">
        <f t="shared" si="96"/>
        <v>EXP00019</v>
      </c>
      <c r="B1185" s="4" t="str">
        <f t="shared" si="94"/>
        <v>20479215</v>
      </c>
      <c r="C1185" s="4" t="str">
        <f t="shared" si="95"/>
        <v>GSE14297</v>
      </c>
      <c r="D1185" s="1" t="s">
        <v>71</v>
      </c>
      <c r="E1185" t="s">
        <v>73</v>
      </c>
      <c r="F1185" s="1">
        <v>2</v>
      </c>
      <c r="G1185" s="1" t="s">
        <v>28</v>
      </c>
      <c r="H1185" s="4" t="str">
        <f>HYPERLINK("https://www.ncbi.nlm.nih.gov/geo/query/acc.cgi?acc=GSM357556","GSM357556")</f>
        <v>GSM357556</v>
      </c>
      <c r="I1185" t="s">
        <v>69</v>
      </c>
      <c r="J1185" t="s">
        <v>18</v>
      </c>
      <c r="K1185" t="s">
        <v>19</v>
      </c>
      <c r="L1185" t="s">
        <v>70</v>
      </c>
      <c r="M1185" t="s">
        <v>44</v>
      </c>
      <c r="N1185" t="s">
        <v>29</v>
      </c>
    </row>
    <row r="1186" spans="1:14">
      <c r="A1186" s="4" t="str">
        <f t="shared" si="96"/>
        <v>EXP00019</v>
      </c>
      <c r="B1186" s="4" t="str">
        <f t="shared" si="94"/>
        <v>20479215</v>
      </c>
      <c r="C1186" s="4" t="str">
        <f t="shared" si="95"/>
        <v>GSE14297</v>
      </c>
      <c r="D1186" s="1" t="s">
        <v>71</v>
      </c>
      <c r="E1186" t="s">
        <v>73</v>
      </c>
      <c r="F1186" s="1">
        <v>2</v>
      </c>
      <c r="G1186" s="1" t="s">
        <v>28</v>
      </c>
      <c r="H1186" s="4" t="str">
        <f>HYPERLINK("https://www.ncbi.nlm.nih.gov/geo/query/acc.cgi?acc=GSM357558","GSM357558")</f>
        <v>GSM357558</v>
      </c>
      <c r="I1186" t="s">
        <v>69</v>
      </c>
      <c r="J1186" t="s">
        <v>18</v>
      </c>
      <c r="K1186" t="s">
        <v>19</v>
      </c>
      <c r="L1186" t="s">
        <v>70</v>
      </c>
      <c r="M1186" t="s">
        <v>44</v>
      </c>
      <c r="N1186" t="s">
        <v>29</v>
      </c>
    </row>
    <row r="1187" spans="1:14">
      <c r="A1187" s="4" t="str">
        <f t="shared" si="96"/>
        <v>EXP00019</v>
      </c>
      <c r="B1187" s="4" t="str">
        <f t="shared" si="94"/>
        <v>20479215</v>
      </c>
      <c r="C1187" s="4" t="str">
        <f t="shared" si="95"/>
        <v>GSE14297</v>
      </c>
      <c r="D1187" s="1" t="s">
        <v>71</v>
      </c>
      <c r="E1187" t="s">
        <v>73</v>
      </c>
      <c r="F1187" s="1">
        <v>2</v>
      </c>
      <c r="G1187" s="1" t="s">
        <v>28</v>
      </c>
      <c r="H1187" s="4" t="str">
        <f>HYPERLINK("https://www.ncbi.nlm.nih.gov/geo/query/acc.cgi?acc=GSM357560","GSM357560")</f>
        <v>GSM357560</v>
      </c>
      <c r="I1187" t="s">
        <v>69</v>
      </c>
      <c r="J1187" t="s">
        <v>18</v>
      </c>
      <c r="K1187" t="s">
        <v>19</v>
      </c>
      <c r="L1187" t="s">
        <v>70</v>
      </c>
      <c r="M1187" t="s">
        <v>44</v>
      </c>
      <c r="N1187" t="s">
        <v>29</v>
      </c>
    </row>
    <row r="1188" spans="1:14">
      <c r="A1188" s="4" t="str">
        <f t="shared" si="96"/>
        <v>EXP00019</v>
      </c>
      <c r="B1188" s="4" t="str">
        <f t="shared" si="94"/>
        <v>20479215</v>
      </c>
      <c r="C1188" s="4" t="str">
        <f t="shared" si="95"/>
        <v>GSE14297</v>
      </c>
      <c r="D1188" s="1" t="s">
        <v>71</v>
      </c>
      <c r="E1188" t="s">
        <v>73</v>
      </c>
      <c r="F1188" s="1">
        <v>2</v>
      </c>
      <c r="G1188" s="1" t="s">
        <v>28</v>
      </c>
      <c r="H1188" s="4" t="str">
        <f>HYPERLINK("https://www.ncbi.nlm.nih.gov/geo/query/acc.cgi?acc=GSM357562","GSM357562")</f>
        <v>GSM357562</v>
      </c>
      <c r="I1188" t="s">
        <v>69</v>
      </c>
      <c r="J1188" t="s">
        <v>18</v>
      </c>
      <c r="K1188" t="s">
        <v>19</v>
      </c>
      <c r="L1188" t="s">
        <v>70</v>
      </c>
      <c r="M1188" t="s">
        <v>44</v>
      </c>
      <c r="N1188" t="s">
        <v>29</v>
      </c>
    </row>
    <row r="1189" spans="1:14">
      <c r="A1189" s="4" t="str">
        <f t="shared" si="96"/>
        <v>EXP00019</v>
      </c>
      <c r="B1189" s="4" t="str">
        <f t="shared" si="94"/>
        <v>20479215</v>
      </c>
      <c r="C1189" s="4" t="str">
        <f t="shared" si="95"/>
        <v>GSE14297</v>
      </c>
      <c r="D1189" s="1" t="s">
        <v>71</v>
      </c>
      <c r="E1189" t="s">
        <v>73</v>
      </c>
      <c r="F1189" s="1">
        <v>2</v>
      </c>
      <c r="G1189" s="1" t="s">
        <v>28</v>
      </c>
      <c r="H1189" s="4" t="str">
        <f>HYPERLINK("https://www.ncbi.nlm.nih.gov/geo/query/acc.cgi?acc=GSM357571","GSM357571")</f>
        <v>GSM357571</v>
      </c>
      <c r="I1189" t="s">
        <v>69</v>
      </c>
      <c r="J1189" t="s">
        <v>18</v>
      </c>
      <c r="K1189" t="s">
        <v>19</v>
      </c>
      <c r="L1189" t="s">
        <v>70</v>
      </c>
      <c r="M1189" t="s">
        <v>44</v>
      </c>
      <c r="N1189" t="s">
        <v>29</v>
      </c>
    </row>
    <row r="1190" spans="1:14">
      <c r="A1190" s="4" t="str">
        <f t="shared" si="96"/>
        <v>EXP00019</v>
      </c>
      <c r="B1190" s="4" t="str">
        <f t="shared" si="94"/>
        <v>20479215</v>
      </c>
      <c r="C1190" s="4" t="str">
        <f t="shared" si="95"/>
        <v>GSE14297</v>
      </c>
      <c r="D1190" s="1" t="s">
        <v>71</v>
      </c>
      <c r="E1190" t="s">
        <v>73</v>
      </c>
      <c r="F1190" s="1">
        <v>2</v>
      </c>
      <c r="G1190" s="1" t="s">
        <v>28</v>
      </c>
      <c r="H1190" s="4" t="str">
        <f>HYPERLINK("https://www.ncbi.nlm.nih.gov/geo/query/acc.cgi?acc=GSM357573","GSM357573")</f>
        <v>GSM357573</v>
      </c>
      <c r="I1190" t="s">
        <v>69</v>
      </c>
      <c r="J1190" t="s">
        <v>18</v>
      </c>
      <c r="K1190" t="s">
        <v>19</v>
      </c>
      <c r="L1190" t="s">
        <v>70</v>
      </c>
      <c r="M1190" t="s">
        <v>44</v>
      </c>
      <c r="N1190" t="s">
        <v>29</v>
      </c>
    </row>
    <row r="1191" spans="1:14">
      <c r="A1191" s="4" t="str">
        <f t="shared" si="96"/>
        <v>EXP00019</v>
      </c>
      <c r="B1191" s="4" t="str">
        <f t="shared" si="94"/>
        <v>20479215</v>
      </c>
      <c r="C1191" s="4" t="str">
        <f t="shared" si="95"/>
        <v>GSE14297</v>
      </c>
      <c r="D1191" s="1" t="s">
        <v>71</v>
      </c>
      <c r="E1191" t="s">
        <v>73</v>
      </c>
      <c r="F1191" s="1">
        <v>2</v>
      </c>
      <c r="G1191" s="1" t="s">
        <v>28</v>
      </c>
      <c r="H1191" s="4" t="str">
        <f>HYPERLINK("https://www.ncbi.nlm.nih.gov/geo/query/acc.cgi?acc=GSM357575","GSM357575")</f>
        <v>GSM357575</v>
      </c>
      <c r="I1191" t="s">
        <v>69</v>
      </c>
      <c r="J1191" t="s">
        <v>18</v>
      </c>
      <c r="K1191" t="s">
        <v>19</v>
      </c>
      <c r="L1191" t="s">
        <v>70</v>
      </c>
      <c r="M1191" t="s">
        <v>44</v>
      </c>
      <c r="N1191" t="s">
        <v>29</v>
      </c>
    </row>
    <row r="1192" spans="1:14">
      <c r="A1192" s="4" t="str">
        <f t="shared" si="96"/>
        <v>EXP00019</v>
      </c>
      <c r="B1192" s="4" t="str">
        <f t="shared" si="94"/>
        <v>20479215</v>
      </c>
      <c r="C1192" s="4" t="str">
        <f t="shared" si="95"/>
        <v>GSE14297</v>
      </c>
      <c r="D1192" s="1" t="s">
        <v>71</v>
      </c>
      <c r="E1192" t="s">
        <v>73</v>
      </c>
      <c r="F1192" s="1">
        <v>2</v>
      </c>
      <c r="G1192" s="1" t="s">
        <v>28</v>
      </c>
      <c r="H1192" s="4" t="str">
        <f>HYPERLINK("https://www.ncbi.nlm.nih.gov/geo/query/acc.cgi?acc=GSM357577","GSM357577")</f>
        <v>GSM357577</v>
      </c>
      <c r="I1192" t="s">
        <v>69</v>
      </c>
      <c r="J1192" t="s">
        <v>18</v>
      </c>
      <c r="K1192" t="s">
        <v>19</v>
      </c>
      <c r="L1192" t="s">
        <v>70</v>
      </c>
      <c r="M1192" t="s">
        <v>44</v>
      </c>
      <c r="N1192" t="s">
        <v>29</v>
      </c>
    </row>
    <row r="1193" spans="1:14">
      <c r="A1193" s="4" t="str">
        <f t="shared" si="96"/>
        <v>EXP00019</v>
      </c>
      <c r="B1193" s="4" t="str">
        <f t="shared" si="94"/>
        <v>20479215</v>
      </c>
      <c r="C1193" s="4" t="str">
        <f t="shared" si="95"/>
        <v>GSE14297</v>
      </c>
      <c r="D1193" s="1" t="s">
        <v>71</v>
      </c>
      <c r="E1193" t="s">
        <v>73</v>
      </c>
      <c r="F1193" s="1">
        <v>2</v>
      </c>
      <c r="G1193" s="1" t="s">
        <v>28</v>
      </c>
      <c r="H1193" s="4" t="str">
        <f>HYPERLINK("https://www.ncbi.nlm.nih.gov/geo/query/acc.cgi?acc=GSM357579","GSM357579")</f>
        <v>GSM357579</v>
      </c>
      <c r="I1193" t="s">
        <v>69</v>
      </c>
      <c r="J1193" t="s">
        <v>18</v>
      </c>
      <c r="K1193" t="s">
        <v>19</v>
      </c>
      <c r="L1193" t="s">
        <v>70</v>
      </c>
      <c r="M1193" t="s">
        <v>44</v>
      </c>
      <c r="N1193" t="s">
        <v>29</v>
      </c>
    </row>
    <row r="1194" spans="1:14">
      <c r="A1194" s="4" t="str">
        <f t="shared" si="96"/>
        <v>EXP00019</v>
      </c>
      <c r="B1194" s="4" t="str">
        <f t="shared" si="94"/>
        <v>20479215</v>
      </c>
      <c r="C1194" s="4" t="str">
        <f t="shared" si="95"/>
        <v>GSE14297</v>
      </c>
      <c r="D1194" s="1" t="s">
        <v>71</v>
      </c>
      <c r="E1194" t="s">
        <v>73</v>
      </c>
      <c r="F1194" s="1">
        <v>2</v>
      </c>
      <c r="G1194" s="1" t="s">
        <v>28</v>
      </c>
      <c r="H1194" s="4" t="str">
        <f>HYPERLINK("https://www.ncbi.nlm.nih.gov/geo/query/acc.cgi?acc=GSM357581","GSM357581")</f>
        <v>GSM357581</v>
      </c>
      <c r="I1194" t="s">
        <v>69</v>
      </c>
      <c r="J1194" t="s">
        <v>18</v>
      </c>
      <c r="K1194" t="s">
        <v>19</v>
      </c>
      <c r="L1194" t="s">
        <v>70</v>
      </c>
      <c r="M1194" t="s">
        <v>44</v>
      </c>
      <c r="N1194" t="s">
        <v>29</v>
      </c>
    </row>
    <row r="1195" spans="1:14">
      <c r="A1195" s="4" t="str">
        <f t="shared" si="96"/>
        <v>EXP00019</v>
      </c>
      <c r="B1195" s="4" t="str">
        <f t="shared" si="94"/>
        <v>20479215</v>
      </c>
      <c r="C1195" s="4" t="str">
        <f t="shared" si="95"/>
        <v>GSE14297</v>
      </c>
      <c r="D1195" s="1" t="s">
        <v>71</v>
      </c>
      <c r="E1195" t="s">
        <v>73</v>
      </c>
      <c r="F1195" s="1">
        <v>2</v>
      </c>
      <c r="G1195" s="1" t="s">
        <v>28</v>
      </c>
      <c r="H1195" s="4" t="str">
        <f>HYPERLINK("https://www.ncbi.nlm.nih.gov/geo/query/acc.cgi?acc=GSM357583","GSM357583")</f>
        <v>GSM357583</v>
      </c>
      <c r="I1195" t="s">
        <v>69</v>
      </c>
      <c r="J1195" t="s">
        <v>18</v>
      </c>
      <c r="K1195" t="s">
        <v>19</v>
      </c>
      <c r="L1195" t="s">
        <v>70</v>
      </c>
      <c r="M1195" t="s">
        <v>44</v>
      </c>
      <c r="N1195" t="s">
        <v>29</v>
      </c>
    </row>
    <row r="1196" spans="1:14">
      <c r="A1196" s="4" t="str">
        <f t="shared" si="96"/>
        <v>EXP00019</v>
      </c>
      <c r="B1196" s="4" t="str">
        <f t="shared" si="94"/>
        <v>20479215</v>
      </c>
      <c r="C1196" s="4" t="str">
        <f t="shared" si="95"/>
        <v>GSE14297</v>
      </c>
      <c r="D1196" s="1" t="s">
        <v>71</v>
      </c>
      <c r="E1196" t="s">
        <v>73</v>
      </c>
      <c r="F1196" s="1">
        <v>2</v>
      </c>
      <c r="G1196" s="1" t="s">
        <v>28</v>
      </c>
      <c r="H1196" s="4" t="str">
        <f>HYPERLINK("https://www.ncbi.nlm.nih.gov/geo/query/acc.cgi?acc=GSM357585","GSM357585")</f>
        <v>GSM357585</v>
      </c>
      <c r="I1196" t="s">
        <v>69</v>
      </c>
      <c r="J1196" t="s">
        <v>18</v>
      </c>
      <c r="K1196" t="s">
        <v>19</v>
      </c>
      <c r="L1196" t="s">
        <v>70</v>
      </c>
      <c r="M1196" t="s">
        <v>44</v>
      </c>
      <c r="N1196" t="s">
        <v>29</v>
      </c>
    </row>
    <row r="1197" spans="1:14">
      <c r="A1197" s="4" t="str">
        <f t="shared" si="96"/>
        <v>EXP00019</v>
      </c>
      <c r="B1197" s="4" t="str">
        <f t="shared" si="94"/>
        <v>20479215</v>
      </c>
      <c r="C1197" s="4" t="str">
        <f t="shared" si="95"/>
        <v>GSE14297</v>
      </c>
      <c r="D1197" s="1" t="s">
        <v>71</v>
      </c>
      <c r="E1197" t="s">
        <v>73</v>
      </c>
      <c r="F1197" s="1">
        <v>2</v>
      </c>
      <c r="G1197" s="1" t="s">
        <v>28</v>
      </c>
      <c r="H1197" s="4" t="str">
        <f>HYPERLINK("https://www.ncbi.nlm.nih.gov/geo/query/acc.cgi?acc=GSM357587","GSM357587")</f>
        <v>GSM357587</v>
      </c>
      <c r="I1197" t="s">
        <v>69</v>
      </c>
      <c r="J1197" t="s">
        <v>18</v>
      </c>
      <c r="K1197" t="s">
        <v>19</v>
      </c>
      <c r="L1197" t="s">
        <v>70</v>
      </c>
      <c r="M1197" t="s">
        <v>44</v>
      </c>
      <c r="N1197" t="s">
        <v>29</v>
      </c>
    </row>
    <row r="1198" spans="1:14">
      <c r="A1198" s="4" t="str">
        <f t="shared" si="96"/>
        <v>EXP00019</v>
      </c>
      <c r="B1198" s="4" t="str">
        <f t="shared" si="94"/>
        <v>20479215</v>
      </c>
      <c r="C1198" s="4" t="str">
        <f t="shared" si="95"/>
        <v>GSE14297</v>
      </c>
      <c r="D1198" s="1" t="s">
        <v>71</v>
      </c>
      <c r="E1198" t="s">
        <v>73</v>
      </c>
      <c r="F1198" s="1">
        <v>2</v>
      </c>
      <c r="G1198" s="1" t="s">
        <v>28</v>
      </c>
      <c r="H1198" s="4" t="str">
        <f>HYPERLINK("https://www.ncbi.nlm.nih.gov/geo/query/acc.cgi?acc=GSM357589","GSM357589")</f>
        <v>GSM357589</v>
      </c>
      <c r="I1198" t="s">
        <v>69</v>
      </c>
      <c r="J1198" t="s">
        <v>18</v>
      </c>
      <c r="K1198" t="s">
        <v>19</v>
      </c>
      <c r="L1198" t="s">
        <v>70</v>
      </c>
      <c r="M1198" t="s">
        <v>44</v>
      </c>
      <c r="N1198" t="s">
        <v>29</v>
      </c>
    </row>
    <row r="1199" spans="1:14">
      <c r="A1199" s="4" t="str">
        <f t="shared" si="96"/>
        <v>EXP00019</v>
      </c>
      <c r="B1199" s="4" t="str">
        <f t="shared" si="94"/>
        <v>20479215</v>
      </c>
      <c r="C1199" s="4" t="str">
        <f t="shared" si="95"/>
        <v>GSE14297</v>
      </c>
      <c r="D1199" s="1" t="s">
        <v>71</v>
      </c>
      <c r="E1199" t="s">
        <v>73</v>
      </c>
      <c r="F1199" s="1">
        <v>2</v>
      </c>
      <c r="G1199" s="1" t="s">
        <v>28</v>
      </c>
      <c r="H1199" s="4" t="str">
        <f>HYPERLINK("https://www.ncbi.nlm.nih.gov/geo/query/acc.cgi?acc=GSM357591","GSM357591")</f>
        <v>GSM357591</v>
      </c>
      <c r="I1199" t="s">
        <v>69</v>
      </c>
      <c r="J1199" t="s">
        <v>18</v>
      </c>
      <c r="K1199" t="s">
        <v>19</v>
      </c>
      <c r="L1199" t="s">
        <v>70</v>
      </c>
      <c r="M1199" t="s">
        <v>44</v>
      </c>
      <c r="N1199" t="s">
        <v>29</v>
      </c>
    </row>
    <row r="1200" spans="1:14">
      <c r="A1200" s="4" t="str">
        <f t="shared" si="96"/>
        <v>EXP00019</v>
      </c>
      <c r="B1200" s="4" t="str">
        <f t="shared" si="94"/>
        <v>20479215</v>
      </c>
      <c r="C1200" s="4" t="str">
        <f t="shared" si="95"/>
        <v>GSE14297</v>
      </c>
      <c r="D1200" s="1" t="s">
        <v>71</v>
      </c>
      <c r="E1200" t="s">
        <v>73</v>
      </c>
      <c r="F1200" s="1">
        <v>2</v>
      </c>
      <c r="G1200" s="1" t="s">
        <v>28</v>
      </c>
      <c r="H1200" s="4" t="str">
        <f>HYPERLINK("https://www.ncbi.nlm.nih.gov/geo/query/acc.cgi?acc=GSM357593","GSM357593")</f>
        <v>GSM357593</v>
      </c>
      <c r="I1200" t="s">
        <v>69</v>
      </c>
      <c r="J1200" t="s">
        <v>18</v>
      </c>
      <c r="K1200" t="s">
        <v>19</v>
      </c>
      <c r="L1200" t="s">
        <v>70</v>
      </c>
      <c r="M1200" t="s">
        <v>44</v>
      </c>
      <c r="N1200" t="s">
        <v>29</v>
      </c>
    </row>
    <row r="1201" spans="1:14">
      <c r="A1201" s="4" t="str">
        <f t="shared" ref="A1201:A1223" si="97">HYPERLINK("http://hcmdb.i-sanger.com/experiment/details/experiment_id/EXP00022","EXP00022")</f>
        <v>EXP00022</v>
      </c>
      <c r="B1201" s="4" t="str">
        <f t="shared" si="94"/>
        <v>20479215</v>
      </c>
      <c r="C1201" s="4" t="str">
        <f t="shared" si="95"/>
        <v>GSE14297</v>
      </c>
      <c r="D1201" s="1" t="s">
        <v>71</v>
      </c>
      <c r="E1201" t="s">
        <v>74</v>
      </c>
      <c r="F1201" s="1">
        <v>1</v>
      </c>
      <c r="G1201" s="1" t="s">
        <v>75</v>
      </c>
      <c r="H1201" s="4" t="str">
        <f>HYPERLINK("https://www.ncbi.nlm.nih.gov/geo/query/acc.cgi?acc=GSM357594","GSM357594")</f>
        <v>GSM357594</v>
      </c>
      <c r="I1201" t="s">
        <v>69</v>
      </c>
      <c r="J1201" t="s">
        <v>18</v>
      </c>
      <c r="K1201" t="s">
        <v>19</v>
      </c>
      <c r="L1201" t="s">
        <v>70</v>
      </c>
      <c r="M1201" t="s">
        <v>44</v>
      </c>
      <c r="N1201" t="s">
        <v>76</v>
      </c>
    </row>
    <row r="1202" spans="1:14">
      <c r="A1202" s="4" t="str">
        <f t="shared" si="97"/>
        <v>EXP00022</v>
      </c>
      <c r="B1202" s="4" t="str">
        <f t="shared" si="94"/>
        <v>20479215</v>
      </c>
      <c r="C1202" s="4" t="str">
        <f t="shared" si="95"/>
        <v>GSE14297</v>
      </c>
      <c r="D1202" s="1" t="s">
        <v>71</v>
      </c>
      <c r="E1202" t="s">
        <v>74</v>
      </c>
      <c r="F1202" s="1">
        <v>1</v>
      </c>
      <c r="G1202" s="1" t="s">
        <v>75</v>
      </c>
      <c r="H1202" s="4" t="str">
        <f>HYPERLINK("https://www.ncbi.nlm.nih.gov/geo/query/acc.cgi?acc=GSM357595","GSM357595")</f>
        <v>GSM357595</v>
      </c>
      <c r="I1202" t="s">
        <v>69</v>
      </c>
      <c r="J1202" t="s">
        <v>18</v>
      </c>
      <c r="K1202" t="s">
        <v>19</v>
      </c>
      <c r="L1202" t="s">
        <v>70</v>
      </c>
      <c r="M1202" t="s">
        <v>44</v>
      </c>
      <c r="N1202" t="s">
        <v>76</v>
      </c>
    </row>
    <row r="1203" spans="1:14">
      <c r="A1203" s="4" t="str">
        <f t="shared" si="97"/>
        <v>EXP00022</v>
      </c>
      <c r="B1203" s="4" t="str">
        <f t="shared" si="94"/>
        <v>20479215</v>
      </c>
      <c r="C1203" s="4" t="str">
        <f t="shared" si="95"/>
        <v>GSE14297</v>
      </c>
      <c r="D1203" s="1" t="s">
        <v>71</v>
      </c>
      <c r="E1203" t="s">
        <v>74</v>
      </c>
      <c r="F1203" s="1">
        <v>1</v>
      </c>
      <c r="G1203" s="1" t="s">
        <v>75</v>
      </c>
      <c r="H1203" s="4" t="str">
        <f>HYPERLINK("https://www.ncbi.nlm.nih.gov/geo/query/acc.cgi?acc=GSM357596","GSM357596")</f>
        <v>GSM357596</v>
      </c>
      <c r="I1203" t="s">
        <v>69</v>
      </c>
      <c r="J1203" t="s">
        <v>18</v>
      </c>
      <c r="K1203" t="s">
        <v>19</v>
      </c>
      <c r="L1203" t="s">
        <v>70</v>
      </c>
      <c r="M1203" t="s">
        <v>44</v>
      </c>
      <c r="N1203" t="s">
        <v>76</v>
      </c>
    </row>
    <row r="1204" spans="1:14">
      <c r="A1204" s="4" t="str">
        <f t="shared" si="97"/>
        <v>EXP00022</v>
      </c>
      <c r="B1204" s="4" t="str">
        <f t="shared" ref="B1204:B1223" si="98">HYPERLINK("https://www.ncbi.nlm.nih.gov/pubmed/20479215","20479215")</f>
        <v>20479215</v>
      </c>
      <c r="C1204" s="4" t="str">
        <f t="shared" ref="C1204:C1223" si="99">HYPERLINK("https://www.ncbi.nlm.nih.gov/geo/query/acc.cgi?acc=GSE14297","GSE14297")</f>
        <v>GSE14297</v>
      </c>
      <c r="D1204" s="1" t="s">
        <v>71</v>
      </c>
      <c r="E1204" t="s">
        <v>74</v>
      </c>
      <c r="F1204" s="1">
        <v>1</v>
      </c>
      <c r="G1204" s="1" t="s">
        <v>75</v>
      </c>
      <c r="H1204" s="4" t="str">
        <f>HYPERLINK("https://www.ncbi.nlm.nih.gov/geo/query/acc.cgi?acc=GSM357597","GSM357597")</f>
        <v>GSM357597</v>
      </c>
      <c r="I1204" t="s">
        <v>69</v>
      </c>
      <c r="J1204" t="s">
        <v>18</v>
      </c>
      <c r="K1204" t="s">
        <v>19</v>
      </c>
      <c r="L1204" t="s">
        <v>70</v>
      </c>
      <c r="M1204" t="s">
        <v>44</v>
      </c>
      <c r="N1204" t="s">
        <v>76</v>
      </c>
    </row>
    <row r="1205" spans="1:14">
      <c r="A1205" s="4" t="str">
        <f t="shared" si="97"/>
        <v>EXP00022</v>
      </c>
      <c r="B1205" s="4" t="str">
        <f t="shared" si="98"/>
        <v>20479215</v>
      </c>
      <c r="C1205" s="4" t="str">
        <f t="shared" si="99"/>
        <v>GSE14297</v>
      </c>
      <c r="D1205" s="1" t="s">
        <v>71</v>
      </c>
      <c r="E1205" t="s">
        <v>74</v>
      </c>
      <c r="F1205" s="1">
        <v>1</v>
      </c>
      <c r="G1205" s="1" t="s">
        <v>75</v>
      </c>
      <c r="H1205" s="4" t="str">
        <f>HYPERLINK("https://www.ncbi.nlm.nih.gov/geo/query/acc.cgi?acc=GSM357598","GSM357598")</f>
        <v>GSM357598</v>
      </c>
      <c r="I1205" t="s">
        <v>69</v>
      </c>
      <c r="J1205" t="s">
        <v>18</v>
      </c>
      <c r="K1205" t="s">
        <v>19</v>
      </c>
      <c r="L1205" t="s">
        <v>70</v>
      </c>
      <c r="M1205" t="s">
        <v>44</v>
      </c>
      <c r="N1205" t="s">
        <v>76</v>
      </c>
    </row>
    <row r="1206" spans="1:14">
      <c r="A1206" s="4" t="str">
        <f t="shared" si="97"/>
        <v>EXP00022</v>
      </c>
      <c r="B1206" s="4" t="str">
        <f t="shared" si="98"/>
        <v>20479215</v>
      </c>
      <c r="C1206" s="4" t="str">
        <f t="shared" si="99"/>
        <v>GSE14297</v>
      </c>
      <c r="D1206" s="1" t="s">
        <v>71</v>
      </c>
      <c r="E1206" t="s">
        <v>74</v>
      </c>
      <c r="F1206" s="1">
        <v>2</v>
      </c>
      <c r="G1206" s="1" t="s">
        <v>26</v>
      </c>
      <c r="H1206" s="4" t="str">
        <f>HYPERLINK("https://www.ncbi.nlm.nih.gov/geo/query/acc.cgi?acc=GSM357551","GSM357551")</f>
        <v>GSM357551</v>
      </c>
      <c r="I1206" t="s">
        <v>69</v>
      </c>
      <c r="J1206" t="s">
        <v>18</v>
      </c>
      <c r="K1206" t="s">
        <v>19</v>
      </c>
      <c r="L1206" t="s">
        <v>70</v>
      </c>
      <c r="M1206" t="s">
        <v>44</v>
      </c>
      <c r="N1206" t="s">
        <v>22</v>
      </c>
    </row>
    <row r="1207" spans="1:14">
      <c r="A1207" s="4" t="str">
        <f t="shared" si="97"/>
        <v>EXP00022</v>
      </c>
      <c r="B1207" s="4" t="str">
        <f t="shared" si="98"/>
        <v>20479215</v>
      </c>
      <c r="C1207" s="4" t="str">
        <f t="shared" si="99"/>
        <v>GSE14297</v>
      </c>
      <c r="D1207" s="1" t="s">
        <v>71</v>
      </c>
      <c r="E1207" t="s">
        <v>74</v>
      </c>
      <c r="F1207" s="1">
        <v>2</v>
      </c>
      <c r="G1207" s="1" t="s">
        <v>26</v>
      </c>
      <c r="H1207" s="4" t="str">
        <f>HYPERLINK("https://www.ncbi.nlm.nih.gov/geo/query/acc.cgi?acc=GSM357553","GSM357553")</f>
        <v>GSM357553</v>
      </c>
      <c r="I1207" t="s">
        <v>69</v>
      </c>
      <c r="J1207" t="s">
        <v>18</v>
      </c>
      <c r="K1207" t="s">
        <v>19</v>
      </c>
      <c r="L1207" t="s">
        <v>70</v>
      </c>
      <c r="M1207" t="s">
        <v>44</v>
      </c>
      <c r="N1207" t="s">
        <v>22</v>
      </c>
    </row>
    <row r="1208" spans="1:14">
      <c r="A1208" s="4" t="str">
        <f t="shared" si="97"/>
        <v>EXP00022</v>
      </c>
      <c r="B1208" s="4" t="str">
        <f t="shared" si="98"/>
        <v>20479215</v>
      </c>
      <c r="C1208" s="4" t="str">
        <f t="shared" si="99"/>
        <v>GSE14297</v>
      </c>
      <c r="D1208" s="1" t="s">
        <v>71</v>
      </c>
      <c r="E1208" t="s">
        <v>74</v>
      </c>
      <c r="F1208" s="1">
        <v>2</v>
      </c>
      <c r="G1208" s="1" t="s">
        <v>26</v>
      </c>
      <c r="H1208" s="4" t="str">
        <f>HYPERLINK("https://www.ncbi.nlm.nih.gov/geo/query/acc.cgi?acc=GSM357555","GSM357555")</f>
        <v>GSM357555</v>
      </c>
      <c r="I1208" t="s">
        <v>69</v>
      </c>
      <c r="J1208" t="s">
        <v>18</v>
      </c>
      <c r="K1208" t="s">
        <v>19</v>
      </c>
      <c r="L1208" t="s">
        <v>70</v>
      </c>
      <c r="M1208" t="s">
        <v>44</v>
      </c>
      <c r="N1208" t="s">
        <v>22</v>
      </c>
    </row>
    <row r="1209" spans="1:14">
      <c r="A1209" s="4" t="str">
        <f t="shared" si="97"/>
        <v>EXP00022</v>
      </c>
      <c r="B1209" s="4" t="str">
        <f t="shared" si="98"/>
        <v>20479215</v>
      </c>
      <c r="C1209" s="4" t="str">
        <f t="shared" si="99"/>
        <v>GSE14297</v>
      </c>
      <c r="D1209" s="1" t="s">
        <v>71</v>
      </c>
      <c r="E1209" t="s">
        <v>74</v>
      </c>
      <c r="F1209" s="1">
        <v>2</v>
      </c>
      <c r="G1209" s="1" t="s">
        <v>26</v>
      </c>
      <c r="H1209" s="4" t="str">
        <f>HYPERLINK("https://www.ncbi.nlm.nih.gov/geo/query/acc.cgi?acc=GSM357557","GSM357557")</f>
        <v>GSM357557</v>
      </c>
      <c r="I1209" t="s">
        <v>69</v>
      </c>
      <c r="J1209" t="s">
        <v>18</v>
      </c>
      <c r="K1209" t="s">
        <v>19</v>
      </c>
      <c r="L1209" t="s">
        <v>70</v>
      </c>
      <c r="M1209" t="s">
        <v>44</v>
      </c>
      <c r="N1209" t="s">
        <v>22</v>
      </c>
    </row>
    <row r="1210" spans="1:14">
      <c r="A1210" s="4" t="str">
        <f t="shared" si="97"/>
        <v>EXP00022</v>
      </c>
      <c r="B1210" s="4" t="str">
        <f t="shared" si="98"/>
        <v>20479215</v>
      </c>
      <c r="C1210" s="4" t="str">
        <f t="shared" si="99"/>
        <v>GSE14297</v>
      </c>
      <c r="D1210" s="1" t="s">
        <v>71</v>
      </c>
      <c r="E1210" t="s">
        <v>74</v>
      </c>
      <c r="F1210" s="1">
        <v>2</v>
      </c>
      <c r="G1210" s="1" t="s">
        <v>26</v>
      </c>
      <c r="H1210" s="4" t="str">
        <f>HYPERLINK("https://www.ncbi.nlm.nih.gov/geo/query/acc.cgi?acc=GSM357559","GSM357559")</f>
        <v>GSM357559</v>
      </c>
      <c r="I1210" t="s">
        <v>69</v>
      </c>
      <c r="J1210" t="s">
        <v>18</v>
      </c>
      <c r="K1210" t="s">
        <v>19</v>
      </c>
      <c r="L1210" t="s">
        <v>70</v>
      </c>
      <c r="M1210" t="s">
        <v>44</v>
      </c>
      <c r="N1210" t="s">
        <v>22</v>
      </c>
    </row>
    <row r="1211" spans="1:14">
      <c r="A1211" s="4" t="str">
        <f t="shared" si="97"/>
        <v>EXP00022</v>
      </c>
      <c r="B1211" s="4" t="str">
        <f t="shared" si="98"/>
        <v>20479215</v>
      </c>
      <c r="C1211" s="4" t="str">
        <f t="shared" si="99"/>
        <v>GSE14297</v>
      </c>
      <c r="D1211" s="1" t="s">
        <v>71</v>
      </c>
      <c r="E1211" t="s">
        <v>74</v>
      </c>
      <c r="F1211" s="1">
        <v>2</v>
      </c>
      <c r="G1211" s="1" t="s">
        <v>26</v>
      </c>
      <c r="H1211" s="4" t="str">
        <f>HYPERLINK("https://www.ncbi.nlm.nih.gov/geo/query/acc.cgi?acc=GSM357561","GSM357561")</f>
        <v>GSM357561</v>
      </c>
      <c r="I1211" t="s">
        <v>69</v>
      </c>
      <c r="J1211" t="s">
        <v>18</v>
      </c>
      <c r="K1211" t="s">
        <v>19</v>
      </c>
      <c r="L1211" t="s">
        <v>70</v>
      </c>
      <c r="M1211" t="s">
        <v>44</v>
      </c>
      <c r="N1211" t="s">
        <v>22</v>
      </c>
    </row>
    <row r="1212" spans="1:14">
      <c r="A1212" s="4" t="str">
        <f t="shared" si="97"/>
        <v>EXP00022</v>
      </c>
      <c r="B1212" s="4" t="str">
        <f t="shared" si="98"/>
        <v>20479215</v>
      </c>
      <c r="C1212" s="4" t="str">
        <f t="shared" si="99"/>
        <v>GSE14297</v>
      </c>
      <c r="D1212" s="1" t="s">
        <v>71</v>
      </c>
      <c r="E1212" t="s">
        <v>74</v>
      </c>
      <c r="F1212" s="1">
        <v>2</v>
      </c>
      <c r="G1212" s="1" t="s">
        <v>26</v>
      </c>
      <c r="H1212" s="4" t="str">
        <f>HYPERLINK("https://www.ncbi.nlm.nih.gov/geo/query/acc.cgi?acc=GSM357570","GSM357570")</f>
        <v>GSM357570</v>
      </c>
      <c r="I1212" t="s">
        <v>69</v>
      </c>
      <c r="J1212" t="s">
        <v>18</v>
      </c>
      <c r="K1212" t="s">
        <v>19</v>
      </c>
      <c r="L1212" t="s">
        <v>70</v>
      </c>
      <c r="M1212" t="s">
        <v>44</v>
      </c>
      <c r="N1212" t="s">
        <v>22</v>
      </c>
    </row>
    <row r="1213" spans="1:14">
      <c r="A1213" s="4" t="str">
        <f t="shared" si="97"/>
        <v>EXP00022</v>
      </c>
      <c r="B1213" s="4" t="str">
        <f t="shared" si="98"/>
        <v>20479215</v>
      </c>
      <c r="C1213" s="4" t="str">
        <f t="shared" si="99"/>
        <v>GSE14297</v>
      </c>
      <c r="D1213" s="1" t="s">
        <v>71</v>
      </c>
      <c r="E1213" t="s">
        <v>74</v>
      </c>
      <c r="F1213" s="1">
        <v>2</v>
      </c>
      <c r="G1213" s="1" t="s">
        <v>26</v>
      </c>
      <c r="H1213" s="4" t="str">
        <f>HYPERLINK("https://www.ncbi.nlm.nih.gov/geo/query/acc.cgi?acc=GSM357572","GSM357572")</f>
        <v>GSM357572</v>
      </c>
      <c r="I1213" t="s">
        <v>69</v>
      </c>
      <c r="J1213" t="s">
        <v>18</v>
      </c>
      <c r="K1213" t="s">
        <v>19</v>
      </c>
      <c r="L1213" t="s">
        <v>70</v>
      </c>
      <c r="M1213" t="s">
        <v>44</v>
      </c>
      <c r="N1213" t="s">
        <v>22</v>
      </c>
    </row>
    <row r="1214" spans="1:14">
      <c r="A1214" s="4" t="str">
        <f t="shared" si="97"/>
        <v>EXP00022</v>
      </c>
      <c r="B1214" s="4" t="str">
        <f t="shared" si="98"/>
        <v>20479215</v>
      </c>
      <c r="C1214" s="4" t="str">
        <f t="shared" si="99"/>
        <v>GSE14297</v>
      </c>
      <c r="D1214" s="1" t="s">
        <v>71</v>
      </c>
      <c r="E1214" t="s">
        <v>74</v>
      </c>
      <c r="F1214" s="1">
        <v>2</v>
      </c>
      <c r="G1214" s="1" t="s">
        <v>26</v>
      </c>
      <c r="H1214" s="4" t="str">
        <f>HYPERLINK("https://www.ncbi.nlm.nih.gov/geo/query/acc.cgi?acc=GSM357574","GSM357574")</f>
        <v>GSM357574</v>
      </c>
      <c r="I1214" t="s">
        <v>69</v>
      </c>
      <c r="J1214" t="s">
        <v>18</v>
      </c>
      <c r="K1214" t="s">
        <v>19</v>
      </c>
      <c r="L1214" t="s">
        <v>70</v>
      </c>
      <c r="M1214" t="s">
        <v>44</v>
      </c>
      <c r="N1214" t="s">
        <v>22</v>
      </c>
    </row>
    <row r="1215" spans="1:14">
      <c r="A1215" s="4" t="str">
        <f t="shared" si="97"/>
        <v>EXP00022</v>
      </c>
      <c r="B1215" s="4" t="str">
        <f t="shared" si="98"/>
        <v>20479215</v>
      </c>
      <c r="C1215" s="4" t="str">
        <f t="shared" si="99"/>
        <v>GSE14297</v>
      </c>
      <c r="D1215" s="1" t="s">
        <v>71</v>
      </c>
      <c r="E1215" t="s">
        <v>74</v>
      </c>
      <c r="F1215" s="1">
        <v>2</v>
      </c>
      <c r="G1215" s="1" t="s">
        <v>26</v>
      </c>
      <c r="H1215" s="4" t="str">
        <f>HYPERLINK("https://www.ncbi.nlm.nih.gov/geo/query/acc.cgi?acc=GSM357576","GSM357576")</f>
        <v>GSM357576</v>
      </c>
      <c r="I1215" t="s">
        <v>69</v>
      </c>
      <c r="J1215" t="s">
        <v>18</v>
      </c>
      <c r="K1215" t="s">
        <v>19</v>
      </c>
      <c r="L1215" t="s">
        <v>70</v>
      </c>
      <c r="M1215" t="s">
        <v>44</v>
      </c>
      <c r="N1215" t="s">
        <v>22</v>
      </c>
    </row>
    <row r="1216" spans="1:14">
      <c r="A1216" s="4" t="str">
        <f t="shared" si="97"/>
        <v>EXP00022</v>
      </c>
      <c r="B1216" s="4" t="str">
        <f t="shared" si="98"/>
        <v>20479215</v>
      </c>
      <c r="C1216" s="4" t="str">
        <f t="shared" si="99"/>
        <v>GSE14297</v>
      </c>
      <c r="D1216" s="1" t="s">
        <v>71</v>
      </c>
      <c r="E1216" t="s">
        <v>74</v>
      </c>
      <c r="F1216" s="1">
        <v>2</v>
      </c>
      <c r="G1216" s="1" t="s">
        <v>26</v>
      </c>
      <c r="H1216" s="4" t="str">
        <f>HYPERLINK("https://www.ncbi.nlm.nih.gov/geo/query/acc.cgi?acc=GSM357578","GSM357578")</f>
        <v>GSM357578</v>
      </c>
      <c r="I1216" t="s">
        <v>69</v>
      </c>
      <c r="J1216" t="s">
        <v>18</v>
      </c>
      <c r="K1216" t="s">
        <v>19</v>
      </c>
      <c r="L1216" t="s">
        <v>70</v>
      </c>
      <c r="M1216" t="s">
        <v>44</v>
      </c>
      <c r="N1216" t="s">
        <v>22</v>
      </c>
    </row>
    <row r="1217" spans="1:14">
      <c r="A1217" s="4" t="str">
        <f t="shared" si="97"/>
        <v>EXP00022</v>
      </c>
      <c r="B1217" s="4" t="str">
        <f t="shared" si="98"/>
        <v>20479215</v>
      </c>
      <c r="C1217" s="4" t="str">
        <f t="shared" si="99"/>
        <v>GSE14297</v>
      </c>
      <c r="D1217" s="1" t="s">
        <v>71</v>
      </c>
      <c r="E1217" t="s">
        <v>74</v>
      </c>
      <c r="F1217" s="1">
        <v>2</v>
      </c>
      <c r="G1217" s="1" t="s">
        <v>26</v>
      </c>
      <c r="H1217" s="4" t="str">
        <f>HYPERLINK("https://www.ncbi.nlm.nih.gov/geo/query/acc.cgi?acc=GSM357580","GSM357580")</f>
        <v>GSM357580</v>
      </c>
      <c r="I1217" t="s">
        <v>69</v>
      </c>
      <c r="J1217" t="s">
        <v>18</v>
      </c>
      <c r="K1217" t="s">
        <v>19</v>
      </c>
      <c r="L1217" t="s">
        <v>70</v>
      </c>
      <c r="M1217" t="s">
        <v>44</v>
      </c>
      <c r="N1217" t="s">
        <v>22</v>
      </c>
    </row>
    <row r="1218" spans="1:14">
      <c r="A1218" s="4" t="str">
        <f t="shared" si="97"/>
        <v>EXP00022</v>
      </c>
      <c r="B1218" s="4" t="str">
        <f t="shared" si="98"/>
        <v>20479215</v>
      </c>
      <c r="C1218" s="4" t="str">
        <f t="shared" si="99"/>
        <v>GSE14297</v>
      </c>
      <c r="D1218" s="1" t="s">
        <v>71</v>
      </c>
      <c r="E1218" t="s">
        <v>74</v>
      </c>
      <c r="F1218" s="1">
        <v>2</v>
      </c>
      <c r="G1218" s="1" t="s">
        <v>26</v>
      </c>
      <c r="H1218" s="4" t="str">
        <f>HYPERLINK("https://www.ncbi.nlm.nih.gov/geo/query/acc.cgi?acc=GSM357582","GSM357582")</f>
        <v>GSM357582</v>
      </c>
      <c r="I1218" t="s">
        <v>69</v>
      </c>
      <c r="J1218" t="s">
        <v>18</v>
      </c>
      <c r="K1218" t="s">
        <v>19</v>
      </c>
      <c r="L1218" t="s">
        <v>70</v>
      </c>
      <c r="M1218" t="s">
        <v>44</v>
      </c>
      <c r="N1218" t="s">
        <v>22</v>
      </c>
    </row>
    <row r="1219" spans="1:14">
      <c r="A1219" s="4" t="str">
        <f t="shared" si="97"/>
        <v>EXP00022</v>
      </c>
      <c r="B1219" s="4" t="str">
        <f t="shared" si="98"/>
        <v>20479215</v>
      </c>
      <c r="C1219" s="4" t="str">
        <f t="shared" si="99"/>
        <v>GSE14297</v>
      </c>
      <c r="D1219" s="1" t="s">
        <v>71</v>
      </c>
      <c r="E1219" t="s">
        <v>74</v>
      </c>
      <c r="F1219" s="1">
        <v>2</v>
      </c>
      <c r="G1219" s="1" t="s">
        <v>26</v>
      </c>
      <c r="H1219" s="4" t="str">
        <f>HYPERLINK("https://www.ncbi.nlm.nih.gov/geo/query/acc.cgi?acc=GSM357584","GSM357584")</f>
        <v>GSM357584</v>
      </c>
      <c r="I1219" t="s">
        <v>69</v>
      </c>
      <c r="J1219" t="s">
        <v>18</v>
      </c>
      <c r="K1219" t="s">
        <v>19</v>
      </c>
      <c r="L1219" t="s">
        <v>70</v>
      </c>
      <c r="M1219" t="s">
        <v>44</v>
      </c>
      <c r="N1219" t="s">
        <v>22</v>
      </c>
    </row>
    <row r="1220" spans="1:14">
      <c r="A1220" s="4" t="str">
        <f t="shared" si="97"/>
        <v>EXP00022</v>
      </c>
      <c r="B1220" s="4" t="str">
        <f t="shared" si="98"/>
        <v>20479215</v>
      </c>
      <c r="C1220" s="4" t="str">
        <f t="shared" si="99"/>
        <v>GSE14297</v>
      </c>
      <c r="D1220" s="1" t="s">
        <v>71</v>
      </c>
      <c r="E1220" t="s">
        <v>74</v>
      </c>
      <c r="F1220" s="1">
        <v>2</v>
      </c>
      <c r="G1220" s="1" t="s">
        <v>26</v>
      </c>
      <c r="H1220" s="4" t="str">
        <f>HYPERLINK("https://www.ncbi.nlm.nih.gov/geo/query/acc.cgi?acc=GSM357586","GSM357586")</f>
        <v>GSM357586</v>
      </c>
      <c r="I1220" t="s">
        <v>69</v>
      </c>
      <c r="J1220" t="s">
        <v>18</v>
      </c>
      <c r="K1220" t="s">
        <v>19</v>
      </c>
      <c r="L1220" t="s">
        <v>70</v>
      </c>
      <c r="M1220" t="s">
        <v>44</v>
      </c>
      <c r="N1220" t="s">
        <v>22</v>
      </c>
    </row>
    <row r="1221" spans="1:14">
      <c r="A1221" s="4" t="str">
        <f t="shared" si="97"/>
        <v>EXP00022</v>
      </c>
      <c r="B1221" s="4" t="str">
        <f t="shared" si="98"/>
        <v>20479215</v>
      </c>
      <c r="C1221" s="4" t="str">
        <f t="shared" si="99"/>
        <v>GSE14297</v>
      </c>
      <c r="D1221" s="1" t="s">
        <v>71</v>
      </c>
      <c r="E1221" t="s">
        <v>74</v>
      </c>
      <c r="F1221" s="1">
        <v>2</v>
      </c>
      <c r="G1221" s="1" t="s">
        <v>26</v>
      </c>
      <c r="H1221" s="4" t="str">
        <f>HYPERLINK("https://www.ncbi.nlm.nih.gov/geo/query/acc.cgi?acc=GSM357588","GSM357588")</f>
        <v>GSM357588</v>
      </c>
      <c r="I1221" t="s">
        <v>69</v>
      </c>
      <c r="J1221" t="s">
        <v>18</v>
      </c>
      <c r="K1221" t="s">
        <v>19</v>
      </c>
      <c r="L1221" t="s">
        <v>70</v>
      </c>
      <c r="M1221" t="s">
        <v>44</v>
      </c>
      <c r="N1221" t="s">
        <v>22</v>
      </c>
    </row>
    <row r="1222" spans="1:14">
      <c r="A1222" s="4" t="str">
        <f t="shared" si="97"/>
        <v>EXP00022</v>
      </c>
      <c r="B1222" s="4" t="str">
        <f t="shared" si="98"/>
        <v>20479215</v>
      </c>
      <c r="C1222" s="4" t="str">
        <f t="shared" si="99"/>
        <v>GSE14297</v>
      </c>
      <c r="D1222" s="1" t="s">
        <v>71</v>
      </c>
      <c r="E1222" t="s">
        <v>74</v>
      </c>
      <c r="F1222" s="1">
        <v>2</v>
      </c>
      <c r="G1222" s="1" t="s">
        <v>26</v>
      </c>
      <c r="H1222" s="4" t="str">
        <f>HYPERLINK("https://www.ncbi.nlm.nih.gov/geo/query/acc.cgi?acc=GSM357590","GSM357590")</f>
        <v>GSM357590</v>
      </c>
      <c r="I1222" t="s">
        <v>69</v>
      </c>
      <c r="J1222" t="s">
        <v>18</v>
      </c>
      <c r="K1222" t="s">
        <v>19</v>
      </c>
      <c r="L1222" t="s">
        <v>70</v>
      </c>
      <c r="M1222" t="s">
        <v>44</v>
      </c>
      <c r="N1222" t="s">
        <v>22</v>
      </c>
    </row>
    <row r="1223" spans="1:14">
      <c r="A1223" s="4" t="str">
        <f t="shared" si="97"/>
        <v>EXP00022</v>
      </c>
      <c r="B1223" s="4" t="str">
        <f t="shared" si="98"/>
        <v>20479215</v>
      </c>
      <c r="C1223" s="4" t="str">
        <f t="shared" si="99"/>
        <v>GSE14297</v>
      </c>
      <c r="D1223" s="1" t="s">
        <v>71</v>
      </c>
      <c r="E1223" t="s">
        <v>74</v>
      </c>
      <c r="F1223" s="1">
        <v>2</v>
      </c>
      <c r="G1223" s="1" t="s">
        <v>26</v>
      </c>
      <c r="H1223" s="4" t="str">
        <f>HYPERLINK("https://www.ncbi.nlm.nih.gov/geo/query/acc.cgi?acc=GSM357592","GSM357592")</f>
        <v>GSM357592</v>
      </c>
      <c r="I1223" t="s">
        <v>69</v>
      </c>
      <c r="J1223" t="s">
        <v>18</v>
      </c>
      <c r="K1223" t="s">
        <v>19</v>
      </c>
      <c r="L1223" t="s">
        <v>70</v>
      </c>
      <c r="M1223" t="s">
        <v>44</v>
      </c>
      <c r="N1223" t="s">
        <v>22</v>
      </c>
    </row>
    <row r="1224" spans="1:14">
      <c r="A1224" s="4" t="str">
        <f t="shared" ref="A1224:A1235" si="100">HYPERLINK("http://hcmdb.i-sanger.com/experiment/details/experiment_id/EXP00023","EXP00023")</f>
        <v>EXP00023</v>
      </c>
      <c r="B1224" s="3" t="s">
        <v>66</v>
      </c>
      <c r="C1224" s="4" t="str">
        <f t="shared" ref="C1224:C1235" si="101">HYPERLINK("https://www.ncbi.nlm.nih.gov/geo/query/acc.cgi?acc=GSE14359","GSE14359")</f>
        <v>GSE14359</v>
      </c>
      <c r="D1224" s="1" t="s">
        <v>62</v>
      </c>
      <c r="E1224" t="s">
        <v>77</v>
      </c>
      <c r="F1224" s="1">
        <v>1</v>
      </c>
      <c r="G1224" s="1" t="s">
        <v>36</v>
      </c>
      <c r="H1224" s="4" t="str">
        <f>HYPERLINK("https://www.ncbi.nlm.nih.gov/geo/query/acc.cgi?acc=GSM359137","GSM359137")</f>
        <v>GSM359137</v>
      </c>
      <c r="I1224" t="s">
        <v>78</v>
      </c>
      <c r="J1224" t="s">
        <v>18</v>
      </c>
      <c r="K1224" t="s">
        <v>33</v>
      </c>
      <c r="L1224" t="s">
        <v>50</v>
      </c>
      <c r="N1224" t="s">
        <v>37</v>
      </c>
    </row>
    <row r="1225" spans="1:14">
      <c r="A1225" s="4" t="str">
        <f t="shared" si="100"/>
        <v>EXP00023</v>
      </c>
      <c r="B1225" s="3" t="s">
        <v>66</v>
      </c>
      <c r="C1225" s="4" t="str">
        <f t="shared" si="101"/>
        <v>GSE14359</v>
      </c>
      <c r="D1225" s="1" t="s">
        <v>62</v>
      </c>
      <c r="E1225" t="s">
        <v>77</v>
      </c>
      <c r="F1225" s="1">
        <v>1</v>
      </c>
      <c r="G1225" s="1" t="s">
        <v>36</v>
      </c>
      <c r="H1225" s="4" t="str">
        <f>HYPERLINK("https://www.ncbi.nlm.nih.gov/geo/query/acc.cgi?acc=GSM359138","GSM359138")</f>
        <v>GSM359138</v>
      </c>
      <c r="I1225" t="s">
        <v>78</v>
      </c>
      <c r="J1225" t="s">
        <v>18</v>
      </c>
      <c r="K1225" t="s">
        <v>33</v>
      </c>
      <c r="L1225" t="s">
        <v>50</v>
      </c>
      <c r="N1225" t="s">
        <v>37</v>
      </c>
    </row>
    <row r="1226" spans="1:14">
      <c r="A1226" s="4" t="str">
        <f t="shared" si="100"/>
        <v>EXP00023</v>
      </c>
      <c r="B1226" s="3" t="s">
        <v>66</v>
      </c>
      <c r="C1226" s="4" t="str">
        <f t="shared" si="101"/>
        <v>GSE14359</v>
      </c>
      <c r="D1226" s="1" t="s">
        <v>62</v>
      </c>
      <c r="E1226" t="s">
        <v>77</v>
      </c>
      <c r="F1226" s="1">
        <v>2</v>
      </c>
      <c r="G1226" s="1" t="s">
        <v>28</v>
      </c>
      <c r="H1226" s="4" t="str">
        <f>HYPERLINK("https://www.ncbi.nlm.nih.gov/geo/query/acc.cgi?acc=GSM359139","GSM359139")</f>
        <v>GSM359139</v>
      </c>
      <c r="I1226" t="s">
        <v>78</v>
      </c>
      <c r="J1226" t="s">
        <v>18</v>
      </c>
      <c r="K1226" t="s">
        <v>33</v>
      </c>
      <c r="L1226" t="s">
        <v>50</v>
      </c>
      <c r="N1226" t="s">
        <v>29</v>
      </c>
    </row>
    <row r="1227" spans="1:14">
      <c r="A1227" s="4" t="str">
        <f t="shared" si="100"/>
        <v>EXP00023</v>
      </c>
      <c r="B1227" s="3" t="s">
        <v>66</v>
      </c>
      <c r="C1227" s="4" t="str">
        <f t="shared" si="101"/>
        <v>GSE14359</v>
      </c>
      <c r="D1227" s="1" t="s">
        <v>62</v>
      </c>
      <c r="E1227" t="s">
        <v>77</v>
      </c>
      <c r="F1227" s="1">
        <v>2</v>
      </c>
      <c r="G1227" s="1" t="s">
        <v>28</v>
      </c>
      <c r="H1227" s="4" t="str">
        <f>HYPERLINK("https://www.ncbi.nlm.nih.gov/geo/query/acc.cgi?acc=GSM359140","GSM359140")</f>
        <v>GSM359140</v>
      </c>
      <c r="I1227" t="s">
        <v>78</v>
      </c>
      <c r="J1227" t="s">
        <v>18</v>
      </c>
      <c r="K1227" t="s">
        <v>33</v>
      </c>
      <c r="L1227" t="s">
        <v>50</v>
      </c>
      <c r="N1227" t="s">
        <v>29</v>
      </c>
    </row>
    <row r="1228" spans="1:14">
      <c r="A1228" s="4" t="str">
        <f t="shared" si="100"/>
        <v>EXP00023</v>
      </c>
      <c r="B1228" s="3" t="s">
        <v>66</v>
      </c>
      <c r="C1228" s="4" t="str">
        <f t="shared" si="101"/>
        <v>GSE14359</v>
      </c>
      <c r="D1228" s="1" t="s">
        <v>62</v>
      </c>
      <c r="E1228" t="s">
        <v>77</v>
      </c>
      <c r="F1228" s="1">
        <v>2</v>
      </c>
      <c r="G1228" s="1" t="s">
        <v>28</v>
      </c>
      <c r="H1228" s="4" t="str">
        <f>HYPERLINK("https://www.ncbi.nlm.nih.gov/geo/query/acc.cgi?acc=GSM359143","GSM359143")</f>
        <v>GSM359143</v>
      </c>
      <c r="I1228" t="s">
        <v>78</v>
      </c>
      <c r="J1228" t="s">
        <v>18</v>
      </c>
      <c r="K1228" t="s">
        <v>33</v>
      </c>
      <c r="L1228" t="s">
        <v>50</v>
      </c>
      <c r="N1228" t="s">
        <v>29</v>
      </c>
    </row>
    <row r="1229" spans="1:14">
      <c r="A1229" s="4" t="str">
        <f t="shared" si="100"/>
        <v>EXP00023</v>
      </c>
      <c r="B1229" s="3" t="s">
        <v>66</v>
      </c>
      <c r="C1229" s="4" t="str">
        <f t="shared" si="101"/>
        <v>GSE14359</v>
      </c>
      <c r="D1229" s="1" t="s">
        <v>62</v>
      </c>
      <c r="E1229" t="s">
        <v>77</v>
      </c>
      <c r="F1229" s="1">
        <v>2</v>
      </c>
      <c r="G1229" s="1" t="s">
        <v>28</v>
      </c>
      <c r="H1229" s="4" t="str">
        <f>HYPERLINK("https://www.ncbi.nlm.nih.gov/geo/query/acc.cgi?acc=GSM359144","GSM359144")</f>
        <v>GSM359144</v>
      </c>
      <c r="I1229" t="s">
        <v>78</v>
      </c>
      <c r="J1229" t="s">
        <v>18</v>
      </c>
      <c r="K1229" t="s">
        <v>33</v>
      </c>
      <c r="L1229" t="s">
        <v>50</v>
      </c>
      <c r="N1229" t="s">
        <v>29</v>
      </c>
    </row>
    <row r="1230" spans="1:14">
      <c r="A1230" s="4" t="str">
        <f t="shared" si="100"/>
        <v>EXP00023</v>
      </c>
      <c r="B1230" s="3" t="s">
        <v>66</v>
      </c>
      <c r="C1230" s="4" t="str">
        <f t="shared" si="101"/>
        <v>GSE14359</v>
      </c>
      <c r="D1230" s="1" t="s">
        <v>62</v>
      </c>
      <c r="E1230" t="s">
        <v>77</v>
      </c>
      <c r="F1230" s="1">
        <v>2</v>
      </c>
      <c r="G1230" s="1" t="s">
        <v>28</v>
      </c>
      <c r="H1230" s="4" t="str">
        <f>HYPERLINK("https://www.ncbi.nlm.nih.gov/geo/query/acc.cgi?acc=GSM359147","GSM359147")</f>
        <v>GSM359147</v>
      </c>
      <c r="I1230" t="s">
        <v>78</v>
      </c>
      <c r="J1230" t="s">
        <v>18</v>
      </c>
      <c r="K1230" t="s">
        <v>33</v>
      </c>
      <c r="L1230" t="s">
        <v>50</v>
      </c>
      <c r="N1230" t="s">
        <v>29</v>
      </c>
    </row>
    <row r="1231" spans="1:14">
      <c r="A1231" s="4" t="str">
        <f t="shared" si="100"/>
        <v>EXP00023</v>
      </c>
      <c r="B1231" s="3" t="s">
        <v>66</v>
      </c>
      <c r="C1231" s="4" t="str">
        <f t="shared" si="101"/>
        <v>GSE14359</v>
      </c>
      <c r="D1231" s="1" t="s">
        <v>62</v>
      </c>
      <c r="E1231" t="s">
        <v>77</v>
      </c>
      <c r="F1231" s="1">
        <v>2</v>
      </c>
      <c r="G1231" s="1" t="s">
        <v>28</v>
      </c>
      <c r="H1231" s="4" t="str">
        <f>HYPERLINK("https://www.ncbi.nlm.nih.gov/geo/query/acc.cgi?acc=GSM359148","GSM359148")</f>
        <v>GSM359148</v>
      </c>
      <c r="I1231" t="s">
        <v>78</v>
      </c>
      <c r="J1231" t="s">
        <v>18</v>
      </c>
      <c r="K1231" t="s">
        <v>33</v>
      </c>
      <c r="L1231" t="s">
        <v>50</v>
      </c>
      <c r="N1231" t="s">
        <v>29</v>
      </c>
    </row>
    <row r="1232" spans="1:14">
      <c r="A1232" s="4" t="str">
        <f t="shared" si="100"/>
        <v>EXP00023</v>
      </c>
      <c r="B1232" s="3" t="s">
        <v>66</v>
      </c>
      <c r="C1232" s="4" t="str">
        <f t="shared" si="101"/>
        <v>GSE14359</v>
      </c>
      <c r="D1232" s="1" t="s">
        <v>62</v>
      </c>
      <c r="E1232" t="s">
        <v>77</v>
      </c>
      <c r="F1232" s="1">
        <v>2</v>
      </c>
      <c r="G1232" s="1" t="s">
        <v>28</v>
      </c>
      <c r="H1232" s="4" t="str">
        <f>HYPERLINK("https://www.ncbi.nlm.nih.gov/geo/query/acc.cgi?acc=GSM359149","GSM359149")</f>
        <v>GSM359149</v>
      </c>
      <c r="I1232" t="s">
        <v>78</v>
      </c>
      <c r="J1232" t="s">
        <v>18</v>
      </c>
      <c r="K1232" t="s">
        <v>33</v>
      </c>
      <c r="L1232" t="s">
        <v>50</v>
      </c>
      <c r="N1232" t="s">
        <v>29</v>
      </c>
    </row>
    <row r="1233" spans="1:14">
      <c r="A1233" s="4" t="str">
        <f t="shared" si="100"/>
        <v>EXP00023</v>
      </c>
      <c r="B1233" s="3" t="s">
        <v>66</v>
      </c>
      <c r="C1233" s="4" t="str">
        <f t="shared" si="101"/>
        <v>GSE14359</v>
      </c>
      <c r="D1233" s="1" t="s">
        <v>62</v>
      </c>
      <c r="E1233" t="s">
        <v>77</v>
      </c>
      <c r="F1233" s="1">
        <v>2</v>
      </c>
      <c r="G1233" s="1" t="s">
        <v>28</v>
      </c>
      <c r="H1233" s="4" t="str">
        <f>HYPERLINK("https://www.ncbi.nlm.nih.gov/geo/query/acc.cgi?acc=GSM359150","GSM359150")</f>
        <v>GSM359150</v>
      </c>
      <c r="I1233" t="s">
        <v>78</v>
      </c>
      <c r="J1233" t="s">
        <v>18</v>
      </c>
      <c r="K1233" t="s">
        <v>33</v>
      </c>
      <c r="L1233" t="s">
        <v>50</v>
      </c>
      <c r="N1233" t="s">
        <v>29</v>
      </c>
    </row>
    <row r="1234" spans="1:14">
      <c r="A1234" s="4" t="str">
        <f t="shared" si="100"/>
        <v>EXP00023</v>
      </c>
      <c r="B1234" s="3" t="s">
        <v>66</v>
      </c>
      <c r="C1234" s="4" t="str">
        <f t="shared" si="101"/>
        <v>GSE14359</v>
      </c>
      <c r="D1234" s="1" t="s">
        <v>62</v>
      </c>
      <c r="E1234" t="s">
        <v>77</v>
      </c>
      <c r="F1234" s="1">
        <v>2</v>
      </c>
      <c r="G1234" s="1" t="s">
        <v>28</v>
      </c>
      <c r="H1234" s="4" t="str">
        <f>HYPERLINK("https://www.ncbi.nlm.nih.gov/geo/query/acc.cgi?acc=GSM359155","GSM359155")</f>
        <v>GSM359155</v>
      </c>
      <c r="I1234" t="s">
        <v>78</v>
      </c>
      <c r="J1234" t="s">
        <v>18</v>
      </c>
      <c r="K1234" t="s">
        <v>33</v>
      </c>
      <c r="L1234" t="s">
        <v>50</v>
      </c>
      <c r="N1234" t="s">
        <v>29</v>
      </c>
    </row>
    <row r="1235" spans="1:14">
      <c r="A1235" s="4" t="str">
        <f t="shared" si="100"/>
        <v>EXP00023</v>
      </c>
      <c r="B1235" s="3" t="s">
        <v>66</v>
      </c>
      <c r="C1235" s="4" t="str">
        <f t="shared" si="101"/>
        <v>GSE14359</v>
      </c>
      <c r="D1235" s="1" t="s">
        <v>62</v>
      </c>
      <c r="E1235" t="s">
        <v>77</v>
      </c>
      <c r="F1235" s="1">
        <v>2</v>
      </c>
      <c r="G1235" s="1" t="s">
        <v>28</v>
      </c>
      <c r="H1235" s="4" t="str">
        <f>HYPERLINK("https://www.ncbi.nlm.nih.gov/geo/query/acc.cgi?acc=GSM359156","GSM359156")</f>
        <v>GSM359156</v>
      </c>
      <c r="I1235" t="s">
        <v>78</v>
      </c>
      <c r="J1235" t="s">
        <v>18</v>
      </c>
      <c r="K1235" t="s">
        <v>33</v>
      </c>
      <c r="L1235" t="s">
        <v>50</v>
      </c>
      <c r="N1235" t="s">
        <v>29</v>
      </c>
    </row>
    <row r="1236" spans="1:14">
      <c r="A1236" s="4" t="str">
        <f t="shared" ref="A1236:A1267" si="102">HYPERLINK("http://hcmdb.i-sanger.com/experiment/details/experiment_id/EXP00024","EXP00024")</f>
        <v>EXP00024</v>
      </c>
      <c r="B1236" s="4" t="str">
        <f t="shared" ref="B1236:B1267" si="103">HYPERLINK("https://www.ncbi.nlm.nih.gov/pubmed/20604919","20604919")</f>
        <v>20604919</v>
      </c>
      <c r="C1236" s="4" t="str">
        <f t="shared" ref="C1236:C1267" si="104">HYPERLINK("https://www.ncbi.nlm.nih.gov/geo/query/acc.cgi?acc=GSE14682","GSE14682")</f>
        <v>GSE14682</v>
      </c>
      <c r="D1236" s="1" t="s">
        <v>79</v>
      </c>
      <c r="E1236" t="s">
        <v>80</v>
      </c>
      <c r="F1236" s="1">
        <v>1</v>
      </c>
      <c r="G1236" s="1" t="s">
        <v>26</v>
      </c>
      <c r="H1236" s="4" t="str">
        <f>HYPERLINK("https://www.ncbi.nlm.nih.gov/geo/query/acc.cgi?acc=GSM366638","GSM366638")</f>
        <v>GSM366638</v>
      </c>
      <c r="I1236" t="s">
        <v>17</v>
      </c>
      <c r="J1236" t="s">
        <v>18</v>
      </c>
      <c r="K1236" t="s">
        <v>19</v>
      </c>
      <c r="L1236" t="s">
        <v>20</v>
      </c>
      <c r="M1236" t="s">
        <v>21</v>
      </c>
      <c r="N1236" t="s">
        <v>22</v>
      </c>
    </row>
    <row r="1237" spans="1:14">
      <c r="A1237" s="4" t="str">
        <f t="shared" si="102"/>
        <v>EXP00024</v>
      </c>
      <c r="B1237" s="4" t="str">
        <f t="shared" si="103"/>
        <v>20604919</v>
      </c>
      <c r="C1237" s="4" t="str">
        <f t="shared" si="104"/>
        <v>GSE14682</v>
      </c>
      <c r="D1237" s="1" t="s">
        <v>79</v>
      </c>
      <c r="E1237" t="s">
        <v>80</v>
      </c>
      <c r="F1237" s="1">
        <v>1</v>
      </c>
      <c r="G1237" s="1" t="s">
        <v>26</v>
      </c>
      <c r="H1237" s="4" t="str">
        <f>HYPERLINK("https://www.ncbi.nlm.nih.gov/geo/query/acc.cgi?acc=GSM366640","GSM366640")</f>
        <v>GSM366640</v>
      </c>
      <c r="I1237" t="s">
        <v>17</v>
      </c>
      <c r="J1237" t="s">
        <v>18</v>
      </c>
      <c r="K1237" t="s">
        <v>19</v>
      </c>
      <c r="L1237" t="s">
        <v>20</v>
      </c>
      <c r="M1237" t="s">
        <v>21</v>
      </c>
      <c r="N1237" t="s">
        <v>22</v>
      </c>
    </row>
    <row r="1238" spans="1:14">
      <c r="A1238" s="4" t="str">
        <f t="shared" si="102"/>
        <v>EXP00024</v>
      </c>
      <c r="B1238" s="4" t="str">
        <f t="shared" si="103"/>
        <v>20604919</v>
      </c>
      <c r="C1238" s="4" t="str">
        <f t="shared" si="104"/>
        <v>GSE14682</v>
      </c>
      <c r="D1238" s="1" t="s">
        <v>79</v>
      </c>
      <c r="E1238" t="s">
        <v>80</v>
      </c>
      <c r="F1238" s="1">
        <v>1</v>
      </c>
      <c r="G1238" s="1" t="s">
        <v>26</v>
      </c>
      <c r="H1238" s="4" t="str">
        <f>HYPERLINK("https://www.ncbi.nlm.nih.gov/geo/query/acc.cgi?acc=GSM366642","GSM366642")</f>
        <v>GSM366642</v>
      </c>
      <c r="I1238" t="s">
        <v>17</v>
      </c>
      <c r="J1238" t="s">
        <v>18</v>
      </c>
      <c r="K1238" t="s">
        <v>19</v>
      </c>
      <c r="L1238" t="s">
        <v>20</v>
      </c>
      <c r="M1238" t="s">
        <v>21</v>
      </c>
      <c r="N1238" t="s">
        <v>22</v>
      </c>
    </row>
    <row r="1239" spans="1:14">
      <c r="A1239" s="4" t="str">
        <f t="shared" si="102"/>
        <v>EXP00024</v>
      </c>
      <c r="B1239" s="4" t="str">
        <f t="shared" si="103"/>
        <v>20604919</v>
      </c>
      <c r="C1239" s="4" t="str">
        <f t="shared" si="104"/>
        <v>GSE14682</v>
      </c>
      <c r="D1239" s="1" t="s">
        <v>79</v>
      </c>
      <c r="E1239" t="s">
        <v>80</v>
      </c>
      <c r="F1239" s="1">
        <v>1</v>
      </c>
      <c r="G1239" s="1" t="s">
        <v>26</v>
      </c>
      <c r="H1239" s="4" t="str">
        <f>HYPERLINK("https://www.ncbi.nlm.nih.gov/geo/query/acc.cgi?acc=GSM366643","GSM366643")</f>
        <v>GSM366643</v>
      </c>
      <c r="I1239" t="s">
        <v>17</v>
      </c>
      <c r="J1239" t="s">
        <v>18</v>
      </c>
      <c r="K1239" t="s">
        <v>19</v>
      </c>
      <c r="L1239" t="s">
        <v>20</v>
      </c>
      <c r="M1239" t="s">
        <v>21</v>
      </c>
      <c r="N1239" t="s">
        <v>22</v>
      </c>
    </row>
    <row r="1240" spans="1:14">
      <c r="A1240" s="4" t="str">
        <f t="shared" si="102"/>
        <v>EXP00024</v>
      </c>
      <c r="B1240" s="4" t="str">
        <f t="shared" si="103"/>
        <v>20604919</v>
      </c>
      <c r="C1240" s="4" t="str">
        <f t="shared" si="104"/>
        <v>GSE14682</v>
      </c>
      <c r="D1240" s="1" t="s">
        <v>79</v>
      </c>
      <c r="E1240" t="s">
        <v>80</v>
      </c>
      <c r="F1240" s="1">
        <v>1</v>
      </c>
      <c r="G1240" s="1" t="s">
        <v>26</v>
      </c>
      <c r="H1240" s="4" t="str">
        <f>HYPERLINK("https://www.ncbi.nlm.nih.gov/geo/query/acc.cgi?acc=GSM366644","GSM366644")</f>
        <v>GSM366644</v>
      </c>
      <c r="I1240" t="s">
        <v>17</v>
      </c>
      <c r="J1240" t="s">
        <v>18</v>
      </c>
      <c r="K1240" t="s">
        <v>19</v>
      </c>
      <c r="L1240" t="s">
        <v>20</v>
      </c>
      <c r="M1240" t="s">
        <v>21</v>
      </c>
      <c r="N1240" t="s">
        <v>22</v>
      </c>
    </row>
    <row r="1241" spans="1:14">
      <c r="A1241" s="4" t="str">
        <f t="shared" si="102"/>
        <v>EXP00024</v>
      </c>
      <c r="B1241" s="4" t="str">
        <f t="shared" si="103"/>
        <v>20604919</v>
      </c>
      <c r="C1241" s="4" t="str">
        <f t="shared" si="104"/>
        <v>GSE14682</v>
      </c>
      <c r="D1241" s="1" t="s">
        <v>79</v>
      </c>
      <c r="E1241" t="s">
        <v>80</v>
      </c>
      <c r="F1241" s="1">
        <v>1</v>
      </c>
      <c r="G1241" s="1" t="s">
        <v>26</v>
      </c>
      <c r="H1241" s="4" t="str">
        <f>HYPERLINK("https://www.ncbi.nlm.nih.gov/geo/query/acc.cgi?acc=GSM366645","GSM366645")</f>
        <v>GSM366645</v>
      </c>
      <c r="I1241" t="s">
        <v>17</v>
      </c>
      <c r="J1241" t="s">
        <v>18</v>
      </c>
      <c r="K1241" t="s">
        <v>19</v>
      </c>
      <c r="L1241" t="s">
        <v>20</v>
      </c>
      <c r="M1241" t="s">
        <v>21</v>
      </c>
      <c r="N1241" t="s">
        <v>22</v>
      </c>
    </row>
    <row r="1242" spans="1:14">
      <c r="A1242" s="4" t="str">
        <f t="shared" si="102"/>
        <v>EXP00024</v>
      </c>
      <c r="B1242" s="4" t="str">
        <f t="shared" si="103"/>
        <v>20604919</v>
      </c>
      <c r="C1242" s="4" t="str">
        <f t="shared" si="104"/>
        <v>GSE14682</v>
      </c>
      <c r="D1242" s="1" t="s">
        <v>79</v>
      </c>
      <c r="E1242" t="s">
        <v>80</v>
      </c>
      <c r="F1242" s="1">
        <v>1</v>
      </c>
      <c r="G1242" s="1" t="s">
        <v>26</v>
      </c>
      <c r="H1242" s="4" t="str">
        <f>HYPERLINK("https://www.ncbi.nlm.nih.gov/geo/query/acc.cgi?acc=GSM366646","GSM366646")</f>
        <v>GSM366646</v>
      </c>
      <c r="I1242" t="s">
        <v>17</v>
      </c>
      <c r="J1242" t="s">
        <v>18</v>
      </c>
      <c r="K1242" t="s">
        <v>19</v>
      </c>
      <c r="L1242" t="s">
        <v>20</v>
      </c>
      <c r="M1242" t="s">
        <v>21</v>
      </c>
      <c r="N1242" t="s">
        <v>22</v>
      </c>
    </row>
    <row r="1243" spans="1:14">
      <c r="A1243" s="4" t="str">
        <f t="shared" si="102"/>
        <v>EXP00024</v>
      </c>
      <c r="B1243" s="4" t="str">
        <f t="shared" si="103"/>
        <v>20604919</v>
      </c>
      <c r="C1243" s="4" t="str">
        <f t="shared" si="104"/>
        <v>GSE14682</v>
      </c>
      <c r="D1243" s="1" t="s">
        <v>79</v>
      </c>
      <c r="E1243" t="s">
        <v>80</v>
      </c>
      <c r="F1243" s="1">
        <v>1</v>
      </c>
      <c r="G1243" s="1" t="s">
        <v>26</v>
      </c>
      <c r="H1243" s="4" t="str">
        <f>HYPERLINK("https://www.ncbi.nlm.nih.gov/geo/query/acc.cgi?acc=GSM366647","GSM366647")</f>
        <v>GSM366647</v>
      </c>
      <c r="I1243" t="s">
        <v>17</v>
      </c>
      <c r="J1243" t="s">
        <v>18</v>
      </c>
      <c r="K1243" t="s">
        <v>19</v>
      </c>
      <c r="L1243" t="s">
        <v>20</v>
      </c>
      <c r="M1243" t="s">
        <v>21</v>
      </c>
      <c r="N1243" t="s">
        <v>22</v>
      </c>
    </row>
    <row r="1244" spans="1:14">
      <c r="A1244" s="4" t="str">
        <f t="shared" si="102"/>
        <v>EXP00024</v>
      </c>
      <c r="B1244" s="4" t="str">
        <f t="shared" si="103"/>
        <v>20604919</v>
      </c>
      <c r="C1244" s="4" t="str">
        <f t="shared" si="104"/>
        <v>GSE14682</v>
      </c>
      <c r="D1244" s="1" t="s">
        <v>79</v>
      </c>
      <c r="E1244" t="s">
        <v>80</v>
      </c>
      <c r="F1244" s="1">
        <v>1</v>
      </c>
      <c r="G1244" s="1" t="s">
        <v>26</v>
      </c>
      <c r="H1244" s="4" t="str">
        <f>HYPERLINK("https://www.ncbi.nlm.nih.gov/geo/query/acc.cgi?acc=GSM366648","GSM366648")</f>
        <v>GSM366648</v>
      </c>
      <c r="I1244" t="s">
        <v>17</v>
      </c>
      <c r="J1244" t="s">
        <v>18</v>
      </c>
      <c r="K1244" t="s">
        <v>19</v>
      </c>
      <c r="L1244" t="s">
        <v>20</v>
      </c>
      <c r="M1244" t="s">
        <v>21</v>
      </c>
      <c r="N1244" t="s">
        <v>22</v>
      </c>
    </row>
    <row r="1245" spans="1:14">
      <c r="A1245" s="4" t="str">
        <f t="shared" si="102"/>
        <v>EXP00024</v>
      </c>
      <c r="B1245" s="4" t="str">
        <f t="shared" si="103"/>
        <v>20604919</v>
      </c>
      <c r="C1245" s="4" t="str">
        <f t="shared" si="104"/>
        <v>GSE14682</v>
      </c>
      <c r="D1245" s="1" t="s">
        <v>79</v>
      </c>
      <c r="E1245" t="s">
        <v>80</v>
      </c>
      <c r="F1245" s="1">
        <v>1</v>
      </c>
      <c r="G1245" s="1" t="s">
        <v>26</v>
      </c>
      <c r="H1245" s="4" t="str">
        <f>HYPERLINK("https://www.ncbi.nlm.nih.gov/geo/query/acc.cgi?acc=GSM366649","GSM366649")</f>
        <v>GSM366649</v>
      </c>
      <c r="I1245" t="s">
        <v>17</v>
      </c>
      <c r="J1245" t="s">
        <v>18</v>
      </c>
      <c r="K1245" t="s">
        <v>19</v>
      </c>
      <c r="L1245" t="s">
        <v>20</v>
      </c>
      <c r="M1245" t="s">
        <v>21</v>
      </c>
      <c r="N1245" t="s">
        <v>22</v>
      </c>
    </row>
    <row r="1246" spans="1:14">
      <c r="A1246" s="4" t="str">
        <f t="shared" si="102"/>
        <v>EXP00024</v>
      </c>
      <c r="B1246" s="4" t="str">
        <f t="shared" si="103"/>
        <v>20604919</v>
      </c>
      <c r="C1246" s="4" t="str">
        <f t="shared" si="104"/>
        <v>GSE14682</v>
      </c>
      <c r="D1246" s="1" t="s">
        <v>79</v>
      </c>
      <c r="E1246" t="s">
        <v>80</v>
      </c>
      <c r="F1246" s="1">
        <v>1</v>
      </c>
      <c r="G1246" s="1" t="s">
        <v>26</v>
      </c>
      <c r="H1246" s="4" t="str">
        <f>HYPERLINK("https://www.ncbi.nlm.nih.gov/geo/query/acc.cgi?acc=GSM366650","GSM366650")</f>
        <v>GSM366650</v>
      </c>
      <c r="I1246" t="s">
        <v>17</v>
      </c>
      <c r="J1246" t="s">
        <v>18</v>
      </c>
      <c r="K1246" t="s">
        <v>19</v>
      </c>
      <c r="L1246" t="s">
        <v>20</v>
      </c>
      <c r="M1246" t="s">
        <v>21</v>
      </c>
      <c r="N1246" t="s">
        <v>22</v>
      </c>
    </row>
    <row r="1247" spans="1:14">
      <c r="A1247" s="4" t="str">
        <f t="shared" si="102"/>
        <v>EXP00024</v>
      </c>
      <c r="B1247" s="4" t="str">
        <f t="shared" si="103"/>
        <v>20604919</v>
      </c>
      <c r="C1247" s="4" t="str">
        <f t="shared" si="104"/>
        <v>GSE14682</v>
      </c>
      <c r="D1247" s="1" t="s">
        <v>79</v>
      </c>
      <c r="E1247" t="s">
        <v>80</v>
      </c>
      <c r="F1247" s="1">
        <v>1</v>
      </c>
      <c r="G1247" s="1" t="s">
        <v>26</v>
      </c>
      <c r="H1247" s="4" t="str">
        <f>HYPERLINK("https://www.ncbi.nlm.nih.gov/geo/query/acc.cgi?acc=GSM366651","GSM366651")</f>
        <v>GSM366651</v>
      </c>
      <c r="I1247" t="s">
        <v>17</v>
      </c>
      <c r="J1247" t="s">
        <v>18</v>
      </c>
      <c r="K1247" t="s">
        <v>19</v>
      </c>
      <c r="L1247" t="s">
        <v>20</v>
      </c>
      <c r="M1247" t="s">
        <v>21</v>
      </c>
      <c r="N1247" t="s">
        <v>22</v>
      </c>
    </row>
    <row r="1248" spans="1:14">
      <c r="A1248" s="4" t="str">
        <f t="shared" si="102"/>
        <v>EXP00024</v>
      </c>
      <c r="B1248" s="4" t="str">
        <f t="shared" si="103"/>
        <v>20604919</v>
      </c>
      <c r="C1248" s="4" t="str">
        <f t="shared" si="104"/>
        <v>GSE14682</v>
      </c>
      <c r="D1248" s="1" t="s">
        <v>79</v>
      </c>
      <c r="E1248" t="s">
        <v>80</v>
      </c>
      <c r="F1248" s="1">
        <v>1</v>
      </c>
      <c r="G1248" s="1" t="s">
        <v>26</v>
      </c>
      <c r="H1248" s="4" t="str">
        <f>HYPERLINK("https://www.ncbi.nlm.nih.gov/geo/query/acc.cgi?acc=GSM366652","GSM366652")</f>
        <v>GSM366652</v>
      </c>
      <c r="I1248" t="s">
        <v>17</v>
      </c>
      <c r="J1248" t="s">
        <v>18</v>
      </c>
      <c r="K1248" t="s">
        <v>19</v>
      </c>
      <c r="L1248" t="s">
        <v>20</v>
      </c>
      <c r="M1248" t="s">
        <v>21</v>
      </c>
      <c r="N1248" t="s">
        <v>22</v>
      </c>
    </row>
    <row r="1249" spans="1:14">
      <c r="A1249" s="4" t="str">
        <f t="shared" si="102"/>
        <v>EXP00024</v>
      </c>
      <c r="B1249" s="4" t="str">
        <f t="shared" si="103"/>
        <v>20604919</v>
      </c>
      <c r="C1249" s="4" t="str">
        <f t="shared" si="104"/>
        <v>GSE14682</v>
      </c>
      <c r="D1249" s="1" t="s">
        <v>79</v>
      </c>
      <c r="E1249" t="s">
        <v>80</v>
      </c>
      <c r="F1249" s="1">
        <v>1</v>
      </c>
      <c r="G1249" s="1" t="s">
        <v>26</v>
      </c>
      <c r="H1249" s="4" t="str">
        <f>HYPERLINK("https://www.ncbi.nlm.nih.gov/geo/query/acc.cgi?acc=GSM366653","GSM366653")</f>
        <v>GSM366653</v>
      </c>
      <c r="I1249" t="s">
        <v>17</v>
      </c>
      <c r="J1249" t="s">
        <v>18</v>
      </c>
      <c r="K1249" t="s">
        <v>19</v>
      </c>
      <c r="L1249" t="s">
        <v>20</v>
      </c>
      <c r="M1249" t="s">
        <v>21</v>
      </c>
      <c r="N1249" t="s">
        <v>22</v>
      </c>
    </row>
    <row r="1250" spans="1:14">
      <c r="A1250" s="4" t="str">
        <f t="shared" si="102"/>
        <v>EXP00024</v>
      </c>
      <c r="B1250" s="4" t="str">
        <f t="shared" si="103"/>
        <v>20604919</v>
      </c>
      <c r="C1250" s="4" t="str">
        <f t="shared" si="104"/>
        <v>GSE14682</v>
      </c>
      <c r="D1250" s="1" t="s">
        <v>79</v>
      </c>
      <c r="E1250" t="s">
        <v>80</v>
      </c>
      <c r="F1250" s="1">
        <v>1</v>
      </c>
      <c r="G1250" s="1" t="s">
        <v>26</v>
      </c>
      <c r="H1250" s="4" t="str">
        <f>HYPERLINK("https://www.ncbi.nlm.nih.gov/geo/query/acc.cgi?acc=GSM366654","GSM366654")</f>
        <v>GSM366654</v>
      </c>
      <c r="I1250" t="s">
        <v>17</v>
      </c>
      <c r="J1250" t="s">
        <v>18</v>
      </c>
      <c r="K1250" t="s">
        <v>19</v>
      </c>
      <c r="L1250" t="s">
        <v>20</v>
      </c>
      <c r="M1250" t="s">
        <v>21</v>
      </c>
      <c r="N1250" t="s">
        <v>22</v>
      </c>
    </row>
    <row r="1251" spans="1:14">
      <c r="A1251" s="4" t="str">
        <f t="shared" si="102"/>
        <v>EXP00024</v>
      </c>
      <c r="B1251" s="4" t="str">
        <f t="shared" si="103"/>
        <v>20604919</v>
      </c>
      <c r="C1251" s="4" t="str">
        <f t="shared" si="104"/>
        <v>GSE14682</v>
      </c>
      <c r="D1251" s="1" t="s">
        <v>79</v>
      </c>
      <c r="E1251" t="s">
        <v>80</v>
      </c>
      <c r="F1251" s="1">
        <v>1</v>
      </c>
      <c r="G1251" s="1" t="s">
        <v>26</v>
      </c>
      <c r="H1251" s="4" t="str">
        <f>HYPERLINK("https://www.ncbi.nlm.nih.gov/geo/query/acc.cgi?acc=GSM366655","GSM366655")</f>
        <v>GSM366655</v>
      </c>
      <c r="I1251" t="s">
        <v>17</v>
      </c>
      <c r="J1251" t="s">
        <v>18</v>
      </c>
      <c r="K1251" t="s">
        <v>19</v>
      </c>
      <c r="L1251" t="s">
        <v>20</v>
      </c>
      <c r="M1251" t="s">
        <v>21</v>
      </c>
      <c r="N1251" t="s">
        <v>22</v>
      </c>
    </row>
    <row r="1252" spans="1:14">
      <c r="A1252" s="4" t="str">
        <f t="shared" si="102"/>
        <v>EXP00024</v>
      </c>
      <c r="B1252" s="4" t="str">
        <f t="shared" si="103"/>
        <v>20604919</v>
      </c>
      <c r="C1252" s="4" t="str">
        <f t="shared" si="104"/>
        <v>GSE14682</v>
      </c>
      <c r="D1252" s="1" t="s">
        <v>79</v>
      </c>
      <c r="E1252" t="s">
        <v>80</v>
      </c>
      <c r="F1252" s="1">
        <v>1</v>
      </c>
      <c r="G1252" s="1" t="s">
        <v>26</v>
      </c>
      <c r="H1252" s="4" t="str">
        <f>HYPERLINK("https://www.ncbi.nlm.nih.gov/geo/query/acc.cgi?acc=GSM366657","GSM366657")</f>
        <v>GSM366657</v>
      </c>
      <c r="I1252" t="s">
        <v>17</v>
      </c>
      <c r="J1252" t="s">
        <v>18</v>
      </c>
      <c r="K1252" t="s">
        <v>19</v>
      </c>
      <c r="L1252" t="s">
        <v>20</v>
      </c>
      <c r="M1252" t="s">
        <v>21</v>
      </c>
      <c r="N1252" t="s">
        <v>22</v>
      </c>
    </row>
    <row r="1253" spans="1:14">
      <c r="A1253" s="4" t="str">
        <f t="shared" si="102"/>
        <v>EXP00024</v>
      </c>
      <c r="B1253" s="4" t="str">
        <f t="shared" si="103"/>
        <v>20604919</v>
      </c>
      <c r="C1253" s="4" t="str">
        <f t="shared" si="104"/>
        <v>GSE14682</v>
      </c>
      <c r="D1253" s="1" t="s">
        <v>79</v>
      </c>
      <c r="E1253" t="s">
        <v>80</v>
      </c>
      <c r="F1253" s="1">
        <v>1</v>
      </c>
      <c r="G1253" s="1" t="s">
        <v>26</v>
      </c>
      <c r="H1253" s="4" t="str">
        <f>HYPERLINK("https://www.ncbi.nlm.nih.gov/geo/query/acc.cgi?acc=GSM366658","GSM366658")</f>
        <v>GSM366658</v>
      </c>
      <c r="I1253" t="s">
        <v>17</v>
      </c>
      <c r="J1253" t="s">
        <v>18</v>
      </c>
      <c r="K1253" t="s">
        <v>19</v>
      </c>
      <c r="L1253" t="s">
        <v>20</v>
      </c>
      <c r="M1253" t="s">
        <v>21</v>
      </c>
      <c r="N1253" t="s">
        <v>22</v>
      </c>
    </row>
    <row r="1254" spans="1:14">
      <c r="A1254" s="4" t="str">
        <f t="shared" si="102"/>
        <v>EXP00024</v>
      </c>
      <c r="B1254" s="4" t="str">
        <f t="shared" si="103"/>
        <v>20604919</v>
      </c>
      <c r="C1254" s="4" t="str">
        <f t="shared" si="104"/>
        <v>GSE14682</v>
      </c>
      <c r="D1254" s="1" t="s">
        <v>79</v>
      </c>
      <c r="E1254" t="s">
        <v>80</v>
      </c>
      <c r="F1254" s="1">
        <v>1</v>
      </c>
      <c r="G1254" s="1" t="s">
        <v>26</v>
      </c>
      <c r="H1254" s="4" t="str">
        <f>HYPERLINK("https://www.ncbi.nlm.nih.gov/geo/query/acc.cgi?acc=GSM366659","GSM366659")</f>
        <v>GSM366659</v>
      </c>
      <c r="I1254" t="s">
        <v>17</v>
      </c>
      <c r="J1254" t="s">
        <v>18</v>
      </c>
      <c r="K1254" t="s">
        <v>19</v>
      </c>
      <c r="L1254" t="s">
        <v>20</v>
      </c>
      <c r="M1254" t="s">
        <v>21</v>
      </c>
      <c r="N1254" t="s">
        <v>22</v>
      </c>
    </row>
    <row r="1255" spans="1:14">
      <c r="A1255" s="4" t="str">
        <f t="shared" si="102"/>
        <v>EXP00024</v>
      </c>
      <c r="B1255" s="4" t="str">
        <f t="shared" si="103"/>
        <v>20604919</v>
      </c>
      <c r="C1255" s="4" t="str">
        <f t="shared" si="104"/>
        <v>GSE14682</v>
      </c>
      <c r="D1255" s="1" t="s">
        <v>79</v>
      </c>
      <c r="E1255" t="s">
        <v>80</v>
      </c>
      <c r="F1255" s="1">
        <v>1</v>
      </c>
      <c r="G1255" s="1" t="s">
        <v>26</v>
      </c>
      <c r="H1255" s="4" t="str">
        <f>HYPERLINK("https://www.ncbi.nlm.nih.gov/geo/query/acc.cgi?acc=GSM366661","GSM366661")</f>
        <v>GSM366661</v>
      </c>
      <c r="I1255" t="s">
        <v>17</v>
      </c>
      <c r="J1255" t="s">
        <v>18</v>
      </c>
      <c r="K1255" t="s">
        <v>19</v>
      </c>
      <c r="L1255" t="s">
        <v>20</v>
      </c>
      <c r="M1255" t="s">
        <v>21</v>
      </c>
      <c r="N1255" t="s">
        <v>22</v>
      </c>
    </row>
    <row r="1256" spans="1:14">
      <c r="A1256" s="4" t="str">
        <f t="shared" si="102"/>
        <v>EXP00024</v>
      </c>
      <c r="B1256" s="4" t="str">
        <f t="shared" si="103"/>
        <v>20604919</v>
      </c>
      <c r="C1256" s="4" t="str">
        <f t="shared" si="104"/>
        <v>GSE14682</v>
      </c>
      <c r="D1256" s="1" t="s">
        <v>79</v>
      </c>
      <c r="E1256" t="s">
        <v>80</v>
      </c>
      <c r="F1256" s="1">
        <v>1</v>
      </c>
      <c r="G1256" s="1" t="s">
        <v>26</v>
      </c>
      <c r="H1256" s="4" t="str">
        <f>HYPERLINK("https://www.ncbi.nlm.nih.gov/geo/query/acc.cgi?acc=GSM366663","GSM366663")</f>
        <v>GSM366663</v>
      </c>
      <c r="I1256" t="s">
        <v>17</v>
      </c>
      <c r="J1256" t="s">
        <v>18</v>
      </c>
      <c r="K1256" t="s">
        <v>19</v>
      </c>
      <c r="L1256" t="s">
        <v>20</v>
      </c>
      <c r="M1256" t="s">
        <v>21</v>
      </c>
      <c r="N1256" t="s">
        <v>22</v>
      </c>
    </row>
    <row r="1257" spans="1:14">
      <c r="A1257" s="4" t="str">
        <f t="shared" si="102"/>
        <v>EXP00024</v>
      </c>
      <c r="B1257" s="4" t="str">
        <f t="shared" si="103"/>
        <v>20604919</v>
      </c>
      <c r="C1257" s="4" t="str">
        <f t="shared" si="104"/>
        <v>GSE14682</v>
      </c>
      <c r="D1257" s="1" t="s">
        <v>79</v>
      </c>
      <c r="E1257" t="s">
        <v>80</v>
      </c>
      <c r="F1257" s="1">
        <v>1</v>
      </c>
      <c r="G1257" s="1" t="s">
        <v>26</v>
      </c>
      <c r="H1257" s="4" t="str">
        <f>HYPERLINK("https://www.ncbi.nlm.nih.gov/geo/query/acc.cgi?acc=GSM366664","GSM366664")</f>
        <v>GSM366664</v>
      </c>
      <c r="I1257" t="s">
        <v>17</v>
      </c>
      <c r="J1257" t="s">
        <v>18</v>
      </c>
      <c r="K1257" t="s">
        <v>19</v>
      </c>
      <c r="L1257" t="s">
        <v>20</v>
      </c>
      <c r="M1257" t="s">
        <v>21</v>
      </c>
      <c r="N1257" t="s">
        <v>22</v>
      </c>
    </row>
    <row r="1258" spans="1:14">
      <c r="A1258" s="4" t="str">
        <f t="shared" si="102"/>
        <v>EXP00024</v>
      </c>
      <c r="B1258" s="4" t="str">
        <f t="shared" si="103"/>
        <v>20604919</v>
      </c>
      <c r="C1258" s="4" t="str">
        <f t="shared" si="104"/>
        <v>GSE14682</v>
      </c>
      <c r="D1258" s="1" t="s">
        <v>79</v>
      </c>
      <c r="E1258" t="s">
        <v>80</v>
      </c>
      <c r="F1258" s="1">
        <v>1</v>
      </c>
      <c r="G1258" s="1" t="s">
        <v>26</v>
      </c>
      <c r="H1258" s="4" t="str">
        <f>HYPERLINK("https://www.ncbi.nlm.nih.gov/geo/query/acc.cgi?acc=GSM366665","GSM366665")</f>
        <v>GSM366665</v>
      </c>
      <c r="I1258" t="s">
        <v>17</v>
      </c>
      <c r="J1258" t="s">
        <v>18</v>
      </c>
      <c r="K1258" t="s">
        <v>19</v>
      </c>
      <c r="L1258" t="s">
        <v>20</v>
      </c>
      <c r="M1258" t="s">
        <v>21</v>
      </c>
      <c r="N1258" t="s">
        <v>22</v>
      </c>
    </row>
    <row r="1259" spans="1:14">
      <c r="A1259" s="4" t="str">
        <f t="shared" si="102"/>
        <v>EXP00024</v>
      </c>
      <c r="B1259" s="4" t="str">
        <f t="shared" si="103"/>
        <v>20604919</v>
      </c>
      <c r="C1259" s="4" t="str">
        <f t="shared" si="104"/>
        <v>GSE14682</v>
      </c>
      <c r="D1259" s="1" t="s">
        <v>79</v>
      </c>
      <c r="E1259" t="s">
        <v>80</v>
      </c>
      <c r="F1259" s="1">
        <v>1</v>
      </c>
      <c r="G1259" s="1" t="s">
        <v>26</v>
      </c>
      <c r="H1259" s="4" t="str">
        <f>HYPERLINK("https://www.ncbi.nlm.nih.gov/geo/query/acc.cgi?acc=GSM366667","GSM366667")</f>
        <v>GSM366667</v>
      </c>
      <c r="I1259" t="s">
        <v>17</v>
      </c>
      <c r="J1259" t="s">
        <v>18</v>
      </c>
      <c r="K1259" t="s">
        <v>19</v>
      </c>
      <c r="L1259" t="s">
        <v>20</v>
      </c>
      <c r="M1259" t="s">
        <v>21</v>
      </c>
      <c r="N1259" t="s">
        <v>22</v>
      </c>
    </row>
    <row r="1260" spans="1:14">
      <c r="A1260" s="4" t="str">
        <f t="shared" si="102"/>
        <v>EXP00024</v>
      </c>
      <c r="B1260" s="4" t="str">
        <f t="shared" si="103"/>
        <v>20604919</v>
      </c>
      <c r="C1260" s="4" t="str">
        <f t="shared" si="104"/>
        <v>GSE14682</v>
      </c>
      <c r="D1260" s="1" t="s">
        <v>79</v>
      </c>
      <c r="E1260" t="s">
        <v>80</v>
      </c>
      <c r="F1260" s="1">
        <v>1</v>
      </c>
      <c r="G1260" s="1" t="s">
        <v>26</v>
      </c>
      <c r="H1260" s="4" t="str">
        <f>HYPERLINK("https://www.ncbi.nlm.nih.gov/geo/query/acc.cgi?acc=GSM366668","GSM366668")</f>
        <v>GSM366668</v>
      </c>
      <c r="I1260" t="s">
        <v>17</v>
      </c>
      <c r="J1260" t="s">
        <v>18</v>
      </c>
      <c r="K1260" t="s">
        <v>19</v>
      </c>
      <c r="L1260" t="s">
        <v>20</v>
      </c>
      <c r="M1260" t="s">
        <v>21</v>
      </c>
      <c r="N1260" t="s">
        <v>22</v>
      </c>
    </row>
    <row r="1261" spans="1:14">
      <c r="A1261" s="4" t="str">
        <f t="shared" si="102"/>
        <v>EXP00024</v>
      </c>
      <c r="B1261" s="4" t="str">
        <f t="shared" si="103"/>
        <v>20604919</v>
      </c>
      <c r="C1261" s="4" t="str">
        <f t="shared" si="104"/>
        <v>GSE14682</v>
      </c>
      <c r="D1261" s="1" t="s">
        <v>79</v>
      </c>
      <c r="E1261" t="s">
        <v>80</v>
      </c>
      <c r="F1261" s="1">
        <v>1</v>
      </c>
      <c r="G1261" s="1" t="s">
        <v>26</v>
      </c>
      <c r="H1261" s="4" t="str">
        <f>HYPERLINK("https://www.ncbi.nlm.nih.gov/geo/query/acc.cgi?acc=GSM366669","GSM366669")</f>
        <v>GSM366669</v>
      </c>
      <c r="I1261" t="s">
        <v>17</v>
      </c>
      <c r="J1261" t="s">
        <v>18</v>
      </c>
      <c r="K1261" t="s">
        <v>19</v>
      </c>
      <c r="L1261" t="s">
        <v>20</v>
      </c>
      <c r="M1261" t="s">
        <v>21</v>
      </c>
      <c r="N1261" t="s">
        <v>22</v>
      </c>
    </row>
    <row r="1262" spans="1:14">
      <c r="A1262" s="4" t="str">
        <f t="shared" si="102"/>
        <v>EXP00024</v>
      </c>
      <c r="B1262" s="4" t="str">
        <f t="shared" si="103"/>
        <v>20604919</v>
      </c>
      <c r="C1262" s="4" t="str">
        <f t="shared" si="104"/>
        <v>GSE14682</v>
      </c>
      <c r="D1262" s="1" t="s">
        <v>79</v>
      </c>
      <c r="E1262" t="s">
        <v>80</v>
      </c>
      <c r="F1262" s="1">
        <v>1</v>
      </c>
      <c r="G1262" s="1" t="s">
        <v>26</v>
      </c>
      <c r="H1262" s="4" t="str">
        <f>HYPERLINK("https://www.ncbi.nlm.nih.gov/geo/query/acc.cgi?acc=GSM366670","GSM366670")</f>
        <v>GSM366670</v>
      </c>
      <c r="I1262" t="s">
        <v>17</v>
      </c>
      <c r="J1262" t="s">
        <v>18</v>
      </c>
      <c r="K1262" t="s">
        <v>19</v>
      </c>
      <c r="L1262" t="s">
        <v>20</v>
      </c>
      <c r="M1262" t="s">
        <v>21</v>
      </c>
      <c r="N1262" t="s">
        <v>22</v>
      </c>
    </row>
    <row r="1263" spans="1:14">
      <c r="A1263" s="4" t="str">
        <f t="shared" si="102"/>
        <v>EXP00024</v>
      </c>
      <c r="B1263" s="4" t="str">
        <f t="shared" si="103"/>
        <v>20604919</v>
      </c>
      <c r="C1263" s="4" t="str">
        <f t="shared" si="104"/>
        <v>GSE14682</v>
      </c>
      <c r="D1263" s="1" t="s">
        <v>79</v>
      </c>
      <c r="E1263" t="s">
        <v>80</v>
      </c>
      <c r="F1263" s="1">
        <v>1</v>
      </c>
      <c r="G1263" s="1" t="s">
        <v>26</v>
      </c>
      <c r="H1263" s="4" t="str">
        <f>HYPERLINK("https://www.ncbi.nlm.nih.gov/geo/query/acc.cgi?acc=GSM366671","GSM366671")</f>
        <v>GSM366671</v>
      </c>
      <c r="I1263" t="s">
        <v>17</v>
      </c>
      <c r="J1263" t="s">
        <v>18</v>
      </c>
      <c r="K1263" t="s">
        <v>19</v>
      </c>
      <c r="L1263" t="s">
        <v>20</v>
      </c>
      <c r="M1263" t="s">
        <v>21</v>
      </c>
      <c r="N1263" t="s">
        <v>22</v>
      </c>
    </row>
    <row r="1264" spans="1:14">
      <c r="A1264" s="4" t="str">
        <f t="shared" si="102"/>
        <v>EXP00024</v>
      </c>
      <c r="B1264" s="4" t="str">
        <f t="shared" si="103"/>
        <v>20604919</v>
      </c>
      <c r="C1264" s="4" t="str">
        <f t="shared" si="104"/>
        <v>GSE14682</v>
      </c>
      <c r="D1264" s="1" t="s">
        <v>79</v>
      </c>
      <c r="E1264" t="s">
        <v>80</v>
      </c>
      <c r="F1264" s="1">
        <v>1</v>
      </c>
      <c r="G1264" s="1" t="s">
        <v>26</v>
      </c>
      <c r="H1264" s="4" t="str">
        <f>HYPERLINK("https://www.ncbi.nlm.nih.gov/geo/query/acc.cgi?acc=GSM366672","GSM366672")</f>
        <v>GSM366672</v>
      </c>
      <c r="I1264" t="s">
        <v>17</v>
      </c>
      <c r="J1264" t="s">
        <v>18</v>
      </c>
      <c r="K1264" t="s">
        <v>19</v>
      </c>
      <c r="L1264" t="s">
        <v>20</v>
      </c>
      <c r="M1264" t="s">
        <v>21</v>
      </c>
      <c r="N1264" t="s">
        <v>22</v>
      </c>
    </row>
    <row r="1265" spans="1:14">
      <c r="A1265" s="4" t="str">
        <f t="shared" si="102"/>
        <v>EXP00024</v>
      </c>
      <c r="B1265" s="4" t="str">
        <f t="shared" si="103"/>
        <v>20604919</v>
      </c>
      <c r="C1265" s="4" t="str">
        <f t="shared" si="104"/>
        <v>GSE14682</v>
      </c>
      <c r="D1265" s="1" t="s">
        <v>79</v>
      </c>
      <c r="E1265" t="s">
        <v>80</v>
      </c>
      <c r="F1265" s="1">
        <v>1</v>
      </c>
      <c r="G1265" s="1" t="s">
        <v>26</v>
      </c>
      <c r="H1265" s="4" t="str">
        <f>HYPERLINK("https://www.ncbi.nlm.nih.gov/geo/query/acc.cgi?acc=GSM366674","GSM366674")</f>
        <v>GSM366674</v>
      </c>
      <c r="I1265" t="s">
        <v>17</v>
      </c>
      <c r="J1265" t="s">
        <v>18</v>
      </c>
      <c r="K1265" t="s">
        <v>19</v>
      </c>
      <c r="L1265" t="s">
        <v>20</v>
      </c>
      <c r="M1265" t="s">
        <v>21</v>
      </c>
      <c r="N1265" t="s">
        <v>22</v>
      </c>
    </row>
    <row r="1266" spans="1:14">
      <c r="A1266" s="4" t="str">
        <f t="shared" si="102"/>
        <v>EXP00024</v>
      </c>
      <c r="B1266" s="4" t="str">
        <f t="shared" si="103"/>
        <v>20604919</v>
      </c>
      <c r="C1266" s="4" t="str">
        <f t="shared" si="104"/>
        <v>GSE14682</v>
      </c>
      <c r="D1266" s="1" t="s">
        <v>79</v>
      </c>
      <c r="E1266" t="s">
        <v>80</v>
      </c>
      <c r="F1266" s="1">
        <v>1</v>
      </c>
      <c r="G1266" s="1" t="s">
        <v>26</v>
      </c>
      <c r="H1266" s="4" t="str">
        <f>HYPERLINK("https://www.ncbi.nlm.nih.gov/geo/query/acc.cgi?acc=GSM366675","GSM366675")</f>
        <v>GSM366675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22</v>
      </c>
    </row>
    <row r="1267" spans="1:14">
      <c r="A1267" s="4" t="str">
        <f t="shared" si="102"/>
        <v>EXP00024</v>
      </c>
      <c r="B1267" s="4" t="str">
        <f t="shared" si="103"/>
        <v>20604919</v>
      </c>
      <c r="C1267" s="4" t="str">
        <f t="shared" si="104"/>
        <v>GSE14682</v>
      </c>
      <c r="D1267" s="1" t="s">
        <v>79</v>
      </c>
      <c r="E1267" t="s">
        <v>80</v>
      </c>
      <c r="F1267" s="1">
        <v>1</v>
      </c>
      <c r="G1267" s="1" t="s">
        <v>26</v>
      </c>
      <c r="H1267" s="4" t="str">
        <f>HYPERLINK("https://www.ncbi.nlm.nih.gov/geo/query/acc.cgi?acc=GSM366677","GSM366677")</f>
        <v>GSM366677</v>
      </c>
      <c r="I1267" t="s">
        <v>17</v>
      </c>
      <c r="J1267" t="s">
        <v>18</v>
      </c>
      <c r="K1267" t="s">
        <v>19</v>
      </c>
      <c r="L1267" t="s">
        <v>20</v>
      </c>
      <c r="M1267" t="s">
        <v>21</v>
      </c>
      <c r="N1267" t="s">
        <v>22</v>
      </c>
    </row>
    <row r="1268" spans="1:14">
      <c r="A1268" s="4" t="str">
        <f t="shared" ref="A1268:A1295" si="105">HYPERLINK("http://hcmdb.i-sanger.com/experiment/details/experiment_id/EXP00024","EXP00024")</f>
        <v>EXP00024</v>
      </c>
      <c r="B1268" s="4" t="str">
        <f t="shared" ref="B1268:B1299" si="106">HYPERLINK("https://www.ncbi.nlm.nih.gov/pubmed/20604919","20604919")</f>
        <v>20604919</v>
      </c>
      <c r="C1268" s="4" t="str">
        <f t="shared" ref="C1268:C1295" si="107">HYPERLINK("https://www.ncbi.nlm.nih.gov/geo/query/acc.cgi?acc=GSE14682","GSE14682")</f>
        <v>GSE14682</v>
      </c>
      <c r="D1268" s="1" t="s">
        <v>79</v>
      </c>
      <c r="E1268" t="s">
        <v>80</v>
      </c>
      <c r="F1268" s="1">
        <v>1</v>
      </c>
      <c r="G1268" s="1" t="s">
        <v>26</v>
      </c>
      <c r="H1268" s="4" t="str">
        <f>HYPERLINK("https://www.ncbi.nlm.nih.gov/geo/query/acc.cgi?acc=GSM366679","GSM366679")</f>
        <v>GSM366679</v>
      </c>
      <c r="I1268" t="s">
        <v>17</v>
      </c>
      <c r="J1268" t="s">
        <v>18</v>
      </c>
      <c r="K1268" t="s">
        <v>19</v>
      </c>
      <c r="L1268" t="s">
        <v>20</v>
      </c>
      <c r="M1268" t="s">
        <v>21</v>
      </c>
      <c r="N1268" t="s">
        <v>22</v>
      </c>
    </row>
    <row r="1269" spans="1:14">
      <c r="A1269" s="4" t="str">
        <f t="shared" si="105"/>
        <v>EXP00024</v>
      </c>
      <c r="B1269" s="4" t="str">
        <f t="shared" si="106"/>
        <v>20604919</v>
      </c>
      <c r="C1269" s="4" t="str">
        <f t="shared" si="107"/>
        <v>GSE14682</v>
      </c>
      <c r="D1269" s="1" t="s">
        <v>79</v>
      </c>
      <c r="E1269" t="s">
        <v>80</v>
      </c>
      <c r="F1269" s="1">
        <v>1</v>
      </c>
      <c r="G1269" s="1" t="s">
        <v>26</v>
      </c>
      <c r="H1269" s="4" t="str">
        <f>HYPERLINK("https://www.ncbi.nlm.nih.gov/geo/query/acc.cgi?acc=GSM366680","GSM366680")</f>
        <v>GSM366680</v>
      </c>
      <c r="I1269" t="s">
        <v>17</v>
      </c>
      <c r="J1269" t="s">
        <v>18</v>
      </c>
      <c r="K1269" t="s">
        <v>19</v>
      </c>
      <c r="L1269" t="s">
        <v>20</v>
      </c>
      <c r="M1269" t="s">
        <v>21</v>
      </c>
      <c r="N1269" t="s">
        <v>22</v>
      </c>
    </row>
    <row r="1270" spans="1:14">
      <c r="A1270" s="4" t="str">
        <f t="shared" si="105"/>
        <v>EXP00024</v>
      </c>
      <c r="B1270" s="4" t="str">
        <f t="shared" si="106"/>
        <v>20604919</v>
      </c>
      <c r="C1270" s="4" t="str">
        <f t="shared" si="107"/>
        <v>GSE14682</v>
      </c>
      <c r="D1270" s="1" t="s">
        <v>79</v>
      </c>
      <c r="E1270" t="s">
        <v>80</v>
      </c>
      <c r="F1270" s="1">
        <v>1</v>
      </c>
      <c r="G1270" s="1" t="s">
        <v>26</v>
      </c>
      <c r="H1270" s="4" t="str">
        <f>HYPERLINK("https://www.ncbi.nlm.nih.gov/geo/query/acc.cgi?acc=GSM366681","GSM366681")</f>
        <v>GSM366681</v>
      </c>
      <c r="I1270" t="s">
        <v>17</v>
      </c>
      <c r="J1270" t="s">
        <v>18</v>
      </c>
      <c r="K1270" t="s">
        <v>19</v>
      </c>
      <c r="L1270" t="s">
        <v>20</v>
      </c>
      <c r="M1270" t="s">
        <v>21</v>
      </c>
      <c r="N1270" t="s">
        <v>22</v>
      </c>
    </row>
    <row r="1271" spans="1:14">
      <c r="A1271" s="4" t="str">
        <f t="shared" si="105"/>
        <v>EXP00024</v>
      </c>
      <c r="B1271" s="4" t="str">
        <f t="shared" si="106"/>
        <v>20604919</v>
      </c>
      <c r="C1271" s="4" t="str">
        <f t="shared" si="107"/>
        <v>GSE14682</v>
      </c>
      <c r="D1271" s="1" t="s">
        <v>79</v>
      </c>
      <c r="E1271" t="s">
        <v>80</v>
      </c>
      <c r="F1271" s="1">
        <v>1</v>
      </c>
      <c r="G1271" s="1" t="s">
        <v>26</v>
      </c>
      <c r="H1271" s="4" t="str">
        <f>HYPERLINK("https://www.ncbi.nlm.nih.gov/geo/query/acc.cgi?acc=GSM366682","GSM366682")</f>
        <v>GSM366682</v>
      </c>
      <c r="I1271" t="s">
        <v>17</v>
      </c>
      <c r="J1271" t="s">
        <v>18</v>
      </c>
      <c r="K1271" t="s">
        <v>19</v>
      </c>
      <c r="L1271" t="s">
        <v>20</v>
      </c>
      <c r="M1271" t="s">
        <v>21</v>
      </c>
      <c r="N1271" t="s">
        <v>22</v>
      </c>
    </row>
    <row r="1272" spans="1:14">
      <c r="A1272" s="4" t="str">
        <f t="shared" si="105"/>
        <v>EXP00024</v>
      </c>
      <c r="B1272" s="4" t="str">
        <f t="shared" si="106"/>
        <v>20604919</v>
      </c>
      <c r="C1272" s="4" t="str">
        <f t="shared" si="107"/>
        <v>GSE14682</v>
      </c>
      <c r="D1272" s="1" t="s">
        <v>79</v>
      </c>
      <c r="E1272" t="s">
        <v>80</v>
      </c>
      <c r="F1272" s="1">
        <v>1</v>
      </c>
      <c r="G1272" s="1" t="s">
        <v>26</v>
      </c>
      <c r="H1272" s="4" t="str">
        <f>HYPERLINK("https://www.ncbi.nlm.nih.gov/geo/query/acc.cgi?acc=GSM366685","GSM366685")</f>
        <v>GSM366685</v>
      </c>
      <c r="I1272" t="s">
        <v>17</v>
      </c>
      <c r="J1272" t="s">
        <v>18</v>
      </c>
      <c r="K1272" t="s">
        <v>19</v>
      </c>
      <c r="L1272" t="s">
        <v>20</v>
      </c>
      <c r="M1272" t="s">
        <v>21</v>
      </c>
      <c r="N1272" t="s">
        <v>22</v>
      </c>
    </row>
    <row r="1273" spans="1:14">
      <c r="A1273" s="4" t="str">
        <f t="shared" si="105"/>
        <v>EXP00024</v>
      </c>
      <c r="B1273" s="4" t="str">
        <f t="shared" si="106"/>
        <v>20604919</v>
      </c>
      <c r="C1273" s="4" t="str">
        <f t="shared" si="107"/>
        <v>GSE14682</v>
      </c>
      <c r="D1273" s="1" t="s">
        <v>79</v>
      </c>
      <c r="E1273" t="s">
        <v>80</v>
      </c>
      <c r="F1273" s="1">
        <v>1</v>
      </c>
      <c r="G1273" s="1" t="s">
        <v>26</v>
      </c>
      <c r="H1273" s="4" t="str">
        <f>HYPERLINK("https://www.ncbi.nlm.nih.gov/geo/query/acc.cgi?acc=GSM366686","GSM366686")</f>
        <v>GSM366686</v>
      </c>
      <c r="I1273" t="s">
        <v>17</v>
      </c>
      <c r="J1273" t="s">
        <v>18</v>
      </c>
      <c r="K1273" t="s">
        <v>19</v>
      </c>
      <c r="L1273" t="s">
        <v>20</v>
      </c>
      <c r="M1273" t="s">
        <v>21</v>
      </c>
      <c r="N1273" t="s">
        <v>22</v>
      </c>
    </row>
    <row r="1274" spans="1:14">
      <c r="A1274" s="4" t="str">
        <f t="shared" si="105"/>
        <v>EXP00024</v>
      </c>
      <c r="B1274" s="4" t="str">
        <f t="shared" si="106"/>
        <v>20604919</v>
      </c>
      <c r="C1274" s="4" t="str">
        <f t="shared" si="107"/>
        <v>GSE14682</v>
      </c>
      <c r="D1274" s="1" t="s">
        <v>79</v>
      </c>
      <c r="E1274" t="s">
        <v>80</v>
      </c>
      <c r="F1274" s="1">
        <v>1</v>
      </c>
      <c r="G1274" s="1" t="s">
        <v>26</v>
      </c>
      <c r="H1274" s="4" t="str">
        <f>HYPERLINK("https://www.ncbi.nlm.nih.gov/geo/query/acc.cgi?acc=GSM366688","GSM366688")</f>
        <v>GSM366688</v>
      </c>
      <c r="I1274" t="s">
        <v>17</v>
      </c>
      <c r="J1274" t="s">
        <v>18</v>
      </c>
      <c r="K1274" t="s">
        <v>19</v>
      </c>
      <c r="L1274" t="s">
        <v>20</v>
      </c>
      <c r="M1274" t="s">
        <v>21</v>
      </c>
      <c r="N1274" t="s">
        <v>22</v>
      </c>
    </row>
    <row r="1275" spans="1:14">
      <c r="A1275" s="4" t="str">
        <f t="shared" si="105"/>
        <v>EXP00024</v>
      </c>
      <c r="B1275" s="4" t="str">
        <f t="shared" si="106"/>
        <v>20604919</v>
      </c>
      <c r="C1275" s="4" t="str">
        <f t="shared" si="107"/>
        <v>GSE14682</v>
      </c>
      <c r="D1275" s="1" t="s">
        <v>79</v>
      </c>
      <c r="E1275" t="s">
        <v>80</v>
      </c>
      <c r="F1275" s="1">
        <v>1</v>
      </c>
      <c r="G1275" s="1" t="s">
        <v>26</v>
      </c>
      <c r="H1275" s="4" t="str">
        <f>HYPERLINK("https://www.ncbi.nlm.nih.gov/geo/query/acc.cgi?acc=GSM366689","GSM366689")</f>
        <v>GSM366689</v>
      </c>
      <c r="I1275" t="s">
        <v>17</v>
      </c>
      <c r="J1275" t="s">
        <v>18</v>
      </c>
      <c r="K1275" t="s">
        <v>19</v>
      </c>
      <c r="L1275" t="s">
        <v>20</v>
      </c>
      <c r="M1275" t="s">
        <v>21</v>
      </c>
      <c r="N1275" t="s">
        <v>22</v>
      </c>
    </row>
    <row r="1276" spans="1:14">
      <c r="A1276" s="4" t="str">
        <f t="shared" si="105"/>
        <v>EXP00024</v>
      </c>
      <c r="B1276" s="4" t="str">
        <f t="shared" si="106"/>
        <v>20604919</v>
      </c>
      <c r="C1276" s="4" t="str">
        <f t="shared" si="107"/>
        <v>GSE14682</v>
      </c>
      <c r="D1276" s="1" t="s">
        <v>79</v>
      </c>
      <c r="E1276" t="s">
        <v>80</v>
      </c>
      <c r="F1276" s="1">
        <v>1</v>
      </c>
      <c r="G1276" s="1" t="s">
        <v>26</v>
      </c>
      <c r="H1276" s="4" t="str">
        <f>HYPERLINK("https://www.ncbi.nlm.nih.gov/geo/query/acc.cgi?acc=GSM366690","GSM366690")</f>
        <v>GSM366690</v>
      </c>
      <c r="I1276" t="s">
        <v>17</v>
      </c>
      <c r="J1276" t="s">
        <v>18</v>
      </c>
      <c r="K1276" t="s">
        <v>19</v>
      </c>
      <c r="L1276" t="s">
        <v>20</v>
      </c>
      <c r="M1276" t="s">
        <v>21</v>
      </c>
      <c r="N1276" t="s">
        <v>22</v>
      </c>
    </row>
    <row r="1277" spans="1:14">
      <c r="A1277" s="4" t="str">
        <f t="shared" si="105"/>
        <v>EXP00024</v>
      </c>
      <c r="B1277" s="4" t="str">
        <f t="shared" si="106"/>
        <v>20604919</v>
      </c>
      <c r="C1277" s="4" t="str">
        <f t="shared" si="107"/>
        <v>GSE14682</v>
      </c>
      <c r="D1277" s="1" t="s">
        <v>79</v>
      </c>
      <c r="E1277" t="s">
        <v>80</v>
      </c>
      <c r="F1277" s="1">
        <v>1</v>
      </c>
      <c r="G1277" s="1" t="s">
        <v>26</v>
      </c>
      <c r="H1277" s="4" t="str">
        <f>HYPERLINK("https://www.ncbi.nlm.nih.gov/geo/query/acc.cgi?acc=GSM366691","GSM366691")</f>
        <v>GSM366691</v>
      </c>
      <c r="I1277" t="s">
        <v>17</v>
      </c>
      <c r="J1277" t="s">
        <v>18</v>
      </c>
      <c r="K1277" t="s">
        <v>19</v>
      </c>
      <c r="L1277" t="s">
        <v>20</v>
      </c>
      <c r="M1277" t="s">
        <v>21</v>
      </c>
      <c r="N1277" t="s">
        <v>22</v>
      </c>
    </row>
    <row r="1278" spans="1:14">
      <c r="A1278" s="4" t="str">
        <f t="shared" si="105"/>
        <v>EXP00024</v>
      </c>
      <c r="B1278" s="4" t="str">
        <f t="shared" si="106"/>
        <v>20604919</v>
      </c>
      <c r="C1278" s="4" t="str">
        <f t="shared" si="107"/>
        <v>GSE14682</v>
      </c>
      <c r="D1278" s="1" t="s">
        <v>79</v>
      </c>
      <c r="E1278" t="s">
        <v>80</v>
      </c>
      <c r="F1278" s="1">
        <v>1</v>
      </c>
      <c r="G1278" s="1" t="s">
        <v>26</v>
      </c>
      <c r="H1278" s="4" t="str">
        <f>HYPERLINK("https://www.ncbi.nlm.nih.gov/geo/query/acc.cgi?acc=GSM366694","GSM366694")</f>
        <v>GSM366694</v>
      </c>
      <c r="I1278" t="s">
        <v>17</v>
      </c>
      <c r="J1278" t="s">
        <v>18</v>
      </c>
      <c r="K1278" t="s">
        <v>19</v>
      </c>
      <c r="L1278" t="s">
        <v>20</v>
      </c>
      <c r="M1278" t="s">
        <v>21</v>
      </c>
      <c r="N1278" t="s">
        <v>22</v>
      </c>
    </row>
    <row r="1279" spans="1:14">
      <c r="A1279" s="4" t="str">
        <f t="shared" si="105"/>
        <v>EXP00024</v>
      </c>
      <c r="B1279" s="4" t="str">
        <f t="shared" si="106"/>
        <v>20604919</v>
      </c>
      <c r="C1279" s="4" t="str">
        <f t="shared" si="107"/>
        <v>GSE14682</v>
      </c>
      <c r="D1279" s="1" t="s">
        <v>79</v>
      </c>
      <c r="E1279" t="s">
        <v>80</v>
      </c>
      <c r="F1279" s="1">
        <v>1</v>
      </c>
      <c r="G1279" s="1" t="s">
        <v>26</v>
      </c>
      <c r="H1279" s="4" t="str">
        <f>HYPERLINK("https://www.ncbi.nlm.nih.gov/geo/query/acc.cgi?acc=GSM366695","GSM366695")</f>
        <v>GSM366695</v>
      </c>
      <c r="I1279" t="s">
        <v>17</v>
      </c>
      <c r="J1279" t="s">
        <v>18</v>
      </c>
      <c r="K1279" t="s">
        <v>19</v>
      </c>
      <c r="L1279" t="s">
        <v>20</v>
      </c>
      <c r="M1279" t="s">
        <v>21</v>
      </c>
      <c r="N1279" t="s">
        <v>22</v>
      </c>
    </row>
    <row r="1280" spans="1:14">
      <c r="A1280" s="4" t="str">
        <f t="shared" si="105"/>
        <v>EXP00024</v>
      </c>
      <c r="B1280" s="4" t="str">
        <f t="shared" si="106"/>
        <v>20604919</v>
      </c>
      <c r="C1280" s="4" t="str">
        <f t="shared" si="107"/>
        <v>GSE14682</v>
      </c>
      <c r="D1280" s="1" t="s">
        <v>79</v>
      </c>
      <c r="E1280" t="s">
        <v>80</v>
      </c>
      <c r="F1280" s="1">
        <v>1</v>
      </c>
      <c r="G1280" s="1" t="s">
        <v>26</v>
      </c>
      <c r="H1280" s="4" t="str">
        <f>HYPERLINK("https://www.ncbi.nlm.nih.gov/geo/query/acc.cgi?acc=GSM366696","GSM366696")</f>
        <v>GSM366696</v>
      </c>
      <c r="I1280" t="s">
        <v>17</v>
      </c>
      <c r="J1280" t="s">
        <v>18</v>
      </c>
      <c r="K1280" t="s">
        <v>19</v>
      </c>
      <c r="L1280" t="s">
        <v>20</v>
      </c>
      <c r="M1280" t="s">
        <v>21</v>
      </c>
      <c r="N1280" t="s">
        <v>22</v>
      </c>
    </row>
    <row r="1281" spans="1:14">
      <c r="A1281" s="4" t="str">
        <f t="shared" si="105"/>
        <v>EXP00024</v>
      </c>
      <c r="B1281" s="4" t="str">
        <f t="shared" si="106"/>
        <v>20604919</v>
      </c>
      <c r="C1281" s="4" t="str">
        <f t="shared" si="107"/>
        <v>GSE14682</v>
      </c>
      <c r="D1281" s="1" t="s">
        <v>79</v>
      </c>
      <c r="E1281" t="s">
        <v>80</v>
      </c>
      <c r="F1281" s="1">
        <v>1</v>
      </c>
      <c r="G1281" s="1" t="s">
        <v>26</v>
      </c>
      <c r="H1281" s="4" t="str">
        <f>HYPERLINK("https://www.ncbi.nlm.nih.gov/geo/query/acc.cgi?acc=GSM366697","GSM366697")</f>
        <v>GSM366697</v>
      </c>
      <c r="I1281" t="s">
        <v>17</v>
      </c>
      <c r="J1281" t="s">
        <v>18</v>
      </c>
      <c r="K1281" t="s">
        <v>19</v>
      </c>
      <c r="L1281" t="s">
        <v>20</v>
      </c>
      <c r="M1281" t="s">
        <v>21</v>
      </c>
      <c r="N1281" t="s">
        <v>22</v>
      </c>
    </row>
    <row r="1282" spans="1:14">
      <c r="A1282" s="4" t="str">
        <f t="shared" si="105"/>
        <v>EXP00024</v>
      </c>
      <c r="B1282" s="4" t="str">
        <f t="shared" si="106"/>
        <v>20604919</v>
      </c>
      <c r="C1282" s="4" t="str">
        <f t="shared" si="107"/>
        <v>GSE14682</v>
      </c>
      <c r="D1282" s="1" t="s">
        <v>79</v>
      </c>
      <c r="E1282" t="s">
        <v>80</v>
      </c>
      <c r="F1282" s="1">
        <v>2</v>
      </c>
      <c r="G1282" s="1" t="s">
        <v>28</v>
      </c>
      <c r="H1282" s="4" t="str">
        <f>HYPERLINK("https://www.ncbi.nlm.nih.gov/geo/query/acc.cgi?acc=GSM366639","GSM366639")</f>
        <v>GSM366639</v>
      </c>
      <c r="I1282" t="s">
        <v>17</v>
      </c>
      <c r="J1282" t="s">
        <v>18</v>
      </c>
      <c r="K1282" t="s">
        <v>19</v>
      </c>
      <c r="L1282" t="s">
        <v>20</v>
      </c>
      <c r="M1282" t="s">
        <v>21</v>
      </c>
      <c r="N1282" t="s">
        <v>29</v>
      </c>
    </row>
    <row r="1283" spans="1:14">
      <c r="A1283" s="4" t="str">
        <f t="shared" si="105"/>
        <v>EXP00024</v>
      </c>
      <c r="B1283" s="4" t="str">
        <f t="shared" si="106"/>
        <v>20604919</v>
      </c>
      <c r="C1283" s="4" t="str">
        <f t="shared" si="107"/>
        <v>GSE14682</v>
      </c>
      <c r="D1283" s="1" t="s">
        <v>79</v>
      </c>
      <c r="E1283" t="s">
        <v>80</v>
      </c>
      <c r="F1283" s="1">
        <v>2</v>
      </c>
      <c r="G1283" s="1" t="s">
        <v>28</v>
      </c>
      <c r="H1283" s="4" t="str">
        <f>HYPERLINK("https://www.ncbi.nlm.nih.gov/geo/query/acc.cgi?acc=GSM366641","GSM366641")</f>
        <v>GSM366641</v>
      </c>
      <c r="I1283" t="s">
        <v>17</v>
      </c>
      <c r="J1283" t="s">
        <v>18</v>
      </c>
      <c r="K1283" t="s">
        <v>19</v>
      </c>
      <c r="L1283" t="s">
        <v>20</v>
      </c>
      <c r="M1283" t="s">
        <v>21</v>
      </c>
      <c r="N1283" t="s">
        <v>29</v>
      </c>
    </row>
    <row r="1284" spans="1:14">
      <c r="A1284" s="4" t="str">
        <f t="shared" si="105"/>
        <v>EXP00024</v>
      </c>
      <c r="B1284" s="4" t="str">
        <f t="shared" si="106"/>
        <v>20604919</v>
      </c>
      <c r="C1284" s="4" t="str">
        <f t="shared" si="107"/>
        <v>GSE14682</v>
      </c>
      <c r="D1284" s="1" t="s">
        <v>79</v>
      </c>
      <c r="E1284" t="s">
        <v>80</v>
      </c>
      <c r="F1284" s="1">
        <v>2</v>
      </c>
      <c r="G1284" s="1" t="s">
        <v>28</v>
      </c>
      <c r="H1284" s="4" t="str">
        <f>HYPERLINK("https://www.ncbi.nlm.nih.gov/geo/query/acc.cgi?acc=GSM366656","GSM366656")</f>
        <v>GSM366656</v>
      </c>
      <c r="I1284" t="s">
        <v>17</v>
      </c>
      <c r="J1284" t="s">
        <v>18</v>
      </c>
      <c r="K1284" t="s">
        <v>19</v>
      </c>
      <c r="L1284" t="s">
        <v>20</v>
      </c>
      <c r="M1284" t="s">
        <v>21</v>
      </c>
      <c r="N1284" t="s">
        <v>29</v>
      </c>
    </row>
    <row r="1285" spans="1:14">
      <c r="A1285" s="4" t="str">
        <f t="shared" si="105"/>
        <v>EXP00024</v>
      </c>
      <c r="B1285" s="4" t="str">
        <f t="shared" si="106"/>
        <v>20604919</v>
      </c>
      <c r="C1285" s="4" t="str">
        <f t="shared" si="107"/>
        <v>GSE14682</v>
      </c>
      <c r="D1285" s="1" t="s">
        <v>79</v>
      </c>
      <c r="E1285" t="s">
        <v>80</v>
      </c>
      <c r="F1285" s="1">
        <v>2</v>
      </c>
      <c r="G1285" s="1" t="s">
        <v>28</v>
      </c>
      <c r="H1285" s="4" t="str">
        <f>HYPERLINK("https://www.ncbi.nlm.nih.gov/geo/query/acc.cgi?acc=GSM366660","GSM366660")</f>
        <v>GSM366660</v>
      </c>
      <c r="I1285" t="s">
        <v>17</v>
      </c>
      <c r="J1285" t="s">
        <v>18</v>
      </c>
      <c r="K1285" t="s">
        <v>19</v>
      </c>
      <c r="L1285" t="s">
        <v>20</v>
      </c>
      <c r="M1285" t="s">
        <v>21</v>
      </c>
      <c r="N1285" t="s">
        <v>29</v>
      </c>
    </row>
    <row r="1286" spans="1:14">
      <c r="A1286" s="4" t="str">
        <f t="shared" si="105"/>
        <v>EXP00024</v>
      </c>
      <c r="B1286" s="4" t="str">
        <f t="shared" si="106"/>
        <v>20604919</v>
      </c>
      <c r="C1286" s="4" t="str">
        <f t="shared" si="107"/>
        <v>GSE14682</v>
      </c>
      <c r="D1286" s="1" t="s">
        <v>79</v>
      </c>
      <c r="E1286" t="s">
        <v>80</v>
      </c>
      <c r="F1286" s="1">
        <v>2</v>
      </c>
      <c r="G1286" s="1" t="s">
        <v>28</v>
      </c>
      <c r="H1286" s="4" t="str">
        <f>HYPERLINK("https://www.ncbi.nlm.nih.gov/geo/query/acc.cgi?acc=GSM366662","GSM366662")</f>
        <v>GSM366662</v>
      </c>
      <c r="I1286" t="s">
        <v>17</v>
      </c>
      <c r="J1286" t="s">
        <v>18</v>
      </c>
      <c r="K1286" t="s">
        <v>19</v>
      </c>
      <c r="L1286" t="s">
        <v>20</v>
      </c>
      <c r="M1286" t="s">
        <v>21</v>
      </c>
      <c r="N1286" t="s">
        <v>29</v>
      </c>
    </row>
    <row r="1287" spans="1:14">
      <c r="A1287" s="4" t="str">
        <f t="shared" si="105"/>
        <v>EXP00024</v>
      </c>
      <c r="B1287" s="4" t="str">
        <f t="shared" si="106"/>
        <v>20604919</v>
      </c>
      <c r="C1287" s="4" t="str">
        <f t="shared" si="107"/>
        <v>GSE14682</v>
      </c>
      <c r="D1287" s="1" t="s">
        <v>79</v>
      </c>
      <c r="E1287" t="s">
        <v>80</v>
      </c>
      <c r="F1287" s="1">
        <v>2</v>
      </c>
      <c r="G1287" s="1" t="s">
        <v>28</v>
      </c>
      <c r="H1287" s="4" t="str">
        <f>HYPERLINK("https://www.ncbi.nlm.nih.gov/geo/query/acc.cgi?acc=GSM366666","GSM366666")</f>
        <v>GSM366666</v>
      </c>
      <c r="I1287" t="s">
        <v>17</v>
      </c>
      <c r="J1287" t="s">
        <v>18</v>
      </c>
      <c r="K1287" t="s">
        <v>19</v>
      </c>
      <c r="L1287" t="s">
        <v>20</v>
      </c>
      <c r="M1287" t="s">
        <v>21</v>
      </c>
      <c r="N1287" t="s">
        <v>29</v>
      </c>
    </row>
    <row r="1288" spans="1:14">
      <c r="A1288" s="4" t="str">
        <f t="shared" si="105"/>
        <v>EXP00024</v>
      </c>
      <c r="B1288" s="4" t="str">
        <f t="shared" si="106"/>
        <v>20604919</v>
      </c>
      <c r="C1288" s="4" t="str">
        <f t="shared" si="107"/>
        <v>GSE14682</v>
      </c>
      <c r="D1288" s="1" t="s">
        <v>79</v>
      </c>
      <c r="E1288" t="s">
        <v>80</v>
      </c>
      <c r="F1288" s="1">
        <v>2</v>
      </c>
      <c r="G1288" s="1" t="s">
        <v>28</v>
      </c>
      <c r="H1288" s="4" t="str">
        <f>HYPERLINK("https://www.ncbi.nlm.nih.gov/geo/query/acc.cgi?acc=GSM366673","GSM366673")</f>
        <v>GSM366673</v>
      </c>
      <c r="I1288" t="s">
        <v>17</v>
      </c>
      <c r="J1288" t="s">
        <v>18</v>
      </c>
      <c r="K1288" t="s">
        <v>19</v>
      </c>
      <c r="L1288" t="s">
        <v>20</v>
      </c>
      <c r="M1288" t="s">
        <v>21</v>
      </c>
      <c r="N1288" t="s">
        <v>29</v>
      </c>
    </row>
    <row r="1289" spans="1:14">
      <c r="A1289" s="4" t="str">
        <f t="shared" si="105"/>
        <v>EXP00024</v>
      </c>
      <c r="B1289" s="4" t="str">
        <f t="shared" si="106"/>
        <v>20604919</v>
      </c>
      <c r="C1289" s="4" t="str">
        <f t="shared" si="107"/>
        <v>GSE14682</v>
      </c>
      <c r="D1289" s="1" t="s">
        <v>79</v>
      </c>
      <c r="E1289" t="s">
        <v>80</v>
      </c>
      <c r="F1289" s="1">
        <v>2</v>
      </c>
      <c r="G1289" s="1" t="s">
        <v>28</v>
      </c>
      <c r="H1289" s="4" t="str">
        <f>HYPERLINK("https://www.ncbi.nlm.nih.gov/geo/query/acc.cgi?acc=GSM366676","GSM366676")</f>
        <v>GSM366676</v>
      </c>
      <c r="I1289" t="s">
        <v>17</v>
      </c>
      <c r="J1289" t="s">
        <v>18</v>
      </c>
      <c r="K1289" t="s">
        <v>19</v>
      </c>
      <c r="L1289" t="s">
        <v>20</v>
      </c>
      <c r="M1289" t="s">
        <v>21</v>
      </c>
      <c r="N1289" t="s">
        <v>29</v>
      </c>
    </row>
    <row r="1290" spans="1:14">
      <c r="A1290" s="4" t="str">
        <f t="shared" si="105"/>
        <v>EXP00024</v>
      </c>
      <c r="B1290" s="4" t="str">
        <f t="shared" si="106"/>
        <v>20604919</v>
      </c>
      <c r="C1290" s="4" t="str">
        <f t="shared" si="107"/>
        <v>GSE14682</v>
      </c>
      <c r="D1290" s="1" t="s">
        <v>79</v>
      </c>
      <c r="E1290" t="s">
        <v>80</v>
      </c>
      <c r="F1290" s="1">
        <v>2</v>
      </c>
      <c r="G1290" s="1" t="s">
        <v>28</v>
      </c>
      <c r="H1290" s="4" t="str">
        <f>HYPERLINK("https://www.ncbi.nlm.nih.gov/geo/query/acc.cgi?acc=GSM366678","GSM366678")</f>
        <v>GSM366678</v>
      </c>
      <c r="I1290" t="s">
        <v>17</v>
      </c>
      <c r="J1290" t="s">
        <v>18</v>
      </c>
      <c r="K1290" t="s">
        <v>19</v>
      </c>
      <c r="L1290" t="s">
        <v>20</v>
      </c>
      <c r="M1290" t="s">
        <v>21</v>
      </c>
      <c r="N1290" t="s">
        <v>29</v>
      </c>
    </row>
    <row r="1291" spans="1:14">
      <c r="A1291" s="4" t="str">
        <f t="shared" si="105"/>
        <v>EXP00024</v>
      </c>
      <c r="B1291" s="4" t="str">
        <f t="shared" si="106"/>
        <v>20604919</v>
      </c>
      <c r="C1291" s="4" t="str">
        <f t="shared" si="107"/>
        <v>GSE14682</v>
      </c>
      <c r="D1291" s="1" t="s">
        <v>79</v>
      </c>
      <c r="E1291" t="s">
        <v>80</v>
      </c>
      <c r="F1291" s="1">
        <v>2</v>
      </c>
      <c r="G1291" s="1" t="s">
        <v>28</v>
      </c>
      <c r="H1291" s="4" t="str">
        <f>HYPERLINK("https://www.ncbi.nlm.nih.gov/geo/query/acc.cgi?acc=GSM366683","GSM366683")</f>
        <v>GSM366683</v>
      </c>
      <c r="I1291" t="s">
        <v>17</v>
      </c>
      <c r="J1291" t="s">
        <v>18</v>
      </c>
      <c r="K1291" t="s">
        <v>19</v>
      </c>
      <c r="L1291" t="s">
        <v>20</v>
      </c>
      <c r="M1291" t="s">
        <v>21</v>
      </c>
      <c r="N1291" t="s">
        <v>29</v>
      </c>
    </row>
    <row r="1292" spans="1:14">
      <c r="A1292" s="4" t="str">
        <f t="shared" si="105"/>
        <v>EXP00024</v>
      </c>
      <c r="B1292" s="4" t="str">
        <f t="shared" si="106"/>
        <v>20604919</v>
      </c>
      <c r="C1292" s="4" t="str">
        <f t="shared" si="107"/>
        <v>GSE14682</v>
      </c>
      <c r="D1292" s="1" t="s">
        <v>79</v>
      </c>
      <c r="E1292" t="s">
        <v>80</v>
      </c>
      <c r="F1292" s="1">
        <v>2</v>
      </c>
      <c r="G1292" s="1" t="s">
        <v>28</v>
      </c>
      <c r="H1292" s="4" t="str">
        <f>HYPERLINK("https://www.ncbi.nlm.nih.gov/geo/query/acc.cgi?acc=GSM366684","GSM366684")</f>
        <v>GSM366684</v>
      </c>
      <c r="I1292" t="s">
        <v>17</v>
      </c>
      <c r="J1292" t="s">
        <v>18</v>
      </c>
      <c r="K1292" t="s">
        <v>19</v>
      </c>
      <c r="L1292" t="s">
        <v>20</v>
      </c>
      <c r="M1292" t="s">
        <v>21</v>
      </c>
      <c r="N1292" t="s">
        <v>29</v>
      </c>
    </row>
    <row r="1293" spans="1:14">
      <c r="A1293" s="4" t="str">
        <f t="shared" si="105"/>
        <v>EXP00024</v>
      </c>
      <c r="B1293" s="4" t="str">
        <f t="shared" si="106"/>
        <v>20604919</v>
      </c>
      <c r="C1293" s="4" t="str">
        <f t="shared" si="107"/>
        <v>GSE14682</v>
      </c>
      <c r="D1293" s="1" t="s">
        <v>79</v>
      </c>
      <c r="E1293" t="s">
        <v>80</v>
      </c>
      <c r="F1293" s="1">
        <v>2</v>
      </c>
      <c r="G1293" s="1" t="s">
        <v>28</v>
      </c>
      <c r="H1293" s="4" t="str">
        <f>HYPERLINK("https://www.ncbi.nlm.nih.gov/geo/query/acc.cgi?acc=GSM366687","GSM366687")</f>
        <v>GSM366687</v>
      </c>
      <c r="I1293" t="s">
        <v>17</v>
      </c>
      <c r="J1293" t="s">
        <v>18</v>
      </c>
      <c r="K1293" t="s">
        <v>19</v>
      </c>
      <c r="L1293" t="s">
        <v>20</v>
      </c>
      <c r="M1293" t="s">
        <v>21</v>
      </c>
      <c r="N1293" t="s">
        <v>29</v>
      </c>
    </row>
    <row r="1294" spans="1:14">
      <c r="A1294" s="4" t="str">
        <f t="shared" si="105"/>
        <v>EXP00024</v>
      </c>
      <c r="B1294" s="4" t="str">
        <f t="shared" si="106"/>
        <v>20604919</v>
      </c>
      <c r="C1294" s="4" t="str">
        <f t="shared" si="107"/>
        <v>GSE14682</v>
      </c>
      <c r="D1294" s="1" t="s">
        <v>79</v>
      </c>
      <c r="E1294" t="s">
        <v>80</v>
      </c>
      <c r="F1294" s="1">
        <v>2</v>
      </c>
      <c r="G1294" s="1" t="s">
        <v>28</v>
      </c>
      <c r="H1294" s="4" t="str">
        <f>HYPERLINK("https://www.ncbi.nlm.nih.gov/geo/query/acc.cgi?acc=GSM366692","GSM366692")</f>
        <v>GSM366692</v>
      </c>
      <c r="I1294" t="s">
        <v>17</v>
      </c>
      <c r="J1294" t="s">
        <v>18</v>
      </c>
      <c r="K1294" t="s">
        <v>19</v>
      </c>
      <c r="L1294" t="s">
        <v>20</v>
      </c>
      <c r="M1294" t="s">
        <v>21</v>
      </c>
      <c r="N1294" t="s">
        <v>29</v>
      </c>
    </row>
    <row r="1295" spans="1:14">
      <c r="A1295" s="4" t="str">
        <f t="shared" si="105"/>
        <v>EXP00024</v>
      </c>
      <c r="B1295" s="4" t="str">
        <f t="shared" si="106"/>
        <v>20604919</v>
      </c>
      <c r="C1295" s="4" t="str">
        <f t="shared" si="107"/>
        <v>GSE14682</v>
      </c>
      <c r="D1295" s="1" t="s">
        <v>79</v>
      </c>
      <c r="E1295" t="s">
        <v>80</v>
      </c>
      <c r="F1295" s="1">
        <v>2</v>
      </c>
      <c r="G1295" s="1" t="s">
        <v>28</v>
      </c>
      <c r="H1295" s="4" t="str">
        <f>HYPERLINK("https://www.ncbi.nlm.nih.gov/geo/query/acc.cgi?acc=GSM366693","GSM366693")</f>
        <v>GSM366693</v>
      </c>
      <c r="I1295" t="s">
        <v>17</v>
      </c>
      <c r="J1295" t="s">
        <v>18</v>
      </c>
      <c r="K1295" t="s">
        <v>19</v>
      </c>
      <c r="L1295" t="s">
        <v>20</v>
      </c>
      <c r="M1295" t="s">
        <v>21</v>
      </c>
      <c r="N1295" t="s">
        <v>29</v>
      </c>
    </row>
    <row r="1296" spans="1:14">
      <c r="A1296" s="4" t="str">
        <f t="shared" ref="A1296:A1315" si="108">HYPERLINK("http://hcmdb.i-sanger.com/experiment/details/experiment_id/EXP00025","EXP00025")</f>
        <v>EXP00025</v>
      </c>
      <c r="B1296" s="4" t="str">
        <f t="shared" si="106"/>
        <v>20604919</v>
      </c>
      <c r="C1296" s="4" t="str">
        <f t="shared" ref="C1296:C1315" si="109">HYPERLINK("https://www.ncbi.nlm.nih.gov/geo/query/acc.cgi?acc=GSE14683","GSE14683")</f>
        <v>GSE14683</v>
      </c>
      <c r="D1296" s="1" t="s">
        <v>79</v>
      </c>
      <c r="E1296" t="s">
        <v>80</v>
      </c>
      <c r="F1296" s="1">
        <v>1</v>
      </c>
      <c r="G1296" s="1" t="s">
        <v>26</v>
      </c>
      <c r="H1296" s="4" t="str">
        <f>HYPERLINK("https://www.ncbi.nlm.nih.gov/geo/query/acc.cgi?acc=GSM366699","GSM366699")</f>
        <v>GSM366699</v>
      </c>
      <c r="I1296" t="s">
        <v>17</v>
      </c>
      <c r="J1296" t="s">
        <v>18</v>
      </c>
      <c r="K1296" t="s">
        <v>19</v>
      </c>
      <c r="L1296" t="s">
        <v>20</v>
      </c>
      <c r="M1296" t="s">
        <v>21</v>
      </c>
      <c r="N1296" t="s">
        <v>22</v>
      </c>
    </row>
    <row r="1297" spans="1:14">
      <c r="A1297" s="4" t="str">
        <f t="shared" si="108"/>
        <v>EXP00025</v>
      </c>
      <c r="B1297" s="4" t="str">
        <f t="shared" si="106"/>
        <v>20604919</v>
      </c>
      <c r="C1297" s="4" t="str">
        <f t="shared" si="109"/>
        <v>GSE14683</v>
      </c>
      <c r="D1297" s="1" t="s">
        <v>79</v>
      </c>
      <c r="E1297" t="s">
        <v>80</v>
      </c>
      <c r="F1297" s="1">
        <v>1</v>
      </c>
      <c r="G1297" s="1" t="s">
        <v>26</v>
      </c>
      <c r="H1297" s="4" t="str">
        <f>HYPERLINK("https://www.ncbi.nlm.nih.gov/geo/query/acc.cgi?acc=GSM366703","GSM366703")</f>
        <v>GSM366703</v>
      </c>
      <c r="I1297" t="s">
        <v>17</v>
      </c>
      <c r="J1297" t="s">
        <v>18</v>
      </c>
      <c r="K1297" t="s">
        <v>19</v>
      </c>
      <c r="L1297" t="s">
        <v>20</v>
      </c>
      <c r="M1297" t="s">
        <v>21</v>
      </c>
      <c r="N1297" t="s">
        <v>22</v>
      </c>
    </row>
    <row r="1298" spans="1:14">
      <c r="A1298" s="4" t="str">
        <f t="shared" si="108"/>
        <v>EXP00025</v>
      </c>
      <c r="B1298" s="4" t="str">
        <f t="shared" si="106"/>
        <v>20604919</v>
      </c>
      <c r="C1298" s="4" t="str">
        <f t="shared" si="109"/>
        <v>GSE14683</v>
      </c>
      <c r="D1298" s="1" t="s">
        <v>79</v>
      </c>
      <c r="E1298" t="s">
        <v>80</v>
      </c>
      <c r="F1298" s="1">
        <v>1</v>
      </c>
      <c r="G1298" s="1" t="s">
        <v>26</v>
      </c>
      <c r="H1298" s="4" t="str">
        <f>HYPERLINK("https://www.ncbi.nlm.nih.gov/geo/query/acc.cgi?acc=GSM366704","GSM366704")</f>
        <v>GSM366704</v>
      </c>
      <c r="I1298" t="s">
        <v>17</v>
      </c>
      <c r="J1298" t="s">
        <v>18</v>
      </c>
      <c r="K1298" t="s">
        <v>19</v>
      </c>
      <c r="L1298" t="s">
        <v>20</v>
      </c>
      <c r="M1298" t="s">
        <v>21</v>
      </c>
      <c r="N1298" t="s">
        <v>22</v>
      </c>
    </row>
    <row r="1299" spans="1:14">
      <c r="A1299" s="4" t="str">
        <f t="shared" si="108"/>
        <v>EXP00025</v>
      </c>
      <c r="B1299" s="4" t="str">
        <f t="shared" si="106"/>
        <v>20604919</v>
      </c>
      <c r="C1299" s="4" t="str">
        <f t="shared" si="109"/>
        <v>GSE14683</v>
      </c>
      <c r="D1299" s="1" t="s">
        <v>79</v>
      </c>
      <c r="E1299" t="s">
        <v>80</v>
      </c>
      <c r="F1299" s="1">
        <v>1</v>
      </c>
      <c r="G1299" s="1" t="s">
        <v>26</v>
      </c>
      <c r="H1299" s="4" t="str">
        <f>HYPERLINK("https://www.ncbi.nlm.nih.gov/geo/query/acc.cgi?acc=GSM366706","GSM366706")</f>
        <v>GSM366706</v>
      </c>
      <c r="I1299" t="s">
        <v>17</v>
      </c>
      <c r="J1299" t="s">
        <v>18</v>
      </c>
      <c r="K1299" t="s">
        <v>19</v>
      </c>
      <c r="L1299" t="s">
        <v>20</v>
      </c>
      <c r="M1299" t="s">
        <v>21</v>
      </c>
      <c r="N1299" t="s">
        <v>22</v>
      </c>
    </row>
    <row r="1300" spans="1:14">
      <c r="A1300" s="4" t="str">
        <f t="shared" si="108"/>
        <v>EXP00025</v>
      </c>
      <c r="B1300" s="4" t="str">
        <f t="shared" ref="B1300:B1315" si="110">HYPERLINK("https://www.ncbi.nlm.nih.gov/pubmed/20604919","20604919")</f>
        <v>20604919</v>
      </c>
      <c r="C1300" s="4" t="str">
        <f t="shared" si="109"/>
        <v>GSE14683</v>
      </c>
      <c r="D1300" s="1" t="s">
        <v>79</v>
      </c>
      <c r="E1300" t="s">
        <v>80</v>
      </c>
      <c r="F1300" s="1">
        <v>1</v>
      </c>
      <c r="G1300" s="1" t="s">
        <v>26</v>
      </c>
      <c r="H1300" s="4" t="str">
        <f>HYPERLINK("https://www.ncbi.nlm.nih.gov/geo/query/acc.cgi?acc=GSM366725","GSM366725")</f>
        <v>GSM366725</v>
      </c>
      <c r="I1300" t="s">
        <v>17</v>
      </c>
      <c r="J1300" t="s">
        <v>18</v>
      </c>
      <c r="K1300" t="s">
        <v>19</v>
      </c>
      <c r="L1300" t="s">
        <v>20</v>
      </c>
      <c r="M1300" t="s">
        <v>21</v>
      </c>
      <c r="N1300" t="s">
        <v>22</v>
      </c>
    </row>
    <row r="1301" spans="1:14">
      <c r="A1301" s="4" t="str">
        <f t="shared" si="108"/>
        <v>EXP00025</v>
      </c>
      <c r="B1301" s="4" t="str">
        <f t="shared" si="110"/>
        <v>20604919</v>
      </c>
      <c r="C1301" s="4" t="str">
        <f t="shared" si="109"/>
        <v>GSE14683</v>
      </c>
      <c r="D1301" s="1" t="s">
        <v>79</v>
      </c>
      <c r="E1301" t="s">
        <v>80</v>
      </c>
      <c r="F1301" s="1">
        <v>1</v>
      </c>
      <c r="G1301" s="1" t="s">
        <v>26</v>
      </c>
      <c r="H1301" s="4" t="str">
        <f>HYPERLINK("https://www.ncbi.nlm.nih.gov/geo/query/acc.cgi?acc=GSM366726","GSM366726")</f>
        <v>GSM366726</v>
      </c>
      <c r="I1301" t="s">
        <v>17</v>
      </c>
      <c r="J1301" t="s">
        <v>18</v>
      </c>
      <c r="K1301" t="s">
        <v>19</v>
      </c>
      <c r="L1301" t="s">
        <v>20</v>
      </c>
      <c r="M1301" t="s">
        <v>21</v>
      </c>
      <c r="N1301" t="s">
        <v>22</v>
      </c>
    </row>
    <row r="1302" spans="1:14">
      <c r="A1302" s="4" t="str">
        <f t="shared" si="108"/>
        <v>EXP00025</v>
      </c>
      <c r="B1302" s="4" t="str">
        <f t="shared" si="110"/>
        <v>20604919</v>
      </c>
      <c r="C1302" s="4" t="str">
        <f t="shared" si="109"/>
        <v>GSE14683</v>
      </c>
      <c r="D1302" s="1" t="s">
        <v>79</v>
      </c>
      <c r="E1302" t="s">
        <v>80</v>
      </c>
      <c r="F1302" s="1">
        <v>1</v>
      </c>
      <c r="G1302" s="1" t="s">
        <v>26</v>
      </c>
      <c r="H1302" s="4" t="str">
        <f>HYPERLINK("https://www.ncbi.nlm.nih.gov/geo/query/acc.cgi?acc=GSM366729","GSM366729")</f>
        <v>GSM366729</v>
      </c>
      <c r="I1302" t="s">
        <v>17</v>
      </c>
      <c r="J1302" t="s">
        <v>18</v>
      </c>
      <c r="K1302" t="s">
        <v>19</v>
      </c>
      <c r="L1302" t="s">
        <v>20</v>
      </c>
      <c r="M1302" t="s">
        <v>21</v>
      </c>
      <c r="N1302" t="s">
        <v>22</v>
      </c>
    </row>
    <row r="1303" spans="1:14">
      <c r="A1303" s="4" t="str">
        <f t="shared" si="108"/>
        <v>EXP00025</v>
      </c>
      <c r="B1303" s="4" t="str">
        <f t="shared" si="110"/>
        <v>20604919</v>
      </c>
      <c r="C1303" s="4" t="str">
        <f t="shared" si="109"/>
        <v>GSE14683</v>
      </c>
      <c r="D1303" s="1" t="s">
        <v>79</v>
      </c>
      <c r="E1303" t="s">
        <v>80</v>
      </c>
      <c r="F1303" s="1">
        <v>1</v>
      </c>
      <c r="G1303" s="1" t="s">
        <v>26</v>
      </c>
      <c r="H1303" s="4" t="str">
        <f>HYPERLINK("https://www.ncbi.nlm.nih.gov/geo/query/acc.cgi?acc=GSM366732","GSM366732")</f>
        <v>GSM366732</v>
      </c>
      <c r="I1303" t="s">
        <v>17</v>
      </c>
      <c r="J1303" t="s">
        <v>18</v>
      </c>
      <c r="K1303" t="s">
        <v>19</v>
      </c>
      <c r="L1303" t="s">
        <v>20</v>
      </c>
      <c r="M1303" t="s">
        <v>21</v>
      </c>
      <c r="N1303" t="s">
        <v>22</v>
      </c>
    </row>
    <row r="1304" spans="1:14">
      <c r="A1304" s="4" t="str">
        <f t="shared" si="108"/>
        <v>EXP00025</v>
      </c>
      <c r="B1304" s="4" t="str">
        <f t="shared" si="110"/>
        <v>20604919</v>
      </c>
      <c r="C1304" s="4" t="str">
        <f t="shared" si="109"/>
        <v>GSE14683</v>
      </c>
      <c r="D1304" s="1" t="s">
        <v>79</v>
      </c>
      <c r="E1304" t="s">
        <v>80</v>
      </c>
      <c r="F1304" s="1">
        <v>1</v>
      </c>
      <c r="G1304" s="1" t="s">
        <v>26</v>
      </c>
      <c r="H1304" s="4" t="str">
        <f>HYPERLINK("https://www.ncbi.nlm.nih.gov/geo/query/acc.cgi?acc=GSM366736","GSM366736")</f>
        <v>GSM366736</v>
      </c>
      <c r="I1304" t="s">
        <v>17</v>
      </c>
      <c r="J1304" t="s">
        <v>18</v>
      </c>
      <c r="K1304" t="s">
        <v>19</v>
      </c>
      <c r="L1304" t="s">
        <v>20</v>
      </c>
      <c r="M1304" t="s">
        <v>21</v>
      </c>
      <c r="N1304" t="s">
        <v>22</v>
      </c>
    </row>
    <row r="1305" spans="1:14">
      <c r="A1305" s="4" t="str">
        <f t="shared" si="108"/>
        <v>EXP00025</v>
      </c>
      <c r="B1305" s="4" t="str">
        <f t="shared" si="110"/>
        <v>20604919</v>
      </c>
      <c r="C1305" s="4" t="str">
        <f t="shared" si="109"/>
        <v>GSE14683</v>
      </c>
      <c r="D1305" s="1" t="s">
        <v>79</v>
      </c>
      <c r="E1305" t="s">
        <v>80</v>
      </c>
      <c r="F1305" s="1">
        <v>1</v>
      </c>
      <c r="G1305" s="1" t="s">
        <v>26</v>
      </c>
      <c r="H1305" s="4" t="str">
        <f>HYPERLINK("https://www.ncbi.nlm.nih.gov/geo/query/acc.cgi?acc=GSM366737","GSM366737")</f>
        <v>GSM366737</v>
      </c>
      <c r="I1305" t="s">
        <v>17</v>
      </c>
      <c r="J1305" t="s">
        <v>18</v>
      </c>
      <c r="K1305" t="s">
        <v>19</v>
      </c>
      <c r="L1305" t="s">
        <v>20</v>
      </c>
      <c r="M1305" t="s">
        <v>21</v>
      </c>
      <c r="N1305" t="s">
        <v>22</v>
      </c>
    </row>
    <row r="1306" spans="1:14">
      <c r="A1306" s="4" t="str">
        <f t="shared" si="108"/>
        <v>EXP00025</v>
      </c>
      <c r="B1306" s="4" t="str">
        <f t="shared" si="110"/>
        <v>20604919</v>
      </c>
      <c r="C1306" s="4" t="str">
        <f t="shared" si="109"/>
        <v>GSE14683</v>
      </c>
      <c r="D1306" s="1" t="s">
        <v>79</v>
      </c>
      <c r="E1306" t="s">
        <v>80</v>
      </c>
      <c r="F1306" s="1">
        <v>2</v>
      </c>
      <c r="G1306" s="1" t="s">
        <v>28</v>
      </c>
      <c r="H1306" s="4" t="str">
        <f>HYPERLINK("https://www.ncbi.nlm.nih.gov/geo/query/acc.cgi?acc=GSM366705","GSM366705")</f>
        <v>GSM366705</v>
      </c>
      <c r="I1306" t="s">
        <v>17</v>
      </c>
      <c r="J1306" t="s">
        <v>18</v>
      </c>
      <c r="K1306" t="s">
        <v>19</v>
      </c>
      <c r="L1306" t="s">
        <v>20</v>
      </c>
      <c r="M1306" t="s">
        <v>21</v>
      </c>
      <c r="N1306" t="s">
        <v>29</v>
      </c>
    </row>
    <row r="1307" spans="1:14">
      <c r="A1307" s="4" t="str">
        <f t="shared" si="108"/>
        <v>EXP00025</v>
      </c>
      <c r="B1307" s="4" t="str">
        <f t="shared" si="110"/>
        <v>20604919</v>
      </c>
      <c r="C1307" s="4" t="str">
        <f t="shared" si="109"/>
        <v>GSE14683</v>
      </c>
      <c r="D1307" s="1" t="s">
        <v>79</v>
      </c>
      <c r="E1307" t="s">
        <v>80</v>
      </c>
      <c r="F1307" s="1">
        <v>2</v>
      </c>
      <c r="G1307" s="1" t="s">
        <v>28</v>
      </c>
      <c r="H1307" s="4" t="str">
        <f>HYPERLINK("https://www.ncbi.nlm.nih.gov/geo/query/acc.cgi?acc=GSM366707","GSM366707")</f>
        <v>GSM366707</v>
      </c>
      <c r="I1307" t="s">
        <v>17</v>
      </c>
      <c r="J1307" t="s">
        <v>18</v>
      </c>
      <c r="K1307" t="s">
        <v>19</v>
      </c>
      <c r="L1307" t="s">
        <v>20</v>
      </c>
      <c r="M1307" t="s">
        <v>21</v>
      </c>
      <c r="N1307" t="s">
        <v>29</v>
      </c>
    </row>
    <row r="1308" spans="1:14">
      <c r="A1308" s="4" t="str">
        <f t="shared" si="108"/>
        <v>EXP00025</v>
      </c>
      <c r="B1308" s="4" t="str">
        <f t="shared" si="110"/>
        <v>20604919</v>
      </c>
      <c r="C1308" s="4" t="str">
        <f t="shared" si="109"/>
        <v>GSE14683</v>
      </c>
      <c r="D1308" s="1" t="s">
        <v>79</v>
      </c>
      <c r="E1308" t="s">
        <v>80</v>
      </c>
      <c r="F1308" s="1">
        <v>2</v>
      </c>
      <c r="G1308" s="1" t="s">
        <v>28</v>
      </c>
      <c r="H1308" s="4" t="str">
        <f>HYPERLINK("https://www.ncbi.nlm.nih.gov/geo/query/acc.cgi?acc=GSM366709","GSM366709")</f>
        <v>GSM366709</v>
      </c>
      <c r="I1308" t="s">
        <v>17</v>
      </c>
      <c r="J1308" t="s">
        <v>18</v>
      </c>
      <c r="K1308" t="s">
        <v>19</v>
      </c>
      <c r="L1308" t="s">
        <v>20</v>
      </c>
      <c r="M1308" t="s">
        <v>21</v>
      </c>
      <c r="N1308" t="s">
        <v>29</v>
      </c>
    </row>
    <row r="1309" spans="1:14">
      <c r="A1309" s="4" t="str">
        <f t="shared" si="108"/>
        <v>EXP00025</v>
      </c>
      <c r="B1309" s="4" t="str">
        <f t="shared" si="110"/>
        <v>20604919</v>
      </c>
      <c r="C1309" s="4" t="str">
        <f t="shared" si="109"/>
        <v>GSE14683</v>
      </c>
      <c r="D1309" s="1" t="s">
        <v>79</v>
      </c>
      <c r="E1309" t="s">
        <v>80</v>
      </c>
      <c r="F1309" s="1">
        <v>2</v>
      </c>
      <c r="G1309" s="1" t="s">
        <v>28</v>
      </c>
      <c r="H1309" s="4" t="str">
        <f>HYPERLINK("https://www.ncbi.nlm.nih.gov/geo/query/acc.cgi?acc=GSM366710","GSM366710")</f>
        <v>GSM366710</v>
      </c>
      <c r="I1309" t="s">
        <v>17</v>
      </c>
      <c r="J1309" t="s">
        <v>18</v>
      </c>
      <c r="K1309" t="s">
        <v>19</v>
      </c>
      <c r="L1309" t="s">
        <v>20</v>
      </c>
      <c r="M1309" t="s">
        <v>21</v>
      </c>
      <c r="N1309" t="s">
        <v>29</v>
      </c>
    </row>
    <row r="1310" spans="1:14">
      <c r="A1310" s="4" t="str">
        <f t="shared" si="108"/>
        <v>EXP00025</v>
      </c>
      <c r="B1310" s="4" t="str">
        <f t="shared" si="110"/>
        <v>20604919</v>
      </c>
      <c r="C1310" s="4" t="str">
        <f t="shared" si="109"/>
        <v>GSE14683</v>
      </c>
      <c r="D1310" s="1" t="s">
        <v>79</v>
      </c>
      <c r="E1310" t="s">
        <v>80</v>
      </c>
      <c r="F1310" s="1">
        <v>2</v>
      </c>
      <c r="G1310" s="1" t="s">
        <v>28</v>
      </c>
      <c r="H1310" s="4" t="str">
        <f>HYPERLINK("https://www.ncbi.nlm.nih.gov/geo/query/acc.cgi?acc=GSM366713","GSM366713")</f>
        <v>GSM366713</v>
      </c>
      <c r="I1310" t="s">
        <v>17</v>
      </c>
      <c r="J1310" t="s">
        <v>18</v>
      </c>
      <c r="K1310" t="s">
        <v>19</v>
      </c>
      <c r="L1310" t="s">
        <v>20</v>
      </c>
      <c r="M1310" t="s">
        <v>21</v>
      </c>
      <c r="N1310" t="s">
        <v>29</v>
      </c>
    </row>
    <row r="1311" spans="1:14">
      <c r="A1311" s="4" t="str">
        <f t="shared" si="108"/>
        <v>EXP00025</v>
      </c>
      <c r="B1311" s="4" t="str">
        <f t="shared" si="110"/>
        <v>20604919</v>
      </c>
      <c r="C1311" s="4" t="str">
        <f t="shared" si="109"/>
        <v>GSE14683</v>
      </c>
      <c r="D1311" s="1" t="s">
        <v>79</v>
      </c>
      <c r="E1311" t="s">
        <v>80</v>
      </c>
      <c r="F1311" s="1">
        <v>2</v>
      </c>
      <c r="G1311" s="1" t="s">
        <v>28</v>
      </c>
      <c r="H1311" s="4" t="str">
        <f>HYPERLINK("https://www.ncbi.nlm.nih.gov/geo/query/acc.cgi?acc=GSM366714","GSM366714")</f>
        <v>GSM366714</v>
      </c>
      <c r="I1311" t="s">
        <v>17</v>
      </c>
      <c r="J1311" t="s">
        <v>18</v>
      </c>
      <c r="K1311" t="s">
        <v>19</v>
      </c>
      <c r="L1311" t="s">
        <v>20</v>
      </c>
      <c r="M1311" t="s">
        <v>21</v>
      </c>
      <c r="N1311" t="s">
        <v>29</v>
      </c>
    </row>
    <row r="1312" spans="1:14">
      <c r="A1312" s="4" t="str">
        <f t="shared" si="108"/>
        <v>EXP00025</v>
      </c>
      <c r="B1312" s="4" t="str">
        <f t="shared" si="110"/>
        <v>20604919</v>
      </c>
      <c r="C1312" s="4" t="str">
        <f t="shared" si="109"/>
        <v>GSE14683</v>
      </c>
      <c r="D1312" s="1" t="s">
        <v>79</v>
      </c>
      <c r="E1312" t="s">
        <v>80</v>
      </c>
      <c r="F1312" s="1">
        <v>2</v>
      </c>
      <c r="G1312" s="1" t="s">
        <v>28</v>
      </c>
      <c r="H1312" s="4" t="str">
        <f>HYPERLINK("https://www.ncbi.nlm.nih.gov/geo/query/acc.cgi?acc=GSM366728","GSM366728")</f>
        <v>GSM366728</v>
      </c>
      <c r="I1312" t="s">
        <v>17</v>
      </c>
      <c r="J1312" t="s">
        <v>18</v>
      </c>
      <c r="K1312" t="s">
        <v>19</v>
      </c>
      <c r="L1312" t="s">
        <v>20</v>
      </c>
      <c r="M1312" t="s">
        <v>21</v>
      </c>
      <c r="N1312" t="s">
        <v>29</v>
      </c>
    </row>
    <row r="1313" spans="1:14">
      <c r="A1313" s="4" t="str">
        <f t="shared" si="108"/>
        <v>EXP00025</v>
      </c>
      <c r="B1313" s="4" t="str">
        <f t="shared" si="110"/>
        <v>20604919</v>
      </c>
      <c r="C1313" s="4" t="str">
        <f t="shared" si="109"/>
        <v>GSE14683</v>
      </c>
      <c r="D1313" s="1" t="s">
        <v>79</v>
      </c>
      <c r="E1313" t="s">
        <v>80</v>
      </c>
      <c r="F1313" s="1">
        <v>2</v>
      </c>
      <c r="G1313" s="1" t="s">
        <v>28</v>
      </c>
      <c r="H1313" s="4" t="str">
        <f>HYPERLINK("https://www.ncbi.nlm.nih.gov/geo/query/acc.cgi?acc=GSM366731","GSM366731")</f>
        <v>GSM366731</v>
      </c>
      <c r="I1313" t="s">
        <v>17</v>
      </c>
      <c r="J1313" t="s">
        <v>18</v>
      </c>
      <c r="K1313" t="s">
        <v>19</v>
      </c>
      <c r="L1313" t="s">
        <v>20</v>
      </c>
      <c r="M1313" t="s">
        <v>21</v>
      </c>
      <c r="N1313" t="s">
        <v>29</v>
      </c>
    </row>
    <row r="1314" spans="1:14">
      <c r="A1314" s="4" t="str">
        <f t="shared" si="108"/>
        <v>EXP00025</v>
      </c>
      <c r="B1314" s="4" t="str">
        <f t="shared" si="110"/>
        <v>20604919</v>
      </c>
      <c r="C1314" s="4" t="str">
        <f t="shared" si="109"/>
        <v>GSE14683</v>
      </c>
      <c r="D1314" s="1" t="s">
        <v>79</v>
      </c>
      <c r="E1314" t="s">
        <v>80</v>
      </c>
      <c r="F1314" s="1">
        <v>2</v>
      </c>
      <c r="G1314" s="1" t="s">
        <v>28</v>
      </c>
      <c r="H1314" s="4" t="str">
        <f>HYPERLINK("https://www.ncbi.nlm.nih.gov/geo/query/acc.cgi?acc=GSM366733","GSM366733")</f>
        <v>GSM366733</v>
      </c>
      <c r="I1314" t="s">
        <v>17</v>
      </c>
      <c r="J1314" t="s">
        <v>18</v>
      </c>
      <c r="K1314" t="s">
        <v>19</v>
      </c>
      <c r="L1314" t="s">
        <v>20</v>
      </c>
      <c r="M1314" t="s">
        <v>21</v>
      </c>
      <c r="N1314" t="s">
        <v>29</v>
      </c>
    </row>
    <row r="1315" spans="1:14">
      <c r="A1315" s="4" t="str">
        <f t="shared" si="108"/>
        <v>EXP00025</v>
      </c>
      <c r="B1315" s="4" t="str">
        <f t="shared" si="110"/>
        <v>20604919</v>
      </c>
      <c r="C1315" s="4" t="str">
        <f t="shared" si="109"/>
        <v>GSE14683</v>
      </c>
      <c r="D1315" s="1" t="s">
        <v>79</v>
      </c>
      <c r="E1315" t="s">
        <v>80</v>
      </c>
      <c r="F1315" s="1">
        <v>2</v>
      </c>
      <c r="G1315" s="1" t="s">
        <v>28</v>
      </c>
      <c r="H1315" s="4" t="str">
        <f>HYPERLINK("https://www.ncbi.nlm.nih.gov/geo/query/acc.cgi?acc=GSM366735","GSM366735")</f>
        <v>GSM366735</v>
      </c>
      <c r="I1315" t="s">
        <v>17</v>
      </c>
      <c r="J1315" t="s">
        <v>18</v>
      </c>
      <c r="K1315" t="s">
        <v>19</v>
      </c>
      <c r="L1315" t="s">
        <v>20</v>
      </c>
      <c r="M1315" t="s">
        <v>21</v>
      </c>
      <c r="N1315" t="s">
        <v>29</v>
      </c>
    </row>
    <row r="1316" spans="1:14">
      <c r="A1316" s="4" t="str">
        <f t="shared" ref="A1316:A1347" si="111">HYPERLINK("http://hcmdb.i-sanger.com/experiment/details/experiment_id/EXP00026","EXP00026")</f>
        <v>EXP00026</v>
      </c>
      <c r="B1316" s="4" t="str">
        <f t="shared" ref="B1316:B1347" si="112">HYPERLINK("https://www.ncbi.nlm.nih.gov/pubmed/23633021","23633021")</f>
        <v>23633021</v>
      </c>
      <c r="C1316" s="4" t="str">
        <f t="shared" ref="C1316:C1347" si="113">HYPERLINK("https://www.ncbi.nlm.nih.gov/geo/query/acc.cgi?acc=GSE15605","GSE15605")</f>
        <v>GSE15605</v>
      </c>
      <c r="D1316" s="1" t="s">
        <v>45</v>
      </c>
      <c r="E1316" t="s">
        <v>81</v>
      </c>
      <c r="F1316" s="1">
        <v>1</v>
      </c>
      <c r="G1316" s="1" t="s">
        <v>36</v>
      </c>
      <c r="H1316" s="4" t="str">
        <f>HYPERLINK("https://www.ncbi.nlm.nih.gov/geo/query/acc.cgi?acc=GSM390208","GSM390208")</f>
        <v>GSM390208</v>
      </c>
      <c r="I1316" t="s">
        <v>82</v>
      </c>
      <c r="J1316" t="s">
        <v>83</v>
      </c>
      <c r="K1316" t="s">
        <v>19</v>
      </c>
      <c r="L1316" t="s">
        <v>27</v>
      </c>
      <c r="M1316" t="s">
        <v>51</v>
      </c>
      <c r="N1316" t="s">
        <v>37</v>
      </c>
    </row>
    <row r="1317" spans="1:14">
      <c r="A1317" s="4" t="str">
        <f t="shared" si="111"/>
        <v>EXP00026</v>
      </c>
      <c r="B1317" s="4" t="str">
        <f t="shared" si="112"/>
        <v>23633021</v>
      </c>
      <c r="C1317" s="4" t="str">
        <f t="shared" si="113"/>
        <v>GSE15605</v>
      </c>
      <c r="D1317" s="1" t="s">
        <v>45</v>
      </c>
      <c r="E1317" t="s">
        <v>81</v>
      </c>
      <c r="F1317" s="1">
        <v>1</v>
      </c>
      <c r="G1317" s="1" t="s">
        <v>36</v>
      </c>
      <c r="H1317" s="4" t="str">
        <f>HYPERLINK("https://www.ncbi.nlm.nih.gov/geo/query/acc.cgi?acc=GSM390209","GSM390209")</f>
        <v>GSM390209</v>
      </c>
      <c r="I1317" t="s">
        <v>82</v>
      </c>
      <c r="J1317" t="s">
        <v>83</v>
      </c>
      <c r="K1317" t="s">
        <v>19</v>
      </c>
      <c r="L1317" t="s">
        <v>27</v>
      </c>
      <c r="M1317" t="s">
        <v>51</v>
      </c>
      <c r="N1317" t="s">
        <v>37</v>
      </c>
    </row>
    <row r="1318" spans="1:14">
      <c r="A1318" s="4" t="str">
        <f t="shared" si="111"/>
        <v>EXP00026</v>
      </c>
      <c r="B1318" s="4" t="str">
        <f t="shared" si="112"/>
        <v>23633021</v>
      </c>
      <c r="C1318" s="4" t="str">
        <f t="shared" si="113"/>
        <v>GSE15605</v>
      </c>
      <c r="D1318" s="1" t="s">
        <v>45</v>
      </c>
      <c r="E1318" t="s">
        <v>81</v>
      </c>
      <c r="F1318" s="1">
        <v>1</v>
      </c>
      <c r="G1318" s="1" t="s">
        <v>36</v>
      </c>
      <c r="H1318" s="4" t="str">
        <f>HYPERLINK("https://www.ncbi.nlm.nih.gov/geo/query/acc.cgi?acc=GSM390210","GSM390210")</f>
        <v>GSM390210</v>
      </c>
      <c r="I1318" t="s">
        <v>82</v>
      </c>
      <c r="J1318" t="s">
        <v>83</v>
      </c>
      <c r="K1318" t="s">
        <v>19</v>
      </c>
      <c r="L1318" t="s">
        <v>27</v>
      </c>
      <c r="M1318" t="s">
        <v>51</v>
      </c>
      <c r="N1318" t="s">
        <v>37</v>
      </c>
    </row>
    <row r="1319" spans="1:14">
      <c r="A1319" s="4" t="str">
        <f t="shared" si="111"/>
        <v>EXP00026</v>
      </c>
      <c r="B1319" s="4" t="str">
        <f t="shared" si="112"/>
        <v>23633021</v>
      </c>
      <c r="C1319" s="4" t="str">
        <f t="shared" si="113"/>
        <v>GSE15605</v>
      </c>
      <c r="D1319" s="1" t="s">
        <v>45</v>
      </c>
      <c r="E1319" t="s">
        <v>81</v>
      </c>
      <c r="F1319" s="1">
        <v>1</v>
      </c>
      <c r="G1319" s="1" t="s">
        <v>36</v>
      </c>
      <c r="H1319" s="4" t="str">
        <f>HYPERLINK("https://www.ncbi.nlm.nih.gov/geo/query/acc.cgi?acc=GSM390211","GSM390211")</f>
        <v>GSM390211</v>
      </c>
      <c r="I1319" t="s">
        <v>82</v>
      </c>
      <c r="J1319" t="s">
        <v>83</v>
      </c>
      <c r="K1319" t="s">
        <v>19</v>
      </c>
      <c r="L1319" t="s">
        <v>27</v>
      </c>
      <c r="M1319" t="s">
        <v>51</v>
      </c>
      <c r="N1319" t="s">
        <v>37</v>
      </c>
    </row>
    <row r="1320" spans="1:14">
      <c r="A1320" s="4" t="str">
        <f t="shared" si="111"/>
        <v>EXP00026</v>
      </c>
      <c r="B1320" s="4" t="str">
        <f t="shared" si="112"/>
        <v>23633021</v>
      </c>
      <c r="C1320" s="4" t="str">
        <f t="shared" si="113"/>
        <v>GSE15605</v>
      </c>
      <c r="D1320" s="1" t="s">
        <v>45</v>
      </c>
      <c r="E1320" t="s">
        <v>81</v>
      </c>
      <c r="F1320" s="1">
        <v>1</v>
      </c>
      <c r="G1320" s="1" t="s">
        <v>36</v>
      </c>
      <c r="H1320" s="4" t="str">
        <f>HYPERLINK("https://www.ncbi.nlm.nih.gov/geo/query/acc.cgi?acc=GSM390212","GSM390212")</f>
        <v>GSM390212</v>
      </c>
      <c r="I1320" t="s">
        <v>82</v>
      </c>
      <c r="J1320" t="s">
        <v>83</v>
      </c>
      <c r="K1320" t="s">
        <v>19</v>
      </c>
      <c r="L1320" t="s">
        <v>27</v>
      </c>
      <c r="M1320" t="s">
        <v>51</v>
      </c>
      <c r="N1320" t="s">
        <v>37</v>
      </c>
    </row>
    <row r="1321" spans="1:14">
      <c r="A1321" s="4" t="str">
        <f t="shared" si="111"/>
        <v>EXP00026</v>
      </c>
      <c r="B1321" s="4" t="str">
        <f t="shared" si="112"/>
        <v>23633021</v>
      </c>
      <c r="C1321" s="4" t="str">
        <f t="shared" si="113"/>
        <v>GSE15605</v>
      </c>
      <c r="D1321" s="1" t="s">
        <v>45</v>
      </c>
      <c r="E1321" t="s">
        <v>81</v>
      </c>
      <c r="F1321" s="1">
        <v>1</v>
      </c>
      <c r="G1321" s="1" t="s">
        <v>36</v>
      </c>
      <c r="H1321" s="4" t="str">
        <f>HYPERLINK("https://www.ncbi.nlm.nih.gov/geo/query/acc.cgi?acc=GSM390213","GSM390213")</f>
        <v>GSM390213</v>
      </c>
      <c r="I1321" t="s">
        <v>82</v>
      </c>
      <c r="J1321" t="s">
        <v>83</v>
      </c>
      <c r="K1321" t="s">
        <v>19</v>
      </c>
      <c r="L1321" t="s">
        <v>27</v>
      </c>
      <c r="M1321" t="s">
        <v>51</v>
      </c>
      <c r="N1321" t="s">
        <v>37</v>
      </c>
    </row>
    <row r="1322" spans="1:14">
      <c r="A1322" s="4" t="str">
        <f t="shared" si="111"/>
        <v>EXP00026</v>
      </c>
      <c r="B1322" s="4" t="str">
        <f t="shared" si="112"/>
        <v>23633021</v>
      </c>
      <c r="C1322" s="4" t="str">
        <f t="shared" si="113"/>
        <v>GSE15605</v>
      </c>
      <c r="D1322" s="1" t="s">
        <v>45</v>
      </c>
      <c r="E1322" t="s">
        <v>81</v>
      </c>
      <c r="F1322" s="1">
        <v>1</v>
      </c>
      <c r="G1322" s="1" t="s">
        <v>36</v>
      </c>
      <c r="H1322" s="4" t="str">
        <f>HYPERLINK("https://www.ncbi.nlm.nih.gov/geo/query/acc.cgi?acc=GSM390214","GSM390214")</f>
        <v>GSM390214</v>
      </c>
      <c r="I1322" t="s">
        <v>82</v>
      </c>
      <c r="J1322" t="s">
        <v>83</v>
      </c>
      <c r="K1322" t="s">
        <v>19</v>
      </c>
      <c r="L1322" t="s">
        <v>27</v>
      </c>
      <c r="M1322" t="s">
        <v>51</v>
      </c>
      <c r="N1322" t="s">
        <v>37</v>
      </c>
    </row>
    <row r="1323" spans="1:14">
      <c r="A1323" s="4" t="str">
        <f t="shared" si="111"/>
        <v>EXP00026</v>
      </c>
      <c r="B1323" s="4" t="str">
        <f t="shared" si="112"/>
        <v>23633021</v>
      </c>
      <c r="C1323" s="4" t="str">
        <f t="shared" si="113"/>
        <v>GSE15605</v>
      </c>
      <c r="D1323" s="1" t="s">
        <v>45</v>
      </c>
      <c r="E1323" t="s">
        <v>81</v>
      </c>
      <c r="F1323" s="1">
        <v>1</v>
      </c>
      <c r="G1323" s="1" t="s">
        <v>36</v>
      </c>
      <c r="H1323" s="4" t="str">
        <f>HYPERLINK("https://www.ncbi.nlm.nih.gov/geo/query/acc.cgi?acc=GSM390215","GSM390215")</f>
        <v>GSM390215</v>
      </c>
      <c r="I1323" t="s">
        <v>82</v>
      </c>
      <c r="J1323" t="s">
        <v>83</v>
      </c>
      <c r="K1323" t="s">
        <v>19</v>
      </c>
      <c r="L1323" t="s">
        <v>27</v>
      </c>
      <c r="M1323" t="s">
        <v>51</v>
      </c>
      <c r="N1323" t="s">
        <v>37</v>
      </c>
    </row>
    <row r="1324" spans="1:14">
      <c r="A1324" s="4" t="str">
        <f t="shared" si="111"/>
        <v>EXP00026</v>
      </c>
      <c r="B1324" s="4" t="str">
        <f t="shared" si="112"/>
        <v>23633021</v>
      </c>
      <c r="C1324" s="4" t="str">
        <f t="shared" si="113"/>
        <v>GSE15605</v>
      </c>
      <c r="D1324" s="1" t="s">
        <v>45</v>
      </c>
      <c r="E1324" t="s">
        <v>81</v>
      </c>
      <c r="F1324" s="1">
        <v>1</v>
      </c>
      <c r="G1324" s="1" t="s">
        <v>36</v>
      </c>
      <c r="H1324" s="4" t="str">
        <f>HYPERLINK("https://www.ncbi.nlm.nih.gov/geo/query/acc.cgi?acc=GSM390216","GSM390216")</f>
        <v>GSM390216</v>
      </c>
      <c r="I1324" t="s">
        <v>82</v>
      </c>
      <c r="J1324" t="s">
        <v>83</v>
      </c>
      <c r="K1324" t="s">
        <v>19</v>
      </c>
      <c r="L1324" t="s">
        <v>27</v>
      </c>
      <c r="M1324" t="s">
        <v>51</v>
      </c>
      <c r="N1324" t="s">
        <v>37</v>
      </c>
    </row>
    <row r="1325" spans="1:14">
      <c r="A1325" s="4" t="str">
        <f t="shared" si="111"/>
        <v>EXP00026</v>
      </c>
      <c r="B1325" s="4" t="str">
        <f t="shared" si="112"/>
        <v>23633021</v>
      </c>
      <c r="C1325" s="4" t="str">
        <f t="shared" si="113"/>
        <v>GSE15605</v>
      </c>
      <c r="D1325" s="1" t="s">
        <v>45</v>
      </c>
      <c r="E1325" t="s">
        <v>81</v>
      </c>
      <c r="F1325" s="1">
        <v>1</v>
      </c>
      <c r="G1325" s="1" t="s">
        <v>36</v>
      </c>
      <c r="H1325" s="4" t="str">
        <f>HYPERLINK("https://www.ncbi.nlm.nih.gov/geo/query/acc.cgi?acc=GSM390217","GSM390217")</f>
        <v>GSM390217</v>
      </c>
      <c r="I1325" t="s">
        <v>82</v>
      </c>
      <c r="J1325" t="s">
        <v>83</v>
      </c>
      <c r="K1325" t="s">
        <v>19</v>
      </c>
      <c r="L1325" t="s">
        <v>27</v>
      </c>
      <c r="M1325" t="s">
        <v>51</v>
      </c>
      <c r="N1325" t="s">
        <v>37</v>
      </c>
    </row>
    <row r="1326" spans="1:14">
      <c r="A1326" s="4" t="str">
        <f t="shared" si="111"/>
        <v>EXP00026</v>
      </c>
      <c r="B1326" s="4" t="str">
        <f t="shared" si="112"/>
        <v>23633021</v>
      </c>
      <c r="C1326" s="4" t="str">
        <f t="shared" si="113"/>
        <v>GSE15605</v>
      </c>
      <c r="D1326" s="1" t="s">
        <v>45</v>
      </c>
      <c r="E1326" t="s">
        <v>81</v>
      </c>
      <c r="F1326" s="1">
        <v>1</v>
      </c>
      <c r="G1326" s="1" t="s">
        <v>36</v>
      </c>
      <c r="H1326" s="4" t="str">
        <f>HYPERLINK("https://www.ncbi.nlm.nih.gov/geo/query/acc.cgi?acc=GSM390218","GSM390218")</f>
        <v>GSM390218</v>
      </c>
      <c r="I1326" t="s">
        <v>82</v>
      </c>
      <c r="J1326" t="s">
        <v>83</v>
      </c>
      <c r="K1326" t="s">
        <v>19</v>
      </c>
      <c r="L1326" t="s">
        <v>27</v>
      </c>
      <c r="M1326" t="s">
        <v>51</v>
      </c>
      <c r="N1326" t="s">
        <v>37</v>
      </c>
    </row>
    <row r="1327" spans="1:14">
      <c r="A1327" s="4" t="str">
        <f t="shared" si="111"/>
        <v>EXP00026</v>
      </c>
      <c r="B1327" s="4" t="str">
        <f t="shared" si="112"/>
        <v>23633021</v>
      </c>
      <c r="C1327" s="4" t="str">
        <f t="shared" si="113"/>
        <v>GSE15605</v>
      </c>
      <c r="D1327" s="1" t="s">
        <v>45</v>
      </c>
      <c r="E1327" t="s">
        <v>81</v>
      </c>
      <c r="F1327" s="1">
        <v>1</v>
      </c>
      <c r="G1327" s="1" t="s">
        <v>36</v>
      </c>
      <c r="H1327" s="4" t="str">
        <f>HYPERLINK("https://www.ncbi.nlm.nih.gov/geo/query/acc.cgi?acc=GSM390219","GSM390219")</f>
        <v>GSM390219</v>
      </c>
      <c r="I1327" t="s">
        <v>82</v>
      </c>
      <c r="J1327" t="s">
        <v>83</v>
      </c>
      <c r="K1327" t="s">
        <v>19</v>
      </c>
      <c r="L1327" t="s">
        <v>27</v>
      </c>
      <c r="M1327" t="s">
        <v>51</v>
      </c>
      <c r="N1327" t="s">
        <v>37</v>
      </c>
    </row>
    <row r="1328" spans="1:14">
      <c r="A1328" s="4" t="str">
        <f t="shared" si="111"/>
        <v>EXP00026</v>
      </c>
      <c r="B1328" s="4" t="str">
        <f t="shared" si="112"/>
        <v>23633021</v>
      </c>
      <c r="C1328" s="4" t="str">
        <f t="shared" si="113"/>
        <v>GSE15605</v>
      </c>
      <c r="D1328" s="1" t="s">
        <v>45</v>
      </c>
      <c r="E1328" t="s">
        <v>81</v>
      </c>
      <c r="F1328" s="1">
        <v>1</v>
      </c>
      <c r="G1328" s="1" t="s">
        <v>36</v>
      </c>
      <c r="H1328" s="4" t="str">
        <f>HYPERLINK("https://www.ncbi.nlm.nih.gov/geo/query/acc.cgi?acc=GSM390220","GSM390220")</f>
        <v>GSM390220</v>
      </c>
      <c r="I1328" t="s">
        <v>82</v>
      </c>
      <c r="J1328" t="s">
        <v>83</v>
      </c>
      <c r="K1328" t="s">
        <v>19</v>
      </c>
      <c r="L1328" t="s">
        <v>27</v>
      </c>
      <c r="M1328" t="s">
        <v>51</v>
      </c>
      <c r="N1328" t="s">
        <v>37</v>
      </c>
    </row>
    <row r="1329" spans="1:14">
      <c r="A1329" s="4" t="str">
        <f t="shared" si="111"/>
        <v>EXP00026</v>
      </c>
      <c r="B1329" s="4" t="str">
        <f t="shared" si="112"/>
        <v>23633021</v>
      </c>
      <c r="C1329" s="4" t="str">
        <f t="shared" si="113"/>
        <v>GSE15605</v>
      </c>
      <c r="D1329" s="1" t="s">
        <v>45</v>
      </c>
      <c r="E1329" t="s">
        <v>81</v>
      </c>
      <c r="F1329" s="1">
        <v>1</v>
      </c>
      <c r="G1329" s="1" t="s">
        <v>36</v>
      </c>
      <c r="H1329" s="4" t="str">
        <f>HYPERLINK("https://www.ncbi.nlm.nih.gov/geo/query/acc.cgi?acc=GSM390221","GSM390221")</f>
        <v>GSM390221</v>
      </c>
      <c r="I1329" t="s">
        <v>82</v>
      </c>
      <c r="J1329" t="s">
        <v>83</v>
      </c>
      <c r="K1329" t="s">
        <v>19</v>
      </c>
      <c r="L1329" t="s">
        <v>27</v>
      </c>
      <c r="M1329" t="s">
        <v>51</v>
      </c>
      <c r="N1329" t="s">
        <v>37</v>
      </c>
    </row>
    <row r="1330" spans="1:14">
      <c r="A1330" s="4" t="str">
        <f t="shared" si="111"/>
        <v>EXP00026</v>
      </c>
      <c r="B1330" s="4" t="str">
        <f t="shared" si="112"/>
        <v>23633021</v>
      </c>
      <c r="C1330" s="4" t="str">
        <f t="shared" si="113"/>
        <v>GSE15605</v>
      </c>
      <c r="D1330" s="1" t="s">
        <v>45</v>
      </c>
      <c r="E1330" t="s">
        <v>81</v>
      </c>
      <c r="F1330" s="1">
        <v>1</v>
      </c>
      <c r="G1330" s="1" t="s">
        <v>36</v>
      </c>
      <c r="H1330" s="4" t="str">
        <f>HYPERLINK("https://www.ncbi.nlm.nih.gov/geo/query/acc.cgi?acc=GSM390222","GSM390222")</f>
        <v>GSM390222</v>
      </c>
      <c r="I1330" t="s">
        <v>82</v>
      </c>
      <c r="J1330" t="s">
        <v>83</v>
      </c>
      <c r="K1330" t="s">
        <v>19</v>
      </c>
      <c r="L1330" t="s">
        <v>27</v>
      </c>
      <c r="M1330" t="s">
        <v>51</v>
      </c>
      <c r="N1330" t="s">
        <v>37</v>
      </c>
    </row>
    <row r="1331" spans="1:14">
      <c r="A1331" s="4" t="str">
        <f t="shared" si="111"/>
        <v>EXP00026</v>
      </c>
      <c r="B1331" s="4" t="str">
        <f t="shared" si="112"/>
        <v>23633021</v>
      </c>
      <c r="C1331" s="4" t="str">
        <f t="shared" si="113"/>
        <v>GSE15605</v>
      </c>
      <c r="D1331" s="1" t="s">
        <v>45</v>
      </c>
      <c r="E1331" t="s">
        <v>81</v>
      </c>
      <c r="F1331" s="1">
        <v>1</v>
      </c>
      <c r="G1331" s="1" t="s">
        <v>36</v>
      </c>
      <c r="H1331" s="4" t="str">
        <f>HYPERLINK("https://www.ncbi.nlm.nih.gov/geo/query/acc.cgi?acc=GSM390223","GSM390223")</f>
        <v>GSM390223</v>
      </c>
      <c r="I1331" t="s">
        <v>82</v>
      </c>
      <c r="J1331" t="s">
        <v>83</v>
      </c>
      <c r="K1331" t="s">
        <v>19</v>
      </c>
      <c r="L1331" t="s">
        <v>27</v>
      </c>
      <c r="M1331" t="s">
        <v>51</v>
      </c>
      <c r="N1331" t="s">
        <v>37</v>
      </c>
    </row>
    <row r="1332" spans="1:14">
      <c r="A1332" s="4" t="str">
        <f t="shared" si="111"/>
        <v>EXP00026</v>
      </c>
      <c r="B1332" s="4" t="str">
        <f t="shared" si="112"/>
        <v>23633021</v>
      </c>
      <c r="C1332" s="4" t="str">
        <f t="shared" si="113"/>
        <v>GSE15605</v>
      </c>
      <c r="D1332" s="1" t="s">
        <v>45</v>
      </c>
      <c r="E1332" t="s">
        <v>81</v>
      </c>
      <c r="F1332" s="1">
        <v>2</v>
      </c>
      <c r="G1332" s="1" t="s">
        <v>28</v>
      </c>
      <c r="H1332" s="4" t="str">
        <f>HYPERLINK("https://www.ncbi.nlm.nih.gov/geo/query/acc.cgi?acc=GSM390224","GSM390224")</f>
        <v>GSM390224</v>
      </c>
      <c r="I1332" t="s">
        <v>82</v>
      </c>
      <c r="J1332" t="s">
        <v>83</v>
      </c>
      <c r="K1332" t="s">
        <v>19</v>
      </c>
      <c r="L1332" t="s">
        <v>27</v>
      </c>
      <c r="M1332" t="s">
        <v>51</v>
      </c>
      <c r="N1332" t="s">
        <v>29</v>
      </c>
    </row>
    <row r="1333" spans="1:14">
      <c r="A1333" s="4" t="str">
        <f t="shared" si="111"/>
        <v>EXP00026</v>
      </c>
      <c r="B1333" s="4" t="str">
        <f t="shared" si="112"/>
        <v>23633021</v>
      </c>
      <c r="C1333" s="4" t="str">
        <f t="shared" si="113"/>
        <v>GSE15605</v>
      </c>
      <c r="D1333" s="1" t="s">
        <v>45</v>
      </c>
      <c r="E1333" t="s">
        <v>81</v>
      </c>
      <c r="F1333" s="1">
        <v>2</v>
      </c>
      <c r="G1333" s="1" t="s">
        <v>28</v>
      </c>
      <c r="H1333" s="4" t="str">
        <f>HYPERLINK("https://www.ncbi.nlm.nih.gov/geo/query/acc.cgi?acc=GSM390225","GSM390225")</f>
        <v>GSM390225</v>
      </c>
      <c r="I1333" t="s">
        <v>82</v>
      </c>
      <c r="J1333" t="s">
        <v>83</v>
      </c>
      <c r="K1333" t="s">
        <v>19</v>
      </c>
      <c r="L1333" t="s">
        <v>27</v>
      </c>
      <c r="M1333" t="s">
        <v>51</v>
      </c>
      <c r="N1333" t="s">
        <v>29</v>
      </c>
    </row>
    <row r="1334" spans="1:14">
      <c r="A1334" s="4" t="str">
        <f t="shared" si="111"/>
        <v>EXP00026</v>
      </c>
      <c r="B1334" s="4" t="str">
        <f t="shared" si="112"/>
        <v>23633021</v>
      </c>
      <c r="C1334" s="4" t="str">
        <f t="shared" si="113"/>
        <v>GSE15605</v>
      </c>
      <c r="D1334" s="1" t="s">
        <v>45</v>
      </c>
      <c r="E1334" t="s">
        <v>81</v>
      </c>
      <c r="F1334" s="1">
        <v>2</v>
      </c>
      <c r="G1334" s="1" t="s">
        <v>28</v>
      </c>
      <c r="H1334" s="4" t="str">
        <f>HYPERLINK("https://www.ncbi.nlm.nih.gov/geo/query/acc.cgi?acc=GSM390226","GSM390226")</f>
        <v>GSM390226</v>
      </c>
      <c r="I1334" t="s">
        <v>82</v>
      </c>
      <c r="J1334" t="s">
        <v>83</v>
      </c>
      <c r="K1334" t="s">
        <v>19</v>
      </c>
      <c r="L1334" t="s">
        <v>27</v>
      </c>
      <c r="M1334" t="s">
        <v>51</v>
      </c>
      <c r="N1334" t="s">
        <v>29</v>
      </c>
    </row>
    <row r="1335" spans="1:14">
      <c r="A1335" s="4" t="str">
        <f t="shared" si="111"/>
        <v>EXP00026</v>
      </c>
      <c r="B1335" s="4" t="str">
        <f t="shared" si="112"/>
        <v>23633021</v>
      </c>
      <c r="C1335" s="4" t="str">
        <f t="shared" si="113"/>
        <v>GSE15605</v>
      </c>
      <c r="D1335" s="1" t="s">
        <v>45</v>
      </c>
      <c r="E1335" t="s">
        <v>81</v>
      </c>
      <c r="F1335" s="1">
        <v>2</v>
      </c>
      <c r="G1335" s="1" t="s">
        <v>28</v>
      </c>
      <c r="H1335" s="4" t="str">
        <f>HYPERLINK("https://www.ncbi.nlm.nih.gov/geo/query/acc.cgi?acc=GSM390227","GSM390227")</f>
        <v>GSM390227</v>
      </c>
      <c r="I1335" t="s">
        <v>82</v>
      </c>
      <c r="J1335" t="s">
        <v>83</v>
      </c>
      <c r="K1335" t="s">
        <v>19</v>
      </c>
      <c r="L1335" t="s">
        <v>27</v>
      </c>
      <c r="M1335" t="s">
        <v>51</v>
      </c>
      <c r="N1335" t="s">
        <v>29</v>
      </c>
    </row>
    <row r="1336" spans="1:14">
      <c r="A1336" s="4" t="str">
        <f t="shared" si="111"/>
        <v>EXP00026</v>
      </c>
      <c r="B1336" s="4" t="str">
        <f t="shared" si="112"/>
        <v>23633021</v>
      </c>
      <c r="C1336" s="4" t="str">
        <f t="shared" si="113"/>
        <v>GSE15605</v>
      </c>
      <c r="D1336" s="1" t="s">
        <v>45</v>
      </c>
      <c r="E1336" t="s">
        <v>81</v>
      </c>
      <c r="F1336" s="1">
        <v>2</v>
      </c>
      <c r="G1336" s="1" t="s">
        <v>28</v>
      </c>
      <c r="H1336" s="4" t="str">
        <f>HYPERLINK("https://www.ncbi.nlm.nih.gov/geo/query/acc.cgi?acc=GSM390228","GSM390228")</f>
        <v>GSM390228</v>
      </c>
      <c r="I1336" t="s">
        <v>82</v>
      </c>
      <c r="J1336" t="s">
        <v>83</v>
      </c>
      <c r="K1336" t="s">
        <v>19</v>
      </c>
      <c r="L1336" t="s">
        <v>27</v>
      </c>
      <c r="M1336" t="s">
        <v>51</v>
      </c>
      <c r="N1336" t="s">
        <v>29</v>
      </c>
    </row>
    <row r="1337" spans="1:14">
      <c r="A1337" s="4" t="str">
        <f t="shared" si="111"/>
        <v>EXP00026</v>
      </c>
      <c r="B1337" s="4" t="str">
        <f t="shared" si="112"/>
        <v>23633021</v>
      </c>
      <c r="C1337" s="4" t="str">
        <f t="shared" si="113"/>
        <v>GSE15605</v>
      </c>
      <c r="D1337" s="1" t="s">
        <v>45</v>
      </c>
      <c r="E1337" t="s">
        <v>81</v>
      </c>
      <c r="F1337" s="1">
        <v>2</v>
      </c>
      <c r="G1337" s="1" t="s">
        <v>28</v>
      </c>
      <c r="H1337" s="4" t="str">
        <f>HYPERLINK("https://www.ncbi.nlm.nih.gov/geo/query/acc.cgi?acc=GSM390229","GSM390229")</f>
        <v>GSM390229</v>
      </c>
      <c r="I1337" t="s">
        <v>82</v>
      </c>
      <c r="J1337" t="s">
        <v>83</v>
      </c>
      <c r="K1337" t="s">
        <v>19</v>
      </c>
      <c r="L1337" t="s">
        <v>27</v>
      </c>
      <c r="M1337" t="s">
        <v>51</v>
      </c>
      <c r="N1337" t="s">
        <v>29</v>
      </c>
    </row>
    <row r="1338" spans="1:14">
      <c r="A1338" s="4" t="str">
        <f t="shared" si="111"/>
        <v>EXP00026</v>
      </c>
      <c r="B1338" s="4" t="str">
        <f t="shared" si="112"/>
        <v>23633021</v>
      </c>
      <c r="C1338" s="4" t="str">
        <f t="shared" si="113"/>
        <v>GSE15605</v>
      </c>
      <c r="D1338" s="1" t="s">
        <v>45</v>
      </c>
      <c r="E1338" t="s">
        <v>81</v>
      </c>
      <c r="F1338" s="1">
        <v>2</v>
      </c>
      <c r="G1338" s="1" t="s">
        <v>28</v>
      </c>
      <c r="H1338" s="4" t="str">
        <f>HYPERLINK("https://www.ncbi.nlm.nih.gov/geo/query/acc.cgi?acc=GSM390230","GSM390230")</f>
        <v>GSM390230</v>
      </c>
      <c r="I1338" t="s">
        <v>82</v>
      </c>
      <c r="J1338" t="s">
        <v>83</v>
      </c>
      <c r="K1338" t="s">
        <v>19</v>
      </c>
      <c r="L1338" t="s">
        <v>27</v>
      </c>
      <c r="M1338" t="s">
        <v>51</v>
      </c>
      <c r="N1338" t="s">
        <v>29</v>
      </c>
    </row>
    <row r="1339" spans="1:14">
      <c r="A1339" s="4" t="str">
        <f t="shared" si="111"/>
        <v>EXP00026</v>
      </c>
      <c r="B1339" s="4" t="str">
        <f t="shared" si="112"/>
        <v>23633021</v>
      </c>
      <c r="C1339" s="4" t="str">
        <f t="shared" si="113"/>
        <v>GSE15605</v>
      </c>
      <c r="D1339" s="1" t="s">
        <v>45</v>
      </c>
      <c r="E1339" t="s">
        <v>81</v>
      </c>
      <c r="F1339" s="1">
        <v>2</v>
      </c>
      <c r="G1339" s="1" t="s">
        <v>28</v>
      </c>
      <c r="H1339" s="4" t="str">
        <f>HYPERLINK("https://www.ncbi.nlm.nih.gov/geo/query/acc.cgi?acc=GSM390231","GSM390231")</f>
        <v>GSM390231</v>
      </c>
      <c r="I1339" t="s">
        <v>82</v>
      </c>
      <c r="J1339" t="s">
        <v>83</v>
      </c>
      <c r="K1339" t="s">
        <v>19</v>
      </c>
      <c r="L1339" t="s">
        <v>27</v>
      </c>
      <c r="M1339" t="s">
        <v>51</v>
      </c>
      <c r="N1339" t="s">
        <v>29</v>
      </c>
    </row>
    <row r="1340" spans="1:14">
      <c r="A1340" s="4" t="str">
        <f t="shared" si="111"/>
        <v>EXP00026</v>
      </c>
      <c r="B1340" s="4" t="str">
        <f t="shared" si="112"/>
        <v>23633021</v>
      </c>
      <c r="C1340" s="4" t="str">
        <f t="shared" si="113"/>
        <v>GSE15605</v>
      </c>
      <c r="D1340" s="1" t="s">
        <v>45</v>
      </c>
      <c r="E1340" t="s">
        <v>81</v>
      </c>
      <c r="F1340" s="1">
        <v>2</v>
      </c>
      <c r="G1340" s="1" t="s">
        <v>28</v>
      </c>
      <c r="H1340" s="4" t="str">
        <f>HYPERLINK("https://www.ncbi.nlm.nih.gov/geo/query/acc.cgi?acc=GSM390232","GSM390232")</f>
        <v>GSM390232</v>
      </c>
      <c r="I1340" t="s">
        <v>82</v>
      </c>
      <c r="J1340" t="s">
        <v>83</v>
      </c>
      <c r="K1340" t="s">
        <v>19</v>
      </c>
      <c r="L1340" t="s">
        <v>27</v>
      </c>
      <c r="M1340" t="s">
        <v>51</v>
      </c>
      <c r="N1340" t="s">
        <v>29</v>
      </c>
    </row>
    <row r="1341" spans="1:14">
      <c r="A1341" s="4" t="str">
        <f t="shared" si="111"/>
        <v>EXP00026</v>
      </c>
      <c r="B1341" s="4" t="str">
        <f t="shared" si="112"/>
        <v>23633021</v>
      </c>
      <c r="C1341" s="4" t="str">
        <f t="shared" si="113"/>
        <v>GSE15605</v>
      </c>
      <c r="D1341" s="1" t="s">
        <v>45</v>
      </c>
      <c r="E1341" t="s">
        <v>81</v>
      </c>
      <c r="F1341" s="1">
        <v>2</v>
      </c>
      <c r="G1341" s="1" t="s">
        <v>28</v>
      </c>
      <c r="H1341" s="4" t="str">
        <f>HYPERLINK("https://www.ncbi.nlm.nih.gov/geo/query/acc.cgi?acc=GSM390233","GSM390233")</f>
        <v>GSM390233</v>
      </c>
      <c r="I1341" t="s">
        <v>82</v>
      </c>
      <c r="J1341" t="s">
        <v>83</v>
      </c>
      <c r="K1341" t="s">
        <v>19</v>
      </c>
      <c r="L1341" t="s">
        <v>27</v>
      </c>
      <c r="M1341" t="s">
        <v>51</v>
      </c>
      <c r="N1341" t="s">
        <v>29</v>
      </c>
    </row>
    <row r="1342" spans="1:14">
      <c r="A1342" s="4" t="str">
        <f t="shared" si="111"/>
        <v>EXP00026</v>
      </c>
      <c r="B1342" s="4" t="str">
        <f t="shared" si="112"/>
        <v>23633021</v>
      </c>
      <c r="C1342" s="4" t="str">
        <f t="shared" si="113"/>
        <v>GSE15605</v>
      </c>
      <c r="D1342" s="1" t="s">
        <v>45</v>
      </c>
      <c r="E1342" t="s">
        <v>81</v>
      </c>
      <c r="F1342" s="1">
        <v>2</v>
      </c>
      <c r="G1342" s="1" t="s">
        <v>28</v>
      </c>
      <c r="H1342" s="4" t="str">
        <f>HYPERLINK("https://www.ncbi.nlm.nih.gov/geo/query/acc.cgi?acc=GSM390234","GSM390234")</f>
        <v>GSM390234</v>
      </c>
      <c r="I1342" t="s">
        <v>82</v>
      </c>
      <c r="J1342" t="s">
        <v>83</v>
      </c>
      <c r="K1342" t="s">
        <v>19</v>
      </c>
      <c r="L1342" t="s">
        <v>27</v>
      </c>
      <c r="M1342" t="s">
        <v>51</v>
      </c>
      <c r="N1342" t="s">
        <v>29</v>
      </c>
    </row>
    <row r="1343" spans="1:14">
      <c r="A1343" s="4" t="str">
        <f t="shared" si="111"/>
        <v>EXP00026</v>
      </c>
      <c r="B1343" s="4" t="str">
        <f t="shared" si="112"/>
        <v>23633021</v>
      </c>
      <c r="C1343" s="4" t="str">
        <f t="shared" si="113"/>
        <v>GSE15605</v>
      </c>
      <c r="D1343" s="1" t="s">
        <v>45</v>
      </c>
      <c r="E1343" t="s">
        <v>81</v>
      </c>
      <c r="F1343" s="1">
        <v>2</v>
      </c>
      <c r="G1343" s="1" t="s">
        <v>28</v>
      </c>
      <c r="H1343" s="4" t="str">
        <f>HYPERLINK("https://www.ncbi.nlm.nih.gov/geo/query/acc.cgi?acc=GSM390235","GSM390235")</f>
        <v>GSM390235</v>
      </c>
      <c r="I1343" t="s">
        <v>82</v>
      </c>
      <c r="J1343" t="s">
        <v>83</v>
      </c>
      <c r="K1343" t="s">
        <v>19</v>
      </c>
      <c r="L1343" t="s">
        <v>27</v>
      </c>
      <c r="M1343" t="s">
        <v>51</v>
      </c>
      <c r="N1343" t="s">
        <v>29</v>
      </c>
    </row>
    <row r="1344" spans="1:14">
      <c r="A1344" s="4" t="str">
        <f t="shared" si="111"/>
        <v>EXP00026</v>
      </c>
      <c r="B1344" s="4" t="str">
        <f t="shared" si="112"/>
        <v>23633021</v>
      </c>
      <c r="C1344" s="4" t="str">
        <f t="shared" si="113"/>
        <v>GSE15605</v>
      </c>
      <c r="D1344" s="1" t="s">
        <v>45</v>
      </c>
      <c r="E1344" t="s">
        <v>81</v>
      </c>
      <c r="F1344" s="1">
        <v>2</v>
      </c>
      <c r="G1344" s="1" t="s">
        <v>28</v>
      </c>
      <c r="H1344" s="4" t="str">
        <f>HYPERLINK("https://www.ncbi.nlm.nih.gov/geo/query/acc.cgi?acc=GSM390236","GSM390236")</f>
        <v>GSM390236</v>
      </c>
      <c r="I1344" t="s">
        <v>82</v>
      </c>
      <c r="J1344" t="s">
        <v>83</v>
      </c>
      <c r="K1344" t="s">
        <v>19</v>
      </c>
      <c r="L1344" t="s">
        <v>27</v>
      </c>
      <c r="M1344" t="s">
        <v>51</v>
      </c>
      <c r="N1344" t="s">
        <v>29</v>
      </c>
    </row>
    <row r="1345" spans="1:14">
      <c r="A1345" s="4" t="str">
        <f t="shared" si="111"/>
        <v>EXP00026</v>
      </c>
      <c r="B1345" s="4" t="str">
        <f t="shared" si="112"/>
        <v>23633021</v>
      </c>
      <c r="C1345" s="4" t="str">
        <f t="shared" si="113"/>
        <v>GSE15605</v>
      </c>
      <c r="D1345" s="1" t="s">
        <v>45</v>
      </c>
      <c r="E1345" t="s">
        <v>81</v>
      </c>
      <c r="F1345" s="1">
        <v>2</v>
      </c>
      <c r="G1345" s="1" t="s">
        <v>28</v>
      </c>
      <c r="H1345" s="4" t="str">
        <f>HYPERLINK("https://www.ncbi.nlm.nih.gov/geo/query/acc.cgi?acc=GSM390237","GSM390237")</f>
        <v>GSM390237</v>
      </c>
      <c r="I1345" t="s">
        <v>82</v>
      </c>
      <c r="J1345" t="s">
        <v>83</v>
      </c>
      <c r="K1345" t="s">
        <v>19</v>
      </c>
      <c r="L1345" t="s">
        <v>27</v>
      </c>
      <c r="M1345" t="s">
        <v>51</v>
      </c>
      <c r="N1345" t="s">
        <v>29</v>
      </c>
    </row>
    <row r="1346" spans="1:14">
      <c r="A1346" s="4" t="str">
        <f t="shared" si="111"/>
        <v>EXP00026</v>
      </c>
      <c r="B1346" s="4" t="str">
        <f t="shared" si="112"/>
        <v>23633021</v>
      </c>
      <c r="C1346" s="4" t="str">
        <f t="shared" si="113"/>
        <v>GSE15605</v>
      </c>
      <c r="D1346" s="1" t="s">
        <v>45</v>
      </c>
      <c r="E1346" t="s">
        <v>81</v>
      </c>
      <c r="F1346" s="1">
        <v>2</v>
      </c>
      <c r="G1346" s="1" t="s">
        <v>28</v>
      </c>
      <c r="H1346" s="4" t="str">
        <f>HYPERLINK("https://www.ncbi.nlm.nih.gov/geo/query/acc.cgi?acc=GSM390238","GSM390238")</f>
        <v>GSM390238</v>
      </c>
      <c r="I1346" t="s">
        <v>82</v>
      </c>
      <c r="J1346" t="s">
        <v>83</v>
      </c>
      <c r="K1346" t="s">
        <v>19</v>
      </c>
      <c r="L1346" t="s">
        <v>27</v>
      </c>
      <c r="M1346" t="s">
        <v>51</v>
      </c>
      <c r="N1346" t="s">
        <v>29</v>
      </c>
    </row>
    <row r="1347" spans="1:14">
      <c r="A1347" s="4" t="str">
        <f t="shared" si="111"/>
        <v>EXP00026</v>
      </c>
      <c r="B1347" s="4" t="str">
        <f t="shared" si="112"/>
        <v>23633021</v>
      </c>
      <c r="C1347" s="4" t="str">
        <f t="shared" si="113"/>
        <v>GSE15605</v>
      </c>
      <c r="D1347" s="1" t="s">
        <v>45</v>
      </c>
      <c r="E1347" t="s">
        <v>81</v>
      </c>
      <c r="F1347" s="1">
        <v>2</v>
      </c>
      <c r="G1347" s="1" t="s">
        <v>28</v>
      </c>
      <c r="H1347" s="4" t="str">
        <f>HYPERLINK("https://www.ncbi.nlm.nih.gov/geo/query/acc.cgi?acc=GSM390239","GSM390239")</f>
        <v>GSM390239</v>
      </c>
      <c r="I1347" t="s">
        <v>82</v>
      </c>
      <c r="J1347" t="s">
        <v>83</v>
      </c>
      <c r="K1347" t="s">
        <v>19</v>
      </c>
      <c r="L1347" t="s">
        <v>27</v>
      </c>
      <c r="M1347" t="s">
        <v>51</v>
      </c>
      <c r="N1347" t="s">
        <v>29</v>
      </c>
    </row>
    <row r="1348" spans="1:14">
      <c r="A1348" s="4" t="str">
        <f t="shared" ref="A1348:A1377" si="114">HYPERLINK("http://hcmdb.i-sanger.com/experiment/details/experiment_id/EXP00026","EXP00026")</f>
        <v>EXP00026</v>
      </c>
      <c r="B1348" s="4" t="str">
        <f t="shared" ref="B1348:B1379" si="115">HYPERLINK("https://www.ncbi.nlm.nih.gov/pubmed/23633021","23633021")</f>
        <v>23633021</v>
      </c>
      <c r="C1348" s="4" t="str">
        <f t="shared" ref="C1348:C1379" si="116">HYPERLINK("https://www.ncbi.nlm.nih.gov/geo/query/acc.cgi?acc=GSE15605","GSE15605")</f>
        <v>GSE15605</v>
      </c>
      <c r="D1348" s="1" t="s">
        <v>45</v>
      </c>
      <c r="E1348" t="s">
        <v>81</v>
      </c>
      <c r="F1348" s="1">
        <v>2</v>
      </c>
      <c r="G1348" s="1" t="s">
        <v>28</v>
      </c>
      <c r="H1348" s="4" t="str">
        <f>HYPERLINK("https://www.ncbi.nlm.nih.gov/geo/query/acc.cgi?acc=GSM390240","GSM390240")</f>
        <v>GSM390240</v>
      </c>
      <c r="I1348" t="s">
        <v>82</v>
      </c>
      <c r="J1348" t="s">
        <v>83</v>
      </c>
      <c r="K1348" t="s">
        <v>19</v>
      </c>
      <c r="L1348" t="s">
        <v>27</v>
      </c>
      <c r="M1348" t="s">
        <v>51</v>
      </c>
      <c r="N1348" t="s">
        <v>29</v>
      </c>
    </row>
    <row r="1349" spans="1:14">
      <c r="A1349" s="4" t="str">
        <f t="shared" si="114"/>
        <v>EXP00026</v>
      </c>
      <c r="B1349" s="4" t="str">
        <f t="shared" si="115"/>
        <v>23633021</v>
      </c>
      <c r="C1349" s="4" t="str">
        <f t="shared" si="116"/>
        <v>GSE15605</v>
      </c>
      <c r="D1349" s="1" t="s">
        <v>45</v>
      </c>
      <c r="E1349" t="s">
        <v>81</v>
      </c>
      <c r="F1349" s="1">
        <v>2</v>
      </c>
      <c r="G1349" s="1" t="s">
        <v>28</v>
      </c>
      <c r="H1349" s="4" t="str">
        <f>HYPERLINK("https://www.ncbi.nlm.nih.gov/geo/query/acc.cgi?acc=GSM390241","GSM390241")</f>
        <v>GSM390241</v>
      </c>
      <c r="I1349" t="s">
        <v>82</v>
      </c>
      <c r="J1349" t="s">
        <v>83</v>
      </c>
      <c r="K1349" t="s">
        <v>19</v>
      </c>
      <c r="L1349" t="s">
        <v>27</v>
      </c>
      <c r="M1349" t="s">
        <v>51</v>
      </c>
      <c r="N1349" t="s">
        <v>29</v>
      </c>
    </row>
    <row r="1350" spans="1:14">
      <c r="A1350" s="4" t="str">
        <f t="shared" si="114"/>
        <v>EXP00026</v>
      </c>
      <c r="B1350" s="4" t="str">
        <f t="shared" si="115"/>
        <v>23633021</v>
      </c>
      <c r="C1350" s="4" t="str">
        <f t="shared" si="116"/>
        <v>GSE15605</v>
      </c>
      <c r="D1350" s="1" t="s">
        <v>45</v>
      </c>
      <c r="E1350" t="s">
        <v>81</v>
      </c>
      <c r="F1350" s="1">
        <v>2</v>
      </c>
      <c r="G1350" s="1" t="s">
        <v>28</v>
      </c>
      <c r="H1350" s="4" t="str">
        <f>HYPERLINK("https://www.ncbi.nlm.nih.gov/geo/query/acc.cgi?acc=GSM390242","GSM390242")</f>
        <v>GSM390242</v>
      </c>
      <c r="I1350" t="s">
        <v>82</v>
      </c>
      <c r="J1350" t="s">
        <v>83</v>
      </c>
      <c r="K1350" t="s">
        <v>19</v>
      </c>
      <c r="L1350" t="s">
        <v>27</v>
      </c>
      <c r="M1350" t="s">
        <v>51</v>
      </c>
      <c r="N1350" t="s">
        <v>29</v>
      </c>
    </row>
    <row r="1351" spans="1:14">
      <c r="A1351" s="4" t="str">
        <f t="shared" si="114"/>
        <v>EXP00026</v>
      </c>
      <c r="B1351" s="4" t="str">
        <f t="shared" si="115"/>
        <v>23633021</v>
      </c>
      <c r="C1351" s="4" t="str">
        <f t="shared" si="116"/>
        <v>GSE15605</v>
      </c>
      <c r="D1351" s="1" t="s">
        <v>45</v>
      </c>
      <c r="E1351" t="s">
        <v>81</v>
      </c>
      <c r="F1351" s="1">
        <v>2</v>
      </c>
      <c r="G1351" s="1" t="s">
        <v>28</v>
      </c>
      <c r="H1351" s="4" t="str">
        <f>HYPERLINK("https://www.ncbi.nlm.nih.gov/geo/query/acc.cgi?acc=GSM390243","GSM390243")</f>
        <v>GSM390243</v>
      </c>
      <c r="I1351" t="s">
        <v>82</v>
      </c>
      <c r="J1351" t="s">
        <v>83</v>
      </c>
      <c r="K1351" t="s">
        <v>19</v>
      </c>
      <c r="L1351" t="s">
        <v>27</v>
      </c>
      <c r="M1351" t="s">
        <v>51</v>
      </c>
      <c r="N1351" t="s">
        <v>29</v>
      </c>
    </row>
    <row r="1352" spans="1:14">
      <c r="A1352" s="4" t="str">
        <f t="shared" si="114"/>
        <v>EXP00026</v>
      </c>
      <c r="B1352" s="4" t="str">
        <f t="shared" si="115"/>
        <v>23633021</v>
      </c>
      <c r="C1352" s="4" t="str">
        <f t="shared" si="116"/>
        <v>GSE15605</v>
      </c>
      <c r="D1352" s="1" t="s">
        <v>45</v>
      </c>
      <c r="E1352" t="s">
        <v>81</v>
      </c>
      <c r="F1352" s="1">
        <v>2</v>
      </c>
      <c r="G1352" s="1" t="s">
        <v>28</v>
      </c>
      <c r="H1352" s="4" t="str">
        <f>HYPERLINK("https://www.ncbi.nlm.nih.gov/geo/query/acc.cgi?acc=GSM390244","GSM390244")</f>
        <v>GSM390244</v>
      </c>
      <c r="I1352" t="s">
        <v>82</v>
      </c>
      <c r="J1352" t="s">
        <v>83</v>
      </c>
      <c r="K1352" t="s">
        <v>19</v>
      </c>
      <c r="L1352" t="s">
        <v>27</v>
      </c>
      <c r="M1352" t="s">
        <v>51</v>
      </c>
      <c r="N1352" t="s">
        <v>29</v>
      </c>
    </row>
    <row r="1353" spans="1:14">
      <c r="A1353" s="4" t="str">
        <f t="shared" si="114"/>
        <v>EXP00026</v>
      </c>
      <c r="B1353" s="4" t="str">
        <f t="shared" si="115"/>
        <v>23633021</v>
      </c>
      <c r="C1353" s="4" t="str">
        <f t="shared" si="116"/>
        <v>GSE15605</v>
      </c>
      <c r="D1353" s="1" t="s">
        <v>45</v>
      </c>
      <c r="E1353" t="s">
        <v>81</v>
      </c>
      <c r="F1353" s="1">
        <v>2</v>
      </c>
      <c r="G1353" s="1" t="s">
        <v>28</v>
      </c>
      <c r="H1353" s="4" t="str">
        <f>HYPERLINK("https://www.ncbi.nlm.nih.gov/geo/query/acc.cgi?acc=GSM390245","GSM390245")</f>
        <v>GSM390245</v>
      </c>
      <c r="I1353" t="s">
        <v>82</v>
      </c>
      <c r="J1353" t="s">
        <v>83</v>
      </c>
      <c r="K1353" t="s">
        <v>19</v>
      </c>
      <c r="L1353" t="s">
        <v>27</v>
      </c>
      <c r="M1353" t="s">
        <v>51</v>
      </c>
      <c r="N1353" t="s">
        <v>29</v>
      </c>
    </row>
    <row r="1354" spans="1:14">
      <c r="A1354" s="4" t="str">
        <f t="shared" si="114"/>
        <v>EXP00026</v>
      </c>
      <c r="B1354" s="4" t="str">
        <f t="shared" si="115"/>
        <v>23633021</v>
      </c>
      <c r="C1354" s="4" t="str">
        <f t="shared" si="116"/>
        <v>GSE15605</v>
      </c>
      <c r="D1354" s="1" t="s">
        <v>45</v>
      </c>
      <c r="E1354" t="s">
        <v>81</v>
      </c>
      <c r="F1354" s="1">
        <v>2</v>
      </c>
      <c r="G1354" s="1" t="s">
        <v>28</v>
      </c>
      <c r="H1354" s="4" t="str">
        <f>HYPERLINK("https://www.ncbi.nlm.nih.gov/geo/query/acc.cgi?acc=GSM390246","GSM390246")</f>
        <v>GSM390246</v>
      </c>
      <c r="I1354" t="s">
        <v>82</v>
      </c>
      <c r="J1354" t="s">
        <v>83</v>
      </c>
      <c r="K1354" t="s">
        <v>19</v>
      </c>
      <c r="L1354" t="s">
        <v>27</v>
      </c>
      <c r="M1354" t="s">
        <v>51</v>
      </c>
      <c r="N1354" t="s">
        <v>29</v>
      </c>
    </row>
    <row r="1355" spans="1:14">
      <c r="A1355" s="4" t="str">
        <f t="shared" si="114"/>
        <v>EXP00026</v>
      </c>
      <c r="B1355" s="4" t="str">
        <f t="shared" si="115"/>
        <v>23633021</v>
      </c>
      <c r="C1355" s="4" t="str">
        <f t="shared" si="116"/>
        <v>GSE15605</v>
      </c>
      <c r="D1355" s="1" t="s">
        <v>45</v>
      </c>
      <c r="E1355" t="s">
        <v>81</v>
      </c>
      <c r="F1355" s="1">
        <v>2</v>
      </c>
      <c r="G1355" s="1" t="s">
        <v>28</v>
      </c>
      <c r="H1355" s="4" t="str">
        <f>HYPERLINK("https://www.ncbi.nlm.nih.gov/geo/query/acc.cgi?acc=GSM390247","GSM390247")</f>
        <v>GSM390247</v>
      </c>
      <c r="I1355" t="s">
        <v>82</v>
      </c>
      <c r="J1355" t="s">
        <v>83</v>
      </c>
      <c r="K1355" t="s">
        <v>19</v>
      </c>
      <c r="L1355" t="s">
        <v>27</v>
      </c>
      <c r="M1355" t="s">
        <v>51</v>
      </c>
      <c r="N1355" t="s">
        <v>29</v>
      </c>
    </row>
    <row r="1356" spans="1:14">
      <c r="A1356" s="4" t="str">
        <f t="shared" si="114"/>
        <v>EXP00026</v>
      </c>
      <c r="B1356" s="4" t="str">
        <f t="shared" si="115"/>
        <v>23633021</v>
      </c>
      <c r="C1356" s="4" t="str">
        <f t="shared" si="116"/>
        <v>GSE15605</v>
      </c>
      <c r="D1356" s="1" t="s">
        <v>45</v>
      </c>
      <c r="E1356" t="s">
        <v>81</v>
      </c>
      <c r="F1356" s="1">
        <v>2</v>
      </c>
      <c r="G1356" s="1" t="s">
        <v>28</v>
      </c>
      <c r="H1356" s="4" t="str">
        <f>HYPERLINK("https://www.ncbi.nlm.nih.gov/geo/query/acc.cgi?acc=GSM390248","GSM390248")</f>
        <v>GSM390248</v>
      </c>
      <c r="I1356" t="s">
        <v>82</v>
      </c>
      <c r="J1356" t="s">
        <v>83</v>
      </c>
      <c r="K1356" t="s">
        <v>19</v>
      </c>
      <c r="L1356" t="s">
        <v>27</v>
      </c>
      <c r="M1356" t="s">
        <v>51</v>
      </c>
      <c r="N1356" t="s">
        <v>29</v>
      </c>
    </row>
    <row r="1357" spans="1:14">
      <c r="A1357" s="4" t="str">
        <f t="shared" si="114"/>
        <v>EXP00026</v>
      </c>
      <c r="B1357" s="4" t="str">
        <f t="shared" si="115"/>
        <v>23633021</v>
      </c>
      <c r="C1357" s="4" t="str">
        <f t="shared" si="116"/>
        <v>GSE15605</v>
      </c>
      <c r="D1357" s="1" t="s">
        <v>45</v>
      </c>
      <c r="E1357" t="s">
        <v>81</v>
      </c>
      <c r="F1357" s="1">
        <v>2</v>
      </c>
      <c r="G1357" s="1" t="s">
        <v>28</v>
      </c>
      <c r="H1357" s="4" t="str">
        <f>HYPERLINK("https://www.ncbi.nlm.nih.gov/geo/query/acc.cgi?acc=GSM390249","GSM390249")</f>
        <v>GSM390249</v>
      </c>
      <c r="I1357" t="s">
        <v>82</v>
      </c>
      <c r="J1357" t="s">
        <v>83</v>
      </c>
      <c r="K1357" t="s">
        <v>19</v>
      </c>
      <c r="L1357" t="s">
        <v>27</v>
      </c>
      <c r="M1357" t="s">
        <v>51</v>
      </c>
      <c r="N1357" t="s">
        <v>29</v>
      </c>
    </row>
    <row r="1358" spans="1:14">
      <c r="A1358" s="4" t="str">
        <f t="shared" si="114"/>
        <v>EXP00026</v>
      </c>
      <c r="B1358" s="4" t="str">
        <f t="shared" si="115"/>
        <v>23633021</v>
      </c>
      <c r="C1358" s="4" t="str">
        <f t="shared" si="116"/>
        <v>GSE15605</v>
      </c>
      <c r="D1358" s="1" t="s">
        <v>45</v>
      </c>
      <c r="E1358" t="s">
        <v>81</v>
      </c>
      <c r="F1358" s="1">
        <v>2</v>
      </c>
      <c r="G1358" s="1" t="s">
        <v>28</v>
      </c>
      <c r="H1358" s="4" t="str">
        <f>HYPERLINK("https://www.ncbi.nlm.nih.gov/geo/query/acc.cgi?acc=GSM390250","GSM390250")</f>
        <v>GSM390250</v>
      </c>
      <c r="I1358" t="s">
        <v>82</v>
      </c>
      <c r="J1358" t="s">
        <v>83</v>
      </c>
      <c r="K1358" t="s">
        <v>19</v>
      </c>
      <c r="L1358" t="s">
        <v>27</v>
      </c>
      <c r="M1358" t="s">
        <v>51</v>
      </c>
      <c r="N1358" t="s">
        <v>29</v>
      </c>
    </row>
    <row r="1359" spans="1:14">
      <c r="A1359" s="4" t="str">
        <f t="shared" si="114"/>
        <v>EXP00026</v>
      </c>
      <c r="B1359" s="4" t="str">
        <f t="shared" si="115"/>
        <v>23633021</v>
      </c>
      <c r="C1359" s="4" t="str">
        <f t="shared" si="116"/>
        <v>GSE15605</v>
      </c>
      <c r="D1359" s="1" t="s">
        <v>45</v>
      </c>
      <c r="E1359" t="s">
        <v>81</v>
      </c>
      <c r="F1359" s="1">
        <v>2</v>
      </c>
      <c r="G1359" s="1" t="s">
        <v>28</v>
      </c>
      <c r="H1359" s="4" t="str">
        <f>HYPERLINK("https://www.ncbi.nlm.nih.gov/geo/query/acc.cgi?acc=GSM390251","GSM390251")</f>
        <v>GSM390251</v>
      </c>
      <c r="I1359" t="s">
        <v>82</v>
      </c>
      <c r="J1359" t="s">
        <v>83</v>
      </c>
      <c r="K1359" t="s">
        <v>19</v>
      </c>
      <c r="L1359" t="s">
        <v>27</v>
      </c>
      <c r="M1359" t="s">
        <v>51</v>
      </c>
      <c r="N1359" t="s">
        <v>29</v>
      </c>
    </row>
    <row r="1360" spans="1:14">
      <c r="A1360" s="4" t="str">
        <f t="shared" si="114"/>
        <v>EXP00026</v>
      </c>
      <c r="B1360" s="4" t="str">
        <f t="shared" si="115"/>
        <v>23633021</v>
      </c>
      <c r="C1360" s="4" t="str">
        <f t="shared" si="116"/>
        <v>GSE15605</v>
      </c>
      <c r="D1360" s="1" t="s">
        <v>45</v>
      </c>
      <c r="E1360" t="s">
        <v>81</v>
      </c>
      <c r="F1360" s="1">
        <v>2</v>
      </c>
      <c r="G1360" s="1" t="s">
        <v>28</v>
      </c>
      <c r="H1360" s="4" t="str">
        <f>HYPERLINK("https://www.ncbi.nlm.nih.gov/geo/query/acc.cgi?acc=GSM390252","GSM390252")</f>
        <v>GSM390252</v>
      </c>
      <c r="I1360" t="s">
        <v>82</v>
      </c>
      <c r="J1360" t="s">
        <v>83</v>
      </c>
      <c r="K1360" t="s">
        <v>19</v>
      </c>
      <c r="L1360" t="s">
        <v>27</v>
      </c>
      <c r="M1360" t="s">
        <v>51</v>
      </c>
      <c r="N1360" t="s">
        <v>29</v>
      </c>
    </row>
    <row r="1361" spans="1:14">
      <c r="A1361" s="4" t="str">
        <f t="shared" si="114"/>
        <v>EXP00026</v>
      </c>
      <c r="B1361" s="4" t="str">
        <f t="shared" si="115"/>
        <v>23633021</v>
      </c>
      <c r="C1361" s="4" t="str">
        <f t="shared" si="116"/>
        <v>GSE15605</v>
      </c>
      <c r="D1361" s="1" t="s">
        <v>45</v>
      </c>
      <c r="E1361" t="s">
        <v>81</v>
      </c>
      <c r="F1361" s="1">
        <v>2</v>
      </c>
      <c r="G1361" s="1" t="s">
        <v>28</v>
      </c>
      <c r="H1361" s="4" t="str">
        <f>HYPERLINK("https://www.ncbi.nlm.nih.gov/geo/query/acc.cgi?acc=GSM390253","GSM390253")</f>
        <v>GSM390253</v>
      </c>
      <c r="I1361" t="s">
        <v>82</v>
      </c>
      <c r="J1361" t="s">
        <v>83</v>
      </c>
      <c r="K1361" t="s">
        <v>19</v>
      </c>
      <c r="L1361" t="s">
        <v>27</v>
      </c>
      <c r="M1361" t="s">
        <v>51</v>
      </c>
      <c r="N1361" t="s">
        <v>29</v>
      </c>
    </row>
    <row r="1362" spans="1:14">
      <c r="A1362" s="4" t="str">
        <f t="shared" si="114"/>
        <v>EXP00026</v>
      </c>
      <c r="B1362" s="4" t="str">
        <f t="shared" si="115"/>
        <v>23633021</v>
      </c>
      <c r="C1362" s="4" t="str">
        <f t="shared" si="116"/>
        <v>GSE15605</v>
      </c>
      <c r="D1362" s="1" t="s">
        <v>45</v>
      </c>
      <c r="E1362" t="s">
        <v>81</v>
      </c>
      <c r="F1362" s="1">
        <v>2</v>
      </c>
      <c r="G1362" s="1" t="s">
        <v>28</v>
      </c>
      <c r="H1362" s="4" t="str">
        <f>HYPERLINK("https://www.ncbi.nlm.nih.gov/geo/query/acc.cgi?acc=GSM390254","GSM390254")</f>
        <v>GSM390254</v>
      </c>
      <c r="I1362" t="s">
        <v>82</v>
      </c>
      <c r="J1362" t="s">
        <v>83</v>
      </c>
      <c r="K1362" t="s">
        <v>19</v>
      </c>
      <c r="L1362" t="s">
        <v>27</v>
      </c>
      <c r="M1362" t="s">
        <v>51</v>
      </c>
      <c r="N1362" t="s">
        <v>29</v>
      </c>
    </row>
    <row r="1363" spans="1:14">
      <c r="A1363" s="4" t="str">
        <f t="shared" si="114"/>
        <v>EXP00026</v>
      </c>
      <c r="B1363" s="4" t="str">
        <f t="shared" si="115"/>
        <v>23633021</v>
      </c>
      <c r="C1363" s="4" t="str">
        <f t="shared" si="116"/>
        <v>GSE15605</v>
      </c>
      <c r="D1363" s="1" t="s">
        <v>45</v>
      </c>
      <c r="E1363" t="s">
        <v>81</v>
      </c>
      <c r="F1363" s="1">
        <v>2</v>
      </c>
      <c r="G1363" s="1" t="s">
        <v>28</v>
      </c>
      <c r="H1363" s="4" t="str">
        <f>HYPERLINK("https://www.ncbi.nlm.nih.gov/geo/query/acc.cgi?acc=GSM390255","GSM390255")</f>
        <v>GSM390255</v>
      </c>
      <c r="I1363" t="s">
        <v>82</v>
      </c>
      <c r="J1363" t="s">
        <v>83</v>
      </c>
      <c r="K1363" t="s">
        <v>19</v>
      </c>
      <c r="L1363" t="s">
        <v>27</v>
      </c>
      <c r="M1363" t="s">
        <v>51</v>
      </c>
      <c r="N1363" t="s">
        <v>29</v>
      </c>
    </row>
    <row r="1364" spans="1:14">
      <c r="A1364" s="4" t="str">
        <f t="shared" si="114"/>
        <v>EXP00026</v>
      </c>
      <c r="B1364" s="4" t="str">
        <f t="shared" si="115"/>
        <v>23633021</v>
      </c>
      <c r="C1364" s="4" t="str">
        <f t="shared" si="116"/>
        <v>GSE15605</v>
      </c>
      <c r="D1364" s="1" t="s">
        <v>45</v>
      </c>
      <c r="E1364" t="s">
        <v>81</v>
      </c>
      <c r="F1364" s="1">
        <v>2</v>
      </c>
      <c r="G1364" s="1" t="s">
        <v>28</v>
      </c>
      <c r="H1364" s="4" t="str">
        <f>HYPERLINK("https://www.ncbi.nlm.nih.gov/geo/query/acc.cgi?acc=GSM390256","GSM390256")</f>
        <v>GSM390256</v>
      </c>
      <c r="I1364" t="s">
        <v>82</v>
      </c>
      <c r="J1364" t="s">
        <v>83</v>
      </c>
      <c r="K1364" t="s">
        <v>19</v>
      </c>
      <c r="L1364" t="s">
        <v>27</v>
      </c>
      <c r="M1364" t="s">
        <v>51</v>
      </c>
      <c r="N1364" t="s">
        <v>29</v>
      </c>
    </row>
    <row r="1365" spans="1:14">
      <c r="A1365" s="4" t="str">
        <f t="shared" si="114"/>
        <v>EXP00026</v>
      </c>
      <c r="B1365" s="4" t="str">
        <f t="shared" si="115"/>
        <v>23633021</v>
      </c>
      <c r="C1365" s="4" t="str">
        <f t="shared" si="116"/>
        <v>GSE15605</v>
      </c>
      <c r="D1365" s="1" t="s">
        <v>45</v>
      </c>
      <c r="E1365" t="s">
        <v>81</v>
      </c>
      <c r="F1365" s="1">
        <v>2</v>
      </c>
      <c r="G1365" s="1" t="s">
        <v>28</v>
      </c>
      <c r="H1365" s="4" t="str">
        <f>HYPERLINK("https://www.ncbi.nlm.nih.gov/geo/query/acc.cgi?acc=GSM390257","GSM390257")</f>
        <v>GSM390257</v>
      </c>
      <c r="I1365" t="s">
        <v>82</v>
      </c>
      <c r="J1365" t="s">
        <v>83</v>
      </c>
      <c r="K1365" t="s">
        <v>19</v>
      </c>
      <c r="L1365" t="s">
        <v>27</v>
      </c>
      <c r="M1365" t="s">
        <v>51</v>
      </c>
      <c r="N1365" t="s">
        <v>29</v>
      </c>
    </row>
    <row r="1366" spans="1:14">
      <c r="A1366" s="4" t="str">
        <f t="shared" si="114"/>
        <v>EXP00026</v>
      </c>
      <c r="B1366" s="4" t="str">
        <f t="shared" si="115"/>
        <v>23633021</v>
      </c>
      <c r="C1366" s="4" t="str">
        <f t="shared" si="116"/>
        <v>GSE15605</v>
      </c>
      <c r="D1366" s="1" t="s">
        <v>45</v>
      </c>
      <c r="E1366" t="s">
        <v>81</v>
      </c>
      <c r="F1366" s="1">
        <v>2</v>
      </c>
      <c r="G1366" s="1" t="s">
        <v>28</v>
      </c>
      <c r="H1366" s="4" t="str">
        <f>HYPERLINK("https://www.ncbi.nlm.nih.gov/geo/query/acc.cgi?acc=GSM390258","GSM390258")</f>
        <v>GSM390258</v>
      </c>
      <c r="I1366" t="s">
        <v>82</v>
      </c>
      <c r="J1366" t="s">
        <v>83</v>
      </c>
      <c r="K1366" t="s">
        <v>19</v>
      </c>
      <c r="L1366" t="s">
        <v>27</v>
      </c>
      <c r="M1366" t="s">
        <v>51</v>
      </c>
      <c r="N1366" t="s">
        <v>29</v>
      </c>
    </row>
    <row r="1367" spans="1:14">
      <c r="A1367" s="4" t="str">
        <f t="shared" si="114"/>
        <v>EXP00026</v>
      </c>
      <c r="B1367" s="4" t="str">
        <f t="shared" si="115"/>
        <v>23633021</v>
      </c>
      <c r="C1367" s="4" t="str">
        <f t="shared" si="116"/>
        <v>GSE15605</v>
      </c>
      <c r="D1367" s="1" t="s">
        <v>45</v>
      </c>
      <c r="E1367" t="s">
        <v>81</v>
      </c>
      <c r="F1367" s="1">
        <v>2</v>
      </c>
      <c r="G1367" s="1" t="s">
        <v>28</v>
      </c>
      <c r="H1367" s="4" t="str">
        <f>HYPERLINK("https://www.ncbi.nlm.nih.gov/geo/query/acc.cgi?acc=GSM390259","GSM390259")</f>
        <v>GSM390259</v>
      </c>
      <c r="I1367" t="s">
        <v>82</v>
      </c>
      <c r="J1367" t="s">
        <v>83</v>
      </c>
      <c r="K1367" t="s">
        <v>19</v>
      </c>
      <c r="L1367" t="s">
        <v>27</v>
      </c>
      <c r="M1367" t="s">
        <v>51</v>
      </c>
      <c r="N1367" t="s">
        <v>29</v>
      </c>
    </row>
    <row r="1368" spans="1:14">
      <c r="A1368" s="4" t="str">
        <f t="shared" si="114"/>
        <v>EXP00026</v>
      </c>
      <c r="B1368" s="4" t="str">
        <f t="shared" si="115"/>
        <v>23633021</v>
      </c>
      <c r="C1368" s="4" t="str">
        <f t="shared" si="116"/>
        <v>GSE15605</v>
      </c>
      <c r="D1368" s="1" t="s">
        <v>45</v>
      </c>
      <c r="E1368" t="s">
        <v>81</v>
      </c>
      <c r="F1368" s="1">
        <v>2</v>
      </c>
      <c r="G1368" s="1" t="s">
        <v>28</v>
      </c>
      <c r="H1368" s="4" t="str">
        <f>HYPERLINK("https://www.ncbi.nlm.nih.gov/geo/query/acc.cgi?acc=GSM390260","GSM390260")</f>
        <v>GSM390260</v>
      </c>
      <c r="I1368" t="s">
        <v>82</v>
      </c>
      <c r="J1368" t="s">
        <v>83</v>
      </c>
      <c r="K1368" t="s">
        <v>19</v>
      </c>
      <c r="L1368" t="s">
        <v>27</v>
      </c>
      <c r="M1368" t="s">
        <v>51</v>
      </c>
      <c r="N1368" t="s">
        <v>29</v>
      </c>
    </row>
    <row r="1369" spans="1:14">
      <c r="A1369" s="4" t="str">
        <f t="shared" si="114"/>
        <v>EXP00026</v>
      </c>
      <c r="B1369" s="4" t="str">
        <f t="shared" si="115"/>
        <v>23633021</v>
      </c>
      <c r="C1369" s="4" t="str">
        <f t="shared" si="116"/>
        <v>GSE15605</v>
      </c>
      <c r="D1369" s="1" t="s">
        <v>45</v>
      </c>
      <c r="E1369" t="s">
        <v>81</v>
      </c>
      <c r="F1369" s="1">
        <v>2</v>
      </c>
      <c r="G1369" s="1" t="s">
        <v>28</v>
      </c>
      <c r="H1369" s="4" t="str">
        <f>HYPERLINK("https://www.ncbi.nlm.nih.gov/geo/query/acc.cgi?acc=GSM390261","GSM390261")</f>
        <v>GSM390261</v>
      </c>
      <c r="I1369" t="s">
        <v>82</v>
      </c>
      <c r="J1369" t="s">
        <v>83</v>
      </c>
      <c r="K1369" t="s">
        <v>19</v>
      </c>
      <c r="L1369" t="s">
        <v>27</v>
      </c>
      <c r="M1369" t="s">
        <v>51</v>
      </c>
      <c r="N1369" t="s">
        <v>29</v>
      </c>
    </row>
    <row r="1370" spans="1:14">
      <c r="A1370" s="4" t="str">
        <f t="shared" si="114"/>
        <v>EXP00026</v>
      </c>
      <c r="B1370" s="4" t="str">
        <f t="shared" si="115"/>
        <v>23633021</v>
      </c>
      <c r="C1370" s="4" t="str">
        <f t="shared" si="116"/>
        <v>GSE15605</v>
      </c>
      <c r="D1370" s="1" t="s">
        <v>45</v>
      </c>
      <c r="E1370" t="s">
        <v>81</v>
      </c>
      <c r="F1370" s="1">
        <v>2</v>
      </c>
      <c r="G1370" s="1" t="s">
        <v>28</v>
      </c>
      <c r="H1370" s="4" t="str">
        <f>HYPERLINK("https://www.ncbi.nlm.nih.gov/geo/query/acc.cgi?acc=GSM390262","GSM390262")</f>
        <v>GSM390262</v>
      </c>
      <c r="I1370" t="s">
        <v>82</v>
      </c>
      <c r="J1370" t="s">
        <v>83</v>
      </c>
      <c r="K1370" t="s">
        <v>19</v>
      </c>
      <c r="L1370" t="s">
        <v>27</v>
      </c>
      <c r="M1370" t="s">
        <v>51</v>
      </c>
      <c r="N1370" t="s">
        <v>29</v>
      </c>
    </row>
    <row r="1371" spans="1:14">
      <c r="A1371" s="4" t="str">
        <f t="shared" si="114"/>
        <v>EXP00026</v>
      </c>
      <c r="B1371" s="4" t="str">
        <f t="shared" si="115"/>
        <v>23633021</v>
      </c>
      <c r="C1371" s="4" t="str">
        <f t="shared" si="116"/>
        <v>GSE15605</v>
      </c>
      <c r="D1371" s="1" t="s">
        <v>45</v>
      </c>
      <c r="E1371" t="s">
        <v>81</v>
      </c>
      <c r="F1371" s="1">
        <v>2</v>
      </c>
      <c r="G1371" s="1" t="s">
        <v>28</v>
      </c>
      <c r="H1371" s="4" t="str">
        <f>HYPERLINK("https://www.ncbi.nlm.nih.gov/geo/query/acc.cgi?acc=GSM390263","GSM390263")</f>
        <v>GSM390263</v>
      </c>
      <c r="I1371" t="s">
        <v>82</v>
      </c>
      <c r="J1371" t="s">
        <v>83</v>
      </c>
      <c r="K1371" t="s">
        <v>19</v>
      </c>
      <c r="L1371" t="s">
        <v>27</v>
      </c>
      <c r="M1371" t="s">
        <v>51</v>
      </c>
      <c r="N1371" t="s">
        <v>29</v>
      </c>
    </row>
    <row r="1372" spans="1:14">
      <c r="A1372" s="4" t="str">
        <f t="shared" si="114"/>
        <v>EXP00026</v>
      </c>
      <c r="B1372" s="4" t="str">
        <f t="shared" si="115"/>
        <v>23633021</v>
      </c>
      <c r="C1372" s="4" t="str">
        <f t="shared" si="116"/>
        <v>GSE15605</v>
      </c>
      <c r="D1372" s="1" t="s">
        <v>45</v>
      </c>
      <c r="E1372" t="s">
        <v>81</v>
      </c>
      <c r="F1372" s="1">
        <v>2</v>
      </c>
      <c r="G1372" s="1" t="s">
        <v>28</v>
      </c>
      <c r="H1372" s="4" t="str">
        <f>HYPERLINK("https://www.ncbi.nlm.nih.gov/geo/query/acc.cgi?acc=GSM390264","GSM390264")</f>
        <v>GSM390264</v>
      </c>
      <c r="I1372" t="s">
        <v>82</v>
      </c>
      <c r="J1372" t="s">
        <v>83</v>
      </c>
      <c r="K1372" t="s">
        <v>19</v>
      </c>
      <c r="L1372" t="s">
        <v>27</v>
      </c>
      <c r="M1372" t="s">
        <v>51</v>
      </c>
      <c r="N1372" t="s">
        <v>29</v>
      </c>
    </row>
    <row r="1373" spans="1:14">
      <c r="A1373" s="4" t="str">
        <f t="shared" si="114"/>
        <v>EXP00026</v>
      </c>
      <c r="B1373" s="4" t="str">
        <f t="shared" si="115"/>
        <v>23633021</v>
      </c>
      <c r="C1373" s="4" t="str">
        <f t="shared" si="116"/>
        <v>GSE15605</v>
      </c>
      <c r="D1373" s="1" t="s">
        <v>45</v>
      </c>
      <c r="E1373" t="s">
        <v>81</v>
      </c>
      <c r="F1373" s="1">
        <v>2</v>
      </c>
      <c r="G1373" s="1" t="s">
        <v>28</v>
      </c>
      <c r="H1373" s="4" t="str">
        <f>HYPERLINK("https://www.ncbi.nlm.nih.gov/geo/query/acc.cgi?acc=GSM390265","GSM390265")</f>
        <v>GSM390265</v>
      </c>
      <c r="I1373" t="s">
        <v>82</v>
      </c>
      <c r="J1373" t="s">
        <v>83</v>
      </c>
      <c r="K1373" t="s">
        <v>19</v>
      </c>
      <c r="L1373" t="s">
        <v>27</v>
      </c>
      <c r="M1373" t="s">
        <v>51</v>
      </c>
      <c r="N1373" t="s">
        <v>29</v>
      </c>
    </row>
    <row r="1374" spans="1:14">
      <c r="A1374" s="4" t="str">
        <f t="shared" si="114"/>
        <v>EXP00026</v>
      </c>
      <c r="B1374" s="4" t="str">
        <f t="shared" si="115"/>
        <v>23633021</v>
      </c>
      <c r="C1374" s="4" t="str">
        <f t="shared" si="116"/>
        <v>GSE15605</v>
      </c>
      <c r="D1374" s="1" t="s">
        <v>45</v>
      </c>
      <c r="E1374" t="s">
        <v>81</v>
      </c>
      <c r="F1374" s="1">
        <v>2</v>
      </c>
      <c r="G1374" s="1" t="s">
        <v>28</v>
      </c>
      <c r="H1374" s="4" t="str">
        <f>HYPERLINK("https://www.ncbi.nlm.nih.gov/geo/query/acc.cgi?acc=GSM390266","GSM390266")</f>
        <v>GSM390266</v>
      </c>
      <c r="I1374" t="s">
        <v>82</v>
      </c>
      <c r="J1374" t="s">
        <v>83</v>
      </c>
      <c r="K1374" t="s">
        <v>19</v>
      </c>
      <c r="L1374" t="s">
        <v>27</v>
      </c>
      <c r="M1374" t="s">
        <v>51</v>
      </c>
      <c r="N1374" t="s">
        <v>29</v>
      </c>
    </row>
    <row r="1375" spans="1:14">
      <c r="A1375" s="4" t="str">
        <f t="shared" si="114"/>
        <v>EXP00026</v>
      </c>
      <c r="B1375" s="4" t="str">
        <f t="shared" si="115"/>
        <v>23633021</v>
      </c>
      <c r="C1375" s="4" t="str">
        <f t="shared" si="116"/>
        <v>GSE15605</v>
      </c>
      <c r="D1375" s="1" t="s">
        <v>45</v>
      </c>
      <c r="E1375" t="s">
        <v>81</v>
      </c>
      <c r="F1375" s="1">
        <v>2</v>
      </c>
      <c r="G1375" s="1" t="s">
        <v>28</v>
      </c>
      <c r="H1375" s="4" t="str">
        <f>HYPERLINK("https://www.ncbi.nlm.nih.gov/geo/query/acc.cgi?acc=GSM390267","GSM390267")</f>
        <v>GSM390267</v>
      </c>
      <c r="I1375" t="s">
        <v>82</v>
      </c>
      <c r="J1375" t="s">
        <v>83</v>
      </c>
      <c r="K1375" t="s">
        <v>19</v>
      </c>
      <c r="L1375" t="s">
        <v>27</v>
      </c>
      <c r="M1375" t="s">
        <v>51</v>
      </c>
      <c r="N1375" t="s">
        <v>29</v>
      </c>
    </row>
    <row r="1376" spans="1:14">
      <c r="A1376" s="4" t="str">
        <f t="shared" si="114"/>
        <v>EXP00026</v>
      </c>
      <c r="B1376" s="4" t="str">
        <f t="shared" si="115"/>
        <v>23633021</v>
      </c>
      <c r="C1376" s="4" t="str">
        <f t="shared" si="116"/>
        <v>GSE15605</v>
      </c>
      <c r="D1376" s="1" t="s">
        <v>45</v>
      </c>
      <c r="E1376" t="s">
        <v>81</v>
      </c>
      <c r="F1376" s="1">
        <v>2</v>
      </c>
      <c r="G1376" s="1" t="s">
        <v>28</v>
      </c>
      <c r="H1376" s="4" t="str">
        <f>HYPERLINK("https://www.ncbi.nlm.nih.gov/geo/query/acc.cgi?acc=GSM390268","GSM390268")</f>
        <v>GSM390268</v>
      </c>
      <c r="I1376" t="s">
        <v>82</v>
      </c>
      <c r="J1376" t="s">
        <v>83</v>
      </c>
      <c r="K1376" t="s">
        <v>19</v>
      </c>
      <c r="L1376" t="s">
        <v>27</v>
      </c>
      <c r="M1376" t="s">
        <v>51</v>
      </c>
      <c r="N1376" t="s">
        <v>29</v>
      </c>
    </row>
    <row r="1377" spans="1:14">
      <c r="A1377" s="4" t="str">
        <f t="shared" si="114"/>
        <v>EXP00026</v>
      </c>
      <c r="B1377" s="4" t="str">
        <f t="shared" si="115"/>
        <v>23633021</v>
      </c>
      <c r="C1377" s="4" t="str">
        <f t="shared" si="116"/>
        <v>GSE15605</v>
      </c>
      <c r="D1377" s="1" t="s">
        <v>45</v>
      </c>
      <c r="E1377" t="s">
        <v>81</v>
      </c>
      <c r="F1377" s="1">
        <v>2</v>
      </c>
      <c r="G1377" s="1" t="s">
        <v>28</v>
      </c>
      <c r="H1377" s="4" t="str">
        <f>HYPERLINK("https://www.ncbi.nlm.nih.gov/geo/query/acc.cgi?acc=GSM390269","GSM390269")</f>
        <v>GSM390269</v>
      </c>
      <c r="I1377" t="s">
        <v>82</v>
      </c>
      <c r="J1377" t="s">
        <v>83</v>
      </c>
      <c r="K1377" t="s">
        <v>19</v>
      </c>
      <c r="L1377" t="s">
        <v>27</v>
      </c>
      <c r="M1377" t="s">
        <v>51</v>
      </c>
      <c r="N1377" t="s">
        <v>29</v>
      </c>
    </row>
    <row r="1378" spans="1:14">
      <c r="A1378" s="4" t="str">
        <f t="shared" ref="A1378:A1389" si="117">HYPERLINK("http://hcmdb.i-sanger.com/experiment/details/experiment_id/EXP00027","EXP00027")</f>
        <v>EXP00027</v>
      </c>
      <c r="B1378" s="4" t="str">
        <f t="shared" si="115"/>
        <v>23633021</v>
      </c>
      <c r="C1378" s="4" t="str">
        <f t="shared" si="116"/>
        <v>GSE15605</v>
      </c>
      <c r="D1378" s="1" t="s">
        <v>45</v>
      </c>
      <c r="E1378" t="s">
        <v>84</v>
      </c>
      <c r="F1378" s="1">
        <v>1</v>
      </c>
      <c r="G1378" s="1" t="s">
        <v>85</v>
      </c>
      <c r="H1378" s="4" t="str">
        <f>HYPERLINK("https://www.ncbi.nlm.nih.gov/geo/query/acc.cgi?acc=GSM390270","GSM390270")</f>
        <v>GSM390270</v>
      </c>
      <c r="I1378" t="s">
        <v>82</v>
      </c>
      <c r="J1378" t="s">
        <v>83</v>
      </c>
      <c r="K1378" t="s">
        <v>19</v>
      </c>
      <c r="L1378" t="s">
        <v>27</v>
      </c>
      <c r="M1378" t="s">
        <v>24</v>
      </c>
      <c r="N1378" t="s">
        <v>22</v>
      </c>
    </row>
    <row r="1379" spans="1:14">
      <c r="A1379" s="4" t="str">
        <f t="shared" si="117"/>
        <v>EXP00027</v>
      </c>
      <c r="B1379" s="4" t="str">
        <f t="shared" si="115"/>
        <v>23633021</v>
      </c>
      <c r="C1379" s="4" t="str">
        <f t="shared" si="116"/>
        <v>GSE15605</v>
      </c>
      <c r="D1379" s="1" t="s">
        <v>45</v>
      </c>
      <c r="E1379" t="s">
        <v>84</v>
      </c>
      <c r="F1379" s="1">
        <v>1</v>
      </c>
      <c r="G1379" s="1" t="s">
        <v>85</v>
      </c>
      <c r="H1379" s="4" t="str">
        <f>HYPERLINK("https://www.ncbi.nlm.nih.gov/geo/query/acc.cgi?acc=GSM390271","GSM390271")</f>
        <v>GSM390271</v>
      </c>
      <c r="I1379" t="s">
        <v>82</v>
      </c>
      <c r="J1379" t="s">
        <v>83</v>
      </c>
      <c r="K1379" t="s">
        <v>19</v>
      </c>
      <c r="L1379" t="s">
        <v>27</v>
      </c>
      <c r="M1379" t="s">
        <v>24</v>
      </c>
      <c r="N1379" t="s">
        <v>22</v>
      </c>
    </row>
    <row r="1380" spans="1:14">
      <c r="A1380" s="4" t="str">
        <f t="shared" si="117"/>
        <v>EXP00027</v>
      </c>
      <c r="B1380" s="4" t="str">
        <f t="shared" ref="B1380:B1411" si="118">HYPERLINK("https://www.ncbi.nlm.nih.gov/pubmed/23633021","23633021")</f>
        <v>23633021</v>
      </c>
      <c r="C1380" s="4" t="str">
        <f t="shared" ref="C1380:C1411" si="119">HYPERLINK("https://www.ncbi.nlm.nih.gov/geo/query/acc.cgi?acc=GSE15605","GSE15605")</f>
        <v>GSE15605</v>
      </c>
      <c r="D1380" s="1" t="s">
        <v>45</v>
      </c>
      <c r="E1380" t="s">
        <v>84</v>
      </c>
      <c r="F1380" s="1">
        <v>1</v>
      </c>
      <c r="G1380" s="1" t="s">
        <v>85</v>
      </c>
      <c r="H1380" s="4" t="str">
        <f>HYPERLINK("https://www.ncbi.nlm.nih.gov/geo/query/acc.cgi?acc=GSM390273","GSM390273")</f>
        <v>GSM390273</v>
      </c>
      <c r="I1380" t="s">
        <v>82</v>
      </c>
      <c r="J1380" t="s">
        <v>83</v>
      </c>
      <c r="K1380" t="s">
        <v>19</v>
      </c>
      <c r="L1380" t="s">
        <v>27</v>
      </c>
      <c r="M1380" t="s">
        <v>24</v>
      </c>
      <c r="N1380" t="s">
        <v>22</v>
      </c>
    </row>
    <row r="1381" spans="1:14">
      <c r="A1381" s="4" t="str">
        <f t="shared" si="117"/>
        <v>EXP00027</v>
      </c>
      <c r="B1381" s="4" t="str">
        <f t="shared" si="118"/>
        <v>23633021</v>
      </c>
      <c r="C1381" s="4" t="str">
        <f t="shared" si="119"/>
        <v>GSE15605</v>
      </c>
      <c r="D1381" s="1" t="s">
        <v>45</v>
      </c>
      <c r="E1381" t="s">
        <v>84</v>
      </c>
      <c r="F1381" s="1">
        <v>1</v>
      </c>
      <c r="G1381" s="1" t="s">
        <v>85</v>
      </c>
      <c r="H1381" s="4" t="str">
        <f>HYPERLINK("https://www.ncbi.nlm.nih.gov/geo/query/acc.cgi?acc=GSM390275","GSM390275")</f>
        <v>GSM390275</v>
      </c>
      <c r="I1381" t="s">
        <v>82</v>
      </c>
      <c r="J1381" t="s">
        <v>83</v>
      </c>
      <c r="K1381" t="s">
        <v>19</v>
      </c>
      <c r="L1381" t="s">
        <v>27</v>
      </c>
      <c r="M1381" t="s">
        <v>24</v>
      </c>
      <c r="N1381" t="s">
        <v>22</v>
      </c>
    </row>
    <row r="1382" spans="1:14">
      <c r="A1382" s="4" t="str">
        <f t="shared" si="117"/>
        <v>EXP00027</v>
      </c>
      <c r="B1382" s="4" t="str">
        <f t="shared" si="118"/>
        <v>23633021</v>
      </c>
      <c r="C1382" s="4" t="str">
        <f t="shared" si="119"/>
        <v>GSE15605</v>
      </c>
      <c r="D1382" s="1" t="s">
        <v>45</v>
      </c>
      <c r="E1382" t="s">
        <v>84</v>
      </c>
      <c r="F1382" s="1">
        <v>1</v>
      </c>
      <c r="G1382" s="1" t="s">
        <v>85</v>
      </c>
      <c r="H1382" s="4" t="str">
        <f>HYPERLINK("https://www.ncbi.nlm.nih.gov/geo/query/acc.cgi?acc=GSM390276","GSM390276")</f>
        <v>GSM390276</v>
      </c>
      <c r="I1382" t="s">
        <v>82</v>
      </c>
      <c r="J1382" t="s">
        <v>83</v>
      </c>
      <c r="K1382" t="s">
        <v>19</v>
      </c>
      <c r="L1382" t="s">
        <v>27</v>
      </c>
      <c r="M1382" t="s">
        <v>24</v>
      </c>
      <c r="N1382" t="s">
        <v>22</v>
      </c>
    </row>
    <row r="1383" spans="1:14">
      <c r="A1383" s="4" t="str">
        <f t="shared" si="117"/>
        <v>EXP00027</v>
      </c>
      <c r="B1383" s="4" t="str">
        <f t="shared" si="118"/>
        <v>23633021</v>
      </c>
      <c r="C1383" s="4" t="str">
        <f t="shared" si="119"/>
        <v>GSE15605</v>
      </c>
      <c r="D1383" s="1" t="s">
        <v>45</v>
      </c>
      <c r="E1383" t="s">
        <v>84</v>
      </c>
      <c r="F1383" s="1">
        <v>1</v>
      </c>
      <c r="G1383" s="1" t="s">
        <v>85</v>
      </c>
      <c r="H1383" s="4" t="str">
        <f>HYPERLINK("https://www.ncbi.nlm.nih.gov/geo/query/acc.cgi?acc=GSM390278","GSM390278")</f>
        <v>GSM390278</v>
      </c>
      <c r="I1383" t="s">
        <v>82</v>
      </c>
      <c r="J1383" t="s">
        <v>83</v>
      </c>
      <c r="K1383" t="s">
        <v>19</v>
      </c>
      <c r="L1383" t="s">
        <v>27</v>
      </c>
      <c r="M1383" t="s">
        <v>24</v>
      </c>
      <c r="N1383" t="s">
        <v>22</v>
      </c>
    </row>
    <row r="1384" spans="1:14">
      <c r="A1384" s="4" t="str">
        <f t="shared" si="117"/>
        <v>EXP00027</v>
      </c>
      <c r="B1384" s="4" t="str">
        <f t="shared" si="118"/>
        <v>23633021</v>
      </c>
      <c r="C1384" s="4" t="str">
        <f t="shared" si="119"/>
        <v>GSE15605</v>
      </c>
      <c r="D1384" s="1" t="s">
        <v>45</v>
      </c>
      <c r="E1384" t="s">
        <v>84</v>
      </c>
      <c r="F1384" s="1">
        <v>1</v>
      </c>
      <c r="G1384" s="1" t="s">
        <v>85</v>
      </c>
      <c r="H1384" s="4" t="str">
        <f>HYPERLINK("https://www.ncbi.nlm.nih.gov/geo/query/acc.cgi?acc=GSM390279","GSM390279")</f>
        <v>GSM390279</v>
      </c>
      <c r="I1384" t="s">
        <v>82</v>
      </c>
      <c r="J1384" t="s">
        <v>83</v>
      </c>
      <c r="K1384" t="s">
        <v>19</v>
      </c>
      <c r="L1384" t="s">
        <v>27</v>
      </c>
      <c r="M1384" t="s">
        <v>24</v>
      </c>
      <c r="N1384" t="s">
        <v>22</v>
      </c>
    </row>
    <row r="1385" spans="1:14">
      <c r="A1385" s="4" t="str">
        <f t="shared" si="117"/>
        <v>EXP00027</v>
      </c>
      <c r="B1385" s="4" t="str">
        <f t="shared" si="118"/>
        <v>23633021</v>
      </c>
      <c r="C1385" s="4" t="str">
        <f t="shared" si="119"/>
        <v>GSE15605</v>
      </c>
      <c r="D1385" s="1" t="s">
        <v>45</v>
      </c>
      <c r="E1385" t="s">
        <v>84</v>
      </c>
      <c r="F1385" s="1">
        <v>1</v>
      </c>
      <c r="G1385" s="1" t="s">
        <v>85</v>
      </c>
      <c r="H1385" s="4" t="str">
        <f>HYPERLINK("https://www.ncbi.nlm.nih.gov/geo/query/acc.cgi?acc=GSM390281","GSM390281")</f>
        <v>GSM390281</v>
      </c>
      <c r="I1385" t="s">
        <v>82</v>
      </c>
      <c r="J1385" t="s">
        <v>83</v>
      </c>
      <c r="K1385" t="s">
        <v>19</v>
      </c>
      <c r="L1385" t="s">
        <v>27</v>
      </c>
      <c r="M1385" t="s">
        <v>24</v>
      </c>
      <c r="N1385" t="s">
        <v>22</v>
      </c>
    </row>
    <row r="1386" spans="1:14">
      <c r="A1386" s="4" t="str">
        <f t="shared" si="117"/>
        <v>EXP00027</v>
      </c>
      <c r="B1386" s="4" t="str">
        <f t="shared" si="118"/>
        <v>23633021</v>
      </c>
      <c r="C1386" s="4" t="str">
        <f t="shared" si="119"/>
        <v>GSE15605</v>
      </c>
      <c r="D1386" s="1" t="s">
        <v>45</v>
      </c>
      <c r="E1386" t="s">
        <v>84</v>
      </c>
      <c r="F1386" s="1">
        <v>2</v>
      </c>
      <c r="G1386" s="1" t="s">
        <v>86</v>
      </c>
      <c r="H1386" s="4" t="str">
        <f>HYPERLINK("https://www.ncbi.nlm.nih.gov/geo/query/acc.cgi?acc=GSM390272","GSM390272")</f>
        <v>GSM390272</v>
      </c>
      <c r="I1386" t="s">
        <v>82</v>
      </c>
      <c r="J1386" t="s">
        <v>83</v>
      </c>
      <c r="K1386" t="s">
        <v>19</v>
      </c>
      <c r="L1386" t="s">
        <v>27</v>
      </c>
      <c r="M1386" t="s">
        <v>47</v>
      </c>
      <c r="N1386" t="s">
        <v>22</v>
      </c>
    </row>
    <row r="1387" spans="1:14">
      <c r="A1387" s="4" t="str">
        <f t="shared" si="117"/>
        <v>EXP00027</v>
      </c>
      <c r="B1387" s="4" t="str">
        <f t="shared" si="118"/>
        <v>23633021</v>
      </c>
      <c r="C1387" s="4" t="str">
        <f t="shared" si="119"/>
        <v>GSE15605</v>
      </c>
      <c r="D1387" s="1" t="s">
        <v>45</v>
      </c>
      <c r="E1387" t="s">
        <v>84</v>
      </c>
      <c r="F1387" s="1">
        <v>2</v>
      </c>
      <c r="G1387" s="1" t="s">
        <v>86</v>
      </c>
      <c r="H1387" s="4" t="str">
        <f>HYPERLINK("https://www.ncbi.nlm.nih.gov/geo/query/acc.cgi?acc=GSM390274","GSM390274")</f>
        <v>GSM390274</v>
      </c>
      <c r="I1387" t="s">
        <v>82</v>
      </c>
      <c r="J1387" t="s">
        <v>83</v>
      </c>
      <c r="K1387" t="s">
        <v>19</v>
      </c>
      <c r="L1387" t="s">
        <v>27</v>
      </c>
      <c r="M1387" t="s">
        <v>47</v>
      </c>
      <c r="N1387" t="s">
        <v>22</v>
      </c>
    </row>
    <row r="1388" spans="1:14">
      <c r="A1388" s="4" t="str">
        <f t="shared" si="117"/>
        <v>EXP00027</v>
      </c>
      <c r="B1388" s="4" t="str">
        <f t="shared" si="118"/>
        <v>23633021</v>
      </c>
      <c r="C1388" s="4" t="str">
        <f t="shared" si="119"/>
        <v>GSE15605</v>
      </c>
      <c r="D1388" s="1" t="s">
        <v>45</v>
      </c>
      <c r="E1388" t="s">
        <v>84</v>
      </c>
      <c r="F1388" s="1">
        <v>3</v>
      </c>
      <c r="G1388" s="1" t="s">
        <v>87</v>
      </c>
      <c r="H1388" s="4" t="str">
        <f>HYPERLINK("https://www.ncbi.nlm.nih.gov/geo/query/acc.cgi?acc=GSM390277","GSM390277")</f>
        <v>GSM390277</v>
      </c>
      <c r="I1388" t="s">
        <v>82</v>
      </c>
      <c r="J1388" t="s">
        <v>83</v>
      </c>
      <c r="K1388" t="s">
        <v>19</v>
      </c>
      <c r="L1388" t="s">
        <v>27</v>
      </c>
      <c r="M1388" t="s">
        <v>88</v>
      </c>
      <c r="N1388" t="s">
        <v>22</v>
      </c>
    </row>
    <row r="1389" spans="1:14">
      <c r="A1389" s="4" t="str">
        <f t="shared" si="117"/>
        <v>EXP00027</v>
      </c>
      <c r="B1389" s="4" t="str">
        <f t="shared" si="118"/>
        <v>23633021</v>
      </c>
      <c r="C1389" s="4" t="str">
        <f t="shared" si="119"/>
        <v>GSE15605</v>
      </c>
      <c r="D1389" s="1" t="s">
        <v>45</v>
      </c>
      <c r="E1389" t="s">
        <v>84</v>
      </c>
      <c r="F1389" s="1">
        <v>3</v>
      </c>
      <c r="G1389" s="1" t="s">
        <v>87</v>
      </c>
      <c r="H1389" s="4" t="str">
        <f>HYPERLINK("https://www.ncbi.nlm.nih.gov/geo/query/acc.cgi?acc=GSM390280","GSM390280")</f>
        <v>GSM390280</v>
      </c>
      <c r="I1389" t="s">
        <v>82</v>
      </c>
      <c r="J1389" t="s">
        <v>83</v>
      </c>
      <c r="K1389" t="s">
        <v>19</v>
      </c>
      <c r="L1389" t="s">
        <v>27</v>
      </c>
      <c r="M1389" t="s">
        <v>88</v>
      </c>
      <c r="N1389" t="s">
        <v>22</v>
      </c>
    </row>
    <row r="1390" spans="1:14">
      <c r="A1390" s="4" t="str">
        <f t="shared" ref="A1390:A1421" si="120">HYPERLINK("http://hcmdb.i-sanger.com/experiment/details/experiment_id/EXP00028","EXP00028")</f>
        <v>EXP00028</v>
      </c>
      <c r="B1390" s="4" t="str">
        <f t="shared" si="118"/>
        <v>23633021</v>
      </c>
      <c r="C1390" s="4" t="str">
        <f t="shared" si="119"/>
        <v>GSE15605</v>
      </c>
      <c r="D1390" s="1" t="s">
        <v>45</v>
      </c>
      <c r="E1390" t="s">
        <v>89</v>
      </c>
      <c r="F1390" s="1">
        <v>1</v>
      </c>
      <c r="G1390" s="1" t="s">
        <v>26</v>
      </c>
      <c r="H1390" s="4" t="str">
        <f>HYPERLINK("https://www.ncbi.nlm.nih.gov/geo/query/acc.cgi?acc=GSM390270","GSM390270")</f>
        <v>GSM390270</v>
      </c>
      <c r="I1390" t="s">
        <v>82</v>
      </c>
      <c r="J1390" t="s">
        <v>83</v>
      </c>
      <c r="K1390" t="s">
        <v>19</v>
      </c>
      <c r="L1390" t="s">
        <v>27</v>
      </c>
      <c r="M1390" t="s">
        <v>24</v>
      </c>
      <c r="N1390" t="s">
        <v>22</v>
      </c>
    </row>
    <row r="1391" spans="1:14">
      <c r="A1391" s="4" t="str">
        <f t="shared" si="120"/>
        <v>EXP00028</v>
      </c>
      <c r="B1391" s="4" t="str">
        <f t="shared" si="118"/>
        <v>23633021</v>
      </c>
      <c r="C1391" s="4" t="str">
        <f t="shared" si="119"/>
        <v>GSE15605</v>
      </c>
      <c r="D1391" s="1" t="s">
        <v>45</v>
      </c>
      <c r="E1391" t="s">
        <v>89</v>
      </c>
      <c r="F1391" s="1">
        <v>1</v>
      </c>
      <c r="G1391" s="1" t="s">
        <v>26</v>
      </c>
      <c r="H1391" s="4" t="str">
        <f>HYPERLINK("https://www.ncbi.nlm.nih.gov/geo/query/acc.cgi?acc=GSM390271","GSM390271")</f>
        <v>GSM390271</v>
      </c>
      <c r="I1391" t="s">
        <v>82</v>
      </c>
      <c r="J1391" t="s">
        <v>83</v>
      </c>
      <c r="K1391" t="s">
        <v>19</v>
      </c>
      <c r="L1391" t="s">
        <v>27</v>
      </c>
      <c r="M1391" t="s">
        <v>24</v>
      </c>
      <c r="N1391" t="s">
        <v>22</v>
      </c>
    </row>
    <row r="1392" spans="1:14">
      <c r="A1392" s="4" t="str">
        <f t="shared" si="120"/>
        <v>EXP00028</v>
      </c>
      <c r="B1392" s="4" t="str">
        <f t="shared" si="118"/>
        <v>23633021</v>
      </c>
      <c r="C1392" s="4" t="str">
        <f t="shared" si="119"/>
        <v>GSE15605</v>
      </c>
      <c r="D1392" s="1" t="s">
        <v>45</v>
      </c>
      <c r="E1392" t="s">
        <v>89</v>
      </c>
      <c r="F1392" s="1">
        <v>1</v>
      </c>
      <c r="G1392" s="1" t="s">
        <v>26</v>
      </c>
      <c r="H1392" s="4" t="str">
        <f>HYPERLINK("https://www.ncbi.nlm.nih.gov/geo/query/acc.cgi?acc=GSM390272","GSM390272")</f>
        <v>GSM390272</v>
      </c>
      <c r="I1392" t="s">
        <v>82</v>
      </c>
      <c r="J1392" t="s">
        <v>83</v>
      </c>
      <c r="K1392" t="s">
        <v>19</v>
      </c>
      <c r="L1392" t="s">
        <v>27</v>
      </c>
      <c r="M1392" t="s">
        <v>47</v>
      </c>
      <c r="N1392" t="s">
        <v>22</v>
      </c>
    </row>
    <row r="1393" spans="1:14">
      <c r="A1393" s="4" t="str">
        <f t="shared" si="120"/>
        <v>EXP00028</v>
      </c>
      <c r="B1393" s="4" t="str">
        <f t="shared" si="118"/>
        <v>23633021</v>
      </c>
      <c r="C1393" s="4" t="str">
        <f t="shared" si="119"/>
        <v>GSE15605</v>
      </c>
      <c r="D1393" s="1" t="s">
        <v>45</v>
      </c>
      <c r="E1393" t="s">
        <v>89</v>
      </c>
      <c r="F1393" s="1">
        <v>1</v>
      </c>
      <c r="G1393" s="1" t="s">
        <v>26</v>
      </c>
      <c r="H1393" s="4" t="str">
        <f>HYPERLINK("https://www.ncbi.nlm.nih.gov/geo/query/acc.cgi?acc=GSM390273","GSM390273")</f>
        <v>GSM390273</v>
      </c>
      <c r="I1393" t="s">
        <v>82</v>
      </c>
      <c r="J1393" t="s">
        <v>83</v>
      </c>
      <c r="K1393" t="s">
        <v>19</v>
      </c>
      <c r="L1393" t="s">
        <v>27</v>
      </c>
      <c r="M1393" t="s">
        <v>24</v>
      </c>
      <c r="N1393" t="s">
        <v>22</v>
      </c>
    </row>
    <row r="1394" spans="1:14">
      <c r="A1394" s="4" t="str">
        <f t="shared" si="120"/>
        <v>EXP00028</v>
      </c>
      <c r="B1394" s="4" t="str">
        <f t="shared" si="118"/>
        <v>23633021</v>
      </c>
      <c r="C1394" s="4" t="str">
        <f t="shared" si="119"/>
        <v>GSE15605</v>
      </c>
      <c r="D1394" s="1" t="s">
        <v>45</v>
      </c>
      <c r="E1394" t="s">
        <v>89</v>
      </c>
      <c r="F1394" s="1">
        <v>1</v>
      </c>
      <c r="G1394" s="1" t="s">
        <v>26</v>
      </c>
      <c r="H1394" s="4" t="str">
        <f>HYPERLINK("https://www.ncbi.nlm.nih.gov/geo/query/acc.cgi?acc=GSM390274","GSM390274")</f>
        <v>GSM390274</v>
      </c>
      <c r="I1394" t="s">
        <v>82</v>
      </c>
      <c r="J1394" t="s">
        <v>83</v>
      </c>
      <c r="K1394" t="s">
        <v>19</v>
      </c>
      <c r="L1394" t="s">
        <v>27</v>
      </c>
      <c r="M1394" t="s">
        <v>47</v>
      </c>
      <c r="N1394" t="s">
        <v>22</v>
      </c>
    </row>
    <row r="1395" spans="1:14">
      <c r="A1395" s="4" t="str">
        <f t="shared" si="120"/>
        <v>EXP00028</v>
      </c>
      <c r="B1395" s="4" t="str">
        <f t="shared" si="118"/>
        <v>23633021</v>
      </c>
      <c r="C1395" s="4" t="str">
        <f t="shared" si="119"/>
        <v>GSE15605</v>
      </c>
      <c r="D1395" s="1" t="s">
        <v>45</v>
      </c>
      <c r="E1395" t="s">
        <v>89</v>
      </c>
      <c r="F1395" s="1">
        <v>1</v>
      </c>
      <c r="G1395" s="1" t="s">
        <v>26</v>
      </c>
      <c r="H1395" s="4" t="str">
        <f>HYPERLINK("https://www.ncbi.nlm.nih.gov/geo/query/acc.cgi?acc=GSM390275","GSM390275")</f>
        <v>GSM390275</v>
      </c>
      <c r="I1395" t="s">
        <v>82</v>
      </c>
      <c r="J1395" t="s">
        <v>83</v>
      </c>
      <c r="K1395" t="s">
        <v>19</v>
      </c>
      <c r="L1395" t="s">
        <v>27</v>
      </c>
      <c r="M1395" t="s">
        <v>24</v>
      </c>
      <c r="N1395" t="s">
        <v>22</v>
      </c>
    </row>
    <row r="1396" spans="1:14">
      <c r="A1396" s="4" t="str">
        <f t="shared" si="120"/>
        <v>EXP00028</v>
      </c>
      <c r="B1396" s="4" t="str">
        <f t="shared" si="118"/>
        <v>23633021</v>
      </c>
      <c r="C1396" s="4" t="str">
        <f t="shared" si="119"/>
        <v>GSE15605</v>
      </c>
      <c r="D1396" s="1" t="s">
        <v>45</v>
      </c>
      <c r="E1396" t="s">
        <v>89</v>
      </c>
      <c r="F1396" s="1">
        <v>1</v>
      </c>
      <c r="G1396" s="1" t="s">
        <v>26</v>
      </c>
      <c r="H1396" s="4" t="str">
        <f>HYPERLINK("https://www.ncbi.nlm.nih.gov/geo/query/acc.cgi?acc=GSM390276","GSM390276")</f>
        <v>GSM390276</v>
      </c>
      <c r="I1396" t="s">
        <v>82</v>
      </c>
      <c r="J1396" t="s">
        <v>83</v>
      </c>
      <c r="K1396" t="s">
        <v>19</v>
      </c>
      <c r="L1396" t="s">
        <v>27</v>
      </c>
      <c r="M1396" t="s">
        <v>24</v>
      </c>
      <c r="N1396" t="s">
        <v>22</v>
      </c>
    </row>
    <row r="1397" spans="1:14">
      <c r="A1397" s="4" t="str">
        <f t="shared" si="120"/>
        <v>EXP00028</v>
      </c>
      <c r="B1397" s="4" t="str">
        <f t="shared" si="118"/>
        <v>23633021</v>
      </c>
      <c r="C1397" s="4" t="str">
        <f t="shared" si="119"/>
        <v>GSE15605</v>
      </c>
      <c r="D1397" s="1" t="s">
        <v>45</v>
      </c>
      <c r="E1397" t="s">
        <v>89</v>
      </c>
      <c r="F1397" s="1">
        <v>1</v>
      </c>
      <c r="G1397" s="1" t="s">
        <v>26</v>
      </c>
      <c r="H1397" s="4" t="str">
        <f>HYPERLINK("https://www.ncbi.nlm.nih.gov/geo/query/acc.cgi?acc=GSM390277","GSM390277")</f>
        <v>GSM390277</v>
      </c>
      <c r="I1397" t="s">
        <v>82</v>
      </c>
      <c r="J1397" t="s">
        <v>83</v>
      </c>
      <c r="K1397" t="s">
        <v>19</v>
      </c>
      <c r="L1397" t="s">
        <v>27</v>
      </c>
      <c r="M1397" t="s">
        <v>88</v>
      </c>
      <c r="N1397" t="s">
        <v>22</v>
      </c>
    </row>
    <row r="1398" spans="1:14">
      <c r="A1398" s="4" t="str">
        <f t="shared" si="120"/>
        <v>EXP00028</v>
      </c>
      <c r="B1398" s="4" t="str">
        <f t="shared" si="118"/>
        <v>23633021</v>
      </c>
      <c r="C1398" s="4" t="str">
        <f t="shared" si="119"/>
        <v>GSE15605</v>
      </c>
      <c r="D1398" s="1" t="s">
        <v>45</v>
      </c>
      <c r="E1398" t="s">
        <v>89</v>
      </c>
      <c r="F1398" s="1">
        <v>1</v>
      </c>
      <c r="G1398" s="1" t="s">
        <v>26</v>
      </c>
      <c r="H1398" s="4" t="str">
        <f>HYPERLINK("https://www.ncbi.nlm.nih.gov/geo/query/acc.cgi?acc=GSM390278","GSM390278")</f>
        <v>GSM390278</v>
      </c>
      <c r="I1398" t="s">
        <v>82</v>
      </c>
      <c r="J1398" t="s">
        <v>83</v>
      </c>
      <c r="K1398" t="s">
        <v>19</v>
      </c>
      <c r="L1398" t="s">
        <v>27</v>
      </c>
      <c r="M1398" t="s">
        <v>24</v>
      </c>
      <c r="N1398" t="s">
        <v>22</v>
      </c>
    </row>
    <row r="1399" spans="1:14">
      <c r="A1399" s="4" t="str">
        <f t="shared" si="120"/>
        <v>EXP00028</v>
      </c>
      <c r="B1399" s="4" t="str">
        <f t="shared" si="118"/>
        <v>23633021</v>
      </c>
      <c r="C1399" s="4" t="str">
        <f t="shared" si="119"/>
        <v>GSE15605</v>
      </c>
      <c r="D1399" s="1" t="s">
        <v>45</v>
      </c>
      <c r="E1399" t="s">
        <v>89</v>
      </c>
      <c r="F1399" s="1">
        <v>1</v>
      </c>
      <c r="G1399" s="1" t="s">
        <v>26</v>
      </c>
      <c r="H1399" s="4" t="str">
        <f>HYPERLINK("https://www.ncbi.nlm.nih.gov/geo/query/acc.cgi?acc=GSM390279","GSM390279")</f>
        <v>GSM390279</v>
      </c>
      <c r="I1399" t="s">
        <v>82</v>
      </c>
      <c r="J1399" t="s">
        <v>83</v>
      </c>
      <c r="K1399" t="s">
        <v>19</v>
      </c>
      <c r="L1399" t="s">
        <v>27</v>
      </c>
      <c r="M1399" t="s">
        <v>24</v>
      </c>
      <c r="N1399" t="s">
        <v>22</v>
      </c>
    </row>
    <row r="1400" spans="1:14">
      <c r="A1400" s="4" t="str">
        <f t="shared" si="120"/>
        <v>EXP00028</v>
      </c>
      <c r="B1400" s="4" t="str">
        <f t="shared" si="118"/>
        <v>23633021</v>
      </c>
      <c r="C1400" s="4" t="str">
        <f t="shared" si="119"/>
        <v>GSE15605</v>
      </c>
      <c r="D1400" s="1" t="s">
        <v>45</v>
      </c>
      <c r="E1400" t="s">
        <v>89</v>
      </c>
      <c r="F1400" s="1">
        <v>1</v>
      </c>
      <c r="G1400" s="1" t="s">
        <v>26</v>
      </c>
      <c r="H1400" s="4" t="str">
        <f>HYPERLINK("https://www.ncbi.nlm.nih.gov/geo/query/acc.cgi?acc=GSM390280","GSM390280")</f>
        <v>GSM390280</v>
      </c>
      <c r="I1400" t="s">
        <v>82</v>
      </c>
      <c r="J1400" t="s">
        <v>83</v>
      </c>
      <c r="K1400" t="s">
        <v>19</v>
      </c>
      <c r="L1400" t="s">
        <v>27</v>
      </c>
      <c r="M1400" t="s">
        <v>88</v>
      </c>
      <c r="N1400" t="s">
        <v>22</v>
      </c>
    </row>
    <row r="1401" spans="1:14">
      <c r="A1401" s="4" t="str">
        <f t="shared" si="120"/>
        <v>EXP00028</v>
      </c>
      <c r="B1401" s="4" t="str">
        <f t="shared" si="118"/>
        <v>23633021</v>
      </c>
      <c r="C1401" s="4" t="str">
        <f t="shared" si="119"/>
        <v>GSE15605</v>
      </c>
      <c r="D1401" s="1" t="s">
        <v>45</v>
      </c>
      <c r="E1401" t="s">
        <v>89</v>
      </c>
      <c r="F1401" s="1">
        <v>1</v>
      </c>
      <c r="G1401" s="1" t="s">
        <v>26</v>
      </c>
      <c r="H1401" s="4" t="str">
        <f>HYPERLINK("https://www.ncbi.nlm.nih.gov/geo/query/acc.cgi?acc=GSM390281","GSM390281")</f>
        <v>GSM390281</v>
      </c>
      <c r="I1401" t="s">
        <v>82</v>
      </c>
      <c r="J1401" t="s">
        <v>83</v>
      </c>
      <c r="K1401" t="s">
        <v>19</v>
      </c>
      <c r="L1401" t="s">
        <v>27</v>
      </c>
      <c r="M1401" t="s">
        <v>24</v>
      </c>
      <c r="N1401" t="s">
        <v>22</v>
      </c>
    </row>
    <row r="1402" spans="1:14">
      <c r="A1402" s="4" t="str">
        <f t="shared" si="120"/>
        <v>EXP00028</v>
      </c>
      <c r="B1402" s="4" t="str">
        <f t="shared" si="118"/>
        <v>23633021</v>
      </c>
      <c r="C1402" s="4" t="str">
        <f t="shared" si="119"/>
        <v>GSE15605</v>
      </c>
      <c r="D1402" s="1" t="s">
        <v>45</v>
      </c>
      <c r="E1402" t="s">
        <v>89</v>
      </c>
      <c r="F1402" s="1">
        <v>2</v>
      </c>
      <c r="G1402" s="1" t="s">
        <v>28</v>
      </c>
      <c r="H1402" s="4" t="str">
        <f>HYPERLINK("https://www.ncbi.nlm.nih.gov/geo/query/acc.cgi?acc=GSM390224","GSM390224")</f>
        <v>GSM390224</v>
      </c>
      <c r="I1402" t="s">
        <v>82</v>
      </c>
      <c r="J1402" t="s">
        <v>83</v>
      </c>
      <c r="K1402" t="s">
        <v>19</v>
      </c>
      <c r="L1402" t="s">
        <v>27</v>
      </c>
      <c r="M1402" t="s">
        <v>51</v>
      </c>
      <c r="N1402" t="s">
        <v>29</v>
      </c>
    </row>
    <row r="1403" spans="1:14">
      <c r="A1403" s="4" t="str">
        <f t="shared" si="120"/>
        <v>EXP00028</v>
      </c>
      <c r="B1403" s="4" t="str">
        <f t="shared" si="118"/>
        <v>23633021</v>
      </c>
      <c r="C1403" s="4" t="str">
        <f t="shared" si="119"/>
        <v>GSE15605</v>
      </c>
      <c r="D1403" s="1" t="s">
        <v>45</v>
      </c>
      <c r="E1403" t="s">
        <v>89</v>
      </c>
      <c r="F1403" s="1">
        <v>2</v>
      </c>
      <c r="G1403" s="1" t="s">
        <v>28</v>
      </c>
      <c r="H1403" s="4" t="str">
        <f>HYPERLINK("https://www.ncbi.nlm.nih.gov/geo/query/acc.cgi?acc=GSM390225","GSM390225")</f>
        <v>GSM390225</v>
      </c>
      <c r="I1403" t="s">
        <v>82</v>
      </c>
      <c r="J1403" t="s">
        <v>83</v>
      </c>
      <c r="K1403" t="s">
        <v>19</v>
      </c>
      <c r="L1403" t="s">
        <v>27</v>
      </c>
      <c r="M1403" t="s">
        <v>51</v>
      </c>
      <c r="N1403" t="s">
        <v>29</v>
      </c>
    </row>
    <row r="1404" spans="1:14">
      <c r="A1404" s="4" t="str">
        <f t="shared" si="120"/>
        <v>EXP00028</v>
      </c>
      <c r="B1404" s="4" t="str">
        <f t="shared" si="118"/>
        <v>23633021</v>
      </c>
      <c r="C1404" s="4" t="str">
        <f t="shared" si="119"/>
        <v>GSE15605</v>
      </c>
      <c r="D1404" s="1" t="s">
        <v>45</v>
      </c>
      <c r="E1404" t="s">
        <v>89</v>
      </c>
      <c r="F1404" s="1">
        <v>2</v>
      </c>
      <c r="G1404" s="1" t="s">
        <v>28</v>
      </c>
      <c r="H1404" s="4" t="str">
        <f>HYPERLINK("https://www.ncbi.nlm.nih.gov/geo/query/acc.cgi?acc=GSM390226","GSM390226")</f>
        <v>GSM390226</v>
      </c>
      <c r="I1404" t="s">
        <v>82</v>
      </c>
      <c r="J1404" t="s">
        <v>83</v>
      </c>
      <c r="K1404" t="s">
        <v>19</v>
      </c>
      <c r="L1404" t="s">
        <v>27</v>
      </c>
      <c r="M1404" t="s">
        <v>51</v>
      </c>
      <c r="N1404" t="s">
        <v>29</v>
      </c>
    </row>
    <row r="1405" spans="1:14">
      <c r="A1405" s="4" t="str">
        <f t="shared" si="120"/>
        <v>EXP00028</v>
      </c>
      <c r="B1405" s="4" t="str">
        <f t="shared" si="118"/>
        <v>23633021</v>
      </c>
      <c r="C1405" s="4" t="str">
        <f t="shared" si="119"/>
        <v>GSE15605</v>
      </c>
      <c r="D1405" s="1" t="s">
        <v>45</v>
      </c>
      <c r="E1405" t="s">
        <v>89</v>
      </c>
      <c r="F1405" s="1">
        <v>2</v>
      </c>
      <c r="G1405" s="1" t="s">
        <v>28</v>
      </c>
      <c r="H1405" s="4" t="str">
        <f>HYPERLINK("https://www.ncbi.nlm.nih.gov/geo/query/acc.cgi?acc=GSM390227","GSM390227")</f>
        <v>GSM390227</v>
      </c>
      <c r="I1405" t="s">
        <v>82</v>
      </c>
      <c r="J1405" t="s">
        <v>83</v>
      </c>
      <c r="K1405" t="s">
        <v>19</v>
      </c>
      <c r="L1405" t="s">
        <v>27</v>
      </c>
      <c r="M1405" t="s">
        <v>51</v>
      </c>
      <c r="N1405" t="s">
        <v>29</v>
      </c>
    </row>
    <row r="1406" spans="1:14">
      <c r="A1406" s="4" t="str">
        <f t="shared" si="120"/>
        <v>EXP00028</v>
      </c>
      <c r="B1406" s="4" t="str">
        <f t="shared" si="118"/>
        <v>23633021</v>
      </c>
      <c r="C1406" s="4" t="str">
        <f t="shared" si="119"/>
        <v>GSE15605</v>
      </c>
      <c r="D1406" s="1" t="s">
        <v>45</v>
      </c>
      <c r="E1406" t="s">
        <v>89</v>
      </c>
      <c r="F1406" s="1">
        <v>2</v>
      </c>
      <c r="G1406" s="1" t="s">
        <v>28</v>
      </c>
      <c r="H1406" s="4" t="str">
        <f>HYPERLINK("https://www.ncbi.nlm.nih.gov/geo/query/acc.cgi?acc=GSM390228","GSM390228")</f>
        <v>GSM390228</v>
      </c>
      <c r="I1406" t="s">
        <v>82</v>
      </c>
      <c r="J1406" t="s">
        <v>83</v>
      </c>
      <c r="K1406" t="s">
        <v>19</v>
      </c>
      <c r="L1406" t="s">
        <v>27</v>
      </c>
      <c r="M1406" t="s">
        <v>51</v>
      </c>
      <c r="N1406" t="s">
        <v>29</v>
      </c>
    </row>
    <row r="1407" spans="1:14">
      <c r="A1407" s="4" t="str">
        <f t="shared" si="120"/>
        <v>EXP00028</v>
      </c>
      <c r="B1407" s="4" t="str">
        <f t="shared" si="118"/>
        <v>23633021</v>
      </c>
      <c r="C1407" s="4" t="str">
        <f t="shared" si="119"/>
        <v>GSE15605</v>
      </c>
      <c r="D1407" s="1" t="s">
        <v>45</v>
      </c>
      <c r="E1407" t="s">
        <v>89</v>
      </c>
      <c r="F1407" s="1">
        <v>2</v>
      </c>
      <c r="G1407" s="1" t="s">
        <v>28</v>
      </c>
      <c r="H1407" s="4" t="str">
        <f>HYPERLINK("https://www.ncbi.nlm.nih.gov/geo/query/acc.cgi?acc=GSM390229","GSM390229")</f>
        <v>GSM390229</v>
      </c>
      <c r="I1407" t="s">
        <v>82</v>
      </c>
      <c r="J1407" t="s">
        <v>83</v>
      </c>
      <c r="K1407" t="s">
        <v>19</v>
      </c>
      <c r="L1407" t="s">
        <v>27</v>
      </c>
      <c r="M1407" t="s">
        <v>51</v>
      </c>
      <c r="N1407" t="s">
        <v>29</v>
      </c>
    </row>
    <row r="1408" spans="1:14">
      <c r="A1408" s="4" t="str">
        <f t="shared" si="120"/>
        <v>EXP00028</v>
      </c>
      <c r="B1408" s="4" t="str">
        <f t="shared" si="118"/>
        <v>23633021</v>
      </c>
      <c r="C1408" s="4" t="str">
        <f t="shared" si="119"/>
        <v>GSE15605</v>
      </c>
      <c r="D1408" s="1" t="s">
        <v>45</v>
      </c>
      <c r="E1408" t="s">
        <v>89</v>
      </c>
      <c r="F1408" s="1">
        <v>2</v>
      </c>
      <c r="G1408" s="1" t="s">
        <v>28</v>
      </c>
      <c r="H1408" s="4" t="str">
        <f>HYPERLINK("https://www.ncbi.nlm.nih.gov/geo/query/acc.cgi?acc=GSM390230","GSM390230")</f>
        <v>GSM390230</v>
      </c>
      <c r="I1408" t="s">
        <v>82</v>
      </c>
      <c r="J1408" t="s">
        <v>83</v>
      </c>
      <c r="K1408" t="s">
        <v>19</v>
      </c>
      <c r="L1408" t="s">
        <v>27</v>
      </c>
      <c r="M1408" t="s">
        <v>51</v>
      </c>
      <c r="N1408" t="s">
        <v>29</v>
      </c>
    </row>
    <row r="1409" spans="1:14">
      <c r="A1409" s="4" t="str">
        <f t="shared" si="120"/>
        <v>EXP00028</v>
      </c>
      <c r="B1409" s="4" t="str">
        <f t="shared" si="118"/>
        <v>23633021</v>
      </c>
      <c r="C1409" s="4" t="str">
        <f t="shared" si="119"/>
        <v>GSE15605</v>
      </c>
      <c r="D1409" s="1" t="s">
        <v>45</v>
      </c>
      <c r="E1409" t="s">
        <v>89</v>
      </c>
      <c r="F1409" s="1">
        <v>2</v>
      </c>
      <c r="G1409" s="1" t="s">
        <v>28</v>
      </c>
      <c r="H1409" s="4" t="str">
        <f>HYPERLINK("https://www.ncbi.nlm.nih.gov/geo/query/acc.cgi?acc=GSM390231","GSM390231")</f>
        <v>GSM390231</v>
      </c>
      <c r="I1409" t="s">
        <v>82</v>
      </c>
      <c r="J1409" t="s">
        <v>83</v>
      </c>
      <c r="K1409" t="s">
        <v>19</v>
      </c>
      <c r="L1409" t="s">
        <v>27</v>
      </c>
      <c r="M1409" t="s">
        <v>51</v>
      </c>
      <c r="N1409" t="s">
        <v>29</v>
      </c>
    </row>
    <row r="1410" spans="1:14">
      <c r="A1410" s="4" t="str">
        <f t="shared" si="120"/>
        <v>EXP00028</v>
      </c>
      <c r="B1410" s="4" t="str">
        <f t="shared" si="118"/>
        <v>23633021</v>
      </c>
      <c r="C1410" s="4" t="str">
        <f t="shared" si="119"/>
        <v>GSE15605</v>
      </c>
      <c r="D1410" s="1" t="s">
        <v>45</v>
      </c>
      <c r="E1410" t="s">
        <v>89</v>
      </c>
      <c r="F1410" s="1">
        <v>2</v>
      </c>
      <c r="G1410" s="1" t="s">
        <v>28</v>
      </c>
      <c r="H1410" s="4" t="str">
        <f>HYPERLINK("https://www.ncbi.nlm.nih.gov/geo/query/acc.cgi?acc=GSM390232","GSM390232")</f>
        <v>GSM390232</v>
      </c>
      <c r="I1410" t="s">
        <v>82</v>
      </c>
      <c r="J1410" t="s">
        <v>83</v>
      </c>
      <c r="K1410" t="s">
        <v>19</v>
      </c>
      <c r="L1410" t="s">
        <v>27</v>
      </c>
      <c r="M1410" t="s">
        <v>51</v>
      </c>
      <c r="N1410" t="s">
        <v>29</v>
      </c>
    </row>
    <row r="1411" spans="1:14">
      <c r="A1411" s="4" t="str">
        <f t="shared" si="120"/>
        <v>EXP00028</v>
      </c>
      <c r="B1411" s="4" t="str">
        <f t="shared" si="118"/>
        <v>23633021</v>
      </c>
      <c r="C1411" s="4" t="str">
        <f t="shared" si="119"/>
        <v>GSE15605</v>
      </c>
      <c r="D1411" s="1" t="s">
        <v>45</v>
      </c>
      <c r="E1411" t="s">
        <v>89</v>
      </c>
      <c r="F1411" s="1">
        <v>2</v>
      </c>
      <c r="G1411" s="1" t="s">
        <v>28</v>
      </c>
      <c r="H1411" s="4" t="str">
        <f>HYPERLINK("https://www.ncbi.nlm.nih.gov/geo/query/acc.cgi?acc=GSM390233","GSM390233")</f>
        <v>GSM390233</v>
      </c>
      <c r="I1411" t="s">
        <v>82</v>
      </c>
      <c r="J1411" t="s">
        <v>83</v>
      </c>
      <c r="K1411" t="s">
        <v>19</v>
      </c>
      <c r="L1411" t="s">
        <v>27</v>
      </c>
      <c r="M1411" t="s">
        <v>51</v>
      </c>
      <c r="N1411" t="s">
        <v>29</v>
      </c>
    </row>
    <row r="1412" spans="1:14">
      <c r="A1412" s="4" t="str">
        <f t="shared" si="120"/>
        <v>EXP00028</v>
      </c>
      <c r="B1412" s="4" t="str">
        <f t="shared" ref="B1412:B1447" si="121">HYPERLINK("https://www.ncbi.nlm.nih.gov/pubmed/23633021","23633021")</f>
        <v>23633021</v>
      </c>
      <c r="C1412" s="4" t="str">
        <f t="shared" ref="C1412:C1447" si="122">HYPERLINK("https://www.ncbi.nlm.nih.gov/geo/query/acc.cgi?acc=GSE15605","GSE15605")</f>
        <v>GSE15605</v>
      </c>
      <c r="D1412" s="1" t="s">
        <v>45</v>
      </c>
      <c r="E1412" t="s">
        <v>89</v>
      </c>
      <c r="F1412" s="1">
        <v>2</v>
      </c>
      <c r="G1412" s="1" t="s">
        <v>28</v>
      </c>
      <c r="H1412" s="4" t="str">
        <f>HYPERLINK("https://www.ncbi.nlm.nih.gov/geo/query/acc.cgi?acc=GSM390234","GSM390234")</f>
        <v>GSM390234</v>
      </c>
      <c r="I1412" t="s">
        <v>82</v>
      </c>
      <c r="J1412" t="s">
        <v>83</v>
      </c>
      <c r="K1412" t="s">
        <v>19</v>
      </c>
      <c r="L1412" t="s">
        <v>27</v>
      </c>
      <c r="M1412" t="s">
        <v>51</v>
      </c>
      <c r="N1412" t="s">
        <v>29</v>
      </c>
    </row>
    <row r="1413" spans="1:14">
      <c r="A1413" s="4" t="str">
        <f t="shared" si="120"/>
        <v>EXP00028</v>
      </c>
      <c r="B1413" s="4" t="str">
        <f t="shared" si="121"/>
        <v>23633021</v>
      </c>
      <c r="C1413" s="4" t="str">
        <f t="shared" si="122"/>
        <v>GSE15605</v>
      </c>
      <c r="D1413" s="1" t="s">
        <v>45</v>
      </c>
      <c r="E1413" t="s">
        <v>89</v>
      </c>
      <c r="F1413" s="1">
        <v>2</v>
      </c>
      <c r="G1413" s="1" t="s">
        <v>28</v>
      </c>
      <c r="H1413" s="4" t="str">
        <f>HYPERLINK("https://www.ncbi.nlm.nih.gov/geo/query/acc.cgi?acc=GSM390235","GSM390235")</f>
        <v>GSM390235</v>
      </c>
      <c r="I1413" t="s">
        <v>82</v>
      </c>
      <c r="J1413" t="s">
        <v>83</v>
      </c>
      <c r="K1413" t="s">
        <v>19</v>
      </c>
      <c r="L1413" t="s">
        <v>27</v>
      </c>
      <c r="M1413" t="s">
        <v>51</v>
      </c>
      <c r="N1413" t="s">
        <v>29</v>
      </c>
    </row>
    <row r="1414" spans="1:14">
      <c r="A1414" s="4" t="str">
        <f t="shared" si="120"/>
        <v>EXP00028</v>
      </c>
      <c r="B1414" s="4" t="str">
        <f t="shared" si="121"/>
        <v>23633021</v>
      </c>
      <c r="C1414" s="4" t="str">
        <f t="shared" si="122"/>
        <v>GSE15605</v>
      </c>
      <c r="D1414" s="1" t="s">
        <v>45</v>
      </c>
      <c r="E1414" t="s">
        <v>89</v>
      </c>
      <c r="F1414" s="1">
        <v>2</v>
      </c>
      <c r="G1414" s="1" t="s">
        <v>28</v>
      </c>
      <c r="H1414" s="4" t="str">
        <f>HYPERLINK("https://www.ncbi.nlm.nih.gov/geo/query/acc.cgi?acc=GSM390236","GSM390236")</f>
        <v>GSM390236</v>
      </c>
      <c r="I1414" t="s">
        <v>82</v>
      </c>
      <c r="J1414" t="s">
        <v>83</v>
      </c>
      <c r="K1414" t="s">
        <v>19</v>
      </c>
      <c r="L1414" t="s">
        <v>27</v>
      </c>
      <c r="M1414" t="s">
        <v>51</v>
      </c>
      <c r="N1414" t="s">
        <v>29</v>
      </c>
    </row>
    <row r="1415" spans="1:14">
      <c r="A1415" s="4" t="str">
        <f t="shared" si="120"/>
        <v>EXP00028</v>
      </c>
      <c r="B1415" s="4" t="str">
        <f t="shared" si="121"/>
        <v>23633021</v>
      </c>
      <c r="C1415" s="4" t="str">
        <f t="shared" si="122"/>
        <v>GSE15605</v>
      </c>
      <c r="D1415" s="1" t="s">
        <v>45</v>
      </c>
      <c r="E1415" t="s">
        <v>89</v>
      </c>
      <c r="F1415" s="1">
        <v>2</v>
      </c>
      <c r="G1415" s="1" t="s">
        <v>28</v>
      </c>
      <c r="H1415" s="4" t="str">
        <f>HYPERLINK("https://www.ncbi.nlm.nih.gov/geo/query/acc.cgi?acc=GSM390237","GSM390237")</f>
        <v>GSM390237</v>
      </c>
      <c r="I1415" t="s">
        <v>82</v>
      </c>
      <c r="J1415" t="s">
        <v>83</v>
      </c>
      <c r="K1415" t="s">
        <v>19</v>
      </c>
      <c r="L1415" t="s">
        <v>27</v>
      </c>
      <c r="M1415" t="s">
        <v>51</v>
      </c>
      <c r="N1415" t="s">
        <v>29</v>
      </c>
    </row>
    <row r="1416" spans="1:14">
      <c r="A1416" s="4" t="str">
        <f t="shared" si="120"/>
        <v>EXP00028</v>
      </c>
      <c r="B1416" s="4" t="str">
        <f t="shared" si="121"/>
        <v>23633021</v>
      </c>
      <c r="C1416" s="4" t="str">
        <f t="shared" si="122"/>
        <v>GSE15605</v>
      </c>
      <c r="D1416" s="1" t="s">
        <v>45</v>
      </c>
      <c r="E1416" t="s">
        <v>89</v>
      </c>
      <c r="F1416" s="1">
        <v>2</v>
      </c>
      <c r="G1416" s="1" t="s">
        <v>28</v>
      </c>
      <c r="H1416" s="4" t="str">
        <f>HYPERLINK("https://www.ncbi.nlm.nih.gov/geo/query/acc.cgi?acc=GSM390238","GSM390238")</f>
        <v>GSM390238</v>
      </c>
      <c r="I1416" t="s">
        <v>82</v>
      </c>
      <c r="J1416" t="s">
        <v>83</v>
      </c>
      <c r="K1416" t="s">
        <v>19</v>
      </c>
      <c r="L1416" t="s">
        <v>27</v>
      </c>
      <c r="M1416" t="s">
        <v>51</v>
      </c>
      <c r="N1416" t="s">
        <v>29</v>
      </c>
    </row>
    <row r="1417" spans="1:14">
      <c r="A1417" s="4" t="str">
        <f t="shared" si="120"/>
        <v>EXP00028</v>
      </c>
      <c r="B1417" s="4" t="str">
        <f t="shared" si="121"/>
        <v>23633021</v>
      </c>
      <c r="C1417" s="4" t="str">
        <f t="shared" si="122"/>
        <v>GSE15605</v>
      </c>
      <c r="D1417" s="1" t="s">
        <v>45</v>
      </c>
      <c r="E1417" t="s">
        <v>89</v>
      </c>
      <c r="F1417" s="1">
        <v>2</v>
      </c>
      <c r="G1417" s="1" t="s">
        <v>28</v>
      </c>
      <c r="H1417" s="4" t="str">
        <f>HYPERLINK("https://www.ncbi.nlm.nih.gov/geo/query/acc.cgi?acc=GSM390239","GSM390239")</f>
        <v>GSM390239</v>
      </c>
      <c r="I1417" t="s">
        <v>82</v>
      </c>
      <c r="J1417" t="s">
        <v>83</v>
      </c>
      <c r="K1417" t="s">
        <v>19</v>
      </c>
      <c r="L1417" t="s">
        <v>27</v>
      </c>
      <c r="M1417" t="s">
        <v>51</v>
      </c>
      <c r="N1417" t="s">
        <v>29</v>
      </c>
    </row>
    <row r="1418" spans="1:14">
      <c r="A1418" s="4" t="str">
        <f t="shared" si="120"/>
        <v>EXP00028</v>
      </c>
      <c r="B1418" s="4" t="str">
        <f t="shared" si="121"/>
        <v>23633021</v>
      </c>
      <c r="C1418" s="4" t="str">
        <f t="shared" si="122"/>
        <v>GSE15605</v>
      </c>
      <c r="D1418" s="1" t="s">
        <v>45</v>
      </c>
      <c r="E1418" t="s">
        <v>89</v>
      </c>
      <c r="F1418" s="1">
        <v>2</v>
      </c>
      <c r="G1418" s="1" t="s">
        <v>28</v>
      </c>
      <c r="H1418" s="4" t="str">
        <f>HYPERLINK("https://www.ncbi.nlm.nih.gov/geo/query/acc.cgi?acc=GSM390240","GSM390240")</f>
        <v>GSM390240</v>
      </c>
      <c r="I1418" t="s">
        <v>82</v>
      </c>
      <c r="J1418" t="s">
        <v>83</v>
      </c>
      <c r="K1418" t="s">
        <v>19</v>
      </c>
      <c r="L1418" t="s">
        <v>27</v>
      </c>
      <c r="M1418" t="s">
        <v>51</v>
      </c>
      <c r="N1418" t="s">
        <v>29</v>
      </c>
    </row>
    <row r="1419" spans="1:14">
      <c r="A1419" s="4" t="str">
        <f t="shared" si="120"/>
        <v>EXP00028</v>
      </c>
      <c r="B1419" s="4" t="str">
        <f t="shared" si="121"/>
        <v>23633021</v>
      </c>
      <c r="C1419" s="4" t="str">
        <f t="shared" si="122"/>
        <v>GSE15605</v>
      </c>
      <c r="D1419" s="1" t="s">
        <v>45</v>
      </c>
      <c r="E1419" t="s">
        <v>89</v>
      </c>
      <c r="F1419" s="1">
        <v>2</v>
      </c>
      <c r="G1419" s="1" t="s">
        <v>28</v>
      </c>
      <c r="H1419" s="4" t="str">
        <f>HYPERLINK("https://www.ncbi.nlm.nih.gov/geo/query/acc.cgi?acc=GSM390241","GSM390241")</f>
        <v>GSM390241</v>
      </c>
      <c r="I1419" t="s">
        <v>82</v>
      </c>
      <c r="J1419" t="s">
        <v>83</v>
      </c>
      <c r="K1419" t="s">
        <v>19</v>
      </c>
      <c r="L1419" t="s">
        <v>27</v>
      </c>
      <c r="M1419" t="s">
        <v>51</v>
      </c>
      <c r="N1419" t="s">
        <v>29</v>
      </c>
    </row>
    <row r="1420" spans="1:14">
      <c r="A1420" s="4" t="str">
        <f t="shared" si="120"/>
        <v>EXP00028</v>
      </c>
      <c r="B1420" s="4" t="str">
        <f t="shared" si="121"/>
        <v>23633021</v>
      </c>
      <c r="C1420" s="4" t="str">
        <f t="shared" si="122"/>
        <v>GSE15605</v>
      </c>
      <c r="D1420" s="1" t="s">
        <v>45</v>
      </c>
      <c r="E1420" t="s">
        <v>89</v>
      </c>
      <c r="F1420" s="1">
        <v>2</v>
      </c>
      <c r="G1420" s="1" t="s">
        <v>28</v>
      </c>
      <c r="H1420" s="4" t="str">
        <f>HYPERLINK("https://www.ncbi.nlm.nih.gov/geo/query/acc.cgi?acc=GSM390242","GSM390242")</f>
        <v>GSM390242</v>
      </c>
      <c r="I1420" t="s">
        <v>82</v>
      </c>
      <c r="J1420" t="s">
        <v>83</v>
      </c>
      <c r="K1420" t="s">
        <v>19</v>
      </c>
      <c r="L1420" t="s">
        <v>27</v>
      </c>
      <c r="M1420" t="s">
        <v>51</v>
      </c>
      <c r="N1420" t="s">
        <v>29</v>
      </c>
    </row>
    <row r="1421" spans="1:14">
      <c r="A1421" s="4" t="str">
        <f t="shared" si="120"/>
        <v>EXP00028</v>
      </c>
      <c r="B1421" s="4" t="str">
        <f t="shared" si="121"/>
        <v>23633021</v>
      </c>
      <c r="C1421" s="4" t="str">
        <f t="shared" si="122"/>
        <v>GSE15605</v>
      </c>
      <c r="D1421" s="1" t="s">
        <v>45</v>
      </c>
      <c r="E1421" t="s">
        <v>89</v>
      </c>
      <c r="F1421" s="1">
        <v>2</v>
      </c>
      <c r="G1421" s="1" t="s">
        <v>28</v>
      </c>
      <c r="H1421" s="4" t="str">
        <f>HYPERLINK("https://www.ncbi.nlm.nih.gov/geo/query/acc.cgi?acc=GSM390243","GSM390243")</f>
        <v>GSM390243</v>
      </c>
      <c r="I1421" t="s">
        <v>82</v>
      </c>
      <c r="J1421" t="s">
        <v>83</v>
      </c>
      <c r="K1421" t="s">
        <v>19</v>
      </c>
      <c r="L1421" t="s">
        <v>27</v>
      </c>
      <c r="M1421" t="s">
        <v>51</v>
      </c>
      <c r="N1421" t="s">
        <v>29</v>
      </c>
    </row>
    <row r="1422" spans="1:14">
      <c r="A1422" s="4" t="str">
        <f t="shared" ref="A1422:A1447" si="123">HYPERLINK("http://hcmdb.i-sanger.com/experiment/details/experiment_id/EXP00028","EXP00028")</f>
        <v>EXP00028</v>
      </c>
      <c r="B1422" s="4" t="str">
        <f t="shared" si="121"/>
        <v>23633021</v>
      </c>
      <c r="C1422" s="4" t="str">
        <f t="shared" si="122"/>
        <v>GSE15605</v>
      </c>
      <c r="D1422" s="1" t="s">
        <v>45</v>
      </c>
      <c r="E1422" t="s">
        <v>89</v>
      </c>
      <c r="F1422" s="1">
        <v>2</v>
      </c>
      <c r="G1422" s="1" t="s">
        <v>28</v>
      </c>
      <c r="H1422" s="4" t="str">
        <f>HYPERLINK("https://www.ncbi.nlm.nih.gov/geo/query/acc.cgi?acc=GSM390244","GSM390244")</f>
        <v>GSM390244</v>
      </c>
      <c r="I1422" t="s">
        <v>82</v>
      </c>
      <c r="J1422" t="s">
        <v>83</v>
      </c>
      <c r="K1422" t="s">
        <v>19</v>
      </c>
      <c r="L1422" t="s">
        <v>27</v>
      </c>
      <c r="M1422" t="s">
        <v>51</v>
      </c>
      <c r="N1422" t="s">
        <v>29</v>
      </c>
    </row>
    <row r="1423" spans="1:14">
      <c r="A1423" s="4" t="str">
        <f t="shared" si="123"/>
        <v>EXP00028</v>
      </c>
      <c r="B1423" s="4" t="str">
        <f t="shared" si="121"/>
        <v>23633021</v>
      </c>
      <c r="C1423" s="4" t="str">
        <f t="shared" si="122"/>
        <v>GSE15605</v>
      </c>
      <c r="D1423" s="1" t="s">
        <v>45</v>
      </c>
      <c r="E1423" t="s">
        <v>89</v>
      </c>
      <c r="F1423" s="1">
        <v>2</v>
      </c>
      <c r="G1423" s="1" t="s">
        <v>28</v>
      </c>
      <c r="H1423" s="4" t="str">
        <f>HYPERLINK("https://www.ncbi.nlm.nih.gov/geo/query/acc.cgi?acc=GSM390245","GSM390245")</f>
        <v>GSM390245</v>
      </c>
      <c r="I1423" t="s">
        <v>82</v>
      </c>
      <c r="J1423" t="s">
        <v>83</v>
      </c>
      <c r="K1423" t="s">
        <v>19</v>
      </c>
      <c r="L1423" t="s">
        <v>27</v>
      </c>
      <c r="M1423" t="s">
        <v>51</v>
      </c>
      <c r="N1423" t="s">
        <v>29</v>
      </c>
    </row>
    <row r="1424" spans="1:14">
      <c r="A1424" s="4" t="str">
        <f t="shared" si="123"/>
        <v>EXP00028</v>
      </c>
      <c r="B1424" s="4" t="str">
        <f t="shared" si="121"/>
        <v>23633021</v>
      </c>
      <c r="C1424" s="4" t="str">
        <f t="shared" si="122"/>
        <v>GSE15605</v>
      </c>
      <c r="D1424" s="1" t="s">
        <v>45</v>
      </c>
      <c r="E1424" t="s">
        <v>89</v>
      </c>
      <c r="F1424" s="1">
        <v>2</v>
      </c>
      <c r="G1424" s="1" t="s">
        <v>28</v>
      </c>
      <c r="H1424" s="4" t="str">
        <f>HYPERLINK("https://www.ncbi.nlm.nih.gov/geo/query/acc.cgi?acc=GSM390246","GSM390246")</f>
        <v>GSM390246</v>
      </c>
      <c r="I1424" t="s">
        <v>82</v>
      </c>
      <c r="J1424" t="s">
        <v>83</v>
      </c>
      <c r="K1424" t="s">
        <v>19</v>
      </c>
      <c r="L1424" t="s">
        <v>27</v>
      </c>
      <c r="M1424" t="s">
        <v>51</v>
      </c>
      <c r="N1424" t="s">
        <v>29</v>
      </c>
    </row>
    <row r="1425" spans="1:14">
      <c r="A1425" s="4" t="str">
        <f t="shared" si="123"/>
        <v>EXP00028</v>
      </c>
      <c r="B1425" s="4" t="str">
        <f t="shared" si="121"/>
        <v>23633021</v>
      </c>
      <c r="C1425" s="4" t="str">
        <f t="shared" si="122"/>
        <v>GSE15605</v>
      </c>
      <c r="D1425" s="1" t="s">
        <v>45</v>
      </c>
      <c r="E1425" t="s">
        <v>89</v>
      </c>
      <c r="F1425" s="1">
        <v>2</v>
      </c>
      <c r="G1425" s="1" t="s">
        <v>28</v>
      </c>
      <c r="H1425" s="4" t="str">
        <f>HYPERLINK("https://www.ncbi.nlm.nih.gov/geo/query/acc.cgi?acc=GSM390247","GSM390247")</f>
        <v>GSM390247</v>
      </c>
      <c r="I1425" t="s">
        <v>82</v>
      </c>
      <c r="J1425" t="s">
        <v>83</v>
      </c>
      <c r="K1425" t="s">
        <v>19</v>
      </c>
      <c r="L1425" t="s">
        <v>27</v>
      </c>
      <c r="M1425" t="s">
        <v>51</v>
      </c>
      <c r="N1425" t="s">
        <v>29</v>
      </c>
    </row>
    <row r="1426" spans="1:14">
      <c r="A1426" s="4" t="str">
        <f t="shared" si="123"/>
        <v>EXP00028</v>
      </c>
      <c r="B1426" s="4" t="str">
        <f t="shared" si="121"/>
        <v>23633021</v>
      </c>
      <c r="C1426" s="4" t="str">
        <f t="shared" si="122"/>
        <v>GSE15605</v>
      </c>
      <c r="D1426" s="1" t="s">
        <v>45</v>
      </c>
      <c r="E1426" t="s">
        <v>89</v>
      </c>
      <c r="F1426" s="1">
        <v>2</v>
      </c>
      <c r="G1426" s="1" t="s">
        <v>28</v>
      </c>
      <c r="H1426" s="4" t="str">
        <f>HYPERLINK("https://www.ncbi.nlm.nih.gov/geo/query/acc.cgi?acc=GSM390248","GSM390248")</f>
        <v>GSM390248</v>
      </c>
      <c r="I1426" t="s">
        <v>82</v>
      </c>
      <c r="J1426" t="s">
        <v>83</v>
      </c>
      <c r="K1426" t="s">
        <v>19</v>
      </c>
      <c r="L1426" t="s">
        <v>27</v>
      </c>
      <c r="M1426" t="s">
        <v>51</v>
      </c>
      <c r="N1426" t="s">
        <v>29</v>
      </c>
    </row>
    <row r="1427" spans="1:14">
      <c r="A1427" s="4" t="str">
        <f t="shared" si="123"/>
        <v>EXP00028</v>
      </c>
      <c r="B1427" s="4" t="str">
        <f t="shared" si="121"/>
        <v>23633021</v>
      </c>
      <c r="C1427" s="4" t="str">
        <f t="shared" si="122"/>
        <v>GSE15605</v>
      </c>
      <c r="D1427" s="1" t="s">
        <v>45</v>
      </c>
      <c r="E1427" t="s">
        <v>89</v>
      </c>
      <c r="F1427" s="1">
        <v>2</v>
      </c>
      <c r="G1427" s="1" t="s">
        <v>28</v>
      </c>
      <c r="H1427" s="4" t="str">
        <f>HYPERLINK("https://www.ncbi.nlm.nih.gov/geo/query/acc.cgi?acc=GSM390249","GSM390249")</f>
        <v>GSM390249</v>
      </c>
      <c r="I1427" t="s">
        <v>82</v>
      </c>
      <c r="J1427" t="s">
        <v>83</v>
      </c>
      <c r="K1427" t="s">
        <v>19</v>
      </c>
      <c r="L1427" t="s">
        <v>27</v>
      </c>
      <c r="M1427" t="s">
        <v>51</v>
      </c>
      <c r="N1427" t="s">
        <v>29</v>
      </c>
    </row>
    <row r="1428" spans="1:14">
      <c r="A1428" s="4" t="str">
        <f t="shared" si="123"/>
        <v>EXP00028</v>
      </c>
      <c r="B1428" s="4" t="str">
        <f t="shared" si="121"/>
        <v>23633021</v>
      </c>
      <c r="C1428" s="4" t="str">
        <f t="shared" si="122"/>
        <v>GSE15605</v>
      </c>
      <c r="D1428" s="1" t="s">
        <v>45</v>
      </c>
      <c r="E1428" t="s">
        <v>89</v>
      </c>
      <c r="F1428" s="1">
        <v>2</v>
      </c>
      <c r="G1428" s="1" t="s">
        <v>28</v>
      </c>
      <c r="H1428" s="4" t="str">
        <f>HYPERLINK("https://www.ncbi.nlm.nih.gov/geo/query/acc.cgi?acc=GSM390250","GSM390250")</f>
        <v>GSM390250</v>
      </c>
      <c r="I1428" t="s">
        <v>82</v>
      </c>
      <c r="J1428" t="s">
        <v>83</v>
      </c>
      <c r="K1428" t="s">
        <v>19</v>
      </c>
      <c r="L1428" t="s">
        <v>27</v>
      </c>
      <c r="M1428" t="s">
        <v>51</v>
      </c>
      <c r="N1428" t="s">
        <v>29</v>
      </c>
    </row>
    <row r="1429" spans="1:14">
      <c r="A1429" s="4" t="str">
        <f t="shared" si="123"/>
        <v>EXP00028</v>
      </c>
      <c r="B1429" s="4" t="str">
        <f t="shared" si="121"/>
        <v>23633021</v>
      </c>
      <c r="C1429" s="4" t="str">
        <f t="shared" si="122"/>
        <v>GSE15605</v>
      </c>
      <c r="D1429" s="1" t="s">
        <v>45</v>
      </c>
      <c r="E1429" t="s">
        <v>89</v>
      </c>
      <c r="F1429" s="1">
        <v>2</v>
      </c>
      <c r="G1429" s="1" t="s">
        <v>28</v>
      </c>
      <c r="H1429" s="4" t="str">
        <f>HYPERLINK("https://www.ncbi.nlm.nih.gov/geo/query/acc.cgi?acc=GSM390251","GSM390251")</f>
        <v>GSM390251</v>
      </c>
      <c r="I1429" t="s">
        <v>82</v>
      </c>
      <c r="J1429" t="s">
        <v>83</v>
      </c>
      <c r="K1429" t="s">
        <v>19</v>
      </c>
      <c r="L1429" t="s">
        <v>27</v>
      </c>
      <c r="M1429" t="s">
        <v>51</v>
      </c>
      <c r="N1429" t="s">
        <v>29</v>
      </c>
    </row>
    <row r="1430" spans="1:14">
      <c r="A1430" s="4" t="str">
        <f t="shared" si="123"/>
        <v>EXP00028</v>
      </c>
      <c r="B1430" s="4" t="str">
        <f t="shared" si="121"/>
        <v>23633021</v>
      </c>
      <c r="C1430" s="4" t="str">
        <f t="shared" si="122"/>
        <v>GSE15605</v>
      </c>
      <c r="D1430" s="1" t="s">
        <v>45</v>
      </c>
      <c r="E1430" t="s">
        <v>89</v>
      </c>
      <c r="F1430" s="1">
        <v>2</v>
      </c>
      <c r="G1430" s="1" t="s">
        <v>28</v>
      </c>
      <c r="H1430" s="4" t="str">
        <f>HYPERLINK("https://www.ncbi.nlm.nih.gov/geo/query/acc.cgi?acc=GSM390252","GSM390252")</f>
        <v>GSM390252</v>
      </c>
      <c r="I1430" t="s">
        <v>82</v>
      </c>
      <c r="J1430" t="s">
        <v>83</v>
      </c>
      <c r="K1430" t="s">
        <v>19</v>
      </c>
      <c r="L1430" t="s">
        <v>27</v>
      </c>
      <c r="M1430" t="s">
        <v>51</v>
      </c>
      <c r="N1430" t="s">
        <v>29</v>
      </c>
    </row>
    <row r="1431" spans="1:14">
      <c r="A1431" s="4" t="str">
        <f t="shared" si="123"/>
        <v>EXP00028</v>
      </c>
      <c r="B1431" s="4" t="str">
        <f t="shared" si="121"/>
        <v>23633021</v>
      </c>
      <c r="C1431" s="4" t="str">
        <f t="shared" si="122"/>
        <v>GSE15605</v>
      </c>
      <c r="D1431" s="1" t="s">
        <v>45</v>
      </c>
      <c r="E1431" t="s">
        <v>89</v>
      </c>
      <c r="F1431" s="1">
        <v>2</v>
      </c>
      <c r="G1431" s="1" t="s">
        <v>28</v>
      </c>
      <c r="H1431" s="4" t="str">
        <f>HYPERLINK("https://www.ncbi.nlm.nih.gov/geo/query/acc.cgi?acc=GSM390253","GSM390253")</f>
        <v>GSM390253</v>
      </c>
      <c r="I1431" t="s">
        <v>82</v>
      </c>
      <c r="J1431" t="s">
        <v>83</v>
      </c>
      <c r="K1431" t="s">
        <v>19</v>
      </c>
      <c r="L1431" t="s">
        <v>27</v>
      </c>
      <c r="M1431" t="s">
        <v>51</v>
      </c>
      <c r="N1431" t="s">
        <v>29</v>
      </c>
    </row>
    <row r="1432" spans="1:14">
      <c r="A1432" s="4" t="str">
        <f t="shared" si="123"/>
        <v>EXP00028</v>
      </c>
      <c r="B1432" s="4" t="str">
        <f t="shared" si="121"/>
        <v>23633021</v>
      </c>
      <c r="C1432" s="4" t="str">
        <f t="shared" si="122"/>
        <v>GSE15605</v>
      </c>
      <c r="D1432" s="1" t="s">
        <v>45</v>
      </c>
      <c r="E1432" t="s">
        <v>89</v>
      </c>
      <c r="F1432" s="1">
        <v>2</v>
      </c>
      <c r="G1432" s="1" t="s">
        <v>28</v>
      </c>
      <c r="H1432" s="4" t="str">
        <f>HYPERLINK("https://www.ncbi.nlm.nih.gov/geo/query/acc.cgi?acc=GSM390254","GSM390254")</f>
        <v>GSM390254</v>
      </c>
      <c r="I1432" t="s">
        <v>82</v>
      </c>
      <c r="J1432" t="s">
        <v>83</v>
      </c>
      <c r="K1432" t="s">
        <v>19</v>
      </c>
      <c r="L1432" t="s">
        <v>27</v>
      </c>
      <c r="M1432" t="s">
        <v>51</v>
      </c>
      <c r="N1432" t="s">
        <v>29</v>
      </c>
    </row>
    <row r="1433" spans="1:14">
      <c r="A1433" s="4" t="str">
        <f t="shared" si="123"/>
        <v>EXP00028</v>
      </c>
      <c r="B1433" s="4" t="str">
        <f t="shared" si="121"/>
        <v>23633021</v>
      </c>
      <c r="C1433" s="4" t="str">
        <f t="shared" si="122"/>
        <v>GSE15605</v>
      </c>
      <c r="D1433" s="1" t="s">
        <v>45</v>
      </c>
      <c r="E1433" t="s">
        <v>89</v>
      </c>
      <c r="F1433" s="1">
        <v>2</v>
      </c>
      <c r="G1433" s="1" t="s">
        <v>28</v>
      </c>
      <c r="H1433" s="4" t="str">
        <f>HYPERLINK("https://www.ncbi.nlm.nih.gov/geo/query/acc.cgi?acc=GSM390255","GSM390255")</f>
        <v>GSM390255</v>
      </c>
      <c r="I1433" t="s">
        <v>82</v>
      </c>
      <c r="J1433" t="s">
        <v>83</v>
      </c>
      <c r="K1433" t="s">
        <v>19</v>
      </c>
      <c r="L1433" t="s">
        <v>27</v>
      </c>
      <c r="M1433" t="s">
        <v>51</v>
      </c>
      <c r="N1433" t="s">
        <v>29</v>
      </c>
    </row>
    <row r="1434" spans="1:14">
      <c r="A1434" s="4" t="str">
        <f t="shared" si="123"/>
        <v>EXP00028</v>
      </c>
      <c r="B1434" s="4" t="str">
        <f t="shared" si="121"/>
        <v>23633021</v>
      </c>
      <c r="C1434" s="4" t="str">
        <f t="shared" si="122"/>
        <v>GSE15605</v>
      </c>
      <c r="D1434" s="1" t="s">
        <v>45</v>
      </c>
      <c r="E1434" t="s">
        <v>89</v>
      </c>
      <c r="F1434" s="1">
        <v>2</v>
      </c>
      <c r="G1434" s="1" t="s">
        <v>28</v>
      </c>
      <c r="H1434" s="4" t="str">
        <f>HYPERLINK("https://www.ncbi.nlm.nih.gov/geo/query/acc.cgi?acc=GSM390256","GSM390256")</f>
        <v>GSM390256</v>
      </c>
      <c r="I1434" t="s">
        <v>82</v>
      </c>
      <c r="J1434" t="s">
        <v>83</v>
      </c>
      <c r="K1434" t="s">
        <v>19</v>
      </c>
      <c r="L1434" t="s">
        <v>27</v>
      </c>
      <c r="M1434" t="s">
        <v>51</v>
      </c>
      <c r="N1434" t="s">
        <v>29</v>
      </c>
    </row>
    <row r="1435" spans="1:14">
      <c r="A1435" s="4" t="str">
        <f t="shared" si="123"/>
        <v>EXP00028</v>
      </c>
      <c r="B1435" s="4" t="str">
        <f t="shared" si="121"/>
        <v>23633021</v>
      </c>
      <c r="C1435" s="4" t="str">
        <f t="shared" si="122"/>
        <v>GSE15605</v>
      </c>
      <c r="D1435" s="1" t="s">
        <v>45</v>
      </c>
      <c r="E1435" t="s">
        <v>89</v>
      </c>
      <c r="F1435" s="1">
        <v>2</v>
      </c>
      <c r="G1435" s="1" t="s">
        <v>28</v>
      </c>
      <c r="H1435" s="4" t="str">
        <f>HYPERLINK("https://www.ncbi.nlm.nih.gov/geo/query/acc.cgi?acc=GSM390257","GSM390257")</f>
        <v>GSM390257</v>
      </c>
      <c r="I1435" t="s">
        <v>82</v>
      </c>
      <c r="J1435" t="s">
        <v>83</v>
      </c>
      <c r="K1435" t="s">
        <v>19</v>
      </c>
      <c r="L1435" t="s">
        <v>27</v>
      </c>
      <c r="M1435" t="s">
        <v>51</v>
      </c>
      <c r="N1435" t="s">
        <v>29</v>
      </c>
    </row>
    <row r="1436" spans="1:14">
      <c r="A1436" s="4" t="str">
        <f t="shared" si="123"/>
        <v>EXP00028</v>
      </c>
      <c r="B1436" s="4" t="str">
        <f t="shared" si="121"/>
        <v>23633021</v>
      </c>
      <c r="C1436" s="4" t="str">
        <f t="shared" si="122"/>
        <v>GSE15605</v>
      </c>
      <c r="D1436" s="1" t="s">
        <v>45</v>
      </c>
      <c r="E1436" t="s">
        <v>89</v>
      </c>
      <c r="F1436" s="1">
        <v>2</v>
      </c>
      <c r="G1436" s="1" t="s">
        <v>28</v>
      </c>
      <c r="H1436" s="4" t="str">
        <f>HYPERLINK("https://www.ncbi.nlm.nih.gov/geo/query/acc.cgi?acc=GSM390258","GSM390258")</f>
        <v>GSM390258</v>
      </c>
      <c r="I1436" t="s">
        <v>82</v>
      </c>
      <c r="J1436" t="s">
        <v>83</v>
      </c>
      <c r="K1436" t="s">
        <v>19</v>
      </c>
      <c r="L1436" t="s">
        <v>27</v>
      </c>
      <c r="M1436" t="s">
        <v>51</v>
      </c>
      <c r="N1436" t="s">
        <v>29</v>
      </c>
    </row>
    <row r="1437" spans="1:14">
      <c r="A1437" s="4" t="str">
        <f t="shared" si="123"/>
        <v>EXP00028</v>
      </c>
      <c r="B1437" s="4" t="str">
        <f t="shared" si="121"/>
        <v>23633021</v>
      </c>
      <c r="C1437" s="4" t="str">
        <f t="shared" si="122"/>
        <v>GSE15605</v>
      </c>
      <c r="D1437" s="1" t="s">
        <v>45</v>
      </c>
      <c r="E1437" t="s">
        <v>89</v>
      </c>
      <c r="F1437" s="1">
        <v>2</v>
      </c>
      <c r="G1437" s="1" t="s">
        <v>28</v>
      </c>
      <c r="H1437" s="4" t="str">
        <f>HYPERLINK("https://www.ncbi.nlm.nih.gov/geo/query/acc.cgi?acc=GSM390259","GSM390259")</f>
        <v>GSM390259</v>
      </c>
      <c r="I1437" t="s">
        <v>82</v>
      </c>
      <c r="J1437" t="s">
        <v>83</v>
      </c>
      <c r="K1437" t="s">
        <v>19</v>
      </c>
      <c r="L1437" t="s">
        <v>27</v>
      </c>
      <c r="M1437" t="s">
        <v>51</v>
      </c>
      <c r="N1437" t="s">
        <v>29</v>
      </c>
    </row>
    <row r="1438" spans="1:14">
      <c r="A1438" s="4" t="str">
        <f t="shared" si="123"/>
        <v>EXP00028</v>
      </c>
      <c r="B1438" s="4" t="str">
        <f t="shared" si="121"/>
        <v>23633021</v>
      </c>
      <c r="C1438" s="4" t="str">
        <f t="shared" si="122"/>
        <v>GSE15605</v>
      </c>
      <c r="D1438" s="1" t="s">
        <v>45</v>
      </c>
      <c r="E1438" t="s">
        <v>89</v>
      </c>
      <c r="F1438" s="1">
        <v>2</v>
      </c>
      <c r="G1438" s="1" t="s">
        <v>28</v>
      </c>
      <c r="H1438" s="4" t="str">
        <f>HYPERLINK("https://www.ncbi.nlm.nih.gov/geo/query/acc.cgi?acc=GSM390260","GSM390260")</f>
        <v>GSM390260</v>
      </c>
      <c r="I1438" t="s">
        <v>82</v>
      </c>
      <c r="J1438" t="s">
        <v>83</v>
      </c>
      <c r="K1438" t="s">
        <v>19</v>
      </c>
      <c r="L1438" t="s">
        <v>27</v>
      </c>
      <c r="M1438" t="s">
        <v>51</v>
      </c>
      <c r="N1438" t="s">
        <v>29</v>
      </c>
    </row>
    <row r="1439" spans="1:14">
      <c r="A1439" s="4" t="str">
        <f t="shared" si="123"/>
        <v>EXP00028</v>
      </c>
      <c r="B1439" s="4" t="str">
        <f t="shared" si="121"/>
        <v>23633021</v>
      </c>
      <c r="C1439" s="4" t="str">
        <f t="shared" si="122"/>
        <v>GSE15605</v>
      </c>
      <c r="D1439" s="1" t="s">
        <v>45</v>
      </c>
      <c r="E1439" t="s">
        <v>89</v>
      </c>
      <c r="F1439" s="1">
        <v>2</v>
      </c>
      <c r="G1439" s="1" t="s">
        <v>28</v>
      </c>
      <c r="H1439" s="4" t="str">
        <f>HYPERLINK("https://www.ncbi.nlm.nih.gov/geo/query/acc.cgi?acc=GSM390261","GSM390261")</f>
        <v>GSM390261</v>
      </c>
      <c r="I1439" t="s">
        <v>82</v>
      </c>
      <c r="J1439" t="s">
        <v>83</v>
      </c>
      <c r="K1439" t="s">
        <v>19</v>
      </c>
      <c r="L1439" t="s">
        <v>27</v>
      </c>
      <c r="M1439" t="s">
        <v>51</v>
      </c>
      <c r="N1439" t="s">
        <v>29</v>
      </c>
    </row>
    <row r="1440" spans="1:14">
      <c r="A1440" s="4" t="str">
        <f t="shared" si="123"/>
        <v>EXP00028</v>
      </c>
      <c r="B1440" s="4" t="str">
        <f t="shared" si="121"/>
        <v>23633021</v>
      </c>
      <c r="C1440" s="4" t="str">
        <f t="shared" si="122"/>
        <v>GSE15605</v>
      </c>
      <c r="D1440" s="1" t="s">
        <v>45</v>
      </c>
      <c r="E1440" t="s">
        <v>89</v>
      </c>
      <c r="F1440" s="1">
        <v>2</v>
      </c>
      <c r="G1440" s="1" t="s">
        <v>28</v>
      </c>
      <c r="H1440" s="4" t="str">
        <f>HYPERLINK("https://www.ncbi.nlm.nih.gov/geo/query/acc.cgi?acc=GSM390262","GSM390262")</f>
        <v>GSM390262</v>
      </c>
      <c r="I1440" t="s">
        <v>82</v>
      </c>
      <c r="J1440" t="s">
        <v>83</v>
      </c>
      <c r="K1440" t="s">
        <v>19</v>
      </c>
      <c r="L1440" t="s">
        <v>27</v>
      </c>
      <c r="M1440" t="s">
        <v>51</v>
      </c>
      <c r="N1440" t="s">
        <v>29</v>
      </c>
    </row>
    <row r="1441" spans="1:14">
      <c r="A1441" s="4" t="str">
        <f t="shared" si="123"/>
        <v>EXP00028</v>
      </c>
      <c r="B1441" s="4" t="str">
        <f t="shared" si="121"/>
        <v>23633021</v>
      </c>
      <c r="C1441" s="4" t="str">
        <f t="shared" si="122"/>
        <v>GSE15605</v>
      </c>
      <c r="D1441" s="1" t="s">
        <v>45</v>
      </c>
      <c r="E1441" t="s">
        <v>89</v>
      </c>
      <c r="F1441" s="1">
        <v>2</v>
      </c>
      <c r="G1441" s="1" t="s">
        <v>28</v>
      </c>
      <c r="H1441" s="4" t="str">
        <f>HYPERLINK("https://www.ncbi.nlm.nih.gov/geo/query/acc.cgi?acc=GSM390263","GSM390263")</f>
        <v>GSM390263</v>
      </c>
      <c r="I1441" t="s">
        <v>82</v>
      </c>
      <c r="J1441" t="s">
        <v>83</v>
      </c>
      <c r="K1441" t="s">
        <v>19</v>
      </c>
      <c r="L1441" t="s">
        <v>27</v>
      </c>
      <c r="M1441" t="s">
        <v>51</v>
      </c>
      <c r="N1441" t="s">
        <v>29</v>
      </c>
    </row>
    <row r="1442" spans="1:14">
      <c r="A1442" s="4" t="str">
        <f t="shared" si="123"/>
        <v>EXP00028</v>
      </c>
      <c r="B1442" s="4" t="str">
        <f t="shared" si="121"/>
        <v>23633021</v>
      </c>
      <c r="C1442" s="4" t="str">
        <f t="shared" si="122"/>
        <v>GSE15605</v>
      </c>
      <c r="D1442" s="1" t="s">
        <v>45</v>
      </c>
      <c r="E1442" t="s">
        <v>89</v>
      </c>
      <c r="F1442" s="1">
        <v>2</v>
      </c>
      <c r="G1442" s="1" t="s">
        <v>28</v>
      </c>
      <c r="H1442" s="4" t="str">
        <f>HYPERLINK("https://www.ncbi.nlm.nih.gov/geo/query/acc.cgi?acc=GSM390264","GSM390264")</f>
        <v>GSM390264</v>
      </c>
      <c r="I1442" t="s">
        <v>82</v>
      </c>
      <c r="J1442" t="s">
        <v>83</v>
      </c>
      <c r="K1442" t="s">
        <v>19</v>
      </c>
      <c r="L1442" t="s">
        <v>27</v>
      </c>
      <c r="M1442" t="s">
        <v>51</v>
      </c>
      <c r="N1442" t="s">
        <v>29</v>
      </c>
    </row>
    <row r="1443" spans="1:14">
      <c r="A1443" s="4" t="str">
        <f t="shared" si="123"/>
        <v>EXP00028</v>
      </c>
      <c r="B1443" s="4" t="str">
        <f t="shared" si="121"/>
        <v>23633021</v>
      </c>
      <c r="C1443" s="4" t="str">
        <f t="shared" si="122"/>
        <v>GSE15605</v>
      </c>
      <c r="D1443" s="1" t="s">
        <v>45</v>
      </c>
      <c r="E1443" t="s">
        <v>89</v>
      </c>
      <c r="F1443" s="1">
        <v>2</v>
      </c>
      <c r="G1443" s="1" t="s">
        <v>28</v>
      </c>
      <c r="H1443" s="4" t="str">
        <f>HYPERLINK("https://www.ncbi.nlm.nih.gov/geo/query/acc.cgi?acc=GSM390265","GSM390265")</f>
        <v>GSM390265</v>
      </c>
      <c r="I1443" t="s">
        <v>82</v>
      </c>
      <c r="J1443" t="s">
        <v>83</v>
      </c>
      <c r="K1443" t="s">
        <v>19</v>
      </c>
      <c r="L1443" t="s">
        <v>27</v>
      </c>
      <c r="M1443" t="s">
        <v>51</v>
      </c>
      <c r="N1443" t="s">
        <v>29</v>
      </c>
    </row>
    <row r="1444" spans="1:14">
      <c r="A1444" s="4" t="str">
        <f t="shared" si="123"/>
        <v>EXP00028</v>
      </c>
      <c r="B1444" s="4" t="str">
        <f t="shared" si="121"/>
        <v>23633021</v>
      </c>
      <c r="C1444" s="4" t="str">
        <f t="shared" si="122"/>
        <v>GSE15605</v>
      </c>
      <c r="D1444" s="1" t="s">
        <v>45</v>
      </c>
      <c r="E1444" t="s">
        <v>89</v>
      </c>
      <c r="F1444" s="1">
        <v>2</v>
      </c>
      <c r="G1444" s="1" t="s">
        <v>28</v>
      </c>
      <c r="H1444" s="4" t="str">
        <f>HYPERLINK("https://www.ncbi.nlm.nih.gov/geo/query/acc.cgi?acc=GSM390266","GSM390266")</f>
        <v>GSM390266</v>
      </c>
      <c r="I1444" t="s">
        <v>82</v>
      </c>
      <c r="J1444" t="s">
        <v>83</v>
      </c>
      <c r="K1444" t="s">
        <v>19</v>
      </c>
      <c r="L1444" t="s">
        <v>27</v>
      </c>
      <c r="M1444" t="s">
        <v>51</v>
      </c>
      <c r="N1444" t="s">
        <v>29</v>
      </c>
    </row>
    <row r="1445" spans="1:14">
      <c r="A1445" s="4" t="str">
        <f t="shared" si="123"/>
        <v>EXP00028</v>
      </c>
      <c r="B1445" s="4" t="str">
        <f t="shared" si="121"/>
        <v>23633021</v>
      </c>
      <c r="C1445" s="4" t="str">
        <f t="shared" si="122"/>
        <v>GSE15605</v>
      </c>
      <c r="D1445" s="1" t="s">
        <v>45</v>
      </c>
      <c r="E1445" t="s">
        <v>89</v>
      </c>
      <c r="F1445" s="1">
        <v>2</v>
      </c>
      <c r="G1445" s="1" t="s">
        <v>28</v>
      </c>
      <c r="H1445" s="4" t="str">
        <f>HYPERLINK("https://www.ncbi.nlm.nih.gov/geo/query/acc.cgi?acc=GSM390267","GSM390267")</f>
        <v>GSM390267</v>
      </c>
      <c r="I1445" t="s">
        <v>82</v>
      </c>
      <c r="J1445" t="s">
        <v>83</v>
      </c>
      <c r="K1445" t="s">
        <v>19</v>
      </c>
      <c r="L1445" t="s">
        <v>27</v>
      </c>
      <c r="M1445" t="s">
        <v>51</v>
      </c>
      <c r="N1445" t="s">
        <v>29</v>
      </c>
    </row>
    <row r="1446" spans="1:14">
      <c r="A1446" s="4" t="str">
        <f t="shared" si="123"/>
        <v>EXP00028</v>
      </c>
      <c r="B1446" s="4" t="str">
        <f t="shared" si="121"/>
        <v>23633021</v>
      </c>
      <c r="C1446" s="4" t="str">
        <f t="shared" si="122"/>
        <v>GSE15605</v>
      </c>
      <c r="D1446" s="1" t="s">
        <v>45</v>
      </c>
      <c r="E1446" t="s">
        <v>89</v>
      </c>
      <c r="F1446" s="1">
        <v>2</v>
      </c>
      <c r="G1446" s="1" t="s">
        <v>28</v>
      </c>
      <c r="H1446" s="4" t="str">
        <f>HYPERLINK("https://www.ncbi.nlm.nih.gov/geo/query/acc.cgi?acc=GSM390268","GSM390268")</f>
        <v>GSM390268</v>
      </c>
      <c r="I1446" t="s">
        <v>82</v>
      </c>
      <c r="J1446" t="s">
        <v>83</v>
      </c>
      <c r="K1446" t="s">
        <v>19</v>
      </c>
      <c r="L1446" t="s">
        <v>27</v>
      </c>
      <c r="M1446" t="s">
        <v>51</v>
      </c>
      <c r="N1446" t="s">
        <v>29</v>
      </c>
    </row>
    <row r="1447" spans="1:14">
      <c r="A1447" s="4" t="str">
        <f t="shared" si="123"/>
        <v>EXP00028</v>
      </c>
      <c r="B1447" s="4" t="str">
        <f t="shared" si="121"/>
        <v>23633021</v>
      </c>
      <c r="C1447" s="4" t="str">
        <f t="shared" si="122"/>
        <v>GSE15605</v>
      </c>
      <c r="D1447" s="1" t="s">
        <v>45</v>
      </c>
      <c r="E1447" t="s">
        <v>89</v>
      </c>
      <c r="F1447" s="1">
        <v>2</v>
      </c>
      <c r="G1447" s="1" t="s">
        <v>28</v>
      </c>
      <c r="H1447" s="4" t="str">
        <f>HYPERLINK("https://www.ncbi.nlm.nih.gov/geo/query/acc.cgi?acc=GSM390269","GSM390269")</f>
        <v>GSM390269</v>
      </c>
      <c r="I1447" t="s">
        <v>82</v>
      </c>
      <c r="J1447" t="s">
        <v>83</v>
      </c>
      <c r="K1447" t="s">
        <v>19</v>
      </c>
      <c r="L1447" t="s">
        <v>27</v>
      </c>
      <c r="M1447" t="s">
        <v>51</v>
      </c>
      <c r="N1447" t="s">
        <v>29</v>
      </c>
    </row>
    <row r="1448" spans="1:14">
      <c r="A1448" s="4" t="str">
        <f t="shared" ref="A1448:A1455" si="124">HYPERLINK("http://hcmdb.i-sanger.com/experiment/details/experiment_id/EXP00029","EXP00029")</f>
        <v>EXP00029</v>
      </c>
      <c r="B1448" s="4" t="str">
        <f t="shared" ref="B1448:B1455" si="125">HYPERLINK("https://www.ncbi.nlm.nih.gov/pubmed/16205657","16205657")</f>
        <v>16205657</v>
      </c>
      <c r="C1448" s="4" t="str">
        <f t="shared" ref="C1448:C1455" si="126">HYPERLINK("https://www.ncbi.nlm.nih.gov/geo/query/acc.cgi?acc=GSE1722","GSE1722")</f>
        <v>GSE1722</v>
      </c>
      <c r="D1448" s="1" t="s">
        <v>62</v>
      </c>
      <c r="E1448" t="s">
        <v>90</v>
      </c>
      <c r="F1448" s="1">
        <v>1</v>
      </c>
      <c r="G1448" s="1" t="s">
        <v>36</v>
      </c>
      <c r="H1448" s="4" t="str">
        <f>HYPERLINK("https://www.ncbi.nlm.nih.gov/geo/query/acc.cgi?acc=GSM29703","GSM29703")</f>
        <v>GSM29703</v>
      </c>
      <c r="I1448" t="s">
        <v>91</v>
      </c>
      <c r="J1448" t="s">
        <v>92</v>
      </c>
      <c r="K1448" t="s">
        <v>33</v>
      </c>
      <c r="L1448" t="s">
        <v>93</v>
      </c>
      <c r="N1448" t="s">
        <v>37</v>
      </c>
    </row>
    <row r="1449" spans="1:14">
      <c r="A1449" s="4" t="str">
        <f t="shared" si="124"/>
        <v>EXP00029</v>
      </c>
      <c r="B1449" s="4" t="str">
        <f t="shared" si="125"/>
        <v>16205657</v>
      </c>
      <c r="C1449" s="4" t="str">
        <f t="shared" si="126"/>
        <v>GSE1722</v>
      </c>
      <c r="D1449" s="1" t="s">
        <v>62</v>
      </c>
      <c r="E1449" t="s">
        <v>90</v>
      </c>
      <c r="F1449" s="1">
        <v>1</v>
      </c>
      <c r="G1449" s="1" t="s">
        <v>36</v>
      </c>
      <c r="H1449" s="4" t="str">
        <f>HYPERLINK("https://www.ncbi.nlm.nih.gov/geo/query/acc.cgi?acc=GSM29748","GSM29748")</f>
        <v>GSM29748</v>
      </c>
      <c r="I1449" t="s">
        <v>91</v>
      </c>
      <c r="J1449" t="s">
        <v>92</v>
      </c>
      <c r="K1449" t="s">
        <v>33</v>
      </c>
      <c r="L1449" t="s">
        <v>94</v>
      </c>
      <c r="N1449" t="s">
        <v>37</v>
      </c>
    </row>
    <row r="1450" spans="1:14">
      <c r="A1450" s="4" t="str">
        <f t="shared" si="124"/>
        <v>EXP00029</v>
      </c>
      <c r="B1450" s="4" t="str">
        <f t="shared" si="125"/>
        <v>16205657</v>
      </c>
      <c r="C1450" s="4" t="str">
        <f t="shared" si="126"/>
        <v>GSE1722</v>
      </c>
      <c r="D1450" s="1" t="s">
        <v>62</v>
      </c>
      <c r="E1450" t="s">
        <v>90</v>
      </c>
      <c r="F1450" s="1">
        <v>1</v>
      </c>
      <c r="G1450" s="1" t="s">
        <v>36</v>
      </c>
      <c r="H1450" s="4" t="str">
        <f>HYPERLINK("https://www.ncbi.nlm.nih.gov/geo/query/acc.cgi?acc=GSM29750","GSM29750")</f>
        <v>GSM29750</v>
      </c>
      <c r="I1450" t="s">
        <v>91</v>
      </c>
      <c r="J1450" t="s">
        <v>92</v>
      </c>
      <c r="K1450" t="s">
        <v>33</v>
      </c>
      <c r="L1450" t="s">
        <v>93</v>
      </c>
      <c r="N1450" t="s">
        <v>37</v>
      </c>
    </row>
    <row r="1451" spans="1:14">
      <c r="A1451" s="4" t="str">
        <f t="shared" si="124"/>
        <v>EXP00029</v>
      </c>
      <c r="B1451" s="4" t="str">
        <f t="shared" si="125"/>
        <v>16205657</v>
      </c>
      <c r="C1451" s="4" t="str">
        <f t="shared" si="126"/>
        <v>GSE1722</v>
      </c>
      <c r="D1451" s="1" t="s">
        <v>62</v>
      </c>
      <c r="E1451" t="s">
        <v>90</v>
      </c>
      <c r="F1451" s="1">
        <v>1</v>
      </c>
      <c r="G1451" s="1" t="s">
        <v>36</v>
      </c>
      <c r="H1451" s="4" t="str">
        <f>HYPERLINK("https://www.ncbi.nlm.nih.gov/geo/query/acc.cgi?acc=GSM29752","GSM29752")</f>
        <v>GSM29752</v>
      </c>
      <c r="I1451" t="s">
        <v>91</v>
      </c>
      <c r="J1451" t="s">
        <v>92</v>
      </c>
      <c r="K1451" t="s">
        <v>33</v>
      </c>
      <c r="L1451" t="s">
        <v>93</v>
      </c>
      <c r="N1451" t="s">
        <v>37</v>
      </c>
    </row>
    <row r="1452" spans="1:14">
      <c r="A1452" s="4" t="str">
        <f t="shared" si="124"/>
        <v>EXP00029</v>
      </c>
      <c r="B1452" s="4" t="str">
        <f t="shared" si="125"/>
        <v>16205657</v>
      </c>
      <c r="C1452" s="4" t="str">
        <f t="shared" si="126"/>
        <v>GSE1722</v>
      </c>
      <c r="D1452" s="1" t="s">
        <v>62</v>
      </c>
      <c r="E1452" t="s">
        <v>90</v>
      </c>
      <c r="F1452" s="1">
        <v>2</v>
      </c>
      <c r="G1452" s="1" t="s">
        <v>28</v>
      </c>
      <c r="H1452" s="4" t="str">
        <f>HYPERLINK("https://www.ncbi.nlm.nih.gov/geo/query/acc.cgi?acc=GSM29702","GSM29702")</f>
        <v>GSM29702</v>
      </c>
      <c r="I1452" t="s">
        <v>91</v>
      </c>
      <c r="J1452" t="s">
        <v>92</v>
      </c>
      <c r="K1452" t="s">
        <v>33</v>
      </c>
      <c r="L1452" t="s">
        <v>93</v>
      </c>
      <c r="N1452" t="s">
        <v>29</v>
      </c>
    </row>
    <row r="1453" spans="1:14">
      <c r="A1453" s="4" t="str">
        <f t="shared" si="124"/>
        <v>EXP00029</v>
      </c>
      <c r="B1453" s="4" t="str">
        <f t="shared" si="125"/>
        <v>16205657</v>
      </c>
      <c r="C1453" s="4" t="str">
        <f t="shared" si="126"/>
        <v>GSE1722</v>
      </c>
      <c r="D1453" s="1" t="s">
        <v>62</v>
      </c>
      <c r="E1453" t="s">
        <v>90</v>
      </c>
      <c r="F1453" s="1">
        <v>2</v>
      </c>
      <c r="G1453" s="1" t="s">
        <v>28</v>
      </c>
      <c r="H1453" s="4" t="str">
        <f>HYPERLINK("https://www.ncbi.nlm.nih.gov/geo/query/acc.cgi?acc=GSM29747","GSM29747")</f>
        <v>GSM29747</v>
      </c>
      <c r="I1453" t="s">
        <v>91</v>
      </c>
      <c r="J1453" t="s">
        <v>92</v>
      </c>
      <c r="K1453" t="s">
        <v>33</v>
      </c>
      <c r="L1453" t="s">
        <v>94</v>
      </c>
      <c r="N1453" t="s">
        <v>29</v>
      </c>
    </row>
    <row r="1454" spans="1:14">
      <c r="A1454" s="4" t="str">
        <f t="shared" si="124"/>
        <v>EXP00029</v>
      </c>
      <c r="B1454" s="4" t="str">
        <f t="shared" si="125"/>
        <v>16205657</v>
      </c>
      <c r="C1454" s="4" t="str">
        <f t="shared" si="126"/>
        <v>GSE1722</v>
      </c>
      <c r="D1454" s="1" t="s">
        <v>62</v>
      </c>
      <c r="E1454" t="s">
        <v>90</v>
      </c>
      <c r="F1454" s="1">
        <v>2</v>
      </c>
      <c r="G1454" s="1" t="s">
        <v>28</v>
      </c>
      <c r="H1454" s="4" t="str">
        <f>HYPERLINK("https://www.ncbi.nlm.nih.gov/geo/query/acc.cgi?acc=GSM29749","GSM29749")</f>
        <v>GSM29749</v>
      </c>
      <c r="I1454" t="s">
        <v>91</v>
      </c>
      <c r="J1454" t="s">
        <v>92</v>
      </c>
      <c r="K1454" t="s">
        <v>33</v>
      </c>
      <c r="L1454" t="s">
        <v>93</v>
      </c>
      <c r="N1454" t="s">
        <v>29</v>
      </c>
    </row>
    <row r="1455" spans="1:14">
      <c r="A1455" s="4" t="str">
        <f t="shared" si="124"/>
        <v>EXP00029</v>
      </c>
      <c r="B1455" s="4" t="str">
        <f t="shared" si="125"/>
        <v>16205657</v>
      </c>
      <c r="C1455" s="4" t="str">
        <f t="shared" si="126"/>
        <v>GSE1722</v>
      </c>
      <c r="D1455" s="1" t="s">
        <v>62</v>
      </c>
      <c r="E1455" t="s">
        <v>90</v>
      </c>
      <c r="F1455" s="1">
        <v>2</v>
      </c>
      <c r="G1455" s="1" t="s">
        <v>28</v>
      </c>
      <c r="H1455" s="4" t="str">
        <f>HYPERLINK("https://www.ncbi.nlm.nih.gov/geo/query/acc.cgi?acc=GSM29751","GSM29751")</f>
        <v>GSM29751</v>
      </c>
      <c r="I1455" t="s">
        <v>91</v>
      </c>
      <c r="J1455" t="s">
        <v>92</v>
      </c>
      <c r="K1455" t="s">
        <v>33</v>
      </c>
      <c r="L1455" t="s">
        <v>93</v>
      </c>
      <c r="N1455" t="s">
        <v>29</v>
      </c>
    </row>
    <row r="1456" spans="1:14">
      <c r="A1456" s="4" t="str">
        <f t="shared" ref="A1456:A1499" si="127">HYPERLINK("http://hcmdb.i-sanger.com/experiment/details/experiment_id/EXP00030","EXP00030")</f>
        <v>EXP00030</v>
      </c>
      <c r="B1456" s="4" t="str">
        <f t="shared" ref="B1456:B1519" si="128">HYPERLINK("https://www.ncbi.nlm.nih.gov/pubmed/20162577","20162577")</f>
        <v>20162577</v>
      </c>
      <c r="C1456" s="4" t="str">
        <f t="shared" ref="C1456:C1519" si="129">HYPERLINK("https://www.ncbi.nlm.nih.gov/geo/query/acc.cgi?acc=GSE18105","GSE18105")</f>
        <v>GSE18105</v>
      </c>
      <c r="D1456" s="1" t="s">
        <v>45</v>
      </c>
      <c r="E1456" t="s">
        <v>95</v>
      </c>
      <c r="F1456" s="1">
        <v>1</v>
      </c>
      <c r="G1456" s="1" t="s">
        <v>36</v>
      </c>
      <c r="H1456" s="4" t="str">
        <f>HYPERLINK("https://www.ncbi.nlm.nih.gov/geo/query/acc.cgi?acc=GSM452629","GSM452629")</f>
        <v>GSM452629</v>
      </c>
      <c r="I1456" t="s">
        <v>69</v>
      </c>
      <c r="J1456" t="s">
        <v>18</v>
      </c>
      <c r="K1456" t="s">
        <v>19</v>
      </c>
      <c r="L1456" t="s">
        <v>70</v>
      </c>
      <c r="M1456" t="s">
        <v>51</v>
      </c>
      <c r="N1456" t="s">
        <v>37</v>
      </c>
    </row>
    <row r="1457" spans="1:14">
      <c r="A1457" s="4" t="str">
        <f t="shared" si="127"/>
        <v>EXP00030</v>
      </c>
      <c r="B1457" s="4" t="str">
        <f t="shared" si="128"/>
        <v>20162577</v>
      </c>
      <c r="C1457" s="4" t="str">
        <f t="shared" si="129"/>
        <v>GSE18105</v>
      </c>
      <c r="D1457" s="1" t="s">
        <v>45</v>
      </c>
      <c r="E1457" t="s">
        <v>95</v>
      </c>
      <c r="F1457" s="1">
        <v>1</v>
      </c>
      <c r="G1457" s="1" t="s">
        <v>36</v>
      </c>
      <c r="H1457" s="4" t="str">
        <f>HYPERLINK("https://www.ncbi.nlm.nih.gov/geo/query/acc.cgi?acc=GSM452630","GSM452630")</f>
        <v>GSM452630</v>
      </c>
      <c r="I1457" t="s">
        <v>69</v>
      </c>
      <c r="J1457" t="s">
        <v>18</v>
      </c>
      <c r="K1457" t="s">
        <v>19</v>
      </c>
      <c r="L1457" t="s">
        <v>70</v>
      </c>
      <c r="M1457" t="s">
        <v>51</v>
      </c>
      <c r="N1457" t="s">
        <v>37</v>
      </c>
    </row>
    <row r="1458" spans="1:14">
      <c r="A1458" s="4" t="str">
        <f t="shared" si="127"/>
        <v>EXP00030</v>
      </c>
      <c r="B1458" s="4" t="str">
        <f t="shared" si="128"/>
        <v>20162577</v>
      </c>
      <c r="C1458" s="4" t="str">
        <f t="shared" si="129"/>
        <v>GSE18105</v>
      </c>
      <c r="D1458" s="1" t="s">
        <v>45</v>
      </c>
      <c r="E1458" t="s">
        <v>95</v>
      </c>
      <c r="F1458" s="1">
        <v>1</v>
      </c>
      <c r="G1458" s="1" t="s">
        <v>36</v>
      </c>
      <c r="H1458" s="4" t="str">
        <f>HYPERLINK("https://www.ncbi.nlm.nih.gov/geo/query/acc.cgi?acc=GSM452631","GSM452631")</f>
        <v>GSM452631</v>
      </c>
      <c r="I1458" t="s">
        <v>69</v>
      </c>
      <c r="J1458" t="s">
        <v>18</v>
      </c>
      <c r="K1458" t="s">
        <v>19</v>
      </c>
      <c r="L1458" t="s">
        <v>70</v>
      </c>
      <c r="M1458" t="s">
        <v>51</v>
      </c>
      <c r="N1458" t="s">
        <v>37</v>
      </c>
    </row>
    <row r="1459" spans="1:14">
      <c r="A1459" s="4" t="str">
        <f t="shared" si="127"/>
        <v>EXP00030</v>
      </c>
      <c r="B1459" s="4" t="str">
        <f t="shared" si="128"/>
        <v>20162577</v>
      </c>
      <c r="C1459" s="4" t="str">
        <f t="shared" si="129"/>
        <v>GSE18105</v>
      </c>
      <c r="D1459" s="1" t="s">
        <v>45</v>
      </c>
      <c r="E1459" t="s">
        <v>95</v>
      </c>
      <c r="F1459" s="1">
        <v>1</v>
      </c>
      <c r="G1459" s="1" t="s">
        <v>36</v>
      </c>
      <c r="H1459" s="4" t="str">
        <f>HYPERLINK("https://www.ncbi.nlm.nih.gov/geo/query/acc.cgi?acc=GSM452633","GSM452633")</f>
        <v>GSM452633</v>
      </c>
      <c r="I1459" t="s">
        <v>69</v>
      </c>
      <c r="J1459" t="s">
        <v>18</v>
      </c>
      <c r="K1459" t="s">
        <v>19</v>
      </c>
      <c r="L1459" t="s">
        <v>70</v>
      </c>
      <c r="M1459" t="s">
        <v>51</v>
      </c>
      <c r="N1459" t="s">
        <v>37</v>
      </c>
    </row>
    <row r="1460" spans="1:14">
      <c r="A1460" s="4" t="str">
        <f t="shared" si="127"/>
        <v>EXP00030</v>
      </c>
      <c r="B1460" s="4" t="str">
        <f t="shared" si="128"/>
        <v>20162577</v>
      </c>
      <c r="C1460" s="4" t="str">
        <f t="shared" si="129"/>
        <v>GSE18105</v>
      </c>
      <c r="D1460" s="1" t="s">
        <v>45</v>
      </c>
      <c r="E1460" t="s">
        <v>95</v>
      </c>
      <c r="F1460" s="1">
        <v>1</v>
      </c>
      <c r="G1460" s="1" t="s">
        <v>36</v>
      </c>
      <c r="H1460" s="4" t="str">
        <f>HYPERLINK("https://www.ncbi.nlm.nih.gov/geo/query/acc.cgi?acc=GSM452638","GSM452638")</f>
        <v>GSM452638</v>
      </c>
      <c r="I1460" t="s">
        <v>69</v>
      </c>
      <c r="J1460" t="s">
        <v>18</v>
      </c>
      <c r="K1460" t="s">
        <v>19</v>
      </c>
      <c r="L1460" t="s">
        <v>70</v>
      </c>
      <c r="M1460" t="s">
        <v>51</v>
      </c>
      <c r="N1460" t="s">
        <v>37</v>
      </c>
    </row>
    <row r="1461" spans="1:14">
      <c r="A1461" s="4" t="str">
        <f t="shared" si="127"/>
        <v>EXP00030</v>
      </c>
      <c r="B1461" s="4" t="str">
        <f t="shared" si="128"/>
        <v>20162577</v>
      </c>
      <c r="C1461" s="4" t="str">
        <f t="shared" si="129"/>
        <v>GSE18105</v>
      </c>
      <c r="D1461" s="1" t="s">
        <v>45</v>
      </c>
      <c r="E1461" t="s">
        <v>95</v>
      </c>
      <c r="F1461" s="1">
        <v>1</v>
      </c>
      <c r="G1461" s="1" t="s">
        <v>36</v>
      </c>
      <c r="H1461" s="4" t="str">
        <f>HYPERLINK("https://www.ncbi.nlm.nih.gov/geo/query/acc.cgi?acc=GSM452641","GSM452641")</f>
        <v>GSM452641</v>
      </c>
      <c r="I1461" t="s">
        <v>69</v>
      </c>
      <c r="J1461" t="s">
        <v>18</v>
      </c>
      <c r="K1461" t="s">
        <v>19</v>
      </c>
      <c r="L1461" t="s">
        <v>70</v>
      </c>
      <c r="M1461" t="s">
        <v>51</v>
      </c>
      <c r="N1461" t="s">
        <v>37</v>
      </c>
    </row>
    <row r="1462" spans="1:14">
      <c r="A1462" s="4" t="str">
        <f t="shared" si="127"/>
        <v>EXP00030</v>
      </c>
      <c r="B1462" s="4" t="str">
        <f t="shared" si="128"/>
        <v>20162577</v>
      </c>
      <c r="C1462" s="4" t="str">
        <f t="shared" si="129"/>
        <v>GSE18105</v>
      </c>
      <c r="D1462" s="1" t="s">
        <v>45</v>
      </c>
      <c r="E1462" t="s">
        <v>95</v>
      </c>
      <c r="F1462" s="1">
        <v>1</v>
      </c>
      <c r="G1462" s="1" t="s">
        <v>36</v>
      </c>
      <c r="H1462" s="4" t="str">
        <f>HYPERLINK("https://www.ncbi.nlm.nih.gov/geo/query/acc.cgi?acc=GSM452644","GSM452644")</f>
        <v>GSM452644</v>
      </c>
      <c r="I1462" t="s">
        <v>69</v>
      </c>
      <c r="J1462" t="s">
        <v>18</v>
      </c>
      <c r="K1462" t="s">
        <v>19</v>
      </c>
      <c r="L1462" t="s">
        <v>70</v>
      </c>
      <c r="M1462" t="s">
        <v>51</v>
      </c>
      <c r="N1462" t="s">
        <v>37</v>
      </c>
    </row>
    <row r="1463" spans="1:14">
      <c r="A1463" s="4" t="str">
        <f t="shared" si="127"/>
        <v>EXP00030</v>
      </c>
      <c r="B1463" s="4" t="str">
        <f t="shared" si="128"/>
        <v>20162577</v>
      </c>
      <c r="C1463" s="4" t="str">
        <f t="shared" si="129"/>
        <v>GSE18105</v>
      </c>
      <c r="D1463" s="1" t="s">
        <v>45</v>
      </c>
      <c r="E1463" t="s">
        <v>95</v>
      </c>
      <c r="F1463" s="1">
        <v>2</v>
      </c>
      <c r="G1463" s="1" t="s">
        <v>28</v>
      </c>
      <c r="H1463" s="4" t="str">
        <f>HYPERLINK("https://www.ncbi.nlm.nih.gov/geo/query/acc.cgi?acc=GSM452556","GSM452556")</f>
        <v>GSM452556</v>
      </c>
      <c r="I1463" t="s">
        <v>69</v>
      </c>
      <c r="J1463" t="s">
        <v>18</v>
      </c>
      <c r="K1463" t="s">
        <v>19</v>
      </c>
      <c r="L1463" t="s">
        <v>70</v>
      </c>
      <c r="M1463" t="s">
        <v>51</v>
      </c>
      <c r="N1463" t="s">
        <v>29</v>
      </c>
    </row>
    <row r="1464" spans="1:14">
      <c r="A1464" s="4" t="str">
        <f t="shared" si="127"/>
        <v>EXP00030</v>
      </c>
      <c r="B1464" s="4" t="str">
        <f t="shared" si="128"/>
        <v>20162577</v>
      </c>
      <c r="C1464" s="4" t="str">
        <f t="shared" si="129"/>
        <v>GSE18105</v>
      </c>
      <c r="D1464" s="1" t="s">
        <v>45</v>
      </c>
      <c r="E1464" t="s">
        <v>95</v>
      </c>
      <c r="F1464" s="1">
        <v>2</v>
      </c>
      <c r="G1464" s="1" t="s">
        <v>28</v>
      </c>
      <c r="H1464" s="4" t="str">
        <f>HYPERLINK("https://www.ncbi.nlm.nih.gov/geo/query/acc.cgi?acc=GSM452558","GSM452558")</f>
        <v>GSM452558</v>
      </c>
      <c r="I1464" t="s">
        <v>69</v>
      </c>
      <c r="J1464" t="s">
        <v>18</v>
      </c>
      <c r="K1464" t="s">
        <v>19</v>
      </c>
      <c r="L1464" t="s">
        <v>70</v>
      </c>
      <c r="M1464" t="s">
        <v>51</v>
      </c>
      <c r="N1464" t="s">
        <v>29</v>
      </c>
    </row>
    <row r="1465" spans="1:14">
      <c r="A1465" s="4" t="str">
        <f t="shared" si="127"/>
        <v>EXP00030</v>
      </c>
      <c r="B1465" s="4" t="str">
        <f t="shared" si="128"/>
        <v>20162577</v>
      </c>
      <c r="C1465" s="4" t="str">
        <f t="shared" si="129"/>
        <v>GSE18105</v>
      </c>
      <c r="D1465" s="1" t="s">
        <v>45</v>
      </c>
      <c r="E1465" t="s">
        <v>95</v>
      </c>
      <c r="F1465" s="1">
        <v>2</v>
      </c>
      <c r="G1465" s="1" t="s">
        <v>28</v>
      </c>
      <c r="H1465" s="4" t="str">
        <f>HYPERLINK("https://www.ncbi.nlm.nih.gov/geo/query/acc.cgi?acc=GSM452559","GSM452559")</f>
        <v>GSM452559</v>
      </c>
      <c r="I1465" t="s">
        <v>69</v>
      </c>
      <c r="J1465" t="s">
        <v>18</v>
      </c>
      <c r="K1465" t="s">
        <v>19</v>
      </c>
      <c r="L1465" t="s">
        <v>70</v>
      </c>
      <c r="M1465" t="s">
        <v>51</v>
      </c>
      <c r="N1465" t="s">
        <v>29</v>
      </c>
    </row>
    <row r="1466" spans="1:14">
      <c r="A1466" s="4" t="str">
        <f t="shared" si="127"/>
        <v>EXP00030</v>
      </c>
      <c r="B1466" s="4" t="str">
        <f t="shared" si="128"/>
        <v>20162577</v>
      </c>
      <c r="C1466" s="4" t="str">
        <f t="shared" si="129"/>
        <v>GSE18105</v>
      </c>
      <c r="D1466" s="1" t="s">
        <v>45</v>
      </c>
      <c r="E1466" t="s">
        <v>95</v>
      </c>
      <c r="F1466" s="1">
        <v>2</v>
      </c>
      <c r="G1466" s="1" t="s">
        <v>28</v>
      </c>
      <c r="H1466" s="4" t="str">
        <f>HYPERLINK("https://www.ncbi.nlm.nih.gov/geo/query/acc.cgi?acc=GSM452562","GSM452562")</f>
        <v>GSM452562</v>
      </c>
      <c r="I1466" t="s">
        <v>69</v>
      </c>
      <c r="J1466" t="s">
        <v>18</v>
      </c>
      <c r="K1466" t="s">
        <v>19</v>
      </c>
      <c r="L1466" t="s">
        <v>70</v>
      </c>
      <c r="M1466" t="s">
        <v>51</v>
      </c>
      <c r="N1466" t="s">
        <v>29</v>
      </c>
    </row>
    <row r="1467" spans="1:14">
      <c r="A1467" s="4" t="str">
        <f t="shared" si="127"/>
        <v>EXP00030</v>
      </c>
      <c r="B1467" s="4" t="str">
        <f t="shared" si="128"/>
        <v>20162577</v>
      </c>
      <c r="C1467" s="4" t="str">
        <f t="shared" si="129"/>
        <v>GSE18105</v>
      </c>
      <c r="D1467" s="1" t="s">
        <v>45</v>
      </c>
      <c r="E1467" t="s">
        <v>95</v>
      </c>
      <c r="F1467" s="1">
        <v>2</v>
      </c>
      <c r="G1467" s="1" t="s">
        <v>28</v>
      </c>
      <c r="H1467" s="4" t="str">
        <f>HYPERLINK("https://www.ncbi.nlm.nih.gov/geo/query/acc.cgi?acc=GSM452563","GSM452563")</f>
        <v>GSM452563</v>
      </c>
      <c r="I1467" t="s">
        <v>69</v>
      </c>
      <c r="J1467" t="s">
        <v>18</v>
      </c>
      <c r="K1467" t="s">
        <v>19</v>
      </c>
      <c r="L1467" t="s">
        <v>70</v>
      </c>
      <c r="M1467" t="s">
        <v>51</v>
      </c>
      <c r="N1467" t="s">
        <v>29</v>
      </c>
    </row>
    <row r="1468" spans="1:14">
      <c r="A1468" s="4" t="str">
        <f t="shared" si="127"/>
        <v>EXP00030</v>
      </c>
      <c r="B1468" s="4" t="str">
        <f t="shared" si="128"/>
        <v>20162577</v>
      </c>
      <c r="C1468" s="4" t="str">
        <f t="shared" si="129"/>
        <v>GSE18105</v>
      </c>
      <c r="D1468" s="1" t="s">
        <v>45</v>
      </c>
      <c r="E1468" t="s">
        <v>95</v>
      </c>
      <c r="F1468" s="1">
        <v>2</v>
      </c>
      <c r="G1468" s="1" t="s">
        <v>28</v>
      </c>
      <c r="H1468" s="4" t="str">
        <f>HYPERLINK("https://www.ncbi.nlm.nih.gov/geo/query/acc.cgi?acc=GSM452565","GSM452565")</f>
        <v>GSM452565</v>
      </c>
      <c r="I1468" t="s">
        <v>69</v>
      </c>
      <c r="J1468" t="s">
        <v>18</v>
      </c>
      <c r="K1468" t="s">
        <v>19</v>
      </c>
      <c r="L1468" t="s">
        <v>70</v>
      </c>
      <c r="M1468" t="s">
        <v>51</v>
      </c>
      <c r="N1468" t="s">
        <v>29</v>
      </c>
    </row>
    <row r="1469" spans="1:14">
      <c r="A1469" s="4" t="str">
        <f t="shared" si="127"/>
        <v>EXP00030</v>
      </c>
      <c r="B1469" s="4" t="str">
        <f t="shared" si="128"/>
        <v>20162577</v>
      </c>
      <c r="C1469" s="4" t="str">
        <f t="shared" si="129"/>
        <v>GSE18105</v>
      </c>
      <c r="D1469" s="1" t="s">
        <v>45</v>
      </c>
      <c r="E1469" t="s">
        <v>95</v>
      </c>
      <c r="F1469" s="1">
        <v>2</v>
      </c>
      <c r="G1469" s="1" t="s">
        <v>28</v>
      </c>
      <c r="H1469" s="4" t="str">
        <f>HYPERLINK("https://www.ncbi.nlm.nih.gov/geo/query/acc.cgi?acc=GSM452570","GSM452570")</f>
        <v>GSM452570</v>
      </c>
      <c r="I1469" t="s">
        <v>69</v>
      </c>
      <c r="J1469" t="s">
        <v>18</v>
      </c>
      <c r="K1469" t="s">
        <v>19</v>
      </c>
      <c r="L1469" t="s">
        <v>70</v>
      </c>
      <c r="M1469" t="s">
        <v>51</v>
      </c>
      <c r="N1469" t="s">
        <v>29</v>
      </c>
    </row>
    <row r="1470" spans="1:14">
      <c r="A1470" s="4" t="str">
        <f t="shared" si="127"/>
        <v>EXP00030</v>
      </c>
      <c r="B1470" s="4" t="str">
        <f t="shared" si="128"/>
        <v>20162577</v>
      </c>
      <c r="C1470" s="4" t="str">
        <f t="shared" si="129"/>
        <v>GSE18105</v>
      </c>
      <c r="D1470" s="1" t="s">
        <v>45</v>
      </c>
      <c r="E1470" t="s">
        <v>95</v>
      </c>
      <c r="F1470" s="1">
        <v>2</v>
      </c>
      <c r="G1470" s="1" t="s">
        <v>28</v>
      </c>
      <c r="H1470" s="4" t="str">
        <f>HYPERLINK("https://www.ncbi.nlm.nih.gov/geo/query/acc.cgi?acc=GSM452571","GSM452571")</f>
        <v>GSM452571</v>
      </c>
      <c r="I1470" t="s">
        <v>69</v>
      </c>
      <c r="J1470" t="s">
        <v>18</v>
      </c>
      <c r="K1470" t="s">
        <v>19</v>
      </c>
      <c r="L1470" t="s">
        <v>70</v>
      </c>
      <c r="M1470" t="s">
        <v>51</v>
      </c>
      <c r="N1470" t="s">
        <v>29</v>
      </c>
    </row>
    <row r="1471" spans="1:14">
      <c r="A1471" s="4" t="str">
        <f t="shared" si="127"/>
        <v>EXP00030</v>
      </c>
      <c r="B1471" s="4" t="str">
        <f t="shared" si="128"/>
        <v>20162577</v>
      </c>
      <c r="C1471" s="4" t="str">
        <f t="shared" si="129"/>
        <v>GSE18105</v>
      </c>
      <c r="D1471" s="1" t="s">
        <v>45</v>
      </c>
      <c r="E1471" t="s">
        <v>95</v>
      </c>
      <c r="F1471" s="1">
        <v>2</v>
      </c>
      <c r="G1471" s="1" t="s">
        <v>28</v>
      </c>
      <c r="H1471" s="4" t="str">
        <f>HYPERLINK("https://www.ncbi.nlm.nih.gov/geo/query/acc.cgi?acc=GSM452578","GSM452578")</f>
        <v>GSM452578</v>
      </c>
      <c r="I1471" t="s">
        <v>69</v>
      </c>
      <c r="J1471" t="s">
        <v>18</v>
      </c>
      <c r="K1471" t="s">
        <v>19</v>
      </c>
      <c r="L1471" t="s">
        <v>70</v>
      </c>
      <c r="M1471" t="s">
        <v>51</v>
      </c>
      <c r="N1471" t="s">
        <v>29</v>
      </c>
    </row>
    <row r="1472" spans="1:14">
      <c r="A1472" s="4" t="str">
        <f t="shared" si="127"/>
        <v>EXP00030</v>
      </c>
      <c r="B1472" s="4" t="str">
        <f t="shared" si="128"/>
        <v>20162577</v>
      </c>
      <c r="C1472" s="4" t="str">
        <f t="shared" si="129"/>
        <v>GSE18105</v>
      </c>
      <c r="D1472" s="1" t="s">
        <v>45</v>
      </c>
      <c r="E1472" t="s">
        <v>95</v>
      </c>
      <c r="F1472" s="1">
        <v>2</v>
      </c>
      <c r="G1472" s="1" t="s">
        <v>28</v>
      </c>
      <c r="H1472" s="4" t="str">
        <f>HYPERLINK("https://www.ncbi.nlm.nih.gov/geo/query/acc.cgi?acc=GSM452579","GSM452579")</f>
        <v>GSM452579</v>
      </c>
      <c r="I1472" t="s">
        <v>69</v>
      </c>
      <c r="J1472" t="s">
        <v>18</v>
      </c>
      <c r="K1472" t="s">
        <v>19</v>
      </c>
      <c r="L1472" t="s">
        <v>70</v>
      </c>
      <c r="M1472" t="s">
        <v>51</v>
      </c>
      <c r="N1472" t="s">
        <v>29</v>
      </c>
    </row>
    <row r="1473" spans="1:14">
      <c r="A1473" s="4" t="str">
        <f t="shared" si="127"/>
        <v>EXP00030</v>
      </c>
      <c r="B1473" s="4" t="str">
        <f t="shared" si="128"/>
        <v>20162577</v>
      </c>
      <c r="C1473" s="4" t="str">
        <f t="shared" si="129"/>
        <v>GSE18105</v>
      </c>
      <c r="D1473" s="1" t="s">
        <v>45</v>
      </c>
      <c r="E1473" t="s">
        <v>95</v>
      </c>
      <c r="F1473" s="1">
        <v>2</v>
      </c>
      <c r="G1473" s="1" t="s">
        <v>28</v>
      </c>
      <c r="H1473" s="4" t="str">
        <f>HYPERLINK("https://www.ncbi.nlm.nih.gov/geo/query/acc.cgi?acc=GSM452583","GSM452583")</f>
        <v>GSM452583</v>
      </c>
      <c r="I1473" t="s">
        <v>69</v>
      </c>
      <c r="J1473" t="s">
        <v>18</v>
      </c>
      <c r="K1473" t="s">
        <v>19</v>
      </c>
      <c r="L1473" t="s">
        <v>70</v>
      </c>
      <c r="M1473" t="s">
        <v>51</v>
      </c>
      <c r="N1473" t="s">
        <v>29</v>
      </c>
    </row>
    <row r="1474" spans="1:14">
      <c r="A1474" s="4" t="str">
        <f t="shared" si="127"/>
        <v>EXP00030</v>
      </c>
      <c r="B1474" s="4" t="str">
        <f t="shared" si="128"/>
        <v>20162577</v>
      </c>
      <c r="C1474" s="4" t="str">
        <f t="shared" si="129"/>
        <v>GSE18105</v>
      </c>
      <c r="D1474" s="1" t="s">
        <v>45</v>
      </c>
      <c r="E1474" t="s">
        <v>95</v>
      </c>
      <c r="F1474" s="1">
        <v>2</v>
      </c>
      <c r="G1474" s="1" t="s">
        <v>28</v>
      </c>
      <c r="H1474" s="4" t="str">
        <f>HYPERLINK("https://www.ncbi.nlm.nih.gov/geo/query/acc.cgi?acc=GSM452584","GSM452584")</f>
        <v>GSM452584</v>
      </c>
      <c r="I1474" t="s">
        <v>69</v>
      </c>
      <c r="J1474" t="s">
        <v>18</v>
      </c>
      <c r="K1474" t="s">
        <v>19</v>
      </c>
      <c r="L1474" t="s">
        <v>70</v>
      </c>
      <c r="M1474" t="s">
        <v>51</v>
      </c>
      <c r="N1474" t="s">
        <v>29</v>
      </c>
    </row>
    <row r="1475" spans="1:14">
      <c r="A1475" s="4" t="str">
        <f t="shared" si="127"/>
        <v>EXP00030</v>
      </c>
      <c r="B1475" s="4" t="str">
        <f t="shared" si="128"/>
        <v>20162577</v>
      </c>
      <c r="C1475" s="4" t="str">
        <f t="shared" si="129"/>
        <v>GSE18105</v>
      </c>
      <c r="D1475" s="1" t="s">
        <v>45</v>
      </c>
      <c r="E1475" t="s">
        <v>95</v>
      </c>
      <c r="F1475" s="1">
        <v>2</v>
      </c>
      <c r="G1475" s="1" t="s">
        <v>28</v>
      </c>
      <c r="H1475" s="4" t="str">
        <f>HYPERLINK("https://www.ncbi.nlm.nih.gov/geo/query/acc.cgi?acc=GSM452586","GSM452586")</f>
        <v>GSM452586</v>
      </c>
      <c r="I1475" t="s">
        <v>69</v>
      </c>
      <c r="J1475" t="s">
        <v>18</v>
      </c>
      <c r="K1475" t="s">
        <v>19</v>
      </c>
      <c r="L1475" t="s">
        <v>70</v>
      </c>
      <c r="M1475" t="s">
        <v>51</v>
      </c>
      <c r="N1475" t="s">
        <v>29</v>
      </c>
    </row>
    <row r="1476" spans="1:14">
      <c r="A1476" s="4" t="str">
        <f t="shared" si="127"/>
        <v>EXP00030</v>
      </c>
      <c r="B1476" s="4" t="str">
        <f t="shared" si="128"/>
        <v>20162577</v>
      </c>
      <c r="C1476" s="4" t="str">
        <f t="shared" si="129"/>
        <v>GSE18105</v>
      </c>
      <c r="D1476" s="1" t="s">
        <v>45</v>
      </c>
      <c r="E1476" t="s">
        <v>95</v>
      </c>
      <c r="F1476" s="1">
        <v>2</v>
      </c>
      <c r="G1476" s="1" t="s">
        <v>28</v>
      </c>
      <c r="H1476" s="4" t="str">
        <f>HYPERLINK("https://www.ncbi.nlm.nih.gov/geo/query/acc.cgi?acc=GSM452588","GSM452588")</f>
        <v>GSM452588</v>
      </c>
      <c r="I1476" t="s">
        <v>69</v>
      </c>
      <c r="J1476" t="s">
        <v>18</v>
      </c>
      <c r="K1476" t="s">
        <v>19</v>
      </c>
      <c r="L1476" t="s">
        <v>70</v>
      </c>
      <c r="M1476" t="s">
        <v>51</v>
      </c>
      <c r="N1476" t="s">
        <v>29</v>
      </c>
    </row>
    <row r="1477" spans="1:14">
      <c r="A1477" s="4" t="str">
        <f t="shared" si="127"/>
        <v>EXP00030</v>
      </c>
      <c r="B1477" s="4" t="str">
        <f t="shared" si="128"/>
        <v>20162577</v>
      </c>
      <c r="C1477" s="4" t="str">
        <f t="shared" si="129"/>
        <v>GSE18105</v>
      </c>
      <c r="D1477" s="1" t="s">
        <v>45</v>
      </c>
      <c r="E1477" t="s">
        <v>95</v>
      </c>
      <c r="F1477" s="1">
        <v>2</v>
      </c>
      <c r="G1477" s="1" t="s">
        <v>28</v>
      </c>
      <c r="H1477" s="4" t="str">
        <f>HYPERLINK("https://www.ncbi.nlm.nih.gov/geo/query/acc.cgi?acc=GSM452590","GSM452590")</f>
        <v>GSM452590</v>
      </c>
      <c r="I1477" t="s">
        <v>69</v>
      </c>
      <c r="J1477" t="s">
        <v>18</v>
      </c>
      <c r="K1477" t="s">
        <v>19</v>
      </c>
      <c r="L1477" t="s">
        <v>70</v>
      </c>
      <c r="M1477" t="s">
        <v>51</v>
      </c>
      <c r="N1477" t="s">
        <v>29</v>
      </c>
    </row>
    <row r="1478" spans="1:14">
      <c r="A1478" s="4" t="str">
        <f t="shared" si="127"/>
        <v>EXP00030</v>
      </c>
      <c r="B1478" s="4" t="str">
        <f t="shared" si="128"/>
        <v>20162577</v>
      </c>
      <c r="C1478" s="4" t="str">
        <f t="shared" si="129"/>
        <v>GSE18105</v>
      </c>
      <c r="D1478" s="1" t="s">
        <v>45</v>
      </c>
      <c r="E1478" t="s">
        <v>95</v>
      </c>
      <c r="F1478" s="1">
        <v>2</v>
      </c>
      <c r="G1478" s="1" t="s">
        <v>28</v>
      </c>
      <c r="H1478" s="4" t="str">
        <f>HYPERLINK("https://www.ncbi.nlm.nih.gov/geo/query/acc.cgi?acc=GSM452591","GSM452591")</f>
        <v>GSM452591</v>
      </c>
      <c r="I1478" t="s">
        <v>69</v>
      </c>
      <c r="J1478" t="s">
        <v>18</v>
      </c>
      <c r="K1478" t="s">
        <v>19</v>
      </c>
      <c r="L1478" t="s">
        <v>70</v>
      </c>
      <c r="M1478" t="s">
        <v>51</v>
      </c>
      <c r="N1478" t="s">
        <v>29</v>
      </c>
    </row>
    <row r="1479" spans="1:14">
      <c r="A1479" s="4" t="str">
        <f t="shared" si="127"/>
        <v>EXP00030</v>
      </c>
      <c r="B1479" s="4" t="str">
        <f t="shared" si="128"/>
        <v>20162577</v>
      </c>
      <c r="C1479" s="4" t="str">
        <f t="shared" si="129"/>
        <v>GSE18105</v>
      </c>
      <c r="D1479" s="1" t="s">
        <v>45</v>
      </c>
      <c r="E1479" t="s">
        <v>95</v>
      </c>
      <c r="F1479" s="1">
        <v>2</v>
      </c>
      <c r="G1479" s="1" t="s">
        <v>28</v>
      </c>
      <c r="H1479" s="4" t="str">
        <f>HYPERLINK("https://www.ncbi.nlm.nih.gov/geo/query/acc.cgi?acc=GSM452598","GSM452598")</f>
        <v>GSM452598</v>
      </c>
      <c r="I1479" t="s">
        <v>69</v>
      </c>
      <c r="J1479" t="s">
        <v>18</v>
      </c>
      <c r="K1479" t="s">
        <v>19</v>
      </c>
      <c r="L1479" t="s">
        <v>70</v>
      </c>
      <c r="M1479" t="s">
        <v>51</v>
      </c>
      <c r="N1479" t="s">
        <v>29</v>
      </c>
    </row>
    <row r="1480" spans="1:14">
      <c r="A1480" s="4" t="str">
        <f t="shared" si="127"/>
        <v>EXP00030</v>
      </c>
      <c r="B1480" s="4" t="str">
        <f t="shared" si="128"/>
        <v>20162577</v>
      </c>
      <c r="C1480" s="4" t="str">
        <f t="shared" si="129"/>
        <v>GSE18105</v>
      </c>
      <c r="D1480" s="1" t="s">
        <v>45</v>
      </c>
      <c r="E1480" t="s">
        <v>95</v>
      </c>
      <c r="F1480" s="1">
        <v>2</v>
      </c>
      <c r="G1480" s="1" t="s">
        <v>28</v>
      </c>
      <c r="H1480" s="4" t="str">
        <f>HYPERLINK("https://www.ncbi.nlm.nih.gov/geo/query/acc.cgi?acc=GSM452599","GSM452599")</f>
        <v>GSM452599</v>
      </c>
      <c r="I1480" t="s">
        <v>69</v>
      </c>
      <c r="J1480" t="s">
        <v>18</v>
      </c>
      <c r="K1480" t="s">
        <v>19</v>
      </c>
      <c r="L1480" t="s">
        <v>70</v>
      </c>
      <c r="M1480" t="s">
        <v>51</v>
      </c>
      <c r="N1480" t="s">
        <v>29</v>
      </c>
    </row>
    <row r="1481" spans="1:14">
      <c r="A1481" s="4" t="str">
        <f t="shared" si="127"/>
        <v>EXP00030</v>
      </c>
      <c r="B1481" s="4" t="str">
        <f t="shared" si="128"/>
        <v>20162577</v>
      </c>
      <c r="C1481" s="4" t="str">
        <f t="shared" si="129"/>
        <v>GSE18105</v>
      </c>
      <c r="D1481" s="1" t="s">
        <v>45</v>
      </c>
      <c r="E1481" t="s">
        <v>95</v>
      </c>
      <c r="F1481" s="1">
        <v>2</v>
      </c>
      <c r="G1481" s="1" t="s">
        <v>28</v>
      </c>
      <c r="H1481" s="4" t="str">
        <f>HYPERLINK("https://www.ncbi.nlm.nih.gov/geo/query/acc.cgi?acc=GSM452601","GSM452601")</f>
        <v>GSM452601</v>
      </c>
      <c r="I1481" t="s">
        <v>69</v>
      </c>
      <c r="J1481" t="s">
        <v>18</v>
      </c>
      <c r="K1481" t="s">
        <v>19</v>
      </c>
      <c r="L1481" t="s">
        <v>70</v>
      </c>
      <c r="M1481" t="s">
        <v>51</v>
      </c>
      <c r="N1481" t="s">
        <v>29</v>
      </c>
    </row>
    <row r="1482" spans="1:14">
      <c r="A1482" s="4" t="str">
        <f t="shared" si="127"/>
        <v>EXP00030</v>
      </c>
      <c r="B1482" s="4" t="str">
        <f t="shared" si="128"/>
        <v>20162577</v>
      </c>
      <c r="C1482" s="4" t="str">
        <f t="shared" si="129"/>
        <v>GSE18105</v>
      </c>
      <c r="D1482" s="1" t="s">
        <v>45</v>
      </c>
      <c r="E1482" t="s">
        <v>95</v>
      </c>
      <c r="F1482" s="1">
        <v>2</v>
      </c>
      <c r="G1482" s="1" t="s">
        <v>28</v>
      </c>
      <c r="H1482" s="4" t="str">
        <f>HYPERLINK("https://www.ncbi.nlm.nih.gov/geo/query/acc.cgi?acc=GSM452604","GSM452604")</f>
        <v>GSM452604</v>
      </c>
      <c r="I1482" t="s">
        <v>69</v>
      </c>
      <c r="J1482" t="s">
        <v>18</v>
      </c>
      <c r="K1482" t="s">
        <v>19</v>
      </c>
      <c r="L1482" t="s">
        <v>70</v>
      </c>
      <c r="M1482" t="s">
        <v>51</v>
      </c>
      <c r="N1482" t="s">
        <v>29</v>
      </c>
    </row>
    <row r="1483" spans="1:14">
      <c r="A1483" s="4" t="str">
        <f t="shared" si="127"/>
        <v>EXP00030</v>
      </c>
      <c r="B1483" s="4" t="str">
        <f t="shared" si="128"/>
        <v>20162577</v>
      </c>
      <c r="C1483" s="4" t="str">
        <f t="shared" si="129"/>
        <v>GSE18105</v>
      </c>
      <c r="D1483" s="1" t="s">
        <v>45</v>
      </c>
      <c r="E1483" t="s">
        <v>95</v>
      </c>
      <c r="F1483" s="1">
        <v>2</v>
      </c>
      <c r="G1483" s="1" t="s">
        <v>28</v>
      </c>
      <c r="H1483" s="4" t="str">
        <f>HYPERLINK("https://www.ncbi.nlm.nih.gov/geo/query/acc.cgi?acc=GSM452605","GSM452605")</f>
        <v>GSM452605</v>
      </c>
      <c r="I1483" t="s">
        <v>69</v>
      </c>
      <c r="J1483" t="s">
        <v>18</v>
      </c>
      <c r="K1483" t="s">
        <v>19</v>
      </c>
      <c r="L1483" t="s">
        <v>70</v>
      </c>
      <c r="M1483" t="s">
        <v>51</v>
      </c>
      <c r="N1483" t="s">
        <v>29</v>
      </c>
    </row>
    <row r="1484" spans="1:14">
      <c r="A1484" s="4" t="str">
        <f t="shared" si="127"/>
        <v>EXP00030</v>
      </c>
      <c r="B1484" s="4" t="str">
        <f t="shared" si="128"/>
        <v>20162577</v>
      </c>
      <c r="C1484" s="4" t="str">
        <f t="shared" si="129"/>
        <v>GSE18105</v>
      </c>
      <c r="D1484" s="1" t="s">
        <v>45</v>
      </c>
      <c r="E1484" t="s">
        <v>95</v>
      </c>
      <c r="F1484" s="1">
        <v>2</v>
      </c>
      <c r="G1484" s="1" t="s">
        <v>28</v>
      </c>
      <c r="H1484" s="4" t="str">
        <f>HYPERLINK("https://www.ncbi.nlm.nih.gov/geo/query/acc.cgi?acc=GSM452606","GSM452606")</f>
        <v>GSM452606</v>
      </c>
      <c r="I1484" t="s">
        <v>69</v>
      </c>
      <c r="J1484" t="s">
        <v>18</v>
      </c>
      <c r="K1484" t="s">
        <v>19</v>
      </c>
      <c r="L1484" t="s">
        <v>70</v>
      </c>
      <c r="M1484" t="s">
        <v>51</v>
      </c>
      <c r="N1484" t="s">
        <v>29</v>
      </c>
    </row>
    <row r="1485" spans="1:14">
      <c r="A1485" s="4" t="str">
        <f t="shared" si="127"/>
        <v>EXP00030</v>
      </c>
      <c r="B1485" s="4" t="str">
        <f t="shared" si="128"/>
        <v>20162577</v>
      </c>
      <c r="C1485" s="4" t="str">
        <f t="shared" si="129"/>
        <v>GSE18105</v>
      </c>
      <c r="D1485" s="1" t="s">
        <v>45</v>
      </c>
      <c r="E1485" t="s">
        <v>95</v>
      </c>
      <c r="F1485" s="1">
        <v>2</v>
      </c>
      <c r="G1485" s="1" t="s">
        <v>28</v>
      </c>
      <c r="H1485" s="4" t="str">
        <f>HYPERLINK("https://www.ncbi.nlm.nih.gov/geo/query/acc.cgi?acc=GSM452607","GSM452607")</f>
        <v>GSM452607</v>
      </c>
      <c r="I1485" t="s">
        <v>69</v>
      </c>
      <c r="J1485" t="s">
        <v>18</v>
      </c>
      <c r="K1485" t="s">
        <v>19</v>
      </c>
      <c r="L1485" t="s">
        <v>70</v>
      </c>
      <c r="M1485" t="s">
        <v>51</v>
      </c>
      <c r="N1485" t="s">
        <v>29</v>
      </c>
    </row>
    <row r="1486" spans="1:14">
      <c r="A1486" s="4" t="str">
        <f t="shared" si="127"/>
        <v>EXP00030</v>
      </c>
      <c r="B1486" s="4" t="str">
        <f t="shared" si="128"/>
        <v>20162577</v>
      </c>
      <c r="C1486" s="4" t="str">
        <f t="shared" si="129"/>
        <v>GSE18105</v>
      </c>
      <c r="D1486" s="1" t="s">
        <v>45</v>
      </c>
      <c r="E1486" t="s">
        <v>95</v>
      </c>
      <c r="F1486" s="1">
        <v>2</v>
      </c>
      <c r="G1486" s="1" t="s">
        <v>28</v>
      </c>
      <c r="H1486" s="4" t="str">
        <f>HYPERLINK("https://www.ncbi.nlm.nih.gov/geo/query/acc.cgi?acc=GSM452610","GSM452610")</f>
        <v>GSM452610</v>
      </c>
      <c r="I1486" t="s">
        <v>69</v>
      </c>
      <c r="J1486" t="s">
        <v>18</v>
      </c>
      <c r="K1486" t="s">
        <v>19</v>
      </c>
      <c r="L1486" t="s">
        <v>70</v>
      </c>
      <c r="M1486" t="s">
        <v>51</v>
      </c>
      <c r="N1486" t="s">
        <v>29</v>
      </c>
    </row>
    <row r="1487" spans="1:14">
      <c r="A1487" s="4" t="str">
        <f t="shared" si="127"/>
        <v>EXP00030</v>
      </c>
      <c r="B1487" s="4" t="str">
        <f t="shared" si="128"/>
        <v>20162577</v>
      </c>
      <c r="C1487" s="4" t="str">
        <f t="shared" si="129"/>
        <v>GSE18105</v>
      </c>
      <c r="D1487" s="1" t="s">
        <v>45</v>
      </c>
      <c r="E1487" t="s">
        <v>95</v>
      </c>
      <c r="F1487" s="1">
        <v>2</v>
      </c>
      <c r="G1487" s="1" t="s">
        <v>28</v>
      </c>
      <c r="H1487" s="4" t="str">
        <f>HYPERLINK("https://www.ncbi.nlm.nih.gov/geo/query/acc.cgi?acc=GSM452615","GSM452615")</f>
        <v>GSM452615</v>
      </c>
      <c r="I1487" t="s">
        <v>69</v>
      </c>
      <c r="J1487" t="s">
        <v>18</v>
      </c>
      <c r="K1487" t="s">
        <v>19</v>
      </c>
      <c r="L1487" t="s">
        <v>70</v>
      </c>
      <c r="M1487" t="s">
        <v>51</v>
      </c>
      <c r="N1487" t="s">
        <v>29</v>
      </c>
    </row>
    <row r="1488" spans="1:14">
      <c r="A1488" s="4" t="str">
        <f t="shared" si="127"/>
        <v>EXP00030</v>
      </c>
      <c r="B1488" s="4" t="str">
        <f t="shared" si="128"/>
        <v>20162577</v>
      </c>
      <c r="C1488" s="4" t="str">
        <f t="shared" si="129"/>
        <v>GSE18105</v>
      </c>
      <c r="D1488" s="1" t="s">
        <v>45</v>
      </c>
      <c r="E1488" t="s">
        <v>95</v>
      </c>
      <c r="F1488" s="1">
        <v>2</v>
      </c>
      <c r="G1488" s="1" t="s">
        <v>28</v>
      </c>
      <c r="H1488" s="4" t="str">
        <f>HYPERLINK("https://www.ncbi.nlm.nih.gov/geo/query/acc.cgi?acc=GSM452616","GSM452616")</f>
        <v>GSM452616</v>
      </c>
      <c r="I1488" t="s">
        <v>69</v>
      </c>
      <c r="J1488" t="s">
        <v>18</v>
      </c>
      <c r="K1488" t="s">
        <v>19</v>
      </c>
      <c r="L1488" t="s">
        <v>70</v>
      </c>
      <c r="M1488" t="s">
        <v>51</v>
      </c>
      <c r="N1488" t="s">
        <v>29</v>
      </c>
    </row>
    <row r="1489" spans="1:14">
      <c r="A1489" s="4" t="str">
        <f t="shared" si="127"/>
        <v>EXP00030</v>
      </c>
      <c r="B1489" s="4" t="str">
        <f t="shared" si="128"/>
        <v>20162577</v>
      </c>
      <c r="C1489" s="4" t="str">
        <f t="shared" si="129"/>
        <v>GSE18105</v>
      </c>
      <c r="D1489" s="1" t="s">
        <v>45</v>
      </c>
      <c r="E1489" t="s">
        <v>95</v>
      </c>
      <c r="F1489" s="1">
        <v>2</v>
      </c>
      <c r="G1489" s="1" t="s">
        <v>28</v>
      </c>
      <c r="H1489" s="4" t="str">
        <f>HYPERLINK("https://www.ncbi.nlm.nih.gov/geo/query/acc.cgi?acc=GSM452619","GSM452619")</f>
        <v>GSM452619</v>
      </c>
      <c r="I1489" t="s">
        <v>69</v>
      </c>
      <c r="J1489" t="s">
        <v>18</v>
      </c>
      <c r="K1489" t="s">
        <v>19</v>
      </c>
      <c r="L1489" t="s">
        <v>70</v>
      </c>
      <c r="M1489" t="s">
        <v>51</v>
      </c>
      <c r="N1489" t="s">
        <v>29</v>
      </c>
    </row>
    <row r="1490" spans="1:14">
      <c r="A1490" s="4" t="str">
        <f t="shared" si="127"/>
        <v>EXP00030</v>
      </c>
      <c r="B1490" s="4" t="str">
        <f t="shared" si="128"/>
        <v>20162577</v>
      </c>
      <c r="C1490" s="4" t="str">
        <f t="shared" si="129"/>
        <v>GSE18105</v>
      </c>
      <c r="D1490" s="1" t="s">
        <v>45</v>
      </c>
      <c r="E1490" t="s">
        <v>95</v>
      </c>
      <c r="F1490" s="1">
        <v>2</v>
      </c>
      <c r="G1490" s="1" t="s">
        <v>28</v>
      </c>
      <c r="H1490" s="4" t="str">
        <f>HYPERLINK("https://www.ncbi.nlm.nih.gov/geo/query/acc.cgi?acc=GSM452621","GSM452621")</f>
        <v>GSM452621</v>
      </c>
      <c r="I1490" t="s">
        <v>69</v>
      </c>
      <c r="J1490" t="s">
        <v>18</v>
      </c>
      <c r="K1490" t="s">
        <v>19</v>
      </c>
      <c r="L1490" t="s">
        <v>70</v>
      </c>
      <c r="M1490" t="s">
        <v>51</v>
      </c>
      <c r="N1490" t="s">
        <v>29</v>
      </c>
    </row>
    <row r="1491" spans="1:14">
      <c r="A1491" s="4" t="str">
        <f t="shared" si="127"/>
        <v>EXP00030</v>
      </c>
      <c r="B1491" s="4" t="str">
        <f t="shared" si="128"/>
        <v>20162577</v>
      </c>
      <c r="C1491" s="4" t="str">
        <f t="shared" si="129"/>
        <v>GSE18105</v>
      </c>
      <c r="D1491" s="1" t="s">
        <v>45</v>
      </c>
      <c r="E1491" t="s">
        <v>95</v>
      </c>
      <c r="F1491" s="1">
        <v>2</v>
      </c>
      <c r="G1491" s="1" t="s">
        <v>28</v>
      </c>
      <c r="H1491" s="4" t="str">
        <f>HYPERLINK("https://www.ncbi.nlm.nih.gov/geo/query/acc.cgi?acc=GSM452624","GSM452624")</f>
        <v>GSM452624</v>
      </c>
      <c r="I1491" t="s">
        <v>69</v>
      </c>
      <c r="J1491" t="s">
        <v>18</v>
      </c>
      <c r="K1491" t="s">
        <v>19</v>
      </c>
      <c r="L1491" t="s">
        <v>70</v>
      </c>
      <c r="M1491" t="s">
        <v>51</v>
      </c>
      <c r="N1491" t="s">
        <v>29</v>
      </c>
    </row>
    <row r="1492" spans="1:14">
      <c r="A1492" s="4" t="str">
        <f t="shared" si="127"/>
        <v>EXP00030</v>
      </c>
      <c r="B1492" s="4" t="str">
        <f t="shared" si="128"/>
        <v>20162577</v>
      </c>
      <c r="C1492" s="4" t="str">
        <f t="shared" si="129"/>
        <v>GSE18105</v>
      </c>
      <c r="D1492" s="1" t="s">
        <v>45</v>
      </c>
      <c r="E1492" t="s">
        <v>95</v>
      </c>
      <c r="F1492" s="1">
        <v>2</v>
      </c>
      <c r="G1492" s="1" t="s">
        <v>28</v>
      </c>
      <c r="H1492" s="4" t="str">
        <f>HYPERLINK("https://www.ncbi.nlm.nih.gov/geo/query/acc.cgi?acc=GSM452628","GSM452628")</f>
        <v>GSM452628</v>
      </c>
      <c r="I1492" t="s">
        <v>69</v>
      </c>
      <c r="J1492" t="s">
        <v>18</v>
      </c>
      <c r="K1492" t="s">
        <v>19</v>
      </c>
      <c r="L1492" t="s">
        <v>70</v>
      </c>
      <c r="M1492" t="s">
        <v>51</v>
      </c>
      <c r="N1492" t="s">
        <v>29</v>
      </c>
    </row>
    <row r="1493" spans="1:14">
      <c r="A1493" s="4" t="str">
        <f t="shared" si="127"/>
        <v>EXP00030</v>
      </c>
      <c r="B1493" s="4" t="str">
        <f t="shared" si="128"/>
        <v>20162577</v>
      </c>
      <c r="C1493" s="4" t="str">
        <f t="shared" si="129"/>
        <v>GSE18105</v>
      </c>
      <c r="D1493" s="1" t="s">
        <v>45</v>
      </c>
      <c r="E1493" t="s">
        <v>95</v>
      </c>
      <c r="F1493" s="1">
        <v>2</v>
      </c>
      <c r="G1493" s="1" t="s">
        <v>28</v>
      </c>
      <c r="H1493" s="4" t="str">
        <f>HYPERLINK("https://www.ncbi.nlm.nih.gov/geo/query/acc.cgi?acc=GSM452646","GSM452646")</f>
        <v>GSM452646</v>
      </c>
      <c r="I1493" t="s">
        <v>69</v>
      </c>
      <c r="J1493" t="s">
        <v>18</v>
      </c>
      <c r="K1493" t="s">
        <v>19</v>
      </c>
      <c r="L1493" t="s">
        <v>70</v>
      </c>
      <c r="M1493" t="s">
        <v>51</v>
      </c>
      <c r="N1493" t="s">
        <v>29</v>
      </c>
    </row>
    <row r="1494" spans="1:14">
      <c r="A1494" s="4" t="str">
        <f t="shared" si="127"/>
        <v>EXP00030</v>
      </c>
      <c r="B1494" s="4" t="str">
        <f t="shared" si="128"/>
        <v>20162577</v>
      </c>
      <c r="C1494" s="4" t="str">
        <f t="shared" si="129"/>
        <v>GSE18105</v>
      </c>
      <c r="D1494" s="1" t="s">
        <v>45</v>
      </c>
      <c r="E1494" t="s">
        <v>95</v>
      </c>
      <c r="F1494" s="1">
        <v>2</v>
      </c>
      <c r="G1494" s="1" t="s">
        <v>28</v>
      </c>
      <c r="H1494" s="4" t="str">
        <f>HYPERLINK("https://www.ncbi.nlm.nih.gov/geo/query/acc.cgi?acc=GSM452647","GSM452647")</f>
        <v>GSM452647</v>
      </c>
      <c r="I1494" t="s">
        <v>69</v>
      </c>
      <c r="J1494" t="s">
        <v>18</v>
      </c>
      <c r="K1494" t="s">
        <v>19</v>
      </c>
      <c r="L1494" t="s">
        <v>70</v>
      </c>
      <c r="M1494" t="s">
        <v>51</v>
      </c>
      <c r="N1494" t="s">
        <v>29</v>
      </c>
    </row>
    <row r="1495" spans="1:14">
      <c r="A1495" s="4" t="str">
        <f t="shared" si="127"/>
        <v>EXP00030</v>
      </c>
      <c r="B1495" s="4" t="str">
        <f t="shared" si="128"/>
        <v>20162577</v>
      </c>
      <c r="C1495" s="4" t="str">
        <f t="shared" si="129"/>
        <v>GSE18105</v>
      </c>
      <c r="D1495" s="1" t="s">
        <v>45</v>
      </c>
      <c r="E1495" t="s">
        <v>95</v>
      </c>
      <c r="F1495" s="1">
        <v>2</v>
      </c>
      <c r="G1495" s="1" t="s">
        <v>28</v>
      </c>
      <c r="H1495" s="4" t="str">
        <f>HYPERLINK("https://www.ncbi.nlm.nih.gov/geo/query/acc.cgi?acc=GSM452648","GSM452648")</f>
        <v>GSM452648</v>
      </c>
      <c r="I1495" t="s">
        <v>69</v>
      </c>
      <c r="J1495" t="s">
        <v>18</v>
      </c>
      <c r="K1495" t="s">
        <v>19</v>
      </c>
      <c r="L1495" t="s">
        <v>70</v>
      </c>
      <c r="M1495" t="s">
        <v>51</v>
      </c>
      <c r="N1495" t="s">
        <v>29</v>
      </c>
    </row>
    <row r="1496" spans="1:14">
      <c r="A1496" s="4" t="str">
        <f t="shared" si="127"/>
        <v>EXP00030</v>
      </c>
      <c r="B1496" s="4" t="str">
        <f t="shared" si="128"/>
        <v>20162577</v>
      </c>
      <c r="C1496" s="4" t="str">
        <f t="shared" si="129"/>
        <v>GSE18105</v>
      </c>
      <c r="D1496" s="1" t="s">
        <v>45</v>
      </c>
      <c r="E1496" t="s">
        <v>95</v>
      </c>
      <c r="F1496" s="1">
        <v>2</v>
      </c>
      <c r="G1496" s="1" t="s">
        <v>28</v>
      </c>
      <c r="H1496" s="4" t="str">
        <f>HYPERLINK("https://www.ncbi.nlm.nih.gov/geo/query/acc.cgi?acc=GSM452650","GSM452650")</f>
        <v>GSM452650</v>
      </c>
      <c r="I1496" t="s">
        <v>69</v>
      </c>
      <c r="J1496" t="s">
        <v>18</v>
      </c>
      <c r="K1496" t="s">
        <v>19</v>
      </c>
      <c r="L1496" t="s">
        <v>70</v>
      </c>
      <c r="M1496" t="s">
        <v>51</v>
      </c>
      <c r="N1496" t="s">
        <v>29</v>
      </c>
    </row>
    <row r="1497" spans="1:14">
      <c r="A1497" s="4" t="str">
        <f t="shared" si="127"/>
        <v>EXP00030</v>
      </c>
      <c r="B1497" s="4" t="str">
        <f t="shared" si="128"/>
        <v>20162577</v>
      </c>
      <c r="C1497" s="4" t="str">
        <f t="shared" si="129"/>
        <v>GSE18105</v>
      </c>
      <c r="D1497" s="1" t="s">
        <v>45</v>
      </c>
      <c r="E1497" t="s">
        <v>95</v>
      </c>
      <c r="F1497" s="1">
        <v>2</v>
      </c>
      <c r="G1497" s="1" t="s">
        <v>28</v>
      </c>
      <c r="H1497" s="4" t="str">
        <f>HYPERLINK("https://www.ncbi.nlm.nih.gov/geo/query/acc.cgi?acc=GSM452655","GSM452655")</f>
        <v>GSM452655</v>
      </c>
      <c r="I1497" t="s">
        <v>69</v>
      </c>
      <c r="J1497" t="s">
        <v>18</v>
      </c>
      <c r="K1497" t="s">
        <v>19</v>
      </c>
      <c r="L1497" t="s">
        <v>70</v>
      </c>
      <c r="M1497" t="s">
        <v>51</v>
      </c>
      <c r="N1497" t="s">
        <v>29</v>
      </c>
    </row>
    <row r="1498" spans="1:14">
      <c r="A1498" s="4" t="str">
        <f t="shared" si="127"/>
        <v>EXP00030</v>
      </c>
      <c r="B1498" s="4" t="str">
        <f t="shared" si="128"/>
        <v>20162577</v>
      </c>
      <c r="C1498" s="4" t="str">
        <f t="shared" si="129"/>
        <v>GSE18105</v>
      </c>
      <c r="D1498" s="1" t="s">
        <v>45</v>
      </c>
      <c r="E1498" t="s">
        <v>95</v>
      </c>
      <c r="F1498" s="1">
        <v>2</v>
      </c>
      <c r="G1498" s="1" t="s">
        <v>28</v>
      </c>
      <c r="H1498" s="4" t="str">
        <f>HYPERLINK("https://www.ncbi.nlm.nih.gov/geo/query/acc.cgi?acc=GSM452658","GSM452658")</f>
        <v>GSM452658</v>
      </c>
      <c r="I1498" t="s">
        <v>69</v>
      </c>
      <c r="J1498" t="s">
        <v>18</v>
      </c>
      <c r="K1498" t="s">
        <v>19</v>
      </c>
      <c r="L1498" t="s">
        <v>70</v>
      </c>
      <c r="M1498" t="s">
        <v>51</v>
      </c>
      <c r="N1498" t="s">
        <v>29</v>
      </c>
    </row>
    <row r="1499" spans="1:14">
      <c r="A1499" s="4" t="str">
        <f t="shared" si="127"/>
        <v>EXP00030</v>
      </c>
      <c r="B1499" s="4" t="str">
        <f t="shared" si="128"/>
        <v>20162577</v>
      </c>
      <c r="C1499" s="4" t="str">
        <f t="shared" si="129"/>
        <v>GSE18105</v>
      </c>
      <c r="D1499" s="1" t="s">
        <v>45</v>
      </c>
      <c r="E1499" t="s">
        <v>95</v>
      </c>
      <c r="F1499" s="1">
        <v>2</v>
      </c>
      <c r="G1499" s="1" t="s">
        <v>28</v>
      </c>
      <c r="H1499" s="4" t="str">
        <f>HYPERLINK("https://www.ncbi.nlm.nih.gov/geo/query/acc.cgi?acc=GSM452661","GSM452661")</f>
        <v>GSM452661</v>
      </c>
      <c r="I1499" t="s">
        <v>69</v>
      </c>
      <c r="J1499" t="s">
        <v>18</v>
      </c>
      <c r="K1499" t="s">
        <v>19</v>
      </c>
      <c r="L1499" t="s">
        <v>70</v>
      </c>
      <c r="M1499" t="s">
        <v>51</v>
      </c>
      <c r="N1499" t="s">
        <v>29</v>
      </c>
    </row>
    <row r="1500" spans="1:14">
      <c r="A1500" s="4" t="str">
        <f t="shared" ref="A1500:A1531" si="130">HYPERLINK("http://hcmdb.i-sanger.com/experiment/details/experiment_id/EXP00031","EXP00031")</f>
        <v>EXP00031</v>
      </c>
      <c r="B1500" s="4" t="str">
        <f t="shared" si="128"/>
        <v>20162577</v>
      </c>
      <c r="C1500" s="4" t="str">
        <f t="shared" si="129"/>
        <v>GSE18105</v>
      </c>
      <c r="D1500" s="1" t="s">
        <v>45</v>
      </c>
      <c r="E1500" t="s">
        <v>68</v>
      </c>
      <c r="F1500" s="1">
        <v>1</v>
      </c>
      <c r="G1500" s="1" t="s">
        <v>31</v>
      </c>
      <c r="H1500" s="4" t="str">
        <f>HYPERLINK("https://www.ncbi.nlm.nih.gov/geo/query/acc.cgi?acc=GSM452556","GSM452556")</f>
        <v>GSM452556</v>
      </c>
      <c r="I1500" t="s">
        <v>69</v>
      </c>
      <c r="J1500" t="s">
        <v>18</v>
      </c>
      <c r="K1500" t="s">
        <v>19</v>
      </c>
      <c r="L1500" t="s">
        <v>70</v>
      </c>
      <c r="M1500" t="s">
        <v>51</v>
      </c>
      <c r="N1500" t="s">
        <v>29</v>
      </c>
    </row>
    <row r="1501" spans="1:14">
      <c r="A1501" s="4" t="str">
        <f t="shared" si="130"/>
        <v>EXP00031</v>
      </c>
      <c r="B1501" s="4" t="str">
        <f t="shared" si="128"/>
        <v>20162577</v>
      </c>
      <c r="C1501" s="4" t="str">
        <f t="shared" si="129"/>
        <v>GSE18105</v>
      </c>
      <c r="D1501" s="1" t="s">
        <v>45</v>
      </c>
      <c r="E1501" t="s">
        <v>68</v>
      </c>
      <c r="F1501" s="1">
        <v>1</v>
      </c>
      <c r="G1501" s="1" t="s">
        <v>31</v>
      </c>
      <c r="H1501" s="4" t="str">
        <f>HYPERLINK("https://www.ncbi.nlm.nih.gov/geo/query/acc.cgi?acc=GSM452558","GSM452558")</f>
        <v>GSM452558</v>
      </c>
      <c r="I1501" t="s">
        <v>69</v>
      </c>
      <c r="J1501" t="s">
        <v>18</v>
      </c>
      <c r="K1501" t="s">
        <v>19</v>
      </c>
      <c r="L1501" t="s">
        <v>70</v>
      </c>
      <c r="M1501" t="s">
        <v>51</v>
      </c>
      <c r="N1501" t="s">
        <v>29</v>
      </c>
    </row>
    <row r="1502" spans="1:14">
      <c r="A1502" s="4" t="str">
        <f t="shared" si="130"/>
        <v>EXP00031</v>
      </c>
      <c r="B1502" s="4" t="str">
        <f t="shared" si="128"/>
        <v>20162577</v>
      </c>
      <c r="C1502" s="4" t="str">
        <f t="shared" si="129"/>
        <v>GSE18105</v>
      </c>
      <c r="D1502" s="1" t="s">
        <v>45</v>
      </c>
      <c r="E1502" t="s">
        <v>68</v>
      </c>
      <c r="F1502" s="1">
        <v>1</v>
      </c>
      <c r="G1502" s="1" t="s">
        <v>31</v>
      </c>
      <c r="H1502" s="4" t="str">
        <f>HYPERLINK("https://www.ncbi.nlm.nih.gov/geo/query/acc.cgi?acc=GSM452559","GSM452559")</f>
        <v>GSM452559</v>
      </c>
      <c r="I1502" t="s">
        <v>69</v>
      </c>
      <c r="J1502" t="s">
        <v>18</v>
      </c>
      <c r="K1502" t="s">
        <v>19</v>
      </c>
      <c r="L1502" t="s">
        <v>70</v>
      </c>
      <c r="M1502" t="s">
        <v>51</v>
      </c>
      <c r="N1502" t="s">
        <v>29</v>
      </c>
    </row>
    <row r="1503" spans="1:14">
      <c r="A1503" s="4" t="str">
        <f t="shared" si="130"/>
        <v>EXP00031</v>
      </c>
      <c r="B1503" s="4" t="str">
        <f t="shared" si="128"/>
        <v>20162577</v>
      </c>
      <c r="C1503" s="4" t="str">
        <f t="shared" si="129"/>
        <v>GSE18105</v>
      </c>
      <c r="D1503" s="1" t="s">
        <v>45</v>
      </c>
      <c r="E1503" t="s">
        <v>68</v>
      </c>
      <c r="F1503" s="1">
        <v>1</v>
      </c>
      <c r="G1503" s="1" t="s">
        <v>31</v>
      </c>
      <c r="H1503" s="4" t="str">
        <f>HYPERLINK("https://www.ncbi.nlm.nih.gov/geo/query/acc.cgi?acc=GSM452562","GSM452562")</f>
        <v>GSM452562</v>
      </c>
      <c r="I1503" t="s">
        <v>69</v>
      </c>
      <c r="J1503" t="s">
        <v>18</v>
      </c>
      <c r="K1503" t="s">
        <v>19</v>
      </c>
      <c r="L1503" t="s">
        <v>70</v>
      </c>
      <c r="M1503" t="s">
        <v>51</v>
      </c>
      <c r="N1503" t="s">
        <v>29</v>
      </c>
    </row>
    <row r="1504" spans="1:14">
      <c r="A1504" s="4" t="str">
        <f t="shared" si="130"/>
        <v>EXP00031</v>
      </c>
      <c r="B1504" s="4" t="str">
        <f t="shared" si="128"/>
        <v>20162577</v>
      </c>
      <c r="C1504" s="4" t="str">
        <f t="shared" si="129"/>
        <v>GSE18105</v>
      </c>
      <c r="D1504" s="1" t="s">
        <v>45</v>
      </c>
      <c r="E1504" t="s">
        <v>68</v>
      </c>
      <c r="F1504" s="1">
        <v>1</v>
      </c>
      <c r="G1504" s="1" t="s">
        <v>31</v>
      </c>
      <c r="H1504" s="4" t="str">
        <f>HYPERLINK("https://www.ncbi.nlm.nih.gov/geo/query/acc.cgi?acc=GSM452563","GSM452563")</f>
        <v>GSM452563</v>
      </c>
      <c r="I1504" t="s">
        <v>69</v>
      </c>
      <c r="J1504" t="s">
        <v>18</v>
      </c>
      <c r="K1504" t="s">
        <v>19</v>
      </c>
      <c r="L1504" t="s">
        <v>70</v>
      </c>
      <c r="M1504" t="s">
        <v>51</v>
      </c>
      <c r="N1504" t="s">
        <v>29</v>
      </c>
    </row>
    <row r="1505" spans="1:14">
      <c r="A1505" s="4" t="str">
        <f t="shared" si="130"/>
        <v>EXP00031</v>
      </c>
      <c r="B1505" s="4" t="str">
        <f t="shared" si="128"/>
        <v>20162577</v>
      </c>
      <c r="C1505" s="4" t="str">
        <f t="shared" si="129"/>
        <v>GSE18105</v>
      </c>
      <c r="D1505" s="1" t="s">
        <v>45</v>
      </c>
      <c r="E1505" t="s">
        <v>68</v>
      </c>
      <c r="F1505" s="1">
        <v>1</v>
      </c>
      <c r="G1505" s="1" t="s">
        <v>31</v>
      </c>
      <c r="H1505" s="4" t="str">
        <f>HYPERLINK("https://www.ncbi.nlm.nih.gov/geo/query/acc.cgi?acc=GSM452565","GSM452565")</f>
        <v>GSM452565</v>
      </c>
      <c r="I1505" t="s">
        <v>69</v>
      </c>
      <c r="J1505" t="s">
        <v>18</v>
      </c>
      <c r="K1505" t="s">
        <v>19</v>
      </c>
      <c r="L1505" t="s">
        <v>70</v>
      </c>
      <c r="M1505" t="s">
        <v>51</v>
      </c>
      <c r="N1505" t="s">
        <v>29</v>
      </c>
    </row>
    <row r="1506" spans="1:14">
      <c r="A1506" s="4" t="str">
        <f t="shared" si="130"/>
        <v>EXP00031</v>
      </c>
      <c r="B1506" s="4" t="str">
        <f t="shared" si="128"/>
        <v>20162577</v>
      </c>
      <c r="C1506" s="4" t="str">
        <f t="shared" si="129"/>
        <v>GSE18105</v>
      </c>
      <c r="D1506" s="1" t="s">
        <v>45</v>
      </c>
      <c r="E1506" t="s">
        <v>68</v>
      </c>
      <c r="F1506" s="1">
        <v>1</v>
      </c>
      <c r="G1506" s="1" t="s">
        <v>31</v>
      </c>
      <c r="H1506" s="4" t="str">
        <f>HYPERLINK("https://www.ncbi.nlm.nih.gov/geo/query/acc.cgi?acc=GSM452570","GSM452570")</f>
        <v>GSM452570</v>
      </c>
      <c r="I1506" t="s">
        <v>69</v>
      </c>
      <c r="J1506" t="s">
        <v>18</v>
      </c>
      <c r="K1506" t="s">
        <v>19</v>
      </c>
      <c r="L1506" t="s">
        <v>70</v>
      </c>
      <c r="M1506" t="s">
        <v>51</v>
      </c>
      <c r="N1506" t="s">
        <v>29</v>
      </c>
    </row>
    <row r="1507" spans="1:14">
      <c r="A1507" s="4" t="str">
        <f t="shared" si="130"/>
        <v>EXP00031</v>
      </c>
      <c r="B1507" s="4" t="str">
        <f t="shared" si="128"/>
        <v>20162577</v>
      </c>
      <c r="C1507" s="4" t="str">
        <f t="shared" si="129"/>
        <v>GSE18105</v>
      </c>
      <c r="D1507" s="1" t="s">
        <v>45</v>
      </c>
      <c r="E1507" t="s">
        <v>68</v>
      </c>
      <c r="F1507" s="1">
        <v>1</v>
      </c>
      <c r="G1507" s="1" t="s">
        <v>31</v>
      </c>
      <c r="H1507" s="4" t="str">
        <f>HYPERLINK("https://www.ncbi.nlm.nih.gov/geo/query/acc.cgi?acc=GSM452571","GSM452571")</f>
        <v>GSM452571</v>
      </c>
      <c r="I1507" t="s">
        <v>69</v>
      </c>
      <c r="J1507" t="s">
        <v>18</v>
      </c>
      <c r="K1507" t="s">
        <v>19</v>
      </c>
      <c r="L1507" t="s">
        <v>70</v>
      </c>
      <c r="M1507" t="s">
        <v>51</v>
      </c>
      <c r="N1507" t="s">
        <v>29</v>
      </c>
    </row>
    <row r="1508" spans="1:14">
      <c r="A1508" s="4" t="str">
        <f t="shared" si="130"/>
        <v>EXP00031</v>
      </c>
      <c r="B1508" s="4" t="str">
        <f t="shared" si="128"/>
        <v>20162577</v>
      </c>
      <c r="C1508" s="4" t="str">
        <f t="shared" si="129"/>
        <v>GSE18105</v>
      </c>
      <c r="D1508" s="1" t="s">
        <v>45</v>
      </c>
      <c r="E1508" t="s">
        <v>68</v>
      </c>
      <c r="F1508" s="1">
        <v>1</v>
      </c>
      <c r="G1508" s="1" t="s">
        <v>31</v>
      </c>
      <c r="H1508" s="4" t="str">
        <f>HYPERLINK("https://www.ncbi.nlm.nih.gov/geo/query/acc.cgi?acc=GSM452578","GSM452578")</f>
        <v>GSM452578</v>
      </c>
      <c r="I1508" t="s">
        <v>69</v>
      </c>
      <c r="J1508" t="s">
        <v>18</v>
      </c>
      <c r="K1508" t="s">
        <v>19</v>
      </c>
      <c r="L1508" t="s">
        <v>70</v>
      </c>
      <c r="M1508" t="s">
        <v>51</v>
      </c>
      <c r="N1508" t="s">
        <v>29</v>
      </c>
    </row>
    <row r="1509" spans="1:14">
      <c r="A1509" s="4" t="str">
        <f t="shared" si="130"/>
        <v>EXP00031</v>
      </c>
      <c r="B1509" s="4" t="str">
        <f t="shared" si="128"/>
        <v>20162577</v>
      </c>
      <c r="C1509" s="4" t="str">
        <f t="shared" si="129"/>
        <v>GSE18105</v>
      </c>
      <c r="D1509" s="1" t="s">
        <v>45</v>
      </c>
      <c r="E1509" t="s">
        <v>68</v>
      </c>
      <c r="F1509" s="1">
        <v>1</v>
      </c>
      <c r="G1509" s="1" t="s">
        <v>31</v>
      </c>
      <c r="H1509" s="4" t="str">
        <f>HYPERLINK("https://www.ncbi.nlm.nih.gov/geo/query/acc.cgi?acc=GSM452579","GSM452579")</f>
        <v>GSM452579</v>
      </c>
      <c r="I1509" t="s">
        <v>69</v>
      </c>
      <c r="J1509" t="s">
        <v>18</v>
      </c>
      <c r="K1509" t="s">
        <v>19</v>
      </c>
      <c r="L1509" t="s">
        <v>70</v>
      </c>
      <c r="M1509" t="s">
        <v>51</v>
      </c>
      <c r="N1509" t="s">
        <v>29</v>
      </c>
    </row>
    <row r="1510" spans="1:14">
      <c r="A1510" s="4" t="str">
        <f t="shared" si="130"/>
        <v>EXP00031</v>
      </c>
      <c r="B1510" s="4" t="str">
        <f t="shared" si="128"/>
        <v>20162577</v>
      </c>
      <c r="C1510" s="4" t="str">
        <f t="shared" si="129"/>
        <v>GSE18105</v>
      </c>
      <c r="D1510" s="1" t="s">
        <v>45</v>
      </c>
      <c r="E1510" t="s">
        <v>68</v>
      </c>
      <c r="F1510" s="1">
        <v>1</v>
      </c>
      <c r="G1510" s="1" t="s">
        <v>31</v>
      </c>
      <c r="H1510" s="4" t="str">
        <f>HYPERLINK("https://www.ncbi.nlm.nih.gov/geo/query/acc.cgi?acc=GSM452583","GSM452583")</f>
        <v>GSM452583</v>
      </c>
      <c r="I1510" t="s">
        <v>69</v>
      </c>
      <c r="J1510" t="s">
        <v>18</v>
      </c>
      <c r="K1510" t="s">
        <v>19</v>
      </c>
      <c r="L1510" t="s">
        <v>70</v>
      </c>
      <c r="M1510" t="s">
        <v>51</v>
      </c>
      <c r="N1510" t="s">
        <v>29</v>
      </c>
    </row>
    <row r="1511" spans="1:14">
      <c r="A1511" s="4" t="str">
        <f t="shared" si="130"/>
        <v>EXP00031</v>
      </c>
      <c r="B1511" s="4" t="str">
        <f t="shared" si="128"/>
        <v>20162577</v>
      </c>
      <c r="C1511" s="4" t="str">
        <f t="shared" si="129"/>
        <v>GSE18105</v>
      </c>
      <c r="D1511" s="1" t="s">
        <v>45</v>
      </c>
      <c r="E1511" t="s">
        <v>68</v>
      </c>
      <c r="F1511" s="1">
        <v>1</v>
      </c>
      <c r="G1511" s="1" t="s">
        <v>31</v>
      </c>
      <c r="H1511" s="4" t="str">
        <f>HYPERLINK("https://www.ncbi.nlm.nih.gov/geo/query/acc.cgi?acc=GSM452584","GSM452584")</f>
        <v>GSM452584</v>
      </c>
      <c r="I1511" t="s">
        <v>69</v>
      </c>
      <c r="J1511" t="s">
        <v>18</v>
      </c>
      <c r="K1511" t="s">
        <v>19</v>
      </c>
      <c r="L1511" t="s">
        <v>70</v>
      </c>
      <c r="M1511" t="s">
        <v>51</v>
      </c>
      <c r="N1511" t="s">
        <v>29</v>
      </c>
    </row>
    <row r="1512" spans="1:14">
      <c r="A1512" s="4" t="str">
        <f t="shared" si="130"/>
        <v>EXP00031</v>
      </c>
      <c r="B1512" s="4" t="str">
        <f t="shared" si="128"/>
        <v>20162577</v>
      </c>
      <c r="C1512" s="4" t="str">
        <f t="shared" si="129"/>
        <v>GSE18105</v>
      </c>
      <c r="D1512" s="1" t="s">
        <v>45</v>
      </c>
      <c r="E1512" t="s">
        <v>68</v>
      </c>
      <c r="F1512" s="1">
        <v>1</v>
      </c>
      <c r="G1512" s="1" t="s">
        <v>31</v>
      </c>
      <c r="H1512" s="4" t="str">
        <f>HYPERLINK("https://www.ncbi.nlm.nih.gov/geo/query/acc.cgi?acc=GSM452586","GSM452586")</f>
        <v>GSM452586</v>
      </c>
      <c r="I1512" t="s">
        <v>69</v>
      </c>
      <c r="J1512" t="s">
        <v>18</v>
      </c>
      <c r="K1512" t="s">
        <v>19</v>
      </c>
      <c r="L1512" t="s">
        <v>70</v>
      </c>
      <c r="M1512" t="s">
        <v>51</v>
      </c>
      <c r="N1512" t="s">
        <v>29</v>
      </c>
    </row>
    <row r="1513" spans="1:14">
      <c r="A1513" s="4" t="str">
        <f t="shared" si="130"/>
        <v>EXP00031</v>
      </c>
      <c r="B1513" s="4" t="str">
        <f t="shared" si="128"/>
        <v>20162577</v>
      </c>
      <c r="C1513" s="4" t="str">
        <f t="shared" si="129"/>
        <v>GSE18105</v>
      </c>
      <c r="D1513" s="1" t="s">
        <v>45</v>
      </c>
      <c r="E1513" t="s">
        <v>68</v>
      </c>
      <c r="F1513" s="1">
        <v>1</v>
      </c>
      <c r="G1513" s="1" t="s">
        <v>31</v>
      </c>
      <c r="H1513" s="4" t="str">
        <f>HYPERLINK("https://www.ncbi.nlm.nih.gov/geo/query/acc.cgi?acc=GSM452588","GSM452588")</f>
        <v>GSM452588</v>
      </c>
      <c r="I1513" t="s">
        <v>69</v>
      </c>
      <c r="J1513" t="s">
        <v>18</v>
      </c>
      <c r="K1513" t="s">
        <v>19</v>
      </c>
      <c r="L1513" t="s">
        <v>70</v>
      </c>
      <c r="M1513" t="s">
        <v>51</v>
      </c>
      <c r="N1513" t="s">
        <v>29</v>
      </c>
    </row>
    <row r="1514" spans="1:14">
      <c r="A1514" s="4" t="str">
        <f t="shared" si="130"/>
        <v>EXP00031</v>
      </c>
      <c r="B1514" s="4" t="str">
        <f t="shared" si="128"/>
        <v>20162577</v>
      </c>
      <c r="C1514" s="4" t="str">
        <f t="shared" si="129"/>
        <v>GSE18105</v>
      </c>
      <c r="D1514" s="1" t="s">
        <v>45</v>
      </c>
      <c r="E1514" t="s">
        <v>68</v>
      </c>
      <c r="F1514" s="1">
        <v>1</v>
      </c>
      <c r="G1514" s="1" t="s">
        <v>31</v>
      </c>
      <c r="H1514" s="4" t="str">
        <f>HYPERLINK("https://www.ncbi.nlm.nih.gov/geo/query/acc.cgi?acc=GSM452590","GSM452590")</f>
        <v>GSM452590</v>
      </c>
      <c r="I1514" t="s">
        <v>69</v>
      </c>
      <c r="J1514" t="s">
        <v>18</v>
      </c>
      <c r="K1514" t="s">
        <v>19</v>
      </c>
      <c r="L1514" t="s">
        <v>70</v>
      </c>
      <c r="M1514" t="s">
        <v>51</v>
      </c>
      <c r="N1514" t="s">
        <v>29</v>
      </c>
    </row>
    <row r="1515" spans="1:14">
      <c r="A1515" s="4" t="str">
        <f t="shared" si="130"/>
        <v>EXP00031</v>
      </c>
      <c r="B1515" s="4" t="str">
        <f t="shared" si="128"/>
        <v>20162577</v>
      </c>
      <c r="C1515" s="4" t="str">
        <f t="shared" si="129"/>
        <v>GSE18105</v>
      </c>
      <c r="D1515" s="1" t="s">
        <v>45</v>
      </c>
      <c r="E1515" t="s">
        <v>68</v>
      </c>
      <c r="F1515" s="1">
        <v>1</v>
      </c>
      <c r="G1515" s="1" t="s">
        <v>31</v>
      </c>
      <c r="H1515" s="4" t="str">
        <f>HYPERLINK("https://www.ncbi.nlm.nih.gov/geo/query/acc.cgi?acc=GSM452591","GSM452591")</f>
        <v>GSM452591</v>
      </c>
      <c r="I1515" t="s">
        <v>69</v>
      </c>
      <c r="J1515" t="s">
        <v>18</v>
      </c>
      <c r="K1515" t="s">
        <v>19</v>
      </c>
      <c r="L1515" t="s">
        <v>70</v>
      </c>
      <c r="M1515" t="s">
        <v>51</v>
      </c>
      <c r="N1515" t="s">
        <v>29</v>
      </c>
    </row>
    <row r="1516" spans="1:14">
      <c r="A1516" s="4" t="str">
        <f t="shared" si="130"/>
        <v>EXP00031</v>
      </c>
      <c r="B1516" s="4" t="str">
        <f t="shared" si="128"/>
        <v>20162577</v>
      </c>
      <c r="C1516" s="4" t="str">
        <f t="shared" si="129"/>
        <v>GSE18105</v>
      </c>
      <c r="D1516" s="1" t="s">
        <v>45</v>
      </c>
      <c r="E1516" t="s">
        <v>68</v>
      </c>
      <c r="F1516" s="1">
        <v>1</v>
      </c>
      <c r="G1516" s="1" t="s">
        <v>31</v>
      </c>
      <c r="H1516" s="4" t="str">
        <f>HYPERLINK("https://www.ncbi.nlm.nih.gov/geo/query/acc.cgi?acc=GSM452598","GSM452598")</f>
        <v>GSM452598</v>
      </c>
      <c r="I1516" t="s">
        <v>69</v>
      </c>
      <c r="J1516" t="s">
        <v>18</v>
      </c>
      <c r="K1516" t="s">
        <v>19</v>
      </c>
      <c r="L1516" t="s">
        <v>70</v>
      </c>
      <c r="M1516" t="s">
        <v>51</v>
      </c>
      <c r="N1516" t="s">
        <v>29</v>
      </c>
    </row>
    <row r="1517" spans="1:14">
      <c r="A1517" s="4" t="str">
        <f t="shared" si="130"/>
        <v>EXP00031</v>
      </c>
      <c r="B1517" s="4" t="str">
        <f t="shared" si="128"/>
        <v>20162577</v>
      </c>
      <c r="C1517" s="4" t="str">
        <f t="shared" si="129"/>
        <v>GSE18105</v>
      </c>
      <c r="D1517" s="1" t="s">
        <v>45</v>
      </c>
      <c r="E1517" t="s">
        <v>68</v>
      </c>
      <c r="F1517" s="1">
        <v>1</v>
      </c>
      <c r="G1517" s="1" t="s">
        <v>31</v>
      </c>
      <c r="H1517" s="4" t="str">
        <f>HYPERLINK("https://www.ncbi.nlm.nih.gov/geo/query/acc.cgi?acc=GSM452599","GSM452599")</f>
        <v>GSM452599</v>
      </c>
      <c r="I1517" t="s">
        <v>69</v>
      </c>
      <c r="J1517" t="s">
        <v>18</v>
      </c>
      <c r="K1517" t="s">
        <v>19</v>
      </c>
      <c r="L1517" t="s">
        <v>70</v>
      </c>
      <c r="M1517" t="s">
        <v>51</v>
      </c>
      <c r="N1517" t="s">
        <v>29</v>
      </c>
    </row>
    <row r="1518" spans="1:14">
      <c r="A1518" s="4" t="str">
        <f t="shared" si="130"/>
        <v>EXP00031</v>
      </c>
      <c r="B1518" s="4" t="str">
        <f t="shared" si="128"/>
        <v>20162577</v>
      </c>
      <c r="C1518" s="4" t="str">
        <f t="shared" si="129"/>
        <v>GSE18105</v>
      </c>
      <c r="D1518" s="1" t="s">
        <v>45</v>
      </c>
      <c r="E1518" t="s">
        <v>68</v>
      </c>
      <c r="F1518" s="1">
        <v>1</v>
      </c>
      <c r="G1518" s="1" t="s">
        <v>31</v>
      </c>
      <c r="H1518" s="4" t="str">
        <f>HYPERLINK("https://www.ncbi.nlm.nih.gov/geo/query/acc.cgi?acc=GSM452601","GSM452601")</f>
        <v>GSM452601</v>
      </c>
      <c r="I1518" t="s">
        <v>69</v>
      </c>
      <c r="J1518" t="s">
        <v>18</v>
      </c>
      <c r="K1518" t="s">
        <v>19</v>
      </c>
      <c r="L1518" t="s">
        <v>70</v>
      </c>
      <c r="M1518" t="s">
        <v>51</v>
      </c>
      <c r="N1518" t="s">
        <v>29</v>
      </c>
    </row>
    <row r="1519" spans="1:14">
      <c r="A1519" s="4" t="str">
        <f t="shared" si="130"/>
        <v>EXP00031</v>
      </c>
      <c r="B1519" s="4" t="str">
        <f t="shared" si="128"/>
        <v>20162577</v>
      </c>
      <c r="C1519" s="4" t="str">
        <f t="shared" si="129"/>
        <v>GSE18105</v>
      </c>
      <c r="D1519" s="1" t="s">
        <v>45</v>
      </c>
      <c r="E1519" t="s">
        <v>68</v>
      </c>
      <c r="F1519" s="1">
        <v>1</v>
      </c>
      <c r="G1519" s="1" t="s">
        <v>31</v>
      </c>
      <c r="H1519" s="4" t="str">
        <f>HYPERLINK("https://www.ncbi.nlm.nih.gov/geo/query/acc.cgi?acc=GSM452604","GSM452604")</f>
        <v>GSM452604</v>
      </c>
      <c r="I1519" t="s">
        <v>69</v>
      </c>
      <c r="J1519" t="s">
        <v>18</v>
      </c>
      <c r="K1519" t="s">
        <v>19</v>
      </c>
      <c r="L1519" t="s">
        <v>70</v>
      </c>
      <c r="M1519" t="s">
        <v>51</v>
      </c>
      <c r="N1519" t="s">
        <v>29</v>
      </c>
    </row>
    <row r="1520" spans="1:14">
      <c r="A1520" s="4" t="str">
        <f t="shared" si="130"/>
        <v>EXP00031</v>
      </c>
      <c r="B1520" s="4" t="str">
        <f t="shared" ref="B1520:B1583" si="131">HYPERLINK("https://www.ncbi.nlm.nih.gov/pubmed/20162577","20162577")</f>
        <v>20162577</v>
      </c>
      <c r="C1520" s="4" t="str">
        <f t="shared" ref="C1520:C1583" si="132">HYPERLINK("https://www.ncbi.nlm.nih.gov/geo/query/acc.cgi?acc=GSE18105","GSE18105")</f>
        <v>GSE18105</v>
      </c>
      <c r="D1520" s="1" t="s">
        <v>45</v>
      </c>
      <c r="E1520" t="s">
        <v>68</v>
      </c>
      <c r="F1520" s="1">
        <v>1</v>
      </c>
      <c r="G1520" s="1" t="s">
        <v>31</v>
      </c>
      <c r="H1520" s="4" t="str">
        <f>HYPERLINK("https://www.ncbi.nlm.nih.gov/geo/query/acc.cgi?acc=GSM452605","GSM452605")</f>
        <v>GSM452605</v>
      </c>
      <c r="I1520" t="s">
        <v>69</v>
      </c>
      <c r="J1520" t="s">
        <v>18</v>
      </c>
      <c r="K1520" t="s">
        <v>19</v>
      </c>
      <c r="L1520" t="s">
        <v>70</v>
      </c>
      <c r="M1520" t="s">
        <v>51</v>
      </c>
      <c r="N1520" t="s">
        <v>29</v>
      </c>
    </row>
    <row r="1521" spans="1:14">
      <c r="A1521" s="4" t="str">
        <f t="shared" si="130"/>
        <v>EXP00031</v>
      </c>
      <c r="B1521" s="4" t="str">
        <f t="shared" si="131"/>
        <v>20162577</v>
      </c>
      <c r="C1521" s="4" t="str">
        <f t="shared" si="132"/>
        <v>GSE18105</v>
      </c>
      <c r="D1521" s="1" t="s">
        <v>45</v>
      </c>
      <c r="E1521" t="s">
        <v>68</v>
      </c>
      <c r="F1521" s="1">
        <v>1</v>
      </c>
      <c r="G1521" s="1" t="s">
        <v>31</v>
      </c>
      <c r="H1521" s="4" t="str">
        <f>HYPERLINK("https://www.ncbi.nlm.nih.gov/geo/query/acc.cgi?acc=GSM452606","GSM452606")</f>
        <v>GSM452606</v>
      </c>
      <c r="I1521" t="s">
        <v>69</v>
      </c>
      <c r="J1521" t="s">
        <v>18</v>
      </c>
      <c r="K1521" t="s">
        <v>19</v>
      </c>
      <c r="L1521" t="s">
        <v>70</v>
      </c>
      <c r="M1521" t="s">
        <v>51</v>
      </c>
      <c r="N1521" t="s">
        <v>29</v>
      </c>
    </row>
    <row r="1522" spans="1:14">
      <c r="A1522" s="4" t="str">
        <f t="shared" si="130"/>
        <v>EXP00031</v>
      </c>
      <c r="B1522" s="4" t="str">
        <f t="shared" si="131"/>
        <v>20162577</v>
      </c>
      <c r="C1522" s="4" t="str">
        <f t="shared" si="132"/>
        <v>GSE18105</v>
      </c>
      <c r="D1522" s="1" t="s">
        <v>45</v>
      </c>
      <c r="E1522" t="s">
        <v>68</v>
      </c>
      <c r="F1522" s="1">
        <v>1</v>
      </c>
      <c r="G1522" s="1" t="s">
        <v>31</v>
      </c>
      <c r="H1522" s="4" t="str">
        <f>HYPERLINK("https://www.ncbi.nlm.nih.gov/geo/query/acc.cgi?acc=GSM452607","GSM452607")</f>
        <v>GSM452607</v>
      </c>
      <c r="I1522" t="s">
        <v>69</v>
      </c>
      <c r="J1522" t="s">
        <v>18</v>
      </c>
      <c r="K1522" t="s">
        <v>19</v>
      </c>
      <c r="L1522" t="s">
        <v>70</v>
      </c>
      <c r="M1522" t="s">
        <v>51</v>
      </c>
      <c r="N1522" t="s">
        <v>29</v>
      </c>
    </row>
    <row r="1523" spans="1:14">
      <c r="A1523" s="4" t="str">
        <f t="shared" si="130"/>
        <v>EXP00031</v>
      </c>
      <c r="B1523" s="4" t="str">
        <f t="shared" si="131"/>
        <v>20162577</v>
      </c>
      <c r="C1523" s="4" t="str">
        <f t="shared" si="132"/>
        <v>GSE18105</v>
      </c>
      <c r="D1523" s="1" t="s">
        <v>45</v>
      </c>
      <c r="E1523" t="s">
        <v>68</v>
      </c>
      <c r="F1523" s="1">
        <v>1</v>
      </c>
      <c r="G1523" s="1" t="s">
        <v>31</v>
      </c>
      <c r="H1523" s="4" t="str">
        <f>HYPERLINK("https://www.ncbi.nlm.nih.gov/geo/query/acc.cgi?acc=GSM452610","GSM452610")</f>
        <v>GSM452610</v>
      </c>
      <c r="I1523" t="s">
        <v>69</v>
      </c>
      <c r="J1523" t="s">
        <v>18</v>
      </c>
      <c r="K1523" t="s">
        <v>19</v>
      </c>
      <c r="L1523" t="s">
        <v>70</v>
      </c>
      <c r="M1523" t="s">
        <v>51</v>
      </c>
      <c r="N1523" t="s">
        <v>29</v>
      </c>
    </row>
    <row r="1524" spans="1:14">
      <c r="A1524" s="4" t="str">
        <f t="shared" si="130"/>
        <v>EXP00031</v>
      </c>
      <c r="B1524" s="4" t="str">
        <f t="shared" si="131"/>
        <v>20162577</v>
      </c>
      <c r="C1524" s="4" t="str">
        <f t="shared" si="132"/>
        <v>GSE18105</v>
      </c>
      <c r="D1524" s="1" t="s">
        <v>45</v>
      </c>
      <c r="E1524" t="s">
        <v>68</v>
      </c>
      <c r="F1524" s="1">
        <v>1</v>
      </c>
      <c r="G1524" s="1" t="s">
        <v>31</v>
      </c>
      <c r="H1524" s="4" t="str">
        <f>HYPERLINK("https://www.ncbi.nlm.nih.gov/geo/query/acc.cgi?acc=GSM452615","GSM452615")</f>
        <v>GSM452615</v>
      </c>
      <c r="I1524" t="s">
        <v>69</v>
      </c>
      <c r="J1524" t="s">
        <v>18</v>
      </c>
      <c r="K1524" t="s">
        <v>19</v>
      </c>
      <c r="L1524" t="s">
        <v>70</v>
      </c>
      <c r="M1524" t="s">
        <v>51</v>
      </c>
      <c r="N1524" t="s">
        <v>29</v>
      </c>
    </row>
    <row r="1525" spans="1:14">
      <c r="A1525" s="4" t="str">
        <f t="shared" si="130"/>
        <v>EXP00031</v>
      </c>
      <c r="B1525" s="4" t="str">
        <f t="shared" si="131"/>
        <v>20162577</v>
      </c>
      <c r="C1525" s="4" t="str">
        <f t="shared" si="132"/>
        <v>GSE18105</v>
      </c>
      <c r="D1525" s="1" t="s">
        <v>45</v>
      </c>
      <c r="E1525" t="s">
        <v>68</v>
      </c>
      <c r="F1525" s="1">
        <v>1</v>
      </c>
      <c r="G1525" s="1" t="s">
        <v>31</v>
      </c>
      <c r="H1525" s="4" t="str">
        <f>HYPERLINK("https://www.ncbi.nlm.nih.gov/geo/query/acc.cgi?acc=GSM452616","GSM452616")</f>
        <v>GSM452616</v>
      </c>
      <c r="I1525" t="s">
        <v>69</v>
      </c>
      <c r="J1525" t="s">
        <v>18</v>
      </c>
      <c r="K1525" t="s">
        <v>19</v>
      </c>
      <c r="L1525" t="s">
        <v>70</v>
      </c>
      <c r="M1525" t="s">
        <v>51</v>
      </c>
      <c r="N1525" t="s">
        <v>29</v>
      </c>
    </row>
    <row r="1526" spans="1:14">
      <c r="A1526" s="4" t="str">
        <f t="shared" si="130"/>
        <v>EXP00031</v>
      </c>
      <c r="B1526" s="4" t="str">
        <f t="shared" si="131"/>
        <v>20162577</v>
      </c>
      <c r="C1526" s="4" t="str">
        <f t="shared" si="132"/>
        <v>GSE18105</v>
      </c>
      <c r="D1526" s="1" t="s">
        <v>45</v>
      </c>
      <c r="E1526" t="s">
        <v>68</v>
      </c>
      <c r="F1526" s="1">
        <v>1</v>
      </c>
      <c r="G1526" s="1" t="s">
        <v>31</v>
      </c>
      <c r="H1526" s="4" t="str">
        <f>HYPERLINK("https://www.ncbi.nlm.nih.gov/geo/query/acc.cgi?acc=GSM452619","GSM452619")</f>
        <v>GSM452619</v>
      </c>
      <c r="I1526" t="s">
        <v>69</v>
      </c>
      <c r="J1526" t="s">
        <v>18</v>
      </c>
      <c r="K1526" t="s">
        <v>19</v>
      </c>
      <c r="L1526" t="s">
        <v>70</v>
      </c>
      <c r="M1526" t="s">
        <v>51</v>
      </c>
      <c r="N1526" t="s">
        <v>29</v>
      </c>
    </row>
    <row r="1527" spans="1:14">
      <c r="A1527" s="4" t="str">
        <f t="shared" si="130"/>
        <v>EXP00031</v>
      </c>
      <c r="B1527" s="4" t="str">
        <f t="shared" si="131"/>
        <v>20162577</v>
      </c>
      <c r="C1527" s="4" t="str">
        <f t="shared" si="132"/>
        <v>GSE18105</v>
      </c>
      <c r="D1527" s="1" t="s">
        <v>45</v>
      </c>
      <c r="E1527" t="s">
        <v>68</v>
      </c>
      <c r="F1527" s="1">
        <v>1</v>
      </c>
      <c r="G1527" s="1" t="s">
        <v>31</v>
      </c>
      <c r="H1527" s="4" t="str">
        <f>HYPERLINK("https://www.ncbi.nlm.nih.gov/geo/query/acc.cgi?acc=GSM452621","GSM452621")</f>
        <v>GSM452621</v>
      </c>
      <c r="I1527" t="s">
        <v>69</v>
      </c>
      <c r="J1527" t="s">
        <v>18</v>
      </c>
      <c r="K1527" t="s">
        <v>19</v>
      </c>
      <c r="L1527" t="s">
        <v>70</v>
      </c>
      <c r="M1527" t="s">
        <v>51</v>
      </c>
      <c r="N1527" t="s">
        <v>29</v>
      </c>
    </row>
    <row r="1528" spans="1:14">
      <c r="A1528" s="4" t="str">
        <f t="shared" si="130"/>
        <v>EXP00031</v>
      </c>
      <c r="B1528" s="4" t="str">
        <f t="shared" si="131"/>
        <v>20162577</v>
      </c>
      <c r="C1528" s="4" t="str">
        <f t="shared" si="132"/>
        <v>GSE18105</v>
      </c>
      <c r="D1528" s="1" t="s">
        <v>45</v>
      </c>
      <c r="E1528" t="s">
        <v>68</v>
      </c>
      <c r="F1528" s="1">
        <v>1</v>
      </c>
      <c r="G1528" s="1" t="s">
        <v>31</v>
      </c>
      <c r="H1528" s="4" t="str">
        <f>HYPERLINK("https://www.ncbi.nlm.nih.gov/geo/query/acc.cgi?acc=GSM452624","GSM452624")</f>
        <v>GSM452624</v>
      </c>
      <c r="I1528" t="s">
        <v>69</v>
      </c>
      <c r="J1528" t="s">
        <v>18</v>
      </c>
      <c r="K1528" t="s">
        <v>19</v>
      </c>
      <c r="L1528" t="s">
        <v>70</v>
      </c>
      <c r="M1528" t="s">
        <v>51</v>
      </c>
      <c r="N1528" t="s">
        <v>29</v>
      </c>
    </row>
    <row r="1529" spans="1:14">
      <c r="A1529" s="4" t="str">
        <f t="shared" si="130"/>
        <v>EXP00031</v>
      </c>
      <c r="B1529" s="4" t="str">
        <f t="shared" si="131"/>
        <v>20162577</v>
      </c>
      <c r="C1529" s="4" t="str">
        <f t="shared" si="132"/>
        <v>GSE18105</v>
      </c>
      <c r="D1529" s="1" t="s">
        <v>45</v>
      </c>
      <c r="E1529" t="s">
        <v>68</v>
      </c>
      <c r="F1529" s="1">
        <v>1</v>
      </c>
      <c r="G1529" s="1" t="s">
        <v>31</v>
      </c>
      <c r="H1529" s="4" t="str">
        <f>HYPERLINK("https://www.ncbi.nlm.nih.gov/geo/query/acc.cgi?acc=GSM452628","GSM452628")</f>
        <v>GSM452628</v>
      </c>
      <c r="I1529" t="s">
        <v>69</v>
      </c>
      <c r="J1529" t="s">
        <v>18</v>
      </c>
      <c r="K1529" t="s">
        <v>19</v>
      </c>
      <c r="L1529" t="s">
        <v>70</v>
      </c>
      <c r="M1529" t="s">
        <v>51</v>
      </c>
      <c r="N1529" t="s">
        <v>29</v>
      </c>
    </row>
    <row r="1530" spans="1:14">
      <c r="A1530" s="4" t="str">
        <f t="shared" si="130"/>
        <v>EXP00031</v>
      </c>
      <c r="B1530" s="4" t="str">
        <f t="shared" si="131"/>
        <v>20162577</v>
      </c>
      <c r="C1530" s="4" t="str">
        <f t="shared" si="132"/>
        <v>GSE18105</v>
      </c>
      <c r="D1530" s="1" t="s">
        <v>45</v>
      </c>
      <c r="E1530" t="s">
        <v>68</v>
      </c>
      <c r="F1530" s="1">
        <v>1</v>
      </c>
      <c r="G1530" s="1" t="s">
        <v>31</v>
      </c>
      <c r="H1530" s="4" t="str">
        <f>HYPERLINK("https://www.ncbi.nlm.nih.gov/geo/query/acc.cgi?acc=GSM452646","GSM452646")</f>
        <v>GSM452646</v>
      </c>
      <c r="I1530" t="s">
        <v>69</v>
      </c>
      <c r="J1530" t="s">
        <v>18</v>
      </c>
      <c r="K1530" t="s">
        <v>19</v>
      </c>
      <c r="L1530" t="s">
        <v>70</v>
      </c>
      <c r="M1530" t="s">
        <v>51</v>
      </c>
      <c r="N1530" t="s">
        <v>29</v>
      </c>
    </row>
    <row r="1531" spans="1:14">
      <c r="A1531" s="4" t="str">
        <f t="shared" si="130"/>
        <v>EXP00031</v>
      </c>
      <c r="B1531" s="4" t="str">
        <f t="shared" si="131"/>
        <v>20162577</v>
      </c>
      <c r="C1531" s="4" t="str">
        <f t="shared" si="132"/>
        <v>GSE18105</v>
      </c>
      <c r="D1531" s="1" t="s">
        <v>45</v>
      </c>
      <c r="E1531" t="s">
        <v>68</v>
      </c>
      <c r="F1531" s="1">
        <v>1</v>
      </c>
      <c r="G1531" s="1" t="s">
        <v>31</v>
      </c>
      <c r="H1531" s="4" t="str">
        <f>HYPERLINK("https://www.ncbi.nlm.nih.gov/geo/query/acc.cgi?acc=GSM452647","GSM452647")</f>
        <v>GSM452647</v>
      </c>
      <c r="I1531" t="s">
        <v>69</v>
      </c>
      <c r="J1531" t="s">
        <v>18</v>
      </c>
      <c r="K1531" t="s">
        <v>19</v>
      </c>
      <c r="L1531" t="s">
        <v>70</v>
      </c>
      <c r="M1531" t="s">
        <v>51</v>
      </c>
      <c r="N1531" t="s">
        <v>29</v>
      </c>
    </row>
    <row r="1532" spans="1:14">
      <c r="A1532" s="4" t="str">
        <f t="shared" ref="A1532:A1563" si="133">HYPERLINK("http://hcmdb.i-sanger.com/experiment/details/experiment_id/EXP00031","EXP00031")</f>
        <v>EXP00031</v>
      </c>
      <c r="B1532" s="4" t="str">
        <f t="shared" si="131"/>
        <v>20162577</v>
      </c>
      <c r="C1532" s="4" t="str">
        <f t="shared" si="132"/>
        <v>GSE18105</v>
      </c>
      <c r="D1532" s="1" t="s">
        <v>45</v>
      </c>
      <c r="E1532" t="s">
        <v>68</v>
      </c>
      <c r="F1532" s="1">
        <v>1</v>
      </c>
      <c r="G1532" s="1" t="s">
        <v>31</v>
      </c>
      <c r="H1532" s="4" t="str">
        <f>HYPERLINK("https://www.ncbi.nlm.nih.gov/geo/query/acc.cgi?acc=GSM452648","GSM452648")</f>
        <v>GSM452648</v>
      </c>
      <c r="I1532" t="s">
        <v>69</v>
      </c>
      <c r="J1532" t="s">
        <v>18</v>
      </c>
      <c r="K1532" t="s">
        <v>19</v>
      </c>
      <c r="L1532" t="s">
        <v>70</v>
      </c>
      <c r="M1532" t="s">
        <v>51</v>
      </c>
      <c r="N1532" t="s">
        <v>29</v>
      </c>
    </row>
    <row r="1533" spans="1:14">
      <c r="A1533" s="4" t="str">
        <f t="shared" si="133"/>
        <v>EXP00031</v>
      </c>
      <c r="B1533" s="4" t="str">
        <f t="shared" si="131"/>
        <v>20162577</v>
      </c>
      <c r="C1533" s="4" t="str">
        <f t="shared" si="132"/>
        <v>GSE18105</v>
      </c>
      <c r="D1533" s="1" t="s">
        <v>45</v>
      </c>
      <c r="E1533" t="s">
        <v>68</v>
      </c>
      <c r="F1533" s="1">
        <v>1</v>
      </c>
      <c r="G1533" s="1" t="s">
        <v>31</v>
      </c>
      <c r="H1533" s="4" t="str">
        <f>HYPERLINK("https://www.ncbi.nlm.nih.gov/geo/query/acc.cgi?acc=GSM452650","GSM452650")</f>
        <v>GSM452650</v>
      </c>
      <c r="I1533" t="s">
        <v>69</v>
      </c>
      <c r="J1533" t="s">
        <v>18</v>
      </c>
      <c r="K1533" t="s">
        <v>19</v>
      </c>
      <c r="L1533" t="s">
        <v>70</v>
      </c>
      <c r="M1533" t="s">
        <v>51</v>
      </c>
      <c r="N1533" t="s">
        <v>29</v>
      </c>
    </row>
    <row r="1534" spans="1:14">
      <c r="A1534" s="4" t="str">
        <f t="shared" si="133"/>
        <v>EXP00031</v>
      </c>
      <c r="B1534" s="4" t="str">
        <f t="shared" si="131"/>
        <v>20162577</v>
      </c>
      <c r="C1534" s="4" t="str">
        <f t="shared" si="132"/>
        <v>GSE18105</v>
      </c>
      <c r="D1534" s="1" t="s">
        <v>45</v>
      </c>
      <c r="E1534" t="s">
        <v>68</v>
      </c>
      <c r="F1534" s="1">
        <v>1</v>
      </c>
      <c r="G1534" s="1" t="s">
        <v>31</v>
      </c>
      <c r="H1534" s="4" t="str">
        <f>HYPERLINK("https://www.ncbi.nlm.nih.gov/geo/query/acc.cgi?acc=GSM452655","GSM452655")</f>
        <v>GSM452655</v>
      </c>
      <c r="I1534" t="s">
        <v>69</v>
      </c>
      <c r="J1534" t="s">
        <v>18</v>
      </c>
      <c r="K1534" t="s">
        <v>19</v>
      </c>
      <c r="L1534" t="s">
        <v>70</v>
      </c>
      <c r="M1534" t="s">
        <v>51</v>
      </c>
      <c r="N1534" t="s">
        <v>29</v>
      </c>
    </row>
    <row r="1535" spans="1:14">
      <c r="A1535" s="4" t="str">
        <f t="shared" si="133"/>
        <v>EXP00031</v>
      </c>
      <c r="B1535" s="4" t="str">
        <f t="shared" si="131"/>
        <v>20162577</v>
      </c>
      <c r="C1535" s="4" t="str">
        <f t="shared" si="132"/>
        <v>GSE18105</v>
      </c>
      <c r="D1535" s="1" t="s">
        <v>45</v>
      </c>
      <c r="E1535" t="s">
        <v>68</v>
      </c>
      <c r="F1535" s="1">
        <v>1</v>
      </c>
      <c r="G1535" s="1" t="s">
        <v>31</v>
      </c>
      <c r="H1535" s="4" t="str">
        <f>HYPERLINK("https://www.ncbi.nlm.nih.gov/geo/query/acc.cgi?acc=GSM452658","GSM452658")</f>
        <v>GSM452658</v>
      </c>
      <c r="I1535" t="s">
        <v>69</v>
      </c>
      <c r="J1535" t="s">
        <v>18</v>
      </c>
      <c r="K1535" t="s">
        <v>19</v>
      </c>
      <c r="L1535" t="s">
        <v>70</v>
      </c>
      <c r="M1535" t="s">
        <v>51</v>
      </c>
      <c r="N1535" t="s">
        <v>29</v>
      </c>
    </row>
    <row r="1536" spans="1:14">
      <c r="A1536" s="4" t="str">
        <f t="shared" si="133"/>
        <v>EXP00031</v>
      </c>
      <c r="B1536" s="4" t="str">
        <f t="shared" si="131"/>
        <v>20162577</v>
      </c>
      <c r="C1536" s="4" t="str">
        <f t="shared" si="132"/>
        <v>GSE18105</v>
      </c>
      <c r="D1536" s="1" t="s">
        <v>45</v>
      </c>
      <c r="E1536" t="s">
        <v>68</v>
      </c>
      <c r="F1536" s="1">
        <v>1</v>
      </c>
      <c r="G1536" s="1" t="s">
        <v>31</v>
      </c>
      <c r="H1536" s="4" t="str">
        <f>HYPERLINK("https://www.ncbi.nlm.nih.gov/geo/query/acc.cgi?acc=GSM452661","GSM452661")</f>
        <v>GSM452661</v>
      </c>
      <c r="I1536" t="s">
        <v>69</v>
      </c>
      <c r="J1536" t="s">
        <v>18</v>
      </c>
      <c r="K1536" t="s">
        <v>19</v>
      </c>
      <c r="L1536" t="s">
        <v>70</v>
      </c>
      <c r="M1536" t="s">
        <v>51</v>
      </c>
      <c r="N1536" t="s">
        <v>29</v>
      </c>
    </row>
    <row r="1537" spans="1:14">
      <c r="A1537" s="4" t="str">
        <f t="shared" si="133"/>
        <v>EXP00031</v>
      </c>
      <c r="B1537" s="4" t="str">
        <f t="shared" si="131"/>
        <v>20162577</v>
      </c>
      <c r="C1537" s="4" t="str">
        <f t="shared" si="132"/>
        <v>GSE18105</v>
      </c>
      <c r="D1537" s="1" t="s">
        <v>45</v>
      </c>
      <c r="E1537" t="s">
        <v>68</v>
      </c>
      <c r="F1537" s="1">
        <v>2</v>
      </c>
      <c r="G1537" s="1" t="s">
        <v>32</v>
      </c>
      <c r="H1537" s="4" t="str">
        <f>HYPERLINK("https://www.ncbi.nlm.nih.gov/geo/query/acc.cgi?acc=GSM452552","GSM452552")</f>
        <v>GSM452552</v>
      </c>
      <c r="I1537" t="s">
        <v>69</v>
      </c>
      <c r="J1537" t="s">
        <v>18</v>
      </c>
      <c r="K1537" t="s">
        <v>33</v>
      </c>
      <c r="L1537" t="s">
        <v>70</v>
      </c>
      <c r="N1537" t="s">
        <v>29</v>
      </c>
    </row>
    <row r="1538" spans="1:14">
      <c r="A1538" s="4" t="str">
        <f t="shared" si="133"/>
        <v>EXP00031</v>
      </c>
      <c r="B1538" s="4" t="str">
        <f t="shared" si="131"/>
        <v>20162577</v>
      </c>
      <c r="C1538" s="4" t="str">
        <f t="shared" si="132"/>
        <v>GSE18105</v>
      </c>
      <c r="D1538" s="1" t="s">
        <v>45</v>
      </c>
      <c r="E1538" t="s">
        <v>68</v>
      </c>
      <c r="F1538" s="1">
        <v>2</v>
      </c>
      <c r="G1538" s="1" t="s">
        <v>32</v>
      </c>
      <c r="H1538" s="4" t="str">
        <f>HYPERLINK("https://www.ncbi.nlm.nih.gov/geo/query/acc.cgi?acc=GSM452553","GSM452553")</f>
        <v>GSM452553</v>
      </c>
      <c r="I1538" t="s">
        <v>69</v>
      </c>
      <c r="J1538" t="s">
        <v>18</v>
      </c>
      <c r="K1538" t="s">
        <v>33</v>
      </c>
      <c r="L1538" t="s">
        <v>70</v>
      </c>
      <c r="N1538" t="s">
        <v>29</v>
      </c>
    </row>
    <row r="1539" spans="1:14">
      <c r="A1539" s="4" t="str">
        <f t="shared" si="133"/>
        <v>EXP00031</v>
      </c>
      <c r="B1539" s="4" t="str">
        <f t="shared" si="131"/>
        <v>20162577</v>
      </c>
      <c r="C1539" s="4" t="str">
        <f t="shared" si="132"/>
        <v>GSE18105</v>
      </c>
      <c r="D1539" s="1" t="s">
        <v>45</v>
      </c>
      <c r="E1539" t="s">
        <v>68</v>
      </c>
      <c r="F1539" s="1">
        <v>2</v>
      </c>
      <c r="G1539" s="1" t="s">
        <v>32</v>
      </c>
      <c r="H1539" s="4" t="str">
        <f>HYPERLINK("https://www.ncbi.nlm.nih.gov/geo/query/acc.cgi?acc=GSM452554","GSM452554")</f>
        <v>GSM452554</v>
      </c>
      <c r="I1539" t="s">
        <v>69</v>
      </c>
      <c r="J1539" t="s">
        <v>18</v>
      </c>
      <c r="K1539" t="s">
        <v>33</v>
      </c>
      <c r="L1539" t="s">
        <v>70</v>
      </c>
      <c r="N1539" t="s">
        <v>29</v>
      </c>
    </row>
    <row r="1540" spans="1:14">
      <c r="A1540" s="4" t="str">
        <f t="shared" si="133"/>
        <v>EXP00031</v>
      </c>
      <c r="B1540" s="4" t="str">
        <f t="shared" si="131"/>
        <v>20162577</v>
      </c>
      <c r="C1540" s="4" t="str">
        <f t="shared" si="132"/>
        <v>GSE18105</v>
      </c>
      <c r="D1540" s="1" t="s">
        <v>45</v>
      </c>
      <c r="E1540" t="s">
        <v>68</v>
      </c>
      <c r="F1540" s="1">
        <v>2</v>
      </c>
      <c r="G1540" s="1" t="s">
        <v>32</v>
      </c>
      <c r="H1540" s="4" t="str">
        <f>HYPERLINK("https://www.ncbi.nlm.nih.gov/geo/query/acc.cgi?acc=GSM452555","GSM452555")</f>
        <v>GSM452555</v>
      </c>
      <c r="I1540" t="s">
        <v>69</v>
      </c>
      <c r="J1540" t="s">
        <v>18</v>
      </c>
      <c r="K1540" t="s">
        <v>33</v>
      </c>
      <c r="L1540" t="s">
        <v>70</v>
      </c>
      <c r="N1540" t="s">
        <v>29</v>
      </c>
    </row>
    <row r="1541" spans="1:14">
      <c r="A1541" s="4" t="str">
        <f t="shared" si="133"/>
        <v>EXP00031</v>
      </c>
      <c r="B1541" s="4" t="str">
        <f t="shared" si="131"/>
        <v>20162577</v>
      </c>
      <c r="C1541" s="4" t="str">
        <f t="shared" si="132"/>
        <v>GSE18105</v>
      </c>
      <c r="D1541" s="1" t="s">
        <v>45</v>
      </c>
      <c r="E1541" t="s">
        <v>68</v>
      </c>
      <c r="F1541" s="1">
        <v>2</v>
      </c>
      <c r="G1541" s="1" t="s">
        <v>32</v>
      </c>
      <c r="H1541" s="4" t="str">
        <f>HYPERLINK("https://www.ncbi.nlm.nih.gov/geo/query/acc.cgi?acc=GSM452557","GSM452557")</f>
        <v>GSM452557</v>
      </c>
      <c r="I1541" t="s">
        <v>69</v>
      </c>
      <c r="J1541" t="s">
        <v>18</v>
      </c>
      <c r="K1541" t="s">
        <v>33</v>
      </c>
      <c r="L1541" t="s">
        <v>70</v>
      </c>
      <c r="N1541" t="s">
        <v>29</v>
      </c>
    </row>
    <row r="1542" spans="1:14">
      <c r="A1542" s="4" t="str">
        <f t="shared" si="133"/>
        <v>EXP00031</v>
      </c>
      <c r="B1542" s="4" t="str">
        <f t="shared" si="131"/>
        <v>20162577</v>
      </c>
      <c r="C1542" s="4" t="str">
        <f t="shared" si="132"/>
        <v>GSE18105</v>
      </c>
      <c r="D1542" s="1" t="s">
        <v>45</v>
      </c>
      <c r="E1542" t="s">
        <v>68</v>
      </c>
      <c r="F1542" s="1">
        <v>2</v>
      </c>
      <c r="G1542" s="1" t="s">
        <v>32</v>
      </c>
      <c r="H1542" s="4" t="str">
        <f>HYPERLINK("https://www.ncbi.nlm.nih.gov/geo/query/acc.cgi?acc=GSM452560","GSM452560")</f>
        <v>GSM452560</v>
      </c>
      <c r="I1542" t="s">
        <v>69</v>
      </c>
      <c r="J1542" t="s">
        <v>18</v>
      </c>
      <c r="K1542" t="s">
        <v>33</v>
      </c>
      <c r="L1542" t="s">
        <v>70</v>
      </c>
      <c r="N1542" t="s">
        <v>29</v>
      </c>
    </row>
    <row r="1543" spans="1:14">
      <c r="A1543" s="4" t="str">
        <f t="shared" si="133"/>
        <v>EXP00031</v>
      </c>
      <c r="B1543" s="4" t="str">
        <f t="shared" si="131"/>
        <v>20162577</v>
      </c>
      <c r="C1543" s="4" t="str">
        <f t="shared" si="132"/>
        <v>GSE18105</v>
      </c>
      <c r="D1543" s="1" t="s">
        <v>45</v>
      </c>
      <c r="E1543" t="s">
        <v>68</v>
      </c>
      <c r="F1543" s="1">
        <v>2</v>
      </c>
      <c r="G1543" s="1" t="s">
        <v>32</v>
      </c>
      <c r="H1543" s="4" t="str">
        <f>HYPERLINK("https://www.ncbi.nlm.nih.gov/geo/query/acc.cgi?acc=GSM452561","GSM452561")</f>
        <v>GSM452561</v>
      </c>
      <c r="I1543" t="s">
        <v>69</v>
      </c>
      <c r="J1543" t="s">
        <v>18</v>
      </c>
      <c r="K1543" t="s">
        <v>33</v>
      </c>
      <c r="L1543" t="s">
        <v>70</v>
      </c>
      <c r="N1543" t="s">
        <v>29</v>
      </c>
    </row>
    <row r="1544" spans="1:14">
      <c r="A1544" s="4" t="str">
        <f t="shared" si="133"/>
        <v>EXP00031</v>
      </c>
      <c r="B1544" s="4" t="str">
        <f t="shared" si="131"/>
        <v>20162577</v>
      </c>
      <c r="C1544" s="4" t="str">
        <f t="shared" si="132"/>
        <v>GSE18105</v>
      </c>
      <c r="D1544" s="1" t="s">
        <v>45</v>
      </c>
      <c r="E1544" t="s">
        <v>68</v>
      </c>
      <c r="F1544" s="1">
        <v>2</v>
      </c>
      <c r="G1544" s="1" t="s">
        <v>32</v>
      </c>
      <c r="H1544" s="4" t="str">
        <f>HYPERLINK("https://www.ncbi.nlm.nih.gov/geo/query/acc.cgi?acc=GSM452564","GSM452564")</f>
        <v>GSM452564</v>
      </c>
      <c r="I1544" t="s">
        <v>69</v>
      </c>
      <c r="J1544" t="s">
        <v>18</v>
      </c>
      <c r="K1544" t="s">
        <v>33</v>
      </c>
      <c r="L1544" t="s">
        <v>70</v>
      </c>
      <c r="N1544" t="s">
        <v>29</v>
      </c>
    </row>
    <row r="1545" spans="1:14">
      <c r="A1545" s="4" t="str">
        <f t="shared" si="133"/>
        <v>EXP00031</v>
      </c>
      <c r="B1545" s="4" t="str">
        <f t="shared" si="131"/>
        <v>20162577</v>
      </c>
      <c r="C1545" s="4" t="str">
        <f t="shared" si="132"/>
        <v>GSE18105</v>
      </c>
      <c r="D1545" s="1" t="s">
        <v>45</v>
      </c>
      <c r="E1545" t="s">
        <v>68</v>
      </c>
      <c r="F1545" s="1">
        <v>2</v>
      </c>
      <c r="G1545" s="1" t="s">
        <v>32</v>
      </c>
      <c r="H1545" s="4" t="str">
        <f>HYPERLINK("https://www.ncbi.nlm.nih.gov/geo/query/acc.cgi?acc=GSM452566","GSM452566")</f>
        <v>GSM452566</v>
      </c>
      <c r="I1545" t="s">
        <v>69</v>
      </c>
      <c r="J1545" t="s">
        <v>18</v>
      </c>
      <c r="K1545" t="s">
        <v>33</v>
      </c>
      <c r="L1545" t="s">
        <v>70</v>
      </c>
      <c r="N1545" t="s">
        <v>29</v>
      </c>
    </row>
    <row r="1546" spans="1:14">
      <c r="A1546" s="4" t="str">
        <f t="shared" si="133"/>
        <v>EXP00031</v>
      </c>
      <c r="B1546" s="4" t="str">
        <f t="shared" si="131"/>
        <v>20162577</v>
      </c>
      <c r="C1546" s="4" t="str">
        <f t="shared" si="132"/>
        <v>GSE18105</v>
      </c>
      <c r="D1546" s="1" t="s">
        <v>45</v>
      </c>
      <c r="E1546" t="s">
        <v>68</v>
      </c>
      <c r="F1546" s="1">
        <v>2</v>
      </c>
      <c r="G1546" s="1" t="s">
        <v>32</v>
      </c>
      <c r="H1546" s="4" t="str">
        <f>HYPERLINK("https://www.ncbi.nlm.nih.gov/geo/query/acc.cgi?acc=GSM452567","GSM452567")</f>
        <v>GSM452567</v>
      </c>
      <c r="I1546" t="s">
        <v>69</v>
      </c>
      <c r="J1546" t="s">
        <v>18</v>
      </c>
      <c r="K1546" t="s">
        <v>33</v>
      </c>
      <c r="L1546" t="s">
        <v>70</v>
      </c>
      <c r="N1546" t="s">
        <v>29</v>
      </c>
    </row>
    <row r="1547" spans="1:14">
      <c r="A1547" s="4" t="str">
        <f t="shared" si="133"/>
        <v>EXP00031</v>
      </c>
      <c r="B1547" s="4" t="str">
        <f t="shared" si="131"/>
        <v>20162577</v>
      </c>
      <c r="C1547" s="4" t="str">
        <f t="shared" si="132"/>
        <v>GSE18105</v>
      </c>
      <c r="D1547" s="1" t="s">
        <v>45</v>
      </c>
      <c r="E1547" t="s">
        <v>68</v>
      </c>
      <c r="F1547" s="1">
        <v>2</v>
      </c>
      <c r="G1547" s="1" t="s">
        <v>32</v>
      </c>
      <c r="H1547" s="4" t="str">
        <f>HYPERLINK("https://www.ncbi.nlm.nih.gov/geo/query/acc.cgi?acc=GSM452568","GSM452568")</f>
        <v>GSM452568</v>
      </c>
      <c r="I1547" t="s">
        <v>69</v>
      </c>
      <c r="J1547" t="s">
        <v>18</v>
      </c>
      <c r="K1547" t="s">
        <v>33</v>
      </c>
      <c r="L1547" t="s">
        <v>70</v>
      </c>
      <c r="N1547" t="s">
        <v>29</v>
      </c>
    </row>
    <row r="1548" spans="1:14">
      <c r="A1548" s="4" t="str">
        <f t="shared" si="133"/>
        <v>EXP00031</v>
      </c>
      <c r="B1548" s="4" t="str">
        <f t="shared" si="131"/>
        <v>20162577</v>
      </c>
      <c r="C1548" s="4" t="str">
        <f t="shared" si="132"/>
        <v>GSE18105</v>
      </c>
      <c r="D1548" s="1" t="s">
        <v>45</v>
      </c>
      <c r="E1548" t="s">
        <v>68</v>
      </c>
      <c r="F1548" s="1">
        <v>2</v>
      </c>
      <c r="G1548" s="1" t="s">
        <v>32</v>
      </c>
      <c r="H1548" s="4" t="str">
        <f>HYPERLINK("https://www.ncbi.nlm.nih.gov/geo/query/acc.cgi?acc=GSM452569","GSM452569")</f>
        <v>GSM452569</v>
      </c>
      <c r="I1548" t="s">
        <v>69</v>
      </c>
      <c r="J1548" t="s">
        <v>18</v>
      </c>
      <c r="K1548" t="s">
        <v>33</v>
      </c>
      <c r="L1548" t="s">
        <v>70</v>
      </c>
      <c r="N1548" t="s">
        <v>29</v>
      </c>
    </row>
    <row r="1549" spans="1:14">
      <c r="A1549" s="4" t="str">
        <f t="shared" si="133"/>
        <v>EXP00031</v>
      </c>
      <c r="B1549" s="4" t="str">
        <f t="shared" si="131"/>
        <v>20162577</v>
      </c>
      <c r="C1549" s="4" t="str">
        <f t="shared" si="132"/>
        <v>GSE18105</v>
      </c>
      <c r="D1549" s="1" t="s">
        <v>45</v>
      </c>
      <c r="E1549" t="s">
        <v>68</v>
      </c>
      <c r="F1549" s="1">
        <v>2</v>
      </c>
      <c r="G1549" s="1" t="s">
        <v>32</v>
      </c>
      <c r="H1549" s="4" t="str">
        <f>HYPERLINK("https://www.ncbi.nlm.nih.gov/geo/query/acc.cgi?acc=GSM452572","GSM452572")</f>
        <v>GSM452572</v>
      </c>
      <c r="I1549" t="s">
        <v>69</v>
      </c>
      <c r="J1549" t="s">
        <v>18</v>
      </c>
      <c r="K1549" t="s">
        <v>33</v>
      </c>
      <c r="L1549" t="s">
        <v>70</v>
      </c>
      <c r="N1549" t="s">
        <v>29</v>
      </c>
    </row>
    <row r="1550" spans="1:14">
      <c r="A1550" s="4" t="str">
        <f t="shared" si="133"/>
        <v>EXP00031</v>
      </c>
      <c r="B1550" s="4" t="str">
        <f t="shared" si="131"/>
        <v>20162577</v>
      </c>
      <c r="C1550" s="4" t="str">
        <f t="shared" si="132"/>
        <v>GSE18105</v>
      </c>
      <c r="D1550" s="1" t="s">
        <v>45</v>
      </c>
      <c r="E1550" t="s">
        <v>68</v>
      </c>
      <c r="F1550" s="1">
        <v>2</v>
      </c>
      <c r="G1550" s="1" t="s">
        <v>32</v>
      </c>
      <c r="H1550" s="4" t="str">
        <f>HYPERLINK("https://www.ncbi.nlm.nih.gov/geo/query/acc.cgi?acc=GSM452573","GSM452573")</f>
        <v>GSM452573</v>
      </c>
      <c r="I1550" t="s">
        <v>69</v>
      </c>
      <c r="J1550" t="s">
        <v>18</v>
      </c>
      <c r="K1550" t="s">
        <v>33</v>
      </c>
      <c r="L1550" t="s">
        <v>70</v>
      </c>
      <c r="N1550" t="s">
        <v>29</v>
      </c>
    </row>
    <row r="1551" spans="1:14">
      <c r="A1551" s="4" t="str">
        <f t="shared" si="133"/>
        <v>EXP00031</v>
      </c>
      <c r="B1551" s="4" t="str">
        <f t="shared" si="131"/>
        <v>20162577</v>
      </c>
      <c r="C1551" s="4" t="str">
        <f t="shared" si="132"/>
        <v>GSE18105</v>
      </c>
      <c r="D1551" s="1" t="s">
        <v>45</v>
      </c>
      <c r="E1551" t="s">
        <v>68</v>
      </c>
      <c r="F1551" s="1">
        <v>2</v>
      </c>
      <c r="G1551" s="1" t="s">
        <v>32</v>
      </c>
      <c r="H1551" s="4" t="str">
        <f>HYPERLINK("https://www.ncbi.nlm.nih.gov/geo/query/acc.cgi?acc=GSM452574","GSM452574")</f>
        <v>GSM452574</v>
      </c>
      <c r="I1551" t="s">
        <v>69</v>
      </c>
      <c r="J1551" t="s">
        <v>18</v>
      </c>
      <c r="K1551" t="s">
        <v>33</v>
      </c>
      <c r="L1551" t="s">
        <v>70</v>
      </c>
      <c r="N1551" t="s">
        <v>29</v>
      </c>
    </row>
    <row r="1552" spans="1:14">
      <c r="A1552" s="4" t="str">
        <f t="shared" si="133"/>
        <v>EXP00031</v>
      </c>
      <c r="B1552" s="4" t="str">
        <f t="shared" si="131"/>
        <v>20162577</v>
      </c>
      <c r="C1552" s="4" t="str">
        <f t="shared" si="132"/>
        <v>GSE18105</v>
      </c>
      <c r="D1552" s="1" t="s">
        <v>45</v>
      </c>
      <c r="E1552" t="s">
        <v>68</v>
      </c>
      <c r="F1552" s="1">
        <v>2</v>
      </c>
      <c r="G1552" s="1" t="s">
        <v>32</v>
      </c>
      <c r="H1552" s="4" t="str">
        <f>HYPERLINK("https://www.ncbi.nlm.nih.gov/geo/query/acc.cgi?acc=GSM452575","GSM452575")</f>
        <v>GSM452575</v>
      </c>
      <c r="I1552" t="s">
        <v>69</v>
      </c>
      <c r="J1552" t="s">
        <v>18</v>
      </c>
      <c r="K1552" t="s">
        <v>33</v>
      </c>
      <c r="L1552" t="s">
        <v>70</v>
      </c>
      <c r="N1552" t="s">
        <v>29</v>
      </c>
    </row>
    <row r="1553" spans="1:14">
      <c r="A1553" s="4" t="str">
        <f t="shared" si="133"/>
        <v>EXP00031</v>
      </c>
      <c r="B1553" s="4" t="str">
        <f t="shared" si="131"/>
        <v>20162577</v>
      </c>
      <c r="C1553" s="4" t="str">
        <f t="shared" si="132"/>
        <v>GSE18105</v>
      </c>
      <c r="D1553" s="1" t="s">
        <v>45</v>
      </c>
      <c r="E1553" t="s">
        <v>68</v>
      </c>
      <c r="F1553" s="1">
        <v>2</v>
      </c>
      <c r="G1553" s="1" t="s">
        <v>32</v>
      </c>
      <c r="H1553" s="4" t="str">
        <f>HYPERLINK("https://www.ncbi.nlm.nih.gov/geo/query/acc.cgi?acc=GSM452576","GSM452576")</f>
        <v>GSM452576</v>
      </c>
      <c r="I1553" t="s">
        <v>69</v>
      </c>
      <c r="J1553" t="s">
        <v>18</v>
      </c>
      <c r="K1553" t="s">
        <v>33</v>
      </c>
      <c r="L1553" t="s">
        <v>70</v>
      </c>
      <c r="N1553" t="s">
        <v>29</v>
      </c>
    </row>
    <row r="1554" spans="1:14">
      <c r="A1554" s="4" t="str">
        <f t="shared" si="133"/>
        <v>EXP00031</v>
      </c>
      <c r="B1554" s="4" t="str">
        <f t="shared" si="131"/>
        <v>20162577</v>
      </c>
      <c r="C1554" s="4" t="str">
        <f t="shared" si="132"/>
        <v>GSE18105</v>
      </c>
      <c r="D1554" s="1" t="s">
        <v>45</v>
      </c>
      <c r="E1554" t="s">
        <v>68</v>
      </c>
      <c r="F1554" s="1">
        <v>2</v>
      </c>
      <c r="G1554" s="1" t="s">
        <v>32</v>
      </c>
      <c r="H1554" s="4" t="str">
        <f>HYPERLINK("https://www.ncbi.nlm.nih.gov/geo/query/acc.cgi?acc=GSM452577","GSM452577")</f>
        <v>GSM452577</v>
      </c>
      <c r="I1554" t="s">
        <v>69</v>
      </c>
      <c r="J1554" t="s">
        <v>18</v>
      </c>
      <c r="K1554" t="s">
        <v>33</v>
      </c>
      <c r="L1554" t="s">
        <v>70</v>
      </c>
      <c r="N1554" t="s">
        <v>29</v>
      </c>
    </row>
    <row r="1555" spans="1:14">
      <c r="A1555" s="4" t="str">
        <f t="shared" si="133"/>
        <v>EXP00031</v>
      </c>
      <c r="B1555" s="4" t="str">
        <f t="shared" si="131"/>
        <v>20162577</v>
      </c>
      <c r="C1555" s="4" t="str">
        <f t="shared" si="132"/>
        <v>GSE18105</v>
      </c>
      <c r="D1555" s="1" t="s">
        <v>45</v>
      </c>
      <c r="E1555" t="s">
        <v>68</v>
      </c>
      <c r="F1555" s="1">
        <v>2</v>
      </c>
      <c r="G1555" s="1" t="s">
        <v>32</v>
      </c>
      <c r="H1555" s="4" t="str">
        <f>HYPERLINK("https://www.ncbi.nlm.nih.gov/geo/query/acc.cgi?acc=GSM452580","GSM452580")</f>
        <v>GSM452580</v>
      </c>
      <c r="I1555" t="s">
        <v>69</v>
      </c>
      <c r="J1555" t="s">
        <v>18</v>
      </c>
      <c r="K1555" t="s">
        <v>33</v>
      </c>
      <c r="L1555" t="s">
        <v>70</v>
      </c>
      <c r="N1555" t="s">
        <v>29</v>
      </c>
    </row>
    <row r="1556" spans="1:14">
      <c r="A1556" s="4" t="str">
        <f t="shared" si="133"/>
        <v>EXP00031</v>
      </c>
      <c r="B1556" s="4" t="str">
        <f t="shared" si="131"/>
        <v>20162577</v>
      </c>
      <c r="C1556" s="4" t="str">
        <f t="shared" si="132"/>
        <v>GSE18105</v>
      </c>
      <c r="D1556" s="1" t="s">
        <v>45</v>
      </c>
      <c r="E1556" t="s">
        <v>68</v>
      </c>
      <c r="F1556" s="1">
        <v>2</v>
      </c>
      <c r="G1556" s="1" t="s">
        <v>32</v>
      </c>
      <c r="H1556" s="4" t="str">
        <f>HYPERLINK("https://www.ncbi.nlm.nih.gov/geo/query/acc.cgi?acc=GSM452581","GSM452581")</f>
        <v>GSM452581</v>
      </c>
      <c r="I1556" t="s">
        <v>69</v>
      </c>
      <c r="J1556" t="s">
        <v>18</v>
      </c>
      <c r="K1556" t="s">
        <v>33</v>
      </c>
      <c r="L1556" t="s">
        <v>70</v>
      </c>
      <c r="N1556" t="s">
        <v>29</v>
      </c>
    </row>
    <row r="1557" spans="1:14">
      <c r="A1557" s="4" t="str">
        <f t="shared" si="133"/>
        <v>EXP00031</v>
      </c>
      <c r="B1557" s="4" t="str">
        <f t="shared" si="131"/>
        <v>20162577</v>
      </c>
      <c r="C1557" s="4" t="str">
        <f t="shared" si="132"/>
        <v>GSE18105</v>
      </c>
      <c r="D1557" s="1" t="s">
        <v>45</v>
      </c>
      <c r="E1557" t="s">
        <v>68</v>
      </c>
      <c r="F1557" s="1">
        <v>2</v>
      </c>
      <c r="G1557" s="1" t="s">
        <v>32</v>
      </c>
      <c r="H1557" s="4" t="str">
        <f>HYPERLINK("https://www.ncbi.nlm.nih.gov/geo/query/acc.cgi?acc=GSM452582","GSM452582")</f>
        <v>GSM452582</v>
      </c>
      <c r="I1557" t="s">
        <v>69</v>
      </c>
      <c r="J1557" t="s">
        <v>18</v>
      </c>
      <c r="K1557" t="s">
        <v>33</v>
      </c>
      <c r="L1557" t="s">
        <v>70</v>
      </c>
      <c r="N1557" t="s">
        <v>29</v>
      </c>
    </row>
    <row r="1558" spans="1:14">
      <c r="A1558" s="4" t="str">
        <f t="shared" si="133"/>
        <v>EXP00031</v>
      </c>
      <c r="B1558" s="4" t="str">
        <f t="shared" si="131"/>
        <v>20162577</v>
      </c>
      <c r="C1558" s="4" t="str">
        <f t="shared" si="132"/>
        <v>GSE18105</v>
      </c>
      <c r="D1558" s="1" t="s">
        <v>45</v>
      </c>
      <c r="E1558" t="s">
        <v>68</v>
      </c>
      <c r="F1558" s="1">
        <v>2</v>
      </c>
      <c r="G1558" s="1" t="s">
        <v>32</v>
      </c>
      <c r="H1558" s="4" t="str">
        <f>HYPERLINK("https://www.ncbi.nlm.nih.gov/geo/query/acc.cgi?acc=GSM452585","GSM452585")</f>
        <v>GSM452585</v>
      </c>
      <c r="I1558" t="s">
        <v>69</v>
      </c>
      <c r="J1558" t="s">
        <v>18</v>
      </c>
      <c r="K1558" t="s">
        <v>33</v>
      </c>
      <c r="L1558" t="s">
        <v>70</v>
      </c>
      <c r="N1558" t="s">
        <v>29</v>
      </c>
    </row>
    <row r="1559" spans="1:14">
      <c r="A1559" s="4" t="str">
        <f t="shared" si="133"/>
        <v>EXP00031</v>
      </c>
      <c r="B1559" s="4" t="str">
        <f t="shared" si="131"/>
        <v>20162577</v>
      </c>
      <c r="C1559" s="4" t="str">
        <f t="shared" si="132"/>
        <v>GSE18105</v>
      </c>
      <c r="D1559" s="1" t="s">
        <v>45</v>
      </c>
      <c r="E1559" t="s">
        <v>68</v>
      </c>
      <c r="F1559" s="1">
        <v>2</v>
      </c>
      <c r="G1559" s="1" t="s">
        <v>32</v>
      </c>
      <c r="H1559" s="4" t="str">
        <f>HYPERLINK("https://www.ncbi.nlm.nih.gov/geo/query/acc.cgi?acc=GSM452587","GSM452587")</f>
        <v>GSM452587</v>
      </c>
      <c r="I1559" t="s">
        <v>69</v>
      </c>
      <c r="J1559" t="s">
        <v>18</v>
      </c>
      <c r="K1559" t="s">
        <v>33</v>
      </c>
      <c r="L1559" t="s">
        <v>70</v>
      </c>
      <c r="N1559" t="s">
        <v>29</v>
      </c>
    </row>
    <row r="1560" spans="1:14">
      <c r="A1560" s="4" t="str">
        <f t="shared" si="133"/>
        <v>EXP00031</v>
      </c>
      <c r="B1560" s="4" t="str">
        <f t="shared" si="131"/>
        <v>20162577</v>
      </c>
      <c r="C1560" s="4" t="str">
        <f t="shared" si="132"/>
        <v>GSE18105</v>
      </c>
      <c r="D1560" s="1" t="s">
        <v>45</v>
      </c>
      <c r="E1560" t="s">
        <v>68</v>
      </c>
      <c r="F1560" s="1">
        <v>2</v>
      </c>
      <c r="G1560" s="1" t="s">
        <v>32</v>
      </c>
      <c r="H1560" s="4" t="str">
        <f>HYPERLINK("https://www.ncbi.nlm.nih.gov/geo/query/acc.cgi?acc=GSM452589","GSM452589")</f>
        <v>GSM452589</v>
      </c>
      <c r="I1560" t="s">
        <v>69</v>
      </c>
      <c r="J1560" t="s">
        <v>18</v>
      </c>
      <c r="K1560" t="s">
        <v>33</v>
      </c>
      <c r="L1560" t="s">
        <v>70</v>
      </c>
      <c r="N1560" t="s">
        <v>29</v>
      </c>
    </row>
    <row r="1561" spans="1:14">
      <c r="A1561" s="4" t="str">
        <f t="shared" si="133"/>
        <v>EXP00031</v>
      </c>
      <c r="B1561" s="4" t="str">
        <f t="shared" si="131"/>
        <v>20162577</v>
      </c>
      <c r="C1561" s="4" t="str">
        <f t="shared" si="132"/>
        <v>GSE18105</v>
      </c>
      <c r="D1561" s="1" t="s">
        <v>45</v>
      </c>
      <c r="E1561" t="s">
        <v>68</v>
      </c>
      <c r="F1561" s="1">
        <v>2</v>
      </c>
      <c r="G1561" s="1" t="s">
        <v>32</v>
      </c>
      <c r="H1561" s="4" t="str">
        <f>HYPERLINK("https://www.ncbi.nlm.nih.gov/geo/query/acc.cgi?acc=GSM452592","GSM452592")</f>
        <v>GSM452592</v>
      </c>
      <c r="I1561" t="s">
        <v>69</v>
      </c>
      <c r="J1561" t="s">
        <v>18</v>
      </c>
      <c r="K1561" t="s">
        <v>33</v>
      </c>
      <c r="L1561" t="s">
        <v>70</v>
      </c>
      <c r="N1561" t="s">
        <v>29</v>
      </c>
    </row>
    <row r="1562" spans="1:14">
      <c r="A1562" s="4" t="str">
        <f t="shared" si="133"/>
        <v>EXP00031</v>
      </c>
      <c r="B1562" s="4" t="str">
        <f t="shared" si="131"/>
        <v>20162577</v>
      </c>
      <c r="C1562" s="4" t="str">
        <f t="shared" si="132"/>
        <v>GSE18105</v>
      </c>
      <c r="D1562" s="1" t="s">
        <v>45</v>
      </c>
      <c r="E1562" t="s">
        <v>68</v>
      </c>
      <c r="F1562" s="1">
        <v>2</v>
      </c>
      <c r="G1562" s="1" t="s">
        <v>32</v>
      </c>
      <c r="H1562" s="4" t="str">
        <f>HYPERLINK("https://www.ncbi.nlm.nih.gov/geo/query/acc.cgi?acc=GSM452593","GSM452593")</f>
        <v>GSM452593</v>
      </c>
      <c r="I1562" t="s">
        <v>69</v>
      </c>
      <c r="J1562" t="s">
        <v>18</v>
      </c>
      <c r="K1562" t="s">
        <v>33</v>
      </c>
      <c r="L1562" t="s">
        <v>70</v>
      </c>
      <c r="N1562" t="s">
        <v>29</v>
      </c>
    </row>
    <row r="1563" spans="1:14">
      <c r="A1563" s="4" t="str">
        <f t="shared" si="133"/>
        <v>EXP00031</v>
      </c>
      <c r="B1563" s="4" t="str">
        <f t="shared" si="131"/>
        <v>20162577</v>
      </c>
      <c r="C1563" s="4" t="str">
        <f t="shared" si="132"/>
        <v>GSE18105</v>
      </c>
      <c r="D1563" s="1" t="s">
        <v>45</v>
      </c>
      <c r="E1563" t="s">
        <v>68</v>
      </c>
      <c r="F1563" s="1">
        <v>2</v>
      </c>
      <c r="G1563" s="1" t="s">
        <v>32</v>
      </c>
      <c r="H1563" s="4" t="str">
        <f>HYPERLINK("https://www.ncbi.nlm.nih.gov/geo/query/acc.cgi?acc=GSM452594","GSM452594")</f>
        <v>GSM452594</v>
      </c>
      <c r="I1563" t="s">
        <v>69</v>
      </c>
      <c r="J1563" t="s">
        <v>18</v>
      </c>
      <c r="K1563" t="s">
        <v>33</v>
      </c>
      <c r="L1563" t="s">
        <v>70</v>
      </c>
      <c r="N1563" t="s">
        <v>29</v>
      </c>
    </row>
    <row r="1564" spans="1:14">
      <c r="A1564" s="4" t="str">
        <f t="shared" ref="A1564:A1593" si="134">HYPERLINK("http://hcmdb.i-sanger.com/experiment/details/experiment_id/EXP00031","EXP00031")</f>
        <v>EXP00031</v>
      </c>
      <c r="B1564" s="4" t="str">
        <f t="shared" si="131"/>
        <v>20162577</v>
      </c>
      <c r="C1564" s="4" t="str">
        <f t="shared" si="132"/>
        <v>GSE18105</v>
      </c>
      <c r="D1564" s="1" t="s">
        <v>45</v>
      </c>
      <c r="E1564" t="s">
        <v>68</v>
      </c>
      <c r="F1564" s="1">
        <v>2</v>
      </c>
      <c r="G1564" s="1" t="s">
        <v>32</v>
      </c>
      <c r="H1564" s="4" t="str">
        <f>HYPERLINK("https://www.ncbi.nlm.nih.gov/geo/query/acc.cgi?acc=GSM452595","GSM452595")</f>
        <v>GSM452595</v>
      </c>
      <c r="I1564" t="s">
        <v>69</v>
      </c>
      <c r="J1564" t="s">
        <v>18</v>
      </c>
      <c r="K1564" t="s">
        <v>33</v>
      </c>
      <c r="L1564" t="s">
        <v>70</v>
      </c>
      <c r="N1564" t="s">
        <v>29</v>
      </c>
    </row>
    <row r="1565" spans="1:14">
      <c r="A1565" s="4" t="str">
        <f t="shared" si="134"/>
        <v>EXP00031</v>
      </c>
      <c r="B1565" s="4" t="str">
        <f t="shared" si="131"/>
        <v>20162577</v>
      </c>
      <c r="C1565" s="4" t="str">
        <f t="shared" si="132"/>
        <v>GSE18105</v>
      </c>
      <c r="D1565" s="1" t="s">
        <v>45</v>
      </c>
      <c r="E1565" t="s">
        <v>68</v>
      </c>
      <c r="F1565" s="1">
        <v>2</v>
      </c>
      <c r="G1565" s="1" t="s">
        <v>32</v>
      </c>
      <c r="H1565" s="4" t="str">
        <f>HYPERLINK("https://www.ncbi.nlm.nih.gov/geo/query/acc.cgi?acc=GSM452596","GSM452596")</f>
        <v>GSM452596</v>
      </c>
      <c r="I1565" t="s">
        <v>69</v>
      </c>
      <c r="J1565" t="s">
        <v>18</v>
      </c>
      <c r="K1565" t="s">
        <v>33</v>
      </c>
      <c r="L1565" t="s">
        <v>70</v>
      </c>
      <c r="N1565" t="s">
        <v>29</v>
      </c>
    </row>
    <row r="1566" spans="1:14">
      <c r="A1566" s="4" t="str">
        <f t="shared" si="134"/>
        <v>EXP00031</v>
      </c>
      <c r="B1566" s="4" t="str">
        <f t="shared" si="131"/>
        <v>20162577</v>
      </c>
      <c r="C1566" s="4" t="str">
        <f t="shared" si="132"/>
        <v>GSE18105</v>
      </c>
      <c r="D1566" s="1" t="s">
        <v>45</v>
      </c>
      <c r="E1566" t="s">
        <v>68</v>
      </c>
      <c r="F1566" s="1">
        <v>2</v>
      </c>
      <c r="G1566" s="1" t="s">
        <v>32</v>
      </c>
      <c r="H1566" s="4" t="str">
        <f>HYPERLINK("https://www.ncbi.nlm.nih.gov/geo/query/acc.cgi?acc=GSM452597","GSM452597")</f>
        <v>GSM452597</v>
      </c>
      <c r="I1566" t="s">
        <v>69</v>
      </c>
      <c r="J1566" t="s">
        <v>18</v>
      </c>
      <c r="K1566" t="s">
        <v>33</v>
      </c>
      <c r="L1566" t="s">
        <v>70</v>
      </c>
      <c r="N1566" t="s">
        <v>29</v>
      </c>
    </row>
    <row r="1567" spans="1:14">
      <c r="A1567" s="4" t="str">
        <f t="shared" si="134"/>
        <v>EXP00031</v>
      </c>
      <c r="B1567" s="4" t="str">
        <f t="shared" si="131"/>
        <v>20162577</v>
      </c>
      <c r="C1567" s="4" t="str">
        <f t="shared" si="132"/>
        <v>GSE18105</v>
      </c>
      <c r="D1567" s="1" t="s">
        <v>45</v>
      </c>
      <c r="E1567" t="s">
        <v>68</v>
      </c>
      <c r="F1567" s="1">
        <v>2</v>
      </c>
      <c r="G1567" s="1" t="s">
        <v>32</v>
      </c>
      <c r="H1567" s="4" t="str">
        <f>HYPERLINK("https://www.ncbi.nlm.nih.gov/geo/query/acc.cgi?acc=GSM452600","GSM452600")</f>
        <v>GSM452600</v>
      </c>
      <c r="I1567" t="s">
        <v>69</v>
      </c>
      <c r="J1567" t="s">
        <v>18</v>
      </c>
      <c r="K1567" t="s">
        <v>33</v>
      </c>
      <c r="L1567" t="s">
        <v>70</v>
      </c>
      <c r="N1567" t="s">
        <v>29</v>
      </c>
    </row>
    <row r="1568" spans="1:14">
      <c r="A1568" s="4" t="str">
        <f t="shared" si="134"/>
        <v>EXP00031</v>
      </c>
      <c r="B1568" s="4" t="str">
        <f t="shared" si="131"/>
        <v>20162577</v>
      </c>
      <c r="C1568" s="4" t="str">
        <f t="shared" si="132"/>
        <v>GSE18105</v>
      </c>
      <c r="D1568" s="1" t="s">
        <v>45</v>
      </c>
      <c r="E1568" t="s">
        <v>68</v>
      </c>
      <c r="F1568" s="1">
        <v>2</v>
      </c>
      <c r="G1568" s="1" t="s">
        <v>32</v>
      </c>
      <c r="H1568" s="4" t="str">
        <f>HYPERLINK("https://www.ncbi.nlm.nih.gov/geo/query/acc.cgi?acc=GSM452602","GSM452602")</f>
        <v>GSM452602</v>
      </c>
      <c r="I1568" t="s">
        <v>69</v>
      </c>
      <c r="J1568" t="s">
        <v>18</v>
      </c>
      <c r="K1568" t="s">
        <v>33</v>
      </c>
      <c r="L1568" t="s">
        <v>70</v>
      </c>
      <c r="N1568" t="s">
        <v>29</v>
      </c>
    </row>
    <row r="1569" spans="1:14">
      <c r="A1569" s="4" t="str">
        <f t="shared" si="134"/>
        <v>EXP00031</v>
      </c>
      <c r="B1569" s="4" t="str">
        <f t="shared" si="131"/>
        <v>20162577</v>
      </c>
      <c r="C1569" s="4" t="str">
        <f t="shared" si="132"/>
        <v>GSE18105</v>
      </c>
      <c r="D1569" s="1" t="s">
        <v>45</v>
      </c>
      <c r="E1569" t="s">
        <v>68</v>
      </c>
      <c r="F1569" s="1">
        <v>2</v>
      </c>
      <c r="G1569" s="1" t="s">
        <v>32</v>
      </c>
      <c r="H1569" s="4" t="str">
        <f>HYPERLINK("https://www.ncbi.nlm.nih.gov/geo/query/acc.cgi?acc=GSM452603","GSM452603")</f>
        <v>GSM452603</v>
      </c>
      <c r="I1569" t="s">
        <v>69</v>
      </c>
      <c r="J1569" t="s">
        <v>18</v>
      </c>
      <c r="K1569" t="s">
        <v>33</v>
      </c>
      <c r="L1569" t="s">
        <v>70</v>
      </c>
      <c r="N1569" t="s">
        <v>29</v>
      </c>
    </row>
    <row r="1570" spans="1:14">
      <c r="A1570" s="4" t="str">
        <f t="shared" si="134"/>
        <v>EXP00031</v>
      </c>
      <c r="B1570" s="4" t="str">
        <f t="shared" si="131"/>
        <v>20162577</v>
      </c>
      <c r="C1570" s="4" t="str">
        <f t="shared" si="132"/>
        <v>GSE18105</v>
      </c>
      <c r="D1570" s="1" t="s">
        <v>45</v>
      </c>
      <c r="E1570" t="s">
        <v>68</v>
      </c>
      <c r="F1570" s="1">
        <v>2</v>
      </c>
      <c r="G1570" s="1" t="s">
        <v>32</v>
      </c>
      <c r="H1570" s="4" t="str">
        <f>HYPERLINK("https://www.ncbi.nlm.nih.gov/geo/query/acc.cgi?acc=GSM452608","GSM452608")</f>
        <v>GSM452608</v>
      </c>
      <c r="I1570" t="s">
        <v>69</v>
      </c>
      <c r="J1570" t="s">
        <v>18</v>
      </c>
      <c r="K1570" t="s">
        <v>33</v>
      </c>
      <c r="L1570" t="s">
        <v>70</v>
      </c>
      <c r="N1570" t="s">
        <v>29</v>
      </c>
    </row>
    <row r="1571" spans="1:14">
      <c r="A1571" s="4" t="str">
        <f t="shared" si="134"/>
        <v>EXP00031</v>
      </c>
      <c r="B1571" s="4" t="str">
        <f t="shared" si="131"/>
        <v>20162577</v>
      </c>
      <c r="C1571" s="4" t="str">
        <f t="shared" si="132"/>
        <v>GSE18105</v>
      </c>
      <c r="D1571" s="1" t="s">
        <v>45</v>
      </c>
      <c r="E1571" t="s">
        <v>68</v>
      </c>
      <c r="F1571" s="1">
        <v>2</v>
      </c>
      <c r="G1571" s="1" t="s">
        <v>32</v>
      </c>
      <c r="H1571" s="4" t="str">
        <f>HYPERLINK("https://www.ncbi.nlm.nih.gov/geo/query/acc.cgi?acc=GSM452609","GSM452609")</f>
        <v>GSM452609</v>
      </c>
      <c r="I1571" t="s">
        <v>69</v>
      </c>
      <c r="J1571" t="s">
        <v>18</v>
      </c>
      <c r="K1571" t="s">
        <v>33</v>
      </c>
      <c r="L1571" t="s">
        <v>70</v>
      </c>
      <c r="N1571" t="s">
        <v>29</v>
      </c>
    </row>
    <row r="1572" spans="1:14">
      <c r="A1572" s="4" t="str">
        <f t="shared" si="134"/>
        <v>EXP00031</v>
      </c>
      <c r="B1572" s="4" t="str">
        <f t="shared" si="131"/>
        <v>20162577</v>
      </c>
      <c r="C1572" s="4" t="str">
        <f t="shared" si="132"/>
        <v>GSE18105</v>
      </c>
      <c r="D1572" s="1" t="s">
        <v>45</v>
      </c>
      <c r="E1572" t="s">
        <v>68</v>
      </c>
      <c r="F1572" s="1">
        <v>2</v>
      </c>
      <c r="G1572" s="1" t="s">
        <v>32</v>
      </c>
      <c r="H1572" s="4" t="str">
        <f>HYPERLINK("https://www.ncbi.nlm.nih.gov/geo/query/acc.cgi?acc=GSM452611","GSM452611")</f>
        <v>GSM452611</v>
      </c>
      <c r="I1572" t="s">
        <v>69</v>
      </c>
      <c r="J1572" t="s">
        <v>18</v>
      </c>
      <c r="K1572" t="s">
        <v>33</v>
      </c>
      <c r="L1572" t="s">
        <v>70</v>
      </c>
      <c r="N1572" t="s">
        <v>29</v>
      </c>
    </row>
    <row r="1573" spans="1:14">
      <c r="A1573" s="4" t="str">
        <f t="shared" si="134"/>
        <v>EXP00031</v>
      </c>
      <c r="B1573" s="4" t="str">
        <f t="shared" si="131"/>
        <v>20162577</v>
      </c>
      <c r="C1573" s="4" t="str">
        <f t="shared" si="132"/>
        <v>GSE18105</v>
      </c>
      <c r="D1573" s="1" t="s">
        <v>45</v>
      </c>
      <c r="E1573" t="s">
        <v>68</v>
      </c>
      <c r="F1573" s="1">
        <v>2</v>
      </c>
      <c r="G1573" s="1" t="s">
        <v>32</v>
      </c>
      <c r="H1573" s="4" t="str">
        <f>HYPERLINK("https://www.ncbi.nlm.nih.gov/geo/query/acc.cgi?acc=GSM452612","GSM452612")</f>
        <v>GSM452612</v>
      </c>
      <c r="I1573" t="s">
        <v>69</v>
      </c>
      <c r="J1573" t="s">
        <v>18</v>
      </c>
      <c r="K1573" t="s">
        <v>33</v>
      </c>
      <c r="L1573" t="s">
        <v>70</v>
      </c>
      <c r="N1573" t="s">
        <v>29</v>
      </c>
    </row>
    <row r="1574" spans="1:14">
      <c r="A1574" s="4" t="str">
        <f t="shared" si="134"/>
        <v>EXP00031</v>
      </c>
      <c r="B1574" s="4" t="str">
        <f t="shared" si="131"/>
        <v>20162577</v>
      </c>
      <c r="C1574" s="4" t="str">
        <f t="shared" si="132"/>
        <v>GSE18105</v>
      </c>
      <c r="D1574" s="1" t="s">
        <v>45</v>
      </c>
      <c r="E1574" t="s">
        <v>68</v>
      </c>
      <c r="F1574" s="1">
        <v>2</v>
      </c>
      <c r="G1574" s="1" t="s">
        <v>32</v>
      </c>
      <c r="H1574" s="4" t="str">
        <f>HYPERLINK("https://www.ncbi.nlm.nih.gov/geo/query/acc.cgi?acc=GSM452613","GSM452613")</f>
        <v>GSM452613</v>
      </c>
      <c r="I1574" t="s">
        <v>69</v>
      </c>
      <c r="J1574" t="s">
        <v>18</v>
      </c>
      <c r="K1574" t="s">
        <v>33</v>
      </c>
      <c r="L1574" t="s">
        <v>70</v>
      </c>
      <c r="N1574" t="s">
        <v>29</v>
      </c>
    </row>
    <row r="1575" spans="1:14">
      <c r="A1575" s="4" t="str">
        <f t="shared" si="134"/>
        <v>EXP00031</v>
      </c>
      <c r="B1575" s="4" t="str">
        <f t="shared" si="131"/>
        <v>20162577</v>
      </c>
      <c r="C1575" s="4" t="str">
        <f t="shared" si="132"/>
        <v>GSE18105</v>
      </c>
      <c r="D1575" s="1" t="s">
        <v>45</v>
      </c>
      <c r="E1575" t="s">
        <v>68</v>
      </c>
      <c r="F1575" s="1">
        <v>2</v>
      </c>
      <c r="G1575" s="1" t="s">
        <v>32</v>
      </c>
      <c r="H1575" s="4" t="str">
        <f>HYPERLINK("https://www.ncbi.nlm.nih.gov/geo/query/acc.cgi?acc=GSM452614","GSM452614")</f>
        <v>GSM452614</v>
      </c>
      <c r="I1575" t="s">
        <v>69</v>
      </c>
      <c r="J1575" t="s">
        <v>18</v>
      </c>
      <c r="K1575" t="s">
        <v>33</v>
      </c>
      <c r="L1575" t="s">
        <v>70</v>
      </c>
      <c r="N1575" t="s">
        <v>29</v>
      </c>
    </row>
    <row r="1576" spans="1:14">
      <c r="A1576" s="4" t="str">
        <f t="shared" si="134"/>
        <v>EXP00031</v>
      </c>
      <c r="B1576" s="4" t="str">
        <f t="shared" si="131"/>
        <v>20162577</v>
      </c>
      <c r="C1576" s="4" t="str">
        <f t="shared" si="132"/>
        <v>GSE18105</v>
      </c>
      <c r="D1576" s="1" t="s">
        <v>45</v>
      </c>
      <c r="E1576" t="s">
        <v>68</v>
      </c>
      <c r="F1576" s="1">
        <v>2</v>
      </c>
      <c r="G1576" s="1" t="s">
        <v>32</v>
      </c>
      <c r="H1576" s="4" t="str">
        <f>HYPERLINK("https://www.ncbi.nlm.nih.gov/geo/query/acc.cgi?acc=GSM452617","GSM452617")</f>
        <v>GSM452617</v>
      </c>
      <c r="I1576" t="s">
        <v>69</v>
      </c>
      <c r="J1576" t="s">
        <v>18</v>
      </c>
      <c r="K1576" t="s">
        <v>33</v>
      </c>
      <c r="L1576" t="s">
        <v>70</v>
      </c>
      <c r="N1576" t="s">
        <v>29</v>
      </c>
    </row>
    <row r="1577" spans="1:14">
      <c r="A1577" s="4" t="str">
        <f t="shared" si="134"/>
        <v>EXP00031</v>
      </c>
      <c r="B1577" s="4" t="str">
        <f t="shared" si="131"/>
        <v>20162577</v>
      </c>
      <c r="C1577" s="4" t="str">
        <f t="shared" si="132"/>
        <v>GSE18105</v>
      </c>
      <c r="D1577" s="1" t="s">
        <v>45</v>
      </c>
      <c r="E1577" t="s">
        <v>68</v>
      </c>
      <c r="F1577" s="1">
        <v>2</v>
      </c>
      <c r="G1577" s="1" t="s">
        <v>32</v>
      </c>
      <c r="H1577" s="4" t="str">
        <f>HYPERLINK("https://www.ncbi.nlm.nih.gov/geo/query/acc.cgi?acc=GSM452618","GSM452618")</f>
        <v>GSM452618</v>
      </c>
      <c r="I1577" t="s">
        <v>69</v>
      </c>
      <c r="J1577" t="s">
        <v>18</v>
      </c>
      <c r="K1577" t="s">
        <v>33</v>
      </c>
      <c r="L1577" t="s">
        <v>70</v>
      </c>
      <c r="N1577" t="s">
        <v>29</v>
      </c>
    </row>
    <row r="1578" spans="1:14">
      <c r="A1578" s="4" t="str">
        <f t="shared" si="134"/>
        <v>EXP00031</v>
      </c>
      <c r="B1578" s="4" t="str">
        <f t="shared" si="131"/>
        <v>20162577</v>
      </c>
      <c r="C1578" s="4" t="str">
        <f t="shared" si="132"/>
        <v>GSE18105</v>
      </c>
      <c r="D1578" s="1" t="s">
        <v>45</v>
      </c>
      <c r="E1578" t="s">
        <v>68</v>
      </c>
      <c r="F1578" s="1">
        <v>2</v>
      </c>
      <c r="G1578" s="1" t="s">
        <v>32</v>
      </c>
      <c r="H1578" s="4" t="str">
        <f>HYPERLINK("https://www.ncbi.nlm.nih.gov/geo/query/acc.cgi?acc=GSM452620","GSM452620")</f>
        <v>GSM452620</v>
      </c>
      <c r="I1578" t="s">
        <v>69</v>
      </c>
      <c r="J1578" t="s">
        <v>18</v>
      </c>
      <c r="K1578" t="s">
        <v>33</v>
      </c>
      <c r="L1578" t="s">
        <v>70</v>
      </c>
      <c r="N1578" t="s">
        <v>29</v>
      </c>
    </row>
    <row r="1579" spans="1:14">
      <c r="A1579" s="4" t="str">
        <f t="shared" si="134"/>
        <v>EXP00031</v>
      </c>
      <c r="B1579" s="4" t="str">
        <f t="shared" si="131"/>
        <v>20162577</v>
      </c>
      <c r="C1579" s="4" t="str">
        <f t="shared" si="132"/>
        <v>GSE18105</v>
      </c>
      <c r="D1579" s="1" t="s">
        <v>45</v>
      </c>
      <c r="E1579" t="s">
        <v>68</v>
      </c>
      <c r="F1579" s="1">
        <v>2</v>
      </c>
      <c r="G1579" s="1" t="s">
        <v>32</v>
      </c>
      <c r="H1579" s="4" t="str">
        <f>HYPERLINK("https://www.ncbi.nlm.nih.gov/geo/query/acc.cgi?acc=GSM452622","GSM452622")</f>
        <v>GSM452622</v>
      </c>
      <c r="I1579" t="s">
        <v>69</v>
      </c>
      <c r="J1579" t="s">
        <v>18</v>
      </c>
      <c r="K1579" t="s">
        <v>33</v>
      </c>
      <c r="L1579" t="s">
        <v>70</v>
      </c>
      <c r="N1579" t="s">
        <v>29</v>
      </c>
    </row>
    <row r="1580" spans="1:14">
      <c r="A1580" s="4" t="str">
        <f t="shared" si="134"/>
        <v>EXP00031</v>
      </c>
      <c r="B1580" s="4" t="str">
        <f t="shared" si="131"/>
        <v>20162577</v>
      </c>
      <c r="C1580" s="4" t="str">
        <f t="shared" si="132"/>
        <v>GSE18105</v>
      </c>
      <c r="D1580" s="1" t="s">
        <v>45</v>
      </c>
      <c r="E1580" t="s">
        <v>68</v>
      </c>
      <c r="F1580" s="1">
        <v>2</v>
      </c>
      <c r="G1580" s="1" t="s">
        <v>32</v>
      </c>
      <c r="H1580" s="4" t="str">
        <f>HYPERLINK("https://www.ncbi.nlm.nih.gov/geo/query/acc.cgi?acc=GSM452623","GSM452623")</f>
        <v>GSM452623</v>
      </c>
      <c r="I1580" t="s">
        <v>69</v>
      </c>
      <c r="J1580" t="s">
        <v>18</v>
      </c>
      <c r="K1580" t="s">
        <v>33</v>
      </c>
      <c r="L1580" t="s">
        <v>70</v>
      </c>
      <c r="N1580" t="s">
        <v>29</v>
      </c>
    </row>
    <row r="1581" spans="1:14">
      <c r="A1581" s="4" t="str">
        <f t="shared" si="134"/>
        <v>EXP00031</v>
      </c>
      <c r="B1581" s="4" t="str">
        <f t="shared" si="131"/>
        <v>20162577</v>
      </c>
      <c r="C1581" s="4" t="str">
        <f t="shared" si="132"/>
        <v>GSE18105</v>
      </c>
      <c r="D1581" s="1" t="s">
        <v>45</v>
      </c>
      <c r="E1581" t="s">
        <v>68</v>
      </c>
      <c r="F1581" s="1">
        <v>2</v>
      </c>
      <c r="G1581" s="1" t="s">
        <v>32</v>
      </c>
      <c r="H1581" s="4" t="str">
        <f>HYPERLINK("https://www.ncbi.nlm.nih.gov/geo/query/acc.cgi?acc=GSM452625","GSM452625")</f>
        <v>GSM452625</v>
      </c>
      <c r="I1581" t="s">
        <v>69</v>
      </c>
      <c r="J1581" t="s">
        <v>18</v>
      </c>
      <c r="K1581" t="s">
        <v>33</v>
      </c>
      <c r="L1581" t="s">
        <v>70</v>
      </c>
      <c r="N1581" t="s">
        <v>29</v>
      </c>
    </row>
    <row r="1582" spans="1:14">
      <c r="A1582" s="4" t="str">
        <f t="shared" si="134"/>
        <v>EXP00031</v>
      </c>
      <c r="B1582" s="4" t="str">
        <f t="shared" si="131"/>
        <v>20162577</v>
      </c>
      <c r="C1582" s="4" t="str">
        <f t="shared" si="132"/>
        <v>GSE18105</v>
      </c>
      <c r="D1582" s="1" t="s">
        <v>45</v>
      </c>
      <c r="E1582" t="s">
        <v>68</v>
      </c>
      <c r="F1582" s="1">
        <v>2</v>
      </c>
      <c r="G1582" s="1" t="s">
        <v>32</v>
      </c>
      <c r="H1582" s="4" t="str">
        <f>HYPERLINK("https://www.ncbi.nlm.nih.gov/geo/query/acc.cgi?acc=GSM452626","GSM452626")</f>
        <v>GSM452626</v>
      </c>
      <c r="I1582" t="s">
        <v>69</v>
      </c>
      <c r="J1582" t="s">
        <v>18</v>
      </c>
      <c r="K1582" t="s">
        <v>33</v>
      </c>
      <c r="L1582" t="s">
        <v>70</v>
      </c>
      <c r="N1582" t="s">
        <v>29</v>
      </c>
    </row>
    <row r="1583" spans="1:14">
      <c r="A1583" s="4" t="str">
        <f t="shared" si="134"/>
        <v>EXP00031</v>
      </c>
      <c r="B1583" s="4" t="str">
        <f t="shared" si="131"/>
        <v>20162577</v>
      </c>
      <c r="C1583" s="4" t="str">
        <f t="shared" si="132"/>
        <v>GSE18105</v>
      </c>
      <c r="D1583" s="1" t="s">
        <v>45</v>
      </c>
      <c r="E1583" t="s">
        <v>68</v>
      </c>
      <c r="F1583" s="1">
        <v>2</v>
      </c>
      <c r="G1583" s="1" t="s">
        <v>32</v>
      </c>
      <c r="H1583" s="4" t="str">
        <f>HYPERLINK("https://www.ncbi.nlm.nih.gov/geo/query/acc.cgi?acc=GSM452627","GSM452627")</f>
        <v>GSM452627</v>
      </c>
      <c r="I1583" t="s">
        <v>69</v>
      </c>
      <c r="J1583" t="s">
        <v>18</v>
      </c>
      <c r="K1583" t="s">
        <v>33</v>
      </c>
      <c r="L1583" t="s">
        <v>70</v>
      </c>
      <c r="N1583" t="s">
        <v>29</v>
      </c>
    </row>
    <row r="1584" spans="1:14">
      <c r="A1584" s="4" t="str">
        <f t="shared" si="134"/>
        <v>EXP00031</v>
      </c>
      <c r="B1584" s="4" t="str">
        <f t="shared" ref="B1584:B1647" si="135">HYPERLINK("https://www.ncbi.nlm.nih.gov/pubmed/20162577","20162577")</f>
        <v>20162577</v>
      </c>
      <c r="C1584" s="4" t="str">
        <f t="shared" ref="C1584:C1647" si="136">HYPERLINK("https://www.ncbi.nlm.nih.gov/geo/query/acc.cgi?acc=GSE18105","GSE18105")</f>
        <v>GSE18105</v>
      </c>
      <c r="D1584" s="1" t="s">
        <v>45</v>
      </c>
      <c r="E1584" t="s">
        <v>68</v>
      </c>
      <c r="F1584" s="1">
        <v>2</v>
      </c>
      <c r="G1584" s="1" t="s">
        <v>32</v>
      </c>
      <c r="H1584" s="4" t="str">
        <f>HYPERLINK("https://www.ncbi.nlm.nih.gov/geo/query/acc.cgi?acc=GSM452649","GSM452649")</f>
        <v>GSM452649</v>
      </c>
      <c r="I1584" t="s">
        <v>69</v>
      </c>
      <c r="J1584" t="s">
        <v>18</v>
      </c>
      <c r="K1584" t="s">
        <v>33</v>
      </c>
      <c r="L1584" t="s">
        <v>70</v>
      </c>
      <c r="N1584" t="s">
        <v>29</v>
      </c>
    </row>
    <row r="1585" spans="1:14">
      <c r="A1585" s="4" t="str">
        <f t="shared" si="134"/>
        <v>EXP00031</v>
      </c>
      <c r="B1585" s="4" t="str">
        <f t="shared" si="135"/>
        <v>20162577</v>
      </c>
      <c r="C1585" s="4" t="str">
        <f t="shared" si="136"/>
        <v>GSE18105</v>
      </c>
      <c r="D1585" s="1" t="s">
        <v>45</v>
      </c>
      <c r="E1585" t="s">
        <v>68</v>
      </c>
      <c r="F1585" s="1">
        <v>2</v>
      </c>
      <c r="G1585" s="1" t="s">
        <v>32</v>
      </c>
      <c r="H1585" s="4" t="str">
        <f>HYPERLINK("https://www.ncbi.nlm.nih.gov/geo/query/acc.cgi?acc=GSM452651","GSM452651")</f>
        <v>GSM452651</v>
      </c>
      <c r="I1585" t="s">
        <v>69</v>
      </c>
      <c r="J1585" t="s">
        <v>18</v>
      </c>
      <c r="K1585" t="s">
        <v>33</v>
      </c>
      <c r="L1585" t="s">
        <v>70</v>
      </c>
      <c r="N1585" t="s">
        <v>29</v>
      </c>
    </row>
    <row r="1586" spans="1:14">
      <c r="A1586" s="4" t="str">
        <f t="shared" si="134"/>
        <v>EXP00031</v>
      </c>
      <c r="B1586" s="4" t="str">
        <f t="shared" si="135"/>
        <v>20162577</v>
      </c>
      <c r="C1586" s="4" t="str">
        <f t="shared" si="136"/>
        <v>GSE18105</v>
      </c>
      <c r="D1586" s="1" t="s">
        <v>45</v>
      </c>
      <c r="E1586" t="s">
        <v>68</v>
      </c>
      <c r="F1586" s="1">
        <v>2</v>
      </c>
      <c r="G1586" s="1" t="s">
        <v>32</v>
      </c>
      <c r="H1586" s="4" t="str">
        <f>HYPERLINK("https://www.ncbi.nlm.nih.gov/geo/query/acc.cgi?acc=GSM452652","GSM452652")</f>
        <v>GSM452652</v>
      </c>
      <c r="I1586" t="s">
        <v>69</v>
      </c>
      <c r="J1586" t="s">
        <v>18</v>
      </c>
      <c r="K1586" t="s">
        <v>33</v>
      </c>
      <c r="L1586" t="s">
        <v>70</v>
      </c>
      <c r="N1586" t="s">
        <v>29</v>
      </c>
    </row>
    <row r="1587" spans="1:14">
      <c r="A1587" s="4" t="str">
        <f t="shared" si="134"/>
        <v>EXP00031</v>
      </c>
      <c r="B1587" s="4" t="str">
        <f t="shared" si="135"/>
        <v>20162577</v>
      </c>
      <c r="C1587" s="4" t="str">
        <f t="shared" si="136"/>
        <v>GSE18105</v>
      </c>
      <c r="D1587" s="1" t="s">
        <v>45</v>
      </c>
      <c r="E1587" t="s">
        <v>68</v>
      </c>
      <c r="F1587" s="1">
        <v>2</v>
      </c>
      <c r="G1587" s="1" t="s">
        <v>32</v>
      </c>
      <c r="H1587" s="4" t="str">
        <f>HYPERLINK("https://www.ncbi.nlm.nih.gov/geo/query/acc.cgi?acc=GSM452653","GSM452653")</f>
        <v>GSM452653</v>
      </c>
      <c r="I1587" t="s">
        <v>69</v>
      </c>
      <c r="J1587" t="s">
        <v>18</v>
      </c>
      <c r="K1587" t="s">
        <v>33</v>
      </c>
      <c r="L1587" t="s">
        <v>70</v>
      </c>
      <c r="N1587" t="s">
        <v>29</v>
      </c>
    </row>
    <row r="1588" spans="1:14">
      <c r="A1588" s="4" t="str">
        <f t="shared" si="134"/>
        <v>EXP00031</v>
      </c>
      <c r="B1588" s="4" t="str">
        <f t="shared" si="135"/>
        <v>20162577</v>
      </c>
      <c r="C1588" s="4" t="str">
        <f t="shared" si="136"/>
        <v>GSE18105</v>
      </c>
      <c r="D1588" s="1" t="s">
        <v>45</v>
      </c>
      <c r="E1588" t="s">
        <v>68</v>
      </c>
      <c r="F1588" s="1">
        <v>2</v>
      </c>
      <c r="G1588" s="1" t="s">
        <v>32</v>
      </c>
      <c r="H1588" s="4" t="str">
        <f>HYPERLINK("https://www.ncbi.nlm.nih.gov/geo/query/acc.cgi?acc=GSM452654","GSM452654")</f>
        <v>GSM452654</v>
      </c>
      <c r="I1588" t="s">
        <v>69</v>
      </c>
      <c r="J1588" t="s">
        <v>18</v>
      </c>
      <c r="K1588" t="s">
        <v>33</v>
      </c>
      <c r="L1588" t="s">
        <v>70</v>
      </c>
      <c r="N1588" t="s">
        <v>29</v>
      </c>
    </row>
    <row r="1589" spans="1:14">
      <c r="A1589" s="4" t="str">
        <f t="shared" si="134"/>
        <v>EXP00031</v>
      </c>
      <c r="B1589" s="4" t="str">
        <f t="shared" si="135"/>
        <v>20162577</v>
      </c>
      <c r="C1589" s="4" t="str">
        <f t="shared" si="136"/>
        <v>GSE18105</v>
      </c>
      <c r="D1589" s="1" t="s">
        <v>45</v>
      </c>
      <c r="E1589" t="s">
        <v>68</v>
      </c>
      <c r="F1589" s="1">
        <v>2</v>
      </c>
      <c r="G1589" s="1" t="s">
        <v>32</v>
      </c>
      <c r="H1589" s="4" t="str">
        <f>HYPERLINK("https://www.ncbi.nlm.nih.gov/geo/query/acc.cgi?acc=GSM452656","GSM452656")</f>
        <v>GSM452656</v>
      </c>
      <c r="I1589" t="s">
        <v>69</v>
      </c>
      <c r="J1589" t="s">
        <v>18</v>
      </c>
      <c r="K1589" t="s">
        <v>33</v>
      </c>
      <c r="L1589" t="s">
        <v>70</v>
      </c>
      <c r="N1589" t="s">
        <v>29</v>
      </c>
    </row>
    <row r="1590" spans="1:14">
      <c r="A1590" s="4" t="str">
        <f t="shared" si="134"/>
        <v>EXP00031</v>
      </c>
      <c r="B1590" s="4" t="str">
        <f t="shared" si="135"/>
        <v>20162577</v>
      </c>
      <c r="C1590" s="4" t="str">
        <f t="shared" si="136"/>
        <v>GSE18105</v>
      </c>
      <c r="D1590" s="1" t="s">
        <v>45</v>
      </c>
      <c r="E1590" t="s">
        <v>68</v>
      </c>
      <c r="F1590" s="1">
        <v>2</v>
      </c>
      <c r="G1590" s="1" t="s">
        <v>32</v>
      </c>
      <c r="H1590" s="4" t="str">
        <f>HYPERLINK("https://www.ncbi.nlm.nih.gov/geo/query/acc.cgi?acc=GSM452657","GSM452657")</f>
        <v>GSM452657</v>
      </c>
      <c r="I1590" t="s">
        <v>69</v>
      </c>
      <c r="J1590" t="s">
        <v>18</v>
      </c>
      <c r="K1590" t="s">
        <v>33</v>
      </c>
      <c r="L1590" t="s">
        <v>70</v>
      </c>
      <c r="N1590" t="s">
        <v>29</v>
      </c>
    </row>
    <row r="1591" spans="1:14">
      <c r="A1591" s="4" t="str">
        <f t="shared" si="134"/>
        <v>EXP00031</v>
      </c>
      <c r="B1591" s="4" t="str">
        <f t="shared" si="135"/>
        <v>20162577</v>
      </c>
      <c r="C1591" s="4" t="str">
        <f t="shared" si="136"/>
        <v>GSE18105</v>
      </c>
      <c r="D1591" s="1" t="s">
        <v>45</v>
      </c>
      <c r="E1591" t="s">
        <v>68</v>
      </c>
      <c r="F1591" s="1">
        <v>2</v>
      </c>
      <c r="G1591" s="1" t="s">
        <v>32</v>
      </c>
      <c r="H1591" s="4" t="str">
        <f>HYPERLINK("https://www.ncbi.nlm.nih.gov/geo/query/acc.cgi?acc=GSM452659","GSM452659")</f>
        <v>GSM452659</v>
      </c>
      <c r="I1591" t="s">
        <v>69</v>
      </c>
      <c r="J1591" t="s">
        <v>18</v>
      </c>
      <c r="K1591" t="s">
        <v>33</v>
      </c>
      <c r="L1591" t="s">
        <v>70</v>
      </c>
      <c r="N1591" t="s">
        <v>29</v>
      </c>
    </row>
    <row r="1592" spans="1:14">
      <c r="A1592" s="4" t="str">
        <f t="shared" si="134"/>
        <v>EXP00031</v>
      </c>
      <c r="B1592" s="4" t="str">
        <f t="shared" si="135"/>
        <v>20162577</v>
      </c>
      <c r="C1592" s="4" t="str">
        <f t="shared" si="136"/>
        <v>GSE18105</v>
      </c>
      <c r="D1592" s="1" t="s">
        <v>45</v>
      </c>
      <c r="E1592" t="s">
        <v>68</v>
      </c>
      <c r="F1592" s="1">
        <v>2</v>
      </c>
      <c r="G1592" s="1" t="s">
        <v>32</v>
      </c>
      <c r="H1592" s="4" t="str">
        <f>HYPERLINK("https://www.ncbi.nlm.nih.gov/geo/query/acc.cgi?acc=GSM452660","GSM452660")</f>
        <v>GSM452660</v>
      </c>
      <c r="I1592" t="s">
        <v>69</v>
      </c>
      <c r="J1592" t="s">
        <v>18</v>
      </c>
      <c r="K1592" t="s">
        <v>33</v>
      </c>
      <c r="L1592" t="s">
        <v>70</v>
      </c>
      <c r="N1592" t="s">
        <v>29</v>
      </c>
    </row>
    <row r="1593" spans="1:14">
      <c r="A1593" s="4" t="str">
        <f t="shared" si="134"/>
        <v>EXP00031</v>
      </c>
      <c r="B1593" s="4" t="str">
        <f t="shared" si="135"/>
        <v>20162577</v>
      </c>
      <c r="C1593" s="4" t="str">
        <f t="shared" si="136"/>
        <v>GSE18105</v>
      </c>
      <c r="D1593" s="1" t="s">
        <v>45</v>
      </c>
      <c r="E1593" t="s">
        <v>68</v>
      </c>
      <c r="F1593" s="1">
        <v>2</v>
      </c>
      <c r="G1593" s="1" t="s">
        <v>32</v>
      </c>
      <c r="H1593" s="4" t="str">
        <f>HYPERLINK("https://www.ncbi.nlm.nih.gov/geo/query/acc.cgi?acc=GSM452662","GSM452662")</f>
        <v>GSM452662</v>
      </c>
      <c r="I1593" t="s">
        <v>69</v>
      </c>
      <c r="J1593" t="s">
        <v>18</v>
      </c>
      <c r="K1593" t="s">
        <v>33</v>
      </c>
      <c r="L1593" t="s">
        <v>70</v>
      </c>
      <c r="N1593" t="s">
        <v>29</v>
      </c>
    </row>
    <row r="1594" spans="1:14">
      <c r="A1594" s="4" t="str">
        <f t="shared" ref="A1594:A1625" si="137">HYPERLINK("http://hcmdb.i-sanger.com/experiment/details/experiment_id/EXP00032","EXP00032")</f>
        <v>EXP00032</v>
      </c>
      <c r="B1594" s="4" t="str">
        <f t="shared" si="135"/>
        <v>20162577</v>
      </c>
      <c r="C1594" s="4" t="str">
        <f t="shared" si="136"/>
        <v>GSE18105</v>
      </c>
      <c r="D1594" s="1" t="s">
        <v>45</v>
      </c>
      <c r="E1594" t="s">
        <v>96</v>
      </c>
      <c r="F1594" s="1">
        <v>1</v>
      </c>
      <c r="G1594" s="1" t="s">
        <v>36</v>
      </c>
      <c r="H1594" s="4" t="str">
        <f>HYPERLINK("https://www.ncbi.nlm.nih.gov/geo/query/acc.cgi?acc=GSM452632","GSM452632")</f>
        <v>GSM452632</v>
      </c>
      <c r="I1594" t="s">
        <v>69</v>
      </c>
      <c r="J1594" t="s">
        <v>18</v>
      </c>
      <c r="K1594" t="s">
        <v>33</v>
      </c>
      <c r="L1594" t="s">
        <v>70</v>
      </c>
      <c r="N1594" t="s">
        <v>37</v>
      </c>
    </row>
    <row r="1595" spans="1:14">
      <c r="A1595" s="4" t="str">
        <f t="shared" si="137"/>
        <v>EXP00032</v>
      </c>
      <c r="B1595" s="4" t="str">
        <f t="shared" si="135"/>
        <v>20162577</v>
      </c>
      <c r="C1595" s="4" t="str">
        <f t="shared" si="136"/>
        <v>GSE18105</v>
      </c>
      <c r="D1595" s="1" t="s">
        <v>45</v>
      </c>
      <c r="E1595" t="s">
        <v>96</v>
      </c>
      <c r="F1595" s="1">
        <v>1</v>
      </c>
      <c r="G1595" s="1" t="s">
        <v>36</v>
      </c>
      <c r="H1595" s="4" t="str">
        <f>HYPERLINK("https://www.ncbi.nlm.nih.gov/geo/query/acc.cgi?acc=GSM452634","GSM452634")</f>
        <v>GSM452634</v>
      </c>
      <c r="I1595" t="s">
        <v>69</v>
      </c>
      <c r="J1595" t="s">
        <v>18</v>
      </c>
      <c r="K1595" t="s">
        <v>33</v>
      </c>
      <c r="L1595" t="s">
        <v>70</v>
      </c>
      <c r="N1595" t="s">
        <v>37</v>
      </c>
    </row>
    <row r="1596" spans="1:14">
      <c r="A1596" s="4" t="str">
        <f t="shared" si="137"/>
        <v>EXP00032</v>
      </c>
      <c r="B1596" s="4" t="str">
        <f t="shared" si="135"/>
        <v>20162577</v>
      </c>
      <c r="C1596" s="4" t="str">
        <f t="shared" si="136"/>
        <v>GSE18105</v>
      </c>
      <c r="D1596" s="1" t="s">
        <v>45</v>
      </c>
      <c r="E1596" t="s">
        <v>96</v>
      </c>
      <c r="F1596" s="1">
        <v>1</v>
      </c>
      <c r="G1596" s="1" t="s">
        <v>36</v>
      </c>
      <c r="H1596" s="4" t="str">
        <f>HYPERLINK("https://www.ncbi.nlm.nih.gov/geo/query/acc.cgi?acc=GSM452635","GSM452635")</f>
        <v>GSM452635</v>
      </c>
      <c r="I1596" t="s">
        <v>69</v>
      </c>
      <c r="J1596" t="s">
        <v>18</v>
      </c>
      <c r="K1596" t="s">
        <v>33</v>
      </c>
      <c r="L1596" t="s">
        <v>70</v>
      </c>
      <c r="N1596" t="s">
        <v>37</v>
      </c>
    </row>
    <row r="1597" spans="1:14">
      <c r="A1597" s="4" t="str">
        <f t="shared" si="137"/>
        <v>EXP00032</v>
      </c>
      <c r="B1597" s="4" t="str">
        <f t="shared" si="135"/>
        <v>20162577</v>
      </c>
      <c r="C1597" s="4" t="str">
        <f t="shared" si="136"/>
        <v>GSE18105</v>
      </c>
      <c r="D1597" s="1" t="s">
        <v>45</v>
      </c>
      <c r="E1597" t="s">
        <v>96</v>
      </c>
      <c r="F1597" s="1">
        <v>1</v>
      </c>
      <c r="G1597" s="1" t="s">
        <v>36</v>
      </c>
      <c r="H1597" s="4" t="str">
        <f>HYPERLINK("https://www.ncbi.nlm.nih.gov/geo/query/acc.cgi?acc=GSM452636","GSM452636")</f>
        <v>GSM452636</v>
      </c>
      <c r="I1597" t="s">
        <v>69</v>
      </c>
      <c r="J1597" t="s">
        <v>18</v>
      </c>
      <c r="K1597" t="s">
        <v>33</v>
      </c>
      <c r="L1597" t="s">
        <v>70</v>
      </c>
      <c r="N1597" t="s">
        <v>37</v>
      </c>
    </row>
    <row r="1598" spans="1:14">
      <c r="A1598" s="4" t="str">
        <f t="shared" si="137"/>
        <v>EXP00032</v>
      </c>
      <c r="B1598" s="4" t="str">
        <f t="shared" si="135"/>
        <v>20162577</v>
      </c>
      <c r="C1598" s="4" t="str">
        <f t="shared" si="136"/>
        <v>GSE18105</v>
      </c>
      <c r="D1598" s="1" t="s">
        <v>45</v>
      </c>
      <c r="E1598" t="s">
        <v>96</v>
      </c>
      <c r="F1598" s="1">
        <v>1</v>
      </c>
      <c r="G1598" s="1" t="s">
        <v>36</v>
      </c>
      <c r="H1598" s="4" t="str">
        <f>HYPERLINK("https://www.ncbi.nlm.nih.gov/geo/query/acc.cgi?acc=GSM452637","GSM452637")</f>
        <v>GSM452637</v>
      </c>
      <c r="I1598" t="s">
        <v>69</v>
      </c>
      <c r="J1598" t="s">
        <v>18</v>
      </c>
      <c r="K1598" t="s">
        <v>33</v>
      </c>
      <c r="L1598" t="s">
        <v>70</v>
      </c>
      <c r="N1598" t="s">
        <v>37</v>
      </c>
    </row>
    <row r="1599" spans="1:14">
      <c r="A1599" s="4" t="str">
        <f t="shared" si="137"/>
        <v>EXP00032</v>
      </c>
      <c r="B1599" s="4" t="str">
        <f t="shared" si="135"/>
        <v>20162577</v>
      </c>
      <c r="C1599" s="4" t="str">
        <f t="shared" si="136"/>
        <v>GSE18105</v>
      </c>
      <c r="D1599" s="1" t="s">
        <v>45</v>
      </c>
      <c r="E1599" t="s">
        <v>96</v>
      </c>
      <c r="F1599" s="1">
        <v>1</v>
      </c>
      <c r="G1599" s="1" t="s">
        <v>36</v>
      </c>
      <c r="H1599" s="4" t="str">
        <f>HYPERLINK("https://www.ncbi.nlm.nih.gov/geo/query/acc.cgi?acc=GSM452639","GSM452639")</f>
        <v>GSM452639</v>
      </c>
      <c r="I1599" t="s">
        <v>69</v>
      </c>
      <c r="J1599" t="s">
        <v>18</v>
      </c>
      <c r="K1599" t="s">
        <v>33</v>
      </c>
      <c r="L1599" t="s">
        <v>70</v>
      </c>
      <c r="N1599" t="s">
        <v>37</v>
      </c>
    </row>
    <row r="1600" spans="1:14">
      <c r="A1600" s="4" t="str">
        <f t="shared" si="137"/>
        <v>EXP00032</v>
      </c>
      <c r="B1600" s="4" t="str">
        <f t="shared" si="135"/>
        <v>20162577</v>
      </c>
      <c r="C1600" s="4" t="str">
        <f t="shared" si="136"/>
        <v>GSE18105</v>
      </c>
      <c r="D1600" s="1" t="s">
        <v>45</v>
      </c>
      <c r="E1600" t="s">
        <v>96</v>
      </c>
      <c r="F1600" s="1">
        <v>1</v>
      </c>
      <c r="G1600" s="1" t="s">
        <v>36</v>
      </c>
      <c r="H1600" s="4" t="str">
        <f>HYPERLINK("https://www.ncbi.nlm.nih.gov/geo/query/acc.cgi?acc=GSM452640","GSM452640")</f>
        <v>GSM452640</v>
      </c>
      <c r="I1600" t="s">
        <v>69</v>
      </c>
      <c r="J1600" t="s">
        <v>18</v>
      </c>
      <c r="K1600" t="s">
        <v>33</v>
      </c>
      <c r="L1600" t="s">
        <v>70</v>
      </c>
      <c r="N1600" t="s">
        <v>37</v>
      </c>
    </row>
    <row r="1601" spans="1:14">
      <c r="A1601" s="4" t="str">
        <f t="shared" si="137"/>
        <v>EXP00032</v>
      </c>
      <c r="B1601" s="4" t="str">
        <f t="shared" si="135"/>
        <v>20162577</v>
      </c>
      <c r="C1601" s="4" t="str">
        <f t="shared" si="136"/>
        <v>GSE18105</v>
      </c>
      <c r="D1601" s="1" t="s">
        <v>45</v>
      </c>
      <c r="E1601" t="s">
        <v>96</v>
      </c>
      <c r="F1601" s="1">
        <v>1</v>
      </c>
      <c r="G1601" s="1" t="s">
        <v>36</v>
      </c>
      <c r="H1601" s="4" t="str">
        <f>HYPERLINK("https://www.ncbi.nlm.nih.gov/geo/query/acc.cgi?acc=GSM452642","GSM452642")</f>
        <v>GSM452642</v>
      </c>
      <c r="I1601" t="s">
        <v>69</v>
      </c>
      <c r="J1601" t="s">
        <v>18</v>
      </c>
      <c r="K1601" t="s">
        <v>33</v>
      </c>
      <c r="L1601" t="s">
        <v>70</v>
      </c>
      <c r="N1601" t="s">
        <v>37</v>
      </c>
    </row>
    <row r="1602" spans="1:14">
      <c r="A1602" s="4" t="str">
        <f t="shared" si="137"/>
        <v>EXP00032</v>
      </c>
      <c r="B1602" s="4" t="str">
        <f t="shared" si="135"/>
        <v>20162577</v>
      </c>
      <c r="C1602" s="4" t="str">
        <f t="shared" si="136"/>
        <v>GSE18105</v>
      </c>
      <c r="D1602" s="1" t="s">
        <v>45</v>
      </c>
      <c r="E1602" t="s">
        <v>96</v>
      </c>
      <c r="F1602" s="1">
        <v>1</v>
      </c>
      <c r="G1602" s="1" t="s">
        <v>36</v>
      </c>
      <c r="H1602" s="4" t="str">
        <f>HYPERLINK("https://www.ncbi.nlm.nih.gov/geo/query/acc.cgi?acc=GSM452643","GSM452643")</f>
        <v>GSM452643</v>
      </c>
      <c r="I1602" t="s">
        <v>69</v>
      </c>
      <c r="J1602" t="s">
        <v>18</v>
      </c>
      <c r="K1602" t="s">
        <v>33</v>
      </c>
      <c r="L1602" t="s">
        <v>70</v>
      </c>
      <c r="N1602" t="s">
        <v>37</v>
      </c>
    </row>
    <row r="1603" spans="1:14">
      <c r="A1603" s="4" t="str">
        <f t="shared" si="137"/>
        <v>EXP00032</v>
      </c>
      <c r="B1603" s="4" t="str">
        <f t="shared" si="135"/>
        <v>20162577</v>
      </c>
      <c r="C1603" s="4" t="str">
        <f t="shared" si="136"/>
        <v>GSE18105</v>
      </c>
      <c r="D1603" s="1" t="s">
        <v>45</v>
      </c>
      <c r="E1603" t="s">
        <v>96</v>
      </c>
      <c r="F1603" s="1">
        <v>1</v>
      </c>
      <c r="G1603" s="1" t="s">
        <v>36</v>
      </c>
      <c r="H1603" s="4" t="str">
        <f>HYPERLINK("https://www.ncbi.nlm.nih.gov/geo/query/acc.cgi?acc=GSM452645","GSM452645")</f>
        <v>GSM452645</v>
      </c>
      <c r="I1603" t="s">
        <v>69</v>
      </c>
      <c r="J1603" t="s">
        <v>18</v>
      </c>
      <c r="K1603" t="s">
        <v>33</v>
      </c>
      <c r="L1603" t="s">
        <v>70</v>
      </c>
      <c r="N1603" t="s">
        <v>37</v>
      </c>
    </row>
    <row r="1604" spans="1:14">
      <c r="A1604" s="4" t="str">
        <f t="shared" si="137"/>
        <v>EXP00032</v>
      </c>
      <c r="B1604" s="4" t="str">
        <f t="shared" si="135"/>
        <v>20162577</v>
      </c>
      <c r="C1604" s="4" t="str">
        <f t="shared" si="136"/>
        <v>GSE18105</v>
      </c>
      <c r="D1604" s="1" t="s">
        <v>45</v>
      </c>
      <c r="E1604" t="s">
        <v>96</v>
      </c>
      <c r="F1604" s="1">
        <v>2</v>
      </c>
      <c r="G1604" s="1" t="s">
        <v>28</v>
      </c>
      <c r="H1604" s="4" t="str">
        <f>HYPERLINK("https://www.ncbi.nlm.nih.gov/geo/query/acc.cgi?acc=GSM452552","GSM452552")</f>
        <v>GSM452552</v>
      </c>
      <c r="I1604" t="s">
        <v>69</v>
      </c>
      <c r="J1604" t="s">
        <v>18</v>
      </c>
      <c r="K1604" t="s">
        <v>33</v>
      </c>
      <c r="L1604" t="s">
        <v>70</v>
      </c>
      <c r="N1604" t="s">
        <v>29</v>
      </c>
    </row>
    <row r="1605" spans="1:14">
      <c r="A1605" s="4" t="str">
        <f t="shared" si="137"/>
        <v>EXP00032</v>
      </c>
      <c r="B1605" s="4" t="str">
        <f t="shared" si="135"/>
        <v>20162577</v>
      </c>
      <c r="C1605" s="4" t="str">
        <f t="shared" si="136"/>
        <v>GSE18105</v>
      </c>
      <c r="D1605" s="1" t="s">
        <v>45</v>
      </c>
      <c r="E1605" t="s">
        <v>96</v>
      </c>
      <c r="F1605" s="1">
        <v>2</v>
      </c>
      <c r="G1605" s="1" t="s">
        <v>28</v>
      </c>
      <c r="H1605" s="4" t="str">
        <f>HYPERLINK("https://www.ncbi.nlm.nih.gov/geo/query/acc.cgi?acc=GSM452553","GSM452553")</f>
        <v>GSM452553</v>
      </c>
      <c r="I1605" t="s">
        <v>69</v>
      </c>
      <c r="J1605" t="s">
        <v>18</v>
      </c>
      <c r="K1605" t="s">
        <v>33</v>
      </c>
      <c r="L1605" t="s">
        <v>70</v>
      </c>
      <c r="N1605" t="s">
        <v>29</v>
      </c>
    </row>
    <row r="1606" spans="1:14">
      <c r="A1606" s="4" t="str">
        <f t="shared" si="137"/>
        <v>EXP00032</v>
      </c>
      <c r="B1606" s="4" t="str">
        <f t="shared" si="135"/>
        <v>20162577</v>
      </c>
      <c r="C1606" s="4" t="str">
        <f t="shared" si="136"/>
        <v>GSE18105</v>
      </c>
      <c r="D1606" s="1" t="s">
        <v>45</v>
      </c>
      <c r="E1606" t="s">
        <v>96</v>
      </c>
      <c r="F1606" s="1">
        <v>2</v>
      </c>
      <c r="G1606" s="1" t="s">
        <v>28</v>
      </c>
      <c r="H1606" s="4" t="str">
        <f>HYPERLINK("https://www.ncbi.nlm.nih.gov/geo/query/acc.cgi?acc=GSM452554","GSM452554")</f>
        <v>GSM452554</v>
      </c>
      <c r="I1606" t="s">
        <v>69</v>
      </c>
      <c r="J1606" t="s">
        <v>18</v>
      </c>
      <c r="K1606" t="s">
        <v>33</v>
      </c>
      <c r="L1606" t="s">
        <v>70</v>
      </c>
      <c r="N1606" t="s">
        <v>29</v>
      </c>
    </row>
    <row r="1607" spans="1:14">
      <c r="A1607" s="4" t="str">
        <f t="shared" si="137"/>
        <v>EXP00032</v>
      </c>
      <c r="B1607" s="4" t="str">
        <f t="shared" si="135"/>
        <v>20162577</v>
      </c>
      <c r="C1607" s="4" t="str">
        <f t="shared" si="136"/>
        <v>GSE18105</v>
      </c>
      <c r="D1607" s="1" t="s">
        <v>45</v>
      </c>
      <c r="E1607" t="s">
        <v>96</v>
      </c>
      <c r="F1607" s="1">
        <v>2</v>
      </c>
      <c r="G1607" s="1" t="s">
        <v>28</v>
      </c>
      <c r="H1607" s="4" t="str">
        <f>HYPERLINK("https://www.ncbi.nlm.nih.gov/geo/query/acc.cgi?acc=GSM452555","GSM452555")</f>
        <v>GSM452555</v>
      </c>
      <c r="I1607" t="s">
        <v>69</v>
      </c>
      <c r="J1607" t="s">
        <v>18</v>
      </c>
      <c r="K1607" t="s">
        <v>33</v>
      </c>
      <c r="L1607" t="s">
        <v>70</v>
      </c>
      <c r="N1607" t="s">
        <v>29</v>
      </c>
    </row>
    <row r="1608" spans="1:14">
      <c r="A1608" s="4" t="str">
        <f t="shared" si="137"/>
        <v>EXP00032</v>
      </c>
      <c r="B1608" s="4" t="str">
        <f t="shared" si="135"/>
        <v>20162577</v>
      </c>
      <c r="C1608" s="4" t="str">
        <f t="shared" si="136"/>
        <v>GSE18105</v>
      </c>
      <c r="D1608" s="1" t="s">
        <v>45</v>
      </c>
      <c r="E1608" t="s">
        <v>96</v>
      </c>
      <c r="F1608" s="1">
        <v>2</v>
      </c>
      <c r="G1608" s="1" t="s">
        <v>28</v>
      </c>
      <c r="H1608" s="4" t="str">
        <f>HYPERLINK("https://www.ncbi.nlm.nih.gov/geo/query/acc.cgi?acc=GSM452557","GSM452557")</f>
        <v>GSM452557</v>
      </c>
      <c r="I1608" t="s">
        <v>69</v>
      </c>
      <c r="J1608" t="s">
        <v>18</v>
      </c>
      <c r="K1608" t="s">
        <v>33</v>
      </c>
      <c r="L1608" t="s">
        <v>70</v>
      </c>
      <c r="N1608" t="s">
        <v>29</v>
      </c>
    </row>
    <row r="1609" spans="1:14">
      <c r="A1609" s="4" t="str">
        <f t="shared" si="137"/>
        <v>EXP00032</v>
      </c>
      <c r="B1609" s="4" t="str">
        <f t="shared" si="135"/>
        <v>20162577</v>
      </c>
      <c r="C1609" s="4" t="str">
        <f t="shared" si="136"/>
        <v>GSE18105</v>
      </c>
      <c r="D1609" s="1" t="s">
        <v>45</v>
      </c>
      <c r="E1609" t="s">
        <v>96</v>
      </c>
      <c r="F1609" s="1">
        <v>2</v>
      </c>
      <c r="G1609" s="1" t="s">
        <v>28</v>
      </c>
      <c r="H1609" s="4" t="str">
        <f>HYPERLINK("https://www.ncbi.nlm.nih.gov/geo/query/acc.cgi?acc=GSM452560","GSM452560")</f>
        <v>GSM452560</v>
      </c>
      <c r="I1609" t="s">
        <v>69</v>
      </c>
      <c r="J1609" t="s">
        <v>18</v>
      </c>
      <c r="K1609" t="s">
        <v>33</v>
      </c>
      <c r="L1609" t="s">
        <v>70</v>
      </c>
      <c r="N1609" t="s">
        <v>29</v>
      </c>
    </row>
    <row r="1610" spans="1:14">
      <c r="A1610" s="4" t="str">
        <f t="shared" si="137"/>
        <v>EXP00032</v>
      </c>
      <c r="B1610" s="4" t="str">
        <f t="shared" si="135"/>
        <v>20162577</v>
      </c>
      <c r="C1610" s="4" t="str">
        <f t="shared" si="136"/>
        <v>GSE18105</v>
      </c>
      <c r="D1610" s="1" t="s">
        <v>45</v>
      </c>
      <c r="E1610" t="s">
        <v>96</v>
      </c>
      <c r="F1610" s="1">
        <v>2</v>
      </c>
      <c r="G1610" s="1" t="s">
        <v>28</v>
      </c>
      <c r="H1610" s="4" t="str">
        <f>HYPERLINK("https://www.ncbi.nlm.nih.gov/geo/query/acc.cgi?acc=GSM452561","GSM452561")</f>
        <v>GSM452561</v>
      </c>
      <c r="I1610" t="s">
        <v>69</v>
      </c>
      <c r="J1610" t="s">
        <v>18</v>
      </c>
      <c r="K1610" t="s">
        <v>33</v>
      </c>
      <c r="L1610" t="s">
        <v>70</v>
      </c>
      <c r="N1610" t="s">
        <v>29</v>
      </c>
    </row>
    <row r="1611" spans="1:14">
      <c r="A1611" s="4" t="str">
        <f t="shared" si="137"/>
        <v>EXP00032</v>
      </c>
      <c r="B1611" s="4" t="str">
        <f t="shared" si="135"/>
        <v>20162577</v>
      </c>
      <c r="C1611" s="4" t="str">
        <f t="shared" si="136"/>
        <v>GSE18105</v>
      </c>
      <c r="D1611" s="1" t="s">
        <v>45</v>
      </c>
      <c r="E1611" t="s">
        <v>96</v>
      </c>
      <c r="F1611" s="1">
        <v>2</v>
      </c>
      <c r="G1611" s="1" t="s">
        <v>28</v>
      </c>
      <c r="H1611" s="4" t="str">
        <f>HYPERLINK("https://www.ncbi.nlm.nih.gov/geo/query/acc.cgi?acc=GSM452564","GSM452564")</f>
        <v>GSM452564</v>
      </c>
      <c r="I1611" t="s">
        <v>69</v>
      </c>
      <c r="J1611" t="s">
        <v>18</v>
      </c>
      <c r="K1611" t="s">
        <v>33</v>
      </c>
      <c r="L1611" t="s">
        <v>70</v>
      </c>
      <c r="N1611" t="s">
        <v>29</v>
      </c>
    </row>
    <row r="1612" spans="1:14">
      <c r="A1612" s="4" t="str">
        <f t="shared" si="137"/>
        <v>EXP00032</v>
      </c>
      <c r="B1612" s="4" t="str">
        <f t="shared" si="135"/>
        <v>20162577</v>
      </c>
      <c r="C1612" s="4" t="str">
        <f t="shared" si="136"/>
        <v>GSE18105</v>
      </c>
      <c r="D1612" s="1" t="s">
        <v>45</v>
      </c>
      <c r="E1612" t="s">
        <v>96</v>
      </c>
      <c r="F1612" s="1">
        <v>2</v>
      </c>
      <c r="G1612" s="1" t="s">
        <v>28</v>
      </c>
      <c r="H1612" s="4" t="str">
        <f>HYPERLINK("https://www.ncbi.nlm.nih.gov/geo/query/acc.cgi?acc=GSM452566","GSM452566")</f>
        <v>GSM452566</v>
      </c>
      <c r="I1612" t="s">
        <v>69</v>
      </c>
      <c r="J1612" t="s">
        <v>18</v>
      </c>
      <c r="K1612" t="s">
        <v>33</v>
      </c>
      <c r="L1612" t="s">
        <v>70</v>
      </c>
      <c r="N1612" t="s">
        <v>29</v>
      </c>
    </row>
    <row r="1613" spans="1:14">
      <c r="A1613" s="4" t="str">
        <f t="shared" si="137"/>
        <v>EXP00032</v>
      </c>
      <c r="B1613" s="4" t="str">
        <f t="shared" si="135"/>
        <v>20162577</v>
      </c>
      <c r="C1613" s="4" t="str">
        <f t="shared" si="136"/>
        <v>GSE18105</v>
      </c>
      <c r="D1613" s="1" t="s">
        <v>45</v>
      </c>
      <c r="E1613" t="s">
        <v>96</v>
      </c>
      <c r="F1613" s="1">
        <v>2</v>
      </c>
      <c r="G1613" s="1" t="s">
        <v>28</v>
      </c>
      <c r="H1613" s="4" t="str">
        <f>HYPERLINK("https://www.ncbi.nlm.nih.gov/geo/query/acc.cgi?acc=GSM452567","GSM452567")</f>
        <v>GSM452567</v>
      </c>
      <c r="I1613" t="s">
        <v>69</v>
      </c>
      <c r="J1613" t="s">
        <v>18</v>
      </c>
      <c r="K1613" t="s">
        <v>33</v>
      </c>
      <c r="L1613" t="s">
        <v>70</v>
      </c>
      <c r="N1613" t="s">
        <v>29</v>
      </c>
    </row>
    <row r="1614" spans="1:14">
      <c r="A1614" s="4" t="str">
        <f t="shared" si="137"/>
        <v>EXP00032</v>
      </c>
      <c r="B1614" s="4" t="str">
        <f t="shared" si="135"/>
        <v>20162577</v>
      </c>
      <c r="C1614" s="4" t="str">
        <f t="shared" si="136"/>
        <v>GSE18105</v>
      </c>
      <c r="D1614" s="1" t="s">
        <v>45</v>
      </c>
      <c r="E1614" t="s">
        <v>96</v>
      </c>
      <c r="F1614" s="1">
        <v>2</v>
      </c>
      <c r="G1614" s="1" t="s">
        <v>28</v>
      </c>
      <c r="H1614" s="4" t="str">
        <f>HYPERLINK("https://www.ncbi.nlm.nih.gov/geo/query/acc.cgi?acc=GSM452568","GSM452568")</f>
        <v>GSM452568</v>
      </c>
      <c r="I1614" t="s">
        <v>69</v>
      </c>
      <c r="J1614" t="s">
        <v>18</v>
      </c>
      <c r="K1614" t="s">
        <v>33</v>
      </c>
      <c r="L1614" t="s">
        <v>70</v>
      </c>
      <c r="N1614" t="s">
        <v>29</v>
      </c>
    </row>
    <row r="1615" spans="1:14">
      <c r="A1615" s="4" t="str">
        <f t="shared" si="137"/>
        <v>EXP00032</v>
      </c>
      <c r="B1615" s="4" t="str">
        <f t="shared" si="135"/>
        <v>20162577</v>
      </c>
      <c r="C1615" s="4" t="str">
        <f t="shared" si="136"/>
        <v>GSE18105</v>
      </c>
      <c r="D1615" s="1" t="s">
        <v>45</v>
      </c>
      <c r="E1615" t="s">
        <v>96</v>
      </c>
      <c r="F1615" s="1">
        <v>2</v>
      </c>
      <c r="G1615" s="1" t="s">
        <v>28</v>
      </c>
      <c r="H1615" s="4" t="str">
        <f>HYPERLINK("https://www.ncbi.nlm.nih.gov/geo/query/acc.cgi?acc=GSM452569","GSM452569")</f>
        <v>GSM452569</v>
      </c>
      <c r="I1615" t="s">
        <v>69</v>
      </c>
      <c r="J1615" t="s">
        <v>18</v>
      </c>
      <c r="K1615" t="s">
        <v>33</v>
      </c>
      <c r="L1615" t="s">
        <v>70</v>
      </c>
      <c r="N1615" t="s">
        <v>29</v>
      </c>
    </row>
    <row r="1616" spans="1:14">
      <c r="A1616" s="4" t="str">
        <f t="shared" si="137"/>
        <v>EXP00032</v>
      </c>
      <c r="B1616" s="4" t="str">
        <f t="shared" si="135"/>
        <v>20162577</v>
      </c>
      <c r="C1616" s="4" t="str">
        <f t="shared" si="136"/>
        <v>GSE18105</v>
      </c>
      <c r="D1616" s="1" t="s">
        <v>45</v>
      </c>
      <c r="E1616" t="s">
        <v>96</v>
      </c>
      <c r="F1616" s="1">
        <v>2</v>
      </c>
      <c r="G1616" s="1" t="s">
        <v>28</v>
      </c>
      <c r="H1616" s="4" t="str">
        <f>HYPERLINK("https://www.ncbi.nlm.nih.gov/geo/query/acc.cgi?acc=GSM452572","GSM452572")</f>
        <v>GSM452572</v>
      </c>
      <c r="I1616" t="s">
        <v>69</v>
      </c>
      <c r="J1616" t="s">
        <v>18</v>
      </c>
      <c r="K1616" t="s">
        <v>33</v>
      </c>
      <c r="L1616" t="s">
        <v>70</v>
      </c>
      <c r="N1616" t="s">
        <v>29</v>
      </c>
    </row>
    <row r="1617" spans="1:14">
      <c r="A1617" s="4" t="str">
        <f t="shared" si="137"/>
        <v>EXP00032</v>
      </c>
      <c r="B1617" s="4" t="str">
        <f t="shared" si="135"/>
        <v>20162577</v>
      </c>
      <c r="C1617" s="4" t="str">
        <f t="shared" si="136"/>
        <v>GSE18105</v>
      </c>
      <c r="D1617" s="1" t="s">
        <v>45</v>
      </c>
      <c r="E1617" t="s">
        <v>96</v>
      </c>
      <c r="F1617" s="1">
        <v>2</v>
      </c>
      <c r="G1617" s="1" t="s">
        <v>28</v>
      </c>
      <c r="H1617" s="4" t="str">
        <f>HYPERLINK("https://www.ncbi.nlm.nih.gov/geo/query/acc.cgi?acc=GSM452573","GSM452573")</f>
        <v>GSM452573</v>
      </c>
      <c r="I1617" t="s">
        <v>69</v>
      </c>
      <c r="J1617" t="s">
        <v>18</v>
      </c>
      <c r="K1617" t="s">
        <v>33</v>
      </c>
      <c r="L1617" t="s">
        <v>70</v>
      </c>
      <c r="N1617" t="s">
        <v>29</v>
      </c>
    </row>
    <row r="1618" spans="1:14">
      <c r="A1618" s="4" t="str">
        <f t="shared" si="137"/>
        <v>EXP00032</v>
      </c>
      <c r="B1618" s="4" t="str">
        <f t="shared" si="135"/>
        <v>20162577</v>
      </c>
      <c r="C1618" s="4" t="str">
        <f t="shared" si="136"/>
        <v>GSE18105</v>
      </c>
      <c r="D1618" s="1" t="s">
        <v>45</v>
      </c>
      <c r="E1618" t="s">
        <v>96</v>
      </c>
      <c r="F1618" s="1">
        <v>2</v>
      </c>
      <c r="G1618" s="1" t="s">
        <v>28</v>
      </c>
      <c r="H1618" s="4" t="str">
        <f>HYPERLINK("https://www.ncbi.nlm.nih.gov/geo/query/acc.cgi?acc=GSM452574","GSM452574")</f>
        <v>GSM452574</v>
      </c>
      <c r="I1618" t="s">
        <v>69</v>
      </c>
      <c r="J1618" t="s">
        <v>18</v>
      </c>
      <c r="K1618" t="s">
        <v>33</v>
      </c>
      <c r="L1618" t="s">
        <v>70</v>
      </c>
      <c r="N1618" t="s">
        <v>29</v>
      </c>
    </row>
    <row r="1619" spans="1:14">
      <c r="A1619" s="4" t="str">
        <f t="shared" si="137"/>
        <v>EXP00032</v>
      </c>
      <c r="B1619" s="4" t="str">
        <f t="shared" si="135"/>
        <v>20162577</v>
      </c>
      <c r="C1619" s="4" t="str">
        <f t="shared" si="136"/>
        <v>GSE18105</v>
      </c>
      <c r="D1619" s="1" t="s">
        <v>45</v>
      </c>
      <c r="E1619" t="s">
        <v>96</v>
      </c>
      <c r="F1619" s="1">
        <v>2</v>
      </c>
      <c r="G1619" s="1" t="s">
        <v>28</v>
      </c>
      <c r="H1619" s="4" t="str">
        <f>HYPERLINK("https://www.ncbi.nlm.nih.gov/geo/query/acc.cgi?acc=GSM452575","GSM452575")</f>
        <v>GSM452575</v>
      </c>
      <c r="I1619" t="s">
        <v>69</v>
      </c>
      <c r="J1619" t="s">
        <v>18</v>
      </c>
      <c r="K1619" t="s">
        <v>33</v>
      </c>
      <c r="L1619" t="s">
        <v>70</v>
      </c>
      <c r="N1619" t="s">
        <v>29</v>
      </c>
    </row>
    <row r="1620" spans="1:14">
      <c r="A1620" s="4" t="str">
        <f t="shared" si="137"/>
        <v>EXP00032</v>
      </c>
      <c r="B1620" s="4" t="str">
        <f t="shared" si="135"/>
        <v>20162577</v>
      </c>
      <c r="C1620" s="4" t="str">
        <f t="shared" si="136"/>
        <v>GSE18105</v>
      </c>
      <c r="D1620" s="1" t="s">
        <v>45</v>
      </c>
      <c r="E1620" t="s">
        <v>96</v>
      </c>
      <c r="F1620" s="1">
        <v>2</v>
      </c>
      <c r="G1620" s="1" t="s">
        <v>28</v>
      </c>
      <c r="H1620" s="4" t="str">
        <f>HYPERLINK("https://www.ncbi.nlm.nih.gov/geo/query/acc.cgi?acc=GSM452576","GSM452576")</f>
        <v>GSM452576</v>
      </c>
      <c r="I1620" t="s">
        <v>69</v>
      </c>
      <c r="J1620" t="s">
        <v>18</v>
      </c>
      <c r="K1620" t="s">
        <v>33</v>
      </c>
      <c r="L1620" t="s">
        <v>70</v>
      </c>
      <c r="N1620" t="s">
        <v>29</v>
      </c>
    </row>
    <row r="1621" spans="1:14">
      <c r="A1621" s="4" t="str">
        <f t="shared" si="137"/>
        <v>EXP00032</v>
      </c>
      <c r="B1621" s="4" t="str">
        <f t="shared" si="135"/>
        <v>20162577</v>
      </c>
      <c r="C1621" s="4" t="str">
        <f t="shared" si="136"/>
        <v>GSE18105</v>
      </c>
      <c r="D1621" s="1" t="s">
        <v>45</v>
      </c>
      <c r="E1621" t="s">
        <v>96</v>
      </c>
      <c r="F1621" s="1">
        <v>2</v>
      </c>
      <c r="G1621" s="1" t="s">
        <v>28</v>
      </c>
      <c r="H1621" s="4" t="str">
        <f>HYPERLINK("https://www.ncbi.nlm.nih.gov/geo/query/acc.cgi?acc=GSM452577","GSM452577")</f>
        <v>GSM452577</v>
      </c>
      <c r="I1621" t="s">
        <v>69</v>
      </c>
      <c r="J1621" t="s">
        <v>18</v>
      </c>
      <c r="K1621" t="s">
        <v>33</v>
      </c>
      <c r="L1621" t="s">
        <v>70</v>
      </c>
      <c r="N1621" t="s">
        <v>29</v>
      </c>
    </row>
    <row r="1622" spans="1:14">
      <c r="A1622" s="4" t="str">
        <f t="shared" si="137"/>
        <v>EXP00032</v>
      </c>
      <c r="B1622" s="4" t="str">
        <f t="shared" si="135"/>
        <v>20162577</v>
      </c>
      <c r="C1622" s="4" t="str">
        <f t="shared" si="136"/>
        <v>GSE18105</v>
      </c>
      <c r="D1622" s="1" t="s">
        <v>45</v>
      </c>
      <c r="E1622" t="s">
        <v>96</v>
      </c>
      <c r="F1622" s="1">
        <v>2</v>
      </c>
      <c r="G1622" s="1" t="s">
        <v>28</v>
      </c>
      <c r="H1622" s="4" t="str">
        <f>HYPERLINK("https://www.ncbi.nlm.nih.gov/geo/query/acc.cgi?acc=GSM452580","GSM452580")</f>
        <v>GSM452580</v>
      </c>
      <c r="I1622" t="s">
        <v>69</v>
      </c>
      <c r="J1622" t="s">
        <v>18</v>
      </c>
      <c r="K1622" t="s">
        <v>33</v>
      </c>
      <c r="L1622" t="s">
        <v>70</v>
      </c>
      <c r="N1622" t="s">
        <v>29</v>
      </c>
    </row>
    <row r="1623" spans="1:14">
      <c r="A1623" s="4" t="str">
        <f t="shared" si="137"/>
        <v>EXP00032</v>
      </c>
      <c r="B1623" s="4" t="str">
        <f t="shared" si="135"/>
        <v>20162577</v>
      </c>
      <c r="C1623" s="4" t="str">
        <f t="shared" si="136"/>
        <v>GSE18105</v>
      </c>
      <c r="D1623" s="1" t="s">
        <v>45</v>
      </c>
      <c r="E1623" t="s">
        <v>96</v>
      </c>
      <c r="F1623" s="1">
        <v>2</v>
      </c>
      <c r="G1623" s="1" t="s">
        <v>28</v>
      </c>
      <c r="H1623" s="4" t="str">
        <f>HYPERLINK("https://www.ncbi.nlm.nih.gov/geo/query/acc.cgi?acc=GSM452581","GSM452581")</f>
        <v>GSM452581</v>
      </c>
      <c r="I1623" t="s">
        <v>69</v>
      </c>
      <c r="J1623" t="s">
        <v>18</v>
      </c>
      <c r="K1623" t="s">
        <v>33</v>
      </c>
      <c r="L1623" t="s">
        <v>70</v>
      </c>
      <c r="N1623" t="s">
        <v>29</v>
      </c>
    </row>
    <row r="1624" spans="1:14">
      <c r="A1624" s="4" t="str">
        <f t="shared" si="137"/>
        <v>EXP00032</v>
      </c>
      <c r="B1624" s="4" t="str">
        <f t="shared" si="135"/>
        <v>20162577</v>
      </c>
      <c r="C1624" s="4" t="str">
        <f t="shared" si="136"/>
        <v>GSE18105</v>
      </c>
      <c r="D1624" s="1" t="s">
        <v>45</v>
      </c>
      <c r="E1624" t="s">
        <v>96</v>
      </c>
      <c r="F1624" s="1">
        <v>2</v>
      </c>
      <c r="G1624" s="1" t="s">
        <v>28</v>
      </c>
      <c r="H1624" s="4" t="str">
        <f>HYPERLINK("https://www.ncbi.nlm.nih.gov/geo/query/acc.cgi?acc=GSM452582","GSM452582")</f>
        <v>GSM452582</v>
      </c>
      <c r="I1624" t="s">
        <v>69</v>
      </c>
      <c r="J1624" t="s">
        <v>18</v>
      </c>
      <c r="K1624" t="s">
        <v>33</v>
      </c>
      <c r="L1624" t="s">
        <v>70</v>
      </c>
      <c r="N1624" t="s">
        <v>29</v>
      </c>
    </row>
    <row r="1625" spans="1:14">
      <c r="A1625" s="4" t="str">
        <f t="shared" si="137"/>
        <v>EXP00032</v>
      </c>
      <c r="B1625" s="4" t="str">
        <f t="shared" si="135"/>
        <v>20162577</v>
      </c>
      <c r="C1625" s="4" t="str">
        <f t="shared" si="136"/>
        <v>GSE18105</v>
      </c>
      <c r="D1625" s="1" t="s">
        <v>45</v>
      </c>
      <c r="E1625" t="s">
        <v>96</v>
      </c>
      <c r="F1625" s="1">
        <v>2</v>
      </c>
      <c r="G1625" s="1" t="s">
        <v>28</v>
      </c>
      <c r="H1625" s="4" t="str">
        <f>HYPERLINK("https://www.ncbi.nlm.nih.gov/geo/query/acc.cgi?acc=GSM452585","GSM452585")</f>
        <v>GSM452585</v>
      </c>
      <c r="I1625" t="s">
        <v>69</v>
      </c>
      <c r="J1625" t="s">
        <v>18</v>
      </c>
      <c r="K1625" t="s">
        <v>33</v>
      </c>
      <c r="L1625" t="s">
        <v>70</v>
      </c>
      <c r="N1625" t="s">
        <v>29</v>
      </c>
    </row>
    <row r="1626" spans="1:14">
      <c r="A1626" s="4" t="str">
        <f t="shared" ref="A1626:A1660" si="138">HYPERLINK("http://hcmdb.i-sanger.com/experiment/details/experiment_id/EXP00032","EXP00032")</f>
        <v>EXP00032</v>
      </c>
      <c r="B1626" s="4" t="str">
        <f t="shared" si="135"/>
        <v>20162577</v>
      </c>
      <c r="C1626" s="4" t="str">
        <f t="shared" si="136"/>
        <v>GSE18105</v>
      </c>
      <c r="D1626" s="1" t="s">
        <v>45</v>
      </c>
      <c r="E1626" t="s">
        <v>96</v>
      </c>
      <c r="F1626" s="1">
        <v>2</v>
      </c>
      <c r="G1626" s="1" t="s">
        <v>28</v>
      </c>
      <c r="H1626" s="4" t="str">
        <f>HYPERLINK("https://www.ncbi.nlm.nih.gov/geo/query/acc.cgi?acc=GSM452587","GSM452587")</f>
        <v>GSM452587</v>
      </c>
      <c r="I1626" t="s">
        <v>69</v>
      </c>
      <c r="J1626" t="s">
        <v>18</v>
      </c>
      <c r="K1626" t="s">
        <v>33</v>
      </c>
      <c r="L1626" t="s">
        <v>70</v>
      </c>
      <c r="N1626" t="s">
        <v>29</v>
      </c>
    </row>
    <row r="1627" spans="1:14">
      <c r="A1627" s="4" t="str">
        <f t="shared" si="138"/>
        <v>EXP00032</v>
      </c>
      <c r="B1627" s="4" t="str">
        <f t="shared" si="135"/>
        <v>20162577</v>
      </c>
      <c r="C1627" s="4" t="str">
        <f t="shared" si="136"/>
        <v>GSE18105</v>
      </c>
      <c r="D1627" s="1" t="s">
        <v>45</v>
      </c>
      <c r="E1627" t="s">
        <v>96</v>
      </c>
      <c r="F1627" s="1">
        <v>2</v>
      </c>
      <c r="G1627" s="1" t="s">
        <v>28</v>
      </c>
      <c r="H1627" s="4" t="str">
        <f>HYPERLINK("https://www.ncbi.nlm.nih.gov/geo/query/acc.cgi?acc=GSM452589","GSM452589")</f>
        <v>GSM452589</v>
      </c>
      <c r="I1627" t="s">
        <v>69</v>
      </c>
      <c r="J1627" t="s">
        <v>18</v>
      </c>
      <c r="K1627" t="s">
        <v>33</v>
      </c>
      <c r="L1627" t="s">
        <v>70</v>
      </c>
      <c r="N1627" t="s">
        <v>29</v>
      </c>
    </row>
    <row r="1628" spans="1:14">
      <c r="A1628" s="4" t="str">
        <f t="shared" si="138"/>
        <v>EXP00032</v>
      </c>
      <c r="B1628" s="4" t="str">
        <f t="shared" si="135"/>
        <v>20162577</v>
      </c>
      <c r="C1628" s="4" t="str">
        <f t="shared" si="136"/>
        <v>GSE18105</v>
      </c>
      <c r="D1628" s="1" t="s">
        <v>45</v>
      </c>
      <c r="E1628" t="s">
        <v>96</v>
      </c>
      <c r="F1628" s="1">
        <v>2</v>
      </c>
      <c r="G1628" s="1" t="s">
        <v>28</v>
      </c>
      <c r="H1628" s="4" t="str">
        <f>HYPERLINK("https://www.ncbi.nlm.nih.gov/geo/query/acc.cgi?acc=GSM452592","GSM452592")</f>
        <v>GSM452592</v>
      </c>
      <c r="I1628" t="s">
        <v>69</v>
      </c>
      <c r="J1628" t="s">
        <v>18</v>
      </c>
      <c r="K1628" t="s">
        <v>33</v>
      </c>
      <c r="L1628" t="s">
        <v>70</v>
      </c>
      <c r="N1628" t="s">
        <v>29</v>
      </c>
    </row>
    <row r="1629" spans="1:14">
      <c r="A1629" s="4" t="str">
        <f t="shared" si="138"/>
        <v>EXP00032</v>
      </c>
      <c r="B1629" s="4" t="str">
        <f t="shared" si="135"/>
        <v>20162577</v>
      </c>
      <c r="C1629" s="4" t="str">
        <f t="shared" si="136"/>
        <v>GSE18105</v>
      </c>
      <c r="D1629" s="1" t="s">
        <v>45</v>
      </c>
      <c r="E1629" t="s">
        <v>96</v>
      </c>
      <c r="F1629" s="1">
        <v>2</v>
      </c>
      <c r="G1629" s="1" t="s">
        <v>28</v>
      </c>
      <c r="H1629" s="4" t="str">
        <f>HYPERLINK("https://www.ncbi.nlm.nih.gov/geo/query/acc.cgi?acc=GSM452593","GSM452593")</f>
        <v>GSM452593</v>
      </c>
      <c r="I1629" t="s">
        <v>69</v>
      </c>
      <c r="J1629" t="s">
        <v>18</v>
      </c>
      <c r="K1629" t="s">
        <v>33</v>
      </c>
      <c r="L1629" t="s">
        <v>70</v>
      </c>
      <c r="N1629" t="s">
        <v>29</v>
      </c>
    </row>
    <row r="1630" spans="1:14">
      <c r="A1630" s="4" t="str">
        <f t="shared" si="138"/>
        <v>EXP00032</v>
      </c>
      <c r="B1630" s="4" t="str">
        <f t="shared" si="135"/>
        <v>20162577</v>
      </c>
      <c r="C1630" s="4" t="str">
        <f t="shared" si="136"/>
        <v>GSE18105</v>
      </c>
      <c r="D1630" s="1" t="s">
        <v>45</v>
      </c>
      <c r="E1630" t="s">
        <v>96</v>
      </c>
      <c r="F1630" s="1">
        <v>2</v>
      </c>
      <c r="G1630" s="1" t="s">
        <v>28</v>
      </c>
      <c r="H1630" s="4" t="str">
        <f>HYPERLINK("https://www.ncbi.nlm.nih.gov/geo/query/acc.cgi?acc=GSM452594","GSM452594")</f>
        <v>GSM452594</v>
      </c>
      <c r="I1630" t="s">
        <v>69</v>
      </c>
      <c r="J1630" t="s">
        <v>18</v>
      </c>
      <c r="K1630" t="s">
        <v>33</v>
      </c>
      <c r="L1630" t="s">
        <v>70</v>
      </c>
      <c r="N1630" t="s">
        <v>29</v>
      </c>
    </row>
    <row r="1631" spans="1:14">
      <c r="A1631" s="4" t="str">
        <f t="shared" si="138"/>
        <v>EXP00032</v>
      </c>
      <c r="B1631" s="4" t="str">
        <f t="shared" si="135"/>
        <v>20162577</v>
      </c>
      <c r="C1631" s="4" t="str">
        <f t="shared" si="136"/>
        <v>GSE18105</v>
      </c>
      <c r="D1631" s="1" t="s">
        <v>45</v>
      </c>
      <c r="E1631" t="s">
        <v>96</v>
      </c>
      <c r="F1631" s="1">
        <v>2</v>
      </c>
      <c r="G1631" s="1" t="s">
        <v>28</v>
      </c>
      <c r="H1631" s="4" t="str">
        <f>HYPERLINK("https://www.ncbi.nlm.nih.gov/geo/query/acc.cgi?acc=GSM452595","GSM452595")</f>
        <v>GSM452595</v>
      </c>
      <c r="I1631" t="s">
        <v>69</v>
      </c>
      <c r="J1631" t="s">
        <v>18</v>
      </c>
      <c r="K1631" t="s">
        <v>33</v>
      </c>
      <c r="L1631" t="s">
        <v>70</v>
      </c>
      <c r="N1631" t="s">
        <v>29</v>
      </c>
    </row>
    <row r="1632" spans="1:14">
      <c r="A1632" s="4" t="str">
        <f t="shared" si="138"/>
        <v>EXP00032</v>
      </c>
      <c r="B1632" s="4" t="str">
        <f t="shared" si="135"/>
        <v>20162577</v>
      </c>
      <c r="C1632" s="4" t="str">
        <f t="shared" si="136"/>
        <v>GSE18105</v>
      </c>
      <c r="D1632" s="1" t="s">
        <v>45</v>
      </c>
      <c r="E1632" t="s">
        <v>96</v>
      </c>
      <c r="F1632" s="1">
        <v>2</v>
      </c>
      <c r="G1632" s="1" t="s">
        <v>28</v>
      </c>
      <c r="H1632" s="4" t="str">
        <f>HYPERLINK("https://www.ncbi.nlm.nih.gov/geo/query/acc.cgi?acc=GSM452596","GSM452596")</f>
        <v>GSM452596</v>
      </c>
      <c r="I1632" t="s">
        <v>69</v>
      </c>
      <c r="J1632" t="s">
        <v>18</v>
      </c>
      <c r="K1632" t="s">
        <v>33</v>
      </c>
      <c r="L1632" t="s">
        <v>70</v>
      </c>
      <c r="N1632" t="s">
        <v>29</v>
      </c>
    </row>
    <row r="1633" spans="1:14">
      <c r="A1633" s="4" t="str">
        <f t="shared" si="138"/>
        <v>EXP00032</v>
      </c>
      <c r="B1633" s="4" t="str">
        <f t="shared" si="135"/>
        <v>20162577</v>
      </c>
      <c r="C1633" s="4" t="str">
        <f t="shared" si="136"/>
        <v>GSE18105</v>
      </c>
      <c r="D1633" s="1" t="s">
        <v>45</v>
      </c>
      <c r="E1633" t="s">
        <v>96</v>
      </c>
      <c r="F1633" s="1">
        <v>2</v>
      </c>
      <c r="G1633" s="1" t="s">
        <v>28</v>
      </c>
      <c r="H1633" s="4" t="str">
        <f>HYPERLINK("https://www.ncbi.nlm.nih.gov/geo/query/acc.cgi?acc=GSM452597","GSM452597")</f>
        <v>GSM452597</v>
      </c>
      <c r="I1633" t="s">
        <v>69</v>
      </c>
      <c r="J1633" t="s">
        <v>18</v>
      </c>
      <c r="K1633" t="s">
        <v>33</v>
      </c>
      <c r="L1633" t="s">
        <v>70</v>
      </c>
      <c r="N1633" t="s">
        <v>29</v>
      </c>
    </row>
    <row r="1634" spans="1:14">
      <c r="A1634" s="4" t="str">
        <f t="shared" si="138"/>
        <v>EXP00032</v>
      </c>
      <c r="B1634" s="4" t="str">
        <f t="shared" si="135"/>
        <v>20162577</v>
      </c>
      <c r="C1634" s="4" t="str">
        <f t="shared" si="136"/>
        <v>GSE18105</v>
      </c>
      <c r="D1634" s="1" t="s">
        <v>45</v>
      </c>
      <c r="E1634" t="s">
        <v>96</v>
      </c>
      <c r="F1634" s="1">
        <v>2</v>
      </c>
      <c r="G1634" s="1" t="s">
        <v>28</v>
      </c>
      <c r="H1634" s="4" t="str">
        <f>HYPERLINK("https://www.ncbi.nlm.nih.gov/geo/query/acc.cgi?acc=GSM452600","GSM452600")</f>
        <v>GSM452600</v>
      </c>
      <c r="I1634" t="s">
        <v>69</v>
      </c>
      <c r="J1634" t="s">
        <v>18</v>
      </c>
      <c r="K1634" t="s">
        <v>33</v>
      </c>
      <c r="L1634" t="s">
        <v>70</v>
      </c>
      <c r="N1634" t="s">
        <v>29</v>
      </c>
    </row>
    <row r="1635" spans="1:14">
      <c r="A1635" s="4" t="str">
        <f t="shared" si="138"/>
        <v>EXP00032</v>
      </c>
      <c r="B1635" s="4" t="str">
        <f t="shared" si="135"/>
        <v>20162577</v>
      </c>
      <c r="C1635" s="4" t="str">
        <f t="shared" si="136"/>
        <v>GSE18105</v>
      </c>
      <c r="D1635" s="1" t="s">
        <v>45</v>
      </c>
      <c r="E1635" t="s">
        <v>96</v>
      </c>
      <c r="F1635" s="1">
        <v>2</v>
      </c>
      <c r="G1635" s="1" t="s">
        <v>28</v>
      </c>
      <c r="H1635" s="4" t="str">
        <f>HYPERLINK("https://www.ncbi.nlm.nih.gov/geo/query/acc.cgi?acc=GSM452602","GSM452602")</f>
        <v>GSM452602</v>
      </c>
      <c r="I1635" t="s">
        <v>69</v>
      </c>
      <c r="J1635" t="s">
        <v>18</v>
      </c>
      <c r="K1635" t="s">
        <v>33</v>
      </c>
      <c r="L1635" t="s">
        <v>70</v>
      </c>
      <c r="N1635" t="s">
        <v>29</v>
      </c>
    </row>
    <row r="1636" spans="1:14">
      <c r="A1636" s="4" t="str">
        <f t="shared" si="138"/>
        <v>EXP00032</v>
      </c>
      <c r="B1636" s="4" t="str">
        <f t="shared" si="135"/>
        <v>20162577</v>
      </c>
      <c r="C1636" s="4" t="str">
        <f t="shared" si="136"/>
        <v>GSE18105</v>
      </c>
      <c r="D1636" s="1" t="s">
        <v>45</v>
      </c>
      <c r="E1636" t="s">
        <v>96</v>
      </c>
      <c r="F1636" s="1">
        <v>2</v>
      </c>
      <c r="G1636" s="1" t="s">
        <v>28</v>
      </c>
      <c r="H1636" s="4" t="str">
        <f>HYPERLINK("https://www.ncbi.nlm.nih.gov/geo/query/acc.cgi?acc=GSM452603","GSM452603")</f>
        <v>GSM452603</v>
      </c>
      <c r="I1636" t="s">
        <v>69</v>
      </c>
      <c r="J1636" t="s">
        <v>18</v>
      </c>
      <c r="K1636" t="s">
        <v>33</v>
      </c>
      <c r="L1636" t="s">
        <v>70</v>
      </c>
      <c r="N1636" t="s">
        <v>29</v>
      </c>
    </row>
    <row r="1637" spans="1:14">
      <c r="A1637" s="4" t="str">
        <f t="shared" si="138"/>
        <v>EXP00032</v>
      </c>
      <c r="B1637" s="4" t="str">
        <f t="shared" si="135"/>
        <v>20162577</v>
      </c>
      <c r="C1637" s="4" t="str">
        <f t="shared" si="136"/>
        <v>GSE18105</v>
      </c>
      <c r="D1637" s="1" t="s">
        <v>45</v>
      </c>
      <c r="E1637" t="s">
        <v>96</v>
      </c>
      <c r="F1637" s="1">
        <v>2</v>
      </c>
      <c r="G1637" s="1" t="s">
        <v>28</v>
      </c>
      <c r="H1637" s="4" t="str">
        <f>HYPERLINK("https://www.ncbi.nlm.nih.gov/geo/query/acc.cgi?acc=GSM452608","GSM452608")</f>
        <v>GSM452608</v>
      </c>
      <c r="I1637" t="s">
        <v>69</v>
      </c>
      <c r="J1637" t="s">
        <v>18</v>
      </c>
      <c r="K1637" t="s">
        <v>33</v>
      </c>
      <c r="L1637" t="s">
        <v>70</v>
      </c>
      <c r="N1637" t="s">
        <v>29</v>
      </c>
    </row>
    <row r="1638" spans="1:14">
      <c r="A1638" s="4" t="str">
        <f t="shared" si="138"/>
        <v>EXP00032</v>
      </c>
      <c r="B1638" s="4" t="str">
        <f t="shared" si="135"/>
        <v>20162577</v>
      </c>
      <c r="C1638" s="4" t="str">
        <f t="shared" si="136"/>
        <v>GSE18105</v>
      </c>
      <c r="D1638" s="1" t="s">
        <v>45</v>
      </c>
      <c r="E1638" t="s">
        <v>96</v>
      </c>
      <c r="F1638" s="1">
        <v>2</v>
      </c>
      <c r="G1638" s="1" t="s">
        <v>28</v>
      </c>
      <c r="H1638" s="4" t="str">
        <f>HYPERLINK("https://www.ncbi.nlm.nih.gov/geo/query/acc.cgi?acc=GSM452609","GSM452609")</f>
        <v>GSM452609</v>
      </c>
      <c r="I1638" t="s">
        <v>69</v>
      </c>
      <c r="J1638" t="s">
        <v>18</v>
      </c>
      <c r="K1638" t="s">
        <v>33</v>
      </c>
      <c r="L1638" t="s">
        <v>70</v>
      </c>
      <c r="N1638" t="s">
        <v>29</v>
      </c>
    </row>
    <row r="1639" spans="1:14">
      <c r="A1639" s="4" t="str">
        <f t="shared" si="138"/>
        <v>EXP00032</v>
      </c>
      <c r="B1639" s="4" t="str">
        <f t="shared" si="135"/>
        <v>20162577</v>
      </c>
      <c r="C1639" s="4" t="str">
        <f t="shared" si="136"/>
        <v>GSE18105</v>
      </c>
      <c r="D1639" s="1" t="s">
        <v>45</v>
      </c>
      <c r="E1639" t="s">
        <v>96</v>
      </c>
      <c r="F1639" s="1">
        <v>2</v>
      </c>
      <c r="G1639" s="1" t="s">
        <v>28</v>
      </c>
      <c r="H1639" s="4" t="str">
        <f>HYPERLINK("https://www.ncbi.nlm.nih.gov/geo/query/acc.cgi?acc=GSM452611","GSM452611")</f>
        <v>GSM452611</v>
      </c>
      <c r="I1639" t="s">
        <v>69</v>
      </c>
      <c r="J1639" t="s">
        <v>18</v>
      </c>
      <c r="K1639" t="s">
        <v>33</v>
      </c>
      <c r="L1639" t="s">
        <v>70</v>
      </c>
      <c r="N1639" t="s">
        <v>29</v>
      </c>
    </row>
    <row r="1640" spans="1:14">
      <c r="A1640" s="4" t="str">
        <f t="shared" si="138"/>
        <v>EXP00032</v>
      </c>
      <c r="B1640" s="4" t="str">
        <f t="shared" si="135"/>
        <v>20162577</v>
      </c>
      <c r="C1640" s="4" t="str">
        <f t="shared" si="136"/>
        <v>GSE18105</v>
      </c>
      <c r="D1640" s="1" t="s">
        <v>45</v>
      </c>
      <c r="E1640" t="s">
        <v>96</v>
      </c>
      <c r="F1640" s="1">
        <v>2</v>
      </c>
      <c r="G1640" s="1" t="s">
        <v>28</v>
      </c>
      <c r="H1640" s="4" t="str">
        <f>HYPERLINK("https://www.ncbi.nlm.nih.gov/geo/query/acc.cgi?acc=GSM452612","GSM452612")</f>
        <v>GSM452612</v>
      </c>
      <c r="I1640" t="s">
        <v>69</v>
      </c>
      <c r="J1640" t="s">
        <v>18</v>
      </c>
      <c r="K1640" t="s">
        <v>33</v>
      </c>
      <c r="L1640" t="s">
        <v>70</v>
      </c>
      <c r="N1640" t="s">
        <v>29</v>
      </c>
    </row>
    <row r="1641" spans="1:14">
      <c r="A1641" s="4" t="str">
        <f t="shared" si="138"/>
        <v>EXP00032</v>
      </c>
      <c r="B1641" s="4" t="str">
        <f t="shared" si="135"/>
        <v>20162577</v>
      </c>
      <c r="C1641" s="4" t="str">
        <f t="shared" si="136"/>
        <v>GSE18105</v>
      </c>
      <c r="D1641" s="1" t="s">
        <v>45</v>
      </c>
      <c r="E1641" t="s">
        <v>96</v>
      </c>
      <c r="F1641" s="1">
        <v>2</v>
      </c>
      <c r="G1641" s="1" t="s">
        <v>28</v>
      </c>
      <c r="H1641" s="4" t="str">
        <f>HYPERLINK("https://www.ncbi.nlm.nih.gov/geo/query/acc.cgi?acc=GSM452613","GSM452613")</f>
        <v>GSM452613</v>
      </c>
      <c r="I1641" t="s">
        <v>69</v>
      </c>
      <c r="J1641" t="s">
        <v>18</v>
      </c>
      <c r="K1641" t="s">
        <v>33</v>
      </c>
      <c r="L1641" t="s">
        <v>70</v>
      </c>
      <c r="N1641" t="s">
        <v>29</v>
      </c>
    </row>
    <row r="1642" spans="1:14">
      <c r="A1642" s="4" t="str">
        <f t="shared" si="138"/>
        <v>EXP00032</v>
      </c>
      <c r="B1642" s="4" t="str">
        <f t="shared" si="135"/>
        <v>20162577</v>
      </c>
      <c r="C1642" s="4" t="str">
        <f t="shared" si="136"/>
        <v>GSE18105</v>
      </c>
      <c r="D1642" s="1" t="s">
        <v>45</v>
      </c>
      <c r="E1642" t="s">
        <v>96</v>
      </c>
      <c r="F1642" s="1">
        <v>2</v>
      </c>
      <c r="G1642" s="1" t="s">
        <v>28</v>
      </c>
      <c r="H1642" s="4" t="str">
        <f>HYPERLINK("https://www.ncbi.nlm.nih.gov/geo/query/acc.cgi?acc=GSM452614","GSM452614")</f>
        <v>GSM452614</v>
      </c>
      <c r="I1642" t="s">
        <v>69</v>
      </c>
      <c r="J1642" t="s">
        <v>18</v>
      </c>
      <c r="K1642" t="s">
        <v>33</v>
      </c>
      <c r="L1642" t="s">
        <v>70</v>
      </c>
      <c r="N1642" t="s">
        <v>29</v>
      </c>
    </row>
    <row r="1643" spans="1:14">
      <c r="A1643" s="4" t="str">
        <f t="shared" si="138"/>
        <v>EXP00032</v>
      </c>
      <c r="B1643" s="4" t="str">
        <f t="shared" si="135"/>
        <v>20162577</v>
      </c>
      <c r="C1643" s="4" t="str">
        <f t="shared" si="136"/>
        <v>GSE18105</v>
      </c>
      <c r="D1643" s="1" t="s">
        <v>45</v>
      </c>
      <c r="E1643" t="s">
        <v>96</v>
      </c>
      <c r="F1643" s="1">
        <v>2</v>
      </c>
      <c r="G1643" s="1" t="s">
        <v>28</v>
      </c>
      <c r="H1643" s="4" t="str">
        <f>HYPERLINK("https://www.ncbi.nlm.nih.gov/geo/query/acc.cgi?acc=GSM452617","GSM452617")</f>
        <v>GSM452617</v>
      </c>
      <c r="I1643" t="s">
        <v>69</v>
      </c>
      <c r="J1643" t="s">
        <v>18</v>
      </c>
      <c r="K1643" t="s">
        <v>33</v>
      </c>
      <c r="L1643" t="s">
        <v>70</v>
      </c>
      <c r="N1643" t="s">
        <v>29</v>
      </c>
    </row>
    <row r="1644" spans="1:14">
      <c r="A1644" s="4" t="str">
        <f t="shared" si="138"/>
        <v>EXP00032</v>
      </c>
      <c r="B1644" s="4" t="str">
        <f t="shared" si="135"/>
        <v>20162577</v>
      </c>
      <c r="C1644" s="4" t="str">
        <f t="shared" si="136"/>
        <v>GSE18105</v>
      </c>
      <c r="D1644" s="1" t="s">
        <v>45</v>
      </c>
      <c r="E1644" t="s">
        <v>96</v>
      </c>
      <c r="F1644" s="1">
        <v>2</v>
      </c>
      <c r="G1644" s="1" t="s">
        <v>28</v>
      </c>
      <c r="H1644" s="4" t="str">
        <f>HYPERLINK("https://www.ncbi.nlm.nih.gov/geo/query/acc.cgi?acc=GSM452618","GSM452618")</f>
        <v>GSM452618</v>
      </c>
      <c r="I1644" t="s">
        <v>69</v>
      </c>
      <c r="J1644" t="s">
        <v>18</v>
      </c>
      <c r="K1644" t="s">
        <v>33</v>
      </c>
      <c r="L1644" t="s">
        <v>70</v>
      </c>
      <c r="N1644" t="s">
        <v>29</v>
      </c>
    </row>
    <row r="1645" spans="1:14">
      <c r="A1645" s="4" t="str">
        <f t="shared" si="138"/>
        <v>EXP00032</v>
      </c>
      <c r="B1645" s="4" t="str">
        <f t="shared" si="135"/>
        <v>20162577</v>
      </c>
      <c r="C1645" s="4" t="str">
        <f t="shared" si="136"/>
        <v>GSE18105</v>
      </c>
      <c r="D1645" s="1" t="s">
        <v>45</v>
      </c>
      <c r="E1645" t="s">
        <v>96</v>
      </c>
      <c r="F1645" s="1">
        <v>2</v>
      </c>
      <c r="G1645" s="1" t="s">
        <v>28</v>
      </c>
      <c r="H1645" s="4" t="str">
        <f>HYPERLINK("https://www.ncbi.nlm.nih.gov/geo/query/acc.cgi?acc=GSM452620","GSM452620")</f>
        <v>GSM452620</v>
      </c>
      <c r="I1645" t="s">
        <v>69</v>
      </c>
      <c r="J1645" t="s">
        <v>18</v>
      </c>
      <c r="K1645" t="s">
        <v>33</v>
      </c>
      <c r="L1645" t="s">
        <v>70</v>
      </c>
      <c r="N1645" t="s">
        <v>29</v>
      </c>
    </row>
    <row r="1646" spans="1:14">
      <c r="A1646" s="4" t="str">
        <f t="shared" si="138"/>
        <v>EXP00032</v>
      </c>
      <c r="B1646" s="4" t="str">
        <f t="shared" si="135"/>
        <v>20162577</v>
      </c>
      <c r="C1646" s="4" t="str">
        <f t="shared" si="136"/>
        <v>GSE18105</v>
      </c>
      <c r="D1646" s="1" t="s">
        <v>45</v>
      </c>
      <c r="E1646" t="s">
        <v>96</v>
      </c>
      <c r="F1646" s="1">
        <v>2</v>
      </c>
      <c r="G1646" s="1" t="s">
        <v>28</v>
      </c>
      <c r="H1646" s="4" t="str">
        <f>HYPERLINK("https://www.ncbi.nlm.nih.gov/geo/query/acc.cgi?acc=GSM452622","GSM452622")</f>
        <v>GSM452622</v>
      </c>
      <c r="I1646" t="s">
        <v>69</v>
      </c>
      <c r="J1646" t="s">
        <v>18</v>
      </c>
      <c r="K1646" t="s">
        <v>33</v>
      </c>
      <c r="L1646" t="s">
        <v>70</v>
      </c>
      <c r="N1646" t="s">
        <v>29</v>
      </c>
    </row>
    <row r="1647" spans="1:14">
      <c r="A1647" s="4" t="str">
        <f t="shared" si="138"/>
        <v>EXP00032</v>
      </c>
      <c r="B1647" s="4" t="str">
        <f t="shared" si="135"/>
        <v>20162577</v>
      </c>
      <c r="C1647" s="4" t="str">
        <f t="shared" si="136"/>
        <v>GSE18105</v>
      </c>
      <c r="D1647" s="1" t="s">
        <v>45</v>
      </c>
      <c r="E1647" t="s">
        <v>96</v>
      </c>
      <c r="F1647" s="1">
        <v>2</v>
      </c>
      <c r="G1647" s="1" t="s">
        <v>28</v>
      </c>
      <c r="H1647" s="4" t="str">
        <f>HYPERLINK("https://www.ncbi.nlm.nih.gov/geo/query/acc.cgi?acc=GSM452623","GSM452623")</f>
        <v>GSM452623</v>
      </c>
      <c r="I1647" t="s">
        <v>69</v>
      </c>
      <c r="J1647" t="s">
        <v>18</v>
      </c>
      <c r="K1647" t="s">
        <v>33</v>
      </c>
      <c r="L1647" t="s">
        <v>70</v>
      </c>
      <c r="N1647" t="s">
        <v>29</v>
      </c>
    </row>
    <row r="1648" spans="1:14">
      <c r="A1648" s="4" t="str">
        <f t="shared" si="138"/>
        <v>EXP00032</v>
      </c>
      <c r="B1648" s="4" t="str">
        <f t="shared" ref="B1648:B1660" si="139">HYPERLINK("https://www.ncbi.nlm.nih.gov/pubmed/20162577","20162577")</f>
        <v>20162577</v>
      </c>
      <c r="C1648" s="4" t="str">
        <f t="shared" ref="C1648:C1660" si="140">HYPERLINK("https://www.ncbi.nlm.nih.gov/geo/query/acc.cgi?acc=GSE18105","GSE18105")</f>
        <v>GSE18105</v>
      </c>
      <c r="D1648" s="1" t="s">
        <v>45</v>
      </c>
      <c r="E1648" t="s">
        <v>96</v>
      </c>
      <c r="F1648" s="1">
        <v>2</v>
      </c>
      <c r="G1648" s="1" t="s">
        <v>28</v>
      </c>
      <c r="H1648" s="4" t="str">
        <f>HYPERLINK("https://www.ncbi.nlm.nih.gov/geo/query/acc.cgi?acc=GSM452625","GSM452625")</f>
        <v>GSM452625</v>
      </c>
      <c r="I1648" t="s">
        <v>69</v>
      </c>
      <c r="J1648" t="s">
        <v>18</v>
      </c>
      <c r="K1648" t="s">
        <v>33</v>
      </c>
      <c r="L1648" t="s">
        <v>70</v>
      </c>
      <c r="N1648" t="s">
        <v>29</v>
      </c>
    </row>
    <row r="1649" spans="1:14">
      <c r="A1649" s="4" t="str">
        <f t="shared" si="138"/>
        <v>EXP00032</v>
      </c>
      <c r="B1649" s="4" t="str">
        <f t="shared" si="139"/>
        <v>20162577</v>
      </c>
      <c r="C1649" s="4" t="str">
        <f t="shared" si="140"/>
        <v>GSE18105</v>
      </c>
      <c r="D1649" s="1" t="s">
        <v>45</v>
      </c>
      <c r="E1649" t="s">
        <v>96</v>
      </c>
      <c r="F1649" s="1">
        <v>2</v>
      </c>
      <c r="G1649" s="1" t="s">
        <v>28</v>
      </c>
      <c r="H1649" s="4" t="str">
        <f>HYPERLINK("https://www.ncbi.nlm.nih.gov/geo/query/acc.cgi?acc=GSM452626","GSM452626")</f>
        <v>GSM452626</v>
      </c>
      <c r="I1649" t="s">
        <v>69</v>
      </c>
      <c r="J1649" t="s">
        <v>18</v>
      </c>
      <c r="K1649" t="s">
        <v>33</v>
      </c>
      <c r="L1649" t="s">
        <v>70</v>
      </c>
      <c r="N1649" t="s">
        <v>29</v>
      </c>
    </row>
    <row r="1650" spans="1:14">
      <c r="A1650" s="4" t="str">
        <f t="shared" si="138"/>
        <v>EXP00032</v>
      </c>
      <c r="B1650" s="4" t="str">
        <f t="shared" si="139"/>
        <v>20162577</v>
      </c>
      <c r="C1650" s="4" t="str">
        <f t="shared" si="140"/>
        <v>GSE18105</v>
      </c>
      <c r="D1650" s="1" t="s">
        <v>45</v>
      </c>
      <c r="E1650" t="s">
        <v>96</v>
      </c>
      <c r="F1650" s="1">
        <v>2</v>
      </c>
      <c r="G1650" s="1" t="s">
        <v>28</v>
      </c>
      <c r="H1650" s="4" t="str">
        <f>HYPERLINK("https://www.ncbi.nlm.nih.gov/geo/query/acc.cgi?acc=GSM452627","GSM452627")</f>
        <v>GSM452627</v>
      </c>
      <c r="I1650" t="s">
        <v>69</v>
      </c>
      <c r="J1650" t="s">
        <v>18</v>
      </c>
      <c r="K1650" t="s">
        <v>33</v>
      </c>
      <c r="L1650" t="s">
        <v>70</v>
      </c>
      <c r="N1650" t="s">
        <v>29</v>
      </c>
    </row>
    <row r="1651" spans="1:14">
      <c r="A1651" s="4" t="str">
        <f t="shared" si="138"/>
        <v>EXP00032</v>
      </c>
      <c r="B1651" s="4" t="str">
        <f t="shared" si="139"/>
        <v>20162577</v>
      </c>
      <c r="C1651" s="4" t="str">
        <f t="shared" si="140"/>
        <v>GSE18105</v>
      </c>
      <c r="D1651" s="1" t="s">
        <v>45</v>
      </c>
      <c r="E1651" t="s">
        <v>96</v>
      </c>
      <c r="F1651" s="1">
        <v>2</v>
      </c>
      <c r="G1651" s="1" t="s">
        <v>28</v>
      </c>
      <c r="H1651" s="4" t="str">
        <f>HYPERLINK("https://www.ncbi.nlm.nih.gov/geo/query/acc.cgi?acc=GSM452649","GSM452649")</f>
        <v>GSM452649</v>
      </c>
      <c r="I1651" t="s">
        <v>69</v>
      </c>
      <c r="J1651" t="s">
        <v>18</v>
      </c>
      <c r="K1651" t="s">
        <v>33</v>
      </c>
      <c r="L1651" t="s">
        <v>70</v>
      </c>
      <c r="N1651" t="s">
        <v>29</v>
      </c>
    </row>
    <row r="1652" spans="1:14">
      <c r="A1652" s="4" t="str">
        <f t="shared" si="138"/>
        <v>EXP00032</v>
      </c>
      <c r="B1652" s="4" t="str">
        <f t="shared" si="139"/>
        <v>20162577</v>
      </c>
      <c r="C1652" s="4" t="str">
        <f t="shared" si="140"/>
        <v>GSE18105</v>
      </c>
      <c r="D1652" s="1" t="s">
        <v>45</v>
      </c>
      <c r="E1652" t="s">
        <v>96</v>
      </c>
      <c r="F1652" s="1">
        <v>2</v>
      </c>
      <c r="G1652" s="1" t="s">
        <v>28</v>
      </c>
      <c r="H1652" s="4" t="str">
        <f>HYPERLINK("https://www.ncbi.nlm.nih.gov/geo/query/acc.cgi?acc=GSM452651","GSM452651")</f>
        <v>GSM452651</v>
      </c>
      <c r="I1652" t="s">
        <v>69</v>
      </c>
      <c r="J1652" t="s">
        <v>18</v>
      </c>
      <c r="K1652" t="s">
        <v>33</v>
      </c>
      <c r="L1652" t="s">
        <v>70</v>
      </c>
      <c r="N1652" t="s">
        <v>29</v>
      </c>
    </row>
    <row r="1653" spans="1:14">
      <c r="A1653" s="4" t="str">
        <f t="shared" si="138"/>
        <v>EXP00032</v>
      </c>
      <c r="B1653" s="4" t="str">
        <f t="shared" si="139"/>
        <v>20162577</v>
      </c>
      <c r="C1653" s="4" t="str">
        <f t="shared" si="140"/>
        <v>GSE18105</v>
      </c>
      <c r="D1653" s="1" t="s">
        <v>45</v>
      </c>
      <c r="E1653" t="s">
        <v>96</v>
      </c>
      <c r="F1653" s="1">
        <v>2</v>
      </c>
      <c r="G1653" s="1" t="s">
        <v>28</v>
      </c>
      <c r="H1653" s="4" t="str">
        <f>HYPERLINK("https://www.ncbi.nlm.nih.gov/geo/query/acc.cgi?acc=GSM452652","GSM452652")</f>
        <v>GSM452652</v>
      </c>
      <c r="I1653" t="s">
        <v>69</v>
      </c>
      <c r="J1653" t="s">
        <v>18</v>
      </c>
      <c r="K1653" t="s">
        <v>33</v>
      </c>
      <c r="L1653" t="s">
        <v>70</v>
      </c>
      <c r="N1653" t="s">
        <v>29</v>
      </c>
    </row>
    <row r="1654" spans="1:14">
      <c r="A1654" s="4" t="str">
        <f t="shared" si="138"/>
        <v>EXP00032</v>
      </c>
      <c r="B1654" s="4" t="str">
        <f t="shared" si="139"/>
        <v>20162577</v>
      </c>
      <c r="C1654" s="4" t="str">
        <f t="shared" si="140"/>
        <v>GSE18105</v>
      </c>
      <c r="D1654" s="1" t="s">
        <v>45</v>
      </c>
      <c r="E1654" t="s">
        <v>96</v>
      </c>
      <c r="F1654" s="1">
        <v>2</v>
      </c>
      <c r="G1654" s="1" t="s">
        <v>28</v>
      </c>
      <c r="H1654" s="4" t="str">
        <f>HYPERLINK("https://www.ncbi.nlm.nih.gov/geo/query/acc.cgi?acc=GSM452653","GSM452653")</f>
        <v>GSM452653</v>
      </c>
      <c r="I1654" t="s">
        <v>69</v>
      </c>
      <c r="J1654" t="s">
        <v>18</v>
      </c>
      <c r="K1654" t="s">
        <v>33</v>
      </c>
      <c r="L1654" t="s">
        <v>70</v>
      </c>
      <c r="N1654" t="s">
        <v>29</v>
      </c>
    </row>
    <row r="1655" spans="1:14">
      <c r="A1655" s="4" t="str">
        <f t="shared" si="138"/>
        <v>EXP00032</v>
      </c>
      <c r="B1655" s="4" t="str">
        <f t="shared" si="139"/>
        <v>20162577</v>
      </c>
      <c r="C1655" s="4" t="str">
        <f t="shared" si="140"/>
        <v>GSE18105</v>
      </c>
      <c r="D1655" s="1" t="s">
        <v>45</v>
      </c>
      <c r="E1655" t="s">
        <v>96</v>
      </c>
      <c r="F1655" s="1">
        <v>2</v>
      </c>
      <c r="G1655" s="1" t="s">
        <v>28</v>
      </c>
      <c r="H1655" s="4" t="str">
        <f>HYPERLINK("https://www.ncbi.nlm.nih.gov/geo/query/acc.cgi?acc=GSM452654","GSM452654")</f>
        <v>GSM452654</v>
      </c>
      <c r="I1655" t="s">
        <v>69</v>
      </c>
      <c r="J1655" t="s">
        <v>18</v>
      </c>
      <c r="K1655" t="s">
        <v>33</v>
      </c>
      <c r="L1655" t="s">
        <v>70</v>
      </c>
      <c r="N1655" t="s">
        <v>29</v>
      </c>
    </row>
    <row r="1656" spans="1:14">
      <c r="A1656" s="4" t="str">
        <f t="shared" si="138"/>
        <v>EXP00032</v>
      </c>
      <c r="B1656" s="4" t="str">
        <f t="shared" si="139"/>
        <v>20162577</v>
      </c>
      <c r="C1656" s="4" t="str">
        <f t="shared" si="140"/>
        <v>GSE18105</v>
      </c>
      <c r="D1656" s="1" t="s">
        <v>45</v>
      </c>
      <c r="E1656" t="s">
        <v>96</v>
      </c>
      <c r="F1656" s="1">
        <v>2</v>
      </c>
      <c r="G1656" s="1" t="s">
        <v>28</v>
      </c>
      <c r="H1656" s="4" t="str">
        <f>HYPERLINK("https://www.ncbi.nlm.nih.gov/geo/query/acc.cgi?acc=GSM452656","GSM452656")</f>
        <v>GSM452656</v>
      </c>
      <c r="I1656" t="s">
        <v>69</v>
      </c>
      <c r="J1656" t="s">
        <v>18</v>
      </c>
      <c r="K1656" t="s">
        <v>33</v>
      </c>
      <c r="L1656" t="s">
        <v>70</v>
      </c>
      <c r="N1656" t="s">
        <v>29</v>
      </c>
    </row>
    <row r="1657" spans="1:14">
      <c r="A1657" s="4" t="str">
        <f t="shared" si="138"/>
        <v>EXP00032</v>
      </c>
      <c r="B1657" s="4" t="str">
        <f t="shared" si="139"/>
        <v>20162577</v>
      </c>
      <c r="C1657" s="4" t="str">
        <f t="shared" si="140"/>
        <v>GSE18105</v>
      </c>
      <c r="D1657" s="1" t="s">
        <v>45</v>
      </c>
      <c r="E1657" t="s">
        <v>96</v>
      </c>
      <c r="F1657" s="1">
        <v>2</v>
      </c>
      <c r="G1657" s="1" t="s">
        <v>28</v>
      </c>
      <c r="H1657" s="4" t="str">
        <f>HYPERLINK("https://www.ncbi.nlm.nih.gov/geo/query/acc.cgi?acc=GSM452657","GSM452657")</f>
        <v>GSM452657</v>
      </c>
      <c r="I1657" t="s">
        <v>69</v>
      </c>
      <c r="J1657" t="s">
        <v>18</v>
      </c>
      <c r="K1657" t="s">
        <v>33</v>
      </c>
      <c r="L1657" t="s">
        <v>70</v>
      </c>
      <c r="N1657" t="s">
        <v>29</v>
      </c>
    </row>
    <row r="1658" spans="1:14">
      <c r="A1658" s="4" t="str">
        <f t="shared" si="138"/>
        <v>EXP00032</v>
      </c>
      <c r="B1658" s="4" t="str">
        <f t="shared" si="139"/>
        <v>20162577</v>
      </c>
      <c r="C1658" s="4" t="str">
        <f t="shared" si="140"/>
        <v>GSE18105</v>
      </c>
      <c r="D1658" s="1" t="s">
        <v>45</v>
      </c>
      <c r="E1658" t="s">
        <v>96</v>
      </c>
      <c r="F1658" s="1">
        <v>2</v>
      </c>
      <c r="G1658" s="1" t="s">
        <v>28</v>
      </c>
      <c r="H1658" s="4" t="str">
        <f>HYPERLINK("https://www.ncbi.nlm.nih.gov/geo/query/acc.cgi?acc=GSM452659","GSM452659")</f>
        <v>GSM452659</v>
      </c>
      <c r="I1658" t="s">
        <v>69</v>
      </c>
      <c r="J1658" t="s">
        <v>18</v>
      </c>
      <c r="K1658" t="s">
        <v>33</v>
      </c>
      <c r="L1658" t="s">
        <v>70</v>
      </c>
      <c r="N1658" t="s">
        <v>29</v>
      </c>
    </row>
    <row r="1659" spans="1:14">
      <c r="A1659" s="4" t="str">
        <f t="shared" si="138"/>
        <v>EXP00032</v>
      </c>
      <c r="B1659" s="4" t="str">
        <f t="shared" si="139"/>
        <v>20162577</v>
      </c>
      <c r="C1659" s="4" t="str">
        <f t="shared" si="140"/>
        <v>GSE18105</v>
      </c>
      <c r="D1659" s="1" t="s">
        <v>45</v>
      </c>
      <c r="E1659" t="s">
        <v>96</v>
      </c>
      <c r="F1659" s="1">
        <v>2</v>
      </c>
      <c r="G1659" s="1" t="s">
        <v>28</v>
      </c>
      <c r="H1659" s="4" t="str">
        <f>HYPERLINK("https://www.ncbi.nlm.nih.gov/geo/query/acc.cgi?acc=GSM452660","GSM452660")</f>
        <v>GSM452660</v>
      </c>
      <c r="I1659" t="s">
        <v>69</v>
      </c>
      <c r="J1659" t="s">
        <v>18</v>
      </c>
      <c r="K1659" t="s">
        <v>33</v>
      </c>
      <c r="L1659" t="s">
        <v>70</v>
      </c>
      <c r="N1659" t="s">
        <v>29</v>
      </c>
    </row>
    <row r="1660" spans="1:14">
      <c r="A1660" s="4" t="str">
        <f t="shared" si="138"/>
        <v>EXP00032</v>
      </c>
      <c r="B1660" s="4" t="str">
        <f t="shared" si="139"/>
        <v>20162577</v>
      </c>
      <c r="C1660" s="4" t="str">
        <f t="shared" si="140"/>
        <v>GSE18105</v>
      </c>
      <c r="D1660" s="1" t="s">
        <v>45</v>
      </c>
      <c r="E1660" t="s">
        <v>96</v>
      </c>
      <c r="F1660" s="1">
        <v>2</v>
      </c>
      <c r="G1660" s="1" t="s">
        <v>28</v>
      </c>
      <c r="H1660" s="4" t="str">
        <f>HYPERLINK("https://www.ncbi.nlm.nih.gov/geo/query/acc.cgi?acc=GSM452662","GSM452662")</f>
        <v>GSM452662</v>
      </c>
      <c r="I1660" t="s">
        <v>69</v>
      </c>
      <c r="J1660" t="s">
        <v>18</v>
      </c>
      <c r="K1660" t="s">
        <v>33</v>
      </c>
      <c r="L1660" t="s">
        <v>70</v>
      </c>
      <c r="N1660" t="s">
        <v>29</v>
      </c>
    </row>
    <row r="1661" spans="1:14">
      <c r="A1661" s="4" t="str">
        <f t="shared" ref="A1661:A1664" si="141">HYPERLINK("http://hcmdb.i-sanger.com/experiment/details/experiment_id/EXP00033","EXP00033")</f>
        <v>EXP00033</v>
      </c>
      <c r="B1661" s="3" t="s">
        <v>66</v>
      </c>
      <c r="C1661" s="4" t="str">
        <f t="shared" ref="C1661:C1672" si="142">HYPERLINK("https://www.ncbi.nlm.nih.gov/geo/query/acc.cgi?acc=GSE18462","GSE18462")</f>
        <v>GSE18462</v>
      </c>
      <c r="D1661" s="1" t="s">
        <v>45</v>
      </c>
      <c r="E1661" t="s">
        <v>72</v>
      </c>
      <c r="F1661" s="1">
        <v>1</v>
      </c>
      <c r="G1661" s="1" t="s">
        <v>26</v>
      </c>
      <c r="H1661" s="4" t="str">
        <f>HYPERLINK("https://www.ncbi.nlm.nih.gov/geo/query/acc.cgi?acc=GSM459861","GSM459861")</f>
        <v>GSM459861</v>
      </c>
      <c r="I1661" t="s">
        <v>69</v>
      </c>
      <c r="J1661" t="s">
        <v>18</v>
      </c>
      <c r="K1661" t="s">
        <v>19</v>
      </c>
      <c r="L1661" t="s">
        <v>70</v>
      </c>
      <c r="M1661" t="s">
        <v>44</v>
      </c>
      <c r="N1661" t="s">
        <v>22</v>
      </c>
    </row>
    <row r="1662" spans="1:14">
      <c r="A1662" s="4" t="str">
        <f t="shared" si="141"/>
        <v>EXP00033</v>
      </c>
      <c r="B1662" s="3" t="s">
        <v>66</v>
      </c>
      <c r="C1662" s="4" t="str">
        <f t="shared" si="142"/>
        <v>GSE18462</v>
      </c>
      <c r="D1662" s="1" t="s">
        <v>45</v>
      </c>
      <c r="E1662" t="s">
        <v>72</v>
      </c>
      <c r="F1662" s="1">
        <v>1</v>
      </c>
      <c r="G1662" s="1" t="s">
        <v>26</v>
      </c>
      <c r="H1662" s="4" t="str">
        <f>HYPERLINK("https://www.ncbi.nlm.nih.gov/geo/query/acc.cgi?acc=GSM459865","GSM459865")</f>
        <v>GSM459865</v>
      </c>
      <c r="I1662" t="s">
        <v>69</v>
      </c>
      <c r="J1662" t="s">
        <v>18</v>
      </c>
      <c r="K1662" t="s">
        <v>19</v>
      </c>
      <c r="L1662" t="s">
        <v>70</v>
      </c>
      <c r="M1662" t="s">
        <v>44</v>
      </c>
      <c r="N1662" t="s">
        <v>22</v>
      </c>
    </row>
    <row r="1663" spans="1:14">
      <c r="A1663" s="4" t="str">
        <f t="shared" si="141"/>
        <v>EXP00033</v>
      </c>
      <c r="B1663" s="3" t="s">
        <v>66</v>
      </c>
      <c r="C1663" s="4" t="str">
        <f t="shared" si="142"/>
        <v>GSE18462</v>
      </c>
      <c r="D1663" s="1" t="s">
        <v>45</v>
      </c>
      <c r="E1663" t="s">
        <v>72</v>
      </c>
      <c r="F1663" s="1">
        <v>2</v>
      </c>
      <c r="G1663" s="1" t="s">
        <v>28</v>
      </c>
      <c r="H1663" s="4" t="str">
        <f>HYPERLINK("https://www.ncbi.nlm.nih.gov/geo/query/acc.cgi?acc=GSM459859","GSM459859")</f>
        <v>GSM459859</v>
      </c>
      <c r="I1663" t="s">
        <v>69</v>
      </c>
      <c r="J1663" t="s">
        <v>18</v>
      </c>
      <c r="K1663" t="s">
        <v>19</v>
      </c>
      <c r="L1663" t="s">
        <v>70</v>
      </c>
      <c r="M1663" t="s">
        <v>44</v>
      </c>
      <c r="N1663" t="s">
        <v>29</v>
      </c>
    </row>
    <row r="1664" spans="1:14">
      <c r="A1664" s="4" t="str">
        <f t="shared" si="141"/>
        <v>EXP00033</v>
      </c>
      <c r="B1664" s="3" t="s">
        <v>66</v>
      </c>
      <c r="C1664" s="4" t="str">
        <f t="shared" si="142"/>
        <v>GSE18462</v>
      </c>
      <c r="D1664" s="1" t="s">
        <v>45</v>
      </c>
      <c r="E1664" t="s">
        <v>72</v>
      </c>
      <c r="F1664" s="1">
        <v>2</v>
      </c>
      <c r="G1664" s="1" t="s">
        <v>28</v>
      </c>
      <c r="H1664" s="4" t="str">
        <f>HYPERLINK("https://www.ncbi.nlm.nih.gov/geo/query/acc.cgi?acc=GSM459863","GSM459863")</f>
        <v>GSM459863</v>
      </c>
      <c r="I1664" t="s">
        <v>69</v>
      </c>
      <c r="J1664" t="s">
        <v>18</v>
      </c>
      <c r="K1664" t="s">
        <v>19</v>
      </c>
      <c r="L1664" t="s">
        <v>70</v>
      </c>
      <c r="M1664" t="s">
        <v>44</v>
      </c>
      <c r="N1664" t="s">
        <v>29</v>
      </c>
    </row>
    <row r="1665" spans="1:14">
      <c r="A1665" s="4" t="str">
        <f t="shared" ref="A1665:A1668" si="143">HYPERLINK("http://hcmdb.i-sanger.com/experiment/details/experiment_id/EXP00034","EXP00034")</f>
        <v>EXP00034</v>
      </c>
      <c r="B1665" s="3" t="s">
        <v>66</v>
      </c>
      <c r="C1665" s="4" t="str">
        <f t="shared" si="142"/>
        <v>GSE18462</v>
      </c>
      <c r="D1665" s="1" t="s">
        <v>45</v>
      </c>
      <c r="E1665" t="s">
        <v>73</v>
      </c>
      <c r="F1665" s="1">
        <v>1</v>
      </c>
      <c r="G1665" s="1" t="s">
        <v>36</v>
      </c>
      <c r="H1665" s="4" t="str">
        <f>HYPERLINK("https://www.ncbi.nlm.nih.gov/geo/query/acc.cgi?acc=GSM459858","GSM459858")</f>
        <v>GSM459858</v>
      </c>
      <c r="I1665" t="s">
        <v>69</v>
      </c>
      <c r="J1665" t="s">
        <v>18</v>
      </c>
      <c r="K1665" t="s">
        <v>19</v>
      </c>
      <c r="L1665" t="s">
        <v>70</v>
      </c>
      <c r="M1665" t="s">
        <v>44</v>
      </c>
      <c r="N1665" t="s">
        <v>37</v>
      </c>
    </row>
    <row r="1666" spans="1:14">
      <c r="A1666" s="4" t="str">
        <f t="shared" si="143"/>
        <v>EXP00034</v>
      </c>
      <c r="B1666" s="3" t="s">
        <v>66</v>
      </c>
      <c r="C1666" s="4" t="str">
        <f t="shared" si="142"/>
        <v>GSE18462</v>
      </c>
      <c r="D1666" s="1" t="s">
        <v>45</v>
      </c>
      <c r="E1666" t="s">
        <v>73</v>
      </c>
      <c r="F1666" s="1">
        <v>1</v>
      </c>
      <c r="G1666" s="1" t="s">
        <v>36</v>
      </c>
      <c r="H1666" s="4" t="str">
        <f>HYPERLINK("https://www.ncbi.nlm.nih.gov/geo/query/acc.cgi?acc=GSM459862","GSM459862")</f>
        <v>GSM459862</v>
      </c>
      <c r="I1666" t="s">
        <v>69</v>
      </c>
      <c r="J1666" t="s">
        <v>18</v>
      </c>
      <c r="K1666" t="s">
        <v>19</v>
      </c>
      <c r="L1666" t="s">
        <v>70</v>
      </c>
      <c r="M1666" t="s">
        <v>44</v>
      </c>
      <c r="N1666" t="s">
        <v>37</v>
      </c>
    </row>
    <row r="1667" spans="1:14">
      <c r="A1667" s="4" t="str">
        <f t="shared" si="143"/>
        <v>EXP00034</v>
      </c>
      <c r="B1667" s="3" t="s">
        <v>66</v>
      </c>
      <c r="C1667" s="4" t="str">
        <f t="shared" si="142"/>
        <v>GSE18462</v>
      </c>
      <c r="D1667" s="1" t="s">
        <v>45</v>
      </c>
      <c r="E1667" t="s">
        <v>73</v>
      </c>
      <c r="F1667" s="1">
        <v>2</v>
      </c>
      <c r="G1667" s="1" t="s">
        <v>28</v>
      </c>
      <c r="H1667" s="4" t="str">
        <f>HYPERLINK("https://www.ncbi.nlm.nih.gov/geo/query/acc.cgi?acc=GSM459859","GSM459859")</f>
        <v>GSM459859</v>
      </c>
      <c r="I1667" t="s">
        <v>69</v>
      </c>
      <c r="J1667" t="s">
        <v>18</v>
      </c>
      <c r="K1667" t="s">
        <v>19</v>
      </c>
      <c r="L1667" t="s">
        <v>70</v>
      </c>
      <c r="M1667" t="s">
        <v>44</v>
      </c>
      <c r="N1667" t="s">
        <v>29</v>
      </c>
    </row>
    <row r="1668" spans="1:14">
      <c r="A1668" s="4" t="str">
        <f t="shared" si="143"/>
        <v>EXP00034</v>
      </c>
      <c r="B1668" s="3" t="s">
        <v>66</v>
      </c>
      <c r="C1668" s="4" t="str">
        <f t="shared" si="142"/>
        <v>GSE18462</v>
      </c>
      <c r="D1668" s="1" t="s">
        <v>45</v>
      </c>
      <c r="E1668" t="s">
        <v>73</v>
      </c>
      <c r="F1668" s="1">
        <v>2</v>
      </c>
      <c r="G1668" s="1" t="s">
        <v>28</v>
      </c>
      <c r="H1668" s="4" t="str">
        <f>HYPERLINK("https://www.ncbi.nlm.nih.gov/geo/query/acc.cgi?acc=GSM459863","GSM459863")</f>
        <v>GSM459863</v>
      </c>
      <c r="I1668" t="s">
        <v>69</v>
      </c>
      <c r="J1668" t="s">
        <v>18</v>
      </c>
      <c r="K1668" t="s">
        <v>19</v>
      </c>
      <c r="L1668" t="s">
        <v>70</v>
      </c>
      <c r="M1668" t="s">
        <v>44</v>
      </c>
      <c r="N1668" t="s">
        <v>29</v>
      </c>
    </row>
    <row r="1669" spans="1:14">
      <c r="A1669" s="4" t="str">
        <f t="shared" ref="A1669:A1672" si="144">HYPERLINK("http://hcmdb.i-sanger.com/experiment/details/experiment_id/EXP00035","EXP00035")</f>
        <v>EXP00035</v>
      </c>
      <c r="B1669" s="3" t="s">
        <v>66</v>
      </c>
      <c r="C1669" s="4" t="str">
        <f t="shared" si="142"/>
        <v>GSE18462</v>
      </c>
      <c r="D1669" s="1" t="s">
        <v>45</v>
      </c>
      <c r="E1669" t="s">
        <v>74</v>
      </c>
      <c r="F1669" s="1">
        <v>1</v>
      </c>
      <c r="G1669" s="1" t="s">
        <v>75</v>
      </c>
      <c r="H1669" s="4" t="str">
        <f>HYPERLINK("https://www.ncbi.nlm.nih.gov/geo/query/acc.cgi?acc=GSM459860","GSM459860")</f>
        <v>GSM459860</v>
      </c>
      <c r="I1669" t="s">
        <v>69</v>
      </c>
      <c r="J1669" t="s">
        <v>18</v>
      </c>
      <c r="K1669" t="s">
        <v>19</v>
      </c>
      <c r="L1669" t="s">
        <v>70</v>
      </c>
      <c r="M1669" t="s">
        <v>44</v>
      </c>
      <c r="N1669" t="s">
        <v>76</v>
      </c>
    </row>
    <row r="1670" spans="1:14">
      <c r="A1670" s="4" t="str">
        <f t="shared" si="144"/>
        <v>EXP00035</v>
      </c>
      <c r="B1670" s="3" t="s">
        <v>66</v>
      </c>
      <c r="C1670" s="4" t="str">
        <f t="shared" si="142"/>
        <v>GSE18462</v>
      </c>
      <c r="D1670" s="1" t="s">
        <v>45</v>
      </c>
      <c r="E1670" t="s">
        <v>74</v>
      </c>
      <c r="F1670" s="1">
        <v>1</v>
      </c>
      <c r="G1670" s="1" t="s">
        <v>75</v>
      </c>
      <c r="H1670" s="4" t="str">
        <f>HYPERLINK("https://www.ncbi.nlm.nih.gov/geo/query/acc.cgi?acc=GSM459864","GSM459864")</f>
        <v>GSM459864</v>
      </c>
      <c r="I1670" t="s">
        <v>69</v>
      </c>
      <c r="J1670" t="s">
        <v>18</v>
      </c>
      <c r="K1670" t="s">
        <v>19</v>
      </c>
      <c r="L1670" t="s">
        <v>70</v>
      </c>
      <c r="M1670" t="s">
        <v>44</v>
      </c>
      <c r="N1670" t="s">
        <v>76</v>
      </c>
    </row>
    <row r="1671" spans="1:14">
      <c r="A1671" s="4" t="str">
        <f t="shared" si="144"/>
        <v>EXP00035</v>
      </c>
      <c r="B1671" s="3" t="s">
        <v>66</v>
      </c>
      <c r="C1671" s="4" t="str">
        <f t="shared" si="142"/>
        <v>GSE18462</v>
      </c>
      <c r="D1671" s="1" t="s">
        <v>45</v>
      </c>
      <c r="E1671" t="s">
        <v>74</v>
      </c>
      <c r="F1671" s="1">
        <v>2</v>
      </c>
      <c r="G1671" s="1" t="s">
        <v>26</v>
      </c>
      <c r="H1671" s="4" t="str">
        <f>HYPERLINK("https://www.ncbi.nlm.nih.gov/geo/query/acc.cgi?acc=GSM459861","GSM459861")</f>
        <v>GSM459861</v>
      </c>
      <c r="I1671" t="s">
        <v>69</v>
      </c>
      <c r="J1671" t="s">
        <v>18</v>
      </c>
      <c r="K1671" t="s">
        <v>19</v>
      </c>
      <c r="L1671" t="s">
        <v>70</v>
      </c>
      <c r="M1671" t="s">
        <v>44</v>
      </c>
      <c r="N1671" t="s">
        <v>22</v>
      </c>
    </row>
    <row r="1672" spans="1:14">
      <c r="A1672" s="4" t="str">
        <f t="shared" si="144"/>
        <v>EXP00035</v>
      </c>
      <c r="B1672" s="3" t="s">
        <v>66</v>
      </c>
      <c r="C1672" s="4" t="str">
        <f t="shared" si="142"/>
        <v>GSE18462</v>
      </c>
      <c r="D1672" s="1" t="s">
        <v>45</v>
      </c>
      <c r="E1672" t="s">
        <v>74</v>
      </c>
      <c r="F1672" s="1">
        <v>2</v>
      </c>
      <c r="G1672" s="1" t="s">
        <v>26</v>
      </c>
      <c r="H1672" s="4" t="str">
        <f>HYPERLINK("https://www.ncbi.nlm.nih.gov/geo/query/acc.cgi?acc=GSM459865","GSM459865")</f>
        <v>GSM459865</v>
      </c>
      <c r="I1672" t="s">
        <v>69</v>
      </c>
      <c r="J1672" t="s">
        <v>18</v>
      </c>
      <c r="K1672" t="s">
        <v>19</v>
      </c>
      <c r="L1672" t="s">
        <v>70</v>
      </c>
      <c r="M1672" t="s">
        <v>44</v>
      </c>
      <c r="N1672" t="s">
        <v>22</v>
      </c>
    </row>
    <row r="1673" spans="1:14">
      <c r="A1673" s="4" t="str">
        <f t="shared" ref="A1673:A1686" si="145">HYPERLINK("http://hcmdb.i-sanger.com/experiment/details/experiment_id/EXP00036","EXP00036")</f>
        <v>EXP00036</v>
      </c>
      <c r="B1673" s="3" t="s">
        <v>66</v>
      </c>
      <c r="C1673" s="4" t="str">
        <f t="shared" ref="C1673:C1704" si="146">HYPERLINK("https://www.ncbi.nlm.nih.gov/geo/query/acc.cgi?acc=GSE18549","GSE18549")</f>
        <v>GSE18549</v>
      </c>
      <c r="D1673" s="1" t="s">
        <v>45</v>
      </c>
      <c r="E1673" t="s">
        <v>52</v>
      </c>
      <c r="F1673" s="1">
        <v>1</v>
      </c>
      <c r="G1673" s="1" t="s">
        <v>53</v>
      </c>
      <c r="H1673" s="4" t="str">
        <f>HYPERLINK("https://www.ncbi.nlm.nih.gov/geo/query/acc.cgi?acc=GSM461783","GSM461783")</f>
        <v>GSM461783</v>
      </c>
      <c r="I1673" t="s">
        <v>17</v>
      </c>
      <c r="J1673" t="s">
        <v>18</v>
      </c>
      <c r="K1673" t="s">
        <v>19</v>
      </c>
      <c r="L1673" t="s">
        <v>20</v>
      </c>
      <c r="M1673" t="s">
        <v>21</v>
      </c>
      <c r="N1673" t="s">
        <v>29</v>
      </c>
    </row>
    <row r="1674" spans="1:14">
      <c r="A1674" s="4" t="str">
        <f t="shared" si="145"/>
        <v>EXP00036</v>
      </c>
      <c r="B1674" s="3" t="s">
        <v>66</v>
      </c>
      <c r="C1674" s="4" t="str">
        <f t="shared" si="146"/>
        <v>GSE18549</v>
      </c>
      <c r="D1674" s="1" t="s">
        <v>45</v>
      </c>
      <c r="E1674" t="s">
        <v>52</v>
      </c>
      <c r="F1674" s="1">
        <v>1</v>
      </c>
      <c r="G1674" s="1" t="s">
        <v>53</v>
      </c>
      <c r="H1674" s="4" t="str">
        <f>HYPERLINK("https://www.ncbi.nlm.nih.gov/geo/query/acc.cgi?acc=GSM461791","GSM461791")</f>
        <v>GSM461791</v>
      </c>
      <c r="I1674" t="s">
        <v>17</v>
      </c>
      <c r="J1674" t="s">
        <v>18</v>
      </c>
      <c r="K1674" t="s">
        <v>19</v>
      </c>
      <c r="L1674" t="s">
        <v>20</v>
      </c>
      <c r="M1674" t="s">
        <v>21</v>
      </c>
      <c r="N1674" t="s">
        <v>29</v>
      </c>
    </row>
    <row r="1675" spans="1:14">
      <c r="A1675" s="4" t="str">
        <f t="shared" si="145"/>
        <v>EXP00036</v>
      </c>
      <c r="B1675" s="3" t="s">
        <v>66</v>
      </c>
      <c r="C1675" s="4" t="str">
        <f t="shared" si="146"/>
        <v>GSE18549</v>
      </c>
      <c r="D1675" s="1" t="s">
        <v>45</v>
      </c>
      <c r="E1675" t="s">
        <v>52</v>
      </c>
      <c r="F1675" s="1">
        <v>2</v>
      </c>
      <c r="G1675" s="1" t="s">
        <v>97</v>
      </c>
      <c r="H1675" s="4" t="str">
        <f>HYPERLINK("https://www.ncbi.nlm.nih.gov/geo/query/acc.cgi?acc=GSM461733","GSM461733")</f>
        <v>GSM461733</v>
      </c>
      <c r="I1675" t="s">
        <v>17</v>
      </c>
      <c r="J1675" t="s">
        <v>18</v>
      </c>
      <c r="K1675" t="s">
        <v>19</v>
      </c>
      <c r="L1675" t="s">
        <v>20</v>
      </c>
      <c r="M1675" t="s">
        <v>98</v>
      </c>
      <c r="N1675" t="s">
        <v>29</v>
      </c>
    </row>
    <row r="1676" spans="1:14">
      <c r="A1676" s="4" t="str">
        <f t="shared" si="145"/>
        <v>EXP00036</v>
      </c>
      <c r="B1676" s="3" t="s">
        <v>66</v>
      </c>
      <c r="C1676" s="4" t="str">
        <f t="shared" si="146"/>
        <v>GSE18549</v>
      </c>
      <c r="D1676" s="1" t="s">
        <v>45</v>
      </c>
      <c r="E1676" t="s">
        <v>52</v>
      </c>
      <c r="F1676" s="1">
        <v>2</v>
      </c>
      <c r="G1676" s="1" t="s">
        <v>97</v>
      </c>
      <c r="H1676" s="4" t="str">
        <f>HYPERLINK("https://www.ncbi.nlm.nih.gov/geo/query/acc.cgi?acc=GSM461734","GSM461734")</f>
        <v>GSM461734</v>
      </c>
      <c r="I1676" t="s">
        <v>17</v>
      </c>
      <c r="J1676" t="s">
        <v>18</v>
      </c>
      <c r="K1676" t="s">
        <v>19</v>
      </c>
      <c r="L1676" t="s">
        <v>20</v>
      </c>
      <c r="M1676" t="s">
        <v>98</v>
      </c>
      <c r="N1676" t="s">
        <v>29</v>
      </c>
    </row>
    <row r="1677" spans="1:14">
      <c r="A1677" s="4" t="str">
        <f t="shared" si="145"/>
        <v>EXP00036</v>
      </c>
      <c r="B1677" s="3" t="s">
        <v>66</v>
      </c>
      <c r="C1677" s="4" t="str">
        <f t="shared" si="146"/>
        <v>GSE18549</v>
      </c>
      <c r="D1677" s="1" t="s">
        <v>45</v>
      </c>
      <c r="E1677" t="s">
        <v>52</v>
      </c>
      <c r="F1677" s="1">
        <v>3</v>
      </c>
      <c r="G1677" s="1" t="s">
        <v>99</v>
      </c>
      <c r="H1677" s="4" t="str">
        <f>HYPERLINK("https://www.ncbi.nlm.nih.gov/geo/query/acc.cgi?acc=GSM461735","GSM461735")</f>
        <v>GSM461735</v>
      </c>
      <c r="I1677" t="s">
        <v>17</v>
      </c>
      <c r="J1677" t="s">
        <v>18</v>
      </c>
      <c r="K1677" t="s">
        <v>19</v>
      </c>
      <c r="L1677" t="s">
        <v>20</v>
      </c>
      <c r="M1677" t="s">
        <v>44</v>
      </c>
      <c r="N1677" t="s">
        <v>29</v>
      </c>
    </row>
    <row r="1678" spans="1:14">
      <c r="A1678" s="4" t="str">
        <f t="shared" si="145"/>
        <v>EXP00036</v>
      </c>
      <c r="B1678" s="3" t="s">
        <v>66</v>
      </c>
      <c r="C1678" s="4" t="str">
        <f t="shared" si="146"/>
        <v>GSE18549</v>
      </c>
      <c r="D1678" s="1" t="s">
        <v>45</v>
      </c>
      <c r="E1678" t="s">
        <v>52</v>
      </c>
      <c r="F1678" s="1">
        <v>3</v>
      </c>
      <c r="G1678" s="1" t="s">
        <v>99</v>
      </c>
      <c r="H1678" s="4" t="str">
        <f>HYPERLINK("https://www.ncbi.nlm.nih.gov/geo/query/acc.cgi?acc=GSM461766","GSM461766")</f>
        <v>GSM461766</v>
      </c>
      <c r="I1678" t="s">
        <v>17</v>
      </c>
      <c r="J1678" t="s">
        <v>18</v>
      </c>
      <c r="K1678" t="s">
        <v>19</v>
      </c>
      <c r="L1678" t="s">
        <v>20</v>
      </c>
      <c r="M1678" t="s">
        <v>44</v>
      </c>
      <c r="N1678" t="s">
        <v>29</v>
      </c>
    </row>
    <row r="1679" spans="1:14">
      <c r="A1679" s="4" t="str">
        <f t="shared" si="145"/>
        <v>EXP00036</v>
      </c>
      <c r="B1679" s="3" t="s">
        <v>66</v>
      </c>
      <c r="C1679" s="4" t="str">
        <f t="shared" si="146"/>
        <v>GSE18549</v>
      </c>
      <c r="D1679" s="1" t="s">
        <v>45</v>
      </c>
      <c r="E1679" t="s">
        <v>52</v>
      </c>
      <c r="F1679" s="1">
        <v>3</v>
      </c>
      <c r="G1679" s="1" t="s">
        <v>99</v>
      </c>
      <c r="H1679" s="4" t="str">
        <f>HYPERLINK("https://www.ncbi.nlm.nih.gov/geo/query/acc.cgi?acc=GSM461774","GSM461774")</f>
        <v>GSM461774</v>
      </c>
      <c r="I1679" t="s">
        <v>17</v>
      </c>
      <c r="J1679" t="s">
        <v>18</v>
      </c>
      <c r="K1679" t="s">
        <v>19</v>
      </c>
      <c r="L1679" t="s">
        <v>20</v>
      </c>
      <c r="M1679" t="s">
        <v>44</v>
      </c>
      <c r="N1679" t="s">
        <v>29</v>
      </c>
    </row>
    <row r="1680" spans="1:14">
      <c r="A1680" s="4" t="str">
        <f t="shared" si="145"/>
        <v>EXP00036</v>
      </c>
      <c r="B1680" s="3" t="s">
        <v>66</v>
      </c>
      <c r="C1680" s="4" t="str">
        <f t="shared" si="146"/>
        <v>GSE18549</v>
      </c>
      <c r="D1680" s="1" t="s">
        <v>45</v>
      </c>
      <c r="E1680" t="s">
        <v>52</v>
      </c>
      <c r="F1680" s="1">
        <v>4</v>
      </c>
      <c r="G1680" s="1" t="s">
        <v>100</v>
      </c>
      <c r="H1680" s="4" t="str">
        <f>HYPERLINK("https://www.ncbi.nlm.nih.gov/geo/query/acc.cgi?acc=GSM461736","GSM461736")</f>
        <v>GSM461736</v>
      </c>
      <c r="I1680" t="s">
        <v>17</v>
      </c>
      <c r="J1680" t="s">
        <v>18</v>
      </c>
      <c r="K1680" t="s">
        <v>19</v>
      </c>
      <c r="L1680" t="s">
        <v>20</v>
      </c>
      <c r="M1680" t="s">
        <v>24</v>
      </c>
      <c r="N1680" t="s">
        <v>29</v>
      </c>
    </row>
    <row r="1681" spans="1:14">
      <c r="A1681" s="4" t="str">
        <f t="shared" si="145"/>
        <v>EXP00036</v>
      </c>
      <c r="B1681" s="3" t="s">
        <v>66</v>
      </c>
      <c r="C1681" s="4" t="str">
        <f t="shared" si="146"/>
        <v>GSE18549</v>
      </c>
      <c r="D1681" s="1" t="s">
        <v>45</v>
      </c>
      <c r="E1681" t="s">
        <v>52</v>
      </c>
      <c r="F1681" s="1">
        <v>4</v>
      </c>
      <c r="G1681" s="1" t="s">
        <v>100</v>
      </c>
      <c r="H1681" s="4" t="str">
        <f>HYPERLINK("https://www.ncbi.nlm.nih.gov/geo/query/acc.cgi?acc=GSM461750","GSM461750")</f>
        <v>GSM461750</v>
      </c>
      <c r="I1681" t="s">
        <v>17</v>
      </c>
      <c r="J1681" t="s">
        <v>18</v>
      </c>
      <c r="K1681" t="s">
        <v>19</v>
      </c>
      <c r="L1681" t="s">
        <v>20</v>
      </c>
      <c r="M1681" t="s">
        <v>24</v>
      </c>
      <c r="N1681" t="s">
        <v>29</v>
      </c>
    </row>
    <row r="1682" spans="1:14">
      <c r="A1682" s="4" t="str">
        <f t="shared" si="145"/>
        <v>EXP00036</v>
      </c>
      <c r="B1682" s="3" t="s">
        <v>66</v>
      </c>
      <c r="C1682" s="4" t="str">
        <f t="shared" si="146"/>
        <v>GSE18549</v>
      </c>
      <c r="D1682" s="1" t="s">
        <v>45</v>
      </c>
      <c r="E1682" t="s">
        <v>52</v>
      </c>
      <c r="F1682" s="1">
        <v>4</v>
      </c>
      <c r="G1682" s="1" t="s">
        <v>100</v>
      </c>
      <c r="H1682" s="4" t="str">
        <f>HYPERLINK("https://www.ncbi.nlm.nih.gov/geo/query/acc.cgi?acc=GSM461752","GSM461752")</f>
        <v>GSM461752</v>
      </c>
      <c r="I1682" t="s">
        <v>17</v>
      </c>
      <c r="J1682" t="s">
        <v>18</v>
      </c>
      <c r="K1682" t="s">
        <v>19</v>
      </c>
      <c r="L1682" t="s">
        <v>20</v>
      </c>
      <c r="M1682" t="s">
        <v>24</v>
      </c>
      <c r="N1682" t="s">
        <v>29</v>
      </c>
    </row>
    <row r="1683" spans="1:14">
      <c r="A1683" s="4" t="str">
        <f t="shared" si="145"/>
        <v>EXP00036</v>
      </c>
      <c r="B1683" s="3" t="s">
        <v>66</v>
      </c>
      <c r="C1683" s="4" t="str">
        <f t="shared" si="146"/>
        <v>GSE18549</v>
      </c>
      <c r="D1683" s="1" t="s">
        <v>45</v>
      </c>
      <c r="E1683" t="s">
        <v>52</v>
      </c>
      <c r="F1683" s="1">
        <v>4</v>
      </c>
      <c r="G1683" s="1" t="s">
        <v>100</v>
      </c>
      <c r="H1683" s="4" t="str">
        <f>HYPERLINK("https://www.ncbi.nlm.nih.gov/geo/query/acc.cgi?acc=GSM461753","GSM461753")</f>
        <v>GSM461753</v>
      </c>
      <c r="I1683" t="s">
        <v>17</v>
      </c>
      <c r="J1683" t="s">
        <v>18</v>
      </c>
      <c r="K1683" t="s">
        <v>19</v>
      </c>
      <c r="L1683" t="s">
        <v>20</v>
      </c>
      <c r="M1683" t="s">
        <v>24</v>
      </c>
      <c r="N1683" t="s">
        <v>29</v>
      </c>
    </row>
    <row r="1684" spans="1:14">
      <c r="A1684" s="4" t="str">
        <f t="shared" si="145"/>
        <v>EXP00036</v>
      </c>
      <c r="B1684" s="3" t="s">
        <v>66</v>
      </c>
      <c r="C1684" s="4" t="str">
        <f t="shared" si="146"/>
        <v>GSE18549</v>
      </c>
      <c r="D1684" s="1" t="s">
        <v>45</v>
      </c>
      <c r="E1684" t="s">
        <v>52</v>
      </c>
      <c r="F1684" s="1">
        <v>4</v>
      </c>
      <c r="G1684" s="1" t="s">
        <v>100</v>
      </c>
      <c r="H1684" s="4" t="str">
        <f>HYPERLINK("https://www.ncbi.nlm.nih.gov/geo/query/acc.cgi?acc=GSM461754","GSM461754")</f>
        <v>GSM461754</v>
      </c>
      <c r="I1684" t="s">
        <v>17</v>
      </c>
      <c r="J1684" t="s">
        <v>18</v>
      </c>
      <c r="K1684" t="s">
        <v>19</v>
      </c>
      <c r="L1684" t="s">
        <v>20</v>
      </c>
      <c r="M1684" t="s">
        <v>24</v>
      </c>
      <c r="N1684" t="s">
        <v>29</v>
      </c>
    </row>
    <row r="1685" spans="1:14">
      <c r="A1685" s="4" t="str">
        <f t="shared" si="145"/>
        <v>EXP00036</v>
      </c>
      <c r="B1685" s="3" t="s">
        <v>66</v>
      </c>
      <c r="C1685" s="4" t="str">
        <f t="shared" si="146"/>
        <v>GSE18549</v>
      </c>
      <c r="D1685" s="1" t="s">
        <v>45</v>
      </c>
      <c r="E1685" t="s">
        <v>52</v>
      </c>
      <c r="F1685" s="1">
        <v>4</v>
      </c>
      <c r="G1685" s="1" t="s">
        <v>100</v>
      </c>
      <c r="H1685" s="4" t="str">
        <f>HYPERLINK("https://www.ncbi.nlm.nih.gov/geo/query/acc.cgi?acc=GSM461755","GSM461755")</f>
        <v>GSM461755</v>
      </c>
      <c r="I1685" t="s">
        <v>17</v>
      </c>
      <c r="J1685" t="s">
        <v>18</v>
      </c>
      <c r="K1685" t="s">
        <v>19</v>
      </c>
      <c r="L1685" t="s">
        <v>20</v>
      </c>
      <c r="M1685" t="s">
        <v>24</v>
      </c>
      <c r="N1685" t="s">
        <v>29</v>
      </c>
    </row>
    <row r="1686" spans="1:14">
      <c r="A1686" s="4" t="str">
        <f t="shared" si="145"/>
        <v>EXP00036</v>
      </c>
      <c r="B1686" s="3" t="s">
        <v>66</v>
      </c>
      <c r="C1686" s="4" t="str">
        <f t="shared" si="146"/>
        <v>GSE18549</v>
      </c>
      <c r="D1686" s="1" t="s">
        <v>45</v>
      </c>
      <c r="E1686" t="s">
        <v>52</v>
      </c>
      <c r="F1686" s="1">
        <v>4</v>
      </c>
      <c r="G1686" s="1" t="s">
        <v>100</v>
      </c>
      <c r="H1686" s="4" t="str">
        <f>HYPERLINK("https://www.ncbi.nlm.nih.gov/geo/query/acc.cgi?acc=GSM461756","GSM461756")</f>
        <v>GSM461756</v>
      </c>
      <c r="I1686" t="s">
        <v>17</v>
      </c>
      <c r="J1686" t="s">
        <v>18</v>
      </c>
      <c r="K1686" t="s">
        <v>19</v>
      </c>
      <c r="L1686" t="s">
        <v>20</v>
      </c>
      <c r="M1686" t="s">
        <v>24</v>
      </c>
      <c r="N1686" t="s">
        <v>29</v>
      </c>
    </row>
    <row r="1687" spans="1:14">
      <c r="A1687" s="4" t="str">
        <f t="shared" ref="A1687:A1722" si="147">HYPERLINK("http://hcmdb.i-sanger.com/experiment/details/experiment_id/EXP00037","EXP00037")</f>
        <v>EXP00037</v>
      </c>
      <c r="B1687" s="3" t="s">
        <v>66</v>
      </c>
      <c r="C1687" s="4" t="str">
        <f t="shared" si="146"/>
        <v>GSE18549</v>
      </c>
      <c r="D1687" s="1" t="s">
        <v>45</v>
      </c>
      <c r="E1687" t="s">
        <v>101</v>
      </c>
      <c r="F1687" s="1">
        <v>1</v>
      </c>
      <c r="G1687" s="1" t="s">
        <v>102</v>
      </c>
      <c r="H1687" s="4" t="str">
        <f>HYPERLINK("https://www.ncbi.nlm.nih.gov/geo/query/acc.cgi?acc=GSM461785","GSM461785")</f>
        <v>GSM461785</v>
      </c>
      <c r="I1687" t="s">
        <v>69</v>
      </c>
      <c r="J1687" t="s">
        <v>18</v>
      </c>
      <c r="K1687" t="s">
        <v>19</v>
      </c>
      <c r="L1687" t="s">
        <v>70</v>
      </c>
      <c r="M1687" t="s">
        <v>21</v>
      </c>
      <c r="N1687" t="s">
        <v>29</v>
      </c>
    </row>
    <row r="1688" spans="1:14">
      <c r="A1688" s="4" t="str">
        <f t="shared" si="147"/>
        <v>EXP00037</v>
      </c>
      <c r="B1688" s="3" t="s">
        <v>66</v>
      </c>
      <c r="C1688" s="4" t="str">
        <f t="shared" si="146"/>
        <v>GSE18549</v>
      </c>
      <c r="D1688" s="1" t="s">
        <v>45</v>
      </c>
      <c r="E1688" t="s">
        <v>101</v>
      </c>
      <c r="F1688" s="1">
        <v>1</v>
      </c>
      <c r="G1688" s="1" t="s">
        <v>102</v>
      </c>
      <c r="H1688" s="4" t="str">
        <f>HYPERLINK("https://www.ncbi.nlm.nih.gov/geo/query/acc.cgi?acc=GSM461789","GSM461789")</f>
        <v>GSM461789</v>
      </c>
      <c r="I1688" t="s">
        <v>69</v>
      </c>
      <c r="J1688" t="s">
        <v>18</v>
      </c>
      <c r="K1688" t="s">
        <v>19</v>
      </c>
      <c r="L1688" t="s">
        <v>70</v>
      </c>
      <c r="M1688" t="s">
        <v>21</v>
      </c>
      <c r="N1688" t="s">
        <v>29</v>
      </c>
    </row>
    <row r="1689" spans="1:14">
      <c r="A1689" s="4" t="str">
        <f t="shared" si="147"/>
        <v>EXP00037</v>
      </c>
      <c r="B1689" s="3" t="s">
        <v>66</v>
      </c>
      <c r="C1689" s="4" t="str">
        <f t="shared" si="146"/>
        <v>GSE18549</v>
      </c>
      <c r="D1689" s="1" t="s">
        <v>45</v>
      </c>
      <c r="E1689" t="s">
        <v>101</v>
      </c>
      <c r="F1689" s="1">
        <v>2</v>
      </c>
      <c r="G1689" s="1" t="s">
        <v>103</v>
      </c>
      <c r="H1689" s="4" t="str">
        <f>HYPERLINK("https://www.ncbi.nlm.nih.gov/geo/query/acc.cgi?acc=GSM461765","GSM461765")</f>
        <v>GSM461765</v>
      </c>
      <c r="I1689" t="s">
        <v>69</v>
      </c>
      <c r="J1689" t="s">
        <v>18</v>
      </c>
      <c r="K1689" t="s">
        <v>19</v>
      </c>
      <c r="L1689" t="s">
        <v>70</v>
      </c>
      <c r="M1689" t="s">
        <v>70</v>
      </c>
      <c r="N1689" t="s">
        <v>29</v>
      </c>
    </row>
    <row r="1690" spans="1:14">
      <c r="A1690" s="4" t="str">
        <f t="shared" si="147"/>
        <v>EXP00037</v>
      </c>
      <c r="B1690" s="3" t="s">
        <v>66</v>
      </c>
      <c r="C1690" s="4" t="str">
        <f t="shared" si="146"/>
        <v>GSE18549</v>
      </c>
      <c r="D1690" s="1" t="s">
        <v>45</v>
      </c>
      <c r="E1690" t="s">
        <v>101</v>
      </c>
      <c r="F1690" s="1">
        <v>2</v>
      </c>
      <c r="G1690" s="1" t="s">
        <v>103</v>
      </c>
      <c r="H1690" s="4" t="str">
        <f>HYPERLINK("https://www.ncbi.nlm.nih.gov/geo/query/acc.cgi?acc=GSM461768","GSM461768")</f>
        <v>GSM461768</v>
      </c>
      <c r="I1690" t="s">
        <v>69</v>
      </c>
      <c r="J1690" t="s">
        <v>18</v>
      </c>
      <c r="K1690" t="s">
        <v>19</v>
      </c>
      <c r="L1690" t="s">
        <v>70</v>
      </c>
      <c r="M1690" t="s">
        <v>70</v>
      </c>
      <c r="N1690" t="s">
        <v>29</v>
      </c>
    </row>
    <row r="1691" spans="1:14">
      <c r="A1691" s="4" t="str">
        <f t="shared" si="147"/>
        <v>EXP00037</v>
      </c>
      <c r="B1691" s="3" t="s">
        <v>66</v>
      </c>
      <c r="C1691" s="4" t="str">
        <f t="shared" si="146"/>
        <v>GSE18549</v>
      </c>
      <c r="D1691" s="1" t="s">
        <v>45</v>
      </c>
      <c r="E1691" t="s">
        <v>101</v>
      </c>
      <c r="F1691" s="1">
        <v>2</v>
      </c>
      <c r="G1691" s="1" t="s">
        <v>103</v>
      </c>
      <c r="H1691" s="4" t="str">
        <f>HYPERLINK("https://www.ncbi.nlm.nih.gov/geo/query/acc.cgi?acc=GSM461782","GSM461782")</f>
        <v>GSM461782</v>
      </c>
      <c r="I1691" t="s">
        <v>69</v>
      </c>
      <c r="J1691" t="s">
        <v>18</v>
      </c>
      <c r="K1691" t="s">
        <v>19</v>
      </c>
      <c r="L1691" t="s">
        <v>70</v>
      </c>
      <c r="M1691" t="s">
        <v>70</v>
      </c>
      <c r="N1691" t="s">
        <v>29</v>
      </c>
    </row>
    <row r="1692" spans="1:14">
      <c r="A1692" s="4" t="str">
        <f t="shared" si="147"/>
        <v>EXP00037</v>
      </c>
      <c r="B1692" s="3" t="s">
        <v>66</v>
      </c>
      <c r="C1692" s="4" t="str">
        <f t="shared" si="146"/>
        <v>GSE18549</v>
      </c>
      <c r="D1692" s="1" t="s">
        <v>45</v>
      </c>
      <c r="E1692" t="s">
        <v>101</v>
      </c>
      <c r="F1692" s="1">
        <v>3</v>
      </c>
      <c r="G1692" s="1" t="s">
        <v>104</v>
      </c>
      <c r="H1692" s="4" t="str">
        <f>HYPERLINK("https://www.ncbi.nlm.nih.gov/geo/query/acc.cgi?acc=GSM461714","GSM461714")</f>
        <v>GSM461714</v>
      </c>
      <c r="I1692" t="s">
        <v>69</v>
      </c>
      <c r="J1692" t="s">
        <v>18</v>
      </c>
      <c r="K1692" t="s">
        <v>19</v>
      </c>
      <c r="L1692" t="s">
        <v>70</v>
      </c>
      <c r="M1692" t="s">
        <v>44</v>
      </c>
      <c r="N1692" t="s">
        <v>29</v>
      </c>
    </row>
    <row r="1693" spans="1:14">
      <c r="A1693" s="4" t="str">
        <f t="shared" si="147"/>
        <v>EXP00037</v>
      </c>
      <c r="B1693" s="3" t="s">
        <v>66</v>
      </c>
      <c r="C1693" s="4" t="str">
        <f t="shared" si="146"/>
        <v>GSE18549</v>
      </c>
      <c r="D1693" s="1" t="s">
        <v>45</v>
      </c>
      <c r="E1693" t="s">
        <v>101</v>
      </c>
      <c r="F1693" s="1">
        <v>3</v>
      </c>
      <c r="G1693" s="1" t="s">
        <v>104</v>
      </c>
      <c r="H1693" s="4" t="str">
        <f>HYPERLINK("https://www.ncbi.nlm.nih.gov/geo/query/acc.cgi?acc=GSM461716","GSM461716")</f>
        <v>GSM461716</v>
      </c>
      <c r="I1693" t="s">
        <v>69</v>
      </c>
      <c r="J1693" t="s">
        <v>18</v>
      </c>
      <c r="K1693" t="s">
        <v>19</v>
      </c>
      <c r="L1693" t="s">
        <v>70</v>
      </c>
      <c r="M1693" t="s">
        <v>44</v>
      </c>
      <c r="N1693" t="s">
        <v>29</v>
      </c>
    </row>
    <row r="1694" spans="1:14">
      <c r="A1694" s="4" t="str">
        <f t="shared" si="147"/>
        <v>EXP00037</v>
      </c>
      <c r="B1694" s="3" t="s">
        <v>66</v>
      </c>
      <c r="C1694" s="4" t="str">
        <f t="shared" si="146"/>
        <v>GSE18549</v>
      </c>
      <c r="D1694" s="1" t="s">
        <v>45</v>
      </c>
      <c r="E1694" t="s">
        <v>101</v>
      </c>
      <c r="F1694" s="1">
        <v>3</v>
      </c>
      <c r="G1694" s="1" t="s">
        <v>104</v>
      </c>
      <c r="H1694" s="4" t="str">
        <f>HYPERLINK("https://www.ncbi.nlm.nih.gov/geo/query/acc.cgi?acc=GSM461719","GSM461719")</f>
        <v>GSM461719</v>
      </c>
      <c r="I1694" t="s">
        <v>69</v>
      </c>
      <c r="J1694" t="s">
        <v>18</v>
      </c>
      <c r="K1694" t="s">
        <v>19</v>
      </c>
      <c r="L1694" t="s">
        <v>70</v>
      </c>
      <c r="M1694" t="s">
        <v>44</v>
      </c>
      <c r="N1694" t="s">
        <v>29</v>
      </c>
    </row>
    <row r="1695" spans="1:14">
      <c r="A1695" s="4" t="str">
        <f t="shared" si="147"/>
        <v>EXP00037</v>
      </c>
      <c r="B1695" s="3" t="s">
        <v>66</v>
      </c>
      <c r="C1695" s="4" t="str">
        <f t="shared" si="146"/>
        <v>GSE18549</v>
      </c>
      <c r="D1695" s="1" t="s">
        <v>45</v>
      </c>
      <c r="E1695" t="s">
        <v>101</v>
      </c>
      <c r="F1695" s="1">
        <v>3</v>
      </c>
      <c r="G1695" s="1" t="s">
        <v>104</v>
      </c>
      <c r="H1695" s="4" t="str">
        <f>HYPERLINK("https://www.ncbi.nlm.nih.gov/geo/query/acc.cgi?acc=GSM461744","GSM461744")</f>
        <v>GSM461744</v>
      </c>
      <c r="I1695" t="s">
        <v>69</v>
      </c>
      <c r="J1695" t="s">
        <v>18</v>
      </c>
      <c r="K1695" t="s">
        <v>19</v>
      </c>
      <c r="L1695" t="s">
        <v>70</v>
      </c>
      <c r="M1695" t="s">
        <v>44</v>
      </c>
      <c r="N1695" t="s">
        <v>29</v>
      </c>
    </row>
    <row r="1696" spans="1:14">
      <c r="A1696" s="4" t="str">
        <f t="shared" si="147"/>
        <v>EXP00037</v>
      </c>
      <c r="B1696" s="3" t="s">
        <v>66</v>
      </c>
      <c r="C1696" s="4" t="str">
        <f t="shared" si="146"/>
        <v>GSE18549</v>
      </c>
      <c r="D1696" s="1" t="s">
        <v>45</v>
      </c>
      <c r="E1696" t="s">
        <v>101</v>
      </c>
      <c r="F1696" s="1">
        <v>3</v>
      </c>
      <c r="G1696" s="1" t="s">
        <v>104</v>
      </c>
      <c r="H1696" s="4" t="str">
        <f>HYPERLINK("https://www.ncbi.nlm.nih.gov/geo/query/acc.cgi?acc=GSM461746","GSM461746")</f>
        <v>GSM461746</v>
      </c>
      <c r="I1696" t="s">
        <v>69</v>
      </c>
      <c r="J1696" t="s">
        <v>18</v>
      </c>
      <c r="K1696" t="s">
        <v>19</v>
      </c>
      <c r="L1696" t="s">
        <v>70</v>
      </c>
      <c r="M1696" t="s">
        <v>44</v>
      </c>
      <c r="N1696" t="s">
        <v>29</v>
      </c>
    </row>
    <row r="1697" spans="1:14">
      <c r="A1697" s="4" t="str">
        <f t="shared" si="147"/>
        <v>EXP00037</v>
      </c>
      <c r="B1697" s="3" t="s">
        <v>66</v>
      </c>
      <c r="C1697" s="4" t="str">
        <f t="shared" si="146"/>
        <v>GSE18549</v>
      </c>
      <c r="D1697" s="1" t="s">
        <v>45</v>
      </c>
      <c r="E1697" t="s">
        <v>101</v>
      </c>
      <c r="F1697" s="1">
        <v>3</v>
      </c>
      <c r="G1697" s="1" t="s">
        <v>104</v>
      </c>
      <c r="H1697" s="4" t="str">
        <f>HYPERLINK("https://www.ncbi.nlm.nih.gov/geo/query/acc.cgi?acc=GSM461747","GSM461747")</f>
        <v>GSM461747</v>
      </c>
      <c r="I1697" t="s">
        <v>69</v>
      </c>
      <c r="J1697" t="s">
        <v>18</v>
      </c>
      <c r="K1697" t="s">
        <v>19</v>
      </c>
      <c r="L1697" t="s">
        <v>70</v>
      </c>
      <c r="M1697" t="s">
        <v>44</v>
      </c>
      <c r="N1697" t="s">
        <v>29</v>
      </c>
    </row>
    <row r="1698" spans="1:14">
      <c r="A1698" s="4" t="str">
        <f t="shared" si="147"/>
        <v>EXP00037</v>
      </c>
      <c r="B1698" s="3" t="s">
        <v>66</v>
      </c>
      <c r="C1698" s="4" t="str">
        <f t="shared" si="146"/>
        <v>GSE18549</v>
      </c>
      <c r="D1698" s="1" t="s">
        <v>45</v>
      </c>
      <c r="E1698" t="s">
        <v>101</v>
      </c>
      <c r="F1698" s="1">
        <v>3</v>
      </c>
      <c r="G1698" s="1" t="s">
        <v>104</v>
      </c>
      <c r="H1698" s="4" t="str">
        <f>HYPERLINK("https://www.ncbi.nlm.nih.gov/geo/query/acc.cgi?acc=GSM461748","GSM461748")</f>
        <v>GSM461748</v>
      </c>
      <c r="I1698" t="s">
        <v>69</v>
      </c>
      <c r="J1698" t="s">
        <v>18</v>
      </c>
      <c r="K1698" t="s">
        <v>19</v>
      </c>
      <c r="L1698" t="s">
        <v>70</v>
      </c>
      <c r="M1698" t="s">
        <v>44</v>
      </c>
      <c r="N1698" t="s">
        <v>29</v>
      </c>
    </row>
    <row r="1699" spans="1:14">
      <c r="A1699" s="4" t="str">
        <f t="shared" si="147"/>
        <v>EXP00037</v>
      </c>
      <c r="B1699" s="3" t="s">
        <v>66</v>
      </c>
      <c r="C1699" s="4" t="str">
        <f t="shared" si="146"/>
        <v>GSE18549</v>
      </c>
      <c r="D1699" s="1" t="s">
        <v>45</v>
      </c>
      <c r="E1699" t="s">
        <v>101</v>
      </c>
      <c r="F1699" s="1">
        <v>3</v>
      </c>
      <c r="G1699" s="1" t="s">
        <v>104</v>
      </c>
      <c r="H1699" s="4" t="str">
        <f>HYPERLINK("https://www.ncbi.nlm.nih.gov/geo/query/acc.cgi?acc=GSM461758","GSM461758")</f>
        <v>GSM461758</v>
      </c>
      <c r="I1699" t="s">
        <v>69</v>
      </c>
      <c r="J1699" t="s">
        <v>18</v>
      </c>
      <c r="K1699" t="s">
        <v>19</v>
      </c>
      <c r="L1699" t="s">
        <v>70</v>
      </c>
      <c r="M1699" t="s">
        <v>44</v>
      </c>
      <c r="N1699" t="s">
        <v>29</v>
      </c>
    </row>
    <row r="1700" spans="1:14">
      <c r="A1700" s="4" t="str">
        <f t="shared" si="147"/>
        <v>EXP00037</v>
      </c>
      <c r="B1700" s="3" t="s">
        <v>66</v>
      </c>
      <c r="C1700" s="4" t="str">
        <f t="shared" si="146"/>
        <v>GSE18549</v>
      </c>
      <c r="D1700" s="1" t="s">
        <v>45</v>
      </c>
      <c r="E1700" t="s">
        <v>101</v>
      </c>
      <c r="F1700" s="1">
        <v>3</v>
      </c>
      <c r="G1700" s="1" t="s">
        <v>104</v>
      </c>
      <c r="H1700" s="4" t="str">
        <f>HYPERLINK("https://www.ncbi.nlm.nih.gov/geo/query/acc.cgi?acc=GSM461759","GSM461759")</f>
        <v>GSM461759</v>
      </c>
      <c r="I1700" t="s">
        <v>69</v>
      </c>
      <c r="J1700" t="s">
        <v>18</v>
      </c>
      <c r="K1700" t="s">
        <v>19</v>
      </c>
      <c r="L1700" t="s">
        <v>70</v>
      </c>
      <c r="M1700" t="s">
        <v>44</v>
      </c>
      <c r="N1700" t="s">
        <v>29</v>
      </c>
    </row>
    <row r="1701" spans="1:14">
      <c r="A1701" s="4" t="str">
        <f t="shared" si="147"/>
        <v>EXP00037</v>
      </c>
      <c r="B1701" s="3" t="s">
        <v>66</v>
      </c>
      <c r="C1701" s="4" t="str">
        <f t="shared" si="146"/>
        <v>GSE18549</v>
      </c>
      <c r="D1701" s="1" t="s">
        <v>45</v>
      </c>
      <c r="E1701" t="s">
        <v>101</v>
      </c>
      <c r="F1701" s="1">
        <v>3</v>
      </c>
      <c r="G1701" s="1" t="s">
        <v>104</v>
      </c>
      <c r="H1701" s="4" t="str">
        <f>HYPERLINK("https://www.ncbi.nlm.nih.gov/geo/query/acc.cgi?acc=GSM461760","GSM461760")</f>
        <v>GSM461760</v>
      </c>
      <c r="I1701" t="s">
        <v>69</v>
      </c>
      <c r="J1701" t="s">
        <v>18</v>
      </c>
      <c r="K1701" t="s">
        <v>19</v>
      </c>
      <c r="L1701" t="s">
        <v>70</v>
      </c>
      <c r="M1701" t="s">
        <v>44</v>
      </c>
      <c r="N1701" t="s">
        <v>29</v>
      </c>
    </row>
    <row r="1702" spans="1:14">
      <c r="A1702" s="4" t="str">
        <f t="shared" si="147"/>
        <v>EXP00037</v>
      </c>
      <c r="B1702" s="3" t="s">
        <v>66</v>
      </c>
      <c r="C1702" s="4" t="str">
        <f t="shared" si="146"/>
        <v>GSE18549</v>
      </c>
      <c r="D1702" s="1" t="s">
        <v>45</v>
      </c>
      <c r="E1702" t="s">
        <v>101</v>
      </c>
      <c r="F1702" s="1">
        <v>3</v>
      </c>
      <c r="G1702" s="1" t="s">
        <v>104</v>
      </c>
      <c r="H1702" s="4" t="str">
        <f>HYPERLINK("https://www.ncbi.nlm.nih.gov/geo/query/acc.cgi?acc=GSM461761","GSM461761")</f>
        <v>GSM461761</v>
      </c>
      <c r="I1702" t="s">
        <v>69</v>
      </c>
      <c r="J1702" t="s">
        <v>18</v>
      </c>
      <c r="K1702" t="s">
        <v>19</v>
      </c>
      <c r="L1702" t="s">
        <v>70</v>
      </c>
      <c r="M1702" t="s">
        <v>44</v>
      </c>
      <c r="N1702" t="s">
        <v>29</v>
      </c>
    </row>
    <row r="1703" spans="1:14">
      <c r="A1703" s="4" t="str">
        <f t="shared" si="147"/>
        <v>EXP00037</v>
      </c>
      <c r="B1703" s="3" t="s">
        <v>66</v>
      </c>
      <c r="C1703" s="4" t="str">
        <f t="shared" si="146"/>
        <v>GSE18549</v>
      </c>
      <c r="D1703" s="1" t="s">
        <v>45</v>
      </c>
      <c r="E1703" t="s">
        <v>101</v>
      </c>
      <c r="F1703" s="1">
        <v>3</v>
      </c>
      <c r="G1703" s="1" t="s">
        <v>104</v>
      </c>
      <c r="H1703" s="4" t="str">
        <f>HYPERLINK("https://www.ncbi.nlm.nih.gov/geo/query/acc.cgi?acc=GSM461762","GSM461762")</f>
        <v>GSM461762</v>
      </c>
      <c r="I1703" t="s">
        <v>69</v>
      </c>
      <c r="J1703" t="s">
        <v>18</v>
      </c>
      <c r="K1703" t="s">
        <v>19</v>
      </c>
      <c r="L1703" t="s">
        <v>70</v>
      </c>
      <c r="M1703" t="s">
        <v>44</v>
      </c>
      <c r="N1703" t="s">
        <v>29</v>
      </c>
    </row>
    <row r="1704" spans="1:14">
      <c r="A1704" s="4" t="str">
        <f t="shared" si="147"/>
        <v>EXP00037</v>
      </c>
      <c r="B1704" s="3" t="s">
        <v>66</v>
      </c>
      <c r="C1704" s="4" t="str">
        <f t="shared" si="146"/>
        <v>GSE18549</v>
      </c>
      <c r="D1704" s="1" t="s">
        <v>45</v>
      </c>
      <c r="E1704" t="s">
        <v>101</v>
      </c>
      <c r="F1704" s="1">
        <v>3</v>
      </c>
      <c r="G1704" s="1" t="s">
        <v>104</v>
      </c>
      <c r="H1704" s="4" t="str">
        <f>HYPERLINK("https://www.ncbi.nlm.nih.gov/geo/query/acc.cgi?acc=GSM461763","GSM461763")</f>
        <v>GSM461763</v>
      </c>
      <c r="I1704" t="s">
        <v>69</v>
      </c>
      <c r="J1704" t="s">
        <v>18</v>
      </c>
      <c r="K1704" t="s">
        <v>19</v>
      </c>
      <c r="L1704" t="s">
        <v>70</v>
      </c>
      <c r="M1704" t="s">
        <v>44</v>
      </c>
      <c r="N1704" t="s">
        <v>29</v>
      </c>
    </row>
    <row r="1705" spans="1:14">
      <c r="A1705" s="4" t="str">
        <f t="shared" si="147"/>
        <v>EXP00037</v>
      </c>
      <c r="B1705" s="3" t="s">
        <v>66</v>
      </c>
      <c r="C1705" s="4" t="str">
        <f t="shared" ref="C1705:C1731" si="148">HYPERLINK("https://www.ncbi.nlm.nih.gov/geo/query/acc.cgi?acc=GSE18549","GSE18549")</f>
        <v>GSE18549</v>
      </c>
      <c r="D1705" s="1" t="s">
        <v>45</v>
      </c>
      <c r="E1705" t="s">
        <v>101</v>
      </c>
      <c r="F1705" s="1">
        <v>3</v>
      </c>
      <c r="G1705" s="1" t="s">
        <v>104</v>
      </c>
      <c r="H1705" s="4" t="str">
        <f>HYPERLINK("https://www.ncbi.nlm.nih.gov/geo/query/acc.cgi?acc=GSM461767","GSM461767")</f>
        <v>GSM461767</v>
      </c>
      <c r="I1705" t="s">
        <v>69</v>
      </c>
      <c r="J1705" t="s">
        <v>18</v>
      </c>
      <c r="K1705" t="s">
        <v>19</v>
      </c>
      <c r="L1705" t="s">
        <v>70</v>
      </c>
      <c r="M1705" t="s">
        <v>44</v>
      </c>
      <c r="N1705" t="s">
        <v>29</v>
      </c>
    </row>
    <row r="1706" spans="1:14">
      <c r="A1706" s="4" t="str">
        <f t="shared" si="147"/>
        <v>EXP00037</v>
      </c>
      <c r="B1706" s="3" t="s">
        <v>66</v>
      </c>
      <c r="C1706" s="4" t="str">
        <f t="shared" si="148"/>
        <v>GSE18549</v>
      </c>
      <c r="D1706" s="1" t="s">
        <v>45</v>
      </c>
      <c r="E1706" t="s">
        <v>101</v>
      </c>
      <c r="F1706" s="1">
        <v>3</v>
      </c>
      <c r="G1706" s="1" t="s">
        <v>104</v>
      </c>
      <c r="H1706" s="4" t="str">
        <f>HYPERLINK("https://www.ncbi.nlm.nih.gov/geo/query/acc.cgi?acc=GSM461769","GSM461769")</f>
        <v>GSM461769</v>
      </c>
      <c r="I1706" t="s">
        <v>69</v>
      </c>
      <c r="J1706" t="s">
        <v>18</v>
      </c>
      <c r="K1706" t="s">
        <v>19</v>
      </c>
      <c r="L1706" t="s">
        <v>70</v>
      </c>
      <c r="M1706" t="s">
        <v>44</v>
      </c>
      <c r="N1706" t="s">
        <v>29</v>
      </c>
    </row>
    <row r="1707" spans="1:14">
      <c r="A1707" s="4" t="str">
        <f t="shared" si="147"/>
        <v>EXP00037</v>
      </c>
      <c r="B1707" s="3" t="s">
        <v>66</v>
      </c>
      <c r="C1707" s="4" t="str">
        <f t="shared" si="148"/>
        <v>GSE18549</v>
      </c>
      <c r="D1707" s="1" t="s">
        <v>45</v>
      </c>
      <c r="E1707" t="s">
        <v>101</v>
      </c>
      <c r="F1707" s="1">
        <v>3</v>
      </c>
      <c r="G1707" s="1" t="s">
        <v>104</v>
      </c>
      <c r="H1707" s="4" t="str">
        <f>HYPERLINK("https://www.ncbi.nlm.nih.gov/geo/query/acc.cgi?acc=GSM461770","GSM461770")</f>
        <v>GSM461770</v>
      </c>
      <c r="I1707" t="s">
        <v>69</v>
      </c>
      <c r="J1707" t="s">
        <v>18</v>
      </c>
      <c r="K1707" t="s">
        <v>19</v>
      </c>
      <c r="L1707" t="s">
        <v>70</v>
      </c>
      <c r="M1707" t="s">
        <v>44</v>
      </c>
      <c r="N1707" t="s">
        <v>29</v>
      </c>
    </row>
    <row r="1708" spans="1:14">
      <c r="A1708" s="4" t="str">
        <f t="shared" si="147"/>
        <v>EXP00037</v>
      </c>
      <c r="B1708" s="3" t="s">
        <v>66</v>
      </c>
      <c r="C1708" s="4" t="str">
        <f t="shared" si="148"/>
        <v>GSE18549</v>
      </c>
      <c r="D1708" s="1" t="s">
        <v>45</v>
      </c>
      <c r="E1708" t="s">
        <v>101</v>
      </c>
      <c r="F1708" s="1">
        <v>3</v>
      </c>
      <c r="G1708" s="1" t="s">
        <v>104</v>
      </c>
      <c r="H1708" s="4" t="str">
        <f>HYPERLINK("https://www.ncbi.nlm.nih.gov/geo/query/acc.cgi?acc=GSM461771","GSM461771")</f>
        <v>GSM461771</v>
      </c>
      <c r="I1708" t="s">
        <v>69</v>
      </c>
      <c r="J1708" t="s">
        <v>18</v>
      </c>
      <c r="K1708" t="s">
        <v>19</v>
      </c>
      <c r="L1708" t="s">
        <v>70</v>
      </c>
      <c r="M1708" t="s">
        <v>44</v>
      </c>
      <c r="N1708" t="s">
        <v>29</v>
      </c>
    </row>
    <row r="1709" spans="1:14">
      <c r="A1709" s="4" t="str">
        <f t="shared" si="147"/>
        <v>EXP00037</v>
      </c>
      <c r="B1709" s="3" t="s">
        <v>66</v>
      </c>
      <c r="C1709" s="4" t="str">
        <f t="shared" si="148"/>
        <v>GSE18549</v>
      </c>
      <c r="D1709" s="1" t="s">
        <v>45</v>
      </c>
      <c r="E1709" t="s">
        <v>101</v>
      </c>
      <c r="F1709" s="1">
        <v>3</v>
      </c>
      <c r="G1709" s="1" t="s">
        <v>104</v>
      </c>
      <c r="H1709" s="4" t="str">
        <f>HYPERLINK("https://www.ncbi.nlm.nih.gov/geo/query/acc.cgi?acc=GSM461773","GSM461773")</f>
        <v>GSM461773</v>
      </c>
      <c r="I1709" t="s">
        <v>69</v>
      </c>
      <c r="J1709" t="s">
        <v>18</v>
      </c>
      <c r="K1709" t="s">
        <v>19</v>
      </c>
      <c r="L1709" t="s">
        <v>70</v>
      </c>
      <c r="M1709" t="s">
        <v>44</v>
      </c>
      <c r="N1709" t="s">
        <v>29</v>
      </c>
    </row>
    <row r="1710" spans="1:14">
      <c r="A1710" s="4" t="str">
        <f t="shared" si="147"/>
        <v>EXP00037</v>
      </c>
      <c r="B1710" s="3" t="s">
        <v>66</v>
      </c>
      <c r="C1710" s="4" t="str">
        <f t="shared" si="148"/>
        <v>GSE18549</v>
      </c>
      <c r="D1710" s="1" t="s">
        <v>45</v>
      </c>
      <c r="E1710" t="s">
        <v>101</v>
      </c>
      <c r="F1710" s="1">
        <v>3</v>
      </c>
      <c r="G1710" s="1" t="s">
        <v>104</v>
      </c>
      <c r="H1710" s="4" t="str">
        <f>HYPERLINK("https://www.ncbi.nlm.nih.gov/geo/query/acc.cgi?acc=GSM461775","GSM461775")</f>
        <v>GSM461775</v>
      </c>
      <c r="I1710" t="s">
        <v>69</v>
      </c>
      <c r="J1710" t="s">
        <v>18</v>
      </c>
      <c r="K1710" t="s">
        <v>19</v>
      </c>
      <c r="L1710" t="s">
        <v>70</v>
      </c>
      <c r="M1710" t="s">
        <v>44</v>
      </c>
      <c r="N1710" t="s">
        <v>29</v>
      </c>
    </row>
    <row r="1711" spans="1:14">
      <c r="A1711" s="4" t="str">
        <f t="shared" si="147"/>
        <v>EXP00037</v>
      </c>
      <c r="B1711" s="3" t="s">
        <v>66</v>
      </c>
      <c r="C1711" s="4" t="str">
        <f t="shared" si="148"/>
        <v>GSE18549</v>
      </c>
      <c r="D1711" s="1" t="s">
        <v>45</v>
      </c>
      <c r="E1711" t="s">
        <v>101</v>
      </c>
      <c r="F1711" s="1">
        <v>3</v>
      </c>
      <c r="G1711" s="1" t="s">
        <v>104</v>
      </c>
      <c r="H1711" s="4" t="str">
        <f>HYPERLINK("https://www.ncbi.nlm.nih.gov/geo/query/acc.cgi?acc=GSM461776","GSM461776")</f>
        <v>GSM461776</v>
      </c>
      <c r="I1711" t="s">
        <v>69</v>
      </c>
      <c r="J1711" t="s">
        <v>18</v>
      </c>
      <c r="K1711" t="s">
        <v>19</v>
      </c>
      <c r="L1711" t="s">
        <v>70</v>
      </c>
      <c r="M1711" t="s">
        <v>44</v>
      </c>
      <c r="N1711" t="s">
        <v>29</v>
      </c>
    </row>
    <row r="1712" spans="1:14">
      <c r="A1712" s="4" t="str">
        <f t="shared" si="147"/>
        <v>EXP00037</v>
      </c>
      <c r="B1712" s="3" t="s">
        <v>66</v>
      </c>
      <c r="C1712" s="4" t="str">
        <f t="shared" si="148"/>
        <v>GSE18549</v>
      </c>
      <c r="D1712" s="1" t="s">
        <v>45</v>
      </c>
      <c r="E1712" t="s">
        <v>101</v>
      </c>
      <c r="F1712" s="1">
        <v>3</v>
      </c>
      <c r="G1712" s="1" t="s">
        <v>104</v>
      </c>
      <c r="H1712" s="4" t="str">
        <f>HYPERLINK("https://www.ncbi.nlm.nih.gov/geo/query/acc.cgi?acc=GSM461777","GSM461777")</f>
        <v>GSM461777</v>
      </c>
      <c r="I1712" t="s">
        <v>69</v>
      </c>
      <c r="J1712" t="s">
        <v>18</v>
      </c>
      <c r="K1712" t="s">
        <v>19</v>
      </c>
      <c r="L1712" t="s">
        <v>70</v>
      </c>
      <c r="M1712" t="s">
        <v>44</v>
      </c>
      <c r="N1712" t="s">
        <v>29</v>
      </c>
    </row>
    <row r="1713" spans="1:14">
      <c r="A1713" s="4" t="str">
        <f t="shared" si="147"/>
        <v>EXP00037</v>
      </c>
      <c r="B1713" s="3" t="s">
        <v>66</v>
      </c>
      <c r="C1713" s="4" t="str">
        <f t="shared" si="148"/>
        <v>GSE18549</v>
      </c>
      <c r="D1713" s="1" t="s">
        <v>45</v>
      </c>
      <c r="E1713" t="s">
        <v>101</v>
      </c>
      <c r="F1713" s="1">
        <v>3</v>
      </c>
      <c r="G1713" s="1" t="s">
        <v>104</v>
      </c>
      <c r="H1713" s="4" t="str">
        <f>HYPERLINK("https://www.ncbi.nlm.nih.gov/geo/query/acc.cgi?acc=GSM461778","GSM461778")</f>
        <v>GSM461778</v>
      </c>
      <c r="I1713" t="s">
        <v>69</v>
      </c>
      <c r="J1713" t="s">
        <v>18</v>
      </c>
      <c r="K1713" t="s">
        <v>19</v>
      </c>
      <c r="L1713" t="s">
        <v>70</v>
      </c>
      <c r="M1713" t="s">
        <v>44</v>
      </c>
      <c r="N1713" t="s">
        <v>29</v>
      </c>
    </row>
    <row r="1714" spans="1:14">
      <c r="A1714" s="4" t="str">
        <f t="shared" si="147"/>
        <v>EXP00037</v>
      </c>
      <c r="B1714" s="3" t="s">
        <v>66</v>
      </c>
      <c r="C1714" s="4" t="str">
        <f t="shared" si="148"/>
        <v>GSE18549</v>
      </c>
      <c r="D1714" s="1" t="s">
        <v>45</v>
      </c>
      <c r="E1714" t="s">
        <v>101</v>
      </c>
      <c r="F1714" s="1">
        <v>3</v>
      </c>
      <c r="G1714" s="1" t="s">
        <v>104</v>
      </c>
      <c r="H1714" s="4" t="str">
        <f>HYPERLINK("https://www.ncbi.nlm.nih.gov/geo/query/acc.cgi?acc=GSM461779","GSM461779")</f>
        <v>GSM461779</v>
      </c>
      <c r="I1714" t="s">
        <v>69</v>
      </c>
      <c r="J1714" t="s">
        <v>18</v>
      </c>
      <c r="K1714" t="s">
        <v>19</v>
      </c>
      <c r="L1714" t="s">
        <v>70</v>
      </c>
      <c r="M1714" t="s">
        <v>44</v>
      </c>
      <c r="N1714" t="s">
        <v>29</v>
      </c>
    </row>
    <row r="1715" spans="1:14">
      <c r="A1715" s="4" t="str">
        <f t="shared" si="147"/>
        <v>EXP00037</v>
      </c>
      <c r="B1715" s="3" t="s">
        <v>66</v>
      </c>
      <c r="C1715" s="4" t="str">
        <f t="shared" si="148"/>
        <v>GSE18549</v>
      </c>
      <c r="D1715" s="1" t="s">
        <v>45</v>
      </c>
      <c r="E1715" t="s">
        <v>101</v>
      </c>
      <c r="F1715" s="1">
        <v>3</v>
      </c>
      <c r="G1715" s="1" t="s">
        <v>104</v>
      </c>
      <c r="H1715" s="4" t="str">
        <f>HYPERLINK("https://www.ncbi.nlm.nih.gov/geo/query/acc.cgi?acc=GSM461780","GSM461780")</f>
        <v>GSM461780</v>
      </c>
      <c r="I1715" t="s">
        <v>69</v>
      </c>
      <c r="J1715" t="s">
        <v>18</v>
      </c>
      <c r="K1715" t="s">
        <v>19</v>
      </c>
      <c r="L1715" t="s">
        <v>70</v>
      </c>
      <c r="M1715" t="s">
        <v>44</v>
      </c>
      <c r="N1715" t="s">
        <v>29</v>
      </c>
    </row>
    <row r="1716" spans="1:14">
      <c r="A1716" s="4" t="str">
        <f t="shared" si="147"/>
        <v>EXP00037</v>
      </c>
      <c r="B1716" s="3" t="s">
        <v>66</v>
      </c>
      <c r="C1716" s="4" t="str">
        <f t="shared" si="148"/>
        <v>GSE18549</v>
      </c>
      <c r="D1716" s="1" t="s">
        <v>45</v>
      </c>
      <c r="E1716" t="s">
        <v>101</v>
      </c>
      <c r="F1716" s="1">
        <v>3</v>
      </c>
      <c r="G1716" s="1" t="s">
        <v>104</v>
      </c>
      <c r="H1716" s="4" t="str">
        <f>HYPERLINK("https://www.ncbi.nlm.nih.gov/geo/query/acc.cgi?acc=GSM461781","GSM461781")</f>
        <v>GSM461781</v>
      </c>
      <c r="I1716" t="s">
        <v>69</v>
      </c>
      <c r="J1716" t="s">
        <v>18</v>
      </c>
      <c r="K1716" t="s">
        <v>19</v>
      </c>
      <c r="L1716" t="s">
        <v>70</v>
      </c>
      <c r="M1716" t="s">
        <v>44</v>
      </c>
      <c r="N1716" t="s">
        <v>29</v>
      </c>
    </row>
    <row r="1717" spans="1:14">
      <c r="A1717" s="4" t="str">
        <f t="shared" si="147"/>
        <v>EXP00037</v>
      </c>
      <c r="B1717" s="3" t="s">
        <v>66</v>
      </c>
      <c r="C1717" s="4" t="str">
        <f t="shared" si="148"/>
        <v>GSE18549</v>
      </c>
      <c r="D1717" s="1" t="s">
        <v>45</v>
      </c>
      <c r="E1717" t="s">
        <v>101</v>
      </c>
      <c r="F1717" s="1">
        <v>4</v>
      </c>
      <c r="G1717" s="1" t="s">
        <v>105</v>
      </c>
      <c r="H1717" s="4" t="str">
        <f>HYPERLINK("https://www.ncbi.nlm.nih.gov/geo/query/acc.cgi?acc=GSM461724","GSM461724")</f>
        <v>GSM461724</v>
      </c>
      <c r="I1717" t="s">
        <v>69</v>
      </c>
      <c r="J1717" t="s">
        <v>18</v>
      </c>
      <c r="K1717" t="s">
        <v>19</v>
      </c>
      <c r="L1717" t="s">
        <v>70</v>
      </c>
      <c r="M1717" t="s">
        <v>41</v>
      </c>
      <c r="N1717" t="s">
        <v>29</v>
      </c>
    </row>
    <row r="1718" spans="1:14">
      <c r="A1718" s="4" t="str">
        <f t="shared" si="147"/>
        <v>EXP00037</v>
      </c>
      <c r="B1718" s="3" t="s">
        <v>66</v>
      </c>
      <c r="C1718" s="4" t="str">
        <f t="shared" si="148"/>
        <v>GSE18549</v>
      </c>
      <c r="D1718" s="1" t="s">
        <v>45</v>
      </c>
      <c r="E1718" t="s">
        <v>101</v>
      </c>
      <c r="F1718" s="1">
        <v>4</v>
      </c>
      <c r="G1718" s="1" t="s">
        <v>105</v>
      </c>
      <c r="H1718" s="4" t="str">
        <f>HYPERLINK("https://www.ncbi.nlm.nih.gov/geo/query/acc.cgi?acc=GSM461729","GSM461729")</f>
        <v>GSM461729</v>
      </c>
      <c r="I1718" t="s">
        <v>69</v>
      </c>
      <c r="J1718" t="s">
        <v>18</v>
      </c>
      <c r="K1718" t="s">
        <v>19</v>
      </c>
      <c r="L1718" t="s">
        <v>70</v>
      </c>
      <c r="M1718" t="s">
        <v>41</v>
      </c>
      <c r="N1718" t="s">
        <v>29</v>
      </c>
    </row>
    <row r="1719" spans="1:14">
      <c r="A1719" s="4" t="str">
        <f t="shared" si="147"/>
        <v>EXP00037</v>
      </c>
      <c r="B1719" s="3" t="s">
        <v>66</v>
      </c>
      <c r="C1719" s="4" t="str">
        <f t="shared" si="148"/>
        <v>GSE18549</v>
      </c>
      <c r="D1719" s="1" t="s">
        <v>45</v>
      </c>
      <c r="E1719" t="s">
        <v>101</v>
      </c>
      <c r="F1719" s="1">
        <v>4</v>
      </c>
      <c r="G1719" s="1" t="s">
        <v>105</v>
      </c>
      <c r="H1719" s="4" t="str">
        <f>HYPERLINK("https://www.ncbi.nlm.nih.gov/geo/query/acc.cgi?acc=GSM461730","GSM461730")</f>
        <v>GSM461730</v>
      </c>
      <c r="I1719" t="s">
        <v>69</v>
      </c>
      <c r="J1719" t="s">
        <v>18</v>
      </c>
      <c r="K1719" t="s">
        <v>19</v>
      </c>
      <c r="L1719" t="s">
        <v>70</v>
      </c>
      <c r="M1719" t="s">
        <v>41</v>
      </c>
      <c r="N1719" t="s">
        <v>29</v>
      </c>
    </row>
    <row r="1720" spans="1:14">
      <c r="A1720" s="4" t="str">
        <f t="shared" si="147"/>
        <v>EXP00037</v>
      </c>
      <c r="B1720" s="3" t="s">
        <v>66</v>
      </c>
      <c r="C1720" s="4" t="str">
        <f t="shared" si="148"/>
        <v>GSE18549</v>
      </c>
      <c r="D1720" s="1" t="s">
        <v>45</v>
      </c>
      <c r="E1720" t="s">
        <v>101</v>
      </c>
      <c r="F1720" s="1">
        <v>4</v>
      </c>
      <c r="G1720" s="1" t="s">
        <v>105</v>
      </c>
      <c r="H1720" s="4" t="str">
        <f>HYPERLINK("https://www.ncbi.nlm.nih.gov/geo/query/acc.cgi?acc=GSM461731","GSM461731")</f>
        <v>GSM461731</v>
      </c>
      <c r="I1720" t="s">
        <v>69</v>
      </c>
      <c r="J1720" t="s">
        <v>18</v>
      </c>
      <c r="K1720" t="s">
        <v>19</v>
      </c>
      <c r="L1720" t="s">
        <v>70</v>
      </c>
      <c r="M1720" t="s">
        <v>41</v>
      </c>
      <c r="N1720" t="s">
        <v>29</v>
      </c>
    </row>
    <row r="1721" spans="1:14">
      <c r="A1721" s="4" t="str">
        <f t="shared" si="147"/>
        <v>EXP00037</v>
      </c>
      <c r="B1721" s="3" t="s">
        <v>66</v>
      </c>
      <c r="C1721" s="4" t="str">
        <f t="shared" si="148"/>
        <v>GSE18549</v>
      </c>
      <c r="D1721" s="1" t="s">
        <v>45</v>
      </c>
      <c r="E1721" t="s">
        <v>101</v>
      </c>
      <c r="F1721" s="1">
        <v>4</v>
      </c>
      <c r="G1721" s="1" t="s">
        <v>105</v>
      </c>
      <c r="H1721" s="4" t="str">
        <f>HYPERLINK("https://www.ncbi.nlm.nih.gov/geo/query/acc.cgi?acc=GSM461764","GSM461764")</f>
        <v>GSM461764</v>
      </c>
      <c r="I1721" t="s">
        <v>69</v>
      </c>
      <c r="J1721" t="s">
        <v>18</v>
      </c>
      <c r="K1721" t="s">
        <v>19</v>
      </c>
      <c r="L1721" t="s">
        <v>70</v>
      </c>
      <c r="M1721" t="s">
        <v>41</v>
      </c>
      <c r="N1721" t="s">
        <v>29</v>
      </c>
    </row>
    <row r="1722" spans="1:14">
      <c r="A1722" s="4" t="str">
        <f t="shared" si="147"/>
        <v>EXP00037</v>
      </c>
      <c r="B1722" s="3" t="s">
        <v>66</v>
      </c>
      <c r="C1722" s="4" t="str">
        <f t="shared" si="148"/>
        <v>GSE18549</v>
      </c>
      <c r="D1722" s="1" t="s">
        <v>45</v>
      </c>
      <c r="E1722" t="s">
        <v>101</v>
      </c>
      <c r="F1722" s="1">
        <v>4</v>
      </c>
      <c r="G1722" s="1" t="s">
        <v>105</v>
      </c>
      <c r="H1722" s="4" t="str">
        <f>HYPERLINK("https://www.ncbi.nlm.nih.gov/geo/query/acc.cgi?acc=GSM461772","GSM461772")</f>
        <v>GSM461772</v>
      </c>
      <c r="I1722" t="s">
        <v>69</v>
      </c>
      <c r="J1722" t="s">
        <v>18</v>
      </c>
      <c r="K1722" t="s">
        <v>19</v>
      </c>
      <c r="L1722" t="s">
        <v>70</v>
      </c>
      <c r="M1722" t="s">
        <v>41</v>
      </c>
      <c r="N1722" t="s">
        <v>29</v>
      </c>
    </row>
    <row r="1723" spans="1:14">
      <c r="A1723" s="4" t="str">
        <f t="shared" ref="A1723:A1731" si="149">HYPERLINK("http://hcmdb.i-sanger.com/experiment/details/experiment_id/EXP00038","EXP00038")</f>
        <v>EXP00038</v>
      </c>
      <c r="B1723" s="3" t="s">
        <v>66</v>
      </c>
      <c r="C1723" s="4" t="str">
        <f t="shared" si="148"/>
        <v>GSE18549</v>
      </c>
      <c r="D1723" s="1" t="s">
        <v>45</v>
      </c>
      <c r="E1723" t="s">
        <v>106</v>
      </c>
      <c r="F1723" s="1">
        <v>1</v>
      </c>
      <c r="G1723" s="1" t="s">
        <v>107</v>
      </c>
      <c r="H1723" s="4" t="str">
        <f>HYPERLINK("https://www.ncbi.nlm.nih.gov/geo/query/acc.cgi?acc=GSM461786","GSM461786")</f>
        <v>GSM461786</v>
      </c>
      <c r="I1723" t="s">
        <v>108</v>
      </c>
      <c r="J1723" t="s">
        <v>18</v>
      </c>
      <c r="K1723" t="s">
        <v>19</v>
      </c>
      <c r="L1723" t="s">
        <v>41</v>
      </c>
      <c r="M1723" t="s">
        <v>21</v>
      </c>
      <c r="N1723" t="s">
        <v>29</v>
      </c>
    </row>
    <row r="1724" spans="1:14">
      <c r="A1724" s="4" t="str">
        <f t="shared" si="149"/>
        <v>EXP00038</v>
      </c>
      <c r="B1724" s="3" t="s">
        <v>66</v>
      </c>
      <c r="C1724" s="4" t="str">
        <f t="shared" si="148"/>
        <v>GSE18549</v>
      </c>
      <c r="D1724" s="1" t="s">
        <v>45</v>
      </c>
      <c r="E1724" t="s">
        <v>106</v>
      </c>
      <c r="F1724" s="1">
        <v>1</v>
      </c>
      <c r="G1724" s="1" t="s">
        <v>107</v>
      </c>
      <c r="H1724" s="4" t="str">
        <f>HYPERLINK("https://www.ncbi.nlm.nih.gov/geo/query/acc.cgi?acc=GSM461788","GSM461788")</f>
        <v>GSM461788</v>
      </c>
      <c r="I1724" t="s">
        <v>108</v>
      </c>
      <c r="J1724" t="s">
        <v>18</v>
      </c>
      <c r="K1724" t="s">
        <v>19</v>
      </c>
      <c r="L1724" t="s">
        <v>41</v>
      </c>
      <c r="M1724" t="s">
        <v>21</v>
      </c>
      <c r="N1724" t="s">
        <v>29</v>
      </c>
    </row>
    <row r="1725" spans="1:14">
      <c r="A1725" s="4" t="str">
        <f t="shared" si="149"/>
        <v>EXP00038</v>
      </c>
      <c r="B1725" s="3" t="s">
        <v>66</v>
      </c>
      <c r="C1725" s="4" t="str">
        <f t="shared" si="148"/>
        <v>GSE18549</v>
      </c>
      <c r="D1725" s="1" t="s">
        <v>45</v>
      </c>
      <c r="E1725" t="s">
        <v>106</v>
      </c>
      <c r="F1725" s="1">
        <v>1</v>
      </c>
      <c r="G1725" s="1" t="s">
        <v>107</v>
      </c>
      <c r="H1725" s="4" t="str">
        <f>HYPERLINK("https://www.ncbi.nlm.nih.gov/geo/query/acc.cgi?acc=GSM461790","GSM461790")</f>
        <v>GSM461790</v>
      </c>
      <c r="I1725" t="s">
        <v>108</v>
      </c>
      <c r="J1725" t="s">
        <v>18</v>
      </c>
      <c r="K1725" t="s">
        <v>19</v>
      </c>
      <c r="L1725" t="s">
        <v>41</v>
      </c>
      <c r="M1725" t="s">
        <v>21</v>
      </c>
      <c r="N1725" t="s">
        <v>29</v>
      </c>
    </row>
    <row r="1726" spans="1:14">
      <c r="A1726" s="4" t="str">
        <f t="shared" si="149"/>
        <v>EXP00038</v>
      </c>
      <c r="B1726" s="3" t="s">
        <v>66</v>
      </c>
      <c r="C1726" s="4" t="str">
        <f t="shared" si="148"/>
        <v>GSE18549</v>
      </c>
      <c r="D1726" s="1" t="s">
        <v>45</v>
      </c>
      <c r="E1726" t="s">
        <v>106</v>
      </c>
      <c r="F1726" s="1">
        <v>1</v>
      </c>
      <c r="G1726" s="1" t="s">
        <v>107</v>
      </c>
      <c r="H1726" s="4" t="str">
        <f>HYPERLINK("https://www.ncbi.nlm.nih.gov/geo/query/acc.cgi?acc=GSM461792","GSM461792")</f>
        <v>GSM461792</v>
      </c>
      <c r="I1726" t="s">
        <v>108</v>
      </c>
      <c r="J1726" t="s">
        <v>18</v>
      </c>
      <c r="K1726" t="s">
        <v>19</v>
      </c>
      <c r="L1726" t="s">
        <v>41</v>
      </c>
      <c r="M1726" t="s">
        <v>21</v>
      </c>
      <c r="N1726" t="s">
        <v>29</v>
      </c>
    </row>
    <row r="1727" spans="1:14">
      <c r="A1727" s="4" t="str">
        <f t="shared" si="149"/>
        <v>EXP00038</v>
      </c>
      <c r="B1727" s="3" t="s">
        <v>66</v>
      </c>
      <c r="C1727" s="4" t="str">
        <f t="shared" si="148"/>
        <v>GSE18549</v>
      </c>
      <c r="D1727" s="1" t="s">
        <v>45</v>
      </c>
      <c r="E1727" t="s">
        <v>106</v>
      </c>
      <c r="F1727" s="1">
        <v>1</v>
      </c>
      <c r="G1727" s="1" t="s">
        <v>107</v>
      </c>
      <c r="H1727" s="4" t="str">
        <f>HYPERLINK("https://www.ncbi.nlm.nih.gov/geo/query/acc.cgi?acc=GSM461793","GSM461793")</f>
        <v>GSM461793</v>
      </c>
      <c r="I1727" t="s">
        <v>108</v>
      </c>
      <c r="J1727" t="s">
        <v>18</v>
      </c>
      <c r="K1727" t="s">
        <v>19</v>
      </c>
      <c r="L1727" t="s">
        <v>41</v>
      </c>
      <c r="M1727" t="s">
        <v>21</v>
      </c>
      <c r="N1727" t="s">
        <v>29</v>
      </c>
    </row>
    <row r="1728" spans="1:14">
      <c r="A1728" s="4" t="str">
        <f t="shared" si="149"/>
        <v>EXP00038</v>
      </c>
      <c r="B1728" s="3" t="s">
        <v>66</v>
      </c>
      <c r="C1728" s="4" t="str">
        <f t="shared" si="148"/>
        <v>GSE18549</v>
      </c>
      <c r="D1728" s="1" t="s">
        <v>45</v>
      </c>
      <c r="E1728" t="s">
        <v>106</v>
      </c>
      <c r="F1728" s="1">
        <v>1</v>
      </c>
      <c r="G1728" s="1" t="s">
        <v>107</v>
      </c>
      <c r="H1728" s="4" t="str">
        <f>HYPERLINK("https://www.ncbi.nlm.nih.gov/geo/query/acc.cgi?acc=GSM461794","GSM461794")</f>
        <v>GSM461794</v>
      </c>
      <c r="I1728" t="s">
        <v>108</v>
      </c>
      <c r="J1728" t="s">
        <v>18</v>
      </c>
      <c r="K1728" t="s">
        <v>19</v>
      </c>
      <c r="L1728" t="s">
        <v>41</v>
      </c>
      <c r="M1728" t="s">
        <v>21</v>
      </c>
      <c r="N1728" t="s">
        <v>29</v>
      </c>
    </row>
    <row r="1729" spans="1:14">
      <c r="A1729" s="4" t="str">
        <f t="shared" si="149"/>
        <v>EXP00038</v>
      </c>
      <c r="B1729" s="3" t="s">
        <v>66</v>
      </c>
      <c r="C1729" s="4" t="str">
        <f t="shared" si="148"/>
        <v>GSE18549</v>
      </c>
      <c r="D1729" s="1" t="s">
        <v>45</v>
      </c>
      <c r="E1729" t="s">
        <v>106</v>
      </c>
      <c r="F1729" s="1">
        <v>2</v>
      </c>
      <c r="G1729" s="1" t="s">
        <v>109</v>
      </c>
      <c r="H1729" s="4" t="str">
        <f>HYPERLINK("https://www.ncbi.nlm.nih.gov/geo/query/acc.cgi?acc=GSM461795","GSM461795")</f>
        <v>GSM461795</v>
      </c>
      <c r="I1729" t="s">
        <v>108</v>
      </c>
      <c r="J1729" t="s">
        <v>18</v>
      </c>
      <c r="K1729" t="s">
        <v>19</v>
      </c>
      <c r="L1729" t="s">
        <v>41</v>
      </c>
      <c r="M1729" t="s">
        <v>24</v>
      </c>
      <c r="N1729" t="s">
        <v>29</v>
      </c>
    </row>
    <row r="1730" spans="1:14">
      <c r="A1730" s="4" t="str">
        <f t="shared" si="149"/>
        <v>EXP00038</v>
      </c>
      <c r="B1730" s="3" t="s">
        <v>66</v>
      </c>
      <c r="C1730" s="4" t="str">
        <f t="shared" si="148"/>
        <v>GSE18549</v>
      </c>
      <c r="D1730" s="1" t="s">
        <v>45</v>
      </c>
      <c r="E1730" t="s">
        <v>106</v>
      </c>
      <c r="F1730" s="1">
        <v>2</v>
      </c>
      <c r="G1730" s="1" t="s">
        <v>109</v>
      </c>
      <c r="H1730" s="4" t="str">
        <f>HYPERLINK("https://www.ncbi.nlm.nih.gov/geo/query/acc.cgi?acc=GSM461796","GSM461796")</f>
        <v>GSM461796</v>
      </c>
      <c r="I1730" t="s">
        <v>108</v>
      </c>
      <c r="J1730" t="s">
        <v>18</v>
      </c>
      <c r="K1730" t="s">
        <v>19</v>
      </c>
      <c r="L1730" t="s">
        <v>41</v>
      </c>
      <c r="M1730" t="s">
        <v>24</v>
      </c>
      <c r="N1730" t="s">
        <v>29</v>
      </c>
    </row>
    <row r="1731" spans="1:14">
      <c r="A1731" s="4" t="str">
        <f t="shared" si="149"/>
        <v>EXP00038</v>
      </c>
      <c r="B1731" s="3" t="s">
        <v>66</v>
      </c>
      <c r="C1731" s="4" t="str">
        <f t="shared" si="148"/>
        <v>GSE18549</v>
      </c>
      <c r="D1731" s="1" t="s">
        <v>45</v>
      </c>
      <c r="E1731" t="s">
        <v>106</v>
      </c>
      <c r="F1731" s="1">
        <v>2</v>
      </c>
      <c r="G1731" s="1" t="s">
        <v>109</v>
      </c>
      <c r="H1731" s="4" t="str">
        <f>HYPERLINK("https://www.ncbi.nlm.nih.gov/geo/query/acc.cgi?acc=GSM461797","GSM461797")</f>
        <v>GSM461797</v>
      </c>
      <c r="I1731" t="s">
        <v>108</v>
      </c>
      <c r="J1731" t="s">
        <v>18</v>
      </c>
      <c r="K1731" t="s">
        <v>19</v>
      </c>
      <c r="L1731" t="s">
        <v>41</v>
      </c>
      <c r="M1731" t="s">
        <v>24</v>
      </c>
      <c r="N1731" t="s">
        <v>29</v>
      </c>
    </row>
    <row r="1732" spans="1:14">
      <c r="A1732" s="4" t="str">
        <f t="shared" ref="A1732:A1740" si="150">HYPERLINK("http://hcmdb.i-sanger.com/experiment/details/experiment_id/EXP00039","EXP00039")</f>
        <v>EXP00039</v>
      </c>
      <c r="B1732" s="4" t="str">
        <f t="shared" ref="B1732:B1779" si="151">HYPERLINK("https://www.ncbi.nlm.nih.gov/pubmed/23007696","23007696")</f>
        <v>23007696</v>
      </c>
      <c r="C1732" s="4" t="str">
        <f t="shared" ref="C1732:C1755" si="152">HYPERLINK("https://www.ncbi.nlm.nih.gov/geo/query/acc.cgi?acc=GSE19279","GSE19279")</f>
        <v>GSE19279</v>
      </c>
      <c r="D1732" s="1" t="s">
        <v>62</v>
      </c>
      <c r="E1732" t="s">
        <v>110</v>
      </c>
      <c r="F1732" s="1">
        <v>1</v>
      </c>
      <c r="G1732" s="1" t="s">
        <v>26</v>
      </c>
      <c r="H1732" s="4" t="str">
        <f>HYPERLINK("https://www.ncbi.nlm.nih.gov/geo/query/acc.cgi?acc=GSM478465","GSM478465")</f>
        <v>GSM478465</v>
      </c>
      <c r="I1732" t="s">
        <v>111</v>
      </c>
      <c r="J1732" t="s">
        <v>112</v>
      </c>
      <c r="K1732" t="s">
        <v>19</v>
      </c>
      <c r="L1732" t="s">
        <v>113</v>
      </c>
      <c r="M1732" t="s">
        <v>44</v>
      </c>
      <c r="N1732" t="s">
        <v>22</v>
      </c>
    </row>
    <row r="1733" spans="1:14">
      <c r="A1733" s="4" t="str">
        <f t="shared" si="150"/>
        <v>EXP00039</v>
      </c>
      <c r="B1733" s="4" t="str">
        <f t="shared" si="151"/>
        <v>23007696</v>
      </c>
      <c r="C1733" s="4" t="str">
        <f t="shared" si="152"/>
        <v>GSE19279</v>
      </c>
      <c r="D1733" s="1" t="s">
        <v>62</v>
      </c>
      <c r="E1733" t="s">
        <v>110</v>
      </c>
      <c r="F1733" s="1">
        <v>1</v>
      </c>
      <c r="G1733" s="1" t="s">
        <v>26</v>
      </c>
      <c r="H1733" s="4" t="str">
        <f>HYPERLINK("https://www.ncbi.nlm.nih.gov/geo/query/acc.cgi?acc=GSM478466","GSM478466")</f>
        <v>GSM478466</v>
      </c>
      <c r="I1733" t="s">
        <v>111</v>
      </c>
      <c r="J1733" t="s">
        <v>112</v>
      </c>
      <c r="K1733" t="s">
        <v>19</v>
      </c>
      <c r="L1733" t="s">
        <v>113</v>
      </c>
      <c r="M1733" t="s">
        <v>44</v>
      </c>
      <c r="N1733" t="s">
        <v>22</v>
      </c>
    </row>
    <row r="1734" spans="1:14">
      <c r="A1734" s="4" t="str">
        <f t="shared" si="150"/>
        <v>EXP00039</v>
      </c>
      <c r="B1734" s="4" t="str">
        <f t="shared" si="151"/>
        <v>23007696</v>
      </c>
      <c r="C1734" s="4" t="str">
        <f t="shared" si="152"/>
        <v>GSE19279</v>
      </c>
      <c r="D1734" s="1" t="s">
        <v>62</v>
      </c>
      <c r="E1734" t="s">
        <v>110</v>
      </c>
      <c r="F1734" s="1">
        <v>1</v>
      </c>
      <c r="G1734" s="1" t="s">
        <v>26</v>
      </c>
      <c r="H1734" s="4" t="str">
        <f>HYPERLINK("https://www.ncbi.nlm.nih.gov/geo/query/acc.cgi?acc=GSM478467","GSM478467")</f>
        <v>GSM478467</v>
      </c>
      <c r="I1734" t="s">
        <v>111</v>
      </c>
      <c r="J1734" t="s">
        <v>112</v>
      </c>
      <c r="K1734" t="s">
        <v>19</v>
      </c>
      <c r="L1734" t="s">
        <v>113</v>
      </c>
      <c r="M1734" t="s">
        <v>44</v>
      </c>
      <c r="N1734" t="s">
        <v>22</v>
      </c>
    </row>
    <row r="1735" spans="1:14">
      <c r="A1735" s="4" t="str">
        <f t="shared" si="150"/>
        <v>EXP00039</v>
      </c>
      <c r="B1735" s="4" t="str">
        <f t="shared" si="151"/>
        <v>23007696</v>
      </c>
      <c r="C1735" s="4" t="str">
        <f t="shared" si="152"/>
        <v>GSE19279</v>
      </c>
      <c r="D1735" s="1" t="s">
        <v>62</v>
      </c>
      <c r="E1735" t="s">
        <v>110</v>
      </c>
      <c r="F1735" s="1">
        <v>1</v>
      </c>
      <c r="G1735" s="1" t="s">
        <v>26</v>
      </c>
      <c r="H1735" s="4" t="str">
        <f>HYPERLINK("https://www.ncbi.nlm.nih.gov/geo/query/acc.cgi?acc=GSM478468","GSM478468")</f>
        <v>GSM478468</v>
      </c>
      <c r="I1735" t="s">
        <v>111</v>
      </c>
      <c r="J1735" t="s">
        <v>112</v>
      </c>
      <c r="K1735" t="s">
        <v>19</v>
      </c>
      <c r="L1735" t="s">
        <v>113</v>
      </c>
      <c r="M1735" t="s">
        <v>44</v>
      </c>
      <c r="N1735" t="s">
        <v>22</v>
      </c>
    </row>
    <row r="1736" spans="1:14">
      <c r="A1736" s="4" t="str">
        <f t="shared" si="150"/>
        <v>EXP00039</v>
      </c>
      <c r="B1736" s="4" t="str">
        <f t="shared" si="151"/>
        <v>23007696</v>
      </c>
      <c r="C1736" s="4" t="str">
        <f t="shared" si="152"/>
        <v>GSE19279</v>
      </c>
      <c r="D1736" s="1" t="s">
        <v>62</v>
      </c>
      <c r="E1736" t="s">
        <v>110</v>
      </c>
      <c r="F1736" s="1">
        <v>1</v>
      </c>
      <c r="G1736" s="1" t="s">
        <v>26</v>
      </c>
      <c r="H1736" s="4" t="str">
        <f>HYPERLINK("https://www.ncbi.nlm.nih.gov/geo/query/acc.cgi?acc=GSM478469","GSM478469")</f>
        <v>GSM478469</v>
      </c>
      <c r="I1736" t="s">
        <v>111</v>
      </c>
      <c r="J1736" t="s">
        <v>112</v>
      </c>
      <c r="K1736" t="s">
        <v>19</v>
      </c>
      <c r="L1736" t="s">
        <v>113</v>
      </c>
      <c r="M1736" t="s">
        <v>44</v>
      </c>
      <c r="N1736" t="s">
        <v>22</v>
      </c>
    </row>
    <row r="1737" spans="1:14">
      <c r="A1737" s="4" t="str">
        <f t="shared" si="150"/>
        <v>EXP00039</v>
      </c>
      <c r="B1737" s="4" t="str">
        <f t="shared" si="151"/>
        <v>23007696</v>
      </c>
      <c r="C1737" s="4" t="str">
        <f t="shared" si="152"/>
        <v>GSE19279</v>
      </c>
      <c r="D1737" s="1" t="s">
        <v>62</v>
      </c>
      <c r="E1737" t="s">
        <v>110</v>
      </c>
      <c r="F1737" s="1">
        <v>2</v>
      </c>
      <c r="G1737" s="1" t="s">
        <v>28</v>
      </c>
      <c r="H1737" s="4" t="str">
        <f>HYPERLINK("https://www.ncbi.nlm.nih.gov/geo/query/acc.cgi?acc=GSM478458","GSM478458")</f>
        <v>GSM478458</v>
      </c>
      <c r="I1737" t="s">
        <v>111</v>
      </c>
      <c r="J1737" t="s">
        <v>112</v>
      </c>
      <c r="K1737" t="s">
        <v>19</v>
      </c>
      <c r="L1737" t="s">
        <v>113</v>
      </c>
      <c r="M1737" t="s">
        <v>44</v>
      </c>
      <c r="N1737" t="s">
        <v>29</v>
      </c>
    </row>
    <row r="1738" spans="1:14">
      <c r="A1738" s="4" t="str">
        <f t="shared" si="150"/>
        <v>EXP00039</v>
      </c>
      <c r="B1738" s="4" t="str">
        <f t="shared" si="151"/>
        <v>23007696</v>
      </c>
      <c r="C1738" s="4" t="str">
        <f t="shared" si="152"/>
        <v>GSE19279</v>
      </c>
      <c r="D1738" s="1" t="s">
        <v>62</v>
      </c>
      <c r="E1738" t="s">
        <v>110</v>
      </c>
      <c r="F1738" s="1">
        <v>2</v>
      </c>
      <c r="G1738" s="1" t="s">
        <v>28</v>
      </c>
      <c r="H1738" s="4" t="str">
        <f>HYPERLINK("https://www.ncbi.nlm.nih.gov/geo/query/acc.cgi?acc=GSM478459","GSM478459")</f>
        <v>GSM478459</v>
      </c>
      <c r="I1738" t="s">
        <v>111</v>
      </c>
      <c r="J1738" t="s">
        <v>112</v>
      </c>
      <c r="K1738" t="s">
        <v>19</v>
      </c>
      <c r="L1738" t="s">
        <v>113</v>
      </c>
      <c r="M1738" t="s">
        <v>44</v>
      </c>
      <c r="N1738" t="s">
        <v>29</v>
      </c>
    </row>
    <row r="1739" spans="1:14">
      <c r="A1739" s="4" t="str">
        <f t="shared" si="150"/>
        <v>EXP00039</v>
      </c>
      <c r="B1739" s="4" t="str">
        <f t="shared" si="151"/>
        <v>23007696</v>
      </c>
      <c r="C1739" s="4" t="str">
        <f t="shared" si="152"/>
        <v>GSE19279</v>
      </c>
      <c r="D1739" s="1" t="s">
        <v>62</v>
      </c>
      <c r="E1739" t="s">
        <v>110</v>
      </c>
      <c r="F1739" s="1">
        <v>2</v>
      </c>
      <c r="G1739" s="1" t="s">
        <v>28</v>
      </c>
      <c r="H1739" s="4" t="str">
        <f>HYPERLINK("https://www.ncbi.nlm.nih.gov/geo/query/acc.cgi?acc=GSM478460","GSM478460")</f>
        <v>GSM478460</v>
      </c>
      <c r="I1739" t="s">
        <v>111</v>
      </c>
      <c r="J1739" t="s">
        <v>112</v>
      </c>
      <c r="K1739" t="s">
        <v>19</v>
      </c>
      <c r="L1739" t="s">
        <v>113</v>
      </c>
      <c r="M1739" t="s">
        <v>44</v>
      </c>
      <c r="N1739" t="s">
        <v>29</v>
      </c>
    </row>
    <row r="1740" spans="1:14">
      <c r="A1740" s="4" t="str">
        <f t="shared" si="150"/>
        <v>EXP00039</v>
      </c>
      <c r="B1740" s="4" t="str">
        <f t="shared" si="151"/>
        <v>23007696</v>
      </c>
      <c r="C1740" s="4" t="str">
        <f t="shared" si="152"/>
        <v>GSE19279</v>
      </c>
      <c r="D1740" s="1" t="s">
        <v>62</v>
      </c>
      <c r="E1740" t="s">
        <v>110</v>
      </c>
      <c r="F1740" s="1">
        <v>2</v>
      </c>
      <c r="G1740" s="1" t="s">
        <v>28</v>
      </c>
      <c r="H1740" s="4" t="str">
        <f>HYPERLINK("https://www.ncbi.nlm.nih.gov/geo/query/acc.cgi?acc=GSM478461","GSM478461")</f>
        <v>GSM478461</v>
      </c>
      <c r="I1740" t="s">
        <v>111</v>
      </c>
      <c r="J1740" t="s">
        <v>112</v>
      </c>
      <c r="K1740" t="s">
        <v>19</v>
      </c>
      <c r="L1740" t="s">
        <v>113</v>
      </c>
      <c r="M1740" t="s">
        <v>44</v>
      </c>
      <c r="N1740" t="s">
        <v>29</v>
      </c>
    </row>
    <row r="1741" spans="1:14">
      <c r="A1741" s="4" t="str">
        <f t="shared" ref="A1741:A1747" si="153">HYPERLINK("http://hcmdb.i-sanger.com/experiment/details/experiment_id/EXP00040","EXP00040")</f>
        <v>EXP00040</v>
      </c>
      <c r="B1741" s="4" t="str">
        <f t="shared" si="151"/>
        <v>23007696</v>
      </c>
      <c r="C1741" s="4" t="str">
        <f t="shared" si="152"/>
        <v>GSE19279</v>
      </c>
      <c r="D1741" s="1" t="s">
        <v>62</v>
      </c>
      <c r="E1741" t="s">
        <v>114</v>
      </c>
      <c r="F1741" s="1">
        <v>1</v>
      </c>
      <c r="G1741" s="1" t="s">
        <v>36</v>
      </c>
      <c r="H1741" s="4" t="str">
        <f>HYPERLINK("https://www.ncbi.nlm.nih.gov/geo/query/acc.cgi?acc=GSM478455","GSM478455")</f>
        <v>GSM478455</v>
      </c>
      <c r="I1741" t="s">
        <v>111</v>
      </c>
      <c r="J1741" t="s">
        <v>112</v>
      </c>
      <c r="K1741" t="s">
        <v>19</v>
      </c>
      <c r="L1741" t="s">
        <v>113</v>
      </c>
      <c r="M1741" t="s">
        <v>44</v>
      </c>
      <c r="N1741" t="s">
        <v>37</v>
      </c>
    </row>
    <row r="1742" spans="1:14">
      <c r="A1742" s="4" t="str">
        <f t="shared" si="153"/>
        <v>EXP00040</v>
      </c>
      <c r="B1742" s="4" t="str">
        <f t="shared" si="151"/>
        <v>23007696</v>
      </c>
      <c r="C1742" s="4" t="str">
        <f t="shared" si="152"/>
        <v>GSE19279</v>
      </c>
      <c r="D1742" s="1" t="s">
        <v>62</v>
      </c>
      <c r="E1742" t="s">
        <v>114</v>
      </c>
      <c r="F1742" s="1">
        <v>1</v>
      </c>
      <c r="G1742" s="1" t="s">
        <v>36</v>
      </c>
      <c r="H1742" s="4" t="str">
        <f>HYPERLINK("https://www.ncbi.nlm.nih.gov/geo/query/acc.cgi?acc=GSM478456","GSM478456")</f>
        <v>GSM478456</v>
      </c>
      <c r="I1742" t="s">
        <v>111</v>
      </c>
      <c r="J1742" t="s">
        <v>112</v>
      </c>
      <c r="K1742" t="s">
        <v>19</v>
      </c>
      <c r="L1742" t="s">
        <v>113</v>
      </c>
      <c r="M1742" t="s">
        <v>44</v>
      </c>
      <c r="N1742" t="s">
        <v>37</v>
      </c>
    </row>
    <row r="1743" spans="1:14">
      <c r="A1743" s="4" t="str">
        <f t="shared" si="153"/>
        <v>EXP00040</v>
      </c>
      <c r="B1743" s="4" t="str">
        <f t="shared" si="151"/>
        <v>23007696</v>
      </c>
      <c r="C1743" s="4" t="str">
        <f t="shared" si="152"/>
        <v>GSE19279</v>
      </c>
      <c r="D1743" s="1" t="s">
        <v>62</v>
      </c>
      <c r="E1743" t="s">
        <v>114</v>
      </c>
      <c r="F1743" s="1">
        <v>1</v>
      </c>
      <c r="G1743" s="1" t="s">
        <v>36</v>
      </c>
      <c r="H1743" s="4" t="str">
        <f>HYPERLINK("https://www.ncbi.nlm.nih.gov/geo/query/acc.cgi?acc=GSM478457","GSM478457")</f>
        <v>GSM478457</v>
      </c>
      <c r="I1743" t="s">
        <v>111</v>
      </c>
      <c r="J1743" t="s">
        <v>112</v>
      </c>
      <c r="K1743" t="s">
        <v>19</v>
      </c>
      <c r="L1743" t="s">
        <v>113</v>
      </c>
      <c r="M1743" t="s">
        <v>44</v>
      </c>
      <c r="N1743" t="s">
        <v>37</v>
      </c>
    </row>
    <row r="1744" spans="1:14">
      <c r="A1744" s="4" t="str">
        <f t="shared" si="153"/>
        <v>EXP00040</v>
      </c>
      <c r="B1744" s="4" t="str">
        <f t="shared" si="151"/>
        <v>23007696</v>
      </c>
      <c r="C1744" s="4" t="str">
        <f t="shared" si="152"/>
        <v>GSE19279</v>
      </c>
      <c r="D1744" s="1" t="s">
        <v>62</v>
      </c>
      <c r="E1744" t="s">
        <v>114</v>
      </c>
      <c r="F1744" s="1">
        <v>2</v>
      </c>
      <c r="G1744" s="1" t="s">
        <v>28</v>
      </c>
      <c r="H1744" s="4" t="str">
        <f>HYPERLINK("https://www.ncbi.nlm.nih.gov/geo/query/acc.cgi?acc=GSM478458","GSM478458")</f>
        <v>GSM478458</v>
      </c>
      <c r="I1744" t="s">
        <v>111</v>
      </c>
      <c r="J1744" t="s">
        <v>112</v>
      </c>
      <c r="K1744" t="s">
        <v>19</v>
      </c>
      <c r="L1744" t="s">
        <v>113</v>
      </c>
      <c r="M1744" t="s">
        <v>44</v>
      </c>
      <c r="N1744" t="s">
        <v>29</v>
      </c>
    </row>
    <row r="1745" spans="1:14">
      <c r="A1745" s="4" t="str">
        <f t="shared" si="153"/>
        <v>EXP00040</v>
      </c>
      <c r="B1745" s="4" t="str">
        <f t="shared" si="151"/>
        <v>23007696</v>
      </c>
      <c r="C1745" s="4" t="str">
        <f t="shared" si="152"/>
        <v>GSE19279</v>
      </c>
      <c r="D1745" s="1" t="s">
        <v>62</v>
      </c>
      <c r="E1745" t="s">
        <v>114</v>
      </c>
      <c r="F1745" s="1">
        <v>2</v>
      </c>
      <c r="G1745" s="1" t="s">
        <v>28</v>
      </c>
      <c r="H1745" s="4" t="str">
        <f>HYPERLINK("https://www.ncbi.nlm.nih.gov/geo/query/acc.cgi?acc=GSM478459","GSM478459")</f>
        <v>GSM478459</v>
      </c>
      <c r="I1745" t="s">
        <v>111</v>
      </c>
      <c r="J1745" t="s">
        <v>112</v>
      </c>
      <c r="K1745" t="s">
        <v>19</v>
      </c>
      <c r="L1745" t="s">
        <v>113</v>
      </c>
      <c r="M1745" t="s">
        <v>44</v>
      </c>
      <c r="N1745" t="s">
        <v>29</v>
      </c>
    </row>
    <row r="1746" spans="1:14">
      <c r="A1746" s="4" t="str">
        <f t="shared" si="153"/>
        <v>EXP00040</v>
      </c>
      <c r="B1746" s="4" t="str">
        <f t="shared" si="151"/>
        <v>23007696</v>
      </c>
      <c r="C1746" s="4" t="str">
        <f t="shared" si="152"/>
        <v>GSE19279</v>
      </c>
      <c r="D1746" s="1" t="s">
        <v>62</v>
      </c>
      <c r="E1746" t="s">
        <v>114</v>
      </c>
      <c r="F1746" s="1">
        <v>2</v>
      </c>
      <c r="G1746" s="1" t="s">
        <v>28</v>
      </c>
      <c r="H1746" s="4" t="str">
        <f>HYPERLINK("https://www.ncbi.nlm.nih.gov/geo/query/acc.cgi?acc=GSM478460","GSM478460")</f>
        <v>GSM478460</v>
      </c>
      <c r="I1746" t="s">
        <v>111</v>
      </c>
      <c r="J1746" t="s">
        <v>112</v>
      </c>
      <c r="K1746" t="s">
        <v>19</v>
      </c>
      <c r="L1746" t="s">
        <v>113</v>
      </c>
      <c r="M1746" t="s">
        <v>44</v>
      </c>
      <c r="N1746" t="s">
        <v>29</v>
      </c>
    </row>
    <row r="1747" spans="1:14">
      <c r="A1747" s="4" t="str">
        <f t="shared" si="153"/>
        <v>EXP00040</v>
      </c>
      <c r="B1747" s="4" t="str">
        <f t="shared" si="151"/>
        <v>23007696</v>
      </c>
      <c r="C1747" s="4" t="str">
        <f t="shared" si="152"/>
        <v>GSE19279</v>
      </c>
      <c r="D1747" s="1" t="s">
        <v>62</v>
      </c>
      <c r="E1747" t="s">
        <v>114</v>
      </c>
      <c r="F1747" s="1">
        <v>2</v>
      </c>
      <c r="G1747" s="1" t="s">
        <v>28</v>
      </c>
      <c r="H1747" s="4" t="str">
        <f>HYPERLINK("https://www.ncbi.nlm.nih.gov/geo/query/acc.cgi?acc=GSM478461","GSM478461")</f>
        <v>GSM478461</v>
      </c>
      <c r="I1747" t="s">
        <v>111</v>
      </c>
      <c r="J1747" t="s">
        <v>112</v>
      </c>
      <c r="K1747" t="s">
        <v>19</v>
      </c>
      <c r="L1747" t="s">
        <v>113</v>
      </c>
      <c r="M1747" t="s">
        <v>44</v>
      </c>
      <c r="N1747" t="s">
        <v>29</v>
      </c>
    </row>
    <row r="1748" spans="1:14">
      <c r="A1748" s="4" t="str">
        <f t="shared" ref="A1748:A1755" si="154">HYPERLINK("http://hcmdb.i-sanger.com/experiment/details/experiment_id/EXP00041","EXP00041")</f>
        <v>EXP00041</v>
      </c>
      <c r="B1748" s="4" t="str">
        <f t="shared" si="151"/>
        <v>23007696</v>
      </c>
      <c r="C1748" s="4" t="str">
        <f t="shared" si="152"/>
        <v>GSE19279</v>
      </c>
      <c r="D1748" s="1" t="s">
        <v>62</v>
      </c>
      <c r="E1748" t="s">
        <v>115</v>
      </c>
      <c r="F1748" s="1">
        <v>1</v>
      </c>
      <c r="G1748" s="1" t="s">
        <v>75</v>
      </c>
      <c r="H1748" s="4" t="str">
        <f>HYPERLINK("https://www.ncbi.nlm.nih.gov/geo/query/acc.cgi?acc=GSM478462","GSM478462")</f>
        <v>GSM478462</v>
      </c>
      <c r="I1748" t="s">
        <v>111</v>
      </c>
      <c r="J1748" t="s">
        <v>112</v>
      </c>
      <c r="K1748" t="s">
        <v>19</v>
      </c>
      <c r="L1748" t="s">
        <v>113</v>
      </c>
      <c r="M1748" t="s">
        <v>44</v>
      </c>
      <c r="N1748" t="s">
        <v>76</v>
      </c>
    </row>
    <row r="1749" spans="1:14">
      <c r="A1749" s="4" t="str">
        <f t="shared" si="154"/>
        <v>EXP00041</v>
      </c>
      <c r="B1749" s="4" t="str">
        <f t="shared" si="151"/>
        <v>23007696</v>
      </c>
      <c r="C1749" s="4" t="str">
        <f t="shared" si="152"/>
        <v>GSE19279</v>
      </c>
      <c r="D1749" s="1" t="s">
        <v>62</v>
      </c>
      <c r="E1749" t="s">
        <v>115</v>
      </c>
      <c r="F1749" s="1">
        <v>1</v>
      </c>
      <c r="G1749" s="1" t="s">
        <v>75</v>
      </c>
      <c r="H1749" s="4" t="str">
        <f>HYPERLINK("https://www.ncbi.nlm.nih.gov/geo/query/acc.cgi?acc=GSM478463","GSM478463")</f>
        <v>GSM478463</v>
      </c>
      <c r="I1749" t="s">
        <v>111</v>
      </c>
      <c r="J1749" t="s">
        <v>112</v>
      </c>
      <c r="K1749" t="s">
        <v>19</v>
      </c>
      <c r="L1749" t="s">
        <v>113</v>
      </c>
      <c r="M1749" t="s">
        <v>44</v>
      </c>
      <c r="N1749" t="s">
        <v>76</v>
      </c>
    </row>
    <row r="1750" spans="1:14">
      <c r="A1750" s="4" t="str">
        <f t="shared" si="154"/>
        <v>EXP00041</v>
      </c>
      <c r="B1750" s="4" t="str">
        <f t="shared" si="151"/>
        <v>23007696</v>
      </c>
      <c r="C1750" s="4" t="str">
        <f t="shared" si="152"/>
        <v>GSE19279</v>
      </c>
      <c r="D1750" s="1" t="s">
        <v>62</v>
      </c>
      <c r="E1750" t="s">
        <v>115</v>
      </c>
      <c r="F1750" s="1">
        <v>1</v>
      </c>
      <c r="G1750" s="1" t="s">
        <v>75</v>
      </c>
      <c r="H1750" s="4" t="str">
        <f>HYPERLINK("https://www.ncbi.nlm.nih.gov/geo/query/acc.cgi?acc=GSM478464","GSM478464")</f>
        <v>GSM478464</v>
      </c>
      <c r="I1750" t="s">
        <v>111</v>
      </c>
      <c r="J1750" t="s">
        <v>112</v>
      </c>
      <c r="K1750" t="s">
        <v>19</v>
      </c>
      <c r="L1750" t="s">
        <v>113</v>
      </c>
      <c r="M1750" t="s">
        <v>44</v>
      </c>
      <c r="N1750" t="s">
        <v>76</v>
      </c>
    </row>
    <row r="1751" spans="1:14">
      <c r="A1751" s="4" t="str">
        <f t="shared" si="154"/>
        <v>EXP00041</v>
      </c>
      <c r="B1751" s="4" t="str">
        <f t="shared" si="151"/>
        <v>23007696</v>
      </c>
      <c r="C1751" s="4" t="str">
        <f t="shared" si="152"/>
        <v>GSE19279</v>
      </c>
      <c r="D1751" s="1" t="s">
        <v>62</v>
      </c>
      <c r="E1751" t="s">
        <v>115</v>
      </c>
      <c r="F1751" s="1">
        <v>2</v>
      </c>
      <c r="G1751" s="1" t="s">
        <v>26</v>
      </c>
      <c r="H1751" s="4" t="str">
        <f>HYPERLINK("https://www.ncbi.nlm.nih.gov/geo/query/acc.cgi?acc=GSM478465","GSM478465")</f>
        <v>GSM478465</v>
      </c>
      <c r="I1751" t="s">
        <v>111</v>
      </c>
      <c r="J1751" t="s">
        <v>112</v>
      </c>
      <c r="K1751" t="s">
        <v>19</v>
      </c>
      <c r="L1751" t="s">
        <v>113</v>
      </c>
      <c r="M1751" t="s">
        <v>44</v>
      </c>
      <c r="N1751" t="s">
        <v>22</v>
      </c>
    </row>
    <row r="1752" spans="1:14">
      <c r="A1752" s="4" t="str">
        <f t="shared" si="154"/>
        <v>EXP00041</v>
      </c>
      <c r="B1752" s="4" t="str">
        <f t="shared" si="151"/>
        <v>23007696</v>
      </c>
      <c r="C1752" s="4" t="str">
        <f t="shared" si="152"/>
        <v>GSE19279</v>
      </c>
      <c r="D1752" s="1" t="s">
        <v>62</v>
      </c>
      <c r="E1752" t="s">
        <v>115</v>
      </c>
      <c r="F1752" s="1">
        <v>2</v>
      </c>
      <c r="G1752" s="1" t="s">
        <v>26</v>
      </c>
      <c r="H1752" s="4" t="str">
        <f>HYPERLINK("https://www.ncbi.nlm.nih.gov/geo/query/acc.cgi?acc=GSM478466","GSM478466")</f>
        <v>GSM478466</v>
      </c>
      <c r="I1752" t="s">
        <v>111</v>
      </c>
      <c r="J1752" t="s">
        <v>112</v>
      </c>
      <c r="K1752" t="s">
        <v>19</v>
      </c>
      <c r="L1752" t="s">
        <v>113</v>
      </c>
      <c r="M1752" t="s">
        <v>44</v>
      </c>
      <c r="N1752" t="s">
        <v>22</v>
      </c>
    </row>
    <row r="1753" spans="1:14">
      <c r="A1753" s="4" t="str">
        <f t="shared" si="154"/>
        <v>EXP00041</v>
      </c>
      <c r="B1753" s="4" t="str">
        <f t="shared" si="151"/>
        <v>23007696</v>
      </c>
      <c r="C1753" s="4" t="str">
        <f t="shared" si="152"/>
        <v>GSE19279</v>
      </c>
      <c r="D1753" s="1" t="s">
        <v>62</v>
      </c>
      <c r="E1753" t="s">
        <v>115</v>
      </c>
      <c r="F1753" s="1">
        <v>2</v>
      </c>
      <c r="G1753" s="1" t="s">
        <v>26</v>
      </c>
      <c r="H1753" s="4" t="str">
        <f>HYPERLINK("https://www.ncbi.nlm.nih.gov/geo/query/acc.cgi?acc=GSM478467","GSM478467")</f>
        <v>GSM478467</v>
      </c>
      <c r="I1753" t="s">
        <v>111</v>
      </c>
      <c r="J1753" t="s">
        <v>112</v>
      </c>
      <c r="K1753" t="s">
        <v>19</v>
      </c>
      <c r="L1753" t="s">
        <v>113</v>
      </c>
      <c r="M1753" t="s">
        <v>44</v>
      </c>
      <c r="N1753" t="s">
        <v>22</v>
      </c>
    </row>
    <row r="1754" spans="1:14">
      <c r="A1754" s="4" t="str">
        <f t="shared" si="154"/>
        <v>EXP00041</v>
      </c>
      <c r="B1754" s="4" t="str">
        <f t="shared" si="151"/>
        <v>23007696</v>
      </c>
      <c r="C1754" s="4" t="str">
        <f t="shared" si="152"/>
        <v>GSE19279</v>
      </c>
      <c r="D1754" s="1" t="s">
        <v>62</v>
      </c>
      <c r="E1754" t="s">
        <v>115</v>
      </c>
      <c r="F1754" s="1">
        <v>2</v>
      </c>
      <c r="G1754" s="1" t="s">
        <v>26</v>
      </c>
      <c r="H1754" s="4" t="str">
        <f>HYPERLINK("https://www.ncbi.nlm.nih.gov/geo/query/acc.cgi?acc=GSM478468","GSM478468")</f>
        <v>GSM478468</v>
      </c>
      <c r="I1754" t="s">
        <v>111</v>
      </c>
      <c r="J1754" t="s">
        <v>112</v>
      </c>
      <c r="K1754" t="s">
        <v>19</v>
      </c>
      <c r="L1754" t="s">
        <v>113</v>
      </c>
      <c r="M1754" t="s">
        <v>44</v>
      </c>
      <c r="N1754" t="s">
        <v>22</v>
      </c>
    </row>
    <row r="1755" spans="1:14">
      <c r="A1755" s="4" t="str">
        <f t="shared" si="154"/>
        <v>EXP00041</v>
      </c>
      <c r="B1755" s="4" t="str">
        <f t="shared" si="151"/>
        <v>23007696</v>
      </c>
      <c r="C1755" s="4" t="str">
        <f t="shared" si="152"/>
        <v>GSE19279</v>
      </c>
      <c r="D1755" s="1" t="s">
        <v>62</v>
      </c>
      <c r="E1755" t="s">
        <v>115</v>
      </c>
      <c r="F1755" s="1">
        <v>2</v>
      </c>
      <c r="G1755" s="1" t="s">
        <v>26</v>
      </c>
      <c r="H1755" s="4" t="str">
        <f>HYPERLINK("https://www.ncbi.nlm.nih.gov/geo/query/acc.cgi?acc=GSM478469","GSM478469")</f>
        <v>GSM478469</v>
      </c>
      <c r="I1755" t="s">
        <v>111</v>
      </c>
      <c r="J1755" t="s">
        <v>112</v>
      </c>
      <c r="K1755" t="s">
        <v>19</v>
      </c>
      <c r="L1755" t="s">
        <v>113</v>
      </c>
      <c r="M1755" t="s">
        <v>44</v>
      </c>
      <c r="N1755" t="s">
        <v>22</v>
      </c>
    </row>
    <row r="1756" spans="1:14">
      <c r="A1756" s="4" t="str">
        <f t="shared" ref="A1756:A1764" si="155">HYPERLINK("http://hcmdb.i-sanger.com/experiment/details/experiment_id/EXP00042","EXP00042")</f>
        <v>EXP00042</v>
      </c>
      <c r="B1756" s="4" t="str">
        <f t="shared" si="151"/>
        <v>23007696</v>
      </c>
      <c r="C1756" s="4" t="str">
        <f t="shared" ref="C1756:C1779" si="156">HYPERLINK("https://www.ncbi.nlm.nih.gov/geo/query/acc.cgi?acc=GSE19280","GSE19280")</f>
        <v>GSE19280</v>
      </c>
      <c r="D1756" s="1" t="s">
        <v>116</v>
      </c>
      <c r="E1756" t="s">
        <v>110</v>
      </c>
      <c r="F1756" s="1">
        <v>1</v>
      </c>
      <c r="G1756" s="1" t="s">
        <v>26</v>
      </c>
      <c r="H1756" s="4" t="str">
        <f>HYPERLINK("https://www.ncbi.nlm.nih.gov/geo/query/acc.cgi?acc=GSM478480","GSM478480")</f>
        <v>GSM478480</v>
      </c>
      <c r="I1756" t="s">
        <v>111</v>
      </c>
      <c r="J1756" t="s">
        <v>112</v>
      </c>
      <c r="K1756" t="s">
        <v>19</v>
      </c>
      <c r="L1756" t="s">
        <v>113</v>
      </c>
      <c r="M1756" t="s">
        <v>44</v>
      </c>
      <c r="N1756" t="s">
        <v>22</v>
      </c>
    </row>
    <row r="1757" spans="1:14">
      <c r="A1757" s="4" t="str">
        <f t="shared" si="155"/>
        <v>EXP00042</v>
      </c>
      <c r="B1757" s="4" t="str">
        <f t="shared" si="151"/>
        <v>23007696</v>
      </c>
      <c r="C1757" s="4" t="str">
        <f t="shared" si="156"/>
        <v>GSE19280</v>
      </c>
      <c r="D1757" s="1" t="s">
        <v>116</v>
      </c>
      <c r="E1757" t="s">
        <v>110</v>
      </c>
      <c r="F1757" s="1">
        <v>1</v>
      </c>
      <c r="G1757" s="1" t="s">
        <v>26</v>
      </c>
      <c r="H1757" s="4" t="str">
        <f>HYPERLINK("https://www.ncbi.nlm.nih.gov/geo/query/acc.cgi?acc=GSM478481","GSM478481")</f>
        <v>GSM478481</v>
      </c>
      <c r="I1757" t="s">
        <v>111</v>
      </c>
      <c r="J1757" t="s">
        <v>112</v>
      </c>
      <c r="K1757" t="s">
        <v>19</v>
      </c>
      <c r="L1757" t="s">
        <v>113</v>
      </c>
      <c r="M1757" t="s">
        <v>44</v>
      </c>
      <c r="N1757" t="s">
        <v>22</v>
      </c>
    </row>
    <row r="1758" spans="1:14">
      <c r="A1758" s="4" t="str">
        <f t="shared" si="155"/>
        <v>EXP00042</v>
      </c>
      <c r="B1758" s="4" t="str">
        <f t="shared" si="151"/>
        <v>23007696</v>
      </c>
      <c r="C1758" s="4" t="str">
        <f t="shared" si="156"/>
        <v>GSE19280</v>
      </c>
      <c r="D1758" s="1" t="s">
        <v>116</v>
      </c>
      <c r="E1758" t="s">
        <v>110</v>
      </c>
      <c r="F1758" s="1">
        <v>1</v>
      </c>
      <c r="G1758" s="1" t="s">
        <v>26</v>
      </c>
      <c r="H1758" s="4" t="str">
        <f>HYPERLINK("https://www.ncbi.nlm.nih.gov/geo/query/acc.cgi?acc=GSM478482","GSM478482")</f>
        <v>GSM478482</v>
      </c>
      <c r="I1758" t="s">
        <v>111</v>
      </c>
      <c r="J1758" t="s">
        <v>112</v>
      </c>
      <c r="K1758" t="s">
        <v>19</v>
      </c>
      <c r="L1758" t="s">
        <v>113</v>
      </c>
      <c r="M1758" t="s">
        <v>44</v>
      </c>
      <c r="N1758" t="s">
        <v>22</v>
      </c>
    </row>
    <row r="1759" spans="1:14">
      <c r="A1759" s="4" t="str">
        <f t="shared" si="155"/>
        <v>EXP00042</v>
      </c>
      <c r="B1759" s="4" t="str">
        <f t="shared" si="151"/>
        <v>23007696</v>
      </c>
      <c r="C1759" s="4" t="str">
        <f t="shared" si="156"/>
        <v>GSE19280</v>
      </c>
      <c r="D1759" s="1" t="s">
        <v>116</v>
      </c>
      <c r="E1759" t="s">
        <v>110</v>
      </c>
      <c r="F1759" s="1">
        <v>1</v>
      </c>
      <c r="G1759" s="1" t="s">
        <v>26</v>
      </c>
      <c r="H1759" s="4" t="str">
        <f>HYPERLINK("https://www.ncbi.nlm.nih.gov/geo/query/acc.cgi?acc=GSM478483","GSM478483")</f>
        <v>GSM478483</v>
      </c>
      <c r="I1759" t="s">
        <v>111</v>
      </c>
      <c r="J1759" t="s">
        <v>112</v>
      </c>
      <c r="K1759" t="s">
        <v>19</v>
      </c>
      <c r="L1759" t="s">
        <v>113</v>
      </c>
      <c r="M1759" t="s">
        <v>44</v>
      </c>
      <c r="N1759" t="s">
        <v>22</v>
      </c>
    </row>
    <row r="1760" spans="1:14">
      <c r="A1760" s="4" t="str">
        <f t="shared" si="155"/>
        <v>EXP00042</v>
      </c>
      <c r="B1760" s="4" t="str">
        <f t="shared" si="151"/>
        <v>23007696</v>
      </c>
      <c r="C1760" s="4" t="str">
        <f t="shared" si="156"/>
        <v>GSE19280</v>
      </c>
      <c r="D1760" s="1" t="s">
        <v>116</v>
      </c>
      <c r="E1760" t="s">
        <v>110</v>
      </c>
      <c r="F1760" s="1">
        <v>1</v>
      </c>
      <c r="G1760" s="1" t="s">
        <v>26</v>
      </c>
      <c r="H1760" s="4" t="str">
        <f>HYPERLINK("https://www.ncbi.nlm.nih.gov/geo/query/acc.cgi?acc=GSM478484","GSM478484")</f>
        <v>GSM478484</v>
      </c>
      <c r="I1760" t="s">
        <v>111</v>
      </c>
      <c r="J1760" t="s">
        <v>112</v>
      </c>
      <c r="K1760" t="s">
        <v>19</v>
      </c>
      <c r="L1760" t="s">
        <v>113</v>
      </c>
      <c r="M1760" t="s">
        <v>44</v>
      </c>
      <c r="N1760" t="s">
        <v>22</v>
      </c>
    </row>
    <row r="1761" spans="1:14">
      <c r="A1761" s="4" t="str">
        <f t="shared" si="155"/>
        <v>EXP00042</v>
      </c>
      <c r="B1761" s="4" t="str">
        <f t="shared" si="151"/>
        <v>23007696</v>
      </c>
      <c r="C1761" s="4" t="str">
        <f t="shared" si="156"/>
        <v>GSE19280</v>
      </c>
      <c r="D1761" s="1" t="s">
        <v>116</v>
      </c>
      <c r="E1761" t="s">
        <v>110</v>
      </c>
      <c r="F1761" s="1">
        <v>2</v>
      </c>
      <c r="G1761" s="1" t="s">
        <v>28</v>
      </c>
      <c r="H1761" s="4" t="str">
        <f>HYPERLINK("https://www.ncbi.nlm.nih.gov/geo/query/acc.cgi?acc=GSM478473","GSM478473")</f>
        <v>GSM478473</v>
      </c>
      <c r="I1761" t="s">
        <v>111</v>
      </c>
      <c r="J1761" t="s">
        <v>112</v>
      </c>
      <c r="K1761" t="s">
        <v>19</v>
      </c>
      <c r="L1761" t="s">
        <v>113</v>
      </c>
      <c r="M1761" t="s">
        <v>44</v>
      </c>
      <c r="N1761" t="s">
        <v>29</v>
      </c>
    </row>
    <row r="1762" spans="1:14">
      <c r="A1762" s="4" t="str">
        <f t="shared" si="155"/>
        <v>EXP00042</v>
      </c>
      <c r="B1762" s="4" t="str">
        <f t="shared" si="151"/>
        <v>23007696</v>
      </c>
      <c r="C1762" s="4" t="str">
        <f t="shared" si="156"/>
        <v>GSE19280</v>
      </c>
      <c r="D1762" s="1" t="s">
        <v>116</v>
      </c>
      <c r="E1762" t="s">
        <v>110</v>
      </c>
      <c r="F1762" s="1">
        <v>2</v>
      </c>
      <c r="G1762" s="1" t="s">
        <v>28</v>
      </c>
      <c r="H1762" s="4" t="str">
        <f>HYPERLINK("https://www.ncbi.nlm.nih.gov/geo/query/acc.cgi?acc=GSM478474","GSM478474")</f>
        <v>GSM478474</v>
      </c>
      <c r="I1762" t="s">
        <v>111</v>
      </c>
      <c r="J1762" t="s">
        <v>112</v>
      </c>
      <c r="K1762" t="s">
        <v>19</v>
      </c>
      <c r="L1762" t="s">
        <v>113</v>
      </c>
      <c r="M1762" t="s">
        <v>44</v>
      </c>
      <c r="N1762" t="s">
        <v>29</v>
      </c>
    </row>
    <row r="1763" spans="1:14">
      <c r="A1763" s="4" t="str">
        <f t="shared" si="155"/>
        <v>EXP00042</v>
      </c>
      <c r="B1763" s="4" t="str">
        <f t="shared" si="151"/>
        <v>23007696</v>
      </c>
      <c r="C1763" s="4" t="str">
        <f t="shared" si="156"/>
        <v>GSE19280</v>
      </c>
      <c r="D1763" s="1" t="s">
        <v>116</v>
      </c>
      <c r="E1763" t="s">
        <v>110</v>
      </c>
      <c r="F1763" s="1">
        <v>2</v>
      </c>
      <c r="G1763" s="1" t="s">
        <v>28</v>
      </c>
      <c r="H1763" s="4" t="str">
        <f>HYPERLINK("https://www.ncbi.nlm.nih.gov/geo/query/acc.cgi?acc=GSM478475","GSM478475")</f>
        <v>GSM478475</v>
      </c>
      <c r="I1763" t="s">
        <v>111</v>
      </c>
      <c r="J1763" t="s">
        <v>112</v>
      </c>
      <c r="K1763" t="s">
        <v>19</v>
      </c>
      <c r="L1763" t="s">
        <v>113</v>
      </c>
      <c r="M1763" t="s">
        <v>44</v>
      </c>
      <c r="N1763" t="s">
        <v>29</v>
      </c>
    </row>
    <row r="1764" spans="1:14">
      <c r="A1764" s="4" t="str">
        <f t="shared" si="155"/>
        <v>EXP00042</v>
      </c>
      <c r="B1764" s="4" t="str">
        <f t="shared" si="151"/>
        <v>23007696</v>
      </c>
      <c r="C1764" s="4" t="str">
        <f t="shared" si="156"/>
        <v>GSE19280</v>
      </c>
      <c r="D1764" s="1" t="s">
        <v>116</v>
      </c>
      <c r="E1764" t="s">
        <v>110</v>
      </c>
      <c r="F1764" s="1">
        <v>2</v>
      </c>
      <c r="G1764" s="1" t="s">
        <v>28</v>
      </c>
      <c r="H1764" s="4" t="str">
        <f>HYPERLINK("https://www.ncbi.nlm.nih.gov/geo/query/acc.cgi?acc=GSM478476","GSM478476")</f>
        <v>GSM478476</v>
      </c>
      <c r="I1764" t="s">
        <v>111</v>
      </c>
      <c r="J1764" t="s">
        <v>112</v>
      </c>
      <c r="K1764" t="s">
        <v>19</v>
      </c>
      <c r="L1764" t="s">
        <v>113</v>
      </c>
      <c r="M1764" t="s">
        <v>44</v>
      </c>
      <c r="N1764" t="s">
        <v>29</v>
      </c>
    </row>
    <row r="1765" spans="1:14">
      <c r="A1765" s="4" t="str">
        <f t="shared" ref="A1765:A1771" si="157">HYPERLINK("http://hcmdb.i-sanger.com/experiment/details/experiment_id/EXP00043","EXP00043")</f>
        <v>EXP00043</v>
      </c>
      <c r="B1765" s="4" t="str">
        <f t="shared" si="151"/>
        <v>23007696</v>
      </c>
      <c r="C1765" s="4" t="str">
        <f t="shared" si="156"/>
        <v>GSE19280</v>
      </c>
      <c r="D1765" s="1" t="s">
        <v>116</v>
      </c>
      <c r="E1765" t="s">
        <v>114</v>
      </c>
      <c r="F1765" s="1">
        <v>1</v>
      </c>
      <c r="G1765" s="1" t="s">
        <v>36</v>
      </c>
      <c r="H1765" s="4" t="str">
        <f>HYPERLINK("https://www.ncbi.nlm.nih.gov/geo/query/acc.cgi?acc=GSM478470","GSM478470")</f>
        <v>GSM478470</v>
      </c>
      <c r="I1765" t="s">
        <v>111</v>
      </c>
      <c r="J1765" t="s">
        <v>112</v>
      </c>
      <c r="K1765" t="s">
        <v>19</v>
      </c>
      <c r="L1765" t="s">
        <v>113</v>
      </c>
      <c r="M1765" t="s">
        <v>44</v>
      </c>
      <c r="N1765" t="s">
        <v>37</v>
      </c>
    </row>
    <row r="1766" spans="1:14">
      <c r="A1766" s="4" t="str">
        <f t="shared" si="157"/>
        <v>EXP00043</v>
      </c>
      <c r="B1766" s="4" t="str">
        <f t="shared" si="151"/>
        <v>23007696</v>
      </c>
      <c r="C1766" s="4" t="str">
        <f t="shared" si="156"/>
        <v>GSE19280</v>
      </c>
      <c r="D1766" s="1" t="s">
        <v>116</v>
      </c>
      <c r="E1766" t="s">
        <v>114</v>
      </c>
      <c r="F1766" s="1">
        <v>1</v>
      </c>
      <c r="G1766" s="1" t="s">
        <v>36</v>
      </c>
      <c r="H1766" s="4" t="str">
        <f>HYPERLINK("https://www.ncbi.nlm.nih.gov/geo/query/acc.cgi?acc=GSM478471","GSM478471")</f>
        <v>GSM478471</v>
      </c>
      <c r="I1766" t="s">
        <v>111</v>
      </c>
      <c r="J1766" t="s">
        <v>112</v>
      </c>
      <c r="K1766" t="s">
        <v>19</v>
      </c>
      <c r="L1766" t="s">
        <v>113</v>
      </c>
      <c r="M1766" t="s">
        <v>44</v>
      </c>
      <c r="N1766" t="s">
        <v>37</v>
      </c>
    </row>
    <row r="1767" spans="1:14">
      <c r="A1767" s="4" t="str">
        <f t="shared" si="157"/>
        <v>EXP00043</v>
      </c>
      <c r="B1767" s="4" t="str">
        <f t="shared" si="151"/>
        <v>23007696</v>
      </c>
      <c r="C1767" s="4" t="str">
        <f t="shared" si="156"/>
        <v>GSE19280</v>
      </c>
      <c r="D1767" s="1" t="s">
        <v>116</v>
      </c>
      <c r="E1767" t="s">
        <v>114</v>
      </c>
      <c r="F1767" s="1">
        <v>1</v>
      </c>
      <c r="G1767" s="1" t="s">
        <v>36</v>
      </c>
      <c r="H1767" s="4" t="str">
        <f>HYPERLINK("https://www.ncbi.nlm.nih.gov/geo/query/acc.cgi?acc=GSM478472","GSM478472")</f>
        <v>GSM478472</v>
      </c>
      <c r="I1767" t="s">
        <v>111</v>
      </c>
      <c r="J1767" t="s">
        <v>112</v>
      </c>
      <c r="K1767" t="s">
        <v>19</v>
      </c>
      <c r="L1767" t="s">
        <v>113</v>
      </c>
      <c r="M1767" t="s">
        <v>44</v>
      </c>
      <c r="N1767" t="s">
        <v>37</v>
      </c>
    </row>
    <row r="1768" spans="1:14">
      <c r="A1768" s="4" t="str">
        <f t="shared" si="157"/>
        <v>EXP00043</v>
      </c>
      <c r="B1768" s="4" t="str">
        <f t="shared" si="151"/>
        <v>23007696</v>
      </c>
      <c r="C1768" s="4" t="str">
        <f t="shared" si="156"/>
        <v>GSE19280</v>
      </c>
      <c r="D1768" s="1" t="s">
        <v>116</v>
      </c>
      <c r="E1768" t="s">
        <v>114</v>
      </c>
      <c r="F1768" s="1">
        <v>2</v>
      </c>
      <c r="G1768" s="1" t="s">
        <v>28</v>
      </c>
      <c r="H1768" s="4" t="str">
        <f>HYPERLINK("https://www.ncbi.nlm.nih.gov/geo/query/acc.cgi?acc=GSM478473","GSM478473")</f>
        <v>GSM478473</v>
      </c>
      <c r="I1768" t="s">
        <v>111</v>
      </c>
      <c r="J1768" t="s">
        <v>112</v>
      </c>
      <c r="K1768" t="s">
        <v>19</v>
      </c>
      <c r="L1768" t="s">
        <v>113</v>
      </c>
      <c r="M1768" t="s">
        <v>44</v>
      </c>
      <c r="N1768" t="s">
        <v>29</v>
      </c>
    </row>
    <row r="1769" spans="1:14">
      <c r="A1769" s="4" t="str">
        <f t="shared" si="157"/>
        <v>EXP00043</v>
      </c>
      <c r="B1769" s="4" t="str">
        <f t="shared" si="151"/>
        <v>23007696</v>
      </c>
      <c r="C1769" s="4" t="str">
        <f t="shared" si="156"/>
        <v>GSE19280</v>
      </c>
      <c r="D1769" s="1" t="s">
        <v>116</v>
      </c>
      <c r="E1769" t="s">
        <v>114</v>
      </c>
      <c r="F1769" s="1">
        <v>2</v>
      </c>
      <c r="G1769" s="1" t="s">
        <v>28</v>
      </c>
      <c r="H1769" s="4" t="str">
        <f>HYPERLINK("https://www.ncbi.nlm.nih.gov/geo/query/acc.cgi?acc=GSM478474","GSM478474")</f>
        <v>GSM478474</v>
      </c>
      <c r="I1769" t="s">
        <v>111</v>
      </c>
      <c r="J1769" t="s">
        <v>112</v>
      </c>
      <c r="K1769" t="s">
        <v>19</v>
      </c>
      <c r="L1769" t="s">
        <v>113</v>
      </c>
      <c r="M1769" t="s">
        <v>44</v>
      </c>
      <c r="N1769" t="s">
        <v>29</v>
      </c>
    </row>
    <row r="1770" spans="1:14">
      <c r="A1770" s="4" t="str">
        <f t="shared" si="157"/>
        <v>EXP00043</v>
      </c>
      <c r="B1770" s="4" t="str">
        <f t="shared" si="151"/>
        <v>23007696</v>
      </c>
      <c r="C1770" s="4" t="str">
        <f t="shared" si="156"/>
        <v>GSE19280</v>
      </c>
      <c r="D1770" s="1" t="s">
        <v>116</v>
      </c>
      <c r="E1770" t="s">
        <v>114</v>
      </c>
      <c r="F1770" s="1">
        <v>2</v>
      </c>
      <c r="G1770" s="1" t="s">
        <v>28</v>
      </c>
      <c r="H1770" s="4" t="str">
        <f>HYPERLINK("https://www.ncbi.nlm.nih.gov/geo/query/acc.cgi?acc=GSM478475","GSM478475")</f>
        <v>GSM478475</v>
      </c>
      <c r="I1770" t="s">
        <v>111</v>
      </c>
      <c r="J1770" t="s">
        <v>112</v>
      </c>
      <c r="K1770" t="s">
        <v>19</v>
      </c>
      <c r="L1770" t="s">
        <v>113</v>
      </c>
      <c r="M1770" t="s">
        <v>44</v>
      </c>
      <c r="N1770" t="s">
        <v>29</v>
      </c>
    </row>
    <row r="1771" spans="1:14">
      <c r="A1771" s="4" t="str">
        <f t="shared" si="157"/>
        <v>EXP00043</v>
      </c>
      <c r="B1771" s="4" t="str">
        <f t="shared" si="151"/>
        <v>23007696</v>
      </c>
      <c r="C1771" s="4" t="str">
        <f t="shared" si="156"/>
        <v>GSE19280</v>
      </c>
      <c r="D1771" s="1" t="s">
        <v>116</v>
      </c>
      <c r="E1771" t="s">
        <v>114</v>
      </c>
      <c r="F1771" s="1">
        <v>2</v>
      </c>
      <c r="G1771" s="1" t="s">
        <v>28</v>
      </c>
      <c r="H1771" s="4" t="str">
        <f>HYPERLINK("https://www.ncbi.nlm.nih.gov/geo/query/acc.cgi?acc=GSM478476","GSM478476")</f>
        <v>GSM478476</v>
      </c>
      <c r="I1771" t="s">
        <v>111</v>
      </c>
      <c r="J1771" t="s">
        <v>112</v>
      </c>
      <c r="K1771" t="s">
        <v>19</v>
      </c>
      <c r="L1771" t="s">
        <v>113</v>
      </c>
      <c r="M1771" t="s">
        <v>44</v>
      </c>
      <c r="N1771" t="s">
        <v>29</v>
      </c>
    </row>
    <row r="1772" spans="1:14">
      <c r="A1772" s="4" t="str">
        <f t="shared" ref="A1772:A1779" si="158">HYPERLINK("http://hcmdb.i-sanger.com/experiment/details/experiment_id/EXP00044","EXP00044")</f>
        <v>EXP00044</v>
      </c>
      <c r="B1772" s="4" t="str">
        <f t="shared" si="151"/>
        <v>23007696</v>
      </c>
      <c r="C1772" s="4" t="str">
        <f t="shared" si="156"/>
        <v>GSE19280</v>
      </c>
      <c r="D1772" s="1" t="s">
        <v>116</v>
      </c>
      <c r="E1772" t="s">
        <v>115</v>
      </c>
      <c r="F1772" s="1">
        <v>1</v>
      </c>
      <c r="G1772" s="1" t="s">
        <v>75</v>
      </c>
      <c r="H1772" s="4" t="str">
        <f>HYPERLINK("https://www.ncbi.nlm.nih.gov/geo/query/acc.cgi?acc=GSM478477","GSM478477")</f>
        <v>GSM478477</v>
      </c>
      <c r="I1772" t="s">
        <v>111</v>
      </c>
      <c r="J1772" t="s">
        <v>112</v>
      </c>
      <c r="K1772" t="s">
        <v>19</v>
      </c>
      <c r="L1772" t="s">
        <v>113</v>
      </c>
      <c r="M1772" t="s">
        <v>44</v>
      </c>
      <c r="N1772" t="s">
        <v>76</v>
      </c>
    </row>
    <row r="1773" spans="1:14">
      <c r="A1773" s="4" t="str">
        <f t="shared" si="158"/>
        <v>EXP00044</v>
      </c>
      <c r="B1773" s="4" t="str">
        <f t="shared" si="151"/>
        <v>23007696</v>
      </c>
      <c r="C1773" s="4" t="str">
        <f t="shared" si="156"/>
        <v>GSE19280</v>
      </c>
      <c r="D1773" s="1" t="s">
        <v>116</v>
      </c>
      <c r="E1773" t="s">
        <v>115</v>
      </c>
      <c r="F1773" s="1">
        <v>1</v>
      </c>
      <c r="G1773" s="1" t="s">
        <v>75</v>
      </c>
      <c r="H1773" s="4" t="str">
        <f>HYPERLINK("https://www.ncbi.nlm.nih.gov/geo/query/acc.cgi?acc=GSM478478","GSM478478")</f>
        <v>GSM478478</v>
      </c>
      <c r="I1773" t="s">
        <v>111</v>
      </c>
      <c r="J1773" t="s">
        <v>112</v>
      </c>
      <c r="K1773" t="s">
        <v>19</v>
      </c>
      <c r="L1773" t="s">
        <v>113</v>
      </c>
      <c r="M1773" t="s">
        <v>44</v>
      </c>
      <c r="N1773" t="s">
        <v>76</v>
      </c>
    </row>
    <row r="1774" spans="1:14">
      <c r="A1774" s="4" t="str">
        <f t="shared" si="158"/>
        <v>EXP00044</v>
      </c>
      <c r="B1774" s="4" t="str">
        <f t="shared" si="151"/>
        <v>23007696</v>
      </c>
      <c r="C1774" s="4" t="str">
        <f t="shared" si="156"/>
        <v>GSE19280</v>
      </c>
      <c r="D1774" s="1" t="s">
        <v>116</v>
      </c>
      <c r="E1774" t="s">
        <v>115</v>
      </c>
      <c r="F1774" s="1">
        <v>1</v>
      </c>
      <c r="G1774" s="1" t="s">
        <v>75</v>
      </c>
      <c r="H1774" s="4" t="str">
        <f>HYPERLINK("https://www.ncbi.nlm.nih.gov/geo/query/acc.cgi?acc=GSM478479","GSM478479")</f>
        <v>GSM478479</v>
      </c>
      <c r="I1774" t="s">
        <v>111</v>
      </c>
      <c r="J1774" t="s">
        <v>112</v>
      </c>
      <c r="K1774" t="s">
        <v>19</v>
      </c>
      <c r="L1774" t="s">
        <v>113</v>
      </c>
      <c r="M1774" t="s">
        <v>44</v>
      </c>
      <c r="N1774" t="s">
        <v>76</v>
      </c>
    </row>
    <row r="1775" spans="1:14">
      <c r="A1775" s="4" t="str">
        <f t="shared" si="158"/>
        <v>EXP00044</v>
      </c>
      <c r="B1775" s="4" t="str">
        <f t="shared" si="151"/>
        <v>23007696</v>
      </c>
      <c r="C1775" s="4" t="str">
        <f t="shared" si="156"/>
        <v>GSE19280</v>
      </c>
      <c r="D1775" s="1" t="s">
        <v>116</v>
      </c>
      <c r="E1775" t="s">
        <v>115</v>
      </c>
      <c r="F1775" s="1">
        <v>2</v>
      </c>
      <c r="G1775" s="1" t="s">
        <v>26</v>
      </c>
      <c r="H1775" s="4" t="str">
        <f>HYPERLINK("https://www.ncbi.nlm.nih.gov/geo/query/acc.cgi?acc=GSM478480","GSM478480")</f>
        <v>GSM478480</v>
      </c>
      <c r="I1775" t="s">
        <v>111</v>
      </c>
      <c r="J1775" t="s">
        <v>112</v>
      </c>
      <c r="K1775" t="s">
        <v>19</v>
      </c>
      <c r="L1775" t="s">
        <v>113</v>
      </c>
      <c r="M1775" t="s">
        <v>44</v>
      </c>
      <c r="N1775" t="s">
        <v>22</v>
      </c>
    </row>
    <row r="1776" spans="1:14">
      <c r="A1776" s="4" t="str">
        <f t="shared" si="158"/>
        <v>EXP00044</v>
      </c>
      <c r="B1776" s="4" t="str">
        <f t="shared" si="151"/>
        <v>23007696</v>
      </c>
      <c r="C1776" s="4" t="str">
        <f t="shared" si="156"/>
        <v>GSE19280</v>
      </c>
      <c r="D1776" s="1" t="s">
        <v>116</v>
      </c>
      <c r="E1776" t="s">
        <v>115</v>
      </c>
      <c r="F1776" s="1">
        <v>2</v>
      </c>
      <c r="G1776" s="1" t="s">
        <v>26</v>
      </c>
      <c r="H1776" s="4" t="str">
        <f>HYPERLINK("https://www.ncbi.nlm.nih.gov/geo/query/acc.cgi?acc=GSM478481","GSM478481")</f>
        <v>GSM478481</v>
      </c>
      <c r="I1776" t="s">
        <v>111</v>
      </c>
      <c r="J1776" t="s">
        <v>112</v>
      </c>
      <c r="K1776" t="s">
        <v>19</v>
      </c>
      <c r="L1776" t="s">
        <v>113</v>
      </c>
      <c r="M1776" t="s">
        <v>44</v>
      </c>
      <c r="N1776" t="s">
        <v>22</v>
      </c>
    </row>
    <row r="1777" spans="1:14">
      <c r="A1777" s="4" t="str">
        <f t="shared" si="158"/>
        <v>EXP00044</v>
      </c>
      <c r="B1777" s="4" t="str">
        <f t="shared" si="151"/>
        <v>23007696</v>
      </c>
      <c r="C1777" s="4" t="str">
        <f t="shared" si="156"/>
        <v>GSE19280</v>
      </c>
      <c r="D1777" s="1" t="s">
        <v>116</v>
      </c>
      <c r="E1777" t="s">
        <v>115</v>
      </c>
      <c r="F1777" s="1">
        <v>2</v>
      </c>
      <c r="G1777" s="1" t="s">
        <v>26</v>
      </c>
      <c r="H1777" s="4" t="str">
        <f>HYPERLINK("https://www.ncbi.nlm.nih.gov/geo/query/acc.cgi?acc=GSM478482","GSM478482")</f>
        <v>GSM478482</v>
      </c>
      <c r="I1777" t="s">
        <v>111</v>
      </c>
      <c r="J1777" t="s">
        <v>112</v>
      </c>
      <c r="K1777" t="s">
        <v>19</v>
      </c>
      <c r="L1777" t="s">
        <v>113</v>
      </c>
      <c r="M1777" t="s">
        <v>44</v>
      </c>
      <c r="N1777" t="s">
        <v>22</v>
      </c>
    </row>
    <row r="1778" spans="1:14">
      <c r="A1778" s="4" t="str">
        <f t="shared" si="158"/>
        <v>EXP00044</v>
      </c>
      <c r="B1778" s="4" t="str">
        <f t="shared" si="151"/>
        <v>23007696</v>
      </c>
      <c r="C1778" s="4" t="str">
        <f t="shared" si="156"/>
        <v>GSE19280</v>
      </c>
      <c r="D1778" s="1" t="s">
        <v>116</v>
      </c>
      <c r="E1778" t="s">
        <v>115</v>
      </c>
      <c r="F1778" s="1">
        <v>2</v>
      </c>
      <c r="G1778" s="1" t="s">
        <v>26</v>
      </c>
      <c r="H1778" s="4" t="str">
        <f>HYPERLINK("https://www.ncbi.nlm.nih.gov/geo/query/acc.cgi?acc=GSM478483","GSM478483")</f>
        <v>GSM478483</v>
      </c>
      <c r="I1778" t="s">
        <v>111</v>
      </c>
      <c r="J1778" t="s">
        <v>112</v>
      </c>
      <c r="K1778" t="s">
        <v>19</v>
      </c>
      <c r="L1778" t="s">
        <v>113</v>
      </c>
      <c r="M1778" t="s">
        <v>44</v>
      </c>
      <c r="N1778" t="s">
        <v>22</v>
      </c>
    </row>
    <row r="1779" spans="1:14">
      <c r="A1779" s="4" t="str">
        <f t="shared" si="158"/>
        <v>EXP00044</v>
      </c>
      <c r="B1779" s="4" t="str">
        <f t="shared" si="151"/>
        <v>23007696</v>
      </c>
      <c r="C1779" s="4" t="str">
        <f t="shared" si="156"/>
        <v>GSE19280</v>
      </c>
      <c r="D1779" s="1" t="s">
        <v>116</v>
      </c>
      <c r="E1779" t="s">
        <v>115</v>
      </c>
      <c r="F1779" s="1">
        <v>2</v>
      </c>
      <c r="G1779" s="1" t="s">
        <v>26</v>
      </c>
      <c r="H1779" s="4" t="str">
        <f>HYPERLINK("https://www.ncbi.nlm.nih.gov/geo/query/acc.cgi?acc=GSM478484","GSM478484")</f>
        <v>GSM478484</v>
      </c>
      <c r="I1779" t="s">
        <v>111</v>
      </c>
      <c r="J1779" t="s">
        <v>112</v>
      </c>
      <c r="K1779" t="s">
        <v>19</v>
      </c>
      <c r="L1779" t="s">
        <v>113</v>
      </c>
      <c r="M1779" t="s">
        <v>44</v>
      </c>
      <c r="N1779" t="s">
        <v>22</v>
      </c>
    </row>
    <row r="1780" spans="1:14">
      <c r="A1780" s="4" t="str">
        <f t="shared" ref="A1780:A1811" si="159">HYPERLINK("http://hcmdb.i-sanger.com/experiment/details/experiment_id/EXP00045","EXP00045")</f>
        <v>EXP00045</v>
      </c>
      <c r="B1780" s="4" t="str">
        <f t="shared" ref="B1780:B1811" si="160">HYPERLINK("https://www.ncbi.nlm.nih.gov/pubmed/17258348","17258348")</f>
        <v>17258348</v>
      </c>
      <c r="C1780" s="4" t="str">
        <f t="shared" ref="C1780:C1811" si="161">HYPERLINK("https://www.ncbi.nlm.nih.gov/geo/query/acc.cgi?acc=GSE1987","GSE1987")</f>
        <v>GSE1987</v>
      </c>
      <c r="D1780" s="1" t="s">
        <v>117</v>
      </c>
      <c r="E1780" t="s">
        <v>118</v>
      </c>
      <c r="F1780" s="1">
        <v>1</v>
      </c>
      <c r="G1780" s="1" t="s">
        <v>36</v>
      </c>
      <c r="H1780" s="4" t="str">
        <f>HYPERLINK("https://www.ncbi.nlm.nih.gov/geo/query/acc.cgi?acc=GSM35017","GSM35017")</f>
        <v>GSM35017</v>
      </c>
      <c r="I1780" t="s">
        <v>108</v>
      </c>
      <c r="J1780" t="s">
        <v>18</v>
      </c>
      <c r="K1780" t="s">
        <v>33</v>
      </c>
      <c r="L1780" t="s">
        <v>41</v>
      </c>
      <c r="N1780" t="s">
        <v>37</v>
      </c>
    </row>
    <row r="1781" spans="1:14">
      <c r="A1781" s="4" t="str">
        <f t="shared" si="159"/>
        <v>EXP00045</v>
      </c>
      <c r="B1781" s="4" t="str">
        <f t="shared" si="160"/>
        <v>17258348</v>
      </c>
      <c r="C1781" s="4" t="str">
        <f t="shared" si="161"/>
        <v>GSE1987</v>
      </c>
      <c r="D1781" s="1" t="s">
        <v>117</v>
      </c>
      <c r="E1781" t="s">
        <v>118</v>
      </c>
      <c r="F1781" s="1">
        <v>1</v>
      </c>
      <c r="G1781" s="1" t="s">
        <v>36</v>
      </c>
      <c r="H1781" s="4" t="str">
        <f>HYPERLINK("https://www.ncbi.nlm.nih.gov/geo/query/acc.cgi?acc=GSM35018","GSM35018")</f>
        <v>GSM35018</v>
      </c>
      <c r="I1781" t="s">
        <v>108</v>
      </c>
      <c r="J1781" t="s">
        <v>18</v>
      </c>
      <c r="K1781" t="s">
        <v>33</v>
      </c>
      <c r="L1781" t="s">
        <v>41</v>
      </c>
      <c r="N1781" t="s">
        <v>37</v>
      </c>
    </row>
    <row r="1782" spans="1:14">
      <c r="A1782" s="4" t="str">
        <f t="shared" si="159"/>
        <v>EXP00045</v>
      </c>
      <c r="B1782" s="4" t="str">
        <f t="shared" si="160"/>
        <v>17258348</v>
      </c>
      <c r="C1782" s="4" t="str">
        <f t="shared" si="161"/>
        <v>GSE1987</v>
      </c>
      <c r="D1782" s="1" t="s">
        <v>117</v>
      </c>
      <c r="E1782" t="s">
        <v>118</v>
      </c>
      <c r="F1782" s="1">
        <v>1</v>
      </c>
      <c r="G1782" s="1" t="s">
        <v>36</v>
      </c>
      <c r="H1782" s="4" t="str">
        <f>HYPERLINK("https://www.ncbi.nlm.nih.gov/geo/query/acc.cgi?acc=GSM35019","GSM35019")</f>
        <v>GSM35019</v>
      </c>
      <c r="I1782" t="s">
        <v>108</v>
      </c>
      <c r="J1782" t="s">
        <v>119</v>
      </c>
      <c r="K1782" t="s">
        <v>33</v>
      </c>
      <c r="L1782" t="s">
        <v>41</v>
      </c>
      <c r="N1782" t="s">
        <v>37</v>
      </c>
    </row>
    <row r="1783" spans="1:14">
      <c r="A1783" s="4" t="str">
        <f t="shared" si="159"/>
        <v>EXP00045</v>
      </c>
      <c r="B1783" s="4" t="str">
        <f t="shared" si="160"/>
        <v>17258348</v>
      </c>
      <c r="C1783" s="4" t="str">
        <f t="shared" si="161"/>
        <v>GSE1987</v>
      </c>
      <c r="D1783" s="1" t="s">
        <v>117</v>
      </c>
      <c r="E1783" t="s">
        <v>118</v>
      </c>
      <c r="F1783" s="1">
        <v>1</v>
      </c>
      <c r="G1783" s="1" t="s">
        <v>36</v>
      </c>
      <c r="H1783" s="4" t="str">
        <f>HYPERLINK("https://www.ncbi.nlm.nih.gov/geo/query/acc.cgi?acc=GSM35020","GSM35020")</f>
        <v>GSM35020</v>
      </c>
      <c r="I1783" t="s">
        <v>108</v>
      </c>
      <c r="J1783" t="s">
        <v>119</v>
      </c>
      <c r="K1783" t="s">
        <v>33</v>
      </c>
      <c r="L1783" t="s">
        <v>41</v>
      </c>
      <c r="N1783" t="s">
        <v>37</v>
      </c>
    </row>
    <row r="1784" spans="1:14">
      <c r="A1784" s="4" t="str">
        <f t="shared" si="159"/>
        <v>EXP00045</v>
      </c>
      <c r="B1784" s="4" t="str">
        <f t="shared" si="160"/>
        <v>17258348</v>
      </c>
      <c r="C1784" s="4" t="str">
        <f t="shared" si="161"/>
        <v>GSE1987</v>
      </c>
      <c r="D1784" s="1" t="s">
        <v>117</v>
      </c>
      <c r="E1784" t="s">
        <v>118</v>
      </c>
      <c r="F1784" s="1">
        <v>1</v>
      </c>
      <c r="G1784" s="1" t="s">
        <v>36</v>
      </c>
      <c r="H1784" s="4" t="str">
        <f>HYPERLINK("https://www.ncbi.nlm.nih.gov/geo/query/acc.cgi?acc=GSM35021","GSM35021")</f>
        <v>GSM35021</v>
      </c>
      <c r="I1784" t="s">
        <v>108</v>
      </c>
      <c r="J1784" t="s">
        <v>119</v>
      </c>
      <c r="K1784" t="s">
        <v>33</v>
      </c>
      <c r="L1784" t="s">
        <v>41</v>
      </c>
      <c r="N1784" t="s">
        <v>37</v>
      </c>
    </row>
    <row r="1785" spans="1:14">
      <c r="A1785" s="4" t="str">
        <f t="shared" si="159"/>
        <v>EXP00045</v>
      </c>
      <c r="B1785" s="4" t="str">
        <f t="shared" si="160"/>
        <v>17258348</v>
      </c>
      <c r="C1785" s="4" t="str">
        <f t="shared" si="161"/>
        <v>GSE1987</v>
      </c>
      <c r="D1785" s="1" t="s">
        <v>117</v>
      </c>
      <c r="E1785" t="s">
        <v>118</v>
      </c>
      <c r="F1785" s="1">
        <v>1</v>
      </c>
      <c r="G1785" s="1" t="s">
        <v>36</v>
      </c>
      <c r="H1785" s="4" t="str">
        <f>HYPERLINK("https://www.ncbi.nlm.nih.gov/geo/query/acc.cgi?acc=GSM35022","GSM35022")</f>
        <v>GSM35022</v>
      </c>
      <c r="I1785" t="s">
        <v>108</v>
      </c>
      <c r="J1785" t="s">
        <v>119</v>
      </c>
      <c r="K1785" t="s">
        <v>33</v>
      </c>
      <c r="L1785" t="s">
        <v>41</v>
      </c>
      <c r="N1785" t="s">
        <v>37</v>
      </c>
    </row>
    <row r="1786" spans="1:14">
      <c r="A1786" s="4" t="str">
        <f t="shared" si="159"/>
        <v>EXP00045</v>
      </c>
      <c r="B1786" s="4" t="str">
        <f t="shared" si="160"/>
        <v>17258348</v>
      </c>
      <c r="C1786" s="4" t="str">
        <f t="shared" si="161"/>
        <v>GSE1987</v>
      </c>
      <c r="D1786" s="1" t="s">
        <v>117</v>
      </c>
      <c r="E1786" t="s">
        <v>118</v>
      </c>
      <c r="F1786" s="1">
        <v>1</v>
      </c>
      <c r="G1786" s="1" t="s">
        <v>36</v>
      </c>
      <c r="H1786" s="4" t="str">
        <f>HYPERLINK("https://www.ncbi.nlm.nih.gov/geo/query/acc.cgi?acc=GSM35023","GSM35023")</f>
        <v>GSM35023</v>
      </c>
      <c r="I1786" t="s">
        <v>108</v>
      </c>
      <c r="J1786" t="s">
        <v>119</v>
      </c>
      <c r="K1786" t="s">
        <v>33</v>
      </c>
      <c r="L1786" t="s">
        <v>41</v>
      </c>
      <c r="N1786" t="s">
        <v>37</v>
      </c>
    </row>
    <row r="1787" spans="1:14">
      <c r="A1787" s="4" t="str">
        <f t="shared" si="159"/>
        <v>EXP00045</v>
      </c>
      <c r="B1787" s="4" t="str">
        <f t="shared" si="160"/>
        <v>17258348</v>
      </c>
      <c r="C1787" s="4" t="str">
        <f t="shared" si="161"/>
        <v>GSE1987</v>
      </c>
      <c r="D1787" s="1" t="s">
        <v>117</v>
      </c>
      <c r="E1787" t="s">
        <v>118</v>
      </c>
      <c r="F1787" s="1">
        <v>2</v>
      </c>
      <c r="G1787" s="1" t="s">
        <v>28</v>
      </c>
      <c r="H1787" s="4" t="str">
        <f>HYPERLINK("https://www.ncbi.nlm.nih.gov/geo/query/acc.cgi?acc=GSM34988","GSM34988")</f>
        <v>GSM34988</v>
      </c>
      <c r="I1787" t="s">
        <v>108</v>
      </c>
      <c r="J1787" t="s">
        <v>119</v>
      </c>
      <c r="K1787" t="s">
        <v>33</v>
      </c>
      <c r="L1787" t="s">
        <v>41</v>
      </c>
      <c r="N1787" t="s">
        <v>29</v>
      </c>
    </row>
    <row r="1788" spans="1:14">
      <c r="A1788" s="4" t="str">
        <f t="shared" si="159"/>
        <v>EXP00045</v>
      </c>
      <c r="B1788" s="4" t="str">
        <f t="shared" si="160"/>
        <v>17258348</v>
      </c>
      <c r="C1788" s="4" t="str">
        <f t="shared" si="161"/>
        <v>GSE1987</v>
      </c>
      <c r="D1788" s="1" t="s">
        <v>117</v>
      </c>
      <c r="E1788" t="s">
        <v>118</v>
      </c>
      <c r="F1788" s="1">
        <v>2</v>
      </c>
      <c r="G1788" s="1" t="s">
        <v>28</v>
      </c>
      <c r="H1788" s="4" t="str">
        <f>HYPERLINK("https://www.ncbi.nlm.nih.gov/geo/query/acc.cgi?acc=GSM34989","GSM34989")</f>
        <v>GSM34989</v>
      </c>
      <c r="I1788" t="s">
        <v>108</v>
      </c>
      <c r="J1788" t="s">
        <v>120</v>
      </c>
      <c r="K1788" t="s">
        <v>33</v>
      </c>
      <c r="L1788" t="s">
        <v>41</v>
      </c>
      <c r="N1788" t="s">
        <v>29</v>
      </c>
    </row>
    <row r="1789" spans="1:14">
      <c r="A1789" s="4" t="str">
        <f t="shared" si="159"/>
        <v>EXP00045</v>
      </c>
      <c r="B1789" s="4" t="str">
        <f t="shared" si="160"/>
        <v>17258348</v>
      </c>
      <c r="C1789" s="4" t="str">
        <f t="shared" si="161"/>
        <v>GSE1987</v>
      </c>
      <c r="D1789" s="1" t="s">
        <v>117</v>
      </c>
      <c r="E1789" t="s">
        <v>118</v>
      </c>
      <c r="F1789" s="1">
        <v>2</v>
      </c>
      <c r="G1789" s="1" t="s">
        <v>28</v>
      </c>
      <c r="H1789" s="4" t="str">
        <f>HYPERLINK("https://www.ncbi.nlm.nih.gov/geo/query/acc.cgi?acc=GSM34990","GSM34990")</f>
        <v>GSM34990</v>
      </c>
      <c r="I1789" t="s">
        <v>108</v>
      </c>
      <c r="J1789" t="s">
        <v>119</v>
      </c>
      <c r="K1789" t="s">
        <v>33</v>
      </c>
      <c r="L1789" t="s">
        <v>41</v>
      </c>
      <c r="N1789" t="s">
        <v>29</v>
      </c>
    </row>
    <row r="1790" spans="1:14">
      <c r="A1790" s="4" t="str">
        <f t="shared" si="159"/>
        <v>EXP00045</v>
      </c>
      <c r="B1790" s="4" t="str">
        <f t="shared" si="160"/>
        <v>17258348</v>
      </c>
      <c r="C1790" s="4" t="str">
        <f t="shared" si="161"/>
        <v>GSE1987</v>
      </c>
      <c r="D1790" s="1" t="s">
        <v>117</v>
      </c>
      <c r="E1790" t="s">
        <v>118</v>
      </c>
      <c r="F1790" s="1">
        <v>2</v>
      </c>
      <c r="G1790" s="1" t="s">
        <v>28</v>
      </c>
      <c r="H1790" s="4" t="str">
        <f>HYPERLINK("https://www.ncbi.nlm.nih.gov/geo/query/acc.cgi?acc=GSM34991","GSM34991")</f>
        <v>GSM34991</v>
      </c>
      <c r="I1790" t="s">
        <v>108</v>
      </c>
      <c r="J1790" t="s">
        <v>120</v>
      </c>
      <c r="K1790" t="s">
        <v>33</v>
      </c>
      <c r="L1790" t="s">
        <v>41</v>
      </c>
      <c r="N1790" t="s">
        <v>29</v>
      </c>
    </row>
    <row r="1791" spans="1:14">
      <c r="A1791" s="4" t="str">
        <f t="shared" si="159"/>
        <v>EXP00045</v>
      </c>
      <c r="B1791" s="4" t="str">
        <f t="shared" si="160"/>
        <v>17258348</v>
      </c>
      <c r="C1791" s="4" t="str">
        <f t="shared" si="161"/>
        <v>GSE1987</v>
      </c>
      <c r="D1791" s="1" t="s">
        <v>117</v>
      </c>
      <c r="E1791" t="s">
        <v>118</v>
      </c>
      <c r="F1791" s="1">
        <v>2</v>
      </c>
      <c r="G1791" s="1" t="s">
        <v>28</v>
      </c>
      <c r="H1791" s="4" t="str">
        <f>HYPERLINK("https://www.ncbi.nlm.nih.gov/geo/query/acc.cgi?acc=GSM34992","GSM34992")</f>
        <v>GSM34992</v>
      </c>
      <c r="I1791" t="s">
        <v>108</v>
      </c>
      <c r="J1791" t="s">
        <v>119</v>
      </c>
      <c r="K1791" t="s">
        <v>33</v>
      </c>
      <c r="L1791" t="s">
        <v>41</v>
      </c>
      <c r="N1791" t="s">
        <v>29</v>
      </c>
    </row>
    <row r="1792" spans="1:14">
      <c r="A1792" s="4" t="str">
        <f t="shared" si="159"/>
        <v>EXP00045</v>
      </c>
      <c r="B1792" s="4" t="str">
        <f t="shared" si="160"/>
        <v>17258348</v>
      </c>
      <c r="C1792" s="4" t="str">
        <f t="shared" si="161"/>
        <v>GSE1987</v>
      </c>
      <c r="D1792" s="1" t="s">
        <v>117</v>
      </c>
      <c r="E1792" t="s">
        <v>118</v>
      </c>
      <c r="F1792" s="1">
        <v>2</v>
      </c>
      <c r="G1792" s="1" t="s">
        <v>28</v>
      </c>
      <c r="H1792" s="4" t="str">
        <f>HYPERLINK("https://www.ncbi.nlm.nih.gov/geo/query/acc.cgi?acc=GSM34993","GSM34993")</f>
        <v>GSM34993</v>
      </c>
      <c r="I1792" t="s">
        <v>108</v>
      </c>
      <c r="J1792" t="s">
        <v>119</v>
      </c>
      <c r="K1792" t="s">
        <v>33</v>
      </c>
      <c r="L1792" t="s">
        <v>41</v>
      </c>
      <c r="N1792" t="s">
        <v>29</v>
      </c>
    </row>
    <row r="1793" spans="1:14">
      <c r="A1793" s="4" t="str">
        <f t="shared" si="159"/>
        <v>EXP00045</v>
      </c>
      <c r="B1793" s="4" t="str">
        <f t="shared" si="160"/>
        <v>17258348</v>
      </c>
      <c r="C1793" s="4" t="str">
        <f t="shared" si="161"/>
        <v>GSE1987</v>
      </c>
      <c r="D1793" s="1" t="s">
        <v>117</v>
      </c>
      <c r="E1793" t="s">
        <v>118</v>
      </c>
      <c r="F1793" s="1">
        <v>2</v>
      </c>
      <c r="G1793" s="1" t="s">
        <v>28</v>
      </c>
      <c r="H1793" s="4" t="str">
        <f>HYPERLINK("https://www.ncbi.nlm.nih.gov/geo/query/acc.cgi?acc=GSM34994","GSM34994")</f>
        <v>GSM34994</v>
      </c>
      <c r="I1793" t="s">
        <v>108</v>
      </c>
      <c r="J1793" t="s">
        <v>120</v>
      </c>
      <c r="K1793" t="s">
        <v>33</v>
      </c>
      <c r="L1793" t="s">
        <v>41</v>
      </c>
      <c r="N1793" t="s">
        <v>29</v>
      </c>
    </row>
    <row r="1794" spans="1:14">
      <c r="A1794" s="4" t="str">
        <f t="shared" si="159"/>
        <v>EXP00045</v>
      </c>
      <c r="B1794" s="4" t="str">
        <f t="shared" si="160"/>
        <v>17258348</v>
      </c>
      <c r="C1794" s="4" t="str">
        <f t="shared" si="161"/>
        <v>GSE1987</v>
      </c>
      <c r="D1794" s="1" t="s">
        <v>117</v>
      </c>
      <c r="E1794" t="s">
        <v>118</v>
      </c>
      <c r="F1794" s="1">
        <v>2</v>
      </c>
      <c r="G1794" s="1" t="s">
        <v>28</v>
      </c>
      <c r="H1794" s="4" t="str">
        <f>HYPERLINK("https://www.ncbi.nlm.nih.gov/geo/query/acc.cgi?acc=GSM34995","GSM34995")</f>
        <v>GSM34995</v>
      </c>
      <c r="I1794" t="s">
        <v>108</v>
      </c>
      <c r="J1794" t="s">
        <v>120</v>
      </c>
      <c r="K1794" t="s">
        <v>33</v>
      </c>
      <c r="L1794" t="s">
        <v>41</v>
      </c>
      <c r="N1794" t="s">
        <v>29</v>
      </c>
    </row>
    <row r="1795" spans="1:14">
      <c r="A1795" s="4" t="str">
        <f t="shared" si="159"/>
        <v>EXP00045</v>
      </c>
      <c r="B1795" s="4" t="str">
        <f t="shared" si="160"/>
        <v>17258348</v>
      </c>
      <c r="C1795" s="4" t="str">
        <f t="shared" si="161"/>
        <v>GSE1987</v>
      </c>
      <c r="D1795" s="1" t="s">
        <v>117</v>
      </c>
      <c r="E1795" t="s">
        <v>118</v>
      </c>
      <c r="F1795" s="1">
        <v>2</v>
      </c>
      <c r="G1795" s="1" t="s">
        <v>28</v>
      </c>
      <c r="H1795" s="4" t="str">
        <f>HYPERLINK("https://www.ncbi.nlm.nih.gov/geo/query/acc.cgi?acc=GSM34996","GSM34996")</f>
        <v>GSM34996</v>
      </c>
      <c r="I1795" t="s">
        <v>108</v>
      </c>
      <c r="J1795" t="s">
        <v>120</v>
      </c>
      <c r="K1795" t="s">
        <v>33</v>
      </c>
      <c r="L1795" t="s">
        <v>41</v>
      </c>
      <c r="N1795" t="s">
        <v>29</v>
      </c>
    </row>
    <row r="1796" spans="1:14">
      <c r="A1796" s="4" t="str">
        <f t="shared" si="159"/>
        <v>EXP00045</v>
      </c>
      <c r="B1796" s="4" t="str">
        <f t="shared" si="160"/>
        <v>17258348</v>
      </c>
      <c r="C1796" s="4" t="str">
        <f t="shared" si="161"/>
        <v>GSE1987</v>
      </c>
      <c r="D1796" s="1" t="s">
        <v>117</v>
      </c>
      <c r="E1796" t="s">
        <v>118</v>
      </c>
      <c r="F1796" s="1">
        <v>2</v>
      </c>
      <c r="G1796" s="1" t="s">
        <v>28</v>
      </c>
      <c r="H1796" s="4" t="str">
        <f>HYPERLINK("https://www.ncbi.nlm.nih.gov/geo/query/acc.cgi?acc=GSM34997","GSM34997")</f>
        <v>GSM34997</v>
      </c>
      <c r="I1796" t="s">
        <v>108</v>
      </c>
      <c r="J1796" t="s">
        <v>120</v>
      </c>
      <c r="K1796" t="s">
        <v>33</v>
      </c>
      <c r="L1796" t="s">
        <v>41</v>
      </c>
      <c r="N1796" t="s">
        <v>29</v>
      </c>
    </row>
    <row r="1797" spans="1:14">
      <c r="A1797" s="4" t="str">
        <f t="shared" si="159"/>
        <v>EXP00045</v>
      </c>
      <c r="B1797" s="4" t="str">
        <f t="shared" si="160"/>
        <v>17258348</v>
      </c>
      <c r="C1797" s="4" t="str">
        <f t="shared" si="161"/>
        <v>GSE1987</v>
      </c>
      <c r="D1797" s="1" t="s">
        <v>117</v>
      </c>
      <c r="E1797" t="s">
        <v>118</v>
      </c>
      <c r="F1797" s="1">
        <v>2</v>
      </c>
      <c r="G1797" s="1" t="s">
        <v>28</v>
      </c>
      <c r="H1797" s="4" t="str">
        <f>HYPERLINK("https://www.ncbi.nlm.nih.gov/geo/query/acc.cgi?acc=GSM34998","GSM34998")</f>
        <v>GSM34998</v>
      </c>
      <c r="I1797" t="s">
        <v>108</v>
      </c>
      <c r="J1797" t="s">
        <v>119</v>
      </c>
      <c r="K1797" t="s">
        <v>33</v>
      </c>
      <c r="L1797" t="s">
        <v>41</v>
      </c>
      <c r="N1797" t="s">
        <v>29</v>
      </c>
    </row>
    <row r="1798" spans="1:14">
      <c r="A1798" s="4" t="str">
        <f t="shared" si="159"/>
        <v>EXP00045</v>
      </c>
      <c r="B1798" s="4" t="str">
        <f t="shared" si="160"/>
        <v>17258348</v>
      </c>
      <c r="C1798" s="4" t="str">
        <f t="shared" si="161"/>
        <v>GSE1987</v>
      </c>
      <c r="D1798" s="1" t="s">
        <v>117</v>
      </c>
      <c r="E1798" t="s">
        <v>118</v>
      </c>
      <c r="F1798" s="1">
        <v>2</v>
      </c>
      <c r="G1798" s="1" t="s">
        <v>28</v>
      </c>
      <c r="H1798" s="4" t="str">
        <f>HYPERLINK("https://www.ncbi.nlm.nih.gov/geo/query/acc.cgi?acc=GSM34999","GSM34999")</f>
        <v>GSM34999</v>
      </c>
      <c r="I1798" t="s">
        <v>108</v>
      </c>
      <c r="J1798" t="s">
        <v>119</v>
      </c>
      <c r="K1798" t="s">
        <v>33</v>
      </c>
      <c r="L1798" t="s">
        <v>41</v>
      </c>
      <c r="N1798" t="s">
        <v>29</v>
      </c>
    </row>
    <row r="1799" spans="1:14">
      <c r="A1799" s="4" t="str">
        <f t="shared" si="159"/>
        <v>EXP00045</v>
      </c>
      <c r="B1799" s="4" t="str">
        <f t="shared" si="160"/>
        <v>17258348</v>
      </c>
      <c r="C1799" s="4" t="str">
        <f t="shared" si="161"/>
        <v>GSE1987</v>
      </c>
      <c r="D1799" s="1" t="s">
        <v>117</v>
      </c>
      <c r="E1799" t="s">
        <v>118</v>
      </c>
      <c r="F1799" s="1">
        <v>2</v>
      </c>
      <c r="G1799" s="1" t="s">
        <v>28</v>
      </c>
      <c r="H1799" s="4" t="str">
        <f>HYPERLINK("https://www.ncbi.nlm.nih.gov/geo/query/acc.cgi?acc=GSM35000","GSM35000")</f>
        <v>GSM35000</v>
      </c>
      <c r="I1799" t="s">
        <v>108</v>
      </c>
      <c r="J1799" t="s">
        <v>119</v>
      </c>
      <c r="K1799" t="s">
        <v>33</v>
      </c>
      <c r="L1799" t="s">
        <v>41</v>
      </c>
      <c r="N1799" t="s">
        <v>29</v>
      </c>
    </row>
    <row r="1800" spans="1:14">
      <c r="A1800" s="4" t="str">
        <f t="shared" si="159"/>
        <v>EXP00045</v>
      </c>
      <c r="B1800" s="4" t="str">
        <f t="shared" si="160"/>
        <v>17258348</v>
      </c>
      <c r="C1800" s="4" t="str">
        <f t="shared" si="161"/>
        <v>GSE1987</v>
      </c>
      <c r="D1800" s="1" t="s">
        <v>117</v>
      </c>
      <c r="E1800" t="s">
        <v>118</v>
      </c>
      <c r="F1800" s="1">
        <v>2</v>
      </c>
      <c r="G1800" s="1" t="s">
        <v>28</v>
      </c>
      <c r="H1800" s="4" t="str">
        <f>HYPERLINK("https://www.ncbi.nlm.nih.gov/geo/query/acc.cgi?acc=GSM35001","GSM35001")</f>
        <v>GSM35001</v>
      </c>
      <c r="I1800" t="s">
        <v>108</v>
      </c>
      <c r="J1800" t="s">
        <v>119</v>
      </c>
      <c r="K1800" t="s">
        <v>33</v>
      </c>
      <c r="L1800" t="s">
        <v>41</v>
      </c>
      <c r="N1800" t="s">
        <v>29</v>
      </c>
    </row>
    <row r="1801" spans="1:14">
      <c r="A1801" s="4" t="str">
        <f t="shared" si="159"/>
        <v>EXP00045</v>
      </c>
      <c r="B1801" s="4" t="str">
        <f t="shared" si="160"/>
        <v>17258348</v>
      </c>
      <c r="C1801" s="4" t="str">
        <f t="shared" si="161"/>
        <v>GSE1987</v>
      </c>
      <c r="D1801" s="1" t="s">
        <v>117</v>
      </c>
      <c r="E1801" t="s">
        <v>118</v>
      </c>
      <c r="F1801" s="1">
        <v>2</v>
      </c>
      <c r="G1801" s="1" t="s">
        <v>28</v>
      </c>
      <c r="H1801" s="4" t="str">
        <f>HYPERLINK("https://www.ncbi.nlm.nih.gov/geo/query/acc.cgi?acc=GSM35002","GSM35002")</f>
        <v>GSM35002</v>
      </c>
      <c r="I1801" t="s">
        <v>108</v>
      </c>
      <c r="J1801" t="s">
        <v>119</v>
      </c>
      <c r="K1801" t="s">
        <v>33</v>
      </c>
      <c r="L1801" t="s">
        <v>41</v>
      </c>
      <c r="N1801" t="s">
        <v>29</v>
      </c>
    </row>
    <row r="1802" spans="1:14">
      <c r="A1802" s="4" t="str">
        <f t="shared" si="159"/>
        <v>EXP00045</v>
      </c>
      <c r="B1802" s="4" t="str">
        <f t="shared" si="160"/>
        <v>17258348</v>
      </c>
      <c r="C1802" s="4" t="str">
        <f t="shared" si="161"/>
        <v>GSE1987</v>
      </c>
      <c r="D1802" s="1" t="s">
        <v>117</v>
      </c>
      <c r="E1802" t="s">
        <v>118</v>
      </c>
      <c r="F1802" s="1">
        <v>2</v>
      </c>
      <c r="G1802" s="1" t="s">
        <v>28</v>
      </c>
      <c r="H1802" s="4" t="str">
        <f>HYPERLINK("https://www.ncbi.nlm.nih.gov/geo/query/acc.cgi?acc=GSM35004","GSM35004")</f>
        <v>GSM35004</v>
      </c>
      <c r="I1802" t="s">
        <v>108</v>
      </c>
      <c r="J1802" t="s">
        <v>119</v>
      </c>
      <c r="K1802" t="s">
        <v>33</v>
      </c>
      <c r="L1802" t="s">
        <v>41</v>
      </c>
      <c r="N1802" t="s">
        <v>29</v>
      </c>
    </row>
    <row r="1803" spans="1:14">
      <c r="A1803" s="4" t="str">
        <f t="shared" si="159"/>
        <v>EXP00045</v>
      </c>
      <c r="B1803" s="4" t="str">
        <f t="shared" si="160"/>
        <v>17258348</v>
      </c>
      <c r="C1803" s="4" t="str">
        <f t="shared" si="161"/>
        <v>GSE1987</v>
      </c>
      <c r="D1803" s="1" t="s">
        <v>117</v>
      </c>
      <c r="E1803" t="s">
        <v>118</v>
      </c>
      <c r="F1803" s="1">
        <v>2</v>
      </c>
      <c r="G1803" s="1" t="s">
        <v>28</v>
      </c>
      <c r="H1803" s="4" t="str">
        <f>HYPERLINK("https://www.ncbi.nlm.nih.gov/geo/query/acc.cgi?acc=GSM35006","GSM35006")</f>
        <v>GSM35006</v>
      </c>
      <c r="I1803" t="s">
        <v>108</v>
      </c>
      <c r="J1803" t="s">
        <v>119</v>
      </c>
      <c r="K1803" t="s">
        <v>33</v>
      </c>
      <c r="L1803" t="s">
        <v>41</v>
      </c>
      <c r="N1803" t="s">
        <v>29</v>
      </c>
    </row>
    <row r="1804" spans="1:14">
      <c r="A1804" s="4" t="str">
        <f t="shared" si="159"/>
        <v>EXP00045</v>
      </c>
      <c r="B1804" s="4" t="str">
        <f t="shared" si="160"/>
        <v>17258348</v>
      </c>
      <c r="C1804" s="4" t="str">
        <f t="shared" si="161"/>
        <v>GSE1987</v>
      </c>
      <c r="D1804" s="1" t="s">
        <v>117</v>
      </c>
      <c r="E1804" t="s">
        <v>118</v>
      </c>
      <c r="F1804" s="1">
        <v>2</v>
      </c>
      <c r="G1804" s="1" t="s">
        <v>28</v>
      </c>
      <c r="H1804" s="4" t="str">
        <f>HYPERLINK("https://www.ncbi.nlm.nih.gov/geo/query/acc.cgi?acc=GSM35008","GSM35008")</f>
        <v>GSM35008</v>
      </c>
      <c r="I1804" t="s">
        <v>108</v>
      </c>
      <c r="J1804" t="s">
        <v>119</v>
      </c>
      <c r="K1804" t="s">
        <v>33</v>
      </c>
      <c r="L1804" t="s">
        <v>41</v>
      </c>
      <c r="N1804" t="s">
        <v>29</v>
      </c>
    </row>
    <row r="1805" spans="1:14">
      <c r="A1805" s="4" t="str">
        <f t="shared" si="159"/>
        <v>EXP00045</v>
      </c>
      <c r="B1805" s="4" t="str">
        <f t="shared" si="160"/>
        <v>17258348</v>
      </c>
      <c r="C1805" s="4" t="str">
        <f t="shared" si="161"/>
        <v>GSE1987</v>
      </c>
      <c r="D1805" s="1" t="s">
        <v>117</v>
      </c>
      <c r="E1805" t="s">
        <v>118</v>
      </c>
      <c r="F1805" s="1">
        <v>2</v>
      </c>
      <c r="G1805" s="1" t="s">
        <v>28</v>
      </c>
      <c r="H1805" s="4" t="str">
        <f>HYPERLINK("https://www.ncbi.nlm.nih.gov/geo/query/acc.cgi?acc=GSM35009","GSM35009")</f>
        <v>GSM35009</v>
      </c>
      <c r="I1805" t="s">
        <v>108</v>
      </c>
      <c r="J1805" t="s">
        <v>120</v>
      </c>
      <c r="K1805" t="s">
        <v>33</v>
      </c>
      <c r="L1805" t="s">
        <v>41</v>
      </c>
      <c r="N1805" t="s">
        <v>29</v>
      </c>
    </row>
    <row r="1806" spans="1:14">
      <c r="A1806" s="4" t="str">
        <f t="shared" si="159"/>
        <v>EXP00045</v>
      </c>
      <c r="B1806" s="4" t="str">
        <f t="shared" si="160"/>
        <v>17258348</v>
      </c>
      <c r="C1806" s="4" t="str">
        <f t="shared" si="161"/>
        <v>GSE1987</v>
      </c>
      <c r="D1806" s="1" t="s">
        <v>117</v>
      </c>
      <c r="E1806" t="s">
        <v>118</v>
      </c>
      <c r="F1806" s="1">
        <v>2</v>
      </c>
      <c r="G1806" s="1" t="s">
        <v>28</v>
      </c>
      <c r="H1806" s="4" t="str">
        <f>HYPERLINK("https://www.ncbi.nlm.nih.gov/geo/query/acc.cgi?acc=GSM35010","GSM35010")</f>
        <v>GSM35010</v>
      </c>
      <c r="I1806" t="s">
        <v>108</v>
      </c>
      <c r="J1806" t="s">
        <v>119</v>
      </c>
      <c r="K1806" t="s">
        <v>33</v>
      </c>
      <c r="L1806" t="s">
        <v>41</v>
      </c>
      <c r="N1806" t="s">
        <v>29</v>
      </c>
    </row>
    <row r="1807" spans="1:14">
      <c r="A1807" s="4" t="str">
        <f t="shared" si="159"/>
        <v>EXP00045</v>
      </c>
      <c r="B1807" s="4" t="str">
        <f t="shared" si="160"/>
        <v>17258348</v>
      </c>
      <c r="C1807" s="4" t="str">
        <f t="shared" si="161"/>
        <v>GSE1987</v>
      </c>
      <c r="D1807" s="1" t="s">
        <v>117</v>
      </c>
      <c r="E1807" t="s">
        <v>118</v>
      </c>
      <c r="F1807" s="1">
        <v>2</v>
      </c>
      <c r="G1807" s="1" t="s">
        <v>28</v>
      </c>
      <c r="H1807" s="4" t="str">
        <f>HYPERLINK("https://www.ncbi.nlm.nih.gov/geo/query/acc.cgi?acc=GSM35011","GSM35011")</f>
        <v>GSM35011</v>
      </c>
      <c r="I1807" t="s">
        <v>108</v>
      </c>
      <c r="J1807" t="s">
        <v>119</v>
      </c>
      <c r="K1807" t="s">
        <v>33</v>
      </c>
      <c r="L1807" t="s">
        <v>41</v>
      </c>
      <c r="N1807" t="s">
        <v>29</v>
      </c>
    </row>
    <row r="1808" spans="1:14">
      <c r="A1808" s="4" t="str">
        <f t="shared" si="159"/>
        <v>EXP00045</v>
      </c>
      <c r="B1808" s="4" t="str">
        <f t="shared" si="160"/>
        <v>17258348</v>
      </c>
      <c r="C1808" s="4" t="str">
        <f t="shared" si="161"/>
        <v>GSE1987</v>
      </c>
      <c r="D1808" s="1" t="s">
        <v>117</v>
      </c>
      <c r="E1808" t="s">
        <v>118</v>
      </c>
      <c r="F1808" s="1">
        <v>2</v>
      </c>
      <c r="G1808" s="1" t="s">
        <v>28</v>
      </c>
      <c r="H1808" s="4" t="str">
        <f>HYPERLINK("https://www.ncbi.nlm.nih.gov/geo/query/acc.cgi?acc=GSM35012","GSM35012")</f>
        <v>GSM35012</v>
      </c>
      <c r="I1808" t="s">
        <v>108</v>
      </c>
      <c r="J1808" t="s">
        <v>120</v>
      </c>
      <c r="K1808" t="s">
        <v>33</v>
      </c>
      <c r="L1808" t="s">
        <v>41</v>
      </c>
      <c r="N1808" t="s">
        <v>29</v>
      </c>
    </row>
    <row r="1809" spans="1:14">
      <c r="A1809" s="4" t="str">
        <f t="shared" si="159"/>
        <v>EXP00045</v>
      </c>
      <c r="B1809" s="4" t="str">
        <f t="shared" si="160"/>
        <v>17258348</v>
      </c>
      <c r="C1809" s="4" t="str">
        <f t="shared" si="161"/>
        <v>GSE1987</v>
      </c>
      <c r="D1809" s="1" t="s">
        <v>117</v>
      </c>
      <c r="E1809" t="s">
        <v>118</v>
      </c>
      <c r="F1809" s="1">
        <v>2</v>
      </c>
      <c r="G1809" s="1" t="s">
        <v>28</v>
      </c>
      <c r="H1809" s="4" t="str">
        <f>HYPERLINK("https://www.ncbi.nlm.nih.gov/geo/query/acc.cgi?acc=GSM35013","GSM35013")</f>
        <v>GSM35013</v>
      </c>
      <c r="I1809" t="s">
        <v>108</v>
      </c>
      <c r="J1809" t="s">
        <v>119</v>
      </c>
      <c r="K1809" t="s">
        <v>33</v>
      </c>
      <c r="L1809" t="s">
        <v>41</v>
      </c>
      <c r="N1809" t="s">
        <v>29</v>
      </c>
    </row>
    <row r="1810" spans="1:14">
      <c r="A1810" s="4" t="str">
        <f t="shared" si="159"/>
        <v>EXP00045</v>
      </c>
      <c r="B1810" s="4" t="str">
        <f t="shared" si="160"/>
        <v>17258348</v>
      </c>
      <c r="C1810" s="4" t="str">
        <f t="shared" si="161"/>
        <v>GSE1987</v>
      </c>
      <c r="D1810" s="1" t="s">
        <v>117</v>
      </c>
      <c r="E1810" t="s">
        <v>118</v>
      </c>
      <c r="F1810" s="1">
        <v>2</v>
      </c>
      <c r="G1810" s="1" t="s">
        <v>28</v>
      </c>
      <c r="H1810" s="4" t="str">
        <f>HYPERLINK("https://www.ncbi.nlm.nih.gov/geo/query/acc.cgi?acc=GSM35014","GSM35014")</f>
        <v>GSM35014</v>
      </c>
      <c r="I1810" t="s">
        <v>108</v>
      </c>
      <c r="J1810" t="s">
        <v>119</v>
      </c>
      <c r="K1810" t="s">
        <v>33</v>
      </c>
      <c r="L1810" t="s">
        <v>41</v>
      </c>
      <c r="N1810" t="s">
        <v>29</v>
      </c>
    </row>
    <row r="1811" spans="1:14">
      <c r="A1811" s="4" t="str">
        <f t="shared" si="159"/>
        <v>EXP00045</v>
      </c>
      <c r="B1811" s="4" t="str">
        <f t="shared" si="160"/>
        <v>17258348</v>
      </c>
      <c r="C1811" s="4" t="str">
        <f t="shared" si="161"/>
        <v>GSE1987</v>
      </c>
      <c r="D1811" s="1" t="s">
        <v>117</v>
      </c>
      <c r="E1811" t="s">
        <v>118</v>
      </c>
      <c r="F1811" s="1">
        <v>2</v>
      </c>
      <c r="G1811" s="1" t="s">
        <v>28</v>
      </c>
      <c r="H1811" s="4" t="str">
        <f>HYPERLINK("https://www.ncbi.nlm.nih.gov/geo/query/acc.cgi?acc=GSM35024","GSM35024")</f>
        <v>GSM35024</v>
      </c>
      <c r="I1811" t="s">
        <v>108</v>
      </c>
      <c r="J1811" t="s">
        <v>119</v>
      </c>
      <c r="K1811" t="s">
        <v>33</v>
      </c>
      <c r="L1811" t="s">
        <v>41</v>
      </c>
      <c r="N1811" t="s">
        <v>29</v>
      </c>
    </row>
    <row r="1812" spans="1:14">
      <c r="A1812" s="4" t="str">
        <f t="shared" ref="A1812:A1833" si="162">HYPERLINK("http://hcmdb.i-sanger.com/experiment/details/experiment_id/EXP00046","EXP00046")</f>
        <v>EXP00046</v>
      </c>
      <c r="B1812" s="4" t="str">
        <f t="shared" ref="B1812:B1833" si="163">HYPERLINK("https://www.ncbi.nlm.nih.gov/pubmed/17258348","17258348")</f>
        <v>17258348</v>
      </c>
      <c r="C1812" s="4" t="str">
        <f t="shared" ref="C1812:C1833" si="164">HYPERLINK("https://www.ncbi.nlm.nih.gov/geo/query/acc.cgi?acc=GSE1987","GSE1987")</f>
        <v>GSE1987</v>
      </c>
      <c r="D1812" s="1" t="s">
        <v>117</v>
      </c>
      <c r="E1812" t="s">
        <v>121</v>
      </c>
      <c r="F1812" s="1">
        <v>1</v>
      </c>
      <c r="G1812" s="1" t="s">
        <v>36</v>
      </c>
      <c r="H1812" s="4" t="str">
        <f>HYPERLINK("https://www.ncbi.nlm.nih.gov/geo/query/acc.cgi?acc=GSM35019","GSM35019")</f>
        <v>GSM35019</v>
      </c>
      <c r="I1812" t="s">
        <v>108</v>
      </c>
      <c r="J1812" t="s">
        <v>119</v>
      </c>
      <c r="K1812" t="s">
        <v>33</v>
      </c>
      <c r="L1812" t="s">
        <v>41</v>
      </c>
      <c r="N1812" t="s">
        <v>37</v>
      </c>
    </row>
    <row r="1813" spans="1:14">
      <c r="A1813" s="4" t="str">
        <f t="shared" si="162"/>
        <v>EXP00046</v>
      </c>
      <c r="B1813" s="4" t="str">
        <f t="shared" si="163"/>
        <v>17258348</v>
      </c>
      <c r="C1813" s="4" t="str">
        <f t="shared" si="164"/>
        <v>GSE1987</v>
      </c>
      <c r="D1813" s="1" t="s">
        <v>117</v>
      </c>
      <c r="E1813" t="s">
        <v>121</v>
      </c>
      <c r="F1813" s="1">
        <v>1</v>
      </c>
      <c r="G1813" s="1" t="s">
        <v>36</v>
      </c>
      <c r="H1813" s="4" t="str">
        <f>HYPERLINK("https://www.ncbi.nlm.nih.gov/geo/query/acc.cgi?acc=GSM35020","GSM35020")</f>
        <v>GSM35020</v>
      </c>
      <c r="I1813" t="s">
        <v>108</v>
      </c>
      <c r="J1813" t="s">
        <v>119</v>
      </c>
      <c r="K1813" t="s">
        <v>33</v>
      </c>
      <c r="L1813" t="s">
        <v>41</v>
      </c>
      <c r="N1813" t="s">
        <v>37</v>
      </c>
    </row>
    <row r="1814" spans="1:14">
      <c r="A1814" s="4" t="str">
        <f t="shared" si="162"/>
        <v>EXP00046</v>
      </c>
      <c r="B1814" s="4" t="str">
        <f t="shared" si="163"/>
        <v>17258348</v>
      </c>
      <c r="C1814" s="4" t="str">
        <f t="shared" si="164"/>
        <v>GSE1987</v>
      </c>
      <c r="D1814" s="1" t="s">
        <v>117</v>
      </c>
      <c r="E1814" t="s">
        <v>121</v>
      </c>
      <c r="F1814" s="1">
        <v>1</v>
      </c>
      <c r="G1814" s="1" t="s">
        <v>36</v>
      </c>
      <c r="H1814" s="4" t="str">
        <f>HYPERLINK("https://www.ncbi.nlm.nih.gov/geo/query/acc.cgi?acc=GSM35021","GSM35021")</f>
        <v>GSM35021</v>
      </c>
      <c r="I1814" t="s">
        <v>108</v>
      </c>
      <c r="J1814" t="s">
        <v>119</v>
      </c>
      <c r="K1814" t="s">
        <v>33</v>
      </c>
      <c r="L1814" t="s">
        <v>41</v>
      </c>
      <c r="N1814" t="s">
        <v>37</v>
      </c>
    </row>
    <row r="1815" spans="1:14">
      <c r="A1815" s="4" t="str">
        <f t="shared" si="162"/>
        <v>EXP00046</v>
      </c>
      <c r="B1815" s="4" t="str">
        <f t="shared" si="163"/>
        <v>17258348</v>
      </c>
      <c r="C1815" s="4" t="str">
        <f t="shared" si="164"/>
        <v>GSE1987</v>
      </c>
      <c r="D1815" s="1" t="s">
        <v>117</v>
      </c>
      <c r="E1815" t="s">
        <v>121</v>
      </c>
      <c r="F1815" s="1">
        <v>1</v>
      </c>
      <c r="G1815" s="1" t="s">
        <v>36</v>
      </c>
      <c r="H1815" s="4" t="str">
        <f>HYPERLINK("https://www.ncbi.nlm.nih.gov/geo/query/acc.cgi?acc=GSM35022","GSM35022")</f>
        <v>GSM35022</v>
      </c>
      <c r="I1815" t="s">
        <v>108</v>
      </c>
      <c r="J1815" t="s">
        <v>119</v>
      </c>
      <c r="K1815" t="s">
        <v>33</v>
      </c>
      <c r="L1815" t="s">
        <v>41</v>
      </c>
      <c r="N1815" t="s">
        <v>37</v>
      </c>
    </row>
    <row r="1816" spans="1:14">
      <c r="A1816" s="4" t="str">
        <f t="shared" si="162"/>
        <v>EXP00046</v>
      </c>
      <c r="B1816" s="4" t="str">
        <f t="shared" si="163"/>
        <v>17258348</v>
      </c>
      <c r="C1816" s="4" t="str">
        <f t="shared" si="164"/>
        <v>GSE1987</v>
      </c>
      <c r="D1816" s="1" t="s">
        <v>117</v>
      </c>
      <c r="E1816" t="s">
        <v>121</v>
      </c>
      <c r="F1816" s="1">
        <v>1</v>
      </c>
      <c r="G1816" s="1" t="s">
        <v>36</v>
      </c>
      <c r="H1816" s="4" t="str">
        <f>HYPERLINK("https://www.ncbi.nlm.nih.gov/geo/query/acc.cgi?acc=GSM35023","GSM35023")</f>
        <v>GSM35023</v>
      </c>
      <c r="I1816" t="s">
        <v>108</v>
      </c>
      <c r="J1816" t="s">
        <v>119</v>
      </c>
      <c r="K1816" t="s">
        <v>33</v>
      </c>
      <c r="L1816" t="s">
        <v>41</v>
      </c>
      <c r="N1816" t="s">
        <v>37</v>
      </c>
    </row>
    <row r="1817" spans="1:14">
      <c r="A1817" s="4" t="str">
        <f t="shared" si="162"/>
        <v>EXP00046</v>
      </c>
      <c r="B1817" s="4" t="str">
        <f t="shared" si="163"/>
        <v>17258348</v>
      </c>
      <c r="C1817" s="4" t="str">
        <f t="shared" si="164"/>
        <v>GSE1987</v>
      </c>
      <c r="D1817" s="1" t="s">
        <v>117</v>
      </c>
      <c r="E1817" t="s">
        <v>121</v>
      </c>
      <c r="F1817" s="1">
        <v>2</v>
      </c>
      <c r="G1817" s="1" t="s">
        <v>28</v>
      </c>
      <c r="H1817" s="4" t="str">
        <f>HYPERLINK("https://www.ncbi.nlm.nih.gov/geo/query/acc.cgi?acc=GSM34988","GSM34988")</f>
        <v>GSM34988</v>
      </c>
      <c r="I1817" t="s">
        <v>108</v>
      </c>
      <c r="J1817" t="s">
        <v>119</v>
      </c>
      <c r="K1817" t="s">
        <v>33</v>
      </c>
      <c r="L1817" t="s">
        <v>41</v>
      </c>
      <c r="N1817" t="s">
        <v>29</v>
      </c>
    </row>
    <row r="1818" spans="1:14">
      <c r="A1818" s="4" t="str">
        <f t="shared" si="162"/>
        <v>EXP00046</v>
      </c>
      <c r="B1818" s="4" t="str">
        <f t="shared" si="163"/>
        <v>17258348</v>
      </c>
      <c r="C1818" s="4" t="str">
        <f t="shared" si="164"/>
        <v>GSE1987</v>
      </c>
      <c r="D1818" s="1" t="s">
        <v>117</v>
      </c>
      <c r="E1818" t="s">
        <v>121</v>
      </c>
      <c r="F1818" s="1">
        <v>2</v>
      </c>
      <c r="G1818" s="1" t="s">
        <v>28</v>
      </c>
      <c r="H1818" s="4" t="str">
        <f>HYPERLINK("https://www.ncbi.nlm.nih.gov/geo/query/acc.cgi?acc=GSM34990","GSM34990")</f>
        <v>GSM34990</v>
      </c>
      <c r="I1818" t="s">
        <v>108</v>
      </c>
      <c r="J1818" t="s">
        <v>119</v>
      </c>
      <c r="K1818" t="s">
        <v>33</v>
      </c>
      <c r="L1818" t="s">
        <v>41</v>
      </c>
      <c r="N1818" t="s">
        <v>29</v>
      </c>
    </row>
    <row r="1819" spans="1:14">
      <c r="A1819" s="4" t="str">
        <f t="shared" si="162"/>
        <v>EXP00046</v>
      </c>
      <c r="B1819" s="4" t="str">
        <f t="shared" si="163"/>
        <v>17258348</v>
      </c>
      <c r="C1819" s="4" t="str">
        <f t="shared" si="164"/>
        <v>GSE1987</v>
      </c>
      <c r="D1819" s="1" t="s">
        <v>117</v>
      </c>
      <c r="E1819" t="s">
        <v>121</v>
      </c>
      <c r="F1819" s="1">
        <v>2</v>
      </c>
      <c r="G1819" s="1" t="s">
        <v>28</v>
      </c>
      <c r="H1819" s="4" t="str">
        <f>HYPERLINK("https://www.ncbi.nlm.nih.gov/geo/query/acc.cgi?acc=GSM34992","GSM34992")</f>
        <v>GSM34992</v>
      </c>
      <c r="I1819" t="s">
        <v>108</v>
      </c>
      <c r="J1819" t="s">
        <v>119</v>
      </c>
      <c r="K1819" t="s">
        <v>33</v>
      </c>
      <c r="L1819" t="s">
        <v>41</v>
      </c>
      <c r="N1819" t="s">
        <v>29</v>
      </c>
    </row>
    <row r="1820" spans="1:14">
      <c r="A1820" s="4" t="str">
        <f t="shared" si="162"/>
        <v>EXP00046</v>
      </c>
      <c r="B1820" s="4" t="str">
        <f t="shared" si="163"/>
        <v>17258348</v>
      </c>
      <c r="C1820" s="4" t="str">
        <f t="shared" si="164"/>
        <v>GSE1987</v>
      </c>
      <c r="D1820" s="1" t="s">
        <v>117</v>
      </c>
      <c r="E1820" t="s">
        <v>121</v>
      </c>
      <c r="F1820" s="1">
        <v>2</v>
      </c>
      <c r="G1820" s="1" t="s">
        <v>28</v>
      </c>
      <c r="H1820" s="4" t="str">
        <f>HYPERLINK("https://www.ncbi.nlm.nih.gov/geo/query/acc.cgi?acc=GSM34993","GSM34993")</f>
        <v>GSM34993</v>
      </c>
      <c r="I1820" t="s">
        <v>108</v>
      </c>
      <c r="J1820" t="s">
        <v>119</v>
      </c>
      <c r="K1820" t="s">
        <v>33</v>
      </c>
      <c r="L1820" t="s">
        <v>41</v>
      </c>
      <c r="N1820" t="s">
        <v>29</v>
      </c>
    </row>
    <row r="1821" spans="1:14">
      <c r="A1821" s="4" t="str">
        <f t="shared" si="162"/>
        <v>EXP00046</v>
      </c>
      <c r="B1821" s="4" t="str">
        <f t="shared" si="163"/>
        <v>17258348</v>
      </c>
      <c r="C1821" s="4" t="str">
        <f t="shared" si="164"/>
        <v>GSE1987</v>
      </c>
      <c r="D1821" s="1" t="s">
        <v>117</v>
      </c>
      <c r="E1821" t="s">
        <v>121</v>
      </c>
      <c r="F1821" s="1">
        <v>2</v>
      </c>
      <c r="G1821" s="1" t="s">
        <v>28</v>
      </c>
      <c r="H1821" s="4" t="str">
        <f>HYPERLINK("https://www.ncbi.nlm.nih.gov/geo/query/acc.cgi?acc=GSM34998","GSM34998")</f>
        <v>GSM34998</v>
      </c>
      <c r="I1821" t="s">
        <v>108</v>
      </c>
      <c r="J1821" t="s">
        <v>119</v>
      </c>
      <c r="K1821" t="s">
        <v>33</v>
      </c>
      <c r="L1821" t="s">
        <v>41</v>
      </c>
      <c r="N1821" t="s">
        <v>29</v>
      </c>
    </row>
    <row r="1822" spans="1:14">
      <c r="A1822" s="4" t="str">
        <f t="shared" si="162"/>
        <v>EXP00046</v>
      </c>
      <c r="B1822" s="4" t="str">
        <f t="shared" si="163"/>
        <v>17258348</v>
      </c>
      <c r="C1822" s="4" t="str">
        <f t="shared" si="164"/>
        <v>GSE1987</v>
      </c>
      <c r="D1822" s="1" t="s">
        <v>117</v>
      </c>
      <c r="E1822" t="s">
        <v>121</v>
      </c>
      <c r="F1822" s="1">
        <v>2</v>
      </c>
      <c r="G1822" s="1" t="s">
        <v>28</v>
      </c>
      <c r="H1822" s="4" t="str">
        <f>HYPERLINK("https://www.ncbi.nlm.nih.gov/geo/query/acc.cgi?acc=GSM34999","GSM34999")</f>
        <v>GSM34999</v>
      </c>
      <c r="I1822" t="s">
        <v>108</v>
      </c>
      <c r="J1822" t="s">
        <v>119</v>
      </c>
      <c r="K1822" t="s">
        <v>33</v>
      </c>
      <c r="L1822" t="s">
        <v>41</v>
      </c>
      <c r="N1822" t="s">
        <v>29</v>
      </c>
    </row>
    <row r="1823" spans="1:14">
      <c r="A1823" s="4" t="str">
        <f t="shared" si="162"/>
        <v>EXP00046</v>
      </c>
      <c r="B1823" s="4" t="str">
        <f t="shared" si="163"/>
        <v>17258348</v>
      </c>
      <c r="C1823" s="4" t="str">
        <f t="shared" si="164"/>
        <v>GSE1987</v>
      </c>
      <c r="D1823" s="1" t="s">
        <v>117</v>
      </c>
      <c r="E1823" t="s">
        <v>121</v>
      </c>
      <c r="F1823" s="1">
        <v>2</v>
      </c>
      <c r="G1823" s="1" t="s">
        <v>28</v>
      </c>
      <c r="H1823" s="4" t="str">
        <f>HYPERLINK("https://www.ncbi.nlm.nih.gov/geo/query/acc.cgi?acc=GSM35000","GSM35000")</f>
        <v>GSM35000</v>
      </c>
      <c r="I1823" t="s">
        <v>108</v>
      </c>
      <c r="J1823" t="s">
        <v>119</v>
      </c>
      <c r="K1823" t="s">
        <v>33</v>
      </c>
      <c r="L1823" t="s">
        <v>41</v>
      </c>
      <c r="N1823" t="s">
        <v>29</v>
      </c>
    </row>
    <row r="1824" spans="1:14">
      <c r="A1824" s="4" t="str">
        <f t="shared" si="162"/>
        <v>EXP00046</v>
      </c>
      <c r="B1824" s="4" t="str">
        <f t="shared" si="163"/>
        <v>17258348</v>
      </c>
      <c r="C1824" s="4" t="str">
        <f t="shared" si="164"/>
        <v>GSE1987</v>
      </c>
      <c r="D1824" s="1" t="s">
        <v>117</v>
      </c>
      <c r="E1824" t="s">
        <v>121</v>
      </c>
      <c r="F1824" s="1">
        <v>2</v>
      </c>
      <c r="G1824" s="1" t="s">
        <v>28</v>
      </c>
      <c r="H1824" s="4" t="str">
        <f>HYPERLINK("https://www.ncbi.nlm.nih.gov/geo/query/acc.cgi?acc=GSM35001","GSM35001")</f>
        <v>GSM35001</v>
      </c>
      <c r="I1824" t="s">
        <v>108</v>
      </c>
      <c r="J1824" t="s">
        <v>119</v>
      </c>
      <c r="K1824" t="s">
        <v>33</v>
      </c>
      <c r="L1824" t="s">
        <v>41</v>
      </c>
      <c r="N1824" t="s">
        <v>29</v>
      </c>
    </row>
    <row r="1825" spans="1:14">
      <c r="A1825" s="4" t="str">
        <f t="shared" si="162"/>
        <v>EXP00046</v>
      </c>
      <c r="B1825" s="4" t="str">
        <f t="shared" si="163"/>
        <v>17258348</v>
      </c>
      <c r="C1825" s="4" t="str">
        <f t="shared" si="164"/>
        <v>GSE1987</v>
      </c>
      <c r="D1825" s="1" t="s">
        <v>117</v>
      </c>
      <c r="E1825" t="s">
        <v>121</v>
      </c>
      <c r="F1825" s="1">
        <v>2</v>
      </c>
      <c r="G1825" s="1" t="s">
        <v>28</v>
      </c>
      <c r="H1825" s="4" t="str">
        <f>HYPERLINK("https://www.ncbi.nlm.nih.gov/geo/query/acc.cgi?acc=GSM35002","GSM35002")</f>
        <v>GSM35002</v>
      </c>
      <c r="I1825" t="s">
        <v>108</v>
      </c>
      <c r="J1825" t="s">
        <v>119</v>
      </c>
      <c r="K1825" t="s">
        <v>33</v>
      </c>
      <c r="L1825" t="s">
        <v>41</v>
      </c>
      <c r="N1825" t="s">
        <v>29</v>
      </c>
    </row>
    <row r="1826" spans="1:14">
      <c r="A1826" s="4" t="str">
        <f t="shared" si="162"/>
        <v>EXP00046</v>
      </c>
      <c r="B1826" s="4" t="str">
        <f t="shared" si="163"/>
        <v>17258348</v>
      </c>
      <c r="C1826" s="4" t="str">
        <f t="shared" si="164"/>
        <v>GSE1987</v>
      </c>
      <c r="D1826" s="1" t="s">
        <v>117</v>
      </c>
      <c r="E1826" t="s">
        <v>121</v>
      </c>
      <c r="F1826" s="1">
        <v>2</v>
      </c>
      <c r="G1826" s="1" t="s">
        <v>28</v>
      </c>
      <c r="H1826" s="4" t="str">
        <f>HYPERLINK("https://www.ncbi.nlm.nih.gov/geo/query/acc.cgi?acc=GSM35004","GSM35004")</f>
        <v>GSM35004</v>
      </c>
      <c r="I1826" t="s">
        <v>108</v>
      </c>
      <c r="J1826" t="s">
        <v>119</v>
      </c>
      <c r="K1826" t="s">
        <v>33</v>
      </c>
      <c r="L1826" t="s">
        <v>41</v>
      </c>
      <c r="N1826" t="s">
        <v>29</v>
      </c>
    </row>
    <row r="1827" spans="1:14">
      <c r="A1827" s="4" t="str">
        <f t="shared" si="162"/>
        <v>EXP00046</v>
      </c>
      <c r="B1827" s="4" t="str">
        <f t="shared" si="163"/>
        <v>17258348</v>
      </c>
      <c r="C1827" s="4" t="str">
        <f t="shared" si="164"/>
        <v>GSE1987</v>
      </c>
      <c r="D1827" s="1" t="s">
        <v>117</v>
      </c>
      <c r="E1827" t="s">
        <v>121</v>
      </c>
      <c r="F1827" s="1">
        <v>2</v>
      </c>
      <c r="G1827" s="1" t="s">
        <v>28</v>
      </c>
      <c r="H1827" s="4" t="str">
        <f>HYPERLINK("https://www.ncbi.nlm.nih.gov/geo/query/acc.cgi?acc=GSM35006","GSM35006")</f>
        <v>GSM35006</v>
      </c>
      <c r="I1827" t="s">
        <v>108</v>
      </c>
      <c r="J1827" t="s">
        <v>119</v>
      </c>
      <c r="K1827" t="s">
        <v>33</v>
      </c>
      <c r="L1827" t="s">
        <v>41</v>
      </c>
      <c r="N1827" t="s">
        <v>29</v>
      </c>
    </row>
    <row r="1828" spans="1:14">
      <c r="A1828" s="4" t="str">
        <f t="shared" si="162"/>
        <v>EXP00046</v>
      </c>
      <c r="B1828" s="4" t="str">
        <f t="shared" si="163"/>
        <v>17258348</v>
      </c>
      <c r="C1828" s="4" t="str">
        <f t="shared" si="164"/>
        <v>GSE1987</v>
      </c>
      <c r="D1828" s="1" t="s">
        <v>117</v>
      </c>
      <c r="E1828" t="s">
        <v>121</v>
      </c>
      <c r="F1828" s="1">
        <v>2</v>
      </c>
      <c r="G1828" s="1" t="s">
        <v>28</v>
      </c>
      <c r="H1828" s="4" t="str">
        <f>HYPERLINK("https://www.ncbi.nlm.nih.gov/geo/query/acc.cgi?acc=GSM35008","GSM35008")</f>
        <v>GSM35008</v>
      </c>
      <c r="I1828" t="s">
        <v>108</v>
      </c>
      <c r="J1828" t="s">
        <v>119</v>
      </c>
      <c r="K1828" t="s">
        <v>33</v>
      </c>
      <c r="L1828" t="s">
        <v>41</v>
      </c>
      <c r="N1828" t="s">
        <v>29</v>
      </c>
    </row>
    <row r="1829" spans="1:14">
      <c r="A1829" s="4" t="str">
        <f t="shared" si="162"/>
        <v>EXP00046</v>
      </c>
      <c r="B1829" s="4" t="str">
        <f t="shared" si="163"/>
        <v>17258348</v>
      </c>
      <c r="C1829" s="4" t="str">
        <f t="shared" si="164"/>
        <v>GSE1987</v>
      </c>
      <c r="D1829" s="1" t="s">
        <v>117</v>
      </c>
      <c r="E1829" t="s">
        <v>121</v>
      </c>
      <c r="F1829" s="1">
        <v>2</v>
      </c>
      <c r="G1829" s="1" t="s">
        <v>28</v>
      </c>
      <c r="H1829" s="4" t="str">
        <f>HYPERLINK("https://www.ncbi.nlm.nih.gov/geo/query/acc.cgi?acc=GSM35010","GSM35010")</f>
        <v>GSM35010</v>
      </c>
      <c r="I1829" t="s">
        <v>108</v>
      </c>
      <c r="J1829" t="s">
        <v>119</v>
      </c>
      <c r="K1829" t="s">
        <v>33</v>
      </c>
      <c r="L1829" t="s">
        <v>41</v>
      </c>
      <c r="N1829" t="s">
        <v>29</v>
      </c>
    </row>
    <row r="1830" spans="1:14">
      <c r="A1830" s="4" t="str">
        <f t="shared" si="162"/>
        <v>EXP00046</v>
      </c>
      <c r="B1830" s="4" t="str">
        <f t="shared" si="163"/>
        <v>17258348</v>
      </c>
      <c r="C1830" s="4" t="str">
        <f t="shared" si="164"/>
        <v>GSE1987</v>
      </c>
      <c r="D1830" s="1" t="s">
        <v>117</v>
      </c>
      <c r="E1830" t="s">
        <v>121</v>
      </c>
      <c r="F1830" s="1">
        <v>2</v>
      </c>
      <c r="G1830" s="1" t="s">
        <v>28</v>
      </c>
      <c r="H1830" s="4" t="str">
        <f>HYPERLINK("https://www.ncbi.nlm.nih.gov/geo/query/acc.cgi?acc=GSM35011","GSM35011")</f>
        <v>GSM35011</v>
      </c>
      <c r="I1830" t="s">
        <v>108</v>
      </c>
      <c r="J1830" t="s">
        <v>119</v>
      </c>
      <c r="K1830" t="s">
        <v>33</v>
      </c>
      <c r="L1830" t="s">
        <v>41</v>
      </c>
      <c r="N1830" t="s">
        <v>29</v>
      </c>
    </row>
    <row r="1831" spans="1:14">
      <c r="A1831" s="4" t="str">
        <f t="shared" si="162"/>
        <v>EXP00046</v>
      </c>
      <c r="B1831" s="4" t="str">
        <f t="shared" si="163"/>
        <v>17258348</v>
      </c>
      <c r="C1831" s="4" t="str">
        <f t="shared" si="164"/>
        <v>GSE1987</v>
      </c>
      <c r="D1831" s="1" t="s">
        <v>117</v>
      </c>
      <c r="E1831" t="s">
        <v>121</v>
      </c>
      <c r="F1831" s="1">
        <v>2</v>
      </c>
      <c r="G1831" s="1" t="s">
        <v>28</v>
      </c>
      <c r="H1831" s="4" t="str">
        <f>HYPERLINK("https://www.ncbi.nlm.nih.gov/geo/query/acc.cgi?acc=GSM35013","GSM35013")</f>
        <v>GSM35013</v>
      </c>
      <c r="I1831" t="s">
        <v>108</v>
      </c>
      <c r="J1831" t="s">
        <v>119</v>
      </c>
      <c r="K1831" t="s">
        <v>33</v>
      </c>
      <c r="L1831" t="s">
        <v>41</v>
      </c>
      <c r="N1831" t="s">
        <v>29</v>
      </c>
    </row>
    <row r="1832" spans="1:14">
      <c r="A1832" s="4" t="str">
        <f t="shared" si="162"/>
        <v>EXP00046</v>
      </c>
      <c r="B1832" s="4" t="str">
        <f t="shared" si="163"/>
        <v>17258348</v>
      </c>
      <c r="C1832" s="4" t="str">
        <f t="shared" si="164"/>
        <v>GSE1987</v>
      </c>
      <c r="D1832" s="1" t="s">
        <v>117</v>
      </c>
      <c r="E1832" t="s">
        <v>121</v>
      </c>
      <c r="F1832" s="1">
        <v>2</v>
      </c>
      <c r="G1832" s="1" t="s">
        <v>28</v>
      </c>
      <c r="H1832" s="4" t="str">
        <f>HYPERLINK("https://www.ncbi.nlm.nih.gov/geo/query/acc.cgi?acc=GSM35014","GSM35014")</f>
        <v>GSM35014</v>
      </c>
      <c r="I1832" t="s">
        <v>108</v>
      </c>
      <c r="J1832" t="s">
        <v>119</v>
      </c>
      <c r="K1832" t="s">
        <v>33</v>
      </c>
      <c r="L1832" t="s">
        <v>41</v>
      </c>
      <c r="N1832" t="s">
        <v>29</v>
      </c>
    </row>
    <row r="1833" spans="1:14">
      <c r="A1833" s="4" t="str">
        <f t="shared" si="162"/>
        <v>EXP00046</v>
      </c>
      <c r="B1833" s="4" t="str">
        <f t="shared" si="163"/>
        <v>17258348</v>
      </c>
      <c r="C1833" s="4" t="str">
        <f t="shared" si="164"/>
        <v>GSE1987</v>
      </c>
      <c r="D1833" s="1" t="s">
        <v>117</v>
      </c>
      <c r="E1833" t="s">
        <v>121</v>
      </c>
      <c r="F1833" s="1">
        <v>2</v>
      </c>
      <c r="G1833" s="1" t="s">
        <v>28</v>
      </c>
      <c r="H1833" s="4" t="str">
        <f>HYPERLINK("https://www.ncbi.nlm.nih.gov/geo/query/acc.cgi?acc=GSM35024","GSM35024")</f>
        <v>GSM35024</v>
      </c>
      <c r="I1833" t="s">
        <v>108</v>
      </c>
      <c r="J1833" t="s">
        <v>119</v>
      </c>
      <c r="K1833" t="s">
        <v>33</v>
      </c>
      <c r="L1833" t="s">
        <v>41</v>
      </c>
      <c r="N1833" t="s">
        <v>29</v>
      </c>
    </row>
    <row r="1834" spans="1:14">
      <c r="A1834" s="4" t="str">
        <f t="shared" ref="A1834:A1865" si="165">HYPERLINK("http://hcmdb.i-sanger.com/experiment/details/experiment_id/EXP00047","EXP00047")</f>
        <v>EXP00047</v>
      </c>
      <c r="B1834" s="4" t="str">
        <f t="shared" ref="B1834:B1865" si="166">HYPERLINK("https://www.ncbi.nlm.nih.gov/pubmed/20460471","20460471")</f>
        <v>20460471</v>
      </c>
      <c r="C1834" s="4" t="str">
        <f t="shared" ref="C1834:C1865" si="167">HYPERLINK("https://www.ncbi.nlm.nih.gov/geo/query/acc.cgi?acc=GSE22153","GSE22153")</f>
        <v>GSE22153</v>
      </c>
      <c r="D1834" s="1" t="s">
        <v>122</v>
      </c>
      <c r="E1834" t="s">
        <v>84</v>
      </c>
      <c r="F1834" s="1">
        <v>1</v>
      </c>
      <c r="G1834" s="1" t="s">
        <v>85</v>
      </c>
      <c r="H1834" s="4" t="str">
        <f>HYPERLINK("https://www.ncbi.nlm.nih.gov/geo/query/acc.cgi?acc=GSM550966","GSM550966")</f>
        <v>GSM550966</v>
      </c>
      <c r="I1834" t="s">
        <v>82</v>
      </c>
      <c r="J1834" t="s">
        <v>83</v>
      </c>
      <c r="K1834" t="s">
        <v>19</v>
      </c>
      <c r="L1834" t="s">
        <v>27</v>
      </c>
      <c r="M1834" t="s">
        <v>24</v>
      </c>
      <c r="N1834" t="s">
        <v>22</v>
      </c>
    </row>
    <row r="1835" spans="1:14">
      <c r="A1835" s="4" t="str">
        <f t="shared" si="165"/>
        <v>EXP00047</v>
      </c>
      <c r="B1835" s="4" t="str">
        <f t="shared" si="166"/>
        <v>20460471</v>
      </c>
      <c r="C1835" s="4" t="str">
        <f t="shared" si="167"/>
        <v>GSE22153</v>
      </c>
      <c r="D1835" s="1" t="s">
        <v>122</v>
      </c>
      <c r="E1835" t="s">
        <v>84</v>
      </c>
      <c r="F1835" s="1">
        <v>1</v>
      </c>
      <c r="G1835" s="1" t="s">
        <v>85</v>
      </c>
      <c r="H1835" s="4" t="str">
        <f>HYPERLINK("https://www.ncbi.nlm.nih.gov/geo/query/acc.cgi?acc=GSM550974","GSM550974")</f>
        <v>GSM550974</v>
      </c>
      <c r="I1835" t="s">
        <v>82</v>
      </c>
      <c r="J1835" t="s">
        <v>83</v>
      </c>
      <c r="K1835" t="s">
        <v>19</v>
      </c>
      <c r="L1835" t="s">
        <v>27</v>
      </c>
      <c r="M1835" t="s">
        <v>24</v>
      </c>
      <c r="N1835" t="s">
        <v>22</v>
      </c>
    </row>
    <row r="1836" spans="1:14">
      <c r="A1836" s="4" t="str">
        <f t="shared" si="165"/>
        <v>EXP00047</v>
      </c>
      <c r="B1836" s="4" t="str">
        <f t="shared" si="166"/>
        <v>20460471</v>
      </c>
      <c r="C1836" s="4" t="str">
        <f t="shared" si="167"/>
        <v>GSE22153</v>
      </c>
      <c r="D1836" s="1" t="s">
        <v>122</v>
      </c>
      <c r="E1836" t="s">
        <v>84</v>
      </c>
      <c r="F1836" s="1">
        <v>1</v>
      </c>
      <c r="G1836" s="1" t="s">
        <v>85</v>
      </c>
      <c r="H1836" s="4" t="str">
        <f>HYPERLINK("https://www.ncbi.nlm.nih.gov/geo/query/acc.cgi?acc=GSM550978","GSM550978")</f>
        <v>GSM550978</v>
      </c>
      <c r="I1836" t="s">
        <v>82</v>
      </c>
      <c r="J1836" t="s">
        <v>83</v>
      </c>
      <c r="K1836" t="s">
        <v>19</v>
      </c>
      <c r="L1836" t="s">
        <v>27</v>
      </c>
      <c r="M1836" t="s">
        <v>24</v>
      </c>
      <c r="N1836" t="s">
        <v>22</v>
      </c>
    </row>
    <row r="1837" spans="1:14">
      <c r="A1837" s="4" t="str">
        <f t="shared" si="165"/>
        <v>EXP00047</v>
      </c>
      <c r="B1837" s="4" t="str">
        <f t="shared" si="166"/>
        <v>20460471</v>
      </c>
      <c r="C1837" s="4" t="str">
        <f t="shared" si="167"/>
        <v>GSE22153</v>
      </c>
      <c r="D1837" s="1" t="s">
        <v>122</v>
      </c>
      <c r="E1837" t="s">
        <v>84</v>
      </c>
      <c r="F1837" s="1">
        <v>1</v>
      </c>
      <c r="G1837" s="1" t="s">
        <v>85</v>
      </c>
      <c r="H1837" s="4" t="str">
        <f>HYPERLINK("https://www.ncbi.nlm.nih.gov/geo/query/acc.cgi?acc=GSM550985","GSM550985")</f>
        <v>GSM550985</v>
      </c>
      <c r="I1837" t="s">
        <v>82</v>
      </c>
      <c r="J1837" t="s">
        <v>83</v>
      </c>
      <c r="K1837" t="s">
        <v>19</v>
      </c>
      <c r="L1837" t="s">
        <v>27</v>
      </c>
      <c r="M1837" t="s">
        <v>24</v>
      </c>
      <c r="N1837" t="s">
        <v>22</v>
      </c>
    </row>
    <row r="1838" spans="1:14">
      <c r="A1838" s="4" t="str">
        <f t="shared" si="165"/>
        <v>EXP00047</v>
      </c>
      <c r="B1838" s="4" t="str">
        <f t="shared" si="166"/>
        <v>20460471</v>
      </c>
      <c r="C1838" s="4" t="str">
        <f t="shared" si="167"/>
        <v>GSE22153</v>
      </c>
      <c r="D1838" s="1" t="s">
        <v>122</v>
      </c>
      <c r="E1838" t="s">
        <v>84</v>
      </c>
      <c r="F1838" s="1">
        <v>1</v>
      </c>
      <c r="G1838" s="1" t="s">
        <v>85</v>
      </c>
      <c r="H1838" s="4" t="str">
        <f>HYPERLINK("https://www.ncbi.nlm.nih.gov/geo/query/acc.cgi?acc=GSM550988","GSM550988")</f>
        <v>GSM550988</v>
      </c>
      <c r="I1838" t="s">
        <v>82</v>
      </c>
      <c r="J1838" t="s">
        <v>83</v>
      </c>
      <c r="K1838" t="s">
        <v>19</v>
      </c>
      <c r="L1838" t="s">
        <v>27</v>
      </c>
      <c r="M1838" t="s">
        <v>24</v>
      </c>
      <c r="N1838" t="s">
        <v>22</v>
      </c>
    </row>
    <row r="1839" spans="1:14">
      <c r="A1839" s="4" t="str">
        <f t="shared" si="165"/>
        <v>EXP00047</v>
      </c>
      <c r="B1839" s="4" t="str">
        <f t="shared" si="166"/>
        <v>20460471</v>
      </c>
      <c r="C1839" s="4" t="str">
        <f t="shared" si="167"/>
        <v>GSE22153</v>
      </c>
      <c r="D1839" s="1" t="s">
        <v>122</v>
      </c>
      <c r="E1839" t="s">
        <v>84</v>
      </c>
      <c r="F1839" s="1">
        <v>1</v>
      </c>
      <c r="G1839" s="1" t="s">
        <v>85</v>
      </c>
      <c r="H1839" s="4" t="str">
        <f>HYPERLINK("https://www.ncbi.nlm.nih.gov/geo/query/acc.cgi?acc=GSM550991","GSM550991")</f>
        <v>GSM550991</v>
      </c>
      <c r="I1839" t="s">
        <v>82</v>
      </c>
      <c r="J1839" t="s">
        <v>83</v>
      </c>
      <c r="K1839" t="s">
        <v>19</v>
      </c>
      <c r="L1839" t="s">
        <v>27</v>
      </c>
      <c r="M1839" t="s">
        <v>24</v>
      </c>
      <c r="N1839" t="s">
        <v>22</v>
      </c>
    </row>
    <row r="1840" spans="1:14">
      <c r="A1840" s="4" t="str">
        <f t="shared" si="165"/>
        <v>EXP00047</v>
      </c>
      <c r="B1840" s="4" t="str">
        <f t="shared" si="166"/>
        <v>20460471</v>
      </c>
      <c r="C1840" s="4" t="str">
        <f t="shared" si="167"/>
        <v>GSE22153</v>
      </c>
      <c r="D1840" s="1" t="s">
        <v>122</v>
      </c>
      <c r="E1840" t="s">
        <v>84</v>
      </c>
      <c r="F1840" s="1">
        <v>1</v>
      </c>
      <c r="G1840" s="1" t="s">
        <v>85</v>
      </c>
      <c r="H1840" s="4" t="str">
        <f>HYPERLINK("https://www.ncbi.nlm.nih.gov/geo/query/acc.cgi?acc=GSM550992","GSM550992")</f>
        <v>GSM550992</v>
      </c>
      <c r="I1840" t="s">
        <v>82</v>
      </c>
      <c r="J1840" t="s">
        <v>83</v>
      </c>
      <c r="K1840" t="s">
        <v>19</v>
      </c>
      <c r="L1840" t="s">
        <v>27</v>
      </c>
      <c r="M1840" t="s">
        <v>24</v>
      </c>
      <c r="N1840" t="s">
        <v>22</v>
      </c>
    </row>
    <row r="1841" spans="1:14">
      <c r="A1841" s="4" t="str">
        <f t="shared" si="165"/>
        <v>EXP00047</v>
      </c>
      <c r="B1841" s="4" t="str">
        <f t="shared" si="166"/>
        <v>20460471</v>
      </c>
      <c r="C1841" s="4" t="str">
        <f t="shared" si="167"/>
        <v>GSE22153</v>
      </c>
      <c r="D1841" s="1" t="s">
        <v>122</v>
      </c>
      <c r="E1841" t="s">
        <v>84</v>
      </c>
      <c r="F1841" s="1">
        <v>1</v>
      </c>
      <c r="G1841" s="1" t="s">
        <v>85</v>
      </c>
      <c r="H1841" s="4" t="str">
        <f>HYPERLINK("https://www.ncbi.nlm.nih.gov/geo/query/acc.cgi?acc=GSM550993","GSM550993")</f>
        <v>GSM550993</v>
      </c>
      <c r="I1841" t="s">
        <v>82</v>
      </c>
      <c r="J1841" t="s">
        <v>83</v>
      </c>
      <c r="K1841" t="s">
        <v>19</v>
      </c>
      <c r="L1841" t="s">
        <v>27</v>
      </c>
      <c r="M1841" t="s">
        <v>24</v>
      </c>
      <c r="N1841" t="s">
        <v>22</v>
      </c>
    </row>
    <row r="1842" spans="1:14">
      <c r="A1842" s="4" t="str">
        <f t="shared" si="165"/>
        <v>EXP00047</v>
      </c>
      <c r="B1842" s="4" t="str">
        <f t="shared" si="166"/>
        <v>20460471</v>
      </c>
      <c r="C1842" s="4" t="str">
        <f t="shared" si="167"/>
        <v>GSE22153</v>
      </c>
      <c r="D1842" s="1" t="s">
        <v>122</v>
      </c>
      <c r="E1842" t="s">
        <v>84</v>
      </c>
      <c r="F1842" s="1">
        <v>1</v>
      </c>
      <c r="G1842" s="1" t="s">
        <v>85</v>
      </c>
      <c r="H1842" s="4" t="str">
        <f>HYPERLINK("https://www.ncbi.nlm.nih.gov/geo/query/acc.cgi?acc=GSM550998","GSM550998")</f>
        <v>GSM550998</v>
      </c>
      <c r="I1842" t="s">
        <v>82</v>
      </c>
      <c r="J1842" t="s">
        <v>83</v>
      </c>
      <c r="K1842" t="s">
        <v>19</v>
      </c>
      <c r="L1842" t="s">
        <v>27</v>
      </c>
      <c r="M1842" t="s">
        <v>24</v>
      </c>
      <c r="N1842" t="s">
        <v>22</v>
      </c>
    </row>
    <row r="1843" spans="1:14">
      <c r="A1843" s="4" t="str">
        <f t="shared" si="165"/>
        <v>EXP00047</v>
      </c>
      <c r="B1843" s="4" t="str">
        <f t="shared" si="166"/>
        <v>20460471</v>
      </c>
      <c r="C1843" s="4" t="str">
        <f t="shared" si="167"/>
        <v>GSE22153</v>
      </c>
      <c r="D1843" s="1" t="s">
        <v>122</v>
      </c>
      <c r="E1843" t="s">
        <v>84</v>
      </c>
      <c r="F1843" s="1">
        <v>1</v>
      </c>
      <c r="G1843" s="1" t="s">
        <v>85</v>
      </c>
      <c r="H1843" s="4" t="str">
        <f>HYPERLINK("https://www.ncbi.nlm.nih.gov/geo/query/acc.cgi?acc=GSM551007","GSM551007")</f>
        <v>GSM551007</v>
      </c>
      <c r="I1843" t="s">
        <v>82</v>
      </c>
      <c r="J1843" t="s">
        <v>83</v>
      </c>
      <c r="K1843" t="s">
        <v>19</v>
      </c>
      <c r="L1843" t="s">
        <v>27</v>
      </c>
      <c r="M1843" t="s">
        <v>24</v>
      </c>
      <c r="N1843" t="s">
        <v>22</v>
      </c>
    </row>
    <row r="1844" spans="1:14">
      <c r="A1844" s="4" t="str">
        <f t="shared" si="165"/>
        <v>EXP00047</v>
      </c>
      <c r="B1844" s="4" t="str">
        <f t="shared" si="166"/>
        <v>20460471</v>
      </c>
      <c r="C1844" s="4" t="str">
        <f t="shared" si="167"/>
        <v>GSE22153</v>
      </c>
      <c r="D1844" s="1" t="s">
        <v>122</v>
      </c>
      <c r="E1844" t="s">
        <v>84</v>
      </c>
      <c r="F1844" s="1">
        <v>1</v>
      </c>
      <c r="G1844" s="1" t="s">
        <v>85</v>
      </c>
      <c r="H1844" s="4" t="str">
        <f>HYPERLINK("https://www.ncbi.nlm.nih.gov/geo/query/acc.cgi?acc=GSM551010","GSM551010")</f>
        <v>GSM551010</v>
      </c>
      <c r="I1844" t="s">
        <v>82</v>
      </c>
      <c r="J1844" t="s">
        <v>83</v>
      </c>
      <c r="K1844" t="s">
        <v>19</v>
      </c>
      <c r="L1844" t="s">
        <v>27</v>
      </c>
      <c r="M1844" t="s">
        <v>24</v>
      </c>
      <c r="N1844" t="s">
        <v>22</v>
      </c>
    </row>
    <row r="1845" spans="1:14">
      <c r="A1845" s="4" t="str">
        <f t="shared" si="165"/>
        <v>EXP00047</v>
      </c>
      <c r="B1845" s="4" t="str">
        <f t="shared" si="166"/>
        <v>20460471</v>
      </c>
      <c r="C1845" s="4" t="str">
        <f t="shared" si="167"/>
        <v>GSE22153</v>
      </c>
      <c r="D1845" s="1" t="s">
        <v>122</v>
      </c>
      <c r="E1845" t="s">
        <v>84</v>
      </c>
      <c r="F1845" s="1">
        <v>1</v>
      </c>
      <c r="G1845" s="1" t="s">
        <v>85</v>
      </c>
      <c r="H1845" s="4" t="str">
        <f>HYPERLINK("https://www.ncbi.nlm.nih.gov/geo/query/acc.cgi?acc=GSM551011","GSM551011")</f>
        <v>GSM551011</v>
      </c>
      <c r="I1845" t="s">
        <v>82</v>
      </c>
      <c r="J1845" t="s">
        <v>83</v>
      </c>
      <c r="K1845" t="s">
        <v>19</v>
      </c>
      <c r="L1845" t="s">
        <v>27</v>
      </c>
      <c r="M1845" t="s">
        <v>24</v>
      </c>
      <c r="N1845" t="s">
        <v>22</v>
      </c>
    </row>
    <row r="1846" spans="1:14">
      <c r="A1846" s="4" t="str">
        <f t="shared" si="165"/>
        <v>EXP00047</v>
      </c>
      <c r="B1846" s="4" t="str">
        <f t="shared" si="166"/>
        <v>20460471</v>
      </c>
      <c r="C1846" s="4" t="str">
        <f t="shared" si="167"/>
        <v>GSE22153</v>
      </c>
      <c r="D1846" s="1" t="s">
        <v>122</v>
      </c>
      <c r="E1846" t="s">
        <v>84</v>
      </c>
      <c r="F1846" s="1">
        <v>1</v>
      </c>
      <c r="G1846" s="1" t="s">
        <v>85</v>
      </c>
      <c r="H1846" s="4" t="str">
        <f>HYPERLINK("https://www.ncbi.nlm.nih.gov/geo/query/acc.cgi?acc=GSM551013","GSM551013")</f>
        <v>GSM551013</v>
      </c>
      <c r="I1846" t="s">
        <v>82</v>
      </c>
      <c r="J1846" t="s">
        <v>83</v>
      </c>
      <c r="K1846" t="s">
        <v>19</v>
      </c>
      <c r="L1846" t="s">
        <v>27</v>
      </c>
      <c r="M1846" t="s">
        <v>24</v>
      </c>
      <c r="N1846" t="s">
        <v>22</v>
      </c>
    </row>
    <row r="1847" spans="1:14">
      <c r="A1847" s="4" t="str">
        <f t="shared" si="165"/>
        <v>EXP00047</v>
      </c>
      <c r="B1847" s="4" t="str">
        <f t="shared" si="166"/>
        <v>20460471</v>
      </c>
      <c r="C1847" s="4" t="str">
        <f t="shared" si="167"/>
        <v>GSE22153</v>
      </c>
      <c r="D1847" s="1" t="s">
        <v>122</v>
      </c>
      <c r="E1847" t="s">
        <v>84</v>
      </c>
      <c r="F1847" s="1">
        <v>1</v>
      </c>
      <c r="G1847" s="1" t="s">
        <v>85</v>
      </c>
      <c r="H1847" s="4" t="str">
        <f>HYPERLINK("https://www.ncbi.nlm.nih.gov/geo/query/acc.cgi?acc=GSM551016","GSM551016")</f>
        <v>GSM551016</v>
      </c>
      <c r="I1847" t="s">
        <v>82</v>
      </c>
      <c r="J1847" t="s">
        <v>83</v>
      </c>
      <c r="K1847" t="s">
        <v>19</v>
      </c>
      <c r="L1847" t="s">
        <v>27</v>
      </c>
      <c r="M1847" t="s">
        <v>24</v>
      </c>
      <c r="N1847" t="s">
        <v>22</v>
      </c>
    </row>
    <row r="1848" spans="1:14">
      <c r="A1848" s="4" t="str">
        <f t="shared" si="165"/>
        <v>EXP00047</v>
      </c>
      <c r="B1848" s="4" t="str">
        <f t="shared" si="166"/>
        <v>20460471</v>
      </c>
      <c r="C1848" s="4" t="str">
        <f t="shared" si="167"/>
        <v>GSE22153</v>
      </c>
      <c r="D1848" s="1" t="s">
        <v>122</v>
      </c>
      <c r="E1848" t="s">
        <v>84</v>
      </c>
      <c r="F1848" s="1">
        <v>1</v>
      </c>
      <c r="G1848" s="1" t="s">
        <v>85</v>
      </c>
      <c r="H1848" s="4" t="str">
        <f>HYPERLINK("https://www.ncbi.nlm.nih.gov/geo/query/acc.cgi?acc=GSM551018","GSM551018")</f>
        <v>GSM551018</v>
      </c>
      <c r="I1848" t="s">
        <v>82</v>
      </c>
      <c r="J1848" t="s">
        <v>83</v>
      </c>
      <c r="K1848" t="s">
        <v>19</v>
      </c>
      <c r="L1848" t="s">
        <v>27</v>
      </c>
      <c r="M1848" t="s">
        <v>24</v>
      </c>
      <c r="N1848" t="s">
        <v>22</v>
      </c>
    </row>
    <row r="1849" spans="1:14">
      <c r="A1849" s="4" t="str">
        <f t="shared" si="165"/>
        <v>EXP00047</v>
      </c>
      <c r="B1849" s="4" t="str">
        <f t="shared" si="166"/>
        <v>20460471</v>
      </c>
      <c r="C1849" s="4" t="str">
        <f t="shared" si="167"/>
        <v>GSE22153</v>
      </c>
      <c r="D1849" s="1" t="s">
        <v>122</v>
      </c>
      <c r="E1849" t="s">
        <v>84</v>
      </c>
      <c r="F1849" s="1">
        <v>1</v>
      </c>
      <c r="G1849" s="1" t="s">
        <v>85</v>
      </c>
      <c r="H1849" s="4" t="str">
        <f>HYPERLINK("https://www.ncbi.nlm.nih.gov/geo/query/acc.cgi?acc=GSM551020","GSM551020")</f>
        <v>GSM551020</v>
      </c>
      <c r="I1849" t="s">
        <v>82</v>
      </c>
      <c r="J1849" t="s">
        <v>83</v>
      </c>
      <c r="K1849" t="s">
        <v>19</v>
      </c>
      <c r="L1849" t="s">
        <v>27</v>
      </c>
      <c r="M1849" t="s">
        <v>24</v>
      </c>
      <c r="N1849" t="s">
        <v>22</v>
      </c>
    </row>
    <row r="1850" spans="1:14">
      <c r="A1850" s="4" t="str">
        <f t="shared" si="165"/>
        <v>EXP00047</v>
      </c>
      <c r="B1850" s="4" t="str">
        <f t="shared" si="166"/>
        <v>20460471</v>
      </c>
      <c r="C1850" s="4" t="str">
        <f t="shared" si="167"/>
        <v>GSE22153</v>
      </c>
      <c r="D1850" s="1" t="s">
        <v>122</v>
      </c>
      <c r="E1850" t="s">
        <v>84</v>
      </c>
      <c r="F1850" s="1">
        <v>1</v>
      </c>
      <c r="G1850" s="1" t="s">
        <v>85</v>
      </c>
      <c r="H1850" s="4" t="str">
        <f>HYPERLINK("https://www.ncbi.nlm.nih.gov/geo/query/acc.cgi?acc=GSM551021","GSM551021")</f>
        <v>GSM551021</v>
      </c>
      <c r="I1850" t="s">
        <v>82</v>
      </c>
      <c r="J1850" t="s">
        <v>83</v>
      </c>
      <c r="K1850" t="s">
        <v>19</v>
      </c>
      <c r="L1850" t="s">
        <v>27</v>
      </c>
      <c r="M1850" t="s">
        <v>24</v>
      </c>
      <c r="N1850" t="s">
        <v>22</v>
      </c>
    </row>
    <row r="1851" spans="1:14">
      <c r="A1851" s="4" t="str">
        <f t="shared" si="165"/>
        <v>EXP00047</v>
      </c>
      <c r="B1851" s="4" t="str">
        <f t="shared" si="166"/>
        <v>20460471</v>
      </c>
      <c r="C1851" s="4" t="str">
        <f t="shared" si="167"/>
        <v>GSE22153</v>
      </c>
      <c r="D1851" s="1" t="s">
        <v>122</v>
      </c>
      <c r="E1851" t="s">
        <v>84</v>
      </c>
      <c r="F1851" s="1">
        <v>1</v>
      </c>
      <c r="G1851" s="1" t="s">
        <v>85</v>
      </c>
      <c r="H1851" s="4" t="str">
        <f>HYPERLINK("https://www.ncbi.nlm.nih.gov/geo/query/acc.cgi?acc=GSM551022","GSM551022")</f>
        <v>GSM551022</v>
      </c>
      <c r="I1851" t="s">
        <v>82</v>
      </c>
      <c r="J1851" t="s">
        <v>83</v>
      </c>
      <c r="K1851" t="s">
        <v>19</v>
      </c>
      <c r="L1851" t="s">
        <v>27</v>
      </c>
      <c r="M1851" t="s">
        <v>24</v>
      </c>
      <c r="N1851" t="s">
        <v>22</v>
      </c>
    </row>
    <row r="1852" spans="1:14">
      <c r="A1852" s="4" t="str">
        <f t="shared" si="165"/>
        <v>EXP00047</v>
      </c>
      <c r="B1852" s="4" t="str">
        <f t="shared" si="166"/>
        <v>20460471</v>
      </c>
      <c r="C1852" s="4" t="str">
        <f t="shared" si="167"/>
        <v>GSE22153</v>
      </c>
      <c r="D1852" s="1" t="s">
        <v>122</v>
      </c>
      <c r="E1852" t="s">
        <v>84</v>
      </c>
      <c r="F1852" s="1">
        <v>2</v>
      </c>
      <c r="G1852" s="1" t="s">
        <v>123</v>
      </c>
      <c r="H1852" s="4" t="str">
        <f>HYPERLINK("https://www.ncbi.nlm.nih.gov/geo/query/acc.cgi?acc=GSM550967","GSM550967")</f>
        <v>GSM550967</v>
      </c>
      <c r="I1852" t="s">
        <v>82</v>
      </c>
      <c r="J1852" t="s">
        <v>83</v>
      </c>
      <c r="K1852" t="s">
        <v>19</v>
      </c>
      <c r="L1852" t="s">
        <v>27</v>
      </c>
      <c r="M1852" t="s">
        <v>124</v>
      </c>
      <c r="N1852" t="s">
        <v>22</v>
      </c>
    </row>
    <row r="1853" spans="1:14">
      <c r="A1853" s="4" t="str">
        <f t="shared" si="165"/>
        <v>EXP00047</v>
      </c>
      <c r="B1853" s="4" t="str">
        <f t="shared" si="166"/>
        <v>20460471</v>
      </c>
      <c r="C1853" s="4" t="str">
        <f t="shared" si="167"/>
        <v>GSE22153</v>
      </c>
      <c r="D1853" s="1" t="s">
        <v>122</v>
      </c>
      <c r="E1853" t="s">
        <v>84</v>
      </c>
      <c r="F1853" s="1">
        <v>2</v>
      </c>
      <c r="G1853" s="1" t="s">
        <v>123</v>
      </c>
      <c r="H1853" s="4" t="str">
        <f>HYPERLINK("https://www.ncbi.nlm.nih.gov/geo/query/acc.cgi?acc=GSM550968","GSM550968")</f>
        <v>GSM550968</v>
      </c>
      <c r="I1853" t="s">
        <v>82</v>
      </c>
      <c r="J1853" t="s">
        <v>83</v>
      </c>
      <c r="K1853" t="s">
        <v>19</v>
      </c>
      <c r="L1853" t="s">
        <v>27</v>
      </c>
      <c r="M1853" t="s">
        <v>124</v>
      </c>
      <c r="N1853" t="s">
        <v>22</v>
      </c>
    </row>
    <row r="1854" spans="1:14">
      <c r="A1854" s="4" t="str">
        <f t="shared" si="165"/>
        <v>EXP00047</v>
      </c>
      <c r="B1854" s="4" t="str">
        <f t="shared" si="166"/>
        <v>20460471</v>
      </c>
      <c r="C1854" s="4" t="str">
        <f t="shared" si="167"/>
        <v>GSE22153</v>
      </c>
      <c r="D1854" s="1" t="s">
        <v>122</v>
      </c>
      <c r="E1854" t="s">
        <v>84</v>
      </c>
      <c r="F1854" s="1">
        <v>2</v>
      </c>
      <c r="G1854" s="1" t="s">
        <v>123</v>
      </c>
      <c r="H1854" s="4" t="str">
        <f>HYPERLINK("https://www.ncbi.nlm.nih.gov/geo/query/acc.cgi?acc=GSM550970","GSM550970")</f>
        <v>GSM550970</v>
      </c>
      <c r="I1854" t="s">
        <v>82</v>
      </c>
      <c r="J1854" t="s">
        <v>83</v>
      </c>
      <c r="K1854" t="s">
        <v>19</v>
      </c>
      <c r="L1854" t="s">
        <v>27</v>
      </c>
      <c r="M1854" t="s">
        <v>124</v>
      </c>
      <c r="N1854" t="s">
        <v>22</v>
      </c>
    </row>
    <row r="1855" spans="1:14">
      <c r="A1855" s="4" t="str">
        <f t="shared" si="165"/>
        <v>EXP00047</v>
      </c>
      <c r="B1855" s="4" t="str">
        <f t="shared" si="166"/>
        <v>20460471</v>
      </c>
      <c r="C1855" s="4" t="str">
        <f t="shared" si="167"/>
        <v>GSE22153</v>
      </c>
      <c r="D1855" s="1" t="s">
        <v>122</v>
      </c>
      <c r="E1855" t="s">
        <v>84</v>
      </c>
      <c r="F1855" s="1">
        <v>2</v>
      </c>
      <c r="G1855" s="1" t="s">
        <v>123</v>
      </c>
      <c r="H1855" s="4" t="str">
        <f>HYPERLINK("https://www.ncbi.nlm.nih.gov/geo/query/acc.cgi?acc=GSM550971","GSM550971")</f>
        <v>GSM550971</v>
      </c>
      <c r="I1855" t="s">
        <v>82</v>
      </c>
      <c r="J1855" t="s">
        <v>83</v>
      </c>
      <c r="K1855" t="s">
        <v>19</v>
      </c>
      <c r="L1855" t="s">
        <v>27</v>
      </c>
      <c r="M1855" t="s">
        <v>124</v>
      </c>
      <c r="N1855" t="s">
        <v>22</v>
      </c>
    </row>
    <row r="1856" spans="1:14">
      <c r="A1856" s="4" t="str">
        <f t="shared" si="165"/>
        <v>EXP00047</v>
      </c>
      <c r="B1856" s="4" t="str">
        <f t="shared" si="166"/>
        <v>20460471</v>
      </c>
      <c r="C1856" s="4" t="str">
        <f t="shared" si="167"/>
        <v>GSE22153</v>
      </c>
      <c r="D1856" s="1" t="s">
        <v>122</v>
      </c>
      <c r="E1856" t="s">
        <v>84</v>
      </c>
      <c r="F1856" s="1">
        <v>2</v>
      </c>
      <c r="G1856" s="1" t="s">
        <v>123</v>
      </c>
      <c r="H1856" s="4" t="str">
        <f>HYPERLINK("https://www.ncbi.nlm.nih.gov/geo/query/acc.cgi?acc=GSM550972","GSM550972")</f>
        <v>GSM550972</v>
      </c>
      <c r="I1856" t="s">
        <v>82</v>
      </c>
      <c r="J1856" t="s">
        <v>83</v>
      </c>
      <c r="K1856" t="s">
        <v>19</v>
      </c>
      <c r="L1856" t="s">
        <v>27</v>
      </c>
      <c r="M1856" t="s">
        <v>124</v>
      </c>
      <c r="N1856" t="s">
        <v>22</v>
      </c>
    </row>
    <row r="1857" spans="1:14">
      <c r="A1857" s="4" t="str">
        <f t="shared" si="165"/>
        <v>EXP00047</v>
      </c>
      <c r="B1857" s="4" t="str">
        <f t="shared" si="166"/>
        <v>20460471</v>
      </c>
      <c r="C1857" s="4" t="str">
        <f t="shared" si="167"/>
        <v>GSE22153</v>
      </c>
      <c r="D1857" s="1" t="s">
        <v>122</v>
      </c>
      <c r="E1857" t="s">
        <v>84</v>
      </c>
      <c r="F1857" s="1">
        <v>2</v>
      </c>
      <c r="G1857" s="1" t="s">
        <v>123</v>
      </c>
      <c r="H1857" s="4" t="str">
        <f>HYPERLINK("https://www.ncbi.nlm.nih.gov/geo/query/acc.cgi?acc=GSM550973","GSM550973")</f>
        <v>GSM550973</v>
      </c>
      <c r="I1857" t="s">
        <v>82</v>
      </c>
      <c r="J1857" t="s">
        <v>83</v>
      </c>
      <c r="K1857" t="s">
        <v>19</v>
      </c>
      <c r="L1857" t="s">
        <v>27</v>
      </c>
      <c r="M1857" t="s">
        <v>124</v>
      </c>
      <c r="N1857" t="s">
        <v>22</v>
      </c>
    </row>
    <row r="1858" spans="1:14">
      <c r="A1858" s="4" t="str">
        <f t="shared" si="165"/>
        <v>EXP00047</v>
      </c>
      <c r="B1858" s="4" t="str">
        <f t="shared" si="166"/>
        <v>20460471</v>
      </c>
      <c r="C1858" s="4" t="str">
        <f t="shared" si="167"/>
        <v>GSE22153</v>
      </c>
      <c r="D1858" s="1" t="s">
        <v>122</v>
      </c>
      <c r="E1858" t="s">
        <v>84</v>
      </c>
      <c r="F1858" s="1">
        <v>2</v>
      </c>
      <c r="G1858" s="1" t="s">
        <v>123</v>
      </c>
      <c r="H1858" s="4" t="str">
        <f>HYPERLINK("https://www.ncbi.nlm.nih.gov/geo/query/acc.cgi?acc=GSM550975","GSM550975")</f>
        <v>GSM550975</v>
      </c>
      <c r="I1858" t="s">
        <v>82</v>
      </c>
      <c r="J1858" t="s">
        <v>83</v>
      </c>
      <c r="K1858" t="s">
        <v>19</v>
      </c>
      <c r="L1858" t="s">
        <v>27</v>
      </c>
      <c r="M1858" t="s">
        <v>124</v>
      </c>
      <c r="N1858" t="s">
        <v>22</v>
      </c>
    </row>
    <row r="1859" spans="1:14">
      <c r="A1859" s="4" t="str">
        <f t="shared" si="165"/>
        <v>EXP00047</v>
      </c>
      <c r="B1859" s="4" t="str">
        <f t="shared" si="166"/>
        <v>20460471</v>
      </c>
      <c r="C1859" s="4" t="str">
        <f t="shared" si="167"/>
        <v>GSE22153</v>
      </c>
      <c r="D1859" s="1" t="s">
        <v>122</v>
      </c>
      <c r="E1859" t="s">
        <v>84</v>
      </c>
      <c r="F1859" s="1">
        <v>2</v>
      </c>
      <c r="G1859" s="1" t="s">
        <v>123</v>
      </c>
      <c r="H1859" s="4" t="str">
        <f>HYPERLINK("https://www.ncbi.nlm.nih.gov/geo/query/acc.cgi?acc=GSM550976","GSM550976")</f>
        <v>GSM550976</v>
      </c>
      <c r="I1859" t="s">
        <v>82</v>
      </c>
      <c r="J1859" t="s">
        <v>83</v>
      </c>
      <c r="K1859" t="s">
        <v>19</v>
      </c>
      <c r="L1859" t="s">
        <v>27</v>
      </c>
      <c r="M1859" t="s">
        <v>124</v>
      </c>
      <c r="N1859" t="s">
        <v>22</v>
      </c>
    </row>
    <row r="1860" spans="1:14">
      <c r="A1860" s="4" t="str">
        <f t="shared" si="165"/>
        <v>EXP00047</v>
      </c>
      <c r="B1860" s="4" t="str">
        <f t="shared" si="166"/>
        <v>20460471</v>
      </c>
      <c r="C1860" s="4" t="str">
        <f t="shared" si="167"/>
        <v>GSE22153</v>
      </c>
      <c r="D1860" s="1" t="s">
        <v>122</v>
      </c>
      <c r="E1860" t="s">
        <v>84</v>
      </c>
      <c r="F1860" s="1">
        <v>2</v>
      </c>
      <c r="G1860" s="1" t="s">
        <v>123</v>
      </c>
      <c r="H1860" s="4" t="str">
        <f>HYPERLINK("https://www.ncbi.nlm.nih.gov/geo/query/acc.cgi?acc=GSM550977","GSM550977")</f>
        <v>GSM550977</v>
      </c>
      <c r="I1860" t="s">
        <v>82</v>
      </c>
      <c r="J1860" t="s">
        <v>83</v>
      </c>
      <c r="K1860" t="s">
        <v>19</v>
      </c>
      <c r="L1860" t="s">
        <v>27</v>
      </c>
      <c r="M1860" t="s">
        <v>124</v>
      </c>
      <c r="N1860" t="s">
        <v>22</v>
      </c>
    </row>
    <row r="1861" spans="1:14">
      <c r="A1861" s="4" t="str">
        <f t="shared" si="165"/>
        <v>EXP00047</v>
      </c>
      <c r="B1861" s="4" t="str">
        <f t="shared" si="166"/>
        <v>20460471</v>
      </c>
      <c r="C1861" s="4" t="str">
        <f t="shared" si="167"/>
        <v>GSE22153</v>
      </c>
      <c r="D1861" s="1" t="s">
        <v>122</v>
      </c>
      <c r="E1861" t="s">
        <v>84</v>
      </c>
      <c r="F1861" s="1">
        <v>2</v>
      </c>
      <c r="G1861" s="1" t="s">
        <v>123</v>
      </c>
      <c r="H1861" s="4" t="str">
        <f>HYPERLINK("https://www.ncbi.nlm.nih.gov/geo/query/acc.cgi?acc=GSM550979","GSM550979")</f>
        <v>GSM550979</v>
      </c>
      <c r="I1861" t="s">
        <v>82</v>
      </c>
      <c r="J1861" t="s">
        <v>83</v>
      </c>
      <c r="K1861" t="s">
        <v>19</v>
      </c>
      <c r="L1861" t="s">
        <v>27</v>
      </c>
      <c r="M1861" t="s">
        <v>124</v>
      </c>
      <c r="N1861" t="s">
        <v>22</v>
      </c>
    </row>
    <row r="1862" spans="1:14">
      <c r="A1862" s="4" t="str">
        <f t="shared" si="165"/>
        <v>EXP00047</v>
      </c>
      <c r="B1862" s="4" t="str">
        <f t="shared" si="166"/>
        <v>20460471</v>
      </c>
      <c r="C1862" s="4" t="str">
        <f t="shared" si="167"/>
        <v>GSE22153</v>
      </c>
      <c r="D1862" s="1" t="s">
        <v>122</v>
      </c>
      <c r="E1862" t="s">
        <v>84</v>
      </c>
      <c r="F1862" s="1">
        <v>2</v>
      </c>
      <c r="G1862" s="1" t="s">
        <v>123</v>
      </c>
      <c r="H1862" s="4" t="str">
        <f>HYPERLINK("https://www.ncbi.nlm.nih.gov/geo/query/acc.cgi?acc=GSM550980","GSM550980")</f>
        <v>GSM550980</v>
      </c>
      <c r="I1862" t="s">
        <v>82</v>
      </c>
      <c r="J1862" t="s">
        <v>83</v>
      </c>
      <c r="K1862" t="s">
        <v>19</v>
      </c>
      <c r="L1862" t="s">
        <v>27</v>
      </c>
      <c r="M1862" t="s">
        <v>124</v>
      </c>
      <c r="N1862" t="s">
        <v>22</v>
      </c>
    </row>
    <row r="1863" spans="1:14">
      <c r="A1863" s="4" t="str">
        <f t="shared" si="165"/>
        <v>EXP00047</v>
      </c>
      <c r="B1863" s="4" t="str">
        <f t="shared" si="166"/>
        <v>20460471</v>
      </c>
      <c r="C1863" s="4" t="str">
        <f t="shared" si="167"/>
        <v>GSE22153</v>
      </c>
      <c r="D1863" s="1" t="s">
        <v>122</v>
      </c>
      <c r="E1863" t="s">
        <v>84</v>
      </c>
      <c r="F1863" s="1">
        <v>2</v>
      </c>
      <c r="G1863" s="1" t="s">
        <v>123</v>
      </c>
      <c r="H1863" s="4" t="str">
        <f>HYPERLINK("https://www.ncbi.nlm.nih.gov/geo/query/acc.cgi?acc=GSM550981","GSM550981")</f>
        <v>GSM550981</v>
      </c>
      <c r="I1863" t="s">
        <v>82</v>
      </c>
      <c r="J1863" t="s">
        <v>83</v>
      </c>
      <c r="K1863" t="s">
        <v>19</v>
      </c>
      <c r="L1863" t="s">
        <v>27</v>
      </c>
      <c r="M1863" t="s">
        <v>124</v>
      </c>
      <c r="N1863" t="s">
        <v>22</v>
      </c>
    </row>
    <row r="1864" spans="1:14">
      <c r="A1864" s="4" t="str">
        <f t="shared" si="165"/>
        <v>EXP00047</v>
      </c>
      <c r="B1864" s="4" t="str">
        <f t="shared" si="166"/>
        <v>20460471</v>
      </c>
      <c r="C1864" s="4" t="str">
        <f t="shared" si="167"/>
        <v>GSE22153</v>
      </c>
      <c r="D1864" s="1" t="s">
        <v>122</v>
      </c>
      <c r="E1864" t="s">
        <v>84</v>
      </c>
      <c r="F1864" s="1">
        <v>2</v>
      </c>
      <c r="G1864" s="1" t="s">
        <v>123</v>
      </c>
      <c r="H1864" s="4" t="str">
        <f>HYPERLINK("https://www.ncbi.nlm.nih.gov/geo/query/acc.cgi?acc=GSM550982","GSM550982")</f>
        <v>GSM550982</v>
      </c>
      <c r="I1864" t="s">
        <v>82</v>
      </c>
      <c r="J1864" t="s">
        <v>83</v>
      </c>
      <c r="K1864" t="s">
        <v>19</v>
      </c>
      <c r="L1864" t="s">
        <v>27</v>
      </c>
      <c r="M1864" t="s">
        <v>124</v>
      </c>
      <c r="N1864" t="s">
        <v>22</v>
      </c>
    </row>
    <row r="1865" spans="1:14">
      <c r="A1865" s="4" t="str">
        <f t="shared" si="165"/>
        <v>EXP00047</v>
      </c>
      <c r="B1865" s="4" t="str">
        <f t="shared" si="166"/>
        <v>20460471</v>
      </c>
      <c r="C1865" s="4" t="str">
        <f t="shared" si="167"/>
        <v>GSE22153</v>
      </c>
      <c r="D1865" s="1" t="s">
        <v>122</v>
      </c>
      <c r="E1865" t="s">
        <v>84</v>
      </c>
      <c r="F1865" s="1">
        <v>2</v>
      </c>
      <c r="G1865" s="1" t="s">
        <v>123</v>
      </c>
      <c r="H1865" s="4" t="str">
        <f>HYPERLINK("https://www.ncbi.nlm.nih.gov/geo/query/acc.cgi?acc=GSM550983","GSM550983")</f>
        <v>GSM550983</v>
      </c>
      <c r="I1865" t="s">
        <v>82</v>
      </c>
      <c r="J1865" t="s">
        <v>83</v>
      </c>
      <c r="K1865" t="s">
        <v>19</v>
      </c>
      <c r="L1865" t="s">
        <v>27</v>
      </c>
      <c r="M1865" t="s">
        <v>124</v>
      </c>
      <c r="N1865" t="s">
        <v>22</v>
      </c>
    </row>
    <row r="1866" spans="1:14">
      <c r="A1866" s="4" t="str">
        <f t="shared" ref="A1866:A1889" si="168">HYPERLINK("http://hcmdb.i-sanger.com/experiment/details/experiment_id/EXP00047","EXP00047")</f>
        <v>EXP00047</v>
      </c>
      <c r="B1866" s="4" t="str">
        <f t="shared" ref="B1866:B1889" si="169">HYPERLINK("https://www.ncbi.nlm.nih.gov/pubmed/20460471","20460471")</f>
        <v>20460471</v>
      </c>
      <c r="C1866" s="4" t="str">
        <f t="shared" ref="C1866:C1889" si="170">HYPERLINK("https://www.ncbi.nlm.nih.gov/geo/query/acc.cgi?acc=GSE22153","GSE22153")</f>
        <v>GSE22153</v>
      </c>
      <c r="D1866" s="1" t="s">
        <v>122</v>
      </c>
      <c r="E1866" t="s">
        <v>84</v>
      </c>
      <c r="F1866" s="1">
        <v>2</v>
      </c>
      <c r="G1866" s="1" t="s">
        <v>123</v>
      </c>
      <c r="H1866" s="4" t="str">
        <f>HYPERLINK("https://www.ncbi.nlm.nih.gov/geo/query/acc.cgi?acc=GSM550984","GSM550984")</f>
        <v>GSM550984</v>
      </c>
      <c r="I1866" t="s">
        <v>82</v>
      </c>
      <c r="J1866" t="s">
        <v>83</v>
      </c>
      <c r="K1866" t="s">
        <v>19</v>
      </c>
      <c r="L1866" t="s">
        <v>27</v>
      </c>
      <c r="M1866" t="s">
        <v>124</v>
      </c>
      <c r="N1866" t="s">
        <v>22</v>
      </c>
    </row>
    <row r="1867" spans="1:14">
      <c r="A1867" s="4" t="str">
        <f t="shared" si="168"/>
        <v>EXP00047</v>
      </c>
      <c r="B1867" s="4" t="str">
        <f t="shared" si="169"/>
        <v>20460471</v>
      </c>
      <c r="C1867" s="4" t="str">
        <f t="shared" si="170"/>
        <v>GSE22153</v>
      </c>
      <c r="D1867" s="1" t="s">
        <v>122</v>
      </c>
      <c r="E1867" t="s">
        <v>84</v>
      </c>
      <c r="F1867" s="1">
        <v>2</v>
      </c>
      <c r="G1867" s="1" t="s">
        <v>123</v>
      </c>
      <c r="H1867" s="4" t="str">
        <f>HYPERLINK("https://www.ncbi.nlm.nih.gov/geo/query/acc.cgi?acc=GSM550986","GSM550986")</f>
        <v>GSM550986</v>
      </c>
      <c r="I1867" t="s">
        <v>82</v>
      </c>
      <c r="J1867" t="s">
        <v>83</v>
      </c>
      <c r="K1867" t="s">
        <v>19</v>
      </c>
      <c r="L1867" t="s">
        <v>27</v>
      </c>
      <c r="M1867" t="s">
        <v>124</v>
      </c>
      <c r="N1867" t="s">
        <v>22</v>
      </c>
    </row>
    <row r="1868" spans="1:14">
      <c r="A1868" s="4" t="str">
        <f t="shared" si="168"/>
        <v>EXP00047</v>
      </c>
      <c r="B1868" s="4" t="str">
        <f t="shared" si="169"/>
        <v>20460471</v>
      </c>
      <c r="C1868" s="4" t="str">
        <f t="shared" si="170"/>
        <v>GSE22153</v>
      </c>
      <c r="D1868" s="1" t="s">
        <v>122</v>
      </c>
      <c r="E1868" t="s">
        <v>84</v>
      </c>
      <c r="F1868" s="1">
        <v>2</v>
      </c>
      <c r="G1868" s="1" t="s">
        <v>123</v>
      </c>
      <c r="H1868" s="4" t="str">
        <f>HYPERLINK("https://www.ncbi.nlm.nih.gov/geo/query/acc.cgi?acc=GSM550987","GSM550987")</f>
        <v>GSM550987</v>
      </c>
      <c r="I1868" t="s">
        <v>82</v>
      </c>
      <c r="J1868" t="s">
        <v>83</v>
      </c>
      <c r="K1868" t="s">
        <v>19</v>
      </c>
      <c r="L1868" t="s">
        <v>27</v>
      </c>
      <c r="M1868" t="s">
        <v>124</v>
      </c>
      <c r="N1868" t="s">
        <v>22</v>
      </c>
    </row>
    <row r="1869" spans="1:14">
      <c r="A1869" s="4" t="str">
        <f t="shared" si="168"/>
        <v>EXP00047</v>
      </c>
      <c r="B1869" s="4" t="str">
        <f t="shared" si="169"/>
        <v>20460471</v>
      </c>
      <c r="C1869" s="4" t="str">
        <f t="shared" si="170"/>
        <v>GSE22153</v>
      </c>
      <c r="D1869" s="1" t="s">
        <v>122</v>
      </c>
      <c r="E1869" t="s">
        <v>84</v>
      </c>
      <c r="F1869" s="1">
        <v>2</v>
      </c>
      <c r="G1869" s="1" t="s">
        <v>123</v>
      </c>
      <c r="H1869" s="4" t="str">
        <f>HYPERLINK("https://www.ncbi.nlm.nih.gov/geo/query/acc.cgi?acc=GSM550989","GSM550989")</f>
        <v>GSM550989</v>
      </c>
      <c r="I1869" t="s">
        <v>82</v>
      </c>
      <c r="J1869" t="s">
        <v>83</v>
      </c>
      <c r="K1869" t="s">
        <v>19</v>
      </c>
      <c r="L1869" t="s">
        <v>27</v>
      </c>
      <c r="M1869" t="s">
        <v>124</v>
      </c>
      <c r="N1869" t="s">
        <v>22</v>
      </c>
    </row>
    <row r="1870" spans="1:14">
      <c r="A1870" s="4" t="str">
        <f t="shared" si="168"/>
        <v>EXP00047</v>
      </c>
      <c r="B1870" s="4" t="str">
        <f t="shared" si="169"/>
        <v>20460471</v>
      </c>
      <c r="C1870" s="4" t="str">
        <f t="shared" si="170"/>
        <v>GSE22153</v>
      </c>
      <c r="D1870" s="1" t="s">
        <v>122</v>
      </c>
      <c r="E1870" t="s">
        <v>84</v>
      </c>
      <c r="F1870" s="1">
        <v>2</v>
      </c>
      <c r="G1870" s="1" t="s">
        <v>123</v>
      </c>
      <c r="H1870" s="4" t="str">
        <f>HYPERLINK("https://www.ncbi.nlm.nih.gov/geo/query/acc.cgi?acc=GSM550990","GSM550990")</f>
        <v>GSM550990</v>
      </c>
      <c r="I1870" t="s">
        <v>82</v>
      </c>
      <c r="J1870" t="s">
        <v>83</v>
      </c>
      <c r="K1870" t="s">
        <v>19</v>
      </c>
      <c r="L1870" t="s">
        <v>27</v>
      </c>
      <c r="M1870" t="s">
        <v>124</v>
      </c>
      <c r="N1870" t="s">
        <v>22</v>
      </c>
    </row>
    <row r="1871" spans="1:14">
      <c r="A1871" s="4" t="str">
        <f t="shared" si="168"/>
        <v>EXP00047</v>
      </c>
      <c r="B1871" s="4" t="str">
        <f t="shared" si="169"/>
        <v>20460471</v>
      </c>
      <c r="C1871" s="4" t="str">
        <f t="shared" si="170"/>
        <v>GSE22153</v>
      </c>
      <c r="D1871" s="1" t="s">
        <v>122</v>
      </c>
      <c r="E1871" t="s">
        <v>84</v>
      </c>
      <c r="F1871" s="1">
        <v>2</v>
      </c>
      <c r="G1871" s="1" t="s">
        <v>123</v>
      </c>
      <c r="H1871" s="4" t="str">
        <f>HYPERLINK("https://www.ncbi.nlm.nih.gov/geo/query/acc.cgi?acc=GSM550994","GSM550994")</f>
        <v>GSM550994</v>
      </c>
      <c r="I1871" t="s">
        <v>82</v>
      </c>
      <c r="J1871" t="s">
        <v>83</v>
      </c>
      <c r="K1871" t="s">
        <v>19</v>
      </c>
      <c r="L1871" t="s">
        <v>27</v>
      </c>
      <c r="M1871" t="s">
        <v>124</v>
      </c>
      <c r="N1871" t="s">
        <v>22</v>
      </c>
    </row>
    <row r="1872" spans="1:14">
      <c r="A1872" s="4" t="str">
        <f t="shared" si="168"/>
        <v>EXP00047</v>
      </c>
      <c r="B1872" s="4" t="str">
        <f t="shared" si="169"/>
        <v>20460471</v>
      </c>
      <c r="C1872" s="4" t="str">
        <f t="shared" si="170"/>
        <v>GSE22153</v>
      </c>
      <c r="D1872" s="1" t="s">
        <v>122</v>
      </c>
      <c r="E1872" t="s">
        <v>84</v>
      </c>
      <c r="F1872" s="1">
        <v>2</v>
      </c>
      <c r="G1872" s="1" t="s">
        <v>123</v>
      </c>
      <c r="H1872" s="4" t="str">
        <f>HYPERLINK("https://www.ncbi.nlm.nih.gov/geo/query/acc.cgi?acc=GSM550995","GSM550995")</f>
        <v>GSM550995</v>
      </c>
      <c r="I1872" t="s">
        <v>82</v>
      </c>
      <c r="J1872" t="s">
        <v>83</v>
      </c>
      <c r="K1872" t="s">
        <v>19</v>
      </c>
      <c r="L1872" t="s">
        <v>27</v>
      </c>
      <c r="M1872" t="s">
        <v>124</v>
      </c>
      <c r="N1872" t="s">
        <v>22</v>
      </c>
    </row>
    <row r="1873" spans="1:14">
      <c r="A1873" s="4" t="str">
        <f t="shared" si="168"/>
        <v>EXP00047</v>
      </c>
      <c r="B1873" s="4" t="str">
        <f t="shared" si="169"/>
        <v>20460471</v>
      </c>
      <c r="C1873" s="4" t="str">
        <f t="shared" si="170"/>
        <v>GSE22153</v>
      </c>
      <c r="D1873" s="1" t="s">
        <v>122</v>
      </c>
      <c r="E1873" t="s">
        <v>84</v>
      </c>
      <c r="F1873" s="1">
        <v>2</v>
      </c>
      <c r="G1873" s="1" t="s">
        <v>123</v>
      </c>
      <c r="H1873" s="4" t="str">
        <f>HYPERLINK("https://www.ncbi.nlm.nih.gov/geo/query/acc.cgi?acc=GSM550996","GSM550996")</f>
        <v>GSM550996</v>
      </c>
      <c r="I1873" t="s">
        <v>82</v>
      </c>
      <c r="J1873" t="s">
        <v>83</v>
      </c>
      <c r="K1873" t="s">
        <v>19</v>
      </c>
      <c r="L1873" t="s">
        <v>27</v>
      </c>
      <c r="M1873" t="s">
        <v>124</v>
      </c>
      <c r="N1873" t="s">
        <v>22</v>
      </c>
    </row>
    <row r="1874" spans="1:14">
      <c r="A1874" s="4" t="str">
        <f t="shared" si="168"/>
        <v>EXP00047</v>
      </c>
      <c r="B1874" s="4" t="str">
        <f t="shared" si="169"/>
        <v>20460471</v>
      </c>
      <c r="C1874" s="4" t="str">
        <f t="shared" si="170"/>
        <v>GSE22153</v>
      </c>
      <c r="D1874" s="1" t="s">
        <v>122</v>
      </c>
      <c r="E1874" t="s">
        <v>84</v>
      </c>
      <c r="F1874" s="1">
        <v>2</v>
      </c>
      <c r="G1874" s="1" t="s">
        <v>123</v>
      </c>
      <c r="H1874" s="4" t="str">
        <f>HYPERLINK("https://www.ncbi.nlm.nih.gov/geo/query/acc.cgi?acc=GSM550997","GSM550997")</f>
        <v>GSM550997</v>
      </c>
      <c r="I1874" t="s">
        <v>82</v>
      </c>
      <c r="J1874" t="s">
        <v>83</v>
      </c>
      <c r="K1874" t="s">
        <v>19</v>
      </c>
      <c r="L1874" t="s">
        <v>27</v>
      </c>
      <c r="M1874" t="s">
        <v>124</v>
      </c>
      <c r="N1874" t="s">
        <v>22</v>
      </c>
    </row>
    <row r="1875" spans="1:14">
      <c r="A1875" s="4" t="str">
        <f t="shared" si="168"/>
        <v>EXP00047</v>
      </c>
      <c r="B1875" s="4" t="str">
        <f t="shared" si="169"/>
        <v>20460471</v>
      </c>
      <c r="C1875" s="4" t="str">
        <f t="shared" si="170"/>
        <v>GSE22153</v>
      </c>
      <c r="D1875" s="1" t="s">
        <v>122</v>
      </c>
      <c r="E1875" t="s">
        <v>84</v>
      </c>
      <c r="F1875" s="1">
        <v>2</v>
      </c>
      <c r="G1875" s="1" t="s">
        <v>123</v>
      </c>
      <c r="H1875" s="4" t="str">
        <f>HYPERLINK("https://www.ncbi.nlm.nih.gov/geo/query/acc.cgi?acc=GSM550999","GSM550999")</f>
        <v>GSM550999</v>
      </c>
      <c r="I1875" t="s">
        <v>82</v>
      </c>
      <c r="J1875" t="s">
        <v>83</v>
      </c>
      <c r="K1875" t="s">
        <v>19</v>
      </c>
      <c r="L1875" t="s">
        <v>27</v>
      </c>
      <c r="M1875" t="s">
        <v>124</v>
      </c>
      <c r="N1875" t="s">
        <v>22</v>
      </c>
    </row>
    <row r="1876" spans="1:14">
      <c r="A1876" s="4" t="str">
        <f t="shared" si="168"/>
        <v>EXP00047</v>
      </c>
      <c r="B1876" s="4" t="str">
        <f t="shared" si="169"/>
        <v>20460471</v>
      </c>
      <c r="C1876" s="4" t="str">
        <f t="shared" si="170"/>
        <v>GSE22153</v>
      </c>
      <c r="D1876" s="1" t="s">
        <v>122</v>
      </c>
      <c r="E1876" t="s">
        <v>84</v>
      </c>
      <c r="F1876" s="1">
        <v>2</v>
      </c>
      <c r="G1876" s="1" t="s">
        <v>123</v>
      </c>
      <c r="H1876" s="4" t="str">
        <f>HYPERLINK("https://www.ncbi.nlm.nih.gov/geo/query/acc.cgi?acc=GSM551000","GSM551000")</f>
        <v>GSM551000</v>
      </c>
      <c r="I1876" t="s">
        <v>82</v>
      </c>
      <c r="J1876" t="s">
        <v>83</v>
      </c>
      <c r="K1876" t="s">
        <v>19</v>
      </c>
      <c r="L1876" t="s">
        <v>27</v>
      </c>
      <c r="M1876" t="s">
        <v>124</v>
      </c>
      <c r="N1876" t="s">
        <v>22</v>
      </c>
    </row>
    <row r="1877" spans="1:14">
      <c r="A1877" s="4" t="str">
        <f t="shared" si="168"/>
        <v>EXP00047</v>
      </c>
      <c r="B1877" s="4" t="str">
        <f t="shared" si="169"/>
        <v>20460471</v>
      </c>
      <c r="C1877" s="4" t="str">
        <f t="shared" si="170"/>
        <v>GSE22153</v>
      </c>
      <c r="D1877" s="1" t="s">
        <v>122</v>
      </c>
      <c r="E1877" t="s">
        <v>84</v>
      </c>
      <c r="F1877" s="1">
        <v>2</v>
      </c>
      <c r="G1877" s="1" t="s">
        <v>123</v>
      </c>
      <c r="H1877" s="4" t="str">
        <f>HYPERLINK("https://www.ncbi.nlm.nih.gov/geo/query/acc.cgi?acc=GSM551001","GSM551001")</f>
        <v>GSM551001</v>
      </c>
      <c r="I1877" t="s">
        <v>82</v>
      </c>
      <c r="J1877" t="s">
        <v>83</v>
      </c>
      <c r="K1877" t="s">
        <v>19</v>
      </c>
      <c r="L1877" t="s">
        <v>27</v>
      </c>
      <c r="M1877" t="s">
        <v>124</v>
      </c>
      <c r="N1877" t="s">
        <v>22</v>
      </c>
    </row>
    <row r="1878" spans="1:14">
      <c r="A1878" s="4" t="str">
        <f t="shared" si="168"/>
        <v>EXP00047</v>
      </c>
      <c r="B1878" s="4" t="str">
        <f t="shared" si="169"/>
        <v>20460471</v>
      </c>
      <c r="C1878" s="4" t="str">
        <f t="shared" si="170"/>
        <v>GSE22153</v>
      </c>
      <c r="D1878" s="1" t="s">
        <v>122</v>
      </c>
      <c r="E1878" t="s">
        <v>84</v>
      </c>
      <c r="F1878" s="1">
        <v>2</v>
      </c>
      <c r="G1878" s="1" t="s">
        <v>123</v>
      </c>
      <c r="H1878" s="4" t="str">
        <f>HYPERLINK("https://www.ncbi.nlm.nih.gov/geo/query/acc.cgi?acc=GSM551002","GSM551002")</f>
        <v>GSM551002</v>
      </c>
      <c r="I1878" t="s">
        <v>82</v>
      </c>
      <c r="J1878" t="s">
        <v>83</v>
      </c>
      <c r="K1878" t="s">
        <v>19</v>
      </c>
      <c r="L1878" t="s">
        <v>27</v>
      </c>
      <c r="M1878" t="s">
        <v>124</v>
      </c>
      <c r="N1878" t="s">
        <v>22</v>
      </c>
    </row>
    <row r="1879" spans="1:14">
      <c r="A1879" s="4" t="str">
        <f t="shared" si="168"/>
        <v>EXP00047</v>
      </c>
      <c r="B1879" s="4" t="str">
        <f t="shared" si="169"/>
        <v>20460471</v>
      </c>
      <c r="C1879" s="4" t="str">
        <f t="shared" si="170"/>
        <v>GSE22153</v>
      </c>
      <c r="D1879" s="1" t="s">
        <v>122</v>
      </c>
      <c r="E1879" t="s">
        <v>84</v>
      </c>
      <c r="F1879" s="1">
        <v>2</v>
      </c>
      <c r="G1879" s="1" t="s">
        <v>123</v>
      </c>
      <c r="H1879" s="4" t="str">
        <f>HYPERLINK("https://www.ncbi.nlm.nih.gov/geo/query/acc.cgi?acc=GSM551003","GSM551003")</f>
        <v>GSM551003</v>
      </c>
      <c r="I1879" t="s">
        <v>82</v>
      </c>
      <c r="J1879" t="s">
        <v>83</v>
      </c>
      <c r="K1879" t="s">
        <v>19</v>
      </c>
      <c r="L1879" t="s">
        <v>27</v>
      </c>
      <c r="M1879" t="s">
        <v>124</v>
      </c>
      <c r="N1879" t="s">
        <v>22</v>
      </c>
    </row>
    <row r="1880" spans="1:14">
      <c r="A1880" s="4" t="str">
        <f t="shared" si="168"/>
        <v>EXP00047</v>
      </c>
      <c r="B1880" s="4" t="str">
        <f t="shared" si="169"/>
        <v>20460471</v>
      </c>
      <c r="C1880" s="4" t="str">
        <f t="shared" si="170"/>
        <v>GSE22153</v>
      </c>
      <c r="D1880" s="1" t="s">
        <v>122</v>
      </c>
      <c r="E1880" t="s">
        <v>84</v>
      </c>
      <c r="F1880" s="1">
        <v>2</v>
      </c>
      <c r="G1880" s="1" t="s">
        <v>123</v>
      </c>
      <c r="H1880" s="4" t="str">
        <f>HYPERLINK("https://www.ncbi.nlm.nih.gov/geo/query/acc.cgi?acc=GSM551004","GSM551004")</f>
        <v>GSM551004</v>
      </c>
      <c r="I1880" t="s">
        <v>82</v>
      </c>
      <c r="J1880" t="s">
        <v>83</v>
      </c>
      <c r="K1880" t="s">
        <v>19</v>
      </c>
      <c r="L1880" t="s">
        <v>27</v>
      </c>
      <c r="M1880" t="s">
        <v>124</v>
      </c>
      <c r="N1880" t="s">
        <v>22</v>
      </c>
    </row>
    <row r="1881" spans="1:14">
      <c r="A1881" s="4" t="str">
        <f t="shared" si="168"/>
        <v>EXP00047</v>
      </c>
      <c r="B1881" s="4" t="str">
        <f t="shared" si="169"/>
        <v>20460471</v>
      </c>
      <c r="C1881" s="4" t="str">
        <f t="shared" si="170"/>
        <v>GSE22153</v>
      </c>
      <c r="D1881" s="1" t="s">
        <v>122</v>
      </c>
      <c r="E1881" t="s">
        <v>84</v>
      </c>
      <c r="F1881" s="1">
        <v>2</v>
      </c>
      <c r="G1881" s="1" t="s">
        <v>123</v>
      </c>
      <c r="H1881" s="4" t="str">
        <f>HYPERLINK("https://www.ncbi.nlm.nih.gov/geo/query/acc.cgi?acc=GSM551005","GSM551005")</f>
        <v>GSM551005</v>
      </c>
      <c r="I1881" t="s">
        <v>82</v>
      </c>
      <c r="J1881" t="s">
        <v>83</v>
      </c>
      <c r="K1881" t="s">
        <v>19</v>
      </c>
      <c r="L1881" t="s">
        <v>27</v>
      </c>
      <c r="M1881" t="s">
        <v>124</v>
      </c>
      <c r="N1881" t="s">
        <v>22</v>
      </c>
    </row>
    <row r="1882" spans="1:14">
      <c r="A1882" s="4" t="str">
        <f t="shared" si="168"/>
        <v>EXP00047</v>
      </c>
      <c r="B1882" s="4" t="str">
        <f t="shared" si="169"/>
        <v>20460471</v>
      </c>
      <c r="C1882" s="4" t="str">
        <f t="shared" si="170"/>
        <v>GSE22153</v>
      </c>
      <c r="D1882" s="1" t="s">
        <v>122</v>
      </c>
      <c r="E1882" t="s">
        <v>84</v>
      </c>
      <c r="F1882" s="1">
        <v>2</v>
      </c>
      <c r="G1882" s="1" t="s">
        <v>123</v>
      </c>
      <c r="H1882" s="4" t="str">
        <f>HYPERLINK("https://www.ncbi.nlm.nih.gov/geo/query/acc.cgi?acc=GSM551006","GSM551006")</f>
        <v>GSM551006</v>
      </c>
      <c r="I1882" t="s">
        <v>82</v>
      </c>
      <c r="J1882" t="s">
        <v>83</v>
      </c>
      <c r="K1882" t="s">
        <v>19</v>
      </c>
      <c r="L1882" t="s">
        <v>27</v>
      </c>
      <c r="M1882" t="s">
        <v>124</v>
      </c>
      <c r="N1882" t="s">
        <v>22</v>
      </c>
    </row>
    <row r="1883" spans="1:14">
      <c r="A1883" s="4" t="str">
        <f t="shared" si="168"/>
        <v>EXP00047</v>
      </c>
      <c r="B1883" s="4" t="str">
        <f t="shared" si="169"/>
        <v>20460471</v>
      </c>
      <c r="C1883" s="4" t="str">
        <f t="shared" si="170"/>
        <v>GSE22153</v>
      </c>
      <c r="D1883" s="1" t="s">
        <v>122</v>
      </c>
      <c r="E1883" t="s">
        <v>84</v>
      </c>
      <c r="F1883" s="1">
        <v>2</v>
      </c>
      <c r="G1883" s="1" t="s">
        <v>123</v>
      </c>
      <c r="H1883" s="4" t="str">
        <f>HYPERLINK("https://www.ncbi.nlm.nih.gov/geo/query/acc.cgi?acc=GSM551008","GSM551008")</f>
        <v>GSM551008</v>
      </c>
      <c r="I1883" t="s">
        <v>82</v>
      </c>
      <c r="J1883" t="s">
        <v>83</v>
      </c>
      <c r="K1883" t="s">
        <v>19</v>
      </c>
      <c r="L1883" t="s">
        <v>27</v>
      </c>
      <c r="M1883" t="s">
        <v>124</v>
      </c>
      <c r="N1883" t="s">
        <v>22</v>
      </c>
    </row>
    <row r="1884" spans="1:14">
      <c r="A1884" s="4" t="str">
        <f t="shared" si="168"/>
        <v>EXP00047</v>
      </c>
      <c r="B1884" s="4" t="str">
        <f t="shared" si="169"/>
        <v>20460471</v>
      </c>
      <c r="C1884" s="4" t="str">
        <f t="shared" si="170"/>
        <v>GSE22153</v>
      </c>
      <c r="D1884" s="1" t="s">
        <v>122</v>
      </c>
      <c r="E1884" t="s">
        <v>84</v>
      </c>
      <c r="F1884" s="1">
        <v>2</v>
      </c>
      <c r="G1884" s="1" t="s">
        <v>123</v>
      </c>
      <c r="H1884" s="4" t="str">
        <f>HYPERLINK("https://www.ncbi.nlm.nih.gov/geo/query/acc.cgi?acc=GSM551009","GSM551009")</f>
        <v>GSM551009</v>
      </c>
      <c r="I1884" t="s">
        <v>82</v>
      </c>
      <c r="J1884" t="s">
        <v>83</v>
      </c>
      <c r="K1884" t="s">
        <v>19</v>
      </c>
      <c r="L1884" t="s">
        <v>27</v>
      </c>
      <c r="M1884" t="s">
        <v>124</v>
      </c>
      <c r="N1884" t="s">
        <v>22</v>
      </c>
    </row>
    <row r="1885" spans="1:14">
      <c r="A1885" s="4" t="str">
        <f t="shared" si="168"/>
        <v>EXP00047</v>
      </c>
      <c r="B1885" s="4" t="str">
        <f t="shared" si="169"/>
        <v>20460471</v>
      </c>
      <c r="C1885" s="4" t="str">
        <f t="shared" si="170"/>
        <v>GSE22153</v>
      </c>
      <c r="D1885" s="1" t="s">
        <v>122</v>
      </c>
      <c r="E1885" t="s">
        <v>84</v>
      </c>
      <c r="F1885" s="1">
        <v>2</v>
      </c>
      <c r="G1885" s="1" t="s">
        <v>123</v>
      </c>
      <c r="H1885" s="4" t="str">
        <f>HYPERLINK("https://www.ncbi.nlm.nih.gov/geo/query/acc.cgi?acc=GSM551012","GSM551012")</f>
        <v>GSM551012</v>
      </c>
      <c r="I1885" t="s">
        <v>82</v>
      </c>
      <c r="J1885" t="s">
        <v>83</v>
      </c>
      <c r="K1885" t="s">
        <v>19</v>
      </c>
      <c r="L1885" t="s">
        <v>27</v>
      </c>
      <c r="M1885" t="s">
        <v>124</v>
      </c>
      <c r="N1885" t="s">
        <v>22</v>
      </c>
    </row>
    <row r="1886" spans="1:14">
      <c r="A1886" s="4" t="str">
        <f t="shared" si="168"/>
        <v>EXP00047</v>
      </c>
      <c r="B1886" s="4" t="str">
        <f t="shared" si="169"/>
        <v>20460471</v>
      </c>
      <c r="C1886" s="4" t="str">
        <f t="shared" si="170"/>
        <v>GSE22153</v>
      </c>
      <c r="D1886" s="1" t="s">
        <v>122</v>
      </c>
      <c r="E1886" t="s">
        <v>84</v>
      </c>
      <c r="F1886" s="1">
        <v>2</v>
      </c>
      <c r="G1886" s="1" t="s">
        <v>123</v>
      </c>
      <c r="H1886" s="4" t="str">
        <f>HYPERLINK("https://www.ncbi.nlm.nih.gov/geo/query/acc.cgi?acc=GSM551014","GSM551014")</f>
        <v>GSM551014</v>
      </c>
      <c r="I1886" t="s">
        <v>82</v>
      </c>
      <c r="J1886" t="s">
        <v>83</v>
      </c>
      <c r="K1886" t="s">
        <v>19</v>
      </c>
      <c r="L1886" t="s">
        <v>27</v>
      </c>
      <c r="M1886" t="s">
        <v>124</v>
      </c>
      <c r="N1886" t="s">
        <v>22</v>
      </c>
    </row>
    <row r="1887" spans="1:14">
      <c r="A1887" s="4" t="str">
        <f t="shared" si="168"/>
        <v>EXP00047</v>
      </c>
      <c r="B1887" s="4" t="str">
        <f t="shared" si="169"/>
        <v>20460471</v>
      </c>
      <c r="C1887" s="4" t="str">
        <f t="shared" si="170"/>
        <v>GSE22153</v>
      </c>
      <c r="D1887" s="1" t="s">
        <v>122</v>
      </c>
      <c r="E1887" t="s">
        <v>84</v>
      </c>
      <c r="F1887" s="1">
        <v>2</v>
      </c>
      <c r="G1887" s="1" t="s">
        <v>123</v>
      </c>
      <c r="H1887" s="4" t="str">
        <f>HYPERLINK("https://www.ncbi.nlm.nih.gov/geo/query/acc.cgi?acc=GSM551015","GSM551015")</f>
        <v>GSM551015</v>
      </c>
      <c r="I1887" t="s">
        <v>82</v>
      </c>
      <c r="J1887" t="s">
        <v>83</v>
      </c>
      <c r="K1887" t="s">
        <v>19</v>
      </c>
      <c r="L1887" t="s">
        <v>27</v>
      </c>
      <c r="M1887" t="s">
        <v>124</v>
      </c>
      <c r="N1887" t="s">
        <v>22</v>
      </c>
    </row>
    <row r="1888" spans="1:14">
      <c r="A1888" s="4" t="str">
        <f t="shared" si="168"/>
        <v>EXP00047</v>
      </c>
      <c r="B1888" s="4" t="str">
        <f t="shared" si="169"/>
        <v>20460471</v>
      </c>
      <c r="C1888" s="4" t="str">
        <f t="shared" si="170"/>
        <v>GSE22153</v>
      </c>
      <c r="D1888" s="1" t="s">
        <v>122</v>
      </c>
      <c r="E1888" t="s">
        <v>84</v>
      </c>
      <c r="F1888" s="1">
        <v>2</v>
      </c>
      <c r="G1888" s="1" t="s">
        <v>123</v>
      </c>
      <c r="H1888" s="4" t="str">
        <f>HYPERLINK("https://www.ncbi.nlm.nih.gov/geo/query/acc.cgi?acc=GSM551017","GSM551017")</f>
        <v>GSM551017</v>
      </c>
      <c r="I1888" t="s">
        <v>82</v>
      </c>
      <c r="J1888" t="s">
        <v>83</v>
      </c>
      <c r="K1888" t="s">
        <v>19</v>
      </c>
      <c r="L1888" t="s">
        <v>27</v>
      </c>
      <c r="M1888" t="s">
        <v>124</v>
      </c>
      <c r="N1888" t="s">
        <v>22</v>
      </c>
    </row>
    <row r="1889" spans="1:14">
      <c r="A1889" s="4" t="str">
        <f t="shared" si="168"/>
        <v>EXP00047</v>
      </c>
      <c r="B1889" s="4" t="str">
        <f t="shared" si="169"/>
        <v>20460471</v>
      </c>
      <c r="C1889" s="4" t="str">
        <f t="shared" si="170"/>
        <v>GSE22153</v>
      </c>
      <c r="D1889" s="1" t="s">
        <v>122</v>
      </c>
      <c r="E1889" t="s">
        <v>84</v>
      </c>
      <c r="F1889" s="1">
        <v>2</v>
      </c>
      <c r="G1889" s="1" t="s">
        <v>123</v>
      </c>
      <c r="H1889" s="4" t="str">
        <f>HYPERLINK("https://www.ncbi.nlm.nih.gov/geo/query/acc.cgi?acc=GSM551019","GSM551019")</f>
        <v>GSM551019</v>
      </c>
      <c r="I1889" t="s">
        <v>82</v>
      </c>
      <c r="J1889" t="s">
        <v>83</v>
      </c>
      <c r="K1889" t="s">
        <v>19</v>
      </c>
      <c r="L1889" t="s">
        <v>27</v>
      </c>
      <c r="M1889" t="s">
        <v>124</v>
      </c>
      <c r="N1889" t="s">
        <v>22</v>
      </c>
    </row>
    <row r="1890" spans="1:14">
      <c r="A1890" s="4" t="str">
        <f t="shared" ref="A1890:A1937" si="171">HYPERLINK("http://hcmdb.i-sanger.com/experiment/details/experiment_id/EXP00048","EXP00048")</f>
        <v>EXP00048</v>
      </c>
      <c r="B1890" s="4" t="str">
        <f t="shared" ref="B1890:B1921" si="172">HYPERLINK("https://www.ncbi.nlm.nih.gov/pubmed/22213152","22213152")</f>
        <v>22213152</v>
      </c>
      <c r="C1890" s="4" t="str">
        <f t="shared" ref="C1890:C1921" si="173">HYPERLINK("https://www.ncbi.nlm.nih.gov/geo/query/acc.cgi?acc=GSE22541","GSE22541")</f>
        <v>GSE22541</v>
      </c>
      <c r="D1890" s="1" t="s">
        <v>45</v>
      </c>
      <c r="E1890" t="s">
        <v>125</v>
      </c>
      <c r="F1890" s="1">
        <v>1</v>
      </c>
      <c r="G1890" s="1" t="s">
        <v>26</v>
      </c>
      <c r="H1890" s="4" t="str">
        <f>HYPERLINK("https://www.ncbi.nlm.nih.gov/geo/query/acc.cgi?acc=GSM359477","GSM359477")</f>
        <v>GSM359477</v>
      </c>
      <c r="I1890" t="s">
        <v>59</v>
      </c>
      <c r="J1890" t="s">
        <v>60</v>
      </c>
      <c r="K1890" t="s">
        <v>19</v>
      </c>
      <c r="L1890" t="s">
        <v>61</v>
      </c>
      <c r="M1890" t="s">
        <v>41</v>
      </c>
      <c r="N1890" t="s">
        <v>22</v>
      </c>
    </row>
    <row r="1891" spans="1:14">
      <c r="A1891" s="4" t="str">
        <f t="shared" si="171"/>
        <v>EXP00048</v>
      </c>
      <c r="B1891" s="4" t="str">
        <f t="shared" si="172"/>
        <v>22213152</v>
      </c>
      <c r="C1891" s="4" t="str">
        <f t="shared" si="173"/>
        <v>GSE22541</v>
      </c>
      <c r="D1891" s="1" t="s">
        <v>45</v>
      </c>
      <c r="E1891" t="s">
        <v>125</v>
      </c>
      <c r="F1891" s="1">
        <v>1</v>
      </c>
      <c r="G1891" s="1" t="s">
        <v>26</v>
      </c>
      <c r="H1891" s="4" t="str">
        <f>HYPERLINK("https://www.ncbi.nlm.nih.gov/geo/query/acc.cgi?acc=GSM359478","GSM359478")</f>
        <v>GSM359478</v>
      </c>
      <c r="I1891" t="s">
        <v>59</v>
      </c>
      <c r="J1891" t="s">
        <v>60</v>
      </c>
      <c r="K1891" t="s">
        <v>19</v>
      </c>
      <c r="L1891" t="s">
        <v>61</v>
      </c>
      <c r="M1891" t="s">
        <v>41</v>
      </c>
      <c r="N1891" t="s">
        <v>22</v>
      </c>
    </row>
    <row r="1892" spans="1:14">
      <c r="A1892" s="4" t="str">
        <f t="shared" si="171"/>
        <v>EXP00048</v>
      </c>
      <c r="B1892" s="4" t="str">
        <f t="shared" si="172"/>
        <v>22213152</v>
      </c>
      <c r="C1892" s="4" t="str">
        <f t="shared" si="173"/>
        <v>GSE22541</v>
      </c>
      <c r="D1892" s="1" t="s">
        <v>45</v>
      </c>
      <c r="E1892" t="s">
        <v>125</v>
      </c>
      <c r="F1892" s="1">
        <v>1</v>
      </c>
      <c r="G1892" s="1" t="s">
        <v>26</v>
      </c>
      <c r="H1892" s="4" t="str">
        <f>HYPERLINK("https://www.ncbi.nlm.nih.gov/geo/query/acc.cgi?acc=GSM359479","GSM359479")</f>
        <v>GSM359479</v>
      </c>
      <c r="I1892" t="s">
        <v>59</v>
      </c>
      <c r="J1892" t="s">
        <v>60</v>
      </c>
      <c r="K1892" t="s">
        <v>19</v>
      </c>
      <c r="L1892" t="s">
        <v>61</v>
      </c>
      <c r="M1892" t="s">
        <v>41</v>
      </c>
      <c r="N1892" t="s">
        <v>22</v>
      </c>
    </row>
    <row r="1893" spans="1:14">
      <c r="A1893" s="4" t="str">
        <f t="shared" si="171"/>
        <v>EXP00048</v>
      </c>
      <c r="B1893" s="4" t="str">
        <f t="shared" si="172"/>
        <v>22213152</v>
      </c>
      <c r="C1893" s="4" t="str">
        <f t="shared" si="173"/>
        <v>GSE22541</v>
      </c>
      <c r="D1893" s="1" t="s">
        <v>45</v>
      </c>
      <c r="E1893" t="s">
        <v>125</v>
      </c>
      <c r="F1893" s="1">
        <v>1</v>
      </c>
      <c r="G1893" s="1" t="s">
        <v>26</v>
      </c>
      <c r="H1893" s="4" t="str">
        <f>HYPERLINK("https://www.ncbi.nlm.nih.gov/geo/query/acc.cgi?acc=GSM359480","GSM359480")</f>
        <v>GSM359480</v>
      </c>
      <c r="I1893" t="s">
        <v>59</v>
      </c>
      <c r="J1893" t="s">
        <v>60</v>
      </c>
      <c r="K1893" t="s">
        <v>19</v>
      </c>
      <c r="L1893" t="s">
        <v>61</v>
      </c>
      <c r="M1893" t="s">
        <v>41</v>
      </c>
      <c r="N1893" t="s">
        <v>22</v>
      </c>
    </row>
    <row r="1894" spans="1:14">
      <c r="A1894" s="4" t="str">
        <f t="shared" si="171"/>
        <v>EXP00048</v>
      </c>
      <c r="B1894" s="4" t="str">
        <f t="shared" si="172"/>
        <v>22213152</v>
      </c>
      <c r="C1894" s="4" t="str">
        <f t="shared" si="173"/>
        <v>GSE22541</v>
      </c>
      <c r="D1894" s="1" t="s">
        <v>45</v>
      </c>
      <c r="E1894" t="s">
        <v>125</v>
      </c>
      <c r="F1894" s="1">
        <v>1</v>
      </c>
      <c r="G1894" s="1" t="s">
        <v>26</v>
      </c>
      <c r="H1894" s="4" t="str">
        <f>HYPERLINK("https://www.ncbi.nlm.nih.gov/geo/query/acc.cgi?acc=GSM359481","GSM359481")</f>
        <v>GSM359481</v>
      </c>
      <c r="I1894" t="s">
        <v>59</v>
      </c>
      <c r="J1894" t="s">
        <v>60</v>
      </c>
      <c r="K1894" t="s">
        <v>19</v>
      </c>
      <c r="L1894" t="s">
        <v>61</v>
      </c>
      <c r="M1894" t="s">
        <v>41</v>
      </c>
      <c r="N1894" t="s">
        <v>22</v>
      </c>
    </row>
    <row r="1895" spans="1:14">
      <c r="A1895" s="4" t="str">
        <f t="shared" si="171"/>
        <v>EXP00048</v>
      </c>
      <c r="B1895" s="4" t="str">
        <f t="shared" si="172"/>
        <v>22213152</v>
      </c>
      <c r="C1895" s="4" t="str">
        <f t="shared" si="173"/>
        <v>GSE22541</v>
      </c>
      <c r="D1895" s="1" t="s">
        <v>45</v>
      </c>
      <c r="E1895" t="s">
        <v>125</v>
      </c>
      <c r="F1895" s="1">
        <v>1</v>
      </c>
      <c r="G1895" s="1" t="s">
        <v>26</v>
      </c>
      <c r="H1895" s="4" t="str">
        <f>HYPERLINK("https://www.ncbi.nlm.nih.gov/geo/query/acc.cgi?acc=GSM359482","GSM359482")</f>
        <v>GSM359482</v>
      </c>
      <c r="I1895" t="s">
        <v>59</v>
      </c>
      <c r="J1895" t="s">
        <v>60</v>
      </c>
      <c r="K1895" t="s">
        <v>19</v>
      </c>
      <c r="L1895" t="s">
        <v>61</v>
      </c>
      <c r="M1895" t="s">
        <v>41</v>
      </c>
      <c r="N1895" t="s">
        <v>22</v>
      </c>
    </row>
    <row r="1896" spans="1:14">
      <c r="A1896" s="4" t="str">
        <f t="shared" si="171"/>
        <v>EXP00048</v>
      </c>
      <c r="B1896" s="4" t="str">
        <f t="shared" si="172"/>
        <v>22213152</v>
      </c>
      <c r="C1896" s="4" t="str">
        <f t="shared" si="173"/>
        <v>GSE22541</v>
      </c>
      <c r="D1896" s="1" t="s">
        <v>45</v>
      </c>
      <c r="E1896" t="s">
        <v>125</v>
      </c>
      <c r="F1896" s="1">
        <v>1</v>
      </c>
      <c r="G1896" s="1" t="s">
        <v>26</v>
      </c>
      <c r="H1896" s="4" t="str">
        <f>HYPERLINK("https://www.ncbi.nlm.nih.gov/geo/query/acc.cgi?acc=GSM359483","GSM359483")</f>
        <v>GSM359483</v>
      </c>
      <c r="I1896" t="s">
        <v>59</v>
      </c>
      <c r="J1896" t="s">
        <v>60</v>
      </c>
      <c r="K1896" t="s">
        <v>19</v>
      </c>
      <c r="L1896" t="s">
        <v>61</v>
      </c>
      <c r="M1896" t="s">
        <v>41</v>
      </c>
      <c r="N1896" t="s">
        <v>22</v>
      </c>
    </row>
    <row r="1897" spans="1:14">
      <c r="A1897" s="4" t="str">
        <f t="shared" si="171"/>
        <v>EXP00048</v>
      </c>
      <c r="B1897" s="4" t="str">
        <f t="shared" si="172"/>
        <v>22213152</v>
      </c>
      <c r="C1897" s="4" t="str">
        <f t="shared" si="173"/>
        <v>GSE22541</v>
      </c>
      <c r="D1897" s="1" t="s">
        <v>45</v>
      </c>
      <c r="E1897" t="s">
        <v>125</v>
      </c>
      <c r="F1897" s="1">
        <v>1</v>
      </c>
      <c r="G1897" s="1" t="s">
        <v>26</v>
      </c>
      <c r="H1897" s="4" t="str">
        <f>HYPERLINK("https://www.ncbi.nlm.nih.gov/geo/query/acc.cgi?acc=GSM359484","GSM359484")</f>
        <v>GSM359484</v>
      </c>
      <c r="I1897" t="s">
        <v>59</v>
      </c>
      <c r="J1897" t="s">
        <v>60</v>
      </c>
      <c r="K1897" t="s">
        <v>19</v>
      </c>
      <c r="L1897" t="s">
        <v>61</v>
      </c>
      <c r="M1897" t="s">
        <v>41</v>
      </c>
      <c r="N1897" t="s">
        <v>22</v>
      </c>
    </row>
    <row r="1898" spans="1:14">
      <c r="A1898" s="4" t="str">
        <f t="shared" si="171"/>
        <v>EXP00048</v>
      </c>
      <c r="B1898" s="4" t="str">
        <f t="shared" si="172"/>
        <v>22213152</v>
      </c>
      <c r="C1898" s="4" t="str">
        <f t="shared" si="173"/>
        <v>GSE22541</v>
      </c>
      <c r="D1898" s="1" t="s">
        <v>45</v>
      </c>
      <c r="E1898" t="s">
        <v>125</v>
      </c>
      <c r="F1898" s="1">
        <v>1</v>
      </c>
      <c r="G1898" s="1" t="s">
        <v>26</v>
      </c>
      <c r="H1898" s="4" t="str">
        <f>HYPERLINK("https://www.ncbi.nlm.nih.gov/geo/query/acc.cgi?acc=GSM359485","GSM359485")</f>
        <v>GSM359485</v>
      </c>
      <c r="I1898" t="s">
        <v>59</v>
      </c>
      <c r="J1898" t="s">
        <v>60</v>
      </c>
      <c r="K1898" t="s">
        <v>19</v>
      </c>
      <c r="L1898" t="s">
        <v>61</v>
      </c>
      <c r="M1898" t="s">
        <v>41</v>
      </c>
      <c r="N1898" t="s">
        <v>22</v>
      </c>
    </row>
    <row r="1899" spans="1:14">
      <c r="A1899" s="4" t="str">
        <f t="shared" si="171"/>
        <v>EXP00048</v>
      </c>
      <c r="B1899" s="4" t="str">
        <f t="shared" si="172"/>
        <v>22213152</v>
      </c>
      <c r="C1899" s="4" t="str">
        <f t="shared" si="173"/>
        <v>GSE22541</v>
      </c>
      <c r="D1899" s="1" t="s">
        <v>45</v>
      </c>
      <c r="E1899" t="s">
        <v>125</v>
      </c>
      <c r="F1899" s="1">
        <v>1</v>
      </c>
      <c r="G1899" s="1" t="s">
        <v>26</v>
      </c>
      <c r="H1899" s="4" t="str">
        <f>HYPERLINK("https://www.ncbi.nlm.nih.gov/geo/query/acc.cgi?acc=GSM359486","GSM359486")</f>
        <v>GSM359486</v>
      </c>
      <c r="I1899" t="s">
        <v>59</v>
      </c>
      <c r="J1899" t="s">
        <v>60</v>
      </c>
      <c r="K1899" t="s">
        <v>19</v>
      </c>
      <c r="L1899" t="s">
        <v>61</v>
      </c>
      <c r="M1899" t="s">
        <v>41</v>
      </c>
      <c r="N1899" t="s">
        <v>22</v>
      </c>
    </row>
    <row r="1900" spans="1:14">
      <c r="A1900" s="4" t="str">
        <f t="shared" si="171"/>
        <v>EXP00048</v>
      </c>
      <c r="B1900" s="4" t="str">
        <f t="shared" si="172"/>
        <v>22213152</v>
      </c>
      <c r="C1900" s="4" t="str">
        <f t="shared" si="173"/>
        <v>GSE22541</v>
      </c>
      <c r="D1900" s="1" t="s">
        <v>45</v>
      </c>
      <c r="E1900" t="s">
        <v>125</v>
      </c>
      <c r="F1900" s="1">
        <v>1</v>
      </c>
      <c r="G1900" s="1" t="s">
        <v>26</v>
      </c>
      <c r="H1900" s="4" t="str">
        <f>HYPERLINK("https://www.ncbi.nlm.nih.gov/geo/query/acc.cgi?acc=GSM359487","GSM359487")</f>
        <v>GSM359487</v>
      </c>
      <c r="I1900" t="s">
        <v>59</v>
      </c>
      <c r="J1900" t="s">
        <v>60</v>
      </c>
      <c r="K1900" t="s">
        <v>19</v>
      </c>
      <c r="L1900" t="s">
        <v>61</v>
      </c>
      <c r="M1900" t="s">
        <v>41</v>
      </c>
      <c r="N1900" t="s">
        <v>22</v>
      </c>
    </row>
    <row r="1901" spans="1:14">
      <c r="A1901" s="4" t="str">
        <f t="shared" si="171"/>
        <v>EXP00048</v>
      </c>
      <c r="B1901" s="4" t="str">
        <f t="shared" si="172"/>
        <v>22213152</v>
      </c>
      <c r="C1901" s="4" t="str">
        <f t="shared" si="173"/>
        <v>GSE22541</v>
      </c>
      <c r="D1901" s="1" t="s">
        <v>45</v>
      </c>
      <c r="E1901" t="s">
        <v>125</v>
      </c>
      <c r="F1901" s="1">
        <v>1</v>
      </c>
      <c r="G1901" s="1" t="s">
        <v>26</v>
      </c>
      <c r="H1901" s="4" t="str">
        <f>HYPERLINK("https://www.ncbi.nlm.nih.gov/geo/query/acc.cgi?acc=GSM359488","GSM359488")</f>
        <v>GSM359488</v>
      </c>
      <c r="I1901" t="s">
        <v>59</v>
      </c>
      <c r="J1901" t="s">
        <v>60</v>
      </c>
      <c r="K1901" t="s">
        <v>19</v>
      </c>
      <c r="L1901" t="s">
        <v>61</v>
      </c>
      <c r="M1901" t="s">
        <v>41</v>
      </c>
      <c r="N1901" t="s">
        <v>22</v>
      </c>
    </row>
    <row r="1902" spans="1:14">
      <c r="A1902" s="4" t="str">
        <f t="shared" si="171"/>
        <v>EXP00048</v>
      </c>
      <c r="B1902" s="4" t="str">
        <f t="shared" si="172"/>
        <v>22213152</v>
      </c>
      <c r="C1902" s="4" t="str">
        <f t="shared" si="173"/>
        <v>GSE22541</v>
      </c>
      <c r="D1902" s="1" t="s">
        <v>45</v>
      </c>
      <c r="E1902" t="s">
        <v>125</v>
      </c>
      <c r="F1902" s="1">
        <v>1</v>
      </c>
      <c r="G1902" s="1" t="s">
        <v>26</v>
      </c>
      <c r="H1902" s="4" t="str">
        <f>HYPERLINK("https://www.ncbi.nlm.nih.gov/geo/query/acc.cgi?acc=GSM359489","GSM359489")</f>
        <v>GSM359489</v>
      </c>
      <c r="I1902" t="s">
        <v>59</v>
      </c>
      <c r="J1902" t="s">
        <v>60</v>
      </c>
      <c r="K1902" t="s">
        <v>19</v>
      </c>
      <c r="L1902" t="s">
        <v>61</v>
      </c>
      <c r="M1902" t="s">
        <v>41</v>
      </c>
      <c r="N1902" t="s">
        <v>22</v>
      </c>
    </row>
    <row r="1903" spans="1:14">
      <c r="A1903" s="4" t="str">
        <f t="shared" si="171"/>
        <v>EXP00048</v>
      </c>
      <c r="B1903" s="4" t="str">
        <f t="shared" si="172"/>
        <v>22213152</v>
      </c>
      <c r="C1903" s="4" t="str">
        <f t="shared" si="173"/>
        <v>GSE22541</v>
      </c>
      <c r="D1903" s="1" t="s">
        <v>45</v>
      </c>
      <c r="E1903" t="s">
        <v>125</v>
      </c>
      <c r="F1903" s="1">
        <v>1</v>
      </c>
      <c r="G1903" s="1" t="s">
        <v>26</v>
      </c>
      <c r="H1903" s="4" t="str">
        <f>HYPERLINK("https://www.ncbi.nlm.nih.gov/geo/query/acc.cgi?acc=GSM359490","GSM359490")</f>
        <v>GSM359490</v>
      </c>
      <c r="I1903" t="s">
        <v>59</v>
      </c>
      <c r="J1903" t="s">
        <v>60</v>
      </c>
      <c r="K1903" t="s">
        <v>19</v>
      </c>
      <c r="L1903" t="s">
        <v>61</v>
      </c>
      <c r="M1903" t="s">
        <v>41</v>
      </c>
      <c r="N1903" t="s">
        <v>22</v>
      </c>
    </row>
    <row r="1904" spans="1:14">
      <c r="A1904" s="4" t="str">
        <f t="shared" si="171"/>
        <v>EXP00048</v>
      </c>
      <c r="B1904" s="4" t="str">
        <f t="shared" si="172"/>
        <v>22213152</v>
      </c>
      <c r="C1904" s="4" t="str">
        <f t="shared" si="173"/>
        <v>GSE22541</v>
      </c>
      <c r="D1904" s="1" t="s">
        <v>45</v>
      </c>
      <c r="E1904" t="s">
        <v>125</v>
      </c>
      <c r="F1904" s="1">
        <v>1</v>
      </c>
      <c r="G1904" s="1" t="s">
        <v>26</v>
      </c>
      <c r="H1904" s="4" t="str">
        <f>HYPERLINK("https://www.ncbi.nlm.nih.gov/geo/query/acc.cgi?acc=GSM359491","GSM359491")</f>
        <v>GSM359491</v>
      </c>
      <c r="I1904" t="s">
        <v>59</v>
      </c>
      <c r="J1904" t="s">
        <v>60</v>
      </c>
      <c r="K1904" t="s">
        <v>19</v>
      </c>
      <c r="L1904" t="s">
        <v>61</v>
      </c>
      <c r="M1904" t="s">
        <v>41</v>
      </c>
      <c r="N1904" t="s">
        <v>22</v>
      </c>
    </row>
    <row r="1905" spans="1:14">
      <c r="A1905" s="4" t="str">
        <f t="shared" si="171"/>
        <v>EXP00048</v>
      </c>
      <c r="B1905" s="4" t="str">
        <f t="shared" si="172"/>
        <v>22213152</v>
      </c>
      <c r="C1905" s="4" t="str">
        <f t="shared" si="173"/>
        <v>GSE22541</v>
      </c>
      <c r="D1905" s="1" t="s">
        <v>45</v>
      </c>
      <c r="E1905" t="s">
        <v>125</v>
      </c>
      <c r="F1905" s="1">
        <v>1</v>
      </c>
      <c r="G1905" s="1" t="s">
        <v>26</v>
      </c>
      <c r="H1905" s="4" t="str">
        <f>HYPERLINK("https://www.ncbi.nlm.nih.gov/geo/query/acc.cgi?acc=GSM359492","GSM359492")</f>
        <v>GSM359492</v>
      </c>
      <c r="I1905" t="s">
        <v>59</v>
      </c>
      <c r="J1905" t="s">
        <v>60</v>
      </c>
      <c r="K1905" t="s">
        <v>19</v>
      </c>
      <c r="L1905" t="s">
        <v>61</v>
      </c>
      <c r="M1905" t="s">
        <v>41</v>
      </c>
      <c r="N1905" t="s">
        <v>22</v>
      </c>
    </row>
    <row r="1906" spans="1:14">
      <c r="A1906" s="4" t="str">
        <f t="shared" si="171"/>
        <v>EXP00048</v>
      </c>
      <c r="B1906" s="4" t="str">
        <f t="shared" si="172"/>
        <v>22213152</v>
      </c>
      <c r="C1906" s="4" t="str">
        <f t="shared" si="173"/>
        <v>GSE22541</v>
      </c>
      <c r="D1906" s="1" t="s">
        <v>45</v>
      </c>
      <c r="E1906" t="s">
        <v>125</v>
      </c>
      <c r="F1906" s="1">
        <v>1</v>
      </c>
      <c r="G1906" s="1" t="s">
        <v>26</v>
      </c>
      <c r="H1906" s="4" t="str">
        <f>HYPERLINK("https://www.ncbi.nlm.nih.gov/geo/query/acc.cgi?acc=GSM359493","GSM359493")</f>
        <v>GSM359493</v>
      </c>
      <c r="I1906" t="s">
        <v>59</v>
      </c>
      <c r="J1906" t="s">
        <v>60</v>
      </c>
      <c r="K1906" t="s">
        <v>19</v>
      </c>
      <c r="L1906" t="s">
        <v>61</v>
      </c>
      <c r="M1906" t="s">
        <v>41</v>
      </c>
      <c r="N1906" t="s">
        <v>22</v>
      </c>
    </row>
    <row r="1907" spans="1:14">
      <c r="A1907" s="4" t="str">
        <f t="shared" si="171"/>
        <v>EXP00048</v>
      </c>
      <c r="B1907" s="4" t="str">
        <f t="shared" si="172"/>
        <v>22213152</v>
      </c>
      <c r="C1907" s="4" t="str">
        <f t="shared" si="173"/>
        <v>GSE22541</v>
      </c>
      <c r="D1907" s="1" t="s">
        <v>45</v>
      </c>
      <c r="E1907" t="s">
        <v>125</v>
      </c>
      <c r="F1907" s="1">
        <v>1</v>
      </c>
      <c r="G1907" s="1" t="s">
        <v>26</v>
      </c>
      <c r="H1907" s="4" t="str">
        <f>HYPERLINK("https://www.ncbi.nlm.nih.gov/geo/query/acc.cgi?acc=GSM359494","GSM359494")</f>
        <v>GSM359494</v>
      </c>
      <c r="I1907" t="s">
        <v>59</v>
      </c>
      <c r="J1907" t="s">
        <v>60</v>
      </c>
      <c r="K1907" t="s">
        <v>19</v>
      </c>
      <c r="L1907" t="s">
        <v>61</v>
      </c>
      <c r="M1907" t="s">
        <v>41</v>
      </c>
      <c r="N1907" t="s">
        <v>22</v>
      </c>
    </row>
    <row r="1908" spans="1:14">
      <c r="A1908" s="4" t="str">
        <f t="shared" si="171"/>
        <v>EXP00048</v>
      </c>
      <c r="B1908" s="4" t="str">
        <f t="shared" si="172"/>
        <v>22213152</v>
      </c>
      <c r="C1908" s="4" t="str">
        <f t="shared" si="173"/>
        <v>GSE22541</v>
      </c>
      <c r="D1908" s="1" t="s">
        <v>45</v>
      </c>
      <c r="E1908" t="s">
        <v>125</v>
      </c>
      <c r="F1908" s="1">
        <v>1</v>
      </c>
      <c r="G1908" s="1" t="s">
        <v>26</v>
      </c>
      <c r="H1908" s="4" t="str">
        <f>HYPERLINK("https://www.ncbi.nlm.nih.gov/geo/query/acc.cgi?acc=GSM359495","GSM359495")</f>
        <v>GSM359495</v>
      </c>
      <c r="I1908" t="s">
        <v>59</v>
      </c>
      <c r="J1908" t="s">
        <v>60</v>
      </c>
      <c r="K1908" t="s">
        <v>19</v>
      </c>
      <c r="L1908" t="s">
        <v>61</v>
      </c>
      <c r="M1908" t="s">
        <v>41</v>
      </c>
      <c r="N1908" t="s">
        <v>22</v>
      </c>
    </row>
    <row r="1909" spans="1:14">
      <c r="A1909" s="4" t="str">
        <f t="shared" si="171"/>
        <v>EXP00048</v>
      </c>
      <c r="B1909" s="4" t="str">
        <f t="shared" si="172"/>
        <v>22213152</v>
      </c>
      <c r="C1909" s="4" t="str">
        <f t="shared" si="173"/>
        <v>GSE22541</v>
      </c>
      <c r="D1909" s="1" t="s">
        <v>45</v>
      </c>
      <c r="E1909" t="s">
        <v>125</v>
      </c>
      <c r="F1909" s="1">
        <v>1</v>
      </c>
      <c r="G1909" s="1" t="s">
        <v>26</v>
      </c>
      <c r="H1909" s="4" t="str">
        <f>HYPERLINK("https://www.ncbi.nlm.nih.gov/geo/query/acc.cgi?acc=GSM359496","GSM359496")</f>
        <v>GSM359496</v>
      </c>
      <c r="I1909" t="s">
        <v>59</v>
      </c>
      <c r="J1909" t="s">
        <v>60</v>
      </c>
      <c r="K1909" t="s">
        <v>19</v>
      </c>
      <c r="L1909" t="s">
        <v>61</v>
      </c>
      <c r="M1909" t="s">
        <v>41</v>
      </c>
      <c r="N1909" t="s">
        <v>22</v>
      </c>
    </row>
    <row r="1910" spans="1:14">
      <c r="A1910" s="4" t="str">
        <f t="shared" si="171"/>
        <v>EXP00048</v>
      </c>
      <c r="B1910" s="4" t="str">
        <f t="shared" si="172"/>
        <v>22213152</v>
      </c>
      <c r="C1910" s="4" t="str">
        <f t="shared" si="173"/>
        <v>GSE22541</v>
      </c>
      <c r="D1910" s="1" t="s">
        <v>45</v>
      </c>
      <c r="E1910" t="s">
        <v>125</v>
      </c>
      <c r="F1910" s="1">
        <v>1</v>
      </c>
      <c r="G1910" s="1" t="s">
        <v>26</v>
      </c>
      <c r="H1910" s="4" t="str">
        <f>HYPERLINK("https://www.ncbi.nlm.nih.gov/geo/query/acc.cgi?acc=GSM559705","GSM559705")</f>
        <v>GSM559705</v>
      </c>
      <c r="I1910" t="s">
        <v>59</v>
      </c>
      <c r="J1910" t="s">
        <v>60</v>
      </c>
      <c r="K1910" t="s">
        <v>19</v>
      </c>
      <c r="L1910" t="s">
        <v>61</v>
      </c>
      <c r="M1910" t="s">
        <v>41</v>
      </c>
      <c r="N1910" t="s">
        <v>22</v>
      </c>
    </row>
    <row r="1911" spans="1:14">
      <c r="A1911" s="4" t="str">
        <f t="shared" si="171"/>
        <v>EXP00048</v>
      </c>
      <c r="B1911" s="4" t="str">
        <f t="shared" si="172"/>
        <v>22213152</v>
      </c>
      <c r="C1911" s="4" t="str">
        <f t="shared" si="173"/>
        <v>GSE22541</v>
      </c>
      <c r="D1911" s="1" t="s">
        <v>45</v>
      </c>
      <c r="E1911" t="s">
        <v>125</v>
      </c>
      <c r="F1911" s="1">
        <v>1</v>
      </c>
      <c r="G1911" s="1" t="s">
        <v>26</v>
      </c>
      <c r="H1911" s="4" t="str">
        <f>HYPERLINK("https://www.ncbi.nlm.nih.gov/geo/query/acc.cgi?acc=GSM559706","GSM559706")</f>
        <v>GSM559706</v>
      </c>
      <c r="I1911" t="s">
        <v>59</v>
      </c>
      <c r="J1911" t="s">
        <v>60</v>
      </c>
      <c r="K1911" t="s">
        <v>19</v>
      </c>
      <c r="L1911" t="s">
        <v>61</v>
      </c>
      <c r="M1911" t="s">
        <v>41</v>
      </c>
      <c r="N1911" t="s">
        <v>22</v>
      </c>
    </row>
    <row r="1912" spans="1:14">
      <c r="A1912" s="4" t="str">
        <f t="shared" si="171"/>
        <v>EXP00048</v>
      </c>
      <c r="B1912" s="4" t="str">
        <f t="shared" si="172"/>
        <v>22213152</v>
      </c>
      <c r="C1912" s="4" t="str">
        <f t="shared" si="173"/>
        <v>GSE22541</v>
      </c>
      <c r="D1912" s="1" t="s">
        <v>45</v>
      </c>
      <c r="E1912" t="s">
        <v>125</v>
      </c>
      <c r="F1912" s="1">
        <v>1</v>
      </c>
      <c r="G1912" s="1" t="s">
        <v>26</v>
      </c>
      <c r="H1912" s="4" t="str">
        <f>HYPERLINK("https://www.ncbi.nlm.nih.gov/geo/query/acc.cgi?acc=GSM559707","GSM559707")</f>
        <v>GSM559707</v>
      </c>
      <c r="I1912" t="s">
        <v>59</v>
      </c>
      <c r="J1912" t="s">
        <v>60</v>
      </c>
      <c r="K1912" t="s">
        <v>19</v>
      </c>
      <c r="L1912" t="s">
        <v>61</v>
      </c>
      <c r="M1912" t="s">
        <v>41</v>
      </c>
      <c r="N1912" t="s">
        <v>22</v>
      </c>
    </row>
    <row r="1913" spans="1:14">
      <c r="A1913" s="4" t="str">
        <f t="shared" si="171"/>
        <v>EXP00048</v>
      </c>
      <c r="B1913" s="4" t="str">
        <f t="shared" si="172"/>
        <v>22213152</v>
      </c>
      <c r="C1913" s="4" t="str">
        <f t="shared" si="173"/>
        <v>GSE22541</v>
      </c>
      <c r="D1913" s="1" t="s">
        <v>45</v>
      </c>
      <c r="E1913" t="s">
        <v>125</v>
      </c>
      <c r="F1913" s="1">
        <v>1</v>
      </c>
      <c r="G1913" s="1" t="s">
        <v>26</v>
      </c>
      <c r="H1913" s="4" t="str">
        <f>HYPERLINK("https://www.ncbi.nlm.nih.gov/geo/query/acc.cgi?acc=GSM559708","GSM559708")</f>
        <v>GSM559708</v>
      </c>
      <c r="I1913" t="s">
        <v>59</v>
      </c>
      <c r="J1913" t="s">
        <v>60</v>
      </c>
      <c r="K1913" t="s">
        <v>19</v>
      </c>
      <c r="L1913" t="s">
        <v>61</v>
      </c>
      <c r="M1913" t="s">
        <v>41</v>
      </c>
      <c r="N1913" t="s">
        <v>22</v>
      </c>
    </row>
    <row r="1914" spans="1:14">
      <c r="A1914" s="4" t="str">
        <f t="shared" si="171"/>
        <v>EXP00048</v>
      </c>
      <c r="B1914" s="4" t="str">
        <f t="shared" si="172"/>
        <v>22213152</v>
      </c>
      <c r="C1914" s="4" t="str">
        <f t="shared" si="173"/>
        <v>GSE22541</v>
      </c>
      <c r="D1914" s="1" t="s">
        <v>45</v>
      </c>
      <c r="E1914" t="s">
        <v>125</v>
      </c>
      <c r="F1914" s="1">
        <v>1</v>
      </c>
      <c r="G1914" s="1" t="s">
        <v>26</v>
      </c>
      <c r="H1914" s="4" t="str">
        <f>HYPERLINK("https://www.ncbi.nlm.nih.gov/geo/query/acc.cgi?acc=GSM559709","GSM559709")</f>
        <v>GSM559709</v>
      </c>
      <c r="I1914" t="s">
        <v>59</v>
      </c>
      <c r="J1914" t="s">
        <v>60</v>
      </c>
      <c r="K1914" t="s">
        <v>19</v>
      </c>
      <c r="L1914" t="s">
        <v>61</v>
      </c>
      <c r="M1914" t="s">
        <v>41</v>
      </c>
      <c r="N1914" t="s">
        <v>22</v>
      </c>
    </row>
    <row r="1915" spans="1:14">
      <c r="A1915" s="4" t="str">
        <f t="shared" si="171"/>
        <v>EXP00048</v>
      </c>
      <c r="B1915" s="4" t="str">
        <f t="shared" si="172"/>
        <v>22213152</v>
      </c>
      <c r="C1915" s="4" t="str">
        <f t="shared" si="173"/>
        <v>GSE22541</v>
      </c>
      <c r="D1915" s="1" t="s">
        <v>45</v>
      </c>
      <c r="E1915" t="s">
        <v>125</v>
      </c>
      <c r="F1915" s="1">
        <v>1</v>
      </c>
      <c r="G1915" s="1" t="s">
        <v>26</v>
      </c>
      <c r="H1915" s="4" t="str">
        <f>HYPERLINK("https://www.ncbi.nlm.nih.gov/geo/query/acc.cgi?acc=GSM559710","GSM559710")</f>
        <v>GSM559710</v>
      </c>
      <c r="I1915" t="s">
        <v>59</v>
      </c>
      <c r="J1915" t="s">
        <v>60</v>
      </c>
      <c r="K1915" t="s">
        <v>19</v>
      </c>
      <c r="L1915" t="s">
        <v>61</v>
      </c>
      <c r="M1915" t="s">
        <v>41</v>
      </c>
      <c r="N1915" t="s">
        <v>22</v>
      </c>
    </row>
    <row r="1916" spans="1:14">
      <c r="A1916" s="4" t="str">
        <f t="shared" si="171"/>
        <v>EXP00048</v>
      </c>
      <c r="B1916" s="4" t="str">
        <f t="shared" si="172"/>
        <v>22213152</v>
      </c>
      <c r="C1916" s="4" t="str">
        <f t="shared" si="173"/>
        <v>GSE22541</v>
      </c>
      <c r="D1916" s="1" t="s">
        <v>45</v>
      </c>
      <c r="E1916" t="s">
        <v>125</v>
      </c>
      <c r="F1916" s="1">
        <v>1</v>
      </c>
      <c r="G1916" s="1" t="s">
        <v>26</v>
      </c>
      <c r="H1916" s="4" t="str">
        <f>HYPERLINK("https://www.ncbi.nlm.nih.gov/geo/query/acc.cgi?acc=GSM559711","GSM559711")</f>
        <v>GSM559711</v>
      </c>
      <c r="I1916" t="s">
        <v>59</v>
      </c>
      <c r="J1916" t="s">
        <v>60</v>
      </c>
      <c r="K1916" t="s">
        <v>19</v>
      </c>
      <c r="L1916" t="s">
        <v>61</v>
      </c>
      <c r="M1916" t="s">
        <v>41</v>
      </c>
      <c r="N1916" t="s">
        <v>22</v>
      </c>
    </row>
    <row r="1917" spans="1:14">
      <c r="A1917" s="4" t="str">
        <f t="shared" si="171"/>
        <v>EXP00048</v>
      </c>
      <c r="B1917" s="4" t="str">
        <f t="shared" si="172"/>
        <v>22213152</v>
      </c>
      <c r="C1917" s="4" t="str">
        <f t="shared" si="173"/>
        <v>GSE22541</v>
      </c>
      <c r="D1917" s="1" t="s">
        <v>45</v>
      </c>
      <c r="E1917" t="s">
        <v>125</v>
      </c>
      <c r="F1917" s="1">
        <v>1</v>
      </c>
      <c r="G1917" s="1" t="s">
        <v>26</v>
      </c>
      <c r="H1917" s="4" t="str">
        <f>HYPERLINK("https://www.ncbi.nlm.nih.gov/geo/query/acc.cgi?acc=GSM559712","GSM559712")</f>
        <v>GSM559712</v>
      </c>
      <c r="I1917" t="s">
        <v>59</v>
      </c>
      <c r="J1917" t="s">
        <v>60</v>
      </c>
      <c r="K1917" t="s">
        <v>19</v>
      </c>
      <c r="L1917" t="s">
        <v>61</v>
      </c>
      <c r="M1917" t="s">
        <v>41</v>
      </c>
      <c r="N1917" t="s">
        <v>22</v>
      </c>
    </row>
    <row r="1918" spans="1:14">
      <c r="A1918" s="4" t="str">
        <f t="shared" si="171"/>
        <v>EXP00048</v>
      </c>
      <c r="B1918" s="4" t="str">
        <f t="shared" si="172"/>
        <v>22213152</v>
      </c>
      <c r="C1918" s="4" t="str">
        <f t="shared" si="173"/>
        <v>GSE22541</v>
      </c>
      <c r="D1918" s="1" t="s">
        <v>45</v>
      </c>
      <c r="E1918" t="s">
        <v>125</v>
      </c>
      <c r="F1918" s="1">
        <v>1</v>
      </c>
      <c r="G1918" s="1" t="s">
        <v>26</v>
      </c>
      <c r="H1918" s="4" t="str">
        <f>HYPERLINK("https://www.ncbi.nlm.nih.gov/geo/query/acc.cgi?acc=GSM559713","GSM559713")</f>
        <v>GSM559713</v>
      </c>
      <c r="I1918" t="s">
        <v>59</v>
      </c>
      <c r="J1918" t="s">
        <v>60</v>
      </c>
      <c r="K1918" t="s">
        <v>19</v>
      </c>
      <c r="L1918" t="s">
        <v>61</v>
      </c>
      <c r="M1918" t="s">
        <v>41</v>
      </c>
      <c r="N1918" t="s">
        <v>22</v>
      </c>
    </row>
    <row r="1919" spans="1:14">
      <c r="A1919" s="4" t="str">
        <f t="shared" si="171"/>
        <v>EXP00048</v>
      </c>
      <c r="B1919" s="4" t="str">
        <f t="shared" si="172"/>
        <v>22213152</v>
      </c>
      <c r="C1919" s="4" t="str">
        <f t="shared" si="173"/>
        <v>GSE22541</v>
      </c>
      <c r="D1919" s="1" t="s">
        <v>45</v>
      </c>
      <c r="E1919" t="s">
        <v>125</v>
      </c>
      <c r="F1919" s="1">
        <v>1</v>
      </c>
      <c r="G1919" s="1" t="s">
        <v>26</v>
      </c>
      <c r="H1919" s="4" t="str">
        <f>HYPERLINK("https://www.ncbi.nlm.nih.gov/geo/query/acc.cgi?acc=GSM559714","GSM559714")</f>
        <v>GSM559714</v>
      </c>
      <c r="I1919" t="s">
        <v>59</v>
      </c>
      <c r="J1919" t="s">
        <v>60</v>
      </c>
      <c r="K1919" t="s">
        <v>19</v>
      </c>
      <c r="L1919" t="s">
        <v>61</v>
      </c>
      <c r="M1919" t="s">
        <v>41</v>
      </c>
      <c r="N1919" t="s">
        <v>22</v>
      </c>
    </row>
    <row r="1920" spans="1:14">
      <c r="A1920" s="4" t="str">
        <f t="shared" si="171"/>
        <v>EXP00048</v>
      </c>
      <c r="B1920" s="4" t="str">
        <f t="shared" si="172"/>
        <v>22213152</v>
      </c>
      <c r="C1920" s="4" t="str">
        <f t="shared" si="173"/>
        <v>GSE22541</v>
      </c>
      <c r="D1920" s="1" t="s">
        <v>45</v>
      </c>
      <c r="E1920" t="s">
        <v>125</v>
      </c>
      <c r="F1920" s="1">
        <v>1</v>
      </c>
      <c r="G1920" s="1" t="s">
        <v>26</v>
      </c>
      <c r="H1920" s="4" t="str">
        <f>HYPERLINK("https://www.ncbi.nlm.nih.gov/geo/query/acc.cgi?acc=GSM559715","GSM559715")</f>
        <v>GSM559715</v>
      </c>
      <c r="I1920" t="s">
        <v>59</v>
      </c>
      <c r="J1920" t="s">
        <v>60</v>
      </c>
      <c r="K1920" t="s">
        <v>19</v>
      </c>
      <c r="L1920" t="s">
        <v>61</v>
      </c>
      <c r="M1920" t="s">
        <v>41</v>
      </c>
      <c r="N1920" t="s">
        <v>22</v>
      </c>
    </row>
    <row r="1921" spans="1:14">
      <c r="A1921" s="4" t="str">
        <f t="shared" si="171"/>
        <v>EXP00048</v>
      </c>
      <c r="B1921" s="4" t="str">
        <f t="shared" si="172"/>
        <v>22213152</v>
      </c>
      <c r="C1921" s="4" t="str">
        <f t="shared" si="173"/>
        <v>GSE22541</v>
      </c>
      <c r="D1921" s="1" t="s">
        <v>45</v>
      </c>
      <c r="E1921" t="s">
        <v>125</v>
      </c>
      <c r="F1921" s="1">
        <v>1</v>
      </c>
      <c r="G1921" s="1" t="s">
        <v>26</v>
      </c>
      <c r="H1921" s="4" t="str">
        <f>HYPERLINK("https://www.ncbi.nlm.nih.gov/geo/query/acc.cgi?acc=GSM559716","GSM559716")</f>
        <v>GSM559716</v>
      </c>
      <c r="I1921" t="s">
        <v>59</v>
      </c>
      <c r="J1921" t="s">
        <v>60</v>
      </c>
      <c r="K1921" t="s">
        <v>19</v>
      </c>
      <c r="L1921" t="s">
        <v>61</v>
      </c>
      <c r="M1921" t="s">
        <v>41</v>
      </c>
      <c r="N1921" t="s">
        <v>22</v>
      </c>
    </row>
    <row r="1922" spans="1:14">
      <c r="A1922" s="4" t="str">
        <f t="shared" si="171"/>
        <v>EXP00048</v>
      </c>
      <c r="B1922" s="4" t="str">
        <f t="shared" ref="B1922:B1953" si="174">HYPERLINK("https://www.ncbi.nlm.nih.gov/pubmed/22213152","22213152")</f>
        <v>22213152</v>
      </c>
      <c r="C1922" s="4" t="str">
        <f t="shared" ref="C1922:C1953" si="175">HYPERLINK("https://www.ncbi.nlm.nih.gov/geo/query/acc.cgi?acc=GSE22541","GSE22541")</f>
        <v>GSE22541</v>
      </c>
      <c r="D1922" s="1" t="s">
        <v>45</v>
      </c>
      <c r="E1922" t="s">
        <v>125</v>
      </c>
      <c r="F1922" s="1">
        <v>1</v>
      </c>
      <c r="G1922" s="1" t="s">
        <v>26</v>
      </c>
      <c r="H1922" s="4" t="str">
        <f>HYPERLINK("https://www.ncbi.nlm.nih.gov/geo/query/acc.cgi?acc=GSM559717","GSM559717")</f>
        <v>GSM559717</v>
      </c>
      <c r="I1922" t="s">
        <v>59</v>
      </c>
      <c r="J1922" t="s">
        <v>60</v>
      </c>
      <c r="K1922" t="s">
        <v>19</v>
      </c>
      <c r="L1922" t="s">
        <v>61</v>
      </c>
      <c r="M1922" t="s">
        <v>41</v>
      </c>
      <c r="N1922" t="s">
        <v>22</v>
      </c>
    </row>
    <row r="1923" spans="1:14">
      <c r="A1923" s="4" t="str">
        <f t="shared" si="171"/>
        <v>EXP00048</v>
      </c>
      <c r="B1923" s="4" t="str">
        <f t="shared" si="174"/>
        <v>22213152</v>
      </c>
      <c r="C1923" s="4" t="str">
        <f t="shared" si="175"/>
        <v>GSE22541</v>
      </c>
      <c r="D1923" s="1" t="s">
        <v>45</v>
      </c>
      <c r="E1923" t="s">
        <v>125</v>
      </c>
      <c r="F1923" s="1">
        <v>1</v>
      </c>
      <c r="G1923" s="1" t="s">
        <v>26</v>
      </c>
      <c r="H1923" s="4" t="str">
        <f>HYPERLINK("https://www.ncbi.nlm.nih.gov/geo/query/acc.cgi?acc=GSM559718","GSM559718")</f>
        <v>GSM559718</v>
      </c>
      <c r="I1923" t="s">
        <v>59</v>
      </c>
      <c r="J1923" t="s">
        <v>60</v>
      </c>
      <c r="K1923" t="s">
        <v>19</v>
      </c>
      <c r="L1923" t="s">
        <v>61</v>
      </c>
      <c r="M1923" t="s">
        <v>41</v>
      </c>
      <c r="N1923" t="s">
        <v>22</v>
      </c>
    </row>
    <row r="1924" spans="1:14">
      <c r="A1924" s="4" t="str">
        <f t="shared" si="171"/>
        <v>EXP00048</v>
      </c>
      <c r="B1924" s="4" t="str">
        <f t="shared" si="174"/>
        <v>22213152</v>
      </c>
      <c r="C1924" s="4" t="str">
        <f t="shared" si="175"/>
        <v>GSE22541</v>
      </c>
      <c r="D1924" s="1" t="s">
        <v>45</v>
      </c>
      <c r="E1924" t="s">
        <v>125</v>
      </c>
      <c r="F1924" s="1">
        <v>1</v>
      </c>
      <c r="G1924" s="1" t="s">
        <v>26</v>
      </c>
      <c r="H1924" s="4" t="str">
        <f>HYPERLINK("https://www.ncbi.nlm.nih.gov/geo/query/acc.cgi?acc=GSM559719","GSM559719")</f>
        <v>GSM559719</v>
      </c>
      <c r="I1924" t="s">
        <v>59</v>
      </c>
      <c r="J1924" t="s">
        <v>60</v>
      </c>
      <c r="K1924" t="s">
        <v>19</v>
      </c>
      <c r="L1924" t="s">
        <v>61</v>
      </c>
      <c r="M1924" t="s">
        <v>41</v>
      </c>
      <c r="N1924" t="s">
        <v>22</v>
      </c>
    </row>
    <row r="1925" spans="1:14">
      <c r="A1925" s="4" t="str">
        <f t="shared" si="171"/>
        <v>EXP00048</v>
      </c>
      <c r="B1925" s="4" t="str">
        <f t="shared" si="174"/>
        <v>22213152</v>
      </c>
      <c r="C1925" s="4" t="str">
        <f t="shared" si="175"/>
        <v>GSE22541</v>
      </c>
      <c r="D1925" s="1" t="s">
        <v>45</v>
      </c>
      <c r="E1925" t="s">
        <v>125</v>
      </c>
      <c r="F1925" s="1">
        <v>1</v>
      </c>
      <c r="G1925" s="1" t="s">
        <v>26</v>
      </c>
      <c r="H1925" s="4" t="str">
        <f>HYPERLINK("https://www.ncbi.nlm.nih.gov/geo/query/acc.cgi?acc=GSM559720","GSM559720")</f>
        <v>GSM559720</v>
      </c>
      <c r="I1925" t="s">
        <v>59</v>
      </c>
      <c r="J1925" t="s">
        <v>60</v>
      </c>
      <c r="K1925" t="s">
        <v>19</v>
      </c>
      <c r="L1925" t="s">
        <v>61</v>
      </c>
      <c r="M1925" t="s">
        <v>41</v>
      </c>
      <c r="N1925" t="s">
        <v>22</v>
      </c>
    </row>
    <row r="1926" spans="1:14">
      <c r="A1926" s="4" t="str">
        <f t="shared" si="171"/>
        <v>EXP00048</v>
      </c>
      <c r="B1926" s="4" t="str">
        <f t="shared" si="174"/>
        <v>22213152</v>
      </c>
      <c r="C1926" s="4" t="str">
        <f t="shared" si="175"/>
        <v>GSE22541</v>
      </c>
      <c r="D1926" s="1" t="s">
        <v>45</v>
      </c>
      <c r="E1926" t="s">
        <v>125</v>
      </c>
      <c r="F1926" s="1">
        <v>1</v>
      </c>
      <c r="G1926" s="1" t="s">
        <v>26</v>
      </c>
      <c r="H1926" s="4" t="str">
        <f>HYPERLINK("https://www.ncbi.nlm.nih.gov/geo/query/acc.cgi?acc=GSM559721","GSM559721")</f>
        <v>GSM559721</v>
      </c>
      <c r="I1926" t="s">
        <v>59</v>
      </c>
      <c r="J1926" t="s">
        <v>60</v>
      </c>
      <c r="K1926" t="s">
        <v>19</v>
      </c>
      <c r="L1926" t="s">
        <v>61</v>
      </c>
      <c r="M1926" t="s">
        <v>41</v>
      </c>
      <c r="N1926" t="s">
        <v>22</v>
      </c>
    </row>
    <row r="1927" spans="1:14">
      <c r="A1927" s="4" t="str">
        <f t="shared" si="171"/>
        <v>EXP00048</v>
      </c>
      <c r="B1927" s="4" t="str">
        <f t="shared" si="174"/>
        <v>22213152</v>
      </c>
      <c r="C1927" s="4" t="str">
        <f t="shared" si="175"/>
        <v>GSE22541</v>
      </c>
      <c r="D1927" s="1" t="s">
        <v>45</v>
      </c>
      <c r="E1927" t="s">
        <v>125</v>
      </c>
      <c r="F1927" s="1">
        <v>1</v>
      </c>
      <c r="G1927" s="1" t="s">
        <v>26</v>
      </c>
      <c r="H1927" s="4" t="str">
        <f>HYPERLINK("https://www.ncbi.nlm.nih.gov/geo/query/acc.cgi?acc=GSM559722","GSM559722")</f>
        <v>GSM559722</v>
      </c>
      <c r="I1927" t="s">
        <v>59</v>
      </c>
      <c r="J1927" t="s">
        <v>60</v>
      </c>
      <c r="K1927" t="s">
        <v>19</v>
      </c>
      <c r="L1927" t="s">
        <v>61</v>
      </c>
      <c r="M1927" t="s">
        <v>41</v>
      </c>
      <c r="N1927" t="s">
        <v>22</v>
      </c>
    </row>
    <row r="1928" spans="1:14">
      <c r="A1928" s="4" t="str">
        <f t="shared" si="171"/>
        <v>EXP00048</v>
      </c>
      <c r="B1928" s="4" t="str">
        <f t="shared" si="174"/>
        <v>22213152</v>
      </c>
      <c r="C1928" s="4" t="str">
        <f t="shared" si="175"/>
        <v>GSE22541</v>
      </c>
      <c r="D1928" s="1" t="s">
        <v>45</v>
      </c>
      <c r="E1928" t="s">
        <v>125</v>
      </c>
      <c r="F1928" s="1">
        <v>1</v>
      </c>
      <c r="G1928" s="1" t="s">
        <v>26</v>
      </c>
      <c r="H1928" s="4" t="str">
        <f>HYPERLINK("https://www.ncbi.nlm.nih.gov/geo/query/acc.cgi?acc=GSM559723","GSM559723")</f>
        <v>GSM559723</v>
      </c>
      <c r="I1928" t="s">
        <v>59</v>
      </c>
      <c r="J1928" t="s">
        <v>60</v>
      </c>
      <c r="K1928" t="s">
        <v>19</v>
      </c>
      <c r="L1928" t="s">
        <v>61</v>
      </c>
      <c r="M1928" t="s">
        <v>41</v>
      </c>
      <c r="N1928" t="s">
        <v>22</v>
      </c>
    </row>
    <row r="1929" spans="1:14">
      <c r="A1929" s="4" t="str">
        <f t="shared" si="171"/>
        <v>EXP00048</v>
      </c>
      <c r="B1929" s="4" t="str">
        <f t="shared" si="174"/>
        <v>22213152</v>
      </c>
      <c r="C1929" s="4" t="str">
        <f t="shared" si="175"/>
        <v>GSE22541</v>
      </c>
      <c r="D1929" s="1" t="s">
        <v>45</v>
      </c>
      <c r="E1929" t="s">
        <v>125</v>
      </c>
      <c r="F1929" s="1">
        <v>1</v>
      </c>
      <c r="G1929" s="1" t="s">
        <v>26</v>
      </c>
      <c r="H1929" s="4" t="str">
        <f>HYPERLINK("https://www.ncbi.nlm.nih.gov/geo/query/acc.cgi?acc=GSM559724","GSM559724")</f>
        <v>GSM559724</v>
      </c>
      <c r="I1929" t="s">
        <v>59</v>
      </c>
      <c r="J1929" t="s">
        <v>60</v>
      </c>
      <c r="K1929" t="s">
        <v>19</v>
      </c>
      <c r="L1929" t="s">
        <v>61</v>
      </c>
      <c r="M1929" t="s">
        <v>41</v>
      </c>
      <c r="N1929" t="s">
        <v>22</v>
      </c>
    </row>
    <row r="1930" spans="1:14">
      <c r="A1930" s="4" t="str">
        <f t="shared" si="171"/>
        <v>EXP00048</v>
      </c>
      <c r="B1930" s="4" t="str">
        <f t="shared" si="174"/>
        <v>22213152</v>
      </c>
      <c r="C1930" s="4" t="str">
        <f t="shared" si="175"/>
        <v>GSE22541</v>
      </c>
      <c r="D1930" s="1" t="s">
        <v>45</v>
      </c>
      <c r="E1930" t="s">
        <v>125</v>
      </c>
      <c r="F1930" s="1">
        <v>1</v>
      </c>
      <c r="G1930" s="1" t="s">
        <v>26</v>
      </c>
      <c r="H1930" s="4" t="str">
        <f>HYPERLINK("https://www.ncbi.nlm.nih.gov/geo/query/acc.cgi?acc=GSM559725","GSM559725")</f>
        <v>GSM559725</v>
      </c>
      <c r="I1930" t="s">
        <v>59</v>
      </c>
      <c r="J1930" t="s">
        <v>60</v>
      </c>
      <c r="K1930" t="s">
        <v>19</v>
      </c>
      <c r="L1930" t="s">
        <v>61</v>
      </c>
      <c r="M1930" t="s">
        <v>41</v>
      </c>
      <c r="N1930" t="s">
        <v>22</v>
      </c>
    </row>
    <row r="1931" spans="1:14">
      <c r="A1931" s="4" t="str">
        <f t="shared" si="171"/>
        <v>EXP00048</v>
      </c>
      <c r="B1931" s="4" t="str">
        <f t="shared" si="174"/>
        <v>22213152</v>
      </c>
      <c r="C1931" s="4" t="str">
        <f t="shared" si="175"/>
        <v>GSE22541</v>
      </c>
      <c r="D1931" s="1" t="s">
        <v>45</v>
      </c>
      <c r="E1931" t="s">
        <v>125</v>
      </c>
      <c r="F1931" s="1">
        <v>1</v>
      </c>
      <c r="G1931" s="1" t="s">
        <v>26</v>
      </c>
      <c r="H1931" s="4" t="str">
        <f>HYPERLINK("https://www.ncbi.nlm.nih.gov/geo/query/acc.cgi?acc=GSM559726","GSM559726")</f>
        <v>GSM559726</v>
      </c>
      <c r="I1931" t="s">
        <v>59</v>
      </c>
      <c r="J1931" t="s">
        <v>60</v>
      </c>
      <c r="K1931" t="s">
        <v>19</v>
      </c>
      <c r="L1931" t="s">
        <v>61</v>
      </c>
      <c r="M1931" t="s">
        <v>41</v>
      </c>
      <c r="N1931" t="s">
        <v>22</v>
      </c>
    </row>
    <row r="1932" spans="1:14">
      <c r="A1932" s="4" t="str">
        <f t="shared" si="171"/>
        <v>EXP00048</v>
      </c>
      <c r="B1932" s="4" t="str">
        <f t="shared" si="174"/>
        <v>22213152</v>
      </c>
      <c r="C1932" s="4" t="str">
        <f t="shared" si="175"/>
        <v>GSE22541</v>
      </c>
      <c r="D1932" s="1" t="s">
        <v>45</v>
      </c>
      <c r="E1932" t="s">
        <v>125</v>
      </c>
      <c r="F1932" s="1">
        <v>1</v>
      </c>
      <c r="G1932" s="1" t="s">
        <v>26</v>
      </c>
      <c r="H1932" s="4" t="str">
        <f>HYPERLINK("https://www.ncbi.nlm.nih.gov/geo/query/acc.cgi?acc=GSM559727","GSM559727")</f>
        <v>GSM559727</v>
      </c>
      <c r="I1932" t="s">
        <v>59</v>
      </c>
      <c r="J1932" t="s">
        <v>60</v>
      </c>
      <c r="K1932" t="s">
        <v>19</v>
      </c>
      <c r="L1932" t="s">
        <v>61</v>
      </c>
      <c r="M1932" t="s">
        <v>41</v>
      </c>
      <c r="N1932" t="s">
        <v>22</v>
      </c>
    </row>
    <row r="1933" spans="1:14">
      <c r="A1933" s="4" t="str">
        <f t="shared" si="171"/>
        <v>EXP00048</v>
      </c>
      <c r="B1933" s="4" t="str">
        <f t="shared" si="174"/>
        <v>22213152</v>
      </c>
      <c r="C1933" s="4" t="str">
        <f t="shared" si="175"/>
        <v>GSE22541</v>
      </c>
      <c r="D1933" s="1" t="s">
        <v>45</v>
      </c>
      <c r="E1933" t="s">
        <v>125</v>
      </c>
      <c r="F1933" s="1">
        <v>1</v>
      </c>
      <c r="G1933" s="1" t="s">
        <v>26</v>
      </c>
      <c r="H1933" s="4" t="str">
        <f>HYPERLINK("https://www.ncbi.nlm.nih.gov/geo/query/acc.cgi?acc=GSM559728","GSM559728")</f>
        <v>GSM559728</v>
      </c>
      <c r="I1933" t="s">
        <v>59</v>
      </c>
      <c r="J1933" t="s">
        <v>60</v>
      </c>
      <c r="K1933" t="s">
        <v>19</v>
      </c>
      <c r="L1933" t="s">
        <v>61</v>
      </c>
      <c r="M1933" t="s">
        <v>41</v>
      </c>
      <c r="N1933" t="s">
        <v>22</v>
      </c>
    </row>
    <row r="1934" spans="1:14">
      <c r="A1934" s="4" t="str">
        <f t="shared" si="171"/>
        <v>EXP00048</v>
      </c>
      <c r="B1934" s="4" t="str">
        <f t="shared" si="174"/>
        <v>22213152</v>
      </c>
      <c r="C1934" s="4" t="str">
        <f t="shared" si="175"/>
        <v>GSE22541</v>
      </c>
      <c r="D1934" s="1" t="s">
        <v>45</v>
      </c>
      <c r="E1934" t="s">
        <v>125</v>
      </c>
      <c r="F1934" s="1">
        <v>2</v>
      </c>
      <c r="G1934" s="1" t="s">
        <v>28</v>
      </c>
      <c r="H1934" s="4" t="str">
        <f>HYPERLINK("https://www.ncbi.nlm.nih.gov/geo/query/acc.cgi?acc=GSM559587","GSM559587")</f>
        <v>GSM559587</v>
      </c>
      <c r="I1934" t="s">
        <v>59</v>
      </c>
      <c r="J1934" t="s">
        <v>60</v>
      </c>
      <c r="K1934" t="s">
        <v>19</v>
      </c>
      <c r="L1934" t="s">
        <v>61</v>
      </c>
      <c r="M1934" t="s">
        <v>41</v>
      </c>
      <c r="N1934" t="s">
        <v>29</v>
      </c>
    </row>
    <row r="1935" spans="1:14">
      <c r="A1935" s="4" t="str">
        <f t="shared" si="171"/>
        <v>EXP00048</v>
      </c>
      <c r="B1935" s="4" t="str">
        <f t="shared" si="174"/>
        <v>22213152</v>
      </c>
      <c r="C1935" s="4" t="str">
        <f t="shared" si="175"/>
        <v>GSE22541</v>
      </c>
      <c r="D1935" s="1" t="s">
        <v>45</v>
      </c>
      <c r="E1935" t="s">
        <v>125</v>
      </c>
      <c r="F1935" s="1">
        <v>2</v>
      </c>
      <c r="G1935" s="1" t="s">
        <v>28</v>
      </c>
      <c r="H1935" s="4" t="str">
        <f>HYPERLINK("https://www.ncbi.nlm.nih.gov/geo/query/acc.cgi?acc=GSM559595","GSM559595")</f>
        <v>GSM559595</v>
      </c>
      <c r="I1935" t="s">
        <v>59</v>
      </c>
      <c r="J1935" t="s">
        <v>60</v>
      </c>
      <c r="K1935" t="s">
        <v>19</v>
      </c>
      <c r="L1935" t="s">
        <v>61</v>
      </c>
      <c r="M1935" t="s">
        <v>41</v>
      </c>
      <c r="N1935" t="s">
        <v>29</v>
      </c>
    </row>
    <row r="1936" spans="1:14">
      <c r="A1936" s="4" t="str">
        <f t="shared" si="171"/>
        <v>EXP00048</v>
      </c>
      <c r="B1936" s="4" t="str">
        <f t="shared" si="174"/>
        <v>22213152</v>
      </c>
      <c r="C1936" s="4" t="str">
        <f t="shared" si="175"/>
        <v>GSE22541</v>
      </c>
      <c r="D1936" s="1" t="s">
        <v>45</v>
      </c>
      <c r="E1936" t="s">
        <v>125</v>
      </c>
      <c r="F1936" s="1">
        <v>2</v>
      </c>
      <c r="G1936" s="1" t="s">
        <v>28</v>
      </c>
      <c r="H1936" s="4" t="str">
        <f>HYPERLINK("https://www.ncbi.nlm.nih.gov/geo/query/acc.cgi?acc=GSM559597","GSM559597")</f>
        <v>GSM559597</v>
      </c>
      <c r="I1936" t="s">
        <v>59</v>
      </c>
      <c r="J1936" t="s">
        <v>60</v>
      </c>
      <c r="K1936" t="s">
        <v>19</v>
      </c>
      <c r="L1936" t="s">
        <v>61</v>
      </c>
      <c r="M1936" t="s">
        <v>41</v>
      </c>
      <c r="N1936" t="s">
        <v>29</v>
      </c>
    </row>
    <row r="1937" spans="1:14">
      <c r="A1937" s="4" t="str">
        <f t="shared" si="171"/>
        <v>EXP00048</v>
      </c>
      <c r="B1937" s="4" t="str">
        <f t="shared" si="174"/>
        <v>22213152</v>
      </c>
      <c r="C1937" s="4" t="str">
        <f t="shared" si="175"/>
        <v>GSE22541</v>
      </c>
      <c r="D1937" s="1" t="s">
        <v>45</v>
      </c>
      <c r="E1937" t="s">
        <v>125</v>
      </c>
      <c r="F1937" s="1">
        <v>2</v>
      </c>
      <c r="G1937" s="1" t="s">
        <v>28</v>
      </c>
      <c r="H1937" s="4" t="str">
        <f>HYPERLINK("https://www.ncbi.nlm.nih.gov/geo/query/acc.cgi?acc=GSM559600","GSM559600")</f>
        <v>GSM559600</v>
      </c>
      <c r="I1937" t="s">
        <v>59</v>
      </c>
      <c r="J1937" t="s">
        <v>60</v>
      </c>
      <c r="K1937" t="s">
        <v>19</v>
      </c>
      <c r="L1937" t="s">
        <v>61</v>
      </c>
      <c r="M1937" t="s">
        <v>41</v>
      </c>
      <c r="N1937" t="s">
        <v>29</v>
      </c>
    </row>
    <row r="1938" spans="1:14">
      <c r="A1938" s="4" t="str">
        <f t="shared" ref="A1938:A1943" si="176">HYPERLINK("http://hcmdb.i-sanger.com/experiment/details/experiment_id/EXP00049","EXP00049")</f>
        <v>EXP00049</v>
      </c>
      <c r="B1938" s="4" t="str">
        <f t="shared" si="174"/>
        <v>22213152</v>
      </c>
      <c r="C1938" s="4" t="str">
        <f t="shared" si="175"/>
        <v>GSE22541</v>
      </c>
      <c r="D1938" s="1" t="s">
        <v>45</v>
      </c>
      <c r="E1938" t="s">
        <v>126</v>
      </c>
      <c r="F1938" s="1">
        <v>1</v>
      </c>
      <c r="G1938" s="1" t="s">
        <v>127</v>
      </c>
      <c r="H1938" s="4" t="str">
        <f>HYPERLINK("https://www.ncbi.nlm.nih.gov/geo/query/acc.cgi?acc=GSM559587","GSM559587")</f>
        <v>GSM559587</v>
      </c>
      <c r="I1938" t="s">
        <v>59</v>
      </c>
      <c r="J1938" t="s">
        <v>60</v>
      </c>
      <c r="K1938" t="s">
        <v>19</v>
      </c>
      <c r="L1938" t="s">
        <v>61</v>
      </c>
      <c r="M1938" t="s">
        <v>41</v>
      </c>
      <c r="N1938" t="s">
        <v>29</v>
      </c>
    </row>
    <row r="1939" spans="1:14">
      <c r="A1939" s="4" t="str">
        <f t="shared" si="176"/>
        <v>EXP00049</v>
      </c>
      <c r="B1939" s="4" t="str">
        <f t="shared" si="174"/>
        <v>22213152</v>
      </c>
      <c r="C1939" s="4" t="str">
        <f t="shared" si="175"/>
        <v>GSE22541</v>
      </c>
      <c r="D1939" s="1" t="s">
        <v>45</v>
      </c>
      <c r="E1939" t="s">
        <v>126</v>
      </c>
      <c r="F1939" s="1">
        <v>1</v>
      </c>
      <c r="G1939" s="1" t="s">
        <v>127</v>
      </c>
      <c r="H1939" s="4" t="str">
        <f>HYPERLINK("https://www.ncbi.nlm.nih.gov/geo/query/acc.cgi?acc=GSM559595","GSM559595")</f>
        <v>GSM559595</v>
      </c>
      <c r="I1939" t="s">
        <v>59</v>
      </c>
      <c r="J1939" t="s">
        <v>60</v>
      </c>
      <c r="K1939" t="s">
        <v>19</v>
      </c>
      <c r="L1939" t="s">
        <v>61</v>
      </c>
      <c r="M1939" t="s">
        <v>41</v>
      </c>
      <c r="N1939" t="s">
        <v>29</v>
      </c>
    </row>
    <row r="1940" spans="1:14">
      <c r="A1940" s="4" t="str">
        <f t="shared" si="176"/>
        <v>EXP00049</v>
      </c>
      <c r="B1940" s="4" t="str">
        <f t="shared" si="174"/>
        <v>22213152</v>
      </c>
      <c r="C1940" s="4" t="str">
        <f t="shared" si="175"/>
        <v>GSE22541</v>
      </c>
      <c r="D1940" s="1" t="s">
        <v>45</v>
      </c>
      <c r="E1940" t="s">
        <v>126</v>
      </c>
      <c r="F1940" s="1">
        <v>1</v>
      </c>
      <c r="G1940" s="1" t="s">
        <v>127</v>
      </c>
      <c r="H1940" s="4" t="str">
        <f>HYPERLINK("https://www.ncbi.nlm.nih.gov/geo/query/acc.cgi?acc=GSM559597","GSM559597")</f>
        <v>GSM559597</v>
      </c>
      <c r="I1940" t="s">
        <v>59</v>
      </c>
      <c r="J1940" t="s">
        <v>60</v>
      </c>
      <c r="K1940" t="s">
        <v>19</v>
      </c>
      <c r="L1940" t="s">
        <v>61</v>
      </c>
      <c r="M1940" t="s">
        <v>41</v>
      </c>
      <c r="N1940" t="s">
        <v>29</v>
      </c>
    </row>
    <row r="1941" spans="1:14">
      <c r="A1941" s="4" t="str">
        <f t="shared" si="176"/>
        <v>EXP00049</v>
      </c>
      <c r="B1941" s="4" t="str">
        <f t="shared" si="174"/>
        <v>22213152</v>
      </c>
      <c r="C1941" s="4" t="str">
        <f t="shared" si="175"/>
        <v>GSE22541</v>
      </c>
      <c r="D1941" s="1" t="s">
        <v>45</v>
      </c>
      <c r="E1941" t="s">
        <v>126</v>
      </c>
      <c r="F1941" s="1">
        <v>1</v>
      </c>
      <c r="G1941" s="1" t="s">
        <v>127</v>
      </c>
      <c r="H1941" s="4" t="str">
        <f>HYPERLINK("https://www.ncbi.nlm.nih.gov/geo/query/acc.cgi?acc=GSM559600","GSM559600")</f>
        <v>GSM559600</v>
      </c>
      <c r="I1941" t="s">
        <v>59</v>
      </c>
      <c r="J1941" t="s">
        <v>60</v>
      </c>
      <c r="K1941" t="s">
        <v>19</v>
      </c>
      <c r="L1941" t="s">
        <v>61</v>
      </c>
      <c r="M1941" t="s">
        <v>41</v>
      </c>
      <c r="N1941" t="s">
        <v>29</v>
      </c>
    </row>
    <row r="1942" spans="1:14">
      <c r="A1942" s="4" t="str">
        <f t="shared" si="176"/>
        <v>EXP00049</v>
      </c>
      <c r="B1942" s="4" t="str">
        <f t="shared" si="174"/>
        <v>22213152</v>
      </c>
      <c r="C1942" s="4" t="str">
        <f t="shared" si="175"/>
        <v>GSE22541</v>
      </c>
      <c r="D1942" s="1" t="s">
        <v>45</v>
      </c>
      <c r="E1942" t="s">
        <v>126</v>
      </c>
      <c r="F1942" s="1">
        <v>2</v>
      </c>
      <c r="G1942" s="1" t="s">
        <v>128</v>
      </c>
      <c r="H1942" s="4" t="str">
        <f>HYPERLINK("https://www.ncbi.nlm.nih.gov/geo/query/acc.cgi?acc=GSM559583","GSM559583")</f>
        <v>GSM559583</v>
      </c>
      <c r="I1942" t="s">
        <v>59</v>
      </c>
      <c r="J1942" t="s">
        <v>60</v>
      </c>
      <c r="K1942" t="s">
        <v>19</v>
      </c>
      <c r="L1942" t="s">
        <v>61</v>
      </c>
      <c r="M1942" t="s">
        <v>24</v>
      </c>
      <c r="N1942" t="s">
        <v>29</v>
      </c>
    </row>
    <row r="1943" spans="1:14">
      <c r="A1943" s="4" t="str">
        <f t="shared" si="176"/>
        <v>EXP00049</v>
      </c>
      <c r="B1943" s="4" t="str">
        <f t="shared" si="174"/>
        <v>22213152</v>
      </c>
      <c r="C1943" s="4" t="str">
        <f t="shared" si="175"/>
        <v>GSE22541</v>
      </c>
      <c r="D1943" s="1" t="s">
        <v>45</v>
      </c>
      <c r="E1943" t="s">
        <v>126</v>
      </c>
      <c r="F1943" s="1">
        <v>2</v>
      </c>
      <c r="G1943" s="1" t="s">
        <v>128</v>
      </c>
      <c r="H1943" s="4" t="str">
        <f>HYPERLINK("https://www.ncbi.nlm.nih.gov/geo/query/acc.cgi?acc=GSM559598","GSM559598")</f>
        <v>GSM559598</v>
      </c>
      <c r="I1943" t="s">
        <v>59</v>
      </c>
      <c r="J1943" t="s">
        <v>60</v>
      </c>
      <c r="K1943" t="s">
        <v>19</v>
      </c>
      <c r="L1943" t="s">
        <v>61</v>
      </c>
      <c r="M1943" t="s">
        <v>24</v>
      </c>
      <c r="N1943" t="s">
        <v>29</v>
      </c>
    </row>
    <row r="1944" spans="1:14">
      <c r="A1944" s="4" t="str">
        <f t="shared" ref="A1944:A1975" si="177">HYPERLINK("http://hcmdb.i-sanger.com/experiment/details/experiment_id/EXP00050","EXP00050")</f>
        <v>EXP00050</v>
      </c>
      <c r="B1944" s="4" t="str">
        <f t="shared" si="174"/>
        <v>22213152</v>
      </c>
      <c r="C1944" s="4" t="str">
        <f t="shared" si="175"/>
        <v>GSE22541</v>
      </c>
      <c r="D1944" s="1" t="s">
        <v>45</v>
      </c>
      <c r="E1944" t="s">
        <v>129</v>
      </c>
      <c r="F1944" s="1">
        <v>1</v>
      </c>
      <c r="G1944" s="1" t="s">
        <v>26</v>
      </c>
      <c r="H1944" s="4" t="str">
        <f>HYPERLINK("https://www.ncbi.nlm.nih.gov/geo/query/acc.cgi?acc=GSM359477","GSM359477")</f>
        <v>GSM359477</v>
      </c>
      <c r="I1944" t="s">
        <v>59</v>
      </c>
      <c r="J1944" t="s">
        <v>60</v>
      </c>
      <c r="K1944" t="s">
        <v>19</v>
      </c>
      <c r="L1944" t="s">
        <v>61</v>
      </c>
      <c r="M1944" t="s">
        <v>41</v>
      </c>
      <c r="N1944" t="s">
        <v>22</v>
      </c>
    </row>
    <row r="1945" spans="1:14">
      <c r="A1945" s="4" t="str">
        <f t="shared" si="177"/>
        <v>EXP00050</v>
      </c>
      <c r="B1945" s="4" t="str">
        <f t="shared" si="174"/>
        <v>22213152</v>
      </c>
      <c r="C1945" s="4" t="str">
        <f t="shared" si="175"/>
        <v>GSE22541</v>
      </c>
      <c r="D1945" s="1" t="s">
        <v>45</v>
      </c>
      <c r="E1945" t="s">
        <v>129</v>
      </c>
      <c r="F1945" s="1">
        <v>1</v>
      </c>
      <c r="G1945" s="1" t="s">
        <v>26</v>
      </c>
      <c r="H1945" s="4" t="str">
        <f>HYPERLINK("https://www.ncbi.nlm.nih.gov/geo/query/acc.cgi?acc=GSM359478","GSM359478")</f>
        <v>GSM359478</v>
      </c>
      <c r="I1945" t="s">
        <v>59</v>
      </c>
      <c r="J1945" t="s">
        <v>60</v>
      </c>
      <c r="K1945" t="s">
        <v>19</v>
      </c>
      <c r="L1945" t="s">
        <v>61</v>
      </c>
      <c r="M1945" t="s">
        <v>41</v>
      </c>
      <c r="N1945" t="s">
        <v>22</v>
      </c>
    </row>
    <row r="1946" spans="1:14">
      <c r="A1946" s="4" t="str">
        <f t="shared" si="177"/>
        <v>EXP00050</v>
      </c>
      <c r="B1946" s="4" t="str">
        <f t="shared" si="174"/>
        <v>22213152</v>
      </c>
      <c r="C1946" s="4" t="str">
        <f t="shared" si="175"/>
        <v>GSE22541</v>
      </c>
      <c r="D1946" s="1" t="s">
        <v>45</v>
      </c>
      <c r="E1946" t="s">
        <v>129</v>
      </c>
      <c r="F1946" s="1">
        <v>1</v>
      </c>
      <c r="G1946" s="1" t="s">
        <v>26</v>
      </c>
      <c r="H1946" s="4" t="str">
        <f>HYPERLINK("https://www.ncbi.nlm.nih.gov/geo/query/acc.cgi?acc=GSM359479","GSM359479")</f>
        <v>GSM359479</v>
      </c>
      <c r="I1946" t="s">
        <v>59</v>
      </c>
      <c r="J1946" t="s">
        <v>60</v>
      </c>
      <c r="K1946" t="s">
        <v>19</v>
      </c>
      <c r="L1946" t="s">
        <v>61</v>
      </c>
      <c r="M1946" t="s">
        <v>41</v>
      </c>
      <c r="N1946" t="s">
        <v>22</v>
      </c>
    </row>
    <row r="1947" spans="1:14">
      <c r="A1947" s="4" t="str">
        <f t="shared" si="177"/>
        <v>EXP00050</v>
      </c>
      <c r="B1947" s="4" t="str">
        <f t="shared" si="174"/>
        <v>22213152</v>
      </c>
      <c r="C1947" s="4" t="str">
        <f t="shared" si="175"/>
        <v>GSE22541</v>
      </c>
      <c r="D1947" s="1" t="s">
        <v>45</v>
      </c>
      <c r="E1947" t="s">
        <v>129</v>
      </c>
      <c r="F1947" s="1">
        <v>1</v>
      </c>
      <c r="G1947" s="1" t="s">
        <v>26</v>
      </c>
      <c r="H1947" s="4" t="str">
        <f>HYPERLINK("https://www.ncbi.nlm.nih.gov/geo/query/acc.cgi?acc=GSM359480","GSM359480")</f>
        <v>GSM359480</v>
      </c>
      <c r="I1947" t="s">
        <v>59</v>
      </c>
      <c r="J1947" t="s">
        <v>60</v>
      </c>
      <c r="K1947" t="s">
        <v>19</v>
      </c>
      <c r="L1947" t="s">
        <v>61</v>
      </c>
      <c r="M1947" t="s">
        <v>41</v>
      </c>
      <c r="N1947" t="s">
        <v>22</v>
      </c>
    </row>
    <row r="1948" spans="1:14">
      <c r="A1948" s="4" t="str">
        <f t="shared" si="177"/>
        <v>EXP00050</v>
      </c>
      <c r="B1948" s="4" t="str">
        <f t="shared" si="174"/>
        <v>22213152</v>
      </c>
      <c r="C1948" s="4" t="str">
        <f t="shared" si="175"/>
        <v>GSE22541</v>
      </c>
      <c r="D1948" s="1" t="s">
        <v>45</v>
      </c>
      <c r="E1948" t="s">
        <v>129</v>
      </c>
      <c r="F1948" s="1">
        <v>1</v>
      </c>
      <c r="G1948" s="1" t="s">
        <v>26</v>
      </c>
      <c r="H1948" s="4" t="str">
        <f>HYPERLINK("https://www.ncbi.nlm.nih.gov/geo/query/acc.cgi?acc=GSM359481","GSM359481")</f>
        <v>GSM359481</v>
      </c>
      <c r="I1948" t="s">
        <v>59</v>
      </c>
      <c r="J1948" t="s">
        <v>60</v>
      </c>
      <c r="K1948" t="s">
        <v>19</v>
      </c>
      <c r="L1948" t="s">
        <v>61</v>
      </c>
      <c r="M1948" t="s">
        <v>41</v>
      </c>
      <c r="N1948" t="s">
        <v>22</v>
      </c>
    </row>
    <row r="1949" spans="1:14">
      <c r="A1949" s="4" t="str">
        <f t="shared" si="177"/>
        <v>EXP00050</v>
      </c>
      <c r="B1949" s="4" t="str">
        <f t="shared" si="174"/>
        <v>22213152</v>
      </c>
      <c r="C1949" s="4" t="str">
        <f t="shared" si="175"/>
        <v>GSE22541</v>
      </c>
      <c r="D1949" s="1" t="s">
        <v>45</v>
      </c>
      <c r="E1949" t="s">
        <v>129</v>
      </c>
      <c r="F1949" s="1">
        <v>1</v>
      </c>
      <c r="G1949" s="1" t="s">
        <v>26</v>
      </c>
      <c r="H1949" s="4" t="str">
        <f>HYPERLINK("https://www.ncbi.nlm.nih.gov/geo/query/acc.cgi?acc=GSM359482","GSM359482")</f>
        <v>GSM359482</v>
      </c>
      <c r="I1949" t="s">
        <v>59</v>
      </c>
      <c r="J1949" t="s">
        <v>60</v>
      </c>
      <c r="K1949" t="s">
        <v>19</v>
      </c>
      <c r="L1949" t="s">
        <v>61</v>
      </c>
      <c r="M1949" t="s">
        <v>41</v>
      </c>
      <c r="N1949" t="s">
        <v>22</v>
      </c>
    </row>
    <row r="1950" spans="1:14">
      <c r="A1950" s="4" t="str">
        <f t="shared" si="177"/>
        <v>EXP00050</v>
      </c>
      <c r="B1950" s="4" t="str">
        <f t="shared" si="174"/>
        <v>22213152</v>
      </c>
      <c r="C1950" s="4" t="str">
        <f t="shared" si="175"/>
        <v>GSE22541</v>
      </c>
      <c r="D1950" s="1" t="s">
        <v>45</v>
      </c>
      <c r="E1950" t="s">
        <v>129</v>
      </c>
      <c r="F1950" s="1">
        <v>1</v>
      </c>
      <c r="G1950" s="1" t="s">
        <v>26</v>
      </c>
      <c r="H1950" s="4" t="str">
        <f>HYPERLINK("https://www.ncbi.nlm.nih.gov/geo/query/acc.cgi?acc=GSM359483","GSM359483")</f>
        <v>GSM359483</v>
      </c>
      <c r="I1950" t="s">
        <v>59</v>
      </c>
      <c r="J1950" t="s">
        <v>60</v>
      </c>
      <c r="K1950" t="s">
        <v>19</v>
      </c>
      <c r="L1950" t="s">
        <v>61</v>
      </c>
      <c r="M1950" t="s">
        <v>41</v>
      </c>
      <c r="N1950" t="s">
        <v>22</v>
      </c>
    </row>
    <row r="1951" spans="1:14">
      <c r="A1951" s="4" t="str">
        <f t="shared" si="177"/>
        <v>EXP00050</v>
      </c>
      <c r="B1951" s="4" t="str">
        <f t="shared" si="174"/>
        <v>22213152</v>
      </c>
      <c r="C1951" s="4" t="str">
        <f t="shared" si="175"/>
        <v>GSE22541</v>
      </c>
      <c r="D1951" s="1" t="s">
        <v>45</v>
      </c>
      <c r="E1951" t="s">
        <v>129</v>
      </c>
      <c r="F1951" s="1">
        <v>1</v>
      </c>
      <c r="G1951" s="1" t="s">
        <v>26</v>
      </c>
      <c r="H1951" s="4" t="str">
        <f>HYPERLINK("https://www.ncbi.nlm.nih.gov/geo/query/acc.cgi?acc=GSM359484","GSM359484")</f>
        <v>GSM359484</v>
      </c>
      <c r="I1951" t="s">
        <v>59</v>
      </c>
      <c r="J1951" t="s">
        <v>60</v>
      </c>
      <c r="K1951" t="s">
        <v>19</v>
      </c>
      <c r="L1951" t="s">
        <v>61</v>
      </c>
      <c r="M1951" t="s">
        <v>41</v>
      </c>
      <c r="N1951" t="s">
        <v>22</v>
      </c>
    </row>
    <row r="1952" spans="1:14">
      <c r="A1952" s="4" t="str">
        <f t="shared" si="177"/>
        <v>EXP00050</v>
      </c>
      <c r="B1952" s="4" t="str">
        <f t="shared" si="174"/>
        <v>22213152</v>
      </c>
      <c r="C1952" s="4" t="str">
        <f t="shared" si="175"/>
        <v>GSE22541</v>
      </c>
      <c r="D1952" s="1" t="s">
        <v>45</v>
      </c>
      <c r="E1952" t="s">
        <v>129</v>
      </c>
      <c r="F1952" s="1">
        <v>1</v>
      </c>
      <c r="G1952" s="1" t="s">
        <v>26</v>
      </c>
      <c r="H1952" s="4" t="str">
        <f>HYPERLINK("https://www.ncbi.nlm.nih.gov/geo/query/acc.cgi?acc=GSM359485","GSM359485")</f>
        <v>GSM359485</v>
      </c>
      <c r="I1952" t="s">
        <v>59</v>
      </c>
      <c r="J1952" t="s">
        <v>60</v>
      </c>
      <c r="K1952" t="s">
        <v>19</v>
      </c>
      <c r="L1952" t="s">
        <v>61</v>
      </c>
      <c r="M1952" t="s">
        <v>41</v>
      </c>
      <c r="N1952" t="s">
        <v>22</v>
      </c>
    </row>
    <row r="1953" spans="1:14">
      <c r="A1953" s="4" t="str">
        <f t="shared" si="177"/>
        <v>EXP00050</v>
      </c>
      <c r="B1953" s="4" t="str">
        <f t="shared" si="174"/>
        <v>22213152</v>
      </c>
      <c r="C1953" s="4" t="str">
        <f t="shared" si="175"/>
        <v>GSE22541</v>
      </c>
      <c r="D1953" s="1" t="s">
        <v>45</v>
      </c>
      <c r="E1953" t="s">
        <v>129</v>
      </c>
      <c r="F1953" s="1">
        <v>1</v>
      </c>
      <c r="G1953" s="1" t="s">
        <v>26</v>
      </c>
      <c r="H1953" s="4" t="str">
        <f>HYPERLINK("https://www.ncbi.nlm.nih.gov/geo/query/acc.cgi?acc=GSM359486","GSM359486")</f>
        <v>GSM359486</v>
      </c>
      <c r="I1953" t="s">
        <v>59</v>
      </c>
      <c r="J1953" t="s">
        <v>60</v>
      </c>
      <c r="K1953" t="s">
        <v>19</v>
      </c>
      <c r="L1953" t="s">
        <v>61</v>
      </c>
      <c r="M1953" t="s">
        <v>41</v>
      </c>
      <c r="N1953" t="s">
        <v>22</v>
      </c>
    </row>
    <row r="1954" spans="1:14">
      <c r="A1954" s="4" t="str">
        <f t="shared" si="177"/>
        <v>EXP00050</v>
      </c>
      <c r="B1954" s="4" t="str">
        <f t="shared" ref="B1954:B1985" si="178">HYPERLINK("https://www.ncbi.nlm.nih.gov/pubmed/22213152","22213152")</f>
        <v>22213152</v>
      </c>
      <c r="C1954" s="4" t="str">
        <f t="shared" ref="C1954:C1985" si="179">HYPERLINK("https://www.ncbi.nlm.nih.gov/geo/query/acc.cgi?acc=GSE22541","GSE22541")</f>
        <v>GSE22541</v>
      </c>
      <c r="D1954" s="1" t="s">
        <v>45</v>
      </c>
      <c r="E1954" t="s">
        <v>129</v>
      </c>
      <c r="F1954" s="1">
        <v>1</v>
      </c>
      <c r="G1954" s="1" t="s">
        <v>26</v>
      </c>
      <c r="H1954" s="4" t="str">
        <f>HYPERLINK("https://www.ncbi.nlm.nih.gov/geo/query/acc.cgi?acc=GSM359487","GSM359487")</f>
        <v>GSM359487</v>
      </c>
      <c r="I1954" t="s">
        <v>59</v>
      </c>
      <c r="J1954" t="s">
        <v>60</v>
      </c>
      <c r="K1954" t="s">
        <v>19</v>
      </c>
      <c r="L1954" t="s">
        <v>61</v>
      </c>
      <c r="M1954" t="s">
        <v>41</v>
      </c>
      <c r="N1954" t="s">
        <v>22</v>
      </c>
    </row>
    <row r="1955" spans="1:14">
      <c r="A1955" s="4" t="str">
        <f t="shared" si="177"/>
        <v>EXP00050</v>
      </c>
      <c r="B1955" s="4" t="str">
        <f t="shared" si="178"/>
        <v>22213152</v>
      </c>
      <c r="C1955" s="4" t="str">
        <f t="shared" si="179"/>
        <v>GSE22541</v>
      </c>
      <c r="D1955" s="1" t="s">
        <v>45</v>
      </c>
      <c r="E1955" t="s">
        <v>129</v>
      </c>
      <c r="F1955" s="1">
        <v>1</v>
      </c>
      <c r="G1955" s="1" t="s">
        <v>26</v>
      </c>
      <c r="H1955" s="4" t="str">
        <f>HYPERLINK("https://www.ncbi.nlm.nih.gov/geo/query/acc.cgi?acc=GSM359488","GSM359488")</f>
        <v>GSM359488</v>
      </c>
      <c r="I1955" t="s">
        <v>59</v>
      </c>
      <c r="J1955" t="s">
        <v>60</v>
      </c>
      <c r="K1955" t="s">
        <v>19</v>
      </c>
      <c r="L1955" t="s">
        <v>61</v>
      </c>
      <c r="M1955" t="s">
        <v>41</v>
      </c>
      <c r="N1955" t="s">
        <v>22</v>
      </c>
    </row>
    <row r="1956" spans="1:14">
      <c r="A1956" s="4" t="str">
        <f t="shared" si="177"/>
        <v>EXP00050</v>
      </c>
      <c r="B1956" s="4" t="str">
        <f t="shared" si="178"/>
        <v>22213152</v>
      </c>
      <c r="C1956" s="4" t="str">
        <f t="shared" si="179"/>
        <v>GSE22541</v>
      </c>
      <c r="D1956" s="1" t="s">
        <v>45</v>
      </c>
      <c r="E1956" t="s">
        <v>129</v>
      </c>
      <c r="F1956" s="1">
        <v>1</v>
      </c>
      <c r="G1956" s="1" t="s">
        <v>26</v>
      </c>
      <c r="H1956" s="4" t="str">
        <f>HYPERLINK("https://www.ncbi.nlm.nih.gov/geo/query/acc.cgi?acc=GSM359489","GSM359489")</f>
        <v>GSM359489</v>
      </c>
      <c r="I1956" t="s">
        <v>59</v>
      </c>
      <c r="J1956" t="s">
        <v>60</v>
      </c>
      <c r="K1956" t="s">
        <v>19</v>
      </c>
      <c r="L1956" t="s">
        <v>61</v>
      </c>
      <c r="M1956" t="s">
        <v>41</v>
      </c>
      <c r="N1956" t="s">
        <v>22</v>
      </c>
    </row>
    <row r="1957" spans="1:14">
      <c r="A1957" s="4" t="str">
        <f t="shared" si="177"/>
        <v>EXP00050</v>
      </c>
      <c r="B1957" s="4" t="str">
        <f t="shared" si="178"/>
        <v>22213152</v>
      </c>
      <c r="C1957" s="4" t="str">
        <f t="shared" si="179"/>
        <v>GSE22541</v>
      </c>
      <c r="D1957" s="1" t="s">
        <v>45</v>
      </c>
      <c r="E1957" t="s">
        <v>129</v>
      </c>
      <c r="F1957" s="1">
        <v>1</v>
      </c>
      <c r="G1957" s="1" t="s">
        <v>26</v>
      </c>
      <c r="H1957" s="4" t="str">
        <f>HYPERLINK("https://www.ncbi.nlm.nih.gov/geo/query/acc.cgi?acc=GSM359490","GSM359490")</f>
        <v>GSM359490</v>
      </c>
      <c r="I1957" t="s">
        <v>59</v>
      </c>
      <c r="J1957" t="s">
        <v>60</v>
      </c>
      <c r="K1957" t="s">
        <v>19</v>
      </c>
      <c r="L1957" t="s">
        <v>61</v>
      </c>
      <c r="M1957" t="s">
        <v>41</v>
      </c>
      <c r="N1957" t="s">
        <v>22</v>
      </c>
    </row>
    <row r="1958" spans="1:14">
      <c r="A1958" s="4" t="str">
        <f t="shared" si="177"/>
        <v>EXP00050</v>
      </c>
      <c r="B1958" s="4" t="str">
        <f t="shared" si="178"/>
        <v>22213152</v>
      </c>
      <c r="C1958" s="4" t="str">
        <f t="shared" si="179"/>
        <v>GSE22541</v>
      </c>
      <c r="D1958" s="1" t="s">
        <v>45</v>
      </c>
      <c r="E1958" t="s">
        <v>129</v>
      </c>
      <c r="F1958" s="1">
        <v>1</v>
      </c>
      <c r="G1958" s="1" t="s">
        <v>26</v>
      </c>
      <c r="H1958" s="4" t="str">
        <f>HYPERLINK("https://www.ncbi.nlm.nih.gov/geo/query/acc.cgi?acc=GSM359491","GSM359491")</f>
        <v>GSM359491</v>
      </c>
      <c r="I1958" t="s">
        <v>59</v>
      </c>
      <c r="J1958" t="s">
        <v>60</v>
      </c>
      <c r="K1958" t="s">
        <v>19</v>
      </c>
      <c r="L1958" t="s">
        <v>61</v>
      </c>
      <c r="M1958" t="s">
        <v>41</v>
      </c>
      <c r="N1958" t="s">
        <v>22</v>
      </c>
    </row>
    <row r="1959" spans="1:14">
      <c r="A1959" s="4" t="str">
        <f t="shared" si="177"/>
        <v>EXP00050</v>
      </c>
      <c r="B1959" s="4" t="str">
        <f t="shared" si="178"/>
        <v>22213152</v>
      </c>
      <c r="C1959" s="4" t="str">
        <f t="shared" si="179"/>
        <v>GSE22541</v>
      </c>
      <c r="D1959" s="1" t="s">
        <v>45</v>
      </c>
      <c r="E1959" t="s">
        <v>129</v>
      </c>
      <c r="F1959" s="1">
        <v>1</v>
      </c>
      <c r="G1959" s="1" t="s">
        <v>26</v>
      </c>
      <c r="H1959" s="4" t="str">
        <f>HYPERLINK("https://www.ncbi.nlm.nih.gov/geo/query/acc.cgi?acc=GSM359492","GSM359492")</f>
        <v>GSM359492</v>
      </c>
      <c r="I1959" t="s">
        <v>59</v>
      </c>
      <c r="J1959" t="s">
        <v>60</v>
      </c>
      <c r="K1959" t="s">
        <v>19</v>
      </c>
      <c r="L1959" t="s">
        <v>61</v>
      </c>
      <c r="M1959" t="s">
        <v>41</v>
      </c>
      <c r="N1959" t="s">
        <v>22</v>
      </c>
    </row>
    <row r="1960" spans="1:14">
      <c r="A1960" s="4" t="str">
        <f t="shared" si="177"/>
        <v>EXP00050</v>
      </c>
      <c r="B1960" s="4" t="str">
        <f t="shared" si="178"/>
        <v>22213152</v>
      </c>
      <c r="C1960" s="4" t="str">
        <f t="shared" si="179"/>
        <v>GSE22541</v>
      </c>
      <c r="D1960" s="1" t="s">
        <v>45</v>
      </c>
      <c r="E1960" t="s">
        <v>129</v>
      </c>
      <c r="F1960" s="1">
        <v>1</v>
      </c>
      <c r="G1960" s="1" t="s">
        <v>26</v>
      </c>
      <c r="H1960" s="4" t="str">
        <f>HYPERLINK("https://www.ncbi.nlm.nih.gov/geo/query/acc.cgi?acc=GSM359493","GSM359493")</f>
        <v>GSM359493</v>
      </c>
      <c r="I1960" t="s">
        <v>59</v>
      </c>
      <c r="J1960" t="s">
        <v>60</v>
      </c>
      <c r="K1960" t="s">
        <v>19</v>
      </c>
      <c r="L1960" t="s">
        <v>61</v>
      </c>
      <c r="M1960" t="s">
        <v>41</v>
      </c>
      <c r="N1960" t="s">
        <v>22</v>
      </c>
    </row>
    <row r="1961" spans="1:14">
      <c r="A1961" s="4" t="str">
        <f t="shared" si="177"/>
        <v>EXP00050</v>
      </c>
      <c r="B1961" s="4" t="str">
        <f t="shared" si="178"/>
        <v>22213152</v>
      </c>
      <c r="C1961" s="4" t="str">
        <f t="shared" si="179"/>
        <v>GSE22541</v>
      </c>
      <c r="D1961" s="1" t="s">
        <v>45</v>
      </c>
      <c r="E1961" t="s">
        <v>129</v>
      </c>
      <c r="F1961" s="1">
        <v>1</v>
      </c>
      <c r="G1961" s="1" t="s">
        <v>26</v>
      </c>
      <c r="H1961" s="4" t="str">
        <f>HYPERLINK("https://www.ncbi.nlm.nih.gov/geo/query/acc.cgi?acc=GSM359494","GSM359494")</f>
        <v>GSM359494</v>
      </c>
      <c r="I1961" t="s">
        <v>59</v>
      </c>
      <c r="J1961" t="s">
        <v>60</v>
      </c>
      <c r="K1961" t="s">
        <v>19</v>
      </c>
      <c r="L1961" t="s">
        <v>61</v>
      </c>
      <c r="M1961" t="s">
        <v>41</v>
      </c>
      <c r="N1961" t="s">
        <v>22</v>
      </c>
    </row>
    <row r="1962" spans="1:14">
      <c r="A1962" s="4" t="str">
        <f t="shared" si="177"/>
        <v>EXP00050</v>
      </c>
      <c r="B1962" s="4" t="str">
        <f t="shared" si="178"/>
        <v>22213152</v>
      </c>
      <c r="C1962" s="4" t="str">
        <f t="shared" si="179"/>
        <v>GSE22541</v>
      </c>
      <c r="D1962" s="1" t="s">
        <v>45</v>
      </c>
      <c r="E1962" t="s">
        <v>129</v>
      </c>
      <c r="F1962" s="1">
        <v>1</v>
      </c>
      <c r="G1962" s="1" t="s">
        <v>26</v>
      </c>
      <c r="H1962" s="4" t="str">
        <f>HYPERLINK("https://www.ncbi.nlm.nih.gov/geo/query/acc.cgi?acc=GSM359495","GSM359495")</f>
        <v>GSM359495</v>
      </c>
      <c r="I1962" t="s">
        <v>59</v>
      </c>
      <c r="J1962" t="s">
        <v>60</v>
      </c>
      <c r="K1962" t="s">
        <v>19</v>
      </c>
      <c r="L1962" t="s">
        <v>61</v>
      </c>
      <c r="M1962" t="s">
        <v>41</v>
      </c>
      <c r="N1962" t="s">
        <v>22</v>
      </c>
    </row>
    <row r="1963" spans="1:14">
      <c r="A1963" s="4" t="str">
        <f t="shared" si="177"/>
        <v>EXP00050</v>
      </c>
      <c r="B1963" s="4" t="str">
        <f t="shared" si="178"/>
        <v>22213152</v>
      </c>
      <c r="C1963" s="4" t="str">
        <f t="shared" si="179"/>
        <v>GSE22541</v>
      </c>
      <c r="D1963" s="1" t="s">
        <v>45</v>
      </c>
      <c r="E1963" t="s">
        <v>129</v>
      </c>
      <c r="F1963" s="1">
        <v>1</v>
      </c>
      <c r="G1963" s="1" t="s">
        <v>26</v>
      </c>
      <c r="H1963" s="4" t="str">
        <f>HYPERLINK("https://www.ncbi.nlm.nih.gov/geo/query/acc.cgi?acc=GSM359496","GSM359496")</f>
        <v>GSM359496</v>
      </c>
      <c r="I1963" t="s">
        <v>59</v>
      </c>
      <c r="J1963" t="s">
        <v>60</v>
      </c>
      <c r="K1963" t="s">
        <v>19</v>
      </c>
      <c r="L1963" t="s">
        <v>61</v>
      </c>
      <c r="M1963" t="s">
        <v>41</v>
      </c>
      <c r="N1963" t="s">
        <v>22</v>
      </c>
    </row>
    <row r="1964" spans="1:14">
      <c r="A1964" s="4" t="str">
        <f t="shared" si="177"/>
        <v>EXP00050</v>
      </c>
      <c r="B1964" s="4" t="str">
        <f t="shared" si="178"/>
        <v>22213152</v>
      </c>
      <c r="C1964" s="4" t="str">
        <f t="shared" si="179"/>
        <v>GSE22541</v>
      </c>
      <c r="D1964" s="1" t="s">
        <v>45</v>
      </c>
      <c r="E1964" t="s">
        <v>129</v>
      </c>
      <c r="F1964" s="1">
        <v>1</v>
      </c>
      <c r="G1964" s="1" t="s">
        <v>26</v>
      </c>
      <c r="H1964" s="4" t="str">
        <f>HYPERLINK("https://www.ncbi.nlm.nih.gov/geo/query/acc.cgi?acc=GSM559705","GSM559705")</f>
        <v>GSM559705</v>
      </c>
      <c r="I1964" t="s">
        <v>59</v>
      </c>
      <c r="J1964" t="s">
        <v>60</v>
      </c>
      <c r="K1964" t="s">
        <v>19</v>
      </c>
      <c r="L1964" t="s">
        <v>61</v>
      </c>
      <c r="M1964" t="s">
        <v>41</v>
      </c>
      <c r="N1964" t="s">
        <v>22</v>
      </c>
    </row>
    <row r="1965" spans="1:14">
      <c r="A1965" s="4" t="str">
        <f t="shared" si="177"/>
        <v>EXP00050</v>
      </c>
      <c r="B1965" s="4" t="str">
        <f t="shared" si="178"/>
        <v>22213152</v>
      </c>
      <c r="C1965" s="4" t="str">
        <f t="shared" si="179"/>
        <v>GSE22541</v>
      </c>
      <c r="D1965" s="1" t="s">
        <v>45</v>
      </c>
      <c r="E1965" t="s">
        <v>129</v>
      </c>
      <c r="F1965" s="1">
        <v>1</v>
      </c>
      <c r="G1965" s="1" t="s">
        <v>26</v>
      </c>
      <c r="H1965" s="4" t="str">
        <f>HYPERLINK("https://www.ncbi.nlm.nih.gov/geo/query/acc.cgi?acc=GSM559706","GSM559706")</f>
        <v>GSM559706</v>
      </c>
      <c r="I1965" t="s">
        <v>59</v>
      </c>
      <c r="J1965" t="s">
        <v>60</v>
      </c>
      <c r="K1965" t="s">
        <v>19</v>
      </c>
      <c r="L1965" t="s">
        <v>61</v>
      </c>
      <c r="M1965" t="s">
        <v>41</v>
      </c>
      <c r="N1965" t="s">
        <v>22</v>
      </c>
    </row>
    <row r="1966" spans="1:14">
      <c r="A1966" s="4" t="str">
        <f t="shared" si="177"/>
        <v>EXP00050</v>
      </c>
      <c r="B1966" s="4" t="str">
        <f t="shared" si="178"/>
        <v>22213152</v>
      </c>
      <c r="C1966" s="4" t="str">
        <f t="shared" si="179"/>
        <v>GSE22541</v>
      </c>
      <c r="D1966" s="1" t="s">
        <v>45</v>
      </c>
      <c r="E1966" t="s">
        <v>129</v>
      </c>
      <c r="F1966" s="1">
        <v>1</v>
      </c>
      <c r="G1966" s="1" t="s">
        <v>26</v>
      </c>
      <c r="H1966" s="4" t="str">
        <f>HYPERLINK("https://www.ncbi.nlm.nih.gov/geo/query/acc.cgi?acc=GSM559707","GSM559707")</f>
        <v>GSM559707</v>
      </c>
      <c r="I1966" t="s">
        <v>59</v>
      </c>
      <c r="J1966" t="s">
        <v>60</v>
      </c>
      <c r="K1966" t="s">
        <v>19</v>
      </c>
      <c r="L1966" t="s">
        <v>61</v>
      </c>
      <c r="M1966" t="s">
        <v>41</v>
      </c>
      <c r="N1966" t="s">
        <v>22</v>
      </c>
    </row>
    <row r="1967" spans="1:14">
      <c r="A1967" s="4" t="str">
        <f t="shared" si="177"/>
        <v>EXP00050</v>
      </c>
      <c r="B1967" s="4" t="str">
        <f t="shared" si="178"/>
        <v>22213152</v>
      </c>
      <c r="C1967" s="4" t="str">
        <f t="shared" si="179"/>
        <v>GSE22541</v>
      </c>
      <c r="D1967" s="1" t="s">
        <v>45</v>
      </c>
      <c r="E1967" t="s">
        <v>129</v>
      </c>
      <c r="F1967" s="1">
        <v>1</v>
      </c>
      <c r="G1967" s="1" t="s">
        <v>26</v>
      </c>
      <c r="H1967" s="4" t="str">
        <f>HYPERLINK("https://www.ncbi.nlm.nih.gov/geo/query/acc.cgi?acc=GSM559708","GSM559708")</f>
        <v>GSM559708</v>
      </c>
      <c r="I1967" t="s">
        <v>59</v>
      </c>
      <c r="J1967" t="s">
        <v>60</v>
      </c>
      <c r="K1967" t="s">
        <v>19</v>
      </c>
      <c r="L1967" t="s">
        <v>61</v>
      </c>
      <c r="M1967" t="s">
        <v>41</v>
      </c>
      <c r="N1967" t="s">
        <v>22</v>
      </c>
    </row>
    <row r="1968" spans="1:14">
      <c r="A1968" s="4" t="str">
        <f t="shared" si="177"/>
        <v>EXP00050</v>
      </c>
      <c r="B1968" s="4" t="str">
        <f t="shared" si="178"/>
        <v>22213152</v>
      </c>
      <c r="C1968" s="4" t="str">
        <f t="shared" si="179"/>
        <v>GSE22541</v>
      </c>
      <c r="D1968" s="1" t="s">
        <v>45</v>
      </c>
      <c r="E1968" t="s">
        <v>129</v>
      </c>
      <c r="F1968" s="1">
        <v>1</v>
      </c>
      <c r="G1968" s="1" t="s">
        <v>26</v>
      </c>
      <c r="H1968" s="4" t="str">
        <f>HYPERLINK("https://www.ncbi.nlm.nih.gov/geo/query/acc.cgi?acc=GSM559709","GSM559709")</f>
        <v>GSM559709</v>
      </c>
      <c r="I1968" t="s">
        <v>59</v>
      </c>
      <c r="J1968" t="s">
        <v>60</v>
      </c>
      <c r="K1968" t="s">
        <v>19</v>
      </c>
      <c r="L1968" t="s">
        <v>61</v>
      </c>
      <c r="M1968" t="s">
        <v>41</v>
      </c>
      <c r="N1968" t="s">
        <v>22</v>
      </c>
    </row>
    <row r="1969" spans="1:14">
      <c r="A1969" s="4" t="str">
        <f t="shared" si="177"/>
        <v>EXP00050</v>
      </c>
      <c r="B1969" s="4" t="str">
        <f t="shared" si="178"/>
        <v>22213152</v>
      </c>
      <c r="C1969" s="4" t="str">
        <f t="shared" si="179"/>
        <v>GSE22541</v>
      </c>
      <c r="D1969" s="1" t="s">
        <v>45</v>
      </c>
      <c r="E1969" t="s">
        <v>129</v>
      </c>
      <c r="F1969" s="1">
        <v>1</v>
      </c>
      <c r="G1969" s="1" t="s">
        <v>26</v>
      </c>
      <c r="H1969" s="4" t="str">
        <f>HYPERLINK("https://www.ncbi.nlm.nih.gov/geo/query/acc.cgi?acc=GSM559710","GSM559710")</f>
        <v>GSM559710</v>
      </c>
      <c r="I1969" t="s">
        <v>59</v>
      </c>
      <c r="J1969" t="s">
        <v>60</v>
      </c>
      <c r="K1969" t="s">
        <v>19</v>
      </c>
      <c r="L1969" t="s">
        <v>61</v>
      </c>
      <c r="M1969" t="s">
        <v>41</v>
      </c>
      <c r="N1969" t="s">
        <v>22</v>
      </c>
    </row>
    <row r="1970" spans="1:14">
      <c r="A1970" s="4" t="str">
        <f t="shared" si="177"/>
        <v>EXP00050</v>
      </c>
      <c r="B1970" s="4" t="str">
        <f t="shared" si="178"/>
        <v>22213152</v>
      </c>
      <c r="C1970" s="4" t="str">
        <f t="shared" si="179"/>
        <v>GSE22541</v>
      </c>
      <c r="D1970" s="1" t="s">
        <v>45</v>
      </c>
      <c r="E1970" t="s">
        <v>129</v>
      </c>
      <c r="F1970" s="1">
        <v>1</v>
      </c>
      <c r="G1970" s="1" t="s">
        <v>26</v>
      </c>
      <c r="H1970" s="4" t="str">
        <f>HYPERLINK("https://www.ncbi.nlm.nih.gov/geo/query/acc.cgi?acc=GSM559711","GSM559711")</f>
        <v>GSM559711</v>
      </c>
      <c r="I1970" t="s">
        <v>59</v>
      </c>
      <c r="J1970" t="s">
        <v>60</v>
      </c>
      <c r="K1970" t="s">
        <v>19</v>
      </c>
      <c r="L1970" t="s">
        <v>61</v>
      </c>
      <c r="M1970" t="s">
        <v>41</v>
      </c>
      <c r="N1970" t="s">
        <v>22</v>
      </c>
    </row>
    <row r="1971" spans="1:14">
      <c r="A1971" s="4" t="str">
        <f t="shared" si="177"/>
        <v>EXP00050</v>
      </c>
      <c r="B1971" s="4" t="str">
        <f t="shared" si="178"/>
        <v>22213152</v>
      </c>
      <c r="C1971" s="4" t="str">
        <f t="shared" si="179"/>
        <v>GSE22541</v>
      </c>
      <c r="D1971" s="1" t="s">
        <v>45</v>
      </c>
      <c r="E1971" t="s">
        <v>129</v>
      </c>
      <c r="F1971" s="1">
        <v>1</v>
      </c>
      <c r="G1971" s="1" t="s">
        <v>26</v>
      </c>
      <c r="H1971" s="4" t="str">
        <f>HYPERLINK("https://www.ncbi.nlm.nih.gov/geo/query/acc.cgi?acc=GSM559712","GSM559712")</f>
        <v>GSM559712</v>
      </c>
      <c r="I1971" t="s">
        <v>59</v>
      </c>
      <c r="J1971" t="s">
        <v>60</v>
      </c>
      <c r="K1971" t="s">
        <v>19</v>
      </c>
      <c r="L1971" t="s">
        <v>61</v>
      </c>
      <c r="M1971" t="s">
        <v>41</v>
      </c>
      <c r="N1971" t="s">
        <v>22</v>
      </c>
    </row>
    <row r="1972" spans="1:14">
      <c r="A1972" s="4" t="str">
        <f t="shared" si="177"/>
        <v>EXP00050</v>
      </c>
      <c r="B1972" s="4" t="str">
        <f t="shared" si="178"/>
        <v>22213152</v>
      </c>
      <c r="C1972" s="4" t="str">
        <f t="shared" si="179"/>
        <v>GSE22541</v>
      </c>
      <c r="D1972" s="1" t="s">
        <v>45</v>
      </c>
      <c r="E1972" t="s">
        <v>129</v>
      </c>
      <c r="F1972" s="1">
        <v>1</v>
      </c>
      <c r="G1972" s="1" t="s">
        <v>26</v>
      </c>
      <c r="H1972" s="4" t="str">
        <f>HYPERLINK("https://www.ncbi.nlm.nih.gov/geo/query/acc.cgi?acc=GSM559713","GSM559713")</f>
        <v>GSM559713</v>
      </c>
      <c r="I1972" t="s">
        <v>59</v>
      </c>
      <c r="J1972" t="s">
        <v>60</v>
      </c>
      <c r="K1972" t="s">
        <v>19</v>
      </c>
      <c r="L1972" t="s">
        <v>61</v>
      </c>
      <c r="M1972" t="s">
        <v>41</v>
      </c>
      <c r="N1972" t="s">
        <v>22</v>
      </c>
    </row>
    <row r="1973" spans="1:14">
      <c r="A1973" s="4" t="str">
        <f t="shared" si="177"/>
        <v>EXP00050</v>
      </c>
      <c r="B1973" s="4" t="str">
        <f t="shared" si="178"/>
        <v>22213152</v>
      </c>
      <c r="C1973" s="4" t="str">
        <f t="shared" si="179"/>
        <v>GSE22541</v>
      </c>
      <c r="D1973" s="1" t="s">
        <v>45</v>
      </c>
      <c r="E1973" t="s">
        <v>129</v>
      </c>
      <c r="F1973" s="1">
        <v>1</v>
      </c>
      <c r="G1973" s="1" t="s">
        <v>26</v>
      </c>
      <c r="H1973" s="4" t="str">
        <f>HYPERLINK("https://www.ncbi.nlm.nih.gov/geo/query/acc.cgi?acc=GSM559714","GSM559714")</f>
        <v>GSM559714</v>
      </c>
      <c r="I1973" t="s">
        <v>59</v>
      </c>
      <c r="J1973" t="s">
        <v>60</v>
      </c>
      <c r="K1973" t="s">
        <v>19</v>
      </c>
      <c r="L1973" t="s">
        <v>61</v>
      </c>
      <c r="M1973" t="s">
        <v>41</v>
      </c>
      <c r="N1973" t="s">
        <v>22</v>
      </c>
    </row>
    <row r="1974" spans="1:14">
      <c r="A1974" s="4" t="str">
        <f t="shared" si="177"/>
        <v>EXP00050</v>
      </c>
      <c r="B1974" s="4" t="str">
        <f t="shared" si="178"/>
        <v>22213152</v>
      </c>
      <c r="C1974" s="4" t="str">
        <f t="shared" si="179"/>
        <v>GSE22541</v>
      </c>
      <c r="D1974" s="1" t="s">
        <v>45</v>
      </c>
      <c r="E1974" t="s">
        <v>129</v>
      </c>
      <c r="F1974" s="1">
        <v>1</v>
      </c>
      <c r="G1974" s="1" t="s">
        <v>26</v>
      </c>
      <c r="H1974" s="4" t="str">
        <f>HYPERLINK("https://www.ncbi.nlm.nih.gov/geo/query/acc.cgi?acc=GSM559715","GSM559715")</f>
        <v>GSM559715</v>
      </c>
      <c r="I1974" t="s">
        <v>59</v>
      </c>
      <c r="J1974" t="s">
        <v>60</v>
      </c>
      <c r="K1974" t="s">
        <v>19</v>
      </c>
      <c r="L1974" t="s">
        <v>61</v>
      </c>
      <c r="M1974" t="s">
        <v>41</v>
      </c>
      <c r="N1974" t="s">
        <v>22</v>
      </c>
    </row>
    <row r="1975" spans="1:14">
      <c r="A1975" s="4" t="str">
        <f t="shared" si="177"/>
        <v>EXP00050</v>
      </c>
      <c r="B1975" s="4" t="str">
        <f t="shared" si="178"/>
        <v>22213152</v>
      </c>
      <c r="C1975" s="4" t="str">
        <f t="shared" si="179"/>
        <v>GSE22541</v>
      </c>
      <c r="D1975" s="1" t="s">
        <v>45</v>
      </c>
      <c r="E1975" t="s">
        <v>129</v>
      </c>
      <c r="F1975" s="1">
        <v>1</v>
      </c>
      <c r="G1975" s="1" t="s">
        <v>26</v>
      </c>
      <c r="H1975" s="4" t="str">
        <f>HYPERLINK("https://www.ncbi.nlm.nih.gov/geo/query/acc.cgi?acc=GSM559716","GSM559716")</f>
        <v>GSM559716</v>
      </c>
      <c r="I1975" t="s">
        <v>59</v>
      </c>
      <c r="J1975" t="s">
        <v>60</v>
      </c>
      <c r="K1975" t="s">
        <v>19</v>
      </c>
      <c r="L1975" t="s">
        <v>61</v>
      </c>
      <c r="M1975" t="s">
        <v>41</v>
      </c>
      <c r="N1975" t="s">
        <v>22</v>
      </c>
    </row>
    <row r="1976" spans="1:14">
      <c r="A1976" s="4" t="str">
        <f t="shared" ref="A1976:A2004" si="180">HYPERLINK("http://hcmdb.i-sanger.com/experiment/details/experiment_id/EXP00050","EXP00050")</f>
        <v>EXP00050</v>
      </c>
      <c r="B1976" s="4" t="str">
        <f t="shared" si="178"/>
        <v>22213152</v>
      </c>
      <c r="C1976" s="4" t="str">
        <f t="shared" si="179"/>
        <v>GSE22541</v>
      </c>
      <c r="D1976" s="1" t="s">
        <v>45</v>
      </c>
      <c r="E1976" t="s">
        <v>129</v>
      </c>
      <c r="F1976" s="1">
        <v>1</v>
      </c>
      <c r="G1976" s="1" t="s">
        <v>26</v>
      </c>
      <c r="H1976" s="4" t="str">
        <f>HYPERLINK("https://www.ncbi.nlm.nih.gov/geo/query/acc.cgi?acc=GSM559717","GSM559717")</f>
        <v>GSM559717</v>
      </c>
      <c r="I1976" t="s">
        <v>59</v>
      </c>
      <c r="J1976" t="s">
        <v>60</v>
      </c>
      <c r="K1976" t="s">
        <v>19</v>
      </c>
      <c r="L1976" t="s">
        <v>61</v>
      </c>
      <c r="M1976" t="s">
        <v>41</v>
      </c>
      <c r="N1976" t="s">
        <v>22</v>
      </c>
    </row>
    <row r="1977" spans="1:14">
      <c r="A1977" s="4" t="str">
        <f t="shared" si="180"/>
        <v>EXP00050</v>
      </c>
      <c r="B1977" s="4" t="str">
        <f t="shared" si="178"/>
        <v>22213152</v>
      </c>
      <c r="C1977" s="4" t="str">
        <f t="shared" si="179"/>
        <v>GSE22541</v>
      </c>
      <c r="D1977" s="1" t="s">
        <v>45</v>
      </c>
      <c r="E1977" t="s">
        <v>129</v>
      </c>
      <c r="F1977" s="1">
        <v>1</v>
      </c>
      <c r="G1977" s="1" t="s">
        <v>26</v>
      </c>
      <c r="H1977" s="4" t="str">
        <f>HYPERLINK("https://www.ncbi.nlm.nih.gov/geo/query/acc.cgi?acc=GSM559718","GSM559718")</f>
        <v>GSM559718</v>
      </c>
      <c r="I1977" t="s">
        <v>59</v>
      </c>
      <c r="J1977" t="s">
        <v>60</v>
      </c>
      <c r="K1977" t="s">
        <v>19</v>
      </c>
      <c r="L1977" t="s">
        <v>61</v>
      </c>
      <c r="M1977" t="s">
        <v>41</v>
      </c>
      <c r="N1977" t="s">
        <v>22</v>
      </c>
    </row>
    <row r="1978" spans="1:14">
      <c r="A1978" s="4" t="str">
        <f t="shared" si="180"/>
        <v>EXP00050</v>
      </c>
      <c r="B1978" s="4" t="str">
        <f t="shared" si="178"/>
        <v>22213152</v>
      </c>
      <c r="C1978" s="4" t="str">
        <f t="shared" si="179"/>
        <v>GSE22541</v>
      </c>
      <c r="D1978" s="1" t="s">
        <v>45</v>
      </c>
      <c r="E1978" t="s">
        <v>129</v>
      </c>
      <c r="F1978" s="1">
        <v>1</v>
      </c>
      <c r="G1978" s="1" t="s">
        <v>26</v>
      </c>
      <c r="H1978" s="4" t="str">
        <f>HYPERLINK("https://www.ncbi.nlm.nih.gov/geo/query/acc.cgi?acc=GSM559719","GSM559719")</f>
        <v>GSM559719</v>
      </c>
      <c r="I1978" t="s">
        <v>59</v>
      </c>
      <c r="J1978" t="s">
        <v>60</v>
      </c>
      <c r="K1978" t="s">
        <v>19</v>
      </c>
      <c r="L1978" t="s">
        <v>61</v>
      </c>
      <c r="M1978" t="s">
        <v>41</v>
      </c>
      <c r="N1978" t="s">
        <v>22</v>
      </c>
    </row>
    <row r="1979" spans="1:14">
      <c r="A1979" s="4" t="str">
        <f t="shared" si="180"/>
        <v>EXP00050</v>
      </c>
      <c r="B1979" s="4" t="str">
        <f t="shared" si="178"/>
        <v>22213152</v>
      </c>
      <c r="C1979" s="4" t="str">
        <f t="shared" si="179"/>
        <v>GSE22541</v>
      </c>
      <c r="D1979" s="1" t="s">
        <v>45</v>
      </c>
      <c r="E1979" t="s">
        <v>129</v>
      </c>
      <c r="F1979" s="1">
        <v>1</v>
      </c>
      <c r="G1979" s="1" t="s">
        <v>26</v>
      </c>
      <c r="H1979" s="4" t="str">
        <f>HYPERLINK("https://www.ncbi.nlm.nih.gov/geo/query/acc.cgi?acc=GSM559720","GSM559720")</f>
        <v>GSM559720</v>
      </c>
      <c r="I1979" t="s">
        <v>59</v>
      </c>
      <c r="J1979" t="s">
        <v>60</v>
      </c>
      <c r="K1979" t="s">
        <v>19</v>
      </c>
      <c r="L1979" t="s">
        <v>61</v>
      </c>
      <c r="M1979" t="s">
        <v>41</v>
      </c>
      <c r="N1979" t="s">
        <v>22</v>
      </c>
    </row>
    <row r="1980" spans="1:14">
      <c r="A1980" s="4" t="str">
        <f t="shared" si="180"/>
        <v>EXP00050</v>
      </c>
      <c r="B1980" s="4" t="str">
        <f t="shared" si="178"/>
        <v>22213152</v>
      </c>
      <c r="C1980" s="4" t="str">
        <f t="shared" si="179"/>
        <v>GSE22541</v>
      </c>
      <c r="D1980" s="1" t="s">
        <v>45</v>
      </c>
      <c r="E1980" t="s">
        <v>129</v>
      </c>
      <c r="F1980" s="1">
        <v>1</v>
      </c>
      <c r="G1980" s="1" t="s">
        <v>26</v>
      </c>
      <c r="H1980" s="4" t="str">
        <f>HYPERLINK("https://www.ncbi.nlm.nih.gov/geo/query/acc.cgi?acc=GSM559721","GSM559721")</f>
        <v>GSM559721</v>
      </c>
      <c r="I1980" t="s">
        <v>59</v>
      </c>
      <c r="J1980" t="s">
        <v>60</v>
      </c>
      <c r="K1980" t="s">
        <v>19</v>
      </c>
      <c r="L1980" t="s">
        <v>61</v>
      </c>
      <c r="M1980" t="s">
        <v>41</v>
      </c>
      <c r="N1980" t="s">
        <v>22</v>
      </c>
    </row>
    <row r="1981" spans="1:14">
      <c r="A1981" s="4" t="str">
        <f t="shared" si="180"/>
        <v>EXP00050</v>
      </c>
      <c r="B1981" s="4" t="str">
        <f t="shared" si="178"/>
        <v>22213152</v>
      </c>
      <c r="C1981" s="4" t="str">
        <f t="shared" si="179"/>
        <v>GSE22541</v>
      </c>
      <c r="D1981" s="1" t="s">
        <v>45</v>
      </c>
      <c r="E1981" t="s">
        <v>129</v>
      </c>
      <c r="F1981" s="1">
        <v>1</v>
      </c>
      <c r="G1981" s="1" t="s">
        <v>26</v>
      </c>
      <c r="H1981" s="4" t="str">
        <f>HYPERLINK("https://www.ncbi.nlm.nih.gov/geo/query/acc.cgi?acc=GSM559722","GSM559722")</f>
        <v>GSM559722</v>
      </c>
      <c r="I1981" t="s">
        <v>59</v>
      </c>
      <c r="J1981" t="s">
        <v>60</v>
      </c>
      <c r="K1981" t="s">
        <v>19</v>
      </c>
      <c r="L1981" t="s">
        <v>61</v>
      </c>
      <c r="M1981" t="s">
        <v>41</v>
      </c>
      <c r="N1981" t="s">
        <v>22</v>
      </c>
    </row>
    <row r="1982" spans="1:14">
      <c r="A1982" s="4" t="str">
        <f t="shared" si="180"/>
        <v>EXP00050</v>
      </c>
      <c r="B1982" s="4" t="str">
        <f t="shared" si="178"/>
        <v>22213152</v>
      </c>
      <c r="C1982" s="4" t="str">
        <f t="shared" si="179"/>
        <v>GSE22541</v>
      </c>
      <c r="D1982" s="1" t="s">
        <v>45</v>
      </c>
      <c r="E1982" t="s">
        <v>129</v>
      </c>
      <c r="F1982" s="1">
        <v>1</v>
      </c>
      <c r="G1982" s="1" t="s">
        <v>26</v>
      </c>
      <c r="H1982" s="4" t="str">
        <f>HYPERLINK("https://www.ncbi.nlm.nih.gov/geo/query/acc.cgi?acc=GSM559723","GSM559723")</f>
        <v>GSM559723</v>
      </c>
      <c r="I1982" t="s">
        <v>59</v>
      </c>
      <c r="J1982" t="s">
        <v>60</v>
      </c>
      <c r="K1982" t="s">
        <v>19</v>
      </c>
      <c r="L1982" t="s">
        <v>61</v>
      </c>
      <c r="M1982" t="s">
        <v>41</v>
      </c>
      <c r="N1982" t="s">
        <v>22</v>
      </c>
    </row>
    <row r="1983" spans="1:14">
      <c r="A1983" s="4" t="str">
        <f t="shared" si="180"/>
        <v>EXP00050</v>
      </c>
      <c r="B1983" s="4" t="str">
        <f t="shared" si="178"/>
        <v>22213152</v>
      </c>
      <c r="C1983" s="4" t="str">
        <f t="shared" si="179"/>
        <v>GSE22541</v>
      </c>
      <c r="D1983" s="1" t="s">
        <v>45</v>
      </c>
      <c r="E1983" t="s">
        <v>129</v>
      </c>
      <c r="F1983" s="1">
        <v>1</v>
      </c>
      <c r="G1983" s="1" t="s">
        <v>26</v>
      </c>
      <c r="H1983" s="4" t="str">
        <f>HYPERLINK("https://www.ncbi.nlm.nih.gov/geo/query/acc.cgi?acc=GSM559724","GSM559724")</f>
        <v>GSM559724</v>
      </c>
      <c r="I1983" t="s">
        <v>59</v>
      </c>
      <c r="J1983" t="s">
        <v>60</v>
      </c>
      <c r="K1983" t="s">
        <v>19</v>
      </c>
      <c r="L1983" t="s">
        <v>61</v>
      </c>
      <c r="M1983" t="s">
        <v>41</v>
      </c>
      <c r="N1983" t="s">
        <v>22</v>
      </c>
    </row>
    <row r="1984" spans="1:14">
      <c r="A1984" s="4" t="str">
        <f t="shared" si="180"/>
        <v>EXP00050</v>
      </c>
      <c r="B1984" s="4" t="str">
        <f t="shared" si="178"/>
        <v>22213152</v>
      </c>
      <c r="C1984" s="4" t="str">
        <f t="shared" si="179"/>
        <v>GSE22541</v>
      </c>
      <c r="D1984" s="1" t="s">
        <v>45</v>
      </c>
      <c r="E1984" t="s">
        <v>129</v>
      </c>
      <c r="F1984" s="1">
        <v>1</v>
      </c>
      <c r="G1984" s="1" t="s">
        <v>26</v>
      </c>
      <c r="H1984" s="4" t="str">
        <f>HYPERLINK("https://www.ncbi.nlm.nih.gov/geo/query/acc.cgi?acc=GSM559725","GSM559725")</f>
        <v>GSM559725</v>
      </c>
      <c r="I1984" t="s">
        <v>59</v>
      </c>
      <c r="J1984" t="s">
        <v>60</v>
      </c>
      <c r="K1984" t="s">
        <v>19</v>
      </c>
      <c r="L1984" t="s">
        <v>61</v>
      </c>
      <c r="M1984" t="s">
        <v>41</v>
      </c>
      <c r="N1984" t="s">
        <v>22</v>
      </c>
    </row>
    <row r="1985" spans="1:14">
      <c r="A1985" s="4" t="str">
        <f t="shared" si="180"/>
        <v>EXP00050</v>
      </c>
      <c r="B1985" s="4" t="str">
        <f t="shared" si="178"/>
        <v>22213152</v>
      </c>
      <c r="C1985" s="4" t="str">
        <f t="shared" si="179"/>
        <v>GSE22541</v>
      </c>
      <c r="D1985" s="1" t="s">
        <v>45</v>
      </c>
      <c r="E1985" t="s">
        <v>129</v>
      </c>
      <c r="F1985" s="1">
        <v>1</v>
      </c>
      <c r="G1985" s="1" t="s">
        <v>26</v>
      </c>
      <c r="H1985" s="4" t="str">
        <f>HYPERLINK("https://www.ncbi.nlm.nih.gov/geo/query/acc.cgi?acc=GSM559726","GSM559726")</f>
        <v>GSM559726</v>
      </c>
      <c r="I1985" t="s">
        <v>59</v>
      </c>
      <c r="J1985" t="s">
        <v>60</v>
      </c>
      <c r="K1985" t="s">
        <v>19</v>
      </c>
      <c r="L1985" t="s">
        <v>61</v>
      </c>
      <c r="M1985" t="s">
        <v>41</v>
      </c>
      <c r="N1985" t="s">
        <v>22</v>
      </c>
    </row>
    <row r="1986" spans="1:14">
      <c r="A1986" s="4" t="str">
        <f t="shared" si="180"/>
        <v>EXP00050</v>
      </c>
      <c r="B1986" s="4" t="str">
        <f t="shared" ref="B1986:B2004" si="181">HYPERLINK("https://www.ncbi.nlm.nih.gov/pubmed/22213152","22213152")</f>
        <v>22213152</v>
      </c>
      <c r="C1986" s="4" t="str">
        <f t="shared" ref="C1986:C2004" si="182">HYPERLINK("https://www.ncbi.nlm.nih.gov/geo/query/acc.cgi?acc=GSE22541","GSE22541")</f>
        <v>GSE22541</v>
      </c>
      <c r="D1986" s="1" t="s">
        <v>45</v>
      </c>
      <c r="E1986" t="s">
        <v>129</v>
      </c>
      <c r="F1986" s="1">
        <v>1</v>
      </c>
      <c r="G1986" s="1" t="s">
        <v>26</v>
      </c>
      <c r="H1986" s="4" t="str">
        <f>HYPERLINK("https://www.ncbi.nlm.nih.gov/geo/query/acc.cgi?acc=GSM559727","GSM559727")</f>
        <v>GSM559727</v>
      </c>
      <c r="I1986" t="s">
        <v>59</v>
      </c>
      <c r="J1986" t="s">
        <v>60</v>
      </c>
      <c r="K1986" t="s">
        <v>19</v>
      </c>
      <c r="L1986" t="s">
        <v>61</v>
      </c>
      <c r="M1986" t="s">
        <v>41</v>
      </c>
      <c r="N1986" t="s">
        <v>22</v>
      </c>
    </row>
    <row r="1987" spans="1:14">
      <c r="A1987" s="4" t="str">
        <f t="shared" si="180"/>
        <v>EXP00050</v>
      </c>
      <c r="B1987" s="4" t="str">
        <f t="shared" si="181"/>
        <v>22213152</v>
      </c>
      <c r="C1987" s="4" t="str">
        <f t="shared" si="182"/>
        <v>GSE22541</v>
      </c>
      <c r="D1987" s="1" t="s">
        <v>45</v>
      </c>
      <c r="E1987" t="s">
        <v>129</v>
      </c>
      <c r="F1987" s="1">
        <v>1</v>
      </c>
      <c r="G1987" s="1" t="s">
        <v>26</v>
      </c>
      <c r="H1987" s="4" t="str">
        <f>HYPERLINK("https://www.ncbi.nlm.nih.gov/geo/query/acc.cgi?acc=GSM559728","GSM559728")</f>
        <v>GSM559728</v>
      </c>
      <c r="I1987" t="s">
        <v>59</v>
      </c>
      <c r="J1987" t="s">
        <v>60</v>
      </c>
      <c r="K1987" t="s">
        <v>19</v>
      </c>
      <c r="L1987" t="s">
        <v>61</v>
      </c>
      <c r="M1987" t="s">
        <v>41</v>
      </c>
      <c r="N1987" t="s">
        <v>22</v>
      </c>
    </row>
    <row r="1988" spans="1:14">
      <c r="A1988" s="4" t="str">
        <f t="shared" si="180"/>
        <v>EXP00050</v>
      </c>
      <c r="B1988" s="4" t="str">
        <f t="shared" si="181"/>
        <v>22213152</v>
      </c>
      <c r="C1988" s="4" t="str">
        <f t="shared" si="182"/>
        <v>GSE22541</v>
      </c>
      <c r="D1988" s="1" t="s">
        <v>45</v>
      </c>
      <c r="E1988" t="s">
        <v>129</v>
      </c>
      <c r="F1988" s="1">
        <v>2</v>
      </c>
      <c r="G1988" s="1" t="s">
        <v>28</v>
      </c>
      <c r="H1988" s="4" t="str">
        <f>HYPERLINK("https://www.ncbi.nlm.nih.gov/geo/query/acc.cgi?acc=GSM559577","GSM559577")</f>
        <v>GSM559577</v>
      </c>
      <c r="I1988" t="s">
        <v>59</v>
      </c>
      <c r="J1988" t="s">
        <v>60</v>
      </c>
      <c r="K1988" t="s">
        <v>19</v>
      </c>
      <c r="L1988" t="s">
        <v>61</v>
      </c>
      <c r="M1988" t="s">
        <v>130</v>
      </c>
      <c r="N1988" t="s">
        <v>29</v>
      </c>
    </row>
    <row r="1989" spans="1:14">
      <c r="A1989" s="4" t="str">
        <f t="shared" si="180"/>
        <v>EXP00050</v>
      </c>
      <c r="B1989" s="4" t="str">
        <f t="shared" si="181"/>
        <v>22213152</v>
      </c>
      <c r="C1989" s="4" t="str">
        <f t="shared" si="182"/>
        <v>GSE22541</v>
      </c>
      <c r="D1989" s="1" t="s">
        <v>45</v>
      </c>
      <c r="E1989" t="s">
        <v>129</v>
      </c>
      <c r="F1989" s="1">
        <v>2</v>
      </c>
      <c r="G1989" s="1" t="s">
        <v>28</v>
      </c>
      <c r="H1989" s="4" t="str">
        <f>HYPERLINK("https://www.ncbi.nlm.nih.gov/geo/query/acc.cgi?acc=GSM559578","GSM559578")</f>
        <v>GSM559578</v>
      </c>
      <c r="I1989" t="s">
        <v>59</v>
      </c>
      <c r="J1989" t="s">
        <v>60</v>
      </c>
      <c r="K1989" t="s">
        <v>19</v>
      </c>
      <c r="L1989" t="s">
        <v>61</v>
      </c>
      <c r="M1989" t="s">
        <v>131</v>
      </c>
      <c r="N1989" t="s">
        <v>29</v>
      </c>
    </row>
    <row r="1990" spans="1:14">
      <c r="A1990" s="4" t="str">
        <f t="shared" si="180"/>
        <v>EXP00050</v>
      </c>
      <c r="B1990" s="4" t="str">
        <f t="shared" si="181"/>
        <v>22213152</v>
      </c>
      <c r="C1990" s="4" t="str">
        <f t="shared" si="182"/>
        <v>GSE22541</v>
      </c>
      <c r="D1990" s="1" t="s">
        <v>45</v>
      </c>
      <c r="E1990" t="s">
        <v>129</v>
      </c>
      <c r="F1990" s="1">
        <v>2</v>
      </c>
      <c r="G1990" s="1" t="s">
        <v>28</v>
      </c>
      <c r="H1990" s="4" t="str">
        <f>HYPERLINK("https://www.ncbi.nlm.nih.gov/geo/query/acc.cgi?acc=GSM559579","GSM559579")</f>
        <v>GSM559579</v>
      </c>
      <c r="I1990" t="s">
        <v>59</v>
      </c>
      <c r="J1990" t="s">
        <v>60</v>
      </c>
      <c r="K1990" t="s">
        <v>19</v>
      </c>
      <c r="L1990" t="s">
        <v>61</v>
      </c>
      <c r="M1990" t="s">
        <v>132</v>
      </c>
      <c r="N1990" t="s">
        <v>29</v>
      </c>
    </row>
    <row r="1991" spans="1:14">
      <c r="A1991" s="4" t="str">
        <f t="shared" si="180"/>
        <v>EXP00050</v>
      </c>
      <c r="B1991" s="4" t="str">
        <f t="shared" si="181"/>
        <v>22213152</v>
      </c>
      <c r="C1991" s="4" t="str">
        <f t="shared" si="182"/>
        <v>GSE22541</v>
      </c>
      <c r="D1991" s="1" t="s">
        <v>45</v>
      </c>
      <c r="E1991" t="s">
        <v>129</v>
      </c>
      <c r="F1991" s="1">
        <v>2</v>
      </c>
      <c r="G1991" s="1" t="s">
        <v>28</v>
      </c>
      <c r="H1991" s="4" t="str">
        <f>HYPERLINK("https://www.ncbi.nlm.nih.gov/geo/query/acc.cgi?acc=GSM559580","GSM559580")</f>
        <v>GSM559580</v>
      </c>
      <c r="I1991" t="s">
        <v>59</v>
      </c>
      <c r="J1991" t="s">
        <v>60</v>
      </c>
      <c r="K1991" t="s">
        <v>19</v>
      </c>
      <c r="L1991" t="s">
        <v>61</v>
      </c>
      <c r="M1991" t="s">
        <v>133</v>
      </c>
      <c r="N1991" t="s">
        <v>29</v>
      </c>
    </row>
    <row r="1992" spans="1:14">
      <c r="A1992" s="4" t="str">
        <f t="shared" si="180"/>
        <v>EXP00050</v>
      </c>
      <c r="B1992" s="4" t="str">
        <f t="shared" si="181"/>
        <v>22213152</v>
      </c>
      <c r="C1992" s="4" t="str">
        <f t="shared" si="182"/>
        <v>GSE22541</v>
      </c>
      <c r="D1992" s="1" t="s">
        <v>45</v>
      </c>
      <c r="E1992" t="s">
        <v>129</v>
      </c>
      <c r="F1992" s="1">
        <v>2</v>
      </c>
      <c r="G1992" s="1" t="s">
        <v>28</v>
      </c>
      <c r="H1992" s="4" t="str">
        <f>HYPERLINK("https://www.ncbi.nlm.nih.gov/geo/query/acc.cgi?acc=GSM559581","GSM559581")</f>
        <v>GSM559581</v>
      </c>
      <c r="I1992" t="s">
        <v>59</v>
      </c>
      <c r="J1992" t="s">
        <v>60</v>
      </c>
      <c r="K1992" t="s">
        <v>19</v>
      </c>
      <c r="L1992" t="s">
        <v>61</v>
      </c>
      <c r="M1992" t="s">
        <v>50</v>
      </c>
      <c r="N1992" t="s">
        <v>29</v>
      </c>
    </row>
    <row r="1993" spans="1:14">
      <c r="A1993" s="4" t="str">
        <f t="shared" si="180"/>
        <v>EXP00050</v>
      </c>
      <c r="B1993" s="4" t="str">
        <f t="shared" si="181"/>
        <v>22213152</v>
      </c>
      <c r="C1993" s="4" t="str">
        <f t="shared" si="182"/>
        <v>GSE22541</v>
      </c>
      <c r="D1993" s="1" t="s">
        <v>45</v>
      </c>
      <c r="E1993" t="s">
        <v>129</v>
      </c>
      <c r="F1993" s="1">
        <v>2</v>
      </c>
      <c r="G1993" s="1" t="s">
        <v>28</v>
      </c>
      <c r="H1993" s="4" t="str">
        <f>HYPERLINK("https://www.ncbi.nlm.nih.gov/geo/query/acc.cgi?acc=GSM559583","GSM559583")</f>
        <v>GSM559583</v>
      </c>
      <c r="I1993" t="s">
        <v>59</v>
      </c>
      <c r="J1993" t="s">
        <v>60</v>
      </c>
      <c r="K1993" t="s">
        <v>19</v>
      </c>
      <c r="L1993" t="s">
        <v>61</v>
      </c>
      <c r="M1993" t="s">
        <v>24</v>
      </c>
      <c r="N1993" t="s">
        <v>29</v>
      </c>
    </row>
    <row r="1994" spans="1:14">
      <c r="A1994" s="4" t="str">
        <f t="shared" si="180"/>
        <v>EXP00050</v>
      </c>
      <c r="B1994" s="4" t="str">
        <f t="shared" si="181"/>
        <v>22213152</v>
      </c>
      <c r="C1994" s="4" t="str">
        <f t="shared" si="182"/>
        <v>GSE22541</v>
      </c>
      <c r="D1994" s="1" t="s">
        <v>45</v>
      </c>
      <c r="E1994" t="s">
        <v>129</v>
      </c>
      <c r="F1994" s="1">
        <v>2</v>
      </c>
      <c r="G1994" s="1" t="s">
        <v>28</v>
      </c>
      <c r="H1994" s="4" t="str">
        <f>HYPERLINK("https://www.ncbi.nlm.nih.gov/geo/query/acc.cgi?acc=GSM559585","GSM559585")</f>
        <v>GSM559585</v>
      </c>
      <c r="I1994" t="s">
        <v>59</v>
      </c>
      <c r="J1994" t="s">
        <v>60</v>
      </c>
      <c r="K1994" t="s">
        <v>19</v>
      </c>
      <c r="L1994" t="s">
        <v>61</v>
      </c>
      <c r="M1994" t="s">
        <v>134</v>
      </c>
      <c r="N1994" t="s">
        <v>29</v>
      </c>
    </row>
    <row r="1995" spans="1:14">
      <c r="A1995" s="4" t="str">
        <f t="shared" si="180"/>
        <v>EXP00050</v>
      </c>
      <c r="B1995" s="4" t="str">
        <f t="shared" si="181"/>
        <v>22213152</v>
      </c>
      <c r="C1995" s="4" t="str">
        <f t="shared" si="182"/>
        <v>GSE22541</v>
      </c>
      <c r="D1995" s="1" t="s">
        <v>45</v>
      </c>
      <c r="E1995" t="s">
        <v>129</v>
      </c>
      <c r="F1995" s="1">
        <v>2</v>
      </c>
      <c r="G1995" s="1" t="s">
        <v>28</v>
      </c>
      <c r="H1995" s="4" t="str">
        <f>HYPERLINK("https://www.ncbi.nlm.nih.gov/geo/query/acc.cgi?acc=GSM559587","GSM559587")</f>
        <v>GSM559587</v>
      </c>
      <c r="I1995" t="s">
        <v>59</v>
      </c>
      <c r="J1995" t="s">
        <v>60</v>
      </c>
      <c r="K1995" t="s">
        <v>19</v>
      </c>
      <c r="L1995" t="s">
        <v>61</v>
      </c>
      <c r="M1995" t="s">
        <v>41</v>
      </c>
      <c r="N1995" t="s">
        <v>29</v>
      </c>
    </row>
    <row r="1996" spans="1:14">
      <c r="A1996" s="4" t="str">
        <f t="shared" si="180"/>
        <v>EXP00050</v>
      </c>
      <c r="B1996" s="4" t="str">
        <f t="shared" si="181"/>
        <v>22213152</v>
      </c>
      <c r="C1996" s="4" t="str">
        <f t="shared" si="182"/>
        <v>GSE22541</v>
      </c>
      <c r="D1996" s="1" t="s">
        <v>45</v>
      </c>
      <c r="E1996" t="s">
        <v>129</v>
      </c>
      <c r="F1996" s="1">
        <v>2</v>
      </c>
      <c r="G1996" s="1" t="s">
        <v>28</v>
      </c>
      <c r="H1996" s="4" t="str">
        <f>HYPERLINK("https://www.ncbi.nlm.nih.gov/geo/query/acc.cgi?acc=GSM559589","GSM559589")</f>
        <v>GSM559589</v>
      </c>
      <c r="I1996" t="s">
        <v>59</v>
      </c>
      <c r="J1996" t="s">
        <v>60</v>
      </c>
      <c r="K1996" t="s">
        <v>19</v>
      </c>
      <c r="L1996" t="s">
        <v>61</v>
      </c>
      <c r="M1996" t="s">
        <v>135</v>
      </c>
      <c r="N1996" t="s">
        <v>29</v>
      </c>
    </row>
    <row r="1997" spans="1:14">
      <c r="A1997" s="4" t="str">
        <f t="shared" si="180"/>
        <v>EXP00050</v>
      </c>
      <c r="B1997" s="4" t="str">
        <f t="shared" si="181"/>
        <v>22213152</v>
      </c>
      <c r="C1997" s="4" t="str">
        <f t="shared" si="182"/>
        <v>GSE22541</v>
      </c>
      <c r="D1997" s="1" t="s">
        <v>45</v>
      </c>
      <c r="E1997" t="s">
        <v>129</v>
      </c>
      <c r="F1997" s="1">
        <v>2</v>
      </c>
      <c r="G1997" s="1" t="s">
        <v>28</v>
      </c>
      <c r="H1997" s="4" t="str">
        <f>HYPERLINK("https://www.ncbi.nlm.nih.gov/geo/query/acc.cgi?acc=GSM559591","GSM559591")</f>
        <v>GSM559591</v>
      </c>
      <c r="I1997" t="s">
        <v>59</v>
      </c>
      <c r="J1997" t="s">
        <v>60</v>
      </c>
      <c r="K1997" t="s">
        <v>19</v>
      </c>
      <c r="L1997" t="s">
        <v>61</v>
      </c>
      <c r="M1997" t="s">
        <v>136</v>
      </c>
      <c r="N1997" t="s">
        <v>29</v>
      </c>
    </row>
    <row r="1998" spans="1:14">
      <c r="A1998" s="4" t="str">
        <f t="shared" si="180"/>
        <v>EXP00050</v>
      </c>
      <c r="B1998" s="4" t="str">
        <f t="shared" si="181"/>
        <v>22213152</v>
      </c>
      <c r="C1998" s="4" t="str">
        <f t="shared" si="182"/>
        <v>GSE22541</v>
      </c>
      <c r="D1998" s="1" t="s">
        <v>45</v>
      </c>
      <c r="E1998" t="s">
        <v>129</v>
      </c>
      <c r="F1998" s="1">
        <v>2</v>
      </c>
      <c r="G1998" s="1" t="s">
        <v>28</v>
      </c>
      <c r="H1998" s="4" t="str">
        <f>HYPERLINK("https://www.ncbi.nlm.nih.gov/geo/query/acc.cgi?acc=GSM559592","GSM559592")</f>
        <v>GSM559592</v>
      </c>
      <c r="I1998" t="s">
        <v>59</v>
      </c>
      <c r="J1998" t="s">
        <v>60</v>
      </c>
      <c r="K1998" t="s">
        <v>19</v>
      </c>
      <c r="L1998" t="s">
        <v>61</v>
      </c>
      <c r="M1998" t="s">
        <v>137</v>
      </c>
      <c r="N1998" t="s">
        <v>29</v>
      </c>
    </row>
    <row r="1999" spans="1:14">
      <c r="A1999" s="4" t="str">
        <f t="shared" si="180"/>
        <v>EXP00050</v>
      </c>
      <c r="B1999" s="4" t="str">
        <f t="shared" si="181"/>
        <v>22213152</v>
      </c>
      <c r="C1999" s="4" t="str">
        <f t="shared" si="182"/>
        <v>GSE22541</v>
      </c>
      <c r="D1999" s="1" t="s">
        <v>45</v>
      </c>
      <c r="E1999" t="s">
        <v>129</v>
      </c>
      <c r="F1999" s="1">
        <v>2</v>
      </c>
      <c r="G1999" s="1" t="s">
        <v>28</v>
      </c>
      <c r="H1999" s="4" t="str">
        <f>HYPERLINK("https://www.ncbi.nlm.nih.gov/geo/query/acc.cgi?acc=GSM559595","GSM559595")</f>
        <v>GSM559595</v>
      </c>
      <c r="I1999" t="s">
        <v>59</v>
      </c>
      <c r="J1999" t="s">
        <v>60</v>
      </c>
      <c r="K1999" t="s">
        <v>19</v>
      </c>
      <c r="L1999" t="s">
        <v>61</v>
      </c>
      <c r="M1999" t="s">
        <v>41</v>
      </c>
      <c r="N1999" t="s">
        <v>29</v>
      </c>
    </row>
    <row r="2000" spans="1:14">
      <c r="A2000" s="4" t="str">
        <f t="shared" si="180"/>
        <v>EXP00050</v>
      </c>
      <c r="B2000" s="4" t="str">
        <f t="shared" si="181"/>
        <v>22213152</v>
      </c>
      <c r="C2000" s="4" t="str">
        <f t="shared" si="182"/>
        <v>GSE22541</v>
      </c>
      <c r="D2000" s="1" t="s">
        <v>45</v>
      </c>
      <c r="E2000" t="s">
        <v>129</v>
      </c>
      <c r="F2000" s="1">
        <v>2</v>
      </c>
      <c r="G2000" s="1" t="s">
        <v>28</v>
      </c>
      <c r="H2000" s="4" t="str">
        <f>HYPERLINK("https://www.ncbi.nlm.nih.gov/geo/query/acc.cgi?acc=GSM559596","GSM559596")</f>
        <v>GSM559596</v>
      </c>
      <c r="I2000" t="s">
        <v>59</v>
      </c>
      <c r="J2000" t="s">
        <v>60</v>
      </c>
      <c r="K2000" t="s">
        <v>19</v>
      </c>
      <c r="L2000" t="s">
        <v>61</v>
      </c>
      <c r="M2000" t="s">
        <v>27</v>
      </c>
      <c r="N2000" t="s">
        <v>29</v>
      </c>
    </row>
    <row r="2001" spans="1:14">
      <c r="A2001" s="4" t="str">
        <f t="shared" si="180"/>
        <v>EXP00050</v>
      </c>
      <c r="B2001" s="4" t="str">
        <f t="shared" si="181"/>
        <v>22213152</v>
      </c>
      <c r="C2001" s="4" t="str">
        <f t="shared" si="182"/>
        <v>GSE22541</v>
      </c>
      <c r="D2001" s="1" t="s">
        <v>45</v>
      </c>
      <c r="E2001" t="s">
        <v>129</v>
      </c>
      <c r="F2001" s="1">
        <v>2</v>
      </c>
      <c r="G2001" s="1" t="s">
        <v>28</v>
      </c>
      <c r="H2001" s="4" t="str">
        <f>HYPERLINK("https://www.ncbi.nlm.nih.gov/geo/query/acc.cgi?acc=GSM559597","GSM559597")</f>
        <v>GSM559597</v>
      </c>
      <c r="I2001" t="s">
        <v>59</v>
      </c>
      <c r="J2001" t="s">
        <v>60</v>
      </c>
      <c r="K2001" t="s">
        <v>19</v>
      </c>
      <c r="L2001" t="s">
        <v>61</v>
      </c>
      <c r="M2001" t="s">
        <v>41</v>
      </c>
      <c r="N2001" t="s">
        <v>29</v>
      </c>
    </row>
    <row r="2002" spans="1:14">
      <c r="A2002" s="4" t="str">
        <f t="shared" si="180"/>
        <v>EXP00050</v>
      </c>
      <c r="B2002" s="4" t="str">
        <f t="shared" si="181"/>
        <v>22213152</v>
      </c>
      <c r="C2002" s="4" t="str">
        <f t="shared" si="182"/>
        <v>GSE22541</v>
      </c>
      <c r="D2002" s="1" t="s">
        <v>45</v>
      </c>
      <c r="E2002" t="s">
        <v>129</v>
      </c>
      <c r="F2002" s="1">
        <v>2</v>
      </c>
      <c r="G2002" s="1" t="s">
        <v>28</v>
      </c>
      <c r="H2002" s="4" t="str">
        <f>HYPERLINK("https://www.ncbi.nlm.nih.gov/geo/query/acc.cgi?acc=GSM559598","GSM559598")</f>
        <v>GSM559598</v>
      </c>
      <c r="I2002" t="s">
        <v>59</v>
      </c>
      <c r="J2002" t="s">
        <v>60</v>
      </c>
      <c r="K2002" t="s">
        <v>19</v>
      </c>
      <c r="L2002" t="s">
        <v>61</v>
      </c>
      <c r="M2002" t="s">
        <v>24</v>
      </c>
      <c r="N2002" t="s">
        <v>29</v>
      </c>
    </row>
    <row r="2003" spans="1:14">
      <c r="A2003" s="4" t="str">
        <f t="shared" si="180"/>
        <v>EXP00050</v>
      </c>
      <c r="B2003" s="4" t="str">
        <f t="shared" si="181"/>
        <v>22213152</v>
      </c>
      <c r="C2003" s="4" t="str">
        <f t="shared" si="182"/>
        <v>GSE22541</v>
      </c>
      <c r="D2003" s="1" t="s">
        <v>45</v>
      </c>
      <c r="E2003" t="s">
        <v>129</v>
      </c>
      <c r="F2003" s="1">
        <v>2</v>
      </c>
      <c r="G2003" s="1" t="s">
        <v>28</v>
      </c>
      <c r="H2003" s="4" t="str">
        <f>HYPERLINK("https://www.ncbi.nlm.nih.gov/geo/query/acc.cgi?acc=GSM559599","GSM559599")</f>
        <v>GSM559599</v>
      </c>
      <c r="I2003" t="s">
        <v>59</v>
      </c>
      <c r="J2003" t="s">
        <v>60</v>
      </c>
      <c r="K2003" t="s">
        <v>19</v>
      </c>
      <c r="L2003" t="s">
        <v>61</v>
      </c>
      <c r="M2003" t="s">
        <v>138</v>
      </c>
      <c r="N2003" t="s">
        <v>29</v>
      </c>
    </row>
    <row r="2004" spans="1:14">
      <c r="A2004" s="4" t="str">
        <f t="shared" si="180"/>
        <v>EXP00050</v>
      </c>
      <c r="B2004" s="4" t="str">
        <f t="shared" si="181"/>
        <v>22213152</v>
      </c>
      <c r="C2004" s="4" t="str">
        <f t="shared" si="182"/>
        <v>GSE22541</v>
      </c>
      <c r="D2004" s="1" t="s">
        <v>45</v>
      </c>
      <c r="E2004" t="s">
        <v>129</v>
      </c>
      <c r="F2004" s="1">
        <v>2</v>
      </c>
      <c r="G2004" s="1" t="s">
        <v>28</v>
      </c>
      <c r="H2004" s="4" t="str">
        <f>HYPERLINK("https://www.ncbi.nlm.nih.gov/geo/query/acc.cgi?acc=GSM559600","GSM559600")</f>
        <v>GSM559600</v>
      </c>
      <c r="I2004" t="s">
        <v>59</v>
      </c>
      <c r="J2004" t="s">
        <v>60</v>
      </c>
      <c r="K2004" t="s">
        <v>19</v>
      </c>
      <c r="L2004" t="s">
        <v>61</v>
      </c>
      <c r="M2004" t="s">
        <v>41</v>
      </c>
      <c r="N2004" t="s">
        <v>29</v>
      </c>
    </row>
    <row r="2005" spans="1:14">
      <c r="A2005" s="4" t="str">
        <f t="shared" ref="A2005:A2028" si="183">HYPERLINK("http://hcmdb.i-sanger.com/experiment/details/experiment_id/EXP00051","EXP00051")</f>
        <v>EXP00051</v>
      </c>
      <c r="B2005" s="4" t="str">
        <f t="shared" ref="B2005:B2050" si="184">HYPERLINK("https://www.ncbi.nlm.nih.gov/pubmed/15558013","15558013")</f>
        <v>15558013</v>
      </c>
      <c r="C2005" s="4" t="str">
        <f t="shared" ref="C2005:C2050" si="185">HYPERLINK("https://www.ncbi.nlm.nih.gov/geo/query/acc.cgi?acc=GSE2280","GSE2280")</f>
        <v>GSE2280</v>
      </c>
      <c r="D2005" s="1" t="s">
        <v>62</v>
      </c>
      <c r="E2005" t="s">
        <v>139</v>
      </c>
      <c r="F2005" s="1">
        <v>1</v>
      </c>
      <c r="G2005" s="1" t="s">
        <v>26</v>
      </c>
      <c r="H2005" s="4" t="str">
        <f>HYPERLINK("https://www.ncbi.nlm.nih.gov/geo/query/acc.cgi?acc=GSM42246","GSM42246")</f>
        <v>GSM42246</v>
      </c>
      <c r="I2005" t="s">
        <v>140</v>
      </c>
      <c r="J2005" t="s">
        <v>141</v>
      </c>
      <c r="K2005" t="s">
        <v>19</v>
      </c>
      <c r="L2005" t="s">
        <v>142</v>
      </c>
      <c r="M2005" t="s">
        <v>24</v>
      </c>
      <c r="N2005" t="s">
        <v>22</v>
      </c>
    </row>
    <row r="2006" spans="1:14">
      <c r="A2006" s="4" t="str">
        <f t="shared" si="183"/>
        <v>EXP00051</v>
      </c>
      <c r="B2006" s="4" t="str">
        <f t="shared" si="184"/>
        <v>15558013</v>
      </c>
      <c r="C2006" s="4" t="str">
        <f t="shared" si="185"/>
        <v>GSE2280</v>
      </c>
      <c r="D2006" s="1" t="s">
        <v>62</v>
      </c>
      <c r="E2006" t="s">
        <v>139</v>
      </c>
      <c r="F2006" s="1">
        <v>1</v>
      </c>
      <c r="G2006" s="1" t="s">
        <v>26</v>
      </c>
      <c r="H2006" s="4" t="str">
        <f>HYPERLINK("https://www.ncbi.nlm.nih.gov/geo/query/acc.cgi?acc=GSM42248","GSM42248")</f>
        <v>GSM42248</v>
      </c>
      <c r="I2006" t="s">
        <v>140</v>
      </c>
      <c r="J2006" t="s">
        <v>141</v>
      </c>
      <c r="K2006" t="s">
        <v>19</v>
      </c>
      <c r="L2006" t="s">
        <v>142</v>
      </c>
      <c r="M2006" t="s">
        <v>24</v>
      </c>
      <c r="N2006" t="s">
        <v>22</v>
      </c>
    </row>
    <row r="2007" spans="1:14">
      <c r="A2007" s="4" t="str">
        <f t="shared" si="183"/>
        <v>EXP00051</v>
      </c>
      <c r="B2007" s="4" t="str">
        <f t="shared" si="184"/>
        <v>15558013</v>
      </c>
      <c r="C2007" s="4" t="str">
        <f t="shared" si="185"/>
        <v>GSE2280</v>
      </c>
      <c r="D2007" s="1" t="s">
        <v>62</v>
      </c>
      <c r="E2007" t="s">
        <v>139</v>
      </c>
      <c r="F2007" s="1">
        <v>1</v>
      </c>
      <c r="G2007" s="1" t="s">
        <v>26</v>
      </c>
      <c r="H2007" s="4" t="str">
        <f>HYPERLINK("https://www.ncbi.nlm.nih.gov/geo/query/acc.cgi?acc=GSM42250","GSM42250")</f>
        <v>GSM42250</v>
      </c>
      <c r="I2007" t="s">
        <v>140</v>
      </c>
      <c r="J2007" t="s">
        <v>141</v>
      </c>
      <c r="K2007" t="s">
        <v>19</v>
      </c>
      <c r="L2007" t="s">
        <v>142</v>
      </c>
      <c r="M2007" t="s">
        <v>24</v>
      </c>
      <c r="N2007" t="s">
        <v>22</v>
      </c>
    </row>
    <row r="2008" spans="1:14">
      <c r="A2008" s="4" t="str">
        <f t="shared" si="183"/>
        <v>EXP00051</v>
      </c>
      <c r="B2008" s="4" t="str">
        <f t="shared" si="184"/>
        <v>15558013</v>
      </c>
      <c r="C2008" s="4" t="str">
        <f t="shared" si="185"/>
        <v>GSE2280</v>
      </c>
      <c r="D2008" s="1" t="s">
        <v>62</v>
      </c>
      <c r="E2008" t="s">
        <v>139</v>
      </c>
      <c r="F2008" s="1">
        <v>1</v>
      </c>
      <c r="G2008" s="1" t="s">
        <v>26</v>
      </c>
      <c r="H2008" s="4" t="str">
        <f>HYPERLINK("https://www.ncbi.nlm.nih.gov/geo/query/acc.cgi?acc=GSM42252","GSM42252")</f>
        <v>GSM42252</v>
      </c>
      <c r="I2008" t="s">
        <v>140</v>
      </c>
      <c r="J2008" t="s">
        <v>141</v>
      </c>
      <c r="K2008" t="s">
        <v>19</v>
      </c>
      <c r="L2008" t="s">
        <v>142</v>
      </c>
      <c r="M2008" t="s">
        <v>24</v>
      </c>
      <c r="N2008" t="s">
        <v>22</v>
      </c>
    </row>
    <row r="2009" spans="1:14">
      <c r="A2009" s="4" t="str">
        <f t="shared" si="183"/>
        <v>EXP00051</v>
      </c>
      <c r="B2009" s="4" t="str">
        <f t="shared" si="184"/>
        <v>15558013</v>
      </c>
      <c r="C2009" s="4" t="str">
        <f t="shared" si="185"/>
        <v>GSE2280</v>
      </c>
      <c r="D2009" s="1" t="s">
        <v>62</v>
      </c>
      <c r="E2009" t="s">
        <v>139</v>
      </c>
      <c r="F2009" s="1">
        <v>1</v>
      </c>
      <c r="G2009" s="1" t="s">
        <v>26</v>
      </c>
      <c r="H2009" s="4" t="str">
        <f>HYPERLINK("https://www.ncbi.nlm.nih.gov/geo/query/acc.cgi?acc=GSM42254","GSM42254")</f>
        <v>GSM42254</v>
      </c>
      <c r="I2009" t="s">
        <v>140</v>
      </c>
      <c r="J2009" t="s">
        <v>141</v>
      </c>
      <c r="K2009" t="s">
        <v>19</v>
      </c>
      <c r="L2009" t="s">
        <v>142</v>
      </c>
      <c r="M2009" t="s">
        <v>24</v>
      </c>
      <c r="N2009" t="s">
        <v>22</v>
      </c>
    </row>
    <row r="2010" spans="1:14">
      <c r="A2010" s="4" t="str">
        <f t="shared" si="183"/>
        <v>EXP00051</v>
      </c>
      <c r="B2010" s="4" t="str">
        <f t="shared" si="184"/>
        <v>15558013</v>
      </c>
      <c r="C2010" s="4" t="str">
        <f t="shared" si="185"/>
        <v>GSE2280</v>
      </c>
      <c r="D2010" s="1" t="s">
        <v>62</v>
      </c>
      <c r="E2010" t="s">
        <v>139</v>
      </c>
      <c r="F2010" s="1">
        <v>2</v>
      </c>
      <c r="G2010" s="1" t="s">
        <v>28</v>
      </c>
      <c r="H2010" s="4" t="str">
        <f>HYPERLINK("https://www.ncbi.nlm.nih.gov/geo/query/acc.cgi?acc=GSM42247","GSM42247")</f>
        <v>GSM42247</v>
      </c>
      <c r="I2010" t="s">
        <v>140</v>
      </c>
      <c r="J2010" t="s">
        <v>141</v>
      </c>
      <c r="K2010" t="s">
        <v>19</v>
      </c>
      <c r="L2010" t="s">
        <v>143</v>
      </c>
      <c r="M2010" t="s">
        <v>24</v>
      </c>
      <c r="N2010" t="s">
        <v>29</v>
      </c>
    </row>
    <row r="2011" spans="1:14">
      <c r="A2011" s="4" t="str">
        <f t="shared" si="183"/>
        <v>EXP00051</v>
      </c>
      <c r="B2011" s="4" t="str">
        <f t="shared" si="184"/>
        <v>15558013</v>
      </c>
      <c r="C2011" s="4" t="str">
        <f t="shared" si="185"/>
        <v>GSE2280</v>
      </c>
      <c r="D2011" s="1" t="s">
        <v>62</v>
      </c>
      <c r="E2011" t="s">
        <v>139</v>
      </c>
      <c r="F2011" s="1">
        <v>2</v>
      </c>
      <c r="G2011" s="1" t="s">
        <v>28</v>
      </c>
      <c r="H2011" s="4" t="str">
        <f>HYPERLINK("https://www.ncbi.nlm.nih.gov/geo/query/acc.cgi?acc=GSM42249","GSM42249")</f>
        <v>GSM42249</v>
      </c>
      <c r="I2011" t="s">
        <v>140</v>
      </c>
      <c r="J2011" t="s">
        <v>141</v>
      </c>
      <c r="K2011" t="s">
        <v>19</v>
      </c>
      <c r="L2011" t="s">
        <v>143</v>
      </c>
      <c r="M2011" t="s">
        <v>24</v>
      </c>
      <c r="N2011" t="s">
        <v>29</v>
      </c>
    </row>
    <row r="2012" spans="1:14">
      <c r="A2012" s="4" t="str">
        <f t="shared" si="183"/>
        <v>EXP00051</v>
      </c>
      <c r="B2012" s="4" t="str">
        <f t="shared" si="184"/>
        <v>15558013</v>
      </c>
      <c r="C2012" s="4" t="str">
        <f t="shared" si="185"/>
        <v>GSE2280</v>
      </c>
      <c r="D2012" s="1" t="s">
        <v>62</v>
      </c>
      <c r="E2012" t="s">
        <v>139</v>
      </c>
      <c r="F2012" s="1">
        <v>2</v>
      </c>
      <c r="G2012" s="1" t="s">
        <v>28</v>
      </c>
      <c r="H2012" s="4" t="str">
        <f>HYPERLINK("https://www.ncbi.nlm.nih.gov/geo/query/acc.cgi?acc=GSM42251","GSM42251")</f>
        <v>GSM42251</v>
      </c>
      <c r="I2012" t="s">
        <v>140</v>
      </c>
      <c r="J2012" t="s">
        <v>141</v>
      </c>
      <c r="K2012" t="s">
        <v>19</v>
      </c>
      <c r="L2012" t="s">
        <v>144</v>
      </c>
      <c r="M2012" t="s">
        <v>24</v>
      </c>
      <c r="N2012" t="s">
        <v>29</v>
      </c>
    </row>
    <row r="2013" spans="1:14">
      <c r="A2013" s="4" t="str">
        <f t="shared" si="183"/>
        <v>EXP00051</v>
      </c>
      <c r="B2013" s="4" t="str">
        <f t="shared" si="184"/>
        <v>15558013</v>
      </c>
      <c r="C2013" s="4" t="str">
        <f t="shared" si="185"/>
        <v>GSE2280</v>
      </c>
      <c r="D2013" s="1" t="s">
        <v>62</v>
      </c>
      <c r="E2013" t="s">
        <v>139</v>
      </c>
      <c r="F2013" s="1">
        <v>2</v>
      </c>
      <c r="G2013" s="1" t="s">
        <v>28</v>
      </c>
      <c r="H2013" s="4" t="str">
        <f>HYPERLINK("https://www.ncbi.nlm.nih.gov/geo/query/acc.cgi?acc=GSM42253","GSM42253")</f>
        <v>GSM42253</v>
      </c>
      <c r="I2013" t="s">
        <v>140</v>
      </c>
      <c r="J2013" t="s">
        <v>141</v>
      </c>
      <c r="K2013" t="s">
        <v>19</v>
      </c>
      <c r="L2013" t="s">
        <v>145</v>
      </c>
      <c r="M2013" t="s">
        <v>24</v>
      </c>
      <c r="N2013" t="s">
        <v>29</v>
      </c>
    </row>
    <row r="2014" spans="1:14">
      <c r="A2014" s="4" t="str">
        <f t="shared" si="183"/>
        <v>EXP00051</v>
      </c>
      <c r="B2014" s="4" t="str">
        <f t="shared" si="184"/>
        <v>15558013</v>
      </c>
      <c r="C2014" s="4" t="str">
        <f t="shared" si="185"/>
        <v>GSE2280</v>
      </c>
      <c r="D2014" s="1" t="s">
        <v>62</v>
      </c>
      <c r="E2014" t="s">
        <v>139</v>
      </c>
      <c r="F2014" s="1">
        <v>2</v>
      </c>
      <c r="G2014" s="1" t="s">
        <v>28</v>
      </c>
      <c r="H2014" s="4" t="str">
        <f>HYPERLINK("https://www.ncbi.nlm.nih.gov/geo/query/acc.cgi?acc=GSM42255","GSM42255")</f>
        <v>GSM42255</v>
      </c>
      <c r="I2014" t="s">
        <v>140</v>
      </c>
      <c r="J2014" t="s">
        <v>141</v>
      </c>
      <c r="K2014" t="s">
        <v>19</v>
      </c>
      <c r="L2014" t="s">
        <v>143</v>
      </c>
      <c r="M2014" t="s">
        <v>24</v>
      </c>
      <c r="N2014" t="s">
        <v>29</v>
      </c>
    </row>
    <row r="2015" spans="1:14">
      <c r="A2015" s="4" t="str">
        <f t="shared" si="183"/>
        <v>EXP00051</v>
      </c>
      <c r="B2015" s="4" t="str">
        <f t="shared" si="184"/>
        <v>15558013</v>
      </c>
      <c r="C2015" s="4" t="str">
        <f t="shared" si="185"/>
        <v>GSE2280</v>
      </c>
      <c r="D2015" s="1" t="s">
        <v>62</v>
      </c>
      <c r="E2015" t="s">
        <v>139</v>
      </c>
      <c r="F2015" s="1">
        <v>2</v>
      </c>
      <c r="G2015" s="1" t="s">
        <v>28</v>
      </c>
      <c r="H2015" s="4" t="str">
        <f>HYPERLINK("https://www.ncbi.nlm.nih.gov/geo/query/acc.cgi?acc=GSM42256","GSM42256")</f>
        <v>GSM42256</v>
      </c>
      <c r="I2015" t="s">
        <v>140</v>
      </c>
      <c r="J2015" t="s">
        <v>141</v>
      </c>
      <c r="K2015" t="s">
        <v>19</v>
      </c>
      <c r="L2015" t="s">
        <v>143</v>
      </c>
      <c r="M2015" t="s">
        <v>24</v>
      </c>
      <c r="N2015" t="s">
        <v>29</v>
      </c>
    </row>
    <row r="2016" spans="1:14">
      <c r="A2016" s="4" t="str">
        <f t="shared" si="183"/>
        <v>EXP00051</v>
      </c>
      <c r="B2016" s="4" t="str">
        <f t="shared" si="184"/>
        <v>15558013</v>
      </c>
      <c r="C2016" s="4" t="str">
        <f t="shared" si="185"/>
        <v>GSE2280</v>
      </c>
      <c r="D2016" s="1" t="s">
        <v>62</v>
      </c>
      <c r="E2016" t="s">
        <v>139</v>
      </c>
      <c r="F2016" s="1">
        <v>2</v>
      </c>
      <c r="G2016" s="1" t="s">
        <v>28</v>
      </c>
      <c r="H2016" s="4" t="str">
        <f>HYPERLINK("https://www.ncbi.nlm.nih.gov/geo/query/acc.cgi?acc=GSM42257","GSM42257")</f>
        <v>GSM42257</v>
      </c>
      <c r="I2016" t="s">
        <v>140</v>
      </c>
      <c r="J2016" t="s">
        <v>141</v>
      </c>
      <c r="K2016" t="s">
        <v>19</v>
      </c>
      <c r="L2016" t="s">
        <v>143</v>
      </c>
      <c r="M2016" t="s">
        <v>24</v>
      </c>
      <c r="N2016" t="s">
        <v>29</v>
      </c>
    </row>
    <row r="2017" spans="1:14">
      <c r="A2017" s="4" t="str">
        <f t="shared" si="183"/>
        <v>EXP00051</v>
      </c>
      <c r="B2017" s="4" t="str">
        <f t="shared" si="184"/>
        <v>15558013</v>
      </c>
      <c r="C2017" s="4" t="str">
        <f t="shared" si="185"/>
        <v>GSE2280</v>
      </c>
      <c r="D2017" s="1" t="s">
        <v>62</v>
      </c>
      <c r="E2017" t="s">
        <v>139</v>
      </c>
      <c r="F2017" s="1">
        <v>2</v>
      </c>
      <c r="G2017" s="1" t="s">
        <v>28</v>
      </c>
      <c r="H2017" s="4" t="str">
        <f>HYPERLINK("https://www.ncbi.nlm.nih.gov/geo/query/acc.cgi?acc=GSM42258","GSM42258")</f>
        <v>GSM42258</v>
      </c>
      <c r="I2017" t="s">
        <v>140</v>
      </c>
      <c r="J2017" t="s">
        <v>141</v>
      </c>
      <c r="K2017" t="s">
        <v>19</v>
      </c>
      <c r="L2017" t="s">
        <v>143</v>
      </c>
      <c r="M2017" t="s">
        <v>24</v>
      </c>
      <c r="N2017" t="s">
        <v>29</v>
      </c>
    </row>
    <row r="2018" spans="1:14">
      <c r="A2018" s="4" t="str">
        <f t="shared" si="183"/>
        <v>EXP00051</v>
      </c>
      <c r="B2018" s="4" t="str">
        <f t="shared" si="184"/>
        <v>15558013</v>
      </c>
      <c r="C2018" s="4" t="str">
        <f t="shared" si="185"/>
        <v>GSE2280</v>
      </c>
      <c r="D2018" s="1" t="s">
        <v>62</v>
      </c>
      <c r="E2018" t="s">
        <v>139</v>
      </c>
      <c r="F2018" s="1">
        <v>2</v>
      </c>
      <c r="G2018" s="1" t="s">
        <v>28</v>
      </c>
      <c r="H2018" s="4" t="str">
        <f>HYPERLINK("https://www.ncbi.nlm.nih.gov/geo/query/acc.cgi?acc=GSM42259","GSM42259")</f>
        <v>GSM42259</v>
      </c>
      <c r="I2018" t="s">
        <v>140</v>
      </c>
      <c r="J2018" t="s">
        <v>141</v>
      </c>
      <c r="K2018" t="s">
        <v>19</v>
      </c>
      <c r="L2018" t="s">
        <v>143</v>
      </c>
      <c r="M2018" t="s">
        <v>24</v>
      </c>
      <c r="N2018" t="s">
        <v>29</v>
      </c>
    </row>
    <row r="2019" spans="1:14">
      <c r="A2019" s="4" t="str">
        <f t="shared" si="183"/>
        <v>EXP00051</v>
      </c>
      <c r="B2019" s="4" t="str">
        <f t="shared" si="184"/>
        <v>15558013</v>
      </c>
      <c r="C2019" s="4" t="str">
        <f t="shared" si="185"/>
        <v>GSE2280</v>
      </c>
      <c r="D2019" s="1" t="s">
        <v>62</v>
      </c>
      <c r="E2019" t="s">
        <v>139</v>
      </c>
      <c r="F2019" s="1">
        <v>2</v>
      </c>
      <c r="G2019" s="1" t="s">
        <v>28</v>
      </c>
      <c r="H2019" s="4" t="str">
        <f>HYPERLINK("https://www.ncbi.nlm.nih.gov/geo/query/acc.cgi?acc=GSM42260","GSM42260")</f>
        <v>GSM42260</v>
      </c>
      <c r="I2019" t="s">
        <v>140</v>
      </c>
      <c r="J2019" t="s">
        <v>141</v>
      </c>
      <c r="K2019" t="s">
        <v>19</v>
      </c>
      <c r="L2019" t="s">
        <v>143</v>
      </c>
      <c r="M2019" t="s">
        <v>24</v>
      </c>
      <c r="N2019" t="s">
        <v>29</v>
      </c>
    </row>
    <row r="2020" spans="1:14">
      <c r="A2020" s="4" t="str">
        <f t="shared" si="183"/>
        <v>EXP00051</v>
      </c>
      <c r="B2020" s="4" t="str">
        <f t="shared" si="184"/>
        <v>15558013</v>
      </c>
      <c r="C2020" s="4" t="str">
        <f t="shared" si="185"/>
        <v>GSE2280</v>
      </c>
      <c r="D2020" s="1" t="s">
        <v>62</v>
      </c>
      <c r="E2020" t="s">
        <v>139</v>
      </c>
      <c r="F2020" s="1">
        <v>2</v>
      </c>
      <c r="G2020" s="1" t="s">
        <v>28</v>
      </c>
      <c r="H2020" s="4" t="str">
        <f>HYPERLINK("https://www.ncbi.nlm.nih.gov/geo/query/acc.cgi?acc=GSM42261","GSM42261")</f>
        <v>GSM42261</v>
      </c>
      <c r="I2020" t="s">
        <v>140</v>
      </c>
      <c r="J2020" t="s">
        <v>141</v>
      </c>
      <c r="K2020" t="s">
        <v>19</v>
      </c>
      <c r="L2020" t="s">
        <v>143</v>
      </c>
      <c r="M2020" t="s">
        <v>24</v>
      </c>
      <c r="N2020" t="s">
        <v>29</v>
      </c>
    </row>
    <row r="2021" spans="1:14">
      <c r="A2021" s="4" t="str">
        <f t="shared" si="183"/>
        <v>EXP00051</v>
      </c>
      <c r="B2021" s="4" t="str">
        <f t="shared" si="184"/>
        <v>15558013</v>
      </c>
      <c r="C2021" s="4" t="str">
        <f t="shared" si="185"/>
        <v>GSE2280</v>
      </c>
      <c r="D2021" s="1" t="s">
        <v>62</v>
      </c>
      <c r="E2021" t="s">
        <v>139</v>
      </c>
      <c r="F2021" s="1">
        <v>2</v>
      </c>
      <c r="G2021" s="1" t="s">
        <v>28</v>
      </c>
      <c r="H2021" s="4" t="str">
        <f>HYPERLINK("https://www.ncbi.nlm.nih.gov/geo/query/acc.cgi?acc=GSM42262","GSM42262")</f>
        <v>GSM42262</v>
      </c>
      <c r="I2021" t="s">
        <v>140</v>
      </c>
      <c r="J2021" t="s">
        <v>141</v>
      </c>
      <c r="K2021" t="s">
        <v>19</v>
      </c>
      <c r="L2021" t="s">
        <v>143</v>
      </c>
      <c r="M2021" t="s">
        <v>24</v>
      </c>
      <c r="N2021" t="s">
        <v>29</v>
      </c>
    </row>
    <row r="2022" spans="1:14">
      <c r="A2022" s="4" t="str">
        <f t="shared" si="183"/>
        <v>EXP00051</v>
      </c>
      <c r="B2022" s="4" t="str">
        <f t="shared" si="184"/>
        <v>15558013</v>
      </c>
      <c r="C2022" s="4" t="str">
        <f t="shared" si="185"/>
        <v>GSE2280</v>
      </c>
      <c r="D2022" s="1" t="s">
        <v>62</v>
      </c>
      <c r="E2022" t="s">
        <v>139</v>
      </c>
      <c r="F2022" s="1">
        <v>2</v>
      </c>
      <c r="G2022" s="1" t="s">
        <v>28</v>
      </c>
      <c r="H2022" s="4" t="str">
        <f>HYPERLINK("https://www.ncbi.nlm.nih.gov/geo/query/acc.cgi?acc=GSM42263","GSM42263")</f>
        <v>GSM42263</v>
      </c>
      <c r="I2022" t="s">
        <v>140</v>
      </c>
      <c r="J2022" t="s">
        <v>141</v>
      </c>
      <c r="K2022" t="s">
        <v>19</v>
      </c>
      <c r="L2022" t="s">
        <v>145</v>
      </c>
      <c r="M2022" t="s">
        <v>24</v>
      </c>
      <c r="N2022" t="s">
        <v>29</v>
      </c>
    </row>
    <row r="2023" spans="1:14">
      <c r="A2023" s="4" t="str">
        <f t="shared" si="183"/>
        <v>EXP00051</v>
      </c>
      <c r="B2023" s="4" t="str">
        <f t="shared" si="184"/>
        <v>15558013</v>
      </c>
      <c r="C2023" s="4" t="str">
        <f t="shared" si="185"/>
        <v>GSE2280</v>
      </c>
      <c r="D2023" s="1" t="s">
        <v>62</v>
      </c>
      <c r="E2023" t="s">
        <v>139</v>
      </c>
      <c r="F2023" s="1">
        <v>2</v>
      </c>
      <c r="G2023" s="1" t="s">
        <v>28</v>
      </c>
      <c r="H2023" s="4" t="str">
        <f>HYPERLINK("https://www.ncbi.nlm.nih.gov/geo/query/acc.cgi?acc=GSM42264","GSM42264")</f>
        <v>GSM42264</v>
      </c>
      <c r="I2023" t="s">
        <v>140</v>
      </c>
      <c r="J2023" t="s">
        <v>141</v>
      </c>
      <c r="K2023" t="s">
        <v>19</v>
      </c>
      <c r="L2023" t="s">
        <v>145</v>
      </c>
      <c r="M2023" t="s">
        <v>24</v>
      </c>
      <c r="N2023" t="s">
        <v>29</v>
      </c>
    </row>
    <row r="2024" spans="1:14">
      <c r="A2024" s="4" t="str">
        <f t="shared" si="183"/>
        <v>EXP00051</v>
      </c>
      <c r="B2024" s="4" t="str">
        <f t="shared" si="184"/>
        <v>15558013</v>
      </c>
      <c r="C2024" s="4" t="str">
        <f t="shared" si="185"/>
        <v>GSE2280</v>
      </c>
      <c r="D2024" s="1" t="s">
        <v>62</v>
      </c>
      <c r="E2024" t="s">
        <v>139</v>
      </c>
      <c r="F2024" s="1">
        <v>2</v>
      </c>
      <c r="G2024" s="1" t="s">
        <v>28</v>
      </c>
      <c r="H2024" s="4" t="str">
        <f>HYPERLINK("https://www.ncbi.nlm.nih.gov/geo/query/acc.cgi?acc=GSM42265","GSM42265")</f>
        <v>GSM42265</v>
      </c>
      <c r="I2024" t="s">
        <v>140</v>
      </c>
      <c r="J2024" t="s">
        <v>141</v>
      </c>
      <c r="K2024" t="s">
        <v>19</v>
      </c>
      <c r="L2024" t="s">
        <v>143</v>
      </c>
      <c r="M2024" t="s">
        <v>24</v>
      </c>
      <c r="N2024" t="s">
        <v>29</v>
      </c>
    </row>
    <row r="2025" spans="1:14">
      <c r="A2025" s="4" t="str">
        <f t="shared" si="183"/>
        <v>EXP00051</v>
      </c>
      <c r="B2025" s="4" t="str">
        <f t="shared" si="184"/>
        <v>15558013</v>
      </c>
      <c r="C2025" s="4" t="str">
        <f t="shared" si="185"/>
        <v>GSE2280</v>
      </c>
      <c r="D2025" s="1" t="s">
        <v>62</v>
      </c>
      <c r="E2025" t="s">
        <v>139</v>
      </c>
      <c r="F2025" s="1">
        <v>2</v>
      </c>
      <c r="G2025" s="1" t="s">
        <v>28</v>
      </c>
      <c r="H2025" s="4" t="str">
        <f>HYPERLINK("https://www.ncbi.nlm.nih.gov/geo/query/acc.cgi?acc=GSM42266","GSM42266")</f>
        <v>GSM42266</v>
      </c>
      <c r="I2025" t="s">
        <v>140</v>
      </c>
      <c r="J2025" t="s">
        <v>141</v>
      </c>
      <c r="K2025" t="s">
        <v>19</v>
      </c>
      <c r="L2025" t="s">
        <v>143</v>
      </c>
      <c r="M2025" t="s">
        <v>24</v>
      </c>
      <c r="N2025" t="s">
        <v>29</v>
      </c>
    </row>
    <row r="2026" spans="1:14">
      <c r="A2026" s="4" t="str">
        <f t="shared" si="183"/>
        <v>EXP00051</v>
      </c>
      <c r="B2026" s="4" t="str">
        <f t="shared" si="184"/>
        <v>15558013</v>
      </c>
      <c r="C2026" s="4" t="str">
        <f t="shared" si="185"/>
        <v>GSE2280</v>
      </c>
      <c r="D2026" s="1" t="s">
        <v>62</v>
      </c>
      <c r="E2026" t="s">
        <v>139</v>
      </c>
      <c r="F2026" s="1">
        <v>2</v>
      </c>
      <c r="G2026" s="1" t="s">
        <v>28</v>
      </c>
      <c r="H2026" s="4" t="str">
        <f>HYPERLINK("https://www.ncbi.nlm.nih.gov/geo/query/acc.cgi?acc=GSM42267","GSM42267")</f>
        <v>GSM42267</v>
      </c>
      <c r="I2026" t="s">
        <v>140</v>
      </c>
      <c r="J2026" t="s">
        <v>141</v>
      </c>
      <c r="K2026" t="s">
        <v>19</v>
      </c>
      <c r="L2026" t="s">
        <v>145</v>
      </c>
      <c r="M2026" t="s">
        <v>24</v>
      </c>
      <c r="N2026" t="s">
        <v>29</v>
      </c>
    </row>
    <row r="2027" spans="1:14">
      <c r="A2027" s="4" t="str">
        <f t="shared" si="183"/>
        <v>EXP00051</v>
      </c>
      <c r="B2027" s="4" t="str">
        <f t="shared" si="184"/>
        <v>15558013</v>
      </c>
      <c r="C2027" s="4" t="str">
        <f t="shared" si="185"/>
        <v>GSE2280</v>
      </c>
      <c r="D2027" s="1" t="s">
        <v>62</v>
      </c>
      <c r="E2027" t="s">
        <v>139</v>
      </c>
      <c r="F2027" s="1">
        <v>2</v>
      </c>
      <c r="G2027" s="1" t="s">
        <v>28</v>
      </c>
      <c r="H2027" s="4" t="str">
        <f>HYPERLINK("https://www.ncbi.nlm.nih.gov/geo/query/acc.cgi?acc=GSM42268","GSM42268")</f>
        <v>GSM42268</v>
      </c>
      <c r="I2027" t="s">
        <v>140</v>
      </c>
      <c r="J2027" t="s">
        <v>141</v>
      </c>
      <c r="K2027" t="s">
        <v>19</v>
      </c>
      <c r="L2027" t="s">
        <v>143</v>
      </c>
      <c r="M2027" t="s">
        <v>24</v>
      </c>
      <c r="N2027" t="s">
        <v>29</v>
      </c>
    </row>
    <row r="2028" spans="1:14">
      <c r="A2028" s="4" t="str">
        <f t="shared" si="183"/>
        <v>EXP00051</v>
      </c>
      <c r="B2028" s="4" t="str">
        <f t="shared" si="184"/>
        <v>15558013</v>
      </c>
      <c r="C2028" s="4" t="str">
        <f t="shared" si="185"/>
        <v>GSE2280</v>
      </c>
      <c r="D2028" s="1" t="s">
        <v>62</v>
      </c>
      <c r="E2028" t="s">
        <v>139</v>
      </c>
      <c r="F2028" s="1">
        <v>2</v>
      </c>
      <c r="G2028" s="1" t="s">
        <v>28</v>
      </c>
      <c r="H2028" s="4" t="str">
        <f>HYPERLINK("https://www.ncbi.nlm.nih.gov/geo/query/acc.cgi?acc=GSM42269","GSM42269")</f>
        <v>GSM42269</v>
      </c>
      <c r="I2028" t="s">
        <v>140</v>
      </c>
      <c r="J2028" t="s">
        <v>141</v>
      </c>
      <c r="K2028" t="s">
        <v>19</v>
      </c>
      <c r="L2028" t="s">
        <v>143</v>
      </c>
      <c r="M2028" t="s">
        <v>24</v>
      </c>
      <c r="N2028" t="s">
        <v>29</v>
      </c>
    </row>
    <row r="2029" spans="1:14">
      <c r="A2029" s="4" t="str">
        <f t="shared" ref="A2029:A2050" si="186">HYPERLINK("http://hcmdb.i-sanger.com/experiment/details/experiment_id/EXP00052","EXP00052")</f>
        <v>EXP00052</v>
      </c>
      <c r="B2029" s="4" t="str">
        <f t="shared" si="184"/>
        <v>15558013</v>
      </c>
      <c r="C2029" s="4" t="str">
        <f t="shared" si="185"/>
        <v>GSE2280</v>
      </c>
      <c r="D2029" s="1" t="s">
        <v>62</v>
      </c>
      <c r="E2029" t="s">
        <v>146</v>
      </c>
      <c r="F2029" s="1">
        <v>1</v>
      </c>
      <c r="G2029" s="1" t="s">
        <v>31</v>
      </c>
      <c r="H2029" s="4" t="str">
        <f>HYPERLINK("https://www.ncbi.nlm.nih.gov/geo/query/acc.cgi?acc=GSM42247","GSM42247")</f>
        <v>GSM42247</v>
      </c>
      <c r="I2029" t="s">
        <v>140</v>
      </c>
      <c r="J2029" t="s">
        <v>141</v>
      </c>
      <c r="K2029" t="s">
        <v>19</v>
      </c>
      <c r="L2029" t="s">
        <v>143</v>
      </c>
      <c r="M2029" t="s">
        <v>24</v>
      </c>
      <c r="N2029" t="s">
        <v>29</v>
      </c>
    </row>
    <row r="2030" spans="1:14">
      <c r="A2030" s="4" t="str">
        <f t="shared" si="186"/>
        <v>EXP00052</v>
      </c>
      <c r="B2030" s="4" t="str">
        <f t="shared" si="184"/>
        <v>15558013</v>
      </c>
      <c r="C2030" s="4" t="str">
        <f t="shared" si="185"/>
        <v>GSE2280</v>
      </c>
      <c r="D2030" s="1" t="s">
        <v>62</v>
      </c>
      <c r="E2030" t="s">
        <v>146</v>
      </c>
      <c r="F2030" s="1">
        <v>1</v>
      </c>
      <c r="G2030" s="1" t="s">
        <v>31</v>
      </c>
      <c r="H2030" s="4" t="str">
        <f>HYPERLINK("https://www.ncbi.nlm.nih.gov/geo/query/acc.cgi?acc=GSM42249","GSM42249")</f>
        <v>GSM42249</v>
      </c>
      <c r="I2030" t="s">
        <v>140</v>
      </c>
      <c r="J2030" t="s">
        <v>141</v>
      </c>
      <c r="K2030" t="s">
        <v>19</v>
      </c>
      <c r="L2030" t="s">
        <v>143</v>
      </c>
      <c r="M2030" t="s">
        <v>24</v>
      </c>
      <c r="N2030" t="s">
        <v>29</v>
      </c>
    </row>
    <row r="2031" spans="1:14">
      <c r="A2031" s="4" t="str">
        <f t="shared" si="186"/>
        <v>EXP00052</v>
      </c>
      <c r="B2031" s="4" t="str">
        <f t="shared" si="184"/>
        <v>15558013</v>
      </c>
      <c r="C2031" s="4" t="str">
        <f t="shared" si="185"/>
        <v>GSE2280</v>
      </c>
      <c r="D2031" s="1" t="s">
        <v>62</v>
      </c>
      <c r="E2031" t="s">
        <v>146</v>
      </c>
      <c r="F2031" s="1">
        <v>1</v>
      </c>
      <c r="G2031" s="1" t="s">
        <v>31</v>
      </c>
      <c r="H2031" s="4" t="str">
        <f>HYPERLINK("https://www.ncbi.nlm.nih.gov/geo/query/acc.cgi?acc=GSM42251","GSM42251")</f>
        <v>GSM42251</v>
      </c>
      <c r="I2031" t="s">
        <v>140</v>
      </c>
      <c r="J2031" t="s">
        <v>141</v>
      </c>
      <c r="K2031" t="s">
        <v>19</v>
      </c>
      <c r="L2031" t="s">
        <v>144</v>
      </c>
      <c r="M2031" t="s">
        <v>24</v>
      </c>
      <c r="N2031" t="s">
        <v>29</v>
      </c>
    </row>
    <row r="2032" spans="1:14">
      <c r="A2032" s="4" t="str">
        <f t="shared" si="186"/>
        <v>EXP00052</v>
      </c>
      <c r="B2032" s="4" t="str">
        <f t="shared" si="184"/>
        <v>15558013</v>
      </c>
      <c r="C2032" s="4" t="str">
        <f t="shared" si="185"/>
        <v>GSE2280</v>
      </c>
      <c r="D2032" s="1" t="s">
        <v>62</v>
      </c>
      <c r="E2032" t="s">
        <v>146</v>
      </c>
      <c r="F2032" s="1">
        <v>1</v>
      </c>
      <c r="G2032" s="1" t="s">
        <v>31</v>
      </c>
      <c r="H2032" s="4" t="str">
        <f>HYPERLINK("https://www.ncbi.nlm.nih.gov/geo/query/acc.cgi?acc=GSM42253","GSM42253")</f>
        <v>GSM42253</v>
      </c>
      <c r="I2032" t="s">
        <v>140</v>
      </c>
      <c r="J2032" t="s">
        <v>141</v>
      </c>
      <c r="K2032" t="s">
        <v>19</v>
      </c>
      <c r="L2032" t="s">
        <v>145</v>
      </c>
      <c r="M2032" t="s">
        <v>24</v>
      </c>
      <c r="N2032" t="s">
        <v>29</v>
      </c>
    </row>
    <row r="2033" spans="1:14">
      <c r="A2033" s="4" t="str">
        <f t="shared" si="186"/>
        <v>EXP00052</v>
      </c>
      <c r="B2033" s="4" t="str">
        <f t="shared" si="184"/>
        <v>15558013</v>
      </c>
      <c r="C2033" s="4" t="str">
        <f t="shared" si="185"/>
        <v>GSE2280</v>
      </c>
      <c r="D2033" s="1" t="s">
        <v>62</v>
      </c>
      <c r="E2033" t="s">
        <v>146</v>
      </c>
      <c r="F2033" s="1">
        <v>1</v>
      </c>
      <c r="G2033" s="1" t="s">
        <v>31</v>
      </c>
      <c r="H2033" s="4" t="str">
        <f>HYPERLINK("https://www.ncbi.nlm.nih.gov/geo/query/acc.cgi?acc=GSM42255","GSM42255")</f>
        <v>GSM42255</v>
      </c>
      <c r="I2033" t="s">
        <v>140</v>
      </c>
      <c r="J2033" t="s">
        <v>141</v>
      </c>
      <c r="K2033" t="s">
        <v>19</v>
      </c>
      <c r="L2033" t="s">
        <v>143</v>
      </c>
      <c r="M2033" t="s">
        <v>24</v>
      </c>
      <c r="N2033" t="s">
        <v>29</v>
      </c>
    </row>
    <row r="2034" spans="1:14">
      <c r="A2034" s="4" t="str">
        <f t="shared" si="186"/>
        <v>EXP00052</v>
      </c>
      <c r="B2034" s="4" t="str">
        <f t="shared" si="184"/>
        <v>15558013</v>
      </c>
      <c r="C2034" s="4" t="str">
        <f t="shared" si="185"/>
        <v>GSE2280</v>
      </c>
      <c r="D2034" s="1" t="s">
        <v>62</v>
      </c>
      <c r="E2034" t="s">
        <v>146</v>
      </c>
      <c r="F2034" s="1">
        <v>1</v>
      </c>
      <c r="G2034" s="1" t="s">
        <v>31</v>
      </c>
      <c r="H2034" s="4" t="str">
        <f>HYPERLINK("https://www.ncbi.nlm.nih.gov/geo/query/acc.cgi?acc=GSM42256","GSM42256")</f>
        <v>GSM42256</v>
      </c>
      <c r="I2034" t="s">
        <v>140</v>
      </c>
      <c r="J2034" t="s">
        <v>141</v>
      </c>
      <c r="K2034" t="s">
        <v>19</v>
      </c>
      <c r="L2034" t="s">
        <v>143</v>
      </c>
      <c r="M2034" t="s">
        <v>24</v>
      </c>
      <c r="N2034" t="s">
        <v>29</v>
      </c>
    </row>
    <row r="2035" spans="1:14">
      <c r="A2035" s="4" t="str">
        <f t="shared" si="186"/>
        <v>EXP00052</v>
      </c>
      <c r="B2035" s="4" t="str">
        <f t="shared" si="184"/>
        <v>15558013</v>
      </c>
      <c r="C2035" s="4" t="str">
        <f t="shared" si="185"/>
        <v>GSE2280</v>
      </c>
      <c r="D2035" s="1" t="s">
        <v>62</v>
      </c>
      <c r="E2035" t="s">
        <v>146</v>
      </c>
      <c r="F2035" s="1">
        <v>1</v>
      </c>
      <c r="G2035" s="1" t="s">
        <v>31</v>
      </c>
      <c r="H2035" s="4" t="str">
        <f>HYPERLINK("https://www.ncbi.nlm.nih.gov/geo/query/acc.cgi?acc=GSM42257","GSM42257")</f>
        <v>GSM42257</v>
      </c>
      <c r="I2035" t="s">
        <v>140</v>
      </c>
      <c r="J2035" t="s">
        <v>141</v>
      </c>
      <c r="K2035" t="s">
        <v>19</v>
      </c>
      <c r="L2035" t="s">
        <v>143</v>
      </c>
      <c r="M2035" t="s">
        <v>24</v>
      </c>
      <c r="N2035" t="s">
        <v>29</v>
      </c>
    </row>
    <row r="2036" spans="1:14">
      <c r="A2036" s="4" t="str">
        <f t="shared" si="186"/>
        <v>EXP00052</v>
      </c>
      <c r="B2036" s="4" t="str">
        <f t="shared" si="184"/>
        <v>15558013</v>
      </c>
      <c r="C2036" s="4" t="str">
        <f t="shared" si="185"/>
        <v>GSE2280</v>
      </c>
      <c r="D2036" s="1" t="s">
        <v>62</v>
      </c>
      <c r="E2036" t="s">
        <v>146</v>
      </c>
      <c r="F2036" s="1">
        <v>1</v>
      </c>
      <c r="G2036" s="1" t="s">
        <v>31</v>
      </c>
      <c r="H2036" s="4" t="str">
        <f>HYPERLINK("https://www.ncbi.nlm.nih.gov/geo/query/acc.cgi?acc=GSM42258","GSM42258")</f>
        <v>GSM42258</v>
      </c>
      <c r="I2036" t="s">
        <v>140</v>
      </c>
      <c r="J2036" t="s">
        <v>141</v>
      </c>
      <c r="K2036" t="s">
        <v>19</v>
      </c>
      <c r="L2036" t="s">
        <v>143</v>
      </c>
      <c r="M2036" t="s">
        <v>24</v>
      </c>
      <c r="N2036" t="s">
        <v>29</v>
      </c>
    </row>
    <row r="2037" spans="1:14">
      <c r="A2037" s="4" t="str">
        <f t="shared" si="186"/>
        <v>EXP00052</v>
      </c>
      <c r="B2037" s="4" t="str">
        <f t="shared" si="184"/>
        <v>15558013</v>
      </c>
      <c r="C2037" s="4" t="str">
        <f t="shared" si="185"/>
        <v>GSE2280</v>
      </c>
      <c r="D2037" s="1" t="s">
        <v>62</v>
      </c>
      <c r="E2037" t="s">
        <v>146</v>
      </c>
      <c r="F2037" s="1">
        <v>1</v>
      </c>
      <c r="G2037" s="1" t="s">
        <v>31</v>
      </c>
      <c r="H2037" s="4" t="str">
        <f>HYPERLINK("https://www.ncbi.nlm.nih.gov/geo/query/acc.cgi?acc=GSM42259","GSM42259")</f>
        <v>GSM42259</v>
      </c>
      <c r="I2037" t="s">
        <v>140</v>
      </c>
      <c r="J2037" t="s">
        <v>141</v>
      </c>
      <c r="K2037" t="s">
        <v>19</v>
      </c>
      <c r="L2037" t="s">
        <v>143</v>
      </c>
      <c r="M2037" t="s">
        <v>24</v>
      </c>
      <c r="N2037" t="s">
        <v>29</v>
      </c>
    </row>
    <row r="2038" spans="1:14">
      <c r="A2038" s="4" t="str">
        <f t="shared" si="186"/>
        <v>EXP00052</v>
      </c>
      <c r="B2038" s="4" t="str">
        <f t="shared" si="184"/>
        <v>15558013</v>
      </c>
      <c r="C2038" s="4" t="str">
        <f t="shared" si="185"/>
        <v>GSE2280</v>
      </c>
      <c r="D2038" s="1" t="s">
        <v>62</v>
      </c>
      <c r="E2038" t="s">
        <v>146</v>
      </c>
      <c r="F2038" s="1">
        <v>1</v>
      </c>
      <c r="G2038" s="1" t="s">
        <v>31</v>
      </c>
      <c r="H2038" s="4" t="str">
        <f>HYPERLINK("https://www.ncbi.nlm.nih.gov/geo/query/acc.cgi?acc=GSM42260","GSM42260")</f>
        <v>GSM42260</v>
      </c>
      <c r="I2038" t="s">
        <v>140</v>
      </c>
      <c r="J2038" t="s">
        <v>141</v>
      </c>
      <c r="K2038" t="s">
        <v>19</v>
      </c>
      <c r="L2038" t="s">
        <v>143</v>
      </c>
      <c r="M2038" t="s">
        <v>24</v>
      </c>
      <c r="N2038" t="s">
        <v>29</v>
      </c>
    </row>
    <row r="2039" spans="1:14">
      <c r="A2039" s="4" t="str">
        <f t="shared" si="186"/>
        <v>EXP00052</v>
      </c>
      <c r="B2039" s="4" t="str">
        <f t="shared" si="184"/>
        <v>15558013</v>
      </c>
      <c r="C2039" s="4" t="str">
        <f t="shared" si="185"/>
        <v>GSE2280</v>
      </c>
      <c r="D2039" s="1" t="s">
        <v>62</v>
      </c>
      <c r="E2039" t="s">
        <v>146</v>
      </c>
      <c r="F2039" s="1">
        <v>1</v>
      </c>
      <c r="G2039" s="1" t="s">
        <v>31</v>
      </c>
      <c r="H2039" s="4" t="str">
        <f>HYPERLINK("https://www.ncbi.nlm.nih.gov/geo/query/acc.cgi?acc=GSM42261","GSM42261")</f>
        <v>GSM42261</v>
      </c>
      <c r="I2039" t="s">
        <v>140</v>
      </c>
      <c r="J2039" t="s">
        <v>141</v>
      </c>
      <c r="K2039" t="s">
        <v>19</v>
      </c>
      <c r="L2039" t="s">
        <v>143</v>
      </c>
      <c r="M2039" t="s">
        <v>24</v>
      </c>
      <c r="N2039" t="s">
        <v>29</v>
      </c>
    </row>
    <row r="2040" spans="1:14">
      <c r="A2040" s="4" t="str">
        <f t="shared" si="186"/>
        <v>EXP00052</v>
      </c>
      <c r="B2040" s="4" t="str">
        <f t="shared" si="184"/>
        <v>15558013</v>
      </c>
      <c r="C2040" s="4" t="str">
        <f t="shared" si="185"/>
        <v>GSE2280</v>
      </c>
      <c r="D2040" s="1" t="s">
        <v>62</v>
      </c>
      <c r="E2040" t="s">
        <v>146</v>
      </c>
      <c r="F2040" s="1">
        <v>1</v>
      </c>
      <c r="G2040" s="1" t="s">
        <v>31</v>
      </c>
      <c r="H2040" s="4" t="str">
        <f>HYPERLINK("https://www.ncbi.nlm.nih.gov/geo/query/acc.cgi?acc=GSM42262","GSM42262")</f>
        <v>GSM42262</v>
      </c>
      <c r="I2040" t="s">
        <v>140</v>
      </c>
      <c r="J2040" t="s">
        <v>141</v>
      </c>
      <c r="K2040" t="s">
        <v>19</v>
      </c>
      <c r="L2040" t="s">
        <v>143</v>
      </c>
      <c r="M2040" t="s">
        <v>24</v>
      </c>
      <c r="N2040" t="s">
        <v>29</v>
      </c>
    </row>
    <row r="2041" spans="1:14">
      <c r="A2041" s="4" t="str">
        <f t="shared" si="186"/>
        <v>EXP00052</v>
      </c>
      <c r="B2041" s="4" t="str">
        <f t="shared" si="184"/>
        <v>15558013</v>
      </c>
      <c r="C2041" s="4" t="str">
        <f t="shared" si="185"/>
        <v>GSE2280</v>
      </c>
      <c r="D2041" s="1" t="s">
        <v>62</v>
      </c>
      <c r="E2041" t="s">
        <v>146</v>
      </c>
      <c r="F2041" s="1">
        <v>1</v>
      </c>
      <c r="G2041" s="1" t="s">
        <v>31</v>
      </c>
      <c r="H2041" s="4" t="str">
        <f>HYPERLINK("https://www.ncbi.nlm.nih.gov/geo/query/acc.cgi?acc=GSM42263","GSM42263")</f>
        <v>GSM42263</v>
      </c>
      <c r="I2041" t="s">
        <v>140</v>
      </c>
      <c r="J2041" t="s">
        <v>141</v>
      </c>
      <c r="K2041" t="s">
        <v>19</v>
      </c>
      <c r="L2041" t="s">
        <v>145</v>
      </c>
      <c r="M2041" t="s">
        <v>24</v>
      </c>
      <c r="N2041" t="s">
        <v>29</v>
      </c>
    </row>
    <row r="2042" spans="1:14">
      <c r="A2042" s="4" t="str">
        <f t="shared" si="186"/>
        <v>EXP00052</v>
      </c>
      <c r="B2042" s="4" t="str">
        <f t="shared" si="184"/>
        <v>15558013</v>
      </c>
      <c r="C2042" s="4" t="str">
        <f t="shared" si="185"/>
        <v>GSE2280</v>
      </c>
      <c r="D2042" s="1" t="s">
        <v>62</v>
      </c>
      <c r="E2042" t="s">
        <v>146</v>
      </c>
      <c r="F2042" s="1">
        <v>1</v>
      </c>
      <c r="G2042" s="1" t="s">
        <v>31</v>
      </c>
      <c r="H2042" s="4" t="str">
        <f>HYPERLINK("https://www.ncbi.nlm.nih.gov/geo/query/acc.cgi?acc=GSM42264","GSM42264")</f>
        <v>GSM42264</v>
      </c>
      <c r="I2042" t="s">
        <v>140</v>
      </c>
      <c r="J2042" t="s">
        <v>141</v>
      </c>
      <c r="K2042" t="s">
        <v>19</v>
      </c>
      <c r="L2042" t="s">
        <v>145</v>
      </c>
      <c r="M2042" t="s">
        <v>24</v>
      </c>
      <c r="N2042" t="s">
        <v>29</v>
      </c>
    </row>
    <row r="2043" spans="1:14">
      <c r="A2043" s="4" t="str">
        <f t="shared" si="186"/>
        <v>EXP00052</v>
      </c>
      <c r="B2043" s="4" t="str">
        <f t="shared" si="184"/>
        <v>15558013</v>
      </c>
      <c r="C2043" s="4" t="str">
        <f t="shared" si="185"/>
        <v>GSE2280</v>
      </c>
      <c r="D2043" s="1" t="s">
        <v>62</v>
      </c>
      <c r="E2043" t="s">
        <v>146</v>
      </c>
      <c r="F2043" s="1">
        <v>1</v>
      </c>
      <c r="G2043" s="1" t="s">
        <v>31</v>
      </c>
      <c r="H2043" s="4" t="str">
        <f>HYPERLINK("https://www.ncbi.nlm.nih.gov/geo/query/acc.cgi?acc=GSM42265","GSM42265")</f>
        <v>GSM42265</v>
      </c>
      <c r="I2043" t="s">
        <v>140</v>
      </c>
      <c r="J2043" t="s">
        <v>141</v>
      </c>
      <c r="K2043" t="s">
        <v>19</v>
      </c>
      <c r="L2043" t="s">
        <v>143</v>
      </c>
      <c r="M2043" t="s">
        <v>24</v>
      </c>
      <c r="N2043" t="s">
        <v>29</v>
      </c>
    </row>
    <row r="2044" spans="1:14">
      <c r="A2044" s="4" t="str">
        <f t="shared" si="186"/>
        <v>EXP00052</v>
      </c>
      <c r="B2044" s="4" t="str">
        <f t="shared" si="184"/>
        <v>15558013</v>
      </c>
      <c r="C2044" s="4" t="str">
        <f t="shared" si="185"/>
        <v>GSE2280</v>
      </c>
      <c r="D2044" s="1" t="s">
        <v>62</v>
      </c>
      <c r="E2044" t="s">
        <v>146</v>
      </c>
      <c r="F2044" s="1">
        <v>1</v>
      </c>
      <c r="G2044" s="1" t="s">
        <v>31</v>
      </c>
      <c r="H2044" s="4" t="str">
        <f>HYPERLINK("https://www.ncbi.nlm.nih.gov/geo/query/acc.cgi?acc=GSM42266","GSM42266")</f>
        <v>GSM42266</v>
      </c>
      <c r="I2044" t="s">
        <v>140</v>
      </c>
      <c r="J2044" t="s">
        <v>141</v>
      </c>
      <c r="K2044" t="s">
        <v>19</v>
      </c>
      <c r="L2044" t="s">
        <v>143</v>
      </c>
      <c r="M2044" t="s">
        <v>24</v>
      </c>
      <c r="N2044" t="s">
        <v>29</v>
      </c>
    </row>
    <row r="2045" spans="1:14">
      <c r="A2045" s="4" t="str">
        <f t="shared" si="186"/>
        <v>EXP00052</v>
      </c>
      <c r="B2045" s="4" t="str">
        <f t="shared" si="184"/>
        <v>15558013</v>
      </c>
      <c r="C2045" s="4" t="str">
        <f t="shared" si="185"/>
        <v>GSE2280</v>
      </c>
      <c r="D2045" s="1" t="s">
        <v>62</v>
      </c>
      <c r="E2045" t="s">
        <v>146</v>
      </c>
      <c r="F2045" s="1">
        <v>1</v>
      </c>
      <c r="G2045" s="1" t="s">
        <v>31</v>
      </c>
      <c r="H2045" s="4" t="str">
        <f>HYPERLINK("https://www.ncbi.nlm.nih.gov/geo/query/acc.cgi?acc=GSM42267","GSM42267")</f>
        <v>GSM42267</v>
      </c>
      <c r="I2045" t="s">
        <v>140</v>
      </c>
      <c r="J2045" t="s">
        <v>141</v>
      </c>
      <c r="K2045" t="s">
        <v>19</v>
      </c>
      <c r="L2045" t="s">
        <v>145</v>
      </c>
      <c r="M2045" t="s">
        <v>24</v>
      </c>
      <c r="N2045" t="s">
        <v>29</v>
      </c>
    </row>
    <row r="2046" spans="1:14">
      <c r="A2046" s="4" t="str">
        <f t="shared" si="186"/>
        <v>EXP00052</v>
      </c>
      <c r="B2046" s="4" t="str">
        <f t="shared" si="184"/>
        <v>15558013</v>
      </c>
      <c r="C2046" s="4" t="str">
        <f t="shared" si="185"/>
        <v>GSE2280</v>
      </c>
      <c r="D2046" s="1" t="s">
        <v>62</v>
      </c>
      <c r="E2046" t="s">
        <v>146</v>
      </c>
      <c r="F2046" s="1">
        <v>1</v>
      </c>
      <c r="G2046" s="1" t="s">
        <v>31</v>
      </c>
      <c r="H2046" s="4" t="str">
        <f>HYPERLINK("https://www.ncbi.nlm.nih.gov/geo/query/acc.cgi?acc=GSM42268","GSM42268")</f>
        <v>GSM42268</v>
      </c>
      <c r="I2046" t="s">
        <v>140</v>
      </c>
      <c r="J2046" t="s">
        <v>141</v>
      </c>
      <c r="K2046" t="s">
        <v>19</v>
      </c>
      <c r="L2046" t="s">
        <v>143</v>
      </c>
      <c r="M2046" t="s">
        <v>24</v>
      </c>
      <c r="N2046" t="s">
        <v>29</v>
      </c>
    </row>
    <row r="2047" spans="1:14">
      <c r="A2047" s="4" t="str">
        <f t="shared" si="186"/>
        <v>EXP00052</v>
      </c>
      <c r="B2047" s="4" t="str">
        <f t="shared" si="184"/>
        <v>15558013</v>
      </c>
      <c r="C2047" s="4" t="str">
        <f t="shared" si="185"/>
        <v>GSE2280</v>
      </c>
      <c r="D2047" s="1" t="s">
        <v>62</v>
      </c>
      <c r="E2047" t="s">
        <v>146</v>
      </c>
      <c r="F2047" s="1">
        <v>1</v>
      </c>
      <c r="G2047" s="1" t="s">
        <v>31</v>
      </c>
      <c r="H2047" s="4" t="str">
        <f>HYPERLINK("https://www.ncbi.nlm.nih.gov/geo/query/acc.cgi?acc=GSM42269","GSM42269")</f>
        <v>GSM42269</v>
      </c>
      <c r="I2047" t="s">
        <v>140</v>
      </c>
      <c r="J2047" t="s">
        <v>141</v>
      </c>
      <c r="K2047" t="s">
        <v>19</v>
      </c>
      <c r="L2047" t="s">
        <v>143</v>
      </c>
      <c r="M2047" t="s">
        <v>24</v>
      </c>
      <c r="N2047" t="s">
        <v>29</v>
      </c>
    </row>
    <row r="2048" spans="1:14">
      <c r="A2048" s="4" t="str">
        <f t="shared" si="186"/>
        <v>EXP00052</v>
      </c>
      <c r="B2048" s="4" t="str">
        <f t="shared" si="184"/>
        <v>15558013</v>
      </c>
      <c r="C2048" s="4" t="str">
        <f t="shared" si="185"/>
        <v>GSE2280</v>
      </c>
      <c r="D2048" s="1" t="s">
        <v>62</v>
      </c>
      <c r="E2048" t="s">
        <v>146</v>
      </c>
      <c r="F2048" s="1">
        <v>2</v>
      </c>
      <c r="G2048" s="1" t="s">
        <v>32</v>
      </c>
      <c r="H2048" s="4" t="str">
        <f>HYPERLINK("https://www.ncbi.nlm.nih.gov/geo/query/acc.cgi?acc=GSM42270","GSM42270")</f>
        <v>GSM42270</v>
      </c>
      <c r="I2048" t="s">
        <v>140</v>
      </c>
      <c r="J2048" t="s">
        <v>141</v>
      </c>
      <c r="K2048" t="s">
        <v>33</v>
      </c>
      <c r="L2048" t="s">
        <v>143</v>
      </c>
      <c r="N2048" t="s">
        <v>29</v>
      </c>
    </row>
    <row r="2049" spans="1:14">
      <c r="A2049" s="4" t="str">
        <f t="shared" si="186"/>
        <v>EXP00052</v>
      </c>
      <c r="B2049" s="4" t="str">
        <f t="shared" si="184"/>
        <v>15558013</v>
      </c>
      <c r="C2049" s="4" t="str">
        <f t="shared" si="185"/>
        <v>GSE2280</v>
      </c>
      <c r="D2049" s="1" t="s">
        <v>62</v>
      </c>
      <c r="E2049" t="s">
        <v>146</v>
      </c>
      <c r="F2049" s="1">
        <v>2</v>
      </c>
      <c r="G2049" s="1" t="s">
        <v>32</v>
      </c>
      <c r="H2049" s="4" t="str">
        <f>HYPERLINK("https://www.ncbi.nlm.nih.gov/geo/query/acc.cgi?acc=GSM42271","GSM42271")</f>
        <v>GSM42271</v>
      </c>
      <c r="I2049" t="s">
        <v>140</v>
      </c>
      <c r="J2049" t="s">
        <v>141</v>
      </c>
      <c r="K2049" t="s">
        <v>33</v>
      </c>
      <c r="L2049" t="s">
        <v>147</v>
      </c>
      <c r="N2049" t="s">
        <v>29</v>
      </c>
    </row>
    <row r="2050" spans="1:14">
      <c r="A2050" s="4" t="str">
        <f t="shared" si="186"/>
        <v>EXP00052</v>
      </c>
      <c r="B2050" s="4" t="str">
        <f t="shared" si="184"/>
        <v>15558013</v>
      </c>
      <c r="C2050" s="4" t="str">
        <f t="shared" si="185"/>
        <v>GSE2280</v>
      </c>
      <c r="D2050" s="1" t="s">
        <v>62</v>
      </c>
      <c r="E2050" t="s">
        <v>146</v>
      </c>
      <c r="F2050" s="1">
        <v>2</v>
      </c>
      <c r="G2050" s="1" t="s">
        <v>32</v>
      </c>
      <c r="H2050" s="4" t="str">
        <f>HYPERLINK("https://www.ncbi.nlm.nih.gov/geo/query/acc.cgi?acc=GSM42272","GSM42272")</f>
        <v>GSM42272</v>
      </c>
      <c r="I2050" t="s">
        <v>140</v>
      </c>
      <c r="J2050" t="s">
        <v>141</v>
      </c>
      <c r="K2050" t="s">
        <v>33</v>
      </c>
      <c r="L2050" t="s">
        <v>143</v>
      </c>
      <c r="N2050" t="s">
        <v>29</v>
      </c>
    </row>
    <row r="2051" spans="1:14">
      <c r="A2051" s="4" t="str">
        <f t="shared" ref="A2051:A2082" si="187">HYPERLINK("http://hcmdb.i-sanger.com/experiment/details/experiment_id/EXP00053","EXP00053")</f>
        <v>EXP00053</v>
      </c>
      <c r="B2051" s="4" t="str">
        <f t="shared" ref="B2051:B2082" si="188">HYPERLINK("https://www.ncbi.nlm.nih.gov/pubmed/20952505","20952505")</f>
        <v>20952505</v>
      </c>
      <c r="C2051" s="4" t="str">
        <f t="shared" ref="C2051:C2082" si="189">HYPERLINK("https://www.ncbi.nlm.nih.gov/geo/query/acc.cgi?acc=GSE23629","GSE23629")</f>
        <v>GSE23629</v>
      </c>
      <c r="D2051" s="1" t="s">
        <v>45</v>
      </c>
      <c r="E2051" t="s">
        <v>148</v>
      </c>
      <c r="F2051" s="1">
        <v>1</v>
      </c>
      <c r="G2051" s="1" t="s">
        <v>26</v>
      </c>
      <c r="H2051" s="4" t="str">
        <f>HYPERLINK("https://www.ncbi.nlm.nih.gov/geo/query/acc.cgi?acc=GSM579350","GSM579350")</f>
        <v>GSM579350</v>
      </c>
      <c r="I2051" t="s">
        <v>59</v>
      </c>
      <c r="J2051" t="s">
        <v>149</v>
      </c>
      <c r="K2051" t="s">
        <v>19</v>
      </c>
      <c r="L2051" t="s">
        <v>61</v>
      </c>
      <c r="M2051" t="s">
        <v>51</v>
      </c>
      <c r="N2051" t="s">
        <v>22</v>
      </c>
    </row>
    <row r="2052" spans="1:14">
      <c r="A2052" s="4" t="str">
        <f t="shared" si="187"/>
        <v>EXP00053</v>
      </c>
      <c r="B2052" s="4" t="str">
        <f t="shared" si="188"/>
        <v>20952505</v>
      </c>
      <c r="C2052" s="4" t="str">
        <f t="shared" si="189"/>
        <v>GSE23629</v>
      </c>
      <c r="D2052" s="1" t="s">
        <v>45</v>
      </c>
      <c r="E2052" t="s">
        <v>148</v>
      </c>
      <c r="F2052" s="1">
        <v>1</v>
      </c>
      <c r="G2052" s="1" t="s">
        <v>26</v>
      </c>
      <c r="H2052" s="4" t="str">
        <f>HYPERLINK("https://www.ncbi.nlm.nih.gov/geo/query/acc.cgi?acc=GSM579352","GSM579352")</f>
        <v>GSM579352</v>
      </c>
      <c r="I2052" t="s">
        <v>59</v>
      </c>
      <c r="J2052" t="s">
        <v>149</v>
      </c>
      <c r="K2052" t="s">
        <v>19</v>
      </c>
      <c r="L2052" t="s">
        <v>61</v>
      </c>
      <c r="M2052" t="s">
        <v>51</v>
      </c>
      <c r="N2052" t="s">
        <v>22</v>
      </c>
    </row>
    <row r="2053" spans="1:14">
      <c r="A2053" s="4" t="str">
        <f t="shared" si="187"/>
        <v>EXP00053</v>
      </c>
      <c r="B2053" s="4" t="str">
        <f t="shared" si="188"/>
        <v>20952505</v>
      </c>
      <c r="C2053" s="4" t="str">
        <f t="shared" si="189"/>
        <v>GSE23629</v>
      </c>
      <c r="D2053" s="1" t="s">
        <v>45</v>
      </c>
      <c r="E2053" t="s">
        <v>148</v>
      </c>
      <c r="F2053" s="1">
        <v>1</v>
      </c>
      <c r="G2053" s="1" t="s">
        <v>26</v>
      </c>
      <c r="H2053" s="4" t="str">
        <f>HYPERLINK("https://www.ncbi.nlm.nih.gov/geo/query/acc.cgi?acc=GSM579354","GSM579354")</f>
        <v>GSM579354</v>
      </c>
      <c r="I2053" t="s">
        <v>59</v>
      </c>
      <c r="J2053" t="s">
        <v>149</v>
      </c>
      <c r="K2053" t="s">
        <v>19</v>
      </c>
      <c r="L2053" t="s">
        <v>61</v>
      </c>
      <c r="M2053" t="s">
        <v>51</v>
      </c>
      <c r="N2053" t="s">
        <v>22</v>
      </c>
    </row>
    <row r="2054" spans="1:14">
      <c r="A2054" s="4" t="str">
        <f t="shared" si="187"/>
        <v>EXP00053</v>
      </c>
      <c r="B2054" s="4" t="str">
        <f t="shared" si="188"/>
        <v>20952505</v>
      </c>
      <c r="C2054" s="4" t="str">
        <f t="shared" si="189"/>
        <v>GSE23629</v>
      </c>
      <c r="D2054" s="1" t="s">
        <v>45</v>
      </c>
      <c r="E2054" t="s">
        <v>148</v>
      </c>
      <c r="F2054" s="1">
        <v>1</v>
      </c>
      <c r="G2054" s="1" t="s">
        <v>26</v>
      </c>
      <c r="H2054" s="4" t="str">
        <f>HYPERLINK("https://www.ncbi.nlm.nih.gov/geo/query/acc.cgi?acc=GSM579356","GSM579356")</f>
        <v>GSM579356</v>
      </c>
      <c r="I2054" t="s">
        <v>59</v>
      </c>
      <c r="J2054" t="s">
        <v>149</v>
      </c>
      <c r="K2054" t="s">
        <v>19</v>
      </c>
      <c r="L2054" t="s">
        <v>61</v>
      </c>
      <c r="M2054" t="s">
        <v>51</v>
      </c>
      <c r="N2054" t="s">
        <v>22</v>
      </c>
    </row>
    <row r="2055" spans="1:14">
      <c r="A2055" s="4" t="str">
        <f t="shared" si="187"/>
        <v>EXP00053</v>
      </c>
      <c r="B2055" s="4" t="str">
        <f t="shared" si="188"/>
        <v>20952505</v>
      </c>
      <c r="C2055" s="4" t="str">
        <f t="shared" si="189"/>
        <v>GSE23629</v>
      </c>
      <c r="D2055" s="1" t="s">
        <v>45</v>
      </c>
      <c r="E2055" t="s">
        <v>148</v>
      </c>
      <c r="F2055" s="1">
        <v>1</v>
      </c>
      <c r="G2055" s="1" t="s">
        <v>26</v>
      </c>
      <c r="H2055" s="4" t="str">
        <f>HYPERLINK("https://www.ncbi.nlm.nih.gov/geo/query/acc.cgi?acc=GSM579358","GSM579358")</f>
        <v>GSM579358</v>
      </c>
      <c r="I2055" t="s">
        <v>59</v>
      </c>
      <c r="J2055" t="s">
        <v>149</v>
      </c>
      <c r="K2055" t="s">
        <v>19</v>
      </c>
      <c r="L2055" t="s">
        <v>61</v>
      </c>
      <c r="M2055" t="s">
        <v>51</v>
      </c>
      <c r="N2055" t="s">
        <v>22</v>
      </c>
    </row>
    <row r="2056" spans="1:14">
      <c r="A2056" s="4" t="str">
        <f t="shared" si="187"/>
        <v>EXP00053</v>
      </c>
      <c r="B2056" s="4" t="str">
        <f t="shared" si="188"/>
        <v>20952505</v>
      </c>
      <c r="C2056" s="4" t="str">
        <f t="shared" si="189"/>
        <v>GSE23629</v>
      </c>
      <c r="D2056" s="1" t="s">
        <v>45</v>
      </c>
      <c r="E2056" t="s">
        <v>148</v>
      </c>
      <c r="F2056" s="1">
        <v>1</v>
      </c>
      <c r="G2056" s="1" t="s">
        <v>26</v>
      </c>
      <c r="H2056" s="4" t="str">
        <f>HYPERLINK("https://www.ncbi.nlm.nih.gov/geo/query/acc.cgi?acc=GSM579360","GSM579360")</f>
        <v>GSM579360</v>
      </c>
      <c r="I2056" t="s">
        <v>59</v>
      </c>
      <c r="J2056" t="s">
        <v>149</v>
      </c>
      <c r="K2056" t="s">
        <v>19</v>
      </c>
      <c r="L2056" t="s">
        <v>61</v>
      </c>
      <c r="M2056" t="s">
        <v>51</v>
      </c>
      <c r="N2056" t="s">
        <v>22</v>
      </c>
    </row>
    <row r="2057" spans="1:14">
      <c r="A2057" s="4" t="str">
        <f t="shared" si="187"/>
        <v>EXP00053</v>
      </c>
      <c r="B2057" s="4" t="str">
        <f t="shared" si="188"/>
        <v>20952505</v>
      </c>
      <c r="C2057" s="4" t="str">
        <f t="shared" si="189"/>
        <v>GSE23629</v>
      </c>
      <c r="D2057" s="1" t="s">
        <v>45</v>
      </c>
      <c r="E2057" t="s">
        <v>148</v>
      </c>
      <c r="F2057" s="1">
        <v>1</v>
      </c>
      <c r="G2057" s="1" t="s">
        <v>26</v>
      </c>
      <c r="H2057" s="4" t="str">
        <f>HYPERLINK("https://www.ncbi.nlm.nih.gov/geo/query/acc.cgi?acc=GSM579362","GSM579362")</f>
        <v>GSM579362</v>
      </c>
      <c r="I2057" t="s">
        <v>59</v>
      </c>
      <c r="J2057" t="s">
        <v>149</v>
      </c>
      <c r="K2057" t="s">
        <v>19</v>
      </c>
      <c r="L2057" t="s">
        <v>61</v>
      </c>
      <c r="M2057" t="s">
        <v>51</v>
      </c>
      <c r="N2057" t="s">
        <v>22</v>
      </c>
    </row>
    <row r="2058" spans="1:14">
      <c r="A2058" s="4" t="str">
        <f t="shared" si="187"/>
        <v>EXP00053</v>
      </c>
      <c r="B2058" s="4" t="str">
        <f t="shared" si="188"/>
        <v>20952505</v>
      </c>
      <c r="C2058" s="4" t="str">
        <f t="shared" si="189"/>
        <v>GSE23629</v>
      </c>
      <c r="D2058" s="1" t="s">
        <v>45</v>
      </c>
      <c r="E2058" t="s">
        <v>148</v>
      </c>
      <c r="F2058" s="1">
        <v>1</v>
      </c>
      <c r="G2058" s="1" t="s">
        <v>26</v>
      </c>
      <c r="H2058" s="4" t="str">
        <f>HYPERLINK("https://www.ncbi.nlm.nih.gov/geo/query/acc.cgi?acc=GSM579364","GSM579364")</f>
        <v>GSM579364</v>
      </c>
      <c r="I2058" t="s">
        <v>59</v>
      </c>
      <c r="J2058" t="s">
        <v>149</v>
      </c>
      <c r="K2058" t="s">
        <v>19</v>
      </c>
      <c r="L2058" t="s">
        <v>61</v>
      </c>
      <c r="M2058" t="s">
        <v>51</v>
      </c>
      <c r="N2058" t="s">
        <v>22</v>
      </c>
    </row>
    <row r="2059" spans="1:14">
      <c r="A2059" s="4" t="str">
        <f t="shared" si="187"/>
        <v>EXP00053</v>
      </c>
      <c r="B2059" s="4" t="str">
        <f t="shared" si="188"/>
        <v>20952505</v>
      </c>
      <c r="C2059" s="4" t="str">
        <f t="shared" si="189"/>
        <v>GSE23629</v>
      </c>
      <c r="D2059" s="1" t="s">
        <v>45</v>
      </c>
      <c r="E2059" t="s">
        <v>148</v>
      </c>
      <c r="F2059" s="1">
        <v>1</v>
      </c>
      <c r="G2059" s="1" t="s">
        <v>26</v>
      </c>
      <c r="H2059" s="4" t="str">
        <f>HYPERLINK("https://www.ncbi.nlm.nih.gov/geo/query/acc.cgi?acc=GSM579366","GSM579366")</f>
        <v>GSM579366</v>
      </c>
      <c r="I2059" t="s">
        <v>59</v>
      </c>
      <c r="J2059" t="s">
        <v>149</v>
      </c>
      <c r="K2059" t="s">
        <v>19</v>
      </c>
      <c r="L2059" t="s">
        <v>61</v>
      </c>
      <c r="M2059" t="s">
        <v>51</v>
      </c>
      <c r="N2059" t="s">
        <v>22</v>
      </c>
    </row>
    <row r="2060" spans="1:14">
      <c r="A2060" s="4" t="str">
        <f t="shared" si="187"/>
        <v>EXP00053</v>
      </c>
      <c r="B2060" s="4" t="str">
        <f t="shared" si="188"/>
        <v>20952505</v>
      </c>
      <c r="C2060" s="4" t="str">
        <f t="shared" si="189"/>
        <v>GSE23629</v>
      </c>
      <c r="D2060" s="1" t="s">
        <v>45</v>
      </c>
      <c r="E2060" t="s">
        <v>148</v>
      </c>
      <c r="F2060" s="1">
        <v>1</v>
      </c>
      <c r="G2060" s="1" t="s">
        <v>26</v>
      </c>
      <c r="H2060" s="4" t="str">
        <f>HYPERLINK("https://www.ncbi.nlm.nih.gov/geo/query/acc.cgi?acc=GSM579368","GSM579368")</f>
        <v>GSM579368</v>
      </c>
      <c r="I2060" t="s">
        <v>59</v>
      </c>
      <c r="J2060" t="s">
        <v>149</v>
      </c>
      <c r="K2060" t="s">
        <v>19</v>
      </c>
      <c r="L2060" t="s">
        <v>61</v>
      </c>
      <c r="M2060" t="s">
        <v>51</v>
      </c>
      <c r="N2060" t="s">
        <v>22</v>
      </c>
    </row>
    <row r="2061" spans="1:14">
      <c r="A2061" s="4" t="str">
        <f t="shared" si="187"/>
        <v>EXP00053</v>
      </c>
      <c r="B2061" s="4" t="str">
        <f t="shared" si="188"/>
        <v>20952505</v>
      </c>
      <c r="C2061" s="4" t="str">
        <f t="shared" si="189"/>
        <v>GSE23629</v>
      </c>
      <c r="D2061" s="1" t="s">
        <v>45</v>
      </c>
      <c r="E2061" t="s">
        <v>148</v>
      </c>
      <c r="F2061" s="1">
        <v>1</v>
      </c>
      <c r="G2061" s="1" t="s">
        <v>26</v>
      </c>
      <c r="H2061" s="4" t="str">
        <f>HYPERLINK("https://www.ncbi.nlm.nih.gov/geo/query/acc.cgi?acc=GSM579370","GSM579370")</f>
        <v>GSM579370</v>
      </c>
      <c r="I2061" t="s">
        <v>59</v>
      </c>
      <c r="J2061" t="s">
        <v>149</v>
      </c>
      <c r="K2061" t="s">
        <v>19</v>
      </c>
      <c r="L2061" t="s">
        <v>61</v>
      </c>
      <c r="M2061" t="s">
        <v>51</v>
      </c>
      <c r="N2061" t="s">
        <v>22</v>
      </c>
    </row>
    <row r="2062" spans="1:14">
      <c r="A2062" s="4" t="str">
        <f t="shared" si="187"/>
        <v>EXP00053</v>
      </c>
      <c r="B2062" s="4" t="str">
        <f t="shared" si="188"/>
        <v>20952505</v>
      </c>
      <c r="C2062" s="4" t="str">
        <f t="shared" si="189"/>
        <v>GSE23629</v>
      </c>
      <c r="D2062" s="1" t="s">
        <v>45</v>
      </c>
      <c r="E2062" t="s">
        <v>148</v>
      </c>
      <c r="F2062" s="1">
        <v>1</v>
      </c>
      <c r="G2062" s="1" t="s">
        <v>26</v>
      </c>
      <c r="H2062" s="4" t="str">
        <f>HYPERLINK("https://www.ncbi.nlm.nih.gov/geo/query/acc.cgi?acc=GSM579372","GSM579372")</f>
        <v>GSM579372</v>
      </c>
      <c r="I2062" t="s">
        <v>59</v>
      </c>
      <c r="J2062" t="s">
        <v>149</v>
      </c>
      <c r="K2062" t="s">
        <v>19</v>
      </c>
      <c r="L2062" t="s">
        <v>61</v>
      </c>
      <c r="M2062" t="s">
        <v>51</v>
      </c>
      <c r="N2062" t="s">
        <v>22</v>
      </c>
    </row>
    <row r="2063" spans="1:14">
      <c r="A2063" s="4" t="str">
        <f t="shared" si="187"/>
        <v>EXP00053</v>
      </c>
      <c r="B2063" s="4" t="str">
        <f t="shared" si="188"/>
        <v>20952505</v>
      </c>
      <c r="C2063" s="4" t="str">
        <f t="shared" si="189"/>
        <v>GSE23629</v>
      </c>
      <c r="D2063" s="1" t="s">
        <v>45</v>
      </c>
      <c r="E2063" t="s">
        <v>148</v>
      </c>
      <c r="F2063" s="1">
        <v>1</v>
      </c>
      <c r="G2063" s="1" t="s">
        <v>26</v>
      </c>
      <c r="H2063" s="4" t="str">
        <f>HYPERLINK("https://www.ncbi.nlm.nih.gov/geo/query/acc.cgi?acc=GSM579374","GSM579374")</f>
        <v>GSM579374</v>
      </c>
      <c r="I2063" t="s">
        <v>59</v>
      </c>
      <c r="J2063" t="s">
        <v>149</v>
      </c>
      <c r="K2063" t="s">
        <v>19</v>
      </c>
      <c r="L2063" t="s">
        <v>61</v>
      </c>
      <c r="M2063" t="s">
        <v>51</v>
      </c>
      <c r="N2063" t="s">
        <v>22</v>
      </c>
    </row>
    <row r="2064" spans="1:14">
      <c r="A2064" s="4" t="str">
        <f t="shared" si="187"/>
        <v>EXP00053</v>
      </c>
      <c r="B2064" s="4" t="str">
        <f t="shared" si="188"/>
        <v>20952505</v>
      </c>
      <c r="C2064" s="4" t="str">
        <f t="shared" si="189"/>
        <v>GSE23629</v>
      </c>
      <c r="D2064" s="1" t="s">
        <v>45</v>
      </c>
      <c r="E2064" t="s">
        <v>148</v>
      </c>
      <c r="F2064" s="1">
        <v>1</v>
      </c>
      <c r="G2064" s="1" t="s">
        <v>26</v>
      </c>
      <c r="H2064" s="4" t="str">
        <f>HYPERLINK("https://www.ncbi.nlm.nih.gov/geo/query/acc.cgi?acc=GSM579376","GSM579376")</f>
        <v>GSM579376</v>
      </c>
      <c r="I2064" t="s">
        <v>59</v>
      </c>
      <c r="J2064" t="s">
        <v>149</v>
      </c>
      <c r="K2064" t="s">
        <v>19</v>
      </c>
      <c r="L2064" t="s">
        <v>61</v>
      </c>
      <c r="M2064" t="s">
        <v>51</v>
      </c>
      <c r="N2064" t="s">
        <v>22</v>
      </c>
    </row>
    <row r="2065" spans="1:14">
      <c r="A2065" s="4" t="str">
        <f t="shared" si="187"/>
        <v>EXP00053</v>
      </c>
      <c r="B2065" s="4" t="str">
        <f t="shared" si="188"/>
        <v>20952505</v>
      </c>
      <c r="C2065" s="4" t="str">
        <f t="shared" si="189"/>
        <v>GSE23629</v>
      </c>
      <c r="D2065" s="1" t="s">
        <v>45</v>
      </c>
      <c r="E2065" t="s">
        <v>148</v>
      </c>
      <c r="F2065" s="1">
        <v>1</v>
      </c>
      <c r="G2065" s="1" t="s">
        <v>26</v>
      </c>
      <c r="H2065" s="4" t="str">
        <f>HYPERLINK("https://www.ncbi.nlm.nih.gov/geo/query/acc.cgi?acc=GSM579378","GSM579378")</f>
        <v>GSM579378</v>
      </c>
      <c r="I2065" t="s">
        <v>59</v>
      </c>
      <c r="J2065" t="s">
        <v>149</v>
      </c>
      <c r="K2065" t="s">
        <v>19</v>
      </c>
      <c r="L2065" t="s">
        <v>61</v>
      </c>
      <c r="M2065" t="s">
        <v>51</v>
      </c>
      <c r="N2065" t="s">
        <v>22</v>
      </c>
    </row>
    <row r="2066" spans="1:14">
      <c r="A2066" s="4" t="str">
        <f t="shared" si="187"/>
        <v>EXP00053</v>
      </c>
      <c r="B2066" s="4" t="str">
        <f t="shared" si="188"/>
        <v>20952505</v>
      </c>
      <c r="C2066" s="4" t="str">
        <f t="shared" si="189"/>
        <v>GSE23629</v>
      </c>
      <c r="D2066" s="1" t="s">
        <v>45</v>
      </c>
      <c r="E2066" t="s">
        <v>148</v>
      </c>
      <c r="F2066" s="1">
        <v>1</v>
      </c>
      <c r="G2066" s="1" t="s">
        <v>26</v>
      </c>
      <c r="H2066" s="4" t="str">
        <f>HYPERLINK("https://www.ncbi.nlm.nih.gov/geo/query/acc.cgi?acc=GSM579380","GSM579380")</f>
        <v>GSM579380</v>
      </c>
      <c r="I2066" t="s">
        <v>59</v>
      </c>
      <c r="J2066" t="s">
        <v>149</v>
      </c>
      <c r="K2066" t="s">
        <v>19</v>
      </c>
      <c r="L2066" t="s">
        <v>61</v>
      </c>
      <c r="M2066" t="s">
        <v>51</v>
      </c>
      <c r="N2066" t="s">
        <v>22</v>
      </c>
    </row>
    <row r="2067" spans="1:14">
      <c r="A2067" s="4" t="str">
        <f t="shared" si="187"/>
        <v>EXP00053</v>
      </c>
      <c r="B2067" s="4" t="str">
        <f t="shared" si="188"/>
        <v>20952505</v>
      </c>
      <c r="C2067" s="4" t="str">
        <f t="shared" si="189"/>
        <v>GSE23629</v>
      </c>
      <c r="D2067" s="1" t="s">
        <v>45</v>
      </c>
      <c r="E2067" t="s">
        <v>148</v>
      </c>
      <c r="F2067" s="1">
        <v>2</v>
      </c>
      <c r="G2067" s="1" t="s">
        <v>28</v>
      </c>
      <c r="H2067" s="4" t="str">
        <f>HYPERLINK("https://www.ncbi.nlm.nih.gov/geo/query/acc.cgi?acc=GSM579349","GSM579349")</f>
        <v>GSM579349</v>
      </c>
      <c r="I2067" t="s">
        <v>59</v>
      </c>
      <c r="J2067" t="s">
        <v>149</v>
      </c>
      <c r="K2067" t="s">
        <v>19</v>
      </c>
      <c r="L2067" t="s">
        <v>61</v>
      </c>
      <c r="M2067" t="s">
        <v>51</v>
      </c>
      <c r="N2067" t="s">
        <v>29</v>
      </c>
    </row>
    <row r="2068" spans="1:14">
      <c r="A2068" s="4" t="str">
        <f t="shared" si="187"/>
        <v>EXP00053</v>
      </c>
      <c r="B2068" s="4" t="str">
        <f t="shared" si="188"/>
        <v>20952505</v>
      </c>
      <c r="C2068" s="4" t="str">
        <f t="shared" si="189"/>
        <v>GSE23629</v>
      </c>
      <c r="D2068" s="1" t="s">
        <v>45</v>
      </c>
      <c r="E2068" t="s">
        <v>148</v>
      </c>
      <c r="F2068" s="1">
        <v>2</v>
      </c>
      <c r="G2068" s="1" t="s">
        <v>28</v>
      </c>
      <c r="H2068" s="4" t="str">
        <f>HYPERLINK("https://www.ncbi.nlm.nih.gov/geo/query/acc.cgi?acc=GSM579351","GSM579351")</f>
        <v>GSM579351</v>
      </c>
      <c r="I2068" t="s">
        <v>59</v>
      </c>
      <c r="J2068" t="s">
        <v>149</v>
      </c>
      <c r="K2068" t="s">
        <v>19</v>
      </c>
      <c r="L2068" t="s">
        <v>61</v>
      </c>
      <c r="M2068" t="s">
        <v>51</v>
      </c>
      <c r="N2068" t="s">
        <v>29</v>
      </c>
    </row>
    <row r="2069" spans="1:14">
      <c r="A2069" s="4" t="str">
        <f t="shared" si="187"/>
        <v>EXP00053</v>
      </c>
      <c r="B2069" s="4" t="str">
        <f t="shared" si="188"/>
        <v>20952505</v>
      </c>
      <c r="C2069" s="4" t="str">
        <f t="shared" si="189"/>
        <v>GSE23629</v>
      </c>
      <c r="D2069" s="1" t="s">
        <v>45</v>
      </c>
      <c r="E2069" t="s">
        <v>148</v>
      </c>
      <c r="F2069" s="1">
        <v>2</v>
      </c>
      <c r="G2069" s="1" t="s">
        <v>28</v>
      </c>
      <c r="H2069" s="4" t="str">
        <f>HYPERLINK("https://www.ncbi.nlm.nih.gov/geo/query/acc.cgi?acc=GSM579353","GSM579353")</f>
        <v>GSM579353</v>
      </c>
      <c r="I2069" t="s">
        <v>59</v>
      </c>
      <c r="J2069" t="s">
        <v>149</v>
      </c>
      <c r="K2069" t="s">
        <v>19</v>
      </c>
      <c r="L2069" t="s">
        <v>61</v>
      </c>
      <c r="M2069" t="s">
        <v>51</v>
      </c>
      <c r="N2069" t="s">
        <v>29</v>
      </c>
    </row>
    <row r="2070" spans="1:14">
      <c r="A2070" s="4" t="str">
        <f t="shared" si="187"/>
        <v>EXP00053</v>
      </c>
      <c r="B2070" s="4" t="str">
        <f t="shared" si="188"/>
        <v>20952505</v>
      </c>
      <c r="C2070" s="4" t="str">
        <f t="shared" si="189"/>
        <v>GSE23629</v>
      </c>
      <c r="D2070" s="1" t="s">
        <v>45</v>
      </c>
      <c r="E2070" t="s">
        <v>148</v>
      </c>
      <c r="F2070" s="1">
        <v>2</v>
      </c>
      <c r="G2070" s="1" t="s">
        <v>28</v>
      </c>
      <c r="H2070" s="4" t="str">
        <f>HYPERLINK("https://www.ncbi.nlm.nih.gov/geo/query/acc.cgi?acc=GSM579355","GSM579355")</f>
        <v>GSM579355</v>
      </c>
      <c r="I2070" t="s">
        <v>59</v>
      </c>
      <c r="J2070" t="s">
        <v>149</v>
      </c>
      <c r="K2070" t="s">
        <v>19</v>
      </c>
      <c r="L2070" t="s">
        <v>61</v>
      </c>
      <c r="M2070" t="s">
        <v>51</v>
      </c>
      <c r="N2070" t="s">
        <v>29</v>
      </c>
    </row>
    <row r="2071" spans="1:14">
      <c r="A2071" s="4" t="str">
        <f t="shared" si="187"/>
        <v>EXP00053</v>
      </c>
      <c r="B2071" s="4" t="str">
        <f t="shared" si="188"/>
        <v>20952505</v>
      </c>
      <c r="C2071" s="4" t="str">
        <f t="shared" si="189"/>
        <v>GSE23629</v>
      </c>
      <c r="D2071" s="1" t="s">
        <v>45</v>
      </c>
      <c r="E2071" t="s">
        <v>148</v>
      </c>
      <c r="F2071" s="1">
        <v>2</v>
      </c>
      <c r="G2071" s="1" t="s">
        <v>28</v>
      </c>
      <c r="H2071" s="4" t="str">
        <f>HYPERLINK("https://www.ncbi.nlm.nih.gov/geo/query/acc.cgi?acc=GSM579357","GSM579357")</f>
        <v>GSM579357</v>
      </c>
      <c r="I2071" t="s">
        <v>59</v>
      </c>
      <c r="J2071" t="s">
        <v>149</v>
      </c>
      <c r="K2071" t="s">
        <v>19</v>
      </c>
      <c r="L2071" t="s">
        <v>61</v>
      </c>
      <c r="M2071" t="s">
        <v>51</v>
      </c>
      <c r="N2071" t="s">
        <v>29</v>
      </c>
    </row>
    <row r="2072" spans="1:14">
      <c r="A2072" s="4" t="str">
        <f t="shared" si="187"/>
        <v>EXP00053</v>
      </c>
      <c r="B2072" s="4" t="str">
        <f t="shared" si="188"/>
        <v>20952505</v>
      </c>
      <c r="C2072" s="4" t="str">
        <f t="shared" si="189"/>
        <v>GSE23629</v>
      </c>
      <c r="D2072" s="1" t="s">
        <v>45</v>
      </c>
      <c r="E2072" t="s">
        <v>148</v>
      </c>
      <c r="F2072" s="1">
        <v>2</v>
      </c>
      <c r="G2072" s="1" t="s">
        <v>28</v>
      </c>
      <c r="H2072" s="4" t="str">
        <f>HYPERLINK("https://www.ncbi.nlm.nih.gov/geo/query/acc.cgi?acc=GSM579359","GSM579359")</f>
        <v>GSM579359</v>
      </c>
      <c r="I2072" t="s">
        <v>59</v>
      </c>
      <c r="J2072" t="s">
        <v>149</v>
      </c>
      <c r="K2072" t="s">
        <v>19</v>
      </c>
      <c r="L2072" t="s">
        <v>61</v>
      </c>
      <c r="M2072" t="s">
        <v>51</v>
      </c>
      <c r="N2072" t="s">
        <v>29</v>
      </c>
    </row>
    <row r="2073" spans="1:14">
      <c r="A2073" s="4" t="str">
        <f t="shared" si="187"/>
        <v>EXP00053</v>
      </c>
      <c r="B2073" s="4" t="str">
        <f t="shared" si="188"/>
        <v>20952505</v>
      </c>
      <c r="C2073" s="4" t="str">
        <f t="shared" si="189"/>
        <v>GSE23629</v>
      </c>
      <c r="D2073" s="1" t="s">
        <v>45</v>
      </c>
      <c r="E2073" t="s">
        <v>148</v>
      </c>
      <c r="F2073" s="1">
        <v>2</v>
      </c>
      <c r="G2073" s="1" t="s">
        <v>28</v>
      </c>
      <c r="H2073" s="4" t="str">
        <f>HYPERLINK("https://www.ncbi.nlm.nih.gov/geo/query/acc.cgi?acc=GSM579361","GSM579361")</f>
        <v>GSM579361</v>
      </c>
      <c r="I2073" t="s">
        <v>59</v>
      </c>
      <c r="J2073" t="s">
        <v>149</v>
      </c>
      <c r="K2073" t="s">
        <v>19</v>
      </c>
      <c r="L2073" t="s">
        <v>61</v>
      </c>
      <c r="M2073" t="s">
        <v>51</v>
      </c>
      <c r="N2073" t="s">
        <v>29</v>
      </c>
    </row>
    <row r="2074" spans="1:14">
      <c r="A2074" s="4" t="str">
        <f t="shared" si="187"/>
        <v>EXP00053</v>
      </c>
      <c r="B2074" s="4" t="str">
        <f t="shared" si="188"/>
        <v>20952505</v>
      </c>
      <c r="C2074" s="4" t="str">
        <f t="shared" si="189"/>
        <v>GSE23629</v>
      </c>
      <c r="D2074" s="1" t="s">
        <v>45</v>
      </c>
      <c r="E2074" t="s">
        <v>148</v>
      </c>
      <c r="F2074" s="1">
        <v>2</v>
      </c>
      <c r="G2074" s="1" t="s">
        <v>28</v>
      </c>
      <c r="H2074" s="4" t="str">
        <f>HYPERLINK("https://www.ncbi.nlm.nih.gov/geo/query/acc.cgi?acc=GSM579363","GSM579363")</f>
        <v>GSM579363</v>
      </c>
      <c r="I2074" t="s">
        <v>59</v>
      </c>
      <c r="J2074" t="s">
        <v>149</v>
      </c>
      <c r="K2074" t="s">
        <v>19</v>
      </c>
      <c r="L2074" t="s">
        <v>61</v>
      </c>
      <c r="M2074" t="s">
        <v>51</v>
      </c>
      <c r="N2074" t="s">
        <v>29</v>
      </c>
    </row>
    <row r="2075" spans="1:14">
      <c r="A2075" s="4" t="str">
        <f t="shared" si="187"/>
        <v>EXP00053</v>
      </c>
      <c r="B2075" s="4" t="str">
        <f t="shared" si="188"/>
        <v>20952505</v>
      </c>
      <c r="C2075" s="4" t="str">
        <f t="shared" si="189"/>
        <v>GSE23629</v>
      </c>
      <c r="D2075" s="1" t="s">
        <v>45</v>
      </c>
      <c r="E2075" t="s">
        <v>148</v>
      </c>
      <c r="F2075" s="1">
        <v>2</v>
      </c>
      <c r="G2075" s="1" t="s">
        <v>28</v>
      </c>
      <c r="H2075" s="4" t="str">
        <f>HYPERLINK("https://www.ncbi.nlm.nih.gov/geo/query/acc.cgi?acc=GSM579365","GSM579365")</f>
        <v>GSM579365</v>
      </c>
      <c r="I2075" t="s">
        <v>59</v>
      </c>
      <c r="J2075" t="s">
        <v>149</v>
      </c>
      <c r="K2075" t="s">
        <v>19</v>
      </c>
      <c r="L2075" t="s">
        <v>61</v>
      </c>
      <c r="M2075" t="s">
        <v>51</v>
      </c>
      <c r="N2075" t="s">
        <v>29</v>
      </c>
    </row>
    <row r="2076" spans="1:14">
      <c r="A2076" s="4" t="str">
        <f t="shared" si="187"/>
        <v>EXP00053</v>
      </c>
      <c r="B2076" s="4" t="str">
        <f t="shared" si="188"/>
        <v>20952505</v>
      </c>
      <c r="C2076" s="4" t="str">
        <f t="shared" si="189"/>
        <v>GSE23629</v>
      </c>
      <c r="D2076" s="1" t="s">
        <v>45</v>
      </c>
      <c r="E2076" t="s">
        <v>148</v>
      </c>
      <c r="F2076" s="1">
        <v>2</v>
      </c>
      <c r="G2076" s="1" t="s">
        <v>28</v>
      </c>
      <c r="H2076" s="4" t="str">
        <f>HYPERLINK("https://www.ncbi.nlm.nih.gov/geo/query/acc.cgi?acc=GSM579367","GSM579367")</f>
        <v>GSM579367</v>
      </c>
      <c r="I2076" t="s">
        <v>59</v>
      </c>
      <c r="J2076" t="s">
        <v>149</v>
      </c>
      <c r="K2076" t="s">
        <v>19</v>
      </c>
      <c r="L2076" t="s">
        <v>61</v>
      </c>
      <c r="M2076" t="s">
        <v>51</v>
      </c>
      <c r="N2076" t="s">
        <v>29</v>
      </c>
    </row>
    <row r="2077" spans="1:14">
      <c r="A2077" s="4" t="str">
        <f t="shared" si="187"/>
        <v>EXP00053</v>
      </c>
      <c r="B2077" s="4" t="str">
        <f t="shared" si="188"/>
        <v>20952505</v>
      </c>
      <c r="C2077" s="4" t="str">
        <f t="shared" si="189"/>
        <v>GSE23629</v>
      </c>
      <c r="D2077" s="1" t="s">
        <v>45</v>
      </c>
      <c r="E2077" t="s">
        <v>148</v>
      </c>
      <c r="F2077" s="1">
        <v>2</v>
      </c>
      <c r="G2077" s="1" t="s">
        <v>28</v>
      </c>
      <c r="H2077" s="4" t="str">
        <f>HYPERLINK("https://www.ncbi.nlm.nih.gov/geo/query/acc.cgi?acc=GSM579369","GSM579369")</f>
        <v>GSM579369</v>
      </c>
      <c r="I2077" t="s">
        <v>59</v>
      </c>
      <c r="J2077" t="s">
        <v>149</v>
      </c>
      <c r="K2077" t="s">
        <v>19</v>
      </c>
      <c r="L2077" t="s">
        <v>61</v>
      </c>
      <c r="M2077" t="s">
        <v>51</v>
      </c>
      <c r="N2077" t="s">
        <v>29</v>
      </c>
    </row>
    <row r="2078" spans="1:14">
      <c r="A2078" s="4" t="str">
        <f t="shared" si="187"/>
        <v>EXP00053</v>
      </c>
      <c r="B2078" s="4" t="str">
        <f t="shared" si="188"/>
        <v>20952505</v>
      </c>
      <c r="C2078" s="4" t="str">
        <f t="shared" si="189"/>
        <v>GSE23629</v>
      </c>
      <c r="D2078" s="1" t="s">
        <v>45</v>
      </c>
      <c r="E2078" t="s">
        <v>148</v>
      </c>
      <c r="F2078" s="1">
        <v>2</v>
      </c>
      <c r="G2078" s="1" t="s">
        <v>28</v>
      </c>
      <c r="H2078" s="4" t="str">
        <f>HYPERLINK("https://www.ncbi.nlm.nih.gov/geo/query/acc.cgi?acc=GSM579371","GSM579371")</f>
        <v>GSM579371</v>
      </c>
      <c r="I2078" t="s">
        <v>59</v>
      </c>
      <c r="J2078" t="s">
        <v>149</v>
      </c>
      <c r="K2078" t="s">
        <v>19</v>
      </c>
      <c r="L2078" t="s">
        <v>61</v>
      </c>
      <c r="M2078" t="s">
        <v>51</v>
      </c>
      <c r="N2078" t="s">
        <v>29</v>
      </c>
    </row>
    <row r="2079" spans="1:14">
      <c r="A2079" s="4" t="str">
        <f t="shared" si="187"/>
        <v>EXP00053</v>
      </c>
      <c r="B2079" s="4" t="str">
        <f t="shared" si="188"/>
        <v>20952505</v>
      </c>
      <c r="C2079" s="4" t="str">
        <f t="shared" si="189"/>
        <v>GSE23629</v>
      </c>
      <c r="D2079" s="1" t="s">
        <v>45</v>
      </c>
      <c r="E2079" t="s">
        <v>148</v>
      </c>
      <c r="F2079" s="1">
        <v>2</v>
      </c>
      <c r="G2079" s="1" t="s">
        <v>28</v>
      </c>
      <c r="H2079" s="4" t="str">
        <f>HYPERLINK("https://www.ncbi.nlm.nih.gov/geo/query/acc.cgi?acc=GSM579373","GSM579373")</f>
        <v>GSM579373</v>
      </c>
      <c r="I2079" t="s">
        <v>59</v>
      </c>
      <c r="J2079" t="s">
        <v>149</v>
      </c>
      <c r="K2079" t="s">
        <v>19</v>
      </c>
      <c r="L2079" t="s">
        <v>61</v>
      </c>
      <c r="M2079" t="s">
        <v>51</v>
      </c>
      <c r="N2079" t="s">
        <v>29</v>
      </c>
    </row>
    <row r="2080" spans="1:14">
      <c r="A2080" s="4" t="str">
        <f t="shared" si="187"/>
        <v>EXP00053</v>
      </c>
      <c r="B2080" s="4" t="str">
        <f t="shared" si="188"/>
        <v>20952505</v>
      </c>
      <c r="C2080" s="4" t="str">
        <f t="shared" si="189"/>
        <v>GSE23629</v>
      </c>
      <c r="D2080" s="1" t="s">
        <v>45</v>
      </c>
      <c r="E2080" t="s">
        <v>148</v>
      </c>
      <c r="F2080" s="1">
        <v>2</v>
      </c>
      <c r="G2080" s="1" t="s">
        <v>28</v>
      </c>
      <c r="H2080" s="4" t="str">
        <f>HYPERLINK("https://www.ncbi.nlm.nih.gov/geo/query/acc.cgi?acc=GSM579375","GSM579375")</f>
        <v>GSM579375</v>
      </c>
      <c r="I2080" t="s">
        <v>59</v>
      </c>
      <c r="J2080" t="s">
        <v>149</v>
      </c>
      <c r="K2080" t="s">
        <v>19</v>
      </c>
      <c r="L2080" t="s">
        <v>61</v>
      </c>
      <c r="M2080" t="s">
        <v>51</v>
      </c>
      <c r="N2080" t="s">
        <v>29</v>
      </c>
    </row>
    <row r="2081" spans="1:14">
      <c r="A2081" s="4" t="str">
        <f t="shared" si="187"/>
        <v>EXP00053</v>
      </c>
      <c r="B2081" s="4" t="str">
        <f t="shared" si="188"/>
        <v>20952505</v>
      </c>
      <c r="C2081" s="4" t="str">
        <f t="shared" si="189"/>
        <v>GSE23629</v>
      </c>
      <c r="D2081" s="1" t="s">
        <v>45</v>
      </c>
      <c r="E2081" t="s">
        <v>148</v>
      </c>
      <c r="F2081" s="1">
        <v>2</v>
      </c>
      <c r="G2081" s="1" t="s">
        <v>28</v>
      </c>
      <c r="H2081" s="4" t="str">
        <f>HYPERLINK("https://www.ncbi.nlm.nih.gov/geo/query/acc.cgi?acc=GSM579377","GSM579377")</f>
        <v>GSM579377</v>
      </c>
      <c r="I2081" t="s">
        <v>59</v>
      </c>
      <c r="J2081" t="s">
        <v>149</v>
      </c>
      <c r="K2081" t="s">
        <v>19</v>
      </c>
      <c r="L2081" t="s">
        <v>61</v>
      </c>
      <c r="M2081" t="s">
        <v>51</v>
      </c>
      <c r="N2081" t="s">
        <v>29</v>
      </c>
    </row>
    <row r="2082" spans="1:14">
      <c r="A2082" s="4" t="str">
        <f t="shared" si="187"/>
        <v>EXP00053</v>
      </c>
      <c r="B2082" s="4" t="str">
        <f t="shared" si="188"/>
        <v>20952505</v>
      </c>
      <c r="C2082" s="4" t="str">
        <f t="shared" si="189"/>
        <v>GSE23629</v>
      </c>
      <c r="D2082" s="1" t="s">
        <v>45</v>
      </c>
      <c r="E2082" t="s">
        <v>148</v>
      </c>
      <c r="F2082" s="1">
        <v>2</v>
      </c>
      <c r="G2082" s="1" t="s">
        <v>28</v>
      </c>
      <c r="H2082" s="4" t="str">
        <f>HYPERLINK("https://www.ncbi.nlm.nih.gov/geo/query/acc.cgi?acc=GSM579379","GSM579379")</f>
        <v>GSM579379</v>
      </c>
      <c r="I2082" t="s">
        <v>59</v>
      </c>
      <c r="J2082" t="s">
        <v>149</v>
      </c>
      <c r="K2082" t="s">
        <v>19</v>
      </c>
      <c r="L2082" t="s">
        <v>61</v>
      </c>
      <c r="M2082" t="s">
        <v>51</v>
      </c>
      <c r="N2082" t="s">
        <v>29</v>
      </c>
    </row>
    <row r="2083" spans="1:14">
      <c r="A2083" s="4" t="str">
        <f t="shared" ref="A2083:A2086" si="190">HYPERLINK("http://hcmdb.i-sanger.com/experiment/details/experiment_id/EXP00054","EXP00054")</f>
        <v>EXP00054</v>
      </c>
      <c r="B2083" s="3" t="s">
        <v>66</v>
      </c>
      <c r="C2083" s="4" t="str">
        <f t="shared" ref="C2083:C2114" si="191">HYPERLINK("https://www.ncbi.nlm.nih.gov/geo/query/acc.cgi?acc=GSE26571","GSE26571")</f>
        <v>GSE26571</v>
      </c>
      <c r="D2083" s="1" t="s">
        <v>150</v>
      </c>
      <c r="E2083" t="s">
        <v>72</v>
      </c>
      <c r="F2083" s="1">
        <v>1</v>
      </c>
      <c r="G2083" s="1" t="s">
        <v>26</v>
      </c>
      <c r="H2083" s="4" t="str">
        <f>HYPERLINK("https://www.ncbi.nlm.nih.gov/geo/query/acc.cgi?acc=GSM653252","GSM653252")</f>
        <v>GSM653252</v>
      </c>
      <c r="I2083" t="s">
        <v>69</v>
      </c>
      <c r="J2083" t="s">
        <v>18</v>
      </c>
      <c r="K2083" t="s">
        <v>19</v>
      </c>
      <c r="L2083" t="s">
        <v>70</v>
      </c>
      <c r="M2083" t="s">
        <v>44</v>
      </c>
      <c r="N2083" t="s">
        <v>22</v>
      </c>
    </row>
    <row r="2084" spans="1:14">
      <c r="A2084" s="4" t="str">
        <f t="shared" si="190"/>
        <v>EXP00054</v>
      </c>
      <c r="B2084" s="3" t="s">
        <v>66</v>
      </c>
      <c r="C2084" s="4" t="str">
        <f t="shared" si="191"/>
        <v>GSE26571</v>
      </c>
      <c r="D2084" s="1" t="s">
        <v>150</v>
      </c>
      <c r="E2084" t="s">
        <v>72</v>
      </c>
      <c r="F2084" s="1">
        <v>1</v>
      </c>
      <c r="G2084" s="1" t="s">
        <v>26</v>
      </c>
      <c r="H2084" s="4" t="str">
        <f>HYPERLINK("https://www.ncbi.nlm.nih.gov/geo/query/acc.cgi?acc=GSM653253","GSM653253")</f>
        <v>GSM653253</v>
      </c>
      <c r="I2084" t="s">
        <v>69</v>
      </c>
      <c r="J2084" t="s">
        <v>18</v>
      </c>
      <c r="K2084" t="s">
        <v>19</v>
      </c>
      <c r="L2084" t="s">
        <v>70</v>
      </c>
      <c r="M2084" t="s">
        <v>44</v>
      </c>
      <c r="N2084" t="s">
        <v>22</v>
      </c>
    </row>
    <row r="2085" spans="1:14">
      <c r="A2085" s="4" t="str">
        <f t="shared" si="190"/>
        <v>EXP00054</v>
      </c>
      <c r="B2085" s="3" t="s">
        <v>66</v>
      </c>
      <c r="C2085" s="4" t="str">
        <f t="shared" si="191"/>
        <v>GSE26571</v>
      </c>
      <c r="D2085" s="1" t="s">
        <v>150</v>
      </c>
      <c r="E2085" t="s">
        <v>72</v>
      </c>
      <c r="F2085" s="1">
        <v>2</v>
      </c>
      <c r="G2085" s="1" t="s">
        <v>28</v>
      </c>
      <c r="H2085" s="4" t="str">
        <f>HYPERLINK("https://www.ncbi.nlm.nih.gov/geo/query/acc.cgi?acc=GSM653239","GSM653239")</f>
        <v>GSM653239</v>
      </c>
      <c r="I2085" t="s">
        <v>69</v>
      </c>
      <c r="J2085" t="s">
        <v>18</v>
      </c>
      <c r="K2085" t="s">
        <v>19</v>
      </c>
      <c r="L2085" t="s">
        <v>70</v>
      </c>
      <c r="M2085" t="s">
        <v>44</v>
      </c>
      <c r="N2085" t="s">
        <v>29</v>
      </c>
    </row>
    <row r="2086" spans="1:14">
      <c r="A2086" s="4" t="str">
        <f t="shared" si="190"/>
        <v>EXP00054</v>
      </c>
      <c r="B2086" s="3" t="s">
        <v>66</v>
      </c>
      <c r="C2086" s="4" t="str">
        <f t="shared" si="191"/>
        <v>GSE26571</v>
      </c>
      <c r="D2086" s="1" t="s">
        <v>150</v>
      </c>
      <c r="E2086" t="s">
        <v>72</v>
      </c>
      <c r="F2086" s="1">
        <v>2</v>
      </c>
      <c r="G2086" s="1" t="s">
        <v>28</v>
      </c>
      <c r="H2086" s="4" t="str">
        <f>HYPERLINK("https://www.ncbi.nlm.nih.gov/geo/query/acc.cgi?acc=GSM653240","GSM653240")</f>
        <v>GSM653240</v>
      </c>
      <c r="I2086" t="s">
        <v>69</v>
      </c>
      <c r="J2086" t="s">
        <v>18</v>
      </c>
      <c r="K2086" t="s">
        <v>19</v>
      </c>
      <c r="L2086" t="s">
        <v>70</v>
      </c>
      <c r="M2086" t="s">
        <v>44</v>
      </c>
      <c r="N2086" t="s">
        <v>29</v>
      </c>
    </row>
    <row r="2087" spans="1:14">
      <c r="A2087" s="4" t="str">
        <f t="shared" ref="A2087:A2102" si="192">HYPERLINK("http://hcmdb.i-sanger.com/experiment/details/experiment_id/EXP00055","EXP00055")</f>
        <v>EXP00055</v>
      </c>
      <c r="B2087" s="3" t="s">
        <v>66</v>
      </c>
      <c r="C2087" s="4" t="str">
        <f t="shared" si="191"/>
        <v>GSE26571</v>
      </c>
      <c r="D2087" s="1" t="s">
        <v>150</v>
      </c>
      <c r="E2087" t="s">
        <v>151</v>
      </c>
      <c r="F2087" s="1">
        <v>1</v>
      </c>
      <c r="G2087" s="1" t="s">
        <v>26</v>
      </c>
      <c r="H2087" s="4" t="str">
        <f>HYPERLINK("https://www.ncbi.nlm.nih.gov/geo/query/acc.cgi?acc=GSM653243","GSM653243")</f>
        <v>GSM653243</v>
      </c>
      <c r="I2087" t="s">
        <v>69</v>
      </c>
      <c r="J2087" t="s">
        <v>18</v>
      </c>
      <c r="K2087" t="s">
        <v>19</v>
      </c>
      <c r="L2087" t="s">
        <v>70</v>
      </c>
      <c r="M2087" t="s">
        <v>24</v>
      </c>
      <c r="N2087" t="s">
        <v>22</v>
      </c>
    </row>
    <row r="2088" spans="1:14">
      <c r="A2088" s="4" t="str">
        <f t="shared" si="192"/>
        <v>EXP00055</v>
      </c>
      <c r="B2088" s="3" t="s">
        <v>66</v>
      </c>
      <c r="C2088" s="4" t="str">
        <f t="shared" si="191"/>
        <v>GSE26571</v>
      </c>
      <c r="D2088" s="1" t="s">
        <v>150</v>
      </c>
      <c r="E2088" t="s">
        <v>151</v>
      </c>
      <c r="F2088" s="1">
        <v>1</v>
      </c>
      <c r="G2088" s="1" t="s">
        <v>26</v>
      </c>
      <c r="H2088" s="4" t="str">
        <f>HYPERLINK("https://www.ncbi.nlm.nih.gov/geo/query/acc.cgi?acc=GSM653244","GSM653244")</f>
        <v>GSM653244</v>
      </c>
      <c r="I2088" t="s">
        <v>69</v>
      </c>
      <c r="J2088" t="s">
        <v>18</v>
      </c>
      <c r="K2088" t="s">
        <v>19</v>
      </c>
      <c r="L2088" t="s">
        <v>70</v>
      </c>
      <c r="M2088" t="s">
        <v>24</v>
      </c>
      <c r="N2088" t="s">
        <v>22</v>
      </c>
    </row>
    <row r="2089" spans="1:14">
      <c r="A2089" s="4" t="str">
        <f t="shared" si="192"/>
        <v>EXP00055</v>
      </c>
      <c r="B2089" s="3" t="s">
        <v>66</v>
      </c>
      <c r="C2089" s="4" t="str">
        <f t="shared" si="191"/>
        <v>GSE26571</v>
      </c>
      <c r="D2089" s="1" t="s">
        <v>150</v>
      </c>
      <c r="E2089" t="s">
        <v>151</v>
      </c>
      <c r="F2089" s="1">
        <v>1</v>
      </c>
      <c r="G2089" s="1" t="s">
        <v>26</v>
      </c>
      <c r="H2089" s="4" t="str">
        <f>HYPERLINK("https://www.ncbi.nlm.nih.gov/geo/query/acc.cgi?acc=GSM653245","GSM653245")</f>
        <v>GSM653245</v>
      </c>
      <c r="I2089" t="s">
        <v>69</v>
      </c>
      <c r="J2089" t="s">
        <v>18</v>
      </c>
      <c r="K2089" t="s">
        <v>19</v>
      </c>
      <c r="L2089" t="s">
        <v>70</v>
      </c>
      <c r="M2089" t="s">
        <v>24</v>
      </c>
      <c r="N2089" t="s">
        <v>22</v>
      </c>
    </row>
    <row r="2090" spans="1:14">
      <c r="A2090" s="4" t="str">
        <f t="shared" si="192"/>
        <v>EXP00055</v>
      </c>
      <c r="B2090" s="3" t="s">
        <v>66</v>
      </c>
      <c r="C2090" s="4" t="str">
        <f t="shared" si="191"/>
        <v>GSE26571</v>
      </c>
      <c r="D2090" s="1" t="s">
        <v>150</v>
      </c>
      <c r="E2090" t="s">
        <v>151</v>
      </c>
      <c r="F2090" s="1">
        <v>1</v>
      </c>
      <c r="G2090" s="1" t="s">
        <v>26</v>
      </c>
      <c r="H2090" s="4" t="str">
        <f>HYPERLINK("https://www.ncbi.nlm.nih.gov/geo/query/acc.cgi?acc=GSM653246","GSM653246")</f>
        <v>GSM653246</v>
      </c>
      <c r="I2090" t="s">
        <v>69</v>
      </c>
      <c r="J2090" t="s">
        <v>18</v>
      </c>
      <c r="K2090" t="s">
        <v>19</v>
      </c>
      <c r="L2090" t="s">
        <v>70</v>
      </c>
      <c r="M2090" t="s">
        <v>24</v>
      </c>
      <c r="N2090" t="s">
        <v>22</v>
      </c>
    </row>
    <row r="2091" spans="1:14">
      <c r="A2091" s="4" t="str">
        <f t="shared" si="192"/>
        <v>EXP00055</v>
      </c>
      <c r="B2091" s="3" t="s">
        <v>66</v>
      </c>
      <c r="C2091" s="4" t="str">
        <f t="shared" si="191"/>
        <v>GSE26571</v>
      </c>
      <c r="D2091" s="1" t="s">
        <v>150</v>
      </c>
      <c r="E2091" t="s">
        <v>151</v>
      </c>
      <c r="F2091" s="1">
        <v>1</v>
      </c>
      <c r="G2091" s="1" t="s">
        <v>26</v>
      </c>
      <c r="H2091" s="4" t="str">
        <f>HYPERLINK("https://www.ncbi.nlm.nih.gov/geo/query/acc.cgi?acc=GSM653247","GSM653247")</f>
        <v>GSM653247</v>
      </c>
      <c r="I2091" t="s">
        <v>69</v>
      </c>
      <c r="J2091" t="s">
        <v>18</v>
      </c>
      <c r="K2091" t="s">
        <v>19</v>
      </c>
      <c r="L2091" t="s">
        <v>70</v>
      </c>
      <c r="M2091" t="s">
        <v>24</v>
      </c>
      <c r="N2091" t="s">
        <v>22</v>
      </c>
    </row>
    <row r="2092" spans="1:14">
      <c r="A2092" s="4" t="str">
        <f t="shared" si="192"/>
        <v>EXP00055</v>
      </c>
      <c r="B2092" s="3" t="s">
        <v>66</v>
      </c>
      <c r="C2092" s="4" t="str">
        <f t="shared" si="191"/>
        <v>GSE26571</v>
      </c>
      <c r="D2092" s="1" t="s">
        <v>150</v>
      </c>
      <c r="E2092" t="s">
        <v>151</v>
      </c>
      <c r="F2092" s="1">
        <v>1</v>
      </c>
      <c r="G2092" s="1" t="s">
        <v>26</v>
      </c>
      <c r="H2092" s="4" t="str">
        <f>HYPERLINK("https://www.ncbi.nlm.nih.gov/geo/query/acc.cgi?acc=GSM653248","GSM653248")</f>
        <v>GSM653248</v>
      </c>
      <c r="I2092" t="s">
        <v>69</v>
      </c>
      <c r="J2092" t="s">
        <v>18</v>
      </c>
      <c r="K2092" t="s">
        <v>19</v>
      </c>
      <c r="L2092" t="s">
        <v>70</v>
      </c>
      <c r="M2092" t="s">
        <v>24</v>
      </c>
      <c r="N2092" t="s">
        <v>22</v>
      </c>
    </row>
    <row r="2093" spans="1:14">
      <c r="A2093" s="4" t="str">
        <f t="shared" si="192"/>
        <v>EXP00055</v>
      </c>
      <c r="B2093" s="3" t="s">
        <v>66</v>
      </c>
      <c r="C2093" s="4" t="str">
        <f t="shared" si="191"/>
        <v>GSE26571</v>
      </c>
      <c r="D2093" s="1" t="s">
        <v>150</v>
      </c>
      <c r="E2093" t="s">
        <v>151</v>
      </c>
      <c r="F2093" s="1">
        <v>1</v>
      </c>
      <c r="G2093" s="1" t="s">
        <v>26</v>
      </c>
      <c r="H2093" s="4" t="str">
        <f>HYPERLINK("https://www.ncbi.nlm.nih.gov/geo/query/acc.cgi?acc=GSM653249","GSM653249")</f>
        <v>GSM653249</v>
      </c>
      <c r="I2093" t="s">
        <v>69</v>
      </c>
      <c r="J2093" t="s">
        <v>18</v>
      </c>
      <c r="K2093" t="s">
        <v>19</v>
      </c>
      <c r="L2093" t="s">
        <v>70</v>
      </c>
      <c r="M2093" t="s">
        <v>24</v>
      </c>
      <c r="N2093" t="s">
        <v>22</v>
      </c>
    </row>
    <row r="2094" spans="1:14">
      <c r="A2094" s="4" t="str">
        <f t="shared" si="192"/>
        <v>EXP00055</v>
      </c>
      <c r="B2094" s="3" t="s">
        <v>66</v>
      </c>
      <c r="C2094" s="4" t="str">
        <f t="shared" si="191"/>
        <v>GSE26571</v>
      </c>
      <c r="D2094" s="1" t="s">
        <v>150</v>
      </c>
      <c r="E2094" t="s">
        <v>151</v>
      </c>
      <c r="F2094" s="1">
        <v>1</v>
      </c>
      <c r="G2094" s="1" t="s">
        <v>26</v>
      </c>
      <c r="H2094" s="4" t="str">
        <f>HYPERLINK("https://www.ncbi.nlm.nih.gov/geo/query/acc.cgi?acc=GSM653250","GSM653250")</f>
        <v>GSM653250</v>
      </c>
      <c r="I2094" t="s">
        <v>69</v>
      </c>
      <c r="J2094" t="s">
        <v>18</v>
      </c>
      <c r="K2094" t="s">
        <v>19</v>
      </c>
      <c r="L2094" t="s">
        <v>70</v>
      </c>
      <c r="M2094" t="s">
        <v>24</v>
      </c>
      <c r="N2094" t="s">
        <v>22</v>
      </c>
    </row>
    <row r="2095" spans="1:14">
      <c r="A2095" s="4" t="str">
        <f t="shared" si="192"/>
        <v>EXP00055</v>
      </c>
      <c r="B2095" s="3" t="s">
        <v>66</v>
      </c>
      <c r="C2095" s="4" t="str">
        <f t="shared" si="191"/>
        <v>GSE26571</v>
      </c>
      <c r="D2095" s="1" t="s">
        <v>150</v>
      </c>
      <c r="E2095" t="s">
        <v>151</v>
      </c>
      <c r="F2095" s="1">
        <v>1</v>
      </c>
      <c r="G2095" s="1" t="s">
        <v>26</v>
      </c>
      <c r="H2095" s="4" t="str">
        <f>HYPERLINK("https://www.ncbi.nlm.nih.gov/geo/query/acc.cgi?acc=GSM653251","GSM653251")</f>
        <v>GSM653251</v>
      </c>
      <c r="I2095" t="s">
        <v>69</v>
      </c>
      <c r="J2095" t="s">
        <v>18</v>
      </c>
      <c r="K2095" t="s">
        <v>19</v>
      </c>
      <c r="L2095" t="s">
        <v>70</v>
      </c>
      <c r="M2095" t="s">
        <v>24</v>
      </c>
      <c r="N2095" t="s">
        <v>22</v>
      </c>
    </row>
    <row r="2096" spans="1:14">
      <c r="A2096" s="4" t="str">
        <f t="shared" si="192"/>
        <v>EXP00055</v>
      </c>
      <c r="B2096" s="3" t="s">
        <v>66</v>
      </c>
      <c r="C2096" s="4" t="str">
        <f t="shared" si="191"/>
        <v>GSE26571</v>
      </c>
      <c r="D2096" s="1" t="s">
        <v>150</v>
      </c>
      <c r="E2096" t="s">
        <v>151</v>
      </c>
      <c r="F2096" s="1">
        <v>2</v>
      </c>
      <c r="G2096" s="1" t="s">
        <v>28</v>
      </c>
      <c r="H2096" s="4" t="str">
        <f>HYPERLINK("https://www.ncbi.nlm.nih.gov/geo/query/acc.cgi?acc=GSM653231","GSM653231")</f>
        <v>GSM653231</v>
      </c>
      <c r="I2096" t="s">
        <v>69</v>
      </c>
      <c r="J2096" t="s">
        <v>18</v>
      </c>
      <c r="K2096" t="s">
        <v>19</v>
      </c>
      <c r="L2096" t="s">
        <v>70</v>
      </c>
      <c r="M2096" t="s">
        <v>24</v>
      </c>
      <c r="N2096" t="s">
        <v>29</v>
      </c>
    </row>
    <row r="2097" spans="1:14">
      <c r="A2097" s="4" t="str">
        <f t="shared" si="192"/>
        <v>EXP00055</v>
      </c>
      <c r="B2097" s="3" t="s">
        <v>66</v>
      </c>
      <c r="C2097" s="4" t="str">
        <f t="shared" si="191"/>
        <v>GSE26571</v>
      </c>
      <c r="D2097" s="1" t="s">
        <v>150</v>
      </c>
      <c r="E2097" t="s">
        <v>151</v>
      </c>
      <c r="F2097" s="1">
        <v>2</v>
      </c>
      <c r="G2097" s="1" t="s">
        <v>28</v>
      </c>
      <c r="H2097" s="4" t="str">
        <f>HYPERLINK("https://www.ncbi.nlm.nih.gov/geo/query/acc.cgi?acc=GSM653232","GSM653232")</f>
        <v>GSM653232</v>
      </c>
      <c r="I2097" t="s">
        <v>69</v>
      </c>
      <c r="J2097" t="s">
        <v>18</v>
      </c>
      <c r="K2097" t="s">
        <v>19</v>
      </c>
      <c r="L2097" t="s">
        <v>70</v>
      </c>
      <c r="M2097" t="s">
        <v>24</v>
      </c>
      <c r="N2097" t="s">
        <v>29</v>
      </c>
    </row>
    <row r="2098" spans="1:14">
      <c r="A2098" s="4" t="str">
        <f t="shared" si="192"/>
        <v>EXP00055</v>
      </c>
      <c r="B2098" s="3" t="s">
        <v>66</v>
      </c>
      <c r="C2098" s="4" t="str">
        <f t="shared" si="191"/>
        <v>GSE26571</v>
      </c>
      <c r="D2098" s="1" t="s">
        <v>150</v>
      </c>
      <c r="E2098" t="s">
        <v>151</v>
      </c>
      <c r="F2098" s="1">
        <v>2</v>
      </c>
      <c r="G2098" s="1" t="s">
        <v>28</v>
      </c>
      <c r="H2098" s="4" t="str">
        <f>HYPERLINK("https://www.ncbi.nlm.nih.gov/geo/query/acc.cgi?acc=GSM653234","GSM653234")</f>
        <v>GSM653234</v>
      </c>
      <c r="I2098" t="s">
        <v>69</v>
      </c>
      <c r="J2098" t="s">
        <v>18</v>
      </c>
      <c r="K2098" t="s">
        <v>19</v>
      </c>
      <c r="L2098" t="s">
        <v>70</v>
      </c>
      <c r="M2098" t="s">
        <v>24</v>
      </c>
      <c r="N2098" t="s">
        <v>29</v>
      </c>
    </row>
    <row r="2099" spans="1:14">
      <c r="A2099" s="4" t="str">
        <f t="shared" si="192"/>
        <v>EXP00055</v>
      </c>
      <c r="B2099" s="3" t="s">
        <v>66</v>
      </c>
      <c r="C2099" s="4" t="str">
        <f t="shared" si="191"/>
        <v>GSE26571</v>
      </c>
      <c r="D2099" s="1" t="s">
        <v>150</v>
      </c>
      <c r="E2099" t="s">
        <v>151</v>
      </c>
      <c r="F2099" s="1">
        <v>2</v>
      </c>
      <c r="G2099" s="1" t="s">
        <v>28</v>
      </c>
      <c r="H2099" s="4" t="str">
        <f>HYPERLINK("https://www.ncbi.nlm.nih.gov/geo/query/acc.cgi?acc=GSM653235","GSM653235")</f>
        <v>GSM653235</v>
      </c>
      <c r="I2099" t="s">
        <v>69</v>
      </c>
      <c r="J2099" t="s">
        <v>18</v>
      </c>
      <c r="K2099" t="s">
        <v>19</v>
      </c>
      <c r="L2099" t="s">
        <v>70</v>
      </c>
      <c r="M2099" t="s">
        <v>24</v>
      </c>
      <c r="N2099" t="s">
        <v>29</v>
      </c>
    </row>
    <row r="2100" spans="1:14">
      <c r="A2100" s="4" t="str">
        <f t="shared" si="192"/>
        <v>EXP00055</v>
      </c>
      <c r="B2100" s="3" t="s">
        <v>66</v>
      </c>
      <c r="C2100" s="4" t="str">
        <f t="shared" si="191"/>
        <v>GSE26571</v>
      </c>
      <c r="D2100" s="1" t="s">
        <v>150</v>
      </c>
      <c r="E2100" t="s">
        <v>151</v>
      </c>
      <c r="F2100" s="1">
        <v>2</v>
      </c>
      <c r="G2100" s="1" t="s">
        <v>28</v>
      </c>
      <c r="H2100" s="4" t="str">
        <f>HYPERLINK("https://www.ncbi.nlm.nih.gov/geo/query/acc.cgi?acc=GSM653236","GSM653236")</f>
        <v>GSM653236</v>
      </c>
      <c r="I2100" t="s">
        <v>69</v>
      </c>
      <c r="J2100" t="s">
        <v>18</v>
      </c>
      <c r="K2100" t="s">
        <v>19</v>
      </c>
      <c r="L2100" t="s">
        <v>70</v>
      </c>
      <c r="M2100" t="s">
        <v>24</v>
      </c>
      <c r="N2100" t="s">
        <v>29</v>
      </c>
    </row>
    <row r="2101" spans="1:14">
      <c r="A2101" s="4" t="str">
        <f t="shared" si="192"/>
        <v>EXP00055</v>
      </c>
      <c r="B2101" s="3" t="s">
        <v>66</v>
      </c>
      <c r="C2101" s="4" t="str">
        <f t="shared" si="191"/>
        <v>GSE26571</v>
      </c>
      <c r="D2101" s="1" t="s">
        <v>150</v>
      </c>
      <c r="E2101" t="s">
        <v>151</v>
      </c>
      <c r="F2101" s="1">
        <v>2</v>
      </c>
      <c r="G2101" s="1" t="s">
        <v>28</v>
      </c>
      <c r="H2101" s="4" t="str">
        <f>HYPERLINK("https://www.ncbi.nlm.nih.gov/geo/query/acc.cgi?acc=GSM653237","GSM653237")</f>
        <v>GSM653237</v>
      </c>
      <c r="I2101" t="s">
        <v>69</v>
      </c>
      <c r="J2101" t="s">
        <v>18</v>
      </c>
      <c r="K2101" t="s">
        <v>19</v>
      </c>
      <c r="L2101" t="s">
        <v>70</v>
      </c>
      <c r="M2101" t="s">
        <v>24</v>
      </c>
      <c r="N2101" t="s">
        <v>29</v>
      </c>
    </row>
    <row r="2102" spans="1:14">
      <c r="A2102" s="4" t="str">
        <f t="shared" si="192"/>
        <v>EXP00055</v>
      </c>
      <c r="B2102" s="3" t="s">
        <v>66</v>
      </c>
      <c r="C2102" s="4" t="str">
        <f t="shared" si="191"/>
        <v>GSE26571</v>
      </c>
      <c r="D2102" s="1" t="s">
        <v>150</v>
      </c>
      <c r="E2102" t="s">
        <v>151</v>
      </c>
      <c r="F2102" s="1">
        <v>2</v>
      </c>
      <c r="G2102" s="1" t="s">
        <v>28</v>
      </c>
      <c r="H2102" s="4" t="str">
        <f>HYPERLINK("https://www.ncbi.nlm.nih.gov/geo/query/acc.cgi?acc=GSM653238","GSM653238")</f>
        <v>GSM653238</v>
      </c>
      <c r="I2102" t="s">
        <v>69</v>
      </c>
      <c r="J2102" t="s">
        <v>18</v>
      </c>
      <c r="K2102" t="s">
        <v>19</v>
      </c>
      <c r="L2102" t="s">
        <v>70</v>
      </c>
      <c r="M2102" t="s">
        <v>24</v>
      </c>
      <c r="N2102" t="s">
        <v>29</v>
      </c>
    </row>
    <row r="2103" spans="1:14">
      <c r="A2103" s="4" t="str">
        <f t="shared" ref="A2103:A2106" si="193">HYPERLINK("http://hcmdb.i-sanger.com/experiment/details/experiment_id/EXP00056","EXP00056")</f>
        <v>EXP00056</v>
      </c>
      <c r="B2103" s="3" t="s">
        <v>66</v>
      </c>
      <c r="C2103" s="4" t="str">
        <f t="shared" si="191"/>
        <v>GSE26571</v>
      </c>
      <c r="D2103" s="1" t="s">
        <v>150</v>
      </c>
      <c r="E2103" t="s">
        <v>73</v>
      </c>
      <c r="F2103" s="1">
        <v>1</v>
      </c>
      <c r="G2103" s="1" t="s">
        <v>36</v>
      </c>
      <c r="H2103" s="4" t="str">
        <f>HYPERLINK("https://www.ncbi.nlm.nih.gov/geo/query/acc.cgi?acc=GSM653229","GSM653229")</f>
        <v>GSM653229</v>
      </c>
      <c r="I2103" t="s">
        <v>69</v>
      </c>
      <c r="J2103" t="s">
        <v>18</v>
      </c>
      <c r="K2103" t="s">
        <v>19</v>
      </c>
      <c r="L2103" t="s">
        <v>70</v>
      </c>
      <c r="M2103" t="s">
        <v>44</v>
      </c>
      <c r="N2103" t="s">
        <v>37</v>
      </c>
    </row>
    <row r="2104" spans="1:14">
      <c r="A2104" s="4" t="str">
        <f t="shared" si="193"/>
        <v>EXP00056</v>
      </c>
      <c r="B2104" s="3" t="s">
        <v>66</v>
      </c>
      <c r="C2104" s="4" t="str">
        <f t="shared" si="191"/>
        <v>GSE26571</v>
      </c>
      <c r="D2104" s="1" t="s">
        <v>150</v>
      </c>
      <c r="E2104" t="s">
        <v>73</v>
      </c>
      <c r="F2104" s="1">
        <v>1</v>
      </c>
      <c r="G2104" s="1" t="s">
        <v>36</v>
      </c>
      <c r="H2104" s="4" t="str">
        <f>HYPERLINK("https://www.ncbi.nlm.nih.gov/geo/query/acc.cgi?acc=GSM653230","GSM653230")</f>
        <v>GSM653230</v>
      </c>
      <c r="I2104" t="s">
        <v>69</v>
      </c>
      <c r="J2104" t="s">
        <v>18</v>
      </c>
      <c r="K2104" t="s">
        <v>19</v>
      </c>
      <c r="L2104" t="s">
        <v>70</v>
      </c>
      <c r="M2104" t="s">
        <v>44</v>
      </c>
      <c r="N2104" t="s">
        <v>37</v>
      </c>
    </row>
    <row r="2105" spans="1:14">
      <c r="A2105" s="4" t="str">
        <f t="shared" si="193"/>
        <v>EXP00056</v>
      </c>
      <c r="B2105" s="3" t="s">
        <v>66</v>
      </c>
      <c r="C2105" s="4" t="str">
        <f t="shared" si="191"/>
        <v>GSE26571</v>
      </c>
      <c r="D2105" s="1" t="s">
        <v>150</v>
      </c>
      <c r="E2105" t="s">
        <v>73</v>
      </c>
      <c r="F2105" s="1">
        <v>2</v>
      </c>
      <c r="G2105" s="1" t="s">
        <v>28</v>
      </c>
      <c r="H2105" s="4" t="str">
        <f>HYPERLINK("https://www.ncbi.nlm.nih.gov/geo/query/acc.cgi?acc=GSM653239","GSM653239")</f>
        <v>GSM653239</v>
      </c>
      <c r="I2105" t="s">
        <v>69</v>
      </c>
      <c r="J2105" t="s">
        <v>18</v>
      </c>
      <c r="K2105" t="s">
        <v>19</v>
      </c>
      <c r="L2105" t="s">
        <v>70</v>
      </c>
      <c r="M2105" t="s">
        <v>44</v>
      </c>
      <c r="N2105" t="s">
        <v>29</v>
      </c>
    </row>
    <row r="2106" spans="1:14">
      <c r="A2106" s="4" t="str">
        <f t="shared" si="193"/>
        <v>EXP00056</v>
      </c>
      <c r="B2106" s="3" t="s">
        <v>66</v>
      </c>
      <c r="C2106" s="4" t="str">
        <f t="shared" si="191"/>
        <v>GSE26571</v>
      </c>
      <c r="D2106" s="1" t="s">
        <v>150</v>
      </c>
      <c r="E2106" t="s">
        <v>73</v>
      </c>
      <c r="F2106" s="1">
        <v>2</v>
      </c>
      <c r="G2106" s="1" t="s">
        <v>28</v>
      </c>
      <c r="H2106" s="4" t="str">
        <f>HYPERLINK("https://www.ncbi.nlm.nih.gov/geo/query/acc.cgi?acc=GSM653240","GSM653240")</f>
        <v>GSM653240</v>
      </c>
      <c r="I2106" t="s">
        <v>69</v>
      </c>
      <c r="J2106" t="s">
        <v>18</v>
      </c>
      <c r="K2106" t="s">
        <v>19</v>
      </c>
      <c r="L2106" t="s">
        <v>70</v>
      </c>
      <c r="M2106" t="s">
        <v>44</v>
      </c>
      <c r="N2106" t="s">
        <v>29</v>
      </c>
    </row>
    <row r="2107" spans="1:14">
      <c r="A2107" s="4" t="str">
        <f t="shared" ref="A2107:A2115" si="194">HYPERLINK("http://hcmdb.i-sanger.com/experiment/details/experiment_id/EXP00057","EXP00057")</f>
        <v>EXP00057</v>
      </c>
      <c r="B2107" s="3" t="s">
        <v>66</v>
      </c>
      <c r="C2107" s="4" t="str">
        <f t="shared" si="191"/>
        <v>GSE26571</v>
      </c>
      <c r="D2107" s="1" t="s">
        <v>150</v>
      </c>
      <c r="E2107" t="s">
        <v>152</v>
      </c>
      <c r="F2107" s="1">
        <v>1</v>
      </c>
      <c r="G2107" s="1" t="s">
        <v>36</v>
      </c>
      <c r="H2107" s="4" t="str">
        <f>HYPERLINK("https://www.ncbi.nlm.nih.gov/geo/query/acc.cgi?acc=GSM653227","GSM653227")</f>
        <v>GSM653227</v>
      </c>
      <c r="I2107" t="s">
        <v>69</v>
      </c>
      <c r="J2107" t="s">
        <v>18</v>
      </c>
      <c r="K2107" t="s">
        <v>19</v>
      </c>
      <c r="L2107" t="s">
        <v>70</v>
      </c>
      <c r="M2107" t="s">
        <v>24</v>
      </c>
      <c r="N2107" t="s">
        <v>37</v>
      </c>
    </row>
    <row r="2108" spans="1:14">
      <c r="A2108" s="4" t="str">
        <f t="shared" si="194"/>
        <v>EXP00057</v>
      </c>
      <c r="B2108" s="3" t="s">
        <v>66</v>
      </c>
      <c r="C2108" s="4" t="str">
        <f t="shared" si="191"/>
        <v>GSE26571</v>
      </c>
      <c r="D2108" s="1" t="s">
        <v>150</v>
      </c>
      <c r="E2108" t="s">
        <v>152</v>
      </c>
      <c r="F2108" s="1">
        <v>1</v>
      </c>
      <c r="G2108" s="1" t="s">
        <v>36</v>
      </c>
      <c r="H2108" s="4" t="str">
        <f>HYPERLINK("https://www.ncbi.nlm.nih.gov/geo/query/acc.cgi?acc=GSM653228","GSM653228")</f>
        <v>GSM653228</v>
      </c>
      <c r="I2108" t="s">
        <v>69</v>
      </c>
      <c r="J2108" t="s">
        <v>18</v>
      </c>
      <c r="K2108" t="s">
        <v>19</v>
      </c>
      <c r="L2108" t="s">
        <v>70</v>
      </c>
      <c r="M2108" t="s">
        <v>24</v>
      </c>
      <c r="N2108" t="s">
        <v>37</v>
      </c>
    </row>
    <row r="2109" spans="1:14">
      <c r="A2109" s="4" t="str">
        <f t="shared" si="194"/>
        <v>EXP00057</v>
      </c>
      <c r="B2109" s="3" t="s">
        <v>66</v>
      </c>
      <c r="C2109" s="4" t="str">
        <f t="shared" si="191"/>
        <v>GSE26571</v>
      </c>
      <c r="D2109" s="1" t="s">
        <v>150</v>
      </c>
      <c r="E2109" t="s">
        <v>152</v>
      </c>
      <c r="F2109" s="1">
        <v>2</v>
      </c>
      <c r="G2109" s="1" t="s">
        <v>28</v>
      </c>
      <c r="H2109" s="4" t="str">
        <f>HYPERLINK("https://www.ncbi.nlm.nih.gov/geo/query/acc.cgi?acc=GSM653231","GSM653231")</f>
        <v>GSM653231</v>
      </c>
      <c r="I2109" t="s">
        <v>69</v>
      </c>
      <c r="J2109" t="s">
        <v>18</v>
      </c>
      <c r="K2109" t="s">
        <v>19</v>
      </c>
      <c r="L2109" t="s">
        <v>70</v>
      </c>
      <c r="M2109" t="s">
        <v>24</v>
      </c>
      <c r="N2109" t="s">
        <v>29</v>
      </c>
    </row>
    <row r="2110" spans="1:14">
      <c r="A2110" s="4" t="str">
        <f t="shared" si="194"/>
        <v>EXP00057</v>
      </c>
      <c r="B2110" s="3" t="s">
        <v>66</v>
      </c>
      <c r="C2110" s="4" t="str">
        <f t="shared" si="191"/>
        <v>GSE26571</v>
      </c>
      <c r="D2110" s="1" t="s">
        <v>150</v>
      </c>
      <c r="E2110" t="s">
        <v>152</v>
      </c>
      <c r="F2110" s="1">
        <v>2</v>
      </c>
      <c r="G2110" s="1" t="s">
        <v>28</v>
      </c>
      <c r="H2110" s="4" t="str">
        <f>HYPERLINK("https://www.ncbi.nlm.nih.gov/geo/query/acc.cgi?acc=GSM653232","GSM653232")</f>
        <v>GSM653232</v>
      </c>
      <c r="I2110" t="s">
        <v>69</v>
      </c>
      <c r="J2110" t="s">
        <v>18</v>
      </c>
      <c r="K2110" t="s">
        <v>19</v>
      </c>
      <c r="L2110" t="s">
        <v>70</v>
      </c>
      <c r="M2110" t="s">
        <v>24</v>
      </c>
      <c r="N2110" t="s">
        <v>29</v>
      </c>
    </row>
    <row r="2111" spans="1:14">
      <c r="A2111" s="4" t="str">
        <f t="shared" si="194"/>
        <v>EXP00057</v>
      </c>
      <c r="B2111" s="3" t="s">
        <v>66</v>
      </c>
      <c r="C2111" s="4" t="str">
        <f t="shared" si="191"/>
        <v>GSE26571</v>
      </c>
      <c r="D2111" s="1" t="s">
        <v>150</v>
      </c>
      <c r="E2111" t="s">
        <v>152</v>
      </c>
      <c r="F2111" s="1">
        <v>2</v>
      </c>
      <c r="G2111" s="1" t="s">
        <v>28</v>
      </c>
      <c r="H2111" s="4" t="str">
        <f>HYPERLINK("https://www.ncbi.nlm.nih.gov/geo/query/acc.cgi?acc=GSM653234","GSM653234")</f>
        <v>GSM653234</v>
      </c>
      <c r="I2111" t="s">
        <v>69</v>
      </c>
      <c r="J2111" t="s">
        <v>18</v>
      </c>
      <c r="K2111" t="s">
        <v>19</v>
      </c>
      <c r="L2111" t="s">
        <v>70</v>
      </c>
      <c r="M2111" t="s">
        <v>24</v>
      </c>
      <c r="N2111" t="s">
        <v>29</v>
      </c>
    </row>
    <row r="2112" spans="1:14">
      <c r="A2112" s="4" t="str">
        <f t="shared" si="194"/>
        <v>EXP00057</v>
      </c>
      <c r="B2112" s="3" t="s">
        <v>66</v>
      </c>
      <c r="C2112" s="4" t="str">
        <f t="shared" si="191"/>
        <v>GSE26571</v>
      </c>
      <c r="D2112" s="1" t="s">
        <v>150</v>
      </c>
      <c r="E2112" t="s">
        <v>152</v>
      </c>
      <c r="F2112" s="1">
        <v>2</v>
      </c>
      <c r="G2112" s="1" t="s">
        <v>28</v>
      </c>
      <c r="H2112" s="4" t="str">
        <f>HYPERLINK("https://www.ncbi.nlm.nih.gov/geo/query/acc.cgi?acc=GSM653235","GSM653235")</f>
        <v>GSM653235</v>
      </c>
      <c r="I2112" t="s">
        <v>69</v>
      </c>
      <c r="J2112" t="s">
        <v>18</v>
      </c>
      <c r="K2112" t="s">
        <v>19</v>
      </c>
      <c r="L2112" t="s">
        <v>70</v>
      </c>
      <c r="M2112" t="s">
        <v>24</v>
      </c>
      <c r="N2112" t="s">
        <v>29</v>
      </c>
    </row>
    <row r="2113" spans="1:14">
      <c r="A2113" s="4" t="str">
        <f t="shared" si="194"/>
        <v>EXP00057</v>
      </c>
      <c r="B2113" s="3" t="s">
        <v>66</v>
      </c>
      <c r="C2113" s="4" t="str">
        <f t="shared" si="191"/>
        <v>GSE26571</v>
      </c>
      <c r="D2113" s="1" t="s">
        <v>150</v>
      </c>
      <c r="E2113" t="s">
        <v>152</v>
      </c>
      <c r="F2113" s="1">
        <v>2</v>
      </c>
      <c r="G2113" s="1" t="s">
        <v>28</v>
      </c>
      <c r="H2113" s="4" t="str">
        <f>HYPERLINK("https://www.ncbi.nlm.nih.gov/geo/query/acc.cgi?acc=GSM653236","GSM653236")</f>
        <v>GSM653236</v>
      </c>
      <c r="I2113" t="s">
        <v>69</v>
      </c>
      <c r="J2113" t="s">
        <v>18</v>
      </c>
      <c r="K2113" t="s">
        <v>19</v>
      </c>
      <c r="L2113" t="s">
        <v>70</v>
      </c>
      <c r="M2113" t="s">
        <v>24</v>
      </c>
      <c r="N2113" t="s">
        <v>29</v>
      </c>
    </row>
    <row r="2114" spans="1:14">
      <c r="A2114" s="4" t="str">
        <f t="shared" si="194"/>
        <v>EXP00057</v>
      </c>
      <c r="B2114" s="3" t="s">
        <v>66</v>
      </c>
      <c r="C2114" s="4" t="str">
        <f t="shared" si="191"/>
        <v>GSE26571</v>
      </c>
      <c r="D2114" s="1" t="s">
        <v>150</v>
      </c>
      <c r="E2114" t="s">
        <v>152</v>
      </c>
      <c r="F2114" s="1">
        <v>2</v>
      </c>
      <c r="G2114" s="1" t="s">
        <v>28</v>
      </c>
      <c r="H2114" s="4" t="str">
        <f>HYPERLINK("https://www.ncbi.nlm.nih.gov/geo/query/acc.cgi?acc=GSM653237","GSM653237")</f>
        <v>GSM653237</v>
      </c>
      <c r="I2114" t="s">
        <v>69</v>
      </c>
      <c r="J2114" t="s">
        <v>18</v>
      </c>
      <c r="K2114" t="s">
        <v>19</v>
      </c>
      <c r="L2114" t="s">
        <v>70</v>
      </c>
      <c r="M2114" t="s">
        <v>24</v>
      </c>
      <c r="N2114" t="s">
        <v>29</v>
      </c>
    </row>
    <row r="2115" spans="1:14">
      <c r="A2115" s="4" t="str">
        <f t="shared" si="194"/>
        <v>EXP00057</v>
      </c>
      <c r="B2115" s="3" t="s">
        <v>66</v>
      </c>
      <c r="C2115" s="4" t="str">
        <f t="shared" ref="C2115:C2146" si="195">HYPERLINK("https://www.ncbi.nlm.nih.gov/geo/query/acc.cgi?acc=GSE26571","GSE26571")</f>
        <v>GSE26571</v>
      </c>
      <c r="D2115" s="1" t="s">
        <v>150</v>
      </c>
      <c r="E2115" t="s">
        <v>152</v>
      </c>
      <c r="F2115" s="1">
        <v>2</v>
      </c>
      <c r="G2115" s="1" t="s">
        <v>28</v>
      </c>
      <c r="H2115" s="4" t="str">
        <f>HYPERLINK("https://www.ncbi.nlm.nih.gov/geo/query/acc.cgi?acc=GSM653238","GSM653238")</f>
        <v>GSM653238</v>
      </c>
      <c r="I2115" t="s">
        <v>69</v>
      </c>
      <c r="J2115" t="s">
        <v>18</v>
      </c>
      <c r="K2115" t="s">
        <v>19</v>
      </c>
      <c r="L2115" t="s">
        <v>70</v>
      </c>
      <c r="M2115" t="s">
        <v>24</v>
      </c>
      <c r="N2115" t="s">
        <v>29</v>
      </c>
    </row>
    <row r="2116" spans="1:14">
      <c r="A2116" s="4" t="str">
        <f t="shared" ref="A2116:A2124" si="196">HYPERLINK("http://hcmdb.i-sanger.com/experiment/details/experiment_id/EXP00058","EXP00058")</f>
        <v>EXP00058</v>
      </c>
      <c r="B2116" s="3" t="s">
        <v>66</v>
      </c>
      <c r="C2116" s="4" t="str">
        <f t="shared" si="195"/>
        <v>GSE26571</v>
      </c>
      <c r="D2116" s="1" t="s">
        <v>150</v>
      </c>
      <c r="E2116" t="s">
        <v>101</v>
      </c>
      <c r="F2116" s="1">
        <v>1</v>
      </c>
      <c r="G2116" s="1" t="s">
        <v>104</v>
      </c>
      <c r="H2116" s="4" t="str">
        <f>HYPERLINK("https://www.ncbi.nlm.nih.gov/geo/query/acc.cgi?acc=GSM653239","GSM653239")</f>
        <v>GSM653239</v>
      </c>
      <c r="I2116" t="s">
        <v>69</v>
      </c>
      <c r="J2116" t="s">
        <v>18</v>
      </c>
      <c r="K2116" t="s">
        <v>19</v>
      </c>
      <c r="L2116" t="s">
        <v>70</v>
      </c>
      <c r="M2116" t="s">
        <v>44</v>
      </c>
      <c r="N2116" t="s">
        <v>29</v>
      </c>
    </row>
    <row r="2117" spans="1:14">
      <c r="A2117" s="4" t="str">
        <f t="shared" si="196"/>
        <v>EXP00058</v>
      </c>
      <c r="B2117" s="3" t="s">
        <v>66</v>
      </c>
      <c r="C2117" s="4" t="str">
        <f t="shared" si="195"/>
        <v>GSE26571</v>
      </c>
      <c r="D2117" s="1" t="s">
        <v>150</v>
      </c>
      <c r="E2117" t="s">
        <v>101</v>
      </c>
      <c r="F2117" s="1">
        <v>1</v>
      </c>
      <c r="G2117" s="1" t="s">
        <v>104</v>
      </c>
      <c r="H2117" s="4" t="str">
        <f>HYPERLINK("https://www.ncbi.nlm.nih.gov/geo/query/acc.cgi?acc=GSM653240","GSM653240")</f>
        <v>GSM653240</v>
      </c>
      <c r="I2117" t="s">
        <v>69</v>
      </c>
      <c r="J2117" t="s">
        <v>18</v>
      </c>
      <c r="K2117" t="s">
        <v>19</v>
      </c>
      <c r="L2117" t="s">
        <v>70</v>
      </c>
      <c r="M2117" t="s">
        <v>44</v>
      </c>
      <c r="N2117" t="s">
        <v>29</v>
      </c>
    </row>
    <row r="2118" spans="1:14">
      <c r="A2118" s="4" t="str">
        <f t="shared" si="196"/>
        <v>EXP00058</v>
      </c>
      <c r="B2118" s="3" t="s">
        <v>66</v>
      </c>
      <c r="C2118" s="4" t="str">
        <f t="shared" si="195"/>
        <v>GSE26571</v>
      </c>
      <c r="D2118" s="1" t="s">
        <v>150</v>
      </c>
      <c r="E2118" t="s">
        <v>101</v>
      </c>
      <c r="F2118" s="1">
        <v>2</v>
      </c>
      <c r="G2118" s="1" t="s">
        <v>153</v>
      </c>
      <c r="H2118" s="4" t="str">
        <f>HYPERLINK("https://www.ncbi.nlm.nih.gov/geo/query/acc.cgi?acc=GSM653231","GSM653231")</f>
        <v>GSM653231</v>
      </c>
      <c r="I2118" t="s">
        <v>69</v>
      </c>
      <c r="J2118" t="s">
        <v>18</v>
      </c>
      <c r="K2118" t="s">
        <v>19</v>
      </c>
      <c r="L2118" t="s">
        <v>70</v>
      </c>
      <c r="M2118" t="s">
        <v>24</v>
      </c>
      <c r="N2118" t="s">
        <v>29</v>
      </c>
    </row>
    <row r="2119" spans="1:14">
      <c r="A2119" s="4" t="str">
        <f t="shared" si="196"/>
        <v>EXP00058</v>
      </c>
      <c r="B2119" s="3" t="s">
        <v>66</v>
      </c>
      <c r="C2119" s="4" t="str">
        <f t="shared" si="195"/>
        <v>GSE26571</v>
      </c>
      <c r="D2119" s="1" t="s">
        <v>150</v>
      </c>
      <c r="E2119" t="s">
        <v>101</v>
      </c>
      <c r="F2119" s="1">
        <v>2</v>
      </c>
      <c r="G2119" s="1" t="s">
        <v>153</v>
      </c>
      <c r="H2119" s="4" t="str">
        <f>HYPERLINK("https://www.ncbi.nlm.nih.gov/geo/query/acc.cgi?acc=GSM653232","GSM653232")</f>
        <v>GSM653232</v>
      </c>
      <c r="I2119" t="s">
        <v>69</v>
      </c>
      <c r="J2119" t="s">
        <v>18</v>
      </c>
      <c r="K2119" t="s">
        <v>19</v>
      </c>
      <c r="L2119" t="s">
        <v>70</v>
      </c>
      <c r="M2119" t="s">
        <v>24</v>
      </c>
      <c r="N2119" t="s">
        <v>29</v>
      </c>
    </row>
    <row r="2120" spans="1:14">
      <c r="A2120" s="4" t="str">
        <f t="shared" si="196"/>
        <v>EXP00058</v>
      </c>
      <c r="B2120" s="3" t="s">
        <v>66</v>
      </c>
      <c r="C2120" s="4" t="str">
        <f t="shared" si="195"/>
        <v>GSE26571</v>
      </c>
      <c r="D2120" s="1" t="s">
        <v>150</v>
      </c>
      <c r="E2120" t="s">
        <v>101</v>
      </c>
      <c r="F2120" s="1">
        <v>2</v>
      </c>
      <c r="G2120" s="1" t="s">
        <v>153</v>
      </c>
      <c r="H2120" s="4" t="str">
        <f>HYPERLINK("https://www.ncbi.nlm.nih.gov/geo/query/acc.cgi?acc=GSM653234","GSM653234")</f>
        <v>GSM653234</v>
      </c>
      <c r="I2120" t="s">
        <v>69</v>
      </c>
      <c r="J2120" t="s">
        <v>18</v>
      </c>
      <c r="K2120" t="s">
        <v>19</v>
      </c>
      <c r="L2120" t="s">
        <v>70</v>
      </c>
      <c r="M2120" t="s">
        <v>24</v>
      </c>
      <c r="N2120" t="s">
        <v>29</v>
      </c>
    </row>
    <row r="2121" spans="1:14">
      <c r="A2121" s="4" t="str">
        <f t="shared" si="196"/>
        <v>EXP00058</v>
      </c>
      <c r="B2121" s="3" t="s">
        <v>66</v>
      </c>
      <c r="C2121" s="4" t="str">
        <f t="shared" si="195"/>
        <v>GSE26571</v>
      </c>
      <c r="D2121" s="1" t="s">
        <v>150</v>
      </c>
      <c r="E2121" t="s">
        <v>101</v>
      </c>
      <c r="F2121" s="1">
        <v>2</v>
      </c>
      <c r="G2121" s="1" t="s">
        <v>153</v>
      </c>
      <c r="H2121" s="4" t="str">
        <f>HYPERLINK("https://www.ncbi.nlm.nih.gov/geo/query/acc.cgi?acc=GSM653235","GSM653235")</f>
        <v>GSM653235</v>
      </c>
      <c r="I2121" t="s">
        <v>69</v>
      </c>
      <c r="J2121" t="s">
        <v>18</v>
      </c>
      <c r="K2121" t="s">
        <v>19</v>
      </c>
      <c r="L2121" t="s">
        <v>70</v>
      </c>
      <c r="M2121" t="s">
        <v>24</v>
      </c>
      <c r="N2121" t="s">
        <v>29</v>
      </c>
    </row>
    <row r="2122" spans="1:14">
      <c r="A2122" s="4" t="str">
        <f t="shared" si="196"/>
        <v>EXP00058</v>
      </c>
      <c r="B2122" s="3" t="s">
        <v>66</v>
      </c>
      <c r="C2122" s="4" t="str">
        <f t="shared" si="195"/>
        <v>GSE26571</v>
      </c>
      <c r="D2122" s="1" t="s">
        <v>150</v>
      </c>
      <c r="E2122" t="s">
        <v>101</v>
      </c>
      <c r="F2122" s="1">
        <v>2</v>
      </c>
      <c r="G2122" s="1" t="s">
        <v>153</v>
      </c>
      <c r="H2122" s="4" t="str">
        <f>HYPERLINK("https://www.ncbi.nlm.nih.gov/geo/query/acc.cgi?acc=GSM653236","GSM653236")</f>
        <v>GSM653236</v>
      </c>
      <c r="I2122" t="s">
        <v>69</v>
      </c>
      <c r="J2122" t="s">
        <v>18</v>
      </c>
      <c r="K2122" t="s">
        <v>19</v>
      </c>
      <c r="L2122" t="s">
        <v>70</v>
      </c>
      <c r="M2122" t="s">
        <v>24</v>
      </c>
      <c r="N2122" t="s">
        <v>29</v>
      </c>
    </row>
    <row r="2123" spans="1:14">
      <c r="A2123" s="4" t="str">
        <f t="shared" si="196"/>
        <v>EXP00058</v>
      </c>
      <c r="B2123" s="3" t="s">
        <v>66</v>
      </c>
      <c r="C2123" s="4" t="str">
        <f t="shared" si="195"/>
        <v>GSE26571</v>
      </c>
      <c r="D2123" s="1" t="s">
        <v>150</v>
      </c>
      <c r="E2123" t="s">
        <v>101</v>
      </c>
      <c r="F2123" s="1">
        <v>2</v>
      </c>
      <c r="G2123" s="1" t="s">
        <v>153</v>
      </c>
      <c r="H2123" s="4" t="str">
        <f>HYPERLINK("https://www.ncbi.nlm.nih.gov/geo/query/acc.cgi?acc=GSM653237","GSM653237")</f>
        <v>GSM653237</v>
      </c>
      <c r="I2123" t="s">
        <v>69</v>
      </c>
      <c r="J2123" t="s">
        <v>18</v>
      </c>
      <c r="K2123" t="s">
        <v>19</v>
      </c>
      <c r="L2123" t="s">
        <v>70</v>
      </c>
      <c r="M2123" t="s">
        <v>24</v>
      </c>
      <c r="N2123" t="s">
        <v>29</v>
      </c>
    </row>
    <row r="2124" spans="1:14">
      <c r="A2124" s="4" t="str">
        <f t="shared" si="196"/>
        <v>EXP00058</v>
      </c>
      <c r="B2124" s="3" t="s">
        <v>66</v>
      </c>
      <c r="C2124" s="4" t="str">
        <f t="shared" si="195"/>
        <v>GSE26571</v>
      </c>
      <c r="D2124" s="1" t="s">
        <v>150</v>
      </c>
      <c r="E2124" t="s">
        <v>101</v>
      </c>
      <c r="F2124" s="1">
        <v>2</v>
      </c>
      <c r="G2124" s="1" t="s">
        <v>153</v>
      </c>
      <c r="H2124" s="4" t="str">
        <f>HYPERLINK("https://www.ncbi.nlm.nih.gov/geo/query/acc.cgi?acc=GSM653238","GSM653238")</f>
        <v>GSM653238</v>
      </c>
      <c r="I2124" t="s">
        <v>69</v>
      </c>
      <c r="J2124" t="s">
        <v>18</v>
      </c>
      <c r="K2124" t="s">
        <v>19</v>
      </c>
      <c r="L2124" t="s">
        <v>70</v>
      </c>
      <c r="M2124" t="s">
        <v>24</v>
      </c>
      <c r="N2124" t="s">
        <v>29</v>
      </c>
    </row>
    <row r="2125" spans="1:14">
      <c r="A2125" s="4" t="str">
        <f t="shared" ref="A2125:A2135" si="197">HYPERLINK("http://hcmdb.i-sanger.com/experiment/details/experiment_id/EXP00059","EXP00059")</f>
        <v>EXP00059</v>
      </c>
      <c r="B2125" s="3" t="s">
        <v>66</v>
      </c>
      <c r="C2125" s="4" t="str">
        <f t="shared" si="195"/>
        <v>GSE26571</v>
      </c>
      <c r="D2125" s="1" t="s">
        <v>150</v>
      </c>
      <c r="E2125" t="s">
        <v>154</v>
      </c>
      <c r="F2125" s="1">
        <v>1</v>
      </c>
      <c r="G2125" s="1" t="s">
        <v>155</v>
      </c>
      <c r="H2125" s="4" t="str">
        <f>HYPERLINK("https://www.ncbi.nlm.nih.gov/geo/query/acc.cgi?acc=GSM653252","GSM653252")</f>
        <v>GSM653252</v>
      </c>
      <c r="I2125" t="s">
        <v>69</v>
      </c>
      <c r="J2125" t="s">
        <v>18</v>
      </c>
      <c r="K2125" t="s">
        <v>19</v>
      </c>
      <c r="L2125" t="s">
        <v>70</v>
      </c>
      <c r="M2125" t="s">
        <v>44</v>
      </c>
      <c r="N2125" t="s">
        <v>22</v>
      </c>
    </row>
    <row r="2126" spans="1:14">
      <c r="A2126" s="4" t="str">
        <f t="shared" si="197"/>
        <v>EXP00059</v>
      </c>
      <c r="B2126" s="3" t="s">
        <v>66</v>
      </c>
      <c r="C2126" s="4" t="str">
        <f t="shared" si="195"/>
        <v>GSE26571</v>
      </c>
      <c r="D2126" s="1" t="s">
        <v>150</v>
      </c>
      <c r="E2126" t="s">
        <v>154</v>
      </c>
      <c r="F2126" s="1">
        <v>1</v>
      </c>
      <c r="G2126" s="1" t="s">
        <v>155</v>
      </c>
      <c r="H2126" s="4" t="str">
        <f>HYPERLINK("https://www.ncbi.nlm.nih.gov/geo/query/acc.cgi?acc=GSM653253","GSM653253")</f>
        <v>GSM653253</v>
      </c>
      <c r="I2126" t="s">
        <v>69</v>
      </c>
      <c r="J2126" t="s">
        <v>18</v>
      </c>
      <c r="K2126" t="s">
        <v>19</v>
      </c>
      <c r="L2126" t="s">
        <v>70</v>
      </c>
      <c r="M2126" t="s">
        <v>44</v>
      </c>
      <c r="N2126" t="s">
        <v>22</v>
      </c>
    </row>
    <row r="2127" spans="1:14">
      <c r="A2127" s="4" t="str">
        <f t="shared" si="197"/>
        <v>EXP00059</v>
      </c>
      <c r="B2127" s="3" t="s">
        <v>66</v>
      </c>
      <c r="C2127" s="4" t="str">
        <f t="shared" si="195"/>
        <v>GSE26571</v>
      </c>
      <c r="D2127" s="1" t="s">
        <v>150</v>
      </c>
      <c r="E2127" t="s">
        <v>154</v>
      </c>
      <c r="F2127" s="1">
        <v>2</v>
      </c>
      <c r="G2127" s="1" t="s">
        <v>156</v>
      </c>
      <c r="H2127" s="4" t="str">
        <f>HYPERLINK("https://www.ncbi.nlm.nih.gov/geo/query/acc.cgi?acc=GSM653243","GSM653243")</f>
        <v>GSM653243</v>
      </c>
      <c r="I2127" t="s">
        <v>69</v>
      </c>
      <c r="J2127" t="s">
        <v>18</v>
      </c>
      <c r="K2127" t="s">
        <v>19</v>
      </c>
      <c r="L2127" t="s">
        <v>70</v>
      </c>
      <c r="M2127" t="s">
        <v>24</v>
      </c>
      <c r="N2127" t="s">
        <v>22</v>
      </c>
    </row>
    <row r="2128" spans="1:14">
      <c r="A2128" s="4" t="str">
        <f t="shared" si="197"/>
        <v>EXP00059</v>
      </c>
      <c r="B2128" s="3" t="s">
        <v>66</v>
      </c>
      <c r="C2128" s="4" t="str">
        <f t="shared" si="195"/>
        <v>GSE26571</v>
      </c>
      <c r="D2128" s="1" t="s">
        <v>150</v>
      </c>
      <c r="E2128" t="s">
        <v>154</v>
      </c>
      <c r="F2128" s="1">
        <v>2</v>
      </c>
      <c r="G2128" s="1" t="s">
        <v>156</v>
      </c>
      <c r="H2128" s="4" t="str">
        <f>HYPERLINK("https://www.ncbi.nlm.nih.gov/geo/query/acc.cgi?acc=GSM653244","GSM653244")</f>
        <v>GSM653244</v>
      </c>
      <c r="I2128" t="s">
        <v>69</v>
      </c>
      <c r="J2128" t="s">
        <v>18</v>
      </c>
      <c r="K2128" t="s">
        <v>19</v>
      </c>
      <c r="L2128" t="s">
        <v>70</v>
      </c>
      <c r="M2128" t="s">
        <v>24</v>
      </c>
      <c r="N2128" t="s">
        <v>22</v>
      </c>
    </row>
    <row r="2129" spans="1:14">
      <c r="A2129" s="4" t="str">
        <f t="shared" si="197"/>
        <v>EXP00059</v>
      </c>
      <c r="B2129" s="3" t="s">
        <v>66</v>
      </c>
      <c r="C2129" s="4" t="str">
        <f t="shared" si="195"/>
        <v>GSE26571</v>
      </c>
      <c r="D2129" s="1" t="s">
        <v>150</v>
      </c>
      <c r="E2129" t="s">
        <v>154</v>
      </c>
      <c r="F2129" s="1">
        <v>2</v>
      </c>
      <c r="G2129" s="1" t="s">
        <v>156</v>
      </c>
      <c r="H2129" s="4" t="str">
        <f>HYPERLINK("https://www.ncbi.nlm.nih.gov/geo/query/acc.cgi?acc=GSM653245","GSM653245")</f>
        <v>GSM653245</v>
      </c>
      <c r="I2129" t="s">
        <v>69</v>
      </c>
      <c r="J2129" t="s">
        <v>18</v>
      </c>
      <c r="K2129" t="s">
        <v>19</v>
      </c>
      <c r="L2129" t="s">
        <v>70</v>
      </c>
      <c r="M2129" t="s">
        <v>24</v>
      </c>
      <c r="N2129" t="s">
        <v>22</v>
      </c>
    </row>
    <row r="2130" spans="1:14">
      <c r="A2130" s="4" t="str">
        <f t="shared" si="197"/>
        <v>EXP00059</v>
      </c>
      <c r="B2130" s="3" t="s">
        <v>66</v>
      </c>
      <c r="C2130" s="4" t="str">
        <f t="shared" si="195"/>
        <v>GSE26571</v>
      </c>
      <c r="D2130" s="1" t="s">
        <v>150</v>
      </c>
      <c r="E2130" t="s">
        <v>154</v>
      </c>
      <c r="F2130" s="1">
        <v>2</v>
      </c>
      <c r="G2130" s="1" t="s">
        <v>156</v>
      </c>
      <c r="H2130" s="4" t="str">
        <f>HYPERLINK("https://www.ncbi.nlm.nih.gov/geo/query/acc.cgi?acc=GSM653246","GSM653246")</f>
        <v>GSM653246</v>
      </c>
      <c r="I2130" t="s">
        <v>69</v>
      </c>
      <c r="J2130" t="s">
        <v>18</v>
      </c>
      <c r="K2130" t="s">
        <v>19</v>
      </c>
      <c r="L2130" t="s">
        <v>70</v>
      </c>
      <c r="M2130" t="s">
        <v>24</v>
      </c>
      <c r="N2130" t="s">
        <v>22</v>
      </c>
    </row>
    <row r="2131" spans="1:14">
      <c r="A2131" s="4" t="str">
        <f t="shared" si="197"/>
        <v>EXP00059</v>
      </c>
      <c r="B2131" s="3" t="s">
        <v>66</v>
      </c>
      <c r="C2131" s="4" t="str">
        <f t="shared" si="195"/>
        <v>GSE26571</v>
      </c>
      <c r="D2131" s="1" t="s">
        <v>150</v>
      </c>
      <c r="E2131" t="s">
        <v>154</v>
      </c>
      <c r="F2131" s="1">
        <v>2</v>
      </c>
      <c r="G2131" s="1" t="s">
        <v>156</v>
      </c>
      <c r="H2131" s="4" t="str">
        <f>HYPERLINK("https://www.ncbi.nlm.nih.gov/geo/query/acc.cgi?acc=GSM653247","GSM653247")</f>
        <v>GSM653247</v>
      </c>
      <c r="I2131" t="s">
        <v>69</v>
      </c>
      <c r="J2131" t="s">
        <v>18</v>
      </c>
      <c r="K2131" t="s">
        <v>19</v>
      </c>
      <c r="L2131" t="s">
        <v>70</v>
      </c>
      <c r="M2131" t="s">
        <v>24</v>
      </c>
      <c r="N2131" t="s">
        <v>22</v>
      </c>
    </row>
    <row r="2132" spans="1:14">
      <c r="A2132" s="4" t="str">
        <f t="shared" si="197"/>
        <v>EXP00059</v>
      </c>
      <c r="B2132" s="3" t="s">
        <v>66</v>
      </c>
      <c r="C2132" s="4" t="str">
        <f t="shared" si="195"/>
        <v>GSE26571</v>
      </c>
      <c r="D2132" s="1" t="s">
        <v>150</v>
      </c>
      <c r="E2132" t="s">
        <v>154</v>
      </c>
      <c r="F2132" s="1">
        <v>2</v>
      </c>
      <c r="G2132" s="1" t="s">
        <v>156</v>
      </c>
      <c r="H2132" s="4" t="str">
        <f>HYPERLINK("https://www.ncbi.nlm.nih.gov/geo/query/acc.cgi?acc=GSM653248","GSM653248")</f>
        <v>GSM653248</v>
      </c>
      <c r="I2132" t="s">
        <v>69</v>
      </c>
      <c r="J2132" t="s">
        <v>18</v>
      </c>
      <c r="K2132" t="s">
        <v>19</v>
      </c>
      <c r="L2132" t="s">
        <v>70</v>
      </c>
      <c r="M2132" t="s">
        <v>24</v>
      </c>
      <c r="N2132" t="s">
        <v>22</v>
      </c>
    </row>
    <row r="2133" spans="1:14">
      <c r="A2133" s="4" t="str">
        <f t="shared" si="197"/>
        <v>EXP00059</v>
      </c>
      <c r="B2133" s="3" t="s">
        <v>66</v>
      </c>
      <c r="C2133" s="4" t="str">
        <f t="shared" si="195"/>
        <v>GSE26571</v>
      </c>
      <c r="D2133" s="1" t="s">
        <v>150</v>
      </c>
      <c r="E2133" t="s">
        <v>154</v>
      </c>
      <c r="F2133" s="1">
        <v>2</v>
      </c>
      <c r="G2133" s="1" t="s">
        <v>156</v>
      </c>
      <c r="H2133" s="4" t="str">
        <f>HYPERLINK("https://www.ncbi.nlm.nih.gov/geo/query/acc.cgi?acc=GSM653249","GSM653249")</f>
        <v>GSM653249</v>
      </c>
      <c r="I2133" t="s">
        <v>69</v>
      </c>
      <c r="J2133" t="s">
        <v>18</v>
      </c>
      <c r="K2133" t="s">
        <v>19</v>
      </c>
      <c r="L2133" t="s">
        <v>70</v>
      </c>
      <c r="M2133" t="s">
        <v>24</v>
      </c>
      <c r="N2133" t="s">
        <v>22</v>
      </c>
    </row>
    <row r="2134" spans="1:14">
      <c r="A2134" s="4" t="str">
        <f t="shared" si="197"/>
        <v>EXP00059</v>
      </c>
      <c r="B2134" s="3" t="s">
        <v>66</v>
      </c>
      <c r="C2134" s="4" t="str">
        <f t="shared" si="195"/>
        <v>GSE26571</v>
      </c>
      <c r="D2134" s="1" t="s">
        <v>150</v>
      </c>
      <c r="E2134" t="s">
        <v>154</v>
      </c>
      <c r="F2134" s="1">
        <v>2</v>
      </c>
      <c r="G2134" s="1" t="s">
        <v>156</v>
      </c>
      <c r="H2134" s="4" t="str">
        <f>HYPERLINK("https://www.ncbi.nlm.nih.gov/geo/query/acc.cgi?acc=GSM653250","GSM653250")</f>
        <v>GSM653250</v>
      </c>
      <c r="I2134" t="s">
        <v>69</v>
      </c>
      <c r="J2134" t="s">
        <v>18</v>
      </c>
      <c r="K2134" t="s">
        <v>19</v>
      </c>
      <c r="L2134" t="s">
        <v>70</v>
      </c>
      <c r="M2134" t="s">
        <v>24</v>
      </c>
      <c r="N2134" t="s">
        <v>22</v>
      </c>
    </row>
    <row r="2135" spans="1:14">
      <c r="A2135" s="4" t="str">
        <f t="shared" si="197"/>
        <v>EXP00059</v>
      </c>
      <c r="B2135" s="3" t="s">
        <v>66</v>
      </c>
      <c r="C2135" s="4" t="str">
        <f t="shared" si="195"/>
        <v>GSE26571</v>
      </c>
      <c r="D2135" s="1" t="s">
        <v>150</v>
      </c>
      <c r="E2135" t="s">
        <v>154</v>
      </c>
      <c r="F2135" s="1">
        <v>2</v>
      </c>
      <c r="G2135" s="1" t="s">
        <v>156</v>
      </c>
      <c r="H2135" s="4" t="str">
        <f>HYPERLINK("https://www.ncbi.nlm.nih.gov/geo/query/acc.cgi?acc=GSM653251","GSM653251")</f>
        <v>GSM653251</v>
      </c>
      <c r="I2135" t="s">
        <v>69</v>
      </c>
      <c r="J2135" t="s">
        <v>18</v>
      </c>
      <c r="K2135" t="s">
        <v>19</v>
      </c>
      <c r="L2135" t="s">
        <v>70</v>
      </c>
      <c r="M2135" t="s">
        <v>24</v>
      </c>
      <c r="N2135" t="s">
        <v>22</v>
      </c>
    </row>
    <row r="2136" spans="1:14">
      <c r="A2136" s="4" t="str">
        <f t="shared" ref="A2136:A2155" si="198">HYPERLINK("http://hcmdb.i-sanger.com/experiment/details/experiment_id/EXP00060","EXP00060")</f>
        <v>EXP00060</v>
      </c>
      <c r="B2136" s="3" t="s">
        <v>66</v>
      </c>
      <c r="C2136" s="4" t="str">
        <f t="shared" si="195"/>
        <v>GSE26571</v>
      </c>
      <c r="D2136" s="1" t="s">
        <v>150</v>
      </c>
      <c r="E2136" t="s">
        <v>157</v>
      </c>
      <c r="F2136" s="1">
        <v>1</v>
      </c>
      <c r="G2136" s="1" t="s">
        <v>26</v>
      </c>
      <c r="H2136" s="4" t="str">
        <f>HYPERLINK("https://www.ncbi.nlm.nih.gov/geo/query/acc.cgi?acc=GSM653243","GSM653243")</f>
        <v>GSM653243</v>
      </c>
      <c r="I2136" t="s">
        <v>69</v>
      </c>
      <c r="J2136" t="s">
        <v>18</v>
      </c>
      <c r="K2136" t="s">
        <v>19</v>
      </c>
      <c r="L2136" t="s">
        <v>70</v>
      </c>
      <c r="M2136" t="s">
        <v>24</v>
      </c>
      <c r="N2136" t="s">
        <v>22</v>
      </c>
    </row>
    <row r="2137" spans="1:14">
      <c r="A2137" s="4" t="str">
        <f t="shared" si="198"/>
        <v>EXP00060</v>
      </c>
      <c r="B2137" s="3" t="s">
        <v>66</v>
      </c>
      <c r="C2137" s="4" t="str">
        <f t="shared" si="195"/>
        <v>GSE26571</v>
      </c>
      <c r="D2137" s="1" t="s">
        <v>150</v>
      </c>
      <c r="E2137" t="s">
        <v>157</v>
      </c>
      <c r="F2137" s="1">
        <v>1</v>
      </c>
      <c r="G2137" s="1" t="s">
        <v>26</v>
      </c>
      <c r="H2137" s="4" t="str">
        <f>HYPERLINK("https://www.ncbi.nlm.nih.gov/geo/query/acc.cgi?acc=GSM653244","GSM653244")</f>
        <v>GSM653244</v>
      </c>
      <c r="I2137" t="s">
        <v>69</v>
      </c>
      <c r="J2137" t="s">
        <v>18</v>
      </c>
      <c r="K2137" t="s">
        <v>19</v>
      </c>
      <c r="L2137" t="s">
        <v>70</v>
      </c>
      <c r="M2137" t="s">
        <v>24</v>
      </c>
      <c r="N2137" t="s">
        <v>22</v>
      </c>
    </row>
    <row r="2138" spans="1:14">
      <c r="A2138" s="4" t="str">
        <f t="shared" si="198"/>
        <v>EXP00060</v>
      </c>
      <c r="B2138" s="3" t="s">
        <v>66</v>
      </c>
      <c r="C2138" s="4" t="str">
        <f t="shared" si="195"/>
        <v>GSE26571</v>
      </c>
      <c r="D2138" s="1" t="s">
        <v>150</v>
      </c>
      <c r="E2138" t="s">
        <v>157</v>
      </c>
      <c r="F2138" s="1">
        <v>1</v>
      </c>
      <c r="G2138" s="1" t="s">
        <v>26</v>
      </c>
      <c r="H2138" s="4" t="str">
        <f>HYPERLINK("https://www.ncbi.nlm.nih.gov/geo/query/acc.cgi?acc=GSM653245","GSM653245")</f>
        <v>GSM653245</v>
      </c>
      <c r="I2138" t="s">
        <v>69</v>
      </c>
      <c r="J2138" t="s">
        <v>18</v>
      </c>
      <c r="K2138" t="s">
        <v>19</v>
      </c>
      <c r="L2138" t="s">
        <v>70</v>
      </c>
      <c r="M2138" t="s">
        <v>24</v>
      </c>
      <c r="N2138" t="s">
        <v>22</v>
      </c>
    </row>
    <row r="2139" spans="1:14">
      <c r="A2139" s="4" t="str">
        <f t="shared" si="198"/>
        <v>EXP00060</v>
      </c>
      <c r="B2139" s="3" t="s">
        <v>66</v>
      </c>
      <c r="C2139" s="4" t="str">
        <f t="shared" si="195"/>
        <v>GSE26571</v>
      </c>
      <c r="D2139" s="1" t="s">
        <v>150</v>
      </c>
      <c r="E2139" t="s">
        <v>157</v>
      </c>
      <c r="F2139" s="1">
        <v>1</v>
      </c>
      <c r="G2139" s="1" t="s">
        <v>26</v>
      </c>
      <c r="H2139" s="4" t="str">
        <f>HYPERLINK("https://www.ncbi.nlm.nih.gov/geo/query/acc.cgi?acc=GSM653246","GSM653246")</f>
        <v>GSM653246</v>
      </c>
      <c r="I2139" t="s">
        <v>69</v>
      </c>
      <c r="J2139" t="s">
        <v>18</v>
      </c>
      <c r="K2139" t="s">
        <v>19</v>
      </c>
      <c r="L2139" t="s">
        <v>70</v>
      </c>
      <c r="M2139" t="s">
        <v>24</v>
      </c>
      <c r="N2139" t="s">
        <v>22</v>
      </c>
    </row>
    <row r="2140" spans="1:14">
      <c r="A2140" s="4" t="str">
        <f t="shared" si="198"/>
        <v>EXP00060</v>
      </c>
      <c r="B2140" s="3" t="s">
        <v>66</v>
      </c>
      <c r="C2140" s="4" t="str">
        <f t="shared" si="195"/>
        <v>GSE26571</v>
      </c>
      <c r="D2140" s="1" t="s">
        <v>150</v>
      </c>
      <c r="E2140" t="s">
        <v>157</v>
      </c>
      <c r="F2140" s="1">
        <v>1</v>
      </c>
      <c r="G2140" s="1" t="s">
        <v>26</v>
      </c>
      <c r="H2140" s="4" t="str">
        <f>HYPERLINK("https://www.ncbi.nlm.nih.gov/geo/query/acc.cgi?acc=GSM653247","GSM653247")</f>
        <v>GSM653247</v>
      </c>
      <c r="I2140" t="s">
        <v>69</v>
      </c>
      <c r="J2140" t="s">
        <v>18</v>
      </c>
      <c r="K2140" t="s">
        <v>19</v>
      </c>
      <c r="L2140" t="s">
        <v>70</v>
      </c>
      <c r="M2140" t="s">
        <v>24</v>
      </c>
      <c r="N2140" t="s">
        <v>22</v>
      </c>
    </row>
    <row r="2141" spans="1:14">
      <c r="A2141" s="4" t="str">
        <f t="shared" si="198"/>
        <v>EXP00060</v>
      </c>
      <c r="B2141" s="3" t="s">
        <v>66</v>
      </c>
      <c r="C2141" s="4" t="str">
        <f t="shared" si="195"/>
        <v>GSE26571</v>
      </c>
      <c r="D2141" s="1" t="s">
        <v>150</v>
      </c>
      <c r="E2141" t="s">
        <v>157</v>
      </c>
      <c r="F2141" s="1">
        <v>1</v>
      </c>
      <c r="G2141" s="1" t="s">
        <v>26</v>
      </c>
      <c r="H2141" s="4" t="str">
        <f>HYPERLINK("https://www.ncbi.nlm.nih.gov/geo/query/acc.cgi?acc=GSM653248","GSM653248")</f>
        <v>GSM653248</v>
      </c>
      <c r="I2141" t="s">
        <v>69</v>
      </c>
      <c r="J2141" t="s">
        <v>18</v>
      </c>
      <c r="K2141" t="s">
        <v>19</v>
      </c>
      <c r="L2141" t="s">
        <v>70</v>
      </c>
      <c r="M2141" t="s">
        <v>24</v>
      </c>
      <c r="N2141" t="s">
        <v>22</v>
      </c>
    </row>
    <row r="2142" spans="1:14">
      <c r="A2142" s="4" t="str">
        <f t="shared" si="198"/>
        <v>EXP00060</v>
      </c>
      <c r="B2142" s="3" t="s">
        <v>66</v>
      </c>
      <c r="C2142" s="4" t="str">
        <f t="shared" si="195"/>
        <v>GSE26571</v>
      </c>
      <c r="D2142" s="1" t="s">
        <v>150</v>
      </c>
      <c r="E2142" t="s">
        <v>157</v>
      </c>
      <c r="F2142" s="1">
        <v>1</v>
      </c>
      <c r="G2142" s="1" t="s">
        <v>26</v>
      </c>
      <c r="H2142" s="4" t="str">
        <f>HYPERLINK("https://www.ncbi.nlm.nih.gov/geo/query/acc.cgi?acc=GSM653249","GSM653249")</f>
        <v>GSM653249</v>
      </c>
      <c r="I2142" t="s">
        <v>69</v>
      </c>
      <c r="J2142" t="s">
        <v>18</v>
      </c>
      <c r="K2142" t="s">
        <v>19</v>
      </c>
      <c r="L2142" t="s">
        <v>70</v>
      </c>
      <c r="M2142" t="s">
        <v>24</v>
      </c>
      <c r="N2142" t="s">
        <v>22</v>
      </c>
    </row>
    <row r="2143" spans="1:14">
      <c r="A2143" s="4" t="str">
        <f t="shared" si="198"/>
        <v>EXP00060</v>
      </c>
      <c r="B2143" s="3" t="s">
        <v>66</v>
      </c>
      <c r="C2143" s="4" t="str">
        <f t="shared" si="195"/>
        <v>GSE26571</v>
      </c>
      <c r="D2143" s="1" t="s">
        <v>150</v>
      </c>
      <c r="E2143" t="s">
        <v>157</v>
      </c>
      <c r="F2143" s="1">
        <v>1</v>
      </c>
      <c r="G2143" s="1" t="s">
        <v>26</v>
      </c>
      <c r="H2143" s="4" t="str">
        <f>HYPERLINK("https://www.ncbi.nlm.nih.gov/geo/query/acc.cgi?acc=GSM653250","GSM653250")</f>
        <v>GSM653250</v>
      </c>
      <c r="I2143" t="s">
        <v>69</v>
      </c>
      <c r="J2143" t="s">
        <v>18</v>
      </c>
      <c r="K2143" t="s">
        <v>19</v>
      </c>
      <c r="L2143" t="s">
        <v>70</v>
      </c>
      <c r="M2143" t="s">
        <v>24</v>
      </c>
      <c r="N2143" t="s">
        <v>22</v>
      </c>
    </row>
    <row r="2144" spans="1:14">
      <c r="A2144" s="4" t="str">
        <f t="shared" si="198"/>
        <v>EXP00060</v>
      </c>
      <c r="B2144" s="3" t="s">
        <v>66</v>
      </c>
      <c r="C2144" s="4" t="str">
        <f t="shared" si="195"/>
        <v>GSE26571</v>
      </c>
      <c r="D2144" s="1" t="s">
        <v>150</v>
      </c>
      <c r="E2144" t="s">
        <v>157</v>
      </c>
      <c r="F2144" s="1">
        <v>1</v>
      </c>
      <c r="G2144" s="1" t="s">
        <v>26</v>
      </c>
      <c r="H2144" s="4" t="str">
        <f>HYPERLINK("https://www.ncbi.nlm.nih.gov/geo/query/acc.cgi?acc=GSM653251","GSM653251")</f>
        <v>GSM653251</v>
      </c>
      <c r="I2144" t="s">
        <v>69</v>
      </c>
      <c r="J2144" t="s">
        <v>18</v>
      </c>
      <c r="K2144" t="s">
        <v>19</v>
      </c>
      <c r="L2144" t="s">
        <v>70</v>
      </c>
      <c r="M2144" t="s">
        <v>24</v>
      </c>
      <c r="N2144" t="s">
        <v>22</v>
      </c>
    </row>
    <row r="2145" spans="1:14">
      <c r="A2145" s="4" t="str">
        <f t="shared" si="198"/>
        <v>EXP00060</v>
      </c>
      <c r="B2145" s="3" t="s">
        <v>66</v>
      </c>
      <c r="C2145" s="4" t="str">
        <f t="shared" si="195"/>
        <v>GSE26571</v>
      </c>
      <c r="D2145" s="1" t="s">
        <v>150</v>
      </c>
      <c r="E2145" t="s">
        <v>157</v>
      </c>
      <c r="F2145" s="1">
        <v>1</v>
      </c>
      <c r="G2145" s="1" t="s">
        <v>26</v>
      </c>
      <c r="H2145" s="4" t="str">
        <f>HYPERLINK("https://www.ncbi.nlm.nih.gov/geo/query/acc.cgi?acc=GSM653252","GSM653252")</f>
        <v>GSM653252</v>
      </c>
      <c r="I2145" t="s">
        <v>69</v>
      </c>
      <c r="J2145" t="s">
        <v>18</v>
      </c>
      <c r="K2145" t="s">
        <v>19</v>
      </c>
      <c r="L2145" t="s">
        <v>70</v>
      </c>
      <c r="M2145" t="s">
        <v>44</v>
      </c>
      <c r="N2145" t="s">
        <v>22</v>
      </c>
    </row>
    <row r="2146" spans="1:14">
      <c r="A2146" s="4" t="str">
        <f t="shared" si="198"/>
        <v>EXP00060</v>
      </c>
      <c r="B2146" s="3" t="s">
        <v>66</v>
      </c>
      <c r="C2146" s="4" t="str">
        <f t="shared" si="195"/>
        <v>GSE26571</v>
      </c>
      <c r="D2146" s="1" t="s">
        <v>150</v>
      </c>
      <c r="E2146" t="s">
        <v>157</v>
      </c>
      <c r="F2146" s="1">
        <v>1</v>
      </c>
      <c r="G2146" s="1" t="s">
        <v>26</v>
      </c>
      <c r="H2146" s="4" t="str">
        <f>HYPERLINK("https://www.ncbi.nlm.nih.gov/geo/query/acc.cgi?acc=GSM653253","GSM653253")</f>
        <v>GSM653253</v>
      </c>
      <c r="I2146" t="s">
        <v>69</v>
      </c>
      <c r="J2146" t="s">
        <v>18</v>
      </c>
      <c r="K2146" t="s">
        <v>19</v>
      </c>
      <c r="L2146" t="s">
        <v>70</v>
      </c>
      <c r="M2146" t="s">
        <v>44</v>
      </c>
      <c r="N2146" t="s">
        <v>22</v>
      </c>
    </row>
    <row r="2147" spans="1:14">
      <c r="A2147" s="4" t="str">
        <f t="shared" si="198"/>
        <v>EXP00060</v>
      </c>
      <c r="B2147" s="3" t="s">
        <v>66</v>
      </c>
      <c r="C2147" s="4" t="str">
        <f t="shared" ref="C2147:C2168" si="199">HYPERLINK("https://www.ncbi.nlm.nih.gov/geo/query/acc.cgi?acc=GSE26571","GSE26571")</f>
        <v>GSE26571</v>
      </c>
      <c r="D2147" s="1" t="s">
        <v>150</v>
      </c>
      <c r="E2147" t="s">
        <v>157</v>
      </c>
      <c r="F2147" s="1">
        <v>2</v>
      </c>
      <c r="G2147" s="1" t="s">
        <v>28</v>
      </c>
      <c r="H2147" s="4" t="str">
        <f>HYPERLINK("https://www.ncbi.nlm.nih.gov/geo/query/acc.cgi?acc=GSM653231","GSM653231")</f>
        <v>GSM653231</v>
      </c>
      <c r="I2147" t="s">
        <v>69</v>
      </c>
      <c r="J2147" t="s">
        <v>18</v>
      </c>
      <c r="K2147" t="s">
        <v>19</v>
      </c>
      <c r="L2147" t="s">
        <v>70</v>
      </c>
      <c r="M2147" t="s">
        <v>24</v>
      </c>
      <c r="N2147" t="s">
        <v>29</v>
      </c>
    </row>
    <row r="2148" spans="1:14">
      <c r="A2148" s="4" t="str">
        <f t="shared" si="198"/>
        <v>EXP00060</v>
      </c>
      <c r="B2148" s="3" t="s">
        <v>66</v>
      </c>
      <c r="C2148" s="4" t="str">
        <f t="shared" si="199"/>
        <v>GSE26571</v>
      </c>
      <c r="D2148" s="1" t="s">
        <v>150</v>
      </c>
      <c r="E2148" t="s">
        <v>157</v>
      </c>
      <c r="F2148" s="1">
        <v>2</v>
      </c>
      <c r="G2148" s="1" t="s">
        <v>28</v>
      </c>
      <c r="H2148" s="4" t="str">
        <f>HYPERLINK("https://www.ncbi.nlm.nih.gov/geo/query/acc.cgi?acc=GSM653232","GSM653232")</f>
        <v>GSM653232</v>
      </c>
      <c r="I2148" t="s">
        <v>69</v>
      </c>
      <c r="J2148" t="s">
        <v>18</v>
      </c>
      <c r="K2148" t="s">
        <v>19</v>
      </c>
      <c r="L2148" t="s">
        <v>70</v>
      </c>
      <c r="M2148" t="s">
        <v>24</v>
      </c>
      <c r="N2148" t="s">
        <v>29</v>
      </c>
    </row>
    <row r="2149" spans="1:14">
      <c r="A2149" s="4" t="str">
        <f t="shared" si="198"/>
        <v>EXP00060</v>
      </c>
      <c r="B2149" s="3" t="s">
        <v>66</v>
      </c>
      <c r="C2149" s="4" t="str">
        <f t="shared" si="199"/>
        <v>GSE26571</v>
      </c>
      <c r="D2149" s="1" t="s">
        <v>150</v>
      </c>
      <c r="E2149" t="s">
        <v>157</v>
      </c>
      <c r="F2149" s="1">
        <v>2</v>
      </c>
      <c r="G2149" s="1" t="s">
        <v>28</v>
      </c>
      <c r="H2149" s="4" t="str">
        <f>HYPERLINK("https://www.ncbi.nlm.nih.gov/geo/query/acc.cgi?acc=GSM653234","GSM653234")</f>
        <v>GSM653234</v>
      </c>
      <c r="I2149" t="s">
        <v>69</v>
      </c>
      <c r="J2149" t="s">
        <v>18</v>
      </c>
      <c r="K2149" t="s">
        <v>19</v>
      </c>
      <c r="L2149" t="s">
        <v>70</v>
      </c>
      <c r="M2149" t="s">
        <v>24</v>
      </c>
      <c r="N2149" t="s">
        <v>29</v>
      </c>
    </row>
    <row r="2150" spans="1:14">
      <c r="A2150" s="4" t="str">
        <f t="shared" si="198"/>
        <v>EXP00060</v>
      </c>
      <c r="B2150" s="3" t="s">
        <v>66</v>
      </c>
      <c r="C2150" s="4" t="str">
        <f t="shared" si="199"/>
        <v>GSE26571</v>
      </c>
      <c r="D2150" s="1" t="s">
        <v>150</v>
      </c>
      <c r="E2150" t="s">
        <v>157</v>
      </c>
      <c r="F2150" s="1">
        <v>2</v>
      </c>
      <c r="G2150" s="1" t="s">
        <v>28</v>
      </c>
      <c r="H2150" s="4" t="str">
        <f>HYPERLINK("https://www.ncbi.nlm.nih.gov/geo/query/acc.cgi?acc=GSM653235","GSM653235")</f>
        <v>GSM653235</v>
      </c>
      <c r="I2150" t="s">
        <v>69</v>
      </c>
      <c r="J2150" t="s">
        <v>18</v>
      </c>
      <c r="K2150" t="s">
        <v>19</v>
      </c>
      <c r="L2150" t="s">
        <v>70</v>
      </c>
      <c r="M2150" t="s">
        <v>24</v>
      </c>
      <c r="N2150" t="s">
        <v>29</v>
      </c>
    </row>
    <row r="2151" spans="1:14">
      <c r="A2151" s="4" t="str">
        <f t="shared" si="198"/>
        <v>EXP00060</v>
      </c>
      <c r="B2151" s="3" t="s">
        <v>66</v>
      </c>
      <c r="C2151" s="4" t="str">
        <f t="shared" si="199"/>
        <v>GSE26571</v>
      </c>
      <c r="D2151" s="1" t="s">
        <v>150</v>
      </c>
      <c r="E2151" t="s">
        <v>157</v>
      </c>
      <c r="F2151" s="1">
        <v>2</v>
      </c>
      <c r="G2151" s="1" t="s">
        <v>28</v>
      </c>
      <c r="H2151" s="4" t="str">
        <f>HYPERLINK("https://www.ncbi.nlm.nih.gov/geo/query/acc.cgi?acc=GSM653236","GSM653236")</f>
        <v>GSM653236</v>
      </c>
      <c r="I2151" t="s">
        <v>69</v>
      </c>
      <c r="J2151" t="s">
        <v>18</v>
      </c>
      <c r="K2151" t="s">
        <v>19</v>
      </c>
      <c r="L2151" t="s">
        <v>70</v>
      </c>
      <c r="M2151" t="s">
        <v>24</v>
      </c>
      <c r="N2151" t="s">
        <v>29</v>
      </c>
    </row>
    <row r="2152" spans="1:14">
      <c r="A2152" s="4" t="str">
        <f t="shared" si="198"/>
        <v>EXP00060</v>
      </c>
      <c r="B2152" s="3" t="s">
        <v>66</v>
      </c>
      <c r="C2152" s="4" t="str">
        <f t="shared" si="199"/>
        <v>GSE26571</v>
      </c>
      <c r="D2152" s="1" t="s">
        <v>150</v>
      </c>
      <c r="E2152" t="s">
        <v>157</v>
      </c>
      <c r="F2152" s="1">
        <v>2</v>
      </c>
      <c r="G2152" s="1" t="s">
        <v>28</v>
      </c>
      <c r="H2152" s="4" t="str">
        <f>HYPERLINK("https://www.ncbi.nlm.nih.gov/geo/query/acc.cgi?acc=GSM653237","GSM653237")</f>
        <v>GSM653237</v>
      </c>
      <c r="I2152" t="s">
        <v>69</v>
      </c>
      <c r="J2152" t="s">
        <v>18</v>
      </c>
      <c r="K2152" t="s">
        <v>19</v>
      </c>
      <c r="L2152" t="s">
        <v>70</v>
      </c>
      <c r="M2152" t="s">
        <v>24</v>
      </c>
      <c r="N2152" t="s">
        <v>29</v>
      </c>
    </row>
    <row r="2153" spans="1:14">
      <c r="A2153" s="4" t="str">
        <f t="shared" si="198"/>
        <v>EXP00060</v>
      </c>
      <c r="B2153" s="3" t="s">
        <v>66</v>
      </c>
      <c r="C2153" s="4" t="str">
        <f t="shared" si="199"/>
        <v>GSE26571</v>
      </c>
      <c r="D2153" s="1" t="s">
        <v>150</v>
      </c>
      <c r="E2153" t="s">
        <v>157</v>
      </c>
      <c r="F2153" s="1">
        <v>2</v>
      </c>
      <c r="G2153" s="1" t="s">
        <v>28</v>
      </c>
      <c r="H2153" s="4" t="str">
        <f>HYPERLINK("https://www.ncbi.nlm.nih.gov/geo/query/acc.cgi?acc=GSM653238","GSM653238")</f>
        <v>GSM653238</v>
      </c>
      <c r="I2153" t="s">
        <v>69</v>
      </c>
      <c r="J2153" t="s">
        <v>18</v>
      </c>
      <c r="K2153" t="s">
        <v>19</v>
      </c>
      <c r="L2153" t="s">
        <v>70</v>
      </c>
      <c r="M2153" t="s">
        <v>24</v>
      </c>
      <c r="N2153" t="s">
        <v>29</v>
      </c>
    </row>
    <row r="2154" spans="1:14">
      <c r="A2154" s="4" t="str">
        <f t="shared" si="198"/>
        <v>EXP00060</v>
      </c>
      <c r="B2154" s="3" t="s">
        <v>66</v>
      </c>
      <c r="C2154" s="4" t="str">
        <f t="shared" si="199"/>
        <v>GSE26571</v>
      </c>
      <c r="D2154" s="1" t="s">
        <v>150</v>
      </c>
      <c r="E2154" t="s">
        <v>157</v>
      </c>
      <c r="F2154" s="1">
        <v>2</v>
      </c>
      <c r="G2154" s="1" t="s">
        <v>28</v>
      </c>
      <c r="H2154" s="4" t="str">
        <f>HYPERLINK("https://www.ncbi.nlm.nih.gov/geo/query/acc.cgi?acc=GSM653239","GSM653239")</f>
        <v>GSM653239</v>
      </c>
      <c r="I2154" t="s">
        <v>69</v>
      </c>
      <c r="J2154" t="s">
        <v>18</v>
      </c>
      <c r="K2154" t="s">
        <v>19</v>
      </c>
      <c r="L2154" t="s">
        <v>70</v>
      </c>
      <c r="M2154" t="s">
        <v>44</v>
      </c>
      <c r="N2154" t="s">
        <v>29</v>
      </c>
    </row>
    <row r="2155" spans="1:14">
      <c r="A2155" s="4" t="str">
        <f t="shared" si="198"/>
        <v>EXP00060</v>
      </c>
      <c r="B2155" s="3" t="s">
        <v>66</v>
      </c>
      <c r="C2155" s="4" t="str">
        <f t="shared" si="199"/>
        <v>GSE26571</v>
      </c>
      <c r="D2155" s="1" t="s">
        <v>150</v>
      </c>
      <c r="E2155" t="s">
        <v>157</v>
      </c>
      <c r="F2155" s="1">
        <v>2</v>
      </c>
      <c r="G2155" s="1" t="s">
        <v>28</v>
      </c>
      <c r="H2155" s="4" t="str">
        <f>HYPERLINK("https://www.ncbi.nlm.nih.gov/geo/query/acc.cgi?acc=GSM653240","GSM653240")</f>
        <v>GSM653240</v>
      </c>
      <c r="I2155" t="s">
        <v>69</v>
      </c>
      <c r="J2155" t="s">
        <v>18</v>
      </c>
      <c r="K2155" t="s">
        <v>19</v>
      </c>
      <c r="L2155" t="s">
        <v>70</v>
      </c>
      <c r="M2155" t="s">
        <v>44</v>
      </c>
      <c r="N2155" t="s">
        <v>29</v>
      </c>
    </row>
    <row r="2156" spans="1:14">
      <c r="A2156" s="4" t="str">
        <f t="shared" ref="A2156:A2168" si="200">HYPERLINK("http://hcmdb.i-sanger.com/experiment/details/experiment_id/EXP00061","EXP00061")</f>
        <v>EXP00061</v>
      </c>
      <c r="B2156" s="3" t="s">
        <v>66</v>
      </c>
      <c r="C2156" s="4" t="str">
        <f t="shared" si="199"/>
        <v>GSE26571</v>
      </c>
      <c r="D2156" s="1" t="s">
        <v>150</v>
      </c>
      <c r="E2156" t="s">
        <v>158</v>
      </c>
      <c r="F2156" s="1">
        <v>1</v>
      </c>
      <c r="G2156" s="1" t="s">
        <v>36</v>
      </c>
      <c r="H2156" s="4" t="str">
        <f>HYPERLINK("https://www.ncbi.nlm.nih.gov/geo/query/acc.cgi?acc=GSM653227","GSM653227")</f>
        <v>GSM653227</v>
      </c>
      <c r="I2156" t="s">
        <v>69</v>
      </c>
      <c r="J2156" t="s">
        <v>18</v>
      </c>
      <c r="K2156" t="s">
        <v>19</v>
      </c>
      <c r="L2156" t="s">
        <v>70</v>
      </c>
      <c r="M2156" t="s">
        <v>24</v>
      </c>
      <c r="N2156" t="s">
        <v>37</v>
      </c>
    </row>
    <row r="2157" spans="1:14">
      <c r="A2157" s="4" t="str">
        <f t="shared" si="200"/>
        <v>EXP00061</v>
      </c>
      <c r="B2157" s="3" t="s">
        <v>66</v>
      </c>
      <c r="C2157" s="4" t="str">
        <f t="shared" si="199"/>
        <v>GSE26571</v>
      </c>
      <c r="D2157" s="1" t="s">
        <v>150</v>
      </c>
      <c r="E2157" t="s">
        <v>158</v>
      </c>
      <c r="F2157" s="1">
        <v>1</v>
      </c>
      <c r="G2157" s="1" t="s">
        <v>36</v>
      </c>
      <c r="H2157" s="4" t="str">
        <f>HYPERLINK("https://www.ncbi.nlm.nih.gov/geo/query/acc.cgi?acc=GSM653228","GSM653228")</f>
        <v>GSM653228</v>
      </c>
      <c r="I2157" t="s">
        <v>69</v>
      </c>
      <c r="J2157" t="s">
        <v>18</v>
      </c>
      <c r="K2157" t="s">
        <v>19</v>
      </c>
      <c r="L2157" t="s">
        <v>70</v>
      </c>
      <c r="M2157" t="s">
        <v>24</v>
      </c>
      <c r="N2157" t="s">
        <v>37</v>
      </c>
    </row>
    <row r="2158" spans="1:14">
      <c r="A2158" s="4" t="str">
        <f t="shared" si="200"/>
        <v>EXP00061</v>
      </c>
      <c r="B2158" s="3" t="s">
        <v>66</v>
      </c>
      <c r="C2158" s="4" t="str">
        <f t="shared" si="199"/>
        <v>GSE26571</v>
      </c>
      <c r="D2158" s="1" t="s">
        <v>150</v>
      </c>
      <c r="E2158" t="s">
        <v>158</v>
      </c>
      <c r="F2158" s="1">
        <v>1</v>
      </c>
      <c r="G2158" s="1" t="s">
        <v>36</v>
      </c>
      <c r="H2158" s="4" t="str">
        <f>HYPERLINK("https://www.ncbi.nlm.nih.gov/geo/query/acc.cgi?acc=GSM653229","GSM653229")</f>
        <v>GSM653229</v>
      </c>
      <c r="I2158" t="s">
        <v>69</v>
      </c>
      <c r="J2158" t="s">
        <v>18</v>
      </c>
      <c r="K2158" t="s">
        <v>19</v>
      </c>
      <c r="L2158" t="s">
        <v>70</v>
      </c>
      <c r="M2158" t="s">
        <v>44</v>
      </c>
      <c r="N2158" t="s">
        <v>37</v>
      </c>
    </row>
    <row r="2159" spans="1:14">
      <c r="A2159" s="4" t="str">
        <f t="shared" si="200"/>
        <v>EXP00061</v>
      </c>
      <c r="B2159" s="3" t="s">
        <v>66</v>
      </c>
      <c r="C2159" s="4" t="str">
        <f t="shared" si="199"/>
        <v>GSE26571</v>
      </c>
      <c r="D2159" s="1" t="s">
        <v>150</v>
      </c>
      <c r="E2159" t="s">
        <v>158</v>
      </c>
      <c r="F2159" s="1">
        <v>1</v>
      </c>
      <c r="G2159" s="1" t="s">
        <v>36</v>
      </c>
      <c r="H2159" s="4" t="str">
        <f>HYPERLINK("https://www.ncbi.nlm.nih.gov/geo/query/acc.cgi?acc=GSM653230","GSM653230")</f>
        <v>GSM653230</v>
      </c>
      <c r="I2159" t="s">
        <v>69</v>
      </c>
      <c r="J2159" t="s">
        <v>18</v>
      </c>
      <c r="K2159" t="s">
        <v>19</v>
      </c>
      <c r="L2159" t="s">
        <v>70</v>
      </c>
      <c r="M2159" t="s">
        <v>44</v>
      </c>
      <c r="N2159" t="s">
        <v>37</v>
      </c>
    </row>
    <row r="2160" spans="1:14">
      <c r="A2160" s="4" t="str">
        <f t="shared" si="200"/>
        <v>EXP00061</v>
      </c>
      <c r="B2160" s="3" t="s">
        <v>66</v>
      </c>
      <c r="C2160" s="4" t="str">
        <f t="shared" si="199"/>
        <v>GSE26571</v>
      </c>
      <c r="D2160" s="1" t="s">
        <v>150</v>
      </c>
      <c r="E2160" t="s">
        <v>158</v>
      </c>
      <c r="F2160" s="1">
        <v>2</v>
      </c>
      <c r="G2160" s="1" t="s">
        <v>28</v>
      </c>
      <c r="H2160" s="4" t="str">
        <f>HYPERLINK("https://www.ncbi.nlm.nih.gov/geo/query/acc.cgi?acc=GSM653231","GSM653231")</f>
        <v>GSM653231</v>
      </c>
      <c r="I2160" t="s">
        <v>69</v>
      </c>
      <c r="J2160" t="s">
        <v>18</v>
      </c>
      <c r="K2160" t="s">
        <v>19</v>
      </c>
      <c r="L2160" t="s">
        <v>70</v>
      </c>
      <c r="M2160" t="s">
        <v>24</v>
      </c>
      <c r="N2160" t="s">
        <v>29</v>
      </c>
    </row>
    <row r="2161" spans="1:14">
      <c r="A2161" s="4" t="str">
        <f t="shared" si="200"/>
        <v>EXP00061</v>
      </c>
      <c r="B2161" s="3" t="s">
        <v>66</v>
      </c>
      <c r="C2161" s="4" t="str">
        <f t="shared" si="199"/>
        <v>GSE26571</v>
      </c>
      <c r="D2161" s="1" t="s">
        <v>150</v>
      </c>
      <c r="E2161" t="s">
        <v>158</v>
      </c>
      <c r="F2161" s="1">
        <v>2</v>
      </c>
      <c r="G2161" s="1" t="s">
        <v>28</v>
      </c>
      <c r="H2161" s="4" t="str">
        <f>HYPERLINK("https://www.ncbi.nlm.nih.gov/geo/query/acc.cgi?acc=GSM653232","GSM653232")</f>
        <v>GSM653232</v>
      </c>
      <c r="I2161" t="s">
        <v>69</v>
      </c>
      <c r="J2161" t="s">
        <v>18</v>
      </c>
      <c r="K2161" t="s">
        <v>19</v>
      </c>
      <c r="L2161" t="s">
        <v>70</v>
      </c>
      <c r="M2161" t="s">
        <v>24</v>
      </c>
      <c r="N2161" t="s">
        <v>29</v>
      </c>
    </row>
    <row r="2162" spans="1:14">
      <c r="A2162" s="4" t="str">
        <f t="shared" si="200"/>
        <v>EXP00061</v>
      </c>
      <c r="B2162" s="3" t="s">
        <v>66</v>
      </c>
      <c r="C2162" s="4" t="str">
        <f t="shared" si="199"/>
        <v>GSE26571</v>
      </c>
      <c r="D2162" s="1" t="s">
        <v>150</v>
      </c>
      <c r="E2162" t="s">
        <v>158</v>
      </c>
      <c r="F2162" s="1">
        <v>2</v>
      </c>
      <c r="G2162" s="1" t="s">
        <v>28</v>
      </c>
      <c r="H2162" s="4" t="str">
        <f>HYPERLINK("https://www.ncbi.nlm.nih.gov/geo/query/acc.cgi?acc=GSM653234","GSM653234")</f>
        <v>GSM653234</v>
      </c>
      <c r="I2162" t="s">
        <v>69</v>
      </c>
      <c r="J2162" t="s">
        <v>18</v>
      </c>
      <c r="K2162" t="s">
        <v>19</v>
      </c>
      <c r="L2162" t="s">
        <v>70</v>
      </c>
      <c r="M2162" t="s">
        <v>24</v>
      </c>
      <c r="N2162" t="s">
        <v>29</v>
      </c>
    </row>
    <row r="2163" spans="1:14">
      <c r="A2163" s="4" t="str">
        <f t="shared" si="200"/>
        <v>EXP00061</v>
      </c>
      <c r="B2163" s="3" t="s">
        <v>66</v>
      </c>
      <c r="C2163" s="4" t="str">
        <f t="shared" si="199"/>
        <v>GSE26571</v>
      </c>
      <c r="D2163" s="1" t="s">
        <v>150</v>
      </c>
      <c r="E2163" t="s">
        <v>158</v>
      </c>
      <c r="F2163" s="1">
        <v>2</v>
      </c>
      <c r="G2163" s="1" t="s">
        <v>28</v>
      </c>
      <c r="H2163" s="4" t="str">
        <f>HYPERLINK("https://www.ncbi.nlm.nih.gov/geo/query/acc.cgi?acc=GSM653235","GSM653235")</f>
        <v>GSM653235</v>
      </c>
      <c r="I2163" t="s">
        <v>69</v>
      </c>
      <c r="J2163" t="s">
        <v>18</v>
      </c>
      <c r="K2163" t="s">
        <v>19</v>
      </c>
      <c r="L2163" t="s">
        <v>70</v>
      </c>
      <c r="M2163" t="s">
        <v>24</v>
      </c>
      <c r="N2163" t="s">
        <v>29</v>
      </c>
    </row>
    <row r="2164" spans="1:14">
      <c r="A2164" s="4" t="str">
        <f t="shared" si="200"/>
        <v>EXP00061</v>
      </c>
      <c r="B2164" s="3" t="s">
        <v>66</v>
      </c>
      <c r="C2164" s="4" t="str">
        <f t="shared" si="199"/>
        <v>GSE26571</v>
      </c>
      <c r="D2164" s="1" t="s">
        <v>150</v>
      </c>
      <c r="E2164" t="s">
        <v>158</v>
      </c>
      <c r="F2164" s="1">
        <v>2</v>
      </c>
      <c r="G2164" s="1" t="s">
        <v>28</v>
      </c>
      <c r="H2164" s="4" t="str">
        <f>HYPERLINK("https://www.ncbi.nlm.nih.gov/geo/query/acc.cgi?acc=GSM653236","GSM653236")</f>
        <v>GSM653236</v>
      </c>
      <c r="I2164" t="s">
        <v>69</v>
      </c>
      <c r="J2164" t="s">
        <v>18</v>
      </c>
      <c r="K2164" t="s">
        <v>19</v>
      </c>
      <c r="L2164" t="s">
        <v>70</v>
      </c>
      <c r="M2164" t="s">
        <v>24</v>
      </c>
      <c r="N2164" t="s">
        <v>29</v>
      </c>
    </row>
    <row r="2165" spans="1:14">
      <c r="A2165" s="4" t="str">
        <f t="shared" si="200"/>
        <v>EXP00061</v>
      </c>
      <c r="B2165" s="3" t="s">
        <v>66</v>
      </c>
      <c r="C2165" s="4" t="str">
        <f t="shared" si="199"/>
        <v>GSE26571</v>
      </c>
      <c r="D2165" s="1" t="s">
        <v>150</v>
      </c>
      <c r="E2165" t="s">
        <v>158</v>
      </c>
      <c r="F2165" s="1">
        <v>2</v>
      </c>
      <c r="G2165" s="1" t="s">
        <v>28</v>
      </c>
      <c r="H2165" s="4" t="str">
        <f>HYPERLINK("https://www.ncbi.nlm.nih.gov/geo/query/acc.cgi?acc=GSM653237","GSM653237")</f>
        <v>GSM653237</v>
      </c>
      <c r="I2165" t="s">
        <v>69</v>
      </c>
      <c r="J2165" t="s">
        <v>18</v>
      </c>
      <c r="K2165" t="s">
        <v>19</v>
      </c>
      <c r="L2165" t="s">
        <v>70</v>
      </c>
      <c r="M2165" t="s">
        <v>24</v>
      </c>
      <c r="N2165" t="s">
        <v>29</v>
      </c>
    </row>
    <row r="2166" spans="1:14">
      <c r="A2166" s="4" t="str">
        <f t="shared" si="200"/>
        <v>EXP00061</v>
      </c>
      <c r="B2166" s="3" t="s">
        <v>66</v>
      </c>
      <c r="C2166" s="4" t="str">
        <f t="shared" si="199"/>
        <v>GSE26571</v>
      </c>
      <c r="D2166" s="1" t="s">
        <v>150</v>
      </c>
      <c r="E2166" t="s">
        <v>158</v>
      </c>
      <c r="F2166" s="1">
        <v>2</v>
      </c>
      <c r="G2166" s="1" t="s">
        <v>28</v>
      </c>
      <c r="H2166" s="4" t="str">
        <f>HYPERLINK("https://www.ncbi.nlm.nih.gov/geo/query/acc.cgi?acc=GSM653238","GSM653238")</f>
        <v>GSM653238</v>
      </c>
      <c r="I2166" t="s">
        <v>69</v>
      </c>
      <c r="J2166" t="s">
        <v>18</v>
      </c>
      <c r="K2166" t="s">
        <v>19</v>
      </c>
      <c r="L2166" t="s">
        <v>70</v>
      </c>
      <c r="M2166" t="s">
        <v>24</v>
      </c>
      <c r="N2166" t="s">
        <v>29</v>
      </c>
    </row>
    <row r="2167" spans="1:14">
      <c r="A2167" s="4" t="str">
        <f t="shared" si="200"/>
        <v>EXP00061</v>
      </c>
      <c r="B2167" s="3" t="s">
        <v>66</v>
      </c>
      <c r="C2167" s="4" t="str">
        <f t="shared" si="199"/>
        <v>GSE26571</v>
      </c>
      <c r="D2167" s="1" t="s">
        <v>150</v>
      </c>
      <c r="E2167" t="s">
        <v>158</v>
      </c>
      <c r="F2167" s="1">
        <v>2</v>
      </c>
      <c r="G2167" s="1" t="s">
        <v>28</v>
      </c>
      <c r="H2167" s="4" t="str">
        <f>HYPERLINK("https://www.ncbi.nlm.nih.gov/geo/query/acc.cgi?acc=GSM653239","GSM653239")</f>
        <v>GSM653239</v>
      </c>
      <c r="I2167" t="s">
        <v>69</v>
      </c>
      <c r="J2167" t="s">
        <v>18</v>
      </c>
      <c r="K2167" t="s">
        <v>19</v>
      </c>
      <c r="L2167" t="s">
        <v>70</v>
      </c>
      <c r="M2167" t="s">
        <v>44</v>
      </c>
      <c r="N2167" t="s">
        <v>29</v>
      </c>
    </row>
    <row r="2168" spans="1:14">
      <c r="A2168" s="4" t="str">
        <f t="shared" si="200"/>
        <v>EXP00061</v>
      </c>
      <c r="B2168" s="3" t="s">
        <v>66</v>
      </c>
      <c r="C2168" s="4" t="str">
        <f t="shared" si="199"/>
        <v>GSE26571</v>
      </c>
      <c r="D2168" s="1" t="s">
        <v>150</v>
      </c>
      <c r="E2168" t="s">
        <v>158</v>
      </c>
      <c r="F2168" s="1">
        <v>2</v>
      </c>
      <c r="G2168" s="1" t="s">
        <v>28</v>
      </c>
      <c r="H2168" s="4" t="str">
        <f>HYPERLINK("https://www.ncbi.nlm.nih.gov/geo/query/acc.cgi?acc=GSM653240","GSM653240")</f>
        <v>GSM653240</v>
      </c>
      <c r="I2168" t="s">
        <v>69</v>
      </c>
      <c r="J2168" t="s">
        <v>18</v>
      </c>
      <c r="K2168" t="s">
        <v>19</v>
      </c>
      <c r="L2168" t="s">
        <v>70</v>
      </c>
      <c r="M2168" t="s">
        <v>44</v>
      </c>
      <c r="N2168" t="s">
        <v>29</v>
      </c>
    </row>
    <row r="2169" spans="1:14">
      <c r="A2169" s="4" t="str">
        <f t="shared" ref="A2169:A2181" si="201">HYPERLINK("http://hcmdb.i-sanger.com/experiment/details/experiment_id/EXP00062","EXP00062")</f>
        <v>EXP00062</v>
      </c>
      <c r="B2169" s="3" t="s">
        <v>66</v>
      </c>
      <c r="C2169" s="4" t="str">
        <f t="shared" ref="C2169:C2181" si="202">HYPERLINK("https://www.ncbi.nlm.nih.gov/geo/query/acc.cgi?acc=GSE26964","GSE26964")</f>
        <v>GSE26964</v>
      </c>
      <c r="D2169" s="1" t="s">
        <v>159</v>
      </c>
      <c r="E2169" t="s">
        <v>160</v>
      </c>
      <c r="F2169" s="1">
        <v>1</v>
      </c>
      <c r="G2169" s="1" t="s">
        <v>26</v>
      </c>
      <c r="H2169" s="4" t="str">
        <f>HYPERLINK("https://www.ncbi.nlm.nih.gov/geo/query/acc.cgi?acc=GSM663728","GSM663728")</f>
        <v>GSM663728</v>
      </c>
      <c r="I2169" t="s">
        <v>161</v>
      </c>
      <c r="J2169" t="s">
        <v>18</v>
      </c>
      <c r="K2169" t="s">
        <v>19</v>
      </c>
      <c r="L2169" t="s">
        <v>162</v>
      </c>
      <c r="M2169" t="s">
        <v>50</v>
      </c>
      <c r="N2169" t="s">
        <v>22</v>
      </c>
    </row>
    <row r="2170" spans="1:14">
      <c r="A2170" s="4" t="str">
        <f t="shared" si="201"/>
        <v>EXP00062</v>
      </c>
      <c r="B2170" s="3" t="s">
        <v>66</v>
      </c>
      <c r="C2170" s="4" t="str">
        <f t="shared" si="202"/>
        <v>GSE26964</v>
      </c>
      <c r="D2170" s="1" t="s">
        <v>159</v>
      </c>
      <c r="E2170" t="s">
        <v>160</v>
      </c>
      <c r="F2170" s="1">
        <v>1</v>
      </c>
      <c r="G2170" s="1" t="s">
        <v>26</v>
      </c>
      <c r="H2170" s="4" t="str">
        <f>HYPERLINK("https://www.ncbi.nlm.nih.gov/geo/query/acc.cgi?acc=GSM663729","GSM663729")</f>
        <v>GSM663729</v>
      </c>
      <c r="I2170" t="s">
        <v>161</v>
      </c>
      <c r="J2170" t="s">
        <v>18</v>
      </c>
      <c r="K2170" t="s">
        <v>19</v>
      </c>
      <c r="L2170" t="s">
        <v>162</v>
      </c>
      <c r="M2170" t="s">
        <v>50</v>
      </c>
      <c r="N2170" t="s">
        <v>22</v>
      </c>
    </row>
    <row r="2171" spans="1:14">
      <c r="A2171" s="4" t="str">
        <f t="shared" si="201"/>
        <v>EXP00062</v>
      </c>
      <c r="B2171" s="3" t="s">
        <v>66</v>
      </c>
      <c r="C2171" s="4" t="str">
        <f t="shared" si="202"/>
        <v>GSE26964</v>
      </c>
      <c r="D2171" s="1" t="s">
        <v>159</v>
      </c>
      <c r="E2171" t="s">
        <v>160</v>
      </c>
      <c r="F2171" s="1">
        <v>1</v>
      </c>
      <c r="G2171" s="1" t="s">
        <v>26</v>
      </c>
      <c r="H2171" s="4" t="str">
        <f>HYPERLINK("https://www.ncbi.nlm.nih.gov/geo/query/acc.cgi?acc=GSM663730","GSM663730")</f>
        <v>GSM663730</v>
      </c>
      <c r="I2171" t="s">
        <v>161</v>
      </c>
      <c r="J2171" t="s">
        <v>18</v>
      </c>
      <c r="K2171" t="s">
        <v>19</v>
      </c>
      <c r="L2171" t="s">
        <v>162</v>
      </c>
      <c r="M2171" t="s">
        <v>50</v>
      </c>
      <c r="N2171" t="s">
        <v>22</v>
      </c>
    </row>
    <row r="2172" spans="1:14">
      <c r="A2172" s="4" t="str">
        <f t="shared" si="201"/>
        <v>EXP00062</v>
      </c>
      <c r="B2172" s="3" t="s">
        <v>66</v>
      </c>
      <c r="C2172" s="4" t="str">
        <f t="shared" si="202"/>
        <v>GSE26964</v>
      </c>
      <c r="D2172" s="1" t="s">
        <v>159</v>
      </c>
      <c r="E2172" t="s">
        <v>160</v>
      </c>
      <c r="F2172" s="1">
        <v>1</v>
      </c>
      <c r="G2172" s="1" t="s">
        <v>26</v>
      </c>
      <c r="H2172" s="4" t="str">
        <f>HYPERLINK("https://www.ncbi.nlm.nih.gov/geo/query/acc.cgi?acc=GSM663731","GSM663731")</f>
        <v>GSM663731</v>
      </c>
      <c r="I2172" t="s">
        <v>161</v>
      </c>
      <c r="J2172" t="s">
        <v>18</v>
      </c>
      <c r="K2172" t="s">
        <v>19</v>
      </c>
      <c r="L2172" t="s">
        <v>162</v>
      </c>
      <c r="M2172" t="s">
        <v>50</v>
      </c>
      <c r="N2172" t="s">
        <v>22</v>
      </c>
    </row>
    <row r="2173" spans="1:14">
      <c r="A2173" s="4" t="str">
        <f t="shared" si="201"/>
        <v>EXP00062</v>
      </c>
      <c r="B2173" s="3" t="s">
        <v>66</v>
      </c>
      <c r="C2173" s="4" t="str">
        <f t="shared" si="202"/>
        <v>GSE26964</v>
      </c>
      <c r="D2173" s="1" t="s">
        <v>159</v>
      </c>
      <c r="E2173" t="s">
        <v>160</v>
      </c>
      <c r="F2173" s="1">
        <v>1</v>
      </c>
      <c r="G2173" s="1" t="s">
        <v>26</v>
      </c>
      <c r="H2173" s="4" t="str">
        <f>HYPERLINK("https://www.ncbi.nlm.nih.gov/geo/query/acc.cgi?acc=GSM663732","GSM663732")</f>
        <v>GSM663732</v>
      </c>
      <c r="I2173" t="s">
        <v>161</v>
      </c>
      <c r="J2173" t="s">
        <v>18</v>
      </c>
      <c r="K2173" t="s">
        <v>19</v>
      </c>
      <c r="L2173" t="s">
        <v>162</v>
      </c>
      <c r="M2173" t="s">
        <v>50</v>
      </c>
      <c r="N2173" t="s">
        <v>22</v>
      </c>
    </row>
    <row r="2174" spans="1:14">
      <c r="A2174" s="4" t="str">
        <f t="shared" si="201"/>
        <v>EXP00062</v>
      </c>
      <c r="B2174" s="3" t="s">
        <v>66</v>
      </c>
      <c r="C2174" s="4" t="str">
        <f t="shared" si="202"/>
        <v>GSE26964</v>
      </c>
      <c r="D2174" s="1" t="s">
        <v>159</v>
      </c>
      <c r="E2174" t="s">
        <v>160</v>
      </c>
      <c r="F2174" s="1">
        <v>1</v>
      </c>
      <c r="G2174" s="1" t="s">
        <v>26</v>
      </c>
      <c r="H2174" s="4" t="str">
        <f>HYPERLINK("https://www.ncbi.nlm.nih.gov/geo/query/acc.cgi?acc=GSM663733","GSM663733")</f>
        <v>GSM663733</v>
      </c>
      <c r="I2174" t="s">
        <v>161</v>
      </c>
      <c r="J2174" t="s">
        <v>18</v>
      </c>
      <c r="K2174" t="s">
        <v>19</v>
      </c>
      <c r="L2174" t="s">
        <v>162</v>
      </c>
      <c r="M2174" t="s">
        <v>50</v>
      </c>
      <c r="N2174" t="s">
        <v>22</v>
      </c>
    </row>
    <row r="2175" spans="1:14">
      <c r="A2175" s="4" t="str">
        <f t="shared" si="201"/>
        <v>EXP00062</v>
      </c>
      <c r="B2175" s="3" t="s">
        <v>66</v>
      </c>
      <c r="C2175" s="4" t="str">
        <f t="shared" si="202"/>
        <v>GSE26964</v>
      </c>
      <c r="D2175" s="1" t="s">
        <v>159</v>
      </c>
      <c r="E2175" t="s">
        <v>160</v>
      </c>
      <c r="F2175" s="1">
        <v>1</v>
      </c>
      <c r="G2175" s="1" t="s">
        <v>26</v>
      </c>
      <c r="H2175" s="4" t="str">
        <f>HYPERLINK("https://www.ncbi.nlm.nih.gov/geo/query/acc.cgi?acc=GSM663734","GSM663734")</f>
        <v>GSM663734</v>
      </c>
      <c r="I2175" t="s">
        <v>161</v>
      </c>
      <c r="J2175" t="s">
        <v>18</v>
      </c>
      <c r="K2175" t="s">
        <v>19</v>
      </c>
      <c r="L2175" t="s">
        <v>162</v>
      </c>
      <c r="M2175" t="s">
        <v>50</v>
      </c>
      <c r="N2175" t="s">
        <v>22</v>
      </c>
    </row>
    <row r="2176" spans="1:14">
      <c r="A2176" s="4" t="str">
        <f t="shared" si="201"/>
        <v>EXP00062</v>
      </c>
      <c r="B2176" s="3" t="s">
        <v>66</v>
      </c>
      <c r="C2176" s="4" t="str">
        <f t="shared" si="202"/>
        <v>GSE26964</v>
      </c>
      <c r="D2176" s="1" t="s">
        <v>159</v>
      </c>
      <c r="E2176" t="s">
        <v>160</v>
      </c>
      <c r="F2176" s="1">
        <v>2</v>
      </c>
      <c r="G2176" s="1" t="s">
        <v>28</v>
      </c>
      <c r="H2176" s="4" t="str">
        <f>HYPERLINK("https://www.ncbi.nlm.nih.gov/geo/query/acc.cgi?acc=GSM663722","GSM663722")</f>
        <v>GSM663722</v>
      </c>
      <c r="I2176" t="s">
        <v>161</v>
      </c>
      <c r="J2176" t="s">
        <v>18</v>
      </c>
      <c r="K2176" t="s">
        <v>19</v>
      </c>
      <c r="L2176" t="s">
        <v>162</v>
      </c>
      <c r="M2176" t="s">
        <v>50</v>
      </c>
      <c r="N2176" t="s">
        <v>29</v>
      </c>
    </row>
    <row r="2177" spans="1:14">
      <c r="A2177" s="4" t="str">
        <f t="shared" si="201"/>
        <v>EXP00062</v>
      </c>
      <c r="B2177" s="3" t="s">
        <v>66</v>
      </c>
      <c r="C2177" s="4" t="str">
        <f t="shared" si="202"/>
        <v>GSE26964</v>
      </c>
      <c r="D2177" s="1" t="s">
        <v>159</v>
      </c>
      <c r="E2177" t="s">
        <v>160</v>
      </c>
      <c r="F2177" s="1">
        <v>2</v>
      </c>
      <c r="G2177" s="1" t="s">
        <v>28</v>
      </c>
      <c r="H2177" s="4" t="str">
        <f>HYPERLINK("https://www.ncbi.nlm.nih.gov/geo/query/acc.cgi?acc=GSM663723","GSM663723")</f>
        <v>GSM663723</v>
      </c>
      <c r="I2177" t="s">
        <v>161</v>
      </c>
      <c r="J2177" t="s">
        <v>18</v>
      </c>
      <c r="K2177" t="s">
        <v>19</v>
      </c>
      <c r="L2177" t="s">
        <v>162</v>
      </c>
      <c r="M2177" t="s">
        <v>50</v>
      </c>
      <c r="N2177" t="s">
        <v>29</v>
      </c>
    </row>
    <row r="2178" spans="1:14">
      <c r="A2178" s="4" t="str">
        <f t="shared" si="201"/>
        <v>EXP00062</v>
      </c>
      <c r="B2178" s="3" t="s">
        <v>66</v>
      </c>
      <c r="C2178" s="4" t="str">
        <f t="shared" si="202"/>
        <v>GSE26964</v>
      </c>
      <c r="D2178" s="1" t="s">
        <v>159</v>
      </c>
      <c r="E2178" t="s">
        <v>160</v>
      </c>
      <c r="F2178" s="1">
        <v>2</v>
      </c>
      <c r="G2178" s="1" t="s">
        <v>28</v>
      </c>
      <c r="H2178" s="4" t="str">
        <f>HYPERLINK("https://www.ncbi.nlm.nih.gov/geo/query/acc.cgi?acc=GSM663724","GSM663724")</f>
        <v>GSM663724</v>
      </c>
      <c r="I2178" t="s">
        <v>161</v>
      </c>
      <c r="J2178" t="s">
        <v>18</v>
      </c>
      <c r="K2178" t="s">
        <v>19</v>
      </c>
      <c r="L2178" t="s">
        <v>162</v>
      </c>
      <c r="M2178" t="s">
        <v>50</v>
      </c>
      <c r="N2178" t="s">
        <v>29</v>
      </c>
    </row>
    <row r="2179" spans="1:14">
      <c r="A2179" s="4" t="str">
        <f t="shared" si="201"/>
        <v>EXP00062</v>
      </c>
      <c r="B2179" s="3" t="s">
        <v>66</v>
      </c>
      <c r="C2179" s="4" t="str">
        <f t="shared" si="202"/>
        <v>GSE26964</v>
      </c>
      <c r="D2179" s="1" t="s">
        <v>159</v>
      </c>
      <c r="E2179" t="s">
        <v>160</v>
      </c>
      <c r="F2179" s="1">
        <v>2</v>
      </c>
      <c r="G2179" s="1" t="s">
        <v>28</v>
      </c>
      <c r="H2179" s="4" t="str">
        <f>HYPERLINK("https://www.ncbi.nlm.nih.gov/geo/query/acc.cgi?acc=GSM663725","GSM663725")</f>
        <v>GSM663725</v>
      </c>
      <c r="I2179" t="s">
        <v>161</v>
      </c>
      <c r="J2179" t="s">
        <v>18</v>
      </c>
      <c r="K2179" t="s">
        <v>19</v>
      </c>
      <c r="L2179" t="s">
        <v>162</v>
      </c>
      <c r="M2179" t="s">
        <v>50</v>
      </c>
      <c r="N2179" t="s">
        <v>29</v>
      </c>
    </row>
    <row r="2180" spans="1:14">
      <c r="A2180" s="4" t="str">
        <f t="shared" si="201"/>
        <v>EXP00062</v>
      </c>
      <c r="B2180" s="3" t="s">
        <v>66</v>
      </c>
      <c r="C2180" s="4" t="str">
        <f t="shared" si="202"/>
        <v>GSE26964</v>
      </c>
      <c r="D2180" s="1" t="s">
        <v>159</v>
      </c>
      <c r="E2180" t="s">
        <v>160</v>
      </c>
      <c r="F2180" s="1">
        <v>2</v>
      </c>
      <c r="G2180" s="1" t="s">
        <v>28</v>
      </c>
      <c r="H2180" s="4" t="str">
        <f>HYPERLINK("https://www.ncbi.nlm.nih.gov/geo/query/acc.cgi?acc=GSM663726","GSM663726")</f>
        <v>GSM663726</v>
      </c>
      <c r="I2180" t="s">
        <v>161</v>
      </c>
      <c r="J2180" t="s">
        <v>18</v>
      </c>
      <c r="K2180" t="s">
        <v>19</v>
      </c>
      <c r="L2180" t="s">
        <v>162</v>
      </c>
      <c r="M2180" t="s">
        <v>50</v>
      </c>
      <c r="N2180" t="s">
        <v>29</v>
      </c>
    </row>
    <row r="2181" spans="1:14">
      <c r="A2181" s="4" t="str">
        <f t="shared" si="201"/>
        <v>EXP00062</v>
      </c>
      <c r="B2181" s="3" t="s">
        <v>66</v>
      </c>
      <c r="C2181" s="4" t="str">
        <f t="shared" si="202"/>
        <v>GSE26964</v>
      </c>
      <c r="D2181" s="1" t="s">
        <v>159</v>
      </c>
      <c r="E2181" t="s">
        <v>160</v>
      </c>
      <c r="F2181" s="1">
        <v>2</v>
      </c>
      <c r="G2181" s="1" t="s">
        <v>28</v>
      </c>
      <c r="H2181" s="4" t="str">
        <f>HYPERLINK("https://www.ncbi.nlm.nih.gov/geo/query/acc.cgi?acc=GSM663727","GSM663727")</f>
        <v>GSM663727</v>
      </c>
      <c r="I2181" t="s">
        <v>161</v>
      </c>
      <c r="J2181" t="s">
        <v>18</v>
      </c>
      <c r="K2181" t="s">
        <v>19</v>
      </c>
      <c r="L2181" t="s">
        <v>162</v>
      </c>
      <c r="M2181" t="s">
        <v>50</v>
      </c>
      <c r="N2181" t="s">
        <v>29</v>
      </c>
    </row>
    <row r="2182" spans="1:14">
      <c r="A2182" s="4" t="str">
        <f t="shared" ref="A2182:A2208" si="203">HYPERLINK("http://hcmdb.i-sanger.com/experiment/details/experiment_id/EXP00063","EXP00063")</f>
        <v>EXP00063</v>
      </c>
      <c r="B2182" s="4" t="str">
        <f t="shared" ref="B2182:B2213" si="204">HYPERLINK("https://www.ncbi.nlm.nih.gov/pubmed/21636701","21636701")</f>
        <v>21636701</v>
      </c>
      <c r="C2182" s="4" t="str">
        <f t="shared" ref="C2182:C2213" si="205">HYPERLINK("https://www.ncbi.nlm.nih.gov/geo/query/acc.cgi?acc=GSE27162","GSE27162")</f>
        <v>GSE27162</v>
      </c>
      <c r="D2182" s="1" t="s">
        <v>163</v>
      </c>
      <c r="E2182" t="s">
        <v>164</v>
      </c>
      <c r="F2182" s="1">
        <v>1</v>
      </c>
      <c r="G2182" s="1" t="s">
        <v>26</v>
      </c>
      <c r="H2182" s="4" t="str">
        <f>HYPERLINK("https://www.ncbi.nlm.nih.gov/geo/query/acc.cgi?acc=GSM671438","GSM671438")</f>
        <v>GSM671438</v>
      </c>
      <c r="I2182" t="s">
        <v>165</v>
      </c>
      <c r="J2182" t="s">
        <v>18</v>
      </c>
      <c r="K2182" t="s">
        <v>19</v>
      </c>
      <c r="L2182" t="s">
        <v>166</v>
      </c>
      <c r="M2182" t="s">
        <v>24</v>
      </c>
      <c r="N2182" t="s">
        <v>22</v>
      </c>
    </row>
    <row r="2183" spans="1:14">
      <c r="A2183" s="4" t="str">
        <f t="shared" si="203"/>
        <v>EXP00063</v>
      </c>
      <c r="B2183" s="4" t="str">
        <f t="shared" si="204"/>
        <v>21636701</v>
      </c>
      <c r="C2183" s="4" t="str">
        <f t="shared" si="205"/>
        <v>GSE27162</v>
      </c>
      <c r="D2183" s="1" t="s">
        <v>163</v>
      </c>
      <c r="E2183" t="s">
        <v>164</v>
      </c>
      <c r="F2183" s="1">
        <v>1</v>
      </c>
      <c r="G2183" s="1" t="s">
        <v>26</v>
      </c>
      <c r="H2183" s="4" t="str">
        <f>HYPERLINK("https://www.ncbi.nlm.nih.gov/geo/query/acc.cgi?acc=GSM671439","GSM671439")</f>
        <v>GSM671439</v>
      </c>
      <c r="I2183" t="s">
        <v>165</v>
      </c>
      <c r="J2183" t="s">
        <v>18</v>
      </c>
      <c r="K2183" t="s">
        <v>19</v>
      </c>
      <c r="L2183" t="s">
        <v>166</v>
      </c>
      <c r="M2183" t="s">
        <v>24</v>
      </c>
      <c r="N2183" t="s">
        <v>22</v>
      </c>
    </row>
    <row r="2184" spans="1:14">
      <c r="A2184" s="4" t="str">
        <f t="shared" si="203"/>
        <v>EXP00063</v>
      </c>
      <c r="B2184" s="4" t="str">
        <f t="shared" si="204"/>
        <v>21636701</v>
      </c>
      <c r="C2184" s="4" t="str">
        <f t="shared" si="205"/>
        <v>GSE27162</v>
      </c>
      <c r="D2184" s="1" t="s">
        <v>163</v>
      </c>
      <c r="E2184" t="s">
        <v>164</v>
      </c>
      <c r="F2184" s="1">
        <v>1</v>
      </c>
      <c r="G2184" s="1" t="s">
        <v>26</v>
      </c>
      <c r="H2184" s="4" t="str">
        <f>HYPERLINK("https://www.ncbi.nlm.nih.gov/geo/query/acc.cgi?acc=GSM671440","GSM671440")</f>
        <v>GSM671440</v>
      </c>
      <c r="I2184" t="s">
        <v>165</v>
      </c>
      <c r="J2184" t="s">
        <v>18</v>
      </c>
      <c r="K2184" t="s">
        <v>19</v>
      </c>
      <c r="L2184" t="s">
        <v>166</v>
      </c>
      <c r="M2184" t="s">
        <v>24</v>
      </c>
      <c r="N2184" t="s">
        <v>22</v>
      </c>
    </row>
    <row r="2185" spans="1:14">
      <c r="A2185" s="4" t="str">
        <f t="shared" si="203"/>
        <v>EXP00063</v>
      </c>
      <c r="B2185" s="4" t="str">
        <f t="shared" si="204"/>
        <v>21636701</v>
      </c>
      <c r="C2185" s="4" t="str">
        <f t="shared" si="205"/>
        <v>GSE27162</v>
      </c>
      <c r="D2185" s="1" t="s">
        <v>163</v>
      </c>
      <c r="E2185" t="s">
        <v>164</v>
      </c>
      <c r="F2185" s="1">
        <v>1</v>
      </c>
      <c r="G2185" s="1" t="s">
        <v>26</v>
      </c>
      <c r="H2185" s="4" t="str">
        <f>HYPERLINK("https://www.ncbi.nlm.nih.gov/geo/query/acc.cgi?acc=GSM671441","GSM671441")</f>
        <v>GSM671441</v>
      </c>
      <c r="I2185" t="s">
        <v>165</v>
      </c>
      <c r="J2185" t="s">
        <v>18</v>
      </c>
      <c r="K2185" t="s">
        <v>19</v>
      </c>
      <c r="L2185" t="s">
        <v>166</v>
      </c>
      <c r="M2185" t="s">
        <v>24</v>
      </c>
      <c r="N2185" t="s">
        <v>22</v>
      </c>
    </row>
    <row r="2186" spans="1:14">
      <c r="A2186" s="4" t="str">
        <f t="shared" si="203"/>
        <v>EXP00063</v>
      </c>
      <c r="B2186" s="4" t="str">
        <f t="shared" si="204"/>
        <v>21636701</v>
      </c>
      <c r="C2186" s="4" t="str">
        <f t="shared" si="205"/>
        <v>GSE27162</v>
      </c>
      <c r="D2186" s="1" t="s">
        <v>163</v>
      </c>
      <c r="E2186" t="s">
        <v>164</v>
      </c>
      <c r="F2186" s="1">
        <v>1</v>
      </c>
      <c r="G2186" s="1" t="s">
        <v>26</v>
      </c>
      <c r="H2186" s="4" t="str">
        <f>HYPERLINK("https://www.ncbi.nlm.nih.gov/geo/query/acc.cgi?acc=GSM671442","GSM671442")</f>
        <v>GSM671442</v>
      </c>
      <c r="I2186" t="s">
        <v>165</v>
      </c>
      <c r="J2186" t="s">
        <v>18</v>
      </c>
      <c r="K2186" t="s">
        <v>19</v>
      </c>
      <c r="L2186" t="s">
        <v>166</v>
      </c>
      <c r="M2186" t="s">
        <v>24</v>
      </c>
      <c r="N2186" t="s">
        <v>22</v>
      </c>
    </row>
    <row r="2187" spans="1:14">
      <c r="A2187" s="4" t="str">
        <f t="shared" si="203"/>
        <v>EXP00063</v>
      </c>
      <c r="B2187" s="4" t="str">
        <f t="shared" si="204"/>
        <v>21636701</v>
      </c>
      <c r="C2187" s="4" t="str">
        <f t="shared" si="205"/>
        <v>GSE27162</v>
      </c>
      <c r="D2187" s="1" t="s">
        <v>163</v>
      </c>
      <c r="E2187" t="s">
        <v>164</v>
      </c>
      <c r="F2187" s="1">
        <v>1</v>
      </c>
      <c r="G2187" s="1" t="s">
        <v>26</v>
      </c>
      <c r="H2187" s="4" t="str">
        <f>HYPERLINK("https://www.ncbi.nlm.nih.gov/geo/query/acc.cgi?acc=GSM671443","GSM671443")</f>
        <v>GSM671443</v>
      </c>
      <c r="I2187" t="s">
        <v>165</v>
      </c>
      <c r="J2187" t="s">
        <v>18</v>
      </c>
      <c r="K2187" t="s">
        <v>19</v>
      </c>
      <c r="L2187" t="s">
        <v>166</v>
      </c>
      <c r="M2187" t="s">
        <v>24</v>
      </c>
      <c r="N2187" t="s">
        <v>22</v>
      </c>
    </row>
    <row r="2188" spans="1:14">
      <c r="A2188" s="4" t="str">
        <f t="shared" si="203"/>
        <v>EXP00063</v>
      </c>
      <c r="B2188" s="4" t="str">
        <f t="shared" si="204"/>
        <v>21636701</v>
      </c>
      <c r="C2188" s="4" t="str">
        <f t="shared" si="205"/>
        <v>GSE27162</v>
      </c>
      <c r="D2188" s="1" t="s">
        <v>163</v>
      </c>
      <c r="E2188" t="s">
        <v>164</v>
      </c>
      <c r="F2188" s="1">
        <v>1</v>
      </c>
      <c r="G2188" s="1" t="s">
        <v>26</v>
      </c>
      <c r="H2188" s="4" t="str">
        <f>HYPERLINK("https://www.ncbi.nlm.nih.gov/geo/query/acc.cgi?acc=GSM671444","GSM671444")</f>
        <v>GSM671444</v>
      </c>
      <c r="I2188" t="s">
        <v>165</v>
      </c>
      <c r="J2188" t="s">
        <v>18</v>
      </c>
      <c r="K2188" t="s">
        <v>19</v>
      </c>
      <c r="L2188" t="s">
        <v>166</v>
      </c>
      <c r="M2188" t="s">
        <v>24</v>
      </c>
      <c r="N2188" t="s">
        <v>22</v>
      </c>
    </row>
    <row r="2189" spans="1:14">
      <c r="A2189" s="4" t="str">
        <f t="shared" si="203"/>
        <v>EXP00063</v>
      </c>
      <c r="B2189" s="4" t="str">
        <f t="shared" si="204"/>
        <v>21636701</v>
      </c>
      <c r="C2189" s="4" t="str">
        <f t="shared" si="205"/>
        <v>GSE27162</v>
      </c>
      <c r="D2189" s="1" t="s">
        <v>163</v>
      </c>
      <c r="E2189" t="s">
        <v>164</v>
      </c>
      <c r="F2189" s="1">
        <v>1</v>
      </c>
      <c r="G2189" s="1" t="s">
        <v>26</v>
      </c>
      <c r="H2189" s="4" t="str">
        <f>HYPERLINK("https://www.ncbi.nlm.nih.gov/geo/query/acc.cgi?acc=GSM671445","GSM671445")</f>
        <v>GSM671445</v>
      </c>
      <c r="I2189" t="s">
        <v>165</v>
      </c>
      <c r="J2189" t="s">
        <v>18</v>
      </c>
      <c r="K2189" t="s">
        <v>19</v>
      </c>
      <c r="L2189" t="s">
        <v>166</v>
      </c>
      <c r="M2189" t="s">
        <v>24</v>
      </c>
      <c r="N2189" t="s">
        <v>22</v>
      </c>
    </row>
    <row r="2190" spans="1:14">
      <c r="A2190" s="4" t="str">
        <f t="shared" si="203"/>
        <v>EXP00063</v>
      </c>
      <c r="B2190" s="4" t="str">
        <f t="shared" si="204"/>
        <v>21636701</v>
      </c>
      <c r="C2190" s="4" t="str">
        <f t="shared" si="205"/>
        <v>GSE27162</v>
      </c>
      <c r="D2190" s="1" t="s">
        <v>163</v>
      </c>
      <c r="E2190" t="s">
        <v>164</v>
      </c>
      <c r="F2190" s="1">
        <v>1</v>
      </c>
      <c r="G2190" s="1" t="s">
        <v>26</v>
      </c>
      <c r="H2190" s="4" t="str">
        <f>HYPERLINK("https://www.ncbi.nlm.nih.gov/geo/query/acc.cgi?acc=GSM671446","GSM671446")</f>
        <v>GSM671446</v>
      </c>
      <c r="I2190" t="s">
        <v>165</v>
      </c>
      <c r="J2190" t="s">
        <v>18</v>
      </c>
      <c r="K2190" t="s">
        <v>19</v>
      </c>
      <c r="L2190" t="s">
        <v>166</v>
      </c>
      <c r="M2190" t="s">
        <v>24</v>
      </c>
      <c r="N2190" t="s">
        <v>22</v>
      </c>
    </row>
    <row r="2191" spans="1:14">
      <c r="A2191" s="4" t="str">
        <f t="shared" si="203"/>
        <v>EXP00063</v>
      </c>
      <c r="B2191" s="4" t="str">
        <f t="shared" si="204"/>
        <v>21636701</v>
      </c>
      <c r="C2191" s="4" t="str">
        <f t="shared" si="205"/>
        <v>GSE27162</v>
      </c>
      <c r="D2191" s="1" t="s">
        <v>163</v>
      </c>
      <c r="E2191" t="s">
        <v>164</v>
      </c>
      <c r="F2191" s="1">
        <v>1</v>
      </c>
      <c r="G2191" s="1" t="s">
        <v>26</v>
      </c>
      <c r="H2191" s="4" t="str">
        <f>HYPERLINK("https://www.ncbi.nlm.nih.gov/geo/query/acc.cgi?acc=GSM671447","GSM671447")</f>
        <v>GSM671447</v>
      </c>
      <c r="I2191" t="s">
        <v>165</v>
      </c>
      <c r="J2191" t="s">
        <v>18</v>
      </c>
      <c r="K2191" t="s">
        <v>19</v>
      </c>
      <c r="L2191" t="s">
        <v>166</v>
      </c>
      <c r="M2191" t="s">
        <v>24</v>
      </c>
      <c r="N2191" t="s">
        <v>22</v>
      </c>
    </row>
    <row r="2192" spans="1:14">
      <c r="A2192" s="4" t="str">
        <f t="shared" si="203"/>
        <v>EXP00063</v>
      </c>
      <c r="B2192" s="4" t="str">
        <f t="shared" si="204"/>
        <v>21636701</v>
      </c>
      <c r="C2192" s="4" t="str">
        <f t="shared" si="205"/>
        <v>GSE27162</v>
      </c>
      <c r="D2192" s="1" t="s">
        <v>163</v>
      </c>
      <c r="E2192" t="s">
        <v>164</v>
      </c>
      <c r="F2192" s="1">
        <v>1</v>
      </c>
      <c r="G2192" s="1" t="s">
        <v>26</v>
      </c>
      <c r="H2192" s="4" t="str">
        <f>HYPERLINK("https://www.ncbi.nlm.nih.gov/geo/query/acc.cgi?acc=GSM671448","GSM671448")</f>
        <v>GSM671448</v>
      </c>
      <c r="I2192" t="s">
        <v>165</v>
      </c>
      <c r="J2192" t="s">
        <v>18</v>
      </c>
      <c r="K2192" t="s">
        <v>19</v>
      </c>
      <c r="L2192" t="s">
        <v>166</v>
      </c>
      <c r="M2192" t="s">
        <v>24</v>
      </c>
      <c r="N2192" t="s">
        <v>22</v>
      </c>
    </row>
    <row r="2193" spans="1:14">
      <c r="A2193" s="4" t="str">
        <f t="shared" si="203"/>
        <v>EXP00063</v>
      </c>
      <c r="B2193" s="4" t="str">
        <f t="shared" si="204"/>
        <v>21636701</v>
      </c>
      <c r="C2193" s="4" t="str">
        <f t="shared" si="205"/>
        <v>GSE27162</v>
      </c>
      <c r="D2193" s="1" t="s">
        <v>163</v>
      </c>
      <c r="E2193" t="s">
        <v>164</v>
      </c>
      <c r="F2193" s="1">
        <v>1</v>
      </c>
      <c r="G2193" s="1" t="s">
        <v>26</v>
      </c>
      <c r="H2193" s="4" t="str">
        <f>HYPERLINK("https://www.ncbi.nlm.nih.gov/geo/query/acc.cgi?acc=GSM671449","GSM671449")</f>
        <v>GSM671449</v>
      </c>
      <c r="I2193" t="s">
        <v>165</v>
      </c>
      <c r="J2193" t="s">
        <v>18</v>
      </c>
      <c r="K2193" t="s">
        <v>19</v>
      </c>
      <c r="L2193" t="s">
        <v>166</v>
      </c>
      <c r="M2193" t="s">
        <v>24</v>
      </c>
      <c r="N2193" t="s">
        <v>22</v>
      </c>
    </row>
    <row r="2194" spans="1:14">
      <c r="A2194" s="4" t="str">
        <f t="shared" si="203"/>
        <v>EXP00063</v>
      </c>
      <c r="B2194" s="4" t="str">
        <f t="shared" si="204"/>
        <v>21636701</v>
      </c>
      <c r="C2194" s="4" t="str">
        <f t="shared" si="205"/>
        <v>GSE27162</v>
      </c>
      <c r="D2194" s="1" t="s">
        <v>163</v>
      </c>
      <c r="E2194" t="s">
        <v>164</v>
      </c>
      <c r="F2194" s="1">
        <v>1</v>
      </c>
      <c r="G2194" s="1" t="s">
        <v>26</v>
      </c>
      <c r="H2194" s="4" t="str">
        <f>HYPERLINK("https://www.ncbi.nlm.nih.gov/geo/query/acc.cgi?acc=GSM671450","GSM671450")</f>
        <v>GSM671450</v>
      </c>
      <c r="I2194" t="s">
        <v>165</v>
      </c>
      <c r="J2194" t="s">
        <v>18</v>
      </c>
      <c r="K2194" t="s">
        <v>19</v>
      </c>
      <c r="L2194" t="s">
        <v>166</v>
      </c>
      <c r="M2194" t="s">
        <v>24</v>
      </c>
      <c r="N2194" t="s">
        <v>22</v>
      </c>
    </row>
    <row r="2195" spans="1:14">
      <c r="A2195" s="4" t="str">
        <f t="shared" si="203"/>
        <v>EXP00063</v>
      </c>
      <c r="B2195" s="4" t="str">
        <f t="shared" si="204"/>
        <v>21636701</v>
      </c>
      <c r="C2195" s="4" t="str">
        <f t="shared" si="205"/>
        <v>GSE27162</v>
      </c>
      <c r="D2195" s="1" t="s">
        <v>163</v>
      </c>
      <c r="E2195" t="s">
        <v>164</v>
      </c>
      <c r="F2195" s="1">
        <v>1</v>
      </c>
      <c r="G2195" s="1" t="s">
        <v>26</v>
      </c>
      <c r="H2195" s="4" t="str">
        <f>HYPERLINK("https://www.ncbi.nlm.nih.gov/geo/query/acc.cgi?acc=GSM671451","GSM671451")</f>
        <v>GSM671451</v>
      </c>
      <c r="I2195" t="s">
        <v>165</v>
      </c>
      <c r="J2195" t="s">
        <v>18</v>
      </c>
      <c r="K2195" t="s">
        <v>19</v>
      </c>
      <c r="L2195" t="s">
        <v>166</v>
      </c>
      <c r="M2195" t="s">
        <v>24</v>
      </c>
      <c r="N2195" t="s">
        <v>22</v>
      </c>
    </row>
    <row r="2196" spans="1:14">
      <c r="A2196" s="4" t="str">
        <f t="shared" si="203"/>
        <v>EXP00063</v>
      </c>
      <c r="B2196" s="4" t="str">
        <f t="shared" si="204"/>
        <v>21636701</v>
      </c>
      <c r="C2196" s="4" t="str">
        <f t="shared" si="205"/>
        <v>GSE27162</v>
      </c>
      <c r="D2196" s="1" t="s">
        <v>163</v>
      </c>
      <c r="E2196" t="s">
        <v>164</v>
      </c>
      <c r="F2196" s="1">
        <v>1</v>
      </c>
      <c r="G2196" s="1" t="s">
        <v>26</v>
      </c>
      <c r="H2196" s="4" t="str">
        <f>HYPERLINK("https://www.ncbi.nlm.nih.gov/geo/query/acc.cgi?acc=GSM671452","GSM671452")</f>
        <v>GSM671452</v>
      </c>
      <c r="I2196" t="s">
        <v>165</v>
      </c>
      <c r="J2196" t="s">
        <v>18</v>
      </c>
      <c r="K2196" t="s">
        <v>19</v>
      </c>
      <c r="L2196" t="s">
        <v>166</v>
      </c>
      <c r="M2196" t="s">
        <v>24</v>
      </c>
      <c r="N2196" t="s">
        <v>22</v>
      </c>
    </row>
    <row r="2197" spans="1:14">
      <c r="A2197" s="4" t="str">
        <f t="shared" si="203"/>
        <v>EXP00063</v>
      </c>
      <c r="B2197" s="4" t="str">
        <f t="shared" si="204"/>
        <v>21636701</v>
      </c>
      <c r="C2197" s="4" t="str">
        <f t="shared" si="205"/>
        <v>GSE27162</v>
      </c>
      <c r="D2197" s="1" t="s">
        <v>163</v>
      </c>
      <c r="E2197" t="s">
        <v>164</v>
      </c>
      <c r="F2197" s="1">
        <v>1</v>
      </c>
      <c r="G2197" s="1" t="s">
        <v>26</v>
      </c>
      <c r="H2197" s="4" t="str">
        <f>HYPERLINK("https://www.ncbi.nlm.nih.gov/geo/query/acc.cgi?acc=GSM671454","GSM671454")</f>
        <v>GSM671454</v>
      </c>
      <c r="I2197" t="s">
        <v>165</v>
      </c>
      <c r="J2197" t="s">
        <v>18</v>
      </c>
      <c r="K2197" t="s">
        <v>19</v>
      </c>
      <c r="L2197" t="s">
        <v>166</v>
      </c>
      <c r="M2197" t="s">
        <v>24</v>
      </c>
      <c r="N2197" t="s">
        <v>22</v>
      </c>
    </row>
    <row r="2198" spans="1:14">
      <c r="A2198" s="4" t="str">
        <f t="shared" si="203"/>
        <v>EXP00063</v>
      </c>
      <c r="B2198" s="4" t="str">
        <f t="shared" si="204"/>
        <v>21636701</v>
      </c>
      <c r="C2198" s="4" t="str">
        <f t="shared" si="205"/>
        <v>GSE27162</v>
      </c>
      <c r="D2198" s="1" t="s">
        <v>163</v>
      </c>
      <c r="E2198" t="s">
        <v>164</v>
      </c>
      <c r="F2198" s="1">
        <v>2</v>
      </c>
      <c r="G2198" s="1" t="s">
        <v>28</v>
      </c>
      <c r="H2198" s="4" t="str">
        <f>HYPERLINK("https://www.ncbi.nlm.nih.gov/geo/query/acc.cgi?acc=GSM671420","GSM671420")</f>
        <v>GSM671420</v>
      </c>
      <c r="I2198" t="s">
        <v>165</v>
      </c>
      <c r="J2198" t="s">
        <v>18</v>
      </c>
      <c r="K2198" t="s">
        <v>19</v>
      </c>
      <c r="L2198" t="s">
        <v>166</v>
      </c>
      <c r="M2198" t="s">
        <v>24</v>
      </c>
      <c r="N2198" t="s">
        <v>29</v>
      </c>
    </row>
    <row r="2199" spans="1:14">
      <c r="A2199" s="4" t="str">
        <f t="shared" si="203"/>
        <v>EXP00063</v>
      </c>
      <c r="B2199" s="4" t="str">
        <f t="shared" si="204"/>
        <v>21636701</v>
      </c>
      <c r="C2199" s="4" t="str">
        <f t="shared" si="205"/>
        <v>GSE27162</v>
      </c>
      <c r="D2199" s="1" t="s">
        <v>163</v>
      </c>
      <c r="E2199" t="s">
        <v>164</v>
      </c>
      <c r="F2199" s="1">
        <v>2</v>
      </c>
      <c r="G2199" s="1" t="s">
        <v>28</v>
      </c>
      <c r="H2199" s="4" t="str">
        <f>HYPERLINK("https://www.ncbi.nlm.nih.gov/geo/query/acc.cgi?acc=GSM671421","GSM671421")</f>
        <v>GSM671421</v>
      </c>
      <c r="I2199" t="s">
        <v>165</v>
      </c>
      <c r="J2199" t="s">
        <v>18</v>
      </c>
      <c r="K2199" t="s">
        <v>19</v>
      </c>
      <c r="L2199" t="s">
        <v>166</v>
      </c>
      <c r="M2199" t="s">
        <v>24</v>
      </c>
      <c r="N2199" t="s">
        <v>29</v>
      </c>
    </row>
    <row r="2200" spans="1:14">
      <c r="A2200" s="4" t="str">
        <f t="shared" si="203"/>
        <v>EXP00063</v>
      </c>
      <c r="B2200" s="4" t="str">
        <f t="shared" si="204"/>
        <v>21636701</v>
      </c>
      <c r="C2200" s="4" t="str">
        <f t="shared" si="205"/>
        <v>GSE27162</v>
      </c>
      <c r="D2200" s="1" t="s">
        <v>163</v>
      </c>
      <c r="E2200" t="s">
        <v>164</v>
      </c>
      <c r="F2200" s="1">
        <v>2</v>
      </c>
      <c r="G2200" s="1" t="s">
        <v>28</v>
      </c>
      <c r="H2200" s="4" t="str">
        <f>HYPERLINK("https://www.ncbi.nlm.nih.gov/geo/query/acc.cgi?acc=GSM671422","GSM671422")</f>
        <v>GSM671422</v>
      </c>
      <c r="I2200" t="s">
        <v>165</v>
      </c>
      <c r="J2200" t="s">
        <v>18</v>
      </c>
      <c r="K2200" t="s">
        <v>19</v>
      </c>
      <c r="L2200" t="s">
        <v>166</v>
      </c>
      <c r="M2200" t="s">
        <v>24</v>
      </c>
      <c r="N2200" t="s">
        <v>29</v>
      </c>
    </row>
    <row r="2201" spans="1:14">
      <c r="A2201" s="4" t="str">
        <f t="shared" si="203"/>
        <v>EXP00063</v>
      </c>
      <c r="B2201" s="4" t="str">
        <f t="shared" si="204"/>
        <v>21636701</v>
      </c>
      <c r="C2201" s="4" t="str">
        <f t="shared" si="205"/>
        <v>GSE27162</v>
      </c>
      <c r="D2201" s="1" t="s">
        <v>163</v>
      </c>
      <c r="E2201" t="s">
        <v>164</v>
      </c>
      <c r="F2201" s="1">
        <v>2</v>
      </c>
      <c r="G2201" s="1" t="s">
        <v>28</v>
      </c>
      <c r="H2201" s="4" t="str">
        <f>HYPERLINK("https://www.ncbi.nlm.nih.gov/geo/query/acc.cgi?acc=GSM671423","GSM671423")</f>
        <v>GSM671423</v>
      </c>
      <c r="I2201" t="s">
        <v>165</v>
      </c>
      <c r="J2201" t="s">
        <v>18</v>
      </c>
      <c r="K2201" t="s">
        <v>19</v>
      </c>
      <c r="L2201" t="s">
        <v>166</v>
      </c>
      <c r="M2201" t="s">
        <v>24</v>
      </c>
      <c r="N2201" t="s">
        <v>29</v>
      </c>
    </row>
    <row r="2202" spans="1:14">
      <c r="A2202" s="4" t="str">
        <f t="shared" si="203"/>
        <v>EXP00063</v>
      </c>
      <c r="B2202" s="4" t="str">
        <f t="shared" si="204"/>
        <v>21636701</v>
      </c>
      <c r="C2202" s="4" t="str">
        <f t="shared" si="205"/>
        <v>GSE27162</v>
      </c>
      <c r="D2202" s="1" t="s">
        <v>163</v>
      </c>
      <c r="E2202" t="s">
        <v>164</v>
      </c>
      <c r="F2202" s="1">
        <v>2</v>
      </c>
      <c r="G2202" s="1" t="s">
        <v>28</v>
      </c>
      <c r="H2202" s="4" t="str">
        <f>HYPERLINK("https://www.ncbi.nlm.nih.gov/geo/query/acc.cgi?acc=GSM671425","GSM671425")</f>
        <v>GSM671425</v>
      </c>
      <c r="I2202" t="s">
        <v>165</v>
      </c>
      <c r="J2202" t="s">
        <v>18</v>
      </c>
      <c r="K2202" t="s">
        <v>19</v>
      </c>
      <c r="L2202" t="s">
        <v>166</v>
      </c>
      <c r="M2202" t="s">
        <v>24</v>
      </c>
      <c r="N2202" t="s">
        <v>29</v>
      </c>
    </row>
    <row r="2203" spans="1:14">
      <c r="A2203" s="4" t="str">
        <f t="shared" si="203"/>
        <v>EXP00063</v>
      </c>
      <c r="B2203" s="4" t="str">
        <f t="shared" si="204"/>
        <v>21636701</v>
      </c>
      <c r="C2203" s="4" t="str">
        <f t="shared" si="205"/>
        <v>GSE27162</v>
      </c>
      <c r="D2203" s="1" t="s">
        <v>163</v>
      </c>
      <c r="E2203" t="s">
        <v>164</v>
      </c>
      <c r="F2203" s="1">
        <v>2</v>
      </c>
      <c r="G2203" s="1" t="s">
        <v>28</v>
      </c>
      <c r="H2203" s="4" t="str">
        <f>HYPERLINK("https://www.ncbi.nlm.nih.gov/geo/query/acc.cgi?acc=GSM671426","GSM671426")</f>
        <v>GSM671426</v>
      </c>
      <c r="I2203" t="s">
        <v>165</v>
      </c>
      <c r="J2203" t="s">
        <v>18</v>
      </c>
      <c r="K2203" t="s">
        <v>19</v>
      </c>
      <c r="L2203" t="s">
        <v>166</v>
      </c>
      <c r="M2203" t="s">
        <v>24</v>
      </c>
      <c r="N2203" t="s">
        <v>29</v>
      </c>
    </row>
    <row r="2204" spans="1:14">
      <c r="A2204" s="4" t="str">
        <f t="shared" si="203"/>
        <v>EXP00063</v>
      </c>
      <c r="B2204" s="4" t="str">
        <f t="shared" si="204"/>
        <v>21636701</v>
      </c>
      <c r="C2204" s="4" t="str">
        <f t="shared" si="205"/>
        <v>GSE27162</v>
      </c>
      <c r="D2204" s="1" t="s">
        <v>163</v>
      </c>
      <c r="E2204" t="s">
        <v>164</v>
      </c>
      <c r="F2204" s="1">
        <v>2</v>
      </c>
      <c r="G2204" s="1" t="s">
        <v>28</v>
      </c>
      <c r="H2204" s="4" t="str">
        <f>HYPERLINK("https://www.ncbi.nlm.nih.gov/geo/query/acc.cgi?acc=GSM671427","GSM671427")</f>
        <v>GSM671427</v>
      </c>
      <c r="I2204" t="s">
        <v>165</v>
      </c>
      <c r="J2204" t="s">
        <v>18</v>
      </c>
      <c r="K2204" t="s">
        <v>19</v>
      </c>
      <c r="L2204" t="s">
        <v>166</v>
      </c>
      <c r="M2204" t="s">
        <v>24</v>
      </c>
      <c r="N2204" t="s">
        <v>29</v>
      </c>
    </row>
    <row r="2205" spans="1:14">
      <c r="A2205" s="4" t="str">
        <f t="shared" si="203"/>
        <v>EXP00063</v>
      </c>
      <c r="B2205" s="4" t="str">
        <f t="shared" si="204"/>
        <v>21636701</v>
      </c>
      <c r="C2205" s="4" t="str">
        <f t="shared" si="205"/>
        <v>GSE27162</v>
      </c>
      <c r="D2205" s="1" t="s">
        <v>163</v>
      </c>
      <c r="E2205" t="s">
        <v>164</v>
      </c>
      <c r="F2205" s="1">
        <v>2</v>
      </c>
      <c r="G2205" s="1" t="s">
        <v>28</v>
      </c>
      <c r="H2205" s="4" t="str">
        <f>HYPERLINK("https://www.ncbi.nlm.nih.gov/geo/query/acc.cgi?acc=GSM671428","GSM671428")</f>
        <v>GSM671428</v>
      </c>
      <c r="I2205" t="s">
        <v>165</v>
      </c>
      <c r="J2205" t="s">
        <v>18</v>
      </c>
      <c r="K2205" t="s">
        <v>19</v>
      </c>
      <c r="L2205" t="s">
        <v>166</v>
      </c>
      <c r="M2205" t="s">
        <v>24</v>
      </c>
      <c r="N2205" t="s">
        <v>29</v>
      </c>
    </row>
    <row r="2206" spans="1:14">
      <c r="A2206" s="4" t="str">
        <f t="shared" si="203"/>
        <v>EXP00063</v>
      </c>
      <c r="B2206" s="4" t="str">
        <f t="shared" si="204"/>
        <v>21636701</v>
      </c>
      <c r="C2206" s="4" t="str">
        <f t="shared" si="205"/>
        <v>GSE27162</v>
      </c>
      <c r="D2206" s="1" t="s">
        <v>163</v>
      </c>
      <c r="E2206" t="s">
        <v>164</v>
      </c>
      <c r="F2206" s="1">
        <v>2</v>
      </c>
      <c r="G2206" s="1" t="s">
        <v>28</v>
      </c>
      <c r="H2206" s="4" t="str">
        <f>HYPERLINK("https://www.ncbi.nlm.nih.gov/geo/query/acc.cgi?acc=GSM671429","GSM671429")</f>
        <v>GSM671429</v>
      </c>
      <c r="I2206" t="s">
        <v>165</v>
      </c>
      <c r="J2206" t="s">
        <v>18</v>
      </c>
      <c r="K2206" t="s">
        <v>19</v>
      </c>
      <c r="L2206" t="s">
        <v>166</v>
      </c>
      <c r="M2206" t="s">
        <v>24</v>
      </c>
      <c r="N2206" t="s">
        <v>29</v>
      </c>
    </row>
    <row r="2207" spans="1:14">
      <c r="A2207" s="4" t="str">
        <f t="shared" si="203"/>
        <v>EXP00063</v>
      </c>
      <c r="B2207" s="4" t="str">
        <f t="shared" si="204"/>
        <v>21636701</v>
      </c>
      <c r="C2207" s="4" t="str">
        <f t="shared" si="205"/>
        <v>GSE27162</v>
      </c>
      <c r="D2207" s="1" t="s">
        <v>163</v>
      </c>
      <c r="E2207" t="s">
        <v>164</v>
      </c>
      <c r="F2207" s="1">
        <v>2</v>
      </c>
      <c r="G2207" s="1" t="s">
        <v>28</v>
      </c>
      <c r="H2207" s="4" t="str">
        <f>HYPERLINK("https://www.ncbi.nlm.nih.gov/geo/query/acc.cgi?acc=GSM671436","GSM671436")</f>
        <v>GSM671436</v>
      </c>
      <c r="I2207" t="s">
        <v>165</v>
      </c>
      <c r="J2207" t="s">
        <v>18</v>
      </c>
      <c r="K2207" t="s">
        <v>19</v>
      </c>
      <c r="L2207" t="s">
        <v>166</v>
      </c>
      <c r="M2207" t="s">
        <v>24</v>
      </c>
      <c r="N2207" t="s">
        <v>29</v>
      </c>
    </row>
    <row r="2208" spans="1:14">
      <c r="A2208" s="4" t="str">
        <f t="shared" si="203"/>
        <v>EXP00063</v>
      </c>
      <c r="B2208" s="4" t="str">
        <f t="shared" si="204"/>
        <v>21636701</v>
      </c>
      <c r="C2208" s="4" t="str">
        <f t="shared" si="205"/>
        <v>GSE27162</v>
      </c>
      <c r="D2208" s="1" t="s">
        <v>163</v>
      </c>
      <c r="E2208" t="s">
        <v>164</v>
      </c>
      <c r="F2208" s="1">
        <v>2</v>
      </c>
      <c r="G2208" s="1" t="s">
        <v>28</v>
      </c>
      <c r="H2208" s="4" t="str">
        <f>HYPERLINK("https://www.ncbi.nlm.nih.gov/geo/query/acc.cgi?acc=GSM671437","GSM671437")</f>
        <v>GSM671437</v>
      </c>
      <c r="I2208" t="s">
        <v>165</v>
      </c>
      <c r="J2208" t="s">
        <v>18</v>
      </c>
      <c r="K2208" t="s">
        <v>19</v>
      </c>
      <c r="L2208" t="s">
        <v>166</v>
      </c>
      <c r="M2208" t="s">
        <v>24</v>
      </c>
      <c r="N2208" t="s">
        <v>29</v>
      </c>
    </row>
    <row r="2209" spans="1:14">
      <c r="A2209" s="4" t="str">
        <f t="shared" ref="A2209:A2225" si="206">HYPERLINK("http://hcmdb.i-sanger.com/experiment/details/experiment_id/EXP00064","EXP00064")</f>
        <v>EXP00064</v>
      </c>
      <c r="B2209" s="4" t="str">
        <f t="shared" si="204"/>
        <v>21636701</v>
      </c>
      <c r="C2209" s="4" t="str">
        <f t="shared" si="205"/>
        <v>GSE27162</v>
      </c>
      <c r="D2209" s="1" t="s">
        <v>163</v>
      </c>
      <c r="E2209" t="s">
        <v>167</v>
      </c>
      <c r="F2209" s="1">
        <v>1</v>
      </c>
      <c r="G2209" s="1" t="s">
        <v>168</v>
      </c>
      <c r="H2209" s="4" t="str">
        <f>HYPERLINK("https://www.ncbi.nlm.nih.gov/geo/query/acc.cgi?acc=GSM671430","GSM671430")</f>
        <v>GSM671430</v>
      </c>
      <c r="I2209" t="s">
        <v>165</v>
      </c>
      <c r="J2209" t="s">
        <v>18</v>
      </c>
      <c r="K2209" t="s">
        <v>19</v>
      </c>
      <c r="L2209" t="s">
        <v>166</v>
      </c>
      <c r="M2209" t="s">
        <v>169</v>
      </c>
      <c r="N2209" t="s">
        <v>29</v>
      </c>
    </row>
    <row r="2210" spans="1:14">
      <c r="A2210" s="4" t="str">
        <f t="shared" si="206"/>
        <v>EXP00064</v>
      </c>
      <c r="B2210" s="4" t="str">
        <f t="shared" si="204"/>
        <v>21636701</v>
      </c>
      <c r="C2210" s="4" t="str">
        <f t="shared" si="205"/>
        <v>GSE27162</v>
      </c>
      <c r="D2210" s="1" t="s">
        <v>163</v>
      </c>
      <c r="E2210" t="s">
        <v>167</v>
      </c>
      <c r="F2210" s="1">
        <v>1</v>
      </c>
      <c r="G2210" s="1" t="s">
        <v>168</v>
      </c>
      <c r="H2210" s="4" t="str">
        <f>HYPERLINK("https://www.ncbi.nlm.nih.gov/geo/query/acc.cgi?acc=GSM671431","GSM671431")</f>
        <v>GSM671431</v>
      </c>
      <c r="I2210" t="s">
        <v>165</v>
      </c>
      <c r="J2210" t="s">
        <v>18</v>
      </c>
      <c r="K2210" t="s">
        <v>19</v>
      </c>
      <c r="L2210" t="s">
        <v>166</v>
      </c>
      <c r="M2210" t="s">
        <v>169</v>
      </c>
      <c r="N2210" t="s">
        <v>29</v>
      </c>
    </row>
    <row r="2211" spans="1:14">
      <c r="A2211" s="4" t="str">
        <f t="shared" si="206"/>
        <v>EXP00064</v>
      </c>
      <c r="B2211" s="4" t="str">
        <f t="shared" si="204"/>
        <v>21636701</v>
      </c>
      <c r="C2211" s="4" t="str">
        <f t="shared" si="205"/>
        <v>GSE27162</v>
      </c>
      <c r="D2211" s="1" t="s">
        <v>163</v>
      </c>
      <c r="E2211" t="s">
        <v>167</v>
      </c>
      <c r="F2211" s="1">
        <v>1</v>
      </c>
      <c r="G2211" s="1" t="s">
        <v>168</v>
      </c>
      <c r="H2211" s="4" t="str">
        <f>HYPERLINK("https://www.ncbi.nlm.nih.gov/geo/query/acc.cgi?acc=GSM671432","GSM671432")</f>
        <v>GSM671432</v>
      </c>
      <c r="I2211" t="s">
        <v>165</v>
      </c>
      <c r="J2211" t="s">
        <v>18</v>
      </c>
      <c r="K2211" t="s">
        <v>19</v>
      </c>
      <c r="L2211" t="s">
        <v>166</v>
      </c>
      <c r="M2211" t="s">
        <v>169</v>
      </c>
      <c r="N2211" t="s">
        <v>29</v>
      </c>
    </row>
    <row r="2212" spans="1:14">
      <c r="A2212" s="4" t="str">
        <f t="shared" si="206"/>
        <v>EXP00064</v>
      </c>
      <c r="B2212" s="4" t="str">
        <f t="shared" si="204"/>
        <v>21636701</v>
      </c>
      <c r="C2212" s="4" t="str">
        <f t="shared" si="205"/>
        <v>GSE27162</v>
      </c>
      <c r="D2212" s="1" t="s">
        <v>163</v>
      </c>
      <c r="E2212" t="s">
        <v>167</v>
      </c>
      <c r="F2212" s="1">
        <v>1</v>
      </c>
      <c r="G2212" s="1" t="s">
        <v>168</v>
      </c>
      <c r="H2212" s="4" t="str">
        <f>HYPERLINK("https://www.ncbi.nlm.nih.gov/geo/query/acc.cgi?acc=GSM671433","GSM671433")</f>
        <v>GSM671433</v>
      </c>
      <c r="I2212" t="s">
        <v>165</v>
      </c>
      <c r="J2212" t="s">
        <v>18</v>
      </c>
      <c r="K2212" t="s">
        <v>19</v>
      </c>
      <c r="L2212" t="s">
        <v>166</v>
      </c>
      <c r="M2212" t="s">
        <v>169</v>
      </c>
      <c r="N2212" t="s">
        <v>29</v>
      </c>
    </row>
    <row r="2213" spans="1:14">
      <c r="A2213" s="4" t="str">
        <f t="shared" si="206"/>
        <v>EXP00064</v>
      </c>
      <c r="B2213" s="4" t="str">
        <f t="shared" si="204"/>
        <v>21636701</v>
      </c>
      <c r="C2213" s="4" t="str">
        <f t="shared" si="205"/>
        <v>GSE27162</v>
      </c>
      <c r="D2213" s="1" t="s">
        <v>163</v>
      </c>
      <c r="E2213" t="s">
        <v>167</v>
      </c>
      <c r="F2213" s="1">
        <v>1</v>
      </c>
      <c r="G2213" s="1" t="s">
        <v>168</v>
      </c>
      <c r="H2213" s="4" t="str">
        <f>HYPERLINK("https://www.ncbi.nlm.nih.gov/geo/query/acc.cgi?acc=GSM671434","GSM671434")</f>
        <v>GSM671434</v>
      </c>
      <c r="I2213" t="s">
        <v>165</v>
      </c>
      <c r="J2213" t="s">
        <v>18</v>
      </c>
      <c r="K2213" t="s">
        <v>19</v>
      </c>
      <c r="L2213" t="s">
        <v>166</v>
      </c>
      <c r="M2213" t="s">
        <v>169</v>
      </c>
      <c r="N2213" t="s">
        <v>29</v>
      </c>
    </row>
    <row r="2214" spans="1:14">
      <c r="A2214" s="4" t="str">
        <f t="shared" si="206"/>
        <v>EXP00064</v>
      </c>
      <c r="B2214" s="4" t="str">
        <f t="shared" ref="B2214:B2245" si="207">HYPERLINK("https://www.ncbi.nlm.nih.gov/pubmed/21636701","21636701")</f>
        <v>21636701</v>
      </c>
      <c r="C2214" s="4" t="str">
        <f t="shared" ref="C2214:C2245" si="208">HYPERLINK("https://www.ncbi.nlm.nih.gov/geo/query/acc.cgi?acc=GSE27162","GSE27162")</f>
        <v>GSE27162</v>
      </c>
      <c r="D2214" s="1" t="s">
        <v>163</v>
      </c>
      <c r="E2214" t="s">
        <v>167</v>
      </c>
      <c r="F2214" s="1">
        <v>1</v>
      </c>
      <c r="G2214" s="1" t="s">
        <v>168</v>
      </c>
      <c r="H2214" s="4" t="str">
        <f>HYPERLINK("https://www.ncbi.nlm.nih.gov/geo/query/acc.cgi?acc=GSM671435","GSM671435")</f>
        <v>GSM671435</v>
      </c>
      <c r="I2214" t="s">
        <v>165</v>
      </c>
      <c r="J2214" t="s">
        <v>18</v>
      </c>
      <c r="K2214" t="s">
        <v>19</v>
      </c>
      <c r="L2214" t="s">
        <v>166</v>
      </c>
      <c r="M2214" t="s">
        <v>169</v>
      </c>
      <c r="N2214" t="s">
        <v>29</v>
      </c>
    </row>
    <row r="2215" spans="1:14">
      <c r="A2215" s="4" t="str">
        <f t="shared" si="206"/>
        <v>EXP00064</v>
      </c>
      <c r="B2215" s="4" t="str">
        <f t="shared" si="207"/>
        <v>21636701</v>
      </c>
      <c r="C2215" s="4" t="str">
        <f t="shared" si="208"/>
        <v>GSE27162</v>
      </c>
      <c r="D2215" s="1" t="s">
        <v>163</v>
      </c>
      <c r="E2215" t="s">
        <v>167</v>
      </c>
      <c r="F2215" s="1">
        <v>2</v>
      </c>
      <c r="G2215" s="1" t="s">
        <v>170</v>
      </c>
      <c r="H2215" s="4" t="str">
        <f>HYPERLINK("https://www.ncbi.nlm.nih.gov/geo/query/acc.cgi?acc=GSM671420","GSM671420")</f>
        <v>GSM671420</v>
      </c>
      <c r="I2215" t="s">
        <v>165</v>
      </c>
      <c r="J2215" t="s">
        <v>18</v>
      </c>
      <c r="K2215" t="s">
        <v>19</v>
      </c>
      <c r="L2215" t="s">
        <v>166</v>
      </c>
      <c r="M2215" t="s">
        <v>24</v>
      </c>
      <c r="N2215" t="s">
        <v>29</v>
      </c>
    </row>
    <row r="2216" spans="1:14">
      <c r="A2216" s="4" t="str">
        <f t="shared" si="206"/>
        <v>EXP00064</v>
      </c>
      <c r="B2216" s="4" t="str">
        <f t="shared" si="207"/>
        <v>21636701</v>
      </c>
      <c r="C2216" s="4" t="str">
        <f t="shared" si="208"/>
        <v>GSE27162</v>
      </c>
      <c r="D2216" s="1" t="s">
        <v>163</v>
      </c>
      <c r="E2216" t="s">
        <v>167</v>
      </c>
      <c r="F2216" s="1">
        <v>2</v>
      </c>
      <c r="G2216" s="1" t="s">
        <v>170</v>
      </c>
      <c r="H2216" s="4" t="str">
        <f>HYPERLINK("https://www.ncbi.nlm.nih.gov/geo/query/acc.cgi?acc=GSM671421","GSM671421")</f>
        <v>GSM671421</v>
      </c>
      <c r="I2216" t="s">
        <v>165</v>
      </c>
      <c r="J2216" t="s">
        <v>18</v>
      </c>
      <c r="K2216" t="s">
        <v>19</v>
      </c>
      <c r="L2216" t="s">
        <v>166</v>
      </c>
      <c r="M2216" t="s">
        <v>24</v>
      </c>
      <c r="N2216" t="s">
        <v>29</v>
      </c>
    </row>
    <row r="2217" spans="1:14">
      <c r="A2217" s="4" t="str">
        <f t="shared" si="206"/>
        <v>EXP00064</v>
      </c>
      <c r="B2217" s="4" t="str">
        <f t="shared" si="207"/>
        <v>21636701</v>
      </c>
      <c r="C2217" s="4" t="str">
        <f t="shared" si="208"/>
        <v>GSE27162</v>
      </c>
      <c r="D2217" s="1" t="s">
        <v>163</v>
      </c>
      <c r="E2217" t="s">
        <v>167</v>
      </c>
      <c r="F2217" s="1">
        <v>2</v>
      </c>
      <c r="G2217" s="1" t="s">
        <v>170</v>
      </c>
      <c r="H2217" s="4" t="str">
        <f>HYPERLINK("https://www.ncbi.nlm.nih.gov/geo/query/acc.cgi?acc=GSM671422","GSM671422")</f>
        <v>GSM671422</v>
      </c>
      <c r="I2217" t="s">
        <v>165</v>
      </c>
      <c r="J2217" t="s">
        <v>18</v>
      </c>
      <c r="K2217" t="s">
        <v>19</v>
      </c>
      <c r="L2217" t="s">
        <v>166</v>
      </c>
      <c r="M2217" t="s">
        <v>24</v>
      </c>
      <c r="N2217" t="s">
        <v>29</v>
      </c>
    </row>
    <row r="2218" spans="1:14">
      <c r="A2218" s="4" t="str">
        <f t="shared" si="206"/>
        <v>EXP00064</v>
      </c>
      <c r="B2218" s="4" t="str">
        <f t="shared" si="207"/>
        <v>21636701</v>
      </c>
      <c r="C2218" s="4" t="str">
        <f t="shared" si="208"/>
        <v>GSE27162</v>
      </c>
      <c r="D2218" s="1" t="s">
        <v>163</v>
      </c>
      <c r="E2218" t="s">
        <v>167</v>
      </c>
      <c r="F2218" s="1">
        <v>2</v>
      </c>
      <c r="G2218" s="1" t="s">
        <v>170</v>
      </c>
      <c r="H2218" s="4" t="str">
        <f>HYPERLINK("https://www.ncbi.nlm.nih.gov/geo/query/acc.cgi?acc=GSM671423","GSM671423")</f>
        <v>GSM671423</v>
      </c>
      <c r="I2218" t="s">
        <v>165</v>
      </c>
      <c r="J2218" t="s">
        <v>18</v>
      </c>
      <c r="K2218" t="s">
        <v>19</v>
      </c>
      <c r="L2218" t="s">
        <v>166</v>
      </c>
      <c r="M2218" t="s">
        <v>24</v>
      </c>
      <c r="N2218" t="s">
        <v>29</v>
      </c>
    </row>
    <row r="2219" spans="1:14">
      <c r="A2219" s="4" t="str">
        <f t="shared" si="206"/>
        <v>EXP00064</v>
      </c>
      <c r="B2219" s="4" t="str">
        <f t="shared" si="207"/>
        <v>21636701</v>
      </c>
      <c r="C2219" s="4" t="str">
        <f t="shared" si="208"/>
        <v>GSE27162</v>
      </c>
      <c r="D2219" s="1" t="s">
        <v>163</v>
      </c>
      <c r="E2219" t="s">
        <v>167</v>
      </c>
      <c r="F2219" s="1">
        <v>2</v>
      </c>
      <c r="G2219" s="1" t="s">
        <v>170</v>
      </c>
      <c r="H2219" s="4" t="str">
        <f>HYPERLINK("https://www.ncbi.nlm.nih.gov/geo/query/acc.cgi?acc=GSM671425","GSM671425")</f>
        <v>GSM671425</v>
      </c>
      <c r="I2219" t="s">
        <v>165</v>
      </c>
      <c r="J2219" t="s">
        <v>18</v>
      </c>
      <c r="K2219" t="s">
        <v>19</v>
      </c>
      <c r="L2219" t="s">
        <v>166</v>
      </c>
      <c r="M2219" t="s">
        <v>24</v>
      </c>
      <c r="N2219" t="s">
        <v>29</v>
      </c>
    </row>
    <row r="2220" spans="1:14">
      <c r="A2220" s="4" t="str">
        <f t="shared" si="206"/>
        <v>EXP00064</v>
      </c>
      <c r="B2220" s="4" t="str">
        <f t="shared" si="207"/>
        <v>21636701</v>
      </c>
      <c r="C2220" s="4" t="str">
        <f t="shared" si="208"/>
        <v>GSE27162</v>
      </c>
      <c r="D2220" s="1" t="s">
        <v>163</v>
      </c>
      <c r="E2220" t="s">
        <v>167</v>
      </c>
      <c r="F2220" s="1">
        <v>2</v>
      </c>
      <c r="G2220" s="1" t="s">
        <v>170</v>
      </c>
      <c r="H2220" s="4" t="str">
        <f>HYPERLINK("https://www.ncbi.nlm.nih.gov/geo/query/acc.cgi?acc=GSM671426","GSM671426")</f>
        <v>GSM671426</v>
      </c>
      <c r="I2220" t="s">
        <v>165</v>
      </c>
      <c r="J2220" t="s">
        <v>18</v>
      </c>
      <c r="K2220" t="s">
        <v>19</v>
      </c>
      <c r="L2220" t="s">
        <v>166</v>
      </c>
      <c r="M2220" t="s">
        <v>24</v>
      </c>
      <c r="N2220" t="s">
        <v>29</v>
      </c>
    </row>
    <row r="2221" spans="1:14">
      <c r="A2221" s="4" t="str">
        <f t="shared" si="206"/>
        <v>EXP00064</v>
      </c>
      <c r="B2221" s="4" t="str">
        <f t="shared" si="207"/>
        <v>21636701</v>
      </c>
      <c r="C2221" s="4" t="str">
        <f t="shared" si="208"/>
        <v>GSE27162</v>
      </c>
      <c r="D2221" s="1" t="s">
        <v>163</v>
      </c>
      <c r="E2221" t="s">
        <v>167</v>
      </c>
      <c r="F2221" s="1">
        <v>2</v>
      </c>
      <c r="G2221" s="1" t="s">
        <v>170</v>
      </c>
      <c r="H2221" s="4" t="str">
        <f>HYPERLINK("https://www.ncbi.nlm.nih.gov/geo/query/acc.cgi?acc=GSM671427","GSM671427")</f>
        <v>GSM671427</v>
      </c>
      <c r="I2221" t="s">
        <v>165</v>
      </c>
      <c r="J2221" t="s">
        <v>18</v>
      </c>
      <c r="K2221" t="s">
        <v>19</v>
      </c>
      <c r="L2221" t="s">
        <v>166</v>
      </c>
      <c r="M2221" t="s">
        <v>24</v>
      </c>
      <c r="N2221" t="s">
        <v>29</v>
      </c>
    </row>
    <row r="2222" spans="1:14">
      <c r="A2222" s="4" t="str">
        <f t="shared" si="206"/>
        <v>EXP00064</v>
      </c>
      <c r="B2222" s="4" t="str">
        <f t="shared" si="207"/>
        <v>21636701</v>
      </c>
      <c r="C2222" s="4" t="str">
        <f t="shared" si="208"/>
        <v>GSE27162</v>
      </c>
      <c r="D2222" s="1" t="s">
        <v>163</v>
      </c>
      <c r="E2222" t="s">
        <v>167</v>
      </c>
      <c r="F2222" s="1">
        <v>2</v>
      </c>
      <c r="G2222" s="1" t="s">
        <v>170</v>
      </c>
      <c r="H2222" s="4" t="str">
        <f>HYPERLINK("https://www.ncbi.nlm.nih.gov/geo/query/acc.cgi?acc=GSM671428","GSM671428")</f>
        <v>GSM671428</v>
      </c>
      <c r="I2222" t="s">
        <v>165</v>
      </c>
      <c r="J2222" t="s">
        <v>18</v>
      </c>
      <c r="K2222" t="s">
        <v>19</v>
      </c>
      <c r="L2222" t="s">
        <v>166</v>
      </c>
      <c r="M2222" t="s">
        <v>24</v>
      </c>
      <c r="N2222" t="s">
        <v>29</v>
      </c>
    </row>
    <row r="2223" spans="1:14">
      <c r="A2223" s="4" t="str">
        <f t="shared" si="206"/>
        <v>EXP00064</v>
      </c>
      <c r="B2223" s="4" t="str">
        <f t="shared" si="207"/>
        <v>21636701</v>
      </c>
      <c r="C2223" s="4" t="str">
        <f t="shared" si="208"/>
        <v>GSE27162</v>
      </c>
      <c r="D2223" s="1" t="s">
        <v>163</v>
      </c>
      <c r="E2223" t="s">
        <v>167</v>
      </c>
      <c r="F2223" s="1">
        <v>2</v>
      </c>
      <c r="G2223" s="1" t="s">
        <v>170</v>
      </c>
      <c r="H2223" s="4" t="str">
        <f>HYPERLINK("https://www.ncbi.nlm.nih.gov/geo/query/acc.cgi?acc=GSM671429","GSM671429")</f>
        <v>GSM671429</v>
      </c>
      <c r="I2223" t="s">
        <v>165</v>
      </c>
      <c r="J2223" t="s">
        <v>18</v>
      </c>
      <c r="K2223" t="s">
        <v>19</v>
      </c>
      <c r="L2223" t="s">
        <v>166</v>
      </c>
      <c r="M2223" t="s">
        <v>24</v>
      </c>
      <c r="N2223" t="s">
        <v>29</v>
      </c>
    </row>
    <row r="2224" spans="1:14">
      <c r="A2224" s="4" t="str">
        <f t="shared" si="206"/>
        <v>EXP00064</v>
      </c>
      <c r="B2224" s="4" t="str">
        <f t="shared" si="207"/>
        <v>21636701</v>
      </c>
      <c r="C2224" s="4" t="str">
        <f t="shared" si="208"/>
        <v>GSE27162</v>
      </c>
      <c r="D2224" s="1" t="s">
        <v>163</v>
      </c>
      <c r="E2224" t="s">
        <v>167</v>
      </c>
      <c r="F2224" s="1">
        <v>2</v>
      </c>
      <c r="G2224" s="1" t="s">
        <v>170</v>
      </c>
      <c r="H2224" s="4" t="str">
        <f>HYPERLINK("https://www.ncbi.nlm.nih.gov/geo/query/acc.cgi?acc=GSM671436","GSM671436")</f>
        <v>GSM671436</v>
      </c>
      <c r="I2224" t="s">
        <v>165</v>
      </c>
      <c r="J2224" t="s">
        <v>18</v>
      </c>
      <c r="K2224" t="s">
        <v>19</v>
      </c>
      <c r="L2224" t="s">
        <v>166</v>
      </c>
      <c r="M2224" t="s">
        <v>24</v>
      </c>
      <c r="N2224" t="s">
        <v>29</v>
      </c>
    </row>
    <row r="2225" spans="1:14">
      <c r="A2225" s="4" t="str">
        <f t="shared" si="206"/>
        <v>EXP00064</v>
      </c>
      <c r="B2225" s="4" t="str">
        <f t="shared" si="207"/>
        <v>21636701</v>
      </c>
      <c r="C2225" s="4" t="str">
        <f t="shared" si="208"/>
        <v>GSE27162</v>
      </c>
      <c r="D2225" s="1" t="s">
        <v>163</v>
      </c>
      <c r="E2225" t="s">
        <v>167</v>
      </c>
      <c r="F2225" s="1">
        <v>2</v>
      </c>
      <c r="G2225" s="1" t="s">
        <v>170</v>
      </c>
      <c r="H2225" s="4" t="str">
        <f>HYPERLINK("https://www.ncbi.nlm.nih.gov/geo/query/acc.cgi?acc=GSM671437","GSM671437")</f>
        <v>GSM671437</v>
      </c>
      <c r="I2225" t="s">
        <v>165</v>
      </c>
      <c r="J2225" t="s">
        <v>18</v>
      </c>
      <c r="K2225" t="s">
        <v>19</v>
      </c>
      <c r="L2225" t="s">
        <v>166</v>
      </c>
      <c r="M2225" t="s">
        <v>24</v>
      </c>
      <c r="N2225" t="s">
        <v>29</v>
      </c>
    </row>
    <row r="2226" spans="1:14">
      <c r="A2226" s="4" t="str">
        <f t="shared" ref="A2226:A2247" si="209">HYPERLINK("http://hcmdb.i-sanger.com/experiment/details/experiment_id/EXP00065","EXP00065")</f>
        <v>EXP00065</v>
      </c>
      <c r="B2226" s="4" t="str">
        <f t="shared" si="207"/>
        <v>21636701</v>
      </c>
      <c r="C2226" s="4" t="str">
        <f t="shared" si="208"/>
        <v>GSE27162</v>
      </c>
      <c r="D2226" s="1" t="s">
        <v>163</v>
      </c>
      <c r="E2226" t="s">
        <v>171</v>
      </c>
      <c r="F2226" s="1">
        <v>1</v>
      </c>
      <c r="G2226" s="1" t="s">
        <v>172</v>
      </c>
      <c r="H2226" s="4" t="str">
        <f>HYPERLINK("https://www.ncbi.nlm.nih.gov/geo/query/acc.cgi?acc=GSM671455","GSM671455")</f>
        <v>GSM671455</v>
      </c>
      <c r="I2226" t="s">
        <v>165</v>
      </c>
      <c r="J2226" t="s">
        <v>18</v>
      </c>
      <c r="K2226" t="s">
        <v>19</v>
      </c>
      <c r="L2226" t="s">
        <v>166</v>
      </c>
      <c r="M2226" t="s">
        <v>44</v>
      </c>
      <c r="N2226" t="s">
        <v>22</v>
      </c>
    </row>
    <row r="2227" spans="1:14">
      <c r="A2227" s="4" t="str">
        <f t="shared" si="209"/>
        <v>EXP00065</v>
      </c>
      <c r="B2227" s="4" t="str">
        <f t="shared" si="207"/>
        <v>21636701</v>
      </c>
      <c r="C2227" s="4" t="str">
        <f t="shared" si="208"/>
        <v>GSE27162</v>
      </c>
      <c r="D2227" s="1" t="s">
        <v>163</v>
      </c>
      <c r="E2227" t="s">
        <v>171</v>
      </c>
      <c r="F2227" s="1">
        <v>1</v>
      </c>
      <c r="G2227" s="1" t="s">
        <v>172</v>
      </c>
      <c r="H2227" s="4" t="str">
        <f>HYPERLINK("https://www.ncbi.nlm.nih.gov/geo/query/acc.cgi?acc=GSM671456","GSM671456")</f>
        <v>GSM671456</v>
      </c>
      <c r="I2227" t="s">
        <v>165</v>
      </c>
      <c r="J2227" t="s">
        <v>18</v>
      </c>
      <c r="K2227" t="s">
        <v>19</v>
      </c>
      <c r="L2227" t="s">
        <v>166</v>
      </c>
      <c r="M2227" t="s">
        <v>44</v>
      </c>
      <c r="N2227" t="s">
        <v>22</v>
      </c>
    </row>
    <row r="2228" spans="1:14">
      <c r="A2228" s="4" t="str">
        <f t="shared" si="209"/>
        <v>EXP00065</v>
      </c>
      <c r="B2228" s="4" t="str">
        <f t="shared" si="207"/>
        <v>21636701</v>
      </c>
      <c r="C2228" s="4" t="str">
        <f t="shared" si="208"/>
        <v>GSE27162</v>
      </c>
      <c r="D2228" s="1" t="s">
        <v>163</v>
      </c>
      <c r="E2228" t="s">
        <v>171</v>
      </c>
      <c r="F2228" s="1">
        <v>1</v>
      </c>
      <c r="G2228" s="1" t="s">
        <v>172</v>
      </c>
      <c r="H2228" s="4" t="str">
        <f>HYPERLINK("https://www.ncbi.nlm.nih.gov/geo/query/acc.cgi?acc=GSM671457","GSM671457")</f>
        <v>GSM671457</v>
      </c>
      <c r="I2228" t="s">
        <v>165</v>
      </c>
      <c r="J2228" t="s">
        <v>18</v>
      </c>
      <c r="K2228" t="s">
        <v>19</v>
      </c>
      <c r="L2228" t="s">
        <v>166</v>
      </c>
      <c r="M2228" t="s">
        <v>44</v>
      </c>
      <c r="N2228" t="s">
        <v>22</v>
      </c>
    </row>
    <row r="2229" spans="1:14">
      <c r="A2229" s="4" t="str">
        <f t="shared" si="209"/>
        <v>EXP00065</v>
      </c>
      <c r="B2229" s="4" t="str">
        <f t="shared" si="207"/>
        <v>21636701</v>
      </c>
      <c r="C2229" s="4" t="str">
        <f t="shared" si="208"/>
        <v>GSE27162</v>
      </c>
      <c r="D2229" s="1" t="s">
        <v>163</v>
      </c>
      <c r="E2229" t="s">
        <v>171</v>
      </c>
      <c r="F2229" s="1">
        <v>1</v>
      </c>
      <c r="G2229" s="1" t="s">
        <v>172</v>
      </c>
      <c r="H2229" s="4" t="str">
        <f>HYPERLINK("https://www.ncbi.nlm.nih.gov/geo/query/acc.cgi?acc=GSM671458","GSM671458")</f>
        <v>GSM671458</v>
      </c>
      <c r="I2229" t="s">
        <v>165</v>
      </c>
      <c r="J2229" t="s">
        <v>18</v>
      </c>
      <c r="K2229" t="s">
        <v>19</v>
      </c>
      <c r="L2229" t="s">
        <v>166</v>
      </c>
      <c r="M2229" t="s">
        <v>44</v>
      </c>
      <c r="N2229" t="s">
        <v>22</v>
      </c>
    </row>
    <row r="2230" spans="1:14">
      <c r="A2230" s="4" t="str">
        <f t="shared" si="209"/>
        <v>EXP00065</v>
      </c>
      <c r="B2230" s="4" t="str">
        <f t="shared" si="207"/>
        <v>21636701</v>
      </c>
      <c r="C2230" s="4" t="str">
        <f t="shared" si="208"/>
        <v>GSE27162</v>
      </c>
      <c r="D2230" s="1" t="s">
        <v>163</v>
      </c>
      <c r="E2230" t="s">
        <v>171</v>
      </c>
      <c r="F2230" s="1">
        <v>1</v>
      </c>
      <c r="G2230" s="1" t="s">
        <v>172</v>
      </c>
      <c r="H2230" s="4" t="str">
        <f>HYPERLINK("https://www.ncbi.nlm.nih.gov/geo/query/acc.cgi?acc=GSM671459","GSM671459")</f>
        <v>GSM671459</v>
      </c>
      <c r="I2230" t="s">
        <v>165</v>
      </c>
      <c r="J2230" t="s">
        <v>18</v>
      </c>
      <c r="K2230" t="s">
        <v>19</v>
      </c>
      <c r="L2230" t="s">
        <v>166</v>
      </c>
      <c r="M2230" t="s">
        <v>44</v>
      </c>
      <c r="N2230" t="s">
        <v>22</v>
      </c>
    </row>
    <row r="2231" spans="1:14">
      <c r="A2231" s="4" t="str">
        <f t="shared" si="209"/>
        <v>EXP00065</v>
      </c>
      <c r="B2231" s="4" t="str">
        <f t="shared" si="207"/>
        <v>21636701</v>
      </c>
      <c r="C2231" s="4" t="str">
        <f t="shared" si="208"/>
        <v>GSE27162</v>
      </c>
      <c r="D2231" s="1" t="s">
        <v>163</v>
      </c>
      <c r="E2231" t="s">
        <v>171</v>
      </c>
      <c r="F2231" s="1">
        <v>1</v>
      </c>
      <c r="G2231" s="1" t="s">
        <v>172</v>
      </c>
      <c r="H2231" s="4" t="str">
        <f>HYPERLINK("https://www.ncbi.nlm.nih.gov/geo/query/acc.cgi?acc=GSM671460","GSM671460")</f>
        <v>GSM671460</v>
      </c>
      <c r="I2231" t="s">
        <v>165</v>
      </c>
      <c r="J2231" t="s">
        <v>18</v>
      </c>
      <c r="K2231" t="s">
        <v>19</v>
      </c>
      <c r="L2231" t="s">
        <v>166</v>
      </c>
      <c r="M2231" t="s">
        <v>44</v>
      </c>
      <c r="N2231" t="s">
        <v>22</v>
      </c>
    </row>
    <row r="2232" spans="1:14">
      <c r="A2232" s="4" t="str">
        <f t="shared" si="209"/>
        <v>EXP00065</v>
      </c>
      <c r="B2232" s="4" t="str">
        <f t="shared" si="207"/>
        <v>21636701</v>
      </c>
      <c r="C2232" s="4" t="str">
        <f t="shared" si="208"/>
        <v>GSE27162</v>
      </c>
      <c r="D2232" s="1" t="s">
        <v>163</v>
      </c>
      <c r="E2232" t="s">
        <v>171</v>
      </c>
      <c r="F2232" s="1">
        <v>2</v>
      </c>
      <c r="G2232" s="1" t="s">
        <v>173</v>
      </c>
      <c r="H2232" s="4" t="str">
        <f>HYPERLINK("https://www.ncbi.nlm.nih.gov/geo/query/acc.cgi?acc=GSM671438","GSM671438")</f>
        <v>GSM671438</v>
      </c>
      <c r="I2232" t="s">
        <v>165</v>
      </c>
      <c r="J2232" t="s">
        <v>18</v>
      </c>
      <c r="K2232" t="s">
        <v>19</v>
      </c>
      <c r="L2232" t="s">
        <v>166</v>
      </c>
      <c r="M2232" t="s">
        <v>24</v>
      </c>
      <c r="N2232" t="s">
        <v>22</v>
      </c>
    </row>
    <row r="2233" spans="1:14">
      <c r="A2233" s="4" t="str">
        <f t="shared" si="209"/>
        <v>EXP00065</v>
      </c>
      <c r="B2233" s="4" t="str">
        <f t="shared" si="207"/>
        <v>21636701</v>
      </c>
      <c r="C2233" s="4" t="str">
        <f t="shared" si="208"/>
        <v>GSE27162</v>
      </c>
      <c r="D2233" s="1" t="s">
        <v>163</v>
      </c>
      <c r="E2233" t="s">
        <v>171</v>
      </c>
      <c r="F2233" s="1">
        <v>2</v>
      </c>
      <c r="G2233" s="1" t="s">
        <v>173</v>
      </c>
      <c r="H2233" s="4" t="str">
        <f>HYPERLINK("https://www.ncbi.nlm.nih.gov/geo/query/acc.cgi?acc=GSM671439","GSM671439")</f>
        <v>GSM671439</v>
      </c>
      <c r="I2233" t="s">
        <v>165</v>
      </c>
      <c r="J2233" t="s">
        <v>18</v>
      </c>
      <c r="K2233" t="s">
        <v>19</v>
      </c>
      <c r="L2233" t="s">
        <v>166</v>
      </c>
      <c r="M2233" t="s">
        <v>24</v>
      </c>
      <c r="N2233" t="s">
        <v>22</v>
      </c>
    </row>
    <row r="2234" spans="1:14">
      <c r="A2234" s="4" t="str">
        <f t="shared" si="209"/>
        <v>EXP00065</v>
      </c>
      <c r="B2234" s="4" t="str">
        <f t="shared" si="207"/>
        <v>21636701</v>
      </c>
      <c r="C2234" s="4" t="str">
        <f t="shared" si="208"/>
        <v>GSE27162</v>
      </c>
      <c r="D2234" s="1" t="s">
        <v>163</v>
      </c>
      <c r="E2234" t="s">
        <v>171</v>
      </c>
      <c r="F2234" s="1">
        <v>2</v>
      </c>
      <c r="G2234" s="1" t="s">
        <v>173</v>
      </c>
      <c r="H2234" s="4" t="str">
        <f>HYPERLINK("https://www.ncbi.nlm.nih.gov/geo/query/acc.cgi?acc=GSM671440","GSM671440")</f>
        <v>GSM671440</v>
      </c>
      <c r="I2234" t="s">
        <v>165</v>
      </c>
      <c r="J2234" t="s">
        <v>18</v>
      </c>
      <c r="K2234" t="s">
        <v>19</v>
      </c>
      <c r="L2234" t="s">
        <v>166</v>
      </c>
      <c r="M2234" t="s">
        <v>24</v>
      </c>
      <c r="N2234" t="s">
        <v>22</v>
      </c>
    </row>
    <row r="2235" spans="1:14">
      <c r="A2235" s="4" t="str">
        <f t="shared" si="209"/>
        <v>EXP00065</v>
      </c>
      <c r="B2235" s="4" t="str">
        <f t="shared" si="207"/>
        <v>21636701</v>
      </c>
      <c r="C2235" s="4" t="str">
        <f t="shared" si="208"/>
        <v>GSE27162</v>
      </c>
      <c r="D2235" s="1" t="s">
        <v>163</v>
      </c>
      <c r="E2235" t="s">
        <v>171</v>
      </c>
      <c r="F2235" s="1">
        <v>2</v>
      </c>
      <c r="G2235" s="1" t="s">
        <v>173</v>
      </c>
      <c r="H2235" s="4" t="str">
        <f>HYPERLINK("https://www.ncbi.nlm.nih.gov/geo/query/acc.cgi?acc=GSM671441","GSM671441")</f>
        <v>GSM671441</v>
      </c>
      <c r="I2235" t="s">
        <v>165</v>
      </c>
      <c r="J2235" t="s">
        <v>18</v>
      </c>
      <c r="K2235" t="s">
        <v>19</v>
      </c>
      <c r="L2235" t="s">
        <v>166</v>
      </c>
      <c r="M2235" t="s">
        <v>24</v>
      </c>
      <c r="N2235" t="s">
        <v>22</v>
      </c>
    </row>
    <row r="2236" spans="1:14">
      <c r="A2236" s="4" t="str">
        <f t="shared" si="209"/>
        <v>EXP00065</v>
      </c>
      <c r="B2236" s="4" t="str">
        <f t="shared" si="207"/>
        <v>21636701</v>
      </c>
      <c r="C2236" s="4" t="str">
        <f t="shared" si="208"/>
        <v>GSE27162</v>
      </c>
      <c r="D2236" s="1" t="s">
        <v>163</v>
      </c>
      <c r="E2236" t="s">
        <v>171</v>
      </c>
      <c r="F2236" s="1">
        <v>2</v>
      </c>
      <c r="G2236" s="1" t="s">
        <v>173</v>
      </c>
      <c r="H2236" s="4" t="str">
        <f>HYPERLINK("https://www.ncbi.nlm.nih.gov/geo/query/acc.cgi?acc=GSM671442","GSM671442")</f>
        <v>GSM671442</v>
      </c>
      <c r="I2236" t="s">
        <v>165</v>
      </c>
      <c r="J2236" t="s">
        <v>18</v>
      </c>
      <c r="K2236" t="s">
        <v>19</v>
      </c>
      <c r="L2236" t="s">
        <v>166</v>
      </c>
      <c r="M2236" t="s">
        <v>24</v>
      </c>
      <c r="N2236" t="s">
        <v>22</v>
      </c>
    </row>
    <row r="2237" spans="1:14">
      <c r="A2237" s="4" t="str">
        <f t="shared" si="209"/>
        <v>EXP00065</v>
      </c>
      <c r="B2237" s="4" t="str">
        <f t="shared" si="207"/>
        <v>21636701</v>
      </c>
      <c r="C2237" s="4" t="str">
        <f t="shared" si="208"/>
        <v>GSE27162</v>
      </c>
      <c r="D2237" s="1" t="s">
        <v>163</v>
      </c>
      <c r="E2237" t="s">
        <v>171</v>
      </c>
      <c r="F2237" s="1">
        <v>2</v>
      </c>
      <c r="G2237" s="1" t="s">
        <v>173</v>
      </c>
      <c r="H2237" s="4" t="str">
        <f>HYPERLINK("https://www.ncbi.nlm.nih.gov/geo/query/acc.cgi?acc=GSM671443","GSM671443")</f>
        <v>GSM671443</v>
      </c>
      <c r="I2237" t="s">
        <v>165</v>
      </c>
      <c r="J2237" t="s">
        <v>18</v>
      </c>
      <c r="K2237" t="s">
        <v>19</v>
      </c>
      <c r="L2237" t="s">
        <v>166</v>
      </c>
      <c r="M2237" t="s">
        <v>24</v>
      </c>
      <c r="N2237" t="s">
        <v>22</v>
      </c>
    </row>
    <row r="2238" spans="1:14">
      <c r="A2238" s="4" t="str">
        <f t="shared" si="209"/>
        <v>EXP00065</v>
      </c>
      <c r="B2238" s="4" t="str">
        <f t="shared" si="207"/>
        <v>21636701</v>
      </c>
      <c r="C2238" s="4" t="str">
        <f t="shared" si="208"/>
        <v>GSE27162</v>
      </c>
      <c r="D2238" s="1" t="s">
        <v>163</v>
      </c>
      <c r="E2238" t="s">
        <v>171</v>
      </c>
      <c r="F2238" s="1">
        <v>2</v>
      </c>
      <c r="G2238" s="1" t="s">
        <v>173</v>
      </c>
      <c r="H2238" s="4" t="str">
        <f>HYPERLINK("https://www.ncbi.nlm.nih.gov/geo/query/acc.cgi?acc=GSM671444","GSM671444")</f>
        <v>GSM671444</v>
      </c>
      <c r="I2238" t="s">
        <v>165</v>
      </c>
      <c r="J2238" t="s">
        <v>18</v>
      </c>
      <c r="K2238" t="s">
        <v>19</v>
      </c>
      <c r="L2238" t="s">
        <v>166</v>
      </c>
      <c r="M2238" t="s">
        <v>24</v>
      </c>
      <c r="N2238" t="s">
        <v>22</v>
      </c>
    </row>
    <row r="2239" spans="1:14">
      <c r="A2239" s="4" t="str">
        <f t="shared" si="209"/>
        <v>EXP00065</v>
      </c>
      <c r="B2239" s="4" t="str">
        <f t="shared" si="207"/>
        <v>21636701</v>
      </c>
      <c r="C2239" s="4" t="str">
        <f t="shared" si="208"/>
        <v>GSE27162</v>
      </c>
      <c r="D2239" s="1" t="s">
        <v>163</v>
      </c>
      <c r="E2239" t="s">
        <v>171</v>
      </c>
      <c r="F2239" s="1">
        <v>2</v>
      </c>
      <c r="G2239" s="1" t="s">
        <v>173</v>
      </c>
      <c r="H2239" s="4" t="str">
        <f>HYPERLINK("https://www.ncbi.nlm.nih.gov/geo/query/acc.cgi?acc=GSM671445","GSM671445")</f>
        <v>GSM671445</v>
      </c>
      <c r="I2239" t="s">
        <v>165</v>
      </c>
      <c r="J2239" t="s">
        <v>18</v>
      </c>
      <c r="K2239" t="s">
        <v>19</v>
      </c>
      <c r="L2239" t="s">
        <v>166</v>
      </c>
      <c r="M2239" t="s">
        <v>24</v>
      </c>
      <c r="N2239" t="s">
        <v>22</v>
      </c>
    </row>
    <row r="2240" spans="1:14">
      <c r="A2240" s="4" t="str">
        <f t="shared" si="209"/>
        <v>EXP00065</v>
      </c>
      <c r="B2240" s="4" t="str">
        <f t="shared" si="207"/>
        <v>21636701</v>
      </c>
      <c r="C2240" s="4" t="str">
        <f t="shared" si="208"/>
        <v>GSE27162</v>
      </c>
      <c r="D2240" s="1" t="s">
        <v>163</v>
      </c>
      <c r="E2240" t="s">
        <v>171</v>
      </c>
      <c r="F2240" s="1">
        <v>2</v>
      </c>
      <c r="G2240" s="1" t="s">
        <v>173</v>
      </c>
      <c r="H2240" s="4" t="str">
        <f>HYPERLINK("https://www.ncbi.nlm.nih.gov/geo/query/acc.cgi?acc=GSM671446","GSM671446")</f>
        <v>GSM671446</v>
      </c>
      <c r="I2240" t="s">
        <v>165</v>
      </c>
      <c r="J2240" t="s">
        <v>18</v>
      </c>
      <c r="K2240" t="s">
        <v>19</v>
      </c>
      <c r="L2240" t="s">
        <v>166</v>
      </c>
      <c r="M2240" t="s">
        <v>24</v>
      </c>
      <c r="N2240" t="s">
        <v>22</v>
      </c>
    </row>
    <row r="2241" spans="1:14">
      <c r="A2241" s="4" t="str">
        <f t="shared" si="209"/>
        <v>EXP00065</v>
      </c>
      <c r="B2241" s="4" t="str">
        <f t="shared" si="207"/>
        <v>21636701</v>
      </c>
      <c r="C2241" s="4" t="str">
        <f t="shared" si="208"/>
        <v>GSE27162</v>
      </c>
      <c r="D2241" s="1" t="s">
        <v>163</v>
      </c>
      <c r="E2241" t="s">
        <v>171</v>
      </c>
      <c r="F2241" s="1">
        <v>2</v>
      </c>
      <c r="G2241" s="1" t="s">
        <v>173</v>
      </c>
      <c r="H2241" s="4" t="str">
        <f>HYPERLINK("https://www.ncbi.nlm.nih.gov/geo/query/acc.cgi?acc=GSM671447","GSM671447")</f>
        <v>GSM671447</v>
      </c>
      <c r="I2241" t="s">
        <v>165</v>
      </c>
      <c r="J2241" t="s">
        <v>18</v>
      </c>
      <c r="K2241" t="s">
        <v>19</v>
      </c>
      <c r="L2241" t="s">
        <v>166</v>
      </c>
      <c r="M2241" t="s">
        <v>24</v>
      </c>
      <c r="N2241" t="s">
        <v>22</v>
      </c>
    </row>
    <row r="2242" spans="1:14">
      <c r="A2242" s="4" t="str">
        <f t="shared" si="209"/>
        <v>EXP00065</v>
      </c>
      <c r="B2242" s="4" t="str">
        <f t="shared" si="207"/>
        <v>21636701</v>
      </c>
      <c r="C2242" s="4" t="str">
        <f t="shared" si="208"/>
        <v>GSE27162</v>
      </c>
      <c r="D2242" s="1" t="s">
        <v>163</v>
      </c>
      <c r="E2242" t="s">
        <v>171</v>
      </c>
      <c r="F2242" s="1">
        <v>2</v>
      </c>
      <c r="G2242" s="1" t="s">
        <v>173</v>
      </c>
      <c r="H2242" s="4" t="str">
        <f>HYPERLINK("https://www.ncbi.nlm.nih.gov/geo/query/acc.cgi?acc=GSM671448","GSM671448")</f>
        <v>GSM671448</v>
      </c>
      <c r="I2242" t="s">
        <v>165</v>
      </c>
      <c r="J2242" t="s">
        <v>18</v>
      </c>
      <c r="K2242" t="s">
        <v>19</v>
      </c>
      <c r="L2242" t="s">
        <v>166</v>
      </c>
      <c r="M2242" t="s">
        <v>24</v>
      </c>
      <c r="N2242" t="s">
        <v>22</v>
      </c>
    </row>
    <row r="2243" spans="1:14">
      <c r="A2243" s="4" t="str">
        <f t="shared" si="209"/>
        <v>EXP00065</v>
      </c>
      <c r="B2243" s="4" t="str">
        <f t="shared" si="207"/>
        <v>21636701</v>
      </c>
      <c r="C2243" s="4" t="str">
        <f t="shared" si="208"/>
        <v>GSE27162</v>
      </c>
      <c r="D2243" s="1" t="s">
        <v>163</v>
      </c>
      <c r="E2243" t="s">
        <v>171</v>
      </c>
      <c r="F2243" s="1">
        <v>2</v>
      </c>
      <c r="G2243" s="1" t="s">
        <v>173</v>
      </c>
      <c r="H2243" s="4" t="str">
        <f>HYPERLINK("https://www.ncbi.nlm.nih.gov/geo/query/acc.cgi?acc=GSM671449","GSM671449")</f>
        <v>GSM671449</v>
      </c>
      <c r="I2243" t="s">
        <v>165</v>
      </c>
      <c r="J2243" t="s">
        <v>18</v>
      </c>
      <c r="K2243" t="s">
        <v>19</v>
      </c>
      <c r="L2243" t="s">
        <v>166</v>
      </c>
      <c r="M2243" t="s">
        <v>24</v>
      </c>
      <c r="N2243" t="s">
        <v>22</v>
      </c>
    </row>
    <row r="2244" spans="1:14">
      <c r="A2244" s="4" t="str">
        <f t="shared" si="209"/>
        <v>EXP00065</v>
      </c>
      <c r="B2244" s="4" t="str">
        <f t="shared" si="207"/>
        <v>21636701</v>
      </c>
      <c r="C2244" s="4" t="str">
        <f t="shared" si="208"/>
        <v>GSE27162</v>
      </c>
      <c r="D2244" s="1" t="s">
        <v>163</v>
      </c>
      <c r="E2244" t="s">
        <v>171</v>
      </c>
      <c r="F2244" s="1">
        <v>2</v>
      </c>
      <c r="G2244" s="1" t="s">
        <v>173</v>
      </c>
      <c r="H2244" s="4" t="str">
        <f>HYPERLINK("https://www.ncbi.nlm.nih.gov/geo/query/acc.cgi?acc=GSM671450","GSM671450")</f>
        <v>GSM671450</v>
      </c>
      <c r="I2244" t="s">
        <v>165</v>
      </c>
      <c r="J2244" t="s">
        <v>18</v>
      </c>
      <c r="K2244" t="s">
        <v>19</v>
      </c>
      <c r="L2244" t="s">
        <v>166</v>
      </c>
      <c r="M2244" t="s">
        <v>24</v>
      </c>
      <c r="N2244" t="s">
        <v>22</v>
      </c>
    </row>
    <row r="2245" spans="1:14">
      <c r="A2245" s="4" t="str">
        <f t="shared" si="209"/>
        <v>EXP00065</v>
      </c>
      <c r="B2245" s="4" t="str">
        <f t="shared" si="207"/>
        <v>21636701</v>
      </c>
      <c r="C2245" s="4" t="str">
        <f t="shared" si="208"/>
        <v>GSE27162</v>
      </c>
      <c r="D2245" s="1" t="s">
        <v>163</v>
      </c>
      <c r="E2245" t="s">
        <v>171</v>
      </c>
      <c r="F2245" s="1">
        <v>2</v>
      </c>
      <c r="G2245" s="1" t="s">
        <v>173</v>
      </c>
      <c r="H2245" s="4" t="str">
        <f>HYPERLINK("https://www.ncbi.nlm.nih.gov/geo/query/acc.cgi?acc=GSM671451","GSM671451")</f>
        <v>GSM671451</v>
      </c>
      <c r="I2245" t="s">
        <v>165</v>
      </c>
      <c r="J2245" t="s">
        <v>18</v>
      </c>
      <c r="K2245" t="s">
        <v>19</v>
      </c>
      <c r="L2245" t="s">
        <v>166</v>
      </c>
      <c r="M2245" t="s">
        <v>24</v>
      </c>
      <c r="N2245" t="s">
        <v>22</v>
      </c>
    </row>
    <row r="2246" spans="1:14">
      <c r="A2246" s="4" t="str">
        <f t="shared" si="209"/>
        <v>EXP00065</v>
      </c>
      <c r="B2246" s="4" t="str">
        <f t="shared" ref="B2246:B2277" si="210">HYPERLINK("https://www.ncbi.nlm.nih.gov/pubmed/21636701","21636701")</f>
        <v>21636701</v>
      </c>
      <c r="C2246" s="4" t="str">
        <f t="shared" ref="C2246:C2277" si="211">HYPERLINK("https://www.ncbi.nlm.nih.gov/geo/query/acc.cgi?acc=GSE27162","GSE27162")</f>
        <v>GSE27162</v>
      </c>
      <c r="D2246" s="1" t="s">
        <v>163</v>
      </c>
      <c r="E2246" t="s">
        <v>171</v>
      </c>
      <c r="F2246" s="1">
        <v>2</v>
      </c>
      <c r="G2246" s="1" t="s">
        <v>173</v>
      </c>
      <c r="H2246" s="4" t="str">
        <f>HYPERLINK("https://www.ncbi.nlm.nih.gov/geo/query/acc.cgi?acc=GSM671452","GSM671452")</f>
        <v>GSM671452</v>
      </c>
      <c r="I2246" t="s">
        <v>165</v>
      </c>
      <c r="J2246" t="s">
        <v>18</v>
      </c>
      <c r="K2246" t="s">
        <v>19</v>
      </c>
      <c r="L2246" t="s">
        <v>166</v>
      </c>
      <c r="M2246" t="s">
        <v>24</v>
      </c>
      <c r="N2246" t="s">
        <v>22</v>
      </c>
    </row>
    <row r="2247" spans="1:14">
      <c r="A2247" s="4" t="str">
        <f t="shared" si="209"/>
        <v>EXP00065</v>
      </c>
      <c r="B2247" s="4" t="str">
        <f t="shared" si="210"/>
        <v>21636701</v>
      </c>
      <c r="C2247" s="4" t="str">
        <f t="shared" si="211"/>
        <v>GSE27162</v>
      </c>
      <c r="D2247" s="1" t="s">
        <v>163</v>
      </c>
      <c r="E2247" t="s">
        <v>171</v>
      </c>
      <c r="F2247" s="1">
        <v>2</v>
      </c>
      <c r="G2247" s="1" t="s">
        <v>173</v>
      </c>
      <c r="H2247" s="4" t="str">
        <f>HYPERLINK("https://www.ncbi.nlm.nih.gov/geo/query/acc.cgi?acc=GSM671454","GSM671454")</f>
        <v>GSM671454</v>
      </c>
      <c r="I2247" t="s">
        <v>165</v>
      </c>
      <c r="J2247" t="s">
        <v>18</v>
      </c>
      <c r="K2247" t="s">
        <v>19</v>
      </c>
      <c r="L2247" t="s">
        <v>166</v>
      </c>
      <c r="M2247" t="s">
        <v>24</v>
      </c>
      <c r="N2247" t="s">
        <v>22</v>
      </c>
    </row>
    <row r="2248" spans="1:14">
      <c r="A2248" s="4" t="str">
        <f t="shared" ref="A2248:A2286" si="212">HYPERLINK("http://hcmdb.i-sanger.com/experiment/details/experiment_id/EXP00066","EXP00066")</f>
        <v>EXP00066</v>
      </c>
      <c r="B2248" s="4" t="str">
        <f t="shared" si="210"/>
        <v>21636701</v>
      </c>
      <c r="C2248" s="4" t="str">
        <f t="shared" si="211"/>
        <v>GSE27162</v>
      </c>
      <c r="D2248" s="1" t="s">
        <v>163</v>
      </c>
      <c r="E2248" t="s">
        <v>174</v>
      </c>
      <c r="F2248" s="1">
        <v>1</v>
      </c>
      <c r="G2248" s="1" t="s">
        <v>26</v>
      </c>
      <c r="H2248" s="4" t="str">
        <f>HYPERLINK("https://www.ncbi.nlm.nih.gov/geo/query/acc.cgi?acc=GSM671438","GSM671438")</f>
        <v>GSM671438</v>
      </c>
      <c r="I2248" t="s">
        <v>165</v>
      </c>
      <c r="J2248" t="s">
        <v>18</v>
      </c>
      <c r="K2248" t="s">
        <v>19</v>
      </c>
      <c r="L2248" t="s">
        <v>166</v>
      </c>
      <c r="M2248" t="s">
        <v>24</v>
      </c>
      <c r="N2248" t="s">
        <v>22</v>
      </c>
    </row>
    <row r="2249" spans="1:14">
      <c r="A2249" s="4" t="str">
        <f t="shared" si="212"/>
        <v>EXP00066</v>
      </c>
      <c r="B2249" s="4" t="str">
        <f t="shared" si="210"/>
        <v>21636701</v>
      </c>
      <c r="C2249" s="4" t="str">
        <f t="shared" si="211"/>
        <v>GSE27162</v>
      </c>
      <c r="D2249" s="1" t="s">
        <v>163</v>
      </c>
      <c r="E2249" t="s">
        <v>174</v>
      </c>
      <c r="F2249" s="1">
        <v>1</v>
      </c>
      <c r="G2249" s="1" t="s">
        <v>26</v>
      </c>
      <c r="H2249" s="4" t="str">
        <f>HYPERLINK("https://www.ncbi.nlm.nih.gov/geo/query/acc.cgi?acc=GSM671439","GSM671439")</f>
        <v>GSM671439</v>
      </c>
      <c r="I2249" t="s">
        <v>165</v>
      </c>
      <c r="J2249" t="s">
        <v>18</v>
      </c>
      <c r="K2249" t="s">
        <v>19</v>
      </c>
      <c r="L2249" t="s">
        <v>166</v>
      </c>
      <c r="M2249" t="s">
        <v>24</v>
      </c>
      <c r="N2249" t="s">
        <v>22</v>
      </c>
    </row>
    <row r="2250" spans="1:14">
      <c r="A2250" s="4" t="str">
        <f t="shared" si="212"/>
        <v>EXP00066</v>
      </c>
      <c r="B2250" s="4" t="str">
        <f t="shared" si="210"/>
        <v>21636701</v>
      </c>
      <c r="C2250" s="4" t="str">
        <f t="shared" si="211"/>
        <v>GSE27162</v>
      </c>
      <c r="D2250" s="1" t="s">
        <v>163</v>
      </c>
      <c r="E2250" t="s">
        <v>174</v>
      </c>
      <c r="F2250" s="1">
        <v>1</v>
      </c>
      <c r="G2250" s="1" t="s">
        <v>26</v>
      </c>
      <c r="H2250" s="4" t="str">
        <f>HYPERLINK("https://www.ncbi.nlm.nih.gov/geo/query/acc.cgi?acc=GSM671440","GSM671440")</f>
        <v>GSM671440</v>
      </c>
      <c r="I2250" t="s">
        <v>165</v>
      </c>
      <c r="J2250" t="s">
        <v>18</v>
      </c>
      <c r="K2250" t="s">
        <v>19</v>
      </c>
      <c r="L2250" t="s">
        <v>166</v>
      </c>
      <c r="M2250" t="s">
        <v>24</v>
      </c>
      <c r="N2250" t="s">
        <v>22</v>
      </c>
    </row>
    <row r="2251" spans="1:14">
      <c r="A2251" s="4" t="str">
        <f t="shared" si="212"/>
        <v>EXP00066</v>
      </c>
      <c r="B2251" s="4" t="str">
        <f t="shared" si="210"/>
        <v>21636701</v>
      </c>
      <c r="C2251" s="4" t="str">
        <f t="shared" si="211"/>
        <v>GSE27162</v>
      </c>
      <c r="D2251" s="1" t="s">
        <v>163</v>
      </c>
      <c r="E2251" t="s">
        <v>174</v>
      </c>
      <c r="F2251" s="1">
        <v>1</v>
      </c>
      <c r="G2251" s="1" t="s">
        <v>26</v>
      </c>
      <c r="H2251" s="4" t="str">
        <f>HYPERLINK("https://www.ncbi.nlm.nih.gov/geo/query/acc.cgi?acc=GSM671441","GSM671441")</f>
        <v>GSM671441</v>
      </c>
      <c r="I2251" t="s">
        <v>165</v>
      </c>
      <c r="J2251" t="s">
        <v>18</v>
      </c>
      <c r="K2251" t="s">
        <v>19</v>
      </c>
      <c r="L2251" t="s">
        <v>166</v>
      </c>
      <c r="M2251" t="s">
        <v>24</v>
      </c>
      <c r="N2251" t="s">
        <v>22</v>
      </c>
    </row>
    <row r="2252" spans="1:14">
      <c r="A2252" s="4" t="str">
        <f t="shared" si="212"/>
        <v>EXP00066</v>
      </c>
      <c r="B2252" s="4" t="str">
        <f t="shared" si="210"/>
        <v>21636701</v>
      </c>
      <c r="C2252" s="4" t="str">
        <f t="shared" si="211"/>
        <v>GSE27162</v>
      </c>
      <c r="D2252" s="1" t="s">
        <v>163</v>
      </c>
      <c r="E2252" t="s">
        <v>174</v>
      </c>
      <c r="F2252" s="1">
        <v>1</v>
      </c>
      <c r="G2252" s="1" t="s">
        <v>26</v>
      </c>
      <c r="H2252" s="4" t="str">
        <f>HYPERLINK("https://www.ncbi.nlm.nih.gov/geo/query/acc.cgi?acc=GSM671442","GSM671442")</f>
        <v>GSM671442</v>
      </c>
      <c r="I2252" t="s">
        <v>165</v>
      </c>
      <c r="J2252" t="s">
        <v>18</v>
      </c>
      <c r="K2252" t="s">
        <v>19</v>
      </c>
      <c r="L2252" t="s">
        <v>166</v>
      </c>
      <c r="M2252" t="s">
        <v>24</v>
      </c>
      <c r="N2252" t="s">
        <v>22</v>
      </c>
    </row>
    <row r="2253" spans="1:14">
      <c r="A2253" s="4" t="str">
        <f t="shared" si="212"/>
        <v>EXP00066</v>
      </c>
      <c r="B2253" s="4" t="str">
        <f t="shared" si="210"/>
        <v>21636701</v>
      </c>
      <c r="C2253" s="4" t="str">
        <f t="shared" si="211"/>
        <v>GSE27162</v>
      </c>
      <c r="D2253" s="1" t="s">
        <v>163</v>
      </c>
      <c r="E2253" t="s">
        <v>174</v>
      </c>
      <c r="F2253" s="1">
        <v>1</v>
      </c>
      <c r="G2253" s="1" t="s">
        <v>26</v>
      </c>
      <c r="H2253" s="4" t="str">
        <f>HYPERLINK("https://www.ncbi.nlm.nih.gov/geo/query/acc.cgi?acc=GSM671443","GSM671443")</f>
        <v>GSM671443</v>
      </c>
      <c r="I2253" t="s">
        <v>165</v>
      </c>
      <c r="J2253" t="s">
        <v>18</v>
      </c>
      <c r="K2253" t="s">
        <v>19</v>
      </c>
      <c r="L2253" t="s">
        <v>166</v>
      </c>
      <c r="M2253" t="s">
        <v>24</v>
      </c>
      <c r="N2253" t="s">
        <v>22</v>
      </c>
    </row>
    <row r="2254" spans="1:14">
      <c r="A2254" s="4" t="str">
        <f t="shared" si="212"/>
        <v>EXP00066</v>
      </c>
      <c r="B2254" s="4" t="str">
        <f t="shared" si="210"/>
        <v>21636701</v>
      </c>
      <c r="C2254" s="4" t="str">
        <f t="shared" si="211"/>
        <v>GSE27162</v>
      </c>
      <c r="D2254" s="1" t="s">
        <v>163</v>
      </c>
      <c r="E2254" t="s">
        <v>174</v>
      </c>
      <c r="F2254" s="1">
        <v>1</v>
      </c>
      <c r="G2254" s="1" t="s">
        <v>26</v>
      </c>
      <c r="H2254" s="4" t="str">
        <f>HYPERLINK("https://www.ncbi.nlm.nih.gov/geo/query/acc.cgi?acc=GSM671444","GSM671444")</f>
        <v>GSM671444</v>
      </c>
      <c r="I2254" t="s">
        <v>165</v>
      </c>
      <c r="J2254" t="s">
        <v>18</v>
      </c>
      <c r="K2254" t="s">
        <v>19</v>
      </c>
      <c r="L2254" t="s">
        <v>166</v>
      </c>
      <c r="M2254" t="s">
        <v>24</v>
      </c>
      <c r="N2254" t="s">
        <v>22</v>
      </c>
    </row>
    <row r="2255" spans="1:14">
      <c r="A2255" s="4" t="str">
        <f t="shared" si="212"/>
        <v>EXP00066</v>
      </c>
      <c r="B2255" s="4" t="str">
        <f t="shared" si="210"/>
        <v>21636701</v>
      </c>
      <c r="C2255" s="4" t="str">
        <f t="shared" si="211"/>
        <v>GSE27162</v>
      </c>
      <c r="D2255" s="1" t="s">
        <v>163</v>
      </c>
      <c r="E2255" t="s">
        <v>174</v>
      </c>
      <c r="F2255" s="1">
        <v>1</v>
      </c>
      <c r="G2255" s="1" t="s">
        <v>26</v>
      </c>
      <c r="H2255" s="4" t="str">
        <f>HYPERLINK("https://www.ncbi.nlm.nih.gov/geo/query/acc.cgi?acc=GSM671445","GSM671445")</f>
        <v>GSM671445</v>
      </c>
      <c r="I2255" t="s">
        <v>165</v>
      </c>
      <c r="J2255" t="s">
        <v>18</v>
      </c>
      <c r="K2255" t="s">
        <v>19</v>
      </c>
      <c r="L2255" t="s">
        <v>166</v>
      </c>
      <c r="M2255" t="s">
        <v>24</v>
      </c>
      <c r="N2255" t="s">
        <v>22</v>
      </c>
    </row>
    <row r="2256" spans="1:14">
      <c r="A2256" s="4" t="str">
        <f t="shared" si="212"/>
        <v>EXP00066</v>
      </c>
      <c r="B2256" s="4" t="str">
        <f t="shared" si="210"/>
        <v>21636701</v>
      </c>
      <c r="C2256" s="4" t="str">
        <f t="shared" si="211"/>
        <v>GSE27162</v>
      </c>
      <c r="D2256" s="1" t="s">
        <v>163</v>
      </c>
      <c r="E2256" t="s">
        <v>174</v>
      </c>
      <c r="F2256" s="1">
        <v>1</v>
      </c>
      <c r="G2256" s="1" t="s">
        <v>26</v>
      </c>
      <c r="H2256" s="4" t="str">
        <f>HYPERLINK("https://www.ncbi.nlm.nih.gov/geo/query/acc.cgi?acc=GSM671446","GSM671446")</f>
        <v>GSM671446</v>
      </c>
      <c r="I2256" t="s">
        <v>165</v>
      </c>
      <c r="J2256" t="s">
        <v>18</v>
      </c>
      <c r="K2256" t="s">
        <v>19</v>
      </c>
      <c r="L2256" t="s">
        <v>166</v>
      </c>
      <c r="M2256" t="s">
        <v>24</v>
      </c>
      <c r="N2256" t="s">
        <v>22</v>
      </c>
    </row>
    <row r="2257" spans="1:14">
      <c r="A2257" s="4" t="str">
        <f t="shared" si="212"/>
        <v>EXP00066</v>
      </c>
      <c r="B2257" s="4" t="str">
        <f t="shared" si="210"/>
        <v>21636701</v>
      </c>
      <c r="C2257" s="4" t="str">
        <f t="shared" si="211"/>
        <v>GSE27162</v>
      </c>
      <c r="D2257" s="1" t="s">
        <v>163</v>
      </c>
      <c r="E2257" t="s">
        <v>174</v>
      </c>
      <c r="F2257" s="1">
        <v>1</v>
      </c>
      <c r="G2257" s="1" t="s">
        <v>26</v>
      </c>
      <c r="H2257" s="4" t="str">
        <f>HYPERLINK("https://www.ncbi.nlm.nih.gov/geo/query/acc.cgi?acc=GSM671447","GSM671447")</f>
        <v>GSM671447</v>
      </c>
      <c r="I2257" t="s">
        <v>165</v>
      </c>
      <c r="J2257" t="s">
        <v>18</v>
      </c>
      <c r="K2257" t="s">
        <v>19</v>
      </c>
      <c r="L2257" t="s">
        <v>166</v>
      </c>
      <c r="M2257" t="s">
        <v>24</v>
      </c>
      <c r="N2257" t="s">
        <v>22</v>
      </c>
    </row>
    <row r="2258" spans="1:14">
      <c r="A2258" s="4" t="str">
        <f t="shared" si="212"/>
        <v>EXP00066</v>
      </c>
      <c r="B2258" s="4" t="str">
        <f t="shared" si="210"/>
        <v>21636701</v>
      </c>
      <c r="C2258" s="4" t="str">
        <f t="shared" si="211"/>
        <v>GSE27162</v>
      </c>
      <c r="D2258" s="1" t="s">
        <v>163</v>
      </c>
      <c r="E2258" t="s">
        <v>174</v>
      </c>
      <c r="F2258" s="1">
        <v>1</v>
      </c>
      <c r="G2258" s="1" t="s">
        <v>26</v>
      </c>
      <c r="H2258" s="4" t="str">
        <f>HYPERLINK("https://www.ncbi.nlm.nih.gov/geo/query/acc.cgi?acc=GSM671448","GSM671448")</f>
        <v>GSM671448</v>
      </c>
      <c r="I2258" t="s">
        <v>165</v>
      </c>
      <c r="J2258" t="s">
        <v>18</v>
      </c>
      <c r="K2258" t="s">
        <v>19</v>
      </c>
      <c r="L2258" t="s">
        <v>166</v>
      </c>
      <c r="M2258" t="s">
        <v>24</v>
      </c>
      <c r="N2258" t="s">
        <v>22</v>
      </c>
    </row>
    <row r="2259" spans="1:14">
      <c r="A2259" s="4" t="str">
        <f t="shared" si="212"/>
        <v>EXP00066</v>
      </c>
      <c r="B2259" s="4" t="str">
        <f t="shared" si="210"/>
        <v>21636701</v>
      </c>
      <c r="C2259" s="4" t="str">
        <f t="shared" si="211"/>
        <v>GSE27162</v>
      </c>
      <c r="D2259" s="1" t="s">
        <v>163</v>
      </c>
      <c r="E2259" t="s">
        <v>174</v>
      </c>
      <c r="F2259" s="1">
        <v>1</v>
      </c>
      <c r="G2259" s="1" t="s">
        <v>26</v>
      </c>
      <c r="H2259" s="4" t="str">
        <f>HYPERLINK("https://www.ncbi.nlm.nih.gov/geo/query/acc.cgi?acc=GSM671449","GSM671449")</f>
        <v>GSM671449</v>
      </c>
      <c r="I2259" t="s">
        <v>165</v>
      </c>
      <c r="J2259" t="s">
        <v>18</v>
      </c>
      <c r="K2259" t="s">
        <v>19</v>
      </c>
      <c r="L2259" t="s">
        <v>166</v>
      </c>
      <c r="M2259" t="s">
        <v>24</v>
      </c>
      <c r="N2259" t="s">
        <v>22</v>
      </c>
    </row>
    <row r="2260" spans="1:14">
      <c r="A2260" s="4" t="str">
        <f t="shared" si="212"/>
        <v>EXP00066</v>
      </c>
      <c r="B2260" s="4" t="str">
        <f t="shared" si="210"/>
        <v>21636701</v>
      </c>
      <c r="C2260" s="4" t="str">
        <f t="shared" si="211"/>
        <v>GSE27162</v>
      </c>
      <c r="D2260" s="1" t="s">
        <v>163</v>
      </c>
      <c r="E2260" t="s">
        <v>174</v>
      </c>
      <c r="F2260" s="1">
        <v>1</v>
      </c>
      <c r="G2260" s="1" t="s">
        <v>26</v>
      </c>
      <c r="H2260" s="4" t="str">
        <f>HYPERLINK("https://www.ncbi.nlm.nih.gov/geo/query/acc.cgi?acc=GSM671450","GSM671450")</f>
        <v>GSM671450</v>
      </c>
      <c r="I2260" t="s">
        <v>165</v>
      </c>
      <c r="J2260" t="s">
        <v>18</v>
      </c>
      <c r="K2260" t="s">
        <v>19</v>
      </c>
      <c r="L2260" t="s">
        <v>166</v>
      </c>
      <c r="M2260" t="s">
        <v>24</v>
      </c>
      <c r="N2260" t="s">
        <v>22</v>
      </c>
    </row>
    <row r="2261" spans="1:14">
      <c r="A2261" s="4" t="str">
        <f t="shared" si="212"/>
        <v>EXP00066</v>
      </c>
      <c r="B2261" s="4" t="str">
        <f t="shared" si="210"/>
        <v>21636701</v>
      </c>
      <c r="C2261" s="4" t="str">
        <f t="shared" si="211"/>
        <v>GSE27162</v>
      </c>
      <c r="D2261" s="1" t="s">
        <v>163</v>
      </c>
      <c r="E2261" t="s">
        <v>174</v>
      </c>
      <c r="F2261" s="1">
        <v>1</v>
      </c>
      <c r="G2261" s="1" t="s">
        <v>26</v>
      </c>
      <c r="H2261" s="4" t="str">
        <f>HYPERLINK("https://www.ncbi.nlm.nih.gov/geo/query/acc.cgi?acc=GSM671451","GSM671451")</f>
        <v>GSM671451</v>
      </c>
      <c r="I2261" t="s">
        <v>165</v>
      </c>
      <c r="J2261" t="s">
        <v>18</v>
      </c>
      <c r="K2261" t="s">
        <v>19</v>
      </c>
      <c r="L2261" t="s">
        <v>166</v>
      </c>
      <c r="M2261" t="s">
        <v>24</v>
      </c>
      <c r="N2261" t="s">
        <v>22</v>
      </c>
    </row>
    <row r="2262" spans="1:14">
      <c r="A2262" s="4" t="str">
        <f t="shared" si="212"/>
        <v>EXP00066</v>
      </c>
      <c r="B2262" s="4" t="str">
        <f t="shared" si="210"/>
        <v>21636701</v>
      </c>
      <c r="C2262" s="4" t="str">
        <f t="shared" si="211"/>
        <v>GSE27162</v>
      </c>
      <c r="D2262" s="1" t="s">
        <v>163</v>
      </c>
      <c r="E2262" t="s">
        <v>174</v>
      </c>
      <c r="F2262" s="1">
        <v>1</v>
      </c>
      <c r="G2262" s="1" t="s">
        <v>26</v>
      </c>
      <c r="H2262" s="4" t="str">
        <f>HYPERLINK("https://www.ncbi.nlm.nih.gov/geo/query/acc.cgi?acc=GSM671452","GSM671452")</f>
        <v>GSM671452</v>
      </c>
      <c r="I2262" t="s">
        <v>165</v>
      </c>
      <c r="J2262" t="s">
        <v>18</v>
      </c>
      <c r="K2262" t="s">
        <v>19</v>
      </c>
      <c r="L2262" t="s">
        <v>166</v>
      </c>
      <c r="M2262" t="s">
        <v>24</v>
      </c>
      <c r="N2262" t="s">
        <v>22</v>
      </c>
    </row>
    <row r="2263" spans="1:14">
      <c r="A2263" s="4" t="str">
        <f t="shared" si="212"/>
        <v>EXP00066</v>
      </c>
      <c r="B2263" s="4" t="str">
        <f t="shared" si="210"/>
        <v>21636701</v>
      </c>
      <c r="C2263" s="4" t="str">
        <f t="shared" si="211"/>
        <v>GSE27162</v>
      </c>
      <c r="D2263" s="1" t="s">
        <v>163</v>
      </c>
      <c r="E2263" t="s">
        <v>174</v>
      </c>
      <c r="F2263" s="1">
        <v>1</v>
      </c>
      <c r="G2263" s="1" t="s">
        <v>26</v>
      </c>
      <c r="H2263" s="4" t="str">
        <f>HYPERLINK("https://www.ncbi.nlm.nih.gov/geo/query/acc.cgi?acc=GSM671454","GSM671454")</f>
        <v>GSM671454</v>
      </c>
      <c r="I2263" t="s">
        <v>165</v>
      </c>
      <c r="J2263" t="s">
        <v>18</v>
      </c>
      <c r="K2263" t="s">
        <v>19</v>
      </c>
      <c r="L2263" t="s">
        <v>166</v>
      </c>
      <c r="M2263" t="s">
        <v>24</v>
      </c>
      <c r="N2263" t="s">
        <v>22</v>
      </c>
    </row>
    <row r="2264" spans="1:14">
      <c r="A2264" s="4" t="str">
        <f t="shared" si="212"/>
        <v>EXP00066</v>
      </c>
      <c r="B2264" s="4" t="str">
        <f t="shared" si="210"/>
        <v>21636701</v>
      </c>
      <c r="C2264" s="4" t="str">
        <f t="shared" si="211"/>
        <v>GSE27162</v>
      </c>
      <c r="D2264" s="1" t="s">
        <v>163</v>
      </c>
      <c r="E2264" t="s">
        <v>174</v>
      </c>
      <c r="F2264" s="1">
        <v>1</v>
      </c>
      <c r="G2264" s="1" t="s">
        <v>26</v>
      </c>
      <c r="H2264" s="4" t="str">
        <f>HYPERLINK("https://www.ncbi.nlm.nih.gov/geo/query/acc.cgi?acc=GSM671455","GSM671455")</f>
        <v>GSM671455</v>
      </c>
      <c r="I2264" t="s">
        <v>165</v>
      </c>
      <c r="J2264" t="s">
        <v>18</v>
      </c>
      <c r="K2264" t="s">
        <v>19</v>
      </c>
      <c r="L2264" t="s">
        <v>166</v>
      </c>
      <c r="M2264" t="s">
        <v>44</v>
      </c>
      <c r="N2264" t="s">
        <v>22</v>
      </c>
    </row>
    <row r="2265" spans="1:14">
      <c r="A2265" s="4" t="str">
        <f t="shared" si="212"/>
        <v>EXP00066</v>
      </c>
      <c r="B2265" s="4" t="str">
        <f t="shared" si="210"/>
        <v>21636701</v>
      </c>
      <c r="C2265" s="4" t="str">
        <f t="shared" si="211"/>
        <v>GSE27162</v>
      </c>
      <c r="D2265" s="1" t="s">
        <v>163</v>
      </c>
      <c r="E2265" t="s">
        <v>174</v>
      </c>
      <c r="F2265" s="1">
        <v>1</v>
      </c>
      <c r="G2265" s="1" t="s">
        <v>26</v>
      </c>
      <c r="H2265" s="4" t="str">
        <f>HYPERLINK("https://www.ncbi.nlm.nih.gov/geo/query/acc.cgi?acc=GSM671456","GSM671456")</f>
        <v>GSM671456</v>
      </c>
      <c r="I2265" t="s">
        <v>165</v>
      </c>
      <c r="J2265" t="s">
        <v>18</v>
      </c>
      <c r="K2265" t="s">
        <v>19</v>
      </c>
      <c r="L2265" t="s">
        <v>166</v>
      </c>
      <c r="M2265" t="s">
        <v>44</v>
      </c>
      <c r="N2265" t="s">
        <v>22</v>
      </c>
    </row>
    <row r="2266" spans="1:14">
      <c r="A2266" s="4" t="str">
        <f t="shared" si="212"/>
        <v>EXP00066</v>
      </c>
      <c r="B2266" s="4" t="str">
        <f t="shared" si="210"/>
        <v>21636701</v>
      </c>
      <c r="C2266" s="4" t="str">
        <f t="shared" si="211"/>
        <v>GSE27162</v>
      </c>
      <c r="D2266" s="1" t="s">
        <v>163</v>
      </c>
      <c r="E2266" t="s">
        <v>174</v>
      </c>
      <c r="F2266" s="1">
        <v>1</v>
      </c>
      <c r="G2266" s="1" t="s">
        <v>26</v>
      </c>
      <c r="H2266" s="4" t="str">
        <f>HYPERLINK("https://www.ncbi.nlm.nih.gov/geo/query/acc.cgi?acc=GSM671457","GSM671457")</f>
        <v>GSM671457</v>
      </c>
      <c r="I2266" t="s">
        <v>165</v>
      </c>
      <c r="J2266" t="s">
        <v>18</v>
      </c>
      <c r="K2266" t="s">
        <v>19</v>
      </c>
      <c r="L2266" t="s">
        <v>166</v>
      </c>
      <c r="M2266" t="s">
        <v>44</v>
      </c>
      <c r="N2266" t="s">
        <v>22</v>
      </c>
    </row>
    <row r="2267" spans="1:14">
      <c r="A2267" s="4" t="str">
        <f t="shared" si="212"/>
        <v>EXP00066</v>
      </c>
      <c r="B2267" s="4" t="str">
        <f t="shared" si="210"/>
        <v>21636701</v>
      </c>
      <c r="C2267" s="4" t="str">
        <f t="shared" si="211"/>
        <v>GSE27162</v>
      </c>
      <c r="D2267" s="1" t="s">
        <v>163</v>
      </c>
      <c r="E2267" t="s">
        <v>174</v>
      </c>
      <c r="F2267" s="1">
        <v>1</v>
      </c>
      <c r="G2267" s="1" t="s">
        <v>26</v>
      </c>
      <c r="H2267" s="4" t="str">
        <f>HYPERLINK("https://www.ncbi.nlm.nih.gov/geo/query/acc.cgi?acc=GSM671458","GSM671458")</f>
        <v>GSM671458</v>
      </c>
      <c r="I2267" t="s">
        <v>165</v>
      </c>
      <c r="J2267" t="s">
        <v>18</v>
      </c>
      <c r="K2267" t="s">
        <v>19</v>
      </c>
      <c r="L2267" t="s">
        <v>166</v>
      </c>
      <c r="M2267" t="s">
        <v>44</v>
      </c>
      <c r="N2267" t="s">
        <v>22</v>
      </c>
    </row>
    <row r="2268" spans="1:14">
      <c r="A2268" s="4" t="str">
        <f t="shared" si="212"/>
        <v>EXP00066</v>
      </c>
      <c r="B2268" s="4" t="str">
        <f t="shared" si="210"/>
        <v>21636701</v>
      </c>
      <c r="C2268" s="4" t="str">
        <f t="shared" si="211"/>
        <v>GSE27162</v>
      </c>
      <c r="D2268" s="1" t="s">
        <v>163</v>
      </c>
      <c r="E2268" t="s">
        <v>174</v>
      </c>
      <c r="F2268" s="1">
        <v>1</v>
      </c>
      <c r="G2268" s="1" t="s">
        <v>26</v>
      </c>
      <c r="H2268" s="4" t="str">
        <f>HYPERLINK("https://www.ncbi.nlm.nih.gov/geo/query/acc.cgi?acc=GSM671459","GSM671459")</f>
        <v>GSM671459</v>
      </c>
      <c r="I2268" t="s">
        <v>165</v>
      </c>
      <c r="J2268" t="s">
        <v>18</v>
      </c>
      <c r="K2268" t="s">
        <v>19</v>
      </c>
      <c r="L2268" t="s">
        <v>166</v>
      </c>
      <c r="M2268" t="s">
        <v>44</v>
      </c>
      <c r="N2268" t="s">
        <v>22</v>
      </c>
    </row>
    <row r="2269" spans="1:14">
      <c r="A2269" s="4" t="str">
        <f t="shared" si="212"/>
        <v>EXP00066</v>
      </c>
      <c r="B2269" s="4" t="str">
        <f t="shared" si="210"/>
        <v>21636701</v>
      </c>
      <c r="C2269" s="4" t="str">
        <f t="shared" si="211"/>
        <v>GSE27162</v>
      </c>
      <c r="D2269" s="1" t="s">
        <v>163</v>
      </c>
      <c r="E2269" t="s">
        <v>174</v>
      </c>
      <c r="F2269" s="1">
        <v>1</v>
      </c>
      <c r="G2269" s="1" t="s">
        <v>26</v>
      </c>
      <c r="H2269" s="4" t="str">
        <f>HYPERLINK("https://www.ncbi.nlm.nih.gov/geo/query/acc.cgi?acc=GSM671460","GSM671460")</f>
        <v>GSM671460</v>
      </c>
      <c r="I2269" t="s">
        <v>165</v>
      </c>
      <c r="J2269" t="s">
        <v>18</v>
      </c>
      <c r="K2269" t="s">
        <v>19</v>
      </c>
      <c r="L2269" t="s">
        <v>166</v>
      </c>
      <c r="M2269" t="s">
        <v>44</v>
      </c>
      <c r="N2269" t="s">
        <v>22</v>
      </c>
    </row>
    <row r="2270" spans="1:14">
      <c r="A2270" s="4" t="str">
        <f t="shared" si="212"/>
        <v>EXP00066</v>
      </c>
      <c r="B2270" s="4" t="str">
        <f t="shared" si="210"/>
        <v>21636701</v>
      </c>
      <c r="C2270" s="4" t="str">
        <f t="shared" si="211"/>
        <v>GSE27162</v>
      </c>
      <c r="D2270" s="1" t="s">
        <v>163</v>
      </c>
      <c r="E2270" t="s">
        <v>174</v>
      </c>
      <c r="F2270" s="1">
        <v>2</v>
      </c>
      <c r="G2270" s="1" t="s">
        <v>28</v>
      </c>
      <c r="H2270" s="4" t="str">
        <f>HYPERLINK("https://www.ncbi.nlm.nih.gov/geo/query/acc.cgi?acc=GSM671420","GSM671420")</f>
        <v>GSM671420</v>
      </c>
      <c r="I2270" t="s">
        <v>165</v>
      </c>
      <c r="J2270" t="s">
        <v>18</v>
      </c>
      <c r="K2270" t="s">
        <v>19</v>
      </c>
      <c r="L2270" t="s">
        <v>166</v>
      </c>
      <c r="M2270" t="s">
        <v>24</v>
      </c>
      <c r="N2270" t="s">
        <v>29</v>
      </c>
    </row>
    <row r="2271" spans="1:14">
      <c r="A2271" s="4" t="str">
        <f t="shared" si="212"/>
        <v>EXP00066</v>
      </c>
      <c r="B2271" s="4" t="str">
        <f t="shared" si="210"/>
        <v>21636701</v>
      </c>
      <c r="C2271" s="4" t="str">
        <f t="shared" si="211"/>
        <v>GSE27162</v>
      </c>
      <c r="D2271" s="1" t="s">
        <v>163</v>
      </c>
      <c r="E2271" t="s">
        <v>174</v>
      </c>
      <c r="F2271" s="1">
        <v>2</v>
      </c>
      <c r="G2271" s="1" t="s">
        <v>28</v>
      </c>
      <c r="H2271" s="4" t="str">
        <f>HYPERLINK("https://www.ncbi.nlm.nih.gov/geo/query/acc.cgi?acc=GSM671421","GSM671421")</f>
        <v>GSM671421</v>
      </c>
      <c r="I2271" t="s">
        <v>165</v>
      </c>
      <c r="J2271" t="s">
        <v>18</v>
      </c>
      <c r="K2271" t="s">
        <v>19</v>
      </c>
      <c r="L2271" t="s">
        <v>166</v>
      </c>
      <c r="M2271" t="s">
        <v>24</v>
      </c>
      <c r="N2271" t="s">
        <v>29</v>
      </c>
    </row>
    <row r="2272" spans="1:14">
      <c r="A2272" s="4" t="str">
        <f t="shared" si="212"/>
        <v>EXP00066</v>
      </c>
      <c r="B2272" s="4" t="str">
        <f t="shared" si="210"/>
        <v>21636701</v>
      </c>
      <c r="C2272" s="4" t="str">
        <f t="shared" si="211"/>
        <v>GSE27162</v>
      </c>
      <c r="D2272" s="1" t="s">
        <v>163</v>
      </c>
      <c r="E2272" t="s">
        <v>174</v>
      </c>
      <c r="F2272" s="1">
        <v>2</v>
      </c>
      <c r="G2272" s="1" t="s">
        <v>28</v>
      </c>
      <c r="H2272" s="4" t="str">
        <f>HYPERLINK("https://www.ncbi.nlm.nih.gov/geo/query/acc.cgi?acc=GSM671422","GSM671422")</f>
        <v>GSM671422</v>
      </c>
      <c r="I2272" t="s">
        <v>165</v>
      </c>
      <c r="J2272" t="s">
        <v>18</v>
      </c>
      <c r="K2272" t="s">
        <v>19</v>
      </c>
      <c r="L2272" t="s">
        <v>166</v>
      </c>
      <c r="M2272" t="s">
        <v>24</v>
      </c>
      <c r="N2272" t="s">
        <v>29</v>
      </c>
    </row>
    <row r="2273" spans="1:14">
      <c r="A2273" s="4" t="str">
        <f t="shared" si="212"/>
        <v>EXP00066</v>
      </c>
      <c r="B2273" s="4" t="str">
        <f t="shared" si="210"/>
        <v>21636701</v>
      </c>
      <c r="C2273" s="4" t="str">
        <f t="shared" si="211"/>
        <v>GSE27162</v>
      </c>
      <c r="D2273" s="1" t="s">
        <v>163</v>
      </c>
      <c r="E2273" t="s">
        <v>174</v>
      </c>
      <c r="F2273" s="1">
        <v>2</v>
      </c>
      <c r="G2273" s="1" t="s">
        <v>28</v>
      </c>
      <c r="H2273" s="4" t="str">
        <f>HYPERLINK("https://www.ncbi.nlm.nih.gov/geo/query/acc.cgi?acc=GSM671423","GSM671423")</f>
        <v>GSM671423</v>
      </c>
      <c r="I2273" t="s">
        <v>165</v>
      </c>
      <c r="J2273" t="s">
        <v>18</v>
      </c>
      <c r="K2273" t="s">
        <v>19</v>
      </c>
      <c r="L2273" t="s">
        <v>166</v>
      </c>
      <c r="M2273" t="s">
        <v>24</v>
      </c>
      <c r="N2273" t="s">
        <v>29</v>
      </c>
    </row>
    <row r="2274" spans="1:14">
      <c r="A2274" s="4" t="str">
        <f t="shared" si="212"/>
        <v>EXP00066</v>
      </c>
      <c r="B2274" s="4" t="str">
        <f t="shared" si="210"/>
        <v>21636701</v>
      </c>
      <c r="C2274" s="4" t="str">
        <f t="shared" si="211"/>
        <v>GSE27162</v>
      </c>
      <c r="D2274" s="1" t="s">
        <v>163</v>
      </c>
      <c r="E2274" t="s">
        <v>174</v>
      </c>
      <c r="F2274" s="1">
        <v>2</v>
      </c>
      <c r="G2274" s="1" t="s">
        <v>28</v>
      </c>
      <c r="H2274" s="4" t="str">
        <f>HYPERLINK("https://www.ncbi.nlm.nih.gov/geo/query/acc.cgi?acc=GSM671425","GSM671425")</f>
        <v>GSM671425</v>
      </c>
      <c r="I2274" t="s">
        <v>165</v>
      </c>
      <c r="J2274" t="s">
        <v>18</v>
      </c>
      <c r="K2274" t="s">
        <v>19</v>
      </c>
      <c r="L2274" t="s">
        <v>166</v>
      </c>
      <c r="M2274" t="s">
        <v>24</v>
      </c>
      <c r="N2274" t="s">
        <v>29</v>
      </c>
    </row>
    <row r="2275" spans="1:14">
      <c r="A2275" s="4" t="str">
        <f t="shared" si="212"/>
        <v>EXP00066</v>
      </c>
      <c r="B2275" s="4" t="str">
        <f t="shared" si="210"/>
        <v>21636701</v>
      </c>
      <c r="C2275" s="4" t="str">
        <f t="shared" si="211"/>
        <v>GSE27162</v>
      </c>
      <c r="D2275" s="1" t="s">
        <v>163</v>
      </c>
      <c r="E2275" t="s">
        <v>174</v>
      </c>
      <c r="F2275" s="1">
        <v>2</v>
      </c>
      <c r="G2275" s="1" t="s">
        <v>28</v>
      </c>
      <c r="H2275" s="4" t="str">
        <f>HYPERLINK("https://www.ncbi.nlm.nih.gov/geo/query/acc.cgi?acc=GSM671426","GSM671426")</f>
        <v>GSM671426</v>
      </c>
      <c r="I2275" t="s">
        <v>165</v>
      </c>
      <c r="J2275" t="s">
        <v>18</v>
      </c>
      <c r="K2275" t="s">
        <v>19</v>
      </c>
      <c r="L2275" t="s">
        <v>166</v>
      </c>
      <c r="M2275" t="s">
        <v>24</v>
      </c>
      <c r="N2275" t="s">
        <v>29</v>
      </c>
    </row>
    <row r="2276" spans="1:14">
      <c r="A2276" s="4" t="str">
        <f t="shared" si="212"/>
        <v>EXP00066</v>
      </c>
      <c r="B2276" s="4" t="str">
        <f t="shared" si="210"/>
        <v>21636701</v>
      </c>
      <c r="C2276" s="4" t="str">
        <f t="shared" si="211"/>
        <v>GSE27162</v>
      </c>
      <c r="D2276" s="1" t="s">
        <v>163</v>
      </c>
      <c r="E2276" t="s">
        <v>174</v>
      </c>
      <c r="F2276" s="1">
        <v>2</v>
      </c>
      <c r="G2276" s="1" t="s">
        <v>28</v>
      </c>
      <c r="H2276" s="4" t="str">
        <f>HYPERLINK("https://www.ncbi.nlm.nih.gov/geo/query/acc.cgi?acc=GSM671427","GSM671427")</f>
        <v>GSM671427</v>
      </c>
      <c r="I2276" t="s">
        <v>165</v>
      </c>
      <c r="J2276" t="s">
        <v>18</v>
      </c>
      <c r="K2276" t="s">
        <v>19</v>
      </c>
      <c r="L2276" t="s">
        <v>166</v>
      </c>
      <c r="M2276" t="s">
        <v>24</v>
      </c>
      <c r="N2276" t="s">
        <v>29</v>
      </c>
    </row>
    <row r="2277" spans="1:14">
      <c r="A2277" s="4" t="str">
        <f t="shared" si="212"/>
        <v>EXP00066</v>
      </c>
      <c r="B2277" s="4" t="str">
        <f t="shared" si="210"/>
        <v>21636701</v>
      </c>
      <c r="C2277" s="4" t="str">
        <f t="shared" si="211"/>
        <v>GSE27162</v>
      </c>
      <c r="D2277" s="1" t="s">
        <v>163</v>
      </c>
      <c r="E2277" t="s">
        <v>174</v>
      </c>
      <c r="F2277" s="1">
        <v>2</v>
      </c>
      <c r="G2277" s="1" t="s">
        <v>28</v>
      </c>
      <c r="H2277" s="4" t="str">
        <f>HYPERLINK("https://www.ncbi.nlm.nih.gov/geo/query/acc.cgi?acc=GSM671428","GSM671428")</f>
        <v>GSM671428</v>
      </c>
      <c r="I2277" t="s">
        <v>165</v>
      </c>
      <c r="J2277" t="s">
        <v>18</v>
      </c>
      <c r="K2277" t="s">
        <v>19</v>
      </c>
      <c r="L2277" t="s">
        <v>166</v>
      </c>
      <c r="M2277" t="s">
        <v>24</v>
      </c>
      <c r="N2277" t="s">
        <v>29</v>
      </c>
    </row>
    <row r="2278" spans="1:14">
      <c r="A2278" s="4" t="str">
        <f t="shared" si="212"/>
        <v>EXP00066</v>
      </c>
      <c r="B2278" s="4" t="str">
        <f t="shared" ref="B2278:B2286" si="213">HYPERLINK("https://www.ncbi.nlm.nih.gov/pubmed/21636701","21636701")</f>
        <v>21636701</v>
      </c>
      <c r="C2278" s="4" t="str">
        <f t="shared" ref="C2278:C2286" si="214">HYPERLINK("https://www.ncbi.nlm.nih.gov/geo/query/acc.cgi?acc=GSE27162","GSE27162")</f>
        <v>GSE27162</v>
      </c>
      <c r="D2278" s="1" t="s">
        <v>163</v>
      </c>
      <c r="E2278" t="s">
        <v>174</v>
      </c>
      <c r="F2278" s="1">
        <v>2</v>
      </c>
      <c r="G2278" s="1" t="s">
        <v>28</v>
      </c>
      <c r="H2278" s="4" t="str">
        <f>HYPERLINK("https://www.ncbi.nlm.nih.gov/geo/query/acc.cgi?acc=GSM671429","GSM671429")</f>
        <v>GSM671429</v>
      </c>
      <c r="I2278" t="s">
        <v>165</v>
      </c>
      <c r="J2278" t="s">
        <v>18</v>
      </c>
      <c r="K2278" t="s">
        <v>19</v>
      </c>
      <c r="L2278" t="s">
        <v>166</v>
      </c>
      <c r="M2278" t="s">
        <v>24</v>
      </c>
      <c r="N2278" t="s">
        <v>29</v>
      </c>
    </row>
    <row r="2279" spans="1:14">
      <c r="A2279" s="4" t="str">
        <f t="shared" si="212"/>
        <v>EXP00066</v>
      </c>
      <c r="B2279" s="4" t="str">
        <f t="shared" si="213"/>
        <v>21636701</v>
      </c>
      <c r="C2279" s="4" t="str">
        <f t="shared" si="214"/>
        <v>GSE27162</v>
      </c>
      <c r="D2279" s="1" t="s">
        <v>163</v>
      </c>
      <c r="E2279" t="s">
        <v>174</v>
      </c>
      <c r="F2279" s="1">
        <v>2</v>
      </c>
      <c r="G2279" s="1" t="s">
        <v>28</v>
      </c>
      <c r="H2279" s="4" t="str">
        <f>HYPERLINK("https://www.ncbi.nlm.nih.gov/geo/query/acc.cgi?acc=GSM671430","GSM671430")</f>
        <v>GSM671430</v>
      </c>
      <c r="I2279" t="s">
        <v>165</v>
      </c>
      <c r="J2279" t="s">
        <v>18</v>
      </c>
      <c r="K2279" t="s">
        <v>19</v>
      </c>
      <c r="L2279" t="s">
        <v>166</v>
      </c>
      <c r="M2279" t="s">
        <v>169</v>
      </c>
      <c r="N2279" t="s">
        <v>29</v>
      </c>
    </row>
    <row r="2280" spans="1:14">
      <c r="A2280" s="4" t="str">
        <f t="shared" si="212"/>
        <v>EXP00066</v>
      </c>
      <c r="B2280" s="4" t="str">
        <f t="shared" si="213"/>
        <v>21636701</v>
      </c>
      <c r="C2280" s="4" t="str">
        <f t="shared" si="214"/>
        <v>GSE27162</v>
      </c>
      <c r="D2280" s="1" t="s">
        <v>163</v>
      </c>
      <c r="E2280" t="s">
        <v>174</v>
      </c>
      <c r="F2280" s="1">
        <v>2</v>
      </c>
      <c r="G2280" s="1" t="s">
        <v>28</v>
      </c>
      <c r="H2280" s="4" t="str">
        <f>HYPERLINK("https://www.ncbi.nlm.nih.gov/geo/query/acc.cgi?acc=GSM671431","GSM671431")</f>
        <v>GSM671431</v>
      </c>
      <c r="I2280" t="s">
        <v>165</v>
      </c>
      <c r="J2280" t="s">
        <v>18</v>
      </c>
      <c r="K2280" t="s">
        <v>19</v>
      </c>
      <c r="L2280" t="s">
        <v>166</v>
      </c>
      <c r="M2280" t="s">
        <v>169</v>
      </c>
      <c r="N2280" t="s">
        <v>29</v>
      </c>
    </row>
    <row r="2281" spans="1:14">
      <c r="A2281" s="4" t="str">
        <f t="shared" si="212"/>
        <v>EXP00066</v>
      </c>
      <c r="B2281" s="4" t="str">
        <f t="shared" si="213"/>
        <v>21636701</v>
      </c>
      <c r="C2281" s="4" t="str">
        <f t="shared" si="214"/>
        <v>GSE27162</v>
      </c>
      <c r="D2281" s="1" t="s">
        <v>163</v>
      </c>
      <c r="E2281" t="s">
        <v>174</v>
      </c>
      <c r="F2281" s="1">
        <v>2</v>
      </c>
      <c r="G2281" s="1" t="s">
        <v>28</v>
      </c>
      <c r="H2281" s="4" t="str">
        <f>HYPERLINK("https://www.ncbi.nlm.nih.gov/geo/query/acc.cgi?acc=GSM671432","GSM671432")</f>
        <v>GSM671432</v>
      </c>
      <c r="I2281" t="s">
        <v>165</v>
      </c>
      <c r="J2281" t="s">
        <v>18</v>
      </c>
      <c r="K2281" t="s">
        <v>19</v>
      </c>
      <c r="L2281" t="s">
        <v>166</v>
      </c>
      <c r="M2281" t="s">
        <v>169</v>
      </c>
      <c r="N2281" t="s">
        <v>29</v>
      </c>
    </row>
    <row r="2282" spans="1:14">
      <c r="A2282" s="4" t="str">
        <f t="shared" si="212"/>
        <v>EXP00066</v>
      </c>
      <c r="B2282" s="4" t="str">
        <f t="shared" si="213"/>
        <v>21636701</v>
      </c>
      <c r="C2282" s="4" t="str">
        <f t="shared" si="214"/>
        <v>GSE27162</v>
      </c>
      <c r="D2282" s="1" t="s">
        <v>163</v>
      </c>
      <c r="E2282" t="s">
        <v>174</v>
      </c>
      <c r="F2282" s="1">
        <v>2</v>
      </c>
      <c r="G2282" s="1" t="s">
        <v>28</v>
      </c>
      <c r="H2282" s="4" t="str">
        <f>HYPERLINK("https://www.ncbi.nlm.nih.gov/geo/query/acc.cgi?acc=GSM671433","GSM671433")</f>
        <v>GSM671433</v>
      </c>
      <c r="I2282" t="s">
        <v>165</v>
      </c>
      <c r="J2282" t="s">
        <v>18</v>
      </c>
      <c r="K2282" t="s">
        <v>19</v>
      </c>
      <c r="L2282" t="s">
        <v>166</v>
      </c>
      <c r="M2282" t="s">
        <v>169</v>
      </c>
      <c r="N2282" t="s">
        <v>29</v>
      </c>
    </row>
    <row r="2283" spans="1:14">
      <c r="A2283" s="4" t="str">
        <f t="shared" si="212"/>
        <v>EXP00066</v>
      </c>
      <c r="B2283" s="4" t="str">
        <f t="shared" si="213"/>
        <v>21636701</v>
      </c>
      <c r="C2283" s="4" t="str">
        <f t="shared" si="214"/>
        <v>GSE27162</v>
      </c>
      <c r="D2283" s="1" t="s">
        <v>163</v>
      </c>
      <c r="E2283" t="s">
        <v>174</v>
      </c>
      <c r="F2283" s="1">
        <v>2</v>
      </c>
      <c r="G2283" s="1" t="s">
        <v>28</v>
      </c>
      <c r="H2283" s="4" t="str">
        <f>HYPERLINK("https://www.ncbi.nlm.nih.gov/geo/query/acc.cgi?acc=GSM671434","GSM671434")</f>
        <v>GSM671434</v>
      </c>
      <c r="I2283" t="s">
        <v>165</v>
      </c>
      <c r="J2283" t="s">
        <v>18</v>
      </c>
      <c r="K2283" t="s">
        <v>19</v>
      </c>
      <c r="L2283" t="s">
        <v>166</v>
      </c>
      <c r="M2283" t="s">
        <v>169</v>
      </c>
      <c r="N2283" t="s">
        <v>29</v>
      </c>
    </row>
    <row r="2284" spans="1:14">
      <c r="A2284" s="4" t="str">
        <f t="shared" si="212"/>
        <v>EXP00066</v>
      </c>
      <c r="B2284" s="4" t="str">
        <f t="shared" si="213"/>
        <v>21636701</v>
      </c>
      <c r="C2284" s="4" t="str">
        <f t="shared" si="214"/>
        <v>GSE27162</v>
      </c>
      <c r="D2284" s="1" t="s">
        <v>163</v>
      </c>
      <c r="E2284" t="s">
        <v>174</v>
      </c>
      <c r="F2284" s="1">
        <v>2</v>
      </c>
      <c r="G2284" s="1" t="s">
        <v>28</v>
      </c>
      <c r="H2284" s="4" t="str">
        <f>HYPERLINK("https://www.ncbi.nlm.nih.gov/geo/query/acc.cgi?acc=GSM671435","GSM671435")</f>
        <v>GSM671435</v>
      </c>
      <c r="I2284" t="s">
        <v>165</v>
      </c>
      <c r="J2284" t="s">
        <v>18</v>
      </c>
      <c r="K2284" t="s">
        <v>19</v>
      </c>
      <c r="L2284" t="s">
        <v>166</v>
      </c>
      <c r="M2284" t="s">
        <v>169</v>
      </c>
      <c r="N2284" t="s">
        <v>29</v>
      </c>
    </row>
    <row r="2285" spans="1:14">
      <c r="A2285" s="4" t="str">
        <f t="shared" si="212"/>
        <v>EXP00066</v>
      </c>
      <c r="B2285" s="4" t="str">
        <f t="shared" si="213"/>
        <v>21636701</v>
      </c>
      <c r="C2285" s="4" t="str">
        <f t="shared" si="214"/>
        <v>GSE27162</v>
      </c>
      <c r="D2285" s="1" t="s">
        <v>163</v>
      </c>
      <c r="E2285" t="s">
        <v>174</v>
      </c>
      <c r="F2285" s="1">
        <v>2</v>
      </c>
      <c r="G2285" s="1" t="s">
        <v>28</v>
      </c>
      <c r="H2285" s="4" t="str">
        <f>HYPERLINK("https://www.ncbi.nlm.nih.gov/geo/query/acc.cgi?acc=GSM671436","GSM671436")</f>
        <v>GSM671436</v>
      </c>
      <c r="I2285" t="s">
        <v>165</v>
      </c>
      <c r="J2285" t="s">
        <v>18</v>
      </c>
      <c r="K2285" t="s">
        <v>19</v>
      </c>
      <c r="L2285" t="s">
        <v>166</v>
      </c>
      <c r="M2285" t="s">
        <v>24</v>
      </c>
      <c r="N2285" t="s">
        <v>29</v>
      </c>
    </row>
    <row r="2286" spans="1:14">
      <c r="A2286" s="4" t="str">
        <f t="shared" si="212"/>
        <v>EXP00066</v>
      </c>
      <c r="B2286" s="4" t="str">
        <f t="shared" si="213"/>
        <v>21636701</v>
      </c>
      <c r="C2286" s="4" t="str">
        <f t="shared" si="214"/>
        <v>GSE27162</v>
      </c>
      <c r="D2286" s="1" t="s">
        <v>163</v>
      </c>
      <c r="E2286" t="s">
        <v>174</v>
      </c>
      <c r="F2286" s="1">
        <v>2</v>
      </c>
      <c r="G2286" s="1" t="s">
        <v>28</v>
      </c>
      <c r="H2286" s="4" t="str">
        <f>HYPERLINK("https://www.ncbi.nlm.nih.gov/geo/query/acc.cgi?acc=GSM671437","GSM671437")</f>
        <v>GSM671437</v>
      </c>
      <c r="I2286" t="s">
        <v>165</v>
      </c>
      <c r="J2286" t="s">
        <v>18</v>
      </c>
      <c r="K2286" t="s">
        <v>19</v>
      </c>
      <c r="L2286" t="s">
        <v>166</v>
      </c>
      <c r="M2286" t="s">
        <v>24</v>
      </c>
      <c r="N2286" t="s">
        <v>29</v>
      </c>
    </row>
    <row r="2287" spans="1:14">
      <c r="A2287" s="4" t="str">
        <f t="shared" ref="A2287:A2334" si="215">HYPERLINK("http://hcmdb.i-sanger.com/experiment/details/experiment_id/EXP00067","EXP00067")</f>
        <v>EXP00067</v>
      </c>
      <c r="B2287" s="4" t="str">
        <f t="shared" ref="B2287:B2318" si="216">HYPERLINK("https://www.ncbi.nlm.nih.gov/pubmed/21665914","21665914")</f>
        <v>21665914</v>
      </c>
      <c r="C2287" s="4" t="str">
        <f t="shared" ref="C2287:C2318" si="217">HYPERLINK("https://www.ncbi.nlm.nih.gov/geo/query/acc.cgi?acc=GSE27635","GSE27635")</f>
        <v>GSE27635</v>
      </c>
      <c r="D2287" s="1" t="s">
        <v>175</v>
      </c>
      <c r="E2287" t="s">
        <v>176</v>
      </c>
      <c r="F2287" s="1">
        <v>1</v>
      </c>
      <c r="G2287" s="1" t="s">
        <v>36</v>
      </c>
      <c r="H2287" s="4" t="str">
        <f>HYPERLINK("https://www.ncbi.nlm.nih.gov/geo/query/acc.cgi?acc=GSM684748","GSM684748")</f>
        <v>GSM684748</v>
      </c>
      <c r="I2287" t="s">
        <v>177</v>
      </c>
      <c r="J2287" t="s">
        <v>178</v>
      </c>
      <c r="K2287" t="s">
        <v>19</v>
      </c>
      <c r="L2287" t="s">
        <v>44</v>
      </c>
      <c r="M2287" t="s">
        <v>50</v>
      </c>
      <c r="N2287" t="s">
        <v>37</v>
      </c>
    </row>
    <row r="2288" spans="1:14">
      <c r="A2288" s="4" t="str">
        <f t="shared" si="215"/>
        <v>EXP00067</v>
      </c>
      <c r="B2288" s="4" t="str">
        <f t="shared" si="216"/>
        <v>21665914</v>
      </c>
      <c r="C2288" s="4" t="str">
        <f t="shared" si="217"/>
        <v>GSE27635</v>
      </c>
      <c r="D2288" s="1" t="s">
        <v>175</v>
      </c>
      <c r="E2288" t="s">
        <v>176</v>
      </c>
      <c r="F2288" s="1">
        <v>1</v>
      </c>
      <c r="G2288" s="1" t="s">
        <v>36</v>
      </c>
      <c r="H2288" s="4" t="str">
        <f>HYPERLINK("https://www.ncbi.nlm.nih.gov/geo/query/acc.cgi?acc=GSM684750","GSM684750")</f>
        <v>GSM684750</v>
      </c>
      <c r="I2288" t="s">
        <v>177</v>
      </c>
      <c r="J2288" t="s">
        <v>178</v>
      </c>
      <c r="K2288" t="s">
        <v>19</v>
      </c>
      <c r="L2288" t="s">
        <v>44</v>
      </c>
      <c r="M2288" t="s">
        <v>50</v>
      </c>
      <c r="N2288" t="s">
        <v>37</v>
      </c>
    </row>
    <row r="2289" spans="1:14">
      <c r="A2289" s="4" t="str">
        <f t="shared" si="215"/>
        <v>EXP00067</v>
      </c>
      <c r="B2289" s="4" t="str">
        <f t="shared" si="216"/>
        <v>21665914</v>
      </c>
      <c r="C2289" s="4" t="str">
        <f t="shared" si="217"/>
        <v>GSE27635</v>
      </c>
      <c r="D2289" s="1" t="s">
        <v>175</v>
      </c>
      <c r="E2289" t="s">
        <v>176</v>
      </c>
      <c r="F2289" s="1">
        <v>1</v>
      </c>
      <c r="G2289" s="1" t="s">
        <v>36</v>
      </c>
      <c r="H2289" s="4" t="str">
        <f>HYPERLINK("https://www.ncbi.nlm.nih.gov/geo/query/acc.cgi?acc=GSM684752","GSM684752")</f>
        <v>GSM684752</v>
      </c>
      <c r="I2289" t="s">
        <v>177</v>
      </c>
      <c r="J2289" t="s">
        <v>178</v>
      </c>
      <c r="K2289" t="s">
        <v>19</v>
      </c>
      <c r="L2289" t="s">
        <v>44</v>
      </c>
      <c r="M2289" t="s">
        <v>50</v>
      </c>
      <c r="N2289" t="s">
        <v>37</v>
      </c>
    </row>
    <row r="2290" spans="1:14">
      <c r="A2290" s="4" t="str">
        <f t="shared" si="215"/>
        <v>EXP00067</v>
      </c>
      <c r="B2290" s="4" t="str">
        <f t="shared" si="216"/>
        <v>21665914</v>
      </c>
      <c r="C2290" s="4" t="str">
        <f t="shared" si="217"/>
        <v>GSE27635</v>
      </c>
      <c r="D2290" s="1" t="s">
        <v>175</v>
      </c>
      <c r="E2290" t="s">
        <v>176</v>
      </c>
      <c r="F2290" s="1">
        <v>1</v>
      </c>
      <c r="G2290" s="1" t="s">
        <v>36</v>
      </c>
      <c r="H2290" s="4" t="str">
        <f>HYPERLINK("https://www.ncbi.nlm.nih.gov/geo/query/acc.cgi?acc=GSM684754","GSM684754")</f>
        <v>GSM684754</v>
      </c>
      <c r="I2290" t="s">
        <v>177</v>
      </c>
      <c r="J2290" t="s">
        <v>178</v>
      </c>
      <c r="K2290" t="s">
        <v>19</v>
      </c>
      <c r="L2290" t="s">
        <v>44</v>
      </c>
      <c r="M2290" t="s">
        <v>50</v>
      </c>
      <c r="N2290" t="s">
        <v>37</v>
      </c>
    </row>
    <row r="2291" spans="1:14">
      <c r="A2291" s="4" t="str">
        <f t="shared" si="215"/>
        <v>EXP00067</v>
      </c>
      <c r="B2291" s="4" t="str">
        <f t="shared" si="216"/>
        <v>21665914</v>
      </c>
      <c r="C2291" s="4" t="str">
        <f t="shared" si="217"/>
        <v>GSE27635</v>
      </c>
      <c r="D2291" s="1" t="s">
        <v>175</v>
      </c>
      <c r="E2291" t="s">
        <v>176</v>
      </c>
      <c r="F2291" s="1">
        <v>1</v>
      </c>
      <c r="G2291" s="1" t="s">
        <v>36</v>
      </c>
      <c r="H2291" s="4" t="str">
        <f>HYPERLINK("https://www.ncbi.nlm.nih.gov/geo/query/acc.cgi?acc=GSM684756","GSM684756")</f>
        <v>GSM684756</v>
      </c>
      <c r="I2291" t="s">
        <v>177</v>
      </c>
      <c r="J2291" t="s">
        <v>178</v>
      </c>
      <c r="K2291" t="s">
        <v>19</v>
      </c>
      <c r="L2291" t="s">
        <v>44</v>
      </c>
      <c r="M2291" t="s">
        <v>50</v>
      </c>
      <c r="N2291" t="s">
        <v>37</v>
      </c>
    </row>
    <row r="2292" spans="1:14">
      <c r="A2292" s="4" t="str">
        <f t="shared" si="215"/>
        <v>EXP00067</v>
      </c>
      <c r="B2292" s="4" t="str">
        <f t="shared" si="216"/>
        <v>21665914</v>
      </c>
      <c r="C2292" s="4" t="str">
        <f t="shared" si="217"/>
        <v>GSE27635</v>
      </c>
      <c r="D2292" s="1" t="s">
        <v>175</v>
      </c>
      <c r="E2292" t="s">
        <v>176</v>
      </c>
      <c r="F2292" s="1">
        <v>1</v>
      </c>
      <c r="G2292" s="1" t="s">
        <v>36</v>
      </c>
      <c r="H2292" s="4" t="str">
        <f>HYPERLINK("https://www.ncbi.nlm.nih.gov/geo/query/acc.cgi?acc=GSM684758","GSM684758")</f>
        <v>GSM684758</v>
      </c>
      <c r="I2292" t="s">
        <v>177</v>
      </c>
      <c r="J2292" t="s">
        <v>178</v>
      </c>
      <c r="K2292" t="s">
        <v>19</v>
      </c>
      <c r="L2292" t="s">
        <v>44</v>
      </c>
      <c r="M2292" t="s">
        <v>50</v>
      </c>
      <c r="N2292" t="s">
        <v>37</v>
      </c>
    </row>
    <row r="2293" spans="1:14">
      <c r="A2293" s="4" t="str">
        <f t="shared" si="215"/>
        <v>EXP00067</v>
      </c>
      <c r="B2293" s="4" t="str">
        <f t="shared" si="216"/>
        <v>21665914</v>
      </c>
      <c r="C2293" s="4" t="str">
        <f t="shared" si="217"/>
        <v>GSE27635</v>
      </c>
      <c r="D2293" s="1" t="s">
        <v>175</v>
      </c>
      <c r="E2293" t="s">
        <v>176</v>
      </c>
      <c r="F2293" s="1">
        <v>1</v>
      </c>
      <c r="G2293" s="1" t="s">
        <v>36</v>
      </c>
      <c r="H2293" s="4" t="str">
        <f>HYPERLINK("https://www.ncbi.nlm.nih.gov/geo/query/acc.cgi?acc=GSM684760","GSM684760")</f>
        <v>GSM684760</v>
      </c>
      <c r="I2293" t="s">
        <v>177</v>
      </c>
      <c r="J2293" t="s">
        <v>178</v>
      </c>
      <c r="K2293" t="s">
        <v>19</v>
      </c>
      <c r="L2293" t="s">
        <v>44</v>
      </c>
      <c r="M2293" t="s">
        <v>50</v>
      </c>
      <c r="N2293" t="s">
        <v>37</v>
      </c>
    </row>
    <row r="2294" spans="1:14">
      <c r="A2294" s="4" t="str">
        <f t="shared" si="215"/>
        <v>EXP00067</v>
      </c>
      <c r="B2294" s="4" t="str">
        <f t="shared" si="216"/>
        <v>21665914</v>
      </c>
      <c r="C2294" s="4" t="str">
        <f t="shared" si="217"/>
        <v>GSE27635</v>
      </c>
      <c r="D2294" s="1" t="s">
        <v>175</v>
      </c>
      <c r="E2294" t="s">
        <v>176</v>
      </c>
      <c r="F2294" s="1">
        <v>1</v>
      </c>
      <c r="G2294" s="1" t="s">
        <v>36</v>
      </c>
      <c r="H2294" s="4" t="str">
        <f>HYPERLINK("https://www.ncbi.nlm.nih.gov/geo/query/acc.cgi?acc=GSM684762","GSM684762")</f>
        <v>GSM684762</v>
      </c>
      <c r="I2294" t="s">
        <v>177</v>
      </c>
      <c r="J2294" t="s">
        <v>178</v>
      </c>
      <c r="K2294" t="s">
        <v>19</v>
      </c>
      <c r="L2294" t="s">
        <v>44</v>
      </c>
      <c r="M2294" t="s">
        <v>50</v>
      </c>
      <c r="N2294" t="s">
        <v>37</v>
      </c>
    </row>
    <row r="2295" spans="1:14">
      <c r="A2295" s="4" t="str">
        <f t="shared" si="215"/>
        <v>EXP00067</v>
      </c>
      <c r="B2295" s="4" t="str">
        <f t="shared" si="216"/>
        <v>21665914</v>
      </c>
      <c r="C2295" s="4" t="str">
        <f t="shared" si="217"/>
        <v>GSE27635</v>
      </c>
      <c r="D2295" s="1" t="s">
        <v>175</v>
      </c>
      <c r="E2295" t="s">
        <v>176</v>
      </c>
      <c r="F2295" s="1">
        <v>1</v>
      </c>
      <c r="G2295" s="1" t="s">
        <v>36</v>
      </c>
      <c r="H2295" s="4" t="str">
        <f>HYPERLINK("https://www.ncbi.nlm.nih.gov/geo/query/acc.cgi?acc=GSM684764","GSM684764")</f>
        <v>GSM684764</v>
      </c>
      <c r="I2295" t="s">
        <v>177</v>
      </c>
      <c r="J2295" t="s">
        <v>178</v>
      </c>
      <c r="K2295" t="s">
        <v>19</v>
      </c>
      <c r="L2295" t="s">
        <v>44</v>
      </c>
      <c r="M2295" t="s">
        <v>50</v>
      </c>
      <c r="N2295" t="s">
        <v>37</v>
      </c>
    </row>
    <row r="2296" spans="1:14">
      <c r="A2296" s="4" t="str">
        <f t="shared" si="215"/>
        <v>EXP00067</v>
      </c>
      <c r="B2296" s="4" t="str">
        <f t="shared" si="216"/>
        <v>21665914</v>
      </c>
      <c r="C2296" s="4" t="str">
        <f t="shared" si="217"/>
        <v>GSE27635</v>
      </c>
      <c r="D2296" s="1" t="s">
        <v>175</v>
      </c>
      <c r="E2296" t="s">
        <v>176</v>
      </c>
      <c r="F2296" s="1">
        <v>1</v>
      </c>
      <c r="G2296" s="1" t="s">
        <v>36</v>
      </c>
      <c r="H2296" s="4" t="str">
        <f>HYPERLINK("https://www.ncbi.nlm.nih.gov/geo/query/acc.cgi?acc=GSM684766","GSM684766")</f>
        <v>GSM684766</v>
      </c>
      <c r="I2296" t="s">
        <v>177</v>
      </c>
      <c r="J2296" t="s">
        <v>178</v>
      </c>
      <c r="K2296" t="s">
        <v>19</v>
      </c>
      <c r="L2296" t="s">
        <v>44</v>
      </c>
      <c r="M2296" t="s">
        <v>50</v>
      </c>
      <c r="N2296" t="s">
        <v>37</v>
      </c>
    </row>
    <row r="2297" spans="1:14">
      <c r="A2297" s="4" t="str">
        <f t="shared" si="215"/>
        <v>EXP00067</v>
      </c>
      <c r="B2297" s="4" t="str">
        <f t="shared" si="216"/>
        <v>21665914</v>
      </c>
      <c r="C2297" s="4" t="str">
        <f t="shared" si="217"/>
        <v>GSE27635</v>
      </c>
      <c r="D2297" s="1" t="s">
        <v>175</v>
      </c>
      <c r="E2297" t="s">
        <v>176</v>
      </c>
      <c r="F2297" s="1">
        <v>1</v>
      </c>
      <c r="G2297" s="1" t="s">
        <v>36</v>
      </c>
      <c r="H2297" s="4" t="str">
        <f>HYPERLINK("https://www.ncbi.nlm.nih.gov/geo/query/acc.cgi?acc=GSM684768","GSM684768")</f>
        <v>GSM684768</v>
      </c>
      <c r="I2297" t="s">
        <v>177</v>
      </c>
      <c r="J2297" t="s">
        <v>178</v>
      </c>
      <c r="K2297" t="s">
        <v>19</v>
      </c>
      <c r="L2297" t="s">
        <v>44</v>
      </c>
      <c r="M2297" t="s">
        <v>50</v>
      </c>
      <c r="N2297" t="s">
        <v>37</v>
      </c>
    </row>
    <row r="2298" spans="1:14">
      <c r="A2298" s="4" t="str">
        <f t="shared" si="215"/>
        <v>EXP00067</v>
      </c>
      <c r="B2298" s="4" t="str">
        <f t="shared" si="216"/>
        <v>21665914</v>
      </c>
      <c r="C2298" s="4" t="str">
        <f t="shared" si="217"/>
        <v>GSE27635</v>
      </c>
      <c r="D2298" s="1" t="s">
        <v>175</v>
      </c>
      <c r="E2298" t="s">
        <v>176</v>
      </c>
      <c r="F2298" s="1">
        <v>1</v>
      </c>
      <c r="G2298" s="1" t="s">
        <v>36</v>
      </c>
      <c r="H2298" s="4" t="str">
        <f>HYPERLINK("https://www.ncbi.nlm.nih.gov/geo/query/acc.cgi?acc=GSM684770","GSM684770")</f>
        <v>GSM684770</v>
      </c>
      <c r="I2298" t="s">
        <v>177</v>
      </c>
      <c r="J2298" t="s">
        <v>178</v>
      </c>
      <c r="K2298" t="s">
        <v>19</v>
      </c>
      <c r="L2298" t="s">
        <v>44</v>
      </c>
      <c r="M2298" t="s">
        <v>50</v>
      </c>
      <c r="N2298" t="s">
        <v>37</v>
      </c>
    </row>
    <row r="2299" spans="1:14">
      <c r="A2299" s="4" t="str">
        <f t="shared" si="215"/>
        <v>EXP00067</v>
      </c>
      <c r="B2299" s="4" t="str">
        <f t="shared" si="216"/>
        <v>21665914</v>
      </c>
      <c r="C2299" s="4" t="str">
        <f t="shared" si="217"/>
        <v>GSE27635</v>
      </c>
      <c r="D2299" s="1" t="s">
        <v>175</v>
      </c>
      <c r="E2299" t="s">
        <v>176</v>
      </c>
      <c r="F2299" s="1">
        <v>1</v>
      </c>
      <c r="G2299" s="1" t="s">
        <v>36</v>
      </c>
      <c r="H2299" s="4" t="str">
        <f>HYPERLINK("https://www.ncbi.nlm.nih.gov/geo/query/acc.cgi?acc=GSM684772","GSM684772")</f>
        <v>GSM684772</v>
      </c>
      <c r="I2299" t="s">
        <v>177</v>
      </c>
      <c r="J2299" t="s">
        <v>178</v>
      </c>
      <c r="K2299" t="s">
        <v>19</v>
      </c>
      <c r="L2299" t="s">
        <v>44</v>
      </c>
      <c r="M2299" t="s">
        <v>50</v>
      </c>
      <c r="N2299" t="s">
        <v>37</v>
      </c>
    </row>
    <row r="2300" spans="1:14">
      <c r="A2300" s="4" t="str">
        <f t="shared" si="215"/>
        <v>EXP00067</v>
      </c>
      <c r="B2300" s="4" t="str">
        <f t="shared" si="216"/>
        <v>21665914</v>
      </c>
      <c r="C2300" s="4" t="str">
        <f t="shared" si="217"/>
        <v>GSE27635</v>
      </c>
      <c r="D2300" s="1" t="s">
        <v>175</v>
      </c>
      <c r="E2300" t="s">
        <v>176</v>
      </c>
      <c r="F2300" s="1">
        <v>1</v>
      </c>
      <c r="G2300" s="1" t="s">
        <v>36</v>
      </c>
      <c r="H2300" s="4" t="str">
        <f>HYPERLINK("https://www.ncbi.nlm.nih.gov/geo/query/acc.cgi?acc=GSM684774","GSM684774")</f>
        <v>GSM684774</v>
      </c>
      <c r="I2300" t="s">
        <v>177</v>
      </c>
      <c r="J2300" t="s">
        <v>178</v>
      </c>
      <c r="K2300" t="s">
        <v>19</v>
      </c>
      <c r="L2300" t="s">
        <v>44</v>
      </c>
      <c r="M2300" t="s">
        <v>50</v>
      </c>
      <c r="N2300" t="s">
        <v>37</v>
      </c>
    </row>
    <row r="2301" spans="1:14">
      <c r="A2301" s="4" t="str">
        <f t="shared" si="215"/>
        <v>EXP00067</v>
      </c>
      <c r="B2301" s="4" t="str">
        <f t="shared" si="216"/>
        <v>21665914</v>
      </c>
      <c r="C2301" s="4" t="str">
        <f t="shared" si="217"/>
        <v>GSE27635</v>
      </c>
      <c r="D2301" s="1" t="s">
        <v>175</v>
      </c>
      <c r="E2301" t="s">
        <v>176</v>
      </c>
      <c r="F2301" s="1">
        <v>1</v>
      </c>
      <c r="G2301" s="1" t="s">
        <v>36</v>
      </c>
      <c r="H2301" s="4" t="str">
        <f>HYPERLINK("https://www.ncbi.nlm.nih.gov/geo/query/acc.cgi?acc=GSM684776","GSM684776")</f>
        <v>GSM684776</v>
      </c>
      <c r="I2301" t="s">
        <v>177</v>
      </c>
      <c r="J2301" t="s">
        <v>178</v>
      </c>
      <c r="K2301" t="s">
        <v>19</v>
      </c>
      <c r="L2301" t="s">
        <v>44</v>
      </c>
      <c r="M2301" t="s">
        <v>50</v>
      </c>
      <c r="N2301" t="s">
        <v>37</v>
      </c>
    </row>
    <row r="2302" spans="1:14">
      <c r="A2302" s="4" t="str">
        <f t="shared" si="215"/>
        <v>EXP00067</v>
      </c>
      <c r="B2302" s="4" t="str">
        <f t="shared" si="216"/>
        <v>21665914</v>
      </c>
      <c r="C2302" s="4" t="str">
        <f t="shared" si="217"/>
        <v>GSE27635</v>
      </c>
      <c r="D2302" s="1" t="s">
        <v>175</v>
      </c>
      <c r="E2302" t="s">
        <v>176</v>
      </c>
      <c r="F2302" s="1">
        <v>1</v>
      </c>
      <c r="G2302" s="1" t="s">
        <v>36</v>
      </c>
      <c r="H2302" s="4" t="str">
        <f>HYPERLINK("https://www.ncbi.nlm.nih.gov/geo/query/acc.cgi?acc=GSM684778","GSM684778")</f>
        <v>GSM684778</v>
      </c>
      <c r="I2302" t="s">
        <v>177</v>
      </c>
      <c r="J2302" t="s">
        <v>178</v>
      </c>
      <c r="K2302" t="s">
        <v>19</v>
      </c>
      <c r="L2302" t="s">
        <v>44</v>
      </c>
      <c r="M2302" t="s">
        <v>50</v>
      </c>
      <c r="N2302" t="s">
        <v>37</v>
      </c>
    </row>
    <row r="2303" spans="1:14">
      <c r="A2303" s="4" t="str">
        <f t="shared" si="215"/>
        <v>EXP00067</v>
      </c>
      <c r="B2303" s="4" t="str">
        <f t="shared" si="216"/>
        <v>21665914</v>
      </c>
      <c r="C2303" s="4" t="str">
        <f t="shared" si="217"/>
        <v>GSE27635</v>
      </c>
      <c r="D2303" s="1" t="s">
        <v>175</v>
      </c>
      <c r="E2303" t="s">
        <v>176</v>
      </c>
      <c r="F2303" s="1">
        <v>1</v>
      </c>
      <c r="G2303" s="1" t="s">
        <v>36</v>
      </c>
      <c r="H2303" s="4" t="str">
        <f>HYPERLINK("https://www.ncbi.nlm.nih.gov/geo/query/acc.cgi?acc=GSM684780","GSM684780")</f>
        <v>GSM684780</v>
      </c>
      <c r="I2303" t="s">
        <v>177</v>
      </c>
      <c r="J2303" t="s">
        <v>178</v>
      </c>
      <c r="K2303" t="s">
        <v>19</v>
      </c>
      <c r="L2303" t="s">
        <v>44</v>
      </c>
      <c r="M2303" t="s">
        <v>50</v>
      </c>
      <c r="N2303" t="s">
        <v>37</v>
      </c>
    </row>
    <row r="2304" spans="1:14">
      <c r="A2304" s="4" t="str">
        <f t="shared" si="215"/>
        <v>EXP00067</v>
      </c>
      <c r="B2304" s="4" t="str">
        <f t="shared" si="216"/>
        <v>21665914</v>
      </c>
      <c r="C2304" s="4" t="str">
        <f t="shared" si="217"/>
        <v>GSE27635</v>
      </c>
      <c r="D2304" s="1" t="s">
        <v>175</v>
      </c>
      <c r="E2304" t="s">
        <v>176</v>
      </c>
      <c r="F2304" s="1">
        <v>1</v>
      </c>
      <c r="G2304" s="1" t="s">
        <v>36</v>
      </c>
      <c r="H2304" s="4" t="str">
        <f>HYPERLINK("https://www.ncbi.nlm.nih.gov/geo/query/acc.cgi?acc=GSM684782","GSM684782")</f>
        <v>GSM684782</v>
      </c>
      <c r="I2304" t="s">
        <v>177</v>
      </c>
      <c r="J2304" t="s">
        <v>178</v>
      </c>
      <c r="K2304" t="s">
        <v>19</v>
      </c>
      <c r="L2304" t="s">
        <v>44</v>
      </c>
      <c r="M2304" t="s">
        <v>50</v>
      </c>
      <c r="N2304" t="s">
        <v>37</v>
      </c>
    </row>
    <row r="2305" spans="1:14">
      <c r="A2305" s="4" t="str">
        <f t="shared" si="215"/>
        <v>EXP00067</v>
      </c>
      <c r="B2305" s="4" t="str">
        <f t="shared" si="216"/>
        <v>21665914</v>
      </c>
      <c r="C2305" s="4" t="str">
        <f t="shared" si="217"/>
        <v>GSE27635</v>
      </c>
      <c r="D2305" s="1" t="s">
        <v>175</v>
      </c>
      <c r="E2305" t="s">
        <v>176</v>
      </c>
      <c r="F2305" s="1">
        <v>1</v>
      </c>
      <c r="G2305" s="1" t="s">
        <v>36</v>
      </c>
      <c r="H2305" s="4" t="str">
        <f>HYPERLINK("https://www.ncbi.nlm.nih.gov/geo/query/acc.cgi?acc=GSM684784","GSM684784")</f>
        <v>GSM684784</v>
      </c>
      <c r="I2305" t="s">
        <v>177</v>
      </c>
      <c r="J2305" t="s">
        <v>178</v>
      </c>
      <c r="K2305" t="s">
        <v>19</v>
      </c>
      <c r="L2305" t="s">
        <v>44</v>
      </c>
      <c r="M2305" t="s">
        <v>50</v>
      </c>
      <c r="N2305" t="s">
        <v>37</v>
      </c>
    </row>
    <row r="2306" spans="1:14">
      <c r="A2306" s="4" t="str">
        <f t="shared" si="215"/>
        <v>EXP00067</v>
      </c>
      <c r="B2306" s="4" t="str">
        <f t="shared" si="216"/>
        <v>21665914</v>
      </c>
      <c r="C2306" s="4" t="str">
        <f t="shared" si="217"/>
        <v>GSE27635</v>
      </c>
      <c r="D2306" s="1" t="s">
        <v>175</v>
      </c>
      <c r="E2306" t="s">
        <v>176</v>
      </c>
      <c r="F2306" s="1">
        <v>1</v>
      </c>
      <c r="G2306" s="1" t="s">
        <v>36</v>
      </c>
      <c r="H2306" s="4" t="str">
        <f>HYPERLINK("https://www.ncbi.nlm.nih.gov/geo/query/acc.cgi?acc=GSM684786","GSM684786")</f>
        <v>GSM684786</v>
      </c>
      <c r="I2306" t="s">
        <v>177</v>
      </c>
      <c r="J2306" t="s">
        <v>178</v>
      </c>
      <c r="K2306" t="s">
        <v>19</v>
      </c>
      <c r="L2306" t="s">
        <v>44</v>
      </c>
      <c r="M2306" t="s">
        <v>50</v>
      </c>
      <c r="N2306" t="s">
        <v>37</v>
      </c>
    </row>
    <row r="2307" spans="1:14">
      <c r="A2307" s="4" t="str">
        <f t="shared" si="215"/>
        <v>EXP00067</v>
      </c>
      <c r="B2307" s="4" t="str">
        <f t="shared" si="216"/>
        <v>21665914</v>
      </c>
      <c r="C2307" s="4" t="str">
        <f t="shared" si="217"/>
        <v>GSE27635</v>
      </c>
      <c r="D2307" s="1" t="s">
        <v>175</v>
      </c>
      <c r="E2307" t="s">
        <v>176</v>
      </c>
      <c r="F2307" s="1">
        <v>1</v>
      </c>
      <c r="G2307" s="1" t="s">
        <v>36</v>
      </c>
      <c r="H2307" s="4" t="str">
        <f>HYPERLINK("https://www.ncbi.nlm.nih.gov/geo/query/acc.cgi?acc=GSM684788","GSM684788")</f>
        <v>GSM684788</v>
      </c>
      <c r="I2307" t="s">
        <v>177</v>
      </c>
      <c r="J2307" t="s">
        <v>178</v>
      </c>
      <c r="K2307" t="s">
        <v>19</v>
      </c>
      <c r="L2307" t="s">
        <v>44</v>
      </c>
      <c r="M2307" t="s">
        <v>50</v>
      </c>
      <c r="N2307" t="s">
        <v>37</v>
      </c>
    </row>
    <row r="2308" spans="1:14">
      <c r="A2308" s="4" t="str">
        <f t="shared" si="215"/>
        <v>EXP00067</v>
      </c>
      <c r="B2308" s="4" t="str">
        <f t="shared" si="216"/>
        <v>21665914</v>
      </c>
      <c r="C2308" s="4" t="str">
        <f t="shared" si="217"/>
        <v>GSE27635</v>
      </c>
      <c r="D2308" s="1" t="s">
        <v>175</v>
      </c>
      <c r="E2308" t="s">
        <v>176</v>
      </c>
      <c r="F2308" s="1">
        <v>1</v>
      </c>
      <c r="G2308" s="1" t="s">
        <v>36</v>
      </c>
      <c r="H2308" s="4" t="str">
        <f>HYPERLINK("https://www.ncbi.nlm.nih.gov/geo/query/acc.cgi?acc=GSM684790","GSM684790")</f>
        <v>GSM684790</v>
      </c>
      <c r="I2308" t="s">
        <v>177</v>
      </c>
      <c r="J2308" t="s">
        <v>178</v>
      </c>
      <c r="K2308" t="s">
        <v>19</v>
      </c>
      <c r="L2308" t="s">
        <v>44</v>
      </c>
      <c r="M2308" t="s">
        <v>50</v>
      </c>
      <c r="N2308" t="s">
        <v>37</v>
      </c>
    </row>
    <row r="2309" spans="1:14">
      <c r="A2309" s="4" t="str">
        <f t="shared" si="215"/>
        <v>EXP00067</v>
      </c>
      <c r="B2309" s="4" t="str">
        <f t="shared" si="216"/>
        <v>21665914</v>
      </c>
      <c r="C2309" s="4" t="str">
        <f t="shared" si="217"/>
        <v>GSE27635</v>
      </c>
      <c r="D2309" s="1" t="s">
        <v>175</v>
      </c>
      <c r="E2309" t="s">
        <v>176</v>
      </c>
      <c r="F2309" s="1">
        <v>1</v>
      </c>
      <c r="G2309" s="1" t="s">
        <v>36</v>
      </c>
      <c r="H2309" s="4" t="str">
        <f>HYPERLINK("https://www.ncbi.nlm.nih.gov/geo/query/acc.cgi?acc=GSM684792","GSM684792")</f>
        <v>GSM684792</v>
      </c>
      <c r="I2309" t="s">
        <v>177</v>
      </c>
      <c r="J2309" t="s">
        <v>178</v>
      </c>
      <c r="K2309" t="s">
        <v>19</v>
      </c>
      <c r="L2309" t="s">
        <v>44</v>
      </c>
      <c r="M2309" t="s">
        <v>50</v>
      </c>
      <c r="N2309" t="s">
        <v>37</v>
      </c>
    </row>
    <row r="2310" spans="1:14">
      <c r="A2310" s="4" t="str">
        <f t="shared" si="215"/>
        <v>EXP00067</v>
      </c>
      <c r="B2310" s="4" t="str">
        <f t="shared" si="216"/>
        <v>21665914</v>
      </c>
      <c r="C2310" s="4" t="str">
        <f t="shared" si="217"/>
        <v>GSE27635</v>
      </c>
      <c r="D2310" s="1" t="s">
        <v>175</v>
      </c>
      <c r="E2310" t="s">
        <v>176</v>
      </c>
      <c r="F2310" s="1">
        <v>1</v>
      </c>
      <c r="G2310" s="1" t="s">
        <v>36</v>
      </c>
      <c r="H2310" s="4" t="str">
        <f>HYPERLINK("https://www.ncbi.nlm.nih.gov/geo/query/acc.cgi?acc=GSM684794","GSM684794")</f>
        <v>GSM684794</v>
      </c>
      <c r="I2310" t="s">
        <v>177</v>
      </c>
      <c r="J2310" t="s">
        <v>178</v>
      </c>
      <c r="K2310" t="s">
        <v>19</v>
      </c>
      <c r="L2310" t="s">
        <v>44</v>
      </c>
      <c r="M2310" t="s">
        <v>50</v>
      </c>
      <c r="N2310" t="s">
        <v>37</v>
      </c>
    </row>
    <row r="2311" spans="1:14">
      <c r="A2311" s="4" t="str">
        <f t="shared" si="215"/>
        <v>EXP00067</v>
      </c>
      <c r="B2311" s="4" t="str">
        <f t="shared" si="216"/>
        <v>21665914</v>
      </c>
      <c r="C2311" s="4" t="str">
        <f t="shared" si="217"/>
        <v>GSE27635</v>
      </c>
      <c r="D2311" s="1" t="s">
        <v>175</v>
      </c>
      <c r="E2311" t="s">
        <v>176</v>
      </c>
      <c r="F2311" s="1">
        <v>2</v>
      </c>
      <c r="G2311" s="1" t="s">
        <v>28</v>
      </c>
      <c r="H2311" s="4" t="str">
        <f>HYPERLINK("https://www.ncbi.nlm.nih.gov/geo/query/acc.cgi?acc=GSM684749","GSM684749")</f>
        <v>GSM684749</v>
      </c>
      <c r="I2311" t="s">
        <v>177</v>
      </c>
      <c r="J2311" t="s">
        <v>178</v>
      </c>
      <c r="K2311" t="s">
        <v>19</v>
      </c>
      <c r="L2311" t="s">
        <v>44</v>
      </c>
      <c r="M2311" t="s">
        <v>50</v>
      </c>
      <c r="N2311" t="s">
        <v>29</v>
      </c>
    </row>
    <row r="2312" spans="1:14">
      <c r="A2312" s="4" t="str">
        <f t="shared" si="215"/>
        <v>EXP00067</v>
      </c>
      <c r="B2312" s="4" t="str">
        <f t="shared" si="216"/>
        <v>21665914</v>
      </c>
      <c r="C2312" s="4" t="str">
        <f t="shared" si="217"/>
        <v>GSE27635</v>
      </c>
      <c r="D2312" s="1" t="s">
        <v>175</v>
      </c>
      <c r="E2312" t="s">
        <v>176</v>
      </c>
      <c r="F2312" s="1">
        <v>2</v>
      </c>
      <c r="G2312" s="1" t="s">
        <v>28</v>
      </c>
      <c r="H2312" s="4" t="str">
        <f>HYPERLINK("https://www.ncbi.nlm.nih.gov/geo/query/acc.cgi?acc=GSM684751","GSM684751")</f>
        <v>GSM684751</v>
      </c>
      <c r="I2312" t="s">
        <v>177</v>
      </c>
      <c r="J2312" t="s">
        <v>178</v>
      </c>
      <c r="K2312" t="s">
        <v>19</v>
      </c>
      <c r="L2312" t="s">
        <v>44</v>
      </c>
      <c r="M2312" t="s">
        <v>50</v>
      </c>
      <c r="N2312" t="s">
        <v>29</v>
      </c>
    </row>
    <row r="2313" spans="1:14">
      <c r="A2313" s="4" t="str">
        <f t="shared" si="215"/>
        <v>EXP00067</v>
      </c>
      <c r="B2313" s="4" t="str">
        <f t="shared" si="216"/>
        <v>21665914</v>
      </c>
      <c r="C2313" s="4" t="str">
        <f t="shared" si="217"/>
        <v>GSE27635</v>
      </c>
      <c r="D2313" s="1" t="s">
        <v>175</v>
      </c>
      <c r="E2313" t="s">
        <v>176</v>
      </c>
      <c r="F2313" s="1">
        <v>2</v>
      </c>
      <c r="G2313" s="1" t="s">
        <v>28</v>
      </c>
      <c r="H2313" s="4" t="str">
        <f>HYPERLINK("https://www.ncbi.nlm.nih.gov/geo/query/acc.cgi?acc=GSM684753","GSM684753")</f>
        <v>GSM684753</v>
      </c>
      <c r="I2313" t="s">
        <v>177</v>
      </c>
      <c r="J2313" t="s">
        <v>178</v>
      </c>
      <c r="K2313" t="s">
        <v>19</v>
      </c>
      <c r="L2313" t="s">
        <v>44</v>
      </c>
      <c r="M2313" t="s">
        <v>50</v>
      </c>
      <c r="N2313" t="s">
        <v>29</v>
      </c>
    </row>
    <row r="2314" spans="1:14">
      <c r="A2314" s="4" t="str">
        <f t="shared" si="215"/>
        <v>EXP00067</v>
      </c>
      <c r="B2314" s="4" t="str">
        <f t="shared" si="216"/>
        <v>21665914</v>
      </c>
      <c r="C2314" s="4" t="str">
        <f t="shared" si="217"/>
        <v>GSE27635</v>
      </c>
      <c r="D2314" s="1" t="s">
        <v>175</v>
      </c>
      <c r="E2314" t="s">
        <v>176</v>
      </c>
      <c r="F2314" s="1">
        <v>2</v>
      </c>
      <c r="G2314" s="1" t="s">
        <v>28</v>
      </c>
      <c r="H2314" s="4" t="str">
        <f>HYPERLINK("https://www.ncbi.nlm.nih.gov/geo/query/acc.cgi?acc=GSM684755","GSM684755")</f>
        <v>GSM684755</v>
      </c>
      <c r="I2314" t="s">
        <v>177</v>
      </c>
      <c r="J2314" t="s">
        <v>178</v>
      </c>
      <c r="K2314" t="s">
        <v>19</v>
      </c>
      <c r="L2314" t="s">
        <v>44</v>
      </c>
      <c r="M2314" t="s">
        <v>50</v>
      </c>
      <c r="N2314" t="s">
        <v>29</v>
      </c>
    </row>
    <row r="2315" spans="1:14">
      <c r="A2315" s="4" t="str">
        <f t="shared" si="215"/>
        <v>EXP00067</v>
      </c>
      <c r="B2315" s="4" t="str">
        <f t="shared" si="216"/>
        <v>21665914</v>
      </c>
      <c r="C2315" s="4" t="str">
        <f t="shared" si="217"/>
        <v>GSE27635</v>
      </c>
      <c r="D2315" s="1" t="s">
        <v>175</v>
      </c>
      <c r="E2315" t="s">
        <v>176</v>
      </c>
      <c r="F2315" s="1">
        <v>2</v>
      </c>
      <c r="G2315" s="1" t="s">
        <v>28</v>
      </c>
      <c r="H2315" s="4" t="str">
        <f>HYPERLINK("https://www.ncbi.nlm.nih.gov/geo/query/acc.cgi?acc=GSM684757","GSM684757")</f>
        <v>GSM684757</v>
      </c>
      <c r="I2315" t="s">
        <v>177</v>
      </c>
      <c r="J2315" t="s">
        <v>178</v>
      </c>
      <c r="K2315" t="s">
        <v>19</v>
      </c>
      <c r="L2315" t="s">
        <v>44</v>
      </c>
      <c r="M2315" t="s">
        <v>50</v>
      </c>
      <c r="N2315" t="s">
        <v>29</v>
      </c>
    </row>
    <row r="2316" spans="1:14">
      <c r="A2316" s="4" t="str">
        <f t="shared" si="215"/>
        <v>EXP00067</v>
      </c>
      <c r="B2316" s="4" t="str">
        <f t="shared" si="216"/>
        <v>21665914</v>
      </c>
      <c r="C2316" s="4" t="str">
        <f t="shared" si="217"/>
        <v>GSE27635</v>
      </c>
      <c r="D2316" s="1" t="s">
        <v>175</v>
      </c>
      <c r="E2316" t="s">
        <v>176</v>
      </c>
      <c r="F2316" s="1">
        <v>2</v>
      </c>
      <c r="G2316" s="1" t="s">
        <v>28</v>
      </c>
      <c r="H2316" s="4" t="str">
        <f>HYPERLINK("https://www.ncbi.nlm.nih.gov/geo/query/acc.cgi?acc=GSM684759","GSM684759")</f>
        <v>GSM684759</v>
      </c>
      <c r="I2316" t="s">
        <v>177</v>
      </c>
      <c r="J2316" t="s">
        <v>178</v>
      </c>
      <c r="K2316" t="s">
        <v>19</v>
      </c>
      <c r="L2316" t="s">
        <v>44</v>
      </c>
      <c r="M2316" t="s">
        <v>50</v>
      </c>
      <c r="N2316" t="s">
        <v>29</v>
      </c>
    </row>
    <row r="2317" spans="1:14">
      <c r="A2317" s="4" t="str">
        <f t="shared" si="215"/>
        <v>EXP00067</v>
      </c>
      <c r="B2317" s="4" t="str">
        <f t="shared" si="216"/>
        <v>21665914</v>
      </c>
      <c r="C2317" s="4" t="str">
        <f t="shared" si="217"/>
        <v>GSE27635</v>
      </c>
      <c r="D2317" s="1" t="s">
        <v>175</v>
      </c>
      <c r="E2317" t="s">
        <v>176</v>
      </c>
      <c r="F2317" s="1">
        <v>2</v>
      </c>
      <c r="G2317" s="1" t="s">
        <v>28</v>
      </c>
      <c r="H2317" s="4" t="str">
        <f>HYPERLINK("https://www.ncbi.nlm.nih.gov/geo/query/acc.cgi?acc=GSM684761","GSM684761")</f>
        <v>GSM684761</v>
      </c>
      <c r="I2317" t="s">
        <v>177</v>
      </c>
      <c r="J2317" t="s">
        <v>178</v>
      </c>
      <c r="K2317" t="s">
        <v>19</v>
      </c>
      <c r="L2317" t="s">
        <v>44</v>
      </c>
      <c r="M2317" t="s">
        <v>50</v>
      </c>
      <c r="N2317" t="s">
        <v>29</v>
      </c>
    </row>
    <row r="2318" spans="1:14">
      <c r="A2318" s="4" t="str">
        <f t="shared" si="215"/>
        <v>EXP00067</v>
      </c>
      <c r="B2318" s="4" t="str">
        <f t="shared" si="216"/>
        <v>21665914</v>
      </c>
      <c r="C2318" s="4" t="str">
        <f t="shared" si="217"/>
        <v>GSE27635</v>
      </c>
      <c r="D2318" s="1" t="s">
        <v>175</v>
      </c>
      <c r="E2318" t="s">
        <v>176</v>
      </c>
      <c r="F2318" s="1">
        <v>2</v>
      </c>
      <c r="G2318" s="1" t="s">
        <v>28</v>
      </c>
      <c r="H2318" s="4" t="str">
        <f>HYPERLINK("https://www.ncbi.nlm.nih.gov/geo/query/acc.cgi?acc=GSM684763","GSM684763")</f>
        <v>GSM684763</v>
      </c>
      <c r="I2318" t="s">
        <v>177</v>
      </c>
      <c r="J2318" t="s">
        <v>178</v>
      </c>
      <c r="K2318" t="s">
        <v>19</v>
      </c>
      <c r="L2318" t="s">
        <v>44</v>
      </c>
      <c r="M2318" t="s">
        <v>50</v>
      </c>
      <c r="N2318" t="s">
        <v>29</v>
      </c>
    </row>
    <row r="2319" spans="1:14">
      <c r="A2319" s="4" t="str">
        <f t="shared" si="215"/>
        <v>EXP00067</v>
      </c>
      <c r="B2319" s="4" t="str">
        <f t="shared" ref="B2319:B2350" si="218">HYPERLINK("https://www.ncbi.nlm.nih.gov/pubmed/21665914","21665914")</f>
        <v>21665914</v>
      </c>
      <c r="C2319" s="4" t="str">
        <f t="shared" ref="C2319:C2350" si="219">HYPERLINK("https://www.ncbi.nlm.nih.gov/geo/query/acc.cgi?acc=GSE27635","GSE27635")</f>
        <v>GSE27635</v>
      </c>
      <c r="D2319" s="1" t="s">
        <v>175</v>
      </c>
      <c r="E2319" t="s">
        <v>176</v>
      </c>
      <c r="F2319" s="1">
        <v>2</v>
      </c>
      <c r="G2319" s="1" t="s">
        <v>28</v>
      </c>
      <c r="H2319" s="4" t="str">
        <f>HYPERLINK("https://www.ncbi.nlm.nih.gov/geo/query/acc.cgi?acc=GSM684765","GSM684765")</f>
        <v>GSM684765</v>
      </c>
      <c r="I2319" t="s">
        <v>177</v>
      </c>
      <c r="J2319" t="s">
        <v>178</v>
      </c>
      <c r="K2319" t="s">
        <v>19</v>
      </c>
      <c r="L2319" t="s">
        <v>44</v>
      </c>
      <c r="M2319" t="s">
        <v>50</v>
      </c>
      <c r="N2319" t="s">
        <v>29</v>
      </c>
    </row>
    <row r="2320" spans="1:14">
      <c r="A2320" s="4" t="str">
        <f t="shared" si="215"/>
        <v>EXP00067</v>
      </c>
      <c r="B2320" s="4" t="str">
        <f t="shared" si="218"/>
        <v>21665914</v>
      </c>
      <c r="C2320" s="4" t="str">
        <f t="shared" si="219"/>
        <v>GSE27635</v>
      </c>
      <c r="D2320" s="1" t="s">
        <v>175</v>
      </c>
      <c r="E2320" t="s">
        <v>176</v>
      </c>
      <c r="F2320" s="1">
        <v>2</v>
      </c>
      <c r="G2320" s="1" t="s">
        <v>28</v>
      </c>
      <c r="H2320" s="4" t="str">
        <f>HYPERLINK("https://www.ncbi.nlm.nih.gov/geo/query/acc.cgi?acc=GSM684767","GSM684767")</f>
        <v>GSM684767</v>
      </c>
      <c r="I2320" t="s">
        <v>177</v>
      </c>
      <c r="J2320" t="s">
        <v>178</v>
      </c>
      <c r="K2320" t="s">
        <v>19</v>
      </c>
      <c r="L2320" t="s">
        <v>44</v>
      </c>
      <c r="M2320" t="s">
        <v>50</v>
      </c>
      <c r="N2320" t="s">
        <v>29</v>
      </c>
    </row>
    <row r="2321" spans="1:14">
      <c r="A2321" s="4" t="str">
        <f t="shared" si="215"/>
        <v>EXP00067</v>
      </c>
      <c r="B2321" s="4" t="str">
        <f t="shared" si="218"/>
        <v>21665914</v>
      </c>
      <c r="C2321" s="4" t="str">
        <f t="shared" si="219"/>
        <v>GSE27635</v>
      </c>
      <c r="D2321" s="1" t="s">
        <v>175</v>
      </c>
      <c r="E2321" t="s">
        <v>176</v>
      </c>
      <c r="F2321" s="1">
        <v>2</v>
      </c>
      <c r="G2321" s="1" t="s">
        <v>28</v>
      </c>
      <c r="H2321" s="4" t="str">
        <f>HYPERLINK("https://www.ncbi.nlm.nih.gov/geo/query/acc.cgi?acc=GSM684769","GSM684769")</f>
        <v>GSM684769</v>
      </c>
      <c r="I2321" t="s">
        <v>177</v>
      </c>
      <c r="J2321" t="s">
        <v>178</v>
      </c>
      <c r="K2321" t="s">
        <v>19</v>
      </c>
      <c r="L2321" t="s">
        <v>44</v>
      </c>
      <c r="M2321" t="s">
        <v>50</v>
      </c>
      <c r="N2321" t="s">
        <v>29</v>
      </c>
    </row>
    <row r="2322" spans="1:14">
      <c r="A2322" s="4" t="str">
        <f t="shared" si="215"/>
        <v>EXP00067</v>
      </c>
      <c r="B2322" s="4" t="str">
        <f t="shared" si="218"/>
        <v>21665914</v>
      </c>
      <c r="C2322" s="4" t="str">
        <f t="shared" si="219"/>
        <v>GSE27635</v>
      </c>
      <c r="D2322" s="1" t="s">
        <v>175</v>
      </c>
      <c r="E2322" t="s">
        <v>176</v>
      </c>
      <c r="F2322" s="1">
        <v>2</v>
      </c>
      <c r="G2322" s="1" t="s">
        <v>28</v>
      </c>
      <c r="H2322" s="4" t="str">
        <f>HYPERLINK("https://www.ncbi.nlm.nih.gov/geo/query/acc.cgi?acc=GSM684771","GSM684771")</f>
        <v>GSM684771</v>
      </c>
      <c r="I2322" t="s">
        <v>177</v>
      </c>
      <c r="J2322" t="s">
        <v>178</v>
      </c>
      <c r="K2322" t="s">
        <v>19</v>
      </c>
      <c r="L2322" t="s">
        <v>44</v>
      </c>
      <c r="M2322" t="s">
        <v>50</v>
      </c>
      <c r="N2322" t="s">
        <v>29</v>
      </c>
    </row>
    <row r="2323" spans="1:14">
      <c r="A2323" s="4" t="str">
        <f t="shared" si="215"/>
        <v>EXP00067</v>
      </c>
      <c r="B2323" s="4" t="str">
        <f t="shared" si="218"/>
        <v>21665914</v>
      </c>
      <c r="C2323" s="4" t="str">
        <f t="shared" si="219"/>
        <v>GSE27635</v>
      </c>
      <c r="D2323" s="1" t="s">
        <v>175</v>
      </c>
      <c r="E2323" t="s">
        <v>176</v>
      </c>
      <c r="F2323" s="1">
        <v>2</v>
      </c>
      <c r="G2323" s="1" t="s">
        <v>28</v>
      </c>
      <c r="H2323" s="4" t="str">
        <f>HYPERLINK("https://www.ncbi.nlm.nih.gov/geo/query/acc.cgi?acc=GSM684773","GSM684773")</f>
        <v>GSM684773</v>
      </c>
      <c r="I2323" t="s">
        <v>177</v>
      </c>
      <c r="J2323" t="s">
        <v>178</v>
      </c>
      <c r="K2323" t="s">
        <v>19</v>
      </c>
      <c r="L2323" t="s">
        <v>44</v>
      </c>
      <c r="M2323" t="s">
        <v>50</v>
      </c>
      <c r="N2323" t="s">
        <v>29</v>
      </c>
    </row>
    <row r="2324" spans="1:14">
      <c r="A2324" s="4" t="str">
        <f t="shared" si="215"/>
        <v>EXP00067</v>
      </c>
      <c r="B2324" s="4" t="str">
        <f t="shared" si="218"/>
        <v>21665914</v>
      </c>
      <c r="C2324" s="4" t="str">
        <f t="shared" si="219"/>
        <v>GSE27635</v>
      </c>
      <c r="D2324" s="1" t="s">
        <v>175</v>
      </c>
      <c r="E2324" t="s">
        <v>176</v>
      </c>
      <c r="F2324" s="1">
        <v>2</v>
      </c>
      <c r="G2324" s="1" t="s">
        <v>28</v>
      </c>
      <c r="H2324" s="4" t="str">
        <f>HYPERLINK("https://www.ncbi.nlm.nih.gov/geo/query/acc.cgi?acc=GSM684775","GSM684775")</f>
        <v>GSM684775</v>
      </c>
      <c r="I2324" t="s">
        <v>177</v>
      </c>
      <c r="J2324" t="s">
        <v>178</v>
      </c>
      <c r="K2324" t="s">
        <v>19</v>
      </c>
      <c r="L2324" t="s">
        <v>44</v>
      </c>
      <c r="M2324" t="s">
        <v>50</v>
      </c>
      <c r="N2324" t="s">
        <v>29</v>
      </c>
    </row>
    <row r="2325" spans="1:14">
      <c r="A2325" s="4" t="str">
        <f t="shared" si="215"/>
        <v>EXP00067</v>
      </c>
      <c r="B2325" s="4" t="str">
        <f t="shared" si="218"/>
        <v>21665914</v>
      </c>
      <c r="C2325" s="4" t="str">
        <f t="shared" si="219"/>
        <v>GSE27635</v>
      </c>
      <c r="D2325" s="1" t="s">
        <v>175</v>
      </c>
      <c r="E2325" t="s">
        <v>176</v>
      </c>
      <c r="F2325" s="1">
        <v>2</v>
      </c>
      <c r="G2325" s="1" t="s">
        <v>28</v>
      </c>
      <c r="H2325" s="4" t="str">
        <f>HYPERLINK("https://www.ncbi.nlm.nih.gov/geo/query/acc.cgi?acc=GSM684777","GSM684777")</f>
        <v>GSM684777</v>
      </c>
      <c r="I2325" t="s">
        <v>177</v>
      </c>
      <c r="J2325" t="s">
        <v>178</v>
      </c>
      <c r="K2325" t="s">
        <v>19</v>
      </c>
      <c r="L2325" t="s">
        <v>44</v>
      </c>
      <c r="M2325" t="s">
        <v>50</v>
      </c>
      <c r="N2325" t="s">
        <v>29</v>
      </c>
    </row>
    <row r="2326" spans="1:14">
      <c r="A2326" s="4" t="str">
        <f t="shared" si="215"/>
        <v>EXP00067</v>
      </c>
      <c r="B2326" s="4" t="str">
        <f t="shared" si="218"/>
        <v>21665914</v>
      </c>
      <c r="C2326" s="4" t="str">
        <f t="shared" si="219"/>
        <v>GSE27635</v>
      </c>
      <c r="D2326" s="1" t="s">
        <v>175</v>
      </c>
      <c r="E2326" t="s">
        <v>176</v>
      </c>
      <c r="F2326" s="1">
        <v>2</v>
      </c>
      <c r="G2326" s="1" t="s">
        <v>28</v>
      </c>
      <c r="H2326" s="4" t="str">
        <f>HYPERLINK("https://www.ncbi.nlm.nih.gov/geo/query/acc.cgi?acc=GSM684779","GSM684779")</f>
        <v>GSM684779</v>
      </c>
      <c r="I2326" t="s">
        <v>177</v>
      </c>
      <c r="J2326" t="s">
        <v>178</v>
      </c>
      <c r="K2326" t="s">
        <v>19</v>
      </c>
      <c r="L2326" t="s">
        <v>44</v>
      </c>
      <c r="M2326" t="s">
        <v>50</v>
      </c>
      <c r="N2326" t="s">
        <v>29</v>
      </c>
    </row>
    <row r="2327" spans="1:14">
      <c r="A2327" s="4" t="str">
        <f t="shared" si="215"/>
        <v>EXP00067</v>
      </c>
      <c r="B2327" s="4" t="str">
        <f t="shared" si="218"/>
        <v>21665914</v>
      </c>
      <c r="C2327" s="4" t="str">
        <f t="shared" si="219"/>
        <v>GSE27635</v>
      </c>
      <c r="D2327" s="1" t="s">
        <v>175</v>
      </c>
      <c r="E2327" t="s">
        <v>176</v>
      </c>
      <c r="F2327" s="1">
        <v>2</v>
      </c>
      <c r="G2327" s="1" t="s">
        <v>28</v>
      </c>
      <c r="H2327" s="4" t="str">
        <f>HYPERLINK("https://www.ncbi.nlm.nih.gov/geo/query/acc.cgi?acc=GSM684781","GSM684781")</f>
        <v>GSM684781</v>
      </c>
      <c r="I2327" t="s">
        <v>177</v>
      </c>
      <c r="J2327" t="s">
        <v>178</v>
      </c>
      <c r="K2327" t="s">
        <v>19</v>
      </c>
      <c r="L2327" t="s">
        <v>44</v>
      </c>
      <c r="M2327" t="s">
        <v>50</v>
      </c>
      <c r="N2327" t="s">
        <v>29</v>
      </c>
    </row>
    <row r="2328" spans="1:14">
      <c r="A2328" s="4" t="str">
        <f t="shared" si="215"/>
        <v>EXP00067</v>
      </c>
      <c r="B2328" s="4" t="str">
        <f t="shared" si="218"/>
        <v>21665914</v>
      </c>
      <c r="C2328" s="4" t="str">
        <f t="shared" si="219"/>
        <v>GSE27635</v>
      </c>
      <c r="D2328" s="1" t="s">
        <v>175</v>
      </c>
      <c r="E2328" t="s">
        <v>176</v>
      </c>
      <c r="F2328" s="1">
        <v>2</v>
      </c>
      <c r="G2328" s="1" t="s">
        <v>28</v>
      </c>
      <c r="H2328" s="4" t="str">
        <f>HYPERLINK("https://www.ncbi.nlm.nih.gov/geo/query/acc.cgi?acc=GSM684783","GSM684783")</f>
        <v>GSM684783</v>
      </c>
      <c r="I2328" t="s">
        <v>177</v>
      </c>
      <c r="J2328" t="s">
        <v>178</v>
      </c>
      <c r="K2328" t="s">
        <v>19</v>
      </c>
      <c r="L2328" t="s">
        <v>44</v>
      </c>
      <c r="M2328" t="s">
        <v>50</v>
      </c>
      <c r="N2328" t="s">
        <v>29</v>
      </c>
    </row>
    <row r="2329" spans="1:14">
      <c r="A2329" s="4" t="str">
        <f t="shared" si="215"/>
        <v>EXP00067</v>
      </c>
      <c r="B2329" s="4" t="str">
        <f t="shared" si="218"/>
        <v>21665914</v>
      </c>
      <c r="C2329" s="4" t="str">
        <f t="shared" si="219"/>
        <v>GSE27635</v>
      </c>
      <c r="D2329" s="1" t="s">
        <v>175</v>
      </c>
      <c r="E2329" t="s">
        <v>176</v>
      </c>
      <c r="F2329" s="1">
        <v>2</v>
      </c>
      <c r="G2329" s="1" t="s">
        <v>28</v>
      </c>
      <c r="H2329" s="4" t="str">
        <f>HYPERLINK("https://www.ncbi.nlm.nih.gov/geo/query/acc.cgi?acc=GSM684785","GSM684785")</f>
        <v>GSM684785</v>
      </c>
      <c r="I2329" t="s">
        <v>177</v>
      </c>
      <c r="J2329" t="s">
        <v>178</v>
      </c>
      <c r="K2329" t="s">
        <v>19</v>
      </c>
      <c r="L2329" t="s">
        <v>44</v>
      </c>
      <c r="M2329" t="s">
        <v>50</v>
      </c>
      <c r="N2329" t="s">
        <v>29</v>
      </c>
    </row>
    <row r="2330" spans="1:14">
      <c r="A2330" s="4" t="str">
        <f t="shared" si="215"/>
        <v>EXP00067</v>
      </c>
      <c r="B2330" s="4" t="str">
        <f t="shared" si="218"/>
        <v>21665914</v>
      </c>
      <c r="C2330" s="4" t="str">
        <f t="shared" si="219"/>
        <v>GSE27635</v>
      </c>
      <c r="D2330" s="1" t="s">
        <v>175</v>
      </c>
      <c r="E2330" t="s">
        <v>176</v>
      </c>
      <c r="F2330" s="1">
        <v>2</v>
      </c>
      <c r="G2330" s="1" t="s">
        <v>28</v>
      </c>
      <c r="H2330" s="4" t="str">
        <f>HYPERLINK("https://www.ncbi.nlm.nih.gov/geo/query/acc.cgi?acc=GSM684787","GSM684787")</f>
        <v>GSM684787</v>
      </c>
      <c r="I2330" t="s">
        <v>177</v>
      </c>
      <c r="J2330" t="s">
        <v>178</v>
      </c>
      <c r="K2330" t="s">
        <v>19</v>
      </c>
      <c r="L2330" t="s">
        <v>44</v>
      </c>
      <c r="M2330" t="s">
        <v>50</v>
      </c>
      <c r="N2330" t="s">
        <v>29</v>
      </c>
    </row>
    <row r="2331" spans="1:14">
      <c r="A2331" s="4" t="str">
        <f t="shared" si="215"/>
        <v>EXP00067</v>
      </c>
      <c r="B2331" s="4" t="str">
        <f t="shared" si="218"/>
        <v>21665914</v>
      </c>
      <c r="C2331" s="4" t="str">
        <f t="shared" si="219"/>
        <v>GSE27635</v>
      </c>
      <c r="D2331" s="1" t="s">
        <v>175</v>
      </c>
      <c r="E2331" t="s">
        <v>176</v>
      </c>
      <c r="F2331" s="1">
        <v>2</v>
      </c>
      <c r="G2331" s="1" t="s">
        <v>28</v>
      </c>
      <c r="H2331" s="4" t="str">
        <f>HYPERLINK("https://www.ncbi.nlm.nih.gov/geo/query/acc.cgi?acc=GSM684789","GSM684789")</f>
        <v>GSM684789</v>
      </c>
      <c r="I2331" t="s">
        <v>177</v>
      </c>
      <c r="J2331" t="s">
        <v>178</v>
      </c>
      <c r="K2331" t="s">
        <v>19</v>
      </c>
      <c r="L2331" t="s">
        <v>44</v>
      </c>
      <c r="M2331" t="s">
        <v>50</v>
      </c>
      <c r="N2331" t="s">
        <v>29</v>
      </c>
    </row>
    <row r="2332" spans="1:14">
      <c r="A2332" s="4" t="str">
        <f t="shared" si="215"/>
        <v>EXP00067</v>
      </c>
      <c r="B2332" s="4" t="str">
        <f t="shared" si="218"/>
        <v>21665914</v>
      </c>
      <c r="C2332" s="4" t="str">
        <f t="shared" si="219"/>
        <v>GSE27635</v>
      </c>
      <c r="D2332" s="1" t="s">
        <v>175</v>
      </c>
      <c r="E2332" t="s">
        <v>176</v>
      </c>
      <c r="F2332" s="1">
        <v>2</v>
      </c>
      <c r="G2332" s="1" t="s">
        <v>28</v>
      </c>
      <c r="H2332" s="4" t="str">
        <f>HYPERLINK("https://www.ncbi.nlm.nih.gov/geo/query/acc.cgi?acc=GSM684791","GSM684791")</f>
        <v>GSM684791</v>
      </c>
      <c r="I2332" t="s">
        <v>177</v>
      </c>
      <c r="J2332" t="s">
        <v>178</v>
      </c>
      <c r="K2332" t="s">
        <v>19</v>
      </c>
      <c r="L2332" t="s">
        <v>44</v>
      </c>
      <c r="M2332" t="s">
        <v>50</v>
      </c>
      <c r="N2332" t="s">
        <v>29</v>
      </c>
    </row>
    <row r="2333" spans="1:14">
      <c r="A2333" s="4" t="str">
        <f t="shared" si="215"/>
        <v>EXP00067</v>
      </c>
      <c r="B2333" s="4" t="str">
        <f t="shared" si="218"/>
        <v>21665914</v>
      </c>
      <c r="C2333" s="4" t="str">
        <f t="shared" si="219"/>
        <v>GSE27635</v>
      </c>
      <c r="D2333" s="1" t="s">
        <v>175</v>
      </c>
      <c r="E2333" t="s">
        <v>176</v>
      </c>
      <c r="F2333" s="1">
        <v>2</v>
      </c>
      <c r="G2333" s="1" t="s">
        <v>28</v>
      </c>
      <c r="H2333" s="4" t="str">
        <f>HYPERLINK("https://www.ncbi.nlm.nih.gov/geo/query/acc.cgi?acc=GSM684793","GSM684793")</f>
        <v>GSM684793</v>
      </c>
      <c r="I2333" t="s">
        <v>177</v>
      </c>
      <c r="J2333" t="s">
        <v>178</v>
      </c>
      <c r="K2333" t="s">
        <v>19</v>
      </c>
      <c r="L2333" t="s">
        <v>44</v>
      </c>
      <c r="M2333" t="s">
        <v>50</v>
      </c>
      <c r="N2333" t="s">
        <v>29</v>
      </c>
    </row>
    <row r="2334" spans="1:14">
      <c r="A2334" s="4" t="str">
        <f t="shared" si="215"/>
        <v>EXP00067</v>
      </c>
      <c r="B2334" s="4" t="str">
        <f t="shared" si="218"/>
        <v>21665914</v>
      </c>
      <c r="C2334" s="4" t="str">
        <f t="shared" si="219"/>
        <v>GSE27635</v>
      </c>
      <c r="D2334" s="1" t="s">
        <v>175</v>
      </c>
      <c r="E2334" t="s">
        <v>176</v>
      </c>
      <c r="F2334" s="1">
        <v>2</v>
      </c>
      <c r="G2334" s="1" t="s">
        <v>28</v>
      </c>
      <c r="H2334" s="4" t="str">
        <f>HYPERLINK("https://www.ncbi.nlm.nih.gov/geo/query/acc.cgi?acc=GSM684795","GSM684795")</f>
        <v>GSM684795</v>
      </c>
      <c r="I2334" t="s">
        <v>177</v>
      </c>
      <c r="J2334" t="s">
        <v>178</v>
      </c>
      <c r="K2334" t="s">
        <v>19</v>
      </c>
      <c r="L2334" t="s">
        <v>44</v>
      </c>
      <c r="M2334" t="s">
        <v>50</v>
      </c>
      <c r="N2334" t="s">
        <v>29</v>
      </c>
    </row>
    <row r="2335" spans="1:14">
      <c r="A2335" s="4" t="str">
        <f t="shared" ref="A2335:A2382" si="220">HYPERLINK("http://hcmdb.i-sanger.com/experiment/details/experiment_id/EXP00068","EXP00068")</f>
        <v>EXP00068</v>
      </c>
      <c r="B2335" s="4" t="str">
        <f t="shared" si="218"/>
        <v>21665914</v>
      </c>
      <c r="C2335" s="4" t="str">
        <f t="shared" si="219"/>
        <v>GSE27635</v>
      </c>
      <c r="D2335" s="1" t="s">
        <v>175</v>
      </c>
      <c r="E2335" t="s">
        <v>179</v>
      </c>
      <c r="F2335" s="1">
        <v>1</v>
      </c>
      <c r="G2335" s="1" t="s">
        <v>31</v>
      </c>
      <c r="H2335" s="4" t="str">
        <f>HYPERLINK("https://www.ncbi.nlm.nih.gov/geo/query/acc.cgi?acc=GSM684749","GSM684749")</f>
        <v>GSM684749</v>
      </c>
      <c r="I2335" t="s">
        <v>177</v>
      </c>
      <c r="J2335" t="s">
        <v>178</v>
      </c>
      <c r="K2335" t="s">
        <v>19</v>
      </c>
      <c r="L2335" t="s">
        <v>44</v>
      </c>
      <c r="M2335" t="s">
        <v>50</v>
      </c>
      <c r="N2335" t="s">
        <v>29</v>
      </c>
    </row>
    <row r="2336" spans="1:14">
      <c r="A2336" s="4" t="str">
        <f t="shared" si="220"/>
        <v>EXP00068</v>
      </c>
      <c r="B2336" s="4" t="str">
        <f t="shared" si="218"/>
        <v>21665914</v>
      </c>
      <c r="C2336" s="4" t="str">
        <f t="shared" si="219"/>
        <v>GSE27635</v>
      </c>
      <c r="D2336" s="1" t="s">
        <v>175</v>
      </c>
      <c r="E2336" t="s">
        <v>179</v>
      </c>
      <c r="F2336" s="1">
        <v>1</v>
      </c>
      <c r="G2336" s="1" t="s">
        <v>31</v>
      </c>
      <c r="H2336" s="4" t="str">
        <f>HYPERLINK("https://www.ncbi.nlm.nih.gov/geo/query/acc.cgi?acc=GSM684751","GSM684751")</f>
        <v>GSM684751</v>
      </c>
      <c r="I2336" t="s">
        <v>177</v>
      </c>
      <c r="J2336" t="s">
        <v>178</v>
      </c>
      <c r="K2336" t="s">
        <v>19</v>
      </c>
      <c r="L2336" t="s">
        <v>44</v>
      </c>
      <c r="M2336" t="s">
        <v>50</v>
      </c>
      <c r="N2336" t="s">
        <v>29</v>
      </c>
    </row>
    <row r="2337" spans="1:14">
      <c r="A2337" s="4" t="str">
        <f t="shared" si="220"/>
        <v>EXP00068</v>
      </c>
      <c r="B2337" s="4" t="str">
        <f t="shared" si="218"/>
        <v>21665914</v>
      </c>
      <c r="C2337" s="4" t="str">
        <f t="shared" si="219"/>
        <v>GSE27635</v>
      </c>
      <c r="D2337" s="1" t="s">
        <v>175</v>
      </c>
      <c r="E2337" t="s">
        <v>179</v>
      </c>
      <c r="F2337" s="1">
        <v>1</v>
      </c>
      <c r="G2337" s="1" t="s">
        <v>31</v>
      </c>
      <c r="H2337" s="4" t="str">
        <f>HYPERLINK("https://www.ncbi.nlm.nih.gov/geo/query/acc.cgi?acc=GSM684753","GSM684753")</f>
        <v>GSM684753</v>
      </c>
      <c r="I2337" t="s">
        <v>177</v>
      </c>
      <c r="J2337" t="s">
        <v>178</v>
      </c>
      <c r="K2337" t="s">
        <v>19</v>
      </c>
      <c r="L2337" t="s">
        <v>44</v>
      </c>
      <c r="M2337" t="s">
        <v>50</v>
      </c>
      <c r="N2337" t="s">
        <v>29</v>
      </c>
    </row>
    <row r="2338" spans="1:14">
      <c r="A2338" s="4" t="str">
        <f t="shared" si="220"/>
        <v>EXP00068</v>
      </c>
      <c r="B2338" s="4" t="str">
        <f t="shared" si="218"/>
        <v>21665914</v>
      </c>
      <c r="C2338" s="4" t="str">
        <f t="shared" si="219"/>
        <v>GSE27635</v>
      </c>
      <c r="D2338" s="1" t="s">
        <v>175</v>
      </c>
      <c r="E2338" t="s">
        <v>179</v>
      </c>
      <c r="F2338" s="1">
        <v>1</v>
      </c>
      <c r="G2338" s="1" t="s">
        <v>31</v>
      </c>
      <c r="H2338" s="4" t="str">
        <f>HYPERLINK("https://www.ncbi.nlm.nih.gov/geo/query/acc.cgi?acc=GSM684755","GSM684755")</f>
        <v>GSM684755</v>
      </c>
      <c r="I2338" t="s">
        <v>177</v>
      </c>
      <c r="J2338" t="s">
        <v>178</v>
      </c>
      <c r="K2338" t="s">
        <v>19</v>
      </c>
      <c r="L2338" t="s">
        <v>44</v>
      </c>
      <c r="M2338" t="s">
        <v>50</v>
      </c>
      <c r="N2338" t="s">
        <v>29</v>
      </c>
    </row>
    <row r="2339" spans="1:14">
      <c r="A2339" s="4" t="str">
        <f t="shared" si="220"/>
        <v>EXP00068</v>
      </c>
      <c r="B2339" s="4" t="str">
        <f t="shared" si="218"/>
        <v>21665914</v>
      </c>
      <c r="C2339" s="4" t="str">
        <f t="shared" si="219"/>
        <v>GSE27635</v>
      </c>
      <c r="D2339" s="1" t="s">
        <v>175</v>
      </c>
      <c r="E2339" t="s">
        <v>179</v>
      </c>
      <c r="F2339" s="1">
        <v>1</v>
      </c>
      <c r="G2339" s="1" t="s">
        <v>31</v>
      </c>
      <c r="H2339" s="4" t="str">
        <f>HYPERLINK("https://www.ncbi.nlm.nih.gov/geo/query/acc.cgi?acc=GSM684757","GSM684757")</f>
        <v>GSM684757</v>
      </c>
      <c r="I2339" t="s">
        <v>177</v>
      </c>
      <c r="J2339" t="s">
        <v>178</v>
      </c>
      <c r="K2339" t="s">
        <v>19</v>
      </c>
      <c r="L2339" t="s">
        <v>44</v>
      </c>
      <c r="M2339" t="s">
        <v>50</v>
      </c>
      <c r="N2339" t="s">
        <v>29</v>
      </c>
    </row>
    <row r="2340" spans="1:14">
      <c r="A2340" s="4" t="str">
        <f t="shared" si="220"/>
        <v>EXP00068</v>
      </c>
      <c r="B2340" s="4" t="str">
        <f t="shared" si="218"/>
        <v>21665914</v>
      </c>
      <c r="C2340" s="4" t="str">
        <f t="shared" si="219"/>
        <v>GSE27635</v>
      </c>
      <c r="D2340" s="1" t="s">
        <v>175</v>
      </c>
      <c r="E2340" t="s">
        <v>179</v>
      </c>
      <c r="F2340" s="1">
        <v>1</v>
      </c>
      <c r="G2340" s="1" t="s">
        <v>31</v>
      </c>
      <c r="H2340" s="4" t="str">
        <f>HYPERLINK("https://www.ncbi.nlm.nih.gov/geo/query/acc.cgi?acc=GSM684759","GSM684759")</f>
        <v>GSM684759</v>
      </c>
      <c r="I2340" t="s">
        <v>177</v>
      </c>
      <c r="J2340" t="s">
        <v>178</v>
      </c>
      <c r="K2340" t="s">
        <v>19</v>
      </c>
      <c r="L2340" t="s">
        <v>44</v>
      </c>
      <c r="M2340" t="s">
        <v>50</v>
      </c>
      <c r="N2340" t="s">
        <v>29</v>
      </c>
    </row>
    <row r="2341" spans="1:14">
      <c r="A2341" s="4" t="str">
        <f t="shared" si="220"/>
        <v>EXP00068</v>
      </c>
      <c r="B2341" s="4" t="str">
        <f t="shared" si="218"/>
        <v>21665914</v>
      </c>
      <c r="C2341" s="4" t="str">
        <f t="shared" si="219"/>
        <v>GSE27635</v>
      </c>
      <c r="D2341" s="1" t="s">
        <v>175</v>
      </c>
      <c r="E2341" t="s">
        <v>179</v>
      </c>
      <c r="F2341" s="1">
        <v>1</v>
      </c>
      <c r="G2341" s="1" t="s">
        <v>31</v>
      </c>
      <c r="H2341" s="4" t="str">
        <f>HYPERLINK("https://www.ncbi.nlm.nih.gov/geo/query/acc.cgi?acc=GSM684761","GSM684761")</f>
        <v>GSM684761</v>
      </c>
      <c r="I2341" t="s">
        <v>177</v>
      </c>
      <c r="J2341" t="s">
        <v>178</v>
      </c>
      <c r="K2341" t="s">
        <v>19</v>
      </c>
      <c r="L2341" t="s">
        <v>44</v>
      </c>
      <c r="M2341" t="s">
        <v>50</v>
      </c>
      <c r="N2341" t="s">
        <v>29</v>
      </c>
    </row>
    <row r="2342" spans="1:14">
      <c r="A2342" s="4" t="str">
        <f t="shared" si="220"/>
        <v>EXP00068</v>
      </c>
      <c r="B2342" s="4" t="str">
        <f t="shared" si="218"/>
        <v>21665914</v>
      </c>
      <c r="C2342" s="4" t="str">
        <f t="shared" si="219"/>
        <v>GSE27635</v>
      </c>
      <c r="D2342" s="1" t="s">
        <v>175</v>
      </c>
      <c r="E2342" t="s">
        <v>179</v>
      </c>
      <c r="F2342" s="1">
        <v>1</v>
      </c>
      <c r="G2342" s="1" t="s">
        <v>31</v>
      </c>
      <c r="H2342" s="4" t="str">
        <f>HYPERLINK("https://www.ncbi.nlm.nih.gov/geo/query/acc.cgi?acc=GSM684763","GSM684763")</f>
        <v>GSM684763</v>
      </c>
      <c r="I2342" t="s">
        <v>177</v>
      </c>
      <c r="J2342" t="s">
        <v>178</v>
      </c>
      <c r="K2342" t="s">
        <v>19</v>
      </c>
      <c r="L2342" t="s">
        <v>44</v>
      </c>
      <c r="M2342" t="s">
        <v>50</v>
      </c>
      <c r="N2342" t="s">
        <v>29</v>
      </c>
    </row>
    <row r="2343" spans="1:14">
      <c r="A2343" s="4" t="str">
        <f t="shared" si="220"/>
        <v>EXP00068</v>
      </c>
      <c r="B2343" s="4" t="str">
        <f t="shared" si="218"/>
        <v>21665914</v>
      </c>
      <c r="C2343" s="4" t="str">
        <f t="shared" si="219"/>
        <v>GSE27635</v>
      </c>
      <c r="D2343" s="1" t="s">
        <v>175</v>
      </c>
      <c r="E2343" t="s">
        <v>179</v>
      </c>
      <c r="F2343" s="1">
        <v>1</v>
      </c>
      <c r="G2343" s="1" t="s">
        <v>31</v>
      </c>
      <c r="H2343" s="4" t="str">
        <f>HYPERLINK("https://www.ncbi.nlm.nih.gov/geo/query/acc.cgi?acc=GSM684765","GSM684765")</f>
        <v>GSM684765</v>
      </c>
      <c r="I2343" t="s">
        <v>177</v>
      </c>
      <c r="J2343" t="s">
        <v>178</v>
      </c>
      <c r="K2343" t="s">
        <v>19</v>
      </c>
      <c r="L2343" t="s">
        <v>44</v>
      </c>
      <c r="M2343" t="s">
        <v>50</v>
      </c>
      <c r="N2343" t="s">
        <v>29</v>
      </c>
    </row>
    <row r="2344" spans="1:14">
      <c r="A2344" s="4" t="str">
        <f t="shared" si="220"/>
        <v>EXP00068</v>
      </c>
      <c r="B2344" s="4" t="str">
        <f t="shared" si="218"/>
        <v>21665914</v>
      </c>
      <c r="C2344" s="4" t="str">
        <f t="shared" si="219"/>
        <v>GSE27635</v>
      </c>
      <c r="D2344" s="1" t="s">
        <v>175</v>
      </c>
      <c r="E2344" t="s">
        <v>179</v>
      </c>
      <c r="F2344" s="1">
        <v>1</v>
      </c>
      <c r="G2344" s="1" t="s">
        <v>31</v>
      </c>
      <c r="H2344" s="4" t="str">
        <f>HYPERLINK("https://www.ncbi.nlm.nih.gov/geo/query/acc.cgi?acc=GSM684767","GSM684767")</f>
        <v>GSM684767</v>
      </c>
      <c r="I2344" t="s">
        <v>177</v>
      </c>
      <c r="J2344" t="s">
        <v>178</v>
      </c>
      <c r="K2344" t="s">
        <v>19</v>
      </c>
      <c r="L2344" t="s">
        <v>44</v>
      </c>
      <c r="M2344" t="s">
        <v>50</v>
      </c>
      <c r="N2344" t="s">
        <v>29</v>
      </c>
    </row>
    <row r="2345" spans="1:14">
      <c r="A2345" s="4" t="str">
        <f t="shared" si="220"/>
        <v>EXP00068</v>
      </c>
      <c r="B2345" s="4" t="str">
        <f t="shared" si="218"/>
        <v>21665914</v>
      </c>
      <c r="C2345" s="4" t="str">
        <f t="shared" si="219"/>
        <v>GSE27635</v>
      </c>
      <c r="D2345" s="1" t="s">
        <v>175</v>
      </c>
      <c r="E2345" t="s">
        <v>179</v>
      </c>
      <c r="F2345" s="1">
        <v>1</v>
      </c>
      <c r="G2345" s="1" t="s">
        <v>31</v>
      </c>
      <c r="H2345" s="4" t="str">
        <f>HYPERLINK("https://www.ncbi.nlm.nih.gov/geo/query/acc.cgi?acc=GSM684769","GSM684769")</f>
        <v>GSM684769</v>
      </c>
      <c r="I2345" t="s">
        <v>177</v>
      </c>
      <c r="J2345" t="s">
        <v>178</v>
      </c>
      <c r="K2345" t="s">
        <v>19</v>
      </c>
      <c r="L2345" t="s">
        <v>44</v>
      </c>
      <c r="M2345" t="s">
        <v>50</v>
      </c>
      <c r="N2345" t="s">
        <v>29</v>
      </c>
    </row>
    <row r="2346" spans="1:14">
      <c r="A2346" s="4" t="str">
        <f t="shared" si="220"/>
        <v>EXP00068</v>
      </c>
      <c r="B2346" s="4" t="str">
        <f t="shared" si="218"/>
        <v>21665914</v>
      </c>
      <c r="C2346" s="4" t="str">
        <f t="shared" si="219"/>
        <v>GSE27635</v>
      </c>
      <c r="D2346" s="1" t="s">
        <v>175</v>
      </c>
      <c r="E2346" t="s">
        <v>179</v>
      </c>
      <c r="F2346" s="1">
        <v>1</v>
      </c>
      <c r="G2346" s="1" t="s">
        <v>31</v>
      </c>
      <c r="H2346" s="4" t="str">
        <f>HYPERLINK("https://www.ncbi.nlm.nih.gov/geo/query/acc.cgi?acc=GSM684771","GSM684771")</f>
        <v>GSM684771</v>
      </c>
      <c r="I2346" t="s">
        <v>177</v>
      </c>
      <c r="J2346" t="s">
        <v>178</v>
      </c>
      <c r="K2346" t="s">
        <v>19</v>
      </c>
      <c r="L2346" t="s">
        <v>44</v>
      </c>
      <c r="M2346" t="s">
        <v>50</v>
      </c>
      <c r="N2346" t="s">
        <v>29</v>
      </c>
    </row>
    <row r="2347" spans="1:14">
      <c r="A2347" s="4" t="str">
        <f t="shared" si="220"/>
        <v>EXP00068</v>
      </c>
      <c r="B2347" s="4" t="str">
        <f t="shared" si="218"/>
        <v>21665914</v>
      </c>
      <c r="C2347" s="4" t="str">
        <f t="shared" si="219"/>
        <v>GSE27635</v>
      </c>
      <c r="D2347" s="1" t="s">
        <v>175</v>
      </c>
      <c r="E2347" t="s">
        <v>179</v>
      </c>
      <c r="F2347" s="1">
        <v>1</v>
      </c>
      <c r="G2347" s="1" t="s">
        <v>31</v>
      </c>
      <c r="H2347" s="4" t="str">
        <f>HYPERLINK("https://www.ncbi.nlm.nih.gov/geo/query/acc.cgi?acc=GSM684773","GSM684773")</f>
        <v>GSM684773</v>
      </c>
      <c r="I2347" t="s">
        <v>177</v>
      </c>
      <c r="J2347" t="s">
        <v>178</v>
      </c>
      <c r="K2347" t="s">
        <v>19</v>
      </c>
      <c r="L2347" t="s">
        <v>44</v>
      </c>
      <c r="M2347" t="s">
        <v>50</v>
      </c>
      <c r="N2347" t="s">
        <v>29</v>
      </c>
    </row>
    <row r="2348" spans="1:14">
      <c r="A2348" s="4" t="str">
        <f t="shared" si="220"/>
        <v>EXP00068</v>
      </c>
      <c r="B2348" s="4" t="str">
        <f t="shared" si="218"/>
        <v>21665914</v>
      </c>
      <c r="C2348" s="4" t="str">
        <f t="shared" si="219"/>
        <v>GSE27635</v>
      </c>
      <c r="D2348" s="1" t="s">
        <v>175</v>
      </c>
      <c r="E2348" t="s">
        <v>179</v>
      </c>
      <c r="F2348" s="1">
        <v>1</v>
      </c>
      <c r="G2348" s="1" t="s">
        <v>31</v>
      </c>
      <c r="H2348" s="4" t="str">
        <f>HYPERLINK("https://www.ncbi.nlm.nih.gov/geo/query/acc.cgi?acc=GSM684775","GSM684775")</f>
        <v>GSM684775</v>
      </c>
      <c r="I2348" t="s">
        <v>177</v>
      </c>
      <c r="J2348" t="s">
        <v>178</v>
      </c>
      <c r="K2348" t="s">
        <v>19</v>
      </c>
      <c r="L2348" t="s">
        <v>44</v>
      </c>
      <c r="M2348" t="s">
        <v>50</v>
      </c>
      <c r="N2348" t="s">
        <v>29</v>
      </c>
    </row>
    <row r="2349" spans="1:14">
      <c r="A2349" s="4" t="str">
        <f t="shared" si="220"/>
        <v>EXP00068</v>
      </c>
      <c r="B2349" s="4" t="str">
        <f t="shared" si="218"/>
        <v>21665914</v>
      </c>
      <c r="C2349" s="4" t="str">
        <f t="shared" si="219"/>
        <v>GSE27635</v>
      </c>
      <c r="D2349" s="1" t="s">
        <v>175</v>
      </c>
      <c r="E2349" t="s">
        <v>179</v>
      </c>
      <c r="F2349" s="1">
        <v>1</v>
      </c>
      <c r="G2349" s="1" t="s">
        <v>31</v>
      </c>
      <c r="H2349" s="4" t="str">
        <f>HYPERLINK("https://www.ncbi.nlm.nih.gov/geo/query/acc.cgi?acc=GSM684777","GSM684777")</f>
        <v>GSM684777</v>
      </c>
      <c r="I2349" t="s">
        <v>177</v>
      </c>
      <c r="J2349" t="s">
        <v>178</v>
      </c>
      <c r="K2349" t="s">
        <v>19</v>
      </c>
      <c r="L2349" t="s">
        <v>44</v>
      </c>
      <c r="M2349" t="s">
        <v>50</v>
      </c>
      <c r="N2349" t="s">
        <v>29</v>
      </c>
    </row>
    <row r="2350" spans="1:14">
      <c r="A2350" s="4" t="str">
        <f t="shared" si="220"/>
        <v>EXP00068</v>
      </c>
      <c r="B2350" s="4" t="str">
        <f t="shared" si="218"/>
        <v>21665914</v>
      </c>
      <c r="C2350" s="4" t="str">
        <f t="shared" si="219"/>
        <v>GSE27635</v>
      </c>
      <c r="D2350" s="1" t="s">
        <v>175</v>
      </c>
      <c r="E2350" t="s">
        <v>179</v>
      </c>
      <c r="F2350" s="1">
        <v>1</v>
      </c>
      <c r="G2350" s="1" t="s">
        <v>31</v>
      </c>
      <c r="H2350" s="4" t="str">
        <f>HYPERLINK("https://www.ncbi.nlm.nih.gov/geo/query/acc.cgi?acc=GSM684779","GSM684779")</f>
        <v>GSM684779</v>
      </c>
      <c r="I2350" t="s">
        <v>177</v>
      </c>
      <c r="J2350" t="s">
        <v>178</v>
      </c>
      <c r="K2350" t="s">
        <v>19</v>
      </c>
      <c r="L2350" t="s">
        <v>44</v>
      </c>
      <c r="M2350" t="s">
        <v>50</v>
      </c>
      <c r="N2350" t="s">
        <v>29</v>
      </c>
    </row>
    <row r="2351" spans="1:14">
      <c r="A2351" s="4" t="str">
        <f t="shared" si="220"/>
        <v>EXP00068</v>
      </c>
      <c r="B2351" s="4" t="str">
        <f t="shared" ref="B2351:B2382" si="221">HYPERLINK("https://www.ncbi.nlm.nih.gov/pubmed/21665914","21665914")</f>
        <v>21665914</v>
      </c>
      <c r="C2351" s="4" t="str">
        <f t="shared" ref="C2351:C2382" si="222">HYPERLINK("https://www.ncbi.nlm.nih.gov/geo/query/acc.cgi?acc=GSE27635","GSE27635")</f>
        <v>GSE27635</v>
      </c>
      <c r="D2351" s="1" t="s">
        <v>175</v>
      </c>
      <c r="E2351" t="s">
        <v>179</v>
      </c>
      <c r="F2351" s="1">
        <v>1</v>
      </c>
      <c r="G2351" s="1" t="s">
        <v>31</v>
      </c>
      <c r="H2351" s="4" t="str">
        <f>HYPERLINK("https://www.ncbi.nlm.nih.gov/geo/query/acc.cgi?acc=GSM684781","GSM684781")</f>
        <v>GSM684781</v>
      </c>
      <c r="I2351" t="s">
        <v>177</v>
      </c>
      <c r="J2351" t="s">
        <v>178</v>
      </c>
      <c r="K2351" t="s">
        <v>19</v>
      </c>
      <c r="L2351" t="s">
        <v>44</v>
      </c>
      <c r="M2351" t="s">
        <v>50</v>
      </c>
      <c r="N2351" t="s">
        <v>29</v>
      </c>
    </row>
    <row r="2352" spans="1:14">
      <c r="A2352" s="4" t="str">
        <f t="shared" si="220"/>
        <v>EXP00068</v>
      </c>
      <c r="B2352" s="4" t="str">
        <f t="shared" si="221"/>
        <v>21665914</v>
      </c>
      <c r="C2352" s="4" t="str">
        <f t="shared" si="222"/>
        <v>GSE27635</v>
      </c>
      <c r="D2352" s="1" t="s">
        <v>175</v>
      </c>
      <c r="E2352" t="s">
        <v>179</v>
      </c>
      <c r="F2352" s="1">
        <v>1</v>
      </c>
      <c r="G2352" s="1" t="s">
        <v>31</v>
      </c>
      <c r="H2352" s="4" t="str">
        <f>HYPERLINK("https://www.ncbi.nlm.nih.gov/geo/query/acc.cgi?acc=GSM684783","GSM684783")</f>
        <v>GSM684783</v>
      </c>
      <c r="I2352" t="s">
        <v>177</v>
      </c>
      <c r="J2352" t="s">
        <v>178</v>
      </c>
      <c r="K2352" t="s">
        <v>19</v>
      </c>
      <c r="L2352" t="s">
        <v>44</v>
      </c>
      <c r="M2352" t="s">
        <v>50</v>
      </c>
      <c r="N2352" t="s">
        <v>29</v>
      </c>
    </row>
    <row r="2353" spans="1:14">
      <c r="A2353" s="4" t="str">
        <f t="shared" si="220"/>
        <v>EXP00068</v>
      </c>
      <c r="B2353" s="4" t="str">
        <f t="shared" si="221"/>
        <v>21665914</v>
      </c>
      <c r="C2353" s="4" t="str">
        <f t="shared" si="222"/>
        <v>GSE27635</v>
      </c>
      <c r="D2353" s="1" t="s">
        <v>175</v>
      </c>
      <c r="E2353" t="s">
        <v>179</v>
      </c>
      <c r="F2353" s="1">
        <v>1</v>
      </c>
      <c r="G2353" s="1" t="s">
        <v>31</v>
      </c>
      <c r="H2353" s="4" t="str">
        <f>HYPERLINK("https://www.ncbi.nlm.nih.gov/geo/query/acc.cgi?acc=GSM684785","GSM684785")</f>
        <v>GSM684785</v>
      </c>
      <c r="I2353" t="s">
        <v>177</v>
      </c>
      <c r="J2353" t="s">
        <v>178</v>
      </c>
      <c r="K2353" t="s">
        <v>19</v>
      </c>
      <c r="L2353" t="s">
        <v>44</v>
      </c>
      <c r="M2353" t="s">
        <v>50</v>
      </c>
      <c r="N2353" t="s">
        <v>29</v>
      </c>
    </row>
    <row r="2354" spans="1:14">
      <c r="A2354" s="4" t="str">
        <f t="shared" si="220"/>
        <v>EXP00068</v>
      </c>
      <c r="B2354" s="4" t="str">
        <f t="shared" si="221"/>
        <v>21665914</v>
      </c>
      <c r="C2354" s="4" t="str">
        <f t="shared" si="222"/>
        <v>GSE27635</v>
      </c>
      <c r="D2354" s="1" t="s">
        <v>175</v>
      </c>
      <c r="E2354" t="s">
        <v>179</v>
      </c>
      <c r="F2354" s="1">
        <v>1</v>
      </c>
      <c r="G2354" s="1" t="s">
        <v>31</v>
      </c>
      <c r="H2354" s="4" t="str">
        <f>HYPERLINK("https://www.ncbi.nlm.nih.gov/geo/query/acc.cgi?acc=GSM684787","GSM684787")</f>
        <v>GSM684787</v>
      </c>
      <c r="I2354" t="s">
        <v>177</v>
      </c>
      <c r="J2354" t="s">
        <v>178</v>
      </c>
      <c r="K2354" t="s">
        <v>19</v>
      </c>
      <c r="L2354" t="s">
        <v>44</v>
      </c>
      <c r="M2354" t="s">
        <v>50</v>
      </c>
      <c r="N2354" t="s">
        <v>29</v>
      </c>
    </row>
    <row r="2355" spans="1:14">
      <c r="A2355" s="4" t="str">
        <f t="shared" si="220"/>
        <v>EXP00068</v>
      </c>
      <c r="B2355" s="4" t="str">
        <f t="shared" si="221"/>
        <v>21665914</v>
      </c>
      <c r="C2355" s="4" t="str">
        <f t="shared" si="222"/>
        <v>GSE27635</v>
      </c>
      <c r="D2355" s="1" t="s">
        <v>175</v>
      </c>
      <c r="E2355" t="s">
        <v>179</v>
      </c>
      <c r="F2355" s="1">
        <v>1</v>
      </c>
      <c r="G2355" s="1" t="s">
        <v>31</v>
      </c>
      <c r="H2355" s="4" t="str">
        <f>HYPERLINK("https://www.ncbi.nlm.nih.gov/geo/query/acc.cgi?acc=GSM684789","GSM684789")</f>
        <v>GSM684789</v>
      </c>
      <c r="I2355" t="s">
        <v>177</v>
      </c>
      <c r="J2355" t="s">
        <v>178</v>
      </c>
      <c r="K2355" t="s">
        <v>19</v>
      </c>
      <c r="L2355" t="s">
        <v>44</v>
      </c>
      <c r="M2355" t="s">
        <v>50</v>
      </c>
      <c r="N2355" t="s">
        <v>29</v>
      </c>
    </row>
    <row r="2356" spans="1:14">
      <c r="A2356" s="4" t="str">
        <f t="shared" si="220"/>
        <v>EXP00068</v>
      </c>
      <c r="B2356" s="4" t="str">
        <f t="shared" si="221"/>
        <v>21665914</v>
      </c>
      <c r="C2356" s="4" t="str">
        <f t="shared" si="222"/>
        <v>GSE27635</v>
      </c>
      <c r="D2356" s="1" t="s">
        <v>175</v>
      </c>
      <c r="E2356" t="s">
        <v>179</v>
      </c>
      <c r="F2356" s="1">
        <v>1</v>
      </c>
      <c r="G2356" s="1" t="s">
        <v>31</v>
      </c>
      <c r="H2356" s="4" t="str">
        <f>HYPERLINK("https://www.ncbi.nlm.nih.gov/geo/query/acc.cgi?acc=GSM684791","GSM684791")</f>
        <v>GSM684791</v>
      </c>
      <c r="I2356" t="s">
        <v>177</v>
      </c>
      <c r="J2356" t="s">
        <v>178</v>
      </c>
      <c r="K2356" t="s">
        <v>19</v>
      </c>
      <c r="L2356" t="s">
        <v>44</v>
      </c>
      <c r="M2356" t="s">
        <v>50</v>
      </c>
      <c r="N2356" t="s">
        <v>29</v>
      </c>
    </row>
    <row r="2357" spans="1:14">
      <c r="A2357" s="4" t="str">
        <f t="shared" si="220"/>
        <v>EXP00068</v>
      </c>
      <c r="B2357" s="4" t="str">
        <f t="shared" si="221"/>
        <v>21665914</v>
      </c>
      <c r="C2357" s="4" t="str">
        <f t="shared" si="222"/>
        <v>GSE27635</v>
      </c>
      <c r="D2357" s="1" t="s">
        <v>175</v>
      </c>
      <c r="E2357" t="s">
        <v>179</v>
      </c>
      <c r="F2357" s="1">
        <v>1</v>
      </c>
      <c r="G2357" s="1" t="s">
        <v>31</v>
      </c>
      <c r="H2357" s="4" t="str">
        <f>HYPERLINK("https://www.ncbi.nlm.nih.gov/geo/query/acc.cgi?acc=GSM684793","GSM684793")</f>
        <v>GSM684793</v>
      </c>
      <c r="I2357" t="s">
        <v>177</v>
      </c>
      <c r="J2357" t="s">
        <v>178</v>
      </c>
      <c r="K2357" t="s">
        <v>19</v>
      </c>
      <c r="L2357" t="s">
        <v>44</v>
      </c>
      <c r="M2357" t="s">
        <v>50</v>
      </c>
      <c r="N2357" t="s">
        <v>29</v>
      </c>
    </row>
    <row r="2358" spans="1:14">
      <c r="A2358" s="4" t="str">
        <f t="shared" si="220"/>
        <v>EXP00068</v>
      </c>
      <c r="B2358" s="4" t="str">
        <f t="shared" si="221"/>
        <v>21665914</v>
      </c>
      <c r="C2358" s="4" t="str">
        <f t="shared" si="222"/>
        <v>GSE27635</v>
      </c>
      <c r="D2358" s="1" t="s">
        <v>175</v>
      </c>
      <c r="E2358" t="s">
        <v>179</v>
      </c>
      <c r="F2358" s="1">
        <v>1</v>
      </c>
      <c r="G2358" s="1" t="s">
        <v>31</v>
      </c>
      <c r="H2358" s="4" t="str">
        <f>HYPERLINK("https://www.ncbi.nlm.nih.gov/geo/query/acc.cgi?acc=GSM684795","GSM684795")</f>
        <v>GSM684795</v>
      </c>
      <c r="I2358" t="s">
        <v>177</v>
      </c>
      <c r="J2358" t="s">
        <v>178</v>
      </c>
      <c r="K2358" t="s">
        <v>19</v>
      </c>
      <c r="L2358" t="s">
        <v>44</v>
      </c>
      <c r="M2358" t="s">
        <v>50</v>
      </c>
      <c r="N2358" t="s">
        <v>29</v>
      </c>
    </row>
    <row r="2359" spans="1:14">
      <c r="A2359" s="4" t="str">
        <f t="shared" si="220"/>
        <v>EXP00068</v>
      </c>
      <c r="B2359" s="4" t="str">
        <f t="shared" si="221"/>
        <v>21665914</v>
      </c>
      <c r="C2359" s="4" t="str">
        <f t="shared" si="222"/>
        <v>GSE27635</v>
      </c>
      <c r="D2359" s="1" t="s">
        <v>175</v>
      </c>
      <c r="E2359" t="s">
        <v>179</v>
      </c>
      <c r="F2359" s="1">
        <v>2</v>
      </c>
      <c r="G2359" s="1" t="s">
        <v>32</v>
      </c>
      <c r="H2359" s="4" t="str">
        <f>HYPERLINK("https://www.ncbi.nlm.nih.gov/geo/query/acc.cgi?acc=GSM684797","GSM684797")</f>
        <v>GSM684797</v>
      </c>
      <c r="I2359" t="s">
        <v>177</v>
      </c>
      <c r="J2359" t="s">
        <v>178</v>
      </c>
      <c r="K2359" t="s">
        <v>33</v>
      </c>
      <c r="L2359" t="s">
        <v>44</v>
      </c>
      <c r="N2359" t="s">
        <v>29</v>
      </c>
    </row>
    <row r="2360" spans="1:14">
      <c r="A2360" s="4" t="str">
        <f t="shared" si="220"/>
        <v>EXP00068</v>
      </c>
      <c r="B2360" s="4" t="str">
        <f t="shared" si="221"/>
        <v>21665914</v>
      </c>
      <c r="C2360" s="4" t="str">
        <f t="shared" si="222"/>
        <v>GSE27635</v>
      </c>
      <c r="D2360" s="1" t="s">
        <v>175</v>
      </c>
      <c r="E2360" t="s">
        <v>179</v>
      </c>
      <c r="F2360" s="1">
        <v>2</v>
      </c>
      <c r="G2360" s="1" t="s">
        <v>32</v>
      </c>
      <c r="H2360" s="4" t="str">
        <f>HYPERLINK("https://www.ncbi.nlm.nih.gov/geo/query/acc.cgi?acc=GSM684799","GSM684799")</f>
        <v>GSM684799</v>
      </c>
      <c r="I2360" t="s">
        <v>177</v>
      </c>
      <c r="J2360" t="s">
        <v>178</v>
      </c>
      <c r="K2360" t="s">
        <v>33</v>
      </c>
      <c r="L2360" t="s">
        <v>44</v>
      </c>
      <c r="N2360" t="s">
        <v>29</v>
      </c>
    </row>
    <row r="2361" spans="1:14">
      <c r="A2361" s="4" t="str">
        <f t="shared" si="220"/>
        <v>EXP00068</v>
      </c>
      <c r="B2361" s="4" t="str">
        <f t="shared" si="221"/>
        <v>21665914</v>
      </c>
      <c r="C2361" s="4" t="str">
        <f t="shared" si="222"/>
        <v>GSE27635</v>
      </c>
      <c r="D2361" s="1" t="s">
        <v>175</v>
      </c>
      <c r="E2361" t="s">
        <v>179</v>
      </c>
      <c r="F2361" s="1">
        <v>2</v>
      </c>
      <c r="G2361" s="1" t="s">
        <v>32</v>
      </c>
      <c r="H2361" s="4" t="str">
        <f>HYPERLINK("https://www.ncbi.nlm.nih.gov/geo/query/acc.cgi?acc=GSM684801","GSM684801")</f>
        <v>GSM684801</v>
      </c>
      <c r="I2361" t="s">
        <v>177</v>
      </c>
      <c r="J2361" t="s">
        <v>178</v>
      </c>
      <c r="K2361" t="s">
        <v>33</v>
      </c>
      <c r="L2361" t="s">
        <v>44</v>
      </c>
      <c r="N2361" t="s">
        <v>29</v>
      </c>
    </row>
    <row r="2362" spans="1:14">
      <c r="A2362" s="4" t="str">
        <f t="shared" si="220"/>
        <v>EXP00068</v>
      </c>
      <c r="B2362" s="4" t="str">
        <f t="shared" si="221"/>
        <v>21665914</v>
      </c>
      <c r="C2362" s="4" t="str">
        <f t="shared" si="222"/>
        <v>GSE27635</v>
      </c>
      <c r="D2362" s="1" t="s">
        <v>175</v>
      </c>
      <c r="E2362" t="s">
        <v>179</v>
      </c>
      <c r="F2362" s="1">
        <v>2</v>
      </c>
      <c r="G2362" s="1" t="s">
        <v>32</v>
      </c>
      <c r="H2362" s="4" t="str">
        <f>HYPERLINK("https://www.ncbi.nlm.nih.gov/geo/query/acc.cgi?acc=GSM684803","GSM684803")</f>
        <v>GSM684803</v>
      </c>
      <c r="I2362" t="s">
        <v>177</v>
      </c>
      <c r="J2362" t="s">
        <v>178</v>
      </c>
      <c r="K2362" t="s">
        <v>33</v>
      </c>
      <c r="L2362" t="s">
        <v>44</v>
      </c>
      <c r="N2362" t="s">
        <v>29</v>
      </c>
    </row>
    <row r="2363" spans="1:14">
      <c r="A2363" s="4" t="str">
        <f t="shared" si="220"/>
        <v>EXP00068</v>
      </c>
      <c r="B2363" s="4" t="str">
        <f t="shared" si="221"/>
        <v>21665914</v>
      </c>
      <c r="C2363" s="4" t="str">
        <f t="shared" si="222"/>
        <v>GSE27635</v>
      </c>
      <c r="D2363" s="1" t="s">
        <v>175</v>
      </c>
      <c r="E2363" t="s">
        <v>179</v>
      </c>
      <c r="F2363" s="1">
        <v>2</v>
      </c>
      <c r="G2363" s="1" t="s">
        <v>32</v>
      </c>
      <c r="H2363" s="4" t="str">
        <f>HYPERLINK("https://www.ncbi.nlm.nih.gov/geo/query/acc.cgi?acc=GSM684805","GSM684805")</f>
        <v>GSM684805</v>
      </c>
      <c r="I2363" t="s">
        <v>177</v>
      </c>
      <c r="J2363" t="s">
        <v>178</v>
      </c>
      <c r="K2363" t="s">
        <v>33</v>
      </c>
      <c r="L2363" t="s">
        <v>44</v>
      </c>
      <c r="N2363" t="s">
        <v>29</v>
      </c>
    </row>
    <row r="2364" spans="1:14">
      <c r="A2364" s="4" t="str">
        <f t="shared" si="220"/>
        <v>EXP00068</v>
      </c>
      <c r="B2364" s="4" t="str">
        <f t="shared" si="221"/>
        <v>21665914</v>
      </c>
      <c r="C2364" s="4" t="str">
        <f t="shared" si="222"/>
        <v>GSE27635</v>
      </c>
      <c r="D2364" s="1" t="s">
        <v>175</v>
      </c>
      <c r="E2364" t="s">
        <v>179</v>
      </c>
      <c r="F2364" s="1">
        <v>2</v>
      </c>
      <c r="G2364" s="1" t="s">
        <v>32</v>
      </c>
      <c r="H2364" s="4" t="str">
        <f>HYPERLINK("https://www.ncbi.nlm.nih.gov/geo/query/acc.cgi?acc=GSM684807","GSM684807")</f>
        <v>GSM684807</v>
      </c>
      <c r="I2364" t="s">
        <v>177</v>
      </c>
      <c r="J2364" t="s">
        <v>178</v>
      </c>
      <c r="K2364" t="s">
        <v>33</v>
      </c>
      <c r="L2364" t="s">
        <v>44</v>
      </c>
      <c r="N2364" t="s">
        <v>29</v>
      </c>
    </row>
    <row r="2365" spans="1:14">
      <c r="A2365" s="4" t="str">
        <f t="shared" si="220"/>
        <v>EXP00068</v>
      </c>
      <c r="B2365" s="4" t="str">
        <f t="shared" si="221"/>
        <v>21665914</v>
      </c>
      <c r="C2365" s="4" t="str">
        <f t="shared" si="222"/>
        <v>GSE27635</v>
      </c>
      <c r="D2365" s="1" t="s">
        <v>175</v>
      </c>
      <c r="E2365" t="s">
        <v>179</v>
      </c>
      <c r="F2365" s="1">
        <v>2</v>
      </c>
      <c r="G2365" s="1" t="s">
        <v>32</v>
      </c>
      <c r="H2365" s="4" t="str">
        <f>HYPERLINK("https://www.ncbi.nlm.nih.gov/geo/query/acc.cgi?acc=GSM684809","GSM684809")</f>
        <v>GSM684809</v>
      </c>
      <c r="I2365" t="s">
        <v>177</v>
      </c>
      <c r="J2365" t="s">
        <v>178</v>
      </c>
      <c r="K2365" t="s">
        <v>33</v>
      </c>
      <c r="L2365" t="s">
        <v>44</v>
      </c>
      <c r="N2365" t="s">
        <v>29</v>
      </c>
    </row>
    <row r="2366" spans="1:14">
      <c r="A2366" s="4" t="str">
        <f t="shared" si="220"/>
        <v>EXP00068</v>
      </c>
      <c r="B2366" s="4" t="str">
        <f t="shared" si="221"/>
        <v>21665914</v>
      </c>
      <c r="C2366" s="4" t="str">
        <f t="shared" si="222"/>
        <v>GSE27635</v>
      </c>
      <c r="D2366" s="1" t="s">
        <v>175</v>
      </c>
      <c r="E2366" t="s">
        <v>179</v>
      </c>
      <c r="F2366" s="1">
        <v>2</v>
      </c>
      <c r="G2366" s="1" t="s">
        <v>32</v>
      </c>
      <c r="H2366" s="4" t="str">
        <f>HYPERLINK("https://www.ncbi.nlm.nih.gov/geo/query/acc.cgi?acc=GSM684811","GSM684811")</f>
        <v>GSM684811</v>
      </c>
      <c r="I2366" t="s">
        <v>177</v>
      </c>
      <c r="J2366" t="s">
        <v>178</v>
      </c>
      <c r="K2366" t="s">
        <v>33</v>
      </c>
      <c r="L2366" t="s">
        <v>44</v>
      </c>
      <c r="N2366" t="s">
        <v>29</v>
      </c>
    </row>
    <row r="2367" spans="1:14">
      <c r="A2367" s="4" t="str">
        <f t="shared" si="220"/>
        <v>EXP00068</v>
      </c>
      <c r="B2367" s="4" t="str">
        <f t="shared" si="221"/>
        <v>21665914</v>
      </c>
      <c r="C2367" s="4" t="str">
        <f t="shared" si="222"/>
        <v>GSE27635</v>
      </c>
      <c r="D2367" s="1" t="s">
        <v>175</v>
      </c>
      <c r="E2367" t="s">
        <v>179</v>
      </c>
      <c r="F2367" s="1">
        <v>2</v>
      </c>
      <c r="G2367" s="1" t="s">
        <v>32</v>
      </c>
      <c r="H2367" s="4" t="str">
        <f>HYPERLINK("https://www.ncbi.nlm.nih.gov/geo/query/acc.cgi?acc=GSM684813","GSM684813")</f>
        <v>GSM684813</v>
      </c>
      <c r="I2367" t="s">
        <v>177</v>
      </c>
      <c r="J2367" t="s">
        <v>178</v>
      </c>
      <c r="K2367" t="s">
        <v>33</v>
      </c>
      <c r="L2367" t="s">
        <v>44</v>
      </c>
      <c r="N2367" t="s">
        <v>29</v>
      </c>
    </row>
    <row r="2368" spans="1:14">
      <c r="A2368" s="4" t="str">
        <f t="shared" si="220"/>
        <v>EXP00068</v>
      </c>
      <c r="B2368" s="4" t="str">
        <f t="shared" si="221"/>
        <v>21665914</v>
      </c>
      <c r="C2368" s="4" t="str">
        <f t="shared" si="222"/>
        <v>GSE27635</v>
      </c>
      <c r="D2368" s="1" t="s">
        <v>175</v>
      </c>
      <c r="E2368" t="s">
        <v>179</v>
      </c>
      <c r="F2368" s="1">
        <v>2</v>
      </c>
      <c r="G2368" s="1" t="s">
        <v>32</v>
      </c>
      <c r="H2368" s="4" t="str">
        <f>HYPERLINK("https://www.ncbi.nlm.nih.gov/geo/query/acc.cgi?acc=GSM684815","GSM684815")</f>
        <v>GSM684815</v>
      </c>
      <c r="I2368" t="s">
        <v>177</v>
      </c>
      <c r="J2368" t="s">
        <v>178</v>
      </c>
      <c r="K2368" t="s">
        <v>33</v>
      </c>
      <c r="L2368" t="s">
        <v>44</v>
      </c>
      <c r="N2368" t="s">
        <v>29</v>
      </c>
    </row>
    <row r="2369" spans="1:14">
      <c r="A2369" s="4" t="str">
        <f t="shared" si="220"/>
        <v>EXP00068</v>
      </c>
      <c r="B2369" s="4" t="str">
        <f t="shared" si="221"/>
        <v>21665914</v>
      </c>
      <c r="C2369" s="4" t="str">
        <f t="shared" si="222"/>
        <v>GSE27635</v>
      </c>
      <c r="D2369" s="1" t="s">
        <v>175</v>
      </c>
      <c r="E2369" t="s">
        <v>179</v>
      </c>
      <c r="F2369" s="1">
        <v>2</v>
      </c>
      <c r="G2369" s="1" t="s">
        <v>32</v>
      </c>
      <c r="H2369" s="4" t="str">
        <f>HYPERLINK("https://www.ncbi.nlm.nih.gov/geo/query/acc.cgi?acc=GSM684817","GSM684817")</f>
        <v>GSM684817</v>
      </c>
      <c r="I2369" t="s">
        <v>177</v>
      </c>
      <c r="J2369" t="s">
        <v>178</v>
      </c>
      <c r="K2369" t="s">
        <v>33</v>
      </c>
      <c r="L2369" t="s">
        <v>44</v>
      </c>
      <c r="N2369" t="s">
        <v>29</v>
      </c>
    </row>
    <row r="2370" spans="1:14">
      <c r="A2370" s="4" t="str">
        <f t="shared" si="220"/>
        <v>EXP00068</v>
      </c>
      <c r="B2370" s="4" t="str">
        <f t="shared" si="221"/>
        <v>21665914</v>
      </c>
      <c r="C2370" s="4" t="str">
        <f t="shared" si="222"/>
        <v>GSE27635</v>
      </c>
      <c r="D2370" s="1" t="s">
        <v>175</v>
      </c>
      <c r="E2370" t="s">
        <v>179</v>
      </c>
      <c r="F2370" s="1">
        <v>2</v>
      </c>
      <c r="G2370" s="1" t="s">
        <v>32</v>
      </c>
      <c r="H2370" s="4" t="str">
        <f>HYPERLINK("https://www.ncbi.nlm.nih.gov/geo/query/acc.cgi?acc=GSM684819","GSM684819")</f>
        <v>GSM684819</v>
      </c>
      <c r="I2370" t="s">
        <v>177</v>
      </c>
      <c r="J2370" t="s">
        <v>178</v>
      </c>
      <c r="K2370" t="s">
        <v>33</v>
      </c>
      <c r="L2370" t="s">
        <v>44</v>
      </c>
      <c r="N2370" t="s">
        <v>29</v>
      </c>
    </row>
    <row r="2371" spans="1:14">
      <c r="A2371" s="4" t="str">
        <f t="shared" si="220"/>
        <v>EXP00068</v>
      </c>
      <c r="B2371" s="4" t="str">
        <f t="shared" si="221"/>
        <v>21665914</v>
      </c>
      <c r="C2371" s="4" t="str">
        <f t="shared" si="222"/>
        <v>GSE27635</v>
      </c>
      <c r="D2371" s="1" t="s">
        <v>175</v>
      </c>
      <c r="E2371" t="s">
        <v>179</v>
      </c>
      <c r="F2371" s="1">
        <v>2</v>
      </c>
      <c r="G2371" s="1" t="s">
        <v>32</v>
      </c>
      <c r="H2371" s="4" t="str">
        <f>HYPERLINK("https://www.ncbi.nlm.nih.gov/geo/query/acc.cgi?acc=GSM684821","GSM684821")</f>
        <v>GSM684821</v>
      </c>
      <c r="I2371" t="s">
        <v>177</v>
      </c>
      <c r="J2371" t="s">
        <v>178</v>
      </c>
      <c r="K2371" t="s">
        <v>33</v>
      </c>
      <c r="L2371" t="s">
        <v>44</v>
      </c>
      <c r="N2371" t="s">
        <v>29</v>
      </c>
    </row>
    <row r="2372" spans="1:14">
      <c r="A2372" s="4" t="str">
        <f t="shared" si="220"/>
        <v>EXP00068</v>
      </c>
      <c r="B2372" s="4" t="str">
        <f t="shared" si="221"/>
        <v>21665914</v>
      </c>
      <c r="C2372" s="4" t="str">
        <f t="shared" si="222"/>
        <v>GSE27635</v>
      </c>
      <c r="D2372" s="1" t="s">
        <v>175</v>
      </c>
      <c r="E2372" t="s">
        <v>179</v>
      </c>
      <c r="F2372" s="1">
        <v>2</v>
      </c>
      <c r="G2372" s="1" t="s">
        <v>32</v>
      </c>
      <c r="H2372" s="4" t="str">
        <f>HYPERLINK("https://www.ncbi.nlm.nih.gov/geo/query/acc.cgi?acc=GSM684823","GSM684823")</f>
        <v>GSM684823</v>
      </c>
      <c r="I2372" t="s">
        <v>177</v>
      </c>
      <c r="J2372" t="s">
        <v>178</v>
      </c>
      <c r="K2372" t="s">
        <v>33</v>
      </c>
      <c r="L2372" t="s">
        <v>44</v>
      </c>
      <c r="N2372" t="s">
        <v>29</v>
      </c>
    </row>
    <row r="2373" spans="1:14">
      <c r="A2373" s="4" t="str">
        <f t="shared" si="220"/>
        <v>EXP00068</v>
      </c>
      <c r="B2373" s="4" t="str">
        <f t="shared" si="221"/>
        <v>21665914</v>
      </c>
      <c r="C2373" s="4" t="str">
        <f t="shared" si="222"/>
        <v>GSE27635</v>
      </c>
      <c r="D2373" s="1" t="s">
        <v>175</v>
      </c>
      <c r="E2373" t="s">
        <v>179</v>
      </c>
      <c r="F2373" s="1">
        <v>2</v>
      </c>
      <c r="G2373" s="1" t="s">
        <v>32</v>
      </c>
      <c r="H2373" s="4" t="str">
        <f>HYPERLINK("https://www.ncbi.nlm.nih.gov/geo/query/acc.cgi?acc=GSM684825","GSM684825")</f>
        <v>GSM684825</v>
      </c>
      <c r="I2373" t="s">
        <v>177</v>
      </c>
      <c r="J2373" t="s">
        <v>178</v>
      </c>
      <c r="K2373" t="s">
        <v>33</v>
      </c>
      <c r="L2373" t="s">
        <v>44</v>
      </c>
      <c r="N2373" t="s">
        <v>29</v>
      </c>
    </row>
    <row r="2374" spans="1:14">
      <c r="A2374" s="4" t="str">
        <f t="shared" si="220"/>
        <v>EXP00068</v>
      </c>
      <c r="B2374" s="4" t="str">
        <f t="shared" si="221"/>
        <v>21665914</v>
      </c>
      <c r="C2374" s="4" t="str">
        <f t="shared" si="222"/>
        <v>GSE27635</v>
      </c>
      <c r="D2374" s="1" t="s">
        <v>175</v>
      </c>
      <c r="E2374" t="s">
        <v>179</v>
      </c>
      <c r="F2374" s="1">
        <v>2</v>
      </c>
      <c r="G2374" s="1" t="s">
        <v>32</v>
      </c>
      <c r="H2374" s="4" t="str">
        <f>HYPERLINK("https://www.ncbi.nlm.nih.gov/geo/query/acc.cgi?acc=GSM684827","GSM684827")</f>
        <v>GSM684827</v>
      </c>
      <c r="I2374" t="s">
        <v>177</v>
      </c>
      <c r="J2374" t="s">
        <v>178</v>
      </c>
      <c r="K2374" t="s">
        <v>33</v>
      </c>
      <c r="L2374" t="s">
        <v>44</v>
      </c>
      <c r="N2374" t="s">
        <v>29</v>
      </c>
    </row>
    <row r="2375" spans="1:14">
      <c r="A2375" s="4" t="str">
        <f t="shared" si="220"/>
        <v>EXP00068</v>
      </c>
      <c r="B2375" s="4" t="str">
        <f t="shared" si="221"/>
        <v>21665914</v>
      </c>
      <c r="C2375" s="4" t="str">
        <f t="shared" si="222"/>
        <v>GSE27635</v>
      </c>
      <c r="D2375" s="1" t="s">
        <v>175</v>
      </c>
      <c r="E2375" t="s">
        <v>179</v>
      </c>
      <c r="F2375" s="1">
        <v>2</v>
      </c>
      <c r="G2375" s="1" t="s">
        <v>32</v>
      </c>
      <c r="H2375" s="4" t="str">
        <f>HYPERLINK("https://www.ncbi.nlm.nih.gov/geo/query/acc.cgi?acc=GSM684829","GSM684829")</f>
        <v>GSM684829</v>
      </c>
      <c r="I2375" t="s">
        <v>177</v>
      </c>
      <c r="J2375" t="s">
        <v>178</v>
      </c>
      <c r="K2375" t="s">
        <v>33</v>
      </c>
      <c r="L2375" t="s">
        <v>44</v>
      </c>
      <c r="N2375" t="s">
        <v>29</v>
      </c>
    </row>
    <row r="2376" spans="1:14">
      <c r="A2376" s="4" t="str">
        <f t="shared" si="220"/>
        <v>EXP00068</v>
      </c>
      <c r="B2376" s="4" t="str">
        <f t="shared" si="221"/>
        <v>21665914</v>
      </c>
      <c r="C2376" s="4" t="str">
        <f t="shared" si="222"/>
        <v>GSE27635</v>
      </c>
      <c r="D2376" s="1" t="s">
        <v>175</v>
      </c>
      <c r="E2376" t="s">
        <v>179</v>
      </c>
      <c r="F2376" s="1">
        <v>2</v>
      </c>
      <c r="G2376" s="1" t="s">
        <v>32</v>
      </c>
      <c r="H2376" s="4" t="str">
        <f>HYPERLINK("https://www.ncbi.nlm.nih.gov/geo/query/acc.cgi?acc=GSM684831","GSM684831")</f>
        <v>GSM684831</v>
      </c>
      <c r="I2376" t="s">
        <v>177</v>
      </c>
      <c r="J2376" t="s">
        <v>178</v>
      </c>
      <c r="K2376" t="s">
        <v>33</v>
      </c>
      <c r="L2376" t="s">
        <v>44</v>
      </c>
      <c r="N2376" t="s">
        <v>29</v>
      </c>
    </row>
    <row r="2377" spans="1:14">
      <c r="A2377" s="4" t="str">
        <f t="shared" si="220"/>
        <v>EXP00068</v>
      </c>
      <c r="B2377" s="4" t="str">
        <f t="shared" si="221"/>
        <v>21665914</v>
      </c>
      <c r="C2377" s="4" t="str">
        <f t="shared" si="222"/>
        <v>GSE27635</v>
      </c>
      <c r="D2377" s="1" t="s">
        <v>175</v>
      </c>
      <c r="E2377" t="s">
        <v>179</v>
      </c>
      <c r="F2377" s="1">
        <v>2</v>
      </c>
      <c r="G2377" s="1" t="s">
        <v>32</v>
      </c>
      <c r="H2377" s="4" t="str">
        <f>HYPERLINK("https://www.ncbi.nlm.nih.gov/geo/query/acc.cgi?acc=GSM684833","GSM684833")</f>
        <v>GSM684833</v>
      </c>
      <c r="I2377" t="s">
        <v>177</v>
      </c>
      <c r="J2377" t="s">
        <v>178</v>
      </c>
      <c r="K2377" t="s">
        <v>33</v>
      </c>
      <c r="L2377" t="s">
        <v>44</v>
      </c>
      <c r="N2377" t="s">
        <v>29</v>
      </c>
    </row>
    <row r="2378" spans="1:14">
      <c r="A2378" s="4" t="str">
        <f t="shared" si="220"/>
        <v>EXP00068</v>
      </c>
      <c r="B2378" s="4" t="str">
        <f t="shared" si="221"/>
        <v>21665914</v>
      </c>
      <c r="C2378" s="4" t="str">
        <f t="shared" si="222"/>
        <v>GSE27635</v>
      </c>
      <c r="D2378" s="1" t="s">
        <v>175</v>
      </c>
      <c r="E2378" t="s">
        <v>179</v>
      </c>
      <c r="F2378" s="1">
        <v>2</v>
      </c>
      <c r="G2378" s="1" t="s">
        <v>32</v>
      </c>
      <c r="H2378" s="4" t="str">
        <f>HYPERLINK("https://www.ncbi.nlm.nih.gov/geo/query/acc.cgi?acc=GSM684835","GSM684835")</f>
        <v>GSM684835</v>
      </c>
      <c r="I2378" t="s">
        <v>177</v>
      </c>
      <c r="J2378" t="s">
        <v>178</v>
      </c>
      <c r="K2378" t="s">
        <v>33</v>
      </c>
      <c r="L2378" t="s">
        <v>44</v>
      </c>
      <c r="N2378" t="s">
        <v>29</v>
      </c>
    </row>
    <row r="2379" spans="1:14">
      <c r="A2379" s="4" t="str">
        <f t="shared" si="220"/>
        <v>EXP00068</v>
      </c>
      <c r="B2379" s="4" t="str">
        <f t="shared" si="221"/>
        <v>21665914</v>
      </c>
      <c r="C2379" s="4" t="str">
        <f t="shared" si="222"/>
        <v>GSE27635</v>
      </c>
      <c r="D2379" s="1" t="s">
        <v>175</v>
      </c>
      <c r="E2379" t="s">
        <v>179</v>
      </c>
      <c r="F2379" s="1">
        <v>2</v>
      </c>
      <c r="G2379" s="1" t="s">
        <v>32</v>
      </c>
      <c r="H2379" s="4" t="str">
        <f>HYPERLINK("https://www.ncbi.nlm.nih.gov/geo/query/acc.cgi?acc=GSM684837","GSM684837")</f>
        <v>GSM684837</v>
      </c>
      <c r="I2379" t="s">
        <v>177</v>
      </c>
      <c r="J2379" t="s">
        <v>178</v>
      </c>
      <c r="K2379" t="s">
        <v>33</v>
      </c>
      <c r="L2379" t="s">
        <v>44</v>
      </c>
      <c r="N2379" t="s">
        <v>29</v>
      </c>
    </row>
    <row r="2380" spans="1:14">
      <c r="A2380" s="4" t="str">
        <f t="shared" si="220"/>
        <v>EXP00068</v>
      </c>
      <c r="B2380" s="4" t="str">
        <f t="shared" si="221"/>
        <v>21665914</v>
      </c>
      <c r="C2380" s="4" t="str">
        <f t="shared" si="222"/>
        <v>GSE27635</v>
      </c>
      <c r="D2380" s="1" t="s">
        <v>175</v>
      </c>
      <c r="E2380" t="s">
        <v>179</v>
      </c>
      <c r="F2380" s="1">
        <v>2</v>
      </c>
      <c r="G2380" s="1" t="s">
        <v>32</v>
      </c>
      <c r="H2380" s="4" t="str">
        <f>HYPERLINK("https://www.ncbi.nlm.nih.gov/geo/query/acc.cgi?acc=GSM684839","GSM684839")</f>
        <v>GSM684839</v>
      </c>
      <c r="I2380" t="s">
        <v>177</v>
      </c>
      <c r="J2380" t="s">
        <v>178</v>
      </c>
      <c r="K2380" t="s">
        <v>33</v>
      </c>
      <c r="L2380" t="s">
        <v>44</v>
      </c>
      <c r="N2380" t="s">
        <v>29</v>
      </c>
    </row>
    <row r="2381" spans="1:14">
      <c r="A2381" s="4" t="str">
        <f t="shared" si="220"/>
        <v>EXP00068</v>
      </c>
      <c r="B2381" s="4" t="str">
        <f t="shared" si="221"/>
        <v>21665914</v>
      </c>
      <c r="C2381" s="4" t="str">
        <f t="shared" si="222"/>
        <v>GSE27635</v>
      </c>
      <c r="D2381" s="1" t="s">
        <v>175</v>
      </c>
      <c r="E2381" t="s">
        <v>179</v>
      </c>
      <c r="F2381" s="1">
        <v>2</v>
      </c>
      <c r="G2381" s="1" t="s">
        <v>32</v>
      </c>
      <c r="H2381" s="4" t="str">
        <f>HYPERLINK("https://www.ncbi.nlm.nih.gov/geo/query/acc.cgi?acc=GSM684841","GSM684841")</f>
        <v>GSM684841</v>
      </c>
      <c r="I2381" t="s">
        <v>177</v>
      </c>
      <c r="J2381" t="s">
        <v>178</v>
      </c>
      <c r="K2381" t="s">
        <v>33</v>
      </c>
      <c r="L2381" t="s">
        <v>44</v>
      </c>
      <c r="N2381" t="s">
        <v>29</v>
      </c>
    </row>
    <row r="2382" spans="1:14">
      <c r="A2382" s="4" t="str">
        <f t="shared" si="220"/>
        <v>EXP00068</v>
      </c>
      <c r="B2382" s="4" t="str">
        <f t="shared" si="221"/>
        <v>21665914</v>
      </c>
      <c r="C2382" s="4" t="str">
        <f t="shared" si="222"/>
        <v>GSE27635</v>
      </c>
      <c r="D2382" s="1" t="s">
        <v>175</v>
      </c>
      <c r="E2382" t="s">
        <v>179</v>
      </c>
      <c r="F2382" s="1">
        <v>2</v>
      </c>
      <c r="G2382" s="1" t="s">
        <v>32</v>
      </c>
      <c r="H2382" s="4" t="str">
        <f>HYPERLINK("https://www.ncbi.nlm.nih.gov/geo/query/acc.cgi?acc=GSM684843","GSM684843")</f>
        <v>GSM684843</v>
      </c>
      <c r="I2382" t="s">
        <v>177</v>
      </c>
      <c r="J2382" t="s">
        <v>178</v>
      </c>
      <c r="K2382" t="s">
        <v>33</v>
      </c>
      <c r="L2382" t="s">
        <v>44</v>
      </c>
      <c r="N2382" t="s">
        <v>29</v>
      </c>
    </row>
    <row r="2383" spans="1:14">
      <c r="A2383" s="4" t="str">
        <f t="shared" ref="A2383:A2430" si="223">HYPERLINK("http://hcmdb.i-sanger.com/experiment/details/experiment_id/EXP00069","EXP00069")</f>
        <v>EXP00069</v>
      </c>
      <c r="B2383" s="4" t="str">
        <f t="shared" ref="B2383:B2414" si="224">HYPERLINK("https://www.ncbi.nlm.nih.gov/pubmed/21665914","21665914")</f>
        <v>21665914</v>
      </c>
      <c r="C2383" s="4" t="str">
        <f t="shared" ref="C2383:C2414" si="225">HYPERLINK("https://www.ncbi.nlm.nih.gov/geo/query/acc.cgi?acc=GSE27635","GSE27635")</f>
        <v>GSE27635</v>
      </c>
      <c r="D2383" s="1" t="s">
        <v>175</v>
      </c>
      <c r="E2383" t="s">
        <v>180</v>
      </c>
      <c r="F2383" s="1">
        <v>1</v>
      </c>
      <c r="G2383" s="1" t="s">
        <v>36</v>
      </c>
      <c r="H2383" s="4" t="str">
        <f>HYPERLINK("https://www.ncbi.nlm.nih.gov/geo/query/acc.cgi?acc=GSM684796","GSM684796")</f>
        <v>GSM684796</v>
      </c>
      <c r="I2383" t="s">
        <v>177</v>
      </c>
      <c r="J2383" t="s">
        <v>178</v>
      </c>
      <c r="K2383" t="s">
        <v>33</v>
      </c>
      <c r="L2383" t="s">
        <v>44</v>
      </c>
      <c r="N2383" t="s">
        <v>37</v>
      </c>
    </row>
    <row r="2384" spans="1:14">
      <c r="A2384" s="4" t="str">
        <f t="shared" si="223"/>
        <v>EXP00069</v>
      </c>
      <c r="B2384" s="4" t="str">
        <f t="shared" si="224"/>
        <v>21665914</v>
      </c>
      <c r="C2384" s="4" t="str">
        <f t="shared" si="225"/>
        <v>GSE27635</v>
      </c>
      <c r="D2384" s="1" t="s">
        <v>175</v>
      </c>
      <c r="E2384" t="s">
        <v>180</v>
      </c>
      <c r="F2384" s="1">
        <v>1</v>
      </c>
      <c r="G2384" s="1" t="s">
        <v>36</v>
      </c>
      <c r="H2384" s="4" t="str">
        <f>HYPERLINK("https://www.ncbi.nlm.nih.gov/geo/query/acc.cgi?acc=GSM684798","GSM684798")</f>
        <v>GSM684798</v>
      </c>
      <c r="I2384" t="s">
        <v>177</v>
      </c>
      <c r="J2384" t="s">
        <v>178</v>
      </c>
      <c r="K2384" t="s">
        <v>33</v>
      </c>
      <c r="L2384" t="s">
        <v>44</v>
      </c>
      <c r="N2384" t="s">
        <v>37</v>
      </c>
    </row>
    <row r="2385" spans="1:14">
      <c r="A2385" s="4" t="str">
        <f t="shared" si="223"/>
        <v>EXP00069</v>
      </c>
      <c r="B2385" s="4" t="str">
        <f t="shared" si="224"/>
        <v>21665914</v>
      </c>
      <c r="C2385" s="4" t="str">
        <f t="shared" si="225"/>
        <v>GSE27635</v>
      </c>
      <c r="D2385" s="1" t="s">
        <v>175</v>
      </c>
      <c r="E2385" t="s">
        <v>180</v>
      </c>
      <c r="F2385" s="1">
        <v>1</v>
      </c>
      <c r="G2385" s="1" t="s">
        <v>36</v>
      </c>
      <c r="H2385" s="4" t="str">
        <f>HYPERLINK("https://www.ncbi.nlm.nih.gov/geo/query/acc.cgi?acc=GSM684800","GSM684800")</f>
        <v>GSM684800</v>
      </c>
      <c r="I2385" t="s">
        <v>177</v>
      </c>
      <c r="J2385" t="s">
        <v>178</v>
      </c>
      <c r="K2385" t="s">
        <v>33</v>
      </c>
      <c r="L2385" t="s">
        <v>44</v>
      </c>
      <c r="N2385" t="s">
        <v>37</v>
      </c>
    </row>
    <row r="2386" spans="1:14">
      <c r="A2386" s="4" t="str">
        <f t="shared" si="223"/>
        <v>EXP00069</v>
      </c>
      <c r="B2386" s="4" t="str">
        <f t="shared" si="224"/>
        <v>21665914</v>
      </c>
      <c r="C2386" s="4" t="str">
        <f t="shared" si="225"/>
        <v>GSE27635</v>
      </c>
      <c r="D2386" s="1" t="s">
        <v>175</v>
      </c>
      <c r="E2386" t="s">
        <v>180</v>
      </c>
      <c r="F2386" s="1">
        <v>1</v>
      </c>
      <c r="G2386" s="1" t="s">
        <v>36</v>
      </c>
      <c r="H2386" s="4" t="str">
        <f>HYPERLINK("https://www.ncbi.nlm.nih.gov/geo/query/acc.cgi?acc=GSM684802","GSM684802")</f>
        <v>GSM684802</v>
      </c>
      <c r="I2386" t="s">
        <v>177</v>
      </c>
      <c r="J2386" t="s">
        <v>178</v>
      </c>
      <c r="K2386" t="s">
        <v>33</v>
      </c>
      <c r="L2386" t="s">
        <v>44</v>
      </c>
      <c r="N2386" t="s">
        <v>37</v>
      </c>
    </row>
    <row r="2387" spans="1:14">
      <c r="A2387" s="4" t="str">
        <f t="shared" si="223"/>
        <v>EXP00069</v>
      </c>
      <c r="B2387" s="4" t="str">
        <f t="shared" si="224"/>
        <v>21665914</v>
      </c>
      <c r="C2387" s="4" t="str">
        <f t="shared" si="225"/>
        <v>GSE27635</v>
      </c>
      <c r="D2387" s="1" t="s">
        <v>175</v>
      </c>
      <c r="E2387" t="s">
        <v>180</v>
      </c>
      <c r="F2387" s="1">
        <v>1</v>
      </c>
      <c r="G2387" s="1" t="s">
        <v>36</v>
      </c>
      <c r="H2387" s="4" t="str">
        <f>HYPERLINK("https://www.ncbi.nlm.nih.gov/geo/query/acc.cgi?acc=GSM684804","GSM684804")</f>
        <v>GSM684804</v>
      </c>
      <c r="I2387" t="s">
        <v>177</v>
      </c>
      <c r="J2387" t="s">
        <v>178</v>
      </c>
      <c r="K2387" t="s">
        <v>33</v>
      </c>
      <c r="L2387" t="s">
        <v>44</v>
      </c>
      <c r="N2387" t="s">
        <v>37</v>
      </c>
    </row>
    <row r="2388" spans="1:14">
      <c r="A2388" s="4" t="str">
        <f t="shared" si="223"/>
        <v>EXP00069</v>
      </c>
      <c r="B2388" s="4" t="str">
        <f t="shared" si="224"/>
        <v>21665914</v>
      </c>
      <c r="C2388" s="4" t="str">
        <f t="shared" si="225"/>
        <v>GSE27635</v>
      </c>
      <c r="D2388" s="1" t="s">
        <v>175</v>
      </c>
      <c r="E2388" t="s">
        <v>180</v>
      </c>
      <c r="F2388" s="1">
        <v>1</v>
      </c>
      <c r="G2388" s="1" t="s">
        <v>36</v>
      </c>
      <c r="H2388" s="4" t="str">
        <f>HYPERLINK("https://www.ncbi.nlm.nih.gov/geo/query/acc.cgi?acc=GSM684806","GSM684806")</f>
        <v>GSM684806</v>
      </c>
      <c r="I2388" t="s">
        <v>177</v>
      </c>
      <c r="J2388" t="s">
        <v>178</v>
      </c>
      <c r="K2388" t="s">
        <v>33</v>
      </c>
      <c r="L2388" t="s">
        <v>44</v>
      </c>
      <c r="N2388" t="s">
        <v>37</v>
      </c>
    </row>
    <row r="2389" spans="1:14">
      <c r="A2389" s="4" t="str">
        <f t="shared" si="223"/>
        <v>EXP00069</v>
      </c>
      <c r="B2389" s="4" t="str">
        <f t="shared" si="224"/>
        <v>21665914</v>
      </c>
      <c r="C2389" s="4" t="str">
        <f t="shared" si="225"/>
        <v>GSE27635</v>
      </c>
      <c r="D2389" s="1" t="s">
        <v>175</v>
      </c>
      <c r="E2389" t="s">
        <v>180</v>
      </c>
      <c r="F2389" s="1">
        <v>1</v>
      </c>
      <c r="G2389" s="1" t="s">
        <v>36</v>
      </c>
      <c r="H2389" s="4" t="str">
        <f>HYPERLINK("https://www.ncbi.nlm.nih.gov/geo/query/acc.cgi?acc=GSM684808","GSM684808")</f>
        <v>GSM684808</v>
      </c>
      <c r="I2389" t="s">
        <v>177</v>
      </c>
      <c r="J2389" t="s">
        <v>178</v>
      </c>
      <c r="K2389" t="s">
        <v>33</v>
      </c>
      <c r="L2389" t="s">
        <v>44</v>
      </c>
      <c r="N2389" t="s">
        <v>37</v>
      </c>
    </row>
    <row r="2390" spans="1:14">
      <c r="A2390" s="4" t="str">
        <f t="shared" si="223"/>
        <v>EXP00069</v>
      </c>
      <c r="B2390" s="4" t="str">
        <f t="shared" si="224"/>
        <v>21665914</v>
      </c>
      <c r="C2390" s="4" t="str">
        <f t="shared" si="225"/>
        <v>GSE27635</v>
      </c>
      <c r="D2390" s="1" t="s">
        <v>175</v>
      </c>
      <c r="E2390" t="s">
        <v>180</v>
      </c>
      <c r="F2390" s="1">
        <v>1</v>
      </c>
      <c r="G2390" s="1" t="s">
        <v>36</v>
      </c>
      <c r="H2390" s="4" t="str">
        <f>HYPERLINK("https://www.ncbi.nlm.nih.gov/geo/query/acc.cgi?acc=GSM684810","GSM684810")</f>
        <v>GSM684810</v>
      </c>
      <c r="I2390" t="s">
        <v>177</v>
      </c>
      <c r="J2390" t="s">
        <v>178</v>
      </c>
      <c r="K2390" t="s">
        <v>33</v>
      </c>
      <c r="L2390" t="s">
        <v>44</v>
      </c>
      <c r="N2390" t="s">
        <v>37</v>
      </c>
    </row>
    <row r="2391" spans="1:14">
      <c r="A2391" s="4" t="str">
        <f t="shared" si="223"/>
        <v>EXP00069</v>
      </c>
      <c r="B2391" s="4" t="str">
        <f t="shared" si="224"/>
        <v>21665914</v>
      </c>
      <c r="C2391" s="4" t="str">
        <f t="shared" si="225"/>
        <v>GSE27635</v>
      </c>
      <c r="D2391" s="1" t="s">
        <v>175</v>
      </c>
      <c r="E2391" t="s">
        <v>180</v>
      </c>
      <c r="F2391" s="1">
        <v>1</v>
      </c>
      <c r="G2391" s="1" t="s">
        <v>36</v>
      </c>
      <c r="H2391" s="4" t="str">
        <f>HYPERLINK("https://www.ncbi.nlm.nih.gov/geo/query/acc.cgi?acc=GSM684812","GSM684812")</f>
        <v>GSM684812</v>
      </c>
      <c r="I2391" t="s">
        <v>177</v>
      </c>
      <c r="J2391" t="s">
        <v>178</v>
      </c>
      <c r="K2391" t="s">
        <v>33</v>
      </c>
      <c r="L2391" t="s">
        <v>44</v>
      </c>
      <c r="N2391" t="s">
        <v>37</v>
      </c>
    </row>
    <row r="2392" spans="1:14">
      <c r="A2392" s="4" t="str">
        <f t="shared" si="223"/>
        <v>EXP00069</v>
      </c>
      <c r="B2392" s="4" t="str">
        <f t="shared" si="224"/>
        <v>21665914</v>
      </c>
      <c r="C2392" s="4" t="str">
        <f t="shared" si="225"/>
        <v>GSE27635</v>
      </c>
      <c r="D2392" s="1" t="s">
        <v>175</v>
      </c>
      <c r="E2392" t="s">
        <v>180</v>
      </c>
      <c r="F2392" s="1">
        <v>1</v>
      </c>
      <c r="G2392" s="1" t="s">
        <v>36</v>
      </c>
      <c r="H2392" s="4" t="str">
        <f>HYPERLINK("https://www.ncbi.nlm.nih.gov/geo/query/acc.cgi?acc=GSM684814","GSM684814")</f>
        <v>GSM684814</v>
      </c>
      <c r="I2392" t="s">
        <v>177</v>
      </c>
      <c r="J2392" t="s">
        <v>178</v>
      </c>
      <c r="K2392" t="s">
        <v>33</v>
      </c>
      <c r="L2392" t="s">
        <v>44</v>
      </c>
      <c r="N2392" t="s">
        <v>37</v>
      </c>
    </row>
    <row r="2393" spans="1:14">
      <c r="A2393" s="4" t="str">
        <f t="shared" si="223"/>
        <v>EXP00069</v>
      </c>
      <c r="B2393" s="4" t="str">
        <f t="shared" si="224"/>
        <v>21665914</v>
      </c>
      <c r="C2393" s="4" t="str">
        <f t="shared" si="225"/>
        <v>GSE27635</v>
      </c>
      <c r="D2393" s="1" t="s">
        <v>175</v>
      </c>
      <c r="E2393" t="s">
        <v>180</v>
      </c>
      <c r="F2393" s="1">
        <v>1</v>
      </c>
      <c r="G2393" s="1" t="s">
        <v>36</v>
      </c>
      <c r="H2393" s="4" t="str">
        <f>HYPERLINK("https://www.ncbi.nlm.nih.gov/geo/query/acc.cgi?acc=GSM684816","GSM684816")</f>
        <v>GSM684816</v>
      </c>
      <c r="I2393" t="s">
        <v>177</v>
      </c>
      <c r="J2393" t="s">
        <v>178</v>
      </c>
      <c r="K2393" t="s">
        <v>33</v>
      </c>
      <c r="L2393" t="s">
        <v>44</v>
      </c>
      <c r="N2393" t="s">
        <v>37</v>
      </c>
    </row>
    <row r="2394" spans="1:14">
      <c r="A2394" s="4" t="str">
        <f t="shared" si="223"/>
        <v>EXP00069</v>
      </c>
      <c r="B2394" s="4" t="str">
        <f t="shared" si="224"/>
        <v>21665914</v>
      </c>
      <c r="C2394" s="4" t="str">
        <f t="shared" si="225"/>
        <v>GSE27635</v>
      </c>
      <c r="D2394" s="1" t="s">
        <v>175</v>
      </c>
      <c r="E2394" t="s">
        <v>180</v>
      </c>
      <c r="F2394" s="1">
        <v>1</v>
      </c>
      <c r="G2394" s="1" t="s">
        <v>36</v>
      </c>
      <c r="H2394" s="4" t="str">
        <f>HYPERLINK("https://www.ncbi.nlm.nih.gov/geo/query/acc.cgi?acc=GSM684818","GSM684818")</f>
        <v>GSM684818</v>
      </c>
      <c r="I2394" t="s">
        <v>177</v>
      </c>
      <c r="J2394" t="s">
        <v>178</v>
      </c>
      <c r="K2394" t="s">
        <v>33</v>
      </c>
      <c r="L2394" t="s">
        <v>44</v>
      </c>
      <c r="N2394" t="s">
        <v>37</v>
      </c>
    </row>
    <row r="2395" spans="1:14">
      <c r="A2395" s="4" t="str">
        <f t="shared" si="223"/>
        <v>EXP00069</v>
      </c>
      <c r="B2395" s="4" t="str">
        <f t="shared" si="224"/>
        <v>21665914</v>
      </c>
      <c r="C2395" s="4" t="str">
        <f t="shared" si="225"/>
        <v>GSE27635</v>
      </c>
      <c r="D2395" s="1" t="s">
        <v>175</v>
      </c>
      <c r="E2395" t="s">
        <v>180</v>
      </c>
      <c r="F2395" s="1">
        <v>1</v>
      </c>
      <c r="G2395" s="1" t="s">
        <v>36</v>
      </c>
      <c r="H2395" s="4" t="str">
        <f>HYPERLINK("https://www.ncbi.nlm.nih.gov/geo/query/acc.cgi?acc=GSM684820","GSM684820")</f>
        <v>GSM684820</v>
      </c>
      <c r="I2395" t="s">
        <v>177</v>
      </c>
      <c r="J2395" t="s">
        <v>178</v>
      </c>
      <c r="K2395" t="s">
        <v>33</v>
      </c>
      <c r="L2395" t="s">
        <v>44</v>
      </c>
      <c r="N2395" t="s">
        <v>37</v>
      </c>
    </row>
    <row r="2396" spans="1:14">
      <c r="A2396" s="4" t="str">
        <f t="shared" si="223"/>
        <v>EXP00069</v>
      </c>
      <c r="B2396" s="4" t="str">
        <f t="shared" si="224"/>
        <v>21665914</v>
      </c>
      <c r="C2396" s="4" t="str">
        <f t="shared" si="225"/>
        <v>GSE27635</v>
      </c>
      <c r="D2396" s="1" t="s">
        <v>175</v>
      </c>
      <c r="E2396" t="s">
        <v>180</v>
      </c>
      <c r="F2396" s="1">
        <v>1</v>
      </c>
      <c r="G2396" s="1" t="s">
        <v>36</v>
      </c>
      <c r="H2396" s="4" t="str">
        <f>HYPERLINK("https://www.ncbi.nlm.nih.gov/geo/query/acc.cgi?acc=GSM684822","GSM684822")</f>
        <v>GSM684822</v>
      </c>
      <c r="I2396" t="s">
        <v>177</v>
      </c>
      <c r="J2396" t="s">
        <v>178</v>
      </c>
      <c r="K2396" t="s">
        <v>33</v>
      </c>
      <c r="L2396" t="s">
        <v>44</v>
      </c>
      <c r="N2396" t="s">
        <v>37</v>
      </c>
    </row>
    <row r="2397" spans="1:14">
      <c r="A2397" s="4" t="str">
        <f t="shared" si="223"/>
        <v>EXP00069</v>
      </c>
      <c r="B2397" s="4" t="str">
        <f t="shared" si="224"/>
        <v>21665914</v>
      </c>
      <c r="C2397" s="4" t="str">
        <f t="shared" si="225"/>
        <v>GSE27635</v>
      </c>
      <c r="D2397" s="1" t="s">
        <v>175</v>
      </c>
      <c r="E2397" t="s">
        <v>180</v>
      </c>
      <c r="F2397" s="1">
        <v>1</v>
      </c>
      <c r="G2397" s="1" t="s">
        <v>36</v>
      </c>
      <c r="H2397" s="4" t="str">
        <f>HYPERLINK("https://www.ncbi.nlm.nih.gov/geo/query/acc.cgi?acc=GSM684824","GSM684824")</f>
        <v>GSM684824</v>
      </c>
      <c r="I2397" t="s">
        <v>177</v>
      </c>
      <c r="J2397" t="s">
        <v>178</v>
      </c>
      <c r="K2397" t="s">
        <v>33</v>
      </c>
      <c r="L2397" t="s">
        <v>44</v>
      </c>
      <c r="N2397" t="s">
        <v>37</v>
      </c>
    </row>
    <row r="2398" spans="1:14">
      <c r="A2398" s="4" t="str">
        <f t="shared" si="223"/>
        <v>EXP00069</v>
      </c>
      <c r="B2398" s="4" t="str">
        <f t="shared" si="224"/>
        <v>21665914</v>
      </c>
      <c r="C2398" s="4" t="str">
        <f t="shared" si="225"/>
        <v>GSE27635</v>
      </c>
      <c r="D2398" s="1" t="s">
        <v>175</v>
      </c>
      <c r="E2398" t="s">
        <v>180</v>
      </c>
      <c r="F2398" s="1">
        <v>1</v>
      </c>
      <c r="G2398" s="1" t="s">
        <v>36</v>
      </c>
      <c r="H2398" s="4" t="str">
        <f>HYPERLINK("https://www.ncbi.nlm.nih.gov/geo/query/acc.cgi?acc=GSM684826","GSM684826")</f>
        <v>GSM684826</v>
      </c>
      <c r="I2398" t="s">
        <v>177</v>
      </c>
      <c r="J2398" t="s">
        <v>178</v>
      </c>
      <c r="K2398" t="s">
        <v>33</v>
      </c>
      <c r="L2398" t="s">
        <v>44</v>
      </c>
      <c r="N2398" t="s">
        <v>37</v>
      </c>
    </row>
    <row r="2399" spans="1:14">
      <c r="A2399" s="4" t="str">
        <f t="shared" si="223"/>
        <v>EXP00069</v>
      </c>
      <c r="B2399" s="4" t="str">
        <f t="shared" si="224"/>
        <v>21665914</v>
      </c>
      <c r="C2399" s="4" t="str">
        <f t="shared" si="225"/>
        <v>GSE27635</v>
      </c>
      <c r="D2399" s="1" t="s">
        <v>175</v>
      </c>
      <c r="E2399" t="s">
        <v>180</v>
      </c>
      <c r="F2399" s="1">
        <v>1</v>
      </c>
      <c r="G2399" s="1" t="s">
        <v>36</v>
      </c>
      <c r="H2399" s="4" t="str">
        <f>HYPERLINK("https://www.ncbi.nlm.nih.gov/geo/query/acc.cgi?acc=GSM684828","GSM684828")</f>
        <v>GSM684828</v>
      </c>
      <c r="I2399" t="s">
        <v>177</v>
      </c>
      <c r="J2399" t="s">
        <v>178</v>
      </c>
      <c r="K2399" t="s">
        <v>33</v>
      </c>
      <c r="L2399" t="s">
        <v>44</v>
      </c>
      <c r="N2399" t="s">
        <v>37</v>
      </c>
    </row>
    <row r="2400" spans="1:14">
      <c r="A2400" s="4" t="str">
        <f t="shared" si="223"/>
        <v>EXP00069</v>
      </c>
      <c r="B2400" s="4" t="str">
        <f t="shared" si="224"/>
        <v>21665914</v>
      </c>
      <c r="C2400" s="4" t="str">
        <f t="shared" si="225"/>
        <v>GSE27635</v>
      </c>
      <c r="D2400" s="1" t="s">
        <v>175</v>
      </c>
      <c r="E2400" t="s">
        <v>180</v>
      </c>
      <c r="F2400" s="1">
        <v>1</v>
      </c>
      <c r="G2400" s="1" t="s">
        <v>36</v>
      </c>
      <c r="H2400" s="4" t="str">
        <f>HYPERLINK("https://www.ncbi.nlm.nih.gov/geo/query/acc.cgi?acc=GSM684830","GSM684830")</f>
        <v>GSM684830</v>
      </c>
      <c r="I2400" t="s">
        <v>177</v>
      </c>
      <c r="J2400" t="s">
        <v>178</v>
      </c>
      <c r="K2400" t="s">
        <v>33</v>
      </c>
      <c r="L2400" t="s">
        <v>44</v>
      </c>
      <c r="N2400" t="s">
        <v>37</v>
      </c>
    </row>
    <row r="2401" spans="1:14">
      <c r="A2401" s="4" t="str">
        <f t="shared" si="223"/>
        <v>EXP00069</v>
      </c>
      <c r="B2401" s="4" t="str">
        <f t="shared" si="224"/>
        <v>21665914</v>
      </c>
      <c r="C2401" s="4" t="str">
        <f t="shared" si="225"/>
        <v>GSE27635</v>
      </c>
      <c r="D2401" s="1" t="s">
        <v>175</v>
      </c>
      <c r="E2401" t="s">
        <v>180</v>
      </c>
      <c r="F2401" s="1">
        <v>1</v>
      </c>
      <c r="G2401" s="1" t="s">
        <v>36</v>
      </c>
      <c r="H2401" s="4" t="str">
        <f>HYPERLINK("https://www.ncbi.nlm.nih.gov/geo/query/acc.cgi?acc=GSM684832","GSM684832")</f>
        <v>GSM684832</v>
      </c>
      <c r="I2401" t="s">
        <v>177</v>
      </c>
      <c r="J2401" t="s">
        <v>178</v>
      </c>
      <c r="K2401" t="s">
        <v>33</v>
      </c>
      <c r="L2401" t="s">
        <v>44</v>
      </c>
      <c r="N2401" t="s">
        <v>37</v>
      </c>
    </row>
    <row r="2402" spans="1:14">
      <c r="A2402" s="4" t="str">
        <f t="shared" si="223"/>
        <v>EXP00069</v>
      </c>
      <c r="B2402" s="4" t="str">
        <f t="shared" si="224"/>
        <v>21665914</v>
      </c>
      <c r="C2402" s="4" t="str">
        <f t="shared" si="225"/>
        <v>GSE27635</v>
      </c>
      <c r="D2402" s="1" t="s">
        <v>175</v>
      </c>
      <c r="E2402" t="s">
        <v>180</v>
      </c>
      <c r="F2402" s="1">
        <v>1</v>
      </c>
      <c r="G2402" s="1" t="s">
        <v>36</v>
      </c>
      <c r="H2402" s="4" t="str">
        <f>HYPERLINK("https://www.ncbi.nlm.nih.gov/geo/query/acc.cgi?acc=GSM684834","GSM684834")</f>
        <v>GSM684834</v>
      </c>
      <c r="I2402" t="s">
        <v>177</v>
      </c>
      <c r="J2402" t="s">
        <v>178</v>
      </c>
      <c r="K2402" t="s">
        <v>33</v>
      </c>
      <c r="L2402" t="s">
        <v>44</v>
      </c>
      <c r="N2402" t="s">
        <v>37</v>
      </c>
    </row>
    <row r="2403" spans="1:14">
      <c r="A2403" s="4" t="str">
        <f t="shared" si="223"/>
        <v>EXP00069</v>
      </c>
      <c r="B2403" s="4" t="str">
        <f t="shared" si="224"/>
        <v>21665914</v>
      </c>
      <c r="C2403" s="4" t="str">
        <f t="shared" si="225"/>
        <v>GSE27635</v>
      </c>
      <c r="D2403" s="1" t="s">
        <v>175</v>
      </c>
      <c r="E2403" t="s">
        <v>180</v>
      </c>
      <c r="F2403" s="1">
        <v>1</v>
      </c>
      <c r="G2403" s="1" t="s">
        <v>36</v>
      </c>
      <c r="H2403" s="4" t="str">
        <f>HYPERLINK("https://www.ncbi.nlm.nih.gov/geo/query/acc.cgi?acc=GSM684836","GSM684836")</f>
        <v>GSM684836</v>
      </c>
      <c r="I2403" t="s">
        <v>177</v>
      </c>
      <c r="J2403" t="s">
        <v>178</v>
      </c>
      <c r="K2403" t="s">
        <v>33</v>
      </c>
      <c r="L2403" t="s">
        <v>44</v>
      </c>
      <c r="N2403" t="s">
        <v>37</v>
      </c>
    </row>
    <row r="2404" spans="1:14">
      <c r="A2404" s="4" t="str">
        <f t="shared" si="223"/>
        <v>EXP00069</v>
      </c>
      <c r="B2404" s="4" t="str">
        <f t="shared" si="224"/>
        <v>21665914</v>
      </c>
      <c r="C2404" s="4" t="str">
        <f t="shared" si="225"/>
        <v>GSE27635</v>
      </c>
      <c r="D2404" s="1" t="s">
        <v>175</v>
      </c>
      <c r="E2404" t="s">
        <v>180</v>
      </c>
      <c r="F2404" s="1">
        <v>1</v>
      </c>
      <c r="G2404" s="1" t="s">
        <v>36</v>
      </c>
      <c r="H2404" s="4" t="str">
        <f>HYPERLINK("https://www.ncbi.nlm.nih.gov/geo/query/acc.cgi?acc=GSM684838","GSM684838")</f>
        <v>GSM684838</v>
      </c>
      <c r="I2404" t="s">
        <v>177</v>
      </c>
      <c r="J2404" t="s">
        <v>178</v>
      </c>
      <c r="K2404" t="s">
        <v>33</v>
      </c>
      <c r="L2404" t="s">
        <v>44</v>
      </c>
      <c r="N2404" t="s">
        <v>37</v>
      </c>
    </row>
    <row r="2405" spans="1:14">
      <c r="A2405" s="4" t="str">
        <f t="shared" si="223"/>
        <v>EXP00069</v>
      </c>
      <c r="B2405" s="4" t="str">
        <f t="shared" si="224"/>
        <v>21665914</v>
      </c>
      <c r="C2405" s="4" t="str">
        <f t="shared" si="225"/>
        <v>GSE27635</v>
      </c>
      <c r="D2405" s="1" t="s">
        <v>175</v>
      </c>
      <c r="E2405" t="s">
        <v>180</v>
      </c>
      <c r="F2405" s="1">
        <v>1</v>
      </c>
      <c r="G2405" s="1" t="s">
        <v>36</v>
      </c>
      <c r="H2405" s="4" t="str">
        <f>HYPERLINK("https://www.ncbi.nlm.nih.gov/geo/query/acc.cgi?acc=GSM684840","GSM684840")</f>
        <v>GSM684840</v>
      </c>
      <c r="I2405" t="s">
        <v>177</v>
      </c>
      <c r="J2405" t="s">
        <v>178</v>
      </c>
      <c r="K2405" t="s">
        <v>33</v>
      </c>
      <c r="L2405" t="s">
        <v>44</v>
      </c>
      <c r="N2405" t="s">
        <v>37</v>
      </c>
    </row>
    <row r="2406" spans="1:14">
      <c r="A2406" s="4" t="str">
        <f t="shared" si="223"/>
        <v>EXP00069</v>
      </c>
      <c r="B2406" s="4" t="str">
        <f t="shared" si="224"/>
        <v>21665914</v>
      </c>
      <c r="C2406" s="4" t="str">
        <f t="shared" si="225"/>
        <v>GSE27635</v>
      </c>
      <c r="D2406" s="1" t="s">
        <v>175</v>
      </c>
      <c r="E2406" t="s">
        <v>180</v>
      </c>
      <c r="F2406" s="1">
        <v>1</v>
      </c>
      <c r="G2406" s="1" t="s">
        <v>36</v>
      </c>
      <c r="H2406" s="4" t="str">
        <f>HYPERLINK("https://www.ncbi.nlm.nih.gov/geo/query/acc.cgi?acc=GSM684842","GSM684842")</f>
        <v>GSM684842</v>
      </c>
      <c r="I2406" t="s">
        <v>177</v>
      </c>
      <c r="J2406" t="s">
        <v>178</v>
      </c>
      <c r="K2406" t="s">
        <v>33</v>
      </c>
      <c r="L2406" t="s">
        <v>44</v>
      </c>
      <c r="N2406" t="s">
        <v>37</v>
      </c>
    </row>
    <row r="2407" spans="1:14">
      <c r="A2407" s="4" t="str">
        <f t="shared" si="223"/>
        <v>EXP00069</v>
      </c>
      <c r="B2407" s="4" t="str">
        <f t="shared" si="224"/>
        <v>21665914</v>
      </c>
      <c r="C2407" s="4" t="str">
        <f t="shared" si="225"/>
        <v>GSE27635</v>
      </c>
      <c r="D2407" s="1" t="s">
        <v>175</v>
      </c>
      <c r="E2407" t="s">
        <v>180</v>
      </c>
      <c r="F2407" s="1">
        <v>2</v>
      </c>
      <c r="G2407" s="1" t="s">
        <v>28</v>
      </c>
      <c r="H2407" s="4" t="str">
        <f>HYPERLINK("https://www.ncbi.nlm.nih.gov/geo/query/acc.cgi?acc=GSM684797","GSM684797")</f>
        <v>GSM684797</v>
      </c>
      <c r="I2407" t="s">
        <v>177</v>
      </c>
      <c r="J2407" t="s">
        <v>178</v>
      </c>
      <c r="K2407" t="s">
        <v>33</v>
      </c>
      <c r="L2407" t="s">
        <v>44</v>
      </c>
      <c r="N2407" t="s">
        <v>29</v>
      </c>
    </row>
    <row r="2408" spans="1:14">
      <c r="A2408" s="4" t="str">
        <f t="shared" si="223"/>
        <v>EXP00069</v>
      </c>
      <c r="B2408" s="4" t="str">
        <f t="shared" si="224"/>
        <v>21665914</v>
      </c>
      <c r="C2408" s="4" t="str">
        <f t="shared" si="225"/>
        <v>GSE27635</v>
      </c>
      <c r="D2408" s="1" t="s">
        <v>175</v>
      </c>
      <c r="E2408" t="s">
        <v>180</v>
      </c>
      <c r="F2408" s="1">
        <v>2</v>
      </c>
      <c r="G2408" s="1" t="s">
        <v>28</v>
      </c>
      <c r="H2408" s="4" t="str">
        <f>HYPERLINK("https://www.ncbi.nlm.nih.gov/geo/query/acc.cgi?acc=GSM684799","GSM684799")</f>
        <v>GSM684799</v>
      </c>
      <c r="I2408" t="s">
        <v>177</v>
      </c>
      <c r="J2408" t="s">
        <v>178</v>
      </c>
      <c r="K2408" t="s">
        <v>33</v>
      </c>
      <c r="L2408" t="s">
        <v>44</v>
      </c>
      <c r="N2408" t="s">
        <v>29</v>
      </c>
    </row>
    <row r="2409" spans="1:14">
      <c r="A2409" s="4" t="str">
        <f t="shared" si="223"/>
        <v>EXP00069</v>
      </c>
      <c r="B2409" s="4" t="str">
        <f t="shared" si="224"/>
        <v>21665914</v>
      </c>
      <c r="C2409" s="4" t="str">
        <f t="shared" si="225"/>
        <v>GSE27635</v>
      </c>
      <c r="D2409" s="1" t="s">
        <v>175</v>
      </c>
      <c r="E2409" t="s">
        <v>180</v>
      </c>
      <c r="F2409" s="1">
        <v>2</v>
      </c>
      <c r="G2409" s="1" t="s">
        <v>28</v>
      </c>
      <c r="H2409" s="4" t="str">
        <f>HYPERLINK("https://www.ncbi.nlm.nih.gov/geo/query/acc.cgi?acc=GSM684801","GSM684801")</f>
        <v>GSM684801</v>
      </c>
      <c r="I2409" t="s">
        <v>177</v>
      </c>
      <c r="J2409" t="s">
        <v>178</v>
      </c>
      <c r="K2409" t="s">
        <v>33</v>
      </c>
      <c r="L2409" t="s">
        <v>44</v>
      </c>
      <c r="N2409" t="s">
        <v>29</v>
      </c>
    </row>
    <row r="2410" spans="1:14">
      <c r="A2410" s="4" t="str">
        <f t="shared" si="223"/>
        <v>EXP00069</v>
      </c>
      <c r="B2410" s="4" t="str">
        <f t="shared" si="224"/>
        <v>21665914</v>
      </c>
      <c r="C2410" s="4" t="str">
        <f t="shared" si="225"/>
        <v>GSE27635</v>
      </c>
      <c r="D2410" s="1" t="s">
        <v>175</v>
      </c>
      <c r="E2410" t="s">
        <v>180</v>
      </c>
      <c r="F2410" s="1">
        <v>2</v>
      </c>
      <c r="G2410" s="1" t="s">
        <v>28</v>
      </c>
      <c r="H2410" s="4" t="str">
        <f>HYPERLINK("https://www.ncbi.nlm.nih.gov/geo/query/acc.cgi?acc=GSM684803","GSM684803")</f>
        <v>GSM684803</v>
      </c>
      <c r="I2410" t="s">
        <v>177</v>
      </c>
      <c r="J2410" t="s">
        <v>178</v>
      </c>
      <c r="K2410" t="s">
        <v>33</v>
      </c>
      <c r="L2410" t="s">
        <v>44</v>
      </c>
      <c r="N2410" t="s">
        <v>29</v>
      </c>
    </row>
    <row r="2411" spans="1:14">
      <c r="A2411" s="4" t="str">
        <f t="shared" si="223"/>
        <v>EXP00069</v>
      </c>
      <c r="B2411" s="4" t="str">
        <f t="shared" si="224"/>
        <v>21665914</v>
      </c>
      <c r="C2411" s="4" t="str">
        <f t="shared" si="225"/>
        <v>GSE27635</v>
      </c>
      <c r="D2411" s="1" t="s">
        <v>175</v>
      </c>
      <c r="E2411" t="s">
        <v>180</v>
      </c>
      <c r="F2411" s="1">
        <v>2</v>
      </c>
      <c r="G2411" s="1" t="s">
        <v>28</v>
      </c>
      <c r="H2411" s="4" t="str">
        <f>HYPERLINK("https://www.ncbi.nlm.nih.gov/geo/query/acc.cgi?acc=GSM684805","GSM684805")</f>
        <v>GSM684805</v>
      </c>
      <c r="I2411" t="s">
        <v>177</v>
      </c>
      <c r="J2411" t="s">
        <v>178</v>
      </c>
      <c r="K2411" t="s">
        <v>33</v>
      </c>
      <c r="L2411" t="s">
        <v>44</v>
      </c>
      <c r="N2411" t="s">
        <v>29</v>
      </c>
    </row>
    <row r="2412" spans="1:14">
      <c r="A2412" s="4" t="str">
        <f t="shared" si="223"/>
        <v>EXP00069</v>
      </c>
      <c r="B2412" s="4" t="str">
        <f t="shared" si="224"/>
        <v>21665914</v>
      </c>
      <c r="C2412" s="4" t="str">
        <f t="shared" si="225"/>
        <v>GSE27635</v>
      </c>
      <c r="D2412" s="1" t="s">
        <v>175</v>
      </c>
      <c r="E2412" t="s">
        <v>180</v>
      </c>
      <c r="F2412" s="1">
        <v>2</v>
      </c>
      <c r="G2412" s="1" t="s">
        <v>28</v>
      </c>
      <c r="H2412" s="4" t="str">
        <f>HYPERLINK("https://www.ncbi.nlm.nih.gov/geo/query/acc.cgi?acc=GSM684807","GSM684807")</f>
        <v>GSM684807</v>
      </c>
      <c r="I2412" t="s">
        <v>177</v>
      </c>
      <c r="J2412" t="s">
        <v>178</v>
      </c>
      <c r="K2412" t="s">
        <v>33</v>
      </c>
      <c r="L2412" t="s">
        <v>44</v>
      </c>
      <c r="N2412" t="s">
        <v>29</v>
      </c>
    </row>
    <row r="2413" spans="1:14">
      <c r="A2413" s="4" t="str">
        <f t="shared" si="223"/>
        <v>EXP00069</v>
      </c>
      <c r="B2413" s="4" t="str">
        <f t="shared" si="224"/>
        <v>21665914</v>
      </c>
      <c r="C2413" s="4" t="str">
        <f t="shared" si="225"/>
        <v>GSE27635</v>
      </c>
      <c r="D2413" s="1" t="s">
        <v>175</v>
      </c>
      <c r="E2413" t="s">
        <v>180</v>
      </c>
      <c r="F2413" s="1">
        <v>2</v>
      </c>
      <c r="G2413" s="1" t="s">
        <v>28</v>
      </c>
      <c r="H2413" s="4" t="str">
        <f>HYPERLINK("https://www.ncbi.nlm.nih.gov/geo/query/acc.cgi?acc=GSM684809","GSM684809")</f>
        <v>GSM684809</v>
      </c>
      <c r="I2413" t="s">
        <v>177</v>
      </c>
      <c r="J2413" t="s">
        <v>178</v>
      </c>
      <c r="K2413" t="s">
        <v>33</v>
      </c>
      <c r="L2413" t="s">
        <v>44</v>
      </c>
      <c r="N2413" t="s">
        <v>29</v>
      </c>
    </row>
    <row r="2414" spans="1:14">
      <c r="A2414" s="4" t="str">
        <f t="shared" si="223"/>
        <v>EXP00069</v>
      </c>
      <c r="B2414" s="4" t="str">
        <f t="shared" si="224"/>
        <v>21665914</v>
      </c>
      <c r="C2414" s="4" t="str">
        <f t="shared" si="225"/>
        <v>GSE27635</v>
      </c>
      <c r="D2414" s="1" t="s">
        <v>175</v>
      </c>
      <c r="E2414" t="s">
        <v>180</v>
      </c>
      <c r="F2414" s="1">
        <v>2</v>
      </c>
      <c r="G2414" s="1" t="s">
        <v>28</v>
      </c>
      <c r="H2414" s="4" t="str">
        <f>HYPERLINK("https://www.ncbi.nlm.nih.gov/geo/query/acc.cgi?acc=GSM684811","GSM684811")</f>
        <v>GSM684811</v>
      </c>
      <c r="I2414" t="s">
        <v>177</v>
      </c>
      <c r="J2414" t="s">
        <v>178</v>
      </c>
      <c r="K2414" t="s">
        <v>33</v>
      </c>
      <c r="L2414" t="s">
        <v>44</v>
      </c>
      <c r="N2414" t="s">
        <v>29</v>
      </c>
    </row>
    <row r="2415" spans="1:14">
      <c r="A2415" s="4" t="str">
        <f t="shared" si="223"/>
        <v>EXP00069</v>
      </c>
      <c r="B2415" s="4" t="str">
        <f t="shared" ref="B2415:B2430" si="226">HYPERLINK("https://www.ncbi.nlm.nih.gov/pubmed/21665914","21665914")</f>
        <v>21665914</v>
      </c>
      <c r="C2415" s="4" t="str">
        <f t="shared" ref="C2415:C2430" si="227">HYPERLINK("https://www.ncbi.nlm.nih.gov/geo/query/acc.cgi?acc=GSE27635","GSE27635")</f>
        <v>GSE27635</v>
      </c>
      <c r="D2415" s="1" t="s">
        <v>175</v>
      </c>
      <c r="E2415" t="s">
        <v>180</v>
      </c>
      <c r="F2415" s="1">
        <v>2</v>
      </c>
      <c r="G2415" s="1" t="s">
        <v>28</v>
      </c>
      <c r="H2415" s="4" t="str">
        <f>HYPERLINK("https://www.ncbi.nlm.nih.gov/geo/query/acc.cgi?acc=GSM684813","GSM684813")</f>
        <v>GSM684813</v>
      </c>
      <c r="I2415" t="s">
        <v>177</v>
      </c>
      <c r="J2415" t="s">
        <v>178</v>
      </c>
      <c r="K2415" t="s">
        <v>33</v>
      </c>
      <c r="L2415" t="s">
        <v>44</v>
      </c>
      <c r="N2415" t="s">
        <v>29</v>
      </c>
    </row>
    <row r="2416" spans="1:14">
      <c r="A2416" s="4" t="str">
        <f t="shared" si="223"/>
        <v>EXP00069</v>
      </c>
      <c r="B2416" s="4" t="str">
        <f t="shared" si="226"/>
        <v>21665914</v>
      </c>
      <c r="C2416" s="4" t="str">
        <f t="shared" si="227"/>
        <v>GSE27635</v>
      </c>
      <c r="D2416" s="1" t="s">
        <v>175</v>
      </c>
      <c r="E2416" t="s">
        <v>180</v>
      </c>
      <c r="F2416" s="1">
        <v>2</v>
      </c>
      <c r="G2416" s="1" t="s">
        <v>28</v>
      </c>
      <c r="H2416" s="4" t="str">
        <f>HYPERLINK("https://www.ncbi.nlm.nih.gov/geo/query/acc.cgi?acc=GSM684815","GSM684815")</f>
        <v>GSM684815</v>
      </c>
      <c r="I2416" t="s">
        <v>177</v>
      </c>
      <c r="J2416" t="s">
        <v>178</v>
      </c>
      <c r="K2416" t="s">
        <v>33</v>
      </c>
      <c r="L2416" t="s">
        <v>44</v>
      </c>
      <c r="N2416" t="s">
        <v>29</v>
      </c>
    </row>
    <row r="2417" spans="1:14">
      <c r="A2417" s="4" t="str">
        <f t="shared" si="223"/>
        <v>EXP00069</v>
      </c>
      <c r="B2417" s="4" t="str">
        <f t="shared" si="226"/>
        <v>21665914</v>
      </c>
      <c r="C2417" s="4" t="str">
        <f t="shared" si="227"/>
        <v>GSE27635</v>
      </c>
      <c r="D2417" s="1" t="s">
        <v>175</v>
      </c>
      <c r="E2417" t="s">
        <v>180</v>
      </c>
      <c r="F2417" s="1">
        <v>2</v>
      </c>
      <c r="G2417" s="1" t="s">
        <v>28</v>
      </c>
      <c r="H2417" s="4" t="str">
        <f>HYPERLINK("https://www.ncbi.nlm.nih.gov/geo/query/acc.cgi?acc=GSM684817","GSM684817")</f>
        <v>GSM684817</v>
      </c>
      <c r="I2417" t="s">
        <v>177</v>
      </c>
      <c r="J2417" t="s">
        <v>178</v>
      </c>
      <c r="K2417" t="s">
        <v>33</v>
      </c>
      <c r="L2417" t="s">
        <v>44</v>
      </c>
      <c r="N2417" t="s">
        <v>29</v>
      </c>
    </row>
    <row r="2418" spans="1:14">
      <c r="A2418" s="4" t="str">
        <f t="shared" si="223"/>
        <v>EXP00069</v>
      </c>
      <c r="B2418" s="4" t="str">
        <f t="shared" si="226"/>
        <v>21665914</v>
      </c>
      <c r="C2418" s="4" t="str">
        <f t="shared" si="227"/>
        <v>GSE27635</v>
      </c>
      <c r="D2418" s="1" t="s">
        <v>175</v>
      </c>
      <c r="E2418" t="s">
        <v>180</v>
      </c>
      <c r="F2418" s="1">
        <v>2</v>
      </c>
      <c r="G2418" s="1" t="s">
        <v>28</v>
      </c>
      <c r="H2418" s="4" t="str">
        <f>HYPERLINK("https://www.ncbi.nlm.nih.gov/geo/query/acc.cgi?acc=GSM684819","GSM684819")</f>
        <v>GSM684819</v>
      </c>
      <c r="I2418" t="s">
        <v>177</v>
      </c>
      <c r="J2418" t="s">
        <v>178</v>
      </c>
      <c r="K2418" t="s">
        <v>33</v>
      </c>
      <c r="L2418" t="s">
        <v>44</v>
      </c>
      <c r="N2418" t="s">
        <v>29</v>
      </c>
    </row>
    <row r="2419" spans="1:14">
      <c r="A2419" s="4" t="str">
        <f t="shared" si="223"/>
        <v>EXP00069</v>
      </c>
      <c r="B2419" s="4" t="str">
        <f t="shared" si="226"/>
        <v>21665914</v>
      </c>
      <c r="C2419" s="4" t="str">
        <f t="shared" si="227"/>
        <v>GSE27635</v>
      </c>
      <c r="D2419" s="1" t="s">
        <v>175</v>
      </c>
      <c r="E2419" t="s">
        <v>180</v>
      </c>
      <c r="F2419" s="1">
        <v>2</v>
      </c>
      <c r="G2419" s="1" t="s">
        <v>28</v>
      </c>
      <c r="H2419" s="4" t="str">
        <f>HYPERLINK("https://www.ncbi.nlm.nih.gov/geo/query/acc.cgi?acc=GSM684821","GSM684821")</f>
        <v>GSM684821</v>
      </c>
      <c r="I2419" t="s">
        <v>177</v>
      </c>
      <c r="J2419" t="s">
        <v>178</v>
      </c>
      <c r="K2419" t="s">
        <v>33</v>
      </c>
      <c r="L2419" t="s">
        <v>44</v>
      </c>
      <c r="N2419" t="s">
        <v>29</v>
      </c>
    </row>
    <row r="2420" spans="1:14">
      <c r="A2420" s="4" t="str">
        <f t="shared" si="223"/>
        <v>EXP00069</v>
      </c>
      <c r="B2420" s="4" t="str">
        <f t="shared" si="226"/>
        <v>21665914</v>
      </c>
      <c r="C2420" s="4" t="str">
        <f t="shared" si="227"/>
        <v>GSE27635</v>
      </c>
      <c r="D2420" s="1" t="s">
        <v>175</v>
      </c>
      <c r="E2420" t="s">
        <v>180</v>
      </c>
      <c r="F2420" s="1">
        <v>2</v>
      </c>
      <c r="G2420" s="1" t="s">
        <v>28</v>
      </c>
      <c r="H2420" s="4" t="str">
        <f>HYPERLINK("https://www.ncbi.nlm.nih.gov/geo/query/acc.cgi?acc=GSM684823","GSM684823")</f>
        <v>GSM684823</v>
      </c>
      <c r="I2420" t="s">
        <v>177</v>
      </c>
      <c r="J2420" t="s">
        <v>178</v>
      </c>
      <c r="K2420" t="s">
        <v>33</v>
      </c>
      <c r="L2420" t="s">
        <v>44</v>
      </c>
      <c r="N2420" t="s">
        <v>29</v>
      </c>
    </row>
    <row r="2421" spans="1:14">
      <c r="A2421" s="4" t="str">
        <f t="shared" si="223"/>
        <v>EXP00069</v>
      </c>
      <c r="B2421" s="4" t="str">
        <f t="shared" si="226"/>
        <v>21665914</v>
      </c>
      <c r="C2421" s="4" t="str">
        <f t="shared" si="227"/>
        <v>GSE27635</v>
      </c>
      <c r="D2421" s="1" t="s">
        <v>175</v>
      </c>
      <c r="E2421" t="s">
        <v>180</v>
      </c>
      <c r="F2421" s="1">
        <v>2</v>
      </c>
      <c r="G2421" s="1" t="s">
        <v>28</v>
      </c>
      <c r="H2421" s="4" t="str">
        <f>HYPERLINK("https://www.ncbi.nlm.nih.gov/geo/query/acc.cgi?acc=GSM684825","GSM684825")</f>
        <v>GSM684825</v>
      </c>
      <c r="I2421" t="s">
        <v>177</v>
      </c>
      <c r="J2421" t="s">
        <v>178</v>
      </c>
      <c r="K2421" t="s">
        <v>33</v>
      </c>
      <c r="L2421" t="s">
        <v>44</v>
      </c>
      <c r="N2421" t="s">
        <v>29</v>
      </c>
    </row>
    <row r="2422" spans="1:14">
      <c r="A2422" s="4" t="str">
        <f t="shared" si="223"/>
        <v>EXP00069</v>
      </c>
      <c r="B2422" s="4" t="str">
        <f t="shared" si="226"/>
        <v>21665914</v>
      </c>
      <c r="C2422" s="4" t="str">
        <f t="shared" si="227"/>
        <v>GSE27635</v>
      </c>
      <c r="D2422" s="1" t="s">
        <v>175</v>
      </c>
      <c r="E2422" t="s">
        <v>180</v>
      </c>
      <c r="F2422" s="1">
        <v>2</v>
      </c>
      <c r="G2422" s="1" t="s">
        <v>28</v>
      </c>
      <c r="H2422" s="4" t="str">
        <f>HYPERLINK("https://www.ncbi.nlm.nih.gov/geo/query/acc.cgi?acc=GSM684827","GSM684827")</f>
        <v>GSM684827</v>
      </c>
      <c r="I2422" t="s">
        <v>177</v>
      </c>
      <c r="J2422" t="s">
        <v>178</v>
      </c>
      <c r="K2422" t="s">
        <v>33</v>
      </c>
      <c r="L2422" t="s">
        <v>44</v>
      </c>
      <c r="N2422" t="s">
        <v>29</v>
      </c>
    </row>
    <row r="2423" spans="1:14">
      <c r="A2423" s="4" t="str">
        <f t="shared" si="223"/>
        <v>EXP00069</v>
      </c>
      <c r="B2423" s="4" t="str">
        <f t="shared" si="226"/>
        <v>21665914</v>
      </c>
      <c r="C2423" s="4" t="str">
        <f t="shared" si="227"/>
        <v>GSE27635</v>
      </c>
      <c r="D2423" s="1" t="s">
        <v>175</v>
      </c>
      <c r="E2423" t="s">
        <v>180</v>
      </c>
      <c r="F2423" s="1">
        <v>2</v>
      </c>
      <c r="G2423" s="1" t="s">
        <v>28</v>
      </c>
      <c r="H2423" s="4" t="str">
        <f>HYPERLINK("https://www.ncbi.nlm.nih.gov/geo/query/acc.cgi?acc=GSM684829","GSM684829")</f>
        <v>GSM684829</v>
      </c>
      <c r="I2423" t="s">
        <v>177</v>
      </c>
      <c r="J2423" t="s">
        <v>178</v>
      </c>
      <c r="K2423" t="s">
        <v>33</v>
      </c>
      <c r="L2423" t="s">
        <v>44</v>
      </c>
      <c r="N2423" t="s">
        <v>29</v>
      </c>
    </row>
    <row r="2424" spans="1:14">
      <c r="A2424" s="4" t="str">
        <f t="shared" si="223"/>
        <v>EXP00069</v>
      </c>
      <c r="B2424" s="4" t="str">
        <f t="shared" si="226"/>
        <v>21665914</v>
      </c>
      <c r="C2424" s="4" t="str">
        <f t="shared" si="227"/>
        <v>GSE27635</v>
      </c>
      <c r="D2424" s="1" t="s">
        <v>175</v>
      </c>
      <c r="E2424" t="s">
        <v>180</v>
      </c>
      <c r="F2424" s="1">
        <v>2</v>
      </c>
      <c r="G2424" s="1" t="s">
        <v>28</v>
      </c>
      <c r="H2424" s="4" t="str">
        <f>HYPERLINK("https://www.ncbi.nlm.nih.gov/geo/query/acc.cgi?acc=GSM684831","GSM684831")</f>
        <v>GSM684831</v>
      </c>
      <c r="I2424" t="s">
        <v>177</v>
      </c>
      <c r="J2424" t="s">
        <v>178</v>
      </c>
      <c r="K2424" t="s">
        <v>33</v>
      </c>
      <c r="L2424" t="s">
        <v>44</v>
      </c>
      <c r="N2424" t="s">
        <v>29</v>
      </c>
    </row>
    <row r="2425" spans="1:14">
      <c r="A2425" s="4" t="str">
        <f t="shared" si="223"/>
        <v>EXP00069</v>
      </c>
      <c r="B2425" s="4" t="str">
        <f t="shared" si="226"/>
        <v>21665914</v>
      </c>
      <c r="C2425" s="4" t="str">
        <f t="shared" si="227"/>
        <v>GSE27635</v>
      </c>
      <c r="D2425" s="1" t="s">
        <v>175</v>
      </c>
      <c r="E2425" t="s">
        <v>180</v>
      </c>
      <c r="F2425" s="1">
        <v>2</v>
      </c>
      <c r="G2425" s="1" t="s">
        <v>28</v>
      </c>
      <c r="H2425" s="4" t="str">
        <f>HYPERLINK("https://www.ncbi.nlm.nih.gov/geo/query/acc.cgi?acc=GSM684833","GSM684833")</f>
        <v>GSM684833</v>
      </c>
      <c r="I2425" t="s">
        <v>177</v>
      </c>
      <c r="J2425" t="s">
        <v>178</v>
      </c>
      <c r="K2425" t="s">
        <v>33</v>
      </c>
      <c r="L2425" t="s">
        <v>44</v>
      </c>
      <c r="N2425" t="s">
        <v>29</v>
      </c>
    </row>
    <row r="2426" spans="1:14">
      <c r="A2426" s="4" t="str">
        <f t="shared" si="223"/>
        <v>EXP00069</v>
      </c>
      <c r="B2426" s="4" t="str">
        <f t="shared" si="226"/>
        <v>21665914</v>
      </c>
      <c r="C2426" s="4" t="str">
        <f t="shared" si="227"/>
        <v>GSE27635</v>
      </c>
      <c r="D2426" s="1" t="s">
        <v>175</v>
      </c>
      <c r="E2426" t="s">
        <v>180</v>
      </c>
      <c r="F2426" s="1">
        <v>2</v>
      </c>
      <c r="G2426" s="1" t="s">
        <v>28</v>
      </c>
      <c r="H2426" s="4" t="str">
        <f>HYPERLINK("https://www.ncbi.nlm.nih.gov/geo/query/acc.cgi?acc=GSM684835","GSM684835")</f>
        <v>GSM684835</v>
      </c>
      <c r="I2426" t="s">
        <v>177</v>
      </c>
      <c r="J2426" t="s">
        <v>178</v>
      </c>
      <c r="K2426" t="s">
        <v>33</v>
      </c>
      <c r="L2426" t="s">
        <v>44</v>
      </c>
      <c r="N2426" t="s">
        <v>29</v>
      </c>
    </row>
    <row r="2427" spans="1:14">
      <c r="A2427" s="4" t="str">
        <f t="shared" si="223"/>
        <v>EXP00069</v>
      </c>
      <c r="B2427" s="4" t="str">
        <f t="shared" si="226"/>
        <v>21665914</v>
      </c>
      <c r="C2427" s="4" t="str">
        <f t="shared" si="227"/>
        <v>GSE27635</v>
      </c>
      <c r="D2427" s="1" t="s">
        <v>175</v>
      </c>
      <c r="E2427" t="s">
        <v>180</v>
      </c>
      <c r="F2427" s="1">
        <v>2</v>
      </c>
      <c r="G2427" s="1" t="s">
        <v>28</v>
      </c>
      <c r="H2427" s="4" t="str">
        <f>HYPERLINK("https://www.ncbi.nlm.nih.gov/geo/query/acc.cgi?acc=GSM684837","GSM684837")</f>
        <v>GSM684837</v>
      </c>
      <c r="I2427" t="s">
        <v>177</v>
      </c>
      <c r="J2427" t="s">
        <v>178</v>
      </c>
      <c r="K2427" t="s">
        <v>33</v>
      </c>
      <c r="L2427" t="s">
        <v>44</v>
      </c>
      <c r="N2427" t="s">
        <v>29</v>
      </c>
    </row>
    <row r="2428" spans="1:14">
      <c r="A2428" s="4" t="str">
        <f t="shared" si="223"/>
        <v>EXP00069</v>
      </c>
      <c r="B2428" s="4" t="str">
        <f t="shared" si="226"/>
        <v>21665914</v>
      </c>
      <c r="C2428" s="4" t="str">
        <f t="shared" si="227"/>
        <v>GSE27635</v>
      </c>
      <c r="D2428" s="1" t="s">
        <v>175</v>
      </c>
      <c r="E2428" t="s">
        <v>180</v>
      </c>
      <c r="F2428" s="1">
        <v>2</v>
      </c>
      <c r="G2428" s="1" t="s">
        <v>28</v>
      </c>
      <c r="H2428" s="4" t="str">
        <f>HYPERLINK("https://www.ncbi.nlm.nih.gov/geo/query/acc.cgi?acc=GSM684839","GSM684839")</f>
        <v>GSM684839</v>
      </c>
      <c r="I2428" t="s">
        <v>177</v>
      </c>
      <c r="J2428" t="s">
        <v>178</v>
      </c>
      <c r="K2428" t="s">
        <v>33</v>
      </c>
      <c r="L2428" t="s">
        <v>44</v>
      </c>
      <c r="N2428" t="s">
        <v>29</v>
      </c>
    </row>
    <row r="2429" spans="1:14">
      <c r="A2429" s="4" t="str">
        <f t="shared" si="223"/>
        <v>EXP00069</v>
      </c>
      <c r="B2429" s="4" t="str">
        <f t="shared" si="226"/>
        <v>21665914</v>
      </c>
      <c r="C2429" s="4" t="str">
        <f t="shared" si="227"/>
        <v>GSE27635</v>
      </c>
      <c r="D2429" s="1" t="s">
        <v>175</v>
      </c>
      <c r="E2429" t="s">
        <v>180</v>
      </c>
      <c r="F2429" s="1">
        <v>2</v>
      </c>
      <c r="G2429" s="1" t="s">
        <v>28</v>
      </c>
      <c r="H2429" s="4" t="str">
        <f>HYPERLINK("https://www.ncbi.nlm.nih.gov/geo/query/acc.cgi?acc=GSM684841","GSM684841")</f>
        <v>GSM684841</v>
      </c>
      <c r="I2429" t="s">
        <v>177</v>
      </c>
      <c r="J2429" t="s">
        <v>178</v>
      </c>
      <c r="K2429" t="s">
        <v>33</v>
      </c>
      <c r="L2429" t="s">
        <v>44</v>
      </c>
      <c r="N2429" t="s">
        <v>29</v>
      </c>
    </row>
    <row r="2430" spans="1:14">
      <c r="A2430" s="4" t="str">
        <f t="shared" si="223"/>
        <v>EXP00069</v>
      </c>
      <c r="B2430" s="4" t="str">
        <f t="shared" si="226"/>
        <v>21665914</v>
      </c>
      <c r="C2430" s="4" t="str">
        <f t="shared" si="227"/>
        <v>GSE27635</v>
      </c>
      <c r="D2430" s="1" t="s">
        <v>175</v>
      </c>
      <c r="E2430" t="s">
        <v>180</v>
      </c>
      <c r="F2430" s="1">
        <v>2</v>
      </c>
      <c r="G2430" s="1" t="s">
        <v>28</v>
      </c>
      <c r="H2430" s="4" t="str">
        <f>HYPERLINK("https://www.ncbi.nlm.nih.gov/geo/query/acc.cgi?acc=GSM684843","GSM684843")</f>
        <v>GSM684843</v>
      </c>
      <c r="I2430" t="s">
        <v>177</v>
      </c>
      <c r="J2430" t="s">
        <v>178</v>
      </c>
      <c r="K2430" t="s">
        <v>33</v>
      </c>
      <c r="L2430" t="s">
        <v>44</v>
      </c>
      <c r="N2430" t="s">
        <v>29</v>
      </c>
    </row>
    <row r="2431" spans="1:14">
      <c r="A2431" s="4" t="str">
        <f t="shared" ref="A2431:A2470" si="228">HYPERLINK("http://hcmdb.i-sanger.com/experiment/details/experiment_id/EXP00070","EXP00070")</f>
        <v>EXP00070</v>
      </c>
      <c r="B2431" s="4" t="str">
        <f t="shared" ref="B2431:B2462" si="229">HYPERLINK("https://www.ncbi.nlm.nih.gov/pubmed/21712445","21712445")</f>
        <v>21712445</v>
      </c>
      <c r="C2431" s="4" t="str">
        <f t="shared" ref="C2431:C2462" si="230">HYPERLINK("https://www.ncbi.nlm.nih.gov/geo/query/acc.cgi?acc=GSE28248","GSE28248")</f>
        <v>GSE28248</v>
      </c>
      <c r="D2431" s="1" t="s">
        <v>175</v>
      </c>
      <c r="E2431" t="s">
        <v>181</v>
      </c>
      <c r="F2431" s="1">
        <v>1</v>
      </c>
      <c r="G2431" s="1" t="s">
        <v>36</v>
      </c>
      <c r="H2431" s="4" t="str">
        <f>HYPERLINK("https://www.ncbi.nlm.nih.gov/geo/query/acc.cgi?acc=GSM699172","GSM699172")</f>
        <v>GSM699172</v>
      </c>
      <c r="I2431" t="s">
        <v>177</v>
      </c>
      <c r="J2431" t="s">
        <v>178</v>
      </c>
      <c r="K2431" t="s">
        <v>19</v>
      </c>
      <c r="L2431" t="s">
        <v>44</v>
      </c>
      <c r="M2431" t="s">
        <v>24</v>
      </c>
      <c r="N2431" t="s">
        <v>37</v>
      </c>
    </row>
    <row r="2432" spans="1:14">
      <c r="A2432" s="4" t="str">
        <f t="shared" si="228"/>
        <v>EXP00070</v>
      </c>
      <c r="B2432" s="4" t="str">
        <f t="shared" si="229"/>
        <v>21712445</v>
      </c>
      <c r="C2432" s="4" t="str">
        <f t="shared" si="230"/>
        <v>GSE28248</v>
      </c>
      <c r="D2432" s="1" t="s">
        <v>175</v>
      </c>
      <c r="E2432" t="s">
        <v>181</v>
      </c>
      <c r="F2432" s="1">
        <v>1</v>
      </c>
      <c r="G2432" s="1" t="s">
        <v>36</v>
      </c>
      <c r="H2432" s="4" t="str">
        <f>HYPERLINK("https://www.ncbi.nlm.nih.gov/geo/query/acc.cgi?acc=GSM699174","GSM699174")</f>
        <v>GSM699174</v>
      </c>
      <c r="I2432" t="s">
        <v>177</v>
      </c>
      <c r="J2432" t="s">
        <v>178</v>
      </c>
      <c r="K2432" t="s">
        <v>19</v>
      </c>
      <c r="L2432" t="s">
        <v>44</v>
      </c>
      <c r="M2432" t="s">
        <v>24</v>
      </c>
      <c r="N2432" t="s">
        <v>37</v>
      </c>
    </row>
    <row r="2433" spans="1:14">
      <c r="A2433" s="4" t="str">
        <f t="shared" si="228"/>
        <v>EXP00070</v>
      </c>
      <c r="B2433" s="4" t="str">
        <f t="shared" si="229"/>
        <v>21712445</v>
      </c>
      <c r="C2433" s="4" t="str">
        <f t="shared" si="230"/>
        <v>GSE28248</v>
      </c>
      <c r="D2433" s="1" t="s">
        <v>175</v>
      </c>
      <c r="E2433" t="s">
        <v>181</v>
      </c>
      <c r="F2433" s="1">
        <v>1</v>
      </c>
      <c r="G2433" s="1" t="s">
        <v>36</v>
      </c>
      <c r="H2433" s="4" t="str">
        <f>HYPERLINK("https://www.ncbi.nlm.nih.gov/geo/query/acc.cgi?acc=GSM699176","GSM699176")</f>
        <v>GSM699176</v>
      </c>
      <c r="I2433" t="s">
        <v>177</v>
      </c>
      <c r="J2433" t="s">
        <v>178</v>
      </c>
      <c r="K2433" t="s">
        <v>19</v>
      </c>
      <c r="L2433" t="s">
        <v>44</v>
      </c>
      <c r="M2433" t="s">
        <v>24</v>
      </c>
      <c r="N2433" t="s">
        <v>37</v>
      </c>
    </row>
    <row r="2434" spans="1:14">
      <c r="A2434" s="4" t="str">
        <f t="shared" si="228"/>
        <v>EXP00070</v>
      </c>
      <c r="B2434" s="4" t="str">
        <f t="shared" si="229"/>
        <v>21712445</v>
      </c>
      <c r="C2434" s="4" t="str">
        <f t="shared" si="230"/>
        <v>GSE28248</v>
      </c>
      <c r="D2434" s="1" t="s">
        <v>175</v>
      </c>
      <c r="E2434" t="s">
        <v>181</v>
      </c>
      <c r="F2434" s="1">
        <v>1</v>
      </c>
      <c r="G2434" s="1" t="s">
        <v>36</v>
      </c>
      <c r="H2434" s="4" t="str">
        <f>HYPERLINK("https://www.ncbi.nlm.nih.gov/geo/query/acc.cgi?acc=GSM699178","GSM699178")</f>
        <v>GSM699178</v>
      </c>
      <c r="I2434" t="s">
        <v>177</v>
      </c>
      <c r="J2434" t="s">
        <v>178</v>
      </c>
      <c r="K2434" t="s">
        <v>19</v>
      </c>
      <c r="L2434" t="s">
        <v>44</v>
      </c>
      <c r="M2434" t="s">
        <v>24</v>
      </c>
      <c r="N2434" t="s">
        <v>37</v>
      </c>
    </row>
    <row r="2435" spans="1:14">
      <c r="A2435" s="4" t="str">
        <f t="shared" si="228"/>
        <v>EXP00070</v>
      </c>
      <c r="B2435" s="4" t="str">
        <f t="shared" si="229"/>
        <v>21712445</v>
      </c>
      <c r="C2435" s="4" t="str">
        <f t="shared" si="230"/>
        <v>GSE28248</v>
      </c>
      <c r="D2435" s="1" t="s">
        <v>175</v>
      </c>
      <c r="E2435" t="s">
        <v>181</v>
      </c>
      <c r="F2435" s="1">
        <v>1</v>
      </c>
      <c r="G2435" s="1" t="s">
        <v>36</v>
      </c>
      <c r="H2435" s="4" t="str">
        <f>HYPERLINK("https://www.ncbi.nlm.nih.gov/geo/query/acc.cgi?acc=GSM699180","GSM699180")</f>
        <v>GSM699180</v>
      </c>
      <c r="I2435" t="s">
        <v>177</v>
      </c>
      <c r="J2435" t="s">
        <v>178</v>
      </c>
      <c r="K2435" t="s">
        <v>19</v>
      </c>
      <c r="L2435" t="s">
        <v>44</v>
      </c>
      <c r="M2435" t="s">
        <v>24</v>
      </c>
      <c r="N2435" t="s">
        <v>37</v>
      </c>
    </row>
    <row r="2436" spans="1:14">
      <c r="A2436" s="4" t="str">
        <f t="shared" si="228"/>
        <v>EXP00070</v>
      </c>
      <c r="B2436" s="4" t="str">
        <f t="shared" si="229"/>
        <v>21712445</v>
      </c>
      <c r="C2436" s="4" t="str">
        <f t="shared" si="230"/>
        <v>GSE28248</v>
      </c>
      <c r="D2436" s="1" t="s">
        <v>175</v>
      </c>
      <c r="E2436" t="s">
        <v>181</v>
      </c>
      <c r="F2436" s="1">
        <v>1</v>
      </c>
      <c r="G2436" s="1" t="s">
        <v>36</v>
      </c>
      <c r="H2436" s="4" t="str">
        <f>HYPERLINK("https://www.ncbi.nlm.nih.gov/geo/query/acc.cgi?acc=GSM699182","GSM699182")</f>
        <v>GSM699182</v>
      </c>
      <c r="I2436" t="s">
        <v>177</v>
      </c>
      <c r="J2436" t="s">
        <v>178</v>
      </c>
      <c r="K2436" t="s">
        <v>19</v>
      </c>
      <c r="L2436" t="s">
        <v>44</v>
      </c>
      <c r="M2436" t="s">
        <v>24</v>
      </c>
      <c r="N2436" t="s">
        <v>37</v>
      </c>
    </row>
    <row r="2437" spans="1:14">
      <c r="A2437" s="4" t="str">
        <f t="shared" si="228"/>
        <v>EXP00070</v>
      </c>
      <c r="B2437" s="4" t="str">
        <f t="shared" si="229"/>
        <v>21712445</v>
      </c>
      <c r="C2437" s="4" t="str">
        <f t="shared" si="230"/>
        <v>GSE28248</v>
      </c>
      <c r="D2437" s="1" t="s">
        <v>175</v>
      </c>
      <c r="E2437" t="s">
        <v>181</v>
      </c>
      <c r="F2437" s="1">
        <v>1</v>
      </c>
      <c r="G2437" s="1" t="s">
        <v>36</v>
      </c>
      <c r="H2437" s="4" t="str">
        <f>HYPERLINK("https://www.ncbi.nlm.nih.gov/geo/query/acc.cgi?acc=GSM699184","GSM699184")</f>
        <v>GSM699184</v>
      </c>
      <c r="I2437" t="s">
        <v>177</v>
      </c>
      <c r="J2437" t="s">
        <v>178</v>
      </c>
      <c r="K2437" t="s">
        <v>19</v>
      </c>
      <c r="L2437" t="s">
        <v>44</v>
      </c>
      <c r="M2437" t="s">
        <v>24</v>
      </c>
      <c r="N2437" t="s">
        <v>37</v>
      </c>
    </row>
    <row r="2438" spans="1:14">
      <c r="A2438" s="4" t="str">
        <f t="shared" si="228"/>
        <v>EXP00070</v>
      </c>
      <c r="B2438" s="4" t="str">
        <f t="shared" si="229"/>
        <v>21712445</v>
      </c>
      <c r="C2438" s="4" t="str">
        <f t="shared" si="230"/>
        <v>GSE28248</v>
      </c>
      <c r="D2438" s="1" t="s">
        <v>175</v>
      </c>
      <c r="E2438" t="s">
        <v>181</v>
      </c>
      <c r="F2438" s="1">
        <v>1</v>
      </c>
      <c r="G2438" s="1" t="s">
        <v>36</v>
      </c>
      <c r="H2438" s="4" t="str">
        <f>HYPERLINK("https://www.ncbi.nlm.nih.gov/geo/query/acc.cgi?acc=GSM699186","GSM699186")</f>
        <v>GSM699186</v>
      </c>
      <c r="I2438" t="s">
        <v>177</v>
      </c>
      <c r="J2438" t="s">
        <v>178</v>
      </c>
      <c r="K2438" t="s">
        <v>19</v>
      </c>
      <c r="L2438" t="s">
        <v>44</v>
      </c>
      <c r="M2438" t="s">
        <v>24</v>
      </c>
      <c r="N2438" t="s">
        <v>37</v>
      </c>
    </row>
    <row r="2439" spans="1:14">
      <c r="A2439" s="4" t="str">
        <f t="shared" si="228"/>
        <v>EXP00070</v>
      </c>
      <c r="B2439" s="4" t="str">
        <f t="shared" si="229"/>
        <v>21712445</v>
      </c>
      <c r="C2439" s="4" t="str">
        <f t="shared" si="230"/>
        <v>GSE28248</v>
      </c>
      <c r="D2439" s="1" t="s">
        <v>175</v>
      </c>
      <c r="E2439" t="s">
        <v>181</v>
      </c>
      <c r="F2439" s="1">
        <v>1</v>
      </c>
      <c r="G2439" s="1" t="s">
        <v>36</v>
      </c>
      <c r="H2439" s="4" t="str">
        <f>HYPERLINK("https://www.ncbi.nlm.nih.gov/geo/query/acc.cgi?acc=GSM699188","GSM699188")</f>
        <v>GSM699188</v>
      </c>
      <c r="I2439" t="s">
        <v>177</v>
      </c>
      <c r="J2439" t="s">
        <v>178</v>
      </c>
      <c r="K2439" t="s">
        <v>19</v>
      </c>
      <c r="L2439" t="s">
        <v>44</v>
      </c>
      <c r="M2439" t="s">
        <v>24</v>
      </c>
      <c r="N2439" t="s">
        <v>37</v>
      </c>
    </row>
    <row r="2440" spans="1:14">
      <c r="A2440" s="4" t="str">
        <f t="shared" si="228"/>
        <v>EXP00070</v>
      </c>
      <c r="B2440" s="4" t="str">
        <f t="shared" si="229"/>
        <v>21712445</v>
      </c>
      <c r="C2440" s="4" t="str">
        <f t="shared" si="230"/>
        <v>GSE28248</v>
      </c>
      <c r="D2440" s="1" t="s">
        <v>175</v>
      </c>
      <c r="E2440" t="s">
        <v>181</v>
      </c>
      <c r="F2440" s="1">
        <v>1</v>
      </c>
      <c r="G2440" s="1" t="s">
        <v>36</v>
      </c>
      <c r="H2440" s="4" t="str">
        <f>HYPERLINK("https://www.ncbi.nlm.nih.gov/geo/query/acc.cgi?acc=GSM699190","GSM699190")</f>
        <v>GSM699190</v>
      </c>
      <c r="I2440" t="s">
        <v>177</v>
      </c>
      <c r="J2440" t="s">
        <v>178</v>
      </c>
      <c r="K2440" t="s">
        <v>19</v>
      </c>
      <c r="L2440" t="s">
        <v>44</v>
      </c>
      <c r="M2440" t="s">
        <v>24</v>
      </c>
      <c r="N2440" t="s">
        <v>37</v>
      </c>
    </row>
    <row r="2441" spans="1:14">
      <c r="A2441" s="4" t="str">
        <f t="shared" si="228"/>
        <v>EXP00070</v>
      </c>
      <c r="B2441" s="4" t="str">
        <f t="shared" si="229"/>
        <v>21712445</v>
      </c>
      <c r="C2441" s="4" t="str">
        <f t="shared" si="230"/>
        <v>GSE28248</v>
      </c>
      <c r="D2441" s="1" t="s">
        <v>175</v>
      </c>
      <c r="E2441" t="s">
        <v>181</v>
      </c>
      <c r="F2441" s="1">
        <v>1</v>
      </c>
      <c r="G2441" s="1" t="s">
        <v>36</v>
      </c>
      <c r="H2441" s="4" t="str">
        <f>HYPERLINK("https://www.ncbi.nlm.nih.gov/geo/query/acc.cgi?acc=GSM699192","GSM699192")</f>
        <v>GSM699192</v>
      </c>
      <c r="I2441" t="s">
        <v>177</v>
      </c>
      <c r="J2441" t="s">
        <v>178</v>
      </c>
      <c r="K2441" t="s">
        <v>19</v>
      </c>
      <c r="L2441" t="s">
        <v>44</v>
      </c>
      <c r="M2441" t="s">
        <v>24</v>
      </c>
      <c r="N2441" t="s">
        <v>37</v>
      </c>
    </row>
    <row r="2442" spans="1:14">
      <c r="A2442" s="4" t="str">
        <f t="shared" si="228"/>
        <v>EXP00070</v>
      </c>
      <c r="B2442" s="4" t="str">
        <f t="shared" si="229"/>
        <v>21712445</v>
      </c>
      <c r="C2442" s="4" t="str">
        <f t="shared" si="230"/>
        <v>GSE28248</v>
      </c>
      <c r="D2442" s="1" t="s">
        <v>175</v>
      </c>
      <c r="E2442" t="s">
        <v>181</v>
      </c>
      <c r="F2442" s="1">
        <v>1</v>
      </c>
      <c r="G2442" s="1" t="s">
        <v>36</v>
      </c>
      <c r="H2442" s="4" t="str">
        <f>HYPERLINK("https://www.ncbi.nlm.nih.gov/geo/query/acc.cgi?acc=GSM699194","GSM699194")</f>
        <v>GSM699194</v>
      </c>
      <c r="I2442" t="s">
        <v>177</v>
      </c>
      <c r="J2442" t="s">
        <v>178</v>
      </c>
      <c r="K2442" t="s">
        <v>19</v>
      </c>
      <c r="L2442" t="s">
        <v>44</v>
      </c>
      <c r="M2442" t="s">
        <v>24</v>
      </c>
      <c r="N2442" t="s">
        <v>37</v>
      </c>
    </row>
    <row r="2443" spans="1:14">
      <c r="A2443" s="4" t="str">
        <f t="shared" si="228"/>
        <v>EXP00070</v>
      </c>
      <c r="B2443" s="4" t="str">
        <f t="shared" si="229"/>
        <v>21712445</v>
      </c>
      <c r="C2443" s="4" t="str">
        <f t="shared" si="230"/>
        <v>GSE28248</v>
      </c>
      <c r="D2443" s="1" t="s">
        <v>175</v>
      </c>
      <c r="E2443" t="s">
        <v>181</v>
      </c>
      <c r="F2443" s="1">
        <v>1</v>
      </c>
      <c r="G2443" s="1" t="s">
        <v>36</v>
      </c>
      <c r="H2443" s="4" t="str">
        <f>HYPERLINK("https://www.ncbi.nlm.nih.gov/geo/query/acc.cgi?acc=GSM699196","GSM699196")</f>
        <v>GSM699196</v>
      </c>
      <c r="I2443" t="s">
        <v>177</v>
      </c>
      <c r="J2443" t="s">
        <v>178</v>
      </c>
      <c r="K2443" t="s">
        <v>19</v>
      </c>
      <c r="L2443" t="s">
        <v>44</v>
      </c>
      <c r="M2443" t="s">
        <v>24</v>
      </c>
      <c r="N2443" t="s">
        <v>37</v>
      </c>
    </row>
    <row r="2444" spans="1:14">
      <c r="A2444" s="4" t="str">
        <f t="shared" si="228"/>
        <v>EXP00070</v>
      </c>
      <c r="B2444" s="4" t="str">
        <f t="shared" si="229"/>
        <v>21712445</v>
      </c>
      <c r="C2444" s="4" t="str">
        <f t="shared" si="230"/>
        <v>GSE28248</v>
      </c>
      <c r="D2444" s="1" t="s">
        <v>175</v>
      </c>
      <c r="E2444" t="s">
        <v>181</v>
      </c>
      <c r="F2444" s="1">
        <v>1</v>
      </c>
      <c r="G2444" s="1" t="s">
        <v>36</v>
      </c>
      <c r="H2444" s="4" t="str">
        <f>HYPERLINK("https://www.ncbi.nlm.nih.gov/geo/query/acc.cgi?acc=GSM699198","GSM699198")</f>
        <v>GSM699198</v>
      </c>
      <c r="I2444" t="s">
        <v>177</v>
      </c>
      <c r="J2444" t="s">
        <v>178</v>
      </c>
      <c r="K2444" t="s">
        <v>19</v>
      </c>
      <c r="L2444" t="s">
        <v>44</v>
      </c>
      <c r="M2444" t="s">
        <v>24</v>
      </c>
      <c r="N2444" t="s">
        <v>37</v>
      </c>
    </row>
    <row r="2445" spans="1:14">
      <c r="A2445" s="4" t="str">
        <f t="shared" si="228"/>
        <v>EXP00070</v>
      </c>
      <c r="B2445" s="4" t="str">
        <f t="shared" si="229"/>
        <v>21712445</v>
      </c>
      <c r="C2445" s="4" t="str">
        <f t="shared" si="230"/>
        <v>GSE28248</v>
      </c>
      <c r="D2445" s="1" t="s">
        <v>175</v>
      </c>
      <c r="E2445" t="s">
        <v>181</v>
      </c>
      <c r="F2445" s="1">
        <v>1</v>
      </c>
      <c r="G2445" s="1" t="s">
        <v>36</v>
      </c>
      <c r="H2445" s="4" t="str">
        <f>HYPERLINK("https://www.ncbi.nlm.nih.gov/geo/query/acc.cgi?acc=GSM699200","GSM699200")</f>
        <v>GSM699200</v>
      </c>
      <c r="I2445" t="s">
        <v>177</v>
      </c>
      <c r="J2445" t="s">
        <v>178</v>
      </c>
      <c r="K2445" t="s">
        <v>19</v>
      </c>
      <c r="L2445" t="s">
        <v>44</v>
      </c>
      <c r="M2445" t="s">
        <v>24</v>
      </c>
      <c r="N2445" t="s">
        <v>37</v>
      </c>
    </row>
    <row r="2446" spans="1:14">
      <c r="A2446" s="4" t="str">
        <f t="shared" si="228"/>
        <v>EXP00070</v>
      </c>
      <c r="B2446" s="4" t="str">
        <f t="shared" si="229"/>
        <v>21712445</v>
      </c>
      <c r="C2446" s="4" t="str">
        <f t="shared" si="230"/>
        <v>GSE28248</v>
      </c>
      <c r="D2446" s="1" t="s">
        <v>175</v>
      </c>
      <c r="E2446" t="s">
        <v>181</v>
      </c>
      <c r="F2446" s="1">
        <v>1</v>
      </c>
      <c r="G2446" s="1" t="s">
        <v>36</v>
      </c>
      <c r="H2446" s="4" t="str">
        <f>HYPERLINK("https://www.ncbi.nlm.nih.gov/geo/query/acc.cgi?acc=GSM699202","GSM699202")</f>
        <v>GSM699202</v>
      </c>
      <c r="I2446" t="s">
        <v>177</v>
      </c>
      <c r="J2446" t="s">
        <v>178</v>
      </c>
      <c r="K2446" t="s">
        <v>19</v>
      </c>
      <c r="L2446" t="s">
        <v>44</v>
      </c>
      <c r="M2446" t="s">
        <v>24</v>
      </c>
      <c r="N2446" t="s">
        <v>37</v>
      </c>
    </row>
    <row r="2447" spans="1:14">
      <c r="A2447" s="4" t="str">
        <f t="shared" si="228"/>
        <v>EXP00070</v>
      </c>
      <c r="B2447" s="4" t="str">
        <f t="shared" si="229"/>
        <v>21712445</v>
      </c>
      <c r="C2447" s="4" t="str">
        <f t="shared" si="230"/>
        <v>GSE28248</v>
      </c>
      <c r="D2447" s="1" t="s">
        <v>175</v>
      </c>
      <c r="E2447" t="s">
        <v>181</v>
      </c>
      <c r="F2447" s="1">
        <v>1</v>
      </c>
      <c r="G2447" s="1" t="s">
        <v>36</v>
      </c>
      <c r="H2447" s="4" t="str">
        <f>HYPERLINK("https://www.ncbi.nlm.nih.gov/geo/query/acc.cgi?acc=GSM699204","GSM699204")</f>
        <v>GSM699204</v>
      </c>
      <c r="I2447" t="s">
        <v>177</v>
      </c>
      <c r="J2447" t="s">
        <v>178</v>
      </c>
      <c r="K2447" t="s">
        <v>19</v>
      </c>
      <c r="L2447" t="s">
        <v>44</v>
      </c>
      <c r="M2447" t="s">
        <v>24</v>
      </c>
      <c r="N2447" t="s">
        <v>37</v>
      </c>
    </row>
    <row r="2448" spans="1:14">
      <c r="A2448" s="4" t="str">
        <f t="shared" si="228"/>
        <v>EXP00070</v>
      </c>
      <c r="B2448" s="4" t="str">
        <f t="shared" si="229"/>
        <v>21712445</v>
      </c>
      <c r="C2448" s="4" t="str">
        <f t="shared" si="230"/>
        <v>GSE28248</v>
      </c>
      <c r="D2448" s="1" t="s">
        <v>175</v>
      </c>
      <c r="E2448" t="s">
        <v>181</v>
      </c>
      <c r="F2448" s="1">
        <v>1</v>
      </c>
      <c r="G2448" s="1" t="s">
        <v>36</v>
      </c>
      <c r="H2448" s="4" t="str">
        <f>HYPERLINK("https://www.ncbi.nlm.nih.gov/geo/query/acc.cgi?acc=GSM699206","GSM699206")</f>
        <v>GSM699206</v>
      </c>
      <c r="I2448" t="s">
        <v>177</v>
      </c>
      <c r="J2448" t="s">
        <v>178</v>
      </c>
      <c r="K2448" t="s">
        <v>19</v>
      </c>
      <c r="L2448" t="s">
        <v>44</v>
      </c>
      <c r="M2448" t="s">
        <v>24</v>
      </c>
      <c r="N2448" t="s">
        <v>37</v>
      </c>
    </row>
    <row r="2449" spans="1:14">
      <c r="A2449" s="4" t="str">
        <f t="shared" si="228"/>
        <v>EXP00070</v>
      </c>
      <c r="B2449" s="4" t="str">
        <f t="shared" si="229"/>
        <v>21712445</v>
      </c>
      <c r="C2449" s="4" t="str">
        <f t="shared" si="230"/>
        <v>GSE28248</v>
      </c>
      <c r="D2449" s="1" t="s">
        <v>175</v>
      </c>
      <c r="E2449" t="s">
        <v>181</v>
      </c>
      <c r="F2449" s="1">
        <v>1</v>
      </c>
      <c r="G2449" s="1" t="s">
        <v>36</v>
      </c>
      <c r="H2449" s="4" t="str">
        <f>HYPERLINK("https://www.ncbi.nlm.nih.gov/geo/query/acc.cgi?acc=GSM699208","GSM699208")</f>
        <v>GSM699208</v>
      </c>
      <c r="I2449" t="s">
        <v>177</v>
      </c>
      <c r="J2449" t="s">
        <v>178</v>
      </c>
      <c r="K2449" t="s">
        <v>19</v>
      </c>
      <c r="L2449" t="s">
        <v>44</v>
      </c>
      <c r="M2449" t="s">
        <v>24</v>
      </c>
      <c r="N2449" t="s">
        <v>37</v>
      </c>
    </row>
    <row r="2450" spans="1:14">
      <c r="A2450" s="4" t="str">
        <f t="shared" si="228"/>
        <v>EXP00070</v>
      </c>
      <c r="B2450" s="4" t="str">
        <f t="shared" si="229"/>
        <v>21712445</v>
      </c>
      <c r="C2450" s="4" t="str">
        <f t="shared" si="230"/>
        <v>GSE28248</v>
      </c>
      <c r="D2450" s="1" t="s">
        <v>175</v>
      </c>
      <c r="E2450" t="s">
        <v>181</v>
      </c>
      <c r="F2450" s="1">
        <v>1</v>
      </c>
      <c r="G2450" s="1" t="s">
        <v>36</v>
      </c>
      <c r="H2450" s="4" t="str">
        <f>HYPERLINK("https://www.ncbi.nlm.nih.gov/geo/query/acc.cgi?acc=GSM699210","GSM699210")</f>
        <v>GSM699210</v>
      </c>
      <c r="I2450" t="s">
        <v>177</v>
      </c>
      <c r="J2450" t="s">
        <v>178</v>
      </c>
      <c r="K2450" t="s">
        <v>19</v>
      </c>
      <c r="L2450" t="s">
        <v>44</v>
      </c>
      <c r="M2450" t="s">
        <v>24</v>
      </c>
      <c r="N2450" t="s">
        <v>37</v>
      </c>
    </row>
    <row r="2451" spans="1:14">
      <c r="A2451" s="4" t="str">
        <f t="shared" si="228"/>
        <v>EXP00070</v>
      </c>
      <c r="B2451" s="4" t="str">
        <f t="shared" si="229"/>
        <v>21712445</v>
      </c>
      <c r="C2451" s="4" t="str">
        <f t="shared" si="230"/>
        <v>GSE28248</v>
      </c>
      <c r="D2451" s="1" t="s">
        <v>175</v>
      </c>
      <c r="E2451" t="s">
        <v>181</v>
      </c>
      <c r="F2451" s="1">
        <v>2</v>
      </c>
      <c r="G2451" s="1" t="s">
        <v>28</v>
      </c>
      <c r="H2451" s="4" t="str">
        <f>HYPERLINK("https://www.ncbi.nlm.nih.gov/geo/query/acc.cgi?acc=GSM699173","GSM699173")</f>
        <v>GSM699173</v>
      </c>
      <c r="I2451" t="s">
        <v>177</v>
      </c>
      <c r="J2451" t="s">
        <v>178</v>
      </c>
      <c r="K2451" t="s">
        <v>19</v>
      </c>
      <c r="L2451" t="s">
        <v>44</v>
      </c>
      <c r="M2451" t="s">
        <v>24</v>
      </c>
      <c r="N2451" t="s">
        <v>29</v>
      </c>
    </row>
    <row r="2452" spans="1:14">
      <c r="A2452" s="4" t="str">
        <f t="shared" si="228"/>
        <v>EXP00070</v>
      </c>
      <c r="B2452" s="4" t="str">
        <f t="shared" si="229"/>
        <v>21712445</v>
      </c>
      <c r="C2452" s="4" t="str">
        <f t="shared" si="230"/>
        <v>GSE28248</v>
      </c>
      <c r="D2452" s="1" t="s">
        <v>175</v>
      </c>
      <c r="E2452" t="s">
        <v>181</v>
      </c>
      <c r="F2452" s="1">
        <v>2</v>
      </c>
      <c r="G2452" s="1" t="s">
        <v>28</v>
      </c>
      <c r="H2452" s="4" t="str">
        <f>HYPERLINK("https://www.ncbi.nlm.nih.gov/geo/query/acc.cgi?acc=GSM699175","GSM699175")</f>
        <v>GSM699175</v>
      </c>
      <c r="I2452" t="s">
        <v>177</v>
      </c>
      <c r="J2452" t="s">
        <v>178</v>
      </c>
      <c r="K2452" t="s">
        <v>19</v>
      </c>
      <c r="L2452" t="s">
        <v>44</v>
      </c>
      <c r="M2452" t="s">
        <v>24</v>
      </c>
      <c r="N2452" t="s">
        <v>29</v>
      </c>
    </row>
    <row r="2453" spans="1:14">
      <c r="A2453" s="4" t="str">
        <f t="shared" si="228"/>
        <v>EXP00070</v>
      </c>
      <c r="B2453" s="4" t="str">
        <f t="shared" si="229"/>
        <v>21712445</v>
      </c>
      <c r="C2453" s="4" t="str">
        <f t="shared" si="230"/>
        <v>GSE28248</v>
      </c>
      <c r="D2453" s="1" t="s">
        <v>175</v>
      </c>
      <c r="E2453" t="s">
        <v>181</v>
      </c>
      <c r="F2453" s="1">
        <v>2</v>
      </c>
      <c r="G2453" s="1" t="s">
        <v>28</v>
      </c>
      <c r="H2453" s="4" t="str">
        <f>HYPERLINK("https://www.ncbi.nlm.nih.gov/geo/query/acc.cgi?acc=GSM699177","GSM699177")</f>
        <v>GSM699177</v>
      </c>
      <c r="I2453" t="s">
        <v>177</v>
      </c>
      <c r="J2453" t="s">
        <v>178</v>
      </c>
      <c r="K2453" t="s">
        <v>19</v>
      </c>
      <c r="L2453" t="s">
        <v>44</v>
      </c>
      <c r="M2453" t="s">
        <v>24</v>
      </c>
      <c r="N2453" t="s">
        <v>29</v>
      </c>
    </row>
    <row r="2454" spans="1:14">
      <c r="A2454" s="4" t="str">
        <f t="shared" si="228"/>
        <v>EXP00070</v>
      </c>
      <c r="B2454" s="4" t="str">
        <f t="shared" si="229"/>
        <v>21712445</v>
      </c>
      <c r="C2454" s="4" t="str">
        <f t="shared" si="230"/>
        <v>GSE28248</v>
      </c>
      <c r="D2454" s="1" t="s">
        <v>175</v>
      </c>
      <c r="E2454" t="s">
        <v>181</v>
      </c>
      <c r="F2454" s="1">
        <v>2</v>
      </c>
      <c r="G2454" s="1" t="s">
        <v>28</v>
      </c>
      <c r="H2454" s="4" t="str">
        <f>HYPERLINK("https://www.ncbi.nlm.nih.gov/geo/query/acc.cgi?acc=GSM699179","GSM699179")</f>
        <v>GSM699179</v>
      </c>
      <c r="I2454" t="s">
        <v>177</v>
      </c>
      <c r="J2454" t="s">
        <v>178</v>
      </c>
      <c r="K2454" t="s">
        <v>19</v>
      </c>
      <c r="L2454" t="s">
        <v>44</v>
      </c>
      <c r="M2454" t="s">
        <v>24</v>
      </c>
      <c r="N2454" t="s">
        <v>29</v>
      </c>
    </row>
    <row r="2455" spans="1:14">
      <c r="A2455" s="4" t="str">
        <f t="shared" si="228"/>
        <v>EXP00070</v>
      </c>
      <c r="B2455" s="4" t="str">
        <f t="shared" si="229"/>
        <v>21712445</v>
      </c>
      <c r="C2455" s="4" t="str">
        <f t="shared" si="230"/>
        <v>GSE28248</v>
      </c>
      <c r="D2455" s="1" t="s">
        <v>175</v>
      </c>
      <c r="E2455" t="s">
        <v>181</v>
      </c>
      <c r="F2455" s="1">
        <v>2</v>
      </c>
      <c r="G2455" s="1" t="s">
        <v>28</v>
      </c>
      <c r="H2455" s="4" t="str">
        <f>HYPERLINK("https://www.ncbi.nlm.nih.gov/geo/query/acc.cgi?acc=GSM699181","GSM699181")</f>
        <v>GSM699181</v>
      </c>
      <c r="I2455" t="s">
        <v>177</v>
      </c>
      <c r="J2455" t="s">
        <v>178</v>
      </c>
      <c r="K2455" t="s">
        <v>19</v>
      </c>
      <c r="L2455" t="s">
        <v>44</v>
      </c>
      <c r="M2455" t="s">
        <v>24</v>
      </c>
      <c r="N2455" t="s">
        <v>29</v>
      </c>
    </row>
    <row r="2456" spans="1:14">
      <c r="A2456" s="4" t="str">
        <f t="shared" si="228"/>
        <v>EXP00070</v>
      </c>
      <c r="B2456" s="4" t="str">
        <f t="shared" si="229"/>
        <v>21712445</v>
      </c>
      <c r="C2456" s="4" t="str">
        <f t="shared" si="230"/>
        <v>GSE28248</v>
      </c>
      <c r="D2456" s="1" t="s">
        <v>175</v>
      </c>
      <c r="E2456" t="s">
        <v>181</v>
      </c>
      <c r="F2456" s="1">
        <v>2</v>
      </c>
      <c r="G2456" s="1" t="s">
        <v>28</v>
      </c>
      <c r="H2456" s="4" t="str">
        <f>HYPERLINK("https://www.ncbi.nlm.nih.gov/geo/query/acc.cgi?acc=GSM699183","GSM699183")</f>
        <v>GSM699183</v>
      </c>
      <c r="I2456" t="s">
        <v>177</v>
      </c>
      <c r="J2456" t="s">
        <v>178</v>
      </c>
      <c r="K2456" t="s">
        <v>19</v>
      </c>
      <c r="L2456" t="s">
        <v>44</v>
      </c>
      <c r="M2456" t="s">
        <v>24</v>
      </c>
      <c r="N2456" t="s">
        <v>29</v>
      </c>
    </row>
    <row r="2457" spans="1:14">
      <c r="A2457" s="4" t="str">
        <f t="shared" si="228"/>
        <v>EXP00070</v>
      </c>
      <c r="B2457" s="4" t="str">
        <f t="shared" si="229"/>
        <v>21712445</v>
      </c>
      <c r="C2457" s="4" t="str">
        <f t="shared" si="230"/>
        <v>GSE28248</v>
      </c>
      <c r="D2457" s="1" t="s">
        <v>175</v>
      </c>
      <c r="E2457" t="s">
        <v>181</v>
      </c>
      <c r="F2457" s="1">
        <v>2</v>
      </c>
      <c r="G2457" s="1" t="s">
        <v>28</v>
      </c>
      <c r="H2457" s="4" t="str">
        <f>HYPERLINK("https://www.ncbi.nlm.nih.gov/geo/query/acc.cgi?acc=GSM699185","GSM699185")</f>
        <v>GSM699185</v>
      </c>
      <c r="I2457" t="s">
        <v>177</v>
      </c>
      <c r="J2457" t="s">
        <v>178</v>
      </c>
      <c r="K2457" t="s">
        <v>19</v>
      </c>
      <c r="L2457" t="s">
        <v>44</v>
      </c>
      <c r="M2457" t="s">
        <v>24</v>
      </c>
      <c r="N2457" t="s">
        <v>29</v>
      </c>
    </row>
    <row r="2458" spans="1:14">
      <c r="A2458" s="4" t="str">
        <f t="shared" si="228"/>
        <v>EXP00070</v>
      </c>
      <c r="B2458" s="4" t="str">
        <f t="shared" si="229"/>
        <v>21712445</v>
      </c>
      <c r="C2458" s="4" t="str">
        <f t="shared" si="230"/>
        <v>GSE28248</v>
      </c>
      <c r="D2458" s="1" t="s">
        <v>175</v>
      </c>
      <c r="E2458" t="s">
        <v>181</v>
      </c>
      <c r="F2458" s="1">
        <v>2</v>
      </c>
      <c r="G2458" s="1" t="s">
        <v>28</v>
      </c>
      <c r="H2458" s="4" t="str">
        <f>HYPERLINK("https://www.ncbi.nlm.nih.gov/geo/query/acc.cgi?acc=GSM699187","GSM699187")</f>
        <v>GSM699187</v>
      </c>
      <c r="I2458" t="s">
        <v>177</v>
      </c>
      <c r="J2458" t="s">
        <v>178</v>
      </c>
      <c r="K2458" t="s">
        <v>19</v>
      </c>
      <c r="L2458" t="s">
        <v>44</v>
      </c>
      <c r="M2458" t="s">
        <v>24</v>
      </c>
      <c r="N2458" t="s">
        <v>29</v>
      </c>
    </row>
    <row r="2459" spans="1:14">
      <c r="A2459" s="4" t="str">
        <f t="shared" si="228"/>
        <v>EXP00070</v>
      </c>
      <c r="B2459" s="4" t="str">
        <f t="shared" si="229"/>
        <v>21712445</v>
      </c>
      <c r="C2459" s="4" t="str">
        <f t="shared" si="230"/>
        <v>GSE28248</v>
      </c>
      <c r="D2459" s="1" t="s">
        <v>175</v>
      </c>
      <c r="E2459" t="s">
        <v>181</v>
      </c>
      <c r="F2459" s="1">
        <v>2</v>
      </c>
      <c r="G2459" s="1" t="s">
        <v>28</v>
      </c>
      <c r="H2459" s="4" t="str">
        <f>HYPERLINK("https://www.ncbi.nlm.nih.gov/geo/query/acc.cgi?acc=GSM699189","GSM699189")</f>
        <v>GSM699189</v>
      </c>
      <c r="I2459" t="s">
        <v>177</v>
      </c>
      <c r="J2459" t="s">
        <v>178</v>
      </c>
      <c r="K2459" t="s">
        <v>19</v>
      </c>
      <c r="L2459" t="s">
        <v>44</v>
      </c>
      <c r="M2459" t="s">
        <v>24</v>
      </c>
      <c r="N2459" t="s">
        <v>29</v>
      </c>
    </row>
    <row r="2460" spans="1:14">
      <c r="A2460" s="4" t="str">
        <f t="shared" si="228"/>
        <v>EXP00070</v>
      </c>
      <c r="B2460" s="4" t="str">
        <f t="shared" si="229"/>
        <v>21712445</v>
      </c>
      <c r="C2460" s="4" t="str">
        <f t="shared" si="230"/>
        <v>GSE28248</v>
      </c>
      <c r="D2460" s="1" t="s">
        <v>175</v>
      </c>
      <c r="E2460" t="s">
        <v>181</v>
      </c>
      <c r="F2460" s="1">
        <v>2</v>
      </c>
      <c r="G2460" s="1" t="s">
        <v>28</v>
      </c>
      <c r="H2460" s="4" t="str">
        <f>HYPERLINK("https://www.ncbi.nlm.nih.gov/geo/query/acc.cgi?acc=GSM699191","GSM699191")</f>
        <v>GSM699191</v>
      </c>
      <c r="I2460" t="s">
        <v>177</v>
      </c>
      <c r="J2460" t="s">
        <v>178</v>
      </c>
      <c r="K2460" t="s">
        <v>19</v>
      </c>
      <c r="L2460" t="s">
        <v>44</v>
      </c>
      <c r="M2460" t="s">
        <v>24</v>
      </c>
      <c r="N2460" t="s">
        <v>29</v>
      </c>
    </row>
    <row r="2461" spans="1:14">
      <c r="A2461" s="4" t="str">
        <f t="shared" si="228"/>
        <v>EXP00070</v>
      </c>
      <c r="B2461" s="4" t="str">
        <f t="shared" si="229"/>
        <v>21712445</v>
      </c>
      <c r="C2461" s="4" t="str">
        <f t="shared" si="230"/>
        <v>GSE28248</v>
      </c>
      <c r="D2461" s="1" t="s">
        <v>175</v>
      </c>
      <c r="E2461" t="s">
        <v>181</v>
      </c>
      <c r="F2461" s="1">
        <v>2</v>
      </c>
      <c r="G2461" s="1" t="s">
        <v>28</v>
      </c>
      <c r="H2461" s="4" t="str">
        <f>HYPERLINK("https://www.ncbi.nlm.nih.gov/geo/query/acc.cgi?acc=GSM699193","GSM699193")</f>
        <v>GSM699193</v>
      </c>
      <c r="I2461" t="s">
        <v>177</v>
      </c>
      <c r="J2461" t="s">
        <v>178</v>
      </c>
      <c r="K2461" t="s">
        <v>19</v>
      </c>
      <c r="L2461" t="s">
        <v>44</v>
      </c>
      <c r="M2461" t="s">
        <v>24</v>
      </c>
      <c r="N2461" t="s">
        <v>29</v>
      </c>
    </row>
    <row r="2462" spans="1:14">
      <c r="A2462" s="4" t="str">
        <f t="shared" si="228"/>
        <v>EXP00070</v>
      </c>
      <c r="B2462" s="4" t="str">
        <f t="shared" si="229"/>
        <v>21712445</v>
      </c>
      <c r="C2462" s="4" t="str">
        <f t="shared" si="230"/>
        <v>GSE28248</v>
      </c>
      <c r="D2462" s="1" t="s">
        <v>175</v>
      </c>
      <c r="E2462" t="s">
        <v>181</v>
      </c>
      <c r="F2462" s="1">
        <v>2</v>
      </c>
      <c r="G2462" s="1" t="s">
        <v>28</v>
      </c>
      <c r="H2462" s="4" t="str">
        <f>HYPERLINK("https://www.ncbi.nlm.nih.gov/geo/query/acc.cgi?acc=GSM699195","GSM699195")</f>
        <v>GSM699195</v>
      </c>
      <c r="I2462" t="s">
        <v>177</v>
      </c>
      <c r="J2462" t="s">
        <v>178</v>
      </c>
      <c r="K2462" t="s">
        <v>19</v>
      </c>
      <c r="L2462" t="s">
        <v>44</v>
      </c>
      <c r="M2462" t="s">
        <v>24</v>
      </c>
      <c r="N2462" t="s">
        <v>29</v>
      </c>
    </row>
    <row r="2463" spans="1:14">
      <c r="A2463" s="4" t="str">
        <f t="shared" si="228"/>
        <v>EXP00070</v>
      </c>
      <c r="B2463" s="4" t="str">
        <f t="shared" ref="B2463:B2494" si="231">HYPERLINK("https://www.ncbi.nlm.nih.gov/pubmed/21712445","21712445")</f>
        <v>21712445</v>
      </c>
      <c r="C2463" s="4" t="str">
        <f t="shared" ref="C2463:C2494" si="232">HYPERLINK("https://www.ncbi.nlm.nih.gov/geo/query/acc.cgi?acc=GSE28248","GSE28248")</f>
        <v>GSE28248</v>
      </c>
      <c r="D2463" s="1" t="s">
        <v>175</v>
      </c>
      <c r="E2463" t="s">
        <v>181</v>
      </c>
      <c r="F2463" s="1">
        <v>2</v>
      </c>
      <c r="G2463" s="1" t="s">
        <v>28</v>
      </c>
      <c r="H2463" s="4" t="str">
        <f>HYPERLINK("https://www.ncbi.nlm.nih.gov/geo/query/acc.cgi?acc=GSM699197","GSM699197")</f>
        <v>GSM699197</v>
      </c>
      <c r="I2463" t="s">
        <v>177</v>
      </c>
      <c r="J2463" t="s">
        <v>178</v>
      </c>
      <c r="K2463" t="s">
        <v>19</v>
      </c>
      <c r="L2463" t="s">
        <v>44</v>
      </c>
      <c r="M2463" t="s">
        <v>24</v>
      </c>
      <c r="N2463" t="s">
        <v>29</v>
      </c>
    </row>
    <row r="2464" spans="1:14">
      <c r="A2464" s="4" t="str">
        <f t="shared" si="228"/>
        <v>EXP00070</v>
      </c>
      <c r="B2464" s="4" t="str">
        <f t="shared" si="231"/>
        <v>21712445</v>
      </c>
      <c r="C2464" s="4" t="str">
        <f t="shared" si="232"/>
        <v>GSE28248</v>
      </c>
      <c r="D2464" s="1" t="s">
        <v>175</v>
      </c>
      <c r="E2464" t="s">
        <v>181</v>
      </c>
      <c r="F2464" s="1">
        <v>2</v>
      </c>
      <c r="G2464" s="1" t="s">
        <v>28</v>
      </c>
      <c r="H2464" s="4" t="str">
        <f>HYPERLINK("https://www.ncbi.nlm.nih.gov/geo/query/acc.cgi?acc=GSM699199","GSM699199")</f>
        <v>GSM699199</v>
      </c>
      <c r="I2464" t="s">
        <v>177</v>
      </c>
      <c r="J2464" t="s">
        <v>178</v>
      </c>
      <c r="K2464" t="s">
        <v>19</v>
      </c>
      <c r="L2464" t="s">
        <v>44</v>
      </c>
      <c r="M2464" t="s">
        <v>24</v>
      </c>
      <c r="N2464" t="s">
        <v>29</v>
      </c>
    </row>
    <row r="2465" spans="1:14">
      <c r="A2465" s="4" t="str">
        <f t="shared" si="228"/>
        <v>EXP00070</v>
      </c>
      <c r="B2465" s="4" t="str">
        <f t="shared" si="231"/>
        <v>21712445</v>
      </c>
      <c r="C2465" s="4" t="str">
        <f t="shared" si="232"/>
        <v>GSE28248</v>
      </c>
      <c r="D2465" s="1" t="s">
        <v>175</v>
      </c>
      <c r="E2465" t="s">
        <v>181</v>
      </c>
      <c r="F2465" s="1">
        <v>2</v>
      </c>
      <c r="G2465" s="1" t="s">
        <v>28</v>
      </c>
      <c r="H2465" s="4" t="str">
        <f>HYPERLINK("https://www.ncbi.nlm.nih.gov/geo/query/acc.cgi?acc=GSM699201","GSM699201")</f>
        <v>GSM699201</v>
      </c>
      <c r="I2465" t="s">
        <v>177</v>
      </c>
      <c r="J2465" t="s">
        <v>178</v>
      </c>
      <c r="K2465" t="s">
        <v>19</v>
      </c>
      <c r="L2465" t="s">
        <v>44</v>
      </c>
      <c r="M2465" t="s">
        <v>24</v>
      </c>
      <c r="N2465" t="s">
        <v>29</v>
      </c>
    </row>
    <row r="2466" spans="1:14">
      <c r="A2466" s="4" t="str">
        <f t="shared" si="228"/>
        <v>EXP00070</v>
      </c>
      <c r="B2466" s="4" t="str">
        <f t="shared" si="231"/>
        <v>21712445</v>
      </c>
      <c r="C2466" s="4" t="str">
        <f t="shared" si="232"/>
        <v>GSE28248</v>
      </c>
      <c r="D2466" s="1" t="s">
        <v>175</v>
      </c>
      <c r="E2466" t="s">
        <v>181</v>
      </c>
      <c r="F2466" s="1">
        <v>2</v>
      </c>
      <c r="G2466" s="1" t="s">
        <v>28</v>
      </c>
      <c r="H2466" s="4" t="str">
        <f>HYPERLINK("https://www.ncbi.nlm.nih.gov/geo/query/acc.cgi?acc=GSM699203","GSM699203")</f>
        <v>GSM699203</v>
      </c>
      <c r="I2466" t="s">
        <v>177</v>
      </c>
      <c r="J2466" t="s">
        <v>178</v>
      </c>
      <c r="K2466" t="s">
        <v>19</v>
      </c>
      <c r="L2466" t="s">
        <v>44</v>
      </c>
      <c r="M2466" t="s">
        <v>24</v>
      </c>
      <c r="N2466" t="s">
        <v>29</v>
      </c>
    </row>
    <row r="2467" spans="1:14">
      <c r="A2467" s="4" t="str">
        <f t="shared" si="228"/>
        <v>EXP00070</v>
      </c>
      <c r="B2467" s="4" t="str">
        <f t="shared" si="231"/>
        <v>21712445</v>
      </c>
      <c r="C2467" s="4" t="str">
        <f t="shared" si="232"/>
        <v>GSE28248</v>
      </c>
      <c r="D2467" s="1" t="s">
        <v>175</v>
      </c>
      <c r="E2467" t="s">
        <v>181</v>
      </c>
      <c r="F2467" s="1">
        <v>2</v>
      </c>
      <c r="G2467" s="1" t="s">
        <v>28</v>
      </c>
      <c r="H2467" s="4" t="str">
        <f>HYPERLINK("https://www.ncbi.nlm.nih.gov/geo/query/acc.cgi?acc=GSM699205","GSM699205")</f>
        <v>GSM699205</v>
      </c>
      <c r="I2467" t="s">
        <v>177</v>
      </c>
      <c r="J2467" t="s">
        <v>178</v>
      </c>
      <c r="K2467" t="s">
        <v>19</v>
      </c>
      <c r="L2467" t="s">
        <v>44</v>
      </c>
      <c r="M2467" t="s">
        <v>24</v>
      </c>
      <c r="N2467" t="s">
        <v>29</v>
      </c>
    </row>
    <row r="2468" spans="1:14">
      <c r="A2468" s="4" t="str">
        <f t="shared" si="228"/>
        <v>EXP00070</v>
      </c>
      <c r="B2468" s="4" t="str">
        <f t="shared" si="231"/>
        <v>21712445</v>
      </c>
      <c r="C2468" s="4" t="str">
        <f t="shared" si="232"/>
        <v>GSE28248</v>
      </c>
      <c r="D2468" s="1" t="s">
        <v>175</v>
      </c>
      <c r="E2468" t="s">
        <v>181</v>
      </c>
      <c r="F2468" s="1">
        <v>2</v>
      </c>
      <c r="G2468" s="1" t="s">
        <v>28</v>
      </c>
      <c r="H2468" s="4" t="str">
        <f>HYPERLINK("https://www.ncbi.nlm.nih.gov/geo/query/acc.cgi?acc=GSM699207","GSM699207")</f>
        <v>GSM699207</v>
      </c>
      <c r="I2468" t="s">
        <v>177</v>
      </c>
      <c r="J2468" t="s">
        <v>178</v>
      </c>
      <c r="K2468" t="s">
        <v>19</v>
      </c>
      <c r="L2468" t="s">
        <v>44</v>
      </c>
      <c r="M2468" t="s">
        <v>24</v>
      </c>
      <c r="N2468" t="s">
        <v>29</v>
      </c>
    </row>
    <row r="2469" spans="1:14">
      <c r="A2469" s="4" t="str">
        <f t="shared" si="228"/>
        <v>EXP00070</v>
      </c>
      <c r="B2469" s="4" t="str">
        <f t="shared" si="231"/>
        <v>21712445</v>
      </c>
      <c r="C2469" s="4" t="str">
        <f t="shared" si="232"/>
        <v>GSE28248</v>
      </c>
      <c r="D2469" s="1" t="s">
        <v>175</v>
      </c>
      <c r="E2469" t="s">
        <v>181</v>
      </c>
      <c r="F2469" s="1">
        <v>2</v>
      </c>
      <c r="G2469" s="1" t="s">
        <v>28</v>
      </c>
      <c r="H2469" s="4" t="str">
        <f>HYPERLINK("https://www.ncbi.nlm.nih.gov/geo/query/acc.cgi?acc=GSM699209","GSM699209")</f>
        <v>GSM699209</v>
      </c>
      <c r="I2469" t="s">
        <v>177</v>
      </c>
      <c r="J2469" t="s">
        <v>178</v>
      </c>
      <c r="K2469" t="s">
        <v>19</v>
      </c>
      <c r="L2469" t="s">
        <v>44</v>
      </c>
      <c r="M2469" t="s">
        <v>24</v>
      </c>
      <c r="N2469" t="s">
        <v>29</v>
      </c>
    </row>
    <row r="2470" spans="1:14">
      <c r="A2470" s="4" t="str">
        <f t="shared" si="228"/>
        <v>EXP00070</v>
      </c>
      <c r="B2470" s="4" t="str">
        <f t="shared" si="231"/>
        <v>21712445</v>
      </c>
      <c r="C2470" s="4" t="str">
        <f t="shared" si="232"/>
        <v>GSE28248</v>
      </c>
      <c r="D2470" s="1" t="s">
        <v>175</v>
      </c>
      <c r="E2470" t="s">
        <v>181</v>
      </c>
      <c r="F2470" s="1">
        <v>2</v>
      </c>
      <c r="G2470" s="1" t="s">
        <v>28</v>
      </c>
      <c r="H2470" s="4" t="str">
        <f>HYPERLINK("https://www.ncbi.nlm.nih.gov/geo/query/acc.cgi?acc=GSM699211","GSM699211")</f>
        <v>GSM699211</v>
      </c>
      <c r="I2470" t="s">
        <v>177</v>
      </c>
      <c r="J2470" t="s">
        <v>178</v>
      </c>
      <c r="K2470" t="s">
        <v>19</v>
      </c>
      <c r="L2470" t="s">
        <v>44</v>
      </c>
      <c r="M2470" t="s">
        <v>24</v>
      </c>
      <c r="N2470" t="s">
        <v>29</v>
      </c>
    </row>
    <row r="2471" spans="1:14">
      <c r="A2471" s="4" t="str">
        <f t="shared" ref="A2471:A2510" si="233">HYPERLINK("http://hcmdb.i-sanger.com/experiment/details/experiment_id/EXP00071","EXP00071")</f>
        <v>EXP00071</v>
      </c>
      <c r="B2471" s="4" t="str">
        <f t="shared" si="231"/>
        <v>21712445</v>
      </c>
      <c r="C2471" s="4" t="str">
        <f t="shared" si="232"/>
        <v>GSE28248</v>
      </c>
      <c r="D2471" s="1" t="s">
        <v>175</v>
      </c>
      <c r="E2471" t="s">
        <v>179</v>
      </c>
      <c r="F2471" s="1">
        <v>1</v>
      </c>
      <c r="G2471" s="1" t="s">
        <v>31</v>
      </c>
      <c r="H2471" s="4" t="str">
        <f>HYPERLINK("https://www.ncbi.nlm.nih.gov/geo/query/acc.cgi?acc=GSM699173","GSM699173")</f>
        <v>GSM699173</v>
      </c>
      <c r="I2471" t="s">
        <v>177</v>
      </c>
      <c r="J2471" t="s">
        <v>178</v>
      </c>
      <c r="K2471" t="s">
        <v>19</v>
      </c>
      <c r="L2471" t="s">
        <v>44</v>
      </c>
      <c r="M2471" t="s">
        <v>24</v>
      </c>
      <c r="N2471" t="s">
        <v>29</v>
      </c>
    </row>
    <row r="2472" spans="1:14">
      <c r="A2472" s="4" t="str">
        <f t="shared" si="233"/>
        <v>EXP00071</v>
      </c>
      <c r="B2472" s="4" t="str">
        <f t="shared" si="231"/>
        <v>21712445</v>
      </c>
      <c r="C2472" s="4" t="str">
        <f t="shared" si="232"/>
        <v>GSE28248</v>
      </c>
      <c r="D2472" s="1" t="s">
        <v>175</v>
      </c>
      <c r="E2472" t="s">
        <v>179</v>
      </c>
      <c r="F2472" s="1">
        <v>1</v>
      </c>
      <c r="G2472" s="1" t="s">
        <v>31</v>
      </c>
      <c r="H2472" s="4" t="str">
        <f>HYPERLINK("https://www.ncbi.nlm.nih.gov/geo/query/acc.cgi?acc=GSM699175","GSM699175")</f>
        <v>GSM699175</v>
      </c>
      <c r="I2472" t="s">
        <v>177</v>
      </c>
      <c r="J2472" t="s">
        <v>178</v>
      </c>
      <c r="K2472" t="s">
        <v>19</v>
      </c>
      <c r="L2472" t="s">
        <v>44</v>
      </c>
      <c r="M2472" t="s">
        <v>24</v>
      </c>
      <c r="N2472" t="s">
        <v>29</v>
      </c>
    </row>
    <row r="2473" spans="1:14">
      <c r="A2473" s="4" t="str">
        <f t="shared" si="233"/>
        <v>EXP00071</v>
      </c>
      <c r="B2473" s="4" t="str">
        <f t="shared" si="231"/>
        <v>21712445</v>
      </c>
      <c r="C2473" s="4" t="str">
        <f t="shared" si="232"/>
        <v>GSE28248</v>
      </c>
      <c r="D2473" s="1" t="s">
        <v>175</v>
      </c>
      <c r="E2473" t="s">
        <v>179</v>
      </c>
      <c r="F2473" s="1">
        <v>1</v>
      </c>
      <c r="G2473" s="1" t="s">
        <v>31</v>
      </c>
      <c r="H2473" s="4" t="str">
        <f>HYPERLINK("https://www.ncbi.nlm.nih.gov/geo/query/acc.cgi?acc=GSM699177","GSM699177")</f>
        <v>GSM699177</v>
      </c>
      <c r="I2473" t="s">
        <v>177</v>
      </c>
      <c r="J2473" t="s">
        <v>178</v>
      </c>
      <c r="K2473" t="s">
        <v>19</v>
      </c>
      <c r="L2473" t="s">
        <v>44</v>
      </c>
      <c r="M2473" t="s">
        <v>24</v>
      </c>
      <c r="N2473" t="s">
        <v>29</v>
      </c>
    </row>
    <row r="2474" spans="1:14">
      <c r="A2474" s="4" t="str">
        <f t="shared" si="233"/>
        <v>EXP00071</v>
      </c>
      <c r="B2474" s="4" t="str">
        <f t="shared" si="231"/>
        <v>21712445</v>
      </c>
      <c r="C2474" s="4" t="str">
        <f t="shared" si="232"/>
        <v>GSE28248</v>
      </c>
      <c r="D2474" s="1" t="s">
        <v>175</v>
      </c>
      <c r="E2474" t="s">
        <v>179</v>
      </c>
      <c r="F2474" s="1">
        <v>1</v>
      </c>
      <c r="G2474" s="1" t="s">
        <v>31</v>
      </c>
      <c r="H2474" s="4" t="str">
        <f>HYPERLINK("https://www.ncbi.nlm.nih.gov/geo/query/acc.cgi?acc=GSM699179","GSM699179")</f>
        <v>GSM699179</v>
      </c>
      <c r="I2474" t="s">
        <v>177</v>
      </c>
      <c r="J2474" t="s">
        <v>178</v>
      </c>
      <c r="K2474" t="s">
        <v>19</v>
      </c>
      <c r="L2474" t="s">
        <v>44</v>
      </c>
      <c r="M2474" t="s">
        <v>24</v>
      </c>
      <c r="N2474" t="s">
        <v>29</v>
      </c>
    </row>
    <row r="2475" spans="1:14">
      <c r="A2475" s="4" t="str">
        <f t="shared" si="233"/>
        <v>EXP00071</v>
      </c>
      <c r="B2475" s="4" t="str">
        <f t="shared" si="231"/>
        <v>21712445</v>
      </c>
      <c r="C2475" s="4" t="str">
        <f t="shared" si="232"/>
        <v>GSE28248</v>
      </c>
      <c r="D2475" s="1" t="s">
        <v>175</v>
      </c>
      <c r="E2475" t="s">
        <v>179</v>
      </c>
      <c r="F2475" s="1">
        <v>1</v>
      </c>
      <c r="G2475" s="1" t="s">
        <v>31</v>
      </c>
      <c r="H2475" s="4" t="str">
        <f>HYPERLINK("https://www.ncbi.nlm.nih.gov/geo/query/acc.cgi?acc=GSM699181","GSM699181")</f>
        <v>GSM699181</v>
      </c>
      <c r="I2475" t="s">
        <v>177</v>
      </c>
      <c r="J2475" t="s">
        <v>178</v>
      </c>
      <c r="K2475" t="s">
        <v>19</v>
      </c>
      <c r="L2475" t="s">
        <v>44</v>
      </c>
      <c r="M2475" t="s">
        <v>24</v>
      </c>
      <c r="N2475" t="s">
        <v>29</v>
      </c>
    </row>
    <row r="2476" spans="1:14">
      <c r="A2476" s="4" t="str">
        <f t="shared" si="233"/>
        <v>EXP00071</v>
      </c>
      <c r="B2476" s="4" t="str">
        <f t="shared" si="231"/>
        <v>21712445</v>
      </c>
      <c r="C2476" s="4" t="str">
        <f t="shared" si="232"/>
        <v>GSE28248</v>
      </c>
      <c r="D2476" s="1" t="s">
        <v>175</v>
      </c>
      <c r="E2476" t="s">
        <v>179</v>
      </c>
      <c r="F2476" s="1">
        <v>1</v>
      </c>
      <c r="G2476" s="1" t="s">
        <v>31</v>
      </c>
      <c r="H2476" s="4" t="str">
        <f>HYPERLINK("https://www.ncbi.nlm.nih.gov/geo/query/acc.cgi?acc=GSM699183","GSM699183")</f>
        <v>GSM699183</v>
      </c>
      <c r="I2476" t="s">
        <v>177</v>
      </c>
      <c r="J2476" t="s">
        <v>178</v>
      </c>
      <c r="K2476" t="s">
        <v>19</v>
      </c>
      <c r="L2476" t="s">
        <v>44</v>
      </c>
      <c r="M2476" t="s">
        <v>24</v>
      </c>
      <c r="N2476" t="s">
        <v>29</v>
      </c>
    </row>
    <row r="2477" spans="1:14">
      <c r="A2477" s="4" t="str">
        <f t="shared" si="233"/>
        <v>EXP00071</v>
      </c>
      <c r="B2477" s="4" t="str">
        <f t="shared" si="231"/>
        <v>21712445</v>
      </c>
      <c r="C2477" s="4" t="str">
        <f t="shared" si="232"/>
        <v>GSE28248</v>
      </c>
      <c r="D2477" s="1" t="s">
        <v>175</v>
      </c>
      <c r="E2477" t="s">
        <v>179</v>
      </c>
      <c r="F2477" s="1">
        <v>1</v>
      </c>
      <c r="G2477" s="1" t="s">
        <v>31</v>
      </c>
      <c r="H2477" s="4" t="str">
        <f>HYPERLINK("https://www.ncbi.nlm.nih.gov/geo/query/acc.cgi?acc=GSM699185","GSM699185")</f>
        <v>GSM699185</v>
      </c>
      <c r="I2477" t="s">
        <v>177</v>
      </c>
      <c r="J2477" t="s">
        <v>178</v>
      </c>
      <c r="K2477" t="s">
        <v>19</v>
      </c>
      <c r="L2477" t="s">
        <v>44</v>
      </c>
      <c r="M2477" t="s">
        <v>24</v>
      </c>
      <c r="N2477" t="s">
        <v>29</v>
      </c>
    </row>
    <row r="2478" spans="1:14">
      <c r="A2478" s="4" t="str">
        <f t="shared" si="233"/>
        <v>EXP00071</v>
      </c>
      <c r="B2478" s="4" t="str">
        <f t="shared" si="231"/>
        <v>21712445</v>
      </c>
      <c r="C2478" s="4" t="str">
        <f t="shared" si="232"/>
        <v>GSE28248</v>
      </c>
      <c r="D2478" s="1" t="s">
        <v>175</v>
      </c>
      <c r="E2478" t="s">
        <v>179</v>
      </c>
      <c r="F2478" s="1">
        <v>1</v>
      </c>
      <c r="G2478" s="1" t="s">
        <v>31</v>
      </c>
      <c r="H2478" s="4" t="str">
        <f>HYPERLINK("https://www.ncbi.nlm.nih.gov/geo/query/acc.cgi?acc=GSM699187","GSM699187")</f>
        <v>GSM699187</v>
      </c>
      <c r="I2478" t="s">
        <v>177</v>
      </c>
      <c r="J2478" t="s">
        <v>178</v>
      </c>
      <c r="K2478" t="s">
        <v>19</v>
      </c>
      <c r="L2478" t="s">
        <v>44</v>
      </c>
      <c r="M2478" t="s">
        <v>24</v>
      </c>
      <c r="N2478" t="s">
        <v>29</v>
      </c>
    </row>
    <row r="2479" spans="1:14">
      <c r="A2479" s="4" t="str">
        <f t="shared" si="233"/>
        <v>EXP00071</v>
      </c>
      <c r="B2479" s="4" t="str">
        <f t="shared" si="231"/>
        <v>21712445</v>
      </c>
      <c r="C2479" s="4" t="str">
        <f t="shared" si="232"/>
        <v>GSE28248</v>
      </c>
      <c r="D2479" s="1" t="s">
        <v>175</v>
      </c>
      <c r="E2479" t="s">
        <v>179</v>
      </c>
      <c r="F2479" s="1">
        <v>1</v>
      </c>
      <c r="G2479" s="1" t="s">
        <v>31</v>
      </c>
      <c r="H2479" s="4" t="str">
        <f>HYPERLINK("https://www.ncbi.nlm.nih.gov/geo/query/acc.cgi?acc=GSM699189","GSM699189")</f>
        <v>GSM699189</v>
      </c>
      <c r="I2479" t="s">
        <v>177</v>
      </c>
      <c r="J2479" t="s">
        <v>178</v>
      </c>
      <c r="K2479" t="s">
        <v>19</v>
      </c>
      <c r="L2479" t="s">
        <v>44</v>
      </c>
      <c r="M2479" t="s">
        <v>24</v>
      </c>
      <c r="N2479" t="s">
        <v>29</v>
      </c>
    </row>
    <row r="2480" spans="1:14">
      <c r="A2480" s="4" t="str">
        <f t="shared" si="233"/>
        <v>EXP00071</v>
      </c>
      <c r="B2480" s="4" t="str">
        <f t="shared" si="231"/>
        <v>21712445</v>
      </c>
      <c r="C2480" s="4" t="str">
        <f t="shared" si="232"/>
        <v>GSE28248</v>
      </c>
      <c r="D2480" s="1" t="s">
        <v>175</v>
      </c>
      <c r="E2480" t="s">
        <v>179</v>
      </c>
      <c r="F2480" s="1">
        <v>1</v>
      </c>
      <c r="G2480" s="1" t="s">
        <v>31</v>
      </c>
      <c r="H2480" s="4" t="str">
        <f>HYPERLINK("https://www.ncbi.nlm.nih.gov/geo/query/acc.cgi?acc=GSM699191","GSM699191")</f>
        <v>GSM699191</v>
      </c>
      <c r="I2480" t="s">
        <v>177</v>
      </c>
      <c r="J2480" t="s">
        <v>178</v>
      </c>
      <c r="K2480" t="s">
        <v>19</v>
      </c>
      <c r="L2480" t="s">
        <v>44</v>
      </c>
      <c r="M2480" t="s">
        <v>24</v>
      </c>
      <c r="N2480" t="s">
        <v>29</v>
      </c>
    </row>
    <row r="2481" spans="1:14">
      <c r="A2481" s="4" t="str">
        <f t="shared" si="233"/>
        <v>EXP00071</v>
      </c>
      <c r="B2481" s="4" t="str">
        <f t="shared" si="231"/>
        <v>21712445</v>
      </c>
      <c r="C2481" s="4" t="str">
        <f t="shared" si="232"/>
        <v>GSE28248</v>
      </c>
      <c r="D2481" s="1" t="s">
        <v>175</v>
      </c>
      <c r="E2481" t="s">
        <v>179</v>
      </c>
      <c r="F2481" s="1">
        <v>1</v>
      </c>
      <c r="G2481" s="1" t="s">
        <v>31</v>
      </c>
      <c r="H2481" s="4" t="str">
        <f>HYPERLINK("https://www.ncbi.nlm.nih.gov/geo/query/acc.cgi?acc=GSM699193","GSM699193")</f>
        <v>GSM699193</v>
      </c>
      <c r="I2481" t="s">
        <v>177</v>
      </c>
      <c r="J2481" t="s">
        <v>178</v>
      </c>
      <c r="K2481" t="s">
        <v>19</v>
      </c>
      <c r="L2481" t="s">
        <v>44</v>
      </c>
      <c r="M2481" t="s">
        <v>24</v>
      </c>
      <c r="N2481" t="s">
        <v>29</v>
      </c>
    </row>
    <row r="2482" spans="1:14">
      <c r="A2482" s="4" t="str">
        <f t="shared" si="233"/>
        <v>EXP00071</v>
      </c>
      <c r="B2482" s="4" t="str">
        <f t="shared" si="231"/>
        <v>21712445</v>
      </c>
      <c r="C2482" s="4" t="str">
        <f t="shared" si="232"/>
        <v>GSE28248</v>
      </c>
      <c r="D2482" s="1" t="s">
        <v>175</v>
      </c>
      <c r="E2482" t="s">
        <v>179</v>
      </c>
      <c r="F2482" s="1">
        <v>1</v>
      </c>
      <c r="G2482" s="1" t="s">
        <v>31</v>
      </c>
      <c r="H2482" s="4" t="str">
        <f>HYPERLINK("https://www.ncbi.nlm.nih.gov/geo/query/acc.cgi?acc=GSM699195","GSM699195")</f>
        <v>GSM699195</v>
      </c>
      <c r="I2482" t="s">
        <v>177</v>
      </c>
      <c r="J2482" t="s">
        <v>178</v>
      </c>
      <c r="K2482" t="s">
        <v>19</v>
      </c>
      <c r="L2482" t="s">
        <v>44</v>
      </c>
      <c r="M2482" t="s">
        <v>24</v>
      </c>
      <c r="N2482" t="s">
        <v>29</v>
      </c>
    </row>
    <row r="2483" spans="1:14">
      <c r="A2483" s="4" t="str">
        <f t="shared" si="233"/>
        <v>EXP00071</v>
      </c>
      <c r="B2483" s="4" t="str">
        <f t="shared" si="231"/>
        <v>21712445</v>
      </c>
      <c r="C2483" s="4" t="str">
        <f t="shared" si="232"/>
        <v>GSE28248</v>
      </c>
      <c r="D2483" s="1" t="s">
        <v>175</v>
      </c>
      <c r="E2483" t="s">
        <v>179</v>
      </c>
      <c r="F2483" s="1">
        <v>1</v>
      </c>
      <c r="G2483" s="1" t="s">
        <v>31</v>
      </c>
      <c r="H2483" s="4" t="str">
        <f>HYPERLINK("https://www.ncbi.nlm.nih.gov/geo/query/acc.cgi?acc=GSM699197","GSM699197")</f>
        <v>GSM699197</v>
      </c>
      <c r="I2483" t="s">
        <v>177</v>
      </c>
      <c r="J2483" t="s">
        <v>178</v>
      </c>
      <c r="K2483" t="s">
        <v>19</v>
      </c>
      <c r="L2483" t="s">
        <v>44</v>
      </c>
      <c r="M2483" t="s">
        <v>24</v>
      </c>
      <c r="N2483" t="s">
        <v>29</v>
      </c>
    </row>
    <row r="2484" spans="1:14">
      <c r="A2484" s="4" t="str">
        <f t="shared" si="233"/>
        <v>EXP00071</v>
      </c>
      <c r="B2484" s="4" t="str">
        <f t="shared" si="231"/>
        <v>21712445</v>
      </c>
      <c r="C2484" s="4" t="str">
        <f t="shared" si="232"/>
        <v>GSE28248</v>
      </c>
      <c r="D2484" s="1" t="s">
        <v>175</v>
      </c>
      <c r="E2484" t="s">
        <v>179</v>
      </c>
      <c r="F2484" s="1">
        <v>1</v>
      </c>
      <c r="G2484" s="1" t="s">
        <v>31</v>
      </c>
      <c r="H2484" s="4" t="str">
        <f>HYPERLINK("https://www.ncbi.nlm.nih.gov/geo/query/acc.cgi?acc=GSM699199","GSM699199")</f>
        <v>GSM699199</v>
      </c>
      <c r="I2484" t="s">
        <v>177</v>
      </c>
      <c r="J2484" t="s">
        <v>178</v>
      </c>
      <c r="K2484" t="s">
        <v>19</v>
      </c>
      <c r="L2484" t="s">
        <v>44</v>
      </c>
      <c r="M2484" t="s">
        <v>24</v>
      </c>
      <c r="N2484" t="s">
        <v>29</v>
      </c>
    </row>
    <row r="2485" spans="1:14">
      <c r="A2485" s="4" t="str">
        <f t="shared" si="233"/>
        <v>EXP00071</v>
      </c>
      <c r="B2485" s="4" t="str">
        <f t="shared" si="231"/>
        <v>21712445</v>
      </c>
      <c r="C2485" s="4" t="str">
        <f t="shared" si="232"/>
        <v>GSE28248</v>
      </c>
      <c r="D2485" s="1" t="s">
        <v>175</v>
      </c>
      <c r="E2485" t="s">
        <v>179</v>
      </c>
      <c r="F2485" s="1">
        <v>1</v>
      </c>
      <c r="G2485" s="1" t="s">
        <v>31</v>
      </c>
      <c r="H2485" s="4" t="str">
        <f>HYPERLINK("https://www.ncbi.nlm.nih.gov/geo/query/acc.cgi?acc=GSM699201","GSM699201")</f>
        <v>GSM699201</v>
      </c>
      <c r="I2485" t="s">
        <v>177</v>
      </c>
      <c r="J2485" t="s">
        <v>178</v>
      </c>
      <c r="K2485" t="s">
        <v>19</v>
      </c>
      <c r="L2485" t="s">
        <v>44</v>
      </c>
      <c r="M2485" t="s">
        <v>24</v>
      </c>
      <c r="N2485" t="s">
        <v>29</v>
      </c>
    </row>
    <row r="2486" spans="1:14">
      <c r="A2486" s="4" t="str">
        <f t="shared" si="233"/>
        <v>EXP00071</v>
      </c>
      <c r="B2486" s="4" t="str">
        <f t="shared" si="231"/>
        <v>21712445</v>
      </c>
      <c r="C2486" s="4" t="str">
        <f t="shared" si="232"/>
        <v>GSE28248</v>
      </c>
      <c r="D2486" s="1" t="s">
        <v>175</v>
      </c>
      <c r="E2486" t="s">
        <v>179</v>
      </c>
      <c r="F2486" s="1">
        <v>1</v>
      </c>
      <c r="G2486" s="1" t="s">
        <v>31</v>
      </c>
      <c r="H2486" s="4" t="str">
        <f>HYPERLINK("https://www.ncbi.nlm.nih.gov/geo/query/acc.cgi?acc=GSM699203","GSM699203")</f>
        <v>GSM699203</v>
      </c>
      <c r="I2486" t="s">
        <v>177</v>
      </c>
      <c r="J2486" t="s">
        <v>178</v>
      </c>
      <c r="K2486" t="s">
        <v>19</v>
      </c>
      <c r="L2486" t="s">
        <v>44</v>
      </c>
      <c r="M2486" t="s">
        <v>24</v>
      </c>
      <c r="N2486" t="s">
        <v>29</v>
      </c>
    </row>
    <row r="2487" spans="1:14">
      <c r="A2487" s="4" t="str">
        <f t="shared" si="233"/>
        <v>EXP00071</v>
      </c>
      <c r="B2487" s="4" t="str">
        <f t="shared" si="231"/>
        <v>21712445</v>
      </c>
      <c r="C2487" s="4" t="str">
        <f t="shared" si="232"/>
        <v>GSE28248</v>
      </c>
      <c r="D2487" s="1" t="s">
        <v>175</v>
      </c>
      <c r="E2487" t="s">
        <v>179</v>
      </c>
      <c r="F2487" s="1">
        <v>1</v>
      </c>
      <c r="G2487" s="1" t="s">
        <v>31</v>
      </c>
      <c r="H2487" s="4" t="str">
        <f>HYPERLINK("https://www.ncbi.nlm.nih.gov/geo/query/acc.cgi?acc=GSM699205","GSM699205")</f>
        <v>GSM699205</v>
      </c>
      <c r="I2487" t="s">
        <v>177</v>
      </c>
      <c r="J2487" t="s">
        <v>178</v>
      </c>
      <c r="K2487" t="s">
        <v>19</v>
      </c>
      <c r="L2487" t="s">
        <v>44</v>
      </c>
      <c r="M2487" t="s">
        <v>24</v>
      </c>
      <c r="N2487" t="s">
        <v>29</v>
      </c>
    </row>
    <row r="2488" spans="1:14">
      <c r="A2488" s="4" t="str">
        <f t="shared" si="233"/>
        <v>EXP00071</v>
      </c>
      <c r="B2488" s="4" t="str">
        <f t="shared" si="231"/>
        <v>21712445</v>
      </c>
      <c r="C2488" s="4" t="str">
        <f t="shared" si="232"/>
        <v>GSE28248</v>
      </c>
      <c r="D2488" s="1" t="s">
        <v>175</v>
      </c>
      <c r="E2488" t="s">
        <v>179</v>
      </c>
      <c r="F2488" s="1">
        <v>1</v>
      </c>
      <c r="G2488" s="1" t="s">
        <v>31</v>
      </c>
      <c r="H2488" s="4" t="str">
        <f>HYPERLINK("https://www.ncbi.nlm.nih.gov/geo/query/acc.cgi?acc=GSM699207","GSM699207")</f>
        <v>GSM699207</v>
      </c>
      <c r="I2488" t="s">
        <v>177</v>
      </c>
      <c r="J2488" t="s">
        <v>178</v>
      </c>
      <c r="K2488" t="s">
        <v>19</v>
      </c>
      <c r="L2488" t="s">
        <v>44</v>
      </c>
      <c r="M2488" t="s">
        <v>24</v>
      </c>
      <c r="N2488" t="s">
        <v>29</v>
      </c>
    </row>
    <row r="2489" spans="1:14">
      <c r="A2489" s="4" t="str">
        <f t="shared" si="233"/>
        <v>EXP00071</v>
      </c>
      <c r="B2489" s="4" t="str">
        <f t="shared" si="231"/>
        <v>21712445</v>
      </c>
      <c r="C2489" s="4" t="str">
        <f t="shared" si="232"/>
        <v>GSE28248</v>
      </c>
      <c r="D2489" s="1" t="s">
        <v>175</v>
      </c>
      <c r="E2489" t="s">
        <v>179</v>
      </c>
      <c r="F2489" s="1">
        <v>1</v>
      </c>
      <c r="G2489" s="1" t="s">
        <v>31</v>
      </c>
      <c r="H2489" s="4" t="str">
        <f>HYPERLINK("https://www.ncbi.nlm.nih.gov/geo/query/acc.cgi?acc=GSM699209","GSM699209")</f>
        <v>GSM699209</v>
      </c>
      <c r="I2489" t="s">
        <v>177</v>
      </c>
      <c r="J2489" t="s">
        <v>178</v>
      </c>
      <c r="K2489" t="s">
        <v>19</v>
      </c>
      <c r="L2489" t="s">
        <v>44</v>
      </c>
      <c r="M2489" t="s">
        <v>24</v>
      </c>
      <c r="N2489" t="s">
        <v>29</v>
      </c>
    </row>
    <row r="2490" spans="1:14">
      <c r="A2490" s="4" t="str">
        <f t="shared" si="233"/>
        <v>EXP00071</v>
      </c>
      <c r="B2490" s="4" t="str">
        <f t="shared" si="231"/>
        <v>21712445</v>
      </c>
      <c r="C2490" s="4" t="str">
        <f t="shared" si="232"/>
        <v>GSE28248</v>
      </c>
      <c r="D2490" s="1" t="s">
        <v>175</v>
      </c>
      <c r="E2490" t="s">
        <v>179</v>
      </c>
      <c r="F2490" s="1">
        <v>1</v>
      </c>
      <c r="G2490" s="1" t="s">
        <v>31</v>
      </c>
      <c r="H2490" s="4" t="str">
        <f>HYPERLINK("https://www.ncbi.nlm.nih.gov/geo/query/acc.cgi?acc=GSM699211","GSM699211")</f>
        <v>GSM699211</v>
      </c>
      <c r="I2490" t="s">
        <v>177</v>
      </c>
      <c r="J2490" t="s">
        <v>178</v>
      </c>
      <c r="K2490" t="s">
        <v>19</v>
      </c>
      <c r="L2490" t="s">
        <v>44</v>
      </c>
      <c r="M2490" t="s">
        <v>24</v>
      </c>
      <c r="N2490" t="s">
        <v>29</v>
      </c>
    </row>
    <row r="2491" spans="1:14">
      <c r="A2491" s="4" t="str">
        <f t="shared" si="233"/>
        <v>EXP00071</v>
      </c>
      <c r="B2491" s="4" t="str">
        <f t="shared" si="231"/>
        <v>21712445</v>
      </c>
      <c r="C2491" s="4" t="str">
        <f t="shared" si="232"/>
        <v>GSE28248</v>
      </c>
      <c r="D2491" s="1" t="s">
        <v>175</v>
      </c>
      <c r="E2491" t="s">
        <v>179</v>
      </c>
      <c r="F2491" s="1">
        <v>2</v>
      </c>
      <c r="G2491" s="1" t="s">
        <v>32</v>
      </c>
      <c r="H2491" s="4" t="str">
        <f>HYPERLINK("https://www.ncbi.nlm.nih.gov/geo/query/acc.cgi?acc=GSM699213","GSM699213")</f>
        <v>GSM699213</v>
      </c>
      <c r="I2491" t="s">
        <v>177</v>
      </c>
      <c r="J2491" t="s">
        <v>178</v>
      </c>
      <c r="K2491" t="s">
        <v>33</v>
      </c>
      <c r="L2491" t="s">
        <v>44</v>
      </c>
      <c r="N2491" t="s">
        <v>29</v>
      </c>
    </row>
    <row r="2492" spans="1:14">
      <c r="A2492" s="4" t="str">
        <f t="shared" si="233"/>
        <v>EXP00071</v>
      </c>
      <c r="B2492" s="4" t="str">
        <f t="shared" si="231"/>
        <v>21712445</v>
      </c>
      <c r="C2492" s="4" t="str">
        <f t="shared" si="232"/>
        <v>GSE28248</v>
      </c>
      <c r="D2492" s="1" t="s">
        <v>175</v>
      </c>
      <c r="E2492" t="s">
        <v>179</v>
      </c>
      <c r="F2492" s="1">
        <v>2</v>
      </c>
      <c r="G2492" s="1" t="s">
        <v>32</v>
      </c>
      <c r="H2492" s="4" t="str">
        <f>HYPERLINK("https://www.ncbi.nlm.nih.gov/geo/query/acc.cgi?acc=GSM699215","GSM699215")</f>
        <v>GSM699215</v>
      </c>
      <c r="I2492" t="s">
        <v>177</v>
      </c>
      <c r="J2492" t="s">
        <v>178</v>
      </c>
      <c r="K2492" t="s">
        <v>33</v>
      </c>
      <c r="L2492" t="s">
        <v>44</v>
      </c>
      <c r="N2492" t="s">
        <v>29</v>
      </c>
    </row>
    <row r="2493" spans="1:14">
      <c r="A2493" s="4" t="str">
        <f t="shared" si="233"/>
        <v>EXP00071</v>
      </c>
      <c r="B2493" s="4" t="str">
        <f t="shared" si="231"/>
        <v>21712445</v>
      </c>
      <c r="C2493" s="4" t="str">
        <f t="shared" si="232"/>
        <v>GSE28248</v>
      </c>
      <c r="D2493" s="1" t="s">
        <v>175</v>
      </c>
      <c r="E2493" t="s">
        <v>179</v>
      </c>
      <c r="F2493" s="1">
        <v>2</v>
      </c>
      <c r="G2493" s="1" t="s">
        <v>32</v>
      </c>
      <c r="H2493" s="4" t="str">
        <f>HYPERLINK("https://www.ncbi.nlm.nih.gov/geo/query/acc.cgi?acc=GSM699217","GSM699217")</f>
        <v>GSM699217</v>
      </c>
      <c r="I2493" t="s">
        <v>177</v>
      </c>
      <c r="J2493" t="s">
        <v>178</v>
      </c>
      <c r="K2493" t="s">
        <v>33</v>
      </c>
      <c r="L2493" t="s">
        <v>44</v>
      </c>
      <c r="N2493" t="s">
        <v>29</v>
      </c>
    </row>
    <row r="2494" spans="1:14">
      <c r="A2494" s="4" t="str">
        <f t="shared" si="233"/>
        <v>EXP00071</v>
      </c>
      <c r="B2494" s="4" t="str">
        <f t="shared" si="231"/>
        <v>21712445</v>
      </c>
      <c r="C2494" s="4" t="str">
        <f t="shared" si="232"/>
        <v>GSE28248</v>
      </c>
      <c r="D2494" s="1" t="s">
        <v>175</v>
      </c>
      <c r="E2494" t="s">
        <v>179</v>
      </c>
      <c r="F2494" s="1">
        <v>2</v>
      </c>
      <c r="G2494" s="1" t="s">
        <v>32</v>
      </c>
      <c r="H2494" s="4" t="str">
        <f>HYPERLINK("https://www.ncbi.nlm.nih.gov/geo/query/acc.cgi?acc=GSM699219","GSM699219")</f>
        <v>GSM699219</v>
      </c>
      <c r="I2494" t="s">
        <v>177</v>
      </c>
      <c r="J2494" t="s">
        <v>178</v>
      </c>
      <c r="K2494" t="s">
        <v>33</v>
      </c>
      <c r="L2494" t="s">
        <v>44</v>
      </c>
      <c r="N2494" t="s">
        <v>29</v>
      </c>
    </row>
    <row r="2495" spans="1:14">
      <c r="A2495" s="4" t="str">
        <f t="shared" si="233"/>
        <v>EXP00071</v>
      </c>
      <c r="B2495" s="4" t="str">
        <f t="shared" ref="B2495:B2526" si="234">HYPERLINK("https://www.ncbi.nlm.nih.gov/pubmed/21712445","21712445")</f>
        <v>21712445</v>
      </c>
      <c r="C2495" s="4" t="str">
        <f t="shared" ref="C2495:C2526" si="235">HYPERLINK("https://www.ncbi.nlm.nih.gov/geo/query/acc.cgi?acc=GSE28248","GSE28248")</f>
        <v>GSE28248</v>
      </c>
      <c r="D2495" s="1" t="s">
        <v>175</v>
      </c>
      <c r="E2495" t="s">
        <v>179</v>
      </c>
      <c r="F2495" s="1">
        <v>2</v>
      </c>
      <c r="G2495" s="1" t="s">
        <v>32</v>
      </c>
      <c r="H2495" s="4" t="str">
        <f>HYPERLINK("https://www.ncbi.nlm.nih.gov/geo/query/acc.cgi?acc=GSM699221","GSM699221")</f>
        <v>GSM699221</v>
      </c>
      <c r="I2495" t="s">
        <v>177</v>
      </c>
      <c r="J2495" t="s">
        <v>178</v>
      </c>
      <c r="K2495" t="s">
        <v>33</v>
      </c>
      <c r="L2495" t="s">
        <v>44</v>
      </c>
      <c r="N2495" t="s">
        <v>29</v>
      </c>
    </row>
    <row r="2496" spans="1:14">
      <c r="A2496" s="4" t="str">
        <f t="shared" si="233"/>
        <v>EXP00071</v>
      </c>
      <c r="B2496" s="4" t="str">
        <f t="shared" si="234"/>
        <v>21712445</v>
      </c>
      <c r="C2496" s="4" t="str">
        <f t="shared" si="235"/>
        <v>GSE28248</v>
      </c>
      <c r="D2496" s="1" t="s">
        <v>175</v>
      </c>
      <c r="E2496" t="s">
        <v>179</v>
      </c>
      <c r="F2496" s="1">
        <v>2</v>
      </c>
      <c r="G2496" s="1" t="s">
        <v>32</v>
      </c>
      <c r="H2496" s="4" t="str">
        <f>HYPERLINK("https://www.ncbi.nlm.nih.gov/geo/query/acc.cgi?acc=GSM699223","GSM699223")</f>
        <v>GSM699223</v>
      </c>
      <c r="I2496" t="s">
        <v>177</v>
      </c>
      <c r="J2496" t="s">
        <v>178</v>
      </c>
      <c r="K2496" t="s">
        <v>33</v>
      </c>
      <c r="L2496" t="s">
        <v>44</v>
      </c>
      <c r="N2496" t="s">
        <v>29</v>
      </c>
    </row>
    <row r="2497" spans="1:14">
      <c r="A2497" s="4" t="str">
        <f t="shared" si="233"/>
        <v>EXP00071</v>
      </c>
      <c r="B2497" s="4" t="str">
        <f t="shared" si="234"/>
        <v>21712445</v>
      </c>
      <c r="C2497" s="4" t="str">
        <f t="shared" si="235"/>
        <v>GSE28248</v>
      </c>
      <c r="D2497" s="1" t="s">
        <v>175</v>
      </c>
      <c r="E2497" t="s">
        <v>179</v>
      </c>
      <c r="F2497" s="1">
        <v>2</v>
      </c>
      <c r="G2497" s="1" t="s">
        <v>32</v>
      </c>
      <c r="H2497" s="4" t="str">
        <f>HYPERLINK("https://www.ncbi.nlm.nih.gov/geo/query/acc.cgi?acc=GSM699225","GSM699225")</f>
        <v>GSM699225</v>
      </c>
      <c r="I2497" t="s">
        <v>177</v>
      </c>
      <c r="J2497" t="s">
        <v>178</v>
      </c>
      <c r="K2497" t="s">
        <v>33</v>
      </c>
      <c r="L2497" t="s">
        <v>44</v>
      </c>
      <c r="N2497" t="s">
        <v>29</v>
      </c>
    </row>
    <row r="2498" spans="1:14">
      <c r="A2498" s="4" t="str">
        <f t="shared" si="233"/>
        <v>EXP00071</v>
      </c>
      <c r="B2498" s="4" t="str">
        <f t="shared" si="234"/>
        <v>21712445</v>
      </c>
      <c r="C2498" s="4" t="str">
        <f t="shared" si="235"/>
        <v>GSE28248</v>
      </c>
      <c r="D2498" s="1" t="s">
        <v>175</v>
      </c>
      <c r="E2498" t="s">
        <v>179</v>
      </c>
      <c r="F2498" s="1">
        <v>2</v>
      </c>
      <c r="G2498" s="1" t="s">
        <v>32</v>
      </c>
      <c r="H2498" s="4" t="str">
        <f>HYPERLINK("https://www.ncbi.nlm.nih.gov/geo/query/acc.cgi?acc=GSM699227","GSM699227")</f>
        <v>GSM699227</v>
      </c>
      <c r="I2498" t="s">
        <v>177</v>
      </c>
      <c r="J2498" t="s">
        <v>178</v>
      </c>
      <c r="K2498" t="s">
        <v>33</v>
      </c>
      <c r="L2498" t="s">
        <v>44</v>
      </c>
      <c r="N2498" t="s">
        <v>29</v>
      </c>
    </row>
    <row r="2499" spans="1:14">
      <c r="A2499" s="4" t="str">
        <f t="shared" si="233"/>
        <v>EXP00071</v>
      </c>
      <c r="B2499" s="4" t="str">
        <f t="shared" si="234"/>
        <v>21712445</v>
      </c>
      <c r="C2499" s="4" t="str">
        <f t="shared" si="235"/>
        <v>GSE28248</v>
      </c>
      <c r="D2499" s="1" t="s">
        <v>175</v>
      </c>
      <c r="E2499" t="s">
        <v>179</v>
      </c>
      <c r="F2499" s="1">
        <v>2</v>
      </c>
      <c r="G2499" s="1" t="s">
        <v>32</v>
      </c>
      <c r="H2499" s="4" t="str">
        <f>HYPERLINK("https://www.ncbi.nlm.nih.gov/geo/query/acc.cgi?acc=GSM699229","GSM699229")</f>
        <v>GSM699229</v>
      </c>
      <c r="I2499" t="s">
        <v>177</v>
      </c>
      <c r="J2499" t="s">
        <v>178</v>
      </c>
      <c r="K2499" t="s">
        <v>33</v>
      </c>
      <c r="L2499" t="s">
        <v>44</v>
      </c>
      <c r="N2499" t="s">
        <v>29</v>
      </c>
    </row>
    <row r="2500" spans="1:14">
      <c r="A2500" s="4" t="str">
        <f t="shared" si="233"/>
        <v>EXP00071</v>
      </c>
      <c r="B2500" s="4" t="str">
        <f t="shared" si="234"/>
        <v>21712445</v>
      </c>
      <c r="C2500" s="4" t="str">
        <f t="shared" si="235"/>
        <v>GSE28248</v>
      </c>
      <c r="D2500" s="1" t="s">
        <v>175</v>
      </c>
      <c r="E2500" t="s">
        <v>179</v>
      </c>
      <c r="F2500" s="1">
        <v>2</v>
      </c>
      <c r="G2500" s="1" t="s">
        <v>32</v>
      </c>
      <c r="H2500" s="4" t="str">
        <f>HYPERLINK("https://www.ncbi.nlm.nih.gov/geo/query/acc.cgi?acc=GSM699231","GSM699231")</f>
        <v>GSM699231</v>
      </c>
      <c r="I2500" t="s">
        <v>177</v>
      </c>
      <c r="J2500" t="s">
        <v>178</v>
      </c>
      <c r="K2500" t="s">
        <v>33</v>
      </c>
      <c r="L2500" t="s">
        <v>44</v>
      </c>
      <c r="N2500" t="s">
        <v>29</v>
      </c>
    </row>
    <row r="2501" spans="1:14">
      <c r="A2501" s="4" t="str">
        <f t="shared" si="233"/>
        <v>EXP00071</v>
      </c>
      <c r="B2501" s="4" t="str">
        <f t="shared" si="234"/>
        <v>21712445</v>
      </c>
      <c r="C2501" s="4" t="str">
        <f t="shared" si="235"/>
        <v>GSE28248</v>
      </c>
      <c r="D2501" s="1" t="s">
        <v>175</v>
      </c>
      <c r="E2501" t="s">
        <v>179</v>
      </c>
      <c r="F2501" s="1">
        <v>2</v>
      </c>
      <c r="G2501" s="1" t="s">
        <v>32</v>
      </c>
      <c r="H2501" s="4" t="str">
        <f>HYPERLINK("https://www.ncbi.nlm.nih.gov/geo/query/acc.cgi?acc=GSM699233","GSM699233")</f>
        <v>GSM699233</v>
      </c>
      <c r="I2501" t="s">
        <v>177</v>
      </c>
      <c r="J2501" t="s">
        <v>178</v>
      </c>
      <c r="K2501" t="s">
        <v>33</v>
      </c>
      <c r="L2501" t="s">
        <v>44</v>
      </c>
      <c r="N2501" t="s">
        <v>29</v>
      </c>
    </row>
    <row r="2502" spans="1:14">
      <c r="A2502" s="4" t="str">
        <f t="shared" si="233"/>
        <v>EXP00071</v>
      </c>
      <c r="B2502" s="4" t="str">
        <f t="shared" si="234"/>
        <v>21712445</v>
      </c>
      <c r="C2502" s="4" t="str">
        <f t="shared" si="235"/>
        <v>GSE28248</v>
      </c>
      <c r="D2502" s="1" t="s">
        <v>175</v>
      </c>
      <c r="E2502" t="s">
        <v>179</v>
      </c>
      <c r="F2502" s="1">
        <v>2</v>
      </c>
      <c r="G2502" s="1" t="s">
        <v>32</v>
      </c>
      <c r="H2502" s="4" t="str">
        <f>HYPERLINK("https://www.ncbi.nlm.nih.gov/geo/query/acc.cgi?acc=GSM699235","GSM699235")</f>
        <v>GSM699235</v>
      </c>
      <c r="I2502" t="s">
        <v>177</v>
      </c>
      <c r="J2502" t="s">
        <v>178</v>
      </c>
      <c r="K2502" t="s">
        <v>33</v>
      </c>
      <c r="L2502" t="s">
        <v>44</v>
      </c>
      <c r="N2502" t="s">
        <v>29</v>
      </c>
    </row>
    <row r="2503" spans="1:14">
      <c r="A2503" s="4" t="str">
        <f t="shared" si="233"/>
        <v>EXP00071</v>
      </c>
      <c r="B2503" s="4" t="str">
        <f t="shared" si="234"/>
        <v>21712445</v>
      </c>
      <c r="C2503" s="4" t="str">
        <f t="shared" si="235"/>
        <v>GSE28248</v>
      </c>
      <c r="D2503" s="1" t="s">
        <v>175</v>
      </c>
      <c r="E2503" t="s">
        <v>179</v>
      </c>
      <c r="F2503" s="1">
        <v>2</v>
      </c>
      <c r="G2503" s="1" t="s">
        <v>32</v>
      </c>
      <c r="H2503" s="4" t="str">
        <f>HYPERLINK("https://www.ncbi.nlm.nih.gov/geo/query/acc.cgi?acc=GSM699237","GSM699237")</f>
        <v>GSM699237</v>
      </c>
      <c r="I2503" t="s">
        <v>177</v>
      </c>
      <c r="J2503" t="s">
        <v>178</v>
      </c>
      <c r="K2503" t="s">
        <v>33</v>
      </c>
      <c r="L2503" t="s">
        <v>44</v>
      </c>
      <c r="N2503" t="s">
        <v>29</v>
      </c>
    </row>
    <row r="2504" spans="1:14">
      <c r="A2504" s="4" t="str">
        <f t="shared" si="233"/>
        <v>EXP00071</v>
      </c>
      <c r="B2504" s="4" t="str">
        <f t="shared" si="234"/>
        <v>21712445</v>
      </c>
      <c r="C2504" s="4" t="str">
        <f t="shared" si="235"/>
        <v>GSE28248</v>
      </c>
      <c r="D2504" s="1" t="s">
        <v>175</v>
      </c>
      <c r="E2504" t="s">
        <v>179</v>
      </c>
      <c r="F2504" s="1">
        <v>2</v>
      </c>
      <c r="G2504" s="1" t="s">
        <v>32</v>
      </c>
      <c r="H2504" s="4" t="str">
        <f>HYPERLINK("https://www.ncbi.nlm.nih.gov/geo/query/acc.cgi?acc=GSM699239","GSM699239")</f>
        <v>GSM699239</v>
      </c>
      <c r="I2504" t="s">
        <v>177</v>
      </c>
      <c r="J2504" t="s">
        <v>178</v>
      </c>
      <c r="K2504" t="s">
        <v>33</v>
      </c>
      <c r="L2504" t="s">
        <v>44</v>
      </c>
      <c r="N2504" t="s">
        <v>29</v>
      </c>
    </row>
    <row r="2505" spans="1:14">
      <c r="A2505" s="4" t="str">
        <f t="shared" si="233"/>
        <v>EXP00071</v>
      </c>
      <c r="B2505" s="4" t="str">
        <f t="shared" si="234"/>
        <v>21712445</v>
      </c>
      <c r="C2505" s="4" t="str">
        <f t="shared" si="235"/>
        <v>GSE28248</v>
      </c>
      <c r="D2505" s="1" t="s">
        <v>175</v>
      </c>
      <c r="E2505" t="s">
        <v>179</v>
      </c>
      <c r="F2505" s="1">
        <v>2</v>
      </c>
      <c r="G2505" s="1" t="s">
        <v>32</v>
      </c>
      <c r="H2505" s="4" t="str">
        <f>HYPERLINK("https://www.ncbi.nlm.nih.gov/geo/query/acc.cgi?acc=GSM699241","GSM699241")</f>
        <v>GSM699241</v>
      </c>
      <c r="I2505" t="s">
        <v>177</v>
      </c>
      <c r="J2505" t="s">
        <v>178</v>
      </c>
      <c r="K2505" t="s">
        <v>33</v>
      </c>
      <c r="L2505" t="s">
        <v>44</v>
      </c>
      <c r="N2505" t="s">
        <v>29</v>
      </c>
    </row>
    <row r="2506" spans="1:14">
      <c r="A2506" s="4" t="str">
        <f t="shared" si="233"/>
        <v>EXP00071</v>
      </c>
      <c r="B2506" s="4" t="str">
        <f t="shared" si="234"/>
        <v>21712445</v>
      </c>
      <c r="C2506" s="4" t="str">
        <f t="shared" si="235"/>
        <v>GSE28248</v>
      </c>
      <c r="D2506" s="1" t="s">
        <v>175</v>
      </c>
      <c r="E2506" t="s">
        <v>179</v>
      </c>
      <c r="F2506" s="1">
        <v>2</v>
      </c>
      <c r="G2506" s="1" t="s">
        <v>32</v>
      </c>
      <c r="H2506" s="4" t="str">
        <f>HYPERLINK("https://www.ncbi.nlm.nih.gov/geo/query/acc.cgi?acc=GSM699243","GSM699243")</f>
        <v>GSM699243</v>
      </c>
      <c r="I2506" t="s">
        <v>177</v>
      </c>
      <c r="J2506" t="s">
        <v>178</v>
      </c>
      <c r="K2506" t="s">
        <v>33</v>
      </c>
      <c r="L2506" t="s">
        <v>44</v>
      </c>
      <c r="N2506" t="s">
        <v>29</v>
      </c>
    </row>
    <row r="2507" spans="1:14">
      <c r="A2507" s="4" t="str">
        <f t="shared" si="233"/>
        <v>EXP00071</v>
      </c>
      <c r="B2507" s="4" t="str">
        <f t="shared" si="234"/>
        <v>21712445</v>
      </c>
      <c r="C2507" s="4" t="str">
        <f t="shared" si="235"/>
        <v>GSE28248</v>
      </c>
      <c r="D2507" s="1" t="s">
        <v>175</v>
      </c>
      <c r="E2507" t="s">
        <v>179</v>
      </c>
      <c r="F2507" s="1">
        <v>2</v>
      </c>
      <c r="G2507" s="1" t="s">
        <v>32</v>
      </c>
      <c r="H2507" s="4" t="str">
        <f>HYPERLINK("https://www.ncbi.nlm.nih.gov/geo/query/acc.cgi?acc=GSM699245","GSM699245")</f>
        <v>GSM699245</v>
      </c>
      <c r="I2507" t="s">
        <v>177</v>
      </c>
      <c r="J2507" t="s">
        <v>178</v>
      </c>
      <c r="K2507" t="s">
        <v>33</v>
      </c>
      <c r="L2507" t="s">
        <v>44</v>
      </c>
      <c r="N2507" t="s">
        <v>29</v>
      </c>
    </row>
    <row r="2508" spans="1:14">
      <c r="A2508" s="4" t="str">
        <f t="shared" si="233"/>
        <v>EXP00071</v>
      </c>
      <c r="B2508" s="4" t="str">
        <f t="shared" si="234"/>
        <v>21712445</v>
      </c>
      <c r="C2508" s="4" t="str">
        <f t="shared" si="235"/>
        <v>GSE28248</v>
      </c>
      <c r="D2508" s="1" t="s">
        <v>175</v>
      </c>
      <c r="E2508" t="s">
        <v>179</v>
      </c>
      <c r="F2508" s="1">
        <v>2</v>
      </c>
      <c r="G2508" s="1" t="s">
        <v>32</v>
      </c>
      <c r="H2508" s="4" t="str">
        <f>HYPERLINK("https://www.ncbi.nlm.nih.gov/geo/query/acc.cgi?acc=GSM699247","GSM699247")</f>
        <v>GSM699247</v>
      </c>
      <c r="I2508" t="s">
        <v>177</v>
      </c>
      <c r="J2508" t="s">
        <v>178</v>
      </c>
      <c r="K2508" t="s">
        <v>33</v>
      </c>
      <c r="L2508" t="s">
        <v>44</v>
      </c>
      <c r="N2508" t="s">
        <v>29</v>
      </c>
    </row>
    <row r="2509" spans="1:14">
      <c r="A2509" s="4" t="str">
        <f t="shared" si="233"/>
        <v>EXP00071</v>
      </c>
      <c r="B2509" s="4" t="str">
        <f t="shared" si="234"/>
        <v>21712445</v>
      </c>
      <c r="C2509" s="4" t="str">
        <f t="shared" si="235"/>
        <v>GSE28248</v>
      </c>
      <c r="D2509" s="1" t="s">
        <v>175</v>
      </c>
      <c r="E2509" t="s">
        <v>179</v>
      </c>
      <c r="F2509" s="1">
        <v>2</v>
      </c>
      <c r="G2509" s="1" t="s">
        <v>32</v>
      </c>
      <c r="H2509" s="4" t="str">
        <f>HYPERLINK("https://www.ncbi.nlm.nih.gov/geo/query/acc.cgi?acc=GSM699249","GSM699249")</f>
        <v>GSM699249</v>
      </c>
      <c r="I2509" t="s">
        <v>177</v>
      </c>
      <c r="J2509" t="s">
        <v>178</v>
      </c>
      <c r="K2509" t="s">
        <v>33</v>
      </c>
      <c r="L2509" t="s">
        <v>44</v>
      </c>
      <c r="N2509" t="s">
        <v>29</v>
      </c>
    </row>
    <row r="2510" spans="1:14">
      <c r="A2510" s="4" t="str">
        <f t="shared" si="233"/>
        <v>EXP00071</v>
      </c>
      <c r="B2510" s="4" t="str">
        <f t="shared" si="234"/>
        <v>21712445</v>
      </c>
      <c r="C2510" s="4" t="str">
        <f t="shared" si="235"/>
        <v>GSE28248</v>
      </c>
      <c r="D2510" s="1" t="s">
        <v>175</v>
      </c>
      <c r="E2510" t="s">
        <v>179</v>
      </c>
      <c r="F2510" s="1">
        <v>2</v>
      </c>
      <c r="G2510" s="1" t="s">
        <v>32</v>
      </c>
      <c r="H2510" s="4" t="str">
        <f>HYPERLINK("https://www.ncbi.nlm.nih.gov/geo/query/acc.cgi?acc=GSM699251","GSM699251")</f>
        <v>GSM699251</v>
      </c>
      <c r="I2510" t="s">
        <v>177</v>
      </c>
      <c r="J2510" t="s">
        <v>178</v>
      </c>
      <c r="K2510" t="s">
        <v>33</v>
      </c>
      <c r="L2510" t="s">
        <v>44</v>
      </c>
      <c r="N2510" t="s">
        <v>29</v>
      </c>
    </row>
    <row r="2511" spans="1:14">
      <c r="A2511" s="4" t="str">
        <f t="shared" ref="A2511:A2550" si="236">HYPERLINK("http://hcmdb.i-sanger.com/experiment/details/experiment_id/EXP00072","EXP00072")</f>
        <v>EXP00072</v>
      </c>
      <c r="B2511" s="4" t="str">
        <f t="shared" si="234"/>
        <v>21712445</v>
      </c>
      <c r="C2511" s="4" t="str">
        <f t="shared" si="235"/>
        <v>GSE28248</v>
      </c>
      <c r="D2511" s="1" t="s">
        <v>175</v>
      </c>
      <c r="E2511" t="s">
        <v>180</v>
      </c>
      <c r="F2511" s="1">
        <v>1</v>
      </c>
      <c r="G2511" s="1" t="s">
        <v>36</v>
      </c>
      <c r="H2511" s="4" t="str">
        <f>HYPERLINK("https://www.ncbi.nlm.nih.gov/geo/query/acc.cgi?acc=GSM699212","GSM699212")</f>
        <v>GSM699212</v>
      </c>
      <c r="I2511" t="s">
        <v>177</v>
      </c>
      <c r="J2511" t="s">
        <v>178</v>
      </c>
      <c r="K2511" t="s">
        <v>33</v>
      </c>
      <c r="L2511" t="s">
        <v>44</v>
      </c>
      <c r="N2511" t="s">
        <v>37</v>
      </c>
    </row>
    <row r="2512" spans="1:14">
      <c r="A2512" s="4" t="str">
        <f t="shared" si="236"/>
        <v>EXP00072</v>
      </c>
      <c r="B2512" s="4" t="str">
        <f t="shared" si="234"/>
        <v>21712445</v>
      </c>
      <c r="C2512" s="4" t="str">
        <f t="shared" si="235"/>
        <v>GSE28248</v>
      </c>
      <c r="D2512" s="1" t="s">
        <v>175</v>
      </c>
      <c r="E2512" t="s">
        <v>180</v>
      </c>
      <c r="F2512" s="1">
        <v>1</v>
      </c>
      <c r="G2512" s="1" t="s">
        <v>36</v>
      </c>
      <c r="H2512" s="4" t="str">
        <f>HYPERLINK("https://www.ncbi.nlm.nih.gov/geo/query/acc.cgi?acc=GSM699214","GSM699214")</f>
        <v>GSM699214</v>
      </c>
      <c r="I2512" t="s">
        <v>177</v>
      </c>
      <c r="J2512" t="s">
        <v>178</v>
      </c>
      <c r="K2512" t="s">
        <v>33</v>
      </c>
      <c r="L2512" t="s">
        <v>44</v>
      </c>
      <c r="N2512" t="s">
        <v>37</v>
      </c>
    </row>
    <row r="2513" spans="1:14">
      <c r="A2513" s="4" t="str">
        <f t="shared" si="236"/>
        <v>EXP00072</v>
      </c>
      <c r="B2513" s="4" t="str">
        <f t="shared" si="234"/>
        <v>21712445</v>
      </c>
      <c r="C2513" s="4" t="str">
        <f t="shared" si="235"/>
        <v>GSE28248</v>
      </c>
      <c r="D2513" s="1" t="s">
        <v>175</v>
      </c>
      <c r="E2513" t="s">
        <v>180</v>
      </c>
      <c r="F2513" s="1">
        <v>1</v>
      </c>
      <c r="G2513" s="1" t="s">
        <v>36</v>
      </c>
      <c r="H2513" s="4" t="str">
        <f>HYPERLINK("https://www.ncbi.nlm.nih.gov/geo/query/acc.cgi?acc=GSM699216","GSM699216")</f>
        <v>GSM699216</v>
      </c>
      <c r="I2513" t="s">
        <v>177</v>
      </c>
      <c r="J2513" t="s">
        <v>178</v>
      </c>
      <c r="K2513" t="s">
        <v>33</v>
      </c>
      <c r="L2513" t="s">
        <v>44</v>
      </c>
      <c r="N2513" t="s">
        <v>37</v>
      </c>
    </row>
    <row r="2514" spans="1:14">
      <c r="A2514" s="4" t="str">
        <f t="shared" si="236"/>
        <v>EXP00072</v>
      </c>
      <c r="B2514" s="4" t="str">
        <f t="shared" si="234"/>
        <v>21712445</v>
      </c>
      <c r="C2514" s="4" t="str">
        <f t="shared" si="235"/>
        <v>GSE28248</v>
      </c>
      <c r="D2514" s="1" t="s">
        <v>175</v>
      </c>
      <c r="E2514" t="s">
        <v>180</v>
      </c>
      <c r="F2514" s="1">
        <v>1</v>
      </c>
      <c r="G2514" s="1" t="s">
        <v>36</v>
      </c>
      <c r="H2514" s="4" t="str">
        <f>HYPERLINK("https://www.ncbi.nlm.nih.gov/geo/query/acc.cgi?acc=GSM699218","GSM699218")</f>
        <v>GSM699218</v>
      </c>
      <c r="I2514" t="s">
        <v>177</v>
      </c>
      <c r="J2514" t="s">
        <v>178</v>
      </c>
      <c r="K2514" t="s">
        <v>33</v>
      </c>
      <c r="L2514" t="s">
        <v>44</v>
      </c>
      <c r="N2514" t="s">
        <v>37</v>
      </c>
    </row>
    <row r="2515" spans="1:14">
      <c r="A2515" s="4" t="str">
        <f t="shared" si="236"/>
        <v>EXP00072</v>
      </c>
      <c r="B2515" s="4" t="str">
        <f t="shared" si="234"/>
        <v>21712445</v>
      </c>
      <c r="C2515" s="4" t="str">
        <f t="shared" si="235"/>
        <v>GSE28248</v>
      </c>
      <c r="D2515" s="1" t="s">
        <v>175</v>
      </c>
      <c r="E2515" t="s">
        <v>180</v>
      </c>
      <c r="F2515" s="1">
        <v>1</v>
      </c>
      <c r="G2515" s="1" t="s">
        <v>36</v>
      </c>
      <c r="H2515" s="4" t="str">
        <f>HYPERLINK("https://www.ncbi.nlm.nih.gov/geo/query/acc.cgi?acc=GSM699220","GSM699220")</f>
        <v>GSM699220</v>
      </c>
      <c r="I2515" t="s">
        <v>177</v>
      </c>
      <c r="J2515" t="s">
        <v>178</v>
      </c>
      <c r="K2515" t="s">
        <v>33</v>
      </c>
      <c r="L2515" t="s">
        <v>44</v>
      </c>
      <c r="N2515" t="s">
        <v>37</v>
      </c>
    </row>
    <row r="2516" spans="1:14">
      <c r="A2516" s="4" t="str">
        <f t="shared" si="236"/>
        <v>EXP00072</v>
      </c>
      <c r="B2516" s="4" t="str">
        <f t="shared" si="234"/>
        <v>21712445</v>
      </c>
      <c r="C2516" s="4" t="str">
        <f t="shared" si="235"/>
        <v>GSE28248</v>
      </c>
      <c r="D2516" s="1" t="s">
        <v>175</v>
      </c>
      <c r="E2516" t="s">
        <v>180</v>
      </c>
      <c r="F2516" s="1">
        <v>1</v>
      </c>
      <c r="G2516" s="1" t="s">
        <v>36</v>
      </c>
      <c r="H2516" s="4" t="str">
        <f>HYPERLINK("https://www.ncbi.nlm.nih.gov/geo/query/acc.cgi?acc=GSM699222","GSM699222")</f>
        <v>GSM699222</v>
      </c>
      <c r="I2516" t="s">
        <v>177</v>
      </c>
      <c r="J2516" t="s">
        <v>178</v>
      </c>
      <c r="K2516" t="s">
        <v>33</v>
      </c>
      <c r="L2516" t="s">
        <v>44</v>
      </c>
      <c r="N2516" t="s">
        <v>37</v>
      </c>
    </row>
    <row r="2517" spans="1:14">
      <c r="A2517" s="4" t="str">
        <f t="shared" si="236"/>
        <v>EXP00072</v>
      </c>
      <c r="B2517" s="4" t="str">
        <f t="shared" si="234"/>
        <v>21712445</v>
      </c>
      <c r="C2517" s="4" t="str">
        <f t="shared" si="235"/>
        <v>GSE28248</v>
      </c>
      <c r="D2517" s="1" t="s">
        <v>175</v>
      </c>
      <c r="E2517" t="s">
        <v>180</v>
      </c>
      <c r="F2517" s="1">
        <v>1</v>
      </c>
      <c r="G2517" s="1" t="s">
        <v>36</v>
      </c>
      <c r="H2517" s="4" t="str">
        <f>HYPERLINK("https://www.ncbi.nlm.nih.gov/geo/query/acc.cgi?acc=GSM699224","GSM699224")</f>
        <v>GSM699224</v>
      </c>
      <c r="I2517" t="s">
        <v>177</v>
      </c>
      <c r="J2517" t="s">
        <v>178</v>
      </c>
      <c r="K2517" t="s">
        <v>33</v>
      </c>
      <c r="L2517" t="s">
        <v>44</v>
      </c>
      <c r="N2517" t="s">
        <v>37</v>
      </c>
    </row>
    <row r="2518" spans="1:14">
      <c r="A2518" s="4" t="str">
        <f t="shared" si="236"/>
        <v>EXP00072</v>
      </c>
      <c r="B2518" s="4" t="str">
        <f t="shared" si="234"/>
        <v>21712445</v>
      </c>
      <c r="C2518" s="4" t="str">
        <f t="shared" si="235"/>
        <v>GSE28248</v>
      </c>
      <c r="D2518" s="1" t="s">
        <v>175</v>
      </c>
      <c r="E2518" t="s">
        <v>180</v>
      </c>
      <c r="F2518" s="1">
        <v>1</v>
      </c>
      <c r="G2518" s="1" t="s">
        <v>36</v>
      </c>
      <c r="H2518" s="4" t="str">
        <f>HYPERLINK("https://www.ncbi.nlm.nih.gov/geo/query/acc.cgi?acc=GSM699226","GSM699226")</f>
        <v>GSM699226</v>
      </c>
      <c r="I2518" t="s">
        <v>177</v>
      </c>
      <c r="J2518" t="s">
        <v>178</v>
      </c>
      <c r="K2518" t="s">
        <v>33</v>
      </c>
      <c r="L2518" t="s">
        <v>44</v>
      </c>
      <c r="N2518" t="s">
        <v>37</v>
      </c>
    </row>
    <row r="2519" spans="1:14">
      <c r="A2519" s="4" t="str">
        <f t="shared" si="236"/>
        <v>EXP00072</v>
      </c>
      <c r="B2519" s="4" t="str">
        <f t="shared" si="234"/>
        <v>21712445</v>
      </c>
      <c r="C2519" s="4" t="str">
        <f t="shared" si="235"/>
        <v>GSE28248</v>
      </c>
      <c r="D2519" s="1" t="s">
        <v>175</v>
      </c>
      <c r="E2519" t="s">
        <v>180</v>
      </c>
      <c r="F2519" s="1">
        <v>1</v>
      </c>
      <c r="G2519" s="1" t="s">
        <v>36</v>
      </c>
      <c r="H2519" s="4" t="str">
        <f>HYPERLINK("https://www.ncbi.nlm.nih.gov/geo/query/acc.cgi?acc=GSM699228","GSM699228")</f>
        <v>GSM699228</v>
      </c>
      <c r="I2519" t="s">
        <v>177</v>
      </c>
      <c r="J2519" t="s">
        <v>178</v>
      </c>
      <c r="K2519" t="s">
        <v>33</v>
      </c>
      <c r="L2519" t="s">
        <v>44</v>
      </c>
      <c r="N2519" t="s">
        <v>37</v>
      </c>
    </row>
    <row r="2520" spans="1:14">
      <c r="A2520" s="4" t="str">
        <f t="shared" si="236"/>
        <v>EXP00072</v>
      </c>
      <c r="B2520" s="4" t="str">
        <f t="shared" si="234"/>
        <v>21712445</v>
      </c>
      <c r="C2520" s="4" t="str">
        <f t="shared" si="235"/>
        <v>GSE28248</v>
      </c>
      <c r="D2520" s="1" t="s">
        <v>175</v>
      </c>
      <c r="E2520" t="s">
        <v>180</v>
      </c>
      <c r="F2520" s="1">
        <v>1</v>
      </c>
      <c r="G2520" s="1" t="s">
        <v>36</v>
      </c>
      <c r="H2520" s="4" t="str">
        <f>HYPERLINK("https://www.ncbi.nlm.nih.gov/geo/query/acc.cgi?acc=GSM699230","GSM699230")</f>
        <v>GSM699230</v>
      </c>
      <c r="I2520" t="s">
        <v>177</v>
      </c>
      <c r="J2520" t="s">
        <v>178</v>
      </c>
      <c r="K2520" t="s">
        <v>33</v>
      </c>
      <c r="L2520" t="s">
        <v>44</v>
      </c>
      <c r="N2520" t="s">
        <v>37</v>
      </c>
    </row>
    <row r="2521" spans="1:14">
      <c r="A2521" s="4" t="str">
        <f t="shared" si="236"/>
        <v>EXP00072</v>
      </c>
      <c r="B2521" s="4" t="str">
        <f t="shared" si="234"/>
        <v>21712445</v>
      </c>
      <c r="C2521" s="4" t="str">
        <f t="shared" si="235"/>
        <v>GSE28248</v>
      </c>
      <c r="D2521" s="1" t="s">
        <v>175</v>
      </c>
      <c r="E2521" t="s">
        <v>180</v>
      </c>
      <c r="F2521" s="1">
        <v>1</v>
      </c>
      <c r="G2521" s="1" t="s">
        <v>36</v>
      </c>
      <c r="H2521" s="4" t="str">
        <f>HYPERLINK("https://www.ncbi.nlm.nih.gov/geo/query/acc.cgi?acc=GSM699232","GSM699232")</f>
        <v>GSM699232</v>
      </c>
      <c r="I2521" t="s">
        <v>177</v>
      </c>
      <c r="J2521" t="s">
        <v>178</v>
      </c>
      <c r="K2521" t="s">
        <v>33</v>
      </c>
      <c r="L2521" t="s">
        <v>44</v>
      </c>
      <c r="N2521" t="s">
        <v>37</v>
      </c>
    </row>
    <row r="2522" spans="1:14">
      <c r="A2522" s="4" t="str">
        <f t="shared" si="236"/>
        <v>EXP00072</v>
      </c>
      <c r="B2522" s="4" t="str">
        <f t="shared" si="234"/>
        <v>21712445</v>
      </c>
      <c r="C2522" s="4" t="str">
        <f t="shared" si="235"/>
        <v>GSE28248</v>
      </c>
      <c r="D2522" s="1" t="s">
        <v>175</v>
      </c>
      <c r="E2522" t="s">
        <v>180</v>
      </c>
      <c r="F2522" s="1">
        <v>1</v>
      </c>
      <c r="G2522" s="1" t="s">
        <v>36</v>
      </c>
      <c r="H2522" s="4" t="str">
        <f>HYPERLINK("https://www.ncbi.nlm.nih.gov/geo/query/acc.cgi?acc=GSM699234","GSM699234")</f>
        <v>GSM699234</v>
      </c>
      <c r="I2522" t="s">
        <v>177</v>
      </c>
      <c r="J2522" t="s">
        <v>178</v>
      </c>
      <c r="K2522" t="s">
        <v>33</v>
      </c>
      <c r="L2522" t="s">
        <v>44</v>
      </c>
      <c r="N2522" t="s">
        <v>37</v>
      </c>
    </row>
    <row r="2523" spans="1:14">
      <c r="A2523" s="4" t="str">
        <f t="shared" si="236"/>
        <v>EXP00072</v>
      </c>
      <c r="B2523" s="4" t="str">
        <f t="shared" si="234"/>
        <v>21712445</v>
      </c>
      <c r="C2523" s="4" t="str">
        <f t="shared" si="235"/>
        <v>GSE28248</v>
      </c>
      <c r="D2523" s="1" t="s">
        <v>175</v>
      </c>
      <c r="E2523" t="s">
        <v>180</v>
      </c>
      <c r="F2523" s="1">
        <v>1</v>
      </c>
      <c r="G2523" s="1" t="s">
        <v>36</v>
      </c>
      <c r="H2523" s="4" t="str">
        <f>HYPERLINK("https://www.ncbi.nlm.nih.gov/geo/query/acc.cgi?acc=GSM699236","GSM699236")</f>
        <v>GSM699236</v>
      </c>
      <c r="I2523" t="s">
        <v>177</v>
      </c>
      <c r="J2523" t="s">
        <v>178</v>
      </c>
      <c r="K2523" t="s">
        <v>33</v>
      </c>
      <c r="L2523" t="s">
        <v>44</v>
      </c>
      <c r="N2523" t="s">
        <v>37</v>
      </c>
    </row>
    <row r="2524" spans="1:14">
      <c r="A2524" s="4" t="str">
        <f t="shared" si="236"/>
        <v>EXP00072</v>
      </c>
      <c r="B2524" s="4" t="str">
        <f t="shared" si="234"/>
        <v>21712445</v>
      </c>
      <c r="C2524" s="4" t="str">
        <f t="shared" si="235"/>
        <v>GSE28248</v>
      </c>
      <c r="D2524" s="1" t="s">
        <v>175</v>
      </c>
      <c r="E2524" t="s">
        <v>180</v>
      </c>
      <c r="F2524" s="1">
        <v>1</v>
      </c>
      <c r="G2524" s="1" t="s">
        <v>36</v>
      </c>
      <c r="H2524" s="4" t="str">
        <f>HYPERLINK("https://www.ncbi.nlm.nih.gov/geo/query/acc.cgi?acc=GSM699238","GSM699238")</f>
        <v>GSM699238</v>
      </c>
      <c r="I2524" t="s">
        <v>177</v>
      </c>
      <c r="J2524" t="s">
        <v>178</v>
      </c>
      <c r="K2524" t="s">
        <v>33</v>
      </c>
      <c r="L2524" t="s">
        <v>44</v>
      </c>
      <c r="N2524" t="s">
        <v>37</v>
      </c>
    </row>
    <row r="2525" spans="1:14">
      <c r="A2525" s="4" t="str">
        <f t="shared" si="236"/>
        <v>EXP00072</v>
      </c>
      <c r="B2525" s="4" t="str">
        <f t="shared" si="234"/>
        <v>21712445</v>
      </c>
      <c r="C2525" s="4" t="str">
        <f t="shared" si="235"/>
        <v>GSE28248</v>
      </c>
      <c r="D2525" s="1" t="s">
        <v>175</v>
      </c>
      <c r="E2525" t="s">
        <v>180</v>
      </c>
      <c r="F2525" s="1">
        <v>1</v>
      </c>
      <c r="G2525" s="1" t="s">
        <v>36</v>
      </c>
      <c r="H2525" s="4" t="str">
        <f>HYPERLINK("https://www.ncbi.nlm.nih.gov/geo/query/acc.cgi?acc=GSM699240","GSM699240")</f>
        <v>GSM699240</v>
      </c>
      <c r="I2525" t="s">
        <v>177</v>
      </c>
      <c r="J2525" t="s">
        <v>178</v>
      </c>
      <c r="K2525" t="s">
        <v>33</v>
      </c>
      <c r="L2525" t="s">
        <v>44</v>
      </c>
      <c r="N2525" t="s">
        <v>37</v>
      </c>
    </row>
    <row r="2526" spans="1:14">
      <c r="A2526" s="4" t="str">
        <f t="shared" si="236"/>
        <v>EXP00072</v>
      </c>
      <c r="B2526" s="4" t="str">
        <f t="shared" si="234"/>
        <v>21712445</v>
      </c>
      <c r="C2526" s="4" t="str">
        <f t="shared" si="235"/>
        <v>GSE28248</v>
      </c>
      <c r="D2526" s="1" t="s">
        <v>175</v>
      </c>
      <c r="E2526" t="s">
        <v>180</v>
      </c>
      <c r="F2526" s="1">
        <v>1</v>
      </c>
      <c r="G2526" s="1" t="s">
        <v>36</v>
      </c>
      <c r="H2526" s="4" t="str">
        <f>HYPERLINK("https://www.ncbi.nlm.nih.gov/geo/query/acc.cgi?acc=GSM699242","GSM699242")</f>
        <v>GSM699242</v>
      </c>
      <c r="I2526" t="s">
        <v>177</v>
      </c>
      <c r="J2526" t="s">
        <v>178</v>
      </c>
      <c r="K2526" t="s">
        <v>33</v>
      </c>
      <c r="L2526" t="s">
        <v>44</v>
      </c>
      <c r="N2526" t="s">
        <v>37</v>
      </c>
    </row>
    <row r="2527" spans="1:14">
      <c r="A2527" s="4" t="str">
        <f t="shared" si="236"/>
        <v>EXP00072</v>
      </c>
      <c r="B2527" s="4" t="str">
        <f t="shared" ref="B2527:B2550" si="237">HYPERLINK("https://www.ncbi.nlm.nih.gov/pubmed/21712445","21712445")</f>
        <v>21712445</v>
      </c>
      <c r="C2527" s="4" t="str">
        <f t="shared" ref="C2527:C2550" si="238">HYPERLINK("https://www.ncbi.nlm.nih.gov/geo/query/acc.cgi?acc=GSE28248","GSE28248")</f>
        <v>GSE28248</v>
      </c>
      <c r="D2527" s="1" t="s">
        <v>175</v>
      </c>
      <c r="E2527" t="s">
        <v>180</v>
      </c>
      <c r="F2527" s="1">
        <v>1</v>
      </c>
      <c r="G2527" s="1" t="s">
        <v>36</v>
      </c>
      <c r="H2527" s="4" t="str">
        <f>HYPERLINK("https://www.ncbi.nlm.nih.gov/geo/query/acc.cgi?acc=GSM699244","GSM699244")</f>
        <v>GSM699244</v>
      </c>
      <c r="I2527" t="s">
        <v>177</v>
      </c>
      <c r="J2527" t="s">
        <v>178</v>
      </c>
      <c r="K2527" t="s">
        <v>33</v>
      </c>
      <c r="L2527" t="s">
        <v>44</v>
      </c>
      <c r="N2527" t="s">
        <v>37</v>
      </c>
    </row>
    <row r="2528" spans="1:14">
      <c r="A2528" s="4" t="str">
        <f t="shared" si="236"/>
        <v>EXP00072</v>
      </c>
      <c r="B2528" s="4" t="str">
        <f t="shared" si="237"/>
        <v>21712445</v>
      </c>
      <c r="C2528" s="4" t="str">
        <f t="shared" si="238"/>
        <v>GSE28248</v>
      </c>
      <c r="D2528" s="1" t="s">
        <v>175</v>
      </c>
      <c r="E2528" t="s">
        <v>180</v>
      </c>
      <c r="F2528" s="1">
        <v>1</v>
      </c>
      <c r="G2528" s="1" t="s">
        <v>36</v>
      </c>
      <c r="H2528" s="4" t="str">
        <f>HYPERLINK("https://www.ncbi.nlm.nih.gov/geo/query/acc.cgi?acc=GSM699246","GSM699246")</f>
        <v>GSM699246</v>
      </c>
      <c r="I2528" t="s">
        <v>177</v>
      </c>
      <c r="J2528" t="s">
        <v>178</v>
      </c>
      <c r="K2528" t="s">
        <v>33</v>
      </c>
      <c r="L2528" t="s">
        <v>44</v>
      </c>
      <c r="N2528" t="s">
        <v>37</v>
      </c>
    </row>
    <row r="2529" spans="1:14">
      <c r="A2529" s="4" t="str">
        <f t="shared" si="236"/>
        <v>EXP00072</v>
      </c>
      <c r="B2529" s="4" t="str">
        <f t="shared" si="237"/>
        <v>21712445</v>
      </c>
      <c r="C2529" s="4" t="str">
        <f t="shared" si="238"/>
        <v>GSE28248</v>
      </c>
      <c r="D2529" s="1" t="s">
        <v>175</v>
      </c>
      <c r="E2529" t="s">
        <v>180</v>
      </c>
      <c r="F2529" s="1">
        <v>1</v>
      </c>
      <c r="G2529" s="1" t="s">
        <v>36</v>
      </c>
      <c r="H2529" s="4" t="str">
        <f>HYPERLINK("https://www.ncbi.nlm.nih.gov/geo/query/acc.cgi?acc=GSM699248","GSM699248")</f>
        <v>GSM699248</v>
      </c>
      <c r="I2529" t="s">
        <v>177</v>
      </c>
      <c r="J2529" t="s">
        <v>178</v>
      </c>
      <c r="K2529" t="s">
        <v>33</v>
      </c>
      <c r="L2529" t="s">
        <v>44</v>
      </c>
      <c r="N2529" t="s">
        <v>37</v>
      </c>
    </row>
    <row r="2530" spans="1:14">
      <c r="A2530" s="4" t="str">
        <f t="shared" si="236"/>
        <v>EXP00072</v>
      </c>
      <c r="B2530" s="4" t="str">
        <f t="shared" si="237"/>
        <v>21712445</v>
      </c>
      <c r="C2530" s="4" t="str">
        <f t="shared" si="238"/>
        <v>GSE28248</v>
      </c>
      <c r="D2530" s="1" t="s">
        <v>175</v>
      </c>
      <c r="E2530" t="s">
        <v>180</v>
      </c>
      <c r="F2530" s="1">
        <v>1</v>
      </c>
      <c r="G2530" s="1" t="s">
        <v>36</v>
      </c>
      <c r="H2530" s="4" t="str">
        <f>HYPERLINK("https://www.ncbi.nlm.nih.gov/geo/query/acc.cgi?acc=GSM699250","GSM699250")</f>
        <v>GSM699250</v>
      </c>
      <c r="I2530" t="s">
        <v>177</v>
      </c>
      <c r="J2530" t="s">
        <v>178</v>
      </c>
      <c r="K2530" t="s">
        <v>33</v>
      </c>
      <c r="L2530" t="s">
        <v>44</v>
      </c>
      <c r="N2530" t="s">
        <v>37</v>
      </c>
    </row>
    <row r="2531" spans="1:14">
      <c r="A2531" s="4" t="str">
        <f t="shared" si="236"/>
        <v>EXP00072</v>
      </c>
      <c r="B2531" s="4" t="str">
        <f t="shared" si="237"/>
        <v>21712445</v>
      </c>
      <c r="C2531" s="4" t="str">
        <f t="shared" si="238"/>
        <v>GSE28248</v>
      </c>
      <c r="D2531" s="1" t="s">
        <v>175</v>
      </c>
      <c r="E2531" t="s">
        <v>180</v>
      </c>
      <c r="F2531" s="1">
        <v>2</v>
      </c>
      <c r="G2531" s="1" t="s">
        <v>28</v>
      </c>
      <c r="H2531" s="4" t="str">
        <f>HYPERLINK("https://www.ncbi.nlm.nih.gov/geo/query/acc.cgi?acc=GSM699213","GSM699213")</f>
        <v>GSM699213</v>
      </c>
      <c r="I2531" t="s">
        <v>177</v>
      </c>
      <c r="J2531" t="s">
        <v>178</v>
      </c>
      <c r="K2531" t="s">
        <v>33</v>
      </c>
      <c r="L2531" t="s">
        <v>44</v>
      </c>
      <c r="N2531" t="s">
        <v>29</v>
      </c>
    </row>
    <row r="2532" spans="1:14">
      <c r="A2532" s="4" t="str">
        <f t="shared" si="236"/>
        <v>EXP00072</v>
      </c>
      <c r="B2532" s="4" t="str">
        <f t="shared" si="237"/>
        <v>21712445</v>
      </c>
      <c r="C2532" s="4" t="str">
        <f t="shared" si="238"/>
        <v>GSE28248</v>
      </c>
      <c r="D2532" s="1" t="s">
        <v>175</v>
      </c>
      <c r="E2532" t="s">
        <v>180</v>
      </c>
      <c r="F2532" s="1">
        <v>2</v>
      </c>
      <c r="G2532" s="1" t="s">
        <v>28</v>
      </c>
      <c r="H2532" s="4" t="str">
        <f>HYPERLINK("https://www.ncbi.nlm.nih.gov/geo/query/acc.cgi?acc=GSM699215","GSM699215")</f>
        <v>GSM699215</v>
      </c>
      <c r="I2532" t="s">
        <v>177</v>
      </c>
      <c r="J2532" t="s">
        <v>178</v>
      </c>
      <c r="K2532" t="s">
        <v>33</v>
      </c>
      <c r="L2532" t="s">
        <v>44</v>
      </c>
      <c r="N2532" t="s">
        <v>29</v>
      </c>
    </row>
    <row r="2533" spans="1:14">
      <c r="A2533" s="4" t="str">
        <f t="shared" si="236"/>
        <v>EXP00072</v>
      </c>
      <c r="B2533" s="4" t="str">
        <f t="shared" si="237"/>
        <v>21712445</v>
      </c>
      <c r="C2533" s="4" t="str">
        <f t="shared" si="238"/>
        <v>GSE28248</v>
      </c>
      <c r="D2533" s="1" t="s">
        <v>175</v>
      </c>
      <c r="E2533" t="s">
        <v>180</v>
      </c>
      <c r="F2533" s="1">
        <v>2</v>
      </c>
      <c r="G2533" s="1" t="s">
        <v>28</v>
      </c>
      <c r="H2533" s="4" t="str">
        <f>HYPERLINK("https://www.ncbi.nlm.nih.gov/geo/query/acc.cgi?acc=GSM699217","GSM699217")</f>
        <v>GSM699217</v>
      </c>
      <c r="I2533" t="s">
        <v>177</v>
      </c>
      <c r="J2533" t="s">
        <v>178</v>
      </c>
      <c r="K2533" t="s">
        <v>33</v>
      </c>
      <c r="L2533" t="s">
        <v>44</v>
      </c>
      <c r="N2533" t="s">
        <v>29</v>
      </c>
    </row>
    <row r="2534" spans="1:14">
      <c r="A2534" s="4" t="str">
        <f t="shared" si="236"/>
        <v>EXP00072</v>
      </c>
      <c r="B2534" s="4" t="str">
        <f t="shared" si="237"/>
        <v>21712445</v>
      </c>
      <c r="C2534" s="4" t="str">
        <f t="shared" si="238"/>
        <v>GSE28248</v>
      </c>
      <c r="D2534" s="1" t="s">
        <v>175</v>
      </c>
      <c r="E2534" t="s">
        <v>180</v>
      </c>
      <c r="F2534" s="1">
        <v>2</v>
      </c>
      <c r="G2534" s="1" t="s">
        <v>28</v>
      </c>
      <c r="H2534" s="4" t="str">
        <f>HYPERLINK("https://www.ncbi.nlm.nih.gov/geo/query/acc.cgi?acc=GSM699219","GSM699219")</f>
        <v>GSM699219</v>
      </c>
      <c r="I2534" t="s">
        <v>177</v>
      </c>
      <c r="J2534" t="s">
        <v>178</v>
      </c>
      <c r="K2534" t="s">
        <v>33</v>
      </c>
      <c r="L2534" t="s">
        <v>44</v>
      </c>
      <c r="N2534" t="s">
        <v>29</v>
      </c>
    </row>
    <row r="2535" spans="1:14">
      <c r="A2535" s="4" t="str">
        <f t="shared" si="236"/>
        <v>EXP00072</v>
      </c>
      <c r="B2535" s="4" t="str">
        <f t="shared" si="237"/>
        <v>21712445</v>
      </c>
      <c r="C2535" s="4" t="str">
        <f t="shared" si="238"/>
        <v>GSE28248</v>
      </c>
      <c r="D2535" s="1" t="s">
        <v>175</v>
      </c>
      <c r="E2535" t="s">
        <v>180</v>
      </c>
      <c r="F2535" s="1">
        <v>2</v>
      </c>
      <c r="G2535" s="1" t="s">
        <v>28</v>
      </c>
      <c r="H2535" s="4" t="str">
        <f>HYPERLINK("https://www.ncbi.nlm.nih.gov/geo/query/acc.cgi?acc=GSM699221","GSM699221")</f>
        <v>GSM699221</v>
      </c>
      <c r="I2535" t="s">
        <v>177</v>
      </c>
      <c r="J2535" t="s">
        <v>178</v>
      </c>
      <c r="K2535" t="s">
        <v>33</v>
      </c>
      <c r="L2535" t="s">
        <v>44</v>
      </c>
      <c r="N2535" t="s">
        <v>29</v>
      </c>
    </row>
    <row r="2536" spans="1:14">
      <c r="A2536" s="4" t="str">
        <f t="shared" si="236"/>
        <v>EXP00072</v>
      </c>
      <c r="B2536" s="4" t="str">
        <f t="shared" si="237"/>
        <v>21712445</v>
      </c>
      <c r="C2536" s="4" t="str">
        <f t="shared" si="238"/>
        <v>GSE28248</v>
      </c>
      <c r="D2536" s="1" t="s">
        <v>175</v>
      </c>
      <c r="E2536" t="s">
        <v>180</v>
      </c>
      <c r="F2536" s="1">
        <v>2</v>
      </c>
      <c r="G2536" s="1" t="s">
        <v>28</v>
      </c>
      <c r="H2536" s="4" t="str">
        <f>HYPERLINK("https://www.ncbi.nlm.nih.gov/geo/query/acc.cgi?acc=GSM699223","GSM699223")</f>
        <v>GSM699223</v>
      </c>
      <c r="I2536" t="s">
        <v>177</v>
      </c>
      <c r="J2536" t="s">
        <v>178</v>
      </c>
      <c r="K2536" t="s">
        <v>33</v>
      </c>
      <c r="L2536" t="s">
        <v>44</v>
      </c>
      <c r="N2536" t="s">
        <v>29</v>
      </c>
    </row>
    <row r="2537" spans="1:14">
      <c r="A2537" s="4" t="str">
        <f t="shared" si="236"/>
        <v>EXP00072</v>
      </c>
      <c r="B2537" s="4" t="str">
        <f t="shared" si="237"/>
        <v>21712445</v>
      </c>
      <c r="C2537" s="4" t="str">
        <f t="shared" si="238"/>
        <v>GSE28248</v>
      </c>
      <c r="D2537" s="1" t="s">
        <v>175</v>
      </c>
      <c r="E2537" t="s">
        <v>180</v>
      </c>
      <c r="F2537" s="1">
        <v>2</v>
      </c>
      <c r="G2537" s="1" t="s">
        <v>28</v>
      </c>
      <c r="H2537" s="4" t="str">
        <f>HYPERLINK("https://www.ncbi.nlm.nih.gov/geo/query/acc.cgi?acc=GSM699225","GSM699225")</f>
        <v>GSM699225</v>
      </c>
      <c r="I2537" t="s">
        <v>177</v>
      </c>
      <c r="J2537" t="s">
        <v>178</v>
      </c>
      <c r="K2537" t="s">
        <v>33</v>
      </c>
      <c r="L2537" t="s">
        <v>44</v>
      </c>
      <c r="N2537" t="s">
        <v>29</v>
      </c>
    </row>
    <row r="2538" spans="1:14">
      <c r="A2538" s="4" t="str">
        <f t="shared" si="236"/>
        <v>EXP00072</v>
      </c>
      <c r="B2538" s="4" t="str">
        <f t="shared" si="237"/>
        <v>21712445</v>
      </c>
      <c r="C2538" s="4" t="str">
        <f t="shared" si="238"/>
        <v>GSE28248</v>
      </c>
      <c r="D2538" s="1" t="s">
        <v>175</v>
      </c>
      <c r="E2538" t="s">
        <v>180</v>
      </c>
      <c r="F2538" s="1">
        <v>2</v>
      </c>
      <c r="G2538" s="1" t="s">
        <v>28</v>
      </c>
      <c r="H2538" s="4" t="str">
        <f>HYPERLINK("https://www.ncbi.nlm.nih.gov/geo/query/acc.cgi?acc=GSM699227","GSM699227")</f>
        <v>GSM699227</v>
      </c>
      <c r="I2538" t="s">
        <v>177</v>
      </c>
      <c r="J2538" t="s">
        <v>178</v>
      </c>
      <c r="K2538" t="s">
        <v>33</v>
      </c>
      <c r="L2538" t="s">
        <v>44</v>
      </c>
      <c r="N2538" t="s">
        <v>29</v>
      </c>
    </row>
    <row r="2539" spans="1:14">
      <c r="A2539" s="4" t="str">
        <f t="shared" si="236"/>
        <v>EXP00072</v>
      </c>
      <c r="B2539" s="4" t="str">
        <f t="shared" si="237"/>
        <v>21712445</v>
      </c>
      <c r="C2539" s="4" t="str">
        <f t="shared" si="238"/>
        <v>GSE28248</v>
      </c>
      <c r="D2539" s="1" t="s">
        <v>175</v>
      </c>
      <c r="E2539" t="s">
        <v>180</v>
      </c>
      <c r="F2539" s="1">
        <v>2</v>
      </c>
      <c r="G2539" s="1" t="s">
        <v>28</v>
      </c>
      <c r="H2539" s="4" t="str">
        <f>HYPERLINK("https://www.ncbi.nlm.nih.gov/geo/query/acc.cgi?acc=GSM699229","GSM699229")</f>
        <v>GSM699229</v>
      </c>
      <c r="I2539" t="s">
        <v>177</v>
      </c>
      <c r="J2539" t="s">
        <v>178</v>
      </c>
      <c r="K2539" t="s">
        <v>33</v>
      </c>
      <c r="L2539" t="s">
        <v>44</v>
      </c>
      <c r="N2539" t="s">
        <v>29</v>
      </c>
    </row>
    <row r="2540" spans="1:14">
      <c r="A2540" s="4" t="str">
        <f t="shared" si="236"/>
        <v>EXP00072</v>
      </c>
      <c r="B2540" s="4" t="str">
        <f t="shared" si="237"/>
        <v>21712445</v>
      </c>
      <c r="C2540" s="4" t="str">
        <f t="shared" si="238"/>
        <v>GSE28248</v>
      </c>
      <c r="D2540" s="1" t="s">
        <v>175</v>
      </c>
      <c r="E2540" t="s">
        <v>180</v>
      </c>
      <c r="F2540" s="1">
        <v>2</v>
      </c>
      <c r="G2540" s="1" t="s">
        <v>28</v>
      </c>
      <c r="H2540" s="4" t="str">
        <f>HYPERLINK("https://www.ncbi.nlm.nih.gov/geo/query/acc.cgi?acc=GSM699231","GSM699231")</f>
        <v>GSM699231</v>
      </c>
      <c r="I2540" t="s">
        <v>177</v>
      </c>
      <c r="J2540" t="s">
        <v>178</v>
      </c>
      <c r="K2540" t="s">
        <v>33</v>
      </c>
      <c r="L2540" t="s">
        <v>44</v>
      </c>
      <c r="N2540" t="s">
        <v>29</v>
      </c>
    </row>
    <row r="2541" spans="1:14">
      <c r="A2541" s="4" t="str">
        <f t="shared" si="236"/>
        <v>EXP00072</v>
      </c>
      <c r="B2541" s="4" t="str">
        <f t="shared" si="237"/>
        <v>21712445</v>
      </c>
      <c r="C2541" s="4" t="str">
        <f t="shared" si="238"/>
        <v>GSE28248</v>
      </c>
      <c r="D2541" s="1" t="s">
        <v>175</v>
      </c>
      <c r="E2541" t="s">
        <v>180</v>
      </c>
      <c r="F2541" s="1">
        <v>2</v>
      </c>
      <c r="G2541" s="1" t="s">
        <v>28</v>
      </c>
      <c r="H2541" s="4" t="str">
        <f>HYPERLINK("https://www.ncbi.nlm.nih.gov/geo/query/acc.cgi?acc=GSM699233","GSM699233")</f>
        <v>GSM699233</v>
      </c>
      <c r="I2541" t="s">
        <v>177</v>
      </c>
      <c r="J2541" t="s">
        <v>178</v>
      </c>
      <c r="K2541" t="s">
        <v>33</v>
      </c>
      <c r="L2541" t="s">
        <v>44</v>
      </c>
      <c r="N2541" t="s">
        <v>29</v>
      </c>
    </row>
    <row r="2542" spans="1:14">
      <c r="A2542" s="4" t="str">
        <f t="shared" si="236"/>
        <v>EXP00072</v>
      </c>
      <c r="B2542" s="4" t="str">
        <f t="shared" si="237"/>
        <v>21712445</v>
      </c>
      <c r="C2542" s="4" t="str">
        <f t="shared" si="238"/>
        <v>GSE28248</v>
      </c>
      <c r="D2542" s="1" t="s">
        <v>175</v>
      </c>
      <c r="E2542" t="s">
        <v>180</v>
      </c>
      <c r="F2542" s="1">
        <v>2</v>
      </c>
      <c r="G2542" s="1" t="s">
        <v>28</v>
      </c>
      <c r="H2542" s="4" t="str">
        <f>HYPERLINK("https://www.ncbi.nlm.nih.gov/geo/query/acc.cgi?acc=GSM699235","GSM699235")</f>
        <v>GSM699235</v>
      </c>
      <c r="I2542" t="s">
        <v>177</v>
      </c>
      <c r="J2542" t="s">
        <v>178</v>
      </c>
      <c r="K2542" t="s">
        <v>33</v>
      </c>
      <c r="L2542" t="s">
        <v>44</v>
      </c>
      <c r="N2542" t="s">
        <v>29</v>
      </c>
    </row>
    <row r="2543" spans="1:14">
      <c r="A2543" s="4" t="str">
        <f t="shared" si="236"/>
        <v>EXP00072</v>
      </c>
      <c r="B2543" s="4" t="str">
        <f t="shared" si="237"/>
        <v>21712445</v>
      </c>
      <c r="C2543" s="4" t="str">
        <f t="shared" si="238"/>
        <v>GSE28248</v>
      </c>
      <c r="D2543" s="1" t="s">
        <v>175</v>
      </c>
      <c r="E2543" t="s">
        <v>180</v>
      </c>
      <c r="F2543" s="1">
        <v>2</v>
      </c>
      <c r="G2543" s="1" t="s">
        <v>28</v>
      </c>
      <c r="H2543" s="4" t="str">
        <f>HYPERLINK("https://www.ncbi.nlm.nih.gov/geo/query/acc.cgi?acc=GSM699237","GSM699237")</f>
        <v>GSM699237</v>
      </c>
      <c r="I2543" t="s">
        <v>177</v>
      </c>
      <c r="J2543" t="s">
        <v>178</v>
      </c>
      <c r="K2543" t="s">
        <v>33</v>
      </c>
      <c r="L2543" t="s">
        <v>44</v>
      </c>
      <c r="N2543" t="s">
        <v>29</v>
      </c>
    </row>
    <row r="2544" spans="1:14">
      <c r="A2544" s="4" t="str">
        <f t="shared" si="236"/>
        <v>EXP00072</v>
      </c>
      <c r="B2544" s="4" t="str">
        <f t="shared" si="237"/>
        <v>21712445</v>
      </c>
      <c r="C2544" s="4" t="str">
        <f t="shared" si="238"/>
        <v>GSE28248</v>
      </c>
      <c r="D2544" s="1" t="s">
        <v>175</v>
      </c>
      <c r="E2544" t="s">
        <v>180</v>
      </c>
      <c r="F2544" s="1">
        <v>2</v>
      </c>
      <c r="G2544" s="1" t="s">
        <v>28</v>
      </c>
      <c r="H2544" s="4" t="str">
        <f>HYPERLINK("https://www.ncbi.nlm.nih.gov/geo/query/acc.cgi?acc=GSM699239","GSM699239")</f>
        <v>GSM699239</v>
      </c>
      <c r="I2544" t="s">
        <v>177</v>
      </c>
      <c r="J2544" t="s">
        <v>178</v>
      </c>
      <c r="K2544" t="s">
        <v>33</v>
      </c>
      <c r="L2544" t="s">
        <v>44</v>
      </c>
      <c r="N2544" t="s">
        <v>29</v>
      </c>
    </row>
    <row r="2545" spans="1:14">
      <c r="A2545" s="4" t="str">
        <f t="shared" si="236"/>
        <v>EXP00072</v>
      </c>
      <c r="B2545" s="4" t="str">
        <f t="shared" si="237"/>
        <v>21712445</v>
      </c>
      <c r="C2545" s="4" t="str">
        <f t="shared" si="238"/>
        <v>GSE28248</v>
      </c>
      <c r="D2545" s="1" t="s">
        <v>175</v>
      </c>
      <c r="E2545" t="s">
        <v>180</v>
      </c>
      <c r="F2545" s="1">
        <v>2</v>
      </c>
      <c r="G2545" s="1" t="s">
        <v>28</v>
      </c>
      <c r="H2545" s="4" t="str">
        <f>HYPERLINK("https://www.ncbi.nlm.nih.gov/geo/query/acc.cgi?acc=GSM699241","GSM699241")</f>
        <v>GSM699241</v>
      </c>
      <c r="I2545" t="s">
        <v>177</v>
      </c>
      <c r="J2545" t="s">
        <v>178</v>
      </c>
      <c r="K2545" t="s">
        <v>33</v>
      </c>
      <c r="L2545" t="s">
        <v>44</v>
      </c>
      <c r="N2545" t="s">
        <v>29</v>
      </c>
    </row>
    <row r="2546" spans="1:14">
      <c r="A2546" s="4" t="str">
        <f t="shared" si="236"/>
        <v>EXP00072</v>
      </c>
      <c r="B2546" s="4" t="str">
        <f t="shared" si="237"/>
        <v>21712445</v>
      </c>
      <c r="C2546" s="4" t="str">
        <f t="shared" si="238"/>
        <v>GSE28248</v>
      </c>
      <c r="D2546" s="1" t="s">
        <v>175</v>
      </c>
      <c r="E2546" t="s">
        <v>180</v>
      </c>
      <c r="F2546" s="1">
        <v>2</v>
      </c>
      <c r="G2546" s="1" t="s">
        <v>28</v>
      </c>
      <c r="H2546" s="4" t="str">
        <f>HYPERLINK("https://www.ncbi.nlm.nih.gov/geo/query/acc.cgi?acc=GSM699243","GSM699243")</f>
        <v>GSM699243</v>
      </c>
      <c r="I2546" t="s">
        <v>177</v>
      </c>
      <c r="J2546" t="s">
        <v>178</v>
      </c>
      <c r="K2546" t="s">
        <v>33</v>
      </c>
      <c r="L2546" t="s">
        <v>44</v>
      </c>
      <c r="N2546" t="s">
        <v>29</v>
      </c>
    </row>
    <row r="2547" spans="1:14">
      <c r="A2547" s="4" t="str">
        <f t="shared" si="236"/>
        <v>EXP00072</v>
      </c>
      <c r="B2547" s="4" t="str">
        <f t="shared" si="237"/>
        <v>21712445</v>
      </c>
      <c r="C2547" s="4" t="str">
        <f t="shared" si="238"/>
        <v>GSE28248</v>
      </c>
      <c r="D2547" s="1" t="s">
        <v>175</v>
      </c>
      <c r="E2547" t="s">
        <v>180</v>
      </c>
      <c r="F2547" s="1">
        <v>2</v>
      </c>
      <c r="G2547" s="1" t="s">
        <v>28</v>
      </c>
      <c r="H2547" s="4" t="str">
        <f>HYPERLINK("https://www.ncbi.nlm.nih.gov/geo/query/acc.cgi?acc=GSM699245","GSM699245")</f>
        <v>GSM699245</v>
      </c>
      <c r="I2547" t="s">
        <v>177</v>
      </c>
      <c r="J2547" t="s">
        <v>178</v>
      </c>
      <c r="K2547" t="s">
        <v>33</v>
      </c>
      <c r="L2547" t="s">
        <v>44</v>
      </c>
      <c r="N2547" t="s">
        <v>29</v>
      </c>
    </row>
    <row r="2548" spans="1:14">
      <c r="A2548" s="4" t="str">
        <f t="shared" si="236"/>
        <v>EXP00072</v>
      </c>
      <c r="B2548" s="4" t="str">
        <f t="shared" si="237"/>
        <v>21712445</v>
      </c>
      <c r="C2548" s="4" t="str">
        <f t="shared" si="238"/>
        <v>GSE28248</v>
      </c>
      <c r="D2548" s="1" t="s">
        <v>175</v>
      </c>
      <c r="E2548" t="s">
        <v>180</v>
      </c>
      <c r="F2548" s="1">
        <v>2</v>
      </c>
      <c r="G2548" s="1" t="s">
        <v>28</v>
      </c>
      <c r="H2548" s="4" t="str">
        <f>HYPERLINK("https://www.ncbi.nlm.nih.gov/geo/query/acc.cgi?acc=GSM699247","GSM699247")</f>
        <v>GSM699247</v>
      </c>
      <c r="I2548" t="s">
        <v>177</v>
      </c>
      <c r="J2548" t="s">
        <v>178</v>
      </c>
      <c r="K2548" t="s">
        <v>33</v>
      </c>
      <c r="L2548" t="s">
        <v>44</v>
      </c>
      <c r="N2548" t="s">
        <v>29</v>
      </c>
    </row>
    <row r="2549" spans="1:14">
      <c r="A2549" s="4" t="str">
        <f t="shared" si="236"/>
        <v>EXP00072</v>
      </c>
      <c r="B2549" s="4" t="str">
        <f t="shared" si="237"/>
        <v>21712445</v>
      </c>
      <c r="C2549" s="4" t="str">
        <f t="shared" si="238"/>
        <v>GSE28248</v>
      </c>
      <c r="D2549" s="1" t="s">
        <v>175</v>
      </c>
      <c r="E2549" t="s">
        <v>180</v>
      </c>
      <c r="F2549" s="1">
        <v>2</v>
      </c>
      <c r="G2549" s="1" t="s">
        <v>28</v>
      </c>
      <c r="H2549" s="4" t="str">
        <f>HYPERLINK("https://www.ncbi.nlm.nih.gov/geo/query/acc.cgi?acc=GSM699249","GSM699249")</f>
        <v>GSM699249</v>
      </c>
      <c r="I2549" t="s">
        <v>177</v>
      </c>
      <c r="J2549" t="s">
        <v>178</v>
      </c>
      <c r="K2549" t="s">
        <v>33</v>
      </c>
      <c r="L2549" t="s">
        <v>44</v>
      </c>
      <c r="N2549" t="s">
        <v>29</v>
      </c>
    </row>
    <row r="2550" spans="1:14">
      <c r="A2550" s="4" t="str">
        <f t="shared" si="236"/>
        <v>EXP00072</v>
      </c>
      <c r="B2550" s="4" t="str">
        <f t="shared" si="237"/>
        <v>21712445</v>
      </c>
      <c r="C2550" s="4" t="str">
        <f t="shared" si="238"/>
        <v>GSE28248</v>
      </c>
      <c r="D2550" s="1" t="s">
        <v>175</v>
      </c>
      <c r="E2550" t="s">
        <v>180</v>
      </c>
      <c r="F2550" s="1">
        <v>2</v>
      </c>
      <c r="G2550" s="1" t="s">
        <v>28</v>
      </c>
      <c r="H2550" s="4" t="str">
        <f>HYPERLINK("https://www.ncbi.nlm.nih.gov/geo/query/acc.cgi?acc=GSM699251","GSM699251")</f>
        <v>GSM699251</v>
      </c>
      <c r="I2550" t="s">
        <v>177</v>
      </c>
      <c r="J2550" t="s">
        <v>178</v>
      </c>
      <c r="K2550" t="s">
        <v>33</v>
      </c>
      <c r="L2550" t="s">
        <v>44</v>
      </c>
      <c r="N2550" t="s">
        <v>29</v>
      </c>
    </row>
    <row r="2551" spans="1:14">
      <c r="A2551" s="4" t="str">
        <f t="shared" ref="A2551:A2555" si="239">HYPERLINK("http://hcmdb.i-sanger.com/experiment/details/experiment_id/EXP00073","EXP00073")</f>
        <v>EXP00073</v>
      </c>
      <c r="B2551" s="3" t="s">
        <v>66</v>
      </c>
      <c r="C2551" s="4" t="str">
        <f t="shared" ref="C2551:C2555" si="240">HYPERLINK("https://www.ncbi.nlm.nih.gov/geo/query/acc.cgi?acc=GSE29827","GSE29827")</f>
        <v>GSE29827</v>
      </c>
      <c r="D2551" s="1" t="s">
        <v>182</v>
      </c>
      <c r="E2551" t="s">
        <v>183</v>
      </c>
      <c r="F2551" s="1">
        <v>1</v>
      </c>
      <c r="G2551" s="1" t="s">
        <v>184</v>
      </c>
      <c r="H2551" s="4" t="str">
        <f>HYPERLINK("https://www.ncbi.nlm.nih.gov/geo/query/acc.cgi?acc=GSM739126","GSM739126")</f>
        <v>GSM739126</v>
      </c>
      <c r="I2551" t="s">
        <v>108</v>
      </c>
      <c r="J2551" t="s">
        <v>120</v>
      </c>
      <c r="K2551" t="s">
        <v>19</v>
      </c>
      <c r="L2551" t="s">
        <v>41</v>
      </c>
      <c r="M2551" t="s">
        <v>24</v>
      </c>
      <c r="N2551" t="s">
        <v>22</v>
      </c>
    </row>
    <row r="2552" spans="1:14">
      <c r="A2552" s="4" t="str">
        <f t="shared" si="239"/>
        <v>EXP00073</v>
      </c>
      <c r="B2552" s="3" t="s">
        <v>66</v>
      </c>
      <c r="C2552" s="4" t="str">
        <f t="shared" si="240"/>
        <v>GSE29827</v>
      </c>
      <c r="D2552" s="1" t="s">
        <v>182</v>
      </c>
      <c r="E2552" t="s">
        <v>183</v>
      </c>
      <c r="F2552" s="1">
        <v>1</v>
      </c>
      <c r="G2552" s="1" t="s">
        <v>184</v>
      </c>
      <c r="H2552" s="4" t="str">
        <f>HYPERLINK("https://www.ncbi.nlm.nih.gov/geo/query/acc.cgi?acc=GSM739127","GSM739127")</f>
        <v>GSM739127</v>
      </c>
      <c r="I2552" t="s">
        <v>108</v>
      </c>
      <c r="J2552" t="s">
        <v>120</v>
      </c>
      <c r="K2552" t="s">
        <v>19</v>
      </c>
      <c r="L2552" t="s">
        <v>41</v>
      </c>
      <c r="M2552" t="s">
        <v>24</v>
      </c>
      <c r="N2552" t="s">
        <v>22</v>
      </c>
    </row>
    <row r="2553" spans="1:14">
      <c r="A2553" s="4" t="str">
        <f t="shared" si="239"/>
        <v>EXP00073</v>
      </c>
      <c r="B2553" s="3" t="s">
        <v>66</v>
      </c>
      <c r="C2553" s="4" t="str">
        <f t="shared" si="240"/>
        <v>GSE29827</v>
      </c>
      <c r="D2553" s="1" t="s">
        <v>182</v>
      </c>
      <c r="E2553" t="s">
        <v>183</v>
      </c>
      <c r="F2553" s="1">
        <v>1</v>
      </c>
      <c r="G2553" s="1" t="s">
        <v>184</v>
      </c>
      <c r="H2553" s="4" t="str">
        <f>HYPERLINK("https://www.ncbi.nlm.nih.gov/geo/query/acc.cgi?acc=GSM739128","GSM739128")</f>
        <v>GSM739128</v>
      </c>
      <c r="I2553" t="s">
        <v>108</v>
      </c>
      <c r="J2553" t="s">
        <v>120</v>
      </c>
      <c r="K2553" t="s">
        <v>19</v>
      </c>
      <c r="L2553" t="s">
        <v>41</v>
      </c>
      <c r="M2553" t="s">
        <v>24</v>
      </c>
      <c r="N2553" t="s">
        <v>22</v>
      </c>
    </row>
    <row r="2554" spans="1:14">
      <c r="A2554" s="4" t="str">
        <f t="shared" si="239"/>
        <v>EXP00073</v>
      </c>
      <c r="B2554" s="3" t="s">
        <v>66</v>
      </c>
      <c r="C2554" s="4" t="str">
        <f t="shared" si="240"/>
        <v>GSE29827</v>
      </c>
      <c r="D2554" s="1" t="s">
        <v>182</v>
      </c>
      <c r="E2554" t="s">
        <v>183</v>
      </c>
      <c r="F2554" s="1">
        <v>2</v>
      </c>
      <c r="G2554" s="1" t="s">
        <v>185</v>
      </c>
      <c r="H2554" s="4" t="str">
        <f>HYPERLINK("https://www.ncbi.nlm.nih.gov/geo/query/acc.cgi?acc=GSM739129","GSM739129")</f>
        <v>GSM739129</v>
      </c>
      <c r="I2554" t="s">
        <v>108</v>
      </c>
      <c r="J2554" t="s">
        <v>119</v>
      </c>
      <c r="K2554" t="s">
        <v>19</v>
      </c>
      <c r="L2554" t="s">
        <v>41</v>
      </c>
      <c r="M2554" t="s">
        <v>24</v>
      </c>
      <c r="N2554" t="s">
        <v>22</v>
      </c>
    </row>
    <row r="2555" spans="1:14">
      <c r="A2555" s="4" t="str">
        <f t="shared" si="239"/>
        <v>EXP00073</v>
      </c>
      <c r="B2555" s="3" t="s">
        <v>66</v>
      </c>
      <c r="C2555" s="4" t="str">
        <f t="shared" si="240"/>
        <v>GSE29827</v>
      </c>
      <c r="D2555" s="1" t="s">
        <v>182</v>
      </c>
      <c r="E2555" t="s">
        <v>183</v>
      </c>
      <c r="F2555" s="1">
        <v>2</v>
      </c>
      <c r="G2555" s="1" t="s">
        <v>185</v>
      </c>
      <c r="H2555" s="4" t="str">
        <f>HYPERLINK("https://www.ncbi.nlm.nih.gov/geo/query/acc.cgi?acc=GSM739137","GSM739137")</f>
        <v>GSM739137</v>
      </c>
      <c r="I2555" t="s">
        <v>108</v>
      </c>
      <c r="J2555" t="s">
        <v>119</v>
      </c>
      <c r="K2555" t="s">
        <v>19</v>
      </c>
      <c r="L2555" t="s">
        <v>41</v>
      </c>
      <c r="M2555" t="s">
        <v>24</v>
      </c>
      <c r="N2555" t="s">
        <v>22</v>
      </c>
    </row>
    <row r="2556" spans="1:14">
      <c r="A2556" s="4" t="str">
        <f t="shared" ref="A2556:A2564" si="241">HYPERLINK("http://hcmdb.i-sanger.com/experiment/details/experiment_id/EXP00074","EXP00074")</f>
        <v>EXP00074</v>
      </c>
      <c r="B2556" s="4" t="str">
        <f t="shared" ref="B2556:B2578" si="242">HYPERLINK("https://www.ncbi.nlm.nih.gov/pubmed/23251464","23251464")</f>
        <v>23251464</v>
      </c>
      <c r="C2556" s="4" t="str">
        <f t="shared" ref="C2556:C2578" si="243">HYPERLINK("https://www.ncbi.nlm.nih.gov/geo/query/acc.cgi?acc=GSE30480","GSE30480")</f>
        <v>GSE30480</v>
      </c>
      <c r="D2556" s="1" t="s">
        <v>186</v>
      </c>
      <c r="E2556" t="s">
        <v>39</v>
      </c>
      <c r="F2556" s="1">
        <v>1</v>
      </c>
      <c r="G2556" s="1" t="s">
        <v>26</v>
      </c>
      <c r="H2556" s="4" t="str">
        <f>HYPERLINK("https://www.ncbi.nlm.nih.gov/geo/query/acc.cgi?acc=GSM756131","GSM756131")</f>
        <v>GSM756131</v>
      </c>
      <c r="I2556" t="s">
        <v>17</v>
      </c>
      <c r="J2556" t="s">
        <v>18</v>
      </c>
      <c r="K2556" t="s">
        <v>19</v>
      </c>
      <c r="L2556" t="s">
        <v>20</v>
      </c>
      <c r="M2556" t="s">
        <v>24</v>
      </c>
      <c r="N2556" t="s">
        <v>22</v>
      </c>
    </row>
    <row r="2557" spans="1:14">
      <c r="A2557" s="4" t="str">
        <f t="shared" si="241"/>
        <v>EXP00074</v>
      </c>
      <c r="B2557" s="4" t="str">
        <f t="shared" si="242"/>
        <v>23251464</v>
      </c>
      <c r="C2557" s="4" t="str">
        <f t="shared" si="243"/>
        <v>GSE30480</v>
      </c>
      <c r="D2557" s="1" t="s">
        <v>186</v>
      </c>
      <c r="E2557" t="s">
        <v>39</v>
      </c>
      <c r="F2557" s="1">
        <v>1</v>
      </c>
      <c r="G2557" s="1" t="s">
        <v>26</v>
      </c>
      <c r="H2557" s="4" t="str">
        <f>HYPERLINK("https://www.ncbi.nlm.nih.gov/geo/query/acc.cgi?acc=GSM756135","GSM756135")</f>
        <v>GSM756135</v>
      </c>
      <c r="I2557" t="s">
        <v>17</v>
      </c>
      <c r="J2557" t="s">
        <v>18</v>
      </c>
      <c r="K2557" t="s">
        <v>19</v>
      </c>
      <c r="L2557" t="s">
        <v>20</v>
      </c>
      <c r="M2557" t="s">
        <v>24</v>
      </c>
      <c r="N2557" t="s">
        <v>22</v>
      </c>
    </row>
    <row r="2558" spans="1:14">
      <c r="A2558" s="4" t="str">
        <f t="shared" si="241"/>
        <v>EXP00074</v>
      </c>
      <c r="B2558" s="4" t="str">
        <f t="shared" si="242"/>
        <v>23251464</v>
      </c>
      <c r="C2558" s="4" t="str">
        <f t="shared" si="243"/>
        <v>GSE30480</v>
      </c>
      <c r="D2558" s="1" t="s">
        <v>186</v>
      </c>
      <c r="E2558" t="s">
        <v>39</v>
      </c>
      <c r="F2558" s="1">
        <v>1</v>
      </c>
      <c r="G2558" s="1" t="s">
        <v>26</v>
      </c>
      <c r="H2558" s="4" t="str">
        <f>HYPERLINK("https://www.ncbi.nlm.nih.gov/geo/query/acc.cgi?acc=GSM756141","GSM756141")</f>
        <v>GSM756141</v>
      </c>
      <c r="I2558" t="s">
        <v>17</v>
      </c>
      <c r="J2558" t="s">
        <v>18</v>
      </c>
      <c r="K2558" t="s">
        <v>19</v>
      </c>
      <c r="L2558" t="s">
        <v>20</v>
      </c>
      <c r="M2558" t="s">
        <v>24</v>
      </c>
      <c r="N2558" t="s">
        <v>22</v>
      </c>
    </row>
    <row r="2559" spans="1:14">
      <c r="A2559" s="4" t="str">
        <f t="shared" si="241"/>
        <v>EXP00074</v>
      </c>
      <c r="B2559" s="4" t="str">
        <f t="shared" si="242"/>
        <v>23251464</v>
      </c>
      <c r="C2559" s="4" t="str">
        <f t="shared" si="243"/>
        <v>GSE30480</v>
      </c>
      <c r="D2559" s="1" t="s">
        <v>186</v>
      </c>
      <c r="E2559" t="s">
        <v>39</v>
      </c>
      <c r="F2559" s="1">
        <v>1</v>
      </c>
      <c r="G2559" s="1" t="s">
        <v>26</v>
      </c>
      <c r="H2559" s="4" t="str">
        <f>HYPERLINK("https://www.ncbi.nlm.nih.gov/geo/query/acc.cgi?acc=GSM756146","GSM756146")</f>
        <v>GSM756146</v>
      </c>
      <c r="I2559" t="s">
        <v>17</v>
      </c>
      <c r="J2559" t="s">
        <v>18</v>
      </c>
      <c r="K2559" t="s">
        <v>19</v>
      </c>
      <c r="L2559" t="s">
        <v>20</v>
      </c>
      <c r="M2559" t="s">
        <v>24</v>
      </c>
      <c r="N2559" t="s">
        <v>22</v>
      </c>
    </row>
    <row r="2560" spans="1:14">
      <c r="A2560" s="4" t="str">
        <f t="shared" si="241"/>
        <v>EXP00074</v>
      </c>
      <c r="B2560" s="4" t="str">
        <f t="shared" si="242"/>
        <v>23251464</v>
      </c>
      <c r="C2560" s="4" t="str">
        <f t="shared" si="243"/>
        <v>GSE30480</v>
      </c>
      <c r="D2560" s="1" t="s">
        <v>186</v>
      </c>
      <c r="E2560" t="s">
        <v>39</v>
      </c>
      <c r="F2560" s="1">
        <v>1</v>
      </c>
      <c r="G2560" s="1" t="s">
        <v>26</v>
      </c>
      <c r="H2560" s="4" t="str">
        <f>HYPERLINK("https://www.ncbi.nlm.nih.gov/geo/query/acc.cgi?acc=GSM756149","GSM756149")</f>
        <v>GSM756149</v>
      </c>
      <c r="I2560" t="s">
        <v>17</v>
      </c>
      <c r="J2560" t="s">
        <v>18</v>
      </c>
      <c r="K2560" t="s">
        <v>19</v>
      </c>
      <c r="L2560" t="s">
        <v>20</v>
      </c>
      <c r="M2560" t="s">
        <v>24</v>
      </c>
      <c r="N2560" t="s">
        <v>22</v>
      </c>
    </row>
    <row r="2561" spans="1:14">
      <c r="A2561" s="4" t="str">
        <f t="shared" si="241"/>
        <v>EXP00074</v>
      </c>
      <c r="B2561" s="4" t="str">
        <f t="shared" si="242"/>
        <v>23251464</v>
      </c>
      <c r="C2561" s="4" t="str">
        <f t="shared" si="243"/>
        <v>GSE30480</v>
      </c>
      <c r="D2561" s="1" t="s">
        <v>186</v>
      </c>
      <c r="E2561" t="s">
        <v>39</v>
      </c>
      <c r="F2561" s="1">
        <v>1</v>
      </c>
      <c r="G2561" s="1" t="s">
        <v>26</v>
      </c>
      <c r="H2561" s="4" t="str">
        <f>HYPERLINK("https://www.ncbi.nlm.nih.gov/geo/query/acc.cgi?acc=GSM756151","GSM756151")</f>
        <v>GSM756151</v>
      </c>
      <c r="I2561" t="s">
        <v>17</v>
      </c>
      <c r="J2561" t="s">
        <v>18</v>
      </c>
      <c r="K2561" t="s">
        <v>19</v>
      </c>
      <c r="L2561" t="s">
        <v>20</v>
      </c>
      <c r="M2561" t="s">
        <v>24</v>
      </c>
      <c r="N2561" t="s">
        <v>22</v>
      </c>
    </row>
    <row r="2562" spans="1:14">
      <c r="A2562" s="4" t="str">
        <f t="shared" si="241"/>
        <v>EXP00074</v>
      </c>
      <c r="B2562" s="4" t="str">
        <f t="shared" si="242"/>
        <v>23251464</v>
      </c>
      <c r="C2562" s="4" t="str">
        <f t="shared" si="243"/>
        <v>GSE30480</v>
      </c>
      <c r="D2562" s="1" t="s">
        <v>186</v>
      </c>
      <c r="E2562" t="s">
        <v>39</v>
      </c>
      <c r="F2562" s="1">
        <v>2</v>
      </c>
      <c r="G2562" s="1" t="s">
        <v>28</v>
      </c>
      <c r="H2562" s="4" t="str">
        <f>HYPERLINK("https://www.ncbi.nlm.nih.gov/geo/query/acc.cgi?acc=GSM756133","GSM756133")</f>
        <v>GSM756133</v>
      </c>
      <c r="I2562" t="s">
        <v>17</v>
      </c>
      <c r="J2562" t="s">
        <v>18</v>
      </c>
      <c r="K2562" t="s">
        <v>19</v>
      </c>
      <c r="L2562" t="s">
        <v>20</v>
      </c>
      <c r="M2562" t="s">
        <v>24</v>
      </c>
      <c r="N2562" t="s">
        <v>29</v>
      </c>
    </row>
    <row r="2563" spans="1:14">
      <c r="A2563" s="4" t="str">
        <f t="shared" si="241"/>
        <v>EXP00074</v>
      </c>
      <c r="B2563" s="4" t="str">
        <f t="shared" si="242"/>
        <v>23251464</v>
      </c>
      <c r="C2563" s="4" t="str">
        <f t="shared" si="243"/>
        <v>GSE30480</v>
      </c>
      <c r="D2563" s="1" t="s">
        <v>186</v>
      </c>
      <c r="E2563" t="s">
        <v>39</v>
      </c>
      <c r="F2563" s="1">
        <v>2</v>
      </c>
      <c r="G2563" s="1" t="s">
        <v>28</v>
      </c>
      <c r="H2563" s="4" t="str">
        <f>HYPERLINK("https://www.ncbi.nlm.nih.gov/geo/query/acc.cgi?acc=GSM756138","GSM756138")</f>
        <v>GSM756138</v>
      </c>
      <c r="I2563" t="s">
        <v>17</v>
      </c>
      <c r="J2563" t="s">
        <v>18</v>
      </c>
      <c r="K2563" t="s">
        <v>19</v>
      </c>
      <c r="L2563" t="s">
        <v>20</v>
      </c>
      <c r="M2563" t="s">
        <v>24</v>
      </c>
      <c r="N2563" t="s">
        <v>29</v>
      </c>
    </row>
    <row r="2564" spans="1:14">
      <c r="A2564" s="4" t="str">
        <f t="shared" si="241"/>
        <v>EXP00074</v>
      </c>
      <c r="B2564" s="4" t="str">
        <f t="shared" si="242"/>
        <v>23251464</v>
      </c>
      <c r="C2564" s="4" t="str">
        <f t="shared" si="243"/>
        <v>GSE30480</v>
      </c>
      <c r="D2564" s="1" t="s">
        <v>186</v>
      </c>
      <c r="E2564" t="s">
        <v>39</v>
      </c>
      <c r="F2564" s="1">
        <v>2</v>
      </c>
      <c r="G2564" s="1" t="s">
        <v>28</v>
      </c>
      <c r="H2564" s="4" t="str">
        <f>HYPERLINK("https://www.ncbi.nlm.nih.gov/geo/query/acc.cgi?acc=GSM756143","GSM756143")</f>
        <v>GSM756143</v>
      </c>
      <c r="I2564" t="s">
        <v>17</v>
      </c>
      <c r="J2564" t="s">
        <v>18</v>
      </c>
      <c r="K2564" t="s">
        <v>19</v>
      </c>
      <c r="L2564" t="s">
        <v>20</v>
      </c>
      <c r="M2564" t="s">
        <v>24</v>
      </c>
      <c r="N2564" t="s">
        <v>29</v>
      </c>
    </row>
    <row r="2565" spans="1:14">
      <c r="A2565" s="4" t="str">
        <f t="shared" ref="A2565:A2578" si="244">HYPERLINK("http://hcmdb.i-sanger.com/experiment/details/experiment_id/EXP00075","EXP00075")</f>
        <v>EXP00075</v>
      </c>
      <c r="B2565" s="4" t="str">
        <f t="shared" si="242"/>
        <v>23251464</v>
      </c>
      <c r="C2565" s="4" t="str">
        <f t="shared" si="243"/>
        <v>GSE30480</v>
      </c>
      <c r="D2565" s="1" t="s">
        <v>186</v>
      </c>
      <c r="E2565" t="s">
        <v>30</v>
      </c>
      <c r="F2565" s="1">
        <v>1</v>
      </c>
      <c r="G2565" s="1" t="s">
        <v>31</v>
      </c>
      <c r="H2565" s="4" t="str">
        <f>HYPERLINK("https://www.ncbi.nlm.nih.gov/geo/query/acc.cgi?acc=GSM756133","GSM756133")</f>
        <v>GSM756133</v>
      </c>
      <c r="I2565" t="s">
        <v>17</v>
      </c>
      <c r="J2565" t="s">
        <v>18</v>
      </c>
      <c r="K2565" t="s">
        <v>19</v>
      </c>
      <c r="L2565" t="s">
        <v>20</v>
      </c>
      <c r="M2565" t="s">
        <v>24</v>
      </c>
      <c r="N2565" t="s">
        <v>29</v>
      </c>
    </row>
    <row r="2566" spans="1:14">
      <c r="A2566" s="4" t="str">
        <f t="shared" si="244"/>
        <v>EXP00075</v>
      </c>
      <c r="B2566" s="4" t="str">
        <f t="shared" si="242"/>
        <v>23251464</v>
      </c>
      <c r="C2566" s="4" t="str">
        <f t="shared" si="243"/>
        <v>GSE30480</v>
      </c>
      <c r="D2566" s="1" t="s">
        <v>186</v>
      </c>
      <c r="E2566" t="s">
        <v>30</v>
      </c>
      <c r="F2566" s="1">
        <v>1</v>
      </c>
      <c r="G2566" s="1" t="s">
        <v>31</v>
      </c>
      <c r="H2566" s="4" t="str">
        <f>HYPERLINK("https://www.ncbi.nlm.nih.gov/geo/query/acc.cgi?acc=GSM756138","GSM756138")</f>
        <v>GSM756138</v>
      </c>
      <c r="I2566" t="s">
        <v>17</v>
      </c>
      <c r="J2566" t="s">
        <v>18</v>
      </c>
      <c r="K2566" t="s">
        <v>19</v>
      </c>
      <c r="L2566" t="s">
        <v>20</v>
      </c>
      <c r="M2566" t="s">
        <v>24</v>
      </c>
      <c r="N2566" t="s">
        <v>29</v>
      </c>
    </row>
    <row r="2567" spans="1:14">
      <c r="A2567" s="4" t="str">
        <f t="shared" si="244"/>
        <v>EXP00075</v>
      </c>
      <c r="B2567" s="4" t="str">
        <f t="shared" si="242"/>
        <v>23251464</v>
      </c>
      <c r="C2567" s="4" t="str">
        <f t="shared" si="243"/>
        <v>GSE30480</v>
      </c>
      <c r="D2567" s="1" t="s">
        <v>186</v>
      </c>
      <c r="E2567" t="s">
        <v>30</v>
      </c>
      <c r="F2567" s="1">
        <v>1</v>
      </c>
      <c r="G2567" s="1" t="s">
        <v>31</v>
      </c>
      <c r="H2567" s="4" t="str">
        <f>HYPERLINK("https://www.ncbi.nlm.nih.gov/geo/query/acc.cgi?acc=GSM756143","GSM756143")</f>
        <v>GSM756143</v>
      </c>
      <c r="I2567" t="s">
        <v>17</v>
      </c>
      <c r="J2567" t="s">
        <v>18</v>
      </c>
      <c r="K2567" t="s">
        <v>19</v>
      </c>
      <c r="L2567" t="s">
        <v>20</v>
      </c>
      <c r="M2567" t="s">
        <v>24</v>
      </c>
      <c r="N2567" t="s">
        <v>29</v>
      </c>
    </row>
    <row r="2568" spans="1:14">
      <c r="A2568" s="4" t="str">
        <f t="shared" si="244"/>
        <v>EXP00075</v>
      </c>
      <c r="B2568" s="4" t="str">
        <f t="shared" si="242"/>
        <v>23251464</v>
      </c>
      <c r="C2568" s="4" t="str">
        <f t="shared" si="243"/>
        <v>GSE30480</v>
      </c>
      <c r="D2568" s="1" t="s">
        <v>186</v>
      </c>
      <c r="E2568" t="s">
        <v>30</v>
      </c>
      <c r="F2568" s="1">
        <v>2</v>
      </c>
      <c r="G2568" s="1" t="s">
        <v>32</v>
      </c>
      <c r="H2568" s="4" t="str">
        <f>HYPERLINK("https://www.ncbi.nlm.nih.gov/geo/query/acc.cgi?acc=GSM756154","GSM756154")</f>
        <v>GSM756154</v>
      </c>
      <c r="I2568" t="s">
        <v>17</v>
      </c>
      <c r="J2568" t="s">
        <v>18</v>
      </c>
      <c r="K2568" t="s">
        <v>33</v>
      </c>
      <c r="L2568" t="s">
        <v>20</v>
      </c>
      <c r="N2568" t="s">
        <v>29</v>
      </c>
    </row>
    <row r="2569" spans="1:14">
      <c r="A2569" s="4" t="str">
        <f t="shared" si="244"/>
        <v>EXP00075</v>
      </c>
      <c r="B2569" s="4" t="str">
        <f t="shared" si="242"/>
        <v>23251464</v>
      </c>
      <c r="C2569" s="4" t="str">
        <f t="shared" si="243"/>
        <v>GSE30480</v>
      </c>
      <c r="D2569" s="1" t="s">
        <v>186</v>
      </c>
      <c r="E2569" t="s">
        <v>30</v>
      </c>
      <c r="F2569" s="1">
        <v>2</v>
      </c>
      <c r="G2569" s="1" t="s">
        <v>32</v>
      </c>
      <c r="H2569" s="4" t="str">
        <f>HYPERLINK("https://www.ncbi.nlm.nih.gov/geo/query/acc.cgi?acc=GSM756156","GSM756156")</f>
        <v>GSM756156</v>
      </c>
      <c r="I2569" t="s">
        <v>17</v>
      </c>
      <c r="J2569" t="s">
        <v>18</v>
      </c>
      <c r="K2569" t="s">
        <v>33</v>
      </c>
      <c r="L2569" t="s">
        <v>20</v>
      </c>
      <c r="N2569" t="s">
        <v>29</v>
      </c>
    </row>
    <row r="2570" spans="1:14">
      <c r="A2570" s="4" t="str">
        <f t="shared" si="244"/>
        <v>EXP00075</v>
      </c>
      <c r="B2570" s="4" t="str">
        <f t="shared" si="242"/>
        <v>23251464</v>
      </c>
      <c r="C2570" s="4" t="str">
        <f t="shared" si="243"/>
        <v>GSE30480</v>
      </c>
      <c r="D2570" s="1" t="s">
        <v>186</v>
      </c>
      <c r="E2570" t="s">
        <v>30</v>
      </c>
      <c r="F2570" s="1">
        <v>2</v>
      </c>
      <c r="G2570" s="1" t="s">
        <v>32</v>
      </c>
      <c r="H2570" s="4" t="str">
        <f>HYPERLINK("https://www.ncbi.nlm.nih.gov/geo/query/acc.cgi?acc=GSM756159","GSM756159")</f>
        <v>GSM756159</v>
      </c>
      <c r="I2570" t="s">
        <v>17</v>
      </c>
      <c r="J2570" t="s">
        <v>18</v>
      </c>
      <c r="K2570" t="s">
        <v>33</v>
      </c>
      <c r="L2570" t="s">
        <v>20</v>
      </c>
      <c r="N2570" t="s">
        <v>29</v>
      </c>
    </row>
    <row r="2571" spans="1:14">
      <c r="A2571" s="4" t="str">
        <f t="shared" si="244"/>
        <v>EXP00075</v>
      </c>
      <c r="B2571" s="4" t="str">
        <f t="shared" si="242"/>
        <v>23251464</v>
      </c>
      <c r="C2571" s="4" t="str">
        <f t="shared" si="243"/>
        <v>GSE30480</v>
      </c>
      <c r="D2571" s="1" t="s">
        <v>186</v>
      </c>
      <c r="E2571" t="s">
        <v>30</v>
      </c>
      <c r="F2571" s="1">
        <v>2</v>
      </c>
      <c r="G2571" s="1" t="s">
        <v>32</v>
      </c>
      <c r="H2571" s="4" t="str">
        <f>HYPERLINK("https://www.ncbi.nlm.nih.gov/geo/query/acc.cgi?acc=GSM756161","GSM756161")</f>
        <v>GSM756161</v>
      </c>
      <c r="I2571" t="s">
        <v>17</v>
      </c>
      <c r="J2571" t="s">
        <v>18</v>
      </c>
      <c r="K2571" t="s">
        <v>33</v>
      </c>
      <c r="L2571" t="s">
        <v>20</v>
      </c>
      <c r="N2571" t="s">
        <v>29</v>
      </c>
    </row>
    <row r="2572" spans="1:14">
      <c r="A2572" s="4" t="str">
        <f t="shared" si="244"/>
        <v>EXP00075</v>
      </c>
      <c r="B2572" s="4" t="str">
        <f t="shared" si="242"/>
        <v>23251464</v>
      </c>
      <c r="C2572" s="4" t="str">
        <f t="shared" si="243"/>
        <v>GSE30480</v>
      </c>
      <c r="D2572" s="1" t="s">
        <v>186</v>
      </c>
      <c r="E2572" t="s">
        <v>30</v>
      </c>
      <c r="F2572" s="1">
        <v>2</v>
      </c>
      <c r="G2572" s="1" t="s">
        <v>32</v>
      </c>
      <c r="H2572" s="4" t="str">
        <f>HYPERLINK("https://www.ncbi.nlm.nih.gov/geo/query/acc.cgi?acc=GSM756163","GSM756163")</f>
        <v>GSM756163</v>
      </c>
      <c r="I2572" t="s">
        <v>17</v>
      </c>
      <c r="J2572" t="s">
        <v>18</v>
      </c>
      <c r="K2572" t="s">
        <v>33</v>
      </c>
      <c r="L2572" t="s">
        <v>20</v>
      </c>
      <c r="N2572" t="s">
        <v>29</v>
      </c>
    </row>
    <row r="2573" spans="1:14">
      <c r="A2573" s="4" t="str">
        <f t="shared" si="244"/>
        <v>EXP00075</v>
      </c>
      <c r="B2573" s="4" t="str">
        <f t="shared" si="242"/>
        <v>23251464</v>
      </c>
      <c r="C2573" s="4" t="str">
        <f t="shared" si="243"/>
        <v>GSE30480</v>
      </c>
      <c r="D2573" s="1" t="s">
        <v>186</v>
      </c>
      <c r="E2573" t="s">
        <v>30</v>
      </c>
      <c r="F2573" s="1">
        <v>2</v>
      </c>
      <c r="G2573" s="1" t="s">
        <v>32</v>
      </c>
      <c r="H2573" s="4" t="str">
        <f>HYPERLINK("https://www.ncbi.nlm.nih.gov/geo/query/acc.cgi?acc=GSM756166","GSM756166")</f>
        <v>GSM756166</v>
      </c>
      <c r="I2573" t="s">
        <v>17</v>
      </c>
      <c r="J2573" t="s">
        <v>18</v>
      </c>
      <c r="K2573" t="s">
        <v>33</v>
      </c>
      <c r="L2573" t="s">
        <v>20</v>
      </c>
      <c r="N2573" t="s">
        <v>29</v>
      </c>
    </row>
    <row r="2574" spans="1:14">
      <c r="A2574" s="4" t="str">
        <f t="shared" si="244"/>
        <v>EXP00075</v>
      </c>
      <c r="B2574" s="4" t="str">
        <f t="shared" si="242"/>
        <v>23251464</v>
      </c>
      <c r="C2574" s="4" t="str">
        <f t="shared" si="243"/>
        <v>GSE30480</v>
      </c>
      <c r="D2574" s="1" t="s">
        <v>186</v>
      </c>
      <c r="E2574" t="s">
        <v>30</v>
      </c>
      <c r="F2574" s="1">
        <v>2</v>
      </c>
      <c r="G2574" s="1" t="s">
        <v>32</v>
      </c>
      <c r="H2574" s="4" t="str">
        <f>HYPERLINK("https://www.ncbi.nlm.nih.gov/geo/query/acc.cgi?acc=GSM756168","GSM756168")</f>
        <v>GSM756168</v>
      </c>
      <c r="I2574" t="s">
        <v>17</v>
      </c>
      <c r="J2574" t="s">
        <v>18</v>
      </c>
      <c r="K2574" t="s">
        <v>33</v>
      </c>
      <c r="L2574" t="s">
        <v>20</v>
      </c>
      <c r="N2574" t="s">
        <v>29</v>
      </c>
    </row>
    <row r="2575" spans="1:14">
      <c r="A2575" s="4" t="str">
        <f t="shared" si="244"/>
        <v>EXP00075</v>
      </c>
      <c r="B2575" s="4" t="str">
        <f t="shared" si="242"/>
        <v>23251464</v>
      </c>
      <c r="C2575" s="4" t="str">
        <f t="shared" si="243"/>
        <v>GSE30480</v>
      </c>
      <c r="D2575" s="1" t="s">
        <v>186</v>
      </c>
      <c r="E2575" t="s">
        <v>30</v>
      </c>
      <c r="F2575" s="1">
        <v>2</v>
      </c>
      <c r="G2575" s="1" t="s">
        <v>32</v>
      </c>
      <c r="H2575" s="4" t="str">
        <f>HYPERLINK("https://www.ncbi.nlm.nih.gov/geo/query/acc.cgi?acc=GSM756170","GSM756170")</f>
        <v>GSM756170</v>
      </c>
      <c r="I2575" t="s">
        <v>17</v>
      </c>
      <c r="J2575" t="s">
        <v>18</v>
      </c>
      <c r="K2575" t="s">
        <v>33</v>
      </c>
      <c r="L2575" t="s">
        <v>20</v>
      </c>
      <c r="N2575" t="s">
        <v>29</v>
      </c>
    </row>
    <row r="2576" spans="1:14">
      <c r="A2576" s="4" t="str">
        <f t="shared" si="244"/>
        <v>EXP00075</v>
      </c>
      <c r="B2576" s="4" t="str">
        <f t="shared" si="242"/>
        <v>23251464</v>
      </c>
      <c r="C2576" s="4" t="str">
        <f t="shared" si="243"/>
        <v>GSE30480</v>
      </c>
      <c r="D2576" s="1" t="s">
        <v>186</v>
      </c>
      <c r="E2576" t="s">
        <v>30</v>
      </c>
      <c r="F2576" s="1">
        <v>2</v>
      </c>
      <c r="G2576" s="1" t="s">
        <v>32</v>
      </c>
      <c r="H2576" s="4" t="str">
        <f>HYPERLINK("https://www.ncbi.nlm.nih.gov/geo/query/acc.cgi?acc=GSM756173","GSM756173")</f>
        <v>GSM756173</v>
      </c>
      <c r="I2576" t="s">
        <v>17</v>
      </c>
      <c r="J2576" t="s">
        <v>18</v>
      </c>
      <c r="K2576" t="s">
        <v>33</v>
      </c>
      <c r="L2576" t="s">
        <v>20</v>
      </c>
      <c r="N2576" t="s">
        <v>29</v>
      </c>
    </row>
    <row r="2577" spans="1:14">
      <c r="A2577" s="4" t="str">
        <f t="shared" si="244"/>
        <v>EXP00075</v>
      </c>
      <c r="B2577" s="4" t="str">
        <f t="shared" si="242"/>
        <v>23251464</v>
      </c>
      <c r="C2577" s="4" t="str">
        <f t="shared" si="243"/>
        <v>GSE30480</v>
      </c>
      <c r="D2577" s="1" t="s">
        <v>186</v>
      </c>
      <c r="E2577" t="s">
        <v>30</v>
      </c>
      <c r="F2577" s="1">
        <v>2</v>
      </c>
      <c r="G2577" s="1" t="s">
        <v>32</v>
      </c>
      <c r="H2577" s="4" t="str">
        <f>HYPERLINK("https://www.ncbi.nlm.nih.gov/geo/query/acc.cgi?acc=GSM756175","GSM756175")</f>
        <v>GSM756175</v>
      </c>
      <c r="I2577" t="s">
        <v>17</v>
      </c>
      <c r="J2577" t="s">
        <v>18</v>
      </c>
      <c r="K2577" t="s">
        <v>33</v>
      </c>
      <c r="L2577" t="s">
        <v>20</v>
      </c>
      <c r="N2577" t="s">
        <v>29</v>
      </c>
    </row>
    <row r="2578" spans="1:14">
      <c r="A2578" s="4" t="str">
        <f t="shared" si="244"/>
        <v>EXP00075</v>
      </c>
      <c r="B2578" s="4" t="str">
        <f t="shared" si="242"/>
        <v>23251464</v>
      </c>
      <c r="C2578" s="4" t="str">
        <f t="shared" si="243"/>
        <v>GSE30480</v>
      </c>
      <c r="D2578" s="1" t="s">
        <v>186</v>
      </c>
      <c r="E2578" t="s">
        <v>30</v>
      </c>
      <c r="F2578" s="1">
        <v>2</v>
      </c>
      <c r="G2578" s="1" t="s">
        <v>32</v>
      </c>
      <c r="H2578" s="4" t="str">
        <f>HYPERLINK("https://www.ncbi.nlm.nih.gov/geo/query/acc.cgi?acc=GSM756179","GSM756179")</f>
        <v>GSM756179</v>
      </c>
      <c r="I2578" t="s">
        <v>17</v>
      </c>
      <c r="J2578" t="s">
        <v>18</v>
      </c>
      <c r="K2578" t="s">
        <v>33</v>
      </c>
      <c r="L2578" t="s">
        <v>20</v>
      </c>
      <c r="N2578" t="s">
        <v>29</v>
      </c>
    </row>
    <row r="2579" spans="1:14">
      <c r="A2579" s="4" t="str">
        <f t="shared" ref="A2579:A2596" si="245">HYPERLINK("http://hcmdb.i-sanger.com/experiment/details/experiment_id/EXP00076","EXP00076")</f>
        <v>EXP00076</v>
      </c>
      <c r="B2579" s="4" t="str">
        <f t="shared" ref="B2579:B2596" si="246">HYPERLINK("https://www.ncbi.nlm.nih.gov/pubmed/24732363","24732363")</f>
        <v>24732363</v>
      </c>
      <c r="C2579" s="4" t="str">
        <f t="shared" ref="C2579:C2596" si="247">HYPERLINK("https://www.ncbi.nlm.nih.gov/geo/query/acc.cgi?acc=GSE30587","GSE30587")</f>
        <v>GSE30587</v>
      </c>
      <c r="D2579" s="1" t="s">
        <v>187</v>
      </c>
      <c r="E2579" t="s">
        <v>188</v>
      </c>
      <c r="F2579" s="1">
        <v>1</v>
      </c>
      <c r="G2579" s="1" t="s">
        <v>26</v>
      </c>
      <c r="H2579" s="4" t="str">
        <f>HYPERLINK("https://www.ncbi.nlm.nih.gov/geo/query/acc.cgi?acc=GSM758801","GSM758801")</f>
        <v>GSM758801</v>
      </c>
      <c r="I2579" t="s">
        <v>189</v>
      </c>
      <c r="J2579" t="s">
        <v>18</v>
      </c>
      <c r="K2579" t="s">
        <v>19</v>
      </c>
      <c r="L2579" t="s">
        <v>65</v>
      </c>
      <c r="M2579" t="s">
        <v>190</v>
      </c>
      <c r="N2579" t="s">
        <v>22</v>
      </c>
    </row>
    <row r="2580" spans="1:14">
      <c r="A2580" s="4" t="str">
        <f t="shared" si="245"/>
        <v>EXP00076</v>
      </c>
      <c r="B2580" s="4" t="str">
        <f t="shared" si="246"/>
        <v>24732363</v>
      </c>
      <c r="C2580" s="4" t="str">
        <f t="shared" si="247"/>
        <v>GSE30587</v>
      </c>
      <c r="D2580" s="1" t="s">
        <v>187</v>
      </c>
      <c r="E2580" t="s">
        <v>188</v>
      </c>
      <c r="F2580" s="1">
        <v>1</v>
      </c>
      <c r="G2580" s="1" t="s">
        <v>26</v>
      </c>
      <c r="H2580" s="4" t="str">
        <f>HYPERLINK("https://www.ncbi.nlm.nih.gov/geo/query/acc.cgi?acc=GSM758803","GSM758803")</f>
        <v>GSM758803</v>
      </c>
      <c r="I2580" t="s">
        <v>189</v>
      </c>
      <c r="J2580" t="s">
        <v>18</v>
      </c>
      <c r="K2580" t="s">
        <v>19</v>
      </c>
      <c r="L2580" t="s">
        <v>65</v>
      </c>
      <c r="M2580" t="s">
        <v>190</v>
      </c>
      <c r="N2580" t="s">
        <v>22</v>
      </c>
    </row>
    <row r="2581" spans="1:14">
      <c r="A2581" s="4" t="str">
        <f t="shared" si="245"/>
        <v>EXP00076</v>
      </c>
      <c r="B2581" s="4" t="str">
        <f t="shared" si="246"/>
        <v>24732363</v>
      </c>
      <c r="C2581" s="4" t="str">
        <f t="shared" si="247"/>
        <v>GSE30587</v>
      </c>
      <c r="D2581" s="1" t="s">
        <v>187</v>
      </c>
      <c r="E2581" t="s">
        <v>188</v>
      </c>
      <c r="F2581" s="1">
        <v>1</v>
      </c>
      <c r="G2581" s="1" t="s">
        <v>26</v>
      </c>
      <c r="H2581" s="4" t="str">
        <f>HYPERLINK("https://www.ncbi.nlm.nih.gov/geo/query/acc.cgi?acc=GSM758805","GSM758805")</f>
        <v>GSM758805</v>
      </c>
      <c r="I2581" t="s">
        <v>189</v>
      </c>
      <c r="J2581" t="s">
        <v>18</v>
      </c>
      <c r="K2581" t="s">
        <v>19</v>
      </c>
      <c r="L2581" t="s">
        <v>65</v>
      </c>
      <c r="M2581" t="s">
        <v>190</v>
      </c>
      <c r="N2581" t="s">
        <v>22</v>
      </c>
    </row>
    <row r="2582" spans="1:14">
      <c r="A2582" s="4" t="str">
        <f t="shared" si="245"/>
        <v>EXP00076</v>
      </c>
      <c r="B2582" s="4" t="str">
        <f t="shared" si="246"/>
        <v>24732363</v>
      </c>
      <c r="C2582" s="4" t="str">
        <f t="shared" si="247"/>
        <v>GSE30587</v>
      </c>
      <c r="D2582" s="1" t="s">
        <v>187</v>
      </c>
      <c r="E2582" t="s">
        <v>188</v>
      </c>
      <c r="F2582" s="1">
        <v>1</v>
      </c>
      <c r="G2582" s="1" t="s">
        <v>26</v>
      </c>
      <c r="H2582" s="4" t="str">
        <f>HYPERLINK("https://www.ncbi.nlm.nih.gov/geo/query/acc.cgi?acc=GSM758807","GSM758807")</f>
        <v>GSM758807</v>
      </c>
      <c r="I2582" t="s">
        <v>189</v>
      </c>
      <c r="J2582" t="s">
        <v>18</v>
      </c>
      <c r="K2582" t="s">
        <v>19</v>
      </c>
      <c r="L2582" t="s">
        <v>65</v>
      </c>
      <c r="M2582" t="s">
        <v>190</v>
      </c>
      <c r="N2582" t="s">
        <v>22</v>
      </c>
    </row>
    <row r="2583" spans="1:14">
      <c r="A2583" s="4" t="str">
        <f t="shared" si="245"/>
        <v>EXP00076</v>
      </c>
      <c r="B2583" s="4" t="str">
        <f t="shared" si="246"/>
        <v>24732363</v>
      </c>
      <c r="C2583" s="4" t="str">
        <f t="shared" si="247"/>
        <v>GSE30587</v>
      </c>
      <c r="D2583" s="1" t="s">
        <v>187</v>
      </c>
      <c r="E2583" t="s">
        <v>188</v>
      </c>
      <c r="F2583" s="1">
        <v>1</v>
      </c>
      <c r="G2583" s="1" t="s">
        <v>26</v>
      </c>
      <c r="H2583" s="4" t="str">
        <f>HYPERLINK("https://www.ncbi.nlm.nih.gov/geo/query/acc.cgi?acc=GSM758809","GSM758809")</f>
        <v>GSM758809</v>
      </c>
      <c r="I2583" t="s">
        <v>189</v>
      </c>
      <c r="J2583" t="s">
        <v>18</v>
      </c>
      <c r="K2583" t="s">
        <v>19</v>
      </c>
      <c r="L2583" t="s">
        <v>65</v>
      </c>
      <c r="M2583" t="s">
        <v>190</v>
      </c>
      <c r="N2583" t="s">
        <v>22</v>
      </c>
    </row>
    <row r="2584" spans="1:14">
      <c r="A2584" s="4" t="str">
        <f t="shared" si="245"/>
        <v>EXP00076</v>
      </c>
      <c r="B2584" s="4" t="str">
        <f t="shared" si="246"/>
        <v>24732363</v>
      </c>
      <c r="C2584" s="4" t="str">
        <f t="shared" si="247"/>
        <v>GSE30587</v>
      </c>
      <c r="D2584" s="1" t="s">
        <v>187</v>
      </c>
      <c r="E2584" t="s">
        <v>188</v>
      </c>
      <c r="F2584" s="1">
        <v>1</v>
      </c>
      <c r="G2584" s="1" t="s">
        <v>26</v>
      </c>
      <c r="H2584" s="4" t="str">
        <f>HYPERLINK("https://www.ncbi.nlm.nih.gov/geo/query/acc.cgi?acc=GSM758811","GSM758811")</f>
        <v>GSM758811</v>
      </c>
      <c r="I2584" t="s">
        <v>189</v>
      </c>
      <c r="J2584" t="s">
        <v>18</v>
      </c>
      <c r="K2584" t="s">
        <v>19</v>
      </c>
      <c r="L2584" t="s">
        <v>65</v>
      </c>
      <c r="M2584" t="s">
        <v>190</v>
      </c>
      <c r="N2584" t="s">
        <v>22</v>
      </c>
    </row>
    <row r="2585" spans="1:14">
      <c r="A2585" s="4" t="str">
        <f t="shared" si="245"/>
        <v>EXP00076</v>
      </c>
      <c r="B2585" s="4" t="str">
        <f t="shared" si="246"/>
        <v>24732363</v>
      </c>
      <c r="C2585" s="4" t="str">
        <f t="shared" si="247"/>
        <v>GSE30587</v>
      </c>
      <c r="D2585" s="1" t="s">
        <v>187</v>
      </c>
      <c r="E2585" t="s">
        <v>188</v>
      </c>
      <c r="F2585" s="1">
        <v>1</v>
      </c>
      <c r="G2585" s="1" t="s">
        <v>26</v>
      </c>
      <c r="H2585" s="4" t="str">
        <f>HYPERLINK("https://www.ncbi.nlm.nih.gov/geo/query/acc.cgi?acc=GSM758813","GSM758813")</f>
        <v>GSM758813</v>
      </c>
      <c r="I2585" t="s">
        <v>189</v>
      </c>
      <c r="J2585" t="s">
        <v>18</v>
      </c>
      <c r="K2585" t="s">
        <v>19</v>
      </c>
      <c r="L2585" t="s">
        <v>65</v>
      </c>
      <c r="M2585" t="s">
        <v>190</v>
      </c>
      <c r="N2585" t="s">
        <v>22</v>
      </c>
    </row>
    <row r="2586" spans="1:14">
      <c r="A2586" s="4" t="str">
        <f t="shared" si="245"/>
        <v>EXP00076</v>
      </c>
      <c r="B2586" s="4" t="str">
        <f t="shared" si="246"/>
        <v>24732363</v>
      </c>
      <c r="C2586" s="4" t="str">
        <f t="shared" si="247"/>
        <v>GSE30587</v>
      </c>
      <c r="D2586" s="1" t="s">
        <v>187</v>
      </c>
      <c r="E2586" t="s">
        <v>188</v>
      </c>
      <c r="F2586" s="1">
        <v>1</v>
      </c>
      <c r="G2586" s="1" t="s">
        <v>26</v>
      </c>
      <c r="H2586" s="4" t="str">
        <f>HYPERLINK("https://www.ncbi.nlm.nih.gov/geo/query/acc.cgi?acc=GSM758815","GSM758815")</f>
        <v>GSM758815</v>
      </c>
      <c r="I2586" t="s">
        <v>189</v>
      </c>
      <c r="J2586" t="s">
        <v>18</v>
      </c>
      <c r="K2586" t="s">
        <v>19</v>
      </c>
      <c r="L2586" t="s">
        <v>65</v>
      </c>
      <c r="M2586" t="s">
        <v>190</v>
      </c>
      <c r="N2586" t="s">
        <v>22</v>
      </c>
    </row>
    <row r="2587" spans="1:14">
      <c r="A2587" s="4" t="str">
        <f t="shared" si="245"/>
        <v>EXP00076</v>
      </c>
      <c r="B2587" s="4" t="str">
        <f t="shared" si="246"/>
        <v>24732363</v>
      </c>
      <c r="C2587" s="4" t="str">
        <f t="shared" si="247"/>
        <v>GSE30587</v>
      </c>
      <c r="D2587" s="1" t="s">
        <v>187</v>
      </c>
      <c r="E2587" t="s">
        <v>188</v>
      </c>
      <c r="F2587" s="1">
        <v>1</v>
      </c>
      <c r="G2587" s="1" t="s">
        <v>26</v>
      </c>
      <c r="H2587" s="4" t="str">
        <f>HYPERLINK("https://www.ncbi.nlm.nih.gov/geo/query/acc.cgi?acc=GSM758817","GSM758817")</f>
        <v>GSM758817</v>
      </c>
      <c r="I2587" t="s">
        <v>189</v>
      </c>
      <c r="J2587" t="s">
        <v>18</v>
      </c>
      <c r="K2587" t="s">
        <v>19</v>
      </c>
      <c r="L2587" t="s">
        <v>65</v>
      </c>
      <c r="M2587" t="s">
        <v>190</v>
      </c>
      <c r="N2587" t="s">
        <v>22</v>
      </c>
    </row>
    <row r="2588" spans="1:14">
      <c r="A2588" s="4" t="str">
        <f t="shared" si="245"/>
        <v>EXP00076</v>
      </c>
      <c r="B2588" s="4" t="str">
        <f t="shared" si="246"/>
        <v>24732363</v>
      </c>
      <c r="C2588" s="4" t="str">
        <f t="shared" si="247"/>
        <v>GSE30587</v>
      </c>
      <c r="D2588" s="1" t="s">
        <v>187</v>
      </c>
      <c r="E2588" t="s">
        <v>188</v>
      </c>
      <c r="F2588" s="1">
        <v>2</v>
      </c>
      <c r="G2588" s="1" t="s">
        <v>28</v>
      </c>
      <c r="H2588" s="4" t="str">
        <f>HYPERLINK("https://www.ncbi.nlm.nih.gov/geo/query/acc.cgi?acc=GSM758800","GSM758800")</f>
        <v>GSM758800</v>
      </c>
      <c r="I2588" t="s">
        <v>189</v>
      </c>
      <c r="J2588" t="s">
        <v>18</v>
      </c>
      <c r="K2588" t="s">
        <v>19</v>
      </c>
      <c r="L2588" t="s">
        <v>65</v>
      </c>
      <c r="M2588" t="s">
        <v>190</v>
      </c>
      <c r="N2588" t="s">
        <v>29</v>
      </c>
    </row>
    <row r="2589" spans="1:14">
      <c r="A2589" s="4" t="str">
        <f t="shared" si="245"/>
        <v>EXP00076</v>
      </c>
      <c r="B2589" s="4" t="str">
        <f t="shared" si="246"/>
        <v>24732363</v>
      </c>
      <c r="C2589" s="4" t="str">
        <f t="shared" si="247"/>
        <v>GSE30587</v>
      </c>
      <c r="D2589" s="1" t="s">
        <v>187</v>
      </c>
      <c r="E2589" t="s">
        <v>188</v>
      </c>
      <c r="F2589" s="1">
        <v>2</v>
      </c>
      <c r="G2589" s="1" t="s">
        <v>28</v>
      </c>
      <c r="H2589" s="4" t="str">
        <f>HYPERLINK("https://www.ncbi.nlm.nih.gov/geo/query/acc.cgi?acc=GSM758802","GSM758802")</f>
        <v>GSM758802</v>
      </c>
      <c r="I2589" t="s">
        <v>189</v>
      </c>
      <c r="J2589" t="s">
        <v>18</v>
      </c>
      <c r="K2589" t="s">
        <v>19</v>
      </c>
      <c r="L2589" t="s">
        <v>65</v>
      </c>
      <c r="M2589" t="s">
        <v>190</v>
      </c>
      <c r="N2589" t="s">
        <v>29</v>
      </c>
    </row>
    <row r="2590" spans="1:14">
      <c r="A2590" s="4" t="str">
        <f t="shared" si="245"/>
        <v>EXP00076</v>
      </c>
      <c r="B2590" s="4" t="str">
        <f t="shared" si="246"/>
        <v>24732363</v>
      </c>
      <c r="C2590" s="4" t="str">
        <f t="shared" si="247"/>
        <v>GSE30587</v>
      </c>
      <c r="D2590" s="1" t="s">
        <v>187</v>
      </c>
      <c r="E2590" t="s">
        <v>188</v>
      </c>
      <c r="F2590" s="1">
        <v>2</v>
      </c>
      <c r="G2590" s="1" t="s">
        <v>28</v>
      </c>
      <c r="H2590" s="4" t="str">
        <f>HYPERLINK("https://www.ncbi.nlm.nih.gov/geo/query/acc.cgi?acc=GSM758804","GSM758804")</f>
        <v>GSM758804</v>
      </c>
      <c r="I2590" t="s">
        <v>189</v>
      </c>
      <c r="J2590" t="s">
        <v>18</v>
      </c>
      <c r="K2590" t="s">
        <v>19</v>
      </c>
      <c r="L2590" t="s">
        <v>65</v>
      </c>
      <c r="M2590" t="s">
        <v>190</v>
      </c>
      <c r="N2590" t="s">
        <v>29</v>
      </c>
    </row>
    <row r="2591" spans="1:14">
      <c r="A2591" s="4" t="str">
        <f t="shared" si="245"/>
        <v>EXP00076</v>
      </c>
      <c r="B2591" s="4" t="str">
        <f t="shared" si="246"/>
        <v>24732363</v>
      </c>
      <c r="C2591" s="4" t="str">
        <f t="shared" si="247"/>
        <v>GSE30587</v>
      </c>
      <c r="D2591" s="1" t="s">
        <v>187</v>
      </c>
      <c r="E2591" t="s">
        <v>188</v>
      </c>
      <c r="F2591" s="1">
        <v>2</v>
      </c>
      <c r="G2591" s="1" t="s">
        <v>28</v>
      </c>
      <c r="H2591" s="4" t="str">
        <f>HYPERLINK("https://www.ncbi.nlm.nih.gov/geo/query/acc.cgi?acc=GSM758806","GSM758806")</f>
        <v>GSM758806</v>
      </c>
      <c r="I2591" t="s">
        <v>189</v>
      </c>
      <c r="J2591" t="s">
        <v>18</v>
      </c>
      <c r="K2591" t="s">
        <v>19</v>
      </c>
      <c r="L2591" t="s">
        <v>65</v>
      </c>
      <c r="M2591" t="s">
        <v>190</v>
      </c>
      <c r="N2591" t="s">
        <v>29</v>
      </c>
    </row>
    <row r="2592" spans="1:14">
      <c r="A2592" s="4" t="str">
        <f t="shared" si="245"/>
        <v>EXP00076</v>
      </c>
      <c r="B2592" s="4" t="str">
        <f t="shared" si="246"/>
        <v>24732363</v>
      </c>
      <c r="C2592" s="4" t="str">
        <f t="shared" si="247"/>
        <v>GSE30587</v>
      </c>
      <c r="D2592" s="1" t="s">
        <v>187</v>
      </c>
      <c r="E2592" t="s">
        <v>188</v>
      </c>
      <c r="F2592" s="1">
        <v>2</v>
      </c>
      <c r="G2592" s="1" t="s">
        <v>28</v>
      </c>
      <c r="H2592" s="4" t="str">
        <f>HYPERLINK("https://www.ncbi.nlm.nih.gov/geo/query/acc.cgi?acc=GSM758808","GSM758808")</f>
        <v>GSM758808</v>
      </c>
      <c r="I2592" t="s">
        <v>189</v>
      </c>
      <c r="J2592" t="s">
        <v>18</v>
      </c>
      <c r="K2592" t="s">
        <v>19</v>
      </c>
      <c r="L2592" t="s">
        <v>65</v>
      </c>
      <c r="M2592" t="s">
        <v>190</v>
      </c>
      <c r="N2592" t="s">
        <v>29</v>
      </c>
    </row>
    <row r="2593" spans="1:14">
      <c r="A2593" s="4" t="str">
        <f t="shared" si="245"/>
        <v>EXP00076</v>
      </c>
      <c r="B2593" s="4" t="str">
        <f t="shared" si="246"/>
        <v>24732363</v>
      </c>
      <c r="C2593" s="4" t="str">
        <f t="shared" si="247"/>
        <v>GSE30587</v>
      </c>
      <c r="D2593" s="1" t="s">
        <v>187</v>
      </c>
      <c r="E2593" t="s">
        <v>188</v>
      </c>
      <c r="F2593" s="1">
        <v>2</v>
      </c>
      <c r="G2593" s="1" t="s">
        <v>28</v>
      </c>
      <c r="H2593" s="4" t="str">
        <f>HYPERLINK("https://www.ncbi.nlm.nih.gov/geo/query/acc.cgi?acc=GSM758810","GSM758810")</f>
        <v>GSM758810</v>
      </c>
      <c r="I2593" t="s">
        <v>189</v>
      </c>
      <c r="J2593" t="s">
        <v>18</v>
      </c>
      <c r="K2593" t="s">
        <v>19</v>
      </c>
      <c r="L2593" t="s">
        <v>65</v>
      </c>
      <c r="M2593" t="s">
        <v>190</v>
      </c>
      <c r="N2593" t="s">
        <v>29</v>
      </c>
    </row>
    <row r="2594" spans="1:14">
      <c r="A2594" s="4" t="str">
        <f t="shared" si="245"/>
        <v>EXP00076</v>
      </c>
      <c r="B2594" s="4" t="str">
        <f t="shared" si="246"/>
        <v>24732363</v>
      </c>
      <c r="C2594" s="4" t="str">
        <f t="shared" si="247"/>
        <v>GSE30587</v>
      </c>
      <c r="D2594" s="1" t="s">
        <v>187</v>
      </c>
      <c r="E2594" t="s">
        <v>188</v>
      </c>
      <c r="F2594" s="1">
        <v>2</v>
      </c>
      <c r="G2594" s="1" t="s">
        <v>28</v>
      </c>
      <c r="H2594" s="4" t="str">
        <f>HYPERLINK("https://www.ncbi.nlm.nih.gov/geo/query/acc.cgi?acc=GSM758812","GSM758812")</f>
        <v>GSM758812</v>
      </c>
      <c r="I2594" t="s">
        <v>189</v>
      </c>
      <c r="J2594" t="s">
        <v>18</v>
      </c>
      <c r="K2594" t="s">
        <v>19</v>
      </c>
      <c r="L2594" t="s">
        <v>65</v>
      </c>
      <c r="M2594" t="s">
        <v>190</v>
      </c>
      <c r="N2594" t="s">
        <v>29</v>
      </c>
    </row>
    <row r="2595" spans="1:14">
      <c r="A2595" s="4" t="str">
        <f t="shared" si="245"/>
        <v>EXP00076</v>
      </c>
      <c r="B2595" s="4" t="str">
        <f t="shared" si="246"/>
        <v>24732363</v>
      </c>
      <c r="C2595" s="4" t="str">
        <f t="shared" si="247"/>
        <v>GSE30587</v>
      </c>
      <c r="D2595" s="1" t="s">
        <v>187</v>
      </c>
      <c r="E2595" t="s">
        <v>188</v>
      </c>
      <c r="F2595" s="1">
        <v>2</v>
      </c>
      <c r="G2595" s="1" t="s">
        <v>28</v>
      </c>
      <c r="H2595" s="4" t="str">
        <f>HYPERLINK("https://www.ncbi.nlm.nih.gov/geo/query/acc.cgi?acc=GSM758814","GSM758814")</f>
        <v>GSM758814</v>
      </c>
      <c r="I2595" t="s">
        <v>189</v>
      </c>
      <c r="J2595" t="s">
        <v>18</v>
      </c>
      <c r="K2595" t="s">
        <v>19</v>
      </c>
      <c r="L2595" t="s">
        <v>65</v>
      </c>
      <c r="M2595" t="s">
        <v>190</v>
      </c>
      <c r="N2595" t="s">
        <v>29</v>
      </c>
    </row>
    <row r="2596" spans="1:14">
      <c r="A2596" s="4" t="str">
        <f t="shared" si="245"/>
        <v>EXP00076</v>
      </c>
      <c r="B2596" s="4" t="str">
        <f t="shared" si="246"/>
        <v>24732363</v>
      </c>
      <c r="C2596" s="4" t="str">
        <f t="shared" si="247"/>
        <v>GSE30587</v>
      </c>
      <c r="D2596" s="1" t="s">
        <v>187</v>
      </c>
      <c r="E2596" t="s">
        <v>188</v>
      </c>
      <c r="F2596" s="1">
        <v>2</v>
      </c>
      <c r="G2596" s="1" t="s">
        <v>28</v>
      </c>
      <c r="H2596" s="4" t="str">
        <f>HYPERLINK("https://www.ncbi.nlm.nih.gov/geo/query/acc.cgi?acc=GSM758816","GSM758816")</f>
        <v>GSM758816</v>
      </c>
      <c r="I2596" t="s">
        <v>189</v>
      </c>
      <c r="J2596" t="s">
        <v>18</v>
      </c>
      <c r="K2596" t="s">
        <v>19</v>
      </c>
      <c r="L2596" t="s">
        <v>65</v>
      </c>
      <c r="M2596" t="s">
        <v>190</v>
      </c>
      <c r="N2596" t="s">
        <v>29</v>
      </c>
    </row>
    <row r="2597" spans="1:14">
      <c r="A2597" s="4" t="str">
        <f t="shared" ref="A2597:A2604" si="248">HYPERLINK("http://hcmdb.i-sanger.com/experiment/details/experiment_id/EXP00077","EXP00077")</f>
        <v>EXP00077</v>
      </c>
      <c r="B2597" s="3" t="s">
        <v>66</v>
      </c>
      <c r="C2597" s="4" t="str">
        <f t="shared" ref="C2597:C2604" si="249">HYPERLINK("https://www.ncbi.nlm.nih.gov/geo/query/acc.cgi?acc=GSE31232","GSE31232")</f>
        <v>GSE31232</v>
      </c>
      <c r="D2597" s="1" t="s">
        <v>187</v>
      </c>
      <c r="E2597" t="s">
        <v>191</v>
      </c>
      <c r="F2597" s="1">
        <v>1</v>
      </c>
      <c r="G2597" s="1" t="s">
        <v>26</v>
      </c>
      <c r="H2597" s="4" t="str">
        <f>HYPERLINK("https://www.ncbi.nlm.nih.gov/geo/query/acc.cgi?acc=GSM774258","GSM774258")</f>
        <v>GSM774258</v>
      </c>
      <c r="I2597" t="s">
        <v>59</v>
      </c>
      <c r="J2597" t="s">
        <v>60</v>
      </c>
      <c r="K2597" t="s">
        <v>19</v>
      </c>
      <c r="L2597" t="s">
        <v>61</v>
      </c>
      <c r="M2597" t="s">
        <v>98</v>
      </c>
      <c r="N2597" t="s">
        <v>22</v>
      </c>
    </row>
    <row r="2598" spans="1:14">
      <c r="A2598" s="4" t="str">
        <f t="shared" si="248"/>
        <v>EXP00077</v>
      </c>
      <c r="B2598" s="3" t="s">
        <v>66</v>
      </c>
      <c r="C2598" s="4" t="str">
        <f t="shared" si="249"/>
        <v>GSE31232</v>
      </c>
      <c r="D2598" s="1" t="s">
        <v>187</v>
      </c>
      <c r="E2598" t="s">
        <v>191</v>
      </c>
      <c r="F2598" s="1">
        <v>1</v>
      </c>
      <c r="G2598" s="1" t="s">
        <v>26</v>
      </c>
      <c r="H2598" s="4" t="str">
        <f>HYPERLINK("https://www.ncbi.nlm.nih.gov/geo/query/acc.cgi?acc=GSM774259","GSM774259")</f>
        <v>GSM774259</v>
      </c>
      <c r="I2598" t="s">
        <v>59</v>
      </c>
      <c r="J2598" t="s">
        <v>60</v>
      </c>
      <c r="K2598" t="s">
        <v>19</v>
      </c>
      <c r="L2598" t="s">
        <v>61</v>
      </c>
      <c r="M2598" t="s">
        <v>98</v>
      </c>
      <c r="N2598" t="s">
        <v>22</v>
      </c>
    </row>
    <row r="2599" spans="1:14">
      <c r="A2599" s="4" t="str">
        <f t="shared" si="248"/>
        <v>EXP00077</v>
      </c>
      <c r="B2599" s="3" t="s">
        <v>66</v>
      </c>
      <c r="C2599" s="4" t="str">
        <f t="shared" si="249"/>
        <v>GSE31232</v>
      </c>
      <c r="D2599" s="1" t="s">
        <v>187</v>
      </c>
      <c r="E2599" t="s">
        <v>191</v>
      </c>
      <c r="F2599" s="1">
        <v>2</v>
      </c>
      <c r="G2599" s="1" t="s">
        <v>28</v>
      </c>
      <c r="H2599" s="4" t="str">
        <f>HYPERLINK("https://www.ncbi.nlm.nih.gov/geo/query/acc.cgi?acc=GSM774254","GSM774254")</f>
        <v>GSM774254</v>
      </c>
      <c r="I2599" t="s">
        <v>59</v>
      </c>
      <c r="J2599" t="s">
        <v>60</v>
      </c>
      <c r="K2599" t="s">
        <v>19</v>
      </c>
      <c r="L2599" t="s">
        <v>61</v>
      </c>
      <c r="M2599" t="s">
        <v>98</v>
      </c>
      <c r="N2599" t="s">
        <v>29</v>
      </c>
    </row>
    <row r="2600" spans="1:14">
      <c r="A2600" s="4" t="str">
        <f t="shared" si="248"/>
        <v>EXP00077</v>
      </c>
      <c r="B2600" s="3" t="s">
        <v>66</v>
      </c>
      <c r="C2600" s="4" t="str">
        <f t="shared" si="249"/>
        <v>GSE31232</v>
      </c>
      <c r="D2600" s="1" t="s">
        <v>187</v>
      </c>
      <c r="E2600" t="s">
        <v>191</v>
      </c>
      <c r="F2600" s="1">
        <v>2</v>
      </c>
      <c r="G2600" s="1" t="s">
        <v>28</v>
      </c>
      <c r="H2600" s="4" t="str">
        <f>HYPERLINK("https://www.ncbi.nlm.nih.gov/geo/query/acc.cgi?acc=GSM774255","GSM774255")</f>
        <v>GSM774255</v>
      </c>
      <c r="I2600" t="s">
        <v>59</v>
      </c>
      <c r="J2600" t="s">
        <v>60</v>
      </c>
      <c r="K2600" t="s">
        <v>19</v>
      </c>
      <c r="L2600" t="s">
        <v>61</v>
      </c>
      <c r="M2600" t="s">
        <v>98</v>
      </c>
      <c r="N2600" t="s">
        <v>29</v>
      </c>
    </row>
    <row r="2601" spans="1:14">
      <c r="A2601" s="4" t="str">
        <f t="shared" si="248"/>
        <v>EXP00077</v>
      </c>
      <c r="B2601" s="3" t="s">
        <v>66</v>
      </c>
      <c r="C2601" s="4" t="str">
        <f t="shared" si="249"/>
        <v>GSE31232</v>
      </c>
      <c r="D2601" s="1" t="s">
        <v>187</v>
      </c>
      <c r="E2601" t="s">
        <v>191</v>
      </c>
      <c r="F2601" s="1">
        <v>2</v>
      </c>
      <c r="G2601" s="1" t="s">
        <v>28</v>
      </c>
      <c r="H2601" s="4" t="str">
        <f>HYPERLINK("https://www.ncbi.nlm.nih.gov/geo/query/acc.cgi?acc=GSM774260","GSM774260")</f>
        <v>GSM774260</v>
      </c>
      <c r="I2601" t="s">
        <v>59</v>
      </c>
      <c r="J2601" t="s">
        <v>60</v>
      </c>
      <c r="K2601" t="s">
        <v>19</v>
      </c>
      <c r="L2601" t="s">
        <v>61</v>
      </c>
      <c r="M2601" t="s">
        <v>98</v>
      </c>
      <c r="N2601" t="s">
        <v>29</v>
      </c>
    </row>
    <row r="2602" spans="1:14">
      <c r="A2602" s="4" t="str">
        <f t="shared" si="248"/>
        <v>EXP00077</v>
      </c>
      <c r="B2602" s="3" t="s">
        <v>66</v>
      </c>
      <c r="C2602" s="4" t="str">
        <f t="shared" si="249"/>
        <v>GSE31232</v>
      </c>
      <c r="D2602" s="1" t="s">
        <v>187</v>
      </c>
      <c r="E2602" t="s">
        <v>191</v>
      </c>
      <c r="F2602" s="1">
        <v>2</v>
      </c>
      <c r="G2602" s="1" t="s">
        <v>28</v>
      </c>
      <c r="H2602" s="4" t="str">
        <f>HYPERLINK("https://www.ncbi.nlm.nih.gov/geo/query/acc.cgi?acc=GSM774261","GSM774261")</f>
        <v>GSM774261</v>
      </c>
      <c r="I2602" t="s">
        <v>59</v>
      </c>
      <c r="J2602" t="s">
        <v>60</v>
      </c>
      <c r="K2602" t="s">
        <v>19</v>
      </c>
      <c r="L2602" t="s">
        <v>61</v>
      </c>
      <c r="M2602" t="s">
        <v>98</v>
      </c>
      <c r="N2602" t="s">
        <v>29</v>
      </c>
    </row>
    <row r="2603" spans="1:14">
      <c r="A2603" s="4" t="str">
        <f t="shared" si="248"/>
        <v>EXP00077</v>
      </c>
      <c r="B2603" s="3" t="s">
        <v>66</v>
      </c>
      <c r="C2603" s="4" t="str">
        <f t="shared" si="249"/>
        <v>GSE31232</v>
      </c>
      <c r="D2603" s="1" t="s">
        <v>187</v>
      </c>
      <c r="E2603" t="s">
        <v>191</v>
      </c>
      <c r="F2603" s="1">
        <v>2</v>
      </c>
      <c r="G2603" s="1" t="s">
        <v>28</v>
      </c>
      <c r="H2603" s="4" t="str">
        <f>HYPERLINK("https://www.ncbi.nlm.nih.gov/geo/query/acc.cgi?acc=GSM774262","GSM774262")</f>
        <v>GSM774262</v>
      </c>
      <c r="I2603" t="s">
        <v>59</v>
      </c>
      <c r="J2603" t="s">
        <v>60</v>
      </c>
      <c r="K2603" t="s">
        <v>19</v>
      </c>
      <c r="L2603" t="s">
        <v>61</v>
      </c>
      <c r="M2603" t="s">
        <v>98</v>
      </c>
      <c r="N2603" t="s">
        <v>29</v>
      </c>
    </row>
    <row r="2604" spans="1:14">
      <c r="A2604" s="4" t="str">
        <f t="shared" si="248"/>
        <v>EXP00077</v>
      </c>
      <c r="B2604" s="3" t="s">
        <v>66</v>
      </c>
      <c r="C2604" s="4" t="str">
        <f t="shared" si="249"/>
        <v>GSE31232</v>
      </c>
      <c r="D2604" s="1" t="s">
        <v>187</v>
      </c>
      <c r="E2604" t="s">
        <v>191</v>
      </c>
      <c r="F2604" s="1">
        <v>2</v>
      </c>
      <c r="G2604" s="1" t="s">
        <v>28</v>
      </c>
      <c r="H2604" s="4" t="str">
        <f>HYPERLINK("https://www.ncbi.nlm.nih.gov/geo/query/acc.cgi?acc=GSM774263","GSM774263")</f>
        <v>GSM774263</v>
      </c>
      <c r="I2604" t="s">
        <v>59</v>
      </c>
      <c r="J2604" t="s">
        <v>60</v>
      </c>
      <c r="K2604" t="s">
        <v>19</v>
      </c>
      <c r="L2604" t="s">
        <v>61</v>
      </c>
      <c r="M2604" t="s">
        <v>98</v>
      </c>
      <c r="N2604" t="s">
        <v>29</v>
      </c>
    </row>
    <row r="2605" spans="1:14">
      <c r="A2605" s="4" t="str">
        <f t="shared" ref="A2605:A2613" si="250">HYPERLINK("http://hcmdb.i-sanger.com/experiment/details/experiment_id/EXP00078","EXP00078")</f>
        <v>EXP00078</v>
      </c>
      <c r="B2605" s="4" t="str">
        <f t="shared" ref="B2605:B2613" si="251">HYPERLINK("https://www.ncbi.nlm.nih.gov/pubmed/22397650","22397650")</f>
        <v>22397650</v>
      </c>
      <c r="C2605" s="4" t="str">
        <f t="shared" ref="C2605:C2613" si="252">HYPERLINK("https://www.ncbi.nlm.nih.gov/geo/query/acc.cgi?acc=GSE31610","GSE31610")</f>
        <v>GSE31610</v>
      </c>
      <c r="D2605" s="1" t="s">
        <v>187</v>
      </c>
      <c r="E2605" t="s">
        <v>191</v>
      </c>
      <c r="F2605" s="1">
        <v>1</v>
      </c>
      <c r="G2605" s="1" t="s">
        <v>26</v>
      </c>
      <c r="H2605" s="4" t="str">
        <f>HYPERLINK("https://www.ncbi.nlm.nih.gov/geo/query/acc.cgi?acc=GSM785137","GSM785137")</f>
        <v>GSM785137</v>
      </c>
      <c r="I2605" t="s">
        <v>59</v>
      </c>
      <c r="J2605" t="s">
        <v>60</v>
      </c>
      <c r="K2605" t="s">
        <v>19</v>
      </c>
      <c r="L2605" t="s">
        <v>61</v>
      </c>
      <c r="M2605" t="s">
        <v>98</v>
      </c>
      <c r="N2605" t="s">
        <v>22</v>
      </c>
    </row>
    <row r="2606" spans="1:14">
      <c r="A2606" s="4" t="str">
        <f t="shared" si="250"/>
        <v>EXP00078</v>
      </c>
      <c r="B2606" s="4" t="str">
        <f t="shared" si="251"/>
        <v>22397650</v>
      </c>
      <c r="C2606" s="4" t="str">
        <f t="shared" si="252"/>
        <v>GSE31610</v>
      </c>
      <c r="D2606" s="1" t="s">
        <v>187</v>
      </c>
      <c r="E2606" t="s">
        <v>191</v>
      </c>
      <c r="F2606" s="1">
        <v>1</v>
      </c>
      <c r="G2606" s="1" t="s">
        <v>26</v>
      </c>
      <c r="H2606" s="4" t="str">
        <f>HYPERLINK("https://www.ncbi.nlm.nih.gov/geo/query/acc.cgi?acc=GSM785139","GSM785139")</f>
        <v>GSM785139</v>
      </c>
      <c r="I2606" t="s">
        <v>59</v>
      </c>
      <c r="J2606" t="s">
        <v>60</v>
      </c>
      <c r="K2606" t="s">
        <v>19</v>
      </c>
      <c r="L2606" t="s">
        <v>61</v>
      </c>
      <c r="M2606" t="s">
        <v>98</v>
      </c>
      <c r="N2606" t="s">
        <v>22</v>
      </c>
    </row>
    <row r="2607" spans="1:14">
      <c r="A2607" s="4" t="str">
        <f t="shared" si="250"/>
        <v>EXP00078</v>
      </c>
      <c r="B2607" s="4" t="str">
        <f t="shared" si="251"/>
        <v>22397650</v>
      </c>
      <c r="C2607" s="4" t="str">
        <f t="shared" si="252"/>
        <v>GSE31610</v>
      </c>
      <c r="D2607" s="1" t="s">
        <v>187</v>
      </c>
      <c r="E2607" t="s">
        <v>191</v>
      </c>
      <c r="F2607" s="1">
        <v>2</v>
      </c>
      <c r="G2607" s="1" t="s">
        <v>28</v>
      </c>
      <c r="H2607" s="4" t="str">
        <f>HYPERLINK("https://www.ncbi.nlm.nih.gov/geo/query/acc.cgi?acc=GSM785140","GSM785140")</f>
        <v>GSM785140</v>
      </c>
      <c r="I2607" t="s">
        <v>59</v>
      </c>
      <c r="J2607" t="s">
        <v>60</v>
      </c>
      <c r="K2607" t="s">
        <v>19</v>
      </c>
      <c r="L2607" t="s">
        <v>61</v>
      </c>
      <c r="M2607" t="s">
        <v>98</v>
      </c>
      <c r="N2607" t="s">
        <v>29</v>
      </c>
    </row>
    <row r="2608" spans="1:14">
      <c r="A2608" s="4" t="str">
        <f t="shared" si="250"/>
        <v>EXP00078</v>
      </c>
      <c r="B2608" s="4" t="str">
        <f t="shared" si="251"/>
        <v>22397650</v>
      </c>
      <c r="C2608" s="4" t="str">
        <f t="shared" si="252"/>
        <v>GSE31610</v>
      </c>
      <c r="D2608" s="1" t="s">
        <v>187</v>
      </c>
      <c r="E2608" t="s">
        <v>191</v>
      </c>
      <c r="F2608" s="1">
        <v>2</v>
      </c>
      <c r="G2608" s="1" t="s">
        <v>28</v>
      </c>
      <c r="H2608" s="4" t="str">
        <f>HYPERLINK("https://www.ncbi.nlm.nih.gov/geo/query/acc.cgi?acc=GSM785141","GSM785141")</f>
        <v>GSM785141</v>
      </c>
      <c r="I2608" t="s">
        <v>59</v>
      </c>
      <c r="J2608" t="s">
        <v>60</v>
      </c>
      <c r="K2608" t="s">
        <v>19</v>
      </c>
      <c r="L2608" t="s">
        <v>61</v>
      </c>
      <c r="M2608" t="s">
        <v>98</v>
      </c>
      <c r="N2608" t="s">
        <v>29</v>
      </c>
    </row>
    <row r="2609" spans="1:14">
      <c r="A2609" s="4" t="str">
        <f t="shared" si="250"/>
        <v>EXP00078</v>
      </c>
      <c r="B2609" s="4" t="str">
        <f t="shared" si="251"/>
        <v>22397650</v>
      </c>
      <c r="C2609" s="4" t="str">
        <f t="shared" si="252"/>
        <v>GSE31610</v>
      </c>
      <c r="D2609" s="1" t="s">
        <v>187</v>
      </c>
      <c r="E2609" t="s">
        <v>191</v>
      </c>
      <c r="F2609" s="1">
        <v>2</v>
      </c>
      <c r="G2609" s="1" t="s">
        <v>28</v>
      </c>
      <c r="H2609" s="4" t="str">
        <f>HYPERLINK("https://www.ncbi.nlm.nih.gov/geo/query/acc.cgi?acc=GSM785142","GSM785142")</f>
        <v>GSM785142</v>
      </c>
      <c r="I2609" t="s">
        <v>59</v>
      </c>
      <c r="J2609" t="s">
        <v>60</v>
      </c>
      <c r="K2609" t="s">
        <v>19</v>
      </c>
      <c r="L2609" t="s">
        <v>61</v>
      </c>
      <c r="M2609" t="s">
        <v>98</v>
      </c>
      <c r="N2609" t="s">
        <v>29</v>
      </c>
    </row>
    <row r="2610" spans="1:14">
      <c r="A2610" s="4" t="str">
        <f t="shared" si="250"/>
        <v>EXP00078</v>
      </c>
      <c r="B2610" s="4" t="str">
        <f t="shared" si="251"/>
        <v>22397650</v>
      </c>
      <c r="C2610" s="4" t="str">
        <f t="shared" si="252"/>
        <v>GSE31610</v>
      </c>
      <c r="D2610" s="1" t="s">
        <v>187</v>
      </c>
      <c r="E2610" t="s">
        <v>191</v>
      </c>
      <c r="F2610" s="1">
        <v>2</v>
      </c>
      <c r="G2610" s="1" t="s">
        <v>28</v>
      </c>
      <c r="H2610" s="4" t="str">
        <f>HYPERLINK("https://www.ncbi.nlm.nih.gov/geo/query/acc.cgi?acc=GSM785143","GSM785143")</f>
        <v>GSM785143</v>
      </c>
      <c r="I2610" t="s">
        <v>59</v>
      </c>
      <c r="J2610" t="s">
        <v>60</v>
      </c>
      <c r="K2610" t="s">
        <v>19</v>
      </c>
      <c r="L2610" t="s">
        <v>61</v>
      </c>
      <c r="M2610" t="s">
        <v>98</v>
      </c>
      <c r="N2610" t="s">
        <v>29</v>
      </c>
    </row>
    <row r="2611" spans="1:14">
      <c r="A2611" s="4" t="str">
        <f t="shared" si="250"/>
        <v>EXP00078</v>
      </c>
      <c r="B2611" s="4" t="str">
        <f t="shared" si="251"/>
        <v>22397650</v>
      </c>
      <c r="C2611" s="4" t="str">
        <f t="shared" si="252"/>
        <v>GSE31610</v>
      </c>
      <c r="D2611" s="1" t="s">
        <v>187</v>
      </c>
      <c r="E2611" t="s">
        <v>191</v>
      </c>
      <c r="F2611" s="1">
        <v>2</v>
      </c>
      <c r="G2611" s="1" t="s">
        <v>28</v>
      </c>
      <c r="H2611" s="4" t="str">
        <f>HYPERLINK("https://www.ncbi.nlm.nih.gov/geo/query/acc.cgi?acc=GSM785144","GSM785144")</f>
        <v>GSM785144</v>
      </c>
      <c r="I2611" t="s">
        <v>59</v>
      </c>
      <c r="J2611" t="s">
        <v>60</v>
      </c>
      <c r="K2611" t="s">
        <v>19</v>
      </c>
      <c r="L2611" t="s">
        <v>61</v>
      </c>
      <c r="M2611" t="s">
        <v>98</v>
      </c>
      <c r="N2611" t="s">
        <v>29</v>
      </c>
    </row>
    <row r="2612" spans="1:14">
      <c r="A2612" s="4" t="str">
        <f t="shared" si="250"/>
        <v>EXP00078</v>
      </c>
      <c r="B2612" s="4" t="str">
        <f t="shared" si="251"/>
        <v>22397650</v>
      </c>
      <c r="C2612" s="4" t="str">
        <f t="shared" si="252"/>
        <v>GSE31610</v>
      </c>
      <c r="D2612" s="1" t="s">
        <v>187</v>
      </c>
      <c r="E2612" t="s">
        <v>191</v>
      </c>
      <c r="F2612" s="1">
        <v>2</v>
      </c>
      <c r="G2612" s="1" t="s">
        <v>28</v>
      </c>
      <c r="H2612" s="4" t="str">
        <f>HYPERLINK("https://www.ncbi.nlm.nih.gov/geo/query/acc.cgi?acc=GSM785145","GSM785145")</f>
        <v>GSM785145</v>
      </c>
      <c r="I2612" t="s">
        <v>59</v>
      </c>
      <c r="J2612" t="s">
        <v>60</v>
      </c>
      <c r="K2612" t="s">
        <v>19</v>
      </c>
      <c r="L2612" t="s">
        <v>61</v>
      </c>
      <c r="M2612" t="s">
        <v>98</v>
      </c>
      <c r="N2612" t="s">
        <v>29</v>
      </c>
    </row>
    <row r="2613" spans="1:14">
      <c r="A2613" s="4" t="str">
        <f t="shared" si="250"/>
        <v>EXP00078</v>
      </c>
      <c r="B2613" s="4" t="str">
        <f t="shared" si="251"/>
        <v>22397650</v>
      </c>
      <c r="C2613" s="4" t="str">
        <f t="shared" si="252"/>
        <v>GSE31610</v>
      </c>
      <c r="D2613" s="1" t="s">
        <v>187</v>
      </c>
      <c r="E2613" t="s">
        <v>191</v>
      </c>
      <c r="F2613" s="1">
        <v>2</v>
      </c>
      <c r="G2613" s="1" t="s">
        <v>28</v>
      </c>
      <c r="H2613" s="4" t="str">
        <f>HYPERLINK("https://www.ncbi.nlm.nih.gov/geo/query/acc.cgi?acc=GSM785146","GSM785146")</f>
        <v>GSM785146</v>
      </c>
      <c r="I2613" t="s">
        <v>59</v>
      </c>
      <c r="J2613" t="s">
        <v>60</v>
      </c>
      <c r="K2613" t="s">
        <v>19</v>
      </c>
      <c r="L2613" t="s">
        <v>61</v>
      </c>
      <c r="M2613" t="s">
        <v>98</v>
      </c>
      <c r="N2613" t="s">
        <v>29</v>
      </c>
    </row>
    <row r="2614" spans="1:14">
      <c r="A2614" s="4" t="str">
        <f t="shared" ref="A2614:A2646" si="253">HYPERLINK("http://hcmdb.i-sanger.com/experiment/details/experiment_id/EXP00079","EXP00079")</f>
        <v>EXP00079</v>
      </c>
      <c r="B2614" s="4" t="str">
        <f t="shared" ref="B2614:B2646" si="254">HYPERLINK("https://www.ncbi.nlm.nih.gov/pubmed/23426182","23426182")</f>
        <v>23426182</v>
      </c>
      <c r="C2614" s="4" t="str">
        <f t="shared" ref="C2614:C2646" si="255">HYPERLINK("https://www.ncbi.nlm.nih.gov/geo/query/acc.cgi?acc=GSE32269","GSE32269")</f>
        <v>GSE32269</v>
      </c>
      <c r="D2614" s="1" t="s">
        <v>62</v>
      </c>
      <c r="E2614" t="s">
        <v>192</v>
      </c>
      <c r="F2614" s="1">
        <v>1</v>
      </c>
      <c r="G2614" s="1" t="s">
        <v>75</v>
      </c>
      <c r="H2614" s="4" t="str">
        <f>HYPERLINK("https://www.ncbi.nlm.nih.gov/geo/query/acc.cgi?acc=GSM799519","GSM799519")</f>
        <v>GSM799519</v>
      </c>
      <c r="I2614" t="s">
        <v>161</v>
      </c>
      <c r="J2614" t="s">
        <v>193</v>
      </c>
      <c r="K2614" t="s">
        <v>19</v>
      </c>
      <c r="L2614" t="s">
        <v>162</v>
      </c>
      <c r="M2614" t="s">
        <v>50</v>
      </c>
      <c r="N2614" t="s">
        <v>76</v>
      </c>
    </row>
    <row r="2615" spans="1:14">
      <c r="A2615" s="4" t="str">
        <f t="shared" si="253"/>
        <v>EXP00079</v>
      </c>
      <c r="B2615" s="4" t="str">
        <f t="shared" si="254"/>
        <v>23426182</v>
      </c>
      <c r="C2615" s="4" t="str">
        <f t="shared" si="255"/>
        <v>GSE32269</v>
      </c>
      <c r="D2615" s="1" t="s">
        <v>62</v>
      </c>
      <c r="E2615" t="s">
        <v>192</v>
      </c>
      <c r="F2615" s="1">
        <v>1</v>
      </c>
      <c r="G2615" s="1" t="s">
        <v>75</v>
      </c>
      <c r="H2615" s="4" t="str">
        <f>HYPERLINK("https://www.ncbi.nlm.nih.gov/geo/query/acc.cgi?acc=GSM799520","GSM799520")</f>
        <v>GSM799520</v>
      </c>
      <c r="I2615" t="s">
        <v>161</v>
      </c>
      <c r="J2615" t="s">
        <v>193</v>
      </c>
      <c r="K2615" t="s">
        <v>19</v>
      </c>
      <c r="L2615" t="s">
        <v>162</v>
      </c>
      <c r="M2615" t="s">
        <v>50</v>
      </c>
      <c r="N2615" t="s">
        <v>76</v>
      </c>
    </row>
    <row r="2616" spans="1:14">
      <c r="A2616" s="4" t="str">
        <f t="shared" si="253"/>
        <v>EXP00079</v>
      </c>
      <c r="B2616" s="4" t="str">
        <f t="shared" si="254"/>
        <v>23426182</v>
      </c>
      <c r="C2616" s="4" t="str">
        <f t="shared" si="255"/>
        <v>GSE32269</v>
      </c>
      <c r="D2616" s="1" t="s">
        <v>62</v>
      </c>
      <c r="E2616" t="s">
        <v>192</v>
      </c>
      <c r="F2616" s="1">
        <v>1</v>
      </c>
      <c r="G2616" s="1" t="s">
        <v>75</v>
      </c>
      <c r="H2616" s="4" t="str">
        <f>HYPERLINK("https://www.ncbi.nlm.nih.gov/geo/query/acc.cgi?acc=GSM799521","GSM799521")</f>
        <v>GSM799521</v>
      </c>
      <c r="I2616" t="s">
        <v>161</v>
      </c>
      <c r="J2616" t="s">
        <v>193</v>
      </c>
      <c r="K2616" t="s">
        <v>19</v>
      </c>
      <c r="L2616" t="s">
        <v>162</v>
      </c>
      <c r="M2616" t="s">
        <v>50</v>
      </c>
      <c r="N2616" t="s">
        <v>76</v>
      </c>
    </row>
    <row r="2617" spans="1:14">
      <c r="A2617" s="4" t="str">
        <f t="shared" si="253"/>
        <v>EXP00079</v>
      </c>
      <c r="B2617" s="4" t="str">
        <f t="shared" si="254"/>
        <v>23426182</v>
      </c>
      <c r="C2617" s="4" t="str">
        <f t="shared" si="255"/>
        <v>GSE32269</v>
      </c>
      <c r="D2617" s="1" t="s">
        <v>62</v>
      </c>
      <c r="E2617" t="s">
        <v>192</v>
      </c>
      <c r="F2617" s="1">
        <v>1</v>
      </c>
      <c r="G2617" s="1" t="s">
        <v>75</v>
      </c>
      <c r="H2617" s="4" t="str">
        <f>HYPERLINK("https://www.ncbi.nlm.nih.gov/geo/query/acc.cgi?acc=GSM799522","GSM799522")</f>
        <v>GSM799522</v>
      </c>
      <c r="I2617" t="s">
        <v>161</v>
      </c>
      <c r="J2617" t="s">
        <v>193</v>
      </c>
      <c r="K2617" t="s">
        <v>19</v>
      </c>
      <c r="L2617" t="s">
        <v>162</v>
      </c>
      <c r="M2617" t="s">
        <v>50</v>
      </c>
      <c r="N2617" t="s">
        <v>76</v>
      </c>
    </row>
    <row r="2618" spans="1:14">
      <c r="A2618" s="4" t="str">
        <f t="shared" si="253"/>
        <v>EXP00079</v>
      </c>
      <c r="B2618" s="4" t="str">
        <f t="shared" si="254"/>
        <v>23426182</v>
      </c>
      <c r="C2618" s="4" t="str">
        <f t="shared" si="255"/>
        <v>GSE32269</v>
      </c>
      <c r="D2618" s="1" t="s">
        <v>62</v>
      </c>
      <c r="E2618" t="s">
        <v>192</v>
      </c>
      <c r="F2618" s="1">
        <v>2</v>
      </c>
      <c r="G2618" s="1" t="s">
        <v>26</v>
      </c>
      <c r="H2618" s="4" t="str">
        <f>HYPERLINK("https://www.ncbi.nlm.nih.gov/geo/query/acc.cgi?acc=GSM799490","GSM799490")</f>
        <v>GSM799490</v>
      </c>
      <c r="I2618" t="s">
        <v>161</v>
      </c>
      <c r="J2618" t="s">
        <v>193</v>
      </c>
      <c r="K2618" t="s">
        <v>19</v>
      </c>
      <c r="L2618" t="s">
        <v>162</v>
      </c>
      <c r="M2618" t="s">
        <v>50</v>
      </c>
      <c r="N2618" t="s">
        <v>22</v>
      </c>
    </row>
    <row r="2619" spans="1:14">
      <c r="A2619" s="4" t="str">
        <f t="shared" si="253"/>
        <v>EXP00079</v>
      </c>
      <c r="B2619" s="4" t="str">
        <f t="shared" si="254"/>
        <v>23426182</v>
      </c>
      <c r="C2619" s="4" t="str">
        <f t="shared" si="255"/>
        <v>GSE32269</v>
      </c>
      <c r="D2619" s="1" t="s">
        <v>62</v>
      </c>
      <c r="E2619" t="s">
        <v>192</v>
      </c>
      <c r="F2619" s="1">
        <v>2</v>
      </c>
      <c r="G2619" s="1" t="s">
        <v>26</v>
      </c>
      <c r="H2619" s="4" t="str">
        <f>HYPERLINK("https://www.ncbi.nlm.nih.gov/geo/query/acc.cgi?acc=GSM799491","GSM799491")</f>
        <v>GSM799491</v>
      </c>
      <c r="I2619" t="s">
        <v>161</v>
      </c>
      <c r="J2619" t="s">
        <v>193</v>
      </c>
      <c r="K2619" t="s">
        <v>19</v>
      </c>
      <c r="L2619" t="s">
        <v>162</v>
      </c>
      <c r="M2619" t="s">
        <v>50</v>
      </c>
      <c r="N2619" t="s">
        <v>22</v>
      </c>
    </row>
    <row r="2620" spans="1:14">
      <c r="A2620" s="4" t="str">
        <f t="shared" si="253"/>
        <v>EXP00079</v>
      </c>
      <c r="B2620" s="4" t="str">
        <f t="shared" si="254"/>
        <v>23426182</v>
      </c>
      <c r="C2620" s="4" t="str">
        <f t="shared" si="255"/>
        <v>GSE32269</v>
      </c>
      <c r="D2620" s="1" t="s">
        <v>62</v>
      </c>
      <c r="E2620" t="s">
        <v>192</v>
      </c>
      <c r="F2620" s="1">
        <v>2</v>
      </c>
      <c r="G2620" s="1" t="s">
        <v>26</v>
      </c>
      <c r="H2620" s="4" t="str">
        <f>HYPERLINK("https://www.ncbi.nlm.nih.gov/geo/query/acc.cgi?acc=GSM799492","GSM799492")</f>
        <v>GSM799492</v>
      </c>
      <c r="I2620" t="s">
        <v>161</v>
      </c>
      <c r="J2620" t="s">
        <v>193</v>
      </c>
      <c r="K2620" t="s">
        <v>19</v>
      </c>
      <c r="L2620" t="s">
        <v>162</v>
      </c>
      <c r="M2620" t="s">
        <v>50</v>
      </c>
      <c r="N2620" t="s">
        <v>22</v>
      </c>
    </row>
    <row r="2621" spans="1:14">
      <c r="A2621" s="4" t="str">
        <f t="shared" si="253"/>
        <v>EXP00079</v>
      </c>
      <c r="B2621" s="4" t="str">
        <f t="shared" si="254"/>
        <v>23426182</v>
      </c>
      <c r="C2621" s="4" t="str">
        <f t="shared" si="255"/>
        <v>GSE32269</v>
      </c>
      <c r="D2621" s="1" t="s">
        <v>62</v>
      </c>
      <c r="E2621" t="s">
        <v>192</v>
      </c>
      <c r="F2621" s="1">
        <v>2</v>
      </c>
      <c r="G2621" s="1" t="s">
        <v>26</v>
      </c>
      <c r="H2621" s="4" t="str">
        <f>HYPERLINK("https://www.ncbi.nlm.nih.gov/geo/query/acc.cgi?acc=GSM799493","GSM799493")</f>
        <v>GSM799493</v>
      </c>
      <c r="I2621" t="s">
        <v>161</v>
      </c>
      <c r="J2621" t="s">
        <v>193</v>
      </c>
      <c r="K2621" t="s">
        <v>19</v>
      </c>
      <c r="L2621" t="s">
        <v>162</v>
      </c>
      <c r="M2621" t="s">
        <v>50</v>
      </c>
      <c r="N2621" t="s">
        <v>22</v>
      </c>
    </row>
    <row r="2622" spans="1:14">
      <c r="A2622" s="4" t="str">
        <f t="shared" si="253"/>
        <v>EXP00079</v>
      </c>
      <c r="B2622" s="4" t="str">
        <f t="shared" si="254"/>
        <v>23426182</v>
      </c>
      <c r="C2622" s="4" t="str">
        <f t="shared" si="255"/>
        <v>GSE32269</v>
      </c>
      <c r="D2622" s="1" t="s">
        <v>62</v>
      </c>
      <c r="E2622" t="s">
        <v>192</v>
      </c>
      <c r="F2622" s="1">
        <v>2</v>
      </c>
      <c r="G2622" s="1" t="s">
        <v>26</v>
      </c>
      <c r="H2622" s="4" t="str">
        <f>HYPERLINK("https://www.ncbi.nlm.nih.gov/geo/query/acc.cgi?acc=GSM799494","GSM799494")</f>
        <v>GSM799494</v>
      </c>
      <c r="I2622" t="s">
        <v>161</v>
      </c>
      <c r="J2622" t="s">
        <v>193</v>
      </c>
      <c r="K2622" t="s">
        <v>19</v>
      </c>
      <c r="L2622" t="s">
        <v>162</v>
      </c>
      <c r="M2622" t="s">
        <v>50</v>
      </c>
      <c r="N2622" t="s">
        <v>22</v>
      </c>
    </row>
    <row r="2623" spans="1:14">
      <c r="A2623" s="4" t="str">
        <f t="shared" si="253"/>
        <v>EXP00079</v>
      </c>
      <c r="B2623" s="4" t="str">
        <f t="shared" si="254"/>
        <v>23426182</v>
      </c>
      <c r="C2623" s="4" t="str">
        <f t="shared" si="255"/>
        <v>GSE32269</v>
      </c>
      <c r="D2623" s="1" t="s">
        <v>62</v>
      </c>
      <c r="E2623" t="s">
        <v>192</v>
      </c>
      <c r="F2623" s="1">
        <v>2</v>
      </c>
      <c r="G2623" s="1" t="s">
        <v>26</v>
      </c>
      <c r="H2623" s="4" t="str">
        <f>HYPERLINK("https://www.ncbi.nlm.nih.gov/geo/query/acc.cgi?acc=GSM799495","GSM799495")</f>
        <v>GSM799495</v>
      </c>
      <c r="I2623" t="s">
        <v>161</v>
      </c>
      <c r="J2623" t="s">
        <v>193</v>
      </c>
      <c r="K2623" t="s">
        <v>19</v>
      </c>
      <c r="L2623" t="s">
        <v>162</v>
      </c>
      <c r="M2623" t="s">
        <v>50</v>
      </c>
      <c r="N2623" t="s">
        <v>22</v>
      </c>
    </row>
    <row r="2624" spans="1:14">
      <c r="A2624" s="4" t="str">
        <f t="shared" si="253"/>
        <v>EXP00079</v>
      </c>
      <c r="B2624" s="4" t="str">
        <f t="shared" si="254"/>
        <v>23426182</v>
      </c>
      <c r="C2624" s="4" t="str">
        <f t="shared" si="255"/>
        <v>GSE32269</v>
      </c>
      <c r="D2624" s="1" t="s">
        <v>62</v>
      </c>
      <c r="E2624" t="s">
        <v>192</v>
      </c>
      <c r="F2624" s="1">
        <v>2</v>
      </c>
      <c r="G2624" s="1" t="s">
        <v>26</v>
      </c>
      <c r="H2624" s="4" t="str">
        <f>HYPERLINK("https://www.ncbi.nlm.nih.gov/geo/query/acc.cgi?acc=GSM799496","GSM799496")</f>
        <v>GSM799496</v>
      </c>
      <c r="I2624" t="s">
        <v>161</v>
      </c>
      <c r="J2624" t="s">
        <v>193</v>
      </c>
      <c r="K2624" t="s">
        <v>19</v>
      </c>
      <c r="L2624" t="s">
        <v>162</v>
      </c>
      <c r="M2624" t="s">
        <v>50</v>
      </c>
      <c r="N2624" t="s">
        <v>22</v>
      </c>
    </row>
    <row r="2625" spans="1:14">
      <c r="A2625" s="4" t="str">
        <f t="shared" si="253"/>
        <v>EXP00079</v>
      </c>
      <c r="B2625" s="4" t="str">
        <f t="shared" si="254"/>
        <v>23426182</v>
      </c>
      <c r="C2625" s="4" t="str">
        <f t="shared" si="255"/>
        <v>GSE32269</v>
      </c>
      <c r="D2625" s="1" t="s">
        <v>62</v>
      </c>
      <c r="E2625" t="s">
        <v>192</v>
      </c>
      <c r="F2625" s="1">
        <v>2</v>
      </c>
      <c r="G2625" s="1" t="s">
        <v>26</v>
      </c>
      <c r="H2625" s="4" t="str">
        <f>HYPERLINK("https://www.ncbi.nlm.nih.gov/geo/query/acc.cgi?acc=GSM799497","GSM799497")</f>
        <v>GSM799497</v>
      </c>
      <c r="I2625" t="s">
        <v>161</v>
      </c>
      <c r="J2625" t="s">
        <v>193</v>
      </c>
      <c r="K2625" t="s">
        <v>19</v>
      </c>
      <c r="L2625" t="s">
        <v>162</v>
      </c>
      <c r="M2625" t="s">
        <v>50</v>
      </c>
      <c r="N2625" t="s">
        <v>22</v>
      </c>
    </row>
    <row r="2626" spans="1:14">
      <c r="A2626" s="4" t="str">
        <f t="shared" si="253"/>
        <v>EXP00079</v>
      </c>
      <c r="B2626" s="4" t="str">
        <f t="shared" si="254"/>
        <v>23426182</v>
      </c>
      <c r="C2626" s="4" t="str">
        <f t="shared" si="255"/>
        <v>GSE32269</v>
      </c>
      <c r="D2626" s="1" t="s">
        <v>62</v>
      </c>
      <c r="E2626" t="s">
        <v>192</v>
      </c>
      <c r="F2626" s="1">
        <v>2</v>
      </c>
      <c r="G2626" s="1" t="s">
        <v>26</v>
      </c>
      <c r="H2626" s="4" t="str">
        <f>HYPERLINK("https://www.ncbi.nlm.nih.gov/geo/query/acc.cgi?acc=GSM799498","GSM799498")</f>
        <v>GSM799498</v>
      </c>
      <c r="I2626" t="s">
        <v>161</v>
      </c>
      <c r="J2626" t="s">
        <v>193</v>
      </c>
      <c r="K2626" t="s">
        <v>19</v>
      </c>
      <c r="L2626" t="s">
        <v>162</v>
      </c>
      <c r="M2626" t="s">
        <v>50</v>
      </c>
      <c r="N2626" t="s">
        <v>22</v>
      </c>
    </row>
    <row r="2627" spans="1:14">
      <c r="A2627" s="4" t="str">
        <f t="shared" si="253"/>
        <v>EXP00079</v>
      </c>
      <c r="B2627" s="4" t="str">
        <f t="shared" si="254"/>
        <v>23426182</v>
      </c>
      <c r="C2627" s="4" t="str">
        <f t="shared" si="255"/>
        <v>GSE32269</v>
      </c>
      <c r="D2627" s="1" t="s">
        <v>62</v>
      </c>
      <c r="E2627" t="s">
        <v>192</v>
      </c>
      <c r="F2627" s="1">
        <v>2</v>
      </c>
      <c r="G2627" s="1" t="s">
        <v>26</v>
      </c>
      <c r="H2627" s="4" t="str">
        <f>HYPERLINK("https://www.ncbi.nlm.nih.gov/geo/query/acc.cgi?acc=GSM799499","GSM799499")</f>
        <v>GSM799499</v>
      </c>
      <c r="I2627" t="s">
        <v>161</v>
      </c>
      <c r="J2627" t="s">
        <v>193</v>
      </c>
      <c r="K2627" t="s">
        <v>19</v>
      </c>
      <c r="L2627" t="s">
        <v>162</v>
      </c>
      <c r="M2627" t="s">
        <v>50</v>
      </c>
      <c r="N2627" t="s">
        <v>22</v>
      </c>
    </row>
    <row r="2628" spans="1:14">
      <c r="A2628" s="4" t="str">
        <f t="shared" si="253"/>
        <v>EXP00079</v>
      </c>
      <c r="B2628" s="4" t="str">
        <f t="shared" si="254"/>
        <v>23426182</v>
      </c>
      <c r="C2628" s="4" t="str">
        <f t="shared" si="255"/>
        <v>GSE32269</v>
      </c>
      <c r="D2628" s="1" t="s">
        <v>62</v>
      </c>
      <c r="E2628" t="s">
        <v>192</v>
      </c>
      <c r="F2628" s="1">
        <v>2</v>
      </c>
      <c r="G2628" s="1" t="s">
        <v>26</v>
      </c>
      <c r="H2628" s="4" t="str">
        <f>HYPERLINK("https://www.ncbi.nlm.nih.gov/geo/query/acc.cgi?acc=GSM799500","GSM799500")</f>
        <v>GSM799500</v>
      </c>
      <c r="I2628" t="s">
        <v>161</v>
      </c>
      <c r="J2628" t="s">
        <v>193</v>
      </c>
      <c r="K2628" t="s">
        <v>19</v>
      </c>
      <c r="L2628" t="s">
        <v>162</v>
      </c>
      <c r="M2628" t="s">
        <v>50</v>
      </c>
      <c r="N2628" t="s">
        <v>22</v>
      </c>
    </row>
    <row r="2629" spans="1:14">
      <c r="A2629" s="4" t="str">
        <f t="shared" si="253"/>
        <v>EXP00079</v>
      </c>
      <c r="B2629" s="4" t="str">
        <f t="shared" si="254"/>
        <v>23426182</v>
      </c>
      <c r="C2629" s="4" t="str">
        <f t="shared" si="255"/>
        <v>GSE32269</v>
      </c>
      <c r="D2629" s="1" t="s">
        <v>62</v>
      </c>
      <c r="E2629" t="s">
        <v>192</v>
      </c>
      <c r="F2629" s="1">
        <v>2</v>
      </c>
      <c r="G2629" s="1" t="s">
        <v>26</v>
      </c>
      <c r="H2629" s="4" t="str">
        <f>HYPERLINK("https://www.ncbi.nlm.nih.gov/geo/query/acc.cgi?acc=GSM799501","GSM799501")</f>
        <v>GSM799501</v>
      </c>
      <c r="I2629" t="s">
        <v>161</v>
      </c>
      <c r="J2629" t="s">
        <v>193</v>
      </c>
      <c r="K2629" t="s">
        <v>19</v>
      </c>
      <c r="L2629" t="s">
        <v>162</v>
      </c>
      <c r="M2629" t="s">
        <v>50</v>
      </c>
      <c r="N2629" t="s">
        <v>22</v>
      </c>
    </row>
    <row r="2630" spans="1:14">
      <c r="A2630" s="4" t="str">
        <f t="shared" si="253"/>
        <v>EXP00079</v>
      </c>
      <c r="B2630" s="4" t="str">
        <f t="shared" si="254"/>
        <v>23426182</v>
      </c>
      <c r="C2630" s="4" t="str">
        <f t="shared" si="255"/>
        <v>GSE32269</v>
      </c>
      <c r="D2630" s="1" t="s">
        <v>62</v>
      </c>
      <c r="E2630" t="s">
        <v>192</v>
      </c>
      <c r="F2630" s="1">
        <v>2</v>
      </c>
      <c r="G2630" s="1" t="s">
        <v>26</v>
      </c>
      <c r="H2630" s="4" t="str">
        <f>HYPERLINK("https://www.ncbi.nlm.nih.gov/geo/query/acc.cgi?acc=GSM799502","GSM799502")</f>
        <v>GSM799502</v>
      </c>
      <c r="I2630" t="s">
        <v>161</v>
      </c>
      <c r="J2630" t="s">
        <v>193</v>
      </c>
      <c r="K2630" t="s">
        <v>19</v>
      </c>
      <c r="L2630" t="s">
        <v>162</v>
      </c>
      <c r="M2630" t="s">
        <v>50</v>
      </c>
      <c r="N2630" t="s">
        <v>22</v>
      </c>
    </row>
    <row r="2631" spans="1:14">
      <c r="A2631" s="4" t="str">
        <f t="shared" si="253"/>
        <v>EXP00079</v>
      </c>
      <c r="B2631" s="4" t="str">
        <f t="shared" si="254"/>
        <v>23426182</v>
      </c>
      <c r="C2631" s="4" t="str">
        <f t="shared" si="255"/>
        <v>GSE32269</v>
      </c>
      <c r="D2631" s="1" t="s">
        <v>62</v>
      </c>
      <c r="E2631" t="s">
        <v>192</v>
      </c>
      <c r="F2631" s="1">
        <v>2</v>
      </c>
      <c r="G2631" s="1" t="s">
        <v>26</v>
      </c>
      <c r="H2631" s="4" t="str">
        <f>HYPERLINK("https://www.ncbi.nlm.nih.gov/geo/query/acc.cgi?acc=GSM799503","GSM799503")</f>
        <v>GSM799503</v>
      </c>
      <c r="I2631" t="s">
        <v>161</v>
      </c>
      <c r="J2631" t="s">
        <v>193</v>
      </c>
      <c r="K2631" t="s">
        <v>19</v>
      </c>
      <c r="L2631" t="s">
        <v>162</v>
      </c>
      <c r="M2631" t="s">
        <v>50</v>
      </c>
      <c r="N2631" t="s">
        <v>22</v>
      </c>
    </row>
    <row r="2632" spans="1:14">
      <c r="A2632" s="4" t="str">
        <f t="shared" si="253"/>
        <v>EXP00079</v>
      </c>
      <c r="B2632" s="4" t="str">
        <f t="shared" si="254"/>
        <v>23426182</v>
      </c>
      <c r="C2632" s="4" t="str">
        <f t="shared" si="255"/>
        <v>GSE32269</v>
      </c>
      <c r="D2632" s="1" t="s">
        <v>62</v>
      </c>
      <c r="E2632" t="s">
        <v>192</v>
      </c>
      <c r="F2632" s="1">
        <v>2</v>
      </c>
      <c r="G2632" s="1" t="s">
        <v>26</v>
      </c>
      <c r="H2632" s="4" t="str">
        <f>HYPERLINK("https://www.ncbi.nlm.nih.gov/geo/query/acc.cgi?acc=GSM799504","GSM799504")</f>
        <v>GSM799504</v>
      </c>
      <c r="I2632" t="s">
        <v>161</v>
      </c>
      <c r="J2632" t="s">
        <v>193</v>
      </c>
      <c r="K2632" t="s">
        <v>19</v>
      </c>
      <c r="L2632" t="s">
        <v>162</v>
      </c>
      <c r="M2632" t="s">
        <v>50</v>
      </c>
      <c r="N2632" t="s">
        <v>22</v>
      </c>
    </row>
    <row r="2633" spans="1:14">
      <c r="A2633" s="4" t="str">
        <f t="shared" si="253"/>
        <v>EXP00079</v>
      </c>
      <c r="B2633" s="4" t="str">
        <f t="shared" si="254"/>
        <v>23426182</v>
      </c>
      <c r="C2633" s="4" t="str">
        <f t="shared" si="255"/>
        <v>GSE32269</v>
      </c>
      <c r="D2633" s="1" t="s">
        <v>62</v>
      </c>
      <c r="E2633" t="s">
        <v>192</v>
      </c>
      <c r="F2633" s="1">
        <v>2</v>
      </c>
      <c r="G2633" s="1" t="s">
        <v>26</v>
      </c>
      <c r="H2633" s="4" t="str">
        <f>HYPERLINK("https://www.ncbi.nlm.nih.gov/geo/query/acc.cgi?acc=GSM799505","GSM799505")</f>
        <v>GSM799505</v>
      </c>
      <c r="I2633" t="s">
        <v>161</v>
      </c>
      <c r="J2633" t="s">
        <v>193</v>
      </c>
      <c r="K2633" t="s">
        <v>19</v>
      </c>
      <c r="L2633" t="s">
        <v>162</v>
      </c>
      <c r="M2633" t="s">
        <v>50</v>
      </c>
      <c r="N2633" t="s">
        <v>22</v>
      </c>
    </row>
    <row r="2634" spans="1:14">
      <c r="A2634" s="4" t="str">
        <f t="shared" si="253"/>
        <v>EXP00079</v>
      </c>
      <c r="B2634" s="4" t="str">
        <f t="shared" si="254"/>
        <v>23426182</v>
      </c>
      <c r="C2634" s="4" t="str">
        <f t="shared" si="255"/>
        <v>GSE32269</v>
      </c>
      <c r="D2634" s="1" t="s">
        <v>62</v>
      </c>
      <c r="E2634" t="s">
        <v>192</v>
      </c>
      <c r="F2634" s="1">
        <v>2</v>
      </c>
      <c r="G2634" s="1" t="s">
        <v>26</v>
      </c>
      <c r="H2634" s="4" t="str">
        <f>HYPERLINK("https://www.ncbi.nlm.nih.gov/geo/query/acc.cgi?acc=GSM799506","GSM799506")</f>
        <v>GSM799506</v>
      </c>
      <c r="I2634" t="s">
        <v>161</v>
      </c>
      <c r="J2634" t="s">
        <v>193</v>
      </c>
      <c r="K2634" t="s">
        <v>19</v>
      </c>
      <c r="L2634" t="s">
        <v>162</v>
      </c>
      <c r="M2634" t="s">
        <v>50</v>
      </c>
      <c r="N2634" t="s">
        <v>22</v>
      </c>
    </row>
    <row r="2635" spans="1:14">
      <c r="A2635" s="4" t="str">
        <f t="shared" si="253"/>
        <v>EXP00079</v>
      </c>
      <c r="B2635" s="4" t="str">
        <f t="shared" si="254"/>
        <v>23426182</v>
      </c>
      <c r="C2635" s="4" t="str">
        <f t="shared" si="255"/>
        <v>GSE32269</v>
      </c>
      <c r="D2635" s="1" t="s">
        <v>62</v>
      </c>
      <c r="E2635" t="s">
        <v>192</v>
      </c>
      <c r="F2635" s="1">
        <v>2</v>
      </c>
      <c r="G2635" s="1" t="s">
        <v>26</v>
      </c>
      <c r="H2635" s="4" t="str">
        <f>HYPERLINK("https://www.ncbi.nlm.nih.gov/geo/query/acc.cgi?acc=GSM799507","GSM799507")</f>
        <v>GSM799507</v>
      </c>
      <c r="I2635" t="s">
        <v>161</v>
      </c>
      <c r="J2635" t="s">
        <v>193</v>
      </c>
      <c r="K2635" t="s">
        <v>19</v>
      </c>
      <c r="L2635" t="s">
        <v>162</v>
      </c>
      <c r="M2635" t="s">
        <v>50</v>
      </c>
      <c r="N2635" t="s">
        <v>22</v>
      </c>
    </row>
    <row r="2636" spans="1:14">
      <c r="A2636" s="4" t="str">
        <f t="shared" si="253"/>
        <v>EXP00079</v>
      </c>
      <c r="B2636" s="4" t="str">
        <f t="shared" si="254"/>
        <v>23426182</v>
      </c>
      <c r="C2636" s="4" t="str">
        <f t="shared" si="255"/>
        <v>GSE32269</v>
      </c>
      <c r="D2636" s="1" t="s">
        <v>62</v>
      </c>
      <c r="E2636" t="s">
        <v>192</v>
      </c>
      <c r="F2636" s="1">
        <v>2</v>
      </c>
      <c r="G2636" s="1" t="s">
        <v>26</v>
      </c>
      <c r="H2636" s="4" t="str">
        <f>HYPERLINK("https://www.ncbi.nlm.nih.gov/geo/query/acc.cgi?acc=GSM799508","GSM799508")</f>
        <v>GSM799508</v>
      </c>
      <c r="I2636" t="s">
        <v>161</v>
      </c>
      <c r="J2636" t="s">
        <v>193</v>
      </c>
      <c r="K2636" t="s">
        <v>19</v>
      </c>
      <c r="L2636" t="s">
        <v>162</v>
      </c>
      <c r="M2636" t="s">
        <v>50</v>
      </c>
      <c r="N2636" t="s">
        <v>22</v>
      </c>
    </row>
    <row r="2637" spans="1:14">
      <c r="A2637" s="4" t="str">
        <f t="shared" si="253"/>
        <v>EXP00079</v>
      </c>
      <c r="B2637" s="4" t="str">
        <f t="shared" si="254"/>
        <v>23426182</v>
      </c>
      <c r="C2637" s="4" t="str">
        <f t="shared" si="255"/>
        <v>GSE32269</v>
      </c>
      <c r="D2637" s="1" t="s">
        <v>62</v>
      </c>
      <c r="E2637" t="s">
        <v>192</v>
      </c>
      <c r="F2637" s="1">
        <v>2</v>
      </c>
      <c r="G2637" s="1" t="s">
        <v>26</v>
      </c>
      <c r="H2637" s="4" t="str">
        <f>HYPERLINK("https://www.ncbi.nlm.nih.gov/geo/query/acc.cgi?acc=GSM799509","GSM799509")</f>
        <v>GSM799509</v>
      </c>
      <c r="I2637" t="s">
        <v>161</v>
      </c>
      <c r="J2637" t="s">
        <v>193</v>
      </c>
      <c r="K2637" t="s">
        <v>19</v>
      </c>
      <c r="L2637" t="s">
        <v>162</v>
      </c>
      <c r="M2637" t="s">
        <v>50</v>
      </c>
      <c r="N2637" t="s">
        <v>22</v>
      </c>
    </row>
    <row r="2638" spans="1:14">
      <c r="A2638" s="4" t="str">
        <f t="shared" si="253"/>
        <v>EXP00079</v>
      </c>
      <c r="B2638" s="4" t="str">
        <f t="shared" si="254"/>
        <v>23426182</v>
      </c>
      <c r="C2638" s="4" t="str">
        <f t="shared" si="255"/>
        <v>GSE32269</v>
      </c>
      <c r="D2638" s="1" t="s">
        <v>62</v>
      </c>
      <c r="E2638" t="s">
        <v>192</v>
      </c>
      <c r="F2638" s="1">
        <v>2</v>
      </c>
      <c r="G2638" s="1" t="s">
        <v>26</v>
      </c>
      <c r="H2638" s="4" t="str">
        <f>HYPERLINK("https://www.ncbi.nlm.nih.gov/geo/query/acc.cgi?acc=GSM799510","GSM799510")</f>
        <v>GSM799510</v>
      </c>
      <c r="I2638" t="s">
        <v>161</v>
      </c>
      <c r="J2638" t="s">
        <v>193</v>
      </c>
      <c r="K2638" t="s">
        <v>19</v>
      </c>
      <c r="L2638" t="s">
        <v>162</v>
      </c>
      <c r="M2638" t="s">
        <v>50</v>
      </c>
      <c r="N2638" t="s">
        <v>22</v>
      </c>
    </row>
    <row r="2639" spans="1:14">
      <c r="A2639" s="4" t="str">
        <f t="shared" si="253"/>
        <v>EXP00079</v>
      </c>
      <c r="B2639" s="4" t="str">
        <f t="shared" si="254"/>
        <v>23426182</v>
      </c>
      <c r="C2639" s="4" t="str">
        <f t="shared" si="255"/>
        <v>GSE32269</v>
      </c>
      <c r="D2639" s="1" t="s">
        <v>62</v>
      </c>
      <c r="E2639" t="s">
        <v>192</v>
      </c>
      <c r="F2639" s="1">
        <v>2</v>
      </c>
      <c r="G2639" s="1" t="s">
        <v>26</v>
      </c>
      <c r="H2639" s="4" t="str">
        <f>HYPERLINK("https://www.ncbi.nlm.nih.gov/geo/query/acc.cgi?acc=GSM799511","GSM799511")</f>
        <v>GSM799511</v>
      </c>
      <c r="I2639" t="s">
        <v>161</v>
      </c>
      <c r="J2639" t="s">
        <v>193</v>
      </c>
      <c r="K2639" t="s">
        <v>19</v>
      </c>
      <c r="L2639" t="s">
        <v>162</v>
      </c>
      <c r="M2639" t="s">
        <v>50</v>
      </c>
      <c r="N2639" t="s">
        <v>22</v>
      </c>
    </row>
    <row r="2640" spans="1:14">
      <c r="A2640" s="4" t="str">
        <f t="shared" si="253"/>
        <v>EXP00079</v>
      </c>
      <c r="B2640" s="4" t="str">
        <f t="shared" si="254"/>
        <v>23426182</v>
      </c>
      <c r="C2640" s="4" t="str">
        <f t="shared" si="255"/>
        <v>GSE32269</v>
      </c>
      <c r="D2640" s="1" t="s">
        <v>62</v>
      </c>
      <c r="E2640" t="s">
        <v>192</v>
      </c>
      <c r="F2640" s="1">
        <v>2</v>
      </c>
      <c r="G2640" s="1" t="s">
        <v>26</v>
      </c>
      <c r="H2640" s="4" t="str">
        <f>HYPERLINK("https://www.ncbi.nlm.nih.gov/geo/query/acc.cgi?acc=GSM799512","GSM799512")</f>
        <v>GSM799512</v>
      </c>
      <c r="I2640" t="s">
        <v>161</v>
      </c>
      <c r="J2640" t="s">
        <v>193</v>
      </c>
      <c r="K2640" t="s">
        <v>19</v>
      </c>
      <c r="L2640" t="s">
        <v>162</v>
      </c>
      <c r="M2640" t="s">
        <v>50</v>
      </c>
      <c r="N2640" t="s">
        <v>22</v>
      </c>
    </row>
    <row r="2641" spans="1:14">
      <c r="A2641" s="4" t="str">
        <f t="shared" si="253"/>
        <v>EXP00079</v>
      </c>
      <c r="B2641" s="4" t="str">
        <f t="shared" si="254"/>
        <v>23426182</v>
      </c>
      <c r="C2641" s="4" t="str">
        <f t="shared" si="255"/>
        <v>GSE32269</v>
      </c>
      <c r="D2641" s="1" t="s">
        <v>62</v>
      </c>
      <c r="E2641" t="s">
        <v>192</v>
      </c>
      <c r="F2641" s="1">
        <v>2</v>
      </c>
      <c r="G2641" s="1" t="s">
        <v>26</v>
      </c>
      <c r="H2641" s="4" t="str">
        <f>HYPERLINK("https://www.ncbi.nlm.nih.gov/geo/query/acc.cgi?acc=GSM799513","GSM799513")</f>
        <v>GSM799513</v>
      </c>
      <c r="I2641" t="s">
        <v>161</v>
      </c>
      <c r="J2641" t="s">
        <v>193</v>
      </c>
      <c r="K2641" t="s">
        <v>19</v>
      </c>
      <c r="L2641" t="s">
        <v>162</v>
      </c>
      <c r="M2641" t="s">
        <v>50</v>
      </c>
      <c r="N2641" t="s">
        <v>22</v>
      </c>
    </row>
    <row r="2642" spans="1:14">
      <c r="A2642" s="4" t="str">
        <f t="shared" si="253"/>
        <v>EXP00079</v>
      </c>
      <c r="B2642" s="4" t="str">
        <f t="shared" si="254"/>
        <v>23426182</v>
      </c>
      <c r="C2642" s="4" t="str">
        <f t="shared" si="255"/>
        <v>GSE32269</v>
      </c>
      <c r="D2642" s="1" t="s">
        <v>62</v>
      </c>
      <c r="E2642" t="s">
        <v>192</v>
      </c>
      <c r="F2642" s="1">
        <v>2</v>
      </c>
      <c r="G2642" s="1" t="s">
        <v>26</v>
      </c>
      <c r="H2642" s="4" t="str">
        <f>HYPERLINK("https://www.ncbi.nlm.nih.gov/geo/query/acc.cgi?acc=GSM799514","GSM799514")</f>
        <v>GSM799514</v>
      </c>
      <c r="I2642" t="s">
        <v>161</v>
      </c>
      <c r="J2642" t="s">
        <v>193</v>
      </c>
      <c r="K2642" t="s">
        <v>19</v>
      </c>
      <c r="L2642" t="s">
        <v>162</v>
      </c>
      <c r="M2642" t="s">
        <v>50</v>
      </c>
      <c r="N2642" t="s">
        <v>22</v>
      </c>
    </row>
    <row r="2643" spans="1:14">
      <c r="A2643" s="4" t="str">
        <f t="shared" si="253"/>
        <v>EXP00079</v>
      </c>
      <c r="B2643" s="4" t="str">
        <f t="shared" si="254"/>
        <v>23426182</v>
      </c>
      <c r="C2643" s="4" t="str">
        <f t="shared" si="255"/>
        <v>GSE32269</v>
      </c>
      <c r="D2643" s="1" t="s">
        <v>62</v>
      </c>
      <c r="E2643" t="s">
        <v>192</v>
      </c>
      <c r="F2643" s="1">
        <v>2</v>
      </c>
      <c r="G2643" s="1" t="s">
        <v>26</v>
      </c>
      <c r="H2643" s="4" t="str">
        <f>HYPERLINK("https://www.ncbi.nlm.nih.gov/geo/query/acc.cgi?acc=GSM799515","GSM799515")</f>
        <v>GSM799515</v>
      </c>
      <c r="I2643" t="s">
        <v>161</v>
      </c>
      <c r="J2643" t="s">
        <v>193</v>
      </c>
      <c r="K2643" t="s">
        <v>19</v>
      </c>
      <c r="L2643" t="s">
        <v>162</v>
      </c>
      <c r="M2643" t="s">
        <v>50</v>
      </c>
      <c r="N2643" t="s">
        <v>22</v>
      </c>
    </row>
    <row r="2644" spans="1:14">
      <c r="A2644" s="4" t="str">
        <f t="shared" si="253"/>
        <v>EXP00079</v>
      </c>
      <c r="B2644" s="4" t="str">
        <f t="shared" si="254"/>
        <v>23426182</v>
      </c>
      <c r="C2644" s="4" t="str">
        <f t="shared" si="255"/>
        <v>GSE32269</v>
      </c>
      <c r="D2644" s="1" t="s">
        <v>62</v>
      </c>
      <c r="E2644" t="s">
        <v>192</v>
      </c>
      <c r="F2644" s="1">
        <v>2</v>
      </c>
      <c r="G2644" s="1" t="s">
        <v>26</v>
      </c>
      <c r="H2644" s="4" t="str">
        <f>HYPERLINK("https://www.ncbi.nlm.nih.gov/geo/query/acc.cgi?acc=GSM799516","GSM799516")</f>
        <v>GSM799516</v>
      </c>
      <c r="I2644" t="s">
        <v>161</v>
      </c>
      <c r="J2644" t="s">
        <v>193</v>
      </c>
      <c r="K2644" t="s">
        <v>19</v>
      </c>
      <c r="L2644" t="s">
        <v>162</v>
      </c>
      <c r="M2644" t="s">
        <v>50</v>
      </c>
      <c r="N2644" t="s">
        <v>22</v>
      </c>
    </row>
    <row r="2645" spans="1:14">
      <c r="A2645" s="4" t="str">
        <f t="shared" si="253"/>
        <v>EXP00079</v>
      </c>
      <c r="B2645" s="4" t="str">
        <f t="shared" si="254"/>
        <v>23426182</v>
      </c>
      <c r="C2645" s="4" t="str">
        <f t="shared" si="255"/>
        <v>GSE32269</v>
      </c>
      <c r="D2645" s="1" t="s">
        <v>62</v>
      </c>
      <c r="E2645" t="s">
        <v>192</v>
      </c>
      <c r="F2645" s="1">
        <v>2</v>
      </c>
      <c r="G2645" s="1" t="s">
        <v>26</v>
      </c>
      <c r="H2645" s="4" t="str">
        <f>HYPERLINK("https://www.ncbi.nlm.nih.gov/geo/query/acc.cgi?acc=GSM799517","GSM799517")</f>
        <v>GSM799517</v>
      </c>
      <c r="I2645" t="s">
        <v>161</v>
      </c>
      <c r="J2645" t="s">
        <v>193</v>
      </c>
      <c r="K2645" t="s">
        <v>19</v>
      </c>
      <c r="L2645" t="s">
        <v>162</v>
      </c>
      <c r="M2645" t="s">
        <v>50</v>
      </c>
      <c r="N2645" t="s">
        <v>22</v>
      </c>
    </row>
    <row r="2646" spans="1:14">
      <c r="A2646" s="4" t="str">
        <f t="shared" si="253"/>
        <v>EXP00079</v>
      </c>
      <c r="B2646" s="4" t="str">
        <f t="shared" si="254"/>
        <v>23426182</v>
      </c>
      <c r="C2646" s="4" t="str">
        <f t="shared" si="255"/>
        <v>GSE32269</v>
      </c>
      <c r="D2646" s="1" t="s">
        <v>62</v>
      </c>
      <c r="E2646" t="s">
        <v>192</v>
      </c>
      <c r="F2646" s="1">
        <v>2</v>
      </c>
      <c r="G2646" s="1" t="s">
        <v>26</v>
      </c>
      <c r="H2646" s="4" t="str">
        <f>HYPERLINK("https://www.ncbi.nlm.nih.gov/geo/query/acc.cgi?acc=GSM799518","GSM799518")</f>
        <v>GSM799518</v>
      </c>
      <c r="I2646" t="s">
        <v>161</v>
      </c>
      <c r="J2646" t="s">
        <v>193</v>
      </c>
      <c r="K2646" t="s">
        <v>19</v>
      </c>
      <c r="L2646" t="s">
        <v>162</v>
      </c>
      <c r="M2646" t="s">
        <v>50</v>
      </c>
      <c r="N2646" t="s">
        <v>22</v>
      </c>
    </row>
    <row r="2647" spans="1:14">
      <c r="A2647" s="4" t="str">
        <f t="shared" ref="A2647:A2678" si="256">HYPERLINK("http://hcmdb.i-sanger.com/experiment/details/experiment_id/EXP00093","EXP00093")</f>
        <v>EXP00093</v>
      </c>
      <c r="B2647" s="4" t="str">
        <f t="shared" ref="B2647:B2678" si="257">HYPERLINK("https://www.ncbi.nlm.nih.gov/pubmed/23136189","23136189")</f>
        <v>23136189</v>
      </c>
      <c r="C2647" s="4" t="str">
        <f t="shared" ref="C2647:C2678" si="258">HYPERLINK("https://www.ncbi.nlm.nih.gov/geo/query/acc.cgi?acc=GSE32489","GSE32489")</f>
        <v>GSE32489</v>
      </c>
      <c r="D2647" s="1" t="s">
        <v>194</v>
      </c>
      <c r="E2647" t="s">
        <v>15</v>
      </c>
      <c r="F2647" s="1">
        <v>1</v>
      </c>
      <c r="G2647" s="1" t="s">
        <v>63</v>
      </c>
      <c r="H2647" s="4" t="str">
        <f>HYPERLINK("https://www.ncbi.nlm.nih.gov/geo/query/acc.cgi?acc=GSM803894","GSM803894")</f>
        <v>GSM803894</v>
      </c>
      <c r="I2647" t="s">
        <v>17</v>
      </c>
      <c r="J2647" t="s">
        <v>18</v>
      </c>
      <c r="K2647" t="s">
        <v>19</v>
      </c>
      <c r="L2647" t="s">
        <v>20</v>
      </c>
      <c r="M2647" t="s">
        <v>44</v>
      </c>
      <c r="N2647" t="s">
        <v>22</v>
      </c>
    </row>
    <row r="2648" spans="1:14">
      <c r="A2648" s="4" t="str">
        <f t="shared" si="256"/>
        <v>EXP00093</v>
      </c>
      <c r="B2648" s="4" t="str">
        <f t="shared" si="257"/>
        <v>23136189</v>
      </c>
      <c r="C2648" s="4" t="str">
        <f t="shared" si="258"/>
        <v>GSE32489</v>
      </c>
      <c r="D2648" s="1" t="s">
        <v>194</v>
      </c>
      <c r="E2648" t="s">
        <v>15</v>
      </c>
      <c r="F2648" s="1">
        <v>1</v>
      </c>
      <c r="G2648" s="1" t="s">
        <v>63</v>
      </c>
      <c r="H2648" s="4" t="str">
        <f>HYPERLINK("https://www.ncbi.nlm.nih.gov/geo/query/acc.cgi?acc=GSM803901","GSM803901")</f>
        <v>GSM803901</v>
      </c>
      <c r="I2648" t="s">
        <v>17</v>
      </c>
      <c r="J2648" t="s">
        <v>18</v>
      </c>
      <c r="K2648" t="s">
        <v>19</v>
      </c>
      <c r="L2648" t="s">
        <v>20</v>
      </c>
      <c r="M2648" t="s">
        <v>44</v>
      </c>
      <c r="N2648" t="s">
        <v>22</v>
      </c>
    </row>
    <row r="2649" spans="1:14">
      <c r="A2649" s="4" t="str">
        <f t="shared" si="256"/>
        <v>EXP00093</v>
      </c>
      <c r="B2649" s="4" t="str">
        <f t="shared" si="257"/>
        <v>23136189</v>
      </c>
      <c r="C2649" s="4" t="str">
        <f t="shared" si="258"/>
        <v>GSE32489</v>
      </c>
      <c r="D2649" s="1" t="s">
        <v>194</v>
      </c>
      <c r="E2649" t="s">
        <v>15</v>
      </c>
      <c r="F2649" s="1">
        <v>1</v>
      </c>
      <c r="G2649" s="1" t="s">
        <v>63</v>
      </c>
      <c r="H2649" s="4" t="str">
        <f>HYPERLINK("https://www.ncbi.nlm.nih.gov/geo/query/acc.cgi?acc=GSM803909","GSM803909")</f>
        <v>GSM803909</v>
      </c>
      <c r="I2649" t="s">
        <v>17</v>
      </c>
      <c r="J2649" t="s">
        <v>18</v>
      </c>
      <c r="K2649" t="s">
        <v>19</v>
      </c>
      <c r="L2649" t="s">
        <v>20</v>
      </c>
      <c r="M2649" t="s">
        <v>44</v>
      </c>
      <c r="N2649" t="s">
        <v>22</v>
      </c>
    </row>
    <row r="2650" spans="1:14">
      <c r="A2650" s="4" t="str">
        <f t="shared" si="256"/>
        <v>EXP00093</v>
      </c>
      <c r="B2650" s="4" t="str">
        <f t="shared" si="257"/>
        <v>23136189</v>
      </c>
      <c r="C2650" s="4" t="str">
        <f t="shared" si="258"/>
        <v>GSE32489</v>
      </c>
      <c r="D2650" s="1" t="s">
        <v>194</v>
      </c>
      <c r="E2650" t="s">
        <v>15</v>
      </c>
      <c r="F2650" s="1">
        <v>1</v>
      </c>
      <c r="G2650" s="1" t="s">
        <v>63</v>
      </c>
      <c r="H2650" s="4" t="str">
        <f>HYPERLINK("https://www.ncbi.nlm.nih.gov/geo/query/acc.cgi?acc=GSM803912","GSM803912")</f>
        <v>GSM803912</v>
      </c>
      <c r="I2650" t="s">
        <v>17</v>
      </c>
      <c r="J2650" t="s">
        <v>18</v>
      </c>
      <c r="K2650" t="s">
        <v>19</v>
      </c>
      <c r="L2650" t="s">
        <v>20</v>
      </c>
      <c r="M2650" t="s">
        <v>44</v>
      </c>
      <c r="N2650" t="s">
        <v>22</v>
      </c>
    </row>
    <row r="2651" spans="1:14">
      <c r="A2651" s="4" t="str">
        <f t="shared" si="256"/>
        <v>EXP00093</v>
      </c>
      <c r="B2651" s="4" t="str">
        <f t="shared" si="257"/>
        <v>23136189</v>
      </c>
      <c r="C2651" s="4" t="str">
        <f t="shared" si="258"/>
        <v>GSE32489</v>
      </c>
      <c r="D2651" s="1" t="s">
        <v>194</v>
      </c>
      <c r="E2651" t="s">
        <v>15</v>
      </c>
      <c r="F2651" s="1">
        <v>1</v>
      </c>
      <c r="G2651" s="1" t="s">
        <v>63</v>
      </c>
      <c r="H2651" s="4" t="str">
        <f>HYPERLINK("https://www.ncbi.nlm.nih.gov/geo/query/acc.cgi?acc=GSM803914","GSM803914")</f>
        <v>GSM803914</v>
      </c>
      <c r="I2651" t="s">
        <v>17</v>
      </c>
      <c r="J2651" t="s">
        <v>18</v>
      </c>
      <c r="K2651" t="s">
        <v>19</v>
      </c>
      <c r="L2651" t="s">
        <v>20</v>
      </c>
      <c r="M2651" t="s">
        <v>44</v>
      </c>
      <c r="N2651" t="s">
        <v>22</v>
      </c>
    </row>
    <row r="2652" spans="1:14">
      <c r="A2652" s="4" t="str">
        <f t="shared" si="256"/>
        <v>EXP00093</v>
      </c>
      <c r="B2652" s="4" t="str">
        <f t="shared" si="257"/>
        <v>23136189</v>
      </c>
      <c r="C2652" s="4" t="str">
        <f t="shared" si="258"/>
        <v>GSE32489</v>
      </c>
      <c r="D2652" s="1" t="s">
        <v>194</v>
      </c>
      <c r="E2652" t="s">
        <v>15</v>
      </c>
      <c r="F2652" s="1">
        <v>1</v>
      </c>
      <c r="G2652" s="1" t="s">
        <v>63</v>
      </c>
      <c r="H2652" s="4" t="str">
        <f>HYPERLINK("https://www.ncbi.nlm.nih.gov/geo/query/acc.cgi?acc=GSM803915","GSM803915")</f>
        <v>GSM803915</v>
      </c>
      <c r="I2652" t="s">
        <v>17</v>
      </c>
      <c r="J2652" t="s">
        <v>18</v>
      </c>
      <c r="K2652" t="s">
        <v>19</v>
      </c>
      <c r="L2652" t="s">
        <v>20</v>
      </c>
      <c r="M2652" t="s">
        <v>44</v>
      </c>
      <c r="N2652" t="s">
        <v>22</v>
      </c>
    </row>
    <row r="2653" spans="1:14">
      <c r="A2653" s="4" t="str">
        <f t="shared" si="256"/>
        <v>EXP00093</v>
      </c>
      <c r="B2653" s="4" t="str">
        <f t="shared" si="257"/>
        <v>23136189</v>
      </c>
      <c r="C2653" s="4" t="str">
        <f t="shared" si="258"/>
        <v>GSE32489</v>
      </c>
      <c r="D2653" s="1" t="s">
        <v>194</v>
      </c>
      <c r="E2653" t="s">
        <v>15</v>
      </c>
      <c r="F2653" s="1">
        <v>1</v>
      </c>
      <c r="G2653" s="1" t="s">
        <v>63</v>
      </c>
      <c r="H2653" s="4" t="str">
        <f>HYPERLINK("https://www.ncbi.nlm.nih.gov/geo/query/acc.cgi?acc=GSM803916","GSM803916")</f>
        <v>GSM803916</v>
      </c>
      <c r="I2653" t="s">
        <v>17</v>
      </c>
      <c r="J2653" t="s">
        <v>18</v>
      </c>
      <c r="K2653" t="s">
        <v>19</v>
      </c>
      <c r="L2653" t="s">
        <v>20</v>
      </c>
      <c r="M2653" t="s">
        <v>44</v>
      </c>
      <c r="N2653" t="s">
        <v>22</v>
      </c>
    </row>
    <row r="2654" spans="1:14">
      <c r="A2654" s="4" t="str">
        <f t="shared" si="256"/>
        <v>EXP00093</v>
      </c>
      <c r="B2654" s="4" t="str">
        <f t="shared" si="257"/>
        <v>23136189</v>
      </c>
      <c r="C2654" s="4" t="str">
        <f t="shared" si="258"/>
        <v>GSE32489</v>
      </c>
      <c r="D2654" s="1" t="s">
        <v>194</v>
      </c>
      <c r="E2654" t="s">
        <v>15</v>
      </c>
      <c r="F2654" s="1">
        <v>2</v>
      </c>
      <c r="G2654" s="1" t="s">
        <v>40</v>
      </c>
      <c r="H2654" s="4" t="str">
        <f>HYPERLINK("https://www.ncbi.nlm.nih.gov/geo/query/acc.cgi?acc=GSM803898","GSM803898")</f>
        <v>GSM803898</v>
      </c>
      <c r="I2654" t="s">
        <v>17</v>
      </c>
      <c r="J2654" t="s">
        <v>18</v>
      </c>
      <c r="K2654" t="s">
        <v>19</v>
      </c>
      <c r="L2654" t="s">
        <v>20</v>
      </c>
      <c r="M2654" t="s">
        <v>41</v>
      </c>
      <c r="N2654" t="s">
        <v>22</v>
      </c>
    </row>
    <row r="2655" spans="1:14">
      <c r="A2655" s="4" t="str">
        <f t="shared" si="256"/>
        <v>EXP00093</v>
      </c>
      <c r="B2655" s="4" t="str">
        <f t="shared" si="257"/>
        <v>23136189</v>
      </c>
      <c r="C2655" s="4" t="str">
        <f t="shared" si="258"/>
        <v>GSE32489</v>
      </c>
      <c r="D2655" s="1" t="s">
        <v>194</v>
      </c>
      <c r="E2655" t="s">
        <v>15</v>
      </c>
      <c r="F2655" s="1">
        <v>2</v>
      </c>
      <c r="G2655" s="1" t="s">
        <v>40</v>
      </c>
      <c r="H2655" s="4" t="str">
        <f>HYPERLINK("https://www.ncbi.nlm.nih.gov/geo/query/acc.cgi?acc=GSM803899","GSM803899")</f>
        <v>GSM803899</v>
      </c>
      <c r="I2655" t="s">
        <v>17</v>
      </c>
      <c r="J2655" t="s">
        <v>18</v>
      </c>
      <c r="K2655" t="s">
        <v>19</v>
      </c>
      <c r="L2655" t="s">
        <v>20</v>
      </c>
      <c r="M2655" t="s">
        <v>41</v>
      </c>
      <c r="N2655" t="s">
        <v>22</v>
      </c>
    </row>
    <row r="2656" spans="1:14">
      <c r="A2656" s="4" t="str">
        <f t="shared" si="256"/>
        <v>EXP00093</v>
      </c>
      <c r="B2656" s="4" t="str">
        <f t="shared" si="257"/>
        <v>23136189</v>
      </c>
      <c r="C2656" s="4" t="str">
        <f t="shared" si="258"/>
        <v>GSE32489</v>
      </c>
      <c r="D2656" s="1" t="s">
        <v>194</v>
      </c>
      <c r="E2656" t="s">
        <v>15</v>
      </c>
      <c r="F2656" s="1">
        <v>2</v>
      </c>
      <c r="G2656" s="1" t="s">
        <v>40</v>
      </c>
      <c r="H2656" s="4" t="str">
        <f>HYPERLINK("https://www.ncbi.nlm.nih.gov/geo/query/acc.cgi?acc=GSM803904","GSM803904")</f>
        <v>GSM803904</v>
      </c>
      <c r="I2656" t="s">
        <v>17</v>
      </c>
      <c r="J2656" t="s">
        <v>18</v>
      </c>
      <c r="K2656" t="s">
        <v>19</v>
      </c>
      <c r="L2656" t="s">
        <v>20</v>
      </c>
      <c r="M2656" t="s">
        <v>41</v>
      </c>
      <c r="N2656" t="s">
        <v>22</v>
      </c>
    </row>
    <row r="2657" spans="1:14">
      <c r="A2657" s="4" t="str">
        <f t="shared" si="256"/>
        <v>EXP00093</v>
      </c>
      <c r="B2657" s="4" t="str">
        <f t="shared" si="257"/>
        <v>23136189</v>
      </c>
      <c r="C2657" s="4" t="str">
        <f t="shared" si="258"/>
        <v>GSE32489</v>
      </c>
      <c r="D2657" s="1" t="s">
        <v>194</v>
      </c>
      <c r="E2657" t="s">
        <v>15</v>
      </c>
      <c r="F2657" s="1">
        <v>2</v>
      </c>
      <c r="G2657" s="1" t="s">
        <v>40</v>
      </c>
      <c r="H2657" s="4" t="str">
        <f>HYPERLINK("https://www.ncbi.nlm.nih.gov/geo/query/acc.cgi?acc=GSM803907","GSM803907")</f>
        <v>GSM803907</v>
      </c>
      <c r="I2657" t="s">
        <v>17</v>
      </c>
      <c r="J2657" t="s">
        <v>18</v>
      </c>
      <c r="K2657" t="s">
        <v>19</v>
      </c>
      <c r="L2657" t="s">
        <v>20</v>
      </c>
      <c r="M2657" t="s">
        <v>41</v>
      </c>
      <c r="N2657" t="s">
        <v>22</v>
      </c>
    </row>
    <row r="2658" spans="1:14">
      <c r="A2658" s="4" t="str">
        <f t="shared" si="256"/>
        <v>EXP00093</v>
      </c>
      <c r="B2658" s="4" t="str">
        <f t="shared" si="257"/>
        <v>23136189</v>
      </c>
      <c r="C2658" s="4" t="str">
        <f t="shared" si="258"/>
        <v>GSE32489</v>
      </c>
      <c r="D2658" s="1" t="s">
        <v>194</v>
      </c>
      <c r="E2658" t="s">
        <v>15</v>
      </c>
      <c r="F2658" s="1">
        <v>2</v>
      </c>
      <c r="G2658" s="1" t="s">
        <v>40</v>
      </c>
      <c r="H2658" s="4" t="str">
        <f>HYPERLINK("https://www.ncbi.nlm.nih.gov/geo/query/acc.cgi?acc=GSM803910","GSM803910")</f>
        <v>GSM803910</v>
      </c>
      <c r="I2658" t="s">
        <v>17</v>
      </c>
      <c r="J2658" t="s">
        <v>18</v>
      </c>
      <c r="K2658" t="s">
        <v>19</v>
      </c>
      <c r="L2658" t="s">
        <v>20</v>
      </c>
      <c r="M2658" t="s">
        <v>41</v>
      </c>
      <c r="N2658" t="s">
        <v>22</v>
      </c>
    </row>
    <row r="2659" spans="1:14">
      <c r="A2659" s="4" t="str">
        <f t="shared" si="256"/>
        <v>EXP00093</v>
      </c>
      <c r="B2659" s="4" t="str">
        <f t="shared" si="257"/>
        <v>23136189</v>
      </c>
      <c r="C2659" s="4" t="str">
        <f t="shared" si="258"/>
        <v>GSE32489</v>
      </c>
      <c r="D2659" s="1" t="s">
        <v>194</v>
      </c>
      <c r="E2659" t="s">
        <v>15</v>
      </c>
      <c r="F2659" s="1">
        <v>3</v>
      </c>
      <c r="G2659" s="1" t="s">
        <v>23</v>
      </c>
      <c r="H2659" s="4" t="str">
        <f>HYPERLINK("https://www.ncbi.nlm.nih.gov/geo/query/acc.cgi?acc=GSM803917","GSM803917")</f>
        <v>GSM803917</v>
      </c>
      <c r="I2659" t="s">
        <v>17</v>
      </c>
      <c r="J2659" t="s">
        <v>18</v>
      </c>
      <c r="K2659" t="s">
        <v>19</v>
      </c>
      <c r="L2659" t="s">
        <v>20</v>
      </c>
      <c r="M2659" t="s">
        <v>24</v>
      </c>
      <c r="N2659" t="s">
        <v>22</v>
      </c>
    </row>
    <row r="2660" spans="1:14">
      <c r="A2660" s="4" t="str">
        <f t="shared" si="256"/>
        <v>EXP00093</v>
      </c>
      <c r="B2660" s="4" t="str">
        <f t="shared" si="257"/>
        <v>23136189</v>
      </c>
      <c r="C2660" s="4" t="str">
        <f t="shared" si="258"/>
        <v>GSE32489</v>
      </c>
      <c r="D2660" s="1" t="s">
        <v>194</v>
      </c>
      <c r="E2660" t="s">
        <v>15</v>
      </c>
      <c r="F2660" s="1">
        <v>3</v>
      </c>
      <c r="G2660" s="1" t="s">
        <v>23</v>
      </c>
      <c r="H2660" s="4" t="str">
        <f>HYPERLINK("https://www.ncbi.nlm.nih.gov/geo/query/acc.cgi?acc=GSM803918","GSM803918")</f>
        <v>GSM803918</v>
      </c>
      <c r="I2660" t="s">
        <v>17</v>
      </c>
      <c r="J2660" t="s">
        <v>18</v>
      </c>
      <c r="K2660" t="s">
        <v>19</v>
      </c>
      <c r="L2660" t="s">
        <v>20</v>
      </c>
      <c r="M2660" t="s">
        <v>24</v>
      </c>
      <c r="N2660" t="s">
        <v>22</v>
      </c>
    </row>
    <row r="2661" spans="1:14">
      <c r="A2661" s="4" t="str">
        <f t="shared" si="256"/>
        <v>EXP00093</v>
      </c>
      <c r="B2661" s="4" t="str">
        <f t="shared" si="257"/>
        <v>23136189</v>
      </c>
      <c r="C2661" s="4" t="str">
        <f t="shared" si="258"/>
        <v>GSE32489</v>
      </c>
      <c r="D2661" s="1" t="s">
        <v>194</v>
      </c>
      <c r="E2661" t="s">
        <v>15</v>
      </c>
      <c r="F2661" s="1">
        <v>3</v>
      </c>
      <c r="G2661" s="1" t="s">
        <v>23</v>
      </c>
      <c r="H2661" s="4" t="str">
        <f>HYPERLINK("https://www.ncbi.nlm.nih.gov/geo/query/acc.cgi?acc=GSM803919","GSM803919")</f>
        <v>GSM803919</v>
      </c>
      <c r="I2661" t="s">
        <v>17</v>
      </c>
      <c r="J2661" t="s">
        <v>18</v>
      </c>
      <c r="K2661" t="s">
        <v>19</v>
      </c>
      <c r="L2661" t="s">
        <v>20</v>
      </c>
      <c r="M2661" t="s">
        <v>24</v>
      </c>
      <c r="N2661" t="s">
        <v>22</v>
      </c>
    </row>
    <row r="2662" spans="1:14">
      <c r="A2662" s="4" t="str">
        <f t="shared" si="256"/>
        <v>EXP00093</v>
      </c>
      <c r="B2662" s="4" t="str">
        <f t="shared" si="257"/>
        <v>23136189</v>
      </c>
      <c r="C2662" s="4" t="str">
        <f t="shared" si="258"/>
        <v>GSE32489</v>
      </c>
      <c r="D2662" s="1" t="s">
        <v>194</v>
      </c>
      <c r="E2662" t="s">
        <v>15</v>
      </c>
      <c r="F2662" s="1">
        <v>3</v>
      </c>
      <c r="G2662" s="1" t="s">
        <v>23</v>
      </c>
      <c r="H2662" s="4" t="str">
        <f>HYPERLINK("https://www.ncbi.nlm.nih.gov/geo/query/acc.cgi?acc=GSM803920","GSM803920")</f>
        <v>GSM803920</v>
      </c>
      <c r="I2662" t="s">
        <v>17</v>
      </c>
      <c r="J2662" t="s">
        <v>18</v>
      </c>
      <c r="K2662" t="s">
        <v>19</v>
      </c>
      <c r="L2662" t="s">
        <v>20</v>
      </c>
      <c r="M2662" t="s">
        <v>24</v>
      </c>
      <c r="N2662" t="s">
        <v>22</v>
      </c>
    </row>
    <row r="2663" spans="1:14">
      <c r="A2663" s="4" t="str">
        <f t="shared" si="256"/>
        <v>EXP00093</v>
      </c>
      <c r="B2663" s="4" t="str">
        <f t="shared" si="257"/>
        <v>23136189</v>
      </c>
      <c r="C2663" s="4" t="str">
        <f t="shared" si="258"/>
        <v>GSE32489</v>
      </c>
      <c r="D2663" s="1" t="s">
        <v>194</v>
      </c>
      <c r="E2663" t="s">
        <v>15</v>
      </c>
      <c r="F2663" s="1">
        <v>3</v>
      </c>
      <c r="G2663" s="1" t="s">
        <v>23</v>
      </c>
      <c r="H2663" s="4" t="str">
        <f>HYPERLINK("https://www.ncbi.nlm.nih.gov/geo/query/acc.cgi?acc=GSM803921","GSM803921")</f>
        <v>GSM803921</v>
      </c>
      <c r="I2663" t="s">
        <v>17</v>
      </c>
      <c r="J2663" t="s">
        <v>18</v>
      </c>
      <c r="K2663" t="s">
        <v>19</v>
      </c>
      <c r="L2663" t="s">
        <v>20</v>
      </c>
      <c r="M2663" t="s">
        <v>24</v>
      </c>
      <c r="N2663" t="s">
        <v>22</v>
      </c>
    </row>
    <row r="2664" spans="1:14">
      <c r="A2664" s="4" t="str">
        <f t="shared" si="256"/>
        <v>EXP00093</v>
      </c>
      <c r="B2664" s="4" t="str">
        <f t="shared" si="257"/>
        <v>23136189</v>
      </c>
      <c r="C2664" s="4" t="str">
        <f t="shared" si="258"/>
        <v>GSE32489</v>
      </c>
      <c r="D2664" s="1" t="s">
        <v>194</v>
      </c>
      <c r="E2664" t="s">
        <v>15</v>
      </c>
      <c r="F2664" s="1">
        <v>3</v>
      </c>
      <c r="G2664" s="1" t="s">
        <v>23</v>
      </c>
      <c r="H2664" s="4" t="str">
        <f>HYPERLINK("https://www.ncbi.nlm.nih.gov/geo/query/acc.cgi?acc=GSM803922","GSM803922")</f>
        <v>GSM803922</v>
      </c>
      <c r="I2664" t="s">
        <v>17</v>
      </c>
      <c r="J2664" t="s">
        <v>18</v>
      </c>
      <c r="K2664" t="s">
        <v>19</v>
      </c>
      <c r="L2664" t="s">
        <v>20</v>
      </c>
      <c r="M2664" t="s">
        <v>24</v>
      </c>
      <c r="N2664" t="s">
        <v>22</v>
      </c>
    </row>
    <row r="2665" spans="1:14">
      <c r="A2665" s="4" t="str">
        <f t="shared" si="256"/>
        <v>EXP00093</v>
      </c>
      <c r="B2665" s="4" t="str">
        <f t="shared" si="257"/>
        <v>23136189</v>
      </c>
      <c r="C2665" s="4" t="str">
        <f t="shared" si="258"/>
        <v>GSE32489</v>
      </c>
      <c r="D2665" s="1" t="s">
        <v>194</v>
      </c>
      <c r="E2665" t="s">
        <v>15</v>
      </c>
      <c r="F2665" s="1">
        <v>3</v>
      </c>
      <c r="G2665" s="1" t="s">
        <v>23</v>
      </c>
      <c r="H2665" s="4" t="str">
        <f>HYPERLINK("https://www.ncbi.nlm.nih.gov/geo/query/acc.cgi?acc=GSM803923","GSM803923")</f>
        <v>GSM803923</v>
      </c>
      <c r="I2665" t="s">
        <v>17</v>
      </c>
      <c r="J2665" t="s">
        <v>18</v>
      </c>
      <c r="K2665" t="s">
        <v>19</v>
      </c>
      <c r="L2665" t="s">
        <v>20</v>
      </c>
      <c r="M2665" t="s">
        <v>24</v>
      </c>
      <c r="N2665" t="s">
        <v>22</v>
      </c>
    </row>
    <row r="2666" spans="1:14">
      <c r="A2666" s="4" t="str">
        <f t="shared" si="256"/>
        <v>EXP00093</v>
      </c>
      <c r="B2666" s="4" t="str">
        <f t="shared" si="257"/>
        <v>23136189</v>
      </c>
      <c r="C2666" s="4" t="str">
        <f t="shared" si="258"/>
        <v>GSE32489</v>
      </c>
      <c r="D2666" s="1" t="s">
        <v>194</v>
      </c>
      <c r="E2666" t="s">
        <v>15</v>
      </c>
      <c r="F2666" s="1">
        <v>3</v>
      </c>
      <c r="G2666" s="1" t="s">
        <v>23</v>
      </c>
      <c r="H2666" s="4" t="str">
        <f>HYPERLINK("https://www.ncbi.nlm.nih.gov/geo/query/acc.cgi?acc=GSM803924","GSM803924")</f>
        <v>GSM803924</v>
      </c>
      <c r="I2666" t="s">
        <v>17</v>
      </c>
      <c r="J2666" t="s">
        <v>18</v>
      </c>
      <c r="K2666" t="s">
        <v>19</v>
      </c>
      <c r="L2666" t="s">
        <v>20</v>
      </c>
      <c r="M2666" t="s">
        <v>24</v>
      </c>
      <c r="N2666" t="s">
        <v>22</v>
      </c>
    </row>
    <row r="2667" spans="1:14">
      <c r="A2667" s="4" t="str">
        <f t="shared" si="256"/>
        <v>EXP00093</v>
      </c>
      <c r="B2667" s="4" t="str">
        <f t="shared" si="257"/>
        <v>23136189</v>
      </c>
      <c r="C2667" s="4" t="str">
        <f t="shared" si="258"/>
        <v>GSE32489</v>
      </c>
      <c r="D2667" s="1" t="s">
        <v>194</v>
      </c>
      <c r="E2667" t="s">
        <v>15</v>
      </c>
      <c r="F2667" s="1">
        <v>3</v>
      </c>
      <c r="G2667" s="1" t="s">
        <v>23</v>
      </c>
      <c r="H2667" s="4" t="str">
        <f>HYPERLINK("https://www.ncbi.nlm.nih.gov/geo/query/acc.cgi?acc=GSM803925","GSM803925")</f>
        <v>GSM803925</v>
      </c>
      <c r="I2667" t="s">
        <v>17</v>
      </c>
      <c r="J2667" t="s">
        <v>18</v>
      </c>
      <c r="K2667" t="s">
        <v>19</v>
      </c>
      <c r="L2667" t="s">
        <v>20</v>
      </c>
      <c r="M2667" t="s">
        <v>24</v>
      </c>
      <c r="N2667" t="s">
        <v>22</v>
      </c>
    </row>
    <row r="2668" spans="1:14">
      <c r="A2668" s="4" t="str">
        <f t="shared" si="256"/>
        <v>EXP00093</v>
      </c>
      <c r="B2668" s="4" t="str">
        <f t="shared" si="257"/>
        <v>23136189</v>
      </c>
      <c r="C2668" s="4" t="str">
        <f t="shared" si="258"/>
        <v>GSE32489</v>
      </c>
      <c r="D2668" s="1" t="s">
        <v>194</v>
      </c>
      <c r="E2668" t="s">
        <v>15</v>
      </c>
      <c r="F2668" s="1">
        <v>3</v>
      </c>
      <c r="G2668" s="1" t="s">
        <v>23</v>
      </c>
      <c r="H2668" s="4" t="str">
        <f>HYPERLINK("https://www.ncbi.nlm.nih.gov/geo/query/acc.cgi?acc=GSM803926","GSM803926")</f>
        <v>GSM803926</v>
      </c>
      <c r="I2668" t="s">
        <v>17</v>
      </c>
      <c r="J2668" t="s">
        <v>18</v>
      </c>
      <c r="K2668" t="s">
        <v>19</v>
      </c>
      <c r="L2668" t="s">
        <v>20</v>
      </c>
      <c r="M2668" t="s">
        <v>24</v>
      </c>
      <c r="N2668" t="s">
        <v>22</v>
      </c>
    </row>
    <row r="2669" spans="1:14">
      <c r="A2669" s="4" t="str">
        <f t="shared" si="256"/>
        <v>EXP00093</v>
      </c>
      <c r="B2669" s="4" t="str">
        <f t="shared" si="257"/>
        <v>23136189</v>
      </c>
      <c r="C2669" s="4" t="str">
        <f t="shared" si="258"/>
        <v>GSE32489</v>
      </c>
      <c r="D2669" s="1" t="s">
        <v>194</v>
      </c>
      <c r="E2669" t="s">
        <v>15</v>
      </c>
      <c r="F2669" s="1">
        <v>3</v>
      </c>
      <c r="G2669" s="1" t="s">
        <v>23</v>
      </c>
      <c r="H2669" s="4" t="str">
        <f>HYPERLINK("https://www.ncbi.nlm.nih.gov/geo/query/acc.cgi?acc=GSM803927","GSM803927")</f>
        <v>GSM803927</v>
      </c>
      <c r="I2669" t="s">
        <v>17</v>
      </c>
      <c r="J2669" t="s">
        <v>18</v>
      </c>
      <c r="K2669" t="s">
        <v>19</v>
      </c>
      <c r="L2669" t="s">
        <v>20</v>
      </c>
      <c r="M2669" t="s">
        <v>24</v>
      </c>
      <c r="N2669" t="s">
        <v>22</v>
      </c>
    </row>
    <row r="2670" spans="1:14">
      <c r="A2670" s="4" t="str">
        <f t="shared" si="256"/>
        <v>EXP00093</v>
      </c>
      <c r="B2670" s="4" t="str">
        <f t="shared" si="257"/>
        <v>23136189</v>
      </c>
      <c r="C2670" s="4" t="str">
        <f t="shared" si="258"/>
        <v>GSE32489</v>
      </c>
      <c r="D2670" s="1" t="s">
        <v>194</v>
      </c>
      <c r="E2670" t="s">
        <v>15</v>
      </c>
      <c r="F2670" s="1">
        <v>3</v>
      </c>
      <c r="G2670" s="1" t="s">
        <v>23</v>
      </c>
      <c r="H2670" s="4" t="str">
        <f>HYPERLINK("https://www.ncbi.nlm.nih.gov/geo/query/acc.cgi?acc=GSM803928","GSM803928")</f>
        <v>GSM803928</v>
      </c>
      <c r="I2670" t="s">
        <v>17</v>
      </c>
      <c r="J2670" t="s">
        <v>18</v>
      </c>
      <c r="K2670" t="s">
        <v>19</v>
      </c>
      <c r="L2670" t="s">
        <v>20</v>
      </c>
      <c r="M2670" t="s">
        <v>24</v>
      </c>
      <c r="N2670" t="s">
        <v>22</v>
      </c>
    </row>
    <row r="2671" spans="1:14">
      <c r="A2671" s="4" t="str">
        <f t="shared" si="256"/>
        <v>EXP00093</v>
      </c>
      <c r="B2671" s="4" t="str">
        <f t="shared" si="257"/>
        <v>23136189</v>
      </c>
      <c r="C2671" s="4" t="str">
        <f t="shared" si="258"/>
        <v>GSE32489</v>
      </c>
      <c r="D2671" s="1" t="s">
        <v>194</v>
      </c>
      <c r="E2671" t="s">
        <v>15</v>
      </c>
      <c r="F2671" s="1">
        <v>3</v>
      </c>
      <c r="G2671" s="1" t="s">
        <v>23</v>
      </c>
      <c r="H2671" s="4" t="str">
        <f>HYPERLINK("https://www.ncbi.nlm.nih.gov/geo/query/acc.cgi?acc=GSM803929","GSM803929")</f>
        <v>GSM803929</v>
      </c>
      <c r="I2671" t="s">
        <v>17</v>
      </c>
      <c r="J2671" t="s">
        <v>18</v>
      </c>
      <c r="K2671" t="s">
        <v>19</v>
      </c>
      <c r="L2671" t="s">
        <v>20</v>
      </c>
      <c r="M2671" t="s">
        <v>24</v>
      </c>
      <c r="N2671" t="s">
        <v>22</v>
      </c>
    </row>
    <row r="2672" spans="1:14">
      <c r="A2672" s="4" t="str">
        <f t="shared" si="256"/>
        <v>EXP00093</v>
      </c>
      <c r="B2672" s="4" t="str">
        <f t="shared" si="257"/>
        <v>23136189</v>
      </c>
      <c r="C2672" s="4" t="str">
        <f t="shared" si="258"/>
        <v>GSE32489</v>
      </c>
      <c r="D2672" s="1" t="s">
        <v>194</v>
      </c>
      <c r="E2672" t="s">
        <v>15</v>
      </c>
      <c r="F2672" s="1">
        <v>3</v>
      </c>
      <c r="G2672" s="1" t="s">
        <v>23</v>
      </c>
      <c r="H2672" s="4" t="str">
        <f>HYPERLINK("https://www.ncbi.nlm.nih.gov/geo/query/acc.cgi?acc=GSM803930","GSM803930")</f>
        <v>GSM803930</v>
      </c>
      <c r="I2672" t="s">
        <v>17</v>
      </c>
      <c r="J2672" t="s">
        <v>18</v>
      </c>
      <c r="K2672" t="s">
        <v>19</v>
      </c>
      <c r="L2672" t="s">
        <v>20</v>
      </c>
      <c r="M2672" t="s">
        <v>24</v>
      </c>
      <c r="N2672" t="s">
        <v>22</v>
      </c>
    </row>
    <row r="2673" spans="1:14">
      <c r="A2673" s="4" t="str">
        <f t="shared" si="256"/>
        <v>EXP00093</v>
      </c>
      <c r="B2673" s="4" t="str">
        <f t="shared" si="257"/>
        <v>23136189</v>
      </c>
      <c r="C2673" s="4" t="str">
        <f t="shared" si="258"/>
        <v>GSE32489</v>
      </c>
      <c r="D2673" s="1" t="s">
        <v>194</v>
      </c>
      <c r="E2673" t="s">
        <v>15</v>
      </c>
      <c r="F2673" s="1">
        <v>3</v>
      </c>
      <c r="G2673" s="1" t="s">
        <v>23</v>
      </c>
      <c r="H2673" s="4" t="str">
        <f>HYPERLINK("https://www.ncbi.nlm.nih.gov/geo/query/acc.cgi?acc=GSM803931","GSM803931")</f>
        <v>GSM803931</v>
      </c>
      <c r="I2673" t="s">
        <v>17</v>
      </c>
      <c r="J2673" t="s">
        <v>18</v>
      </c>
      <c r="K2673" t="s">
        <v>19</v>
      </c>
      <c r="L2673" t="s">
        <v>20</v>
      </c>
      <c r="M2673" t="s">
        <v>24</v>
      </c>
      <c r="N2673" t="s">
        <v>22</v>
      </c>
    </row>
    <row r="2674" spans="1:14">
      <c r="A2674" s="4" t="str">
        <f t="shared" si="256"/>
        <v>EXP00093</v>
      </c>
      <c r="B2674" s="4" t="str">
        <f t="shared" si="257"/>
        <v>23136189</v>
      </c>
      <c r="C2674" s="4" t="str">
        <f t="shared" si="258"/>
        <v>GSE32489</v>
      </c>
      <c r="D2674" s="1" t="s">
        <v>194</v>
      </c>
      <c r="E2674" t="s">
        <v>15</v>
      </c>
      <c r="F2674" s="1">
        <v>3</v>
      </c>
      <c r="G2674" s="1" t="s">
        <v>23</v>
      </c>
      <c r="H2674" s="4" t="str">
        <f>HYPERLINK("https://www.ncbi.nlm.nih.gov/geo/query/acc.cgi?acc=GSM803932","GSM803932")</f>
        <v>GSM803932</v>
      </c>
      <c r="I2674" t="s">
        <v>17</v>
      </c>
      <c r="J2674" t="s">
        <v>18</v>
      </c>
      <c r="K2674" t="s">
        <v>19</v>
      </c>
      <c r="L2674" t="s">
        <v>20</v>
      </c>
      <c r="M2674" t="s">
        <v>24</v>
      </c>
      <c r="N2674" t="s">
        <v>22</v>
      </c>
    </row>
    <row r="2675" spans="1:14">
      <c r="A2675" s="4" t="str">
        <f t="shared" si="256"/>
        <v>EXP00093</v>
      </c>
      <c r="B2675" s="4" t="str">
        <f t="shared" si="257"/>
        <v>23136189</v>
      </c>
      <c r="C2675" s="4" t="str">
        <f t="shared" si="258"/>
        <v>GSE32489</v>
      </c>
      <c r="D2675" s="1" t="s">
        <v>194</v>
      </c>
      <c r="E2675" t="s">
        <v>15</v>
      </c>
      <c r="F2675" s="1">
        <v>3</v>
      </c>
      <c r="G2675" s="1" t="s">
        <v>23</v>
      </c>
      <c r="H2675" s="4" t="str">
        <f>HYPERLINK("https://www.ncbi.nlm.nih.gov/geo/query/acc.cgi?acc=GSM803933","GSM803933")</f>
        <v>GSM803933</v>
      </c>
      <c r="I2675" t="s">
        <v>17</v>
      </c>
      <c r="J2675" t="s">
        <v>18</v>
      </c>
      <c r="K2675" t="s">
        <v>19</v>
      </c>
      <c r="L2675" t="s">
        <v>20</v>
      </c>
      <c r="M2675" t="s">
        <v>24</v>
      </c>
      <c r="N2675" t="s">
        <v>22</v>
      </c>
    </row>
    <row r="2676" spans="1:14">
      <c r="A2676" s="4" t="str">
        <f t="shared" si="256"/>
        <v>EXP00093</v>
      </c>
      <c r="B2676" s="4" t="str">
        <f t="shared" si="257"/>
        <v>23136189</v>
      </c>
      <c r="C2676" s="4" t="str">
        <f t="shared" si="258"/>
        <v>GSE32489</v>
      </c>
      <c r="D2676" s="1" t="s">
        <v>194</v>
      </c>
      <c r="E2676" t="s">
        <v>15</v>
      </c>
      <c r="F2676" s="1">
        <v>3</v>
      </c>
      <c r="G2676" s="1" t="s">
        <v>23</v>
      </c>
      <c r="H2676" s="4" t="str">
        <f>HYPERLINK("https://www.ncbi.nlm.nih.gov/geo/query/acc.cgi?acc=GSM803934","GSM803934")</f>
        <v>GSM803934</v>
      </c>
      <c r="I2676" t="s">
        <v>17</v>
      </c>
      <c r="J2676" t="s">
        <v>18</v>
      </c>
      <c r="K2676" t="s">
        <v>19</v>
      </c>
      <c r="L2676" t="s">
        <v>20</v>
      </c>
      <c r="M2676" t="s">
        <v>24</v>
      </c>
      <c r="N2676" t="s">
        <v>22</v>
      </c>
    </row>
    <row r="2677" spans="1:14">
      <c r="A2677" s="4" t="str">
        <f t="shared" si="256"/>
        <v>EXP00093</v>
      </c>
      <c r="B2677" s="4" t="str">
        <f t="shared" si="257"/>
        <v>23136189</v>
      </c>
      <c r="C2677" s="4" t="str">
        <f t="shared" si="258"/>
        <v>GSE32489</v>
      </c>
      <c r="D2677" s="1" t="s">
        <v>194</v>
      </c>
      <c r="E2677" t="s">
        <v>15</v>
      </c>
      <c r="F2677" s="1">
        <v>3</v>
      </c>
      <c r="G2677" s="1" t="s">
        <v>23</v>
      </c>
      <c r="H2677" s="4" t="str">
        <f>HYPERLINK("https://www.ncbi.nlm.nih.gov/geo/query/acc.cgi?acc=GSM803936","GSM803936")</f>
        <v>GSM803936</v>
      </c>
      <c r="I2677" t="s">
        <v>17</v>
      </c>
      <c r="J2677" t="s">
        <v>18</v>
      </c>
      <c r="K2677" t="s">
        <v>19</v>
      </c>
      <c r="L2677" t="s">
        <v>20</v>
      </c>
      <c r="M2677" t="s">
        <v>24</v>
      </c>
      <c r="N2677" t="s">
        <v>22</v>
      </c>
    </row>
    <row r="2678" spans="1:14">
      <c r="A2678" s="4" t="str">
        <f t="shared" si="256"/>
        <v>EXP00093</v>
      </c>
      <c r="B2678" s="4" t="str">
        <f t="shared" si="257"/>
        <v>23136189</v>
      </c>
      <c r="C2678" s="4" t="str">
        <f t="shared" si="258"/>
        <v>GSE32489</v>
      </c>
      <c r="D2678" s="1" t="s">
        <v>194</v>
      </c>
      <c r="E2678" t="s">
        <v>15</v>
      </c>
      <c r="F2678" s="1">
        <v>3</v>
      </c>
      <c r="G2678" s="1" t="s">
        <v>23</v>
      </c>
      <c r="H2678" s="4" t="str">
        <f>HYPERLINK("https://www.ncbi.nlm.nih.gov/geo/query/acc.cgi?acc=GSM803937","GSM803937")</f>
        <v>GSM803937</v>
      </c>
      <c r="I2678" t="s">
        <v>17</v>
      </c>
      <c r="J2678" t="s">
        <v>18</v>
      </c>
      <c r="K2678" t="s">
        <v>19</v>
      </c>
      <c r="L2678" t="s">
        <v>20</v>
      </c>
      <c r="M2678" t="s">
        <v>24</v>
      </c>
      <c r="N2678" t="s">
        <v>22</v>
      </c>
    </row>
    <row r="2679" spans="1:14">
      <c r="A2679" s="4" t="str">
        <f t="shared" ref="A2679:A2710" si="259">HYPERLINK("http://hcmdb.i-sanger.com/experiment/details/experiment_id/EXP00093","EXP00093")</f>
        <v>EXP00093</v>
      </c>
      <c r="B2679" s="4" t="str">
        <f t="shared" ref="B2679:B2710" si="260">HYPERLINK("https://www.ncbi.nlm.nih.gov/pubmed/23136189","23136189")</f>
        <v>23136189</v>
      </c>
      <c r="C2679" s="4" t="str">
        <f t="shared" ref="C2679:C2710" si="261">HYPERLINK("https://www.ncbi.nlm.nih.gov/geo/query/acc.cgi?acc=GSE32489","GSE32489")</f>
        <v>GSE32489</v>
      </c>
      <c r="D2679" s="1" t="s">
        <v>194</v>
      </c>
      <c r="E2679" t="s">
        <v>15</v>
      </c>
      <c r="F2679" s="1">
        <v>3</v>
      </c>
      <c r="G2679" s="1" t="s">
        <v>23</v>
      </c>
      <c r="H2679" s="4" t="str">
        <f>HYPERLINK("https://www.ncbi.nlm.nih.gov/geo/query/acc.cgi?acc=GSM803938","GSM803938")</f>
        <v>GSM803938</v>
      </c>
      <c r="I2679" t="s">
        <v>17</v>
      </c>
      <c r="J2679" t="s">
        <v>18</v>
      </c>
      <c r="K2679" t="s">
        <v>19</v>
      </c>
      <c r="L2679" t="s">
        <v>20</v>
      </c>
      <c r="M2679" t="s">
        <v>24</v>
      </c>
      <c r="N2679" t="s">
        <v>22</v>
      </c>
    </row>
    <row r="2680" spans="1:14">
      <c r="A2680" s="4" t="str">
        <f t="shared" si="259"/>
        <v>EXP00093</v>
      </c>
      <c r="B2680" s="4" t="str">
        <f t="shared" si="260"/>
        <v>23136189</v>
      </c>
      <c r="C2680" s="4" t="str">
        <f t="shared" si="261"/>
        <v>GSE32489</v>
      </c>
      <c r="D2680" s="1" t="s">
        <v>194</v>
      </c>
      <c r="E2680" t="s">
        <v>15</v>
      </c>
      <c r="F2680" s="1">
        <v>3</v>
      </c>
      <c r="G2680" s="1" t="s">
        <v>23</v>
      </c>
      <c r="H2680" s="4" t="str">
        <f>HYPERLINK("https://www.ncbi.nlm.nih.gov/geo/query/acc.cgi?acc=GSM803939","GSM803939")</f>
        <v>GSM803939</v>
      </c>
      <c r="I2680" t="s">
        <v>17</v>
      </c>
      <c r="J2680" t="s">
        <v>18</v>
      </c>
      <c r="K2680" t="s">
        <v>19</v>
      </c>
      <c r="L2680" t="s">
        <v>20</v>
      </c>
      <c r="M2680" t="s">
        <v>24</v>
      </c>
      <c r="N2680" t="s">
        <v>22</v>
      </c>
    </row>
    <row r="2681" spans="1:14">
      <c r="A2681" s="4" t="str">
        <f t="shared" si="259"/>
        <v>EXP00093</v>
      </c>
      <c r="B2681" s="4" t="str">
        <f t="shared" si="260"/>
        <v>23136189</v>
      </c>
      <c r="C2681" s="4" t="str">
        <f t="shared" si="261"/>
        <v>GSE32489</v>
      </c>
      <c r="D2681" s="1" t="s">
        <v>194</v>
      </c>
      <c r="E2681" t="s">
        <v>15</v>
      </c>
      <c r="F2681" s="1">
        <v>3</v>
      </c>
      <c r="G2681" s="1" t="s">
        <v>23</v>
      </c>
      <c r="H2681" s="4" t="str">
        <f>HYPERLINK("https://www.ncbi.nlm.nih.gov/geo/query/acc.cgi?acc=GSM803940","GSM803940")</f>
        <v>GSM803940</v>
      </c>
      <c r="I2681" t="s">
        <v>17</v>
      </c>
      <c r="J2681" t="s">
        <v>18</v>
      </c>
      <c r="K2681" t="s">
        <v>19</v>
      </c>
      <c r="L2681" t="s">
        <v>20</v>
      </c>
      <c r="M2681" t="s">
        <v>24</v>
      </c>
      <c r="N2681" t="s">
        <v>22</v>
      </c>
    </row>
    <row r="2682" spans="1:14">
      <c r="A2682" s="4" t="str">
        <f t="shared" si="259"/>
        <v>EXP00093</v>
      </c>
      <c r="B2682" s="4" t="str">
        <f t="shared" si="260"/>
        <v>23136189</v>
      </c>
      <c r="C2682" s="4" t="str">
        <f t="shared" si="261"/>
        <v>GSE32489</v>
      </c>
      <c r="D2682" s="1" t="s">
        <v>194</v>
      </c>
      <c r="E2682" t="s">
        <v>15</v>
      </c>
      <c r="F2682" s="1">
        <v>3</v>
      </c>
      <c r="G2682" s="1" t="s">
        <v>23</v>
      </c>
      <c r="H2682" s="4" t="str">
        <f>HYPERLINK("https://www.ncbi.nlm.nih.gov/geo/query/acc.cgi?acc=GSM803941","GSM803941")</f>
        <v>GSM803941</v>
      </c>
      <c r="I2682" t="s">
        <v>17</v>
      </c>
      <c r="J2682" t="s">
        <v>18</v>
      </c>
      <c r="K2682" t="s">
        <v>19</v>
      </c>
      <c r="L2682" t="s">
        <v>20</v>
      </c>
      <c r="M2682" t="s">
        <v>24</v>
      </c>
      <c r="N2682" t="s">
        <v>22</v>
      </c>
    </row>
    <row r="2683" spans="1:14">
      <c r="A2683" s="4" t="str">
        <f t="shared" si="259"/>
        <v>EXP00093</v>
      </c>
      <c r="B2683" s="4" t="str">
        <f t="shared" si="260"/>
        <v>23136189</v>
      </c>
      <c r="C2683" s="4" t="str">
        <f t="shared" si="261"/>
        <v>GSE32489</v>
      </c>
      <c r="D2683" s="1" t="s">
        <v>194</v>
      </c>
      <c r="E2683" t="s">
        <v>15</v>
      </c>
      <c r="F2683" s="1">
        <v>3</v>
      </c>
      <c r="G2683" s="1" t="s">
        <v>23</v>
      </c>
      <c r="H2683" s="4" t="str">
        <f>HYPERLINK("https://www.ncbi.nlm.nih.gov/geo/query/acc.cgi?acc=GSM803942","GSM803942")</f>
        <v>GSM803942</v>
      </c>
      <c r="I2683" t="s">
        <v>17</v>
      </c>
      <c r="J2683" t="s">
        <v>18</v>
      </c>
      <c r="K2683" t="s">
        <v>19</v>
      </c>
      <c r="L2683" t="s">
        <v>20</v>
      </c>
      <c r="M2683" t="s">
        <v>24</v>
      </c>
      <c r="N2683" t="s">
        <v>22</v>
      </c>
    </row>
    <row r="2684" spans="1:14">
      <c r="A2684" s="4" t="str">
        <f t="shared" si="259"/>
        <v>EXP00093</v>
      </c>
      <c r="B2684" s="4" t="str">
        <f t="shared" si="260"/>
        <v>23136189</v>
      </c>
      <c r="C2684" s="4" t="str">
        <f t="shared" si="261"/>
        <v>GSE32489</v>
      </c>
      <c r="D2684" s="1" t="s">
        <v>194</v>
      </c>
      <c r="E2684" t="s">
        <v>15</v>
      </c>
      <c r="F2684" s="1">
        <v>3</v>
      </c>
      <c r="G2684" s="1" t="s">
        <v>23</v>
      </c>
      <c r="H2684" s="4" t="str">
        <f>HYPERLINK("https://www.ncbi.nlm.nih.gov/geo/query/acc.cgi?acc=GSM803943","GSM803943")</f>
        <v>GSM803943</v>
      </c>
      <c r="I2684" t="s">
        <v>17</v>
      </c>
      <c r="J2684" t="s">
        <v>18</v>
      </c>
      <c r="K2684" t="s">
        <v>19</v>
      </c>
      <c r="L2684" t="s">
        <v>20</v>
      </c>
      <c r="M2684" t="s">
        <v>24</v>
      </c>
      <c r="N2684" t="s">
        <v>22</v>
      </c>
    </row>
    <row r="2685" spans="1:14">
      <c r="A2685" s="4" t="str">
        <f t="shared" si="259"/>
        <v>EXP00093</v>
      </c>
      <c r="B2685" s="4" t="str">
        <f t="shared" si="260"/>
        <v>23136189</v>
      </c>
      <c r="C2685" s="4" t="str">
        <f t="shared" si="261"/>
        <v>GSE32489</v>
      </c>
      <c r="D2685" s="1" t="s">
        <v>194</v>
      </c>
      <c r="E2685" t="s">
        <v>15</v>
      </c>
      <c r="F2685" s="1">
        <v>3</v>
      </c>
      <c r="G2685" s="1" t="s">
        <v>23</v>
      </c>
      <c r="H2685" s="4" t="str">
        <f>HYPERLINK("https://www.ncbi.nlm.nih.gov/geo/query/acc.cgi?acc=GSM803944","GSM803944")</f>
        <v>GSM803944</v>
      </c>
      <c r="I2685" t="s">
        <v>17</v>
      </c>
      <c r="J2685" t="s">
        <v>18</v>
      </c>
      <c r="K2685" t="s">
        <v>19</v>
      </c>
      <c r="L2685" t="s">
        <v>20</v>
      </c>
      <c r="M2685" t="s">
        <v>24</v>
      </c>
      <c r="N2685" t="s">
        <v>22</v>
      </c>
    </row>
    <row r="2686" spans="1:14">
      <c r="A2686" s="4" t="str">
        <f t="shared" si="259"/>
        <v>EXP00093</v>
      </c>
      <c r="B2686" s="4" t="str">
        <f t="shared" si="260"/>
        <v>23136189</v>
      </c>
      <c r="C2686" s="4" t="str">
        <f t="shared" si="261"/>
        <v>GSE32489</v>
      </c>
      <c r="D2686" s="1" t="s">
        <v>194</v>
      </c>
      <c r="E2686" t="s">
        <v>15</v>
      </c>
      <c r="F2686" s="1">
        <v>3</v>
      </c>
      <c r="G2686" s="1" t="s">
        <v>23</v>
      </c>
      <c r="H2686" s="4" t="str">
        <f>HYPERLINK("https://www.ncbi.nlm.nih.gov/geo/query/acc.cgi?acc=GSM803945","GSM803945")</f>
        <v>GSM803945</v>
      </c>
      <c r="I2686" t="s">
        <v>17</v>
      </c>
      <c r="J2686" t="s">
        <v>18</v>
      </c>
      <c r="K2686" t="s">
        <v>19</v>
      </c>
      <c r="L2686" t="s">
        <v>20</v>
      </c>
      <c r="M2686" t="s">
        <v>24</v>
      </c>
      <c r="N2686" t="s">
        <v>22</v>
      </c>
    </row>
    <row r="2687" spans="1:14">
      <c r="A2687" s="4" t="str">
        <f t="shared" si="259"/>
        <v>EXP00093</v>
      </c>
      <c r="B2687" s="4" t="str">
        <f t="shared" si="260"/>
        <v>23136189</v>
      </c>
      <c r="C2687" s="4" t="str">
        <f t="shared" si="261"/>
        <v>GSE32489</v>
      </c>
      <c r="D2687" s="1" t="s">
        <v>194</v>
      </c>
      <c r="E2687" t="s">
        <v>15</v>
      </c>
      <c r="F2687" s="1">
        <v>3</v>
      </c>
      <c r="G2687" s="1" t="s">
        <v>23</v>
      </c>
      <c r="H2687" s="4" t="str">
        <f>HYPERLINK("https://www.ncbi.nlm.nih.gov/geo/query/acc.cgi?acc=GSM803946","GSM803946")</f>
        <v>GSM803946</v>
      </c>
      <c r="I2687" t="s">
        <v>17</v>
      </c>
      <c r="J2687" t="s">
        <v>18</v>
      </c>
      <c r="K2687" t="s">
        <v>19</v>
      </c>
      <c r="L2687" t="s">
        <v>20</v>
      </c>
      <c r="M2687" t="s">
        <v>24</v>
      </c>
      <c r="N2687" t="s">
        <v>22</v>
      </c>
    </row>
    <row r="2688" spans="1:14">
      <c r="A2688" s="4" t="str">
        <f t="shared" si="259"/>
        <v>EXP00093</v>
      </c>
      <c r="B2688" s="4" t="str">
        <f t="shared" si="260"/>
        <v>23136189</v>
      </c>
      <c r="C2688" s="4" t="str">
        <f t="shared" si="261"/>
        <v>GSE32489</v>
      </c>
      <c r="D2688" s="1" t="s">
        <v>194</v>
      </c>
      <c r="E2688" t="s">
        <v>15</v>
      </c>
      <c r="F2688" s="1">
        <v>3</v>
      </c>
      <c r="G2688" s="1" t="s">
        <v>23</v>
      </c>
      <c r="H2688" s="4" t="str">
        <f>HYPERLINK("https://www.ncbi.nlm.nih.gov/geo/query/acc.cgi?acc=GSM803947","GSM803947")</f>
        <v>GSM803947</v>
      </c>
      <c r="I2688" t="s">
        <v>17</v>
      </c>
      <c r="J2688" t="s">
        <v>18</v>
      </c>
      <c r="K2688" t="s">
        <v>19</v>
      </c>
      <c r="L2688" t="s">
        <v>20</v>
      </c>
      <c r="M2688" t="s">
        <v>24</v>
      </c>
      <c r="N2688" t="s">
        <v>22</v>
      </c>
    </row>
    <row r="2689" spans="1:14">
      <c r="A2689" s="4" t="str">
        <f t="shared" si="259"/>
        <v>EXP00093</v>
      </c>
      <c r="B2689" s="4" t="str">
        <f t="shared" si="260"/>
        <v>23136189</v>
      </c>
      <c r="C2689" s="4" t="str">
        <f t="shared" si="261"/>
        <v>GSE32489</v>
      </c>
      <c r="D2689" s="1" t="s">
        <v>194</v>
      </c>
      <c r="E2689" t="s">
        <v>15</v>
      </c>
      <c r="F2689" s="1">
        <v>3</v>
      </c>
      <c r="G2689" s="1" t="s">
        <v>23</v>
      </c>
      <c r="H2689" s="4" t="str">
        <f>HYPERLINK("https://www.ncbi.nlm.nih.gov/geo/query/acc.cgi?acc=GSM803949","GSM803949")</f>
        <v>GSM803949</v>
      </c>
      <c r="I2689" t="s">
        <v>17</v>
      </c>
      <c r="J2689" t="s">
        <v>18</v>
      </c>
      <c r="K2689" t="s">
        <v>19</v>
      </c>
      <c r="L2689" t="s">
        <v>20</v>
      </c>
      <c r="M2689" t="s">
        <v>24</v>
      </c>
      <c r="N2689" t="s">
        <v>22</v>
      </c>
    </row>
    <row r="2690" spans="1:14">
      <c r="A2690" s="4" t="str">
        <f t="shared" si="259"/>
        <v>EXP00093</v>
      </c>
      <c r="B2690" s="4" t="str">
        <f t="shared" si="260"/>
        <v>23136189</v>
      </c>
      <c r="C2690" s="4" t="str">
        <f t="shared" si="261"/>
        <v>GSE32489</v>
      </c>
      <c r="D2690" s="1" t="s">
        <v>194</v>
      </c>
      <c r="E2690" t="s">
        <v>15</v>
      </c>
      <c r="F2690" s="1">
        <v>3</v>
      </c>
      <c r="G2690" s="1" t="s">
        <v>23</v>
      </c>
      <c r="H2690" s="4" t="str">
        <f>HYPERLINK("https://www.ncbi.nlm.nih.gov/geo/query/acc.cgi?acc=GSM803950","GSM803950")</f>
        <v>GSM803950</v>
      </c>
      <c r="I2690" t="s">
        <v>17</v>
      </c>
      <c r="J2690" t="s">
        <v>18</v>
      </c>
      <c r="K2690" t="s">
        <v>19</v>
      </c>
      <c r="L2690" t="s">
        <v>20</v>
      </c>
      <c r="M2690" t="s">
        <v>24</v>
      </c>
      <c r="N2690" t="s">
        <v>22</v>
      </c>
    </row>
    <row r="2691" spans="1:14">
      <c r="A2691" s="4" t="str">
        <f t="shared" si="259"/>
        <v>EXP00093</v>
      </c>
      <c r="B2691" s="4" t="str">
        <f t="shared" si="260"/>
        <v>23136189</v>
      </c>
      <c r="C2691" s="4" t="str">
        <f t="shared" si="261"/>
        <v>GSE32489</v>
      </c>
      <c r="D2691" s="1" t="s">
        <v>194</v>
      </c>
      <c r="E2691" t="s">
        <v>15</v>
      </c>
      <c r="F2691" s="1">
        <v>3</v>
      </c>
      <c r="G2691" s="1" t="s">
        <v>23</v>
      </c>
      <c r="H2691" s="4" t="str">
        <f>HYPERLINK("https://www.ncbi.nlm.nih.gov/geo/query/acc.cgi?acc=GSM803951","GSM803951")</f>
        <v>GSM803951</v>
      </c>
      <c r="I2691" t="s">
        <v>17</v>
      </c>
      <c r="J2691" t="s">
        <v>18</v>
      </c>
      <c r="K2691" t="s">
        <v>19</v>
      </c>
      <c r="L2691" t="s">
        <v>20</v>
      </c>
      <c r="M2691" t="s">
        <v>24</v>
      </c>
      <c r="N2691" t="s">
        <v>22</v>
      </c>
    </row>
    <row r="2692" spans="1:14">
      <c r="A2692" s="4" t="str">
        <f t="shared" si="259"/>
        <v>EXP00093</v>
      </c>
      <c r="B2692" s="4" t="str">
        <f t="shared" si="260"/>
        <v>23136189</v>
      </c>
      <c r="C2692" s="4" t="str">
        <f t="shared" si="261"/>
        <v>GSE32489</v>
      </c>
      <c r="D2692" s="1" t="s">
        <v>194</v>
      </c>
      <c r="E2692" t="s">
        <v>15</v>
      </c>
      <c r="F2692" s="1">
        <v>3</v>
      </c>
      <c r="G2692" s="1" t="s">
        <v>23</v>
      </c>
      <c r="H2692" s="4" t="str">
        <f>HYPERLINK("https://www.ncbi.nlm.nih.gov/geo/query/acc.cgi?acc=GSM803952","GSM803952")</f>
        <v>GSM803952</v>
      </c>
      <c r="I2692" t="s">
        <v>17</v>
      </c>
      <c r="J2692" t="s">
        <v>18</v>
      </c>
      <c r="K2692" t="s">
        <v>19</v>
      </c>
      <c r="L2692" t="s">
        <v>20</v>
      </c>
      <c r="M2692" t="s">
        <v>24</v>
      </c>
      <c r="N2692" t="s">
        <v>22</v>
      </c>
    </row>
    <row r="2693" spans="1:14">
      <c r="A2693" s="4" t="str">
        <f t="shared" si="259"/>
        <v>EXP00093</v>
      </c>
      <c r="B2693" s="4" t="str">
        <f t="shared" si="260"/>
        <v>23136189</v>
      </c>
      <c r="C2693" s="4" t="str">
        <f t="shared" si="261"/>
        <v>GSE32489</v>
      </c>
      <c r="D2693" s="1" t="s">
        <v>194</v>
      </c>
      <c r="E2693" t="s">
        <v>15</v>
      </c>
      <c r="F2693" s="1">
        <v>3</v>
      </c>
      <c r="G2693" s="1" t="s">
        <v>23</v>
      </c>
      <c r="H2693" s="4" t="str">
        <f>HYPERLINK("https://www.ncbi.nlm.nih.gov/geo/query/acc.cgi?acc=GSM803953","GSM803953")</f>
        <v>GSM803953</v>
      </c>
      <c r="I2693" t="s">
        <v>17</v>
      </c>
      <c r="J2693" t="s">
        <v>18</v>
      </c>
      <c r="K2693" t="s">
        <v>19</v>
      </c>
      <c r="L2693" t="s">
        <v>20</v>
      </c>
      <c r="M2693" t="s">
        <v>24</v>
      </c>
      <c r="N2693" t="s">
        <v>22</v>
      </c>
    </row>
    <row r="2694" spans="1:14">
      <c r="A2694" s="4" t="str">
        <f t="shared" si="259"/>
        <v>EXP00093</v>
      </c>
      <c r="B2694" s="4" t="str">
        <f t="shared" si="260"/>
        <v>23136189</v>
      </c>
      <c r="C2694" s="4" t="str">
        <f t="shared" si="261"/>
        <v>GSE32489</v>
      </c>
      <c r="D2694" s="1" t="s">
        <v>194</v>
      </c>
      <c r="E2694" t="s">
        <v>15</v>
      </c>
      <c r="F2694" s="1">
        <v>3</v>
      </c>
      <c r="G2694" s="1" t="s">
        <v>23</v>
      </c>
      <c r="H2694" s="4" t="str">
        <f>HYPERLINK("https://www.ncbi.nlm.nih.gov/geo/query/acc.cgi?acc=GSM803954","GSM803954")</f>
        <v>GSM803954</v>
      </c>
      <c r="I2694" t="s">
        <v>17</v>
      </c>
      <c r="J2694" t="s">
        <v>18</v>
      </c>
      <c r="K2694" t="s">
        <v>19</v>
      </c>
      <c r="L2694" t="s">
        <v>20</v>
      </c>
      <c r="M2694" t="s">
        <v>24</v>
      </c>
      <c r="N2694" t="s">
        <v>22</v>
      </c>
    </row>
    <row r="2695" spans="1:14">
      <c r="A2695" s="4" t="str">
        <f t="shared" si="259"/>
        <v>EXP00093</v>
      </c>
      <c r="B2695" s="4" t="str">
        <f t="shared" si="260"/>
        <v>23136189</v>
      </c>
      <c r="C2695" s="4" t="str">
        <f t="shared" si="261"/>
        <v>GSE32489</v>
      </c>
      <c r="D2695" s="1" t="s">
        <v>194</v>
      </c>
      <c r="E2695" t="s">
        <v>15</v>
      </c>
      <c r="F2695" s="1">
        <v>3</v>
      </c>
      <c r="G2695" s="1" t="s">
        <v>23</v>
      </c>
      <c r="H2695" s="4" t="str">
        <f>HYPERLINK("https://www.ncbi.nlm.nih.gov/geo/query/acc.cgi?acc=GSM803955","GSM803955")</f>
        <v>GSM803955</v>
      </c>
      <c r="I2695" t="s">
        <v>17</v>
      </c>
      <c r="J2695" t="s">
        <v>18</v>
      </c>
      <c r="K2695" t="s">
        <v>19</v>
      </c>
      <c r="L2695" t="s">
        <v>20</v>
      </c>
      <c r="M2695" t="s">
        <v>24</v>
      </c>
      <c r="N2695" t="s">
        <v>22</v>
      </c>
    </row>
    <row r="2696" spans="1:14">
      <c r="A2696" s="4" t="str">
        <f t="shared" si="259"/>
        <v>EXP00093</v>
      </c>
      <c r="B2696" s="4" t="str">
        <f t="shared" si="260"/>
        <v>23136189</v>
      </c>
      <c r="C2696" s="4" t="str">
        <f t="shared" si="261"/>
        <v>GSE32489</v>
      </c>
      <c r="D2696" s="1" t="s">
        <v>194</v>
      </c>
      <c r="E2696" t="s">
        <v>15</v>
      </c>
      <c r="F2696" s="1">
        <v>3</v>
      </c>
      <c r="G2696" s="1" t="s">
        <v>23</v>
      </c>
      <c r="H2696" s="4" t="str">
        <f>HYPERLINK("https://www.ncbi.nlm.nih.gov/geo/query/acc.cgi?acc=GSM803956","GSM803956")</f>
        <v>GSM803956</v>
      </c>
      <c r="I2696" t="s">
        <v>17</v>
      </c>
      <c r="J2696" t="s">
        <v>18</v>
      </c>
      <c r="K2696" t="s">
        <v>19</v>
      </c>
      <c r="L2696" t="s">
        <v>20</v>
      </c>
      <c r="M2696" t="s">
        <v>24</v>
      </c>
      <c r="N2696" t="s">
        <v>22</v>
      </c>
    </row>
    <row r="2697" spans="1:14">
      <c r="A2697" s="4" t="str">
        <f t="shared" si="259"/>
        <v>EXP00093</v>
      </c>
      <c r="B2697" s="4" t="str">
        <f t="shared" si="260"/>
        <v>23136189</v>
      </c>
      <c r="C2697" s="4" t="str">
        <f t="shared" si="261"/>
        <v>GSE32489</v>
      </c>
      <c r="D2697" s="1" t="s">
        <v>194</v>
      </c>
      <c r="E2697" t="s">
        <v>15</v>
      </c>
      <c r="F2697" s="1">
        <v>3</v>
      </c>
      <c r="G2697" s="1" t="s">
        <v>23</v>
      </c>
      <c r="H2697" s="4" t="str">
        <f>HYPERLINK("https://www.ncbi.nlm.nih.gov/geo/query/acc.cgi?acc=GSM803957","GSM803957")</f>
        <v>GSM803957</v>
      </c>
      <c r="I2697" t="s">
        <v>17</v>
      </c>
      <c r="J2697" t="s">
        <v>18</v>
      </c>
      <c r="K2697" t="s">
        <v>19</v>
      </c>
      <c r="L2697" t="s">
        <v>20</v>
      </c>
      <c r="M2697" t="s">
        <v>24</v>
      </c>
      <c r="N2697" t="s">
        <v>22</v>
      </c>
    </row>
    <row r="2698" spans="1:14">
      <c r="A2698" s="4" t="str">
        <f t="shared" si="259"/>
        <v>EXP00093</v>
      </c>
      <c r="B2698" s="4" t="str">
        <f t="shared" si="260"/>
        <v>23136189</v>
      </c>
      <c r="C2698" s="4" t="str">
        <f t="shared" si="261"/>
        <v>GSE32489</v>
      </c>
      <c r="D2698" s="1" t="s">
        <v>194</v>
      </c>
      <c r="E2698" t="s">
        <v>15</v>
      </c>
      <c r="F2698" s="1">
        <v>3</v>
      </c>
      <c r="G2698" s="1" t="s">
        <v>23</v>
      </c>
      <c r="H2698" s="4" t="str">
        <f>HYPERLINK("https://www.ncbi.nlm.nih.gov/geo/query/acc.cgi?acc=GSM803958","GSM803958")</f>
        <v>GSM803958</v>
      </c>
      <c r="I2698" t="s">
        <v>17</v>
      </c>
      <c r="J2698" t="s">
        <v>18</v>
      </c>
      <c r="K2698" t="s">
        <v>19</v>
      </c>
      <c r="L2698" t="s">
        <v>20</v>
      </c>
      <c r="M2698" t="s">
        <v>24</v>
      </c>
      <c r="N2698" t="s">
        <v>22</v>
      </c>
    </row>
    <row r="2699" spans="1:14">
      <c r="A2699" s="4" t="str">
        <f t="shared" si="259"/>
        <v>EXP00093</v>
      </c>
      <c r="B2699" s="4" t="str">
        <f t="shared" si="260"/>
        <v>23136189</v>
      </c>
      <c r="C2699" s="4" t="str">
        <f t="shared" si="261"/>
        <v>GSE32489</v>
      </c>
      <c r="D2699" s="1" t="s">
        <v>194</v>
      </c>
      <c r="E2699" t="s">
        <v>15</v>
      </c>
      <c r="F2699" s="1">
        <v>3</v>
      </c>
      <c r="G2699" s="1" t="s">
        <v>23</v>
      </c>
      <c r="H2699" s="4" t="str">
        <f>HYPERLINK("https://www.ncbi.nlm.nih.gov/geo/query/acc.cgi?acc=GSM803959","GSM803959")</f>
        <v>GSM803959</v>
      </c>
      <c r="I2699" t="s">
        <v>17</v>
      </c>
      <c r="J2699" t="s">
        <v>18</v>
      </c>
      <c r="K2699" t="s">
        <v>19</v>
      </c>
      <c r="L2699" t="s">
        <v>20</v>
      </c>
      <c r="M2699" t="s">
        <v>24</v>
      </c>
      <c r="N2699" t="s">
        <v>22</v>
      </c>
    </row>
    <row r="2700" spans="1:14">
      <c r="A2700" s="4" t="str">
        <f t="shared" si="259"/>
        <v>EXP00093</v>
      </c>
      <c r="B2700" s="4" t="str">
        <f t="shared" si="260"/>
        <v>23136189</v>
      </c>
      <c r="C2700" s="4" t="str">
        <f t="shared" si="261"/>
        <v>GSE32489</v>
      </c>
      <c r="D2700" s="1" t="s">
        <v>194</v>
      </c>
      <c r="E2700" t="s">
        <v>15</v>
      </c>
      <c r="F2700" s="1">
        <v>3</v>
      </c>
      <c r="G2700" s="1" t="s">
        <v>23</v>
      </c>
      <c r="H2700" s="4" t="str">
        <f>HYPERLINK("https://www.ncbi.nlm.nih.gov/geo/query/acc.cgi?acc=GSM803960","GSM803960")</f>
        <v>GSM803960</v>
      </c>
      <c r="I2700" t="s">
        <v>17</v>
      </c>
      <c r="J2700" t="s">
        <v>18</v>
      </c>
      <c r="K2700" t="s">
        <v>19</v>
      </c>
      <c r="L2700" t="s">
        <v>20</v>
      </c>
      <c r="M2700" t="s">
        <v>24</v>
      </c>
      <c r="N2700" t="s">
        <v>22</v>
      </c>
    </row>
    <row r="2701" spans="1:14">
      <c r="A2701" s="4" t="str">
        <f t="shared" si="259"/>
        <v>EXP00093</v>
      </c>
      <c r="B2701" s="4" t="str">
        <f t="shared" si="260"/>
        <v>23136189</v>
      </c>
      <c r="C2701" s="4" t="str">
        <f t="shared" si="261"/>
        <v>GSE32489</v>
      </c>
      <c r="D2701" s="1" t="s">
        <v>194</v>
      </c>
      <c r="E2701" t="s">
        <v>15</v>
      </c>
      <c r="F2701" s="1">
        <v>3</v>
      </c>
      <c r="G2701" s="1" t="s">
        <v>23</v>
      </c>
      <c r="H2701" s="4" t="str">
        <f>HYPERLINK("https://www.ncbi.nlm.nih.gov/geo/query/acc.cgi?acc=GSM803961","GSM803961")</f>
        <v>GSM803961</v>
      </c>
      <c r="I2701" t="s">
        <v>17</v>
      </c>
      <c r="J2701" t="s">
        <v>18</v>
      </c>
      <c r="K2701" t="s">
        <v>19</v>
      </c>
      <c r="L2701" t="s">
        <v>20</v>
      </c>
      <c r="M2701" t="s">
        <v>24</v>
      </c>
      <c r="N2701" t="s">
        <v>22</v>
      </c>
    </row>
    <row r="2702" spans="1:14">
      <c r="A2702" s="4" t="str">
        <f t="shared" si="259"/>
        <v>EXP00093</v>
      </c>
      <c r="B2702" s="4" t="str">
        <f t="shared" si="260"/>
        <v>23136189</v>
      </c>
      <c r="C2702" s="4" t="str">
        <f t="shared" si="261"/>
        <v>GSE32489</v>
      </c>
      <c r="D2702" s="1" t="s">
        <v>194</v>
      </c>
      <c r="E2702" t="s">
        <v>15</v>
      </c>
      <c r="F2702" s="1">
        <v>3</v>
      </c>
      <c r="G2702" s="1" t="s">
        <v>23</v>
      </c>
      <c r="H2702" s="4" t="str">
        <f>HYPERLINK("https://www.ncbi.nlm.nih.gov/geo/query/acc.cgi?acc=GSM803962","GSM803962")</f>
        <v>GSM803962</v>
      </c>
      <c r="I2702" t="s">
        <v>17</v>
      </c>
      <c r="J2702" t="s">
        <v>18</v>
      </c>
      <c r="K2702" t="s">
        <v>19</v>
      </c>
      <c r="L2702" t="s">
        <v>20</v>
      </c>
      <c r="M2702" t="s">
        <v>24</v>
      </c>
      <c r="N2702" t="s">
        <v>22</v>
      </c>
    </row>
    <row r="2703" spans="1:14">
      <c r="A2703" s="4" t="str">
        <f t="shared" si="259"/>
        <v>EXP00093</v>
      </c>
      <c r="B2703" s="4" t="str">
        <f t="shared" si="260"/>
        <v>23136189</v>
      </c>
      <c r="C2703" s="4" t="str">
        <f t="shared" si="261"/>
        <v>GSE32489</v>
      </c>
      <c r="D2703" s="1" t="s">
        <v>194</v>
      </c>
      <c r="E2703" t="s">
        <v>15</v>
      </c>
      <c r="F2703" s="1">
        <v>3</v>
      </c>
      <c r="G2703" s="1" t="s">
        <v>23</v>
      </c>
      <c r="H2703" s="4" t="str">
        <f>HYPERLINK("https://www.ncbi.nlm.nih.gov/geo/query/acc.cgi?acc=GSM803963","GSM803963")</f>
        <v>GSM803963</v>
      </c>
      <c r="I2703" t="s">
        <v>17</v>
      </c>
      <c r="J2703" t="s">
        <v>18</v>
      </c>
      <c r="K2703" t="s">
        <v>19</v>
      </c>
      <c r="L2703" t="s">
        <v>20</v>
      </c>
      <c r="M2703" t="s">
        <v>24</v>
      </c>
      <c r="N2703" t="s">
        <v>22</v>
      </c>
    </row>
    <row r="2704" spans="1:14">
      <c r="A2704" s="4" t="str">
        <f t="shared" si="259"/>
        <v>EXP00093</v>
      </c>
      <c r="B2704" s="4" t="str">
        <f t="shared" si="260"/>
        <v>23136189</v>
      </c>
      <c r="C2704" s="4" t="str">
        <f t="shared" si="261"/>
        <v>GSE32489</v>
      </c>
      <c r="D2704" s="1" t="s">
        <v>194</v>
      </c>
      <c r="E2704" t="s">
        <v>15</v>
      </c>
      <c r="F2704" s="1">
        <v>3</v>
      </c>
      <c r="G2704" s="1" t="s">
        <v>23</v>
      </c>
      <c r="H2704" s="4" t="str">
        <f>HYPERLINK("https://www.ncbi.nlm.nih.gov/geo/query/acc.cgi?acc=GSM803964","GSM803964")</f>
        <v>GSM803964</v>
      </c>
      <c r="I2704" t="s">
        <v>17</v>
      </c>
      <c r="J2704" t="s">
        <v>18</v>
      </c>
      <c r="K2704" t="s">
        <v>19</v>
      </c>
      <c r="L2704" t="s">
        <v>20</v>
      </c>
      <c r="M2704" t="s">
        <v>24</v>
      </c>
      <c r="N2704" t="s">
        <v>22</v>
      </c>
    </row>
    <row r="2705" spans="1:14">
      <c r="A2705" s="4" t="str">
        <f t="shared" si="259"/>
        <v>EXP00093</v>
      </c>
      <c r="B2705" s="4" t="str">
        <f t="shared" si="260"/>
        <v>23136189</v>
      </c>
      <c r="C2705" s="4" t="str">
        <f t="shared" si="261"/>
        <v>GSE32489</v>
      </c>
      <c r="D2705" s="1" t="s">
        <v>194</v>
      </c>
      <c r="E2705" t="s">
        <v>15</v>
      </c>
      <c r="F2705" s="1">
        <v>3</v>
      </c>
      <c r="G2705" s="1" t="s">
        <v>23</v>
      </c>
      <c r="H2705" s="4" t="str">
        <f>HYPERLINK("https://www.ncbi.nlm.nih.gov/geo/query/acc.cgi?acc=GSM803965","GSM803965")</f>
        <v>GSM803965</v>
      </c>
      <c r="I2705" t="s">
        <v>17</v>
      </c>
      <c r="J2705" t="s">
        <v>18</v>
      </c>
      <c r="K2705" t="s">
        <v>19</v>
      </c>
      <c r="L2705" t="s">
        <v>20</v>
      </c>
      <c r="M2705" t="s">
        <v>24</v>
      </c>
      <c r="N2705" t="s">
        <v>22</v>
      </c>
    </row>
    <row r="2706" spans="1:14">
      <c r="A2706" s="4" t="str">
        <f t="shared" si="259"/>
        <v>EXP00093</v>
      </c>
      <c r="B2706" s="4" t="str">
        <f t="shared" si="260"/>
        <v>23136189</v>
      </c>
      <c r="C2706" s="4" t="str">
        <f t="shared" si="261"/>
        <v>GSE32489</v>
      </c>
      <c r="D2706" s="1" t="s">
        <v>194</v>
      </c>
      <c r="E2706" t="s">
        <v>15</v>
      </c>
      <c r="F2706" s="1">
        <v>3</v>
      </c>
      <c r="G2706" s="1" t="s">
        <v>23</v>
      </c>
      <c r="H2706" s="4" t="str">
        <f>HYPERLINK("https://www.ncbi.nlm.nih.gov/geo/query/acc.cgi?acc=GSM803966","GSM803966")</f>
        <v>GSM803966</v>
      </c>
      <c r="I2706" t="s">
        <v>17</v>
      </c>
      <c r="J2706" t="s">
        <v>18</v>
      </c>
      <c r="K2706" t="s">
        <v>19</v>
      </c>
      <c r="L2706" t="s">
        <v>20</v>
      </c>
      <c r="M2706" t="s">
        <v>24</v>
      </c>
      <c r="N2706" t="s">
        <v>22</v>
      </c>
    </row>
    <row r="2707" spans="1:14">
      <c r="A2707" s="4" t="str">
        <f t="shared" si="259"/>
        <v>EXP00093</v>
      </c>
      <c r="B2707" s="4" t="str">
        <f t="shared" si="260"/>
        <v>23136189</v>
      </c>
      <c r="C2707" s="4" t="str">
        <f t="shared" si="261"/>
        <v>GSE32489</v>
      </c>
      <c r="D2707" s="1" t="s">
        <v>194</v>
      </c>
      <c r="E2707" t="s">
        <v>15</v>
      </c>
      <c r="F2707" s="1">
        <v>3</v>
      </c>
      <c r="G2707" s="1" t="s">
        <v>23</v>
      </c>
      <c r="H2707" s="4" t="str">
        <f>HYPERLINK("https://www.ncbi.nlm.nih.gov/geo/query/acc.cgi?acc=GSM803967","GSM803967")</f>
        <v>GSM803967</v>
      </c>
      <c r="I2707" t="s">
        <v>17</v>
      </c>
      <c r="J2707" t="s">
        <v>18</v>
      </c>
      <c r="K2707" t="s">
        <v>19</v>
      </c>
      <c r="L2707" t="s">
        <v>20</v>
      </c>
      <c r="M2707" t="s">
        <v>24</v>
      </c>
      <c r="N2707" t="s">
        <v>22</v>
      </c>
    </row>
    <row r="2708" spans="1:14">
      <c r="A2708" s="4" t="str">
        <f t="shared" si="259"/>
        <v>EXP00093</v>
      </c>
      <c r="B2708" s="4" t="str">
        <f t="shared" si="260"/>
        <v>23136189</v>
      </c>
      <c r="C2708" s="4" t="str">
        <f t="shared" si="261"/>
        <v>GSE32489</v>
      </c>
      <c r="D2708" s="1" t="s">
        <v>194</v>
      </c>
      <c r="E2708" t="s">
        <v>15</v>
      </c>
      <c r="F2708" s="1">
        <v>3</v>
      </c>
      <c r="G2708" s="1" t="s">
        <v>23</v>
      </c>
      <c r="H2708" s="4" t="str">
        <f>HYPERLINK("https://www.ncbi.nlm.nih.gov/geo/query/acc.cgi?acc=GSM803968","GSM803968")</f>
        <v>GSM803968</v>
      </c>
      <c r="I2708" t="s">
        <v>17</v>
      </c>
      <c r="J2708" t="s">
        <v>18</v>
      </c>
      <c r="K2708" t="s">
        <v>19</v>
      </c>
      <c r="L2708" t="s">
        <v>20</v>
      </c>
      <c r="M2708" t="s">
        <v>24</v>
      </c>
      <c r="N2708" t="s">
        <v>22</v>
      </c>
    </row>
    <row r="2709" spans="1:14">
      <c r="A2709" s="4" t="str">
        <f t="shared" si="259"/>
        <v>EXP00093</v>
      </c>
      <c r="B2709" s="4" t="str">
        <f t="shared" si="260"/>
        <v>23136189</v>
      </c>
      <c r="C2709" s="4" t="str">
        <f t="shared" si="261"/>
        <v>GSE32489</v>
      </c>
      <c r="D2709" s="1" t="s">
        <v>194</v>
      </c>
      <c r="E2709" t="s">
        <v>15</v>
      </c>
      <c r="F2709" s="1">
        <v>3</v>
      </c>
      <c r="G2709" s="1" t="s">
        <v>23</v>
      </c>
      <c r="H2709" s="4" t="str">
        <f>HYPERLINK("https://www.ncbi.nlm.nih.gov/geo/query/acc.cgi?acc=GSM803969","GSM803969")</f>
        <v>GSM803969</v>
      </c>
      <c r="I2709" t="s">
        <v>17</v>
      </c>
      <c r="J2709" t="s">
        <v>18</v>
      </c>
      <c r="K2709" t="s">
        <v>19</v>
      </c>
      <c r="L2709" t="s">
        <v>20</v>
      </c>
      <c r="M2709" t="s">
        <v>24</v>
      </c>
      <c r="N2709" t="s">
        <v>22</v>
      </c>
    </row>
    <row r="2710" spans="1:14">
      <c r="A2710" s="4" t="str">
        <f t="shared" si="259"/>
        <v>EXP00093</v>
      </c>
      <c r="B2710" s="4" t="str">
        <f t="shared" si="260"/>
        <v>23136189</v>
      </c>
      <c r="C2710" s="4" t="str">
        <f t="shared" si="261"/>
        <v>GSE32489</v>
      </c>
      <c r="D2710" s="1" t="s">
        <v>194</v>
      </c>
      <c r="E2710" t="s">
        <v>15</v>
      </c>
      <c r="F2710" s="1">
        <v>3</v>
      </c>
      <c r="G2710" s="1" t="s">
        <v>23</v>
      </c>
      <c r="H2710" s="4" t="str">
        <f>HYPERLINK("https://www.ncbi.nlm.nih.gov/geo/query/acc.cgi?acc=GSM803970","GSM803970")</f>
        <v>GSM803970</v>
      </c>
      <c r="I2710" t="s">
        <v>17</v>
      </c>
      <c r="J2710" t="s">
        <v>18</v>
      </c>
      <c r="K2710" t="s">
        <v>19</v>
      </c>
      <c r="L2710" t="s">
        <v>20</v>
      </c>
      <c r="M2710" t="s">
        <v>24</v>
      </c>
      <c r="N2710" t="s">
        <v>22</v>
      </c>
    </row>
    <row r="2711" spans="1:14">
      <c r="A2711" s="4" t="str">
        <f t="shared" ref="A2711:A2742" si="262">HYPERLINK("http://hcmdb.i-sanger.com/experiment/details/experiment_id/EXP00093","EXP00093")</f>
        <v>EXP00093</v>
      </c>
      <c r="B2711" s="4" t="str">
        <f t="shared" ref="B2711:B2742" si="263">HYPERLINK("https://www.ncbi.nlm.nih.gov/pubmed/23136189","23136189")</f>
        <v>23136189</v>
      </c>
      <c r="C2711" s="4" t="str">
        <f t="shared" ref="C2711:C2742" si="264">HYPERLINK("https://www.ncbi.nlm.nih.gov/geo/query/acc.cgi?acc=GSE32489","GSE32489")</f>
        <v>GSE32489</v>
      </c>
      <c r="D2711" s="1" t="s">
        <v>194</v>
      </c>
      <c r="E2711" t="s">
        <v>15</v>
      </c>
      <c r="F2711" s="1">
        <v>3</v>
      </c>
      <c r="G2711" s="1" t="s">
        <v>23</v>
      </c>
      <c r="H2711" s="4" t="str">
        <f>HYPERLINK("https://www.ncbi.nlm.nih.gov/geo/query/acc.cgi?acc=GSM803971","GSM803971")</f>
        <v>GSM803971</v>
      </c>
      <c r="I2711" t="s">
        <v>17</v>
      </c>
      <c r="J2711" t="s">
        <v>18</v>
      </c>
      <c r="K2711" t="s">
        <v>19</v>
      </c>
      <c r="L2711" t="s">
        <v>20</v>
      </c>
      <c r="M2711" t="s">
        <v>24</v>
      </c>
      <c r="N2711" t="s">
        <v>22</v>
      </c>
    </row>
    <row r="2712" spans="1:14">
      <c r="A2712" s="4" t="str">
        <f t="shared" si="262"/>
        <v>EXP00093</v>
      </c>
      <c r="B2712" s="4" t="str">
        <f t="shared" si="263"/>
        <v>23136189</v>
      </c>
      <c r="C2712" s="4" t="str">
        <f t="shared" si="264"/>
        <v>GSE32489</v>
      </c>
      <c r="D2712" s="1" t="s">
        <v>194</v>
      </c>
      <c r="E2712" t="s">
        <v>15</v>
      </c>
      <c r="F2712" s="1">
        <v>3</v>
      </c>
      <c r="G2712" s="1" t="s">
        <v>23</v>
      </c>
      <c r="H2712" s="4" t="str">
        <f>HYPERLINK("https://www.ncbi.nlm.nih.gov/geo/query/acc.cgi?acc=GSM803972","GSM803972")</f>
        <v>GSM803972</v>
      </c>
      <c r="I2712" t="s">
        <v>17</v>
      </c>
      <c r="J2712" t="s">
        <v>18</v>
      </c>
      <c r="K2712" t="s">
        <v>19</v>
      </c>
      <c r="L2712" t="s">
        <v>20</v>
      </c>
      <c r="M2712" t="s">
        <v>24</v>
      </c>
      <c r="N2712" t="s">
        <v>22</v>
      </c>
    </row>
    <row r="2713" spans="1:14">
      <c r="A2713" s="4" t="str">
        <f t="shared" si="262"/>
        <v>EXP00093</v>
      </c>
      <c r="B2713" s="4" t="str">
        <f t="shared" si="263"/>
        <v>23136189</v>
      </c>
      <c r="C2713" s="4" t="str">
        <f t="shared" si="264"/>
        <v>GSE32489</v>
      </c>
      <c r="D2713" s="1" t="s">
        <v>194</v>
      </c>
      <c r="E2713" t="s">
        <v>15</v>
      </c>
      <c r="F2713" s="1">
        <v>3</v>
      </c>
      <c r="G2713" s="1" t="s">
        <v>23</v>
      </c>
      <c r="H2713" s="4" t="str">
        <f>HYPERLINK("https://www.ncbi.nlm.nih.gov/geo/query/acc.cgi?acc=GSM803973","GSM803973")</f>
        <v>GSM803973</v>
      </c>
      <c r="I2713" t="s">
        <v>17</v>
      </c>
      <c r="J2713" t="s">
        <v>18</v>
      </c>
      <c r="K2713" t="s">
        <v>19</v>
      </c>
      <c r="L2713" t="s">
        <v>20</v>
      </c>
      <c r="M2713" t="s">
        <v>24</v>
      </c>
      <c r="N2713" t="s">
        <v>22</v>
      </c>
    </row>
    <row r="2714" spans="1:14">
      <c r="A2714" s="4" t="str">
        <f t="shared" si="262"/>
        <v>EXP00093</v>
      </c>
      <c r="B2714" s="4" t="str">
        <f t="shared" si="263"/>
        <v>23136189</v>
      </c>
      <c r="C2714" s="4" t="str">
        <f t="shared" si="264"/>
        <v>GSE32489</v>
      </c>
      <c r="D2714" s="1" t="s">
        <v>194</v>
      </c>
      <c r="E2714" t="s">
        <v>15</v>
      </c>
      <c r="F2714" s="1">
        <v>3</v>
      </c>
      <c r="G2714" s="1" t="s">
        <v>23</v>
      </c>
      <c r="H2714" s="4" t="str">
        <f>HYPERLINK("https://www.ncbi.nlm.nih.gov/geo/query/acc.cgi?acc=GSM803974","GSM803974")</f>
        <v>GSM803974</v>
      </c>
      <c r="I2714" t="s">
        <v>17</v>
      </c>
      <c r="J2714" t="s">
        <v>18</v>
      </c>
      <c r="K2714" t="s">
        <v>19</v>
      </c>
      <c r="L2714" t="s">
        <v>20</v>
      </c>
      <c r="M2714" t="s">
        <v>24</v>
      </c>
      <c r="N2714" t="s">
        <v>22</v>
      </c>
    </row>
    <row r="2715" spans="1:14">
      <c r="A2715" s="4" t="str">
        <f t="shared" si="262"/>
        <v>EXP00093</v>
      </c>
      <c r="B2715" s="4" t="str">
        <f t="shared" si="263"/>
        <v>23136189</v>
      </c>
      <c r="C2715" s="4" t="str">
        <f t="shared" si="264"/>
        <v>GSE32489</v>
      </c>
      <c r="D2715" s="1" t="s">
        <v>194</v>
      </c>
      <c r="E2715" t="s">
        <v>15</v>
      </c>
      <c r="F2715" s="1">
        <v>3</v>
      </c>
      <c r="G2715" s="1" t="s">
        <v>23</v>
      </c>
      <c r="H2715" s="4" t="str">
        <f>HYPERLINK("https://www.ncbi.nlm.nih.gov/geo/query/acc.cgi?acc=GSM803975","GSM803975")</f>
        <v>GSM803975</v>
      </c>
      <c r="I2715" t="s">
        <v>17</v>
      </c>
      <c r="J2715" t="s">
        <v>18</v>
      </c>
      <c r="K2715" t="s">
        <v>19</v>
      </c>
      <c r="L2715" t="s">
        <v>20</v>
      </c>
      <c r="M2715" t="s">
        <v>24</v>
      </c>
      <c r="N2715" t="s">
        <v>22</v>
      </c>
    </row>
    <row r="2716" spans="1:14">
      <c r="A2716" s="4" t="str">
        <f t="shared" si="262"/>
        <v>EXP00093</v>
      </c>
      <c r="B2716" s="4" t="str">
        <f t="shared" si="263"/>
        <v>23136189</v>
      </c>
      <c r="C2716" s="4" t="str">
        <f t="shared" si="264"/>
        <v>GSE32489</v>
      </c>
      <c r="D2716" s="1" t="s">
        <v>194</v>
      </c>
      <c r="E2716" t="s">
        <v>15</v>
      </c>
      <c r="F2716" s="1">
        <v>3</v>
      </c>
      <c r="G2716" s="1" t="s">
        <v>23</v>
      </c>
      <c r="H2716" s="4" t="str">
        <f>HYPERLINK("https://www.ncbi.nlm.nih.gov/geo/query/acc.cgi?acc=GSM803976","GSM803976")</f>
        <v>GSM803976</v>
      </c>
      <c r="I2716" t="s">
        <v>17</v>
      </c>
      <c r="J2716" t="s">
        <v>18</v>
      </c>
      <c r="K2716" t="s">
        <v>19</v>
      </c>
      <c r="L2716" t="s">
        <v>20</v>
      </c>
      <c r="M2716" t="s">
        <v>24</v>
      </c>
      <c r="N2716" t="s">
        <v>22</v>
      </c>
    </row>
    <row r="2717" spans="1:14">
      <c r="A2717" s="4" t="str">
        <f t="shared" si="262"/>
        <v>EXP00093</v>
      </c>
      <c r="B2717" s="4" t="str">
        <f t="shared" si="263"/>
        <v>23136189</v>
      </c>
      <c r="C2717" s="4" t="str">
        <f t="shared" si="264"/>
        <v>GSE32489</v>
      </c>
      <c r="D2717" s="1" t="s">
        <v>194</v>
      </c>
      <c r="E2717" t="s">
        <v>15</v>
      </c>
      <c r="F2717" s="1">
        <v>3</v>
      </c>
      <c r="G2717" s="1" t="s">
        <v>23</v>
      </c>
      <c r="H2717" s="4" t="str">
        <f>HYPERLINK("https://www.ncbi.nlm.nih.gov/geo/query/acc.cgi?acc=GSM803977","GSM803977")</f>
        <v>GSM803977</v>
      </c>
      <c r="I2717" t="s">
        <v>17</v>
      </c>
      <c r="J2717" t="s">
        <v>18</v>
      </c>
      <c r="K2717" t="s">
        <v>19</v>
      </c>
      <c r="L2717" t="s">
        <v>20</v>
      </c>
      <c r="M2717" t="s">
        <v>24</v>
      </c>
      <c r="N2717" t="s">
        <v>22</v>
      </c>
    </row>
    <row r="2718" spans="1:14">
      <c r="A2718" s="4" t="str">
        <f t="shared" si="262"/>
        <v>EXP00093</v>
      </c>
      <c r="B2718" s="4" t="str">
        <f t="shared" si="263"/>
        <v>23136189</v>
      </c>
      <c r="C2718" s="4" t="str">
        <f t="shared" si="264"/>
        <v>GSE32489</v>
      </c>
      <c r="D2718" s="1" t="s">
        <v>194</v>
      </c>
      <c r="E2718" t="s">
        <v>15</v>
      </c>
      <c r="F2718" s="1">
        <v>3</v>
      </c>
      <c r="G2718" s="1" t="s">
        <v>23</v>
      </c>
      <c r="H2718" s="4" t="str">
        <f>HYPERLINK("https://www.ncbi.nlm.nih.gov/geo/query/acc.cgi?acc=GSM803978","GSM803978")</f>
        <v>GSM803978</v>
      </c>
      <c r="I2718" t="s">
        <v>17</v>
      </c>
      <c r="J2718" t="s">
        <v>18</v>
      </c>
      <c r="K2718" t="s">
        <v>19</v>
      </c>
      <c r="L2718" t="s">
        <v>20</v>
      </c>
      <c r="M2718" t="s">
        <v>24</v>
      </c>
      <c r="N2718" t="s">
        <v>22</v>
      </c>
    </row>
    <row r="2719" spans="1:14">
      <c r="A2719" s="4" t="str">
        <f t="shared" si="262"/>
        <v>EXP00093</v>
      </c>
      <c r="B2719" s="4" t="str">
        <f t="shared" si="263"/>
        <v>23136189</v>
      </c>
      <c r="C2719" s="4" t="str">
        <f t="shared" si="264"/>
        <v>GSE32489</v>
      </c>
      <c r="D2719" s="1" t="s">
        <v>194</v>
      </c>
      <c r="E2719" t="s">
        <v>15</v>
      </c>
      <c r="F2719" s="1">
        <v>3</v>
      </c>
      <c r="G2719" s="1" t="s">
        <v>23</v>
      </c>
      <c r="H2719" s="4" t="str">
        <f>HYPERLINK("https://www.ncbi.nlm.nih.gov/geo/query/acc.cgi?acc=GSM803980","GSM803980")</f>
        <v>GSM803980</v>
      </c>
      <c r="I2719" t="s">
        <v>17</v>
      </c>
      <c r="J2719" t="s">
        <v>18</v>
      </c>
      <c r="K2719" t="s">
        <v>19</v>
      </c>
      <c r="L2719" t="s">
        <v>20</v>
      </c>
      <c r="M2719" t="s">
        <v>24</v>
      </c>
      <c r="N2719" t="s">
        <v>22</v>
      </c>
    </row>
    <row r="2720" spans="1:14">
      <c r="A2720" s="4" t="str">
        <f t="shared" si="262"/>
        <v>EXP00093</v>
      </c>
      <c r="B2720" s="4" t="str">
        <f t="shared" si="263"/>
        <v>23136189</v>
      </c>
      <c r="C2720" s="4" t="str">
        <f t="shared" si="264"/>
        <v>GSE32489</v>
      </c>
      <c r="D2720" s="1" t="s">
        <v>194</v>
      </c>
      <c r="E2720" t="s">
        <v>15</v>
      </c>
      <c r="F2720" s="1">
        <v>3</v>
      </c>
      <c r="G2720" s="1" t="s">
        <v>23</v>
      </c>
      <c r="H2720" s="4" t="str">
        <f>HYPERLINK("https://www.ncbi.nlm.nih.gov/geo/query/acc.cgi?acc=GSM803981","GSM803981")</f>
        <v>GSM803981</v>
      </c>
      <c r="I2720" t="s">
        <v>17</v>
      </c>
      <c r="J2720" t="s">
        <v>18</v>
      </c>
      <c r="K2720" t="s">
        <v>19</v>
      </c>
      <c r="L2720" t="s">
        <v>20</v>
      </c>
      <c r="M2720" t="s">
        <v>24</v>
      </c>
      <c r="N2720" t="s">
        <v>22</v>
      </c>
    </row>
    <row r="2721" spans="1:14">
      <c r="A2721" s="4" t="str">
        <f t="shared" si="262"/>
        <v>EXP00093</v>
      </c>
      <c r="B2721" s="4" t="str">
        <f t="shared" si="263"/>
        <v>23136189</v>
      </c>
      <c r="C2721" s="4" t="str">
        <f t="shared" si="264"/>
        <v>GSE32489</v>
      </c>
      <c r="D2721" s="1" t="s">
        <v>194</v>
      </c>
      <c r="E2721" t="s">
        <v>15</v>
      </c>
      <c r="F2721" s="1">
        <v>3</v>
      </c>
      <c r="G2721" s="1" t="s">
        <v>23</v>
      </c>
      <c r="H2721" s="4" t="str">
        <f>HYPERLINK("https://www.ncbi.nlm.nih.gov/geo/query/acc.cgi?acc=GSM803982","GSM803982")</f>
        <v>GSM803982</v>
      </c>
      <c r="I2721" t="s">
        <v>17</v>
      </c>
      <c r="J2721" t="s">
        <v>18</v>
      </c>
      <c r="K2721" t="s">
        <v>19</v>
      </c>
      <c r="L2721" t="s">
        <v>20</v>
      </c>
      <c r="M2721" t="s">
        <v>24</v>
      </c>
      <c r="N2721" t="s">
        <v>22</v>
      </c>
    </row>
    <row r="2722" spans="1:14">
      <c r="A2722" s="4" t="str">
        <f t="shared" si="262"/>
        <v>EXP00093</v>
      </c>
      <c r="B2722" s="4" t="str">
        <f t="shared" si="263"/>
        <v>23136189</v>
      </c>
      <c r="C2722" s="4" t="str">
        <f t="shared" si="264"/>
        <v>GSE32489</v>
      </c>
      <c r="D2722" s="1" t="s">
        <v>194</v>
      </c>
      <c r="E2722" t="s">
        <v>15</v>
      </c>
      <c r="F2722" s="1">
        <v>3</v>
      </c>
      <c r="G2722" s="1" t="s">
        <v>23</v>
      </c>
      <c r="H2722" s="4" t="str">
        <f>HYPERLINK("https://www.ncbi.nlm.nih.gov/geo/query/acc.cgi?acc=GSM803983","GSM803983")</f>
        <v>GSM803983</v>
      </c>
      <c r="I2722" t="s">
        <v>17</v>
      </c>
      <c r="J2722" t="s">
        <v>18</v>
      </c>
      <c r="K2722" t="s">
        <v>19</v>
      </c>
      <c r="L2722" t="s">
        <v>20</v>
      </c>
      <c r="M2722" t="s">
        <v>24</v>
      </c>
      <c r="N2722" t="s">
        <v>22</v>
      </c>
    </row>
    <row r="2723" spans="1:14">
      <c r="A2723" s="4" t="str">
        <f t="shared" si="262"/>
        <v>EXP00093</v>
      </c>
      <c r="B2723" s="4" t="str">
        <f t="shared" si="263"/>
        <v>23136189</v>
      </c>
      <c r="C2723" s="4" t="str">
        <f t="shared" si="264"/>
        <v>GSE32489</v>
      </c>
      <c r="D2723" s="1" t="s">
        <v>194</v>
      </c>
      <c r="E2723" t="s">
        <v>15</v>
      </c>
      <c r="F2723" s="1">
        <v>3</v>
      </c>
      <c r="G2723" s="1" t="s">
        <v>23</v>
      </c>
      <c r="H2723" s="4" t="str">
        <f>HYPERLINK("https://www.ncbi.nlm.nih.gov/geo/query/acc.cgi?acc=GSM803984","GSM803984")</f>
        <v>GSM803984</v>
      </c>
      <c r="I2723" t="s">
        <v>17</v>
      </c>
      <c r="J2723" t="s">
        <v>18</v>
      </c>
      <c r="K2723" t="s">
        <v>19</v>
      </c>
      <c r="L2723" t="s">
        <v>20</v>
      </c>
      <c r="M2723" t="s">
        <v>24</v>
      </c>
      <c r="N2723" t="s">
        <v>22</v>
      </c>
    </row>
    <row r="2724" spans="1:14">
      <c r="A2724" s="4" t="str">
        <f t="shared" si="262"/>
        <v>EXP00093</v>
      </c>
      <c r="B2724" s="4" t="str">
        <f t="shared" si="263"/>
        <v>23136189</v>
      </c>
      <c r="C2724" s="4" t="str">
        <f t="shared" si="264"/>
        <v>GSE32489</v>
      </c>
      <c r="D2724" s="1" t="s">
        <v>194</v>
      </c>
      <c r="E2724" t="s">
        <v>15</v>
      </c>
      <c r="F2724" s="1">
        <v>3</v>
      </c>
      <c r="G2724" s="1" t="s">
        <v>23</v>
      </c>
      <c r="H2724" s="4" t="str">
        <f>HYPERLINK("https://www.ncbi.nlm.nih.gov/geo/query/acc.cgi?acc=GSM803985","GSM803985")</f>
        <v>GSM803985</v>
      </c>
      <c r="I2724" t="s">
        <v>17</v>
      </c>
      <c r="J2724" t="s">
        <v>18</v>
      </c>
      <c r="K2724" t="s">
        <v>19</v>
      </c>
      <c r="L2724" t="s">
        <v>20</v>
      </c>
      <c r="M2724" t="s">
        <v>24</v>
      </c>
      <c r="N2724" t="s">
        <v>22</v>
      </c>
    </row>
    <row r="2725" spans="1:14">
      <c r="A2725" s="4" t="str">
        <f t="shared" si="262"/>
        <v>EXP00093</v>
      </c>
      <c r="B2725" s="4" t="str">
        <f t="shared" si="263"/>
        <v>23136189</v>
      </c>
      <c r="C2725" s="4" t="str">
        <f t="shared" si="264"/>
        <v>GSE32489</v>
      </c>
      <c r="D2725" s="1" t="s">
        <v>194</v>
      </c>
      <c r="E2725" t="s">
        <v>15</v>
      </c>
      <c r="F2725" s="1">
        <v>3</v>
      </c>
      <c r="G2725" s="1" t="s">
        <v>23</v>
      </c>
      <c r="H2725" s="4" t="str">
        <f>HYPERLINK("https://www.ncbi.nlm.nih.gov/geo/query/acc.cgi?acc=GSM803986","GSM803986")</f>
        <v>GSM803986</v>
      </c>
      <c r="I2725" t="s">
        <v>17</v>
      </c>
      <c r="J2725" t="s">
        <v>18</v>
      </c>
      <c r="K2725" t="s">
        <v>19</v>
      </c>
      <c r="L2725" t="s">
        <v>20</v>
      </c>
      <c r="M2725" t="s">
        <v>24</v>
      </c>
      <c r="N2725" t="s">
        <v>22</v>
      </c>
    </row>
    <row r="2726" spans="1:14">
      <c r="A2726" s="4" t="str">
        <f t="shared" si="262"/>
        <v>EXP00093</v>
      </c>
      <c r="B2726" s="4" t="str">
        <f t="shared" si="263"/>
        <v>23136189</v>
      </c>
      <c r="C2726" s="4" t="str">
        <f t="shared" si="264"/>
        <v>GSE32489</v>
      </c>
      <c r="D2726" s="1" t="s">
        <v>194</v>
      </c>
      <c r="E2726" t="s">
        <v>15</v>
      </c>
      <c r="F2726" s="1">
        <v>3</v>
      </c>
      <c r="G2726" s="1" t="s">
        <v>23</v>
      </c>
      <c r="H2726" s="4" t="str">
        <f>HYPERLINK("https://www.ncbi.nlm.nih.gov/geo/query/acc.cgi?acc=GSM803987","GSM803987")</f>
        <v>GSM803987</v>
      </c>
      <c r="I2726" t="s">
        <v>17</v>
      </c>
      <c r="J2726" t="s">
        <v>18</v>
      </c>
      <c r="K2726" t="s">
        <v>19</v>
      </c>
      <c r="L2726" t="s">
        <v>20</v>
      </c>
      <c r="M2726" t="s">
        <v>24</v>
      </c>
      <c r="N2726" t="s">
        <v>22</v>
      </c>
    </row>
    <row r="2727" spans="1:14">
      <c r="A2727" s="4" t="str">
        <f t="shared" si="262"/>
        <v>EXP00093</v>
      </c>
      <c r="B2727" s="4" t="str">
        <f t="shared" si="263"/>
        <v>23136189</v>
      </c>
      <c r="C2727" s="4" t="str">
        <f t="shared" si="264"/>
        <v>GSE32489</v>
      </c>
      <c r="D2727" s="1" t="s">
        <v>194</v>
      </c>
      <c r="E2727" t="s">
        <v>15</v>
      </c>
      <c r="F2727" s="1">
        <v>3</v>
      </c>
      <c r="G2727" s="1" t="s">
        <v>23</v>
      </c>
      <c r="H2727" s="4" t="str">
        <f>HYPERLINK("https://www.ncbi.nlm.nih.gov/geo/query/acc.cgi?acc=GSM803988","GSM803988")</f>
        <v>GSM803988</v>
      </c>
      <c r="I2727" t="s">
        <v>17</v>
      </c>
      <c r="J2727" t="s">
        <v>18</v>
      </c>
      <c r="K2727" t="s">
        <v>19</v>
      </c>
      <c r="L2727" t="s">
        <v>20</v>
      </c>
      <c r="M2727" t="s">
        <v>24</v>
      </c>
      <c r="N2727" t="s">
        <v>22</v>
      </c>
    </row>
    <row r="2728" spans="1:14">
      <c r="A2728" s="4" t="str">
        <f t="shared" si="262"/>
        <v>EXP00093</v>
      </c>
      <c r="B2728" s="4" t="str">
        <f t="shared" si="263"/>
        <v>23136189</v>
      </c>
      <c r="C2728" s="4" t="str">
        <f t="shared" si="264"/>
        <v>GSE32489</v>
      </c>
      <c r="D2728" s="1" t="s">
        <v>194</v>
      </c>
      <c r="E2728" t="s">
        <v>15</v>
      </c>
      <c r="F2728" s="1">
        <v>3</v>
      </c>
      <c r="G2728" s="1" t="s">
        <v>23</v>
      </c>
      <c r="H2728" s="4" t="str">
        <f>HYPERLINK("https://www.ncbi.nlm.nih.gov/geo/query/acc.cgi?acc=GSM803989","GSM803989")</f>
        <v>GSM803989</v>
      </c>
      <c r="I2728" t="s">
        <v>17</v>
      </c>
      <c r="J2728" t="s">
        <v>18</v>
      </c>
      <c r="K2728" t="s">
        <v>19</v>
      </c>
      <c r="L2728" t="s">
        <v>20</v>
      </c>
      <c r="M2728" t="s">
        <v>24</v>
      </c>
      <c r="N2728" t="s">
        <v>22</v>
      </c>
    </row>
    <row r="2729" spans="1:14">
      <c r="A2729" s="4" t="str">
        <f t="shared" si="262"/>
        <v>EXP00093</v>
      </c>
      <c r="B2729" s="4" t="str">
        <f t="shared" si="263"/>
        <v>23136189</v>
      </c>
      <c r="C2729" s="4" t="str">
        <f t="shared" si="264"/>
        <v>GSE32489</v>
      </c>
      <c r="D2729" s="1" t="s">
        <v>194</v>
      </c>
      <c r="E2729" t="s">
        <v>15</v>
      </c>
      <c r="F2729" s="1">
        <v>3</v>
      </c>
      <c r="G2729" s="1" t="s">
        <v>23</v>
      </c>
      <c r="H2729" s="4" t="str">
        <f>HYPERLINK("https://www.ncbi.nlm.nih.gov/geo/query/acc.cgi?acc=GSM803991","GSM803991")</f>
        <v>GSM803991</v>
      </c>
      <c r="I2729" t="s">
        <v>17</v>
      </c>
      <c r="J2729" t="s">
        <v>18</v>
      </c>
      <c r="K2729" t="s">
        <v>19</v>
      </c>
      <c r="L2729" t="s">
        <v>20</v>
      </c>
      <c r="M2729" t="s">
        <v>24</v>
      </c>
      <c r="N2729" t="s">
        <v>22</v>
      </c>
    </row>
    <row r="2730" spans="1:14">
      <c r="A2730" s="4" t="str">
        <f t="shared" si="262"/>
        <v>EXP00093</v>
      </c>
      <c r="B2730" s="4" t="str">
        <f t="shared" si="263"/>
        <v>23136189</v>
      </c>
      <c r="C2730" s="4" t="str">
        <f t="shared" si="264"/>
        <v>GSE32489</v>
      </c>
      <c r="D2730" s="1" t="s">
        <v>194</v>
      </c>
      <c r="E2730" t="s">
        <v>15</v>
      </c>
      <c r="F2730" s="1">
        <v>3</v>
      </c>
      <c r="G2730" s="1" t="s">
        <v>23</v>
      </c>
      <c r="H2730" s="4" t="str">
        <f>HYPERLINK("https://www.ncbi.nlm.nih.gov/geo/query/acc.cgi?acc=GSM803992","GSM803992")</f>
        <v>GSM803992</v>
      </c>
      <c r="I2730" t="s">
        <v>17</v>
      </c>
      <c r="J2730" t="s">
        <v>18</v>
      </c>
      <c r="K2730" t="s">
        <v>19</v>
      </c>
      <c r="L2730" t="s">
        <v>20</v>
      </c>
      <c r="M2730" t="s">
        <v>24</v>
      </c>
      <c r="N2730" t="s">
        <v>22</v>
      </c>
    </row>
    <row r="2731" spans="1:14">
      <c r="A2731" s="4" t="str">
        <f t="shared" si="262"/>
        <v>EXP00093</v>
      </c>
      <c r="B2731" s="4" t="str">
        <f t="shared" si="263"/>
        <v>23136189</v>
      </c>
      <c r="C2731" s="4" t="str">
        <f t="shared" si="264"/>
        <v>GSE32489</v>
      </c>
      <c r="D2731" s="1" t="s">
        <v>194</v>
      </c>
      <c r="E2731" t="s">
        <v>15</v>
      </c>
      <c r="F2731" s="1">
        <v>3</v>
      </c>
      <c r="G2731" s="1" t="s">
        <v>23</v>
      </c>
      <c r="H2731" s="4" t="str">
        <f>HYPERLINK("https://www.ncbi.nlm.nih.gov/geo/query/acc.cgi?acc=GSM803993","GSM803993")</f>
        <v>GSM803993</v>
      </c>
      <c r="I2731" t="s">
        <v>17</v>
      </c>
      <c r="J2731" t="s">
        <v>18</v>
      </c>
      <c r="K2731" t="s">
        <v>19</v>
      </c>
      <c r="L2731" t="s">
        <v>20</v>
      </c>
      <c r="M2731" t="s">
        <v>24</v>
      </c>
      <c r="N2731" t="s">
        <v>22</v>
      </c>
    </row>
    <row r="2732" spans="1:14">
      <c r="A2732" s="4" t="str">
        <f t="shared" si="262"/>
        <v>EXP00093</v>
      </c>
      <c r="B2732" s="4" t="str">
        <f t="shared" si="263"/>
        <v>23136189</v>
      </c>
      <c r="C2732" s="4" t="str">
        <f t="shared" si="264"/>
        <v>GSE32489</v>
      </c>
      <c r="D2732" s="1" t="s">
        <v>194</v>
      </c>
      <c r="E2732" t="s">
        <v>15</v>
      </c>
      <c r="F2732" s="1">
        <v>3</v>
      </c>
      <c r="G2732" s="1" t="s">
        <v>23</v>
      </c>
      <c r="H2732" s="4" t="str">
        <f>HYPERLINK("https://www.ncbi.nlm.nih.gov/geo/query/acc.cgi?acc=GSM803994","GSM803994")</f>
        <v>GSM803994</v>
      </c>
      <c r="I2732" t="s">
        <v>17</v>
      </c>
      <c r="J2732" t="s">
        <v>18</v>
      </c>
      <c r="K2732" t="s">
        <v>19</v>
      </c>
      <c r="L2732" t="s">
        <v>20</v>
      </c>
      <c r="M2732" t="s">
        <v>24</v>
      </c>
      <c r="N2732" t="s">
        <v>22</v>
      </c>
    </row>
    <row r="2733" spans="1:14">
      <c r="A2733" s="4" t="str">
        <f t="shared" si="262"/>
        <v>EXP00093</v>
      </c>
      <c r="B2733" s="4" t="str">
        <f t="shared" si="263"/>
        <v>23136189</v>
      </c>
      <c r="C2733" s="4" t="str">
        <f t="shared" si="264"/>
        <v>GSE32489</v>
      </c>
      <c r="D2733" s="1" t="s">
        <v>194</v>
      </c>
      <c r="E2733" t="s">
        <v>15</v>
      </c>
      <c r="F2733" s="1">
        <v>3</v>
      </c>
      <c r="G2733" s="1" t="s">
        <v>23</v>
      </c>
      <c r="H2733" s="4" t="str">
        <f>HYPERLINK("https://www.ncbi.nlm.nih.gov/geo/query/acc.cgi?acc=GSM803995","GSM803995")</f>
        <v>GSM803995</v>
      </c>
      <c r="I2733" t="s">
        <v>17</v>
      </c>
      <c r="J2733" t="s">
        <v>18</v>
      </c>
      <c r="K2733" t="s">
        <v>19</v>
      </c>
      <c r="L2733" t="s">
        <v>20</v>
      </c>
      <c r="M2733" t="s">
        <v>24</v>
      </c>
      <c r="N2733" t="s">
        <v>22</v>
      </c>
    </row>
    <row r="2734" spans="1:14">
      <c r="A2734" s="4" t="str">
        <f t="shared" si="262"/>
        <v>EXP00093</v>
      </c>
      <c r="B2734" s="4" t="str">
        <f t="shared" si="263"/>
        <v>23136189</v>
      </c>
      <c r="C2734" s="4" t="str">
        <f t="shared" si="264"/>
        <v>GSE32489</v>
      </c>
      <c r="D2734" s="1" t="s">
        <v>194</v>
      </c>
      <c r="E2734" t="s">
        <v>15</v>
      </c>
      <c r="F2734" s="1">
        <v>3</v>
      </c>
      <c r="G2734" s="1" t="s">
        <v>23</v>
      </c>
      <c r="H2734" s="4" t="str">
        <f>HYPERLINK("https://www.ncbi.nlm.nih.gov/geo/query/acc.cgi?acc=GSM803997","GSM803997")</f>
        <v>GSM803997</v>
      </c>
      <c r="I2734" t="s">
        <v>17</v>
      </c>
      <c r="J2734" t="s">
        <v>18</v>
      </c>
      <c r="K2734" t="s">
        <v>19</v>
      </c>
      <c r="L2734" t="s">
        <v>20</v>
      </c>
      <c r="M2734" t="s">
        <v>24</v>
      </c>
      <c r="N2734" t="s">
        <v>22</v>
      </c>
    </row>
    <row r="2735" spans="1:14">
      <c r="A2735" s="4" t="str">
        <f t="shared" si="262"/>
        <v>EXP00093</v>
      </c>
      <c r="B2735" s="4" t="str">
        <f t="shared" si="263"/>
        <v>23136189</v>
      </c>
      <c r="C2735" s="4" t="str">
        <f t="shared" si="264"/>
        <v>GSE32489</v>
      </c>
      <c r="D2735" s="1" t="s">
        <v>194</v>
      </c>
      <c r="E2735" t="s">
        <v>15</v>
      </c>
      <c r="F2735" s="1">
        <v>3</v>
      </c>
      <c r="G2735" s="1" t="s">
        <v>23</v>
      </c>
      <c r="H2735" s="4" t="str">
        <f>HYPERLINK("https://www.ncbi.nlm.nih.gov/geo/query/acc.cgi?acc=GSM803998","GSM803998")</f>
        <v>GSM803998</v>
      </c>
      <c r="I2735" t="s">
        <v>17</v>
      </c>
      <c r="J2735" t="s">
        <v>18</v>
      </c>
      <c r="K2735" t="s">
        <v>19</v>
      </c>
      <c r="L2735" t="s">
        <v>20</v>
      </c>
      <c r="M2735" t="s">
        <v>24</v>
      </c>
      <c r="N2735" t="s">
        <v>22</v>
      </c>
    </row>
    <row r="2736" spans="1:14">
      <c r="A2736" s="4" t="str">
        <f t="shared" si="262"/>
        <v>EXP00093</v>
      </c>
      <c r="B2736" s="4" t="str">
        <f t="shared" si="263"/>
        <v>23136189</v>
      </c>
      <c r="C2736" s="4" t="str">
        <f t="shared" si="264"/>
        <v>GSE32489</v>
      </c>
      <c r="D2736" s="1" t="s">
        <v>194</v>
      </c>
      <c r="E2736" t="s">
        <v>15</v>
      </c>
      <c r="F2736" s="1">
        <v>3</v>
      </c>
      <c r="G2736" s="1" t="s">
        <v>23</v>
      </c>
      <c r="H2736" s="4" t="str">
        <f>HYPERLINK("https://www.ncbi.nlm.nih.gov/geo/query/acc.cgi?acc=GSM803999","GSM803999")</f>
        <v>GSM803999</v>
      </c>
      <c r="I2736" t="s">
        <v>17</v>
      </c>
      <c r="J2736" t="s">
        <v>18</v>
      </c>
      <c r="K2736" t="s">
        <v>19</v>
      </c>
      <c r="L2736" t="s">
        <v>20</v>
      </c>
      <c r="M2736" t="s">
        <v>24</v>
      </c>
      <c r="N2736" t="s">
        <v>22</v>
      </c>
    </row>
    <row r="2737" spans="1:14">
      <c r="A2737" s="4" t="str">
        <f t="shared" si="262"/>
        <v>EXP00093</v>
      </c>
      <c r="B2737" s="4" t="str">
        <f t="shared" si="263"/>
        <v>23136189</v>
      </c>
      <c r="C2737" s="4" t="str">
        <f t="shared" si="264"/>
        <v>GSE32489</v>
      </c>
      <c r="D2737" s="1" t="s">
        <v>194</v>
      </c>
      <c r="E2737" t="s">
        <v>15</v>
      </c>
      <c r="F2737" s="1">
        <v>3</v>
      </c>
      <c r="G2737" s="1" t="s">
        <v>23</v>
      </c>
      <c r="H2737" s="4" t="str">
        <f>HYPERLINK("https://www.ncbi.nlm.nih.gov/geo/query/acc.cgi?acc=GSM804000","GSM804000")</f>
        <v>GSM804000</v>
      </c>
      <c r="I2737" t="s">
        <v>17</v>
      </c>
      <c r="J2737" t="s">
        <v>18</v>
      </c>
      <c r="K2737" t="s">
        <v>19</v>
      </c>
      <c r="L2737" t="s">
        <v>20</v>
      </c>
      <c r="M2737" t="s">
        <v>24</v>
      </c>
      <c r="N2737" t="s">
        <v>22</v>
      </c>
    </row>
    <row r="2738" spans="1:14">
      <c r="A2738" s="4" t="str">
        <f t="shared" si="262"/>
        <v>EXP00093</v>
      </c>
      <c r="B2738" s="4" t="str">
        <f t="shared" si="263"/>
        <v>23136189</v>
      </c>
      <c r="C2738" s="4" t="str">
        <f t="shared" si="264"/>
        <v>GSE32489</v>
      </c>
      <c r="D2738" s="1" t="s">
        <v>194</v>
      </c>
      <c r="E2738" t="s">
        <v>15</v>
      </c>
      <c r="F2738" s="1">
        <v>3</v>
      </c>
      <c r="G2738" s="1" t="s">
        <v>23</v>
      </c>
      <c r="H2738" s="4" t="str">
        <f>HYPERLINK("https://www.ncbi.nlm.nih.gov/geo/query/acc.cgi?acc=GSM804001","GSM804001")</f>
        <v>GSM804001</v>
      </c>
      <c r="I2738" t="s">
        <v>17</v>
      </c>
      <c r="J2738" t="s">
        <v>18</v>
      </c>
      <c r="K2738" t="s">
        <v>19</v>
      </c>
      <c r="L2738" t="s">
        <v>20</v>
      </c>
      <c r="M2738" t="s">
        <v>24</v>
      </c>
      <c r="N2738" t="s">
        <v>22</v>
      </c>
    </row>
    <row r="2739" spans="1:14">
      <c r="A2739" s="4" t="str">
        <f t="shared" si="262"/>
        <v>EXP00093</v>
      </c>
      <c r="B2739" s="4" t="str">
        <f t="shared" si="263"/>
        <v>23136189</v>
      </c>
      <c r="C2739" s="4" t="str">
        <f t="shared" si="264"/>
        <v>GSE32489</v>
      </c>
      <c r="D2739" s="1" t="s">
        <v>194</v>
      </c>
      <c r="E2739" t="s">
        <v>15</v>
      </c>
      <c r="F2739" s="1">
        <v>3</v>
      </c>
      <c r="G2739" s="1" t="s">
        <v>23</v>
      </c>
      <c r="H2739" s="4" t="str">
        <f>HYPERLINK("https://www.ncbi.nlm.nih.gov/geo/query/acc.cgi?acc=GSM804002","GSM804002")</f>
        <v>GSM804002</v>
      </c>
      <c r="I2739" t="s">
        <v>17</v>
      </c>
      <c r="J2739" t="s">
        <v>18</v>
      </c>
      <c r="K2739" t="s">
        <v>19</v>
      </c>
      <c r="L2739" t="s">
        <v>20</v>
      </c>
      <c r="M2739" t="s">
        <v>24</v>
      </c>
      <c r="N2739" t="s">
        <v>22</v>
      </c>
    </row>
    <row r="2740" spans="1:14">
      <c r="A2740" s="4" t="str">
        <f t="shared" si="262"/>
        <v>EXP00093</v>
      </c>
      <c r="B2740" s="4" t="str">
        <f t="shared" si="263"/>
        <v>23136189</v>
      </c>
      <c r="C2740" s="4" t="str">
        <f t="shared" si="264"/>
        <v>GSE32489</v>
      </c>
      <c r="D2740" s="1" t="s">
        <v>194</v>
      </c>
      <c r="E2740" t="s">
        <v>15</v>
      </c>
      <c r="F2740" s="1">
        <v>3</v>
      </c>
      <c r="G2740" s="1" t="s">
        <v>23</v>
      </c>
      <c r="H2740" s="4" t="str">
        <f>HYPERLINK("https://www.ncbi.nlm.nih.gov/geo/query/acc.cgi?acc=GSM804003","GSM804003")</f>
        <v>GSM804003</v>
      </c>
      <c r="I2740" t="s">
        <v>17</v>
      </c>
      <c r="J2740" t="s">
        <v>18</v>
      </c>
      <c r="K2740" t="s">
        <v>19</v>
      </c>
      <c r="L2740" t="s">
        <v>20</v>
      </c>
      <c r="M2740" t="s">
        <v>24</v>
      </c>
      <c r="N2740" t="s">
        <v>22</v>
      </c>
    </row>
    <row r="2741" spans="1:14">
      <c r="A2741" s="4" t="str">
        <f t="shared" si="262"/>
        <v>EXP00093</v>
      </c>
      <c r="B2741" s="4" t="str">
        <f t="shared" si="263"/>
        <v>23136189</v>
      </c>
      <c r="C2741" s="4" t="str">
        <f t="shared" si="264"/>
        <v>GSE32489</v>
      </c>
      <c r="D2741" s="1" t="s">
        <v>194</v>
      </c>
      <c r="E2741" t="s">
        <v>15</v>
      </c>
      <c r="F2741" s="1">
        <v>3</v>
      </c>
      <c r="G2741" s="1" t="s">
        <v>23</v>
      </c>
      <c r="H2741" s="4" t="str">
        <f>HYPERLINK("https://www.ncbi.nlm.nih.gov/geo/query/acc.cgi?acc=GSM804004","GSM804004")</f>
        <v>GSM804004</v>
      </c>
      <c r="I2741" t="s">
        <v>17</v>
      </c>
      <c r="J2741" t="s">
        <v>18</v>
      </c>
      <c r="K2741" t="s">
        <v>19</v>
      </c>
      <c r="L2741" t="s">
        <v>20</v>
      </c>
      <c r="M2741" t="s">
        <v>24</v>
      </c>
      <c r="N2741" t="s">
        <v>22</v>
      </c>
    </row>
    <row r="2742" spans="1:14">
      <c r="A2742" s="4" t="str">
        <f t="shared" si="262"/>
        <v>EXP00093</v>
      </c>
      <c r="B2742" s="4" t="str">
        <f t="shared" si="263"/>
        <v>23136189</v>
      </c>
      <c r="C2742" s="4" t="str">
        <f t="shared" si="264"/>
        <v>GSE32489</v>
      </c>
      <c r="D2742" s="1" t="s">
        <v>194</v>
      </c>
      <c r="E2742" t="s">
        <v>15</v>
      </c>
      <c r="F2742" s="1">
        <v>3</v>
      </c>
      <c r="G2742" s="1" t="s">
        <v>23</v>
      </c>
      <c r="H2742" s="4" t="str">
        <f>HYPERLINK("https://www.ncbi.nlm.nih.gov/geo/query/acc.cgi?acc=GSM804005","GSM804005")</f>
        <v>GSM804005</v>
      </c>
      <c r="I2742" t="s">
        <v>17</v>
      </c>
      <c r="J2742" t="s">
        <v>18</v>
      </c>
      <c r="K2742" t="s">
        <v>19</v>
      </c>
      <c r="L2742" t="s">
        <v>20</v>
      </c>
      <c r="M2742" t="s">
        <v>24</v>
      </c>
      <c r="N2742" t="s">
        <v>22</v>
      </c>
    </row>
    <row r="2743" spans="1:14">
      <c r="A2743" s="4" t="str">
        <f t="shared" ref="A2743:A2750" si="265">HYPERLINK("http://hcmdb.i-sanger.com/experiment/details/experiment_id/EXP00093","EXP00093")</f>
        <v>EXP00093</v>
      </c>
      <c r="B2743" s="4" t="str">
        <f t="shared" ref="B2743:B2750" si="266">HYPERLINK("https://www.ncbi.nlm.nih.gov/pubmed/23136189","23136189")</f>
        <v>23136189</v>
      </c>
      <c r="C2743" s="4" t="str">
        <f t="shared" ref="C2743:C2750" si="267">HYPERLINK("https://www.ncbi.nlm.nih.gov/geo/query/acc.cgi?acc=GSE32489","GSE32489")</f>
        <v>GSE32489</v>
      </c>
      <c r="D2743" s="1" t="s">
        <v>194</v>
      </c>
      <c r="E2743" t="s">
        <v>15</v>
      </c>
      <c r="F2743" s="1">
        <v>3</v>
      </c>
      <c r="G2743" s="1" t="s">
        <v>23</v>
      </c>
      <c r="H2743" s="4" t="str">
        <f>HYPERLINK("https://www.ncbi.nlm.nih.gov/geo/query/acc.cgi?acc=GSM804006","GSM804006")</f>
        <v>GSM804006</v>
      </c>
      <c r="I2743" t="s">
        <v>17</v>
      </c>
      <c r="J2743" t="s">
        <v>18</v>
      </c>
      <c r="K2743" t="s">
        <v>19</v>
      </c>
      <c r="L2743" t="s">
        <v>20</v>
      </c>
      <c r="M2743" t="s">
        <v>24</v>
      </c>
      <c r="N2743" t="s">
        <v>22</v>
      </c>
    </row>
    <row r="2744" spans="1:14">
      <c r="A2744" s="4" t="str">
        <f t="shared" si="265"/>
        <v>EXP00093</v>
      </c>
      <c r="B2744" s="4" t="str">
        <f t="shared" si="266"/>
        <v>23136189</v>
      </c>
      <c r="C2744" s="4" t="str">
        <f t="shared" si="267"/>
        <v>GSE32489</v>
      </c>
      <c r="D2744" s="1" t="s">
        <v>194</v>
      </c>
      <c r="E2744" t="s">
        <v>15</v>
      </c>
      <c r="F2744" s="1">
        <v>3</v>
      </c>
      <c r="G2744" s="1" t="s">
        <v>23</v>
      </c>
      <c r="H2744" s="4" t="str">
        <f>HYPERLINK("https://www.ncbi.nlm.nih.gov/geo/query/acc.cgi?acc=GSM804008","GSM804008")</f>
        <v>GSM804008</v>
      </c>
      <c r="I2744" t="s">
        <v>17</v>
      </c>
      <c r="J2744" t="s">
        <v>18</v>
      </c>
      <c r="K2744" t="s">
        <v>19</v>
      </c>
      <c r="L2744" t="s">
        <v>20</v>
      </c>
      <c r="M2744" t="s">
        <v>24</v>
      </c>
      <c r="N2744" t="s">
        <v>22</v>
      </c>
    </row>
    <row r="2745" spans="1:14">
      <c r="A2745" s="4" t="str">
        <f t="shared" si="265"/>
        <v>EXP00093</v>
      </c>
      <c r="B2745" s="4" t="str">
        <f t="shared" si="266"/>
        <v>23136189</v>
      </c>
      <c r="C2745" s="4" t="str">
        <f t="shared" si="267"/>
        <v>GSE32489</v>
      </c>
      <c r="D2745" s="1" t="s">
        <v>194</v>
      </c>
      <c r="E2745" t="s">
        <v>15</v>
      </c>
      <c r="F2745" s="1">
        <v>3</v>
      </c>
      <c r="G2745" s="1" t="s">
        <v>23</v>
      </c>
      <c r="H2745" s="4" t="str">
        <f>HYPERLINK("https://www.ncbi.nlm.nih.gov/geo/query/acc.cgi?acc=GSM804009","GSM804009")</f>
        <v>GSM804009</v>
      </c>
      <c r="I2745" t="s">
        <v>17</v>
      </c>
      <c r="J2745" t="s">
        <v>18</v>
      </c>
      <c r="K2745" t="s">
        <v>19</v>
      </c>
      <c r="L2745" t="s">
        <v>20</v>
      </c>
      <c r="M2745" t="s">
        <v>24</v>
      </c>
      <c r="N2745" t="s">
        <v>22</v>
      </c>
    </row>
    <row r="2746" spans="1:14">
      <c r="A2746" s="4" t="str">
        <f t="shared" si="265"/>
        <v>EXP00093</v>
      </c>
      <c r="B2746" s="4" t="str">
        <f t="shared" si="266"/>
        <v>23136189</v>
      </c>
      <c r="C2746" s="4" t="str">
        <f t="shared" si="267"/>
        <v>GSE32489</v>
      </c>
      <c r="D2746" s="1" t="s">
        <v>194</v>
      </c>
      <c r="E2746" t="s">
        <v>15</v>
      </c>
      <c r="F2746" s="1">
        <v>3</v>
      </c>
      <c r="G2746" s="1" t="s">
        <v>23</v>
      </c>
      <c r="H2746" s="4" t="str">
        <f>HYPERLINK("https://www.ncbi.nlm.nih.gov/geo/query/acc.cgi?acc=GSM804010","GSM804010")</f>
        <v>GSM804010</v>
      </c>
      <c r="I2746" t="s">
        <v>17</v>
      </c>
      <c r="J2746" t="s">
        <v>18</v>
      </c>
      <c r="K2746" t="s">
        <v>19</v>
      </c>
      <c r="L2746" t="s">
        <v>20</v>
      </c>
      <c r="M2746" t="s">
        <v>24</v>
      </c>
      <c r="N2746" t="s">
        <v>22</v>
      </c>
    </row>
    <row r="2747" spans="1:14">
      <c r="A2747" s="4" t="str">
        <f t="shared" si="265"/>
        <v>EXP00093</v>
      </c>
      <c r="B2747" s="4" t="str">
        <f t="shared" si="266"/>
        <v>23136189</v>
      </c>
      <c r="C2747" s="4" t="str">
        <f t="shared" si="267"/>
        <v>GSE32489</v>
      </c>
      <c r="D2747" s="1" t="s">
        <v>194</v>
      </c>
      <c r="E2747" t="s">
        <v>15</v>
      </c>
      <c r="F2747" s="1">
        <v>3</v>
      </c>
      <c r="G2747" s="1" t="s">
        <v>23</v>
      </c>
      <c r="H2747" s="4" t="str">
        <f>HYPERLINK("https://www.ncbi.nlm.nih.gov/geo/query/acc.cgi?acc=GSM804011","GSM804011")</f>
        <v>GSM804011</v>
      </c>
      <c r="I2747" t="s">
        <v>17</v>
      </c>
      <c r="J2747" t="s">
        <v>18</v>
      </c>
      <c r="K2747" t="s">
        <v>19</v>
      </c>
      <c r="L2747" t="s">
        <v>20</v>
      </c>
      <c r="M2747" t="s">
        <v>24</v>
      </c>
      <c r="N2747" t="s">
        <v>22</v>
      </c>
    </row>
    <row r="2748" spans="1:14">
      <c r="A2748" s="4" t="str">
        <f t="shared" si="265"/>
        <v>EXP00093</v>
      </c>
      <c r="B2748" s="4" t="str">
        <f t="shared" si="266"/>
        <v>23136189</v>
      </c>
      <c r="C2748" s="4" t="str">
        <f t="shared" si="267"/>
        <v>GSE32489</v>
      </c>
      <c r="D2748" s="1" t="s">
        <v>194</v>
      </c>
      <c r="E2748" t="s">
        <v>15</v>
      </c>
      <c r="F2748" s="1">
        <v>3</v>
      </c>
      <c r="G2748" s="1" t="s">
        <v>23</v>
      </c>
      <c r="H2748" s="4" t="str">
        <f>HYPERLINK("https://www.ncbi.nlm.nih.gov/geo/query/acc.cgi?acc=GSM804012","GSM804012")</f>
        <v>GSM804012</v>
      </c>
      <c r="I2748" t="s">
        <v>17</v>
      </c>
      <c r="J2748" t="s">
        <v>18</v>
      </c>
      <c r="K2748" t="s">
        <v>19</v>
      </c>
      <c r="L2748" t="s">
        <v>20</v>
      </c>
      <c r="M2748" t="s">
        <v>24</v>
      </c>
      <c r="N2748" t="s">
        <v>22</v>
      </c>
    </row>
    <row r="2749" spans="1:14">
      <c r="A2749" s="4" t="str">
        <f t="shared" si="265"/>
        <v>EXP00093</v>
      </c>
      <c r="B2749" s="4" t="str">
        <f t="shared" si="266"/>
        <v>23136189</v>
      </c>
      <c r="C2749" s="4" t="str">
        <f t="shared" si="267"/>
        <v>GSE32489</v>
      </c>
      <c r="D2749" s="1" t="s">
        <v>194</v>
      </c>
      <c r="E2749" t="s">
        <v>15</v>
      </c>
      <c r="F2749" s="1">
        <v>4</v>
      </c>
      <c r="G2749" s="1" t="s">
        <v>195</v>
      </c>
      <c r="H2749" s="4" t="str">
        <f>HYPERLINK("https://www.ncbi.nlm.nih.gov/geo/query/acc.cgi?acc=GSM803900","GSM803900")</f>
        <v>GSM803900</v>
      </c>
      <c r="I2749" t="s">
        <v>17</v>
      </c>
      <c r="J2749" t="s">
        <v>18</v>
      </c>
      <c r="K2749" t="s">
        <v>19</v>
      </c>
      <c r="L2749" t="s">
        <v>20</v>
      </c>
      <c r="M2749" t="s">
        <v>196</v>
      </c>
      <c r="N2749" t="s">
        <v>22</v>
      </c>
    </row>
    <row r="2750" spans="1:14">
      <c r="A2750" s="4" t="str">
        <f t="shared" si="265"/>
        <v>EXP00093</v>
      </c>
      <c r="B2750" s="4" t="str">
        <f t="shared" si="266"/>
        <v>23136189</v>
      </c>
      <c r="C2750" s="4" t="str">
        <f t="shared" si="267"/>
        <v>GSE32489</v>
      </c>
      <c r="D2750" s="1" t="s">
        <v>194</v>
      </c>
      <c r="E2750" t="s">
        <v>15</v>
      </c>
      <c r="F2750" s="1">
        <v>4</v>
      </c>
      <c r="G2750" s="1" t="s">
        <v>195</v>
      </c>
      <c r="H2750" s="4" t="str">
        <f>HYPERLINK("https://www.ncbi.nlm.nih.gov/geo/query/acc.cgi?acc=GSM803902","GSM803902")</f>
        <v>GSM803902</v>
      </c>
      <c r="I2750" t="s">
        <v>17</v>
      </c>
      <c r="J2750" t="s">
        <v>18</v>
      </c>
      <c r="K2750" t="s">
        <v>19</v>
      </c>
      <c r="L2750" t="s">
        <v>20</v>
      </c>
      <c r="M2750" t="s">
        <v>196</v>
      </c>
      <c r="N2750" t="s">
        <v>22</v>
      </c>
    </row>
    <row r="2751" spans="1:14">
      <c r="A2751" s="4" t="str">
        <f t="shared" ref="A2751:A2766" si="268">HYPERLINK("http://hcmdb.i-sanger.com/experiment/details/experiment_id/EXP00081","EXP00081")</f>
        <v>EXP00081</v>
      </c>
      <c r="B2751" s="4" t="str">
        <f t="shared" ref="B2751:B2784" si="269">HYPERLINK("https://www.ncbi.nlm.nih.gov/pubmed/22260379","22260379")</f>
        <v>22260379</v>
      </c>
      <c r="C2751" s="4" t="str">
        <f t="shared" ref="C2751:C2784" si="270">HYPERLINK("https://www.ncbi.nlm.nih.gov/geo/query/acc.cgi?acc=GSE32906","GSE32906")</f>
        <v>GSE32906</v>
      </c>
      <c r="D2751" s="1" t="s">
        <v>197</v>
      </c>
      <c r="E2751" t="s">
        <v>198</v>
      </c>
      <c r="F2751" s="1">
        <v>1</v>
      </c>
      <c r="G2751" s="1" t="s">
        <v>26</v>
      </c>
      <c r="H2751" s="4" t="str">
        <f>HYPERLINK("https://www.ncbi.nlm.nih.gov/geo/query/acc.cgi?acc=GSM814532","GSM814532")</f>
        <v>GSM814532</v>
      </c>
      <c r="I2751" t="s">
        <v>199</v>
      </c>
      <c r="J2751" t="s">
        <v>18</v>
      </c>
      <c r="K2751" t="s">
        <v>19</v>
      </c>
      <c r="L2751" t="s">
        <v>200</v>
      </c>
      <c r="M2751" t="s">
        <v>24</v>
      </c>
      <c r="N2751" t="s">
        <v>22</v>
      </c>
    </row>
    <row r="2752" spans="1:14">
      <c r="A2752" s="4" t="str">
        <f t="shared" si="268"/>
        <v>EXP00081</v>
      </c>
      <c r="B2752" s="4" t="str">
        <f t="shared" si="269"/>
        <v>22260379</v>
      </c>
      <c r="C2752" s="4" t="str">
        <f t="shared" si="270"/>
        <v>GSE32906</v>
      </c>
      <c r="D2752" s="1" t="s">
        <v>197</v>
      </c>
      <c r="E2752" t="s">
        <v>198</v>
      </c>
      <c r="F2752" s="1">
        <v>1</v>
      </c>
      <c r="G2752" s="1" t="s">
        <v>26</v>
      </c>
      <c r="H2752" s="4" t="str">
        <f>HYPERLINK("https://www.ncbi.nlm.nih.gov/geo/query/acc.cgi?acc=GSM814533","GSM814533")</f>
        <v>GSM814533</v>
      </c>
      <c r="I2752" t="s">
        <v>199</v>
      </c>
      <c r="J2752" t="s">
        <v>18</v>
      </c>
      <c r="K2752" t="s">
        <v>19</v>
      </c>
      <c r="L2752" t="s">
        <v>200</v>
      </c>
      <c r="M2752" t="s">
        <v>24</v>
      </c>
      <c r="N2752" t="s">
        <v>22</v>
      </c>
    </row>
    <row r="2753" spans="1:14">
      <c r="A2753" s="4" t="str">
        <f t="shared" si="268"/>
        <v>EXP00081</v>
      </c>
      <c r="B2753" s="4" t="str">
        <f t="shared" si="269"/>
        <v>22260379</v>
      </c>
      <c r="C2753" s="4" t="str">
        <f t="shared" si="270"/>
        <v>GSE32906</v>
      </c>
      <c r="D2753" s="1" t="s">
        <v>197</v>
      </c>
      <c r="E2753" t="s">
        <v>198</v>
      </c>
      <c r="F2753" s="1">
        <v>1</v>
      </c>
      <c r="G2753" s="1" t="s">
        <v>26</v>
      </c>
      <c r="H2753" s="4" t="str">
        <f>HYPERLINK("https://www.ncbi.nlm.nih.gov/geo/query/acc.cgi?acc=GSM814534","GSM814534")</f>
        <v>GSM814534</v>
      </c>
      <c r="I2753" t="s">
        <v>199</v>
      </c>
      <c r="J2753" t="s">
        <v>18</v>
      </c>
      <c r="K2753" t="s">
        <v>19</v>
      </c>
      <c r="L2753" t="s">
        <v>200</v>
      </c>
      <c r="M2753" t="s">
        <v>24</v>
      </c>
      <c r="N2753" t="s">
        <v>22</v>
      </c>
    </row>
    <row r="2754" spans="1:14">
      <c r="A2754" s="4" t="str">
        <f t="shared" si="268"/>
        <v>EXP00081</v>
      </c>
      <c r="B2754" s="4" t="str">
        <f t="shared" si="269"/>
        <v>22260379</v>
      </c>
      <c r="C2754" s="4" t="str">
        <f t="shared" si="270"/>
        <v>GSE32906</v>
      </c>
      <c r="D2754" s="1" t="s">
        <v>197</v>
      </c>
      <c r="E2754" t="s">
        <v>198</v>
      </c>
      <c r="F2754" s="1">
        <v>1</v>
      </c>
      <c r="G2754" s="1" t="s">
        <v>26</v>
      </c>
      <c r="H2754" s="4" t="str">
        <f>HYPERLINK("https://www.ncbi.nlm.nih.gov/geo/query/acc.cgi?acc=GSM814535","GSM814535")</f>
        <v>GSM814535</v>
      </c>
      <c r="I2754" t="s">
        <v>199</v>
      </c>
      <c r="J2754" t="s">
        <v>18</v>
      </c>
      <c r="K2754" t="s">
        <v>19</v>
      </c>
      <c r="L2754" t="s">
        <v>200</v>
      </c>
      <c r="M2754" t="s">
        <v>24</v>
      </c>
      <c r="N2754" t="s">
        <v>22</v>
      </c>
    </row>
    <row r="2755" spans="1:14">
      <c r="A2755" s="4" t="str">
        <f t="shared" si="268"/>
        <v>EXP00081</v>
      </c>
      <c r="B2755" s="4" t="str">
        <f t="shared" si="269"/>
        <v>22260379</v>
      </c>
      <c r="C2755" s="4" t="str">
        <f t="shared" si="270"/>
        <v>GSE32906</v>
      </c>
      <c r="D2755" s="1" t="s">
        <v>197</v>
      </c>
      <c r="E2755" t="s">
        <v>198</v>
      </c>
      <c r="F2755" s="1">
        <v>2</v>
      </c>
      <c r="G2755" s="1" t="s">
        <v>28</v>
      </c>
      <c r="H2755" s="4" t="str">
        <f>HYPERLINK("https://www.ncbi.nlm.nih.gov/geo/query/acc.cgi?acc=GSM814520","GSM814520")</f>
        <v>GSM814520</v>
      </c>
      <c r="I2755" t="s">
        <v>199</v>
      </c>
      <c r="J2755" t="s">
        <v>18</v>
      </c>
      <c r="K2755" t="s">
        <v>19</v>
      </c>
      <c r="L2755" t="s">
        <v>200</v>
      </c>
      <c r="M2755" t="s">
        <v>24</v>
      </c>
      <c r="N2755" t="s">
        <v>29</v>
      </c>
    </row>
    <row r="2756" spans="1:14">
      <c r="A2756" s="4" t="str">
        <f t="shared" si="268"/>
        <v>EXP00081</v>
      </c>
      <c r="B2756" s="4" t="str">
        <f t="shared" si="269"/>
        <v>22260379</v>
      </c>
      <c r="C2756" s="4" t="str">
        <f t="shared" si="270"/>
        <v>GSE32906</v>
      </c>
      <c r="D2756" s="1" t="s">
        <v>197</v>
      </c>
      <c r="E2756" t="s">
        <v>198</v>
      </c>
      <c r="F2756" s="1">
        <v>2</v>
      </c>
      <c r="G2756" s="1" t="s">
        <v>28</v>
      </c>
      <c r="H2756" s="4" t="str">
        <f>HYPERLINK("https://www.ncbi.nlm.nih.gov/geo/query/acc.cgi?acc=GSM814521","GSM814521")</f>
        <v>GSM814521</v>
      </c>
      <c r="I2756" t="s">
        <v>199</v>
      </c>
      <c r="J2756" t="s">
        <v>18</v>
      </c>
      <c r="K2756" t="s">
        <v>19</v>
      </c>
      <c r="L2756" t="s">
        <v>200</v>
      </c>
      <c r="M2756" t="s">
        <v>24</v>
      </c>
      <c r="N2756" t="s">
        <v>29</v>
      </c>
    </row>
    <row r="2757" spans="1:14">
      <c r="A2757" s="4" t="str">
        <f t="shared" si="268"/>
        <v>EXP00081</v>
      </c>
      <c r="B2757" s="4" t="str">
        <f t="shared" si="269"/>
        <v>22260379</v>
      </c>
      <c r="C2757" s="4" t="str">
        <f t="shared" si="270"/>
        <v>GSE32906</v>
      </c>
      <c r="D2757" s="1" t="s">
        <v>197</v>
      </c>
      <c r="E2757" t="s">
        <v>198</v>
      </c>
      <c r="F2757" s="1">
        <v>2</v>
      </c>
      <c r="G2757" s="1" t="s">
        <v>28</v>
      </c>
      <c r="H2757" s="4" t="str">
        <f>HYPERLINK("https://www.ncbi.nlm.nih.gov/geo/query/acc.cgi?acc=GSM814522","GSM814522")</f>
        <v>GSM814522</v>
      </c>
      <c r="I2757" t="s">
        <v>199</v>
      </c>
      <c r="J2757" t="s">
        <v>18</v>
      </c>
      <c r="K2757" t="s">
        <v>19</v>
      </c>
      <c r="L2757" t="s">
        <v>200</v>
      </c>
      <c r="M2757" t="s">
        <v>24</v>
      </c>
      <c r="N2757" t="s">
        <v>29</v>
      </c>
    </row>
    <row r="2758" spans="1:14">
      <c r="A2758" s="4" t="str">
        <f t="shared" si="268"/>
        <v>EXP00081</v>
      </c>
      <c r="B2758" s="4" t="str">
        <f t="shared" si="269"/>
        <v>22260379</v>
      </c>
      <c r="C2758" s="4" t="str">
        <f t="shared" si="270"/>
        <v>GSE32906</v>
      </c>
      <c r="D2758" s="1" t="s">
        <v>197</v>
      </c>
      <c r="E2758" t="s">
        <v>198</v>
      </c>
      <c r="F2758" s="1">
        <v>2</v>
      </c>
      <c r="G2758" s="1" t="s">
        <v>28</v>
      </c>
      <c r="H2758" s="4" t="str">
        <f>HYPERLINK("https://www.ncbi.nlm.nih.gov/geo/query/acc.cgi?acc=GSM814523","GSM814523")</f>
        <v>GSM814523</v>
      </c>
      <c r="I2758" t="s">
        <v>199</v>
      </c>
      <c r="J2758" t="s">
        <v>18</v>
      </c>
      <c r="K2758" t="s">
        <v>19</v>
      </c>
      <c r="L2758" t="s">
        <v>200</v>
      </c>
      <c r="M2758" t="s">
        <v>24</v>
      </c>
      <c r="N2758" t="s">
        <v>29</v>
      </c>
    </row>
    <row r="2759" spans="1:14">
      <c r="A2759" s="4" t="str">
        <f t="shared" si="268"/>
        <v>EXP00081</v>
      </c>
      <c r="B2759" s="4" t="str">
        <f t="shared" si="269"/>
        <v>22260379</v>
      </c>
      <c r="C2759" s="4" t="str">
        <f t="shared" si="270"/>
        <v>GSE32906</v>
      </c>
      <c r="D2759" s="1" t="s">
        <v>197</v>
      </c>
      <c r="E2759" t="s">
        <v>198</v>
      </c>
      <c r="F2759" s="1">
        <v>2</v>
      </c>
      <c r="G2759" s="1" t="s">
        <v>28</v>
      </c>
      <c r="H2759" s="4" t="str">
        <f>HYPERLINK("https://www.ncbi.nlm.nih.gov/geo/query/acc.cgi?acc=GSM814524","GSM814524")</f>
        <v>GSM814524</v>
      </c>
      <c r="I2759" t="s">
        <v>199</v>
      </c>
      <c r="J2759" t="s">
        <v>18</v>
      </c>
      <c r="K2759" t="s">
        <v>19</v>
      </c>
      <c r="L2759" t="s">
        <v>200</v>
      </c>
      <c r="M2759" t="s">
        <v>24</v>
      </c>
      <c r="N2759" t="s">
        <v>29</v>
      </c>
    </row>
    <row r="2760" spans="1:14">
      <c r="A2760" s="4" t="str">
        <f t="shared" si="268"/>
        <v>EXP00081</v>
      </c>
      <c r="B2760" s="4" t="str">
        <f t="shared" si="269"/>
        <v>22260379</v>
      </c>
      <c r="C2760" s="4" t="str">
        <f t="shared" si="270"/>
        <v>GSE32906</v>
      </c>
      <c r="D2760" s="1" t="s">
        <v>197</v>
      </c>
      <c r="E2760" t="s">
        <v>198</v>
      </c>
      <c r="F2760" s="1">
        <v>2</v>
      </c>
      <c r="G2760" s="1" t="s">
        <v>28</v>
      </c>
      <c r="H2760" s="4" t="str">
        <f>HYPERLINK("https://www.ncbi.nlm.nih.gov/geo/query/acc.cgi?acc=GSM814525","GSM814525")</f>
        <v>GSM814525</v>
      </c>
      <c r="I2760" t="s">
        <v>199</v>
      </c>
      <c r="J2760" t="s">
        <v>18</v>
      </c>
      <c r="K2760" t="s">
        <v>19</v>
      </c>
      <c r="L2760" t="s">
        <v>200</v>
      </c>
      <c r="M2760" t="s">
        <v>24</v>
      </c>
      <c r="N2760" t="s">
        <v>29</v>
      </c>
    </row>
    <row r="2761" spans="1:14">
      <c r="A2761" s="4" t="str">
        <f t="shared" si="268"/>
        <v>EXP00081</v>
      </c>
      <c r="B2761" s="4" t="str">
        <f t="shared" si="269"/>
        <v>22260379</v>
      </c>
      <c r="C2761" s="4" t="str">
        <f t="shared" si="270"/>
        <v>GSE32906</v>
      </c>
      <c r="D2761" s="1" t="s">
        <v>197</v>
      </c>
      <c r="E2761" t="s">
        <v>198</v>
      </c>
      <c r="F2761" s="1">
        <v>2</v>
      </c>
      <c r="G2761" s="1" t="s">
        <v>28</v>
      </c>
      <c r="H2761" s="4" t="str">
        <f>HYPERLINK("https://www.ncbi.nlm.nih.gov/geo/query/acc.cgi?acc=GSM814526","GSM814526")</f>
        <v>GSM814526</v>
      </c>
      <c r="I2761" t="s">
        <v>199</v>
      </c>
      <c r="J2761" t="s">
        <v>18</v>
      </c>
      <c r="K2761" t="s">
        <v>19</v>
      </c>
      <c r="L2761" t="s">
        <v>200</v>
      </c>
      <c r="M2761" t="s">
        <v>24</v>
      </c>
      <c r="N2761" t="s">
        <v>29</v>
      </c>
    </row>
    <row r="2762" spans="1:14">
      <c r="A2762" s="4" t="str">
        <f t="shared" si="268"/>
        <v>EXP00081</v>
      </c>
      <c r="B2762" s="4" t="str">
        <f t="shared" si="269"/>
        <v>22260379</v>
      </c>
      <c r="C2762" s="4" t="str">
        <f t="shared" si="270"/>
        <v>GSE32906</v>
      </c>
      <c r="D2762" s="1" t="s">
        <v>197</v>
      </c>
      <c r="E2762" t="s">
        <v>198</v>
      </c>
      <c r="F2762" s="1">
        <v>2</v>
      </c>
      <c r="G2762" s="1" t="s">
        <v>28</v>
      </c>
      <c r="H2762" s="4" t="str">
        <f>HYPERLINK("https://www.ncbi.nlm.nih.gov/geo/query/acc.cgi?acc=GSM814527","GSM814527")</f>
        <v>GSM814527</v>
      </c>
      <c r="I2762" t="s">
        <v>199</v>
      </c>
      <c r="J2762" t="s">
        <v>18</v>
      </c>
      <c r="K2762" t="s">
        <v>19</v>
      </c>
      <c r="L2762" t="s">
        <v>200</v>
      </c>
      <c r="M2762" t="s">
        <v>24</v>
      </c>
      <c r="N2762" t="s">
        <v>29</v>
      </c>
    </row>
    <row r="2763" spans="1:14">
      <c r="A2763" s="4" t="str">
        <f t="shared" si="268"/>
        <v>EXP00081</v>
      </c>
      <c r="B2763" s="4" t="str">
        <f t="shared" si="269"/>
        <v>22260379</v>
      </c>
      <c r="C2763" s="4" t="str">
        <f t="shared" si="270"/>
        <v>GSE32906</v>
      </c>
      <c r="D2763" s="1" t="s">
        <v>197</v>
      </c>
      <c r="E2763" t="s">
        <v>198</v>
      </c>
      <c r="F2763" s="1">
        <v>2</v>
      </c>
      <c r="G2763" s="1" t="s">
        <v>28</v>
      </c>
      <c r="H2763" s="4" t="str">
        <f>HYPERLINK("https://www.ncbi.nlm.nih.gov/geo/query/acc.cgi?acc=GSM814528","GSM814528")</f>
        <v>GSM814528</v>
      </c>
      <c r="I2763" t="s">
        <v>199</v>
      </c>
      <c r="J2763" t="s">
        <v>18</v>
      </c>
      <c r="K2763" t="s">
        <v>19</v>
      </c>
      <c r="L2763" t="s">
        <v>200</v>
      </c>
      <c r="M2763" t="s">
        <v>24</v>
      </c>
      <c r="N2763" t="s">
        <v>29</v>
      </c>
    </row>
    <row r="2764" spans="1:14">
      <c r="A2764" s="4" t="str">
        <f t="shared" si="268"/>
        <v>EXP00081</v>
      </c>
      <c r="B2764" s="4" t="str">
        <f t="shared" si="269"/>
        <v>22260379</v>
      </c>
      <c r="C2764" s="4" t="str">
        <f t="shared" si="270"/>
        <v>GSE32906</v>
      </c>
      <c r="D2764" s="1" t="s">
        <v>197</v>
      </c>
      <c r="E2764" t="s">
        <v>198</v>
      </c>
      <c r="F2764" s="1">
        <v>2</v>
      </c>
      <c r="G2764" s="1" t="s">
        <v>28</v>
      </c>
      <c r="H2764" s="4" t="str">
        <f>HYPERLINK("https://www.ncbi.nlm.nih.gov/geo/query/acc.cgi?acc=GSM814529","GSM814529")</f>
        <v>GSM814529</v>
      </c>
      <c r="I2764" t="s">
        <v>199</v>
      </c>
      <c r="J2764" t="s">
        <v>18</v>
      </c>
      <c r="K2764" t="s">
        <v>19</v>
      </c>
      <c r="L2764" t="s">
        <v>200</v>
      </c>
      <c r="M2764" t="s">
        <v>24</v>
      </c>
      <c r="N2764" t="s">
        <v>29</v>
      </c>
    </row>
    <row r="2765" spans="1:14">
      <c r="A2765" s="4" t="str">
        <f t="shared" si="268"/>
        <v>EXP00081</v>
      </c>
      <c r="B2765" s="4" t="str">
        <f t="shared" si="269"/>
        <v>22260379</v>
      </c>
      <c r="C2765" s="4" t="str">
        <f t="shared" si="270"/>
        <v>GSE32906</v>
      </c>
      <c r="D2765" s="1" t="s">
        <v>197</v>
      </c>
      <c r="E2765" t="s">
        <v>198</v>
      </c>
      <c r="F2765" s="1">
        <v>2</v>
      </c>
      <c r="G2765" s="1" t="s">
        <v>28</v>
      </c>
      <c r="H2765" s="4" t="str">
        <f>HYPERLINK("https://www.ncbi.nlm.nih.gov/geo/query/acc.cgi?acc=GSM814530","GSM814530")</f>
        <v>GSM814530</v>
      </c>
      <c r="I2765" t="s">
        <v>199</v>
      </c>
      <c r="J2765" t="s">
        <v>18</v>
      </c>
      <c r="K2765" t="s">
        <v>19</v>
      </c>
      <c r="L2765" t="s">
        <v>200</v>
      </c>
      <c r="M2765" t="s">
        <v>24</v>
      </c>
      <c r="N2765" t="s">
        <v>29</v>
      </c>
    </row>
    <row r="2766" spans="1:14">
      <c r="A2766" s="4" t="str">
        <f t="shared" si="268"/>
        <v>EXP00081</v>
      </c>
      <c r="B2766" s="4" t="str">
        <f t="shared" si="269"/>
        <v>22260379</v>
      </c>
      <c r="C2766" s="4" t="str">
        <f t="shared" si="270"/>
        <v>GSE32906</v>
      </c>
      <c r="D2766" s="1" t="s">
        <v>197</v>
      </c>
      <c r="E2766" t="s">
        <v>198</v>
      </c>
      <c r="F2766" s="1">
        <v>2</v>
      </c>
      <c r="G2766" s="1" t="s">
        <v>28</v>
      </c>
      <c r="H2766" s="4" t="str">
        <f>HYPERLINK("https://www.ncbi.nlm.nih.gov/geo/query/acc.cgi?acc=GSM814531","GSM814531")</f>
        <v>GSM814531</v>
      </c>
      <c r="I2766" t="s">
        <v>199</v>
      </c>
      <c r="J2766" t="s">
        <v>18</v>
      </c>
      <c r="K2766" t="s">
        <v>19</v>
      </c>
      <c r="L2766" t="s">
        <v>200</v>
      </c>
      <c r="M2766" t="s">
        <v>24</v>
      </c>
      <c r="N2766" t="s">
        <v>29</v>
      </c>
    </row>
    <row r="2767" spans="1:14">
      <c r="A2767" s="4" t="str">
        <f t="shared" ref="A2767:A2784" si="271">HYPERLINK("http://hcmdb.i-sanger.com/experiment/details/experiment_id/EXP00082","EXP00082")</f>
        <v>EXP00082</v>
      </c>
      <c r="B2767" s="4" t="str">
        <f t="shared" si="269"/>
        <v>22260379</v>
      </c>
      <c r="C2767" s="4" t="str">
        <f t="shared" si="270"/>
        <v>GSE32906</v>
      </c>
      <c r="D2767" s="1" t="s">
        <v>197</v>
      </c>
      <c r="E2767" t="s">
        <v>201</v>
      </c>
      <c r="F2767" s="1">
        <v>1</v>
      </c>
      <c r="G2767" s="1" t="s">
        <v>36</v>
      </c>
      <c r="H2767" s="4" t="str">
        <f>HYPERLINK("https://www.ncbi.nlm.nih.gov/geo/query/acc.cgi?acc=GSM814514","GSM814514")</f>
        <v>GSM814514</v>
      </c>
      <c r="I2767" t="s">
        <v>199</v>
      </c>
      <c r="J2767" t="s">
        <v>18</v>
      </c>
      <c r="K2767" t="s">
        <v>19</v>
      </c>
      <c r="L2767" t="s">
        <v>200</v>
      </c>
      <c r="M2767" t="s">
        <v>24</v>
      </c>
      <c r="N2767" t="s">
        <v>37</v>
      </c>
    </row>
    <row r="2768" spans="1:14">
      <c r="A2768" s="4" t="str">
        <f t="shared" si="271"/>
        <v>EXP00082</v>
      </c>
      <c r="B2768" s="4" t="str">
        <f t="shared" si="269"/>
        <v>22260379</v>
      </c>
      <c r="C2768" s="4" t="str">
        <f t="shared" si="270"/>
        <v>GSE32906</v>
      </c>
      <c r="D2768" s="1" t="s">
        <v>197</v>
      </c>
      <c r="E2768" t="s">
        <v>201</v>
      </c>
      <c r="F2768" s="1">
        <v>1</v>
      </c>
      <c r="G2768" s="1" t="s">
        <v>36</v>
      </c>
      <c r="H2768" s="4" t="str">
        <f>HYPERLINK("https://www.ncbi.nlm.nih.gov/geo/query/acc.cgi?acc=GSM814515","GSM814515")</f>
        <v>GSM814515</v>
      </c>
      <c r="I2768" t="s">
        <v>199</v>
      </c>
      <c r="J2768" t="s">
        <v>18</v>
      </c>
      <c r="K2768" t="s">
        <v>19</v>
      </c>
      <c r="L2768" t="s">
        <v>200</v>
      </c>
      <c r="M2768" t="s">
        <v>24</v>
      </c>
      <c r="N2768" t="s">
        <v>37</v>
      </c>
    </row>
    <row r="2769" spans="1:14">
      <c r="A2769" s="4" t="str">
        <f t="shared" si="271"/>
        <v>EXP00082</v>
      </c>
      <c r="B2769" s="4" t="str">
        <f t="shared" si="269"/>
        <v>22260379</v>
      </c>
      <c r="C2769" s="4" t="str">
        <f t="shared" si="270"/>
        <v>GSE32906</v>
      </c>
      <c r="D2769" s="1" t="s">
        <v>197</v>
      </c>
      <c r="E2769" t="s">
        <v>201</v>
      </c>
      <c r="F2769" s="1">
        <v>1</v>
      </c>
      <c r="G2769" s="1" t="s">
        <v>36</v>
      </c>
      <c r="H2769" s="4" t="str">
        <f>HYPERLINK("https://www.ncbi.nlm.nih.gov/geo/query/acc.cgi?acc=GSM814516","GSM814516")</f>
        <v>GSM814516</v>
      </c>
      <c r="I2769" t="s">
        <v>199</v>
      </c>
      <c r="J2769" t="s">
        <v>18</v>
      </c>
      <c r="K2769" t="s">
        <v>19</v>
      </c>
      <c r="L2769" t="s">
        <v>200</v>
      </c>
      <c r="M2769" t="s">
        <v>24</v>
      </c>
      <c r="N2769" t="s">
        <v>37</v>
      </c>
    </row>
    <row r="2770" spans="1:14">
      <c r="A2770" s="4" t="str">
        <f t="shared" si="271"/>
        <v>EXP00082</v>
      </c>
      <c r="B2770" s="4" t="str">
        <f t="shared" si="269"/>
        <v>22260379</v>
      </c>
      <c r="C2770" s="4" t="str">
        <f t="shared" si="270"/>
        <v>GSE32906</v>
      </c>
      <c r="D2770" s="1" t="s">
        <v>197</v>
      </c>
      <c r="E2770" t="s">
        <v>201</v>
      </c>
      <c r="F2770" s="1">
        <v>1</v>
      </c>
      <c r="G2770" s="1" t="s">
        <v>36</v>
      </c>
      <c r="H2770" s="4" t="str">
        <f>HYPERLINK("https://www.ncbi.nlm.nih.gov/geo/query/acc.cgi?acc=GSM814517","GSM814517")</f>
        <v>GSM814517</v>
      </c>
      <c r="I2770" t="s">
        <v>199</v>
      </c>
      <c r="J2770" t="s">
        <v>18</v>
      </c>
      <c r="K2770" t="s">
        <v>19</v>
      </c>
      <c r="L2770" t="s">
        <v>200</v>
      </c>
      <c r="M2770" t="s">
        <v>24</v>
      </c>
      <c r="N2770" t="s">
        <v>37</v>
      </c>
    </row>
    <row r="2771" spans="1:14">
      <c r="A2771" s="4" t="str">
        <f t="shared" si="271"/>
        <v>EXP00082</v>
      </c>
      <c r="B2771" s="4" t="str">
        <f t="shared" si="269"/>
        <v>22260379</v>
      </c>
      <c r="C2771" s="4" t="str">
        <f t="shared" si="270"/>
        <v>GSE32906</v>
      </c>
      <c r="D2771" s="1" t="s">
        <v>197</v>
      </c>
      <c r="E2771" t="s">
        <v>201</v>
      </c>
      <c r="F2771" s="1">
        <v>1</v>
      </c>
      <c r="G2771" s="1" t="s">
        <v>36</v>
      </c>
      <c r="H2771" s="4" t="str">
        <f>HYPERLINK("https://www.ncbi.nlm.nih.gov/geo/query/acc.cgi?acc=GSM814518","GSM814518")</f>
        <v>GSM814518</v>
      </c>
      <c r="I2771" t="s">
        <v>199</v>
      </c>
      <c r="J2771" t="s">
        <v>18</v>
      </c>
      <c r="K2771" t="s">
        <v>19</v>
      </c>
      <c r="L2771" t="s">
        <v>200</v>
      </c>
      <c r="M2771" t="s">
        <v>24</v>
      </c>
      <c r="N2771" t="s">
        <v>37</v>
      </c>
    </row>
    <row r="2772" spans="1:14">
      <c r="A2772" s="4" t="str">
        <f t="shared" si="271"/>
        <v>EXP00082</v>
      </c>
      <c r="B2772" s="4" t="str">
        <f t="shared" si="269"/>
        <v>22260379</v>
      </c>
      <c r="C2772" s="4" t="str">
        <f t="shared" si="270"/>
        <v>GSE32906</v>
      </c>
      <c r="D2772" s="1" t="s">
        <v>197</v>
      </c>
      <c r="E2772" t="s">
        <v>201</v>
      </c>
      <c r="F2772" s="1">
        <v>1</v>
      </c>
      <c r="G2772" s="1" t="s">
        <v>36</v>
      </c>
      <c r="H2772" s="4" t="str">
        <f>HYPERLINK("https://www.ncbi.nlm.nih.gov/geo/query/acc.cgi?acc=GSM814519","GSM814519")</f>
        <v>GSM814519</v>
      </c>
      <c r="I2772" t="s">
        <v>199</v>
      </c>
      <c r="J2772" t="s">
        <v>18</v>
      </c>
      <c r="K2772" t="s">
        <v>19</v>
      </c>
      <c r="L2772" t="s">
        <v>200</v>
      </c>
      <c r="M2772" t="s">
        <v>24</v>
      </c>
      <c r="N2772" t="s">
        <v>37</v>
      </c>
    </row>
    <row r="2773" spans="1:14">
      <c r="A2773" s="4" t="str">
        <f t="shared" si="271"/>
        <v>EXP00082</v>
      </c>
      <c r="B2773" s="4" t="str">
        <f t="shared" si="269"/>
        <v>22260379</v>
      </c>
      <c r="C2773" s="4" t="str">
        <f t="shared" si="270"/>
        <v>GSE32906</v>
      </c>
      <c r="D2773" s="1" t="s">
        <v>197</v>
      </c>
      <c r="E2773" t="s">
        <v>201</v>
      </c>
      <c r="F2773" s="1">
        <v>2</v>
      </c>
      <c r="G2773" s="1" t="s">
        <v>28</v>
      </c>
      <c r="H2773" s="4" t="str">
        <f>HYPERLINK("https://www.ncbi.nlm.nih.gov/geo/query/acc.cgi?acc=GSM814520","GSM814520")</f>
        <v>GSM814520</v>
      </c>
      <c r="I2773" t="s">
        <v>199</v>
      </c>
      <c r="J2773" t="s">
        <v>18</v>
      </c>
      <c r="K2773" t="s">
        <v>19</v>
      </c>
      <c r="L2773" t="s">
        <v>200</v>
      </c>
      <c r="M2773" t="s">
        <v>24</v>
      </c>
      <c r="N2773" t="s">
        <v>29</v>
      </c>
    </row>
    <row r="2774" spans="1:14">
      <c r="A2774" s="4" t="str">
        <f t="shared" si="271"/>
        <v>EXP00082</v>
      </c>
      <c r="B2774" s="4" t="str">
        <f t="shared" si="269"/>
        <v>22260379</v>
      </c>
      <c r="C2774" s="4" t="str">
        <f t="shared" si="270"/>
        <v>GSE32906</v>
      </c>
      <c r="D2774" s="1" t="s">
        <v>197</v>
      </c>
      <c r="E2774" t="s">
        <v>201</v>
      </c>
      <c r="F2774" s="1">
        <v>2</v>
      </c>
      <c r="G2774" s="1" t="s">
        <v>28</v>
      </c>
      <c r="H2774" s="4" t="str">
        <f>HYPERLINK("https://www.ncbi.nlm.nih.gov/geo/query/acc.cgi?acc=GSM814521","GSM814521")</f>
        <v>GSM814521</v>
      </c>
      <c r="I2774" t="s">
        <v>199</v>
      </c>
      <c r="J2774" t="s">
        <v>18</v>
      </c>
      <c r="K2774" t="s">
        <v>19</v>
      </c>
      <c r="L2774" t="s">
        <v>200</v>
      </c>
      <c r="M2774" t="s">
        <v>24</v>
      </c>
      <c r="N2774" t="s">
        <v>29</v>
      </c>
    </row>
    <row r="2775" spans="1:14">
      <c r="A2775" s="4" t="str">
        <f t="shared" si="271"/>
        <v>EXP00082</v>
      </c>
      <c r="B2775" s="4" t="str">
        <f t="shared" si="269"/>
        <v>22260379</v>
      </c>
      <c r="C2775" s="4" t="str">
        <f t="shared" si="270"/>
        <v>GSE32906</v>
      </c>
      <c r="D2775" s="1" t="s">
        <v>197</v>
      </c>
      <c r="E2775" t="s">
        <v>201</v>
      </c>
      <c r="F2775" s="1">
        <v>2</v>
      </c>
      <c r="G2775" s="1" t="s">
        <v>28</v>
      </c>
      <c r="H2775" s="4" t="str">
        <f>HYPERLINK("https://www.ncbi.nlm.nih.gov/geo/query/acc.cgi?acc=GSM814522","GSM814522")</f>
        <v>GSM814522</v>
      </c>
      <c r="I2775" t="s">
        <v>199</v>
      </c>
      <c r="J2775" t="s">
        <v>18</v>
      </c>
      <c r="K2775" t="s">
        <v>19</v>
      </c>
      <c r="L2775" t="s">
        <v>200</v>
      </c>
      <c r="M2775" t="s">
        <v>24</v>
      </c>
      <c r="N2775" t="s">
        <v>29</v>
      </c>
    </row>
    <row r="2776" spans="1:14">
      <c r="A2776" s="4" t="str">
        <f t="shared" si="271"/>
        <v>EXP00082</v>
      </c>
      <c r="B2776" s="4" t="str">
        <f t="shared" si="269"/>
        <v>22260379</v>
      </c>
      <c r="C2776" s="4" t="str">
        <f t="shared" si="270"/>
        <v>GSE32906</v>
      </c>
      <c r="D2776" s="1" t="s">
        <v>197</v>
      </c>
      <c r="E2776" t="s">
        <v>201</v>
      </c>
      <c r="F2776" s="1">
        <v>2</v>
      </c>
      <c r="G2776" s="1" t="s">
        <v>28</v>
      </c>
      <c r="H2776" s="4" t="str">
        <f>HYPERLINK("https://www.ncbi.nlm.nih.gov/geo/query/acc.cgi?acc=GSM814523","GSM814523")</f>
        <v>GSM814523</v>
      </c>
      <c r="I2776" t="s">
        <v>199</v>
      </c>
      <c r="J2776" t="s">
        <v>18</v>
      </c>
      <c r="K2776" t="s">
        <v>19</v>
      </c>
      <c r="L2776" t="s">
        <v>200</v>
      </c>
      <c r="M2776" t="s">
        <v>24</v>
      </c>
      <c r="N2776" t="s">
        <v>29</v>
      </c>
    </row>
    <row r="2777" spans="1:14">
      <c r="A2777" s="4" t="str">
        <f t="shared" si="271"/>
        <v>EXP00082</v>
      </c>
      <c r="B2777" s="4" t="str">
        <f t="shared" si="269"/>
        <v>22260379</v>
      </c>
      <c r="C2777" s="4" t="str">
        <f t="shared" si="270"/>
        <v>GSE32906</v>
      </c>
      <c r="D2777" s="1" t="s">
        <v>197</v>
      </c>
      <c r="E2777" t="s">
        <v>201</v>
      </c>
      <c r="F2777" s="1">
        <v>2</v>
      </c>
      <c r="G2777" s="1" t="s">
        <v>28</v>
      </c>
      <c r="H2777" s="4" t="str">
        <f>HYPERLINK("https://www.ncbi.nlm.nih.gov/geo/query/acc.cgi?acc=GSM814524","GSM814524")</f>
        <v>GSM814524</v>
      </c>
      <c r="I2777" t="s">
        <v>199</v>
      </c>
      <c r="J2777" t="s">
        <v>18</v>
      </c>
      <c r="K2777" t="s">
        <v>19</v>
      </c>
      <c r="L2777" t="s">
        <v>200</v>
      </c>
      <c r="M2777" t="s">
        <v>24</v>
      </c>
      <c r="N2777" t="s">
        <v>29</v>
      </c>
    </row>
    <row r="2778" spans="1:14">
      <c r="A2778" s="4" t="str">
        <f t="shared" si="271"/>
        <v>EXP00082</v>
      </c>
      <c r="B2778" s="4" t="str">
        <f t="shared" si="269"/>
        <v>22260379</v>
      </c>
      <c r="C2778" s="4" t="str">
        <f t="shared" si="270"/>
        <v>GSE32906</v>
      </c>
      <c r="D2778" s="1" t="s">
        <v>197</v>
      </c>
      <c r="E2778" t="s">
        <v>201</v>
      </c>
      <c r="F2778" s="1">
        <v>2</v>
      </c>
      <c r="G2778" s="1" t="s">
        <v>28</v>
      </c>
      <c r="H2778" s="4" t="str">
        <f>HYPERLINK("https://www.ncbi.nlm.nih.gov/geo/query/acc.cgi?acc=GSM814525","GSM814525")</f>
        <v>GSM814525</v>
      </c>
      <c r="I2778" t="s">
        <v>199</v>
      </c>
      <c r="J2778" t="s">
        <v>18</v>
      </c>
      <c r="K2778" t="s">
        <v>19</v>
      </c>
      <c r="L2778" t="s">
        <v>200</v>
      </c>
      <c r="M2778" t="s">
        <v>24</v>
      </c>
      <c r="N2778" t="s">
        <v>29</v>
      </c>
    </row>
    <row r="2779" spans="1:14">
      <c r="A2779" s="4" t="str">
        <f t="shared" si="271"/>
        <v>EXP00082</v>
      </c>
      <c r="B2779" s="4" t="str">
        <f t="shared" si="269"/>
        <v>22260379</v>
      </c>
      <c r="C2779" s="4" t="str">
        <f t="shared" si="270"/>
        <v>GSE32906</v>
      </c>
      <c r="D2779" s="1" t="s">
        <v>197</v>
      </c>
      <c r="E2779" t="s">
        <v>201</v>
      </c>
      <c r="F2779" s="1">
        <v>2</v>
      </c>
      <c r="G2779" s="1" t="s">
        <v>28</v>
      </c>
      <c r="H2779" s="4" t="str">
        <f>HYPERLINK("https://www.ncbi.nlm.nih.gov/geo/query/acc.cgi?acc=GSM814526","GSM814526")</f>
        <v>GSM814526</v>
      </c>
      <c r="I2779" t="s">
        <v>199</v>
      </c>
      <c r="J2779" t="s">
        <v>18</v>
      </c>
      <c r="K2779" t="s">
        <v>19</v>
      </c>
      <c r="L2779" t="s">
        <v>200</v>
      </c>
      <c r="M2779" t="s">
        <v>24</v>
      </c>
      <c r="N2779" t="s">
        <v>29</v>
      </c>
    </row>
    <row r="2780" spans="1:14">
      <c r="A2780" s="4" t="str">
        <f t="shared" si="271"/>
        <v>EXP00082</v>
      </c>
      <c r="B2780" s="4" t="str">
        <f t="shared" si="269"/>
        <v>22260379</v>
      </c>
      <c r="C2780" s="4" t="str">
        <f t="shared" si="270"/>
        <v>GSE32906</v>
      </c>
      <c r="D2780" s="1" t="s">
        <v>197</v>
      </c>
      <c r="E2780" t="s">
        <v>201</v>
      </c>
      <c r="F2780" s="1">
        <v>2</v>
      </c>
      <c r="G2780" s="1" t="s">
        <v>28</v>
      </c>
      <c r="H2780" s="4" t="str">
        <f>HYPERLINK("https://www.ncbi.nlm.nih.gov/geo/query/acc.cgi?acc=GSM814527","GSM814527")</f>
        <v>GSM814527</v>
      </c>
      <c r="I2780" t="s">
        <v>199</v>
      </c>
      <c r="J2780" t="s">
        <v>18</v>
      </c>
      <c r="K2780" t="s">
        <v>19</v>
      </c>
      <c r="L2780" t="s">
        <v>200</v>
      </c>
      <c r="M2780" t="s">
        <v>24</v>
      </c>
      <c r="N2780" t="s">
        <v>29</v>
      </c>
    </row>
    <row r="2781" spans="1:14">
      <c r="A2781" s="4" t="str">
        <f t="shared" si="271"/>
        <v>EXP00082</v>
      </c>
      <c r="B2781" s="4" t="str">
        <f t="shared" si="269"/>
        <v>22260379</v>
      </c>
      <c r="C2781" s="4" t="str">
        <f t="shared" si="270"/>
        <v>GSE32906</v>
      </c>
      <c r="D2781" s="1" t="s">
        <v>197</v>
      </c>
      <c r="E2781" t="s">
        <v>201</v>
      </c>
      <c r="F2781" s="1">
        <v>2</v>
      </c>
      <c r="G2781" s="1" t="s">
        <v>28</v>
      </c>
      <c r="H2781" s="4" t="str">
        <f>HYPERLINK("https://www.ncbi.nlm.nih.gov/geo/query/acc.cgi?acc=GSM814528","GSM814528")</f>
        <v>GSM814528</v>
      </c>
      <c r="I2781" t="s">
        <v>199</v>
      </c>
      <c r="J2781" t="s">
        <v>18</v>
      </c>
      <c r="K2781" t="s">
        <v>19</v>
      </c>
      <c r="L2781" t="s">
        <v>200</v>
      </c>
      <c r="M2781" t="s">
        <v>24</v>
      </c>
      <c r="N2781" t="s">
        <v>29</v>
      </c>
    </row>
    <row r="2782" spans="1:14">
      <c r="A2782" s="4" t="str">
        <f t="shared" si="271"/>
        <v>EXP00082</v>
      </c>
      <c r="B2782" s="4" t="str">
        <f t="shared" si="269"/>
        <v>22260379</v>
      </c>
      <c r="C2782" s="4" t="str">
        <f t="shared" si="270"/>
        <v>GSE32906</v>
      </c>
      <c r="D2782" s="1" t="s">
        <v>197</v>
      </c>
      <c r="E2782" t="s">
        <v>201</v>
      </c>
      <c r="F2782" s="1">
        <v>2</v>
      </c>
      <c r="G2782" s="1" t="s">
        <v>28</v>
      </c>
      <c r="H2782" s="4" t="str">
        <f>HYPERLINK("https://www.ncbi.nlm.nih.gov/geo/query/acc.cgi?acc=GSM814529","GSM814529")</f>
        <v>GSM814529</v>
      </c>
      <c r="I2782" t="s">
        <v>199</v>
      </c>
      <c r="J2782" t="s">
        <v>18</v>
      </c>
      <c r="K2782" t="s">
        <v>19</v>
      </c>
      <c r="L2782" t="s">
        <v>200</v>
      </c>
      <c r="M2782" t="s">
        <v>24</v>
      </c>
      <c r="N2782" t="s">
        <v>29</v>
      </c>
    </row>
    <row r="2783" spans="1:14">
      <c r="A2783" s="4" t="str">
        <f t="shared" si="271"/>
        <v>EXP00082</v>
      </c>
      <c r="B2783" s="4" t="str">
        <f t="shared" si="269"/>
        <v>22260379</v>
      </c>
      <c r="C2783" s="4" t="str">
        <f t="shared" si="270"/>
        <v>GSE32906</v>
      </c>
      <c r="D2783" s="1" t="s">
        <v>197</v>
      </c>
      <c r="E2783" t="s">
        <v>201</v>
      </c>
      <c r="F2783" s="1">
        <v>2</v>
      </c>
      <c r="G2783" s="1" t="s">
        <v>28</v>
      </c>
      <c r="H2783" s="4" t="str">
        <f>HYPERLINK("https://www.ncbi.nlm.nih.gov/geo/query/acc.cgi?acc=GSM814530","GSM814530")</f>
        <v>GSM814530</v>
      </c>
      <c r="I2783" t="s">
        <v>199</v>
      </c>
      <c r="J2783" t="s">
        <v>18</v>
      </c>
      <c r="K2783" t="s">
        <v>19</v>
      </c>
      <c r="L2783" t="s">
        <v>200</v>
      </c>
      <c r="M2783" t="s">
        <v>24</v>
      </c>
      <c r="N2783" t="s">
        <v>29</v>
      </c>
    </row>
    <row r="2784" spans="1:14">
      <c r="A2784" s="4" t="str">
        <f t="shared" si="271"/>
        <v>EXP00082</v>
      </c>
      <c r="B2784" s="4" t="str">
        <f t="shared" si="269"/>
        <v>22260379</v>
      </c>
      <c r="C2784" s="4" t="str">
        <f t="shared" si="270"/>
        <v>GSE32906</v>
      </c>
      <c r="D2784" s="1" t="s">
        <v>197</v>
      </c>
      <c r="E2784" t="s">
        <v>201</v>
      </c>
      <c r="F2784" s="1">
        <v>2</v>
      </c>
      <c r="G2784" s="1" t="s">
        <v>28</v>
      </c>
      <c r="H2784" s="4" t="str">
        <f>HYPERLINK("https://www.ncbi.nlm.nih.gov/geo/query/acc.cgi?acc=GSM814531","GSM814531")</f>
        <v>GSM814531</v>
      </c>
      <c r="I2784" t="s">
        <v>199</v>
      </c>
      <c r="J2784" t="s">
        <v>18</v>
      </c>
      <c r="K2784" t="s">
        <v>19</v>
      </c>
      <c r="L2784" t="s">
        <v>200</v>
      </c>
      <c r="M2784" t="s">
        <v>24</v>
      </c>
      <c r="N2784" t="s">
        <v>29</v>
      </c>
    </row>
    <row r="2785" spans="1:14">
      <c r="A2785" s="4" t="str">
        <f t="shared" ref="A2785:A2798" si="272">HYPERLINK("http://hcmdb.i-sanger.com/experiment/details/experiment_id/EXP00083","EXP00083")</f>
        <v>EXP00083</v>
      </c>
      <c r="B2785" s="4" t="str">
        <f t="shared" ref="B2785:B2816" si="273">HYPERLINK("https://www.ncbi.nlm.nih.gov/pubmed/22518090","22518090")</f>
        <v>22518090</v>
      </c>
      <c r="C2785" s="4" t="str">
        <f t="shared" ref="C2785:C2816" si="274">HYPERLINK("https://www.ncbi.nlm.nih.gov/geo/query/acc.cgi?acc=GSE32981","GSE32981")</f>
        <v>GSE32981</v>
      </c>
      <c r="D2785" s="1" t="s">
        <v>202</v>
      </c>
      <c r="E2785" t="s">
        <v>203</v>
      </c>
      <c r="F2785" s="1">
        <v>1</v>
      </c>
      <c r="G2785" s="1" t="s">
        <v>26</v>
      </c>
      <c r="H2785" s="4" t="str">
        <f>HYPERLINK("https://www.ncbi.nlm.nih.gov/geo/query/acc.cgi?acc=GSM816942","GSM816942")</f>
        <v>GSM816942</v>
      </c>
      <c r="I2785" t="s">
        <v>78</v>
      </c>
      <c r="J2785" t="s">
        <v>18</v>
      </c>
      <c r="K2785" t="s">
        <v>19</v>
      </c>
      <c r="L2785" t="s">
        <v>204</v>
      </c>
      <c r="M2785" t="s">
        <v>41</v>
      </c>
      <c r="N2785" t="s">
        <v>22</v>
      </c>
    </row>
    <row r="2786" spans="1:14">
      <c r="A2786" s="4" t="str">
        <f t="shared" si="272"/>
        <v>EXP00083</v>
      </c>
      <c r="B2786" s="4" t="str">
        <f t="shared" si="273"/>
        <v>22518090</v>
      </c>
      <c r="C2786" s="4" t="str">
        <f t="shared" si="274"/>
        <v>GSE32981</v>
      </c>
      <c r="D2786" s="1" t="s">
        <v>202</v>
      </c>
      <c r="E2786" t="s">
        <v>203</v>
      </c>
      <c r="F2786" s="1">
        <v>1</v>
      </c>
      <c r="G2786" s="1" t="s">
        <v>26</v>
      </c>
      <c r="H2786" s="4" t="str">
        <f>HYPERLINK("https://www.ncbi.nlm.nih.gov/geo/query/acc.cgi?acc=GSM816943","GSM816943")</f>
        <v>GSM816943</v>
      </c>
      <c r="I2786" t="s">
        <v>78</v>
      </c>
      <c r="J2786" t="s">
        <v>18</v>
      </c>
      <c r="K2786" t="s">
        <v>19</v>
      </c>
      <c r="L2786" t="s">
        <v>204</v>
      </c>
      <c r="M2786" t="s">
        <v>41</v>
      </c>
      <c r="N2786" t="s">
        <v>22</v>
      </c>
    </row>
    <row r="2787" spans="1:14">
      <c r="A2787" s="4" t="str">
        <f t="shared" si="272"/>
        <v>EXP00083</v>
      </c>
      <c r="B2787" s="4" t="str">
        <f t="shared" si="273"/>
        <v>22518090</v>
      </c>
      <c r="C2787" s="4" t="str">
        <f t="shared" si="274"/>
        <v>GSE32981</v>
      </c>
      <c r="D2787" s="1" t="s">
        <v>202</v>
      </c>
      <c r="E2787" t="s">
        <v>203</v>
      </c>
      <c r="F2787" s="1">
        <v>1</v>
      </c>
      <c r="G2787" s="1" t="s">
        <v>26</v>
      </c>
      <c r="H2787" s="4" t="str">
        <f>HYPERLINK("https://www.ncbi.nlm.nih.gov/geo/query/acc.cgi?acc=GSM816945","GSM816945")</f>
        <v>GSM816945</v>
      </c>
      <c r="I2787" t="s">
        <v>78</v>
      </c>
      <c r="J2787" t="s">
        <v>18</v>
      </c>
      <c r="K2787" t="s">
        <v>19</v>
      </c>
      <c r="L2787" t="s">
        <v>204</v>
      </c>
      <c r="M2787" t="s">
        <v>41</v>
      </c>
      <c r="N2787" t="s">
        <v>22</v>
      </c>
    </row>
    <row r="2788" spans="1:14">
      <c r="A2788" s="4" t="str">
        <f t="shared" si="272"/>
        <v>EXP00083</v>
      </c>
      <c r="B2788" s="4" t="str">
        <f t="shared" si="273"/>
        <v>22518090</v>
      </c>
      <c r="C2788" s="4" t="str">
        <f t="shared" si="274"/>
        <v>GSE32981</v>
      </c>
      <c r="D2788" s="1" t="s">
        <v>202</v>
      </c>
      <c r="E2788" t="s">
        <v>203</v>
      </c>
      <c r="F2788" s="1">
        <v>1</v>
      </c>
      <c r="G2788" s="1" t="s">
        <v>26</v>
      </c>
      <c r="H2788" s="4" t="str">
        <f>HYPERLINK("https://www.ncbi.nlm.nih.gov/geo/query/acc.cgi?acc=GSM816948","GSM816948")</f>
        <v>GSM816948</v>
      </c>
      <c r="I2788" t="s">
        <v>78</v>
      </c>
      <c r="J2788" t="s">
        <v>18</v>
      </c>
      <c r="K2788" t="s">
        <v>19</v>
      </c>
      <c r="L2788" t="s">
        <v>205</v>
      </c>
      <c r="M2788" t="s">
        <v>41</v>
      </c>
      <c r="N2788" t="s">
        <v>22</v>
      </c>
    </row>
    <row r="2789" spans="1:14">
      <c r="A2789" s="4" t="str">
        <f t="shared" si="272"/>
        <v>EXP00083</v>
      </c>
      <c r="B2789" s="4" t="str">
        <f t="shared" si="273"/>
        <v>22518090</v>
      </c>
      <c r="C2789" s="4" t="str">
        <f t="shared" si="274"/>
        <v>GSE32981</v>
      </c>
      <c r="D2789" s="1" t="s">
        <v>202</v>
      </c>
      <c r="E2789" t="s">
        <v>203</v>
      </c>
      <c r="F2789" s="1">
        <v>1</v>
      </c>
      <c r="G2789" s="1" t="s">
        <v>26</v>
      </c>
      <c r="H2789" s="4" t="str">
        <f>HYPERLINK("https://www.ncbi.nlm.nih.gov/geo/query/acc.cgi?acc=GSM816949","GSM816949")</f>
        <v>GSM816949</v>
      </c>
      <c r="I2789" t="s">
        <v>78</v>
      </c>
      <c r="J2789" t="s">
        <v>18</v>
      </c>
      <c r="K2789" t="s">
        <v>19</v>
      </c>
      <c r="L2789" t="s">
        <v>206</v>
      </c>
      <c r="M2789" t="s">
        <v>41</v>
      </c>
      <c r="N2789" t="s">
        <v>22</v>
      </c>
    </row>
    <row r="2790" spans="1:14">
      <c r="A2790" s="4" t="str">
        <f t="shared" si="272"/>
        <v>EXP00083</v>
      </c>
      <c r="B2790" s="4" t="str">
        <f t="shared" si="273"/>
        <v>22518090</v>
      </c>
      <c r="C2790" s="4" t="str">
        <f t="shared" si="274"/>
        <v>GSE32981</v>
      </c>
      <c r="D2790" s="1" t="s">
        <v>202</v>
      </c>
      <c r="E2790" t="s">
        <v>203</v>
      </c>
      <c r="F2790" s="1">
        <v>1</v>
      </c>
      <c r="G2790" s="1" t="s">
        <v>26</v>
      </c>
      <c r="H2790" s="4" t="str">
        <f>HYPERLINK("https://www.ncbi.nlm.nih.gov/geo/query/acc.cgi?acc=GSM816952","GSM816952")</f>
        <v>GSM816952</v>
      </c>
      <c r="I2790" t="s">
        <v>78</v>
      </c>
      <c r="J2790" t="s">
        <v>18</v>
      </c>
      <c r="K2790" t="s">
        <v>19</v>
      </c>
      <c r="L2790" t="s">
        <v>204</v>
      </c>
      <c r="M2790" t="s">
        <v>41</v>
      </c>
      <c r="N2790" t="s">
        <v>22</v>
      </c>
    </row>
    <row r="2791" spans="1:14">
      <c r="A2791" s="4" t="str">
        <f t="shared" si="272"/>
        <v>EXP00083</v>
      </c>
      <c r="B2791" s="4" t="str">
        <f t="shared" si="273"/>
        <v>22518090</v>
      </c>
      <c r="C2791" s="4" t="str">
        <f t="shared" si="274"/>
        <v>GSE32981</v>
      </c>
      <c r="D2791" s="1" t="s">
        <v>202</v>
      </c>
      <c r="E2791" t="s">
        <v>203</v>
      </c>
      <c r="F2791" s="1">
        <v>1</v>
      </c>
      <c r="G2791" s="1" t="s">
        <v>26</v>
      </c>
      <c r="H2791" s="4" t="str">
        <f>HYPERLINK("https://www.ncbi.nlm.nih.gov/geo/query/acc.cgi?acc=GSM816953","GSM816953")</f>
        <v>GSM816953</v>
      </c>
      <c r="I2791" t="s">
        <v>78</v>
      </c>
      <c r="J2791" t="s">
        <v>18</v>
      </c>
      <c r="K2791" t="s">
        <v>19</v>
      </c>
      <c r="L2791" t="s">
        <v>204</v>
      </c>
      <c r="M2791" t="s">
        <v>41</v>
      </c>
      <c r="N2791" t="s">
        <v>22</v>
      </c>
    </row>
    <row r="2792" spans="1:14">
      <c r="A2792" s="4" t="str">
        <f t="shared" si="272"/>
        <v>EXP00083</v>
      </c>
      <c r="B2792" s="4" t="str">
        <f t="shared" si="273"/>
        <v>22518090</v>
      </c>
      <c r="C2792" s="4" t="str">
        <f t="shared" si="274"/>
        <v>GSE32981</v>
      </c>
      <c r="D2792" s="1" t="s">
        <v>202</v>
      </c>
      <c r="E2792" t="s">
        <v>203</v>
      </c>
      <c r="F2792" s="1">
        <v>1</v>
      </c>
      <c r="G2792" s="1" t="s">
        <v>26</v>
      </c>
      <c r="H2792" s="4" t="str">
        <f>HYPERLINK("https://www.ncbi.nlm.nih.gov/geo/query/acc.cgi?acc=GSM816957","GSM816957")</f>
        <v>GSM816957</v>
      </c>
      <c r="I2792" t="s">
        <v>78</v>
      </c>
      <c r="J2792" t="s">
        <v>18</v>
      </c>
      <c r="K2792" t="s">
        <v>19</v>
      </c>
      <c r="L2792" t="s">
        <v>207</v>
      </c>
      <c r="M2792" t="s">
        <v>41</v>
      </c>
      <c r="N2792" t="s">
        <v>22</v>
      </c>
    </row>
    <row r="2793" spans="1:14">
      <c r="A2793" s="4" t="str">
        <f t="shared" si="272"/>
        <v>EXP00083</v>
      </c>
      <c r="B2793" s="4" t="str">
        <f t="shared" si="273"/>
        <v>22518090</v>
      </c>
      <c r="C2793" s="4" t="str">
        <f t="shared" si="274"/>
        <v>GSE32981</v>
      </c>
      <c r="D2793" s="1" t="s">
        <v>202</v>
      </c>
      <c r="E2793" t="s">
        <v>203</v>
      </c>
      <c r="F2793" s="1">
        <v>2</v>
      </c>
      <c r="G2793" s="1" t="s">
        <v>28</v>
      </c>
      <c r="H2793" s="4" t="str">
        <f>HYPERLINK("https://www.ncbi.nlm.nih.gov/geo/query/acc.cgi?acc=GSM816946","GSM816946")</f>
        <v>GSM816946</v>
      </c>
      <c r="I2793" t="s">
        <v>78</v>
      </c>
      <c r="J2793" t="s">
        <v>18</v>
      </c>
      <c r="K2793" t="s">
        <v>19</v>
      </c>
      <c r="L2793" t="s">
        <v>204</v>
      </c>
      <c r="M2793" t="s">
        <v>41</v>
      </c>
      <c r="N2793" t="s">
        <v>29</v>
      </c>
    </row>
    <row r="2794" spans="1:14">
      <c r="A2794" s="4" t="str">
        <f t="shared" si="272"/>
        <v>EXP00083</v>
      </c>
      <c r="B2794" s="4" t="str">
        <f t="shared" si="273"/>
        <v>22518090</v>
      </c>
      <c r="C2794" s="4" t="str">
        <f t="shared" si="274"/>
        <v>GSE32981</v>
      </c>
      <c r="D2794" s="1" t="s">
        <v>202</v>
      </c>
      <c r="E2794" t="s">
        <v>203</v>
      </c>
      <c r="F2794" s="1">
        <v>2</v>
      </c>
      <c r="G2794" s="1" t="s">
        <v>28</v>
      </c>
      <c r="H2794" s="4" t="str">
        <f>HYPERLINK("https://www.ncbi.nlm.nih.gov/geo/query/acc.cgi?acc=GSM816947","GSM816947")</f>
        <v>GSM816947</v>
      </c>
      <c r="I2794" t="s">
        <v>78</v>
      </c>
      <c r="J2794" t="s">
        <v>18</v>
      </c>
      <c r="K2794" t="s">
        <v>19</v>
      </c>
      <c r="L2794" t="s">
        <v>208</v>
      </c>
      <c r="M2794" t="s">
        <v>41</v>
      </c>
      <c r="N2794" t="s">
        <v>29</v>
      </c>
    </row>
    <row r="2795" spans="1:14">
      <c r="A2795" s="4" t="str">
        <f t="shared" si="272"/>
        <v>EXP00083</v>
      </c>
      <c r="B2795" s="4" t="str">
        <f t="shared" si="273"/>
        <v>22518090</v>
      </c>
      <c r="C2795" s="4" t="str">
        <f t="shared" si="274"/>
        <v>GSE32981</v>
      </c>
      <c r="D2795" s="1" t="s">
        <v>202</v>
      </c>
      <c r="E2795" t="s">
        <v>203</v>
      </c>
      <c r="F2795" s="1">
        <v>2</v>
      </c>
      <c r="G2795" s="1" t="s">
        <v>28</v>
      </c>
      <c r="H2795" s="4" t="str">
        <f>HYPERLINK("https://www.ncbi.nlm.nih.gov/geo/query/acc.cgi?acc=GSM816955","GSM816955")</f>
        <v>GSM816955</v>
      </c>
      <c r="I2795" t="s">
        <v>78</v>
      </c>
      <c r="J2795" t="s">
        <v>18</v>
      </c>
      <c r="K2795" t="s">
        <v>19</v>
      </c>
      <c r="L2795" t="s">
        <v>209</v>
      </c>
      <c r="M2795" t="s">
        <v>41</v>
      </c>
      <c r="N2795" t="s">
        <v>29</v>
      </c>
    </row>
    <row r="2796" spans="1:14">
      <c r="A2796" s="4" t="str">
        <f t="shared" si="272"/>
        <v>EXP00083</v>
      </c>
      <c r="B2796" s="4" t="str">
        <f t="shared" si="273"/>
        <v>22518090</v>
      </c>
      <c r="C2796" s="4" t="str">
        <f t="shared" si="274"/>
        <v>GSE32981</v>
      </c>
      <c r="D2796" s="1" t="s">
        <v>202</v>
      </c>
      <c r="E2796" t="s">
        <v>203</v>
      </c>
      <c r="F2796" s="1">
        <v>2</v>
      </c>
      <c r="G2796" s="1" t="s">
        <v>28</v>
      </c>
      <c r="H2796" s="4" t="str">
        <f>HYPERLINK("https://www.ncbi.nlm.nih.gov/geo/query/acc.cgi?acc=GSM816956","GSM816956")</f>
        <v>GSM816956</v>
      </c>
      <c r="I2796" t="s">
        <v>78</v>
      </c>
      <c r="J2796" t="s">
        <v>18</v>
      </c>
      <c r="K2796" t="s">
        <v>19</v>
      </c>
      <c r="L2796" t="s">
        <v>204</v>
      </c>
      <c r="M2796" t="s">
        <v>41</v>
      </c>
      <c r="N2796" t="s">
        <v>29</v>
      </c>
    </row>
    <row r="2797" spans="1:14">
      <c r="A2797" s="4" t="str">
        <f t="shared" si="272"/>
        <v>EXP00083</v>
      </c>
      <c r="B2797" s="4" t="str">
        <f t="shared" si="273"/>
        <v>22518090</v>
      </c>
      <c r="C2797" s="4" t="str">
        <f t="shared" si="274"/>
        <v>GSE32981</v>
      </c>
      <c r="D2797" s="1" t="s">
        <v>202</v>
      </c>
      <c r="E2797" t="s">
        <v>203</v>
      </c>
      <c r="F2797" s="1">
        <v>2</v>
      </c>
      <c r="G2797" s="1" t="s">
        <v>28</v>
      </c>
      <c r="H2797" s="4" t="str">
        <f>HYPERLINK("https://www.ncbi.nlm.nih.gov/geo/query/acc.cgi?acc=GSM816959","GSM816959")</f>
        <v>GSM816959</v>
      </c>
      <c r="I2797" t="s">
        <v>78</v>
      </c>
      <c r="J2797" t="s">
        <v>18</v>
      </c>
      <c r="K2797" t="s">
        <v>19</v>
      </c>
      <c r="L2797" t="s">
        <v>205</v>
      </c>
      <c r="M2797" t="s">
        <v>41</v>
      </c>
      <c r="N2797" t="s">
        <v>29</v>
      </c>
    </row>
    <row r="2798" spans="1:14">
      <c r="A2798" s="4" t="str">
        <f t="shared" si="272"/>
        <v>EXP00083</v>
      </c>
      <c r="B2798" s="4" t="str">
        <f t="shared" si="273"/>
        <v>22518090</v>
      </c>
      <c r="C2798" s="4" t="str">
        <f t="shared" si="274"/>
        <v>GSE32981</v>
      </c>
      <c r="D2798" s="1" t="s">
        <v>202</v>
      </c>
      <c r="E2798" t="s">
        <v>203</v>
      </c>
      <c r="F2798" s="1">
        <v>2</v>
      </c>
      <c r="G2798" s="1" t="s">
        <v>28</v>
      </c>
      <c r="H2798" s="4" t="str">
        <f>HYPERLINK("https://www.ncbi.nlm.nih.gov/geo/query/acc.cgi?acc=GSM816962","GSM816962")</f>
        <v>GSM816962</v>
      </c>
      <c r="I2798" t="s">
        <v>78</v>
      </c>
      <c r="J2798" t="s">
        <v>18</v>
      </c>
      <c r="K2798" t="s">
        <v>19</v>
      </c>
      <c r="L2798" t="s">
        <v>204</v>
      </c>
      <c r="M2798" t="s">
        <v>41</v>
      </c>
      <c r="N2798" t="s">
        <v>29</v>
      </c>
    </row>
    <row r="2799" spans="1:14">
      <c r="A2799" s="4" t="str">
        <f t="shared" ref="A2799:A2816" si="275">HYPERLINK("http://hcmdb.i-sanger.com/experiment/details/experiment_id/EXP00084","EXP00084")</f>
        <v>EXP00084</v>
      </c>
      <c r="B2799" s="4" t="str">
        <f t="shared" si="273"/>
        <v>22518090</v>
      </c>
      <c r="C2799" s="4" t="str">
        <f t="shared" si="274"/>
        <v>GSE32981</v>
      </c>
      <c r="D2799" s="1" t="s">
        <v>202</v>
      </c>
      <c r="E2799" t="s">
        <v>210</v>
      </c>
      <c r="F2799" s="1">
        <v>1</v>
      </c>
      <c r="G2799" s="1" t="s">
        <v>26</v>
      </c>
      <c r="H2799" s="4" t="str">
        <f>HYPERLINK("https://www.ncbi.nlm.nih.gov/geo/query/acc.cgi?acc=GSM816942","GSM816942")</f>
        <v>GSM816942</v>
      </c>
      <c r="I2799" t="s">
        <v>78</v>
      </c>
      <c r="J2799" t="s">
        <v>18</v>
      </c>
      <c r="K2799" t="s">
        <v>19</v>
      </c>
      <c r="L2799" t="s">
        <v>204</v>
      </c>
      <c r="M2799" t="s">
        <v>41</v>
      </c>
      <c r="N2799" t="s">
        <v>22</v>
      </c>
    </row>
    <row r="2800" spans="1:14">
      <c r="A2800" s="4" t="str">
        <f t="shared" si="275"/>
        <v>EXP00084</v>
      </c>
      <c r="B2800" s="4" t="str">
        <f t="shared" si="273"/>
        <v>22518090</v>
      </c>
      <c r="C2800" s="4" t="str">
        <f t="shared" si="274"/>
        <v>GSE32981</v>
      </c>
      <c r="D2800" s="1" t="s">
        <v>202</v>
      </c>
      <c r="E2800" t="s">
        <v>210</v>
      </c>
      <c r="F2800" s="1">
        <v>1</v>
      </c>
      <c r="G2800" s="1" t="s">
        <v>26</v>
      </c>
      <c r="H2800" s="4" t="str">
        <f>HYPERLINK("https://www.ncbi.nlm.nih.gov/geo/query/acc.cgi?acc=GSM816943","GSM816943")</f>
        <v>GSM816943</v>
      </c>
      <c r="I2800" t="s">
        <v>78</v>
      </c>
      <c r="J2800" t="s">
        <v>18</v>
      </c>
      <c r="K2800" t="s">
        <v>19</v>
      </c>
      <c r="L2800" t="s">
        <v>204</v>
      </c>
      <c r="M2800" t="s">
        <v>41</v>
      </c>
      <c r="N2800" t="s">
        <v>22</v>
      </c>
    </row>
    <row r="2801" spans="1:14">
      <c r="A2801" s="4" t="str">
        <f t="shared" si="275"/>
        <v>EXP00084</v>
      </c>
      <c r="B2801" s="4" t="str">
        <f t="shared" si="273"/>
        <v>22518090</v>
      </c>
      <c r="C2801" s="4" t="str">
        <f t="shared" si="274"/>
        <v>GSE32981</v>
      </c>
      <c r="D2801" s="1" t="s">
        <v>202</v>
      </c>
      <c r="E2801" t="s">
        <v>210</v>
      </c>
      <c r="F2801" s="1">
        <v>1</v>
      </c>
      <c r="G2801" s="1" t="s">
        <v>26</v>
      </c>
      <c r="H2801" s="4" t="str">
        <f>HYPERLINK("https://www.ncbi.nlm.nih.gov/geo/query/acc.cgi?acc=GSM816944","GSM816944")</f>
        <v>GSM816944</v>
      </c>
      <c r="I2801" t="s">
        <v>78</v>
      </c>
      <c r="J2801" t="s">
        <v>18</v>
      </c>
      <c r="K2801" t="s">
        <v>19</v>
      </c>
      <c r="L2801" t="s">
        <v>204</v>
      </c>
      <c r="M2801" t="s">
        <v>135</v>
      </c>
      <c r="N2801" t="s">
        <v>22</v>
      </c>
    </row>
    <row r="2802" spans="1:14">
      <c r="A2802" s="4" t="str">
        <f t="shared" si="275"/>
        <v>EXP00084</v>
      </c>
      <c r="B2802" s="4" t="str">
        <f t="shared" si="273"/>
        <v>22518090</v>
      </c>
      <c r="C2802" s="4" t="str">
        <f t="shared" si="274"/>
        <v>GSE32981</v>
      </c>
      <c r="D2802" s="1" t="s">
        <v>202</v>
      </c>
      <c r="E2802" t="s">
        <v>210</v>
      </c>
      <c r="F2802" s="1">
        <v>1</v>
      </c>
      <c r="G2802" s="1" t="s">
        <v>26</v>
      </c>
      <c r="H2802" s="4" t="str">
        <f>HYPERLINK("https://www.ncbi.nlm.nih.gov/geo/query/acc.cgi?acc=GSM816945","GSM816945")</f>
        <v>GSM816945</v>
      </c>
      <c r="I2802" t="s">
        <v>78</v>
      </c>
      <c r="J2802" t="s">
        <v>18</v>
      </c>
      <c r="K2802" t="s">
        <v>19</v>
      </c>
      <c r="L2802" t="s">
        <v>204</v>
      </c>
      <c r="M2802" t="s">
        <v>41</v>
      </c>
      <c r="N2802" t="s">
        <v>22</v>
      </c>
    </row>
    <row r="2803" spans="1:14">
      <c r="A2803" s="4" t="str">
        <f t="shared" si="275"/>
        <v>EXP00084</v>
      </c>
      <c r="B2803" s="4" t="str">
        <f t="shared" si="273"/>
        <v>22518090</v>
      </c>
      <c r="C2803" s="4" t="str">
        <f t="shared" si="274"/>
        <v>GSE32981</v>
      </c>
      <c r="D2803" s="1" t="s">
        <v>202</v>
      </c>
      <c r="E2803" t="s">
        <v>210</v>
      </c>
      <c r="F2803" s="1">
        <v>1</v>
      </c>
      <c r="G2803" s="1" t="s">
        <v>26</v>
      </c>
      <c r="H2803" s="4" t="str">
        <f>HYPERLINK("https://www.ncbi.nlm.nih.gov/geo/query/acc.cgi?acc=GSM816948","GSM816948")</f>
        <v>GSM816948</v>
      </c>
      <c r="I2803" t="s">
        <v>78</v>
      </c>
      <c r="J2803" t="s">
        <v>18</v>
      </c>
      <c r="K2803" t="s">
        <v>19</v>
      </c>
      <c r="L2803" t="s">
        <v>205</v>
      </c>
      <c r="M2803" t="s">
        <v>41</v>
      </c>
      <c r="N2803" t="s">
        <v>22</v>
      </c>
    </row>
    <row r="2804" spans="1:14">
      <c r="A2804" s="4" t="str">
        <f t="shared" si="275"/>
        <v>EXP00084</v>
      </c>
      <c r="B2804" s="4" t="str">
        <f t="shared" si="273"/>
        <v>22518090</v>
      </c>
      <c r="C2804" s="4" t="str">
        <f t="shared" si="274"/>
        <v>GSE32981</v>
      </c>
      <c r="D2804" s="1" t="s">
        <v>202</v>
      </c>
      <c r="E2804" t="s">
        <v>210</v>
      </c>
      <c r="F2804" s="1">
        <v>1</v>
      </c>
      <c r="G2804" s="1" t="s">
        <v>26</v>
      </c>
      <c r="H2804" s="4" t="str">
        <f>HYPERLINK("https://www.ncbi.nlm.nih.gov/geo/query/acc.cgi?acc=GSM816949","GSM816949")</f>
        <v>GSM816949</v>
      </c>
      <c r="I2804" t="s">
        <v>78</v>
      </c>
      <c r="J2804" t="s">
        <v>18</v>
      </c>
      <c r="K2804" t="s">
        <v>19</v>
      </c>
      <c r="L2804" t="s">
        <v>206</v>
      </c>
      <c r="M2804" t="s">
        <v>41</v>
      </c>
      <c r="N2804" t="s">
        <v>22</v>
      </c>
    </row>
    <row r="2805" spans="1:14">
      <c r="A2805" s="4" t="str">
        <f t="shared" si="275"/>
        <v>EXP00084</v>
      </c>
      <c r="B2805" s="4" t="str">
        <f t="shared" si="273"/>
        <v>22518090</v>
      </c>
      <c r="C2805" s="4" t="str">
        <f t="shared" si="274"/>
        <v>GSE32981</v>
      </c>
      <c r="D2805" s="1" t="s">
        <v>202</v>
      </c>
      <c r="E2805" t="s">
        <v>210</v>
      </c>
      <c r="F2805" s="1">
        <v>1</v>
      </c>
      <c r="G2805" s="1" t="s">
        <v>26</v>
      </c>
      <c r="H2805" s="4" t="str">
        <f>HYPERLINK("https://www.ncbi.nlm.nih.gov/geo/query/acc.cgi?acc=GSM816952","GSM816952")</f>
        <v>GSM816952</v>
      </c>
      <c r="I2805" t="s">
        <v>78</v>
      </c>
      <c r="J2805" t="s">
        <v>18</v>
      </c>
      <c r="K2805" t="s">
        <v>19</v>
      </c>
      <c r="L2805" t="s">
        <v>204</v>
      </c>
      <c r="M2805" t="s">
        <v>41</v>
      </c>
      <c r="N2805" t="s">
        <v>22</v>
      </c>
    </row>
    <row r="2806" spans="1:14">
      <c r="A2806" s="4" t="str">
        <f t="shared" si="275"/>
        <v>EXP00084</v>
      </c>
      <c r="B2806" s="4" t="str">
        <f t="shared" si="273"/>
        <v>22518090</v>
      </c>
      <c r="C2806" s="4" t="str">
        <f t="shared" si="274"/>
        <v>GSE32981</v>
      </c>
      <c r="D2806" s="1" t="s">
        <v>202</v>
      </c>
      <c r="E2806" t="s">
        <v>210</v>
      </c>
      <c r="F2806" s="1">
        <v>1</v>
      </c>
      <c r="G2806" s="1" t="s">
        <v>26</v>
      </c>
      <c r="H2806" s="4" t="str">
        <f>HYPERLINK("https://www.ncbi.nlm.nih.gov/geo/query/acc.cgi?acc=GSM816953","GSM816953")</f>
        <v>GSM816953</v>
      </c>
      <c r="I2806" t="s">
        <v>78</v>
      </c>
      <c r="J2806" t="s">
        <v>18</v>
      </c>
      <c r="K2806" t="s">
        <v>19</v>
      </c>
      <c r="L2806" t="s">
        <v>204</v>
      </c>
      <c r="M2806" t="s">
        <v>41</v>
      </c>
      <c r="N2806" t="s">
        <v>22</v>
      </c>
    </row>
    <row r="2807" spans="1:14">
      <c r="A2807" s="4" t="str">
        <f t="shared" si="275"/>
        <v>EXP00084</v>
      </c>
      <c r="B2807" s="4" t="str">
        <f t="shared" si="273"/>
        <v>22518090</v>
      </c>
      <c r="C2807" s="4" t="str">
        <f t="shared" si="274"/>
        <v>GSE32981</v>
      </c>
      <c r="D2807" s="1" t="s">
        <v>202</v>
      </c>
      <c r="E2807" t="s">
        <v>210</v>
      </c>
      <c r="F2807" s="1">
        <v>1</v>
      </c>
      <c r="G2807" s="1" t="s">
        <v>26</v>
      </c>
      <c r="H2807" s="4" t="str">
        <f>HYPERLINK("https://www.ncbi.nlm.nih.gov/geo/query/acc.cgi?acc=GSM816954","GSM816954")</f>
        <v>GSM816954</v>
      </c>
      <c r="I2807" t="s">
        <v>78</v>
      </c>
      <c r="J2807" t="s">
        <v>18</v>
      </c>
      <c r="K2807" t="s">
        <v>19</v>
      </c>
      <c r="L2807" t="s">
        <v>206</v>
      </c>
      <c r="M2807" t="s">
        <v>211</v>
      </c>
      <c r="N2807" t="s">
        <v>22</v>
      </c>
    </row>
    <row r="2808" spans="1:14">
      <c r="A2808" s="4" t="str">
        <f t="shared" si="275"/>
        <v>EXP00084</v>
      </c>
      <c r="B2808" s="4" t="str">
        <f t="shared" si="273"/>
        <v>22518090</v>
      </c>
      <c r="C2808" s="4" t="str">
        <f t="shared" si="274"/>
        <v>GSE32981</v>
      </c>
      <c r="D2808" s="1" t="s">
        <v>202</v>
      </c>
      <c r="E2808" t="s">
        <v>210</v>
      </c>
      <c r="F2808" s="1">
        <v>1</v>
      </c>
      <c r="G2808" s="1" t="s">
        <v>26</v>
      </c>
      <c r="H2808" s="4" t="str">
        <f>HYPERLINK("https://www.ncbi.nlm.nih.gov/geo/query/acc.cgi?acc=GSM816957","GSM816957")</f>
        <v>GSM816957</v>
      </c>
      <c r="I2808" t="s">
        <v>78</v>
      </c>
      <c r="J2808" t="s">
        <v>18</v>
      </c>
      <c r="K2808" t="s">
        <v>19</v>
      </c>
      <c r="L2808" t="s">
        <v>207</v>
      </c>
      <c r="M2808" t="s">
        <v>41</v>
      </c>
      <c r="N2808" t="s">
        <v>22</v>
      </c>
    </row>
    <row r="2809" spans="1:14">
      <c r="A2809" s="4" t="str">
        <f t="shared" si="275"/>
        <v>EXP00084</v>
      </c>
      <c r="B2809" s="4" t="str">
        <f t="shared" si="273"/>
        <v>22518090</v>
      </c>
      <c r="C2809" s="4" t="str">
        <f t="shared" si="274"/>
        <v>GSE32981</v>
      </c>
      <c r="D2809" s="1" t="s">
        <v>202</v>
      </c>
      <c r="E2809" t="s">
        <v>210</v>
      </c>
      <c r="F2809" s="1">
        <v>1</v>
      </c>
      <c r="G2809" s="1" t="s">
        <v>26</v>
      </c>
      <c r="H2809" s="4" t="str">
        <f>HYPERLINK("https://www.ncbi.nlm.nih.gov/geo/query/acc.cgi?acc=GSM816963","GSM816963")</f>
        <v>GSM816963</v>
      </c>
      <c r="I2809" t="s">
        <v>78</v>
      </c>
      <c r="J2809" t="s">
        <v>18</v>
      </c>
      <c r="K2809" t="s">
        <v>19</v>
      </c>
      <c r="L2809" t="s">
        <v>205</v>
      </c>
      <c r="M2809" t="s">
        <v>212</v>
      </c>
      <c r="N2809" t="s">
        <v>22</v>
      </c>
    </row>
    <row r="2810" spans="1:14">
      <c r="A2810" s="4" t="str">
        <f t="shared" si="275"/>
        <v>EXP00084</v>
      </c>
      <c r="B2810" s="4" t="str">
        <f t="shared" si="273"/>
        <v>22518090</v>
      </c>
      <c r="C2810" s="4" t="str">
        <f t="shared" si="274"/>
        <v>GSE32981</v>
      </c>
      <c r="D2810" s="1" t="s">
        <v>202</v>
      </c>
      <c r="E2810" t="s">
        <v>210</v>
      </c>
      <c r="F2810" s="1">
        <v>2</v>
      </c>
      <c r="G2810" s="1" t="s">
        <v>28</v>
      </c>
      <c r="H2810" s="4" t="str">
        <f>HYPERLINK("https://www.ncbi.nlm.nih.gov/geo/query/acc.cgi?acc=GSM816946","GSM816946")</f>
        <v>GSM816946</v>
      </c>
      <c r="I2810" t="s">
        <v>78</v>
      </c>
      <c r="J2810" t="s">
        <v>18</v>
      </c>
      <c r="K2810" t="s">
        <v>19</v>
      </c>
      <c r="L2810" t="s">
        <v>204</v>
      </c>
      <c r="M2810" t="s">
        <v>41</v>
      </c>
      <c r="N2810" t="s">
        <v>29</v>
      </c>
    </row>
    <row r="2811" spans="1:14">
      <c r="A2811" s="4" t="str">
        <f t="shared" si="275"/>
        <v>EXP00084</v>
      </c>
      <c r="B2811" s="4" t="str">
        <f t="shared" si="273"/>
        <v>22518090</v>
      </c>
      <c r="C2811" s="4" t="str">
        <f t="shared" si="274"/>
        <v>GSE32981</v>
      </c>
      <c r="D2811" s="1" t="s">
        <v>202</v>
      </c>
      <c r="E2811" t="s">
        <v>210</v>
      </c>
      <c r="F2811" s="1">
        <v>2</v>
      </c>
      <c r="G2811" s="1" t="s">
        <v>28</v>
      </c>
      <c r="H2811" s="4" t="str">
        <f>HYPERLINK("https://www.ncbi.nlm.nih.gov/geo/query/acc.cgi?acc=GSM816947","GSM816947")</f>
        <v>GSM816947</v>
      </c>
      <c r="I2811" t="s">
        <v>78</v>
      </c>
      <c r="J2811" t="s">
        <v>18</v>
      </c>
      <c r="K2811" t="s">
        <v>19</v>
      </c>
      <c r="L2811" t="s">
        <v>208</v>
      </c>
      <c r="M2811" t="s">
        <v>41</v>
      </c>
      <c r="N2811" t="s">
        <v>29</v>
      </c>
    </row>
    <row r="2812" spans="1:14">
      <c r="A2812" s="4" t="str">
        <f t="shared" si="275"/>
        <v>EXP00084</v>
      </c>
      <c r="B2812" s="4" t="str">
        <f t="shared" si="273"/>
        <v>22518090</v>
      </c>
      <c r="C2812" s="4" t="str">
        <f t="shared" si="274"/>
        <v>GSE32981</v>
      </c>
      <c r="D2812" s="1" t="s">
        <v>202</v>
      </c>
      <c r="E2812" t="s">
        <v>210</v>
      </c>
      <c r="F2812" s="1">
        <v>2</v>
      </c>
      <c r="G2812" s="1" t="s">
        <v>28</v>
      </c>
      <c r="H2812" s="4" t="str">
        <f>HYPERLINK("https://www.ncbi.nlm.nih.gov/geo/query/acc.cgi?acc=GSM816951","GSM816951")</f>
        <v>GSM816951</v>
      </c>
      <c r="I2812" t="s">
        <v>78</v>
      </c>
      <c r="J2812" t="s">
        <v>18</v>
      </c>
      <c r="K2812" t="s">
        <v>19</v>
      </c>
      <c r="L2812" t="s">
        <v>205</v>
      </c>
      <c r="M2812" t="s">
        <v>213</v>
      </c>
      <c r="N2812" t="s">
        <v>29</v>
      </c>
    </row>
    <row r="2813" spans="1:14">
      <c r="A2813" s="4" t="str">
        <f t="shared" si="275"/>
        <v>EXP00084</v>
      </c>
      <c r="B2813" s="4" t="str">
        <f t="shared" si="273"/>
        <v>22518090</v>
      </c>
      <c r="C2813" s="4" t="str">
        <f t="shared" si="274"/>
        <v>GSE32981</v>
      </c>
      <c r="D2813" s="1" t="s">
        <v>202</v>
      </c>
      <c r="E2813" t="s">
        <v>210</v>
      </c>
      <c r="F2813" s="1">
        <v>2</v>
      </c>
      <c r="G2813" s="1" t="s">
        <v>28</v>
      </c>
      <c r="H2813" s="4" t="str">
        <f>HYPERLINK("https://www.ncbi.nlm.nih.gov/geo/query/acc.cgi?acc=GSM816955","GSM816955")</f>
        <v>GSM816955</v>
      </c>
      <c r="I2813" t="s">
        <v>78</v>
      </c>
      <c r="J2813" t="s">
        <v>18</v>
      </c>
      <c r="K2813" t="s">
        <v>19</v>
      </c>
      <c r="L2813" t="s">
        <v>209</v>
      </c>
      <c r="M2813" t="s">
        <v>41</v>
      </c>
      <c r="N2813" t="s">
        <v>29</v>
      </c>
    </row>
    <row r="2814" spans="1:14">
      <c r="A2814" s="4" t="str">
        <f t="shared" si="275"/>
        <v>EXP00084</v>
      </c>
      <c r="B2814" s="4" t="str">
        <f t="shared" si="273"/>
        <v>22518090</v>
      </c>
      <c r="C2814" s="4" t="str">
        <f t="shared" si="274"/>
        <v>GSE32981</v>
      </c>
      <c r="D2814" s="1" t="s">
        <v>202</v>
      </c>
      <c r="E2814" t="s">
        <v>210</v>
      </c>
      <c r="F2814" s="1">
        <v>2</v>
      </c>
      <c r="G2814" s="1" t="s">
        <v>28</v>
      </c>
      <c r="H2814" s="4" t="str">
        <f>HYPERLINK("https://www.ncbi.nlm.nih.gov/geo/query/acc.cgi?acc=GSM816956","GSM816956")</f>
        <v>GSM816956</v>
      </c>
      <c r="I2814" t="s">
        <v>78</v>
      </c>
      <c r="J2814" t="s">
        <v>18</v>
      </c>
      <c r="K2814" t="s">
        <v>19</v>
      </c>
      <c r="L2814" t="s">
        <v>204</v>
      </c>
      <c r="M2814" t="s">
        <v>41</v>
      </c>
      <c r="N2814" t="s">
        <v>29</v>
      </c>
    </row>
    <row r="2815" spans="1:14">
      <c r="A2815" s="4" t="str">
        <f t="shared" si="275"/>
        <v>EXP00084</v>
      </c>
      <c r="B2815" s="4" t="str">
        <f t="shared" si="273"/>
        <v>22518090</v>
      </c>
      <c r="C2815" s="4" t="str">
        <f t="shared" si="274"/>
        <v>GSE32981</v>
      </c>
      <c r="D2815" s="1" t="s">
        <v>202</v>
      </c>
      <c r="E2815" t="s">
        <v>210</v>
      </c>
      <c r="F2815" s="1">
        <v>2</v>
      </c>
      <c r="G2815" s="1" t="s">
        <v>28</v>
      </c>
      <c r="H2815" s="4" t="str">
        <f>HYPERLINK("https://www.ncbi.nlm.nih.gov/geo/query/acc.cgi?acc=GSM816959","GSM816959")</f>
        <v>GSM816959</v>
      </c>
      <c r="I2815" t="s">
        <v>78</v>
      </c>
      <c r="J2815" t="s">
        <v>18</v>
      </c>
      <c r="K2815" t="s">
        <v>19</v>
      </c>
      <c r="L2815" t="s">
        <v>205</v>
      </c>
      <c r="M2815" t="s">
        <v>41</v>
      </c>
      <c r="N2815" t="s">
        <v>29</v>
      </c>
    </row>
    <row r="2816" spans="1:14">
      <c r="A2816" s="4" t="str">
        <f t="shared" si="275"/>
        <v>EXP00084</v>
      </c>
      <c r="B2816" s="4" t="str">
        <f t="shared" si="273"/>
        <v>22518090</v>
      </c>
      <c r="C2816" s="4" t="str">
        <f t="shared" si="274"/>
        <v>GSE32981</v>
      </c>
      <c r="D2816" s="1" t="s">
        <v>202</v>
      </c>
      <c r="E2816" t="s">
        <v>210</v>
      </c>
      <c r="F2816" s="1">
        <v>2</v>
      </c>
      <c r="G2816" s="1" t="s">
        <v>28</v>
      </c>
      <c r="H2816" s="4" t="str">
        <f>HYPERLINK("https://www.ncbi.nlm.nih.gov/geo/query/acc.cgi?acc=GSM816962","GSM816962")</f>
        <v>GSM816962</v>
      </c>
      <c r="I2816" t="s">
        <v>78</v>
      </c>
      <c r="J2816" t="s">
        <v>18</v>
      </c>
      <c r="K2816" t="s">
        <v>19</v>
      </c>
      <c r="L2816" t="s">
        <v>204</v>
      </c>
      <c r="M2816" t="s">
        <v>41</v>
      </c>
      <c r="N2816" t="s">
        <v>29</v>
      </c>
    </row>
    <row r="2817" spans="1:14">
      <c r="A2817" s="4" t="str">
        <f t="shared" ref="A2817:A2846" si="276">HYPERLINK("http://hcmdb.i-sanger.com/experiment/details/experiment_id/EXP00085","EXP00085")</f>
        <v>EXP00085</v>
      </c>
      <c r="B2817" s="4" t="str">
        <f t="shared" ref="B2817:B2880" si="277">HYPERLINK("https://www.ncbi.nlm.nih.gov/pubmed/22412968","22412968")</f>
        <v>22412968</v>
      </c>
      <c r="C2817" s="4" t="str">
        <f t="shared" ref="C2817:C2880" si="278">HYPERLINK("https://www.ncbi.nlm.nih.gov/geo/query/acc.cgi?acc=GSE34153","GSE34153")</f>
        <v>GSE34153</v>
      </c>
      <c r="D2817" s="1" t="s">
        <v>214</v>
      </c>
      <c r="E2817" t="s">
        <v>215</v>
      </c>
      <c r="F2817" s="1">
        <v>1</v>
      </c>
      <c r="G2817" s="1" t="s">
        <v>216</v>
      </c>
      <c r="H2817" s="4" t="str">
        <f>HYPERLINK("https://www.ncbi.nlm.nih.gov/geo/query/acc.cgi?acc=GSM831945","GSM831945")</f>
        <v>GSM831945</v>
      </c>
      <c r="I2817" t="s">
        <v>111</v>
      </c>
      <c r="J2817" t="s">
        <v>18</v>
      </c>
      <c r="K2817" t="s">
        <v>19</v>
      </c>
      <c r="L2817" t="s">
        <v>113</v>
      </c>
      <c r="M2817" t="s">
        <v>217</v>
      </c>
      <c r="N2817" t="s">
        <v>22</v>
      </c>
    </row>
    <row r="2818" spans="1:14">
      <c r="A2818" s="4" t="str">
        <f t="shared" si="276"/>
        <v>EXP00085</v>
      </c>
      <c r="B2818" s="4" t="str">
        <f t="shared" si="277"/>
        <v>22412968</v>
      </c>
      <c r="C2818" s="4" t="str">
        <f t="shared" si="278"/>
        <v>GSE34153</v>
      </c>
      <c r="D2818" s="1" t="s">
        <v>214</v>
      </c>
      <c r="E2818" t="s">
        <v>215</v>
      </c>
      <c r="F2818" s="1">
        <v>1</v>
      </c>
      <c r="G2818" s="1" t="s">
        <v>216</v>
      </c>
      <c r="H2818" s="4" t="str">
        <f>HYPERLINK("https://www.ncbi.nlm.nih.gov/geo/query/acc.cgi?acc=GSM831956","GSM831956")</f>
        <v>GSM831956</v>
      </c>
      <c r="I2818" t="s">
        <v>111</v>
      </c>
      <c r="J2818" t="s">
        <v>18</v>
      </c>
      <c r="K2818" t="s">
        <v>19</v>
      </c>
      <c r="L2818" t="s">
        <v>113</v>
      </c>
      <c r="M2818" t="s">
        <v>217</v>
      </c>
      <c r="N2818" t="s">
        <v>22</v>
      </c>
    </row>
    <row r="2819" spans="1:14">
      <c r="A2819" s="4" t="str">
        <f t="shared" si="276"/>
        <v>EXP00085</v>
      </c>
      <c r="B2819" s="4" t="str">
        <f t="shared" si="277"/>
        <v>22412968</v>
      </c>
      <c r="C2819" s="4" t="str">
        <f t="shared" si="278"/>
        <v>GSE34153</v>
      </c>
      <c r="D2819" s="1" t="s">
        <v>214</v>
      </c>
      <c r="E2819" t="s">
        <v>215</v>
      </c>
      <c r="F2819" s="1">
        <v>1</v>
      </c>
      <c r="G2819" s="1" t="s">
        <v>216</v>
      </c>
      <c r="H2819" s="4" t="str">
        <f>HYPERLINK("https://www.ncbi.nlm.nih.gov/geo/query/acc.cgi?acc=GSM831969","GSM831969")</f>
        <v>GSM831969</v>
      </c>
      <c r="I2819" t="s">
        <v>111</v>
      </c>
      <c r="J2819" t="s">
        <v>18</v>
      </c>
      <c r="K2819" t="s">
        <v>19</v>
      </c>
      <c r="L2819" t="s">
        <v>113</v>
      </c>
      <c r="M2819" t="s">
        <v>217</v>
      </c>
      <c r="N2819" t="s">
        <v>22</v>
      </c>
    </row>
    <row r="2820" spans="1:14">
      <c r="A2820" s="4" t="str">
        <f t="shared" si="276"/>
        <v>EXP00085</v>
      </c>
      <c r="B2820" s="4" t="str">
        <f t="shared" si="277"/>
        <v>22412968</v>
      </c>
      <c r="C2820" s="4" t="str">
        <f t="shared" si="278"/>
        <v>GSE34153</v>
      </c>
      <c r="D2820" s="1" t="s">
        <v>214</v>
      </c>
      <c r="E2820" t="s">
        <v>215</v>
      </c>
      <c r="F2820" s="1">
        <v>1</v>
      </c>
      <c r="G2820" s="1" t="s">
        <v>216</v>
      </c>
      <c r="H2820" s="4" t="str">
        <f>HYPERLINK("https://www.ncbi.nlm.nih.gov/geo/query/acc.cgi?acc=GSM831971","GSM831971")</f>
        <v>GSM831971</v>
      </c>
      <c r="I2820" t="s">
        <v>111</v>
      </c>
      <c r="J2820" t="s">
        <v>18</v>
      </c>
      <c r="K2820" t="s">
        <v>19</v>
      </c>
      <c r="L2820" t="s">
        <v>113</v>
      </c>
      <c r="M2820" t="s">
        <v>217</v>
      </c>
      <c r="N2820" t="s">
        <v>22</v>
      </c>
    </row>
    <row r="2821" spans="1:14">
      <c r="A2821" s="4" t="str">
        <f t="shared" si="276"/>
        <v>EXP00085</v>
      </c>
      <c r="B2821" s="4" t="str">
        <f t="shared" si="277"/>
        <v>22412968</v>
      </c>
      <c r="C2821" s="4" t="str">
        <f t="shared" si="278"/>
        <v>GSE34153</v>
      </c>
      <c r="D2821" s="1" t="s">
        <v>214</v>
      </c>
      <c r="E2821" t="s">
        <v>215</v>
      </c>
      <c r="F2821" s="1">
        <v>1</v>
      </c>
      <c r="G2821" s="1" t="s">
        <v>216</v>
      </c>
      <c r="H2821" s="4" t="str">
        <f>HYPERLINK("https://www.ncbi.nlm.nih.gov/geo/query/acc.cgi?acc=GSM831972","GSM831972")</f>
        <v>GSM831972</v>
      </c>
      <c r="I2821" t="s">
        <v>111</v>
      </c>
      <c r="J2821" t="s">
        <v>18</v>
      </c>
      <c r="K2821" t="s">
        <v>19</v>
      </c>
      <c r="L2821" t="s">
        <v>113</v>
      </c>
      <c r="M2821" t="s">
        <v>217</v>
      </c>
      <c r="N2821" t="s">
        <v>22</v>
      </c>
    </row>
    <row r="2822" spans="1:14">
      <c r="A2822" s="4" t="str">
        <f t="shared" si="276"/>
        <v>EXP00085</v>
      </c>
      <c r="B2822" s="4" t="str">
        <f t="shared" si="277"/>
        <v>22412968</v>
      </c>
      <c r="C2822" s="4" t="str">
        <f t="shared" si="278"/>
        <v>GSE34153</v>
      </c>
      <c r="D2822" s="1" t="s">
        <v>214</v>
      </c>
      <c r="E2822" t="s">
        <v>215</v>
      </c>
      <c r="F2822" s="1">
        <v>1</v>
      </c>
      <c r="G2822" s="1" t="s">
        <v>216</v>
      </c>
      <c r="H2822" s="4" t="str">
        <f>HYPERLINK("https://www.ncbi.nlm.nih.gov/geo/query/acc.cgi?acc=GSM831980","GSM831980")</f>
        <v>GSM831980</v>
      </c>
      <c r="I2822" t="s">
        <v>111</v>
      </c>
      <c r="J2822" t="s">
        <v>18</v>
      </c>
      <c r="K2822" t="s">
        <v>19</v>
      </c>
      <c r="L2822" t="s">
        <v>113</v>
      </c>
      <c r="M2822" t="s">
        <v>217</v>
      </c>
      <c r="N2822" t="s">
        <v>22</v>
      </c>
    </row>
    <row r="2823" spans="1:14">
      <c r="A2823" s="4" t="str">
        <f t="shared" si="276"/>
        <v>EXP00085</v>
      </c>
      <c r="B2823" s="4" t="str">
        <f t="shared" si="277"/>
        <v>22412968</v>
      </c>
      <c r="C2823" s="4" t="str">
        <f t="shared" si="278"/>
        <v>GSE34153</v>
      </c>
      <c r="D2823" s="1" t="s">
        <v>214</v>
      </c>
      <c r="E2823" t="s">
        <v>215</v>
      </c>
      <c r="F2823" s="1">
        <v>1</v>
      </c>
      <c r="G2823" s="1" t="s">
        <v>216</v>
      </c>
      <c r="H2823" s="4" t="str">
        <f>HYPERLINK("https://www.ncbi.nlm.nih.gov/geo/query/acc.cgi?acc=GSM831981","GSM831981")</f>
        <v>GSM831981</v>
      </c>
      <c r="I2823" t="s">
        <v>111</v>
      </c>
      <c r="J2823" t="s">
        <v>18</v>
      </c>
      <c r="K2823" t="s">
        <v>19</v>
      </c>
      <c r="L2823" t="s">
        <v>113</v>
      </c>
      <c r="M2823" t="s">
        <v>217</v>
      </c>
      <c r="N2823" t="s">
        <v>22</v>
      </c>
    </row>
    <row r="2824" spans="1:14">
      <c r="A2824" s="4" t="str">
        <f t="shared" si="276"/>
        <v>EXP00085</v>
      </c>
      <c r="B2824" s="4" t="str">
        <f t="shared" si="277"/>
        <v>22412968</v>
      </c>
      <c r="C2824" s="4" t="str">
        <f t="shared" si="278"/>
        <v>GSE34153</v>
      </c>
      <c r="D2824" s="1" t="s">
        <v>214</v>
      </c>
      <c r="E2824" t="s">
        <v>215</v>
      </c>
      <c r="F2824" s="1">
        <v>1</v>
      </c>
      <c r="G2824" s="1" t="s">
        <v>216</v>
      </c>
      <c r="H2824" s="4" t="str">
        <f>HYPERLINK("https://www.ncbi.nlm.nih.gov/geo/query/acc.cgi?acc=GSM831982","GSM831982")</f>
        <v>GSM831982</v>
      </c>
      <c r="I2824" t="s">
        <v>111</v>
      </c>
      <c r="J2824" t="s">
        <v>18</v>
      </c>
      <c r="K2824" t="s">
        <v>19</v>
      </c>
      <c r="L2824" t="s">
        <v>113</v>
      </c>
      <c r="M2824" t="s">
        <v>217</v>
      </c>
      <c r="N2824" t="s">
        <v>22</v>
      </c>
    </row>
    <row r="2825" spans="1:14">
      <c r="A2825" s="4" t="str">
        <f t="shared" si="276"/>
        <v>EXP00085</v>
      </c>
      <c r="B2825" s="4" t="str">
        <f t="shared" si="277"/>
        <v>22412968</v>
      </c>
      <c r="C2825" s="4" t="str">
        <f t="shared" si="278"/>
        <v>GSE34153</v>
      </c>
      <c r="D2825" s="1" t="s">
        <v>214</v>
      </c>
      <c r="E2825" t="s">
        <v>215</v>
      </c>
      <c r="F2825" s="1">
        <v>1</v>
      </c>
      <c r="G2825" s="1" t="s">
        <v>216</v>
      </c>
      <c r="H2825" s="4" t="str">
        <f>HYPERLINK("https://www.ncbi.nlm.nih.gov/geo/query/acc.cgi?acc=GSM831996","GSM831996")</f>
        <v>GSM831996</v>
      </c>
      <c r="I2825" t="s">
        <v>111</v>
      </c>
      <c r="J2825" t="s">
        <v>18</v>
      </c>
      <c r="K2825" t="s">
        <v>19</v>
      </c>
      <c r="L2825" t="s">
        <v>113</v>
      </c>
      <c r="M2825" t="s">
        <v>217</v>
      </c>
      <c r="N2825" t="s">
        <v>22</v>
      </c>
    </row>
    <row r="2826" spans="1:14">
      <c r="A2826" s="4" t="str">
        <f t="shared" si="276"/>
        <v>EXP00085</v>
      </c>
      <c r="B2826" s="4" t="str">
        <f t="shared" si="277"/>
        <v>22412968</v>
      </c>
      <c r="C2826" s="4" t="str">
        <f t="shared" si="278"/>
        <v>GSE34153</v>
      </c>
      <c r="D2826" s="1" t="s">
        <v>214</v>
      </c>
      <c r="E2826" t="s">
        <v>215</v>
      </c>
      <c r="F2826" s="1">
        <v>1</v>
      </c>
      <c r="G2826" s="1" t="s">
        <v>216</v>
      </c>
      <c r="H2826" s="4" t="str">
        <f>HYPERLINK("https://www.ncbi.nlm.nih.gov/geo/query/acc.cgi?acc=GSM831997","GSM831997")</f>
        <v>GSM831997</v>
      </c>
      <c r="I2826" t="s">
        <v>111</v>
      </c>
      <c r="J2826" t="s">
        <v>18</v>
      </c>
      <c r="K2826" t="s">
        <v>19</v>
      </c>
      <c r="L2826" t="s">
        <v>113</v>
      </c>
      <c r="M2826" t="s">
        <v>217</v>
      </c>
      <c r="N2826" t="s">
        <v>22</v>
      </c>
    </row>
    <row r="2827" spans="1:14">
      <c r="A2827" s="4" t="str">
        <f t="shared" si="276"/>
        <v>EXP00085</v>
      </c>
      <c r="B2827" s="4" t="str">
        <f t="shared" si="277"/>
        <v>22412968</v>
      </c>
      <c r="C2827" s="4" t="str">
        <f t="shared" si="278"/>
        <v>GSE34153</v>
      </c>
      <c r="D2827" s="1" t="s">
        <v>214</v>
      </c>
      <c r="E2827" t="s">
        <v>215</v>
      </c>
      <c r="F2827" s="1">
        <v>2</v>
      </c>
      <c r="G2827" s="1" t="s">
        <v>218</v>
      </c>
      <c r="H2827" s="4" t="str">
        <f>HYPERLINK("https://www.ncbi.nlm.nih.gov/geo/query/acc.cgi?acc=GSM831946","GSM831946")</f>
        <v>GSM831946</v>
      </c>
      <c r="I2827" t="s">
        <v>111</v>
      </c>
      <c r="J2827" t="s">
        <v>18</v>
      </c>
      <c r="K2827" t="s">
        <v>19</v>
      </c>
      <c r="L2827" t="s">
        <v>113</v>
      </c>
      <c r="M2827" t="s">
        <v>44</v>
      </c>
      <c r="N2827" t="s">
        <v>22</v>
      </c>
    </row>
    <row r="2828" spans="1:14">
      <c r="A2828" s="4" t="str">
        <f t="shared" si="276"/>
        <v>EXP00085</v>
      </c>
      <c r="B2828" s="4" t="str">
        <f t="shared" si="277"/>
        <v>22412968</v>
      </c>
      <c r="C2828" s="4" t="str">
        <f t="shared" si="278"/>
        <v>GSE34153</v>
      </c>
      <c r="D2828" s="1" t="s">
        <v>214</v>
      </c>
      <c r="E2828" t="s">
        <v>215</v>
      </c>
      <c r="F2828" s="1">
        <v>2</v>
      </c>
      <c r="G2828" s="1" t="s">
        <v>218</v>
      </c>
      <c r="H2828" s="4" t="str">
        <f>HYPERLINK("https://www.ncbi.nlm.nih.gov/geo/query/acc.cgi?acc=GSM831947","GSM831947")</f>
        <v>GSM831947</v>
      </c>
      <c r="I2828" t="s">
        <v>111</v>
      </c>
      <c r="J2828" t="s">
        <v>18</v>
      </c>
      <c r="K2828" t="s">
        <v>19</v>
      </c>
      <c r="L2828" t="s">
        <v>113</v>
      </c>
      <c r="M2828" t="s">
        <v>44</v>
      </c>
      <c r="N2828" t="s">
        <v>22</v>
      </c>
    </row>
    <row r="2829" spans="1:14">
      <c r="A2829" s="4" t="str">
        <f t="shared" si="276"/>
        <v>EXP00085</v>
      </c>
      <c r="B2829" s="4" t="str">
        <f t="shared" si="277"/>
        <v>22412968</v>
      </c>
      <c r="C2829" s="4" t="str">
        <f t="shared" si="278"/>
        <v>GSE34153</v>
      </c>
      <c r="D2829" s="1" t="s">
        <v>214</v>
      </c>
      <c r="E2829" t="s">
        <v>215</v>
      </c>
      <c r="F2829" s="1">
        <v>2</v>
      </c>
      <c r="G2829" s="1" t="s">
        <v>218</v>
      </c>
      <c r="H2829" s="4" t="str">
        <f>HYPERLINK("https://www.ncbi.nlm.nih.gov/geo/query/acc.cgi?acc=GSM831948","GSM831948")</f>
        <v>GSM831948</v>
      </c>
      <c r="I2829" t="s">
        <v>111</v>
      </c>
      <c r="J2829" t="s">
        <v>18</v>
      </c>
      <c r="K2829" t="s">
        <v>19</v>
      </c>
      <c r="L2829" t="s">
        <v>113</v>
      </c>
      <c r="M2829" t="s">
        <v>44</v>
      </c>
      <c r="N2829" t="s">
        <v>22</v>
      </c>
    </row>
    <row r="2830" spans="1:14">
      <c r="A2830" s="4" t="str">
        <f t="shared" si="276"/>
        <v>EXP00085</v>
      </c>
      <c r="B2830" s="4" t="str">
        <f t="shared" si="277"/>
        <v>22412968</v>
      </c>
      <c r="C2830" s="4" t="str">
        <f t="shared" si="278"/>
        <v>GSE34153</v>
      </c>
      <c r="D2830" s="1" t="s">
        <v>214</v>
      </c>
      <c r="E2830" t="s">
        <v>215</v>
      </c>
      <c r="F2830" s="1">
        <v>2</v>
      </c>
      <c r="G2830" s="1" t="s">
        <v>218</v>
      </c>
      <c r="H2830" s="4" t="str">
        <f>HYPERLINK("https://www.ncbi.nlm.nih.gov/geo/query/acc.cgi?acc=GSM831952","GSM831952")</f>
        <v>GSM831952</v>
      </c>
      <c r="I2830" t="s">
        <v>111</v>
      </c>
      <c r="J2830" t="s">
        <v>18</v>
      </c>
      <c r="K2830" t="s">
        <v>19</v>
      </c>
      <c r="L2830" t="s">
        <v>113</v>
      </c>
      <c r="M2830" t="s">
        <v>44</v>
      </c>
      <c r="N2830" t="s">
        <v>22</v>
      </c>
    </row>
    <row r="2831" spans="1:14">
      <c r="A2831" s="4" t="str">
        <f t="shared" si="276"/>
        <v>EXP00085</v>
      </c>
      <c r="B2831" s="4" t="str">
        <f t="shared" si="277"/>
        <v>22412968</v>
      </c>
      <c r="C2831" s="4" t="str">
        <f t="shared" si="278"/>
        <v>GSE34153</v>
      </c>
      <c r="D2831" s="1" t="s">
        <v>214</v>
      </c>
      <c r="E2831" t="s">
        <v>215</v>
      </c>
      <c r="F2831" s="1">
        <v>2</v>
      </c>
      <c r="G2831" s="1" t="s">
        <v>218</v>
      </c>
      <c r="H2831" s="4" t="str">
        <f>HYPERLINK("https://www.ncbi.nlm.nih.gov/geo/query/acc.cgi?acc=GSM831961","GSM831961")</f>
        <v>GSM831961</v>
      </c>
      <c r="I2831" t="s">
        <v>111</v>
      </c>
      <c r="J2831" t="s">
        <v>18</v>
      </c>
      <c r="K2831" t="s">
        <v>19</v>
      </c>
      <c r="L2831" t="s">
        <v>113</v>
      </c>
      <c r="M2831" t="s">
        <v>44</v>
      </c>
      <c r="N2831" t="s">
        <v>22</v>
      </c>
    </row>
    <row r="2832" spans="1:14">
      <c r="A2832" s="4" t="str">
        <f t="shared" si="276"/>
        <v>EXP00085</v>
      </c>
      <c r="B2832" s="4" t="str">
        <f t="shared" si="277"/>
        <v>22412968</v>
      </c>
      <c r="C2832" s="4" t="str">
        <f t="shared" si="278"/>
        <v>GSE34153</v>
      </c>
      <c r="D2832" s="1" t="s">
        <v>214</v>
      </c>
      <c r="E2832" t="s">
        <v>215</v>
      </c>
      <c r="F2832" s="1">
        <v>2</v>
      </c>
      <c r="G2832" s="1" t="s">
        <v>218</v>
      </c>
      <c r="H2832" s="4" t="str">
        <f>HYPERLINK("https://www.ncbi.nlm.nih.gov/geo/query/acc.cgi?acc=GSM831965","GSM831965")</f>
        <v>GSM831965</v>
      </c>
      <c r="I2832" t="s">
        <v>111</v>
      </c>
      <c r="J2832" t="s">
        <v>18</v>
      </c>
      <c r="K2832" t="s">
        <v>19</v>
      </c>
      <c r="L2832" t="s">
        <v>113</v>
      </c>
      <c r="M2832" t="s">
        <v>44</v>
      </c>
      <c r="N2832" t="s">
        <v>22</v>
      </c>
    </row>
    <row r="2833" spans="1:14">
      <c r="A2833" s="4" t="str">
        <f t="shared" si="276"/>
        <v>EXP00085</v>
      </c>
      <c r="B2833" s="4" t="str">
        <f t="shared" si="277"/>
        <v>22412968</v>
      </c>
      <c r="C2833" s="4" t="str">
        <f t="shared" si="278"/>
        <v>GSE34153</v>
      </c>
      <c r="D2833" s="1" t="s">
        <v>214</v>
      </c>
      <c r="E2833" t="s">
        <v>215</v>
      </c>
      <c r="F2833" s="1">
        <v>2</v>
      </c>
      <c r="G2833" s="1" t="s">
        <v>218</v>
      </c>
      <c r="H2833" s="4" t="str">
        <f>HYPERLINK("https://www.ncbi.nlm.nih.gov/geo/query/acc.cgi?acc=GSM831967","GSM831967")</f>
        <v>GSM831967</v>
      </c>
      <c r="I2833" t="s">
        <v>111</v>
      </c>
      <c r="J2833" t="s">
        <v>18</v>
      </c>
      <c r="K2833" t="s">
        <v>19</v>
      </c>
      <c r="L2833" t="s">
        <v>113</v>
      </c>
      <c r="M2833" t="s">
        <v>44</v>
      </c>
      <c r="N2833" t="s">
        <v>22</v>
      </c>
    </row>
    <row r="2834" spans="1:14">
      <c r="A2834" s="4" t="str">
        <f t="shared" si="276"/>
        <v>EXP00085</v>
      </c>
      <c r="B2834" s="4" t="str">
        <f t="shared" si="277"/>
        <v>22412968</v>
      </c>
      <c r="C2834" s="4" t="str">
        <f t="shared" si="278"/>
        <v>GSE34153</v>
      </c>
      <c r="D2834" s="1" t="s">
        <v>214</v>
      </c>
      <c r="E2834" t="s">
        <v>215</v>
      </c>
      <c r="F2834" s="1">
        <v>2</v>
      </c>
      <c r="G2834" s="1" t="s">
        <v>218</v>
      </c>
      <c r="H2834" s="4" t="str">
        <f>HYPERLINK("https://www.ncbi.nlm.nih.gov/geo/query/acc.cgi?acc=GSM831977","GSM831977")</f>
        <v>GSM831977</v>
      </c>
      <c r="I2834" t="s">
        <v>111</v>
      </c>
      <c r="J2834" t="s">
        <v>18</v>
      </c>
      <c r="K2834" t="s">
        <v>19</v>
      </c>
      <c r="L2834" t="s">
        <v>113</v>
      </c>
      <c r="M2834" t="s">
        <v>44</v>
      </c>
      <c r="N2834" t="s">
        <v>22</v>
      </c>
    </row>
    <row r="2835" spans="1:14">
      <c r="A2835" s="4" t="str">
        <f t="shared" si="276"/>
        <v>EXP00085</v>
      </c>
      <c r="B2835" s="4" t="str">
        <f t="shared" si="277"/>
        <v>22412968</v>
      </c>
      <c r="C2835" s="4" t="str">
        <f t="shared" si="278"/>
        <v>GSE34153</v>
      </c>
      <c r="D2835" s="1" t="s">
        <v>214</v>
      </c>
      <c r="E2835" t="s">
        <v>215</v>
      </c>
      <c r="F2835" s="1">
        <v>2</v>
      </c>
      <c r="G2835" s="1" t="s">
        <v>218</v>
      </c>
      <c r="H2835" s="4" t="str">
        <f>HYPERLINK("https://www.ncbi.nlm.nih.gov/geo/query/acc.cgi?acc=GSM831983","GSM831983")</f>
        <v>GSM831983</v>
      </c>
      <c r="I2835" t="s">
        <v>111</v>
      </c>
      <c r="J2835" t="s">
        <v>18</v>
      </c>
      <c r="K2835" t="s">
        <v>19</v>
      </c>
      <c r="L2835" t="s">
        <v>113</v>
      </c>
      <c r="M2835" t="s">
        <v>44</v>
      </c>
      <c r="N2835" t="s">
        <v>22</v>
      </c>
    </row>
    <row r="2836" spans="1:14">
      <c r="A2836" s="4" t="str">
        <f t="shared" si="276"/>
        <v>EXP00085</v>
      </c>
      <c r="B2836" s="4" t="str">
        <f t="shared" si="277"/>
        <v>22412968</v>
      </c>
      <c r="C2836" s="4" t="str">
        <f t="shared" si="278"/>
        <v>GSE34153</v>
      </c>
      <c r="D2836" s="1" t="s">
        <v>214</v>
      </c>
      <c r="E2836" t="s">
        <v>215</v>
      </c>
      <c r="F2836" s="1">
        <v>2</v>
      </c>
      <c r="G2836" s="1" t="s">
        <v>218</v>
      </c>
      <c r="H2836" s="4" t="str">
        <f>HYPERLINK("https://www.ncbi.nlm.nih.gov/geo/query/acc.cgi?acc=GSM831984","GSM831984")</f>
        <v>GSM831984</v>
      </c>
      <c r="I2836" t="s">
        <v>111</v>
      </c>
      <c r="J2836" t="s">
        <v>18</v>
      </c>
      <c r="K2836" t="s">
        <v>19</v>
      </c>
      <c r="L2836" t="s">
        <v>113</v>
      </c>
      <c r="M2836" t="s">
        <v>44</v>
      </c>
      <c r="N2836" t="s">
        <v>22</v>
      </c>
    </row>
    <row r="2837" spans="1:14">
      <c r="A2837" s="4" t="str">
        <f t="shared" si="276"/>
        <v>EXP00085</v>
      </c>
      <c r="B2837" s="4" t="str">
        <f t="shared" si="277"/>
        <v>22412968</v>
      </c>
      <c r="C2837" s="4" t="str">
        <f t="shared" si="278"/>
        <v>GSE34153</v>
      </c>
      <c r="D2837" s="1" t="s">
        <v>214</v>
      </c>
      <c r="E2837" t="s">
        <v>215</v>
      </c>
      <c r="F2837" s="1">
        <v>2</v>
      </c>
      <c r="G2837" s="1" t="s">
        <v>218</v>
      </c>
      <c r="H2837" s="4" t="str">
        <f>HYPERLINK("https://www.ncbi.nlm.nih.gov/geo/query/acc.cgi?acc=GSM831985","GSM831985")</f>
        <v>GSM831985</v>
      </c>
      <c r="I2837" t="s">
        <v>111</v>
      </c>
      <c r="J2837" t="s">
        <v>18</v>
      </c>
      <c r="K2837" t="s">
        <v>19</v>
      </c>
      <c r="L2837" t="s">
        <v>113</v>
      </c>
      <c r="M2837" t="s">
        <v>44</v>
      </c>
      <c r="N2837" t="s">
        <v>22</v>
      </c>
    </row>
    <row r="2838" spans="1:14">
      <c r="A2838" s="4" t="str">
        <f t="shared" si="276"/>
        <v>EXP00085</v>
      </c>
      <c r="B2838" s="4" t="str">
        <f t="shared" si="277"/>
        <v>22412968</v>
      </c>
      <c r="C2838" s="4" t="str">
        <f t="shared" si="278"/>
        <v>GSE34153</v>
      </c>
      <c r="D2838" s="1" t="s">
        <v>214</v>
      </c>
      <c r="E2838" t="s">
        <v>215</v>
      </c>
      <c r="F2838" s="1">
        <v>2</v>
      </c>
      <c r="G2838" s="1" t="s">
        <v>218</v>
      </c>
      <c r="H2838" s="4" t="str">
        <f>HYPERLINK("https://www.ncbi.nlm.nih.gov/geo/query/acc.cgi?acc=GSM831990","GSM831990")</f>
        <v>GSM831990</v>
      </c>
      <c r="I2838" t="s">
        <v>111</v>
      </c>
      <c r="J2838" t="s">
        <v>18</v>
      </c>
      <c r="K2838" t="s">
        <v>19</v>
      </c>
      <c r="L2838" t="s">
        <v>113</v>
      </c>
      <c r="M2838" t="s">
        <v>44</v>
      </c>
      <c r="N2838" t="s">
        <v>22</v>
      </c>
    </row>
    <row r="2839" spans="1:14">
      <c r="A2839" s="4" t="str">
        <f t="shared" si="276"/>
        <v>EXP00085</v>
      </c>
      <c r="B2839" s="4" t="str">
        <f t="shared" si="277"/>
        <v>22412968</v>
      </c>
      <c r="C2839" s="4" t="str">
        <f t="shared" si="278"/>
        <v>GSE34153</v>
      </c>
      <c r="D2839" s="1" t="s">
        <v>214</v>
      </c>
      <c r="E2839" t="s">
        <v>215</v>
      </c>
      <c r="F2839" s="1">
        <v>2</v>
      </c>
      <c r="G2839" s="1" t="s">
        <v>218</v>
      </c>
      <c r="H2839" s="4" t="str">
        <f>HYPERLINK("https://www.ncbi.nlm.nih.gov/geo/query/acc.cgi?acc=GSM831991","GSM831991")</f>
        <v>GSM831991</v>
      </c>
      <c r="I2839" t="s">
        <v>111</v>
      </c>
      <c r="J2839" t="s">
        <v>18</v>
      </c>
      <c r="K2839" t="s">
        <v>19</v>
      </c>
      <c r="L2839" t="s">
        <v>113</v>
      </c>
      <c r="M2839" t="s">
        <v>44</v>
      </c>
      <c r="N2839" t="s">
        <v>22</v>
      </c>
    </row>
    <row r="2840" spans="1:14">
      <c r="A2840" s="4" t="str">
        <f t="shared" si="276"/>
        <v>EXP00085</v>
      </c>
      <c r="B2840" s="4" t="str">
        <f t="shared" si="277"/>
        <v>22412968</v>
      </c>
      <c r="C2840" s="4" t="str">
        <f t="shared" si="278"/>
        <v>GSE34153</v>
      </c>
      <c r="D2840" s="1" t="s">
        <v>214</v>
      </c>
      <c r="E2840" t="s">
        <v>215</v>
      </c>
      <c r="F2840" s="1">
        <v>2</v>
      </c>
      <c r="G2840" s="1" t="s">
        <v>218</v>
      </c>
      <c r="H2840" s="4" t="str">
        <f>HYPERLINK("https://www.ncbi.nlm.nih.gov/geo/query/acc.cgi?acc=GSM831994","GSM831994")</f>
        <v>GSM831994</v>
      </c>
      <c r="I2840" t="s">
        <v>111</v>
      </c>
      <c r="J2840" t="s">
        <v>18</v>
      </c>
      <c r="K2840" t="s">
        <v>19</v>
      </c>
      <c r="L2840" t="s">
        <v>113</v>
      </c>
      <c r="M2840" t="s">
        <v>44</v>
      </c>
      <c r="N2840" t="s">
        <v>22</v>
      </c>
    </row>
    <row r="2841" spans="1:14">
      <c r="A2841" s="4" t="str">
        <f t="shared" si="276"/>
        <v>EXP00085</v>
      </c>
      <c r="B2841" s="4" t="str">
        <f t="shared" si="277"/>
        <v>22412968</v>
      </c>
      <c r="C2841" s="4" t="str">
        <f t="shared" si="278"/>
        <v>GSE34153</v>
      </c>
      <c r="D2841" s="1" t="s">
        <v>214</v>
      </c>
      <c r="E2841" t="s">
        <v>215</v>
      </c>
      <c r="F2841" s="1">
        <v>2</v>
      </c>
      <c r="G2841" s="1" t="s">
        <v>218</v>
      </c>
      <c r="H2841" s="4" t="str">
        <f>HYPERLINK("https://www.ncbi.nlm.nih.gov/geo/query/acc.cgi?acc=GSM831995","GSM831995")</f>
        <v>GSM831995</v>
      </c>
      <c r="I2841" t="s">
        <v>111</v>
      </c>
      <c r="J2841" t="s">
        <v>18</v>
      </c>
      <c r="K2841" t="s">
        <v>19</v>
      </c>
      <c r="L2841" t="s">
        <v>113</v>
      </c>
      <c r="M2841" t="s">
        <v>44</v>
      </c>
      <c r="N2841" t="s">
        <v>22</v>
      </c>
    </row>
    <row r="2842" spans="1:14">
      <c r="A2842" s="4" t="str">
        <f t="shared" si="276"/>
        <v>EXP00085</v>
      </c>
      <c r="B2842" s="4" t="str">
        <f t="shared" si="277"/>
        <v>22412968</v>
      </c>
      <c r="C2842" s="4" t="str">
        <f t="shared" si="278"/>
        <v>GSE34153</v>
      </c>
      <c r="D2842" s="1" t="s">
        <v>214</v>
      </c>
      <c r="E2842" t="s">
        <v>215</v>
      </c>
      <c r="F2842" s="1">
        <v>2</v>
      </c>
      <c r="G2842" s="1" t="s">
        <v>218</v>
      </c>
      <c r="H2842" s="4" t="str">
        <f>HYPERLINK("https://www.ncbi.nlm.nih.gov/geo/query/acc.cgi?acc=GSM831998","GSM831998")</f>
        <v>GSM831998</v>
      </c>
      <c r="I2842" t="s">
        <v>111</v>
      </c>
      <c r="J2842" t="s">
        <v>18</v>
      </c>
      <c r="K2842" t="s">
        <v>19</v>
      </c>
      <c r="L2842" t="s">
        <v>113</v>
      </c>
      <c r="M2842" t="s">
        <v>44</v>
      </c>
      <c r="N2842" t="s">
        <v>22</v>
      </c>
    </row>
    <row r="2843" spans="1:14">
      <c r="A2843" s="4" t="str">
        <f t="shared" si="276"/>
        <v>EXP00085</v>
      </c>
      <c r="B2843" s="4" t="str">
        <f t="shared" si="277"/>
        <v>22412968</v>
      </c>
      <c r="C2843" s="4" t="str">
        <f t="shared" si="278"/>
        <v>GSE34153</v>
      </c>
      <c r="D2843" s="1" t="s">
        <v>214</v>
      </c>
      <c r="E2843" t="s">
        <v>215</v>
      </c>
      <c r="F2843" s="1">
        <v>2</v>
      </c>
      <c r="G2843" s="1" t="s">
        <v>218</v>
      </c>
      <c r="H2843" s="4" t="str">
        <f>HYPERLINK("https://www.ncbi.nlm.nih.gov/geo/query/acc.cgi?acc=GSM832000","GSM832000")</f>
        <v>GSM832000</v>
      </c>
      <c r="I2843" t="s">
        <v>111</v>
      </c>
      <c r="J2843" t="s">
        <v>18</v>
      </c>
      <c r="K2843" t="s">
        <v>19</v>
      </c>
      <c r="L2843" t="s">
        <v>113</v>
      </c>
      <c r="M2843" t="s">
        <v>44</v>
      </c>
      <c r="N2843" t="s">
        <v>22</v>
      </c>
    </row>
    <row r="2844" spans="1:14">
      <c r="A2844" s="4" t="str">
        <f t="shared" si="276"/>
        <v>EXP00085</v>
      </c>
      <c r="B2844" s="4" t="str">
        <f t="shared" si="277"/>
        <v>22412968</v>
      </c>
      <c r="C2844" s="4" t="str">
        <f t="shared" si="278"/>
        <v>GSE34153</v>
      </c>
      <c r="D2844" s="1" t="s">
        <v>214</v>
      </c>
      <c r="E2844" t="s">
        <v>215</v>
      </c>
      <c r="F2844" s="1">
        <v>2</v>
      </c>
      <c r="G2844" s="1" t="s">
        <v>218</v>
      </c>
      <c r="H2844" s="4" t="str">
        <f>HYPERLINK("https://www.ncbi.nlm.nih.gov/geo/query/acc.cgi?acc=GSM832008","GSM832008")</f>
        <v>GSM832008</v>
      </c>
      <c r="I2844" t="s">
        <v>111</v>
      </c>
      <c r="J2844" t="s">
        <v>18</v>
      </c>
      <c r="K2844" t="s">
        <v>19</v>
      </c>
      <c r="L2844" t="s">
        <v>113</v>
      </c>
      <c r="M2844" t="s">
        <v>44</v>
      </c>
      <c r="N2844" t="s">
        <v>22</v>
      </c>
    </row>
    <row r="2845" spans="1:14">
      <c r="A2845" s="4" t="str">
        <f t="shared" si="276"/>
        <v>EXP00085</v>
      </c>
      <c r="B2845" s="4" t="str">
        <f t="shared" si="277"/>
        <v>22412968</v>
      </c>
      <c r="C2845" s="4" t="str">
        <f t="shared" si="278"/>
        <v>GSE34153</v>
      </c>
      <c r="D2845" s="1" t="s">
        <v>214</v>
      </c>
      <c r="E2845" t="s">
        <v>215</v>
      </c>
      <c r="F2845" s="1">
        <v>2</v>
      </c>
      <c r="G2845" s="1" t="s">
        <v>218</v>
      </c>
      <c r="H2845" s="4" t="str">
        <f>HYPERLINK("https://www.ncbi.nlm.nih.gov/geo/query/acc.cgi?acc=GSM832009","GSM832009")</f>
        <v>GSM832009</v>
      </c>
      <c r="I2845" t="s">
        <v>111</v>
      </c>
      <c r="J2845" t="s">
        <v>18</v>
      </c>
      <c r="K2845" t="s">
        <v>19</v>
      </c>
      <c r="L2845" t="s">
        <v>113</v>
      </c>
      <c r="M2845" t="s">
        <v>44</v>
      </c>
      <c r="N2845" t="s">
        <v>22</v>
      </c>
    </row>
    <row r="2846" spans="1:14">
      <c r="A2846" s="4" t="str">
        <f t="shared" si="276"/>
        <v>EXP00085</v>
      </c>
      <c r="B2846" s="4" t="str">
        <f t="shared" si="277"/>
        <v>22412968</v>
      </c>
      <c r="C2846" s="4" t="str">
        <f t="shared" si="278"/>
        <v>GSE34153</v>
      </c>
      <c r="D2846" s="1" t="s">
        <v>214</v>
      </c>
      <c r="E2846" t="s">
        <v>215</v>
      </c>
      <c r="F2846" s="1">
        <v>2</v>
      </c>
      <c r="G2846" s="1" t="s">
        <v>218</v>
      </c>
      <c r="H2846" s="4" t="str">
        <f>HYPERLINK("https://www.ncbi.nlm.nih.gov/geo/query/acc.cgi?acc=GSM832013","GSM832013")</f>
        <v>GSM832013</v>
      </c>
      <c r="I2846" t="s">
        <v>111</v>
      </c>
      <c r="J2846" t="s">
        <v>18</v>
      </c>
      <c r="K2846" t="s">
        <v>19</v>
      </c>
      <c r="L2846" t="s">
        <v>113</v>
      </c>
      <c r="M2846" t="s">
        <v>44</v>
      </c>
      <c r="N2846" t="s">
        <v>22</v>
      </c>
    </row>
    <row r="2847" spans="1:14">
      <c r="A2847" s="4" t="str">
        <f t="shared" ref="A2847:A2864" si="279">HYPERLINK("http://hcmdb.i-sanger.com/experiment/details/experiment_id/EXP00086","EXP00086")</f>
        <v>EXP00086</v>
      </c>
      <c r="B2847" s="4" t="str">
        <f t="shared" si="277"/>
        <v>22412968</v>
      </c>
      <c r="C2847" s="4" t="str">
        <f t="shared" si="278"/>
        <v>GSE34153</v>
      </c>
      <c r="D2847" s="1" t="s">
        <v>214</v>
      </c>
      <c r="E2847" t="s">
        <v>215</v>
      </c>
      <c r="F2847" s="1">
        <v>1</v>
      </c>
      <c r="G2847" s="1" t="s">
        <v>216</v>
      </c>
      <c r="H2847" s="4" t="str">
        <f>HYPERLINK("https://www.ncbi.nlm.nih.gov/geo/query/acc.cgi?acc=GSM831945","GSM831945")</f>
        <v>GSM831945</v>
      </c>
      <c r="I2847" t="s">
        <v>111</v>
      </c>
      <c r="J2847" t="s">
        <v>18</v>
      </c>
      <c r="K2847" t="s">
        <v>19</v>
      </c>
      <c r="L2847" t="s">
        <v>113</v>
      </c>
      <c r="M2847" t="s">
        <v>217</v>
      </c>
      <c r="N2847" t="s">
        <v>22</v>
      </c>
    </row>
    <row r="2848" spans="1:14">
      <c r="A2848" s="4" t="str">
        <f t="shared" si="279"/>
        <v>EXP00086</v>
      </c>
      <c r="B2848" s="4" t="str">
        <f t="shared" si="277"/>
        <v>22412968</v>
      </c>
      <c r="C2848" s="4" t="str">
        <f t="shared" si="278"/>
        <v>GSE34153</v>
      </c>
      <c r="D2848" s="1" t="s">
        <v>214</v>
      </c>
      <c r="E2848" t="s">
        <v>215</v>
      </c>
      <c r="F2848" s="1">
        <v>1</v>
      </c>
      <c r="G2848" s="1" t="s">
        <v>216</v>
      </c>
      <c r="H2848" s="4" t="str">
        <f>HYPERLINK("https://www.ncbi.nlm.nih.gov/geo/query/acc.cgi?acc=GSM831956","GSM831956")</f>
        <v>GSM831956</v>
      </c>
      <c r="I2848" t="s">
        <v>111</v>
      </c>
      <c r="J2848" t="s">
        <v>18</v>
      </c>
      <c r="K2848" t="s">
        <v>19</v>
      </c>
      <c r="L2848" t="s">
        <v>113</v>
      </c>
      <c r="M2848" t="s">
        <v>217</v>
      </c>
      <c r="N2848" t="s">
        <v>22</v>
      </c>
    </row>
    <row r="2849" spans="1:14">
      <c r="A2849" s="4" t="str">
        <f t="shared" si="279"/>
        <v>EXP00086</v>
      </c>
      <c r="B2849" s="4" t="str">
        <f t="shared" si="277"/>
        <v>22412968</v>
      </c>
      <c r="C2849" s="4" t="str">
        <f t="shared" si="278"/>
        <v>GSE34153</v>
      </c>
      <c r="D2849" s="1" t="s">
        <v>214</v>
      </c>
      <c r="E2849" t="s">
        <v>215</v>
      </c>
      <c r="F2849" s="1">
        <v>1</v>
      </c>
      <c r="G2849" s="1" t="s">
        <v>216</v>
      </c>
      <c r="H2849" s="4" t="str">
        <f>HYPERLINK("https://www.ncbi.nlm.nih.gov/geo/query/acc.cgi?acc=GSM831969","GSM831969")</f>
        <v>GSM831969</v>
      </c>
      <c r="I2849" t="s">
        <v>111</v>
      </c>
      <c r="J2849" t="s">
        <v>18</v>
      </c>
      <c r="K2849" t="s">
        <v>19</v>
      </c>
      <c r="L2849" t="s">
        <v>113</v>
      </c>
      <c r="M2849" t="s">
        <v>217</v>
      </c>
      <c r="N2849" t="s">
        <v>22</v>
      </c>
    </row>
    <row r="2850" spans="1:14">
      <c r="A2850" s="4" t="str">
        <f t="shared" si="279"/>
        <v>EXP00086</v>
      </c>
      <c r="B2850" s="4" t="str">
        <f t="shared" si="277"/>
        <v>22412968</v>
      </c>
      <c r="C2850" s="4" t="str">
        <f t="shared" si="278"/>
        <v>GSE34153</v>
      </c>
      <c r="D2850" s="1" t="s">
        <v>214</v>
      </c>
      <c r="E2850" t="s">
        <v>215</v>
      </c>
      <c r="F2850" s="1">
        <v>1</v>
      </c>
      <c r="G2850" s="1" t="s">
        <v>216</v>
      </c>
      <c r="H2850" s="4" t="str">
        <f>HYPERLINK("https://www.ncbi.nlm.nih.gov/geo/query/acc.cgi?acc=GSM831971","GSM831971")</f>
        <v>GSM831971</v>
      </c>
      <c r="I2850" t="s">
        <v>111</v>
      </c>
      <c r="J2850" t="s">
        <v>18</v>
      </c>
      <c r="K2850" t="s">
        <v>19</v>
      </c>
      <c r="L2850" t="s">
        <v>113</v>
      </c>
      <c r="M2850" t="s">
        <v>217</v>
      </c>
      <c r="N2850" t="s">
        <v>22</v>
      </c>
    </row>
    <row r="2851" spans="1:14">
      <c r="A2851" s="4" t="str">
        <f t="shared" si="279"/>
        <v>EXP00086</v>
      </c>
      <c r="B2851" s="4" t="str">
        <f t="shared" si="277"/>
        <v>22412968</v>
      </c>
      <c r="C2851" s="4" t="str">
        <f t="shared" si="278"/>
        <v>GSE34153</v>
      </c>
      <c r="D2851" s="1" t="s">
        <v>214</v>
      </c>
      <c r="E2851" t="s">
        <v>215</v>
      </c>
      <c r="F2851" s="1">
        <v>1</v>
      </c>
      <c r="G2851" s="1" t="s">
        <v>216</v>
      </c>
      <c r="H2851" s="4" t="str">
        <f>HYPERLINK("https://www.ncbi.nlm.nih.gov/geo/query/acc.cgi?acc=GSM831972","GSM831972")</f>
        <v>GSM831972</v>
      </c>
      <c r="I2851" t="s">
        <v>111</v>
      </c>
      <c r="J2851" t="s">
        <v>18</v>
      </c>
      <c r="K2851" t="s">
        <v>19</v>
      </c>
      <c r="L2851" t="s">
        <v>113</v>
      </c>
      <c r="M2851" t="s">
        <v>217</v>
      </c>
      <c r="N2851" t="s">
        <v>22</v>
      </c>
    </row>
    <row r="2852" spans="1:14">
      <c r="A2852" s="4" t="str">
        <f t="shared" si="279"/>
        <v>EXP00086</v>
      </c>
      <c r="B2852" s="4" t="str">
        <f t="shared" si="277"/>
        <v>22412968</v>
      </c>
      <c r="C2852" s="4" t="str">
        <f t="shared" si="278"/>
        <v>GSE34153</v>
      </c>
      <c r="D2852" s="1" t="s">
        <v>214</v>
      </c>
      <c r="E2852" t="s">
        <v>215</v>
      </c>
      <c r="F2852" s="1">
        <v>1</v>
      </c>
      <c r="G2852" s="1" t="s">
        <v>216</v>
      </c>
      <c r="H2852" s="4" t="str">
        <f>HYPERLINK("https://www.ncbi.nlm.nih.gov/geo/query/acc.cgi?acc=GSM831980","GSM831980")</f>
        <v>GSM831980</v>
      </c>
      <c r="I2852" t="s">
        <v>111</v>
      </c>
      <c r="J2852" t="s">
        <v>18</v>
      </c>
      <c r="K2852" t="s">
        <v>19</v>
      </c>
      <c r="L2852" t="s">
        <v>113</v>
      </c>
      <c r="M2852" t="s">
        <v>217</v>
      </c>
      <c r="N2852" t="s">
        <v>22</v>
      </c>
    </row>
    <row r="2853" spans="1:14">
      <c r="A2853" s="4" t="str">
        <f t="shared" si="279"/>
        <v>EXP00086</v>
      </c>
      <c r="B2853" s="4" t="str">
        <f t="shared" si="277"/>
        <v>22412968</v>
      </c>
      <c r="C2853" s="4" t="str">
        <f t="shared" si="278"/>
        <v>GSE34153</v>
      </c>
      <c r="D2853" s="1" t="s">
        <v>214</v>
      </c>
      <c r="E2853" t="s">
        <v>215</v>
      </c>
      <c r="F2853" s="1">
        <v>1</v>
      </c>
      <c r="G2853" s="1" t="s">
        <v>216</v>
      </c>
      <c r="H2853" s="4" t="str">
        <f>HYPERLINK("https://www.ncbi.nlm.nih.gov/geo/query/acc.cgi?acc=GSM831981","GSM831981")</f>
        <v>GSM831981</v>
      </c>
      <c r="I2853" t="s">
        <v>111</v>
      </c>
      <c r="J2853" t="s">
        <v>18</v>
      </c>
      <c r="K2853" t="s">
        <v>19</v>
      </c>
      <c r="L2853" t="s">
        <v>113</v>
      </c>
      <c r="M2853" t="s">
        <v>217</v>
      </c>
      <c r="N2853" t="s">
        <v>22</v>
      </c>
    </row>
    <row r="2854" spans="1:14">
      <c r="A2854" s="4" t="str">
        <f t="shared" si="279"/>
        <v>EXP00086</v>
      </c>
      <c r="B2854" s="4" t="str">
        <f t="shared" si="277"/>
        <v>22412968</v>
      </c>
      <c r="C2854" s="4" t="str">
        <f t="shared" si="278"/>
        <v>GSE34153</v>
      </c>
      <c r="D2854" s="1" t="s">
        <v>214</v>
      </c>
      <c r="E2854" t="s">
        <v>215</v>
      </c>
      <c r="F2854" s="1">
        <v>1</v>
      </c>
      <c r="G2854" s="1" t="s">
        <v>216</v>
      </c>
      <c r="H2854" s="4" t="str">
        <f>HYPERLINK("https://www.ncbi.nlm.nih.gov/geo/query/acc.cgi?acc=GSM831982","GSM831982")</f>
        <v>GSM831982</v>
      </c>
      <c r="I2854" t="s">
        <v>111</v>
      </c>
      <c r="J2854" t="s">
        <v>18</v>
      </c>
      <c r="K2854" t="s">
        <v>19</v>
      </c>
      <c r="L2854" t="s">
        <v>113</v>
      </c>
      <c r="M2854" t="s">
        <v>217</v>
      </c>
      <c r="N2854" t="s">
        <v>22</v>
      </c>
    </row>
    <row r="2855" spans="1:14">
      <c r="A2855" s="4" t="str">
        <f t="shared" si="279"/>
        <v>EXP00086</v>
      </c>
      <c r="B2855" s="4" t="str">
        <f t="shared" si="277"/>
        <v>22412968</v>
      </c>
      <c r="C2855" s="4" t="str">
        <f t="shared" si="278"/>
        <v>GSE34153</v>
      </c>
      <c r="D2855" s="1" t="s">
        <v>214</v>
      </c>
      <c r="E2855" t="s">
        <v>215</v>
      </c>
      <c r="F2855" s="1">
        <v>1</v>
      </c>
      <c r="G2855" s="1" t="s">
        <v>216</v>
      </c>
      <c r="H2855" s="4" t="str">
        <f>HYPERLINK("https://www.ncbi.nlm.nih.gov/geo/query/acc.cgi?acc=GSM831996","GSM831996")</f>
        <v>GSM831996</v>
      </c>
      <c r="I2855" t="s">
        <v>111</v>
      </c>
      <c r="J2855" t="s">
        <v>18</v>
      </c>
      <c r="K2855" t="s">
        <v>19</v>
      </c>
      <c r="L2855" t="s">
        <v>113</v>
      </c>
      <c r="M2855" t="s">
        <v>217</v>
      </c>
      <c r="N2855" t="s">
        <v>22</v>
      </c>
    </row>
    <row r="2856" spans="1:14">
      <c r="A2856" s="4" t="str">
        <f t="shared" si="279"/>
        <v>EXP00086</v>
      </c>
      <c r="B2856" s="4" t="str">
        <f t="shared" si="277"/>
        <v>22412968</v>
      </c>
      <c r="C2856" s="4" t="str">
        <f t="shared" si="278"/>
        <v>GSE34153</v>
      </c>
      <c r="D2856" s="1" t="s">
        <v>214</v>
      </c>
      <c r="E2856" t="s">
        <v>215</v>
      </c>
      <c r="F2856" s="1">
        <v>1</v>
      </c>
      <c r="G2856" s="1" t="s">
        <v>216</v>
      </c>
      <c r="H2856" s="4" t="str">
        <f>HYPERLINK("https://www.ncbi.nlm.nih.gov/geo/query/acc.cgi?acc=GSM831997","GSM831997")</f>
        <v>GSM831997</v>
      </c>
      <c r="I2856" t="s">
        <v>111</v>
      </c>
      <c r="J2856" t="s">
        <v>18</v>
      </c>
      <c r="K2856" t="s">
        <v>19</v>
      </c>
      <c r="L2856" t="s">
        <v>113</v>
      </c>
      <c r="M2856" t="s">
        <v>217</v>
      </c>
      <c r="N2856" t="s">
        <v>22</v>
      </c>
    </row>
    <row r="2857" spans="1:14">
      <c r="A2857" s="4" t="str">
        <f t="shared" si="279"/>
        <v>EXP00086</v>
      </c>
      <c r="B2857" s="4" t="str">
        <f t="shared" si="277"/>
        <v>22412968</v>
      </c>
      <c r="C2857" s="4" t="str">
        <f t="shared" si="278"/>
        <v>GSE34153</v>
      </c>
      <c r="D2857" s="1" t="s">
        <v>214</v>
      </c>
      <c r="E2857" t="s">
        <v>215</v>
      </c>
      <c r="F2857" s="1">
        <v>2</v>
      </c>
      <c r="G2857" s="1" t="s">
        <v>219</v>
      </c>
      <c r="H2857" s="4" t="str">
        <f>HYPERLINK("https://www.ncbi.nlm.nih.gov/geo/query/acc.cgi?acc=GSM831949","GSM831949")</f>
        <v>GSM831949</v>
      </c>
      <c r="I2857" t="s">
        <v>111</v>
      </c>
      <c r="J2857" t="s">
        <v>18</v>
      </c>
      <c r="K2857" t="s">
        <v>19</v>
      </c>
      <c r="L2857" t="s">
        <v>113</v>
      </c>
      <c r="M2857" t="s">
        <v>41</v>
      </c>
      <c r="N2857" t="s">
        <v>22</v>
      </c>
    </row>
    <row r="2858" spans="1:14">
      <c r="A2858" s="4" t="str">
        <f t="shared" si="279"/>
        <v>EXP00086</v>
      </c>
      <c r="B2858" s="4" t="str">
        <f t="shared" si="277"/>
        <v>22412968</v>
      </c>
      <c r="C2858" s="4" t="str">
        <f t="shared" si="278"/>
        <v>GSE34153</v>
      </c>
      <c r="D2858" s="1" t="s">
        <v>214</v>
      </c>
      <c r="E2858" t="s">
        <v>215</v>
      </c>
      <c r="F2858" s="1">
        <v>2</v>
      </c>
      <c r="G2858" s="1" t="s">
        <v>219</v>
      </c>
      <c r="H2858" s="4" t="str">
        <f>HYPERLINK("https://www.ncbi.nlm.nih.gov/geo/query/acc.cgi?acc=GSM831950","GSM831950")</f>
        <v>GSM831950</v>
      </c>
      <c r="I2858" t="s">
        <v>111</v>
      </c>
      <c r="J2858" t="s">
        <v>18</v>
      </c>
      <c r="K2858" t="s">
        <v>19</v>
      </c>
      <c r="L2858" t="s">
        <v>113</v>
      </c>
      <c r="M2858" t="s">
        <v>41</v>
      </c>
      <c r="N2858" t="s">
        <v>22</v>
      </c>
    </row>
    <row r="2859" spans="1:14">
      <c r="A2859" s="4" t="str">
        <f t="shared" si="279"/>
        <v>EXP00086</v>
      </c>
      <c r="B2859" s="4" t="str">
        <f t="shared" si="277"/>
        <v>22412968</v>
      </c>
      <c r="C2859" s="4" t="str">
        <f t="shared" si="278"/>
        <v>GSE34153</v>
      </c>
      <c r="D2859" s="1" t="s">
        <v>214</v>
      </c>
      <c r="E2859" t="s">
        <v>215</v>
      </c>
      <c r="F2859" s="1">
        <v>2</v>
      </c>
      <c r="G2859" s="1" t="s">
        <v>219</v>
      </c>
      <c r="H2859" s="4" t="str">
        <f>HYPERLINK("https://www.ncbi.nlm.nih.gov/geo/query/acc.cgi?acc=GSM831957","GSM831957")</f>
        <v>GSM831957</v>
      </c>
      <c r="I2859" t="s">
        <v>111</v>
      </c>
      <c r="J2859" t="s">
        <v>18</v>
      </c>
      <c r="K2859" t="s">
        <v>19</v>
      </c>
      <c r="L2859" t="s">
        <v>113</v>
      </c>
      <c r="M2859" t="s">
        <v>41</v>
      </c>
      <c r="N2859" t="s">
        <v>22</v>
      </c>
    </row>
    <row r="2860" spans="1:14">
      <c r="A2860" s="4" t="str">
        <f t="shared" si="279"/>
        <v>EXP00086</v>
      </c>
      <c r="B2860" s="4" t="str">
        <f t="shared" si="277"/>
        <v>22412968</v>
      </c>
      <c r="C2860" s="4" t="str">
        <f t="shared" si="278"/>
        <v>GSE34153</v>
      </c>
      <c r="D2860" s="1" t="s">
        <v>214</v>
      </c>
      <c r="E2860" t="s">
        <v>215</v>
      </c>
      <c r="F2860" s="1">
        <v>2</v>
      </c>
      <c r="G2860" s="1" t="s">
        <v>219</v>
      </c>
      <c r="H2860" s="4" t="str">
        <f>HYPERLINK("https://www.ncbi.nlm.nih.gov/geo/query/acc.cgi?acc=GSM831974","GSM831974")</f>
        <v>GSM831974</v>
      </c>
      <c r="I2860" t="s">
        <v>111</v>
      </c>
      <c r="J2860" t="s">
        <v>18</v>
      </c>
      <c r="K2860" t="s">
        <v>19</v>
      </c>
      <c r="L2860" t="s">
        <v>113</v>
      </c>
      <c r="M2860" t="s">
        <v>41</v>
      </c>
      <c r="N2860" t="s">
        <v>22</v>
      </c>
    </row>
    <row r="2861" spans="1:14">
      <c r="A2861" s="4" t="str">
        <f t="shared" si="279"/>
        <v>EXP00086</v>
      </c>
      <c r="B2861" s="4" t="str">
        <f t="shared" si="277"/>
        <v>22412968</v>
      </c>
      <c r="C2861" s="4" t="str">
        <f t="shared" si="278"/>
        <v>GSE34153</v>
      </c>
      <c r="D2861" s="1" t="s">
        <v>214</v>
      </c>
      <c r="E2861" t="s">
        <v>215</v>
      </c>
      <c r="F2861" s="1">
        <v>2</v>
      </c>
      <c r="G2861" s="1" t="s">
        <v>219</v>
      </c>
      <c r="H2861" s="4" t="str">
        <f>HYPERLINK("https://www.ncbi.nlm.nih.gov/geo/query/acc.cgi?acc=GSM832004","GSM832004")</f>
        <v>GSM832004</v>
      </c>
      <c r="I2861" t="s">
        <v>111</v>
      </c>
      <c r="J2861" t="s">
        <v>18</v>
      </c>
      <c r="K2861" t="s">
        <v>19</v>
      </c>
      <c r="L2861" t="s">
        <v>113</v>
      </c>
      <c r="M2861" t="s">
        <v>41</v>
      </c>
      <c r="N2861" t="s">
        <v>22</v>
      </c>
    </row>
    <row r="2862" spans="1:14">
      <c r="A2862" s="4" t="str">
        <f t="shared" si="279"/>
        <v>EXP00086</v>
      </c>
      <c r="B2862" s="4" t="str">
        <f t="shared" si="277"/>
        <v>22412968</v>
      </c>
      <c r="C2862" s="4" t="str">
        <f t="shared" si="278"/>
        <v>GSE34153</v>
      </c>
      <c r="D2862" s="1" t="s">
        <v>214</v>
      </c>
      <c r="E2862" t="s">
        <v>215</v>
      </c>
      <c r="F2862" s="1">
        <v>2</v>
      </c>
      <c r="G2862" s="1" t="s">
        <v>219</v>
      </c>
      <c r="H2862" s="4" t="str">
        <f>HYPERLINK("https://www.ncbi.nlm.nih.gov/geo/query/acc.cgi?acc=GSM832005","GSM832005")</f>
        <v>GSM832005</v>
      </c>
      <c r="I2862" t="s">
        <v>111</v>
      </c>
      <c r="J2862" t="s">
        <v>18</v>
      </c>
      <c r="K2862" t="s">
        <v>19</v>
      </c>
      <c r="L2862" t="s">
        <v>113</v>
      </c>
      <c r="M2862" t="s">
        <v>41</v>
      </c>
      <c r="N2862" t="s">
        <v>22</v>
      </c>
    </row>
    <row r="2863" spans="1:14">
      <c r="A2863" s="4" t="str">
        <f t="shared" si="279"/>
        <v>EXP00086</v>
      </c>
      <c r="B2863" s="4" t="str">
        <f t="shared" si="277"/>
        <v>22412968</v>
      </c>
      <c r="C2863" s="4" t="str">
        <f t="shared" si="278"/>
        <v>GSE34153</v>
      </c>
      <c r="D2863" s="1" t="s">
        <v>214</v>
      </c>
      <c r="E2863" t="s">
        <v>215</v>
      </c>
      <c r="F2863" s="1">
        <v>2</v>
      </c>
      <c r="G2863" s="1" t="s">
        <v>219</v>
      </c>
      <c r="H2863" s="4" t="str">
        <f>HYPERLINK("https://www.ncbi.nlm.nih.gov/geo/query/acc.cgi?acc=GSM832015","GSM832015")</f>
        <v>GSM832015</v>
      </c>
      <c r="I2863" t="s">
        <v>111</v>
      </c>
      <c r="J2863" t="s">
        <v>18</v>
      </c>
      <c r="K2863" t="s">
        <v>19</v>
      </c>
      <c r="L2863" t="s">
        <v>113</v>
      </c>
      <c r="M2863" t="s">
        <v>41</v>
      </c>
      <c r="N2863" t="s">
        <v>22</v>
      </c>
    </row>
    <row r="2864" spans="1:14">
      <c r="A2864" s="4" t="str">
        <f t="shared" si="279"/>
        <v>EXP00086</v>
      </c>
      <c r="B2864" s="4" t="str">
        <f t="shared" si="277"/>
        <v>22412968</v>
      </c>
      <c r="C2864" s="4" t="str">
        <f t="shared" si="278"/>
        <v>GSE34153</v>
      </c>
      <c r="D2864" s="1" t="s">
        <v>214</v>
      </c>
      <c r="E2864" t="s">
        <v>215</v>
      </c>
      <c r="F2864" s="1">
        <v>2</v>
      </c>
      <c r="G2864" s="1" t="s">
        <v>219</v>
      </c>
      <c r="H2864" s="4" t="str">
        <f>HYPERLINK("https://www.ncbi.nlm.nih.gov/geo/query/acc.cgi?acc=GSM832016","GSM832016")</f>
        <v>GSM832016</v>
      </c>
      <c r="I2864" t="s">
        <v>111</v>
      </c>
      <c r="J2864" t="s">
        <v>18</v>
      </c>
      <c r="K2864" t="s">
        <v>19</v>
      </c>
      <c r="L2864" t="s">
        <v>113</v>
      </c>
      <c r="M2864" t="s">
        <v>41</v>
      </c>
      <c r="N2864" t="s">
        <v>22</v>
      </c>
    </row>
    <row r="2865" spans="1:14">
      <c r="A2865" s="4" t="str">
        <f t="shared" ref="A2865:A2886" si="280">HYPERLINK("http://hcmdb.i-sanger.com/experiment/details/experiment_id/EXP00087","EXP00087")</f>
        <v>EXP00087</v>
      </c>
      <c r="B2865" s="4" t="str">
        <f t="shared" si="277"/>
        <v>22412968</v>
      </c>
      <c r="C2865" s="4" t="str">
        <f t="shared" si="278"/>
        <v>GSE34153</v>
      </c>
      <c r="D2865" s="1" t="s">
        <v>214</v>
      </c>
      <c r="E2865" t="s">
        <v>215</v>
      </c>
      <c r="F2865" s="1">
        <v>1</v>
      </c>
      <c r="G2865" s="1" t="s">
        <v>216</v>
      </c>
      <c r="H2865" s="4" t="str">
        <f>HYPERLINK("https://www.ncbi.nlm.nih.gov/geo/query/acc.cgi?acc=GSM831945","GSM831945")</f>
        <v>GSM831945</v>
      </c>
      <c r="I2865" t="s">
        <v>111</v>
      </c>
      <c r="J2865" t="s">
        <v>18</v>
      </c>
      <c r="K2865" t="s">
        <v>19</v>
      </c>
      <c r="L2865" t="s">
        <v>113</v>
      </c>
      <c r="M2865" t="s">
        <v>217</v>
      </c>
      <c r="N2865" t="s">
        <v>22</v>
      </c>
    </row>
    <row r="2866" spans="1:14">
      <c r="A2866" s="4" t="str">
        <f t="shared" si="280"/>
        <v>EXP00087</v>
      </c>
      <c r="B2866" s="4" t="str">
        <f t="shared" si="277"/>
        <v>22412968</v>
      </c>
      <c r="C2866" s="4" t="str">
        <f t="shared" si="278"/>
        <v>GSE34153</v>
      </c>
      <c r="D2866" s="1" t="s">
        <v>214</v>
      </c>
      <c r="E2866" t="s">
        <v>215</v>
      </c>
      <c r="F2866" s="1">
        <v>1</v>
      </c>
      <c r="G2866" s="1" t="s">
        <v>216</v>
      </c>
      <c r="H2866" s="4" t="str">
        <f>HYPERLINK("https://www.ncbi.nlm.nih.gov/geo/query/acc.cgi?acc=GSM831956","GSM831956")</f>
        <v>GSM831956</v>
      </c>
      <c r="I2866" t="s">
        <v>111</v>
      </c>
      <c r="J2866" t="s">
        <v>18</v>
      </c>
      <c r="K2866" t="s">
        <v>19</v>
      </c>
      <c r="L2866" t="s">
        <v>113</v>
      </c>
      <c r="M2866" t="s">
        <v>217</v>
      </c>
      <c r="N2866" t="s">
        <v>22</v>
      </c>
    </row>
    <row r="2867" spans="1:14">
      <c r="A2867" s="4" t="str">
        <f t="shared" si="280"/>
        <v>EXP00087</v>
      </c>
      <c r="B2867" s="4" t="str">
        <f t="shared" si="277"/>
        <v>22412968</v>
      </c>
      <c r="C2867" s="4" t="str">
        <f t="shared" si="278"/>
        <v>GSE34153</v>
      </c>
      <c r="D2867" s="1" t="s">
        <v>214</v>
      </c>
      <c r="E2867" t="s">
        <v>215</v>
      </c>
      <c r="F2867" s="1">
        <v>1</v>
      </c>
      <c r="G2867" s="1" t="s">
        <v>216</v>
      </c>
      <c r="H2867" s="4" t="str">
        <f>HYPERLINK("https://www.ncbi.nlm.nih.gov/geo/query/acc.cgi?acc=GSM831969","GSM831969")</f>
        <v>GSM831969</v>
      </c>
      <c r="I2867" t="s">
        <v>111</v>
      </c>
      <c r="J2867" t="s">
        <v>18</v>
      </c>
      <c r="K2867" t="s">
        <v>19</v>
      </c>
      <c r="L2867" t="s">
        <v>113</v>
      </c>
      <c r="M2867" t="s">
        <v>217</v>
      </c>
      <c r="N2867" t="s">
        <v>22</v>
      </c>
    </row>
    <row r="2868" spans="1:14">
      <c r="A2868" s="4" t="str">
        <f t="shared" si="280"/>
        <v>EXP00087</v>
      </c>
      <c r="B2868" s="4" t="str">
        <f t="shared" si="277"/>
        <v>22412968</v>
      </c>
      <c r="C2868" s="4" t="str">
        <f t="shared" si="278"/>
        <v>GSE34153</v>
      </c>
      <c r="D2868" s="1" t="s">
        <v>214</v>
      </c>
      <c r="E2868" t="s">
        <v>215</v>
      </c>
      <c r="F2868" s="1">
        <v>1</v>
      </c>
      <c r="G2868" s="1" t="s">
        <v>216</v>
      </c>
      <c r="H2868" s="4" t="str">
        <f>HYPERLINK("https://www.ncbi.nlm.nih.gov/geo/query/acc.cgi?acc=GSM831971","GSM831971")</f>
        <v>GSM831971</v>
      </c>
      <c r="I2868" t="s">
        <v>111</v>
      </c>
      <c r="J2868" t="s">
        <v>18</v>
      </c>
      <c r="K2868" t="s">
        <v>19</v>
      </c>
      <c r="L2868" t="s">
        <v>113</v>
      </c>
      <c r="M2868" t="s">
        <v>217</v>
      </c>
      <c r="N2868" t="s">
        <v>22</v>
      </c>
    </row>
    <row r="2869" spans="1:14">
      <c r="A2869" s="4" t="str">
        <f t="shared" si="280"/>
        <v>EXP00087</v>
      </c>
      <c r="B2869" s="4" t="str">
        <f t="shared" si="277"/>
        <v>22412968</v>
      </c>
      <c r="C2869" s="4" t="str">
        <f t="shared" si="278"/>
        <v>GSE34153</v>
      </c>
      <c r="D2869" s="1" t="s">
        <v>214</v>
      </c>
      <c r="E2869" t="s">
        <v>215</v>
      </c>
      <c r="F2869" s="1">
        <v>1</v>
      </c>
      <c r="G2869" s="1" t="s">
        <v>216</v>
      </c>
      <c r="H2869" s="4" t="str">
        <f>HYPERLINK("https://www.ncbi.nlm.nih.gov/geo/query/acc.cgi?acc=GSM831972","GSM831972")</f>
        <v>GSM831972</v>
      </c>
      <c r="I2869" t="s">
        <v>111</v>
      </c>
      <c r="J2869" t="s">
        <v>18</v>
      </c>
      <c r="K2869" t="s">
        <v>19</v>
      </c>
      <c r="L2869" t="s">
        <v>113</v>
      </c>
      <c r="M2869" t="s">
        <v>217</v>
      </c>
      <c r="N2869" t="s">
        <v>22</v>
      </c>
    </row>
    <row r="2870" spans="1:14">
      <c r="A2870" s="4" t="str">
        <f t="shared" si="280"/>
        <v>EXP00087</v>
      </c>
      <c r="B2870" s="4" t="str">
        <f t="shared" si="277"/>
        <v>22412968</v>
      </c>
      <c r="C2870" s="4" t="str">
        <f t="shared" si="278"/>
        <v>GSE34153</v>
      </c>
      <c r="D2870" s="1" t="s">
        <v>214</v>
      </c>
      <c r="E2870" t="s">
        <v>215</v>
      </c>
      <c r="F2870" s="1">
        <v>1</v>
      </c>
      <c r="G2870" s="1" t="s">
        <v>216</v>
      </c>
      <c r="H2870" s="4" t="str">
        <f>HYPERLINK("https://www.ncbi.nlm.nih.gov/geo/query/acc.cgi?acc=GSM831980","GSM831980")</f>
        <v>GSM831980</v>
      </c>
      <c r="I2870" t="s">
        <v>111</v>
      </c>
      <c r="J2870" t="s">
        <v>18</v>
      </c>
      <c r="K2870" t="s">
        <v>19</v>
      </c>
      <c r="L2870" t="s">
        <v>113</v>
      </c>
      <c r="M2870" t="s">
        <v>217</v>
      </c>
      <c r="N2870" t="s">
        <v>22</v>
      </c>
    </row>
    <row r="2871" spans="1:14">
      <c r="A2871" s="4" t="str">
        <f t="shared" si="280"/>
        <v>EXP00087</v>
      </c>
      <c r="B2871" s="4" t="str">
        <f t="shared" si="277"/>
        <v>22412968</v>
      </c>
      <c r="C2871" s="4" t="str">
        <f t="shared" si="278"/>
        <v>GSE34153</v>
      </c>
      <c r="D2871" s="1" t="s">
        <v>214</v>
      </c>
      <c r="E2871" t="s">
        <v>215</v>
      </c>
      <c r="F2871" s="1">
        <v>1</v>
      </c>
      <c r="G2871" s="1" t="s">
        <v>216</v>
      </c>
      <c r="H2871" s="4" t="str">
        <f>HYPERLINK("https://www.ncbi.nlm.nih.gov/geo/query/acc.cgi?acc=GSM831981","GSM831981")</f>
        <v>GSM831981</v>
      </c>
      <c r="I2871" t="s">
        <v>111</v>
      </c>
      <c r="J2871" t="s">
        <v>18</v>
      </c>
      <c r="K2871" t="s">
        <v>19</v>
      </c>
      <c r="L2871" t="s">
        <v>113</v>
      </c>
      <c r="M2871" t="s">
        <v>217</v>
      </c>
      <c r="N2871" t="s">
        <v>22</v>
      </c>
    </row>
    <row r="2872" spans="1:14">
      <c r="A2872" s="4" t="str">
        <f t="shared" si="280"/>
        <v>EXP00087</v>
      </c>
      <c r="B2872" s="4" t="str">
        <f t="shared" si="277"/>
        <v>22412968</v>
      </c>
      <c r="C2872" s="4" t="str">
        <f t="shared" si="278"/>
        <v>GSE34153</v>
      </c>
      <c r="D2872" s="1" t="s">
        <v>214</v>
      </c>
      <c r="E2872" t="s">
        <v>215</v>
      </c>
      <c r="F2872" s="1">
        <v>1</v>
      </c>
      <c r="G2872" s="1" t="s">
        <v>216</v>
      </c>
      <c r="H2872" s="4" t="str">
        <f>HYPERLINK("https://www.ncbi.nlm.nih.gov/geo/query/acc.cgi?acc=GSM831982","GSM831982")</f>
        <v>GSM831982</v>
      </c>
      <c r="I2872" t="s">
        <v>111</v>
      </c>
      <c r="J2872" t="s">
        <v>18</v>
      </c>
      <c r="K2872" t="s">
        <v>19</v>
      </c>
      <c r="L2872" t="s">
        <v>113</v>
      </c>
      <c r="M2872" t="s">
        <v>217</v>
      </c>
      <c r="N2872" t="s">
        <v>22</v>
      </c>
    </row>
    <row r="2873" spans="1:14">
      <c r="A2873" s="4" t="str">
        <f t="shared" si="280"/>
        <v>EXP00087</v>
      </c>
      <c r="B2873" s="4" t="str">
        <f t="shared" si="277"/>
        <v>22412968</v>
      </c>
      <c r="C2873" s="4" t="str">
        <f t="shared" si="278"/>
        <v>GSE34153</v>
      </c>
      <c r="D2873" s="1" t="s">
        <v>214</v>
      </c>
      <c r="E2873" t="s">
        <v>215</v>
      </c>
      <c r="F2873" s="1">
        <v>1</v>
      </c>
      <c r="G2873" s="1" t="s">
        <v>216</v>
      </c>
      <c r="H2873" s="4" t="str">
        <f>HYPERLINK("https://www.ncbi.nlm.nih.gov/geo/query/acc.cgi?acc=GSM831996","GSM831996")</f>
        <v>GSM831996</v>
      </c>
      <c r="I2873" t="s">
        <v>111</v>
      </c>
      <c r="J2873" t="s">
        <v>18</v>
      </c>
      <c r="K2873" t="s">
        <v>19</v>
      </c>
      <c r="L2873" t="s">
        <v>113</v>
      </c>
      <c r="M2873" t="s">
        <v>217</v>
      </c>
      <c r="N2873" t="s">
        <v>22</v>
      </c>
    </row>
    <row r="2874" spans="1:14">
      <c r="A2874" s="4" t="str">
        <f t="shared" si="280"/>
        <v>EXP00087</v>
      </c>
      <c r="B2874" s="4" t="str">
        <f t="shared" si="277"/>
        <v>22412968</v>
      </c>
      <c r="C2874" s="4" t="str">
        <f t="shared" si="278"/>
        <v>GSE34153</v>
      </c>
      <c r="D2874" s="1" t="s">
        <v>214</v>
      </c>
      <c r="E2874" t="s">
        <v>215</v>
      </c>
      <c r="F2874" s="1">
        <v>1</v>
      </c>
      <c r="G2874" s="1" t="s">
        <v>216</v>
      </c>
      <c r="H2874" s="4" t="str">
        <f>HYPERLINK("https://www.ncbi.nlm.nih.gov/geo/query/acc.cgi?acc=GSM831997","GSM831997")</f>
        <v>GSM831997</v>
      </c>
      <c r="I2874" t="s">
        <v>111</v>
      </c>
      <c r="J2874" t="s">
        <v>18</v>
      </c>
      <c r="K2874" t="s">
        <v>19</v>
      </c>
      <c r="L2874" t="s">
        <v>113</v>
      </c>
      <c r="M2874" t="s">
        <v>217</v>
      </c>
      <c r="N2874" t="s">
        <v>22</v>
      </c>
    </row>
    <row r="2875" spans="1:14">
      <c r="A2875" s="4" t="str">
        <f t="shared" si="280"/>
        <v>EXP00087</v>
      </c>
      <c r="B2875" s="4" t="str">
        <f t="shared" si="277"/>
        <v>22412968</v>
      </c>
      <c r="C2875" s="4" t="str">
        <f t="shared" si="278"/>
        <v>GSE34153</v>
      </c>
      <c r="D2875" s="1" t="s">
        <v>214</v>
      </c>
      <c r="E2875" t="s">
        <v>215</v>
      </c>
      <c r="F2875" s="1">
        <v>2</v>
      </c>
      <c r="G2875" s="1" t="s">
        <v>220</v>
      </c>
      <c r="H2875" s="4" t="str">
        <f>HYPERLINK("https://www.ncbi.nlm.nih.gov/geo/query/acc.cgi?acc=GSM831943","GSM831943")</f>
        <v>GSM831943</v>
      </c>
      <c r="I2875" t="s">
        <v>111</v>
      </c>
      <c r="J2875" t="s">
        <v>18</v>
      </c>
      <c r="K2875" t="s">
        <v>19</v>
      </c>
      <c r="L2875" t="s">
        <v>113</v>
      </c>
      <c r="M2875" t="s">
        <v>24</v>
      </c>
      <c r="N2875" t="s">
        <v>22</v>
      </c>
    </row>
    <row r="2876" spans="1:14">
      <c r="A2876" s="4" t="str">
        <f t="shared" si="280"/>
        <v>EXP00087</v>
      </c>
      <c r="B2876" s="4" t="str">
        <f t="shared" si="277"/>
        <v>22412968</v>
      </c>
      <c r="C2876" s="4" t="str">
        <f t="shared" si="278"/>
        <v>GSE34153</v>
      </c>
      <c r="D2876" s="1" t="s">
        <v>214</v>
      </c>
      <c r="E2876" t="s">
        <v>215</v>
      </c>
      <c r="F2876" s="1">
        <v>2</v>
      </c>
      <c r="G2876" s="1" t="s">
        <v>220</v>
      </c>
      <c r="H2876" s="4" t="str">
        <f>HYPERLINK("https://www.ncbi.nlm.nih.gov/geo/query/acc.cgi?acc=GSM831962","GSM831962")</f>
        <v>GSM831962</v>
      </c>
      <c r="I2876" t="s">
        <v>111</v>
      </c>
      <c r="J2876" t="s">
        <v>18</v>
      </c>
      <c r="K2876" t="s">
        <v>19</v>
      </c>
      <c r="L2876" t="s">
        <v>113</v>
      </c>
      <c r="M2876" t="s">
        <v>24</v>
      </c>
      <c r="N2876" t="s">
        <v>22</v>
      </c>
    </row>
    <row r="2877" spans="1:14">
      <c r="A2877" s="4" t="str">
        <f t="shared" si="280"/>
        <v>EXP00087</v>
      </c>
      <c r="B2877" s="4" t="str">
        <f t="shared" si="277"/>
        <v>22412968</v>
      </c>
      <c r="C2877" s="4" t="str">
        <f t="shared" si="278"/>
        <v>GSE34153</v>
      </c>
      <c r="D2877" s="1" t="s">
        <v>214</v>
      </c>
      <c r="E2877" t="s">
        <v>215</v>
      </c>
      <c r="F2877" s="1">
        <v>2</v>
      </c>
      <c r="G2877" s="1" t="s">
        <v>220</v>
      </c>
      <c r="H2877" s="4" t="str">
        <f>HYPERLINK("https://www.ncbi.nlm.nih.gov/geo/query/acc.cgi?acc=GSM831963","GSM831963")</f>
        <v>GSM831963</v>
      </c>
      <c r="I2877" t="s">
        <v>111</v>
      </c>
      <c r="J2877" t="s">
        <v>18</v>
      </c>
      <c r="K2877" t="s">
        <v>19</v>
      </c>
      <c r="L2877" t="s">
        <v>113</v>
      </c>
      <c r="M2877" t="s">
        <v>24</v>
      </c>
      <c r="N2877" t="s">
        <v>22</v>
      </c>
    </row>
    <row r="2878" spans="1:14">
      <c r="A2878" s="4" t="str">
        <f t="shared" si="280"/>
        <v>EXP00087</v>
      </c>
      <c r="B2878" s="4" t="str">
        <f t="shared" si="277"/>
        <v>22412968</v>
      </c>
      <c r="C2878" s="4" t="str">
        <f t="shared" si="278"/>
        <v>GSE34153</v>
      </c>
      <c r="D2878" s="1" t="s">
        <v>214</v>
      </c>
      <c r="E2878" t="s">
        <v>215</v>
      </c>
      <c r="F2878" s="1">
        <v>2</v>
      </c>
      <c r="G2878" s="1" t="s">
        <v>220</v>
      </c>
      <c r="H2878" s="4" t="str">
        <f>HYPERLINK("https://www.ncbi.nlm.nih.gov/geo/query/acc.cgi?acc=GSM831968","GSM831968")</f>
        <v>GSM831968</v>
      </c>
      <c r="I2878" t="s">
        <v>111</v>
      </c>
      <c r="J2878" t="s">
        <v>18</v>
      </c>
      <c r="K2878" t="s">
        <v>19</v>
      </c>
      <c r="L2878" t="s">
        <v>113</v>
      </c>
      <c r="M2878" t="s">
        <v>24</v>
      </c>
      <c r="N2878" t="s">
        <v>22</v>
      </c>
    </row>
    <row r="2879" spans="1:14">
      <c r="A2879" s="4" t="str">
        <f t="shared" si="280"/>
        <v>EXP00087</v>
      </c>
      <c r="B2879" s="4" t="str">
        <f t="shared" si="277"/>
        <v>22412968</v>
      </c>
      <c r="C2879" s="4" t="str">
        <f t="shared" si="278"/>
        <v>GSE34153</v>
      </c>
      <c r="D2879" s="1" t="s">
        <v>214</v>
      </c>
      <c r="E2879" t="s">
        <v>215</v>
      </c>
      <c r="F2879" s="1">
        <v>2</v>
      </c>
      <c r="G2879" s="1" t="s">
        <v>220</v>
      </c>
      <c r="H2879" s="4" t="str">
        <f>HYPERLINK("https://www.ncbi.nlm.nih.gov/geo/query/acc.cgi?acc=GSM831975","GSM831975")</f>
        <v>GSM831975</v>
      </c>
      <c r="I2879" t="s">
        <v>111</v>
      </c>
      <c r="J2879" t="s">
        <v>18</v>
      </c>
      <c r="K2879" t="s">
        <v>19</v>
      </c>
      <c r="L2879" t="s">
        <v>113</v>
      </c>
      <c r="M2879" t="s">
        <v>24</v>
      </c>
      <c r="N2879" t="s">
        <v>22</v>
      </c>
    </row>
    <row r="2880" spans="1:14">
      <c r="A2880" s="4" t="str">
        <f t="shared" si="280"/>
        <v>EXP00087</v>
      </c>
      <c r="B2880" s="4" t="str">
        <f t="shared" si="277"/>
        <v>22412968</v>
      </c>
      <c r="C2880" s="4" t="str">
        <f t="shared" si="278"/>
        <v>GSE34153</v>
      </c>
      <c r="D2880" s="1" t="s">
        <v>214</v>
      </c>
      <c r="E2880" t="s">
        <v>215</v>
      </c>
      <c r="F2880" s="1">
        <v>2</v>
      </c>
      <c r="G2880" s="1" t="s">
        <v>220</v>
      </c>
      <c r="H2880" s="4" t="str">
        <f>HYPERLINK("https://www.ncbi.nlm.nih.gov/geo/query/acc.cgi?acc=GSM831976","GSM831976")</f>
        <v>GSM831976</v>
      </c>
      <c r="I2880" t="s">
        <v>111</v>
      </c>
      <c r="J2880" t="s">
        <v>18</v>
      </c>
      <c r="K2880" t="s">
        <v>19</v>
      </c>
      <c r="L2880" t="s">
        <v>113</v>
      </c>
      <c r="M2880" t="s">
        <v>24</v>
      </c>
      <c r="N2880" t="s">
        <v>22</v>
      </c>
    </row>
    <row r="2881" spans="1:14">
      <c r="A2881" s="4" t="str">
        <f t="shared" si="280"/>
        <v>EXP00087</v>
      </c>
      <c r="B2881" s="4" t="str">
        <f t="shared" ref="B2881:B2944" si="281">HYPERLINK("https://www.ncbi.nlm.nih.gov/pubmed/22412968","22412968")</f>
        <v>22412968</v>
      </c>
      <c r="C2881" s="4" t="str">
        <f t="shared" ref="C2881:C2944" si="282">HYPERLINK("https://www.ncbi.nlm.nih.gov/geo/query/acc.cgi?acc=GSE34153","GSE34153")</f>
        <v>GSE34153</v>
      </c>
      <c r="D2881" s="1" t="s">
        <v>214</v>
      </c>
      <c r="E2881" t="s">
        <v>215</v>
      </c>
      <c r="F2881" s="1">
        <v>2</v>
      </c>
      <c r="G2881" s="1" t="s">
        <v>220</v>
      </c>
      <c r="H2881" s="4" t="str">
        <f>HYPERLINK("https://www.ncbi.nlm.nih.gov/geo/query/acc.cgi?acc=GSM831978","GSM831978")</f>
        <v>GSM831978</v>
      </c>
      <c r="I2881" t="s">
        <v>111</v>
      </c>
      <c r="J2881" t="s">
        <v>18</v>
      </c>
      <c r="K2881" t="s">
        <v>19</v>
      </c>
      <c r="L2881" t="s">
        <v>113</v>
      </c>
      <c r="M2881" t="s">
        <v>24</v>
      </c>
      <c r="N2881" t="s">
        <v>22</v>
      </c>
    </row>
    <row r="2882" spans="1:14">
      <c r="A2882" s="4" t="str">
        <f t="shared" si="280"/>
        <v>EXP00087</v>
      </c>
      <c r="B2882" s="4" t="str">
        <f t="shared" si="281"/>
        <v>22412968</v>
      </c>
      <c r="C2882" s="4" t="str">
        <f t="shared" si="282"/>
        <v>GSE34153</v>
      </c>
      <c r="D2882" s="1" t="s">
        <v>214</v>
      </c>
      <c r="E2882" t="s">
        <v>215</v>
      </c>
      <c r="F2882" s="1">
        <v>2</v>
      </c>
      <c r="G2882" s="1" t="s">
        <v>220</v>
      </c>
      <c r="H2882" s="4" t="str">
        <f>HYPERLINK("https://www.ncbi.nlm.nih.gov/geo/query/acc.cgi?acc=GSM831979","GSM831979")</f>
        <v>GSM831979</v>
      </c>
      <c r="I2882" t="s">
        <v>111</v>
      </c>
      <c r="J2882" t="s">
        <v>18</v>
      </c>
      <c r="K2882" t="s">
        <v>19</v>
      </c>
      <c r="L2882" t="s">
        <v>113</v>
      </c>
      <c r="M2882" t="s">
        <v>24</v>
      </c>
      <c r="N2882" t="s">
        <v>22</v>
      </c>
    </row>
    <row r="2883" spans="1:14">
      <c r="A2883" s="4" t="str">
        <f t="shared" si="280"/>
        <v>EXP00087</v>
      </c>
      <c r="B2883" s="4" t="str">
        <f t="shared" si="281"/>
        <v>22412968</v>
      </c>
      <c r="C2883" s="4" t="str">
        <f t="shared" si="282"/>
        <v>GSE34153</v>
      </c>
      <c r="D2883" s="1" t="s">
        <v>214</v>
      </c>
      <c r="E2883" t="s">
        <v>215</v>
      </c>
      <c r="F2883" s="1">
        <v>2</v>
      </c>
      <c r="G2883" s="1" t="s">
        <v>220</v>
      </c>
      <c r="H2883" s="4" t="str">
        <f>HYPERLINK("https://www.ncbi.nlm.nih.gov/geo/query/acc.cgi?acc=GSM831989","GSM831989")</f>
        <v>GSM831989</v>
      </c>
      <c r="I2883" t="s">
        <v>111</v>
      </c>
      <c r="J2883" t="s">
        <v>18</v>
      </c>
      <c r="K2883" t="s">
        <v>19</v>
      </c>
      <c r="L2883" t="s">
        <v>113</v>
      </c>
      <c r="M2883" t="s">
        <v>24</v>
      </c>
      <c r="N2883" t="s">
        <v>22</v>
      </c>
    </row>
    <row r="2884" spans="1:14">
      <c r="A2884" s="4" t="str">
        <f t="shared" si="280"/>
        <v>EXP00087</v>
      </c>
      <c r="B2884" s="4" t="str">
        <f t="shared" si="281"/>
        <v>22412968</v>
      </c>
      <c r="C2884" s="4" t="str">
        <f t="shared" si="282"/>
        <v>GSE34153</v>
      </c>
      <c r="D2884" s="1" t="s">
        <v>214</v>
      </c>
      <c r="E2884" t="s">
        <v>215</v>
      </c>
      <c r="F2884" s="1">
        <v>2</v>
      </c>
      <c r="G2884" s="1" t="s">
        <v>220</v>
      </c>
      <c r="H2884" s="4" t="str">
        <f>HYPERLINK("https://www.ncbi.nlm.nih.gov/geo/query/acc.cgi?acc=GSM831993","GSM831993")</f>
        <v>GSM831993</v>
      </c>
      <c r="I2884" t="s">
        <v>111</v>
      </c>
      <c r="J2884" t="s">
        <v>18</v>
      </c>
      <c r="K2884" t="s">
        <v>19</v>
      </c>
      <c r="L2884" t="s">
        <v>113</v>
      </c>
      <c r="M2884" t="s">
        <v>24</v>
      </c>
      <c r="N2884" t="s">
        <v>22</v>
      </c>
    </row>
    <row r="2885" spans="1:14">
      <c r="A2885" s="4" t="str">
        <f t="shared" si="280"/>
        <v>EXP00087</v>
      </c>
      <c r="B2885" s="4" t="str">
        <f t="shared" si="281"/>
        <v>22412968</v>
      </c>
      <c r="C2885" s="4" t="str">
        <f t="shared" si="282"/>
        <v>GSE34153</v>
      </c>
      <c r="D2885" s="1" t="s">
        <v>214</v>
      </c>
      <c r="E2885" t="s">
        <v>215</v>
      </c>
      <c r="F2885" s="1">
        <v>2</v>
      </c>
      <c r="G2885" s="1" t="s">
        <v>220</v>
      </c>
      <c r="H2885" s="4" t="str">
        <f>HYPERLINK("https://www.ncbi.nlm.nih.gov/geo/query/acc.cgi?acc=GSM832003","GSM832003")</f>
        <v>GSM832003</v>
      </c>
      <c r="I2885" t="s">
        <v>111</v>
      </c>
      <c r="J2885" t="s">
        <v>18</v>
      </c>
      <c r="K2885" t="s">
        <v>19</v>
      </c>
      <c r="L2885" t="s">
        <v>113</v>
      </c>
      <c r="M2885" t="s">
        <v>24</v>
      </c>
      <c r="N2885" t="s">
        <v>22</v>
      </c>
    </row>
    <row r="2886" spans="1:14">
      <c r="A2886" s="4" t="str">
        <f t="shared" si="280"/>
        <v>EXP00087</v>
      </c>
      <c r="B2886" s="4" t="str">
        <f t="shared" si="281"/>
        <v>22412968</v>
      </c>
      <c r="C2886" s="4" t="str">
        <f t="shared" si="282"/>
        <v>GSE34153</v>
      </c>
      <c r="D2886" s="1" t="s">
        <v>214</v>
      </c>
      <c r="E2886" t="s">
        <v>215</v>
      </c>
      <c r="F2886" s="1">
        <v>2</v>
      </c>
      <c r="G2886" s="1" t="s">
        <v>220</v>
      </c>
      <c r="H2886" s="4" t="str">
        <f>HYPERLINK("https://www.ncbi.nlm.nih.gov/geo/query/acc.cgi?acc=GSM832014","GSM832014")</f>
        <v>GSM832014</v>
      </c>
      <c r="I2886" t="s">
        <v>111</v>
      </c>
      <c r="J2886" t="s">
        <v>18</v>
      </c>
      <c r="K2886" t="s">
        <v>19</v>
      </c>
      <c r="L2886" t="s">
        <v>113</v>
      </c>
      <c r="M2886" t="s">
        <v>24</v>
      </c>
      <c r="N2886" t="s">
        <v>22</v>
      </c>
    </row>
    <row r="2887" spans="1:14">
      <c r="A2887" s="4" t="str">
        <f t="shared" ref="A2887:A2906" si="283">HYPERLINK("http://hcmdb.i-sanger.com/experiment/details/experiment_id/EXP00088","EXP00088")</f>
        <v>EXP00088</v>
      </c>
      <c r="B2887" s="4" t="str">
        <f t="shared" si="281"/>
        <v>22412968</v>
      </c>
      <c r="C2887" s="4" t="str">
        <f t="shared" si="282"/>
        <v>GSE34153</v>
      </c>
      <c r="D2887" s="1" t="s">
        <v>214</v>
      </c>
      <c r="E2887" t="s">
        <v>215</v>
      </c>
      <c r="F2887" s="1">
        <v>1</v>
      </c>
      <c r="G2887" s="1" t="s">
        <v>216</v>
      </c>
      <c r="H2887" s="4" t="str">
        <f>HYPERLINK("https://www.ncbi.nlm.nih.gov/geo/query/acc.cgi?acc=GSM831945","GSM831945")</f>
        <v>GSM831945</v>
      </c>
      <c r="I2887" t="s">
        <v>111</v>
      </c>
      <c r="J2887" t="s">
        <v>18</v>
      </c>
      <c r="K2887" t="s">
        <v>19</v>
      </c>
      <c r="L2887" t="s">
        <v>113</v>
      </c>
      <c r="M2887" t="s">
        <v>217</v>
      </c>
      <c r="N2887" t="s">
        <v>22</v>
      </c>
    </row>
    <row r="2888" spans="1:14">
      <c r="A2888" s="4" t="str">
        <f t="shared" si="283"/>
        <v>EXP00088</v>
      </c>
      <c r="B2888" s="4" t="str">
        <f t="shared" si="281"/>
        <v>22412968</v>
      </c>
      <c r="C2888" s="4" t="str">
        <f t="shared" si="282"/>
        <v>GSE34153</v>
      </c>
      <c r="D2888" s="1" t="s">
        <v>214</v>
      </c>
      <c r="E2888" t="s">
        <v>215</v>
      </c>
      <c r="F2888" s="1">
        <v>1</v>
      </c>
      <c r="G2888" s="1" t="s">
        <v>216</v>
      </c>
      <c r="H2888" s="4" t="str">
        <f>HYPERLINK("https://www.ncbi.nlm.nih.gov/geo/query/acc.cgi?acc=GSM831956","GSM831956")</f>
        <v>GSM831956</v>
      </c>
      <c r="I2888" t="s">
        <v>111</v>
      </c>
      <c r="J2888" t="s">
        <v>18</v>
      </c>
      <c r="K2888" t="s">
        <v>19</v>
      </c>
      <c r="L2888" t="s">
        <v>113</v>
      </c>
      <c r="M2888" t="s">
        <v>217</v>
      </c>
      <c r="N2888" t="s">
        <v>22</v>
      </c>
    </row>
    <row r="2889" spans="1:14">
      <c r="A2889" s="4" t="str">
        <f t="shared" si="283"/>
        <v>EXP00088</v>
      </c>
      <c r="B2889" s="4" t="str">
        <f t="shared" si="281"/>
        <v>22412968</v>
      </c>
      <c r="C2889" s="4" t="str">
        <f t="shared" si="282"/>
        <v>GSE34153</v>
      </c>
      <c r="D2889" s="1" t="s">
        <v>214</v>
      </c>
      <c r="E2889" t="s">
        <v>215</v>
      </c>
      <c r="F2889" s="1">
        <v>1</v>
      </c>
      <c r="G2889" s="1" t="s">
        <v>216</v>
      </c>
      <c r="H2889" s="4" t="str">
        <f>HYPERLINK("https://www.ncbi.nlm.nih.gov/geo/query/acc.cgi?acc=GSM831969","GSM831969")</f>
        <v>GSM831969</v>
      </c>
      <c r="I2889" t="s">
        <v>111</v>
      </c>
      <c r="J2889" t="s">
        <v>18</v>
      </c>
      <c r="K2889" t="s">
        <v>19</v>
      </c>
      <c r="L2889" t="s">
        <v>113</v>
      </c>
      <c r="M2889" t="s">
        <v>217</v>
      </c>
      <c r="N2889" t="s">
        <v>22</v>
      </c>
    </row>
    <row r="2890" spans="1:14">
      <c r="A2890" s="4" t="str">
        <f t="shared" si="283"/>
        <v>EXP00088</v>
      </c>
      <c r="B2890" s="4" t="str">
        <f t="shared" si="281"/>
        <v>22412968</v>
      </c>
      <c r="C2890" s="4" t="str">
        <f t="shared" si="282"/>
        <v>GSE34153</v>
      </c>
      <c r="D2890" s="1" t="s">
        <v>214</v>
      </c>
      <c r="E2890" t="s">
        <v>215</v>
      </c>
      <c r="F2890" s="1">
        <v>1</v>
      </c>
      <c r="G2890" s="1" t="s">
        <v>216</v>
      </c>
      <c r="H2890" s="4" t="str">
        <f>HYPERLINK("https://www.ncbi.nlm.nih.gov/geo/query/acc.cgi?acc=GSM831971","GSM831971")</f>
        <v>GSM831971</v>
      </c>
      <c r="I2890" t="s">
        <v>111</v>
      </c>
      <c r="J2890" t="s">
        <v>18</v>
      </c>
      <c r="K2890" t="s">
        <v>19</v>
      </c>
      <c r="L2890" t="s">
        <v>113</v>
      </c>
      <c r="M2890" t="s">
        <v>217</v>
      </c>
      <c r="N2890" t="s">
        <v>22</v>
      </c>
    </row>
    <row r="2891" spans="1:14">
      <c r="A2891" s="4" t="str">
        <f t="shared" si="283"/>
        <v>EXP00088</v>
      </c>
      <c r="B2891" s="4" t="str">
        <f t="shared" si="281"/>
        <v>22412968</v>
      </c>
      <c r="C2891" s="4" t="str">
        <f t="shared" si="282"/>
        <v>GSE34153</v>
      </c>
      <c r="D2891" s="1" t="s">
        <v>214</v>
      </c>
      <c r="E2891" t="s">
        <v>215</v>
      </c>
      <c r="F2891" s="1">
        <v>1</v>
      </c>
      <c r="G2891" s="1" t="s">
        <v>216</v>
      </c>
      <c r="H2891" s="4" t="str">
        <f>HYPERLINK("https://www.ncbi.nlm.nih.gov/geo/query/acc.cgi?acc=GSM831972","GSM831972")</f>
        <v>GSM831972</v>
      </c>
      <c r="I2891" t="s">
        <v>111</v>
      </c>
      <c r="J2891" t="s">
        <v>18</v>
      </c>
      <c r="K2891" t="s">
        <v>19</v>
      </c>
      <c r="L2891" t="s">
        <v>113</v>
      </c>
      <c r="M2891" t="s">
        <v>217</v>
      </c>
      <c r="N2891" t="s">
        <v>22</v>
      </c>
    </row>
    <row r="2892" spans="1:14">
      <c r="A2892" s="4" t="str">
        <f t="shared" si="283"/>
        <v>EXP00088</v>
      </c>
      <c r="B2892" s="4" t="str">
        <f t="shared" si="281"/>
        <v>22412968</v>
      </c>
      <c r="C2892" s="4" t="str">
        <f t="shared" si="282"/>
        <v>GSE34153</v>
      </c>
      <c r="D2892" s="1" t="s">
        <v>214</v>
      </c>
      <c r="E2892" t="s">
        <v>215</v>
      </c>
      <c r="F2892" s="1">
        <v>1</v>
      </c>
      <c r="G2892" s="1" t="s">
        <v>216</v>
      </c>
      <c r="H2892" s="4" t="str">
        <f>HYPERLINK("https://www.ncbi.nlm.nih.gov/geo/query/acc.cgi?acc=GSM831980","GSM831980")</f>
        <v>GSM831980</v>
      </c>
      <c r="I2892" t="s">
        <v>111</v>
      </c>
      <c r="J2892" t="s">
        <v>18</v>
      </c>
      <c r="K2892" t="s">
        <v>19</v>
      </c>
      <c r="L2892" t="s">
        <v>113</v>
      </c>
      <c r="M2892" t="s">
        <v>217</v>
      </c>
      <c r="N2892" t="s">
        <v>22</v>
      </c>
    </row>
    <row r="2893" spans="1:14">
      <c r="A2893" s="4" t="str">
        <f t="shared" si="283"/>
        <v>EXP00088</v>
      </c>
      <c r="B2893" s="4" t="str">
        <f t="shared" si="281"/>
        <v>22412968</v>
      </c>
      <c r="C2893" s="4" t="str">
        <f t="shared" si="282"/>
        <v>GSE34153</v>
      </c>
      <c r="D2893" s="1" t="s">
        <v>214</v>
      </c>
      <c r="E2893" t="s">
        <v>215</v>
      </c>
      <c r="F2893" s="1">
        <v>1</v>
      </c>
      <c r="G2893" s="1" t="s">
        <v>216</v>
      </c>
      <c r="H2893" s="4" t="str">
        <f>HYPERLINK("https://www.ncbi.nlm.nih.gov/geo/query/acc.cgi?acc=GSM831981","GSM831981")</f>
        <v>GSM831981</v>
      </c>
      <c r="I2893" t="s">
        <v>111</v>
      </c>
      <c r="J2893" t="s">
        <v>18</v>
      </c>
      <c r="K2893" t="s">
        <v>19</v>
      </c>
      <c r="L2893" t="s">
        <v>113</v>
      </c>
      <c r="M2893" t="s">
        <v>217</v>
      </c>
      <c r="N2893" t="s">
        <v>22</v>
      </c>
    </row>
    <row r="2894" spans="1:14">
      <c r="A2894" s="4" t="str">
        <f t="shared" si="283"/>
        <v>EXP00088</v>
      </c>
      <c r="B2894" s="4" t="str">
        <f t="shared" si="281"/>
        <v>22412968</v>
      </c>
      <c r="C2894" s="4" t="str">
        <f t="shared" si="282"/>
        <v>GSE34153</v>
      </c>
      <c r="D2894" s="1" t="s">
        <v>214</v>
      </c>
      <c r="E2894" t="s">
        <v>215</v>
      </c>
      <c r="F2894" s="1">
        <v>1</v>
      </c>
      <c r="G2894" s="1" t="s">
        <v>216</v>
      </c>
      <c r="H2894" s="4" t="str">
        <f>HYPERLINK("https://www.ncbi.nlm.nih.gov/geo/query/acc.cgi?acc=GSM831982","GSM831982")</f>
        <v>GSM831982</v>
      </c>
      <c r="I2894" t="s">
        <v>111</v>
      </c>
      <c r="J2894" t="s">
        <v>18</v>
      </c>
      <c r="K2894" t="s">
        <v>19</v>
      </c>
      <c r="L2894" t="s">
        <v>113</v>
      </c>
      <c r="M2894" t="s">
        <v>217</v>
      </c>
      <c r="N2894" t="s">
        <v>22</v>
      </c>
    </row>
    <row r="2895" spans="1:14">
      <c r="A2895" s="4" t="str">
        <f t="shared" si="283"/>
        <v>EXP00088</v>
      </c>
      <c r="B2895" s="4" t="str">
        <f t="shared" si="281"/>
        <v>22412968</v>
      </c>
      <c r="C2895" s="4" t="str">
        <f t="shared" si="282"/>
        <v>GSE34153</v>
      </c>
      <c r="D2895" s="1" t="s">
        <v>214</v>
      </c>
      <c r="E2895" t="s">
        <v>215</v>
      </c>
      <c r="F2895" s="1">
        <v>1</v>
      </c>
      <c r="G2895" s="1" t="s">
        <v>216</v>
      </c>
      <c r="H2895" s="4" t="str">
        <f>HYPERLINK("https://www.ncbi.nlm.nih.gov/geo/query/acc.cgi?acc=GSM831996","GSM831996")</f>
        <v>GSM831996</v>
      </c>
      <c r="I2895" t="s">
        <v>111</v>
      </c>
      <c r="J2895" t="s">
        <v>18</v>
      </c>
      <c r="K2895" t="s">
        <v>19</v>
      </c>
      <c r="L2895" t="s">
        <v>113</v>
      </c>
      <c r="M2895" t="s">
        <v>217</v>
      </c>
      <c r="N2895" t="s">
        <v>22</v>
      </c>
    </row>
    <row r="2896" spans="1:14">
      <c r="A2896" s="4" t="str">
        <f t="shared" si="283"/>
        <v>EXP00088</v>
      </c>
      <c r="B2896" s="4" t="str">
        <f t="shared" si="281"/>
        <v>22412968</v>
      </c>
      <c r="C2896" s="4" t="str">
        <f t="shared" si="282"/>
        <v>GSE34153</v>
      </c>
      <c r="D2896" s="1" t="s">
        <v>214</v>
      </c>
      <c r="E2896" t="s">
        <v>215</v>
      </c>
      <c r="F2896" s="1">
        <v>1</v>
      </c>
      <c r="G2896" s="1" t="s">
        <v>216</v>
      </c>
      <c r="H2896" s="4" t="str">
        <f>HYPERLINK("https://www.ncbi.nlm.nih.gov/geo/query/acc.cgi?acc=GSM831997","GSM831997")</f>
        <v>GSM831997</v>
      </c>
      <c r="I2896" t="s">
        <v>111</v>
      </c>
      <c r="J2896" t="s">
        <v>18</v>
      </c>
      <c r="K2896" t="s">
        <v>19</v>
      </c>
      <c r="L2896" t="s">
        <v>113</v>
      </c>
      <c r="M2896" t="s">
        <v>217</v>
      </c>
      <c r="N2896" t="s">
        <v>22</v>
      </c>
    </row>
    <row r="2897" spans="1:14">
      <c r="A2897" s="4" t="str">
        <f t="shared" si="283"/>
        <v>EXP00088</v>
      </c>
      <c r="B2897" s="4" t="str">
        <f t="shared" si="281"/>
        <v>22412968</v>
      </c>
      <c r="C2897" s="4" t="str">
        <f t="shared" si="282"/>
        <v>GSE34153</v>
      </c>
      <c r="D2897" s="1" t="s">
        <v>214</v>
      </c>
      <c r="E2897" t="s">
        <v>215</v>
      </c>
      <c r="F2897" s="1">
        <v>2</v>
      </c>
      <c r="G2897" s="1" t="s">
        <v>221</v>
      </c>
      <c r="H2897" s="4" t="str">
        <f>HYPERLINK("https://www.ncbi.nlm.nih.gov/geo/query/acc.cgi?acc=GSM831944","GSM831944")</f>
        <v>GSM831944</v>
      </c>
      <c r="I2897" t="s">
        <v>111</v>
      </c>
      <c r="J2897" t="s">
        <v>18</v>
      </c>
      <c r="K2897" t="s">
        <v>19</v>
      </c>
      <c r="L2897" t="s">
        <v>113</v>
      </c>
      <c r="M2897" t="s">
        <v>222</v>
      </c>
      <c r="N2897" t="s">
        <v>22</v>
      </c>
    </row>
    <row r="2898" spans="1:14">
      <c r="A2898" s="4" t="str">
        <f t="shared" si="283"/>
        <v>EXP00088</v>
      </c>
      <c r="B2898" s="4" t="str">
        <f t="shared" si="281"/>
        <v>22412968</v>
      </c>
      <c r="C2898" s="4" t="str">
        <f t="shared" si="282"/>
        <v>GSE34153</v>
      </c>
      <c r="D2898" s="1" t="s">
        <v>214</v>
      </c>
      <c r="E2898" t="s">
        <v>215</v>
      </c>
      <c r="F2898" s="1">
        <v>2</v>
      </c>
      <c r="G2898" s="1" t="s">
        <v>221</v>
      </c>
      <c r="H2898" s="4" t="str">
        <f>HYPERLINK("https://www.ncbi.nlm.nih.gov/geo/query/acc.cgi?acc=GSM831951","GSM831951")</f>
        <v>GSM831951</v>
      </c>
      <c r="I2898" t="s">
        <v>111</v>
      </c>
      <c r="J2898" t="s">
        <v>18</v>
      </c>
      <c r="K2898" t="s">
        <v>19</v>
      </c>
      <c r="L2898" t="s">
        <v>113</v>
      </c>
      <c r="M2898" t="s">
        <v>222</v>
      </c>
      <c r="N2898" t="s">
        <v>22</v>
      </c>
    </row>
    <row r="2899" spans="1:14">
      <c r="A2899" s="4" t="str">
        <f t="shared" si="283"/>
        <v>EXP00088</v>
      </c>
      <c r="B2899" s="4" t="str">
        <f t="shared" si="281"/>
        <v>22412968</v>
      </c>
      <c r="C2899" s="4" t="str">
        <f t="shared" si="282"/>
        <v>GSE34153</v>
      </c>
      <c r="D2899" s="1" t="s">
        <v>214</v>
      </c>
      <c r="E2899" t="s">
        <v>215</v>
      </c>
      <c r="F2899" s="1">
        <v>2</v>
      </c>
      <c r="G2899" s="1" t="s">
        <v>221</v>
      </c>
      <c r="H2899" s="4" t="str">
        <f>HYPERLINK("https://www.ncbi.nlm.nih.gov/geo/query/acc.cgi?acc=GSM831953","GSM831953")</f>
        <v>GSM831953</v>
      </c>
      <c r="I2899" t="s">
        <v>111</v>
      </c>
      <c r="J2899" t="s">
        <v>18</v>
      </c>
      <c r="K2899" t="s">
        <v>19</v>
      </c>
      <c r="L2899" t="s">
        <v>113</v>
      </c>
      <c r="M2899" t="s">
        <v>222</v>
      </c>
      <c r="N2899" t="s">
        <v>22</v>
      </c>
    </row>
    <row r="2900" spans="1:14">
      <c r="A2900" s="4" t="str">
        <f t="shared" si="283"/>
        <v>EXP00088</v>
      </c>
      <c r="B2900" s="4" t="str">
        <f t="shared" si="281"/>
        <v>22412968</v>
      </c>
      <c r="C2900" s="4" t="str">
        <f t="shared" si="282"/>
        <v>GSE34153</v>
      </c>
      <c r="D2900" s="1" t="s">
        <v>214</v>
      </c>
      <c r="E2900" t="s">
        <v>215</v>
      </c>
      <c r="F2900" s="1">
        <v>2</v>
      </c>
      <c r="G2900" s="1" t="s">
        <v>221</v>
      </c>
      <c r="H2900" s="4" t="str">
        <f>HYPERLINK("https://www.ncbi.nlm.nih.gov/geo/query/acc.cgi?acc=GSM831954","GSM831954")</f>
        <v>GSM831954</v>
      </c>
      <c r="I2900" t="s">
        <v>111</v>
      </c>
      <c r="J2900" t="s">
        <v>18</v>
      </c>
      <c r="K2900" t="s">
        <v>19</v>
      </c>
      <c r="L2900" t="s">
        <v>113</v>
      </c>
      <c r="M2900" t="s">
        <v>222</v>
      </c>
      <c r="N2900" t="s">
        <v>22</v>
      </c>
    </row>
    <row r="2901" spans="1:14">
      <c r="A2901" s="4" t="str">
        <f t="shared" si="283"/>
        <v>EXP00088</v>
      </c>
      <c r="B2901" s="4" t="str">
        <f t="shared" si="281"/>
        <v>22412968</v>
      </c>
      <c r="C2901" s="4" t="str">
        <f t="shared" si="282"/>
        <v>GSE34153</v>
      </c>
      <c r="D2901" s="1" t="s">
        <v>214</v>
      </c>
      <c r="E2901" t="s">
        <v>215</v>
      </c>
      <c r="F2901" s="1">
        <v>2</v>
      </c>
      <c r="G2901" s="1" t="s">
        <v>221</v>
      </c>
      <c r="H2901" s="4" t="str">
        <f>HYPERLINK("https://www.ncbi.nlm.nih.gov/geo/query/acc.cgi?acc=GSM831955","GSM831955")</f>
        <v>GSM831955</v>
      </c>
      <c r="I2901" t="s">
        <v>111</v>
      </c>
      <c r="J2901" t="s">
        <v>18</v>
      </c>
      <c r="K2901" t="s">
        <v>19</v>
      </c>
      <c r="L2901" t="s">
        <v>113</v>
      </c>
      <c r="M2901" t="s">
        <v>222</v>
      </c>
      <c r="N2901" t="s">
        <v>22</v>
      </c>
    </row>
    <row r="2902" spans="1:14">
      <c r="A2902" s="4" t="str">
        <f t="shared" si="283"/>
        <v>EXP00088</v>
      </c>
      <c r="B2902" s="4" t="str">
        <f t="shared" si="281"/>
        <v>22412968</v>
      </c>
      <c r="C2902" s="4" t="str">
        <f t="shared" si="282"/>
        <v>GSE34153</v>
      </c>
      <c r="D2902" s="1" t="s">
        <v>214</v>
      </c>
      <c r="E2902" t="s">
        <v>215</v>
      </c>
      <c r="F2902" s="1">
        <v>2</v>
      </c>
      <c r="G2902" s="1" t="s">
        <v>221</v>
      </c>
      <c r="H2902" s="4" t="str">
        <f>HYPERLINK("https://www.ncbi.nlm.nih.gov/geo/query/acc.cgi?acc=GSM831986","GSM831986")</f>
        <v>GSM831986</v>
      </c>
      <c r="I2902" t="s">
        <v>111</v>
      </c>
      <c r="J2902" t="s">
        <v>18</v>
      </c>
      <c r="K2902" t="s">
        <v>19</v>
      </c>
      <c r="L2902" t="s">
        <v>113</v>
      </c>
      <c r="M2902" t="s">
        <v>222</v>
      </c>
      <c r="N2902" t="s">
        <v>22</v>
      </c>
    </row>
    <row r="2903" spans="1:14">
      <c r="A2903" s="4" t="str">
        <f t="shared" si="283"/>
        <v>EXP00088</v>
      </c>
      <c r="B2903" s="4" t="str">
        <f t="shared" si="281"/>
        <v>22412968</v>
      </c>
      <c r="C2903" s="4" t="str">
        <f t="shared" si="282"/>
        <v>GSE34153</v>
      </c>
      <c r="D2903" s="1" t="s">
        <v>214</v>
      </c>
      <c r="E2903" t="s">
        <v>215</v>
      </c>
      <c r="F2903" s="1">
        <v>2</v>
      </c>
      <c r="G2903" s="1" t="s">
        <v>221</v>
      </c>
      <c r="H2903" s="4" t="str">
        <f>HYPERLINK("https://www.ncbi.nlm.nih.gov/geo/query/acc.cgi?acc=GSM831987","GSM831987")</f>
        <v>GSM831987</v>
      </c>
      <c r="I2903" t="s">
        <v>111</v>
      </c>
      <c r="J2903" t="s">
        <v>18</v>
      </c>
      <c r="K2903" t="s">
        <v>19</v>
      </c>
      <c r="L2903" t="s">
        <v>113</v>
      </c>
      <c r="M2903" t="s">
        <v>222</v>
      </c>
      <c r="N2903" t="s">
        <v>22</v>
      </c>
    </row>
    <row r="2904" spans="1:14">
      <c r="A2904" s="4" t="str">
        <f t="shared" si="283"/>
        <v>EXP00088</v>
      </c>
      <c r="B2904" s="4" t="str">
        <f t="shared" si="281"/>
        <v>22412968</v>
      </c>
      <c r="C2904" s="4" t="str">
        <f t="shared" si="282"/>
        <v>GSE34153</v>
      </c>
      <c r="D2904" s="1" t="s">
        <v>214</v>
      </c>
      <c r="E2904" t="s">
        <v>215</v>
      </c>
      <c r="F2904" s="1">
        <v>2</v>
      </c>
      <c r="G2904" s="1" t="s">
        <v>221</v>
      </c>
      <c r="H2904" s="4" t="str">
        <f>HYPERLINK("https://www.ncbi.nlm.nih.gov/geo/query/acc.cgi?acc=GSM831999","GSM831999")</f>
        <v>GSM831999</v>
      </c>
      <c r="I2904" t="s">
        <v>111</v>
      </c>
      <c r="J2904" t="s">
        <v>18</v>
      </c>
      <c r="K2904" t="s">
        <v>19</v>
      </c>
      <c r="L2904" t="s">
        <v>113</v>
      </c>
      <c r="M2904" t="s">
        <v>222</v>
      </c>
      <c r="N2904" t="s">
        <v>22</v>
      </c>
    </row>
    <row r="2905" spans="1:14">
      <c r="A2905" s="4" t="str">
        <f t="shared" si="283"/>
        <v>EXP00088</v>
      </c>
      <c r="B2905" s="4" t="str">
        <f t="shared" si="281"/>
        <v>22412968</v>
      </c>
      <c r="C2905" s="4" t="str">
        <f t="shared" si="282"/>
        <v>GSE34153</v>
      </c>
      <c r="D2905" s="1" t="s">
        <v>214</v>
      </c>
      <c r="E2905" t="s">
        <v>215</v>
      </c>
      <c r="F2905" s="1">
        <v>2</v>
      </c>
      <c r="G2905" s="1" t="s">
        <v>221</v>
      </c>
      <c r="H2905" s="4" t="str">
        <f>HYPERLINK("https://www.ncbi.nlm.nih.gov/geo/query/acc.cgi?acc=GSM832001","GSM832001")</f>
        <v>GSM832001</v>
      </c>
      <c r="I2905" t="s">
        <v>111</v>
      </c>
      <c r="J2905" t="s">
        <v>18</v>
      </c>
      <c r="K2905" t="s">
        <v>19</v>
      </c>
      <c r="L2905" t="s">
        <v>113</v>
      </c>
      <c r="M2905" t="s">
        <v>222</v>
      </c>
      <c r="N2905" t="s">
        <v>22</v>
      </c>
    </row>
    <row r="2906" spans="1:14">
      <c r="A2906" s="4" t="str">
        <f t="shared" si="283"/>
        <v>EXP00088</v>
      </c>
      <c r="B2906" s="4" t="str">
        <f t="shared" si="281"/>
        <v>22412968</v>
      </c>
      <c r="C2906" s="4" t="str">
        <f t="shared" si="282"/>
        <v>GSE34153</v>
      </c>
      <c r="D2906" s="1" t="s">
        <v>214</v>
      </c>
      <c r="E2906" t="s">
        <v>215</v>
      </c>
      <c r="F2906" s="1">
        <v>2</v>
      </c>
      <c r="G2906" s="1" t="s">
        <v>221</v>
      </c>
      <c r="H2906" s="4" t="str">
        <f>HYPERLINK("https://www.ncbi.nlm.nih.gov/geo/query/acc.cgi?acc=GSM832002","GSM832002")</f>
        <v>GSM832002</v>
      </c>
      <c r="I2906" t="s">
        <v>111</v>
      </c>
      <c r="J2906" t="s">
        <v>18</v>
      </c>
      <c r="K2906" t="s">
        <v>19</v>
      </c>
      <c r="L2906" t="s">
        <v>113</v>
      </c>
      <c r="M2906" t="s">
        <v>222</v>
      </c>
      <c r="N2906" t="s">
        <v>22</v>
      </c>
    </row>
    <row r="2907" spans="1:14">
      <c r="A2907" s="4" t="str">
        <f t="shared" ref="A2907:A2930" si="284">HYPERLINK("http://hcmdb.i-sanger.com/experiment/details/experiment_id/EXP00089","EXP00089")</f>
        <v>EXP00089</v>
      </c>
      <c r="B2907" s="4" t="str">
        <f t="shared" si="281"/>
        <v>22412968</v>
      </c>
      <c r="C2907" s="4" t="str">
        <f t="shared" si="282"/>
        <v>GSE34153</v>
      </c>
      <c r="D2907" s="1" t="s">
        <v>214</v>
      </c>
      <c r="E2907" t="s">
        <v>215</v>
      </c>
      <c r="F2907" s="1">
        <v>1</v>
      </c>
      <c r="G2907" s="1" t="s">
        <v>216</v>
      </c>
      <c r="H2907" s="4" t="str">
        <f>HYPERLINK("https://www.ncbi.nlm.nih.gov/geo/query/acc.cgi?acc=GSM831945","GSM831945")</f>
        <v>GSM831945</v>
      </c>
      <c r="I2907" t="s">
        <v>111</v>
      </c>
      <c r="J2907" t="s">
        <v>18</v>
      </c>
      <c r="K2907" t="s">
        <v>19</v>
      </c>
      <c r="L2907" t="s">
        <v>113</v>
      </c>
      <c r="M2907" t="s">
        <v>217</v>
      </c>
      <c r="N2907" t="s">
        <v>22</v>
      </c>
    </row>
    <row r="2908" spans="1:14">
      <c r="A2908" s="4" t="str">
        <f t="shared" si="284"/>
        <v>EXP00089</v>
      </c>
      <c r="B2908" s="4" t="str">
        <f t="shared" si="281"/>
        <v>22412968</v>
      </c>
      <c r="C2908" s="4" t="str">
        <f t="shared" si="282"/>
        <v>GSE34153</v>
      </c>
      <c r="D2908" s="1" t="s">
        <v>214</v>
      </c>
      <c r="E2908" t="s">
        <v>215</v>
      </c>
      <c r="F2908" s="1">
        <v>1</v>
      </c>
      <c r="G2908" s="1" t="s">
        <v>216</v>
      </c>
      <c r="H2908" s="4" t="str">
        <f>HYPERLINK("https://www.ncbi.nlm.nih.gov/geo/query/acc.cgi?acc=GSM831956","GSM831956")</f>
        <v>GSM831956</v>
      </c>
      <c r="I2908" t="s">
        <v>111</v>
      </c>
      <c r="J2908" t="s">
        <v>18</v>
      </c>
      <c r="K2908" t="s">
        <v>19</v>
      </c>
      <c r="L2908" t="s">
        <v>113</v>
      </c>
      <c r="M2908" t="s">
        <v>217</v>
      </c>
      <c r="N2908" t="s">
        <v>22</v>
      </c>
    </row>
    <row r="2909" spans="1:14">
      <c r="A2909" s="4" t="str">
        <f t="shared" si="284"/>
        <v>EXP00089</v>
      </c>
      <c r="B2909" s="4" t="str">
        <f t="shared" si="281"/>
        <v>22412968</v>
      </c>
      <c r="C2909" s="4" t="str">
        <f t="shared" si="282"/>
        <v>GSE34153</v>
      </c>
      <c r="D2909" s="1" t="s">
        <v>214</v>
      </c>
      <c r="E2909" t="s">
        <v>215</v>
      </c>
      <c r="F2909" s="1">
        <v>1</v>
      </c>
      <c r="G2909" s="1" t="s">
        <v>216</v>
      </c>
      <c r="H2909" s="4" t="str">
        <f>HYPERLINK("https://www.ncbi.nlm.nih.gov/geo/query/acc.cgi?acc=GSM831969","GSM831969")</f>
        <v>GSM831969</v>
      </c>
      <c r="I2909" t="s">
        <v>111</v>
      </c>
      <c r="J2909" t="s">
        <v>18</v>
      </c>
      <c r="K2909" t="s">
        <v>19</v>
      </c>
      <c r="L2909" t="s">
        <v>113</v>
      </c>
      <c r="M2909" t="s">
        <v>217</v>
      </c>
      <c r="N2909" t="s">
        <v>22</v>
      </c>
    </row>
    <row r="2910" spans="1:14">
      <c r="A2910" s="4" t="str">
        <f t="shared" si="284"/>
        <v>EXP00089</v>
      </c>
      <c r="B2910" s="4" t="str">
        <f t="shared" si="281"/>
        <v>22412968</v>
      </c>
      <c r="C2910" s="4" t="str">
        <f t="shared" si="282"/>
        <v>GSE34153</v>
      </c>
      <c r="D2910" s="1" t="s">
        <v>214</v>
      </c>
      <c r="E2910" t="s">
        <v>215</v>
      </c>
      <c r="F2910" s="1">
        <v>1</v>
      </c>
      <c r="G2910" s="1" t="s">
        <v>216</v>
      </c>
      <c r="H2910" s="4" t="str">
        <f>HYPERLINK("https://www.ncbi.nlm.nih.gov/geo/query/acc.cgi?acc=GSM831971","GSM831971")</f>
        <v>GSM831971</v>
      </c>
      <c r="I2910" t="s">
        <v>111</v>
      </c>
      <c r="J2910" t="s">
        <v>18</v>
      </c>
      <c r="K2910" t="s">
        <v>19</v>
      </c>
      <c r="L2910" t="s">
        <v>113</v>
      </c>
      <c r="M2910" t="s">
        <v>217</v>
      </c>
      <c r="N2910" t="s">
        <v>22</v>
      </c>
    </row>
    <row r="2911" spans="1:14">
      <c r="A2911" s="4" t="str">
        <f t="shared" si="284"/>
        <v>EXP00089</v>
      </c>
      <c r="B2911" s="4" t="str">
        <f t="shared" si="281"/>
        <v>22412968</v>
      </c>
      <c r="C2911" s="4" t="str">
        <f t="shared" si="282"/>
        <v>GSE34153</v>
      </c>
      <c r="D2911" s="1" t="s">
        <v>214</v>
      </c>
      <c r="E2911" t="s">
        <v>215</v>
      </c>
      <c r="F2911" s="1">
        <v>1</v>
      </c>
      <c r="G2911" s="1" t="s">
        <v>216</v>
      </c>
      <c r="H2911" s="4" t="str">
        <f>HYPERLINK("https://www.ncbi.nlm.nih.gov/geo/query/acc.cgi?acc=GSM831972","GSM831972")</f>
        <v>GSM831972</v>
      </c>
      <c r="I2911" t="s">
        <v>111</v>
      </c>
      <c r="J2911" t="s">
        <v>18</v>
      </c>
      <c r="K2911" t="s">
        <v>19</v>
      </c>
      <c r="L2911" t="s">
        <v>113</v>
      </c>
      <c r="M2911" t="s">
        <v>217</v>
      </c>
      <c r="N2911" t="s">
        <v>22</v>
      </c>
    </row>
    <row r="2912" spans="1:14">
      <c r="A2912" s="4" t="str">
        <f t="shared" si="284"/>
        <v>EXP00089</v>
      </c>
      <c r="B2912" s="4" t="str">
        <f t="shared" si="281"/>
        <v>22412968</v>
      </c>
      <c r="C2912" s="4" t="str">
        <f t="shared" si="282"/>
        <v>GSE34153</v>
      </c>
      <c r="D2912" s="1" t="s">
        <v>214</v>
      </c>
      <c r="E2912" t="s">
        <v>215</v>
      </c>
      <c r="F2912" s="1">
        <v>1</v>
      </c>
      <c r="G2912" s="1" t="s">
        <v>216</v>
      </c>
      <c r="H2912" s="4" t="str">
        <f>HYPERLINK("https://www.ncbi.nlm.nih.gov/geo/query/acc.cgi?acc=GSM831980","GSM831980")</f>
        <v>GSM831980</v>
      </c>
      <c r="I2912" t="s">
        <v>111</v>
      </c>
      <c r="J2912" t="s">
        <v>18</v>
      </c>
      <c r="K2912" t="s">
        <v>19</v>
      </c>
      <c r="L2912" t="s">
        <v>113</v>
      </c>
      <c r="M2912" t="s">
        <v>217</v>
      </c>
      <c r="N2912" t="s">
        <v>22</v>
      </c>
    </row>
    <row r="2913" spans="1:14">
      <c r="A2913" s="4" t="str">
        <f t="shared" si="284"/>
        <v>EXP00089</v>
      </c>
      <c r="B2913" s="4" t="str">
        <f t="shared" si="281"/>
        <v>22412968</v>
      </c>
      <c r="C2913" s="4" t="str">
        <f t="shared" si="282"/>
        <v>GSE34153</v>
      </c>
      <c r="D2913" s="1" t="s">
        <v>214</v>
      </c>
      <c r="E2913" t="s">
        <v>215</v>
      </c>
      <c r="F2913" s="1">
        <v>1</v>
      </c>
      <c r="G2913" s="1" t="s">
        <v>216</v>
      </c>
      <c r="H2913" s="4" t="str">
        <f>HYPERLINK("https://www.ncbi.nlm.nih.gov/geo/query/acc.cgi?acc=GSM831981","GSM831981")</f>
        <v>GSM831981</v>
      </c>
      <c r="I2913" t="s">
        <v>111</v>
      </c>
      <c r="J2913" t="s">
        <v>18</v>
      </c>
      <c r="K2913" t="s">
        <v>19</v>
      </c>
      <c r="L2913" t="s">
        <v>113</v>
      </c>
      <c r="M2913" t="s">
        <v>217</v>
      </c>
      <c r="N2913" t="s">
        <v>22</v>
      </c>
    </row>
    <row r="2914" spans="1:14">
      <c r="A2914" s="4" t="str">
        <f t="shared" si="284"/>
        <v>EXP00089</v>
      </c>
      <c r="B2914" s="4" t="str">
        <f t="shared" si="281"/>
        <v>22412968</v>
      </c>
      <c r="C2914" s="4" t="str">
        <f t="shared" si="282"/>
        <v>GSE34153</v>
      </c>
      <c r="D2914" s="1" t="s">
        <v>214</v>
      </c>
      <c r="E2914" t="s">
        <v>215</v>
      </c>
      <c r="F2914" s="1">
        <v>1</v>
      </c>
      <c r="G2914" s="1" t="s">
        <v>216</v>
      </c>
      <c r="H2914" s="4" t="str">
        <f>HYPERLINK("https://www.ncbi.nlm.nih.gov/geo/query/acc.cgi?acc=GSM831982","GSM831982")</f>
        <v>GSM831982</v>
      </c>
      <c r="I2914" t="s">
        <v>111</v>
      </c>
      <c r="J2914" t="s">
        <v>18</v>
      </c>
      <c r="K2914" t="s">
        <v>19</v>
      </c>
      <c r="L2914" t="s">
        <v>113</v>
      </c>
      <c r="M2914" t="s">
        <v>217</v>
      </c>
      <c r="N2914" t="s">
        <v>22</v>
      </c>
    </row>
    <row r="2915" spans="1:14">
      <c r="A2915" s="4" t="str">
        <f t="shared" si="284"/>
        <v>EXP00089</v>
      </c>
      <c r="B2915" s="4" t="str">
        <f t="shared" si="281"/>
        <v>22412968</v>
      </c>
      <c r="C2915" s="4" t="str">
        <f t="shared" si="282"/>
        <v>GSE34153</v>
      </c>
      <c r="D2915" s="1" t="s">
        <v>214</v>
      </c>
      <c r="E2915" t="s">
        <v>215</v>
      </c>
      <c r="F2915" s="1">
        <v>1</v>
      </c>
      <c r="G2915" s="1" t="s">
        <v>216</v>
      </c>
      <c r="H2915" s="4" t="str">
        <f>HYPERLINK("https://www.ncbi.nlm.nih.gov/geo/query/acc.cgi?acc=GSM831996","GSM831996")</f>
        <v>GSM831996</v>
      </c>
      <c r="I2915" t="s">
        <v>111</v>
      </c>
      <c r="J2915" t="s">
        <v>18</v>
      </c>
      <c r="K2915" t="s">
        <v>19</v>
      </c>
      <c r="L2915" t="s">
        <v>113</v>
      </c>
      <c r="M2915" t="s">
        <v>217</v>
      </c>
      <c r="N2915" t="s">
        <v>22</v>
      </c>
    </row>
    <row r="2916" spans="1:14">
      <c r="A2916" s="4" t="str">
        <f t="shared" si="284"/>
        <v>EXP00089</v>
      </c>
      <c r="B2916" s="4" t="str">
        <f t="shared" si="281"/>
        <v>22412968</v>
      </c>
      <c r="C2916" s="4" t="str">
        <f t="shared" si="282"/>
        <v>GSE34153</v>
      </c>
      <c r="D2916" s="1" t="s">
        <v>214</v>
      </c>
      <c r="E2916" t="s">
        <v>215</v>
      </c>
      <c r="F2916" s="1">
        <v>1</v>
      </c>
      <c r="G2916" s="1" t="s">
        <v>216</v>
      </c>
      <c r="H2916" s="4" t="str">
        <f>HYPERLINK("https://www.ncbi.nlm.nih.gov/geo/query/acc.cgi?acc=GSM831997","GSM831997")</f>
        <v>GSM831997</v>
      </c>
      <c r="I2916" t="s">
        <v>111</v>
      </c>
      <c r="J2916" t="s">
        <v>18</v>
      </c>
      <c r="K2916" t="s">
        <v>19</v>
      </c>
      <c r="L2916" t="s">
        <v>113</v>
      </c>
      <c r="M2916" t="s">
        <v>217</v>
      </c>
      <c r="N2916" t="s">
        <v>22</v>
      </c>
    </row>
    <row r="2917" spans="1:14">
      <c r="A2917" s="4" t="str">
        <f t="shared" si="284"/>
        <v>EXP00089</v>
      </c>
      <c r="B2917" s="4" t="str">
        <f t="shared" si="281"/>
        <v>22412968</v>
      </c>
      <c r="C2917" s="4" t="str">
        <f t="shared" si="282"/>
        <v>GSE34153</v>
      </c>
      <c r="D2917" s="1" t="s">
        <v>214</v>
      </c>
      <c r="E2917" t="s">
        <v>215</v>
      </c>
      <c r="F2917" s="1">
        <v>2</v>
      </c>
      <c r="G2917" s="1" t="s">
        <v>223</v>
      </c>
      <c r="H2917" s="4" t="str">
        <f>HYPERLINK("https://www.ncbi.nlm.nih.gov/geo/query/acc.cgi?acc=GSM831958","GSM831958")</f>
        <v>GSM831958</v>
      </c>
      <c r="I2917" t="s">
        <v>111</v>
      </c>
      <c r="J2917" t="s">
        <v>18</v>
      </c>
      <c r="K2917" t="s">
        <v>19</v>
      </c>
      <c r="L2917" t="s">
        <v>113</v>
      </c>
      <c r="M2917" t="s">
        <v>113</v>
      </c>
      <c r="N2917" t="s">
        <v>22</v>
      </c>
    </row>
    <row r="2918" spans="1:14">
      <c r="A2918" s="4" t="str">
        <f t="shared" si="284"/>
        <v>EXP00089</v>
      </c>
      <c r="B2918" s="4" t="str">
        <f t="shared" si="281"/>
        <v>22412968</v>
      </c>
      <c r="C2918" s="4" t="str">
        <f t="shared" si="282"/>
        <v>GSE34153</v>
      </c>
      <c r="D2918" s="1" t="s">
        <v>214</v>
      </c>
      <c r="E2918" t="s">
        <v>215</v>
      </c>
      <c r="F2918" s="1">
        <v>2</v>
      </c>
      <c r="G2918" s="1" t="s">
        <v>223</v>
      </c>
      <c r="H2918" s="4" t="str">
        <f>HYPERLINK("https://www.ncbi.nlm.nih.gov/geo/query/acc.cgi?acc=GSM831959","GSM831959")</f>
        <v>GSM831959</v>
      </c>
      <c r="I2918" t="s">
        <v>111</v>
      </c>
      <c r="J2918" t="s">
        <v>18</v>
      </c>
      <c r="K2918" t="s">
        <v>19</v>
      </c>
      <c r="L2918" t="s">
        <v>113</v>
      </c>
      <c r="M2918" t="s">
        <v>113</v>
      </c>
      <c r="N2918" t="s">
        <v>22</v>
      </c>
    </row>
    <row r="2919" spans="1:14">
      <c r="A2919" s="4" t="str">
        <f t="shared" si="284"/>
        <v>EXP00089</v>
      </c>
      <c r="B2919" s="4" t="str">
        <f t="shared" si="281"/>
        <v>22412968</v>
      </c>
      <c r="C2919" s="4" t="str">
        <f t="shared" si="282"/>
        <v>GSE34153</v>
      </c>
      <c r="D2919" s="1" t="s">
        <v>214</v>
      </c>
      <c r="E2919" t="s">
        <v>215</v>
      </c>
      <c r="F2919" s="1">
        <v>2</v>
      </c>
      <c r="G2919" s="1" t="s">
        <v>223</v>
      </c>
      <c r="H2919" s="4" t="str">
        <f>HYPERLINK("https://www.ncbi.nlm.nih.gov/geo/query/acc.cgi?acc=GSM831960","GSM831960")</f>
        <v>GSM831960</v>
      </c>
      <c r="I2919" t="s">
        <v>111</v>
      </c>
      <c r="J2919" t="s">
        <v>18</v>
      </c>
      <c r="K2919" t="s">
        <v>19</v>
      </c>
      <c r="L2919" t="s">
        <v>113</v>
      </c>
      <c r="M2919" t="s">
        <v>113</v>
      </c>
      <c r="N2919" t="s">
        <v>22</v>
      </c>
    </row>
    <row r="2920" spans="1:14">
      <c r="A2920" s="4" t="str">
        <f t="shared" si="284"/>
        <v>EXP00089</v>
      </c>
      <c r="B2920" s="4" t="str">
        <f t="shared" si="281"/>
        <v>22412968</v>
      </c>
      <c r="C2920" s="4" t="str">
        <f t="shared" si="282"/>
        <v>GSE34153</v>
      </c>
      <c r="D2920" s="1" t="s">
        <v>214</v>
      </c>
      <c r="E2920" t="s">
        <v>215</v>
      </c>
      <c r="F2920" s="1">
        <v>2</v>
      </c>
      <c r="G2920" s="1" t="s">
        <v>223</v>
      </c>
      <c r="H2920" s="4" t="str">
        <f>HYPERLINK("https://www.ncbi.nlm.nih.gov/geo/query/acc.cgi?acc=GSM831964","GSM831964")</f>
        <v>GSM831964</v>
      </c>
      <c r="I2920" t="s">
        <v>111</v>
      </c>
      <c r="J2920" t="s">
        <v>18</v>
      </c>
      <c r="K2920" t="s">
        <v>19</v>
      </c>
      <c r="L2920" t="s">
        <v>113</v>
      </c>
      <c r="M2920" t="s">
        <v>113</v>
      </c>
      <c r="N2920" t="s">
        <v>22</v>
      </c>
    </row>
    <row r="2921" spans="1:14">
      <c r="A2921" s="4" t="str">
        <f t="shared" si="284"/>
        <v>EXP00089</v>
      </c>
      <c r="B2921" s="4" t="str">
        <f t="shared" si="281"/>
        <v>22412968</v>
      </c>
      <c r="C2921" s="4" t="str">
        <f t="shared" si="282"/>
        <v>GSE34153</v>
      </c>
      <c r="D2921" s="1" t="s">
        <v>214</v>
      </c>
      <c r="E2921" t="s">
        <v>215</v>
      </c>
      <c r="F2921" s="1">
        <v>2</v>
      </c>
      <c r="G2921" s="1" t="s">
        <v>223</v>
      </c>
      <c r="H2921" s="4" t="str">
        <f>HYPERLINK("https://www.ncbi.nlm.nih.gov/geo/query/acc.cgi?acc=GSM831966","GSM831966")</f>
        <v>GSM831966</v>
      </c>
      <c r="I2921" t="s">
        <v>111</v>
      </c>
      <c r="J2921" t="s">
        <v>18</v>
      </c>
      <c r="K2921" t="s">
        <v>19</v>
      </c>
      <c r="L2921" t="s">
        <v>113</v>
      </c>
      <c r="M2921" t="s">
        <v>113</v>
      </c>
      <c r="N2921" t="s">
        <v>22</v>
      </c>
    </row>
    <row r="2922" spans="1:14">
      <c r="A2922" s="4" t="str">
        <f t="shared" si="284"/>
        <v>EXP00089</v>
      </c>
      <c r="B2922" s="4" t="str">
        <f t="shared" si="281"/>
        <v>22412968</v>
      </c>
      <c r="C2922" s="4" t="str">
        <f t="shared" si="282"/>
        <v>GSE34153</v>
      </c>
      <c r="D2922" s="1" t="s">
        <v>214</v>
      </c>
      <c r="E2922" t="s">
        <v>215</v>
      </c>
      <c r="F2922" s="1">
        <v>2</v>
      </c>
      <c r="G2922" s="1" t="s">
        <v>223</v>
      </c>
      <c r="H2922" s="4" t="str">
        <f>HYPERLINK("https://www.ncbi.nlm.nih.gov/geo/query/acc.cgi?acc=GSM831970","GSM831970")</f>
        <v>GSM831970</v>
      </c>
      <c r="I2922" t="s">
        <v>111</v>
      </c>
      <c r="J2922" t="s">
        <v>18</v>
      </c>
      <c r="K2922" t="s">
        <v>19</v>
      </c>
      <c r="L2922" t="s">
        <v>113</v>
      </c>
      <c r="M2922" t="s">
        <v>113</v>
      </c>
      <c r="N2922" t="s">
        <v>22</v>
      </c>
    </row>
    <row r="2923" spans="1:14">
      <c r="A2923" s="4" t="str">
        <f t="shared" si="284"/>
        <v>EXP00089</v>
      </c>
      <c r="B2923" s="4" t="str">
        <f t="shared" si="281"/>
        <v>22412968</v>
      </c>
      <c r="C2923" s="4" t="str">
        <f t="shared" si="282"/>
        <v>GSE34153</v>
      </c>
      <c r="D2923" s="1" t="s">
        <v>214</v>
      </c>
      <c r="E2923" t="s">
        <v>215</v>
      </c>
      <c r="F2923" s="1">
        <v>2</v>
      </c>
      <c r="G2923" s="1" t="s">
        <v>223</v>
      </c>
      <c r="H2923" s="4" t="str">
        <f>HYPERLINK("https://www.ncbi.nlm.nih.gov/geo/query/acc.cgi?acc=GSM831973","GSM831973")</f>
        <v>GSM831973</v>
      </c>
      <c r="I2923" t="s">
        <v>111</v>
      </c>
      <c r="J2923" t="s">
        <v>18</v>
      </c>
      <c r="K2923" t="s">
        <v>19</v>
      </c>
      <c r="L2923" t="s">
        <v>113</v>
      </c>
      <c r="M2923" t="s">
        <v>113</v>
      </c>
      <c r="N2923" t="s">
        <v>22</v>
      </c>
    </row>
    <row r="2924" spans="1:14">
      <c r="A2924" s="4" t="str">
        <f t="shared" si="284"/>
        <v>EXP00089</v>
      </c>
      <c r="B2924" s="4" t="str">
        <f t="shared" si="281"/>
        <v>22412968</v>
      </c>
      <c r="C2924" s="4" t="str">
        <f t="shared" si="282"/>
        <v>GSE34153</v>
      </c>
      <c r="D2924" s="1" t="s">
        <v>214</v>
      </c>
      <c r="E2924" t="s">
        <v>215</v>
      </c>
      <c r="F2924" s="1">
        <v>2</v>
      </c>
      <c r="G2924" s="1" t="s">
        <v>223</v>
      </c>
      <c r="H2924" s="4" t="str">
        <f>HYPERLINK("https://www.ncbi.nlm.nih.gov/geo/query/acc.cgi?acc=GSM831988","GSM831988")</f>
        <v>GSM831988</v>
      </c>
      <c r="I2924" t="s">
        <v>111</v>
      </c>
      <c r="J2924" t="s">
        <v>18</v>
      </c>
      <c r="K2924" t="s">
        <v>19</v>
      </c>
      <c r="L2924" t="s">
        <v>113</v>
      </c>
      <c r="M2924" t="s">
        <v>113</v>
      </c>
      <c r="N2924" t="s">
        <v>22</v>
      </c>
    </row>
    <row r="2925" spans="1:14">
      <c r="A2925" s="4" t="str">
        <f t="shared" si="284"/>
        <v>EXP00089</v>
      </c>
      <c r="B2925" s="4" t="str">
        <f t="shared" si="281"/>
        <v>22412968</v>
      </c>
      <c r="C2925" s="4" t="str">
        <f t="shared" si="282"/>
        <v>GSE34153</v>
      </c>
      <c r="D2925" s="1" t="s">
        <v>214</v>
      </c>
      <c r="E2925" t="s">
        <v>215</v>
      </c>
      <c r="F2925" s="1">
        <v>2</v>
      </c>
      <c r="G2925" s="1" t="s">
        <v>223</v>
      </c>
      <c r="H2925" s="4" t="str">
        <f>HYPERLINK("https://www.ncbi.nlm.nih.gov/geo/query/acc.cgi?acc=GSM831992","GSM831992")</f>
        <v>GSM831992</v>
      </c>
      <c r="I2925" t="s">
        <v>111</v>
      </c>
      <c r="J2925" t="s">
        <v>18</v>
      </c>
      <c r="K2925" t="s">
        <v>19</v>
      </c>
      <c r="L2925" t="s">
        <v>113</v>
      </c>
      <c r="M2925" t="s">
        <v>113</v>
      </c>
      <c r="N2925" t="s">
        <v>22</v>
      </c>
    </row>
    <row r="2926" spans="1:14">
      <c r="A2926" s="4" t="str">
        <f t="shared" si="284"/>
        <v>EXP00089</v>
      </c>
      <c r="B2926" s="4" t="str">
        <f t="shared" si="281"/>
        <v>22412968</v>
      </c>
      <c r="C2926" s="4" t="str">
        <f t="shared" si="282"/>
        <v>GSE34153</v>
      </c>
      <c r="D2926" s="1" t="s">
        <v>214</v>
      </c>
      <c r="E2926" t="s">
        <v>215</v>
      </c>
      <c r="F2926" s="1">
        <v>2</v>
      </c>
      <c r="G2926" s="1" t="s">
        <v>223</v>
      </c>
      <c r="H2926" s="4" t="str">
        <f>HYPERLINK("https://www.ncbi.nlm.nih.gov/geo/query/acc.cgi?acc=GSM832006","GSM832006")</f>
        <v>GSM832006</v>
      </c>
      <c r="I2926" t="s">
        <v>111</v>
      </c>
      <c r="J2926" t="s">
        <v>18</v>
      </c>
      <c r="K2926" t="s">
        <v>19</v>
      </c>
      <c r="L2926" t="s">
        <v>113</v>
      </c>
      <c r="M2926" t="s">
        <v>113</v>
      </c>
      <c r="N2926" t="s">
        <v>22</v>
      </c>
    </row>
    <row r="2927" spans="1:14">
      <c r="A2927" s="4" t="str">
        <f t="shared" si="284"/>
        <v>EXP00089</v>
      </c>
      <c r="B2927" s="4" t="str">
        <f t="shared" si="281"/>
        <v>22412968</v>
      </c>
      <c r="C2927" s="4" t="str">
        <f t="shared" si="282"/>
        <v>GSE34153</v>
      </c>
      <c r="D2927" s="1" t="s">
        <v>214</v>
      </c>
      <c r="E2927" t="s">
        <v>215</v>
      </c>
      <c r="F2927" s="1">
        <v>2</v>
      </c>
      <c r="G2927" s="1" t="s">
        <v>223</v>
      </c>
      <c r="H2927" s="4" t="str">
        <f>HYPERLINK("https://www.ncbi.nlm.nih.gov/geo/query/acc.cgi?acc=GSM832007","GSM832007")</f>
        <v>GSM832007</v>
      </c>
      <c r="I2927" t="s">
        <v>111</v>
      </c>
      <c r="J2927" t="s">
        <v>18</v>
      </c>
      <c r="K2927" t="s">
        <v>19</v>
      </c>
      <c r="L2927" t="s">
        <v>113</v>
      </c>
      <c r="M2927" t="s">
        <v>113</v>
      </c>
      <c r="N2927" t="s">
        <v>22</v>
      </c>
    </row>
    <row r="2928" spans="1:14">
      <c r="A2928" s="4" t="str">
        <f t="shared" si="284"/>
        <v>EXP00089</v>
      </c>
      <c r="B2928" s="4" t="str">
        <f t="shared" si="281"/>
        <v>22412968</v>
      </c>
      <c r="C2928" s="4" t="str">
        <f t="shared" si="282"/>
        <v>GSE34153</v>
      </c>
      <c r="D2928" s="1" t="s">
        <v>214</v>
      </c>
      <c r="E2928" t="s">
        <v>215</v>
      </c>
      <c r="F2928" s="1">
        <v>2</v>
      </c>
      <c r="G2928" s="1" t="s">
        <v>223</v>
      </c>
      <c r="H2928" s="4" t="str">
        <f>HYPERLINK("https://www.ncbi.nlm.nih.gov/geo/query/acc.cgi?acc=GSM832010","GSM832010")</f>
        <v>GSM832010</v>
      </c>
      <c r="I2928" t="s">
        <v>111</v>
      </c>
      <c r="J2928" t="s">
        <v>18</v>
      </c>
      <c r="K2928" t="s">
        <v>19</v>
      </c>
      <c r="L2928" t="s">
        <v>113</v>
      </c>
      <c r="M2928" t="s">
        <v>113</v>
      </c>
      <c r="N2928" t="s">
        <v>22</v>
      </c>
    </row>
    <row r="2929" spans="1:14">
      <c r="A2929" s="4" t="str">
        <f t="shared" si="284"/>
        <v>EXP00089</v>
      </c>
      <c r="B2929" s="4" t="str">
        <f t="shared" si="281"/>
        <v>22412968</v>
      </c>
      <c r="C2929" s="4" t="str">
        <f t="shared" si="282"/>
        <v>GSE34153</v>
      </c>
      <c r="D2929" s="1" t="s">
        <v>214</v>
      </c>
      <c r="E2929" t="s">
        <v>215</v>
      </c>
      <c r="F2929" s="1">
        <v>2</v>
      </c>
      <c r="G2929" s="1" t="s">
        <v>223</v>
      </c>
      <c r="H2929" s="4" t="str">
        <f>HYPERLINK("https://www.ncbi.nlm.nih.gov/geo/query/acc.cgi?acc=GSM832011","GSM832011")</f>
        <v>GSM832011</v>
      </c>
      <c r="I2929" t="s">
        <v>111</v>
      </c>
      <c r="J2929" t="s">
        <v>18</v>
      </c>
      <c r="K2929" t="s">
        <v>19</v>
      </c>
      <c r="L2929" t="s">
        <v>113</v>
      </c>
      <c r="M2929" t="s">
        <v>113</v>
      </c>
      <c r="N2929" t="s">
        <v>22</v>
      </c>
    </row>
    <row r="2930" spans="1:14">
      <c r="A2930" s="4" t="str">
        <f t="shared" si="284"/>
        <v>EXP00089</v>
      </c>
      <c r="B2930" s="4" t="str">
        <f t="shared" si="281"/>
        <v>22412968</v>
      </c>
      <c r="C2930" s="4" t="str">
        <f t="shared" si="282"/>
        <v>GSE34153</v>
      </c>
      <c r="D2930" s="1" t="s">
        <v>214</v>
      </c>
      <c r="E2930" t="s">
        <v>215</v>
      </c>
      <c r="F2930" s="1">
        <v>2</v>
      </c>
      <c r="G2930" s="1" t="s">
        <v>223</v>
      </c>
      <c r="H2930" s="4" t="str">
        <f>HYPERLINK("https://www.ncbi.nlm.nih.gov/geo/query/acc.cgi?acc=GSM832012","GSM832012")</f>
        <v>GSM832012</v>
      </c>
      <c r="I2930" t="s">
        <v>111</v>
      </c>
      <c r="J2930" t="s">
        <v>18</v>
      </c>
      <c r="K2930" t="s">
        <v>19</v>
      </c>
      <c r="L2930" t="s">
        <v>113</v>
      </c>
      <c r="M2930" t="s">
        <v>113</v>
      </c>
      <c r="N2930" t="s">
        <v>22</v>
      </c>
    </row>
    <row r="2931" spans="1:14">
      <c r="A2931" s="4" t="str">
        <f t="shared" ref="A2931:A2958" si="285">HYPERLINK("http://hcmdb.i-sanger.com/experiment/details/experiment_id/EXP00090","EXP00090")</f>
        <v>EXP00090</v>
      </c>
      <c r="B2931" s="4" t="str">
        <f t="shared" si="281"/>
        <v>22412968</v>
      </c>
      <c r="C2931" s="4" t="str">
        <f t="shared" si="282"/>
        <v>GSE34153</v>
      </c>
      <c r="D2931" s="1" t="s">
        <v>214</v>
      </c>
      <c r="E2931" t="s">
        <v>215</v>
      </c>
      <c r="F2931" s="1">
        <v>1</v>
      </c>
      <c r="G2931" s="1" t="s">
        <v>218</v>
      </c>
      <c r="H2931" s="4" t="str">
        <f>HYPERLINK("https://www.ncbi.nlm.nih.gov/geo/query/acc.cgi?acc=GSM831946","GSM831946")</f>
        <v>GSM831946</v>
      </c>
      <c r="I2931" t="s">
        <v>111</v>
      </c>
      <c r="J2931" t="s">
        <v>18</v>
      </c>
      <c r="K2931" t="s">
        <v>19</v>
      </c>
      <c r="L2931" t="s">
        <v>113</v>
      </c>
      <c r="M2931" t="s">
        <v>44</v>
      </c>
      <c r="N2931" t="s">
        <v>22</v>
      </c>
    </row>
    <row r="2932" spans="1:14">
      <c r="A2932" s="4" t="str">
        <f t="shared" si="285"/>
        <v>EXP00090</v>
      </c>
      <c r="B2932" s="4" t="str">
        <f t="shared" si="281"/>
        <v>22412968</v>
      </c>
      <c r="C2932" s="4" t="str">
        <f t="shared" si="282"/>
        <v>GSE34153</v>
      </c>
      <c r="D2932" s="1" t="s">
        <v>214</v>
      </c>
      <c r="E2932" t="s">
        <v>215</v>
      </c>
      <c r="F2932" s="1">
        <v>1</v>
      </c>
      <c r="G2932" s="1" t="s">
        <v>218</v>
      </c>
      <c r="H2932" s="4" t="str">
        <f>HYPERLINK("https://www.ncbi.nlm.nih.gov/geo/query/acc.cgi?acc=GSM831947","GSM831947")</f>
        <v>GSM831947</v>
      </c>
      <c r="I2932" t="s">
        <v>111</v>
      </c>
      <c r="J2932" t="s">
        <v>18</v>
      </c>
      <c r="K2932" t="s">
        <v>19</v>
      </c>
      <c r="L2932" t="s">
        <v>113</v>
      </c>
      <c r="M2932" t="s">
        <v>44</v>
      </c>
      <c r="N2932" t="s">
        <v>22</v>
      </c>
    </row>
    <row r="2933" spans="1:14">
      <c r="A2933" s="4" t="str">
        <f t="shared" si="285"/>
        <v>EXP00090</v>
      </c>
      <c r="B2933" s="4" t="str">
        <f t="shared" si="281"/>
        <v>22412968</v>
      </c>
      <c r="C2933" s="4" t="str">
        <f t="shared" si="282"/>
        <v>GSE34153</v>
      </c>
      <c r="D2933" s="1" t="s">
        <v>214</v>
      </c>
      <c r="E2933" t="s">
        <v>215</v>
      </c>
      <c r="F2933" s="1">
        <v>1</v>
      </c>
      <c r="G2933" s="1" t="s">
        <v>218</v>
      </c>
      <c r="H2933" s="4" t="str">
        <f>HYPERLINK("https://www.ncbi.nlm.nih.gov/geo/query/acc.cgi?acc=GSM831948","GSM831948")</f>
        <v>GSM831948</v>
      </c>
      <c r="I2933" t="s">
        <v>111</v>
      </c>
      <c r="J2933" t="s">
        <v>18</v>
      </c>
      <c r="K2933" t="s">
        <v>19</v>
      </c>
      <c r="L2933" t="s">
        <v>113</v>
      </c>
      <c r="M2933" t="s">
        <v>44</v>
      </c>
      <c r="N2933" t="s">
        <v>22</v>
      </c>
    </row>
    <row r="2934" spans="1:14">
      <c r="A2934" s="4" t="str">
        <f t="shared" si="285"/>
        <v>EXP00090</v>
      </c>
      <c r="B2934" s="4" t="str">
        <f t="shared" si="281"/>
        <v>22412968</v>
      </c>
      <c r="C2934" s="4" t="str">
        <f t="shared" si="282"/>
        <v>GSE34153</v>
      </c>
      <c r="D2934" s="1" t="s">
        <v>214</v>
      </c>
      <c r="E2934" t="s">
        <v>215</v>
      </c>
      <c r="F2934" s="1">
        <v>1</v>
      </c>
      <c r="G2934" s="1" t="s">
        <v>218</v>
      </c>
      <c r="H2934" s="4" t="str">
        <f>HYPERLINK("https://www.ncbi.nlm.nih.gov/geo/query/acc.cgi?acc=GSM831952","GSM831952")</f>
        <v>GSM831952</v>
      </c>
      <c r="I2934" t="s">
        <v>111</v>
      </c>
      <c r="J2934" t="s">
        <v>18</v>
      </c>
      <c r="K2934" t="s">
        <v>19</v>
      </c>
      <c r="L2934" t="s">
        <v>113</v>
      </c>
      <c r="M2934" t="s">
        <v>44</v>
      </c>
      <c r="N2934" t="s">
        <v>22</v>
      </c>
    </row>
    <row r="2935" spans="1:14">
      <c r="A2935" s="4" t="str">
        <f t="shared" si="285"/>
        <v>EXP00090</v>
      </c>
      <c r="B2935" s="4" t="str">
        <f t="shared" si="281"/>
        <v>22412968</v>
      </c>
      <c r="C2935" s="4" t="str">
        <f t="shared" si="282"/>
        <v>GSE34153</v>
      </c>
      <c r="D2935" s="1" t="s">
        <v>214</v>
      </c>
      <c r="E2935" t="s">
        <v>215</v>
      </c>
      <c r="F2935" s="1">
        <v>1</v>
      </c>
      <c r="G2935" s="1" t="s">
        <v>218</v>
      </c>
      <c r="H2935" s="4" t="str">
        <f>HYPERLINK("https://www.ncbi.nlm.nih.gov/geo/query/acc.cgi?acc=GSM831961","GSM831961")</f>
        <v>GSM831961</v>
      </c>
      <c r="I2935" t="s">
        <v>111</v>
      </c>
      <c r="J2935" t="s">
        <v>18</v>
      </c>
      <c r="K2935" t="s">
        <v>19</v>
      </c>
      <c r="L2935" t="s">
        <v>113</v>
      </c>
      <c r="M2935" t="s">
        <v>44</v>
      </c>
      <c r="N2935" t="s">
        <v>22</v>
      </c>
    </row>
    <row r="2936" spans="1:14">
      <c r="A2936" s="4" t="str">
        <f t="shared" si="285"/>
        <v>EXP00090</v>
      </c>
      <c r="B2936" s="4" t="str">
        <f t="shared" si="281"/>
        <v>22412968</v>
      </c>
      <c r="C2936" s="4" t="str">
        <f t="shared" si="282"/>
        <v>GSE34153</v>
      </c>
      <c r="D2936" s="1" t="s">
        <v>214</v>
      </c>
      <c r="E2936" t="s">
        <v>215</v>
      </c>
      <c r="F2936" s="1">
        <v>1</v>
      </c>
      <c r="G2936" s="1" t="s">
        <v>218</v>
      </c>
      <c r="H2936" s="4" t="str">
        <f>HYPERLINK("https://www.ncbi.nlm.nih.gov/geo/query/acc.cgi?acc=GSM831965","GSM831965")</f>
        <v>GSM831965</v>
      </c>
      <c r="I2936" t="s">
        <v>111</v>
      </c>
      <c r="J2936" t="s">
        <v>18</v>
      </c>
      <c r="K2936" t="s">
        <v>19</v>
      </c>
      <c r="L2936" t="s">
        <v>113</v>
      </c>
      <c r="M2936" t="s">
        <v>44</v>
      </c>
      <c r="N2936" t="s">
        <v>22</v>
      </c>
    </row>
    <row r="2937" spans="1:14">
      <c r="A2937" s="4" t="str">
        <f t="shared" si="285"/>
        <v>EXP00090</v>
      </c>
      <c r="B2937" s="4" t="str">
        <f t="shared" si="281"/>
        <v>22412968</v>
      </c>
      <c r="C2937" s="4" t="str">
        <f t="shared" si="282"/>
        <v>GSE34153</v>
      </c>
      <c r="D2937" s="1" t="s">
        <v>214</v>
      </c>
      <c r="E2937" t="s">
        <v>215</v>
      </c>
      <c r="F2937" s="1">
        <v>1</v>
      </c>
      <c r="G2937" s="1" t="s">
        <v>218</v>
      </c>
      <c r="H2937" s="4" t="str">
        <f>HYPERLINK("https://www.ncbi.nlm.nih.gov/geo/query/acc.cgi?acc=GSM831967","GSM831967")</f>
        <v>GSM831967</v>
      </c>
      <c r="I2937" t="s">
        <v>111</v>
      </c>
      <c r="J2937" t="s">
        <v>18</v>
      </c>
      <c r="K2937" t="s">
        <v>19</v>
      </c>
      <c r="L2937" t="s">
        <v>113</v>
      </c>
      <c r="M2937" t="s">
        <v>44</v>
      </c>
      <c r="N2937" t="s">
        <v>22</v>
      </c>
    </row>
    <row r="2938" spans="1:14">
      <c r="A2938" s="4" t="str">
        <f t="shared" si="285"/>
        <v>EXP00090</v>
      </c>
      <c r="B2938" s="4" t="str">
        <f t="shared" si="281"/>
        <v>22412968</v>
      </c>
      <c r="C2938" s="4" t="str">
        <f t="shared" si="282"/>
        <v>GSE34153</v>
      </c>
      <c r="D2938" s="1" t="s">
        <v>214</v>
      </c>
      <c r="E2938" t="s">
        <v>215</v>
      </c>
      <c r="F2938" s="1">
        <v>1</v>
      </c>
      <c r="G2938" s="1" t="s">
        <v>218</v>
      </c>
      <c r="H2938" s="4" t="str">
        <f>HYPERLINK("https://www.ncbi.nlm.nih.gov/geo/query/acc.cgi?acc=GSM831977","GSM831977")</f>
        <v>GSM831977</v>
      </c>
      <c r="I2938" t="s">
        <v>111</v>
      </c>
      <c r="J2938" t="s">
        <v>18</v>
      </c>
      <c r="K2938" t="s">
        <v>19</v>
      </c>
      <c r="L2938" t="s">
        <v>113</v>
      </c>
      <c r="M2938" t="s">
        <v>44</v>
      </c>
      <c r="N2938" t="s">
        <v>22</v>
      </c>
    </row>
    <row r="2939" spans="1:14">
      <c r="A2939" s="4" t="str">
        <f t="shared" si="285"/>
        <v>EXP00090</v>
      </c>
      <c r="B2939" s="4" t="str">
        <f t="shared" si="281"/>
        <v>22412968</v>
      </c>
      <c r="C2939" s="4" t="str">
        <f t="shared" si="282"/>
        <v>GSE34153</v>
      </c>
      <c r="D2939" s="1" t="s">
        <v>214</v>
      </c>
      <c r="E2939" t="s">
        <v>215</v>
      </c>
      <c r="F2939" s="1">
        <v>1</v>
      </c>
      <c r="G2939" s="1" t="s">
        <v>218</v>
      </c>
      <c r="H2939" s="4" t="str">
        <f>HYPERLINK("https://www.ncbi.nlm.nih.gov/geo/query/acc.cgi?acc=GSM831983","GSM831983")</f>
        <v>GSM831983</v>
      </c>
      <c r="I2939" t="s">
        <v>111</v>
      </c>
      <c r="J2939" t="s">
        <v>18</v>
      </c>
      <c r="K2939" t="s">
        <v>19</v>
      </c>
      <c r="L2939" t="s">
        <v>113</v>
      </c>
      <c r="M2939" t="s">
        <v>44</v>
      </c>
      <c r="N2939" t="s">
        <v>22</v>
      </c>
    </row>
    <row r="2940" spans="1:14">
      <c r="A2940" s="4" t="str">
        <f t="shared" si="285"/>
        <v>EXP00090</v>
      </c>
      <c r="B2940" s="4" t="str">
        <f t="shared" si="281"/>
        <v>22412968</v>
      </c>
      <c r="C2940" s="4" t="str">
        <f t="shared" si="282"/>
        <v>GSE34153</v>
      </c>
      <c r="D2940" s="1" t="s">
        <v>214</v>
      </c>
      <c r="E2940" t="s">
        <v>215</v>
      </c>
      <c r="F2940" s="1">
        <v>1</v>
      </c>
      <c r="G2940" s="1" t="s">
        <v>218</v>
      </c>
      <c r="H2940" s="4" t="str">
        <f>HYPERLINK("https://www.ncbi.nlm.nih.gov/geo/query/acc.cgi?acc=GSM831984","GSM831984")</f>
        <v>GSM831984</v>
      </c>
      <c r="I2940" t="s">
        <v>111</v>
      </c>
      <c r="J2940" t="s">
        <v>18</v>
      </c>
      <c r="K2940" t="s">
        <v>19</v>
      </c>
      <c r="L2940" t="s">
        <v>113</v>
      </c>
      <c r="M2940" t="s">
        <v>44</v>
      </c>
      <c r="N2940" t="s">
        <v>22</v>
      </c>
    </row>
    <row r="2941" spans="1:14">
      <c r="A2941" s="4" t="str">
        <f t="shared" si="285"/>
        <v>EXP00090</v>
      </c>
      <c r="B2941" s="4" t="str">
        <f t="shared" si="281"/>
        <v>22412968</v>
      </c>
      <c r="C2941" s="4" t="str">
        <f t="shared" si="282"/>
        <v>GSE34153</v>
      </c>
      <c r="D2941" s="1" t="s">
        <v>214</v>
      </c>
      <c r="E2941" t="s">
        <v>215</v>
      </c>
      <c r="F2941" s="1">
        <v>1</v>
      </c>
      <c r="G2941" s="1" t="s">
        <v>218</v>
      </c>
      <c r="H2941" s="4" t="str">
        <f>HYPERLINK("https://www.ncbi.nlm.nih.gov/geo/query/acc.cgi?acc=GSM831985","GSM831985")</f>
        <v>GSM831985</v>
      </c>
      <c r="I2941" t="s">
        <v>111</v>
      </c>
      <c r="J2941" t="s">
        <v>18</v>
      </c>
      <c r="K2941" t="s">
        <v>19</v>
      </c>
      <c r="L2941" t="s">
        <v>113</v>
      </c>
      <c r="M2941" t="s">
        <v>44</v>
      </c>
      <c r="N2941" t="s">
        <v>22</v>
      </c>
    </row>
    <row r="2942" spans="1:14">
      <c r="A2942" s="4" t="str">
        <f t="shared" si="285"/>
        <v>EXP00090</v>
      </c>
      <c r="B2942" s="4" t="str">
        <f t="shared" si="281"/>
        <v>22412968</v>
      </c>
      <c r="C2942" s="4" t="str">
        <f t="shared" si="282"/>
        <v>GSE34153</v>
      </c>
      <c r="D2942" s="1" t="s">
        <v>214</v>
      </c>
      <c r="E2942" t="s">
        <v>215</v>
      </c>
      <c r="F2942" s="1">
        <v>1</v>
      </c>
      <c r="G2942" s="1" t="s">
        <v>218</v>
      </c>
      <c r="H2942" s="4" t="str">
        <f>HYPERLINK("https://www.ncbi.nlm.nih.gov/geo/query/acc.cgi?acc=GSM831990","GSM831990")</f>
        <v>GSM831990</v>
      </c>
      <c r="I2942" t="s">
        <v>111</v>
      </c>
      <c r="J2942" t="s">
        <v>18</v>
      </c>
      <c r="K2942" t="s">
        <v>19</v>
      </c>
      <c r="L2942" t="s">
        <v>113</v>
      </c>
      <c r="M2942" t="s">
        <v>44</v>
      </c>
      <c r="N2942" t="s">
        <v>22</v>
      </c>
    </row>
    <row r="2943" spans="1:14">
      <c r="A2943" s="4" t="str">
        <f t="shared" si="285"/>
        <v>EXP00090</v>
      </c>
      <c r="B2943" s="4" t="str">
        <f t="shared" si="281"/>
        <v>22412968</v>
      </c>
      <c r="C2943" s="4" t="str">
        <f t="shared" si="282"/>
        <v>GSE34153</v>
      </c>
      <c r="D2943" s="1" t="s">
        <v>214</v>
      </c>
      <c r="E2943" t="s">
        <v>215</v>
      </c>
      <c r="F2943" s="1">
        <v>1</v>
      </c>
      <c r="G2943" s="1" t="s">
        <v>218</v>
      </c>
      <c r="H2943" s="4" t="str">
        <f>HYPERLINK("https://www.ncbi.nlm.nih.gov/geo/query/acc.cgi?acc=GSM831991","GSM831991")</f>
        <v>GSM831991</v>
      </c>
      <c r="I2943" t="s">
        <v>111</v>
      </c>
      <c r="J2943" t="s">
        <v>18</v>
      </c>
      <c r="K2943" t="s">
        <v>19</v>
      </c>
      <c r="L2943" t="s">
        <v>113</v>
      </c>
      <c r="M2943" t="s">
        <v>44</v>
      </c>
      <c r="N2943" t="s">
        <v>22</v>
      </c>
    </row>
    <row r="2944" spans="1:14">
      <c r="A2944" s="4" t="str">
        <f t="shared" si="285"/>
        <v>EXP00090</v>
      </c>
      <c r="B2944" s="4" t="str">
        <f t="shared" si="281"/>
        <v>22412968</v>
      </c>
      <c r="C2944" s="4" t="str">
        <f t="shared" si="282"/>
        <v>GSE34153</v>
      </c>
      <c r="D2944" s="1" t="s">
        <v>214</v>
      </c>
      <c r="E2944" t="s">
        <v>215</v>
      </c>
      <c r="F2944" s="1">
        <v>1</v>
      </c>
      <c r="G2944" s="1" t="s">
        <v>218</v>
      </c>
      <c r="H2944" s="4" t="str">
        <f>HYPERLINK("https://www.ncbi.nlm.nih.gov/geo/query/acc.cgi?acc=GSM831994","GSM831994")</f>
        <v>GSM831994</v>
      </c>
      <c r="I2944" t="s">
        <v>111</v>
      </c>
      <c r="J2944" t="s">
        <v>18</v>
      </c>
      <c r="K2944" t="s">
        <v>19</v>
      </c>
      <c r="L2944" t="s">
        <v>113</v>
      </c>
      <c r="M2944" t="s">
        <v>44</v>
      </c>
      <c r="N2944" t="s">
        <v>22</v>
      </c>
    </row>
    <row r="2945" spans="1:14">
      <c r="A2945" s="4" t="str">
        <f t="shared" si="285"/>
        <v>EXP00090</v>
      </c>
      <c r="B2945" s="4" t="str">
        <f t="shared" ref="B2945:B3008" si="286">HYPERLINK("https://www.ncbi.nlm.nih.gov/pubmed/22412968","22412968")</f>
        <v>22412968</v>
      </c>
      <c r="C2945" s="4" t="str">
        <f t="shared" ref="C2945:C3008" si="287">HYPERLINK("https://www.ncbi.nlm.nih.gov/geo/query/acc.cgi?acc=GSE34153","GSE34153")</f>
        <v>GSE34153</v>
      </c>
      <c r="D2945" s="1" t="s">
        <v>214</v>
      </c>
      <c r="E2945" t="s">
        <v>215</v>
      </c>
      <c r="F2945" s="1">
        <v>1</v>
      </c>
      <c r="G2945" s="1" t="s">
        <v>218</v>
      </c>
      <c r="H2945" s="4" t="str">
        <f>HYPERLINK("https://www.ncbi.nlm.nih.gov/geo/query/acc.cgi?acc=GSM831995","GSM831995")</f>
        <v>GSM831995</v>
      </c>
      <c r="I2945" t="s">
        <v>111</v>
      </c>
      <c r="J2945" t="s">
        <v>18</v>
      </c>
      <c r="K2945" t="s">
        <v>19</v>
      </c>
      <c r="L2945" t="s">
        <v>113</v>
      </c>
      <c r="M2945" t="s">
        <v>44</v>
      </c>
      <c r="N2945" t="s">
        <v>22</v>
      </c>
    </row>
    <row r="2946" spans="1:14">
      <c r="A2946" s="4" t="str">
        <f t="shared" si="285"/>
        <v>EXP00090</v>
      </c>
      <c r="B2946" s="4" t="str">
        <f t="shared" si="286"/>
        <v>22412968</v>
      </c>
      <c r="C2946" s="4" t="str">
        <f t="shared" si="287"/>
        <v>GSE34153</v>
      </c>
      <c r="D2946" s="1" t="s">
        <v>214</v>
      </c>
      <c r="E2946" t="s">
        <v>215</v>
      </c>
      <c r="F2946" s="1">
        <v>1</v>
      </c>
      <c r="G2946" s="1" t="s">
        <v>218</v>
      </c>
      <c r="H2946" s="4" t="str">
        <f>HYPERLINK("https://www.ncbi.nlm.nih.gov/geo/query/acc.cgi?acc=GSM831998","GSM831998")</f>
        <v>GSM831998</v>
      </c>
      <c r="I2946" t="s">
        <v>111</v>
      </c>
      <c r="J2946" t="s">
        <v>18</v>
      </c>
      <c r="K2946" t="s">
        <v>19</v>
      </c>
      <c r="L2946" t="s">
        <v>113</v>
      </c>
      <c r="M2946" t="s">
        <v>44</v>
      </c>
      <c r="N2946" t="s">
        <v>22</v>
      </c>
    </row>
    <row r="2947" spans="1:14">
      <c r="A2947" s="4" t="str">
        <f t="shared" si="285"/>
        <v>EXP00090</v>
      </c>
      <c r="B2947" s="4" t="str">
        <f t="shared" si="286"/>
        <v>22412968</v>
      </c>
      <c r="C2947" s="4" t="str">
        <f t="shared" si="287"/>
        <v>GSE34153</v>
      </c>
      <c r="D2947" s="1" t="s">
        <v>214</v>
      </c>
      <c r="E2947" t="s">
        <v>215</v>
      </c>
      <c r="F2947" s="1">
        <v>1</v>
      </c>
      <c r="G2947" s="1" t="s">
        <v>218</v>
      </c>
      <c r="H2947" s="4" t="str">
        <f>HYPERLINK("https://www.ncbi.nlm.nih.gov/geo/query/acc.cgi?acc=GSM832000","GSM832000")</f>
        <v>GSM832000</v>
      </c>
      <c r="I2947" t="s">
        <v>111</v>
      </c>
      <c r="J2947" t="s">
        <v>18</v>
      </c>
      <c r="K2947" t="s">
        <v>19</v>
      </c>
      <c r="L2947" t="s">
        <v>113</v>
      </c>
      <c r="M2947" t="s">
        <v>44</v>
      </c>
      <c r="N2947" t="s">
        <v>22</v>
      </c>
    </row>
    <row r="2948" spans="1:14">
      <c r="A2948" s="4" t="str">
        <f t="shared" si="285"/>
        <v>EXP00090</v>
      </c>
      <c r="B2948" s="4" t="str">
        <f t="shared" si="286"/>
        <v>22412968</v>
      </c>
      <c r="C2948" s="4" t="str">
        <f t="shared" si="287"/>
        <v>GSE34153</v>
      </c>
      <c r="D2948" s="1" t="s">
        <v>214</v>
      </c>
      <c r="E2948" t="s">
        <v>215</v>
      </c>
      <c r="F2948" s="1">
        <v>1</v>
      </c>
      <c r="G2948" s="1" t="s">
        <v>218</v>
      </c>
      <c r="H2948" s="4" t="str">
        <f>HYPERLINK("https://www.ncbi.nlm.nih.gov/geo/query/acc.cgi?acc=GSM832008","GSM832008")</f>
        <v>GSM832008</v>
      </c>
      <c r="I2948" t="s">
        <v>111</v>
      </c>
      <c r="J2948" t="s">
        <v>18</v>
      </c>
      <c r="K2948" t="s">
        <v>19</v>
      </c>
      <c r="L2948" t="s">
        <v>113</v>
      </c>
      <c r="M2948" t="s">
        <v>44</v>
      </c>
      <c r="N2948" t="s">
        <v>22</v>
      </c>
    </row>
    <row r="2949" spans="1:14">
      <c r="A2949" s="4" t="str">
        <f t="shared" si="285"/>
        <v>EXP00090</v>
      </c>
      <c r="B2949" s="4" t="str">
        <f t="shared" si="286"/>
        <v>22412968</v>
      </c>
      <c r="C2949" s="4" t="str">
        <f t="shared" si="287"/>
        <v>GSE34153</v>
      </c>
      <c r="D2949" s="1" t="s">
        <v>214</v>
      </c>
      <c r="E2949" t="s">
        <v>215</v>
      </c>
      <c r="F2949" s="1">
        <v>1</v>
      </c>
      <c r="G2949" s="1" t="s">
        <v>218</v>
      </c>
      <c r="H2949" s="4" t="str">
        <f>HYPERLINK("https://www.ncbi.nlm.nih.gov/geo/query/acc.cgi?acc=GSM832009","GSM832009")</f>
        <v>GSM832009</v>
      </c>
      <c r="I2949" t="s">
        <v>111</v>
      </c>
      <c r="J2949" t="s">
        <v>18</v>
      </c>
      <c r="K2949" t="s">
        <v>19</v>
      </c>
      <c r="L2949" t="s">
        <v>113</v>
      </c>
      <c r="M2949" t="s">
        <v>44</v>
      </c>
      <c r="N2949" t="s">
        <v>22</v>
      </c>
    </row>
    <row r="2950" spans="1:14">
      <c r="A2950" s="4" t="str">
        <f t="shared" si="285"/>
        <v>EXP00090</v>
      </c>
      <c r="B2950" s="4" t="str">
        <f t="shared" si="286"/>
        <v>22412968</v>
      </c>
      <c r="C2950" s="4" t="str">
        <f t="shared" si="287"/>
        <v>GSE34153</v>
      </c>
      <c r="D2950" s="1" t="s">
        <v>214</v>
      </c>
      <c r="E2950" t="s">
        <v>215</v>
      </c>
      <c r="F2950" s="1">
        <v>1</v>
      </c>
      <c r="G2950" s="1" t="s">
        <v>218</v>
      </c>
      <c r="H2950" s="4" t="str">
        <f>HYPERLINK("https://www.ncbi.nlm.nih.gov/geo/query/acc.cgi?acc=GSM832013","GSM832013")</f>
        <v>GSM832013</v>
      </c>
      <c r="I2950" t="s">
        <v>111</v>
      </c>
      <c r="J2950" t="s">
        <v>18</v>
      </c>
      <c r="K2950" t="s">
        <v>19</v>
      </c>
      <c r="L2950" t="s">
        <v>113</v>
      </c>
      <c r="M2950" t="s">
        <v>44</v>
      </c>
      <c r="N2950" t="s">
        <v>22</v>
      </c>
    </row>
    <row r="2951" spans="1:14">
      <c r="A2951" s="4" t="str">
        <f t="shared" si="285"/>
        <v>EXP00090</v>
      </c>
      <c r="B2951" s="4" t="str">
        <f t="shared" si="286"/>
        <v>22412968</v>
      </c>
      <c r="C2951" s="4" t="str">
        <f t="shared" si="287"/>
        <v>GSE34153</v>
      </c>
      <c r="D2951" s="1" t="s">
        <v>214</v>
      </c>
      <c r="E2951" t="s">
        <v>215</v>
      </c>
      <c r="F2951" s="1">
        <v>2</v>
      </c>
      <c r="G2951" s="1" t="s">
        <v>219</v>
      </c>
      <c r="H2951" s="4" t="str">
        <f>HYPERLINK("https://www.ncbi.nlm.nih.gov/geo/query/acc.cgi?acc=GSM831949","GSM831949")</f>
        <v>GSM831949</v>
      </c>
      <c r="I2951" t="s">
        <v>111</v>
      </c>
      <c r="J2951" t="s">
        <v>18</v>
      </c>
      <c r="K2951" t="s">
        <v>19</v>
      </c>
      <c r="L2951" t="s">
        <v>113</v>
      </c>
      <c r="M2951" t="s">
        <v>41</v>
      </c>
      <c r="N2951" t="s">
        <v>22</v>
      </c>
    </row>
    <row r="2952" spans="1:14">
      <c r="A2952" s="4" t="str">
        <f t="shared" si="285"/>
        <v>EXP00090</v>
      </c>
      <c r="B2952" s="4" t="str">
        <f t="shared" si="286"/>
        <v>22412968</v>
      </c>
      <c r="C2952" s="4" t="str">
        <f t="shared" si="287"/>
        <v>GSE34153</v>
      </c>
      <c r="D2952" s="1" t="s">
        <v>214</v>
      </c>
      <c r="E2952" t="s">
        <v>215</v>
      </c>
      <c r="F2952" s="1">
        <v>2</v>
      </c>
      <c r="G2952" s="1" t="s">
        <v>219</v>
      </c>
      <c r="H2952" s="4" t="str">
        <f>HYPERLINK("https://www.ncbi.nlm.nih.gov/geo/query/acc.cgi?acc=GSM831950","GSM831950")</f>
        <v>GSM831950</v>
      </c>
      <c r="I2952" t="s">
        <v>111</v>
      </c>
      <c r="J2952" t="s">
        <v>18</v>
      </c>
      <c r="K2952" t="s">
        <v>19</v>
      </c>
      <c r="L2952" t="s">
        <v>113</v>
      </c>
      <c r="M2952" t="s">
        <v>41</v>
      </c>
      <c r="N2952" t="s">
        <v>22</v>
      </c>
    </row>
    <row r="2953" spans="1:14">
      <c r="A2953" s="4" t="str">
        <f t="shared" si="285"/>
        <v>EXP00090</v>
      </c>
      <c r="B2953" s="4" t="str">
        <f t="shared" si="286"/>
        <v>22412968</v>
      </c>
      <c r="C2953" s="4" t="str">
        <f t="shared" si="287"/>
        <v>GSE34153</v>
      </c>
      <c r="D2953" s="1" t="s">
        <v>214</v>
      </c>
      <c r="E2953" t="s">
        <v>215</v>
      </c>
      <c r="F2953" s="1">
        <v>2</v>
      </c>
      <c r="G2953" s="1" t="s">
        <v>219</v>
      </c>
      <c r="H2953" s="4" t="str">
        <f>HYPERLINK("https://www.ncbi.nlm.nih.gov/geo/query/acc.cgi?acc=GSM831957","GSM831957")</f>
        <v>GSM831957</v>
      </c>
      <c r="I2953" t="s">
        <v>111</v>
      </c>
      <c r="J2953" t="s">
        <v>18</v>
      </c>
      <c r="K2953" t="s">
        <v>19</v>
      </c>
      <c r="L2953" t="s">
        <v>113</v>
      </c>
      <c r="M2953" t="s">
        <v>41</v>
      </c>
      <c r="N2953" t="s">
        <v>22</v>
      </c>
    </row>
    <row r="2954" spans="1:14">
      <c r="A2954" s="4" t="str">
        <f t="shared" si="285"/>
        <v>EXP00090</v>
      </c>
      <c r="B2954" s="4" t="str">
        <f t="shared" si="286"/>
        <v>22412968</v>
      </c>
      <c r="C2954" s="4" t="str">
        <f t="shared" si="287"/>
        <v>GSE34153</v>
      </c>
      <c r="D2954" s="1" t="s">
        <v>214</v>
      </c>
      <c r="E2954" t="s">
        <v>215</v>
      </c>
      <c r="F2954" s="1">
        <v>2</v>
      </c>
      <c r="G2954" s="1" t="s">
        <v>219</v>
      </c>
      <c r="H2954" s="4" t="str">
        <f>HYPERLINK("https://www.ncbi.nlm.nih.gov/geo/query/acc.cgi?acc=GSM831974","GSM831974")</f>
        <v>GSM831974</v>
      </c>
      <c r="I2954" t="s">
        <v>111</v>
      </c>
      <c r="J2954" t="s">
        <v>18</v>
      </c>
      <c r="K2954" t="s">
        <v>19</v>
      </c>
      <c r="L2954" t="s">
        <v>113</v>
      </c>
      <c r="M2954" t="s">
        <v>41</v>
      </c>
      <c r="N2954" t="s">
        <v>22</v>
      </c>
    </row>
    <row r="2955" spans="1:14">
      <c r="A2955" s="4" t="str">
        <f t="shared" si="285"/>
        <v>EXP00090</v>
      </c>
      <c r="B2955" s="4" t="str">
        <f t="shared" si="286"/>
        <v>22412968</v>
      </c>
      <c r="C2955" s="4" t="str">
        <f t="shared" si="287"/>
        <v>GSE34153</v>
      </c>
      <c r="D2955" s="1" t="s">
        <v>214</v>
      </c>
      <c r="E2955" t="s">
        <v>215</v>
      </c>
      <c r="F2955" s="1">
        <v>2</v>
      </c>
      <c r="G2955" s="1" t="s">
        <v>219</v>
      </c>
      <c r="H2955" s="4" t="str">
        <f>HYPERLINK("https://www.ncbi.nlm.nih.gov/geo/query/acc.cgi?acc=GSM832004","GSM832004")</f>
        <v>GSM832004</v>
      </c>
      <c r="I2955" t="s">
        <v>111</v>
      </c>
      <c r="J2955" t="s">
        <v>18</v>
      </c>
      <c r="K2955" t="s">
        <v>19</v>
      </c>
      <c r="L2955" t="s">
        <v>113</v>
      </c>
      <c r="M2955" t="s">
        <v>41</v>
      </c>
      <c r="N2955" t="s">
        <v>22</v>
      </c>
    </row>
    <row r="2956" spans="1:14">
      <c r="A2956" s="4" t="str">
        <f t="shared" si="285"/>
        <v>EXP00090</v>
      </c>
      <c r="B2956" s="4" t="str">
        <f t="shared" si="286"/>
        <v>22412968</v>
      </c>
      <c r="C2956" s="4" t="str">
        <f t="shared" si="287"/>
        <v>GSE34153</v>
      </c>
      <c r="D2956" s="1" t="s">
        <v>214</v>
      </c>
      <c r="E2956" t="s">
        <v>215</v>
      </c>
      <c r="F2956" s="1">
        <v>2</v>
      </c>
      <c r="G2956" s="1" t="s">
        <v>219</v>
      </c>
      <c r="H2956" s="4" t="str">
        <f>HYPERLINK("https://www.ncbi.nlm.nih.gov/geo/query/acc.cgi?acc=GSM832005","GSM832005")</f>
        <v>GSM832005</v>
      </c>
      <c r="I2956" t="s">
        <v>111</v>
      </c>
      <c r="J2956" t="s">
        <v>18</v>
      </c>
      <c r="K2956" t="s">
        <v>19</v>
      </c>
      <c r="L2956" t="s">
        <v>113</v>
      </c>
      <c r="M2956" t="s">
        <v>41</v>
      </c>
      <c r="N2956" t="s">
        <v>22</v>
      </c>
    </row>
    <row r="2957" spans="1:14">
      <c r="A2957" s="4" t="str">
        <f t="shared" si="285"/>
        <v>EXP00090</v>
      </c>
      <c r="B2957" s="4" t="str">
        <f t="shared" si="286"/>
        <v>22412968</v>
      </c>
      <c r="C2957" s="4" t="str">
        <f t="shared" si="287"/>
        <v>GSE34153</v>
      </c>
      <c r="D2957" s="1" t="s">
        <v>214</v>
      </c>
      <c r="E2957" t="s">
        <v>215</v>
      </c>
      <c r="F2957" s="1">
        <v>2</v>
      </c>
      <c r="G2957" s="1" t="s">
        <v>219</v>
      </c>
      <c r="H2957" s="4" t="str">
        <f>HYPERLINK("https://www.ncbi.nlm.nih.gov/geo/query/acc.cgi?acc=GSM832015","GSM832015")</f>
        <v>GSM832015</v>
      </c>
      <c r="I2957" t="s">
        <v>111</v>
      </c>
      <c r="J2957" t="s">
        <v>18</v>
      </c>
      <c r="K2957" t="s">
        <v>19</v>
      </c>
      <c r="L2957" t="s">
        <v>113</v>
      </c>
      <c r="M2957" t="s">
        <v>41</v>
      </c>
      <c r="N2957" t="s">
        <v>22</v>
      </c>
    </row>
    <row r="2958" spans="1:14">
      <c r="A2958" s="4" t="str">
        <f t="shared" si="285"/>
        <v>EXP00090</v>
      </c>
      <c r="B2958" s="4" t="str">
        <f t="shared" si="286"/>
        <v>22412968</v>
      </c>
      <c r="C2958" s="4" t="str">
        <f t="shared" si="287"/>
        <v>GSE34153</v>
      </c>
      <c r="D2958" s="1" t="s">
        <v>214</v>
      </c>
      <c r="E2958" t="s">
        <v>215</v>
      </c>
      <c r="F2958" s="1">
        <v>2</v>
      </c>
      <c r="G2958" s="1" t="s">
        <v>219</v>
      </c>
      <c r="H2958" s="4" t="str">
        <f>HYPERLINK("https://www.ncbi.nlm.nih.gov/geo/query/acc.cgi?acc=GSM832016","GSM832016")</f>
        <v>GSM832016</v>
      </c>
      <c r="I2958" t="s">
        <v>111</v>
      </c>
      <c r="J2958" t="s">
        <v>18</v>
      </c>
      <c r="K2958" t="s">
        <v>19</v>
      </c>
      <c r="L2958" t="s">
        <v>113</v>
      </c>
      <c r="M2958" t="s">
        <v>41</v>
      </c>
      <c r="N2958" t="s">
        <v>22</v>
      </c>
    </row>
    <row r="2959" spans="1:14">
      <c r="A2959" s="4" t="str">
        <f t="shared" ref="A2959:A2990" si="288">HYPERLINK("http://hcmdb.i-sanger.com/experiment/details/experiment_id/EXP00091","EXP00091")</f>
        <v>EXP00091</v>
      </c>
      <c r="B2959" s="4" t="str">
        <f t="shared" si="286"/>
        <v>22412968</v>
      </c>
      <c r="C2959" s="4" t="str">
        <f t="shared" si="287"/>
        <v>GSE34153</v>
      </c>
      <c r="D2959" s="1" t="s">
        <v>214</v>
      </c>
      <c r="E2959" t="s">
        <v>215</v>
      </c>
      <c r="F2959" s="1">
        <v>1</v>
      </c>
      <c r="G2959" s="1" t="s">
        <v>218</v>
      </c>
      <c r="H2959" s="4" t="str">
        <f>HYPERLINK("https://www.ncbi.nlm.nih.gov/geo/query/acc.cgi?acc=GSM831946","GSM831946")</f>
        <v>GSM831946</v>
      </c>
      <c r="I2959" t="s">
        <v>111</v>
      </c>
      <c r="J2959" t="s">
        <v>18</v>
      </c>
      <c r="K2959" t="s">
        <v>19</v>
      </c>
      <c r="L2959" t="s">
        <v>113</v>
      </c>
      <c r="M2959" t="s">
        <v>44</v>
      </c>
      <c r="N2959" t="s">
        <v>22</v>
      </c>
    </row>
    <row r="2960" spans="1:14">
      <c r="A2960" s="4" t="str">
        <f t="shared" si="288"/>
        <v>EXP00091</v>
      </c>
      <c r="B2960" s="4" t="str">
        <f t="shared" si="286"/>
        <v>22412968</v>
      </c>
      <c r="C2960" s="4" t="str">
        <f t="shared" si="287"/>
        <v>GSE34153</v>
      </c>
      <c r="D2960" s="1" t="s">
        <v>214</v>
      </c>
      <c r="E2960" t="s">
        <v>215</v>
      </c>
      <c r="F2960" s="1">
        <v>1</v>
      </c>
      <c r="G2960" s="1" t="s">
        <v>218</v>
      </c>
      <c r="H2960" s="4" t="str">
        <f>HYPERLINK("https://www.ncbi.nlm.nih.gov/geo/query/acc.cgi?acc=GSM831947","GSM831947")</f>
        <v>GSM831947</v>
      </c>
      <c r="I2960" t="s">
        <v>111</v>
      </c>
      <c r="J2960" t="s">
        <v>18</v>
      </c>
      <c r="K2960" t="s">
        <v>19</v>
      </c>
      <c r="L2960" t="s">
        <v>113</v>
      </c>
      <c r="M2960" t="s">
        <v>44</v>
      </c>
      <c r="N2960" t="s">
        <v>22</v>
      </c>
    </row>
    <row r="2961" spans="1:14">
      <c r="A2961" s="4" t="str">
        <f t="shared" si="288"/>
        <v>EXP00091</v>
      </c>
      <c r="B2961" s="4" t="str">
        <f t="shared" si="286"/>
        <v>22412968</v>
      </c>
      <c r="C2961" s="4" t="str">
        <f t="shared" si="287"/>
        <v>GSE34153</v>
      </c>
      <c r="D2961" s="1" t="s">
        <v>214</v>
      </c>
      <c r="E2961" t="s">
        <v>215</v>
      </c>
      <c r="F2961" s="1">
        <v>1</v>
      </c>
      <c r="G2961" s="1" t="s">
        <v>218</v>
      </c>
      <c r="H2961" s="4" t="str">
        <f>HYPERLINK("https://www.ncbi.nlm.nih.gov/geo/query/acc.cgi?acc=GSM831948","GSM831948")</f>
        <v>GSM831948</v>
      </c>
      <c r="I2961" t="s">
        <v>111</v>
      </c>
      <c r="J2961" t="s">
        <v>18</v>
      </c>
      <c r="K2961" t="s">
        <v>19</v>
      </c>
      <c r="L2961" t="s">
        <v>113</v>
      </c>
      <c r="M2961" t="s">
        <v>44</v>
      </c>
      <c r="N2961" t="s">
        <v>22</v>
      </c>
    </row>
    <row r="2962" spans="1:14">
      <c r="A2962" s="4" t="str">
        <f t="shared" si="288"/>
        <v>EXP00091</v>
      </c>
      <c r="B2962" s="4" t="str">
        <f t="shared" si="286"/>
        <v>22412968</v>
      </c>
      <c r="C2962" s="4" t="str">
        <f t="shared" si="287"/>
        <v>GSE34153</v>
      </c>
      <c r="D2962" s="1" t="s">
        <v>214</v>
      </c>
      <c r="E2962" t="s">
        <v>215</v>
      </c>
      <c r="F2962" s="1">
        <v>1</v>
      </c>
      <c r="G2962" s="1" t="s">
        <v>218</v>
      </c>
      <c r="H2962" s="4" t="str">
        <f>HYPERLINK("https://www.ncbi.nlm.nih.gov/geo/query/acc.cgi?acc=GSM831952","GSM831952")</f>
        <v>GSM831952</v>
      </c>
      <c r="I2962" t="s">
        <v>111</v>
      </c>
      <c r="J2962" t="s">
        <v>18</v>
      </c>
      <c r="K2962" t="s">
        <v>19</v>
      </c>
      <c r="L2962" t="s">
        <v>113</v>
      </c>
      <c r="M2962" t="s">
        <v>44</v>
      </c>
      <c r="N2962" t="s">
        <v>22</v>
      </c>
    </row>
    <row r="2963" spans="1:14">
      <c r="A2963" s="4" t="str">
        <f t="shared" si="288"/>
        <v>EXP00091</v>
      </c>
      <c r="B2963" s="4" t="str">
        <f t="shared" si="286"/>
        <v>22412968</v>
      </c>
      <c r="C2963" s="4" t="str">
        <f t="shared" si="287"/>
        <v>GSE34153</v>
      </c>
      <c r="D2963" s="1" t="s">
        <v>214</v>
      </c>
      <c r="E2963" t="s">
        <v>215</v>
      </c>
      <c r="F2963" s="1">
        <v>1</v>
      </c>
      <c r="G2963" s="1" t="s">
        <v>218</v>
      </c>
      <c r="H2963" s="4" t="str">
        <f>HYPERLINK("https://www.ncbi.nlm.nih.gov/geo/query/acc.cgi?acc=GSM831961","GSM831961")</f>
        <v>GSM831961</v>
      </c>
      <c r="I2963" t="s">
        <v>111</v>
      </c>
      <c r="J2963" t="s">
        <v>18</v>
      </c>
      <c r="K2963" t="s">
        <v>19</v>
      </c>
      <c r="L2963" t="s">
        <v>113</v>
      </c>
      <c r="M2963" t="s">
        <v>44</v>
      </c>
      <c r="N2963" t="s">
        <v>22</v>
      </c>
    </row>
    <row r="2964" spans="1:14">
      <c r="A2964" s="4" t="str">
        <f t="shared" si="288"/>
        <v>EXP00091</v>
      </c>
      <c r="B2964" s="4" t="str">
        <f t="shared" si="286"/>
        <v>22412968</v>
      </c>
      <c r="C2964" s="4" t="str">
        <f t="shared" si="287"/>
        <v>GSE34153</v>
      </c>
      <c r="D2964" s="1" t="s">
        <v>214</v>
      </c>
      <c r="E2964" t="s">
        <v>215</v>
      </c>
      <c r="F2964" s="1">
        <v>1</v>
      </c>
      <c r="G2964" s="1" t="s">
        <v>218</v>
      </c>
      <c r="H2964" s="4" t="str">
        <f>HYPERLINK("https://www.ncbi.nlm.nih.gov/geo/query/acc.cgi?acc=GSM831965","GSM831965")</f>
        <v>GSM831965</v>
      </c>
      <c r="I2964" t="s">
        <v>111</v>
      </c>
      <c r="J2964" t="s">
        <v>18</v>
      </c>
      <c r="K2964" t="s">
        <v>19</v>
      </c>
      <c r="L2964" t="s">
        <v>113</v>
      </c>
      <c r="M2964" t="s">
        <v>44</v>
      </c>
      <c r="N2964" t="s">
        <v>22</v>
      </c>
    </row>
    <row r="2965" spans="1:14">
      <c r="A2965" s="4" t="str">
        <f t="shared" si="288"/>
        <v>EXP00091</v>
      </c>
      <c r="B2965" s="4" t="str">
        <f t="shared" si="286"/>
        <v>22412968</v>
      </c>
      <c r="C2965" s="4" t="str">
        <f t="shared" si="287"/>
        <v>GSE34153</v>
      </c>
      <c r="D2965" s="1" t="s">
        <v>214</v>
      </c>
      <c r="E2965" t="s">
        <v>215</v>
      </c>
      <c r="F2965" s="1">
        <v>1</v>
      </c>
      <c r="G2965" s="1" t="s">
        <v>218</v>
      </c>
      <c r="H2965" s="4" t="str">
        <f>HYPERLINK("https://www.ncbi.nlm.nih.gov/geo/query/acc.cgi?acc=GSM831967","GSM831967")</f>
        <v>GSM831967</v>
      </c>
      <c r="I2965" t="s">
        <v>111</v>
      </c>
      <c r="J2965" t="s">
        <v>18</v>
      </c>
      <c r="K2965" t="s">
        <v>19</v>
      </c>
      <c r="L2965" t="s">
        <v>113</v>
      </c>
      <c r="M2965" t="s">
        <v>44</v>
      </c>
      <c r="N2965" t="s">
        <v>22</v>
      </c>
    </row>
    <row r="2966" spans="1:14">
      <c r="A2966" s="4" t="str">
        <f t="shared" si="288"/>
        <v>EXP00091</v>
      </c>
      <c r="B2966" s="4" t="str">
        <f t="shared" si="286"/>
        <v>22412968</v>
      </c>
      <c r="C2966" s="4" t="str">
        <f t="shared" si="287"/>
        <v>GSE34153</v>
      </c>
      <c r="D2966" s="1" t="s">
        <v>214</v>
      </c>
      <c r="E2966" t="s">
        <v>215</v>
      </c>
      <c r="F2966" s="1">
        <v>1</v>
      </c>
      <c r="G2966" s="1" t="s">
        <v>218</v>
      </c>
      <c r="H2966" s="4" t="str">
        <f>HYPERLINK("https://www.ncbi.nlm.nih.gov/geo/query/acc.cgi?acc=GSM831977","GSM831977")</f>
        <v>GSM831977</v>
      </c>
      <c r="I2966" t="s">
        <v>111</v>
      </c>
      <c r="J2966" t="s">
        <v>18</v>
      </c>
      <c r="K2966" t="s">
        <v>19</v>
      </c>
      <c r="L2966" t="s">
        <v>113</v>
      </c>
      <c r="M2966" t="s">
        <v>44</v>
      </c>
      <c r="N2966" t="s">
        <v>22</v>
      </c>
    </row>
    <row r="2967" spans="1:14">
      <c r="A2967" s="4" t="str">
        <f t="shared" si="288"/>
        <v>EXP00091</v>
      </c>
      <c r="B2967" s="4" t="str">
        <f t="shared" si="286"/>
        <v>22412968</v>
      </c>
      <c r="C2967" s="4" t="str">
        <f t="shared" si="287"/>
        <v>GSE34153</v>
      </c>
      <c r="D2967" s="1" t="s">
        <v>214</v>
      </c>
      <c r="E2967" t="s">
        <v>215</v>
      </c>
      <c r="F2967" s="1">
        <v>1</v>
      </c>
      <c r="G2967" s="1" t="s">
        <v>218</v>
      </c>
      <c r="H2967" s="4" t="str">
        <f>HYPERLINK("https://www.ncbi.nlm.nih.gov/geo/query/acc.cgi?acc=GSM831983","GSM831983")</f>
        <v>GSM831983</v>
      </c>
      <c r="I2967" t="s">
        <v>111</v>
      </c>
      <c r="J2967" t="s">
        <v>18</v>
      </c>
      <c r="K2967" t="s">
        <v>19</v>
      </c>
      <c r="L2967" t="s">
        <v>113</v>
      </c>
      <c r="M2967" t="s">
        <v>44</v>
      </c>
      <c r="N2967" t="s">
        <v>22</v>
      </c>
    </row>
    <row r="2968" spans="1:14">
      <c r="A2968" s="4" t="str">
        <f t="shared" si="288"/>
        <v>EXP00091</v>
      </c>
      <c r="B2968" s="4" t="str">
        <f t="shared" si="286"/>
        <v>22412968</v>
      </c>
      <c r="C2968" s="4" t="str">
        <f t="shared" si="287"/>
        <v>GSE34153</v>
      </c>
      <c r="D2968" s="1" t="s">
        <v>214</v>
      </c>
      <c r="E2968" t="s">
        <v>215</v>
      </c>
      <c r="F2968" s="1">
        <v>1</v>
      </c>
      <c r="G2968" s="1" t="s">
        <v>218</v>
      </c>
      <c r="H2968" s="4" t="str">
        <f>HYPERLINK("https://www.ncbi.nlm.nih.gov/geo/query/acc.cgi?acc=GSM831984","GSM831984")</f>
        <v>GSM831984</v>
      </c>
      <c r="I2968" t="s">
        <v>111</v>
      </c>
      <c r="J2968" t="s">
        <v>18</v>
      </c>
      <c r="K2968" t="s">
        <v>19</v>
      </c>
      <c r="L2968" t="s">
        <v>113</v>
      </c>
      <c r="M2968" t="s">
        <v>44</v>
      </c>
      <c r="N2968" t="s">
        <v>22</v>
      </c>
    </row>
    <row r="2969" spans="1:14">
      <c r="A2969" s="4" t="str">
        <f t="shared" si="288"/>
        <v>EXP00091</v>
      </c>
      <c r="B2969" s="4" t="str">
        <f t="shared" si="286"/>
        <v>22412968</v>
      </c>
      <c r="C2969" s="4" t="str">
        <f t="shared" si="287"/>
        <v>GSE34153</v>
      </c>
      <c r="D2969" s="1" t="s">
        <v>214</v>
      </c>
      <c r="E2969" t="s">
        <v>215</v>
      </c>
      <c r="F2969" s="1">
        <v>1</v>
      </c>
      <c r="G2969" s="1" t="s">
        <v>218</v>
      </c>
      <c r="H2969" s="4" t="str">
        <f>HYPERLINK("https://www.ncbi.nlm.nih.gov/geo/query/acc.cgi?acc=GSM831985","GSM831985")</f>
        <v>GSM831985</v>
      </c>
      <c r="I2969" t="s">
        <v>111</v>
      </c>
      <c r="J2969" t="s">
        <v>18</v>
      </c>
      <c r="K2969" t="s">
        <v>19</v>
      </c>
      <c r="L2969" t="s">
        <v>113</v>
      </c>
      <c r="M2969" t="s">
        <v>44</v>
      </c>
      <c r="N2969" t="s">
        <v>22</v>
      </c>
    </row>
    <row r="2970" spans="1:14">
      <c r="A2970" s="4" t="str">
        <f t="shared" si="288"/>
        <v>EXP00091</v>
      </c>
      <c r="B2970" s="4" t="str">
        <f t="shared" si="286"/>
        <v>22412968</v>
      </c>
      <c r="C2970" s="4" t="str">
        <f t="shared" si="287"/>
        <v>GSE34153</v>
      </c>
      <c r="D2970" s="1" t="s">
        <v>214</v>
      </c>
      <c r="E2970" t="s">
        <v>215</v>
      </c>
      <c r="F2970" s="1">
        <v>1</v>
      </c>
      <c r="G2970" s="1" t="s">
        <v>218</v>
      </c>
      <c r="H2970" s="4" t="str">
        <f>HYPERLINK("https://www.ncbi.nlm.nih.gov/geo/query/acc.cgi?acc=GSM831990","GSM831990")</f>
        <v>GSM831990</v>
      </c>
      <c r="I2970" t="s">
        <v>111</v>
      </c>
      <c r="J2970" t="s">
        <v>18</v>
      </c>
      <c r="K2970" t="s">
        <v>19</v>
      </c>
      <c r="L2970" t="s">
        <v>113</v>
      </c>
      <c r="M2970" t="s">
        <v>44</v>
      </c>
      <c r="N2970" t="s">
        <v>22</v>
      </c>
    </row>
    <row r="2971" spans="1:14">
      <c r="A2971" s="4" t="str">
        <f t="shared" si="288"/>
        <v>EXP00091</v>
      </c>
      <c r="B2971" s="4" t="str">
        <f t="shared" si="286"/>
        <v>22412968</v>
      </c>
      <c r="C2971" s="4" t="str">
        <f t="shared" si="287"/>
        <v>GSE34153</v>
      </c>
      <c r="D2971" s="1" t="s">
        <v>214</v>
      </c>
      <c r="E2971" t="s">
        <v>215</v>
      </c>
      <c r="F2971" s="1">
        <v>1</v>
      </c>
      <c r="G2971" s="1" t="s">
        <v>218</v>
      </c>
      <c r="H2971" s="4" t="str">
        <f>HYPERLINK("https://www.ncbi.nlm.nih.gov/geo/query/acc.cgi?acc=GSM831991","GSM831991")</f>
        <v>GSM831991</v>
      </c>
      <c r="I2971" t="s">
        <v>111</v>
      </c>
      <c r="J2971" t="s">
        <v>18</v>
      </c>
      <c r="K2971" t="s">
        <v>19</v>
      </c>
      <c r="L2971" t="s">
        <v>113</v>
      </c>
      <c r="M2971" t="s">
        <v>44</v>
      </c>
      <c r="N2971" t="s">
        <v>22</v>
      </c>
    </row>
    <row r="2972" spans="1:14">
      <c r="A2972" s="4" t="str">
        <f t="shared" si="288"/>
        <v>EXP00091</v>
      </c>
      <c r="B2972" s="4" t="str">
        <f t="shared" si="286"/>
        <v>22412968</v>
      </c>
      <c r="C2972" s="4" t="str">
        <f t="shared" si="287"/>
        <v>GSE34153</v>
      </c>
      <c r="D2972" s="1" t="s">
        <v>214</v>
      </c>
      <c r="E2972" t="s">
        <v>215</v>
      </c>
      <c r="F2972" s="1">
        <v>1</v>
      </c>
      <c r="G2972" s="1" t="s">
        <v>218</v>
      </c>
      <c r="H2972" s="4" t="str">
        <f>HYPERLINK("https://www.ncbi.nlm.nih.gov/geo/query/acc.cgi?acc=GSM831994","GSM831994")</f>
        <v>GSM831994</v>
      </c>
      <c r="I2972" t="s">
        <v>111</v>
      </c>
      <c r="J2972" t="s">
        <v>18</v>
      </c>
      <c r="K2972" t="s">
        <v>19</v>
      </c>
      <c r="L2972" t="s">
        <v>113</v>
      </c>
      <c r="M2972" t="s">
        <v>44</v>
      </c>
      <c r="N2972" t="s">
        <v>22</v>
      </c>
    </row>
    <row r="2973" spans="1:14">
      <c r="A2973" s="4" t="str">
        <f t="shared" si="288"/>
        <v>EXP00091</v>
      </c>
      <c r="B2973" s="4" t="str">
        <f t="shared" si="286"/>
        <v>22412968</v>
      </c>
      <c r="C2973" s="4" t="str">
        <f t="shared" si="287"/>
        <v>GSE34153</v>
      </c>
      <c r="D2973" s="1" t="s">
        <v>214</v>
      </c>
      <c r="E2973" t="s">
        <v>215</v>
      </c>
      <c r="F2973" s="1">
        <v>1</v>
      </c>
      <c r="G2973" s="1" t="s">
        <v>218</v>
      </c>
      <c r="H2973" s="4" t="str">
        <f>HYPERLINK("https://www.ncbi.nlm.nih.gov/geo/query/acc.cgi?acc=GSM831995","GSM831995")</f>
        <v>GSM831995</v>
      </c>
      <c r="I2973" t="s">
        <v>111</v>
      </c>
      <c r="J2973" t="s">
        <v>18</v>
      </c>
      <c r="K2973" t="s">
        <v>19</v>
      </c>
      <c r="L2973" t="s">
        <v>113</v>
      </c>
      <c r="M2973" t="s">
        <v>44</v>
      </c>
      <c r="N2973" t="s">
        <v>22</v>
      </c>
    </row>
    <row r="2974" spans="1:14">
      <c r="A2974" s="4" t="str">
        <f t="shared" si="288"/>
        <v>EXP00091</v>
      </c>
      <c r="B2974" s="4" t="str">
        <f t="shared" si="286"/>
        <v>22412968</v>
      </c>
      <c r="C2974" s="4" t="str">
        <f t="shared" si="287"/>
        <v>GSE34153</v>
      </c>
      <c r="D2974" s="1" t="s">
        <v>214</v>
      </c>
      <c r="E2974" t="s">
        <v>215</v>
      </c>
      <c r="F2974" s="1">
        <v>1</v>
      </c>
      <c r="G2974" s="1" t="s">
        <v>218</v>
      </c>
      <c r="H2974" s="4" t="str">
        <f>HYPERLINK("https://www.ncbi.nlm.nih.gov/geo/query/acc.cgi?acc=GSM831998","GSM831998")</f>
        <v>GSM831998</v>
      </c>
      <c r="I2974" t="s">
        <v>111</v>
      </c>
      <c r="J2974" t="s">
        <v>18</v>
      </c>
      <c r="K2974" t="s">
        <v>19</v>
      </c>
      <c r="L2974" t="s">
        <v>113</v>
      </c>
      <c r="M2974" t="s">
        <v>44</v>
      </c>
      <c r="N2974" t="s">
        <v>22</v>
      </c>
    </row>
    <row r="2975" spans="1:14">
      <c r="A2975" s="4" t="str">
        <f t="shared" si="288"/>
        <v>EXP00091</v>
      </c>
      <c r="B2975" s="4" t="str">
        <f t="shared" si="286"/>
        <v>22412968</v>
      </c>
      <c r="C2975" s="4" t="str">
        <f t="shared" si="287"/>
        <v>GSE34153</v>
      </c>
      <c r="D2975" s="1" t="s">
        <v>214</v>
      </c>
      <c r="E2975" t="s">
        <v>215</v>
      </c>
      <c r="F2975" s="1">
        <v>1</v>
      </c>
      <c r="G2975" s="1" t="s">
        <v>218</v>
      </c>
      <c r="H2975" s="4" t="str">
        <f>HYPERLINK("https://www.ncbi.nlm.nih.gov/geo/query/acc.cgi?acc=GSM832000","GSM832000")</f>
        <v>GSM832000</v>
      </c>
      <c r="I2975" t="s">
        <v>111</v>
      </c>
      <c r="J2975" t="s">
        <v>18</v>
      </c>
      <c r="K2975" t="s">
        <v>19</v>
      </c>
      <c r="L2975" t="s">
        <v>113</v>
      </c>
      <c r="M2975" t="s">
        <v>44</v>
      </c>
      <c r="N2975" t="s">
        <v>22</v>
      </c>
    </row>
    <row r="2976" spans="1:14">
      <c r="A2976" s="4" t="str">
        <f t="shared" si="288"/>
        <v>EXP00091</v>
      </c>
      <c r="B2976" s="4" t="str">
        <f t="shared" si="286"/>
        <v>22412968</v>
      </c>
      <c r="C2976" s="4" t="str">
        <f t="shared" si="287"/>
        <v>GSE34153</v>
      </c>
      <c r="D2976" s="1" t="s">
        <v>214</v>
      </c>
      <c r="E2976" t="s">
        <v>215</v>
      </c>
      <c r="F2976" s="1">
        <v>1</v>
      </c>
      <c r="G2976" s="1" t="s">
        <v>218</v>
      </c>
      <c r="H2976" s="4" t="str">
        <f>HYPERLINK("https://www.ncbi.nlm.nih.gov/geo/query/acc.cgi?acc=GSM832008","GSM832008")</f>
        <v>GSM832008</v>
      </c>
      <c r="I2976" t="s">
        <v>111</v>
      </c>
      <c r="J2976" t="s">
        <v>18</v>
      </c>
      <c r="K2976" t="s">
        <v>19</v>
      </c>
      <c r="L2976" t="s">
        <v>113</v>
      </c>
      <c r="M2976" t="s">
        <v>44</v>
      </c>
      <c r="N2976" t="s">
        <v>22</v>
      </c>
    </row>
    <row r="2977" spans="1:14">
      <c r="A2977" s="4" t="str">
        <f t="shared" si="288"/>
        <v>EXP00091</v>
      </c>
      <c r="B2977" s="4" t="str">
        <f t="shared" si="286"/>
        <v>22412968</v>
      </c>
      <c r="C2977" s="4" t="str">
        <f t="shared" si="287"/>
        <v>GSE34153</v>
      </c>
      <c r="D2977" s="1" t="s">
        <v>214</v>
      </c>
      <c r="E2977" t="s">
        <v>215</v>
      </c>
      <c r="F2977" s="1">
        <v>1</v>
      </c>
      <c r="G2977" s="1" t="s">
        <v>218</v>
      </c>
      <c r="H2977" s="4" t="str">
        <f>HYPERLINK("https://www.ncbi.nlm.nih.gov/geo/query/acc.cgi?acc=GSM832009","GSM832009")</f>
        <v>GSM832009</v>
      </c>
      <c r="I2977" t="s">
        <v>111</v>
      </c>
      <c r="J2977" t="s">
        <v>18</v>
      </c>
      <c r="K2977" t="s">
        <v>19</v>
      </c>
      <c r="L2977" t="s">
        <v>113</v>
      </c>
      <c r="M2977" t="s">
        <v>44</v>
      </c>
      <c r="N2977" t="s">
        <v>22</v>
      </c>
    </row>
    <row r="2978" spans="1:14">
      <c r="A2978" s="4" t="str">
        <f t="shared" si="288"/>
        <v>EXP00091</v>
      </c>
      <c r="B2978" s="4" t="str">
        <f t="shared" si="286"/>
        <v>22412968</v>
      </c>
      <c r="C2978" s="4" t="str">
        <f t="shared" si="287"/>
        <v>GSE34153</v>
      </c>
      <c r="D2978" s="1" t="s">
        <v>214</v>
      </c>
      <c r="E2978" t="s">
        <v>215</v>
      </c>
      <c r="F2978" s="1">
        <v>1</v>
      </c>
      <c r="G2978" s="1" t="s">
        <v>218</v>
      </c>
      <c r="H2978" s="4" t="str">
        <f>HYPERLINK("https://www.ncbi.nlm.nih.gov/geo/query/acc.cgi?acc=GSM832013","GSM832013")</f>
        <v>GSM832013</v>
      </c>
      <c r="I2978" t="s">
        <v>111</v>
      </c>
      <c r="J2978" t="s">
        <v>18</v>
      </c>
      <c r="K2978" t="s">
        <v>19</v>
      </c>
      <c r="L2978" t="s">
        <v>113</v>
      </c>
      <c r="M2978" t="s">
        <v>44</v>
      </c>
      <c r="N2978" t="s">
        <v>22</v>
      </c>
    </row>
    <row r="2979" spans="1:14">
      <c r="A2979" s="4" t="str">
        <f t="shared" si="288"/>
        <v>EXP00091</v>
      </c>
      <c r="B2979" s="4" t="str">
        <f t="shared" si="286"/>
        <v>22412968</v>
      </c>
      <c r="C2979" s="4" t="str">
        <f t="shared" si="287"/>
        <v>GSE34153</v>
      </c>
      <c r="D2979" s="1" t="s">
        <v>214</v>
      </c>
      <c r="E2979" t="s">
        <v>215</v>
      </c>
      <c r="F2979" s="1">
        <v>2</v>
      </c>
      <c r="G2979" s="1" t="s">
        <v>220</v>
      </c>
      <c r="H2979" s="4" t="str">
        <f>HYPERLINK("https://www.ncbi.nlm.nih.gov/geo/query/acc.cgi?acc=GSM831943","GSM831943")</f>
        <v>GSM831943</v>
      </c>
      <c r="I2979" t="s">
        <v>111</v>
      </c>
      <c r="J2979" t="s">
        <v>18</v>
      </c>
      <c r="K2979" t="s">
        <v>19</v>
      </c>
      <c r="L2979" t="s">
        <v>113</v>
      </c>
      <c r="M2979" t="s">
        <v>24</v>
      </c>
      <c r="N2979" t="s">
        <v>22</v>
      </c>
    </row>
    <row r="2980" spans="1:14">
      <c r="A2980" s="4" t="str">
        <f t="shared" si="288"/>
        <v>EXP00091</v>
      </c>
      <c r="B2980" s="4" t="str">
        <f t="shared" si="286"/>
        <v>22412968</v>
      </c>
      <c r="C2980" s="4" t="str">
        <f t="shared" si="287"/>
        <v>GSE34153</v>
      </c>
      <c r="D2980" s="1" t="s">
        <v>214</v>
      </c>
      <c r="E2980" t="s">
        <v>215</v>
      </c>
      <c r="F2980" s="1">
        <v>2</v>
      </c>
      <c r="G2980" s="1" t="s">
        <v>220</v>
      </c>
      <c r="H2980" s="4" t="str">
        <f>HYPERLINK("https://www.ncbi.nlm.nih.gov/geo/query/acc.cgi?acc=GSM831962","GSM831962")</f>
        <v>GSM831962</v>
      </c>
      <c r="I2980" t="s">
        <v>111</v>
      </c>
      <c r="J2980" t="s">
        <v>18</v>
      </c>
      <c r="K2980" t="s">
        <v>19</v>
      </c>
      <c r="L2980" t="s">
        <v>113</v>
      </c>
      <c r="M2980" t="s">
        <v>24</v>
      </c>
      <c r="N2980" t="s">
        <v>22</v>
      </c>
    </row>
    <row r="2981" spans="1:14">
      <c r="A2981" s="4" t="str">
        <f t="shared" si="288"/>
        <v>EXP00091</v>
      </c>
      <c r="B2981" s="4" t="str">
        <f t="shared" si="286"/>
        <v>22412968</v>
      </c>
      <c r="C2981" s="4" t="str">
        <f t="shared" si="287"/>
        <v>GSE34153</v>
      </c>
      <c r="D2981" s="1" t="s">
        <v>214</v>
      </c>
      <c r="E2981" t="s">
        <v>215</v>
      </c>
      <c r="F2981" s="1">
        <v>2</v>
      </c>
      <c r="G2981" s="1" t="s">
        <v>220</v>
      </c>
      <c r="H2981" s="4" t="str">
        <f>HYPERLINK("https://www.ncbi.nlm.nih.gov/geo/query/acc.cgi?acc=GSM831963","GSM831963")</f>
        <v>GSM831963</v>
      </c>
      <c r="I2981" t="s">
        <v>111</v>
      </c>
      <c r="J2981" t="s">
        <v>18</v>
      </c>
      <c r="K2981" t="s">
        <v>19</v>
      </c>
      <c r="L2981" t="s">
        <v>113</v>
      </c>
      <c r="M2981" t="s">
        <v>24</v>
      </c>
      <c r="N2981" t="s">
        <v>22</v>
      </c>
    </row>
    <row r="2982" spans="1:14">
      <c r="A2982" s="4" t="str">
        <f t="shared" si="288"/>
        <v>EXP00091</v>
      </c>
      <c r="B2982" s="4" t="str">
        <f t="shared" si="286"/>
        <v>22412968</v>
      </c>
      <c r="C2982" s="4" t="str">
        <f t="shared" si="287"/>
        <v>GSE34153</v>
      </c>
      <c r="D2982" s="1" t="s">
        <v>214</v>
      </c>
      <c r="E2982" t="s">
        <v>215</v>
      </c>
      <c r="F2982" s="1">
        <v>2</v>
      </c>
      <c r="G2982" s="1" t="s">
        <v>220</v>
      </c>
      <c r="H2982" s="4" t="str">
        <f>HYPERLINK("https://www.ncbi.nlm.nih.gov/geo/query/acc.cgi?acc=GSM831968","GSM831968")</f>
        <v>GSM831968</v>
      </c>
      <c r="I2982" t="s">
        <v>111</v>
      </c>
      <c r="J2982" t="s">
        <v>18</v>
      </c>
      <c r="K2982" t="s">
        <v>19</v>
      </c>
      <c r="L2982" t="s">
        <v>113</v>
      </c>
      <c r="M2982" t="s">
        <v>24</v>
      </c>
      <c r="N2982" t="s">
        <v>22</v>
      </c>
    </row>
    <row r="2983" spans="1:14">
      <c r="A2983" s="4" t="str">
        <f t="shared" si="288"/>
        <v>EXP00091</v>
      </c>
      <c r="B2983" s="4" t="str">
        <f t="shared" si="286"/>
        <v>22412968</v>
      </c>
      <c r="C2983" s="4" t="str">
        <f t="shared" si="287"/>
        <v>GSE34153</v>
      </c>
      <c r="D2983" s="1" t="s">
        <v>214</v>
      </c>
      <c r="E2983" t="s">
        <v>215</v>
      </c>
      <c r="F2983" s="1">
        <v>2</v>
      </c>
      <c r="G2983" s="1" t="s">
        <v>220</v>
      </c>
      <c r="H2983" s="4" t="str">
        <f>HYPERLINK("https://www.ncbi.nlm.nih.gov/geo/query/acc.cgi?acc=GSM831975","GSM831975")</f>
        <v>GSM831975</v>
      </c>
      <c r="I2983" t="s">
        <v>111</v>
      </c>
      <c r="J2983" t="s">
        <v>18</v>
      </c>
      <c r="K2983" t="s">
        <v>19</v>
      </c>
      <c r="L2983" t="s">
        <v>113</v>
      </c>
      <c r="M2983" t="s">
        <v>24</v>
      </c>
      <c r="N2983" t="s">
        <v>22</v>
      </c>
    </row>
    <row r="2984" spans="1:14">
      <c r="A2984" s="4" t="str">
        <f t="shared" si="288"/>
        <v>EXP00091</v>
      </c>
      <c r="B2984" s="4" t="str">
        <f t="shared" si="286"/>
        <v>22412968</v>
      </c>
      <c r="C2984" s="4" t="str">
        <f t="shared" si="287"/>
        <v>GSE34153</v>
      </c>
      <c r="D2984" s="1" t="s">
        <v>214</v>
      </c>
      <c r="E2984" t="s">
        <v>215</v>
      </c>
      <c r="F2984" s="1">
        <v>2</v>
      </c>
      <c r="G2984" s="1" t="s">
        <v>220</v>
      </c>
      <c r="H2984" s="4" t="str">
        <f>HYPERLINK("https://www.ncbi.nlm.nih.gov/geo/query/acc.cgi?acc=GSM831976","GSM831976")</f>
        <v>GSM831976</v>
      </c>
      <c r="I2984" t="s">
        <v>111</v>
      </c>
      <c r="J2984" t="s">
        <v>18</v>
      </c>
      <c r="K2984" t="s">
        <v>19</v>
      </c>
      <c r="L2984" t="s">
        <v>113</v>
      </c>
      <c r="M2984" t="s">
        <v>24</v>
      </c>
      <c r="N2984" t="s">
        <v>22</v>
      </c>
    </row>
    <row r="2985" spans="1:14">
      <c r="A2985" s="4" t="str">
        <f t="shared" si="288"/>
        <v>EXP00091</v>
      </c>
      <c r="B2985" s="4" t="str">
        <f t="shared" si="286"/>
        <v>22412968</v>
      </c>
      <c r="C2985" s="4" t="str">
        <f t="shared" si="287"/>
        <v>GSE34153</v>
      </c>
      <c r="D2985" s="1" t="s">
        <v>214</v>
      </c>
      <c r="E2985" t="s">
        <v>215</v>
      </c>
      <c r="F2985" s="1">
        <v>2</v>
      </c>
      <c r="G2985" s="1" t="s">
        <v>220</v>
      </c>
      <c r="H2985" s="4" t="str">
        <f>HYPERLINK("https://www.ncbi.nlm.nih.gov/geo/query/acc.cgi?acc=GSM831978","GSM831978")</f>
        <v>GSM831978</v>
      </c>
      <c r="I2985" t="s">
        <v>111</v>
      </c>
      <c r="J2985" t="s">
        <v>18</v>
      </c>
      <c r="K2985" t="s">
        <v>19</v>
      </c>
      <c r="L2985" t="s">
        <v>113</v>
      </c>
      <c r="M2985" t="s">
        <v>24</v>
      </c>
      <c r="N2985" t="s">
        <v>22</v>
      </c>
    </row>
    <row r="2986" spans="1:14">
      <c r="A2986" s="4" t="str">
        <f t="shared" si="288"/>
        <v>EXP00091</v>
      </c>
      <c r="B2986" s="4" t="str">
        <f t="shared" si="286"/>
        <v>22412968</v>
      </c>
      <c r="C2986" s="4" t="str">
        <f t="shared" si="287"/>
        <v>GSE34153</v>
      </c>
      <c r="D2986" s="1" t="s">
        <v>214</v>
      </c>
      <c r="E2986" t="s">
        <v>215</v>
      </c>
      <c r="F2986" s="1">
        <v>2</v>
      </c>
      <c r="G2986" s="1" t="s">
        <v>220</v>
      </c>
      <c r="H2986" s="4" t="str">
        <f>HYPERLINK("https://www.ncbi.nlm.nih.gov/geo/query/acc.cgi?acc=GSM831979","GSM831979")</f>
        <v>GSM831979</v>
      </c>
      <c r="I2986" t="s">
        <v>111</v>
      </c>
      <c r="J2986" t="s">
        <v>18</v>
      </c>
      <c r="K2986" t="s">
        <v>19</v>
      </c>
      <c r="L2986" t="s">
        <v>113</v>
      </c>
      <c r="M2986" t="s">
        <v>24</v>
      </c>
      <c r="N2986" t="s">
        <v>22</v>
      </c>
    </row>
    <row r="2987" spans="1:14">
      <c r="A2987" s="4" t="str">
        <f t="shared" si="288"/>
        <v>EXP00091</v>
      </c>
      <c r="B2987" s="4" t="str">
        <f t="shared" si="286"/>
        <v>22412968</v>
      </c>
      <c r="C2987" s="4" t="str">
        <f t="shared" si="287"/>
        <v>GSE34153</v>
      </c>
      <c r="D2987" s="1" t="s">
        <v>214</v>
      </c>
      <c r="E2987" t="s">
        <v>215</v>
      </c>
      <c r="F2987" s="1">
        <v>2</v>
      </c>
      <c r="G2987" s="1" t="s">
        <v>220</v>
      </c>
      <c r="H2987" s="4" t="str">
        <f>HYPERLINK("https://www.ncbi.nlm.nih.gov/geo/query/acc.cgi?acc=GSM831989","GSM831989")</f>
        <v>GSM831989</v>
      </c>
      <c r="I2987" t="s">
        <v>111</v>
      </c>
      <c r="J2987" t="s">
        <v>18</v>
      </c>
      <c r="K2987" t="s">
        <v>19</v>
      </c>
      <c r="L2987" t="s">
        <v>113</v>
      </c>
      <c r="M2987" t="s">
        <v>24</v>
      </c>
      <c r="N2987" t="s">
        <v>22</v>
      </c>
    </row>
    <row r="2988" spans="1:14">
      <c r="A2988" s="4" t="str">
        <f t="shared" si="288"/>
        <v>EXP00091</v>
      </c>
      <c r="B2988" s="4" t="str">
        <f t="shared" si="286"/>
        <v>22412968</v>
      </c>
      <c r="C2988" s="4" t="str">
        <f t="shared" si="287"/>
        <v>GSE34153</v>
      </c>
      <c r="D2988" s="1" t="s">
        <v>214</v>
      </c>
      <c r="E2988" t="s">
        <v>215</v>
      </c>
      <c r="F2988" s="1">
        <v>2</v>
      </c>
      <c r="G2988" s="1" t="s">
        <v>220</v>
      </c>
      <c r="H2988" s="4" t="str">
        <f>HYPERLINK("https://www.ncbi.nlm.nih.gov/geo/query/acc.cgi?acc=GSM831993","GSM831993")</f>
        <v>GSM831993</v>
      </c>
      <c r="I2988" t="s">
        <v>111</v>
      </c>
      <c r="J2988" t="s">
        <v>18</v>
      </c>
      <c r="K2988" t="s">
        <v>19</v>
      </c>
      <c r="L2988" t="s">
        <v>113</v>
      </c>
      <c r="M2988" t="s">
        <v>24</v>
      </c>
      <c r="N2988" t="s">
        <v>22</v>
      </c>
    </row>
    <row r="2989" spans="1:14">
      <c r="A2989" s="4" t="str">
        <f t="shared" si="288"/>
        <v>EXP00091</v>
      </c>
      <c r="B2989" s="4" t="str">
        <f t="shared" si="286"/>
        <v>22412968</v>
      </c>
      <c r="C2989" s="4" t="str">
        <f t="shared" si="287"/>
        <v>GSE34153</v>
      </c>
      <c r="D2989" s="1" t="s">
        <v>214</v>
      </c>
      <c r="E2989" t="s">
        <v>215</v>
      </c>
      <c r="F2989" s="1">
        <v>2</v>
      </c>
      <c r="G2989" s="1" t="s">
        <v>220</v>
      </c>
      <c r="H2989" s="4" t="str">
        <f>HYPERLINK("https://www.ncbi.nlm.nih.gov/geo/query/acc.cgi?acc=GSM832003","GSM832003")</f>
        <v>GSM832003</v>
      </c>
      <c r="I2989" t="s">
        <v>111</v>
      </c>
      <c r="J2989" t="s">
        <v>18</v>
      </c>
      <c r="K2989" t="s">
        <v>19</v>
      </c>
      <c r="L2989" t="s">
        <v>113</v>
      </c>
      <c r="M2989" t="s">
        <v>24</v>
      </c>
      <c r="N2989" t="s">
        <v>22</v>
      </c>
    </row>
    <row r="2990" spans="1:14">
      <c r="A2990" s="4" t="str">
        <f t="shared" si="288"/>
        <v>EXP00091</v>
      </c>
      <c r="B2990" s="4" t="str">
        <f t="shared" si="286"/>
        <v>22412968</v>
      </c>
      <c r="C2990" s="4" t="str">
        <f t="shared" si="287"/>
        <v>GSE34153</v>
      </c>
      <c r="D2990" s="1" t="s">
        <v>214</v>
      </c>
      <c r="E2990" t="s">
        <v>215</v>
      </c>
      <c r="F2990" s="1">
        <v>2</v>
      </c>
      <c r="G2990" s="1" t="s">
        <v>220</v>
      </c>
      <c r="H2990" s="4" t="str">
        <f>HYPERLINK("https://www.ncbi.nlm.nih.gov/geo/query/acc.cgi?acc=GSM832014","GSM832014")</f>
        <v>GSM832014</v>
      </c>
      <c r="I2990" t="s">
        <v>111</v>
      </c>
      <c r="J2990" t="s">
        <v>18</v>
      </c>
      <c r="K2990" t="s">
        <v>19</v>
      </c>
      <c r="L2990" t="s">
        <v>113</v>
      </c>
      <c r="M2990" t="s">
        <v>24</v>
      </c>
      <c r="N2990" t="s">
        <v>22</v>
      </c>
    </row>
    <row r="2991" spans="1:14">
      <c r="A2991" s="4" t="str">
        <f t="shared" ref="A2991:A3020" si="289">HYPERLINK("http://hcmdb.i-sanger.com/experiment/details/experiment_id/EXP00092","EXP00092")</f>
        <v>EXP00092</v>
      </c>
      <c r="B2991" s="4" t="str">
        <f t="shared" si="286"/>
        <v>22412968</v>
      </c>
      <c r="C2991" s="4" t="str">
        <f t="shared" si="287"/>
        <v>GSE34153</v>
      </c>
      <c r="D2991" s="1" t="s">
        <v>214</v>
      </c>
      <c r="E2991" t="s">
        <v>215</v>
      </c>
      <c r="F2991" s="1">
        <v>1</v>
      </c>
      <c r="G2991" s="1" t="s">
        <v>218</v>
      </c>
      <c r="H2991" s="4" t="str">
        <f>HYPERLINK("https://www.ncbi.nlm.nih.gov/geo/query/acc.cgi?acc=GSM831946","GSM831946")</f>
        <v>GSM831946</v>
      </c>
      <c r="I2991" t="s">
        <v>111</v>
      </c>
      <c r="J2991" t="s">
        <v>18</v>
      </c>
      <c r="K2991" t="s">
        <v>19</v>
      </c>
      <c r="L2991" t="s">
        <v>113</v>
      </c>
      <c r="M2991" t="s">
        <v>44</v>
      </c>
      <c r="N2991" t="s">
        <v>22</v>
      </c>
    </row>
    <row r="2992" spans="1:14">
      <c r="A2992" s="4" t="str">
        <f t="shared" si="289"/>
        <v>EXP00092</v>
      </c>
      <c r="B2992" s="4" t="str">
        <f t="shared" si="286"/>
        <v>22412968</v>
      </c>
      <c r="C2992" s="4" t="str">
        <f t="shared" si="287"/>
        <v>GSE34153</v>
      </c>
      <c r="D2992" s="1" t="s">
        <v>214</v>
      </c>
      <c r="E2992" t="s">
        <v>215</v>
      </c>
      <c r="F2992" s="1">
        <v>1</v>
      </c>
      <c r="G2992" s="1" t="s">
        <v>218</v>
      </c>
      <c r="H2992" s="4" t="str">
        <f>HYPERLINK("https://www.ncbi.nlm.nih.gov/geo/query/acc.cgi?acc=GSM831947","GSM831947")</f>
        <v>GSM831947</v>
      </c>
      <c r="I2992" t="s">
        <v>111</v>
      </c>
      <c r="J2992" t="s">
        <v>18</v>
      </c>
      <c r="K2992" t="s">
        <v>19</v>
      </c>
      <c r="L2992" t="s">
        <v>113</v>
      </c>
      <c r="M2992" t="s">
        <v>44</v>
      </c>
      <c r="N2992" t="s">
        <v>22</v>
      </c>
    </row>
    <row r="2993" spans="1:14">
      <c r="A2993" s="4" t="str">
        <f t="shared" si="289"/>
        <v>EXP00092</v>
      </c>
      <c r="B2993" s="4" t="str">
        <f t="shared" si="286"/>
        <v>22412968</v>
      </c>
      <c r="C2993" s="4" t="str">
        <f t="shared" si="287"/>
        <v>GSE34153</v>
      </c>
      <c r="D2993" s="1" t="s">
        <v>214</v>
      </c>
      <c r="E2993" t="s">
        <v>215</v>
      </c>
      <c r="F2993" s="1">
        <v>1</v>
      </c>
      <c r="G2993" s="1" t="s">
        <v>218</v>
      </c>
      <c r="H2993" s="4" t="str">
        <f>HYPERLINK("https://www.ncbi.nlm.nih.gov/geo/query/acc.cgi?acc=GSM831948","GSM831948")</f>
        <v>GSM831948</v>
      </c>
      <c r="I2993" t="s">
        <v>111</v>
      </c>
      <c r="J2993" t="s">
        <v>18</v>
      </c>
      <c r="K2993" t="s">
        <v>19</v>
      </c>
      <c r="L2993" t="s">
        <v>113</v>
      </c>
      <c r="M2993" t="s">
        <v>44</v>
      </c>
      <c r="N2993" t="s">
        <v>22</v>
      </c>
    </row>
    <row r="2994" spans="1:14">
      <c r="A2994" s="4" t="str">
        <f t="shared" si="289"/>
        <v>EXP00092</v>
      </c>
      <c r="B2994" s="4" t="str">
        <f t="shared" si="286"/>
        <v>22412968</v>
      </c>
      <c r="C2994" s="4" t="str">
        <f t="shared" si="287"/>
        <v>GSE34153</v>
      </c>
      <c r="D2994" s="1" t="s">
        <v>214</v>
      </c>
      <c r="E2994" t="s">
        <v>215</v>
      </c>
      <c r="F2994" s="1">
        <v>1</v>
      </c>
      <c r="G2994" s="1" t="s">
        <v>218</v>
      </c>
      <c r="H2994" s="4" t="str">
        <f>HYPERLINK("https://www.ncbi.nlm.nih.gov/geo/query/acc.cgi?acc=GSM831952","GSM831952")</f>
        <v>GSM831952</v>
      </c>
      <c r="I2994" t="s">
        <v>111</v>
      </c>
      <c r="J2994" t="s">
        <v>18</v>
      </c>
      <c r="K2994" t="s">
        <v>19</v>
      </c>
      <c r="L2994" t="s">
        <v>113</v>
      </c>
      <c r="M2994" t="s">
        <v>44</v>
      </c>
      <c r="N2994" t="s">
        <v>22</v>
      </c>
    </row>
    <row r="2995" spans="1:14">
      <c r="A2995" s="4" t="str">
        <f t="shared" si="289"/>
        <v>EXP00092</v>
      </c>
      <c r="B2995" s="4" t="str">
        <f t="shared" si="286"/>
        <v>22412968</v>
      </c>
      <c r="C2995" s="4" t="str">
        <f t="shared" si="287"/>
        <v>GSE34153</v>
      </c>
      <c r="D2995" s="1" t="s">
        <v>214</v>
      </c>
      <c r="E2995" t="s">
        <v>215</v>
      </c>
      <c r="F2995" s="1">
        <v>1</v>
      </c>
      <c r="G2995" s="1" t="s">
        <v>218</v>
      </c>
      <c r="H2995" s="4" t="str">
        <f>HYPERLINK("https://www.ncbi.nlm.nih.gov/geo/query/acc.cgi?acc=GSM831961","GSM831961")</f>
        <v>GSM831961</v>
      </c>
      <c r="I2995" t="s">
        <v>111</v>
      </c>
      <c r="J2995" t="s">
        <v>18</v>
      </c>
      <c r="K2995" t="s">
        <v>19</v>
      </c>
      <c r="L2995" t="s">
        <v>113</v>
      </c>
      <c r="M2995" t="s">
        <v>44</v>
      </c>
      <c r="N2995" t="s">
        <v>22</v>
      </c>
    </row>
    <row r="2996" spans="1:14">
      <c r="A2996" s="4" t="str">
        <f t="shared" si="289"/>
        <v>EXP00092</v>
      </c>
      <c r="B2996" s="4" t="str">
        <f t="shared" si="286"/>
        <v>22412968</v>
      </c>
      <c r="C2996" s="4" t="str">
        <f t="shared" si="287"/>
        <v>GSE34153</v>
      </c>
      <c r="D2996" s="1" t="s">
        <v>214</v>
      </c>
      <c r="E2996" t="s">
        <v>215</v>
      </c>
      <c r="F2996" s="1">
        <v>1</v>
      </c>
      <c r="G2996" s="1" t="s">
        <v>218</v>
      </c>
      <c r="H2996" s="4" t="str">
        <f>HYPERLINK("https://www.ncbi.nlm.nih.gov/geo/query/acc.cgi?acc=GSM831965","GSM831965")</f>
        <v>GSM831965</v>
      </c>
      <c r="I2996" t="s">
        <v>111</v>
      </c>
      <c r="J2996" t="s">
        <v>18</v>
      </c>
      <c r="K2996" t="s">
        <v>19</v>
      </c>
      <c r="L2996" t="s">
        <v>113</v>
      </c>
      <c r="M2996" t="s">
        <v>44</v>
      </c>
      <c r="N2996" t="s">
        <v>22</v>
      </c>
    </row>
    <row r="2997" spans="1:14">
      <c r="A2997" s="4" t="str">
        <f t="shared" si="289"/>
        <v>EXP00092</v>
      </c>
      <c r="B2997" s="4" t="str">
        <f t="shared" si="286"/>
        <v>22412968</v>
      </c>
      <c r="C2997" s="4" t="str">
        <f t="shared" si="287"/>
        <v>GSE34153</v>
      </c>
      <c r="D2997" s="1" t="s">
        <v>214</v>
      </c>
      <c r="E2997" t="s">
        <v>215</v>
      </c>
      <c r="F2997" s="1">
        <v>1</v>
      </c>
      <c r="G2997" s="1" t="s">
        <v>218</v>
      </c>
      <c r="H2997" s="4" t="str">
        <f>HYPERLINK("https://www.ncbi.nlm.nih.gov/geo/query/acc.cgi?acc=GSM831967","GSM831967")</f>
        <v>GSM831967</v>
      </c>
      <c r="I2997" t="s">
        <v>111</v>
      </c>
      <c r="J2997" t="s">
        <v>18</v>
      </c>
      <c r="K2997" t="s">
        <v>19</v>
      </c>
      <c r="L2997" t="s">
        <v>113</v>
      </c>
      <c r="M2997" t="s">
        <v>44</v>
      </c>
      <c r="N2997" t="s">
        <v>22</v>
      </c>
    </row>
    <row r="2998" spans="1:14">
      <c r="A2998" s="4" t="str">
        <f t="shared" si="289"/>
        <v>EXP00092</v>
      </c>
      <c r="B2998" s="4" t="str">
        <f t="shared" si="286"/>
        <v>22412968</v>
      </c>
      <c r="C2998" s="4" t="str">
        <f t="shared" si="287"/>
        <v>GSE34153</v>
      </c>
      <c r="D2998" s="1" t="s">
        <v>214</v>
      </c>
      <c r="E2998" t="s">
        <v>215</v>
      </c>
      <c r="F2998" s="1">
        <v>1</v>
      </c>
      <c r="G2998" s="1" t="s">
        <v>218</v>
      </c>
      <c r="H2998" s="4" t="str">
        <f>HYPERLINK("https://www.ncbi.nlm.nih.gov/geo/query/acc.cgi?acc=GSM831977","GSM831977")</f>
        <v>GSM831977</v>
      </c>
      <c r="I2998" t="s">
        <v>111</v>
      </c>
      <c r="J2998" t="s">
        <v>18</v>
      </c>
      <c r="K2998" t="s">
        <v>19</v>
      </c>
      <c r="L2998" t="s">
        <v>113</v>
      </c>
      <c r="M2998" t="s">
        <v>44</v>
      </c>
      <c r="N2998" t="s">
        <v>22</v>
      </c>
    </row>
    <row r="2999" spans="1:14">
      <c r="A2999" s="4" t="str">
        <f t="shared" si="289"/>
        <v>EXP00092</v>
      </c>
      <c r="B2999" s="4" t="str">
        <f t="shared" si="286"/>
        <v>22412968</v>
      </c>
      <c r="C2999" s="4" t="str">
        <f t="shared" si="287"/>
        <v>GSE34153</v>
      </c>
      <c r="D2999" s="1" t="s">
        <v>214</v>
      </c>
      <c r="E2999" t="s">
        <v>215</v>
      </c>
      <c r="F2999" s="1">
        <v>1</v>
      </c>
      <c r="G2999" s="1" t="s">
        <v>218</v>
      </c>
      <c r="H2999" s="4" t="str">
        <f>HYPERLINK("https://www.ncbi.nlm.nih.gov/geo/query/acc.cgi?acc=GSM831983","GSM831983")</f>
        <v>GSM831983</v>
      </c>
      <c r="I2999" t="s">
        <v>111</v>
      </c>
      <c r="J2999" t="s">
        <v>18</v>
      </c>
      <c r="K2999" t="s">
        <v>19</v>
      </c>
      <c r="L2999" t="s">
        <v>113</v>
      </c>
      <c r="M2999" t="s">
        <v>44</v>
      </c>
      <c r="N2999" t="s">
        <v>22</v>
      </c>
    </row>
    <row r="3000" spans="1:14">
      <c r="A3000" s="4" t="str">
        <f t="shared" si="289"/>
        <v>EXP00092</v>
      </c>
      <c r="B3000" s="4" t="str">
        <f t="shared" si="286"/>
        <v>22412968</v>
      </c>
      <c r="C3000" s="4" t="str">
        <f t="shared" si="287"/>
        <v>GSE34153</v>
      </c>
      <c r="D3000" s="1" t="s">
        <v>214</v>
      </c>
      <c r="E3000" t="s">
        <v>215</v>
      </c>
      <c r="F3000" s="1">
        <v>1</v>
      </c>
      <c r="G3000" s="1" t="s">
        <v>218</v>
      </c>
      <c r="H3000" s="4" t="str">
        <f>HYPERLINK("https://www.ncbi.nlm.nih.gov/geo/query/acc.cgi?acc=GSM831984","GSM831984")</f>
        <v>GSM831984</v>
      </c>
      <c r="I3000" t="s">
        <v>111</v>
      </c>
      <c r="J3000" t="s">
        <v>18</v>
      </c>
      <c r="K3000" t="s">
        <v>19</v>
      </c>
      <c r="L3000" t="s">
        <v>113</v>
      </c>
      <c r="M3000" t="s">
        <v>44</v>
      </c>
      <c r="N3000" t="s">
        <v>22</v>
      </c>
    </row>
    <row r="3001" spans="1:14">
      <c r="A3001" s="4" t="str">
        <f t="shared" si="289"/>
        <v>EXP00092</v>
      </c>
      <c r="B3001" s="4" t="str">
        <f t="shared" si="286"/>
        <v>22412968</v>
      </c>
      <c r="C3001" s="4" t="str">
        <f t="shared" si="287"/>
        <v>GSE34153</v>
      </c>
      <c r="D3001" s="1" t="s">
        <v>214</v>
      </c>
      <c r="E3001" t="s">
        <v>215</v>
      </c>
      <c r="F3001" s="1">
        <v>1</v>
      </c>
      <c r="G3001" s="1" t="s">
        <v>218</v>
      </c>
      <c r="H3001" s="4" t="str">
        <f>HYPERLINK("https://www.ncbi.nlm.nih.gov/geo/query/acc.cgi?acc=GSM831985","GSM831985")</f>
        <v>GSM831985</v>
      </c>
      <c r="I3001" t="s">
        <v>111</v>
      </c>
      <c r="J3001" t="s">
        <v>18</v>
      </c>
      <c r="K3001" t="s">
        <v>19</v>
      </c>
      <c r="L3001" t="s">
        <v>113</v>
      </c>
      <c r="M3001" t="s">
        <v>44</v>
      </c>
      <c r="N3001" t="s">
        <v>22</v>
      </c>
    </row>
    <row r="3002" spans="1:14">
      <c r="A3002" s="4" t="str">
        <f t="shared" si="289"/>
        <v>EXP00092</v>
      </c>
      <c r="B3002" s="4" t="str">
        <f t="shared" si="286"/>
        <v>22412968</v>
      </c>
      <c r="C3002" s="4" t="str">
        <f t="shared" si="287"/>
        <v>GSE34153</v>
      </c>
      <c r="D3002" s="1" t="s">
        <v>214</v>
      </c>
      <c r="E3002" t="s">
        <v>215</v>
      </c>
      <c r="F3002" s="1">
        <v>1</v>
      </c>
      <c r="G3002" s="1" t="s">
        <v>218</v>
      </c>
      <c r="H3002" s="4" t="str">
        <f>HYPERLINK("https://www.ncbi.nlm.nih.gov/geo/query/acc.cgi?acc=GSM831990","GSM831990")</f>
        <v>GSM831990</v>
      </c>
      <c r="I3002" t="s">
        <v>111</v>
      </c>
      <c r="J3002" t="s">
        <v>18</v>
      </c>
      <c r="K3002" t="s">
        <v>19</v>
      </c>
      <c r="L3002" t="s">
        <v>113</v>
      </c>
      <c r="M3002" t="s">
        <v>44</v>
      </c>
      <c r="N3002" t="s">
        <v>22</v>
      </c>
    </row>
    <row r="3003" spans="1:14">
      <c r="A3003" s="4" t="str">
        <f t="shared" si="289"/>
        <v>EXP00092</v>
      </c>
      <c r="B3003" s="4" t="str">
        <f t="shared" si="286"/>
        <v>22412968</v>
      </c>
      <c r="C3003" s="4" t="str">
        <f t="shared" si="287"/>
        <v>GSE34153</v>
      </c>
      <c r="D3003" s="1" t="s">
        <v>214</v>
      </c>
      <c r="E3003" t="s">
        <v>215</v>
      </c>
      <c r="F3003" s="1">
        <v>1</v>
      </c>
      <c r="G3003" s="1" t="s">
        <v>218</v>
      </c>
      <c r="H3003" s="4" t="str">
        <f>HYPERLINK("https://www.ncbi.nlm.nih.gov/geo/query/acc.cgi?acc=GSM831991","GSM831991")</f>
        <v>GSM831991</v>
      </c>
      <c r="I3003" t="s">
        <v>111</v>
      </c>
      <c r="J3003" t="s">
        <v>18</v>
      </c>
      <c r="K3003" t="s">
        <v>19</v>
      </c>
      <c r="L3003" t="s">
        <v>113</v>
      </c>
      <c r="M3003" t="s">
        <v>44</v>
      </c>
      <c r="N3003" t="s">
        <v>22</v>
      </c>
    </row>
    <row r="3004" spans="1:14">
      <c r="A3004" s="4" t="str">
        <f t="shared" si="289"/>
        <v>EXP00092</v>
      </c>
      <c r="B3004" s="4" t="str">
        <f t="shared" si="286"/>
        <v>22412968</v>
      </c>
      <c r="C3004" s="4" t="str">
        <f t="shared" si="287"/>
        <v>GSE34153</v>
      </c>
      <c r="D3004" s="1" t="s">
        <v>214</v>
      </c>
      <c r="E3004" t="s">
        <v>215</v>
      </c>
      <c r="F3004" s="1">
        <v>1</v>
      </c>
      <c r="G3004" s="1" t="s">
        <v>218</v>
      </c>
      <c r="H3004" s="4" t="str">
        <f>HYPERLINK("https://www.ncbi.nlm.nih.gov/geo/query/acc.cgi?acc=GSM831994","GSM831994")</f>
        <v>GSM831994</v>
      </c>
      <c r="I3004" t="s">
        <v>111</v>
      </c>
      <c r="J3004" t="s">
        <v>18</v>
      </c>
      <c r="K3004" t="s">
        <v>19</v>
      </c>
      <c r="L3004" t="s">
        <v>113</v>
      </c>
      <c r="M3004" t="s">
        <v>44</v>
      </c>
      <c r="N3004" t="s">
        <v>22</v>
      </c>
    </row>
    <row r="3005" spans="1:14">
      <c r="A3005" s="4" t="str">
        <f t="shared" si="289"/>
        <v>EXP00092</v>
      </c>
      <c r="B3005" s="4" t="str">
        <f t="shared" si="286"/>
        <v>22412968</v>
      </c>
      <c r="C3005" s="4" t="str">
        <f t="shared" si="287"/>
        <v>GSE34153</v>
      </c>
      <c r="D3005" s="1" t="s">
        <v>214</v>
      </c>
      <c r="E3005" t="s">
        <v>215</v>
      </c>
      <c r="F3005" s="1">
        <v>1</v>
      </c>
      <c r="G3005" s="1" t="s">
        <v>218</v>
      </c>
      <c r="H3005" s="4" t="str">
        <f>HYPERLINK("https://www.ncbi.nlm.nih.gov/geo/query/acc.cgi?acc=GSM831995","GSM831995")</f>
        <v>GSM831995</v>
      </c>
      <c r="I3005" t="s">
        <v>111</v>
      </c>
      <c r="J3005" t="s">
        <v>18</v>
      </c>
      <c r="K3005" t="s">
        <v>19</v>
      </c>
      <c r="L3005" t="s">
        <v>113</v>
      </c>
      <c r="M3005" t="s">
        <v>44</v>
      </c>
      <c r="N3005" t="s">
        <v>22</v>
      </c>
    </row>
    <row r="3006" spans="1:14">
      <c r="A3006" s="4" t="str">
        <f t="shared" si="289"/>
        <v>EXP00092</v>
      </c>
      <c r="B3006" s="4" t="str">
        <f t="shared" si="286"/>
        <v>22412968</v>
      </c>
      <c r="C3006" s="4" t="str">
        <f t="shared" si="287"/>
        <v>GSE34153</v>
      </c>
      <c r="D3006" s="1" t="s">
        <v>214</v>
      </c>
      <c r="E3006" t="s">
        <v>215</v>
      </c>
      <c r="F3006" s="1">
        <v>1</v>
      </c>
      <c r="G3006" s="1" t="s">
        <v>218</v>
      </c>
      <c r="H3006" s="4" t="str">
        <f>HYPERLINK("https://www.ncbi.nlm.nih.gov/geo/query/acc.cgi?acc=GSM831998","GSM831998")</f>
        <v>GSM831998</v>
      </c>
      <c r="I3006" t="s">
        <v>111</v>
      </c>
      <c r="J3006" t="s">
        <v>18</v>
      </c>
      <c r="K3006" t="s">
        <v>19</v>
      </c>
      <c r="L3006" t="s">
        <v>113</v>
      </c>
      <c r="M3006" t="s">
        <v>44</v>
      </c>
      <c r="N3006" t="s">
        <v>22</v>
      </c>
    </row>
    <row r="3007" spans="1:14">
      <c r="A3007" s="4" t="str">
        <f t="shared" si="289"/>
        <v>EXP00092</v>
      </c>
      <c r="B3007" s="4" t="str">
        <f t="shared" si="286"/>
        <v>22412968</v>
      </c>
      <c r="C3007" s="4" t="str">
        <f t="shared" si="287"/>
        <v>GSE34153</v>
      </c>
      <c r="D3007" s="1" t="s">
        <v>214</v>
      </c>
      <c r="E3007" t="s">
        <v>215</v>
      </c>
      <c r="F3007" s="1">
        <v>1</v>
      </c>
      <c r="G3007" s="1" t="s">
        <v>218</v>
      </c>
      <c r="H3007" s="4" t="str">
        <f>HYPERLINK("https://www.ncbi.nlm.nih.gov/geo/query/acc.cgi?acc=GSM832000","GSM832000")</f>
        <v>GSM832000</v>
      </c>
      <c r="I3007" t="s">
        <v>111</v>
      </c>
      <c r="J3007" t="s">
        <v>18</v>
      </c>
      <c r="K3007" t="s">
        <v>19</v>
      </c>
      <c r="L3007" t="s">
        <v>113</v>
      </c>
      <c r="M3007" t="s">
        <v>44</v>
      </c>
      <c r="N3007" t="s">
        <v>22</v>
      </c>
    </row>
    <row r="3008" spans="1:14">
      <c r="A3008" s="4" t="str">
        <f t="shared" si="289"/>
        <v>EXP00092</v>
      </c>
      <c r="B3008" s="4" t="str">
        <f t="shared" si="286"/>
        <v>22412968</v>
      </c>
      <c r="C3008" s="4" t="str">
        <f t="shared" si="287"/>
        <v>GSE34153</v>
      </c>
      <c r="D3008" s="1" t="s">
        <v>214</v>
      </c>
      <c r="E3008" t="s">
        <v>215</v>
      </c>
      <c r="F3008" s="1">
        <v>1</v>
      </c>
      <c r="G3008" s="1" t="s">
        <v>218</v>
      </c>
      <c r="H3008" s="4" t="str">
        <f>HYPERLINK("https://www.ncbi.nlm.nih.gov/geo/query/acc.cgi?acc=GSM832008","GSM832008")</f>
        <v>GSM832008</v>
      </c>
      <c r="I3008" t="s">
        <v>111</v>
      </c>
      <c r="J3008" t="s">
        <v>18</v>
      </c>
      <c r="K3008" t="s">
        <v>19</v>
      </c>
      <c r="L3008" t="s">
        <v>113</v>
      </c>
      <c r="M3008" t="s">
        <v>44</v>
      </c>
      <c r="N3008" t="s">
        <v>22</v>
      </c>
    </row>
    <row r="3009" spans="1:14">
      <c r="A3009" s="4" t="str">
        <f t="shared" si="289"/>
        <v>EXP00092</v>
      </c>
      <c r="B3009" s="4" t="str">
        <f t="shared" ref="B3009:B3072" si="290">HYPERLINK("https://www.ncbi.nlm.nih.gov/pubmed/22412968","22412968")</f>
        <v>22412968</v>
      </c>
      <c r="C3009" s="4" t="str">
        <f t="shared" ref="C3009:C3072" si="291">HYPERLINK("https://www.ncbi.nlm.nih.gov/geo/query/acc.cgi?acc=GSE34153","GSE34153")</f>
        <v>GSE34153</v>
      </c>
      <c r="D3009" s="1" t="s">
        <v>214</v>
      </c>
      <c r="E3009" t="s">
        <v>215</v>
      </c>
      <c r="F3009" s="1">
        <v>1</v>
      </c>
      <c r="G3009" s="1" t="s">
        <v>218</v>
      </c>
      <c r="H3009" s="4" t="str">
        <f>HYPERLINK("https://www.ncbi.nlm.nih.gov/geo/query/acc.cgi?acc=GSM832009","GSM832009")</f>
        <v>GSM832009</v>
      </c>
      <c r="I3009" t="s">
        <v>111</v>
      </c>
      <c r="J3009" t="s">
        <v>18</v>
      </c>
      <c r="K3009" t="s">
        <v>19</v>
      </c>
      <c r="L3009" t="s">
        <v>113</v>
      </c>
      <c r="M3009" t="s">
        <v>44</v>
      </c>
      <c r="N3009" t="s">
        <v>22</v>
      </c>
    </row>
    <row r="3010" spans="1:14">
      <c r="A3010" s="4" t="str">
        <f t="shared" si="289"/>
        <v>EXP00092</v>
      </c>
      <c r="B3010" s="4" t="str">
        <f t="shared" si="290"/>
        <v>22412968</v>
      </c>
      <c r="C3010" s="4" t="str">
        <f t="shared" si="291"/>
        <v>GSE34153</v>
      </c>
      <c r="D3010" s="1" t="s">
        <v>214</v>
      </c>
      <c r="E3010" t="s">
        <v>215</v>
      </c>
      <c r="F3010" s="1">
        <v>1</v>
      </c>
      <c r="G3010" s="1" t="s">
        <v>218</v>
      </c>
      <c r="H3010" s="4" t="str">
        <f>HYPERLINK("https://www.ncbi.nlm.nih.gov/geo/query/acc.cgi?acc=GSM832013","GSM832013")</f>
        <v>GSM832013</v>
      </c>
      <c r="I3010" t="s">
        <v>111</v>
      </c>
      <c r="J3010" t="s">
        <v>18</v>
      </c>
      <c r="K3010" t="s">
        <v>19</v>
      </c>
      <c r="L3010" t="s">
        <v>113</v>
      </c>
      <c r="M3010" t="s">
        <v>44</v>
      </c>
      <c r="N3010" t="s">
        <v>22</v>
      </c>
    </row>
    <row r="3011" spans="1:14">
      <c r="A3011" s="4" t="str">
        <f t="shared" si="289"/>
        <v>EXP00092</v>
      </c>
      <c r="B3011" s="4" t="str">
        <f t="shared" si="290"/>
        <v>22412968</v>
      </c>
      <c r="C3011" s="4" t="str">
        <f t="shared" si="291"/>
        <v>GSE34153</v>
      </c>
      <c r="D3011" s="1" t="s">
        <v>214</v>
      </c>
      <c r="E3011" t="s">
        <v>215</v>
      </c>
      <c r="F3011" s="1">
        <v>2</v>
      </c>
      <c r="G3011" s="1" t="s">
        <v>221</v>
      </c>
      <c r="H3011" s="4" t="str">
        <f>HYPERLINK("https://www.ncbi.nlm.nih.gov/geo/query/acc.cgi?acc=GSM831944","GSM831944")</f>
        <v>GSM831944</v>
      </c>
      <c r="I3011" t="s">
        <v>111</v>
      </c>
      <c r="J3011" t="s">
        <v>18</v>
      </c>
      <c r="K3011" t="s">
        <v>19</v>
      </c>
      <c r="L3011" t="s">
        <v>113</v>
      </c>
      <c r="M3011" t="s">
        <v>222</v>
      </c>
      <c r="N3011" t="s">
        <v>22</v>
      </c>
    </row>
    <row r="3012" spans="1:14">
      <c r="A3012" s="4" t="str">
        <f t="shared" si="289"/>
        <v>EXP00092</v>
      </c>
      <c r="B3012" s="4" t="str">
        <f t="shared" si="290"/>
        <v>22412968</v>
      </c>
      <c r="C3012" s="4" t="str">
        <f t="shared" si="291"/>
        <v>GSE34153</v>
      </c>
      <c r="D3012" s="1" t="s">
        <v>214</v>
      </c>
      <c r="E3012" t="s">
        <v>215</v>
      </c>
      <c r="F3012" s="1">
        <v>2</v>
      </c>
      <c r="G3012" s="1" t="s">
        <v>221</v>
      </c>
      <c r="H3012" s="4" t="str">
        <f>HYPERLINK("https://www.ncbi.nlm.nih.gov/geo/query/acc.cgi?acc=GSM831951","GSM831951")</f>
        <v>GSM831951</v>
      </c>
      <c r="I3012" t="s">
        <v>111</v>
      </c>
      <c r="J3012" t="s">
        <v>18</v>
      </c>
      <c r="K3012" t="s">
        <v>19</v>
      </c>
      <c r="L3012" t="s">
        <v>113</v>
      </c>
      <c r="M3012" t="s">
        <v>222</v>
      </c>
      <c r="N3012" t="s">
        <v>22</v>
      </c>
    </row>
    <row r="3013" spans="1:14">
      <c r="A3013" s="4" t="str">
        <f t="shared" si="289"/>
        <v>EXP00092</v>
      </c>
      <c r="B3013" s="4" t="str">
        <f t="shared" si="290"/>
        <v>22412968</v>
      </c>
      <c r="C3013" s="4" t="str">
        <f t="shared" si="291"/>
        <v>GSE34153</v>
      </c>
      <c r="D3013" s="1" t="s">
        <v>214</v>
      </c>
      <c r="E3013" t="s">
        <v>215</v>
      </c>
      <c r="F3013" s="1">
        <v>2</v>
      </c>
      <c r="G3013" s="1" t="s">
        <v>221</v>
      </c>
      <c r="H3013" s="4" t="str">
        <f>HYPERLINK("https://www.ncbi.nlm.nih.gov/geo/query/acc.cgi?acc=GSM831953","GSM831953")</f>
        <v>GSM831953</v>
      </c>
      <c r="I3013" t="s">
        <v>111</v>
      </c>
      <c r="J3013" t="s">
        <v>18</v>
      </c>
      <c r="K3013" t="s">
        <v>19</v>
      </c>
      <c r="L3013" t="s">
        <v>113</v>
      </c>
      <c r="M3013" t="s">
        <v>222</v>
      </c>
      <c r="N3013" t="s">
        <v>22</v>
      </c>
    </row>
    <row r="3014" spans="1:14">
      <c r="A3014" s="4" t="str">
        <f t="shared" si="289"/>
        <v>EXP00092</v>
      </c>
      <c r="B3014" s="4" t="str">
        <f t="shared" si="290"/>
        <v>22412968</v>
      </c>
      <c r="C3014" s="4" t="str">
        <f t="shared" si="291"/>
        <v>GSE34153</v>
      </c>
      <c r="D3014" s="1" t="s">
        <v>214</v>
      </c>
      <c r="E3014" t="s">
        <v>215</v>
      </c>
      <c r="F3014" s="1">
        <v>2</v>
      </c>
      <c r="G3014" s="1" t="s">
        <v>221</v>
      </c>
      <c r="H3014" s="4" t="str">
        <f>HYPERLINK("https://www.ncbi.nlm.nih.gov/geo/query/acc.cgi?acc=GSM831954","GSM831954")</f>
        <v>GSM831954</v>
      </c>
      <c r="I3014" t="s">
        <v>111</v>
      </c>
      <c r="J3014" t="s">
        <v>18</v>
      </c>
      <c r="K3014" t="s">
        <v>19</v>
      </c>
      <c r="L3014" t="s">
        <v>113</v>
      </c>
      <c r="M3014" t="s">
        <v>222</v>
      </c>
      <c r="N3014" t="s">
        <v>22</v>
      </c>
    </row>
    <row r="3015" spans="1:14">
      <c r="A3015" s="4" t="str">
        <f t="shared" si="289"/>
        <v>EXP00092</v>
      </c>
      <c r="B3015" s="4" t="str">
        <f t="shared" si="290"/>
        <v>22412968</v>
      </c>
      <c r="C3015" s="4" t="str">
        <f t="shared" si="291"/>
        <v>GSE34153</v>
      </c>
      <c r="D3015" s="1" t="s">
        <v>214</v>
      </c>
      <c r="E3015" t="s">
        <v>215</v>
      </c>
      <c r="F3015" s="1">
        <v>2</v>
      </c>
      <c r="G3015" s="1" t="s">
        <v>221</v>
      </c>
      <c r="H3015" s="4" t="str">
        <f>HYPERLINK("https://www.ncbi.nlm.nih.gov/geo/query/acc.cgi?acc=GSM831955","GSM831955")</f>
        <v>GSM831955</v>
      </c>
      <c r="I3015" t="s">
        <v>111</v>
      </c>
      <c r="J3015" t="s">
        <v>18</v>
      </c>
      <c r="K3015" t="s">
        <v>19</v>
      </c>
      <c r="L3015" t="s">
        <v>113</v>
      </c>
      <c r="M3015" t="s">
        <v>222</v>
      </c>
      <c r="N3015" t="s">
        <v>22</v>
      </c>
    </row>
    <row r="3016" spans="1:14">
      <c r="A3016" s="4" t="str">
        <f t="shared" si="289"/>
        <v>EXP00092</v>
      </c>
      <c r="B3016" s="4" t="str">
        <f t="shared" si="290"/>
        <v>22412968</v>
      </c>
      <c r="C3016" s="4" t="str">
        <f t="shared" si="291"/>
        <v>GSE34153</v>
      </c>
      <c r="D3016" s="1" t="s">
        <v>214</v>
      </c>
      <c r="E3016" t="s">
        <v>215</v>
      </c>
      <c r="F3016" s="1">
        <v>2</v>
      </c>
      <c r="G3016" s="1" t="s">
        <v>221</v>
      </c>
      <c r="H3016" s="4" t="str">
        <f>HYPERLINK("https://www.ncbi.nlm.nih.gov/geo/query/acc.cgi?acc=GSM831986","GSM831986")</f>
        <v>GSM831986</v>
      </c>
      <c r="I3016" t="s">
        <v>111</v>
      </c>
      <c r="J3016" t="s">
        <v>18</v>
      </c>
      <c r="K3016" t="s">
        <v>19</v>
      </c>
      <c r="L3016" t="s">
        <v>113</v>
      </c>
      <c r="M3016" t="s">
        <v>222</v>
      </c>
      <c r="N3016" t="s">
        <v>22</v>
      </c>
    </row>
    <row r="3017" spans="1:14">
      <c r="A3017" s="4" t="str">
        <f t="shared" si="289"/>
        <v>EXP00092</v>
      </c>
      <c r="B3017" s="4" t="str">
        <f t="shared" si="290"/>
        <v>22412968</v>
      </c>
      <c r="C3017" s="4" t="str">
        <f t="shared" si="291"/>
        <v>GSE34153</v>
      </c>
      <c r="D3017" s="1" t="s">
        <v>214</v>
      </c>
      <c r="E3017" t="s">
        <v>215</v>
      </c>
      <c r="F3017" s="1">
        <v>2</v>
      </c>
      <c r="G3017" s="1" t="s">
        <v>221</v>
      </c>
      <c r="H3017" s="4" t="str">
        <f>HYPERLINK("https://www.ncbi.nlm.nih.gov/geo/query/acc.cgi?acc=GSM831987","GSM831987")</f>
        <v>GSM831987</v>
      </c>
      <c r="I3017" t="s">
        <v>111</v>
      </c>
      <c r="J3017" t="s">
        <v>18</v>
      </c>
      <c r="K3017" t="s">
        <v>19</v>
      </c>
      <c r="L3017" t="s">
        <v>113</v>
      </c>
      <c r="M3017" t="s">
        <v>222</v>
      </c>
      <c r="N3017" t="s">
        <v>22</v>
      </c>
    </row>
    <row r="3018" spans="1:14">
      <c r="A3018" s="4" t="str">
        <f t="shared" si="289"/>
        <v>EXP00092</v>
      </c>
      <c r="B3018" s="4" t="str">
        <f t="shared" si="290"/>
        <v>22412968</v>
      </c>
      <c r="C3018" s="4" t="str">
        <f t="shared" si="291"/>
        <v>GSE34153</v>
      </c>
      <c r="D3018" s="1" t="s">
        <v>214</v>
      </c>
      <c r="E3018" t="s">
        <v>215</v>
      </c>
      <c r="F3018" s="1">
        <v>2</v>
      </c>
      <c r="G3018" s="1" t="s">
        <v>221</v>
      </c>
      <c r="H3018" s="4" t="str">
        <f>HYPERLINK("https://www.ncbi.nlm.nih.gov/geo/query/acc.cgi?acc=GSM831999","GSM831999")</f>
        <v>GSM831999</v>
      </c>
      <c r="I3018" t="s">
        <v>111</v>
      </c>
      <c r="J3018" t="s">
        <v>18</v>
      </c>
      <c r="K3018" t="s">
        <v>19</v>
      </c>
      <c r="L3018" t="s">
        <v>113</v>
      </c>
      <c r="M3018" t="s">
        <v>222</v>
      </c>
      <c r="N3018" t="s">
        <v>22</v>
      </c>
    </row>
    <row r="3019" spans="1:14">
      <c r="A3019" s="4" t="str">
        <f t="shared" si="289"/>
        <v>EXP00092</v>
      </c>
      <c r="B3019" s="4" t="str">
        <f t="shared" si="290"/>
        <v>22412968</v>
      </c>
      <c r="C3019" s="4" t="str">
        <f t="shared" si="291"/>
        <v>GSE34153</v>
      </c>
      <c r="D3019" s="1" t="s">
        <v>214</v>
      </c>
      <c r="E3019" t="s">
        <v>215</v>
      </c>
      <c r="F3019" s="1">
        <v>2</v>
      </c>
      <c r="G3019" s="1" t="s">
        <v>221</v>
      </c>
      <c r="H3019" s="4" t="str">
        <f>HYPERLINK("https://www.ncbi.nlm.nih.gov/geo/query/acc.cgi?acc=GSM832001","GSM832001")</f>
        <v>GSM832001</v>
      </c>
      <c r="I3019" t="s">
        <v>111</v>
      </c>
      <c r="J3019" t="s">
        <v>18</v>
      </c>
      <c r="K3019" t="s">
        <v>19</v>
      </c>
      <c r="L3019" t="s">
        <v>113</v>
      </c>
      <c r="M3019" t="s">
        <v>222</v>
      </c>
      <c r="N3019" t="s">
        <v>22</v>
      </c>
    </row>
    <row r="3020" spans="1:14">
      <c r="A3020" s="4" t="str">
        <f t="shared" si="289"/>
        <v>EXP00092</v>
      </c>
      <c r="B3020" s="4" t="str">
        <f t="shared" si="290"/>
        <v>22412968</v>
      </c>
      <c r="C3020" s="4" t="str">
        <f t="shared" si="291"/>
        <v>GSE34153</v>
      </c>
      <c r="D3020" s="1" t="s">
        <v>214</v>
      </c>
      <c r="E3020" t="s">
        <v>215</v>
      </c>
      <c r="F3020" s="1">
        <v>2</v>
      </c>
      <c r="G3020" s="1" t="s">
        <v>221</v>
      </c>
      <c r="H3020" s="4" t="str">
        <f>HYPERLINK("https://www.ncbi.nlm.nih.gov/geo/query/acc.cgi?acc=GSM832002","GSM832002")</f>
        <v>GSM832002</v>
      </c>
      <c r="I3020" t="s">
        <v>111</v>
      </c>
      <c r="J3020" t="s">
        <v>18</v>
      </c>
      <c r="K3020" t="s">
        <v>19</v>
      </c>
      <c r="L3020" t="s">
        <v>113</v>
      </c>
      <c r="M3020" t="s">
        <v>222</v>
      </c>
      <c r="N3020" t="s">
        <v>22</v>
      </c>
    </row>
    <row r="3021" spans="1:14">
      <c r="A3021" s="4" t="str">
        <f t="shared" ref="A3021:A3054" si="292">HYPERLINK("http://hcmdb.i-sanger.com/experiment/details/experiment_id/EXP00080","EXP00080")</f>
        <v>EXP00080</v>
      </c>
      <c r="B3021" s="4" t="str">
        <f t="shared" si="290"/>
        <v>22412968</v>
      </c>
      <c r="C3021" s="4" t="str">
        <f t="shared" si="291"/>
        <v>GSE34153</v>
      </c>
      <c r="D3021" s="1" t="s">
        <v>214</v>
      </c>
      <c r="E3021" t="s">
        <v>215</v>
      </c>
      <c r="F3021" s="1">
        <v>1</v>
      </c>
      <c r="G3021" s="1" t="s">
        <v>218</v>
      </c>
      <c r="H3021" s="4" t="str">
        <f>HYPERLINK("https://www.ncbi.nlm.nih.gov/geo/query/acc.cgi?acc=GSM831946","GSM831946")</f>
        <v>GSM831946</v>
      </c>
      <c r="I3021" t="s">
        <v>111</v>
      </c>
      <c r="J3021" t="s">
        <v>18</v>
      </c>
      <c r="K3021" t="s">
        <v>19</v>
      </c>
      <c r="L3021" t="s">
        <v>113</v>
      </c>
      <c r="M3021" t="s">
        <v>44</v>
      </c>
      <c r="N3021" t="s">
        <v>22</v>
      </c>
    </row>
    <row r="3022" spans="1:14">
      <c r="A3022" s="4" t="str">
        <f t="shared" si="292"/>
        <v>EXP00080</v>
      </c>
      <c r="B3022" s="4" t="str">
        <f t="shared" si="290"/>
        <v>22412968</v>
      </c>
      <c r="C3022" s="4" t="str">
        <f t="shared" si="291"/>
        <v>GSE34153</v>
      </c>
      <c r="D3022" s="1" t="s">
        <v>214</v>
      </c>
      <c r="E3022" t="s">
        <v>215</v>
      </c>
      <c r="F3022" s="1">
        <v>1</v>
      </c>
      <c r="G3022" s="1" t="s">
        <v>218</v>
      </c>
      <c r="H3022" s="4" t="str">
        <f>HYPERLINK("https://www.ncbi.nlm.nih.gov/geo/query/acc.cgi?acc=GSM831947","GSM831947")</f>
        <v>GSM831947</v>
      </c>
      <c r="I3022" t="s">
        <v>111</v>
      </c>
      <c r="J3022" t="s">
        <v>18</v>
      </c>
      <c r="K3022" t="s">
        <v>19</v>
      </c>
      <c r="L3022" t="s">
        <v>113</v>
      </c>
      <c r="M3022" t="s">
        <v>44</v>
      </c>
      <c r="N3022" t="s">
        <v>22</v>
      </c>
    </row>
    <row r="3023" spans="1:14">
      <c r="A3023" s="4" t="str">
        <f t="shared" si="292"/>
        <v>EXP00080</v>
      </c>
      <c r="B3023" s="4" t="str">
        <f t="shared" si="290"/>
        <v>22412968</v>
      </c>
      <c r="C3023" s="4" t="str">
        <f t="shared" si="291"/>
        <v>GSE34153</v>
      </c>
      <c r="D3023" s="1" t="s">
        <v>214</v>
      </c>
      <c r="E3023" t="s">
        <v>215</v>
      </c>
      <c r="F3023" s="1">
        <v>1</v>
      </c>
      <c r="G3023" s="1" t="s">
        <v>218</v>
      </c>
      <c r="H3023" s="4" t="str">
        <f>HYPERLINK("https://www.ncbi.nlm.nih.gov/geo/query/acc.cgi?acc=GSM831948","GSM831948")</f>
        <v>GSM831948</v>
      </c>
      <c r="I3023" t="s">
        <v>111</v>
      </c>
      <c r="J3023" t="s">
        <v>18</v>
      </c>
      <c r="K3023" t="s">
        <v>19</v>
      </c>
      <c r="L3023" t="s">
        <v>113</v>
      </c>
      <c r="M3023" t="s">
        <v>44</v>
      </c>
      <c r="N3023" t="s">
        <v>22</v>
      </c>
    </row>
    <row r="3024" spans="1:14">
      <c r="A3024" s="4" t="str">
        <f t="shared" si="292"/>
        <v>EXP00080</v>
      </c>
      <c r="B3024" s="4" t="str">
        <f t="shared" si="290"/>
        <v>22412968</v>
      </c>
      <c r="C3024" s="4" t="str">
        <f t="shared" si="291"/>
        <v>GSE34153</v>
      </c>
      <c r="D3024" s="1" t="s">
        <v>214</v>
      </c>
      <c r="E3024" t="s">
        <v>215</v>
      </c>
      <c r="F3024" s="1">
        <v>1</v>
      </c>
      <c r="G3024" s="1" t="s">
        <v>218</v>
      </c>
      <c r="H3024" s="4" t="str">
        <f>HYPERLINK("https://www.ncbi.nlm.nih.gov/geo/query/acc.cgi?acc=GSM831952","GSM831952")</f>
        <v>GSM831952</v>
      </c>
      <c r="I3024" t="s">
        <v>111</v>
      </c>
      <c r="J3024" t="s">
        <v>18</v>
      </c>
      <c r="K3024" t="s">
        <v>19</v>
      </c>
      <c r="L3024" t="s">
        <v>113</v>
      </c>
      <c r="M3024" t="s">
        <v>44</v>
      </c>
      <c r="N3024" t="s">
        <v>22</v>
      </c>
    </row>
    <row r="3025" spans="1:14">
      <c r="A3025" s="4" t="str">
        <f t="shared" si="292"/>
        <v>EXP00080</v>
      </c>
      <c r="B3025" s="4" t="str">
        <f t="shared" si="290"/>
        <v>22412968</v>
      </c>
      <c r="C3025" s="4" t="str">
        <f t="shared" si="291"/>
        <v>GSE34153</v>
      </c>
      <c r="D3025" s="1" t="s">
        <v>214</v>
      </c>
      <c r="E3025" t="s">
        <v>215</v>
      </c>
      <c r="F3025" s="1">
        <v>1</v>
      </c>
      <c r="G3025" s="1" t="s">
        <v>218</v>
      </c>
      <c r="H3025" s="4" t="str">
        <f>HYPERLINK("https://www.ncbi.nlm.nih.gov/geo/query/acc.cgi?acc=GSM831961","GSM831961")</f>
        <v>GSM831961</v>
      </c>
      <c r="I3025" t="s">
        <v>111</v>
      </c>
      <c r="J3025" t="s">
        <v>18</v>
      </c>
      <c r="K3025" t="s">
        <v>19</v>
      </c>
      <c r="L3025" t="s">
        <v>113</v>
      </c>
      <c r="M3025" t="s">
        <v>44</v>
      </c>
      <c r="N3025" t="s">
        <v>22</v>
      </c>
    </row>
    <row r="3026" spans="1:14">
      <c r="A3026" s="4" t="str">
        <f t="shared" si="292"/>
        <v>EXP00080</v>
      </c>
      <c r="B3026" s="4" t="str">
        <f t="shared" si="290"/>
        <v>22412968</v>
      </c>
      <c r="C3026" s="4" t="str">
        <f t="shared" si="291"/>
        <v>GSE34153</v>
      </c>
      <c r="D3026" s="1" t="s">
        <v>214</v>
      </c>
      <c r="E3026" t="s">
        <v>215</v>
      </c>
      <c r="F3026" s="1">
        <v>1</v>
      </c>
      <c r="G3026" s="1" t="s">
        <v>218</v>
      </c>
      <c r="H3026" s="4" t="str">
        <f>HYPERLINK("https://www.ncbi.nlm.nih.gov/geo/query/acc.cgi?acc=GSM831965","GSM831965")</f>
        <v>GSM831965</v>
      </c>
      <c r="I3026" t="s">
        <v>111</v>
      </c>
      <c r="J3026" t="s">
        <v>18</v>
      </c>
      <c r="K3026" t="s">
        <v>19</v>
      </c>
      <c r="L3026" t="s">
        <v>113</v>
      </c>
      <c r="M3026" t="s">
        <v>44</v>
      </c>
      <c r="N3026" t="s">
        <v>22</v>
      </c>
    </row>
    <row r="3027" spans="1:14">
      <c r="A3027" s="4" t="str">
        <f t="shared" si="292"/>
        <v>EXP00080</v>
      </c>
      <c r="B3027" s="4" t="str">
        <f t="shared" si="290"/>
        <v>22412968</v>
      </c>
      <c r="C3027" s="4" t="str">
        <f t="shared" si="291"/>
        <v>GSE34153</v>
      </c>
      <c r="D3027" s="1" t="s">
        <v>214</v>
      </c>
      <c r="E3027" t="s">
        <v>215</v>
      </c>
      <c r="F3027" s="1">
        <v>1</v>
      </c>
      <c r="G3027" s="1" t="s">
        <v>218</v>
      </c>
      <c r="H3027" s="4" t="str">
        <f>HYPERLINK("https://www.ncbi.nlm.nih.gov/geo/query/acc.cgi?acc=GSM831967","GSM831967")</f>
        <v>GSM831967</v>
      </c>
      <c r="I3027" t="s">
        <v>111</v>
      </c>
      <c r="J3027" t="s">
        <v>18</v>
      </c>
      <c r="K3027" t="s">
        <v>19</v>
      </c>
      <c r="L3027" t="s">
        <v>113</v>
      </c>
      <c r="M3027" t="s">
        <v>44</v>
      </c>
      <c r="N3027" t="s">
        <v>22</v>
      </c>
    </row>
    <row r="3028" spans="1:14">
      <c r="A3028" s="4" t="str">
        <f t="shared" si="292"/>
        <v>EXP00080</v>
      </c>
      <c r="B3028" s="4" t="str">
        <f t="shared" si="290"/>
        <v>22412968</v>
      </c>
      <c r="C3028" s="4" t="str">
        <f t="shared" si="291"/>
        <v>GSE34153</v>
      </c>
      <c r="D3028" s="1" t="s">
        <v>214</v>
      </c>
      <c r="E3028" t="s">
        <v>215</v>
      </c>
      <c r="F3028" s="1">
        <v>1</v>
      </c>
      <c r="G3028" s="1" t="s">
        <v>218</v>
      </c>
      <c r="H3028" s="4" t="str">
        <f>HYPERLINK("https://www.ncbi.nlm.nih.gov/geo/query/acc.cgi?acc=GSM831977","GSM831977")</f>
        <v>GSM831977</v>
      </c>
      <c r="I3028" t="s">
        <v>111</v>
      </c>
      <c r="J3028" t="s">
        <v>18</v>
      </c>
      <c r="K3028" t="s">
        <v>19</v>
      </c>
      <c r="L3028" t="s">
        <v>113</v>
      </c>
      <c r="M3028" t="s">
        <v>44</v>
      </c>
      <c r="N3028" t="s">
        <v>22</v>
      </c>
    </row>
    <row r="3029" spans="1:14">
      <c r="A3029" s="4" t="str">
        <f t="shared" si="292"/>
        <v>EXP00080</v>
      </c>
      <c r="B3029" s="4" t="str">
        <f t="shared" si="290"/>
        <v>22412968</v>
      </c>
      <c r="C3029" s="4" t="str">
        <f t="shared" si="291"/>
        <v>GSE34153</v>
      </c>
      <c r="D3029" s="1" t="s">
        <v>214</v>
      </c>
      <c r="E3029" t="s">
        <v>215</v>
      </c>
      <c r="F3029" s="1">
        <v>1</v>
      </c>
      <c r="G3029" s="1" t="s">
        <v>218</v>
      </c>
      <c r="H3029" s="4" t="str">
        <f>HYPERLINK("https://www.ncbi.nlm.nih.gov/geo/query/acc.cgi?acc=GSM831983","GSM831983")</f>
        <v>GSM831983</v>
      </c>
      <c r="I3029" t="s">
        <v>111</v>
      </c>
      <c r="J3029" t="s">
        <v>18</v>
      </c>
      <c r="K3029" t="s">
        <v>19</v>
      </c>
      <c r="L3029" t="s">
        <v>113</v>
      </c>
      <c r="M3029" t="s">
        <v>44</v>
      </c>
      <c r="N3029" t="s">
        <v>22</v>
      </c>
    </row>
    <row r="3030" spans="1:14">
      <c r="A3030" s="4" t="str">
        <f t="shared" si="292"/>
        <v>EXP00080</v>
      </c>
      <c r="B3030" s="4" t="str">
        <f t="shared" si="290"/>
        <v>22412968</v>
      </c>
      <c r="C3030" s="4" t="str">
        <f t="shared" si="291"/>
        <v>GSE34153</v>
      </c>
      <c r="D3030" s="1" t="s">
        <v>214</v>
      </c>
      <c r="E3030" t="s">
        <v>215</v>
      </c>
      <c r="F3030" s="1">
        <v>1</v>
      </c>
      <c r="G3030" s="1" t="s">
        <v>218</v>
      </c>
      <c r="H3030" s="4" t="str">
        <f>HYPERLINK("https://www.ncbi.nlm.nih.gov/geo/query/acc.cgi?acc=GSM831984","GSM831984")</f>
        <v>GSM831984</v>
      </c>
      <c r="I3030" t="s">
        <v>111</v>
      </c>
      <c r="J3030" t="s">
        <v>18</v>
      </c>
      <c r="K3030" t="s">
        <v>19</v>
      </c>
      <c r="L3030" t="s">
        <v>113</v>
      </c>
      <c r="M3030" t="s">
        <v>44</v>
      </c>
      <c r="N3030" t="s">
        <v>22</v>
      </c>
    </row>
    <row r="3031" spans="1:14">
      <c r="A3031" s="4" t="str">
        <f t="shared" si="292"/>
        <v>EXP00080</v>
      </c>
      <c r="B3031" s="4" t="str">
        <f t="shared" si="290"/>
        <v>22412968</v>
      </c>
      <c r="C3031" s="4" t="str">
        <f t="shared" si="291"/>
        <v>GSE34153</v>
      </c>
      <c r="D3031" s="1" t="s">
        <v>214</v>
      </c>
      <c r="E3031" t="s">
        <v>215</v>
      </c>
      <c r="F3031" s="1">
        <v>1</v>
      </c>
      <c r="G3031" s="1" t="s">
        <v>218</v>
      </c>
      <c r="H3031" s="4" t="str">
        <f>HYPERLINK("https://www.ncbi.nlm.nih.gov/geo/query/acc.cgi?acc=GSM831985","GSM831985")</f>
        <v>GSM831985</v>
      </c>
      <c r="I3031" t="s">
        <v>111</v>
      </c>
      <c r="J3031" t="s">
        <v>18</v>
      </c>
      <c r="K3031" t="s">
        <v>19</v>
      </c>
      <c r="L3031" t="s">
        <v>113</v>
      </c>
      <c r="M3031" t="s">
        <v>44</v>
      </c>
      <c r="N3031" t="s">
        <v>22</v>
      </c>
    </row>
    <row r="3032" spans="1:14">
      <c r="A3032" s="4" t="str">
        <f t="shared" si="292"/>
        <v>EXP00080</v>
      </c>
      <c r="B3032" s="4" t="str">
        <f t="shared" si="290"/>
        <v>22412968</v>
      </c>
      <c r="C3032" s="4" t="str">
        <f t="shared" si="291"/>
        <v>GSE34153</v>
      </c>
      <c r="D3032" s="1" t="s">
        <v>214</v>
      </c>
      <c r="E3032" t="s">
        <v>215</v>
      </c>
      <c r="F3032" s="1">
        <v>1</v>
      </c>
      <c r="G3032" s="1" t="s">
        <v>218</v>
      </c>
      <c r="H3032" s="4" t="str">
        <f>HYPERLINK("https://www.ncbi.nlm.nih.gov/geo/query/acc.cgi?acc=GSM831990","GSM831990")</f>
        <v>GSM831990</v>
      </c>
      <c r="I3032" t="s">
        <v>111</v>
      </c>
      <c r="J3032" t="s">
        <v>18</v>
      </c>
      <c r="K3032" t="s">
        <v>19</v>
      </c>
      <c r="L3032" t="s">
        <v>113</v>
      </c>
      <c r="M3032" t="s">
        <v>44</v>
      </c>
      <c r="N3032" t="s">
        <v>22</v>
      </c>
    </row>
    <row r="3033" spans="1:14">
      <c r="A3033" s="4" t="str">
        <f t="shared" si="292"/>
        <v>EXP00080</v>
      </c>
      <c r="B3033" s="4" t="str">
        <f t="shared" si="290"/>
        <v>22412968</v>
      </c>
      <c r="C3033" s="4" t="str">
        <f t="shared" si="291"/>
        <v>GSE34153</v>
      </c>
      <c r="D3033" s="1" t="s">
        <v>214</v>
      </c>
      <c r="E3033" t="s">
        <v>215</v>
      </c>
      <c r="F3033" s="1">
        <v>1</v>
      </c>
      <c r="G3033" s="1" t="s">
        <v>218</v>
      </c>
      <c r="H3033" s="4" t="str">
        <f>HYPERLINK("https://www.ncbi.nlm.nih.gov/geo/query/acc.cgi?acc=GSM831991","GSM831991")</f>
        <v>GSM831991</v>
      </c>
      <c r="I3033" t="s">
        <v>111</v>
      </c>
      <c r="J3033" t="s">
        <v>18</v>
      </c>
      <c r="K3033" t="s">
        <v>19</v>
      </c>
      <c r="L3033" t="s">
        <v>113</v>
      </c>
      <c r="M3033" t="s">
        <v>44</v>
      </c>
      <c r="N3033" t="s">
        <v>22</v>
      </c>
    </row>
    <row r="3034" spans="1:14">
      <c r="A3034" s="4" t="str">
        <f t="shared" si="292"/>
        <v>EXP00080</v>
      </c>
      <c r="B3034" s="4" t="str">
        <f t="shared" si="290"/>
        <v>22412968</v>
      </c>
      <c r="C3034" s="4" t="str">
        <f t="shared" si="291"/>
        <v>GSE34153</v>
      </c>
      <c r="D3034" s="1" t="s">
        <v>214</v>
      </c>
      <c r="E3034" t="s">
        <v>215</v>
      </c>
      <c r="F3034" s="1">
        <v>1</v>
      </c>
      <c r="G3034" s="1" t="s">
        <v>218</v>
      </c>
      <c r="H3034" s="4" t="str">
        <f>HYPERLINK("https://www.ncbi.nlm.nih.gov/geo/query/acc.cgi?acc=GSM831994","GSM831994")</f>
        <v>GSM831994</v>
      </c>
      <c r="I3034" t="s">
        <v>111</v>
      </c>
      <c r="J3034" t="s">
        <v>18</v>
      </c>
      <c r="K3034" t="s">
        <v>19</v>
      </c>
      <c r="L3034" t="s">
        <v>113</v>
      </c>
      <c r="M3034" t="s">
        <v>44</v>
      </c>
      <c r="N3034" t="s">
        <v>22</v>
      </c>
    </row>
    <row r="3035" spans="1:14">
      <c r="A3035" s="4" t="str">
        <f t="shared" si="292"/>
        <v>EXP00080</v>
      </c>
      <c r="B3035" s="4" t="str">
        <f t="shared" si="290"/>
        <v>22412968</v>
      </c>
      <c r="C3035" s="4" t="str">
        <f t="shared" si="291"/>
        <v>GSE34153</v>
      </c>
      <c r="D3035" s="1" t="s">
        <v>214</v>
      </c>
      <c r="E3035" t="s">
        <v>215</v>
      </c>
      <c r="F3035" s="1">
        <v>1</v>
      </c>
      <c r="G3035" s="1" t="s">
        <v>218</v>
      </c>
      <c r="H3035" s="4" t="str">
        <f>HYPERLINK("https://www.ncbi.nlm.nih.gov/geo/query/acc.cgi?acc=GSM831995","GSM831995")</f>
        <v>GSM831995</v>
      </c>
      <c r="I3035" t="s">
        <v>111</v>
      </c>
      <c r="J3035" t="s">
        <v>18</v>
      </c>
      <c r="K3035" t="s">
        <v>19</v>
      </c>
      <c r="L3035" t="s">
        <v>113</v>
      </c>
      <c r="M3035" t="s">
        <v>44</v>
      </c>
      <c r="N3035" t="s">
        <v>22</v>
      </c>
    </row>
    <row r="3036" spans="1:14">
      <c r="A3036" s="4" t="str">
        <f t="shared" si="292"/>
        <v>EXP00080</v>
      </c>
      <c r="B3036" s="4" t="str">
        <f t="shared" si="290"/>
        <v>22412968</v>
      </c>
      <c r="C3036" s="4" t="str">
        <f t="shared" si="291"/>
        <v>GSE34153</v>
      </c>
      <c r="D3036" s="1" t="s">
        <v>214</v>
      </c>
      <c r="E3036" t="s">
        <v>215</v>
      </c>
      <c r="F3036" s="1">
        <v>1</v>
      </c>
      <c r="G3036" s="1" t="s">
        <v>218</v>
      </c>
      <c r="H3036" s="4" t="str">
        <f>HYPERLINK("https://www.ncbi.nlm.nih.gov/geo/query/acc.cgi?acc=GSM831998","GSM831998")</f>
        <v>GSM831998</v>
      </c>
      <c r="I3036" t="s">
        <v>111</v>
      </c>
      <c r="J3036" t="s">
        <v>18</v>
      </c>
      <c r="K3036" t="s">
        <v>19</v>
      </c>
      <c r="L3036" t="s">
        <v>113</v>
      </c>
      <c r="M3036" t="s">
        <v>44</v>
      </c>
      <c r="N3036" t="s">
        <v>22</v>
      </c>
    </row>
    <row r="3037" spans="1:14">
      <c r="A3037" s="4" t="str">
        <f t="shared" si="292"/>
        <v>EXP00080</v>
      </c>
      <c r="B3037" s="4" t="str">
        <f t="shared" si="290"/>
        <v>22412968</v>
      </c>
      <c r="C3037" s="4" t="str">
        <f t="shared" si="291"/>
        <v>GSE34153</v>
      </c>
      <c r="D3037" s="1" t="s">
        <v>214</v>
      </c>
      <c r="E3037" t="s">
        <v>215</v>
      </c>
      <c r="F3037" s="1">
        <v>1</v>
      </c>
      <c r="G3037" s="1" t="s">
        <v>218</v>
      </c>
      <c r="H3037" s="4" t="str">
        <f>HYPERLINK("https://www.ncbi.nlm.nih.gov/geo/query/acc.cgi?acc=GSM832000","GSM832000")</f>
        <v>GSM832000</v>
      </c>
      <c r="I3037" t="s">
        <v>111</v>
      </c>
      <c r="J3037" t="s">
        <v>18</v>
      </c>
      <c r="K3037" t="s">
        <v>19</v>
      </c>
      <c r="L3037" t="s">
        <v>113</v>
      </c>
      <c r="M3037" t="s">
        <v>44</v>
      </c>
      <c r="N3037" t="s">
        <v>22</v>
      </c>
    </row>
    <row r="3038" spans="1:14">
      <c r="A3038" s="4" t="str">
        <f t="shared" si="292"/>
        <v>EXP00080</v>
      </c>
      <c r="B3038" s="4" t="str">
        <f t="shared" si="290"/>
        <v>22412968</v>
      </c>
      <c r="C3038" s="4" t="str">
        <f t="shared" si="291"/>
        <v>GSE34153</v>
      </c>
      <c r="D3038" s="1" t="s">
        <v>214</v>
      </c>
      <c r="E3038" t="s">
        <v>215</v>
      </c>
      <c r="F3038" s="1">
        <v>1</v>
      </c>
      <c r="G3038" s="1" t="s">
        <v>218</v>
      </c>
      <c r="H3038" s="4" t="str">
        <f>HYPERLINK("https://www.ncbi.nlm.nih.gov/geo/query/acc.cgi?acc=GSM832008","GSM832008")</f>
        <v>GSM832008</v>
      </c>
      <c r="I3038" t="s">
        <v>111</v>
      </c>
      <c r="J3038" t="s">
        <v>18</v>
      </c>
      <c r="K3038" t="s">
        <v>19</v>
      </c>
      <c r="L3038" t="s">
        <v>113</v>
      </c>
      <c r="M3038" t="s">
        <v>44</v>
      </c>
      <c r="N3038" t="s">
        <v>22</v>
      </c>
    </row>
    <row r="3039" spans="1:14">
      <c r="A3039" s="4" t="str">
        <f t="shared" si="292"/>
        <v>EXP00080</v>
      </c>
      <c r="B3039" s="4" t="str">
        <f t="shared" si="290"/>
        <v>22412968</v>
      </c>
      <c r="C3039" s="4" t="str">
        <f t="shared" si="291"/>
        <v>GSE34153</v>
      </c>
      <c r="D3039" s="1" t="s">
        <v>214</v>
      </c>
      <c r="E3039" t="s">
        <v>215</v>
      </c>
      <c r="F3039" s="1">
        <v>1</v>
      </c>
      <c r="G3039" s="1" t="s">
        <v>218</v>
      </c>
      <c r="H3039" s="4" t="str">
        <f>HYPERLINK("https://www.ncbi.nlm.nih.gov/geo/query/acc.cgi?acc=GSM832009","GSM832009")</f>
        <v>GSM832009</v>
      </c>
      <c r="I3039" t="s">
        <v>111</v>
      </c>
      <c r="J3039" t="s">
        <v>18</v>
      </c>
      <c r="K3039" t="s">
        <v>19</v>
      </c>
      <c r="L3039" t="s">
        <v>113</v>
      </c>
      <c r="M3039" t="s">
        <v>44</v>
      </c>
      <c r="N3039" t="s">
        <v>22</v>
      </c>
    </row>
    <row r="3040" spans="1:14">
      <c r="A3040" s="4" t="str">
        <f t="shared" si="292"/>
        <v>EXP00080</v>
      </c>
      <c r="B3040" s="4" t="str">
        <f t="shared" si="290"/>
        <v>22412968</v>
      </c>
      <c r="C3040" s="4" t="str">
        <f t="shared" si="291"/>
        <v>GSE34153</v>
      </c>
      <c r="D3040" s="1" t="s">
        <v>214</v>
      </c>
      <c r="E3040" t="s">
        <v>215</v>
      </c>
      <c r="F3040" s="1">
        <v>1</v>
      </c>
      <c r="G3040" s="1" t="s">
        <v>218</v>
      </c>
      <c r="H3040" s="4" t="str">
        <f>HYPERLINK("https://www.ncbi.nlm.nih.gov/geo/query/acc.cgi?acc=GSM832013","GSM832013")</f>
        <v>GSM832013</v>
      </c>
      <c r="I3040" t="s">
        <v>111</v>
      </c>
      <c r="J3040" t="s">
        <v>18</v>
      </c>
      <c r="K3040" t="s">
        <v>19</v>
      </c>
      <c r="L3040" t="s">
        <v>113</v>
      </c>
      <c r="M3040" t="s">
        <v>44</v>
      </c>
      <c r="N3040" t="s">
        <v>22</v>
      </c>
    </row>
    <row r="3041" spans="1:14">
      <c r="A3041" s="4" t="str">
        <f t="shared" si="292"/>
        <v>EXP00080</v>
      </c>
      <c r="B3041" s="4" t="str">
        <f t="shared" si="290"/>
        <v>22412968</v>
      </c>
      <c r="C3041" s="4" t="str">
        <f t="shared" si="291"/>
        <v>GSE34153</v>
      </c>
      <c r="D3041" s="1" t="s">
        <v>214</v>
      </c>
      <c r="E3041" t="s">
        <v>215</v>
      </c>
      <c r="F3041" s="1">
        <v>2</v>
      </c>
      <c r="G3041" s="1" t="s">
        <v>223</v>
      </c>
      <c r="H3041" s="4" t="str">
        <f>HYPERLINK("https://www.ncbi.nlm.nih.gov/geo/query/acc.cgi?acc=GSM831958","GSM831958")</f>
        <v>GSM831958</v>
      </c>
      <c r="I3041" t="s">
        <v>111</v>
      </c>
      <c r="J3041" t="s">
        <v>18</v>
      </c>
      <c r="K3041" t="s">
        <v>19</v>
      </c>
      <c r="L3041" t="s">
        <v>113</v>
      </c>
      <c r="M3041" t="s">
        <v>113</v>
      </c>
      <c r="N3041" t="s">
        <v>22</v>
      </c>
    </row>
    <row r="3042" spans="1:14">
      <c r="A3042" s="4" t="str">
        <f t="shared" si="292"/>
        <v>EXP00080</v>
      </c>
      <c r="B3042" s="4" t="str">
        <f t="shared" si="290"/>
        <v>22412968</v>
      </c>
      <c r="C3042" s="4" t="str">
        <f t="shared" si="291"/>
        <v>GSE34153</v>
      </c>
      <c r="D3042" s="1" t="s">
        <v>214</v>
      </c>
      <c r="E3042" t="s">
        <v>215</v>
      </c>
      <c r="F3042" s="1">
        <v>2</v>
      </c>
      <c r="G3042" s="1" t="s">
        <v>223</v>
      </c>
      <c r="H3042" s="4" t="str">
        <f>HYPERLINK("https://www.ncbi.nlm.nih.gov/geo/query/acc.cgi?acc=GSM831959","GSM831959")</f>
        <v>GSM831959</v>
      </c>
      <c r="I3042" t="s">
        <v>111</v>
      </c>
      <c r="J3042" t="s">
        <v>18</v>
      </c>
      <c r="K3042" t="s">
        <v>19</v>
      </c>
      <c r="L3042" t="s">
        <v>113</v>
      </c>
      <c r="M3042" t="s">
        <v>113</v>
      </c>
      <c r="N3042" t="s">
        <v>22</v>
      </c>
    </row>
    <row r="3043" spans="1:14">
      <c r="A3043" s="4" t="str">
        <f t="shared" si="292"/>
        <v>EXP00080</v>
      </c>
      <c r="B3043" s="4" t="str">
        <f t="shared" si="290"/>
        <v>22412968</v>
      </c>
      <c r="C3043" s="4" t="str">
        <f t="shared" si="291"/>
        <v>GSE34153</v>
      </c>
      <c r="D3043" s="1" t="s">
        <v>214</v>
      </c>
      <c r="E3043" t="s">
        <v>215</v>
      </c>
      <c r="F3043" s="1">
        <v>2</v>
      </c>
      <c r="G3043" s="1" t="s">
        <v>223</v>
      </c>
      <c r="H3043" s="4" t="str">
        <f>HYPERLINK("https://www.ncbi.nlm.nih.gov/geo/query/acc.cgi?acc=GSM831960","GSM831960")</f>
        <v>GSM831960</v>
      </c>
      <c r="I3043" t="s">
        <v>111</v>
      </c>
      <c r="J3043" t="s">
        <v>18</v>
      </c>
      <c r="K3043" t="s">
        <v>19</v>
      </c>
      <c r="L3043" t="s">
        <v>113</v>
      </c>
      <c r="M3043" t="s">
        <v>113</v>
      </c>
      <c r="N3043" t="s">
        <v>22</v>
      </c>
    </row>
    <row r="3044" spans="1:14">
      <c r="A3044" s="4" t="str">
        <f t="shared" si="292"/>
        <v>EXP00080</v>
      </c>
      <c r="B3044" s="4" t="str">
        <f t="shared" si="290"/>
        <v>22412968</v>
      </c>
      <c r="C3044" s="4" t="str">
        <f t="shared" si="291"/>
        <v>GSE34153</v>
      </c>
      <c r="D3044" s="1" t="s">
        <v>214</v>
      </c>
      <c r="E3044" t="s">
        <v>215</v>
      </c>
      <c r="F3044" s="1">
        <v>2</v>
      </c>
      <c r="G3044" s="1" t="s">
        <v>223</v>
      </c>
      <c r="H3044" s="4" t="str">
        <f>HYPERLINK("https://www.ncbi.nlm.nih.gov/geo/query/acc.cgi?acc=GSM831964","GSM831964")</f>
        <v>GSM831964</v>
      </c>
      <c r="I3044" t="s">
        <v>111</v>
      </c>
      <c r="J3044" t="s">
        <v>18</v>
      </c>
      <c r="K3044" t="s">
        <v>19</v>
      </c>
      <c r="L3044" t="s">
        <v>113</v>
      </c>
      <c r="M3044" t="s">
        <v>113</v>
      </c>
      <c r="N3044" t="s">
        <v>22</v>
      </c>
    </row>
    <row r="3045" spans="1:14">
      <c r="A3045" s="4" t="str">
        <f t="shared" si="292"/>
        <v>EXP00080</v>
      </c>
      <c r="B3045" s="4" t="str">
        <f t="shared" si="290"/>
        <v>22412968</v>
      </c>
      <c r="C3045" s="4" t="str">
        <f t="shared" si="291"/>
        <v>GSE34153</v>
      </c>
      <c r="D3045" s="1" t="s">
        <v>214</v>
      </c>
      <c r="E3045" t="s">
        <v>215</v>
      </c>
      <c r="F3045" s="1">
        <v>2</v>
      </c>
      <c r="G3045" s="1" t="s">
        <v>223</v>
      </c>
      <c r="H3045" s="4" t="str">
        <f>HYPERLINK("https://www.ncbi.nlm.nih.gov/geo/query/acc.cgi?acc=GSM831966","GSM831966")</f>
        <v>GSM831966</v>
      </c>
      <c r="I3045" t="s">
        <v>111</v>
      </c>
      <c r="J3045" t="s">
        <v>18</v>
      </c>
      <c r="K3045" t="s">
        <v>19</v>
      </c>
      <c r="L3045" t="s">
        <v>113</v>
      </c>
      <c r="M3045" t="s">
        <v>113</v>
      </c>
      <c r="N3045" t="s">
        <v>22</v>
      </c>
    </row>
    <row r="3046" spans="1:14">
      <c r="A3046" s="4" t="str">
        <f t="shared" si="292"/>
        <v>EXP00080</v>
      </c>
      <c r="B3046" s="4" t="str">
        <f t="shared" si="290"/>
        <v>22412968</v>
      </c>
      <c r="C3046" s="4" t="str">
        <f t="shared" si="291"/>
        <v>GSE34153</v>
      </c>
      <c r="D3046" s="1" t="s">
        <v>214</v>
      </c>
      <c r="E3046" t="s">
        <v>215</v>
      </c>
      <c r="F3046" s="1">
        <v>2</v>
      </c>
      <c r="G3046" s="1" t="s">
        <v>223</v>
      </c>
      <c r="H3046" s="4" t="str">
        <f>HYPERLINK("https://www.ncbi.nlm.nih.gov/geo/query/acc.cgi?acc=GSM831970","GSM831970")</f>
        <v>GSM831970</v>
      </c>
      <c r="I3046" t="s">
        <v>111</v>
      </c>
      <c r="J3046" t="s">
        <v>18</v>
      </c>
      <c r="K3046" t="s">
        <v>19</v>
      </c>
      <c r="L3046" t="s">
        <v>113</v>
      </c>
      <c r="M3046" t="s">
        <v>113</v>
      </c>
      <c r="N3046" t="s">
        <v>22</v>
      </c>
    </row>
    <row r="3047" spans="1:14">
      <c r="A3047" s="4" t="str">
        <f t="shared" si="292"/>
        <v>EXP00080</v>
      </c>
      <c r="B3047" s="4" t="str">
        <f t="shared" si="290"/>
        <v>22412968</v>
      </c>
      <c r="C3047" s="4" t="str">
        <f t="shared" si="291"/>
        <v>GSE34153</v>
      </c>
      <c r="D3047" s="1" t="s">
        <v>214</v>
      </c>
      <c r="E3047" t="s">
        <v>215</v>
      </c>
      <c r="F3047" s="1">
        <v>2</v>
      </c>
      <c r="G3047" s="1" t="s">
        <v>223</v>
      </c>
      <c r="H3047" s="4" t="str">
        <f>HYPERLINK("https://www.ncbi.nlm.nih.gov/geo/query/acc.cgi?acc=GSM831973","GSM831973")</f>
        <v>GSM831973</v>
      </c>
      <c r="I3047" t="s">
        <v>111</v>
      </c>
      <c r="J3047" t="s">
        <v>18</v>
      </c>
      <c r="K3047" t="s">
        <v>19</v>
      </c>
      <c r="L3047" t="s">
        <v>113</v>
      </c>
      <c r="M3047" t="s">
        <v>113</v>
      </c>
      <c r="N3047" t="s">
        <v>22</v>
      </c>
    </row>
    <row r="3048" spans="1:14">
      <c r="A3048" s="4" t="str">
        <f t="shared" si="292"/>
        <v>EXP00080</v>
      </c>
      <c r="B3048" s="4" t="str">
        <f t="shared" si="290"/>
        <v>22412968</v>
      </c>
      <c r="C3048" s="4" t="str">
        <f t="shared" si="291"/>
        <v>GSE34153</v>
      </c>
      <c r="D3048" s="1" t="s">
        <v>214</v>
      </c>
      <c r="E3048" t="s">
        <v>215</v>
      </c>
      <c r="F3048" s="1">
        <v>2</v>
      </c>
      <c r="G3048" s="1" t="s">
        <v>223</v>
      </c>
      <c r="H3048" s="4" t="str">
        <f>HYPERLINK("https://www.ncbi.nlm.nih.gov/geo/query/acc.cgi?acc=GSM831988","GSM831988")</f>
        <v>GSM831988</v>
      </c>
      <c r="I3048" t="s">
        <v>111</v>
      </c>
      <c r="J3048" t="s">
        <v>18</v>
      </c>
      <c r="K3048" t="s">
        <v>19</v>
      </c>
      <c r="L3048" t="s">
        <v>113</v>
      </c>
      <c r="M3048" t="s">
        <v>113</v>
      </c>
      <c r="N3048" t="s">
        <v>22</v>
      </c>
    </row>
    <row r="3049" spans="1:14">
      <c r="A3049" s="4" t="str">
        <f t="shared" si="292"/>
        <v>EXP00080</v>
      </c>
      <c r="B3049" s="4" t="str">
        <f t="shared" si="290"/>
        <v>22412968</v>
      </c>
      <c r="C3049" s="4" t="str">
        <f t="shared" si="291"/>
        <v>GSE34153</v>
      </c>
      <c r="D3049" s="1" t="s">
        <v>214</v>
      </c>
      <c r="E3049" t="s">
        <v>215</v>
      </c>
      <c r="F3049" s="1">
        <v>2</v>
      </c>
      <c r="G3049" s="1" t="s">
        <v>223</v>
      </c>
      <c r="H3049" s="4" t="str">
        <f>HYPERLINK("https://www.ncbi.nlm.nih.gov/geo/query/acc.cgi?acc=GSM831992","GSM831992")</f>
        <v>GSM831992</v>
      </c>
      <c r="I3049" t="s">
        <v>111</v>
      </c>
      <c r="J3049" t="s">
        <v>18</v>
      </c>
      <c r="K3049" t="s">
        <v>19</v>
      </c>
      <c r="L3049" t="s">
        <v>113</v>
      </c>
      <c r="M3049" t="s">
        <v>113</v>
      </c>
      <c r="N3049" t="s">
        <v>22</v>
      </c>
    </row>
    <row r="3050" spans="1:14">
      <c r="A3050" s="4" t="str">
        <f t="shared" si="292"/>
        <v>EXP00080</v>
      </c>
      <c r="B3050" s="4" t="str">
        <f t="shared" si="290"/>
        <v>22412968</v>
      </c>
      <c r="C3050" s="4" t="str">
        <f t="shared" si="291"/>
        <v>GSE34153</v>
      </c>
      <c r="D3050" s="1" t="s">
        <v>214</v>
      </c>
      <c r="E3050" t="s">
        <v>215</v>
      </c>
      <c r="F3050" s="1">
        <v>2</v>
      </c>
      <c r="G3050" s="1" t="s">
        <v>223</v>
      </c>
      <c r="H3050" s="4" t="str">
        <f>HYPERLINK("https://www.ncbi.nlm.nih.gov/geo/query/acc.cgi?acc=GSM832006","GSM832006")</f>
        <v>GSM832006</v>
      </c>
      <c r="I3050" t="s">
        <v>111</v>
      </c>
      <c r="J3050" t="s">
        <v>18</v>
      </c>
      <c r="K3050" t="s">
        <v>19</v>
      </c>
      <c r="L3050" t="s">
        <v>113</v>
      </c>
      <c r="M3050" t="s">
        <v>113</v>
      </c>
      <c r="N3050" t="s">
        <v>22</v>
      </c>
    </row>
    <row r="3051" spans="1:14">
      <c r="A3051" s="4" t="str">
        <f t="shared" si="292"/>
        <v>EXP00080</v>
      </c>
      <c r="B3051" s="4" t="str">
        <f t="shared" si="290"/>
        <v>22412968</v>
      </c>
      <c r="C3051" s="4" t="str">
        <f t="shared" si="291"/>
        <v>GSE34153</v>
      </c>
      <c r="D3051" s="1" t="s">
        <v>214</v>
      </c>
      <c r="E3051" t="s">
        <v>215</v>
      </c>
      <c r="F3051" s="1">
        <v>2</v>
      </c>
      <c r="G3051" s="1" t="s">
        <v>223</v>
      </c>
      <c r="H3051" s="4" t="str">
        <f>HYPERLINK("https://www.ncbi.nlm.nih.gov/geo/query/acc.cgi?acc=GSM832007","GSM832007")</f>
        <v>GSM832007</v>
      </c>
      <c r="I3051" t="s">
        <v>111</v>
      </c>
      <c r="J3051" t="s">
        <v>18</v>
      </c>
      <c r="K3051" t="s">
        <v>19</v>
      </c>
      <c r="L3051" t="s">
        <v>113</v>
      </c>
      <c r="M3051" t="s">
        <v>113</v>
      </c>
      <c r="N3051" t="s">
        <v>22</v>
      </c>
    </row>
    <row r="3052" spans="1:14">
      <c r="A3052" s="4" t="str">
        <f t="shared" si="292"/>
        <v>EXP00080</v>
      </c>
      <c r="B3052" s="4" t="str">
        <f t="shared" si="290"/>
        <v>22412968</v>
      </c>
      <c r="C3052" s="4" t="str">
        <f t="shared" si="291"/>
        <v>GSE34153</v>
      </c>
      <c r="D3052" s="1" t="s">
        <v>214</v>
      </c>
      <c r="E3052" t="s">
        <v>215</v>
      </c>
      <c r="F3052" s="1">
        <v>2</v>
      </c>
      <c r="G3052" s="1" t="s">
        <v>223</v>
      </c>
      <c r="H3052" s="4" t="str">
        <f>HYPERLINK("https://www.ncbi.nlm.nih.gov/geo/query/acc.cgi?acc=GSM832010","GSM832010")</f>
        <v>GSM832010</v>
      </c>
      <c r="I3052" t="s">
        <v>111</v>
      </c>
      <c r="J3052" t="s">
        <v>18</v>
      </c>
      <c r="K3052" t="s">
        <v>19</v>
      </c>
      <c r="L3052" t="s">
        <v>113</v>
      </c>
      <c r="M3052" t="s">
        <v>113</v>
      </c>
      <c r="N3052" t="s">
        <v>22</v>
      </c>
    </row>
    <row r="3053" spans="1:14">
      <c r="A3053" s="4" t="str">
        <f t="shared" si="292"/>
        <v>EXP00080</v>
      </c>
      <c r="B3053" s="4" t="str">
        <f t="shared" si="290"/>
        <v>22412968</v>
      </c>
      <c r="C3053" s="4" t="str">
        <f t="shared" si="291"/>
        <v>GSE34153</v>
      </c>
      <c r="D3053" s="1" t="s">
        <v>214</v>
      </c>
      <c r="E3053" t="s">
        <v>215</v>
      </c>
      <c r="F3053" s="1">
        <v>2</v>
      </c>
      <c r="G3053" s="1" t="s">
        <v>223</v>
      </c>
      <c r="H3053" s="4" t="str">
        <f>HYPERLINK("https://www.ncbi.nlm.nih.gov/geo/query/acc.cgi?acc=GSM832011","GSM832011")</f>
        <v>GSM832011</v>
      </c>
      <c r="I3053" t="s">
        <v>111</v>
      </c>
      <c r="J3053" t="s">
        <v>18</v>
      </c>
      <c r="K3053" t="s">
        <v>19</v>
      </c>
      <c r="L3053" t="s">
        <v>113</v>
      </c>
      <c r="M3053" t="s">
        <v>113</v>
      </c>
      <c r="N3053" t="s">
        <v>22</v>
      </c>
    </row>
    <row r="3054" spans="1:14">
      <c r="A3054" s="4" t="str">
        <f t="shared" si="292"/>
        <v>EXP00080</v>
      </c>
      <c r="B3054" s="4" t="str">
        <f t="shared" si="290"/>
        <v>22412968</v>
      </c>
      <c r="C3054" s="4" t="str">
        <f t="shared" si="291"/>
        <v>GSE34153</v>
      </c>
      <c r="D3054" s="1" t="s">
        <v>214</v>
      </c>
      <c r="E3054" t="s">
        <v>215</v>
      </c>
      <c r="F3054" s="1">
        <v>2</v>
      </c>
      <c r="G3054" s="1" t="s">
        <v>223</v>
      </c>
      <c r="H3054" s="4" t="str">
        <f>HYPERLINK("https://www.ncbi.nlm.nih.gov/geo/query/acc.cgi?acc=GSM832012","GSM832012")</f>
        <v>GSM832012</v>
      </c>
      <c r="I3054" t="s">
        <v>111</v>
      </c>
      <c r="J3054" t="s">
        <v>18</v>
      </c>
      <c r="K3054" t="s">
        <v>19</v>
      </c>
      <c r="L3054" t="s">
        <v>113</v>
      </c>
      <c r="M3054" t="s">
        <v>113</v>
      </c>
      <c r="N3054" t="s">
        <v>22</v>
      </c>
    </row>
    <row r="3055" spans="1:14">
      <c r="A3055" s="4" t="str">
        <f t="shared" ref="A3055:A3074" si="293">HYPERLINK("http://hcmdb.i-sanger.com/experiment/details/experiment_id/EXP00094","EXP00094")</f>
        <v>EXP00094</v>
      </c>
      <c r="B3055" s="4" t="str">
        <f t="shared" si="290"/>
        <v>22412968</v>
      </c>
      <c r="C3055" s="4" t="str">
        <f t="shared" si="291"/>
        <v>GSE34153</v>
      </c>
      <c r="D3055" s="1" t="s">
        <v>214</v>
      </c>
      <c r="E3055" t="s">
        <v>215</v>
      </c>
      <c r="F3055" s="1">
        <v>1</v>
      </c>
      <c r="G3055" s="1" t="s">
        <v>219</v>
      </c>
      <c r="H3055" s="4" t="str">
        <f>HYPERLINK("https://www.ncbi.nlm.nih.gov/geo/query/acc.cgi?acc=GSM831949","GSM831949")</f>
        <v>GSM831949</v>
      </c>
      <c r="I3055" t="s">
        <v>111</v>
      </c>
      <c r="J3055" t="s">
        <v>18</v>
      </c>
      <c r="K3055" t="s">
        <v>19</v>
      </c>
      <c r="L3055" t="s">
        <v>113</v>
      </c>
      <c r="M3055" t="s">
        <v>41</v>
      </c>
      <c r="N3055" t="s">
        <v>22</v>
      </c>
    </row>
    <row r="3056" spans="1:14">
      <c r="A3056" s="4" t="str">
        <f t="shared" si="293"/>
        <v>EXP00094</v>
      </c>
      <c r="B3056" s="4" t="str">
        <f t="shared" si="290"/>
        <v>22412968</v>
      </c>
      <c r="C3056" s="4" t="str">
        <f t="shared" si="291"/>
        <v>GSE34153</v>
      </c>
      <c r="D3056" s="1" t="s">
        <v>214</v>
      </c>
      <c r="E3056" t="s">
        <v>215</v>
      </c>
      <c r="F3056" s="1">
        <v>1</v>
      </c>
      <c r="G3056" s="1" t="s">
        <v>219</v>
      </c>
      <c r="H3056" s="4" t="str">
        <f>HYPERLINK("https://www.ncbi.nlm.nih.gov/geo/query/acc.cgi?acc=GSM831950","GSM831950")</f>
        <v>GSM831950</v>
      </c>
      <c r="I3056" t="s">
        <v>111</v>
      </c>
      <c r="J3056" t="s">
        <v>18</v>
      </c>
      <c r="K3056" t="s">
        <v>19</v>
      </c>
      <c r="L3056" t="s">
        <v>113</v>
      </c>
      <c r="M3056" t="s">
        <v>41</v>
      </c>
      <c r="N3056" t="s">
        <v>22</v>
      </c>
    </row>
    <row r="3057" spans="1:14">
      <c r="A3057" s="4" t="str">
        <f t="shared" si="293"/>
        <v>EXP00094</v>
      </c>
      <c r="B3057" s="4" t="str">
        <f t="shared" si="290"/>
        <v>22412968</v>
      </c>
      <c r="C3057" s="4" t="str">
        <f t="shared" si="291"/>
        <v>GSE34153</v>
      </c>
      <c r="D3057" s="1" t="s">
        <v>214</v>
      </c>
      <c r="E3057" t="s">
        <v>215</v>
      </c>
      <c r="F3057" s="1">
        <v>1</v>
      </c>
      <c r="G3057" s="1" t="s">
        <v>219</v>
      </c>
      <c r="H3057" s="4" t="str">
        <f>HYPERLINK("https://www.ncbi.nlm.nih.gov/geo/query/acc.cgi?acc=GSM831957","GSM831957")</f>
        <v>GSM831957</v>
      </c>
      <c r="I3057" t="s">
        <v>111</v>
      </c>
      <c r="J3057" t="s">
        <v>18</v>
      </c>
      <c r="K3057" t="s">
        <v>19</v>
      </c>
      <c r="L3057" t="s">
        <v>113</v>
      </c>
      <c r="M3057" t="s">
        <v>41</v>
      </c>
      <c r="N3057" t="s">
        <v>22</v>
      </c>
    </row>
    <row r="3058" spans="1:14">
      <c r="A3058" s="4" t="str">
        <f t="shared" si="293"/>
        <v>EXP00094</v>
      </c>
      <c r="B3058" s="4" t="str">
        <f t="shared" si="290"/>
        <v>22412968</v>
      </c>
      <c r="C3058" s="4" t="str">
        <f t="shared" si="291"/>
        <v>GSE34153</v>
      </c>
      <c r="D3058" s="1" t="s">
        <v>214</v>
      </c>
      <c r="E3058" t="s">
        <v>215</v>
      </c>
      <c r="F3058" s="1">
        <v>1</v>
      </c>
      <c r="G3058" s="1" t="s">
        <v>219</v>
      </c>
      <c r="H3058" s="4" t="str">
        <f>HYPERLINK("https://www.ncbi.nlm.nih.gov/geo/query/acc.cgi?acc=GSM831974","GSM831974")</f>
        <v>GSM831974</v>
      </c>
      <c r="I3058" t="s">
        <v>111</v>
      </c>
      <c r="J3058" t="s">
        <v>18</v>
      </c>
      <c r="K3058" t="s">
        <v>19</v>
      </c>
      <c r="L3058" t="s">
        <v>113</v>
      </c>
      <c r="M3058" t="s">
        <v>41</v>
      </c>
      <c r="N3058" t="s">
        <v>22</v>
      </c>
    </row>
    <row r="3059" spans="1:14">
      <c r="A3059" s="4" t="str">
        <f t="shared" si="293"/>
        <v>EXP00094</v>
      </c>
      <c r="B3059" s="4" t="str">
        <f t="shared" si="290"/>
        <v>22412968</v>
      </c>
      <c r="C3059" s="4" t="str">
        <f t="shared" si="291"/>
        <v>GSE34153</v>
      </c>
      <c r="D3059" s="1" t="s">
        <v>214</v>
      </c>
      <c r="E3059" t="s">
        <v>215</v>
      </c>
      <c r="F3059" s="1">
        <v>1</v>
      </c>
      <c r="G3059" s="1" t="s">
        <v>219</v>
      </c>
      <c r="H3059" s="4" t="str">
        <f>HYPERLINK("https://www.ncbi.nlm.nih.gov/geo/query/acc.cgi?acc=GSM832004","GSM832004")</f>
        <v>GSM832004</v>
      </c>
      <c r="I3059" t="s">
        <v>111</v>
      </c>
      <c r="J3059" t="s">
        <v>18</v>
      </c>
      <c r="K3059" t="s">
        <v>19</v>
      </c>
      <c r="L3059" t="s">
        <v>113</v>
      </c>
      <c r="M3059" t="s">
        <v>41</v>
      </c>
      <c r="N3059" t="s">
        <v>22</v>
      </c>
    </row>
    <row r="3060" spans="1:14">
      <c r="A3060" s="4" t="str">
        <f t="shared" si="293"/>
        <v>EXP00094</v>
      </c>
      <c r="B3060" s="4" t="str">
        <f t="shared" si="290"/>
        <v>22412968</v>
      </c>
      <c r="C3060" s="4" t="str">
        <f t="shared" si="291"/>
        <v>GSE34153</v>
      </c>
      <c r="D3060" s="1" t="s">
        <v>214</v>
      </c>
      <c r="E3060" t="s">
        <v>215</v>
      </c>
      <c r="F3060" s="1">
        <v>1</v>
      </c>
      <c r="G3060" s="1" t="s">
        <v>219</v>
      </c>
      <c r="H3060" s="4" t="str">
        <f>HYPERLINK("https://www.ncbi.nlm.nih.gov/geo/query/acc.cgi?acc=GSM832005","GSM832005")</f>
        <v>GSM832005</v>
      </c>
      <c r="I3060" t="s">
        <v>111</v>
      </c>
      <c r="J3060" t="s">
        <v>18</v>
      </c>
      <c r="K3060" t="s">
        <v>19</v>
      </c>
      <c r="L3060" t="s">
        <v>113</v>
      </c>
      <c r="M3060" t="s">
        <v>41</v>
      </c>
      <c r="N3060" t="s">
        <v>22</v>
      </c>
    </row>
    <row r="3061" spans="1:14">
      <c r="A3061" s="4" t="str">
        <f t="shared" si="293"/>
        <v>EXP00094</v>
      </c>
      <c r="B3061" s="4" t="str">
        <f t="shared" si="290"/>
        <v>22412968</v>
      </c>
      <c r="C3061" s="4" t="str">
        <f t="shared" si="291"/>
        <v>GSE34153</v>
      </c>
      <c r="D3061" s="1" t="s">
        <v>214</v>
      </c>
      <c r="E3061" t="s">
        <v>215</v>
      </c>
      <c r="F3061" s="1">
        <v>1</v>
      </c>
      <c r="G3061" s="1" t="s">
        <v>219</v>
      </c>
      <c r="H3061" s="4" t="str">
        <f>HYPERLINK("https://www.ncbi.nlm.nih.gov/geo/query/acc.cgi?acc=GSM832015","GSM832015")</f>
        <v>GSM832015</v>
      </c>
      <c r="I3061" t="s">
        <v>111</v>
      </c>
      <c r="J3061" t="s">
        <v>18</v>
      </c>
      <c r="K3061" t="s">
        <v>19</v>
      </c>
      <c r="L3061" t="s">
        <v>113</v>
      </c>
      <c r="M3061" t="s">
        <v>41</v>
      </c>
      <c r="N3061" t="s">
        <v>22</v>
      </c>
    </row>
    <row r="3062" spans="1:14">
      <c r="A3062" s="4" t="str">
        <f t="shared" si="293"/>
        <v>EXP00094</v>
      </c>
      <c r="B3062" s="4" t="str">
        <f t="shared" si="290"/>
        <v>22412968</v>
      </c>
      <c r="C3062" s="4" t="str">
        <f t="shared" si="291"/>
        <v>GSE34153</v>
      </c>
      <c r="D3062" s="1" t="s">
        <v>214</v>
      </c>
      <c r="E3062" t="s">
        <v>215</v>
      </c>
      <c r="F3062" s="1">
        <v>1</v>
      </c>
      <c r="G3062" s="1" t="s">
        <v>219</v>
      </c>
      <c r="H3062" s="4" t="str">
        <f>HYPERLINK("https://www.ncbi.nlm.nih.gov/geo/query/acc.cgi?acc=GSM832016","GSM832016")</f>
        <v>GSM832016</v>
      </c>
      <c r="I3062" t="s">
        <v>111</v>
      </c>
      <c r="J3062" t="s">
        <v>18</v>
      </c>
      <c r="K3062" t="s">
        <v>19</v>
      </c>
      <c r="L3062" t="s">
        <v>113</v>
      </c>
      <c r="M3062" t="s">
        <v>41</v>
      </c>
      <c r="N3062" t="s">
        <v>22</v>
      </c>
    </row>
    <row r="3063" spans="1:14">
      <c r="A3063" s="4" t="str">
        <f t="shared" si="293"/>
        <v>EXP00094</v>
      </c>
      <c r="B3063" s="4" t="str">
        <f t="shared" si="290"/>
        <v>22412968</v>
      </c>
      <c r="C3063" s="4" t="str">
        <f t="shared" si="291"/>
        <v>GSE34153</v>
      </c>
      <c r="D3063" s="1" t="s">
        <v>214</v>
      </c>
      <c r="E3063" t="s">
        <v>215</v>
      </c>
      <c r="F3063" s="1">
        <v>2</v>
      </c>
      <c r="G3063" s="1" t="s">
        <v>220</v>
      </c>
      <c r="H3063" s="4" t="str">
        <f>HYPERLINK("https://www.ncbi.nlm.nih.gov/geo/query/acc.cgi?acc=GSM831943","GSM831943")</f>
        <v>GSM831943</v>
      </c>
      <c r="I3063" t="s">
        <v>111</v>
      </c>
      <c r="J3063" t="s">
        <v>18</v>
      </c>
      <c r="K3063" t="s">
        <v>19</v>
      </c>
      <c r="L3063" t="s">
        <v>113</v>
      </c>
      <c r="M3063" t="s">
        <v>24</v>
      </c>
      <c r="N3063" t="s">
        <v>22</v>
      </c>
    </row>
    <row r="3064" spans="1:14">
      <c r="A3064" s="4" t="str">
        <f t="shared" si="293"/>
        <v>EXP00094</v>
      </c>
      <c r="B3064" s="4" t="str">
        <f t="shared" si="290"/>
        <v>22412968</v>
      </c>
      <c r="C3064" s="4" t="str">
        <f t="shared" si="291"/>
        <v>GSE34153</v>
      </c>
      <c r="D3064" s="1" t="s">
        <v>214</v>
      </c>
      <c r="E3064" t="s">
        <v>215</v>
      </c>
      <c r="F3064" s="1">
        <v>2</v>
      </c>
      <c r="G3064" s="1" t="s">
        <v>220</v>
      </c>
      <c r="H3064" s="4" t="str">
        <f>HYPERLINK("https://www.ncbi.nlm.nih.gov/geo/query/acc.cgi?acc=GSM831962","GSM831962")</f>
        <v>GSM831962</v>
      </c>
      <c r="I3064" t="s">
        <v>111</v>
      </c>
      <c r="J3064" t="s">
        <v>18</v>
      </c>
      <c r="K3064" t="s">
        <v>19</v>
      </c>
      <c r="L3064" t="s">
        <v>113</v>
      </c>
      <c r="M3064" t="s">
        <v>24</v>
      </c>
      <c r="N3064" t="s">
        <v>22</v>
      </c>
    </row>
    <row r="3065" spans="1:14">
      <c r="A3065" s="4" t="str">
        <f t="shared" si="293"/>
        <v>EXP00094</v>
      </c>
      <c r="B3065" s="4" t="str">
        <f t="shared" si="290"/>
        <v>22412968</v>
      </c>
      <c r="C3065" s="4" t="str">
        <f t="shared" si="291"/>
        <v>GSE34153</v>
      </c>
      <c r="D3065" s="1" t="s">
        <v>214</v>
      </c>
      <c r="E3065" t="s">
        <v>215</v>
      </c>
      <c r="F3065" s="1">
        <v>2</v>
      </c>
      <c r="G3065" s="1" t="s">
        <v>220</v>
      </c>
      <c r="H3065" s="4" t="str">
        <f>HYPERLINK("https://www.ncbi.nlm.nih.gov/geo/query/acc.cgi?acc=GSM831963","GSM831963")</f>
        <v>GSM831963</v>
      </c>
      <c r="I3065" t="s">
        <v>111</v>
      </c>
      <c r="J3065" t="s">
        <v>18</v>
      </c>
      <c r="K3065" t="s">
        <v>19</v>
      </c>
      <c r="L3065" t="s">
        <v>113</v>
      </c>
      <c r="M3065" t="s">
        <v>24</v>
      </c>
      <c r="N3065" t="s">
        <v>22</v>
      </c>
    </row>
    <row r="3066" spans="1:14">
      <c r="A3066" s="4" t="str">
        <f t="shared" si="293"/>
        <v>EXP00094</v>
      </c>
      <c r="B3066" s="4" t="str">
        <f t="shared" si="290"/>
        <v>22412968</v>
      </c>
      <c r="C3066" s="4" t="str">
        <f t="shared" si="291"/>
        <v>GSE34153</v>
      </c>
      <c r="D3066" s="1" t="s">
        <v>214</v>
      </c>
      <c r="E3066" t="s">
        <v>215</v>
      </c>
      <c r="F3066" s="1">
        <v>2</v>
      </c>
      <c r="G3066" s="1" t="s">
        <v>220</v>
      </c>
      <c r="H3066" s="4" t="str">
        <f>HYPERLINK("https://www.ncbi.nlm.nih.gov/geo/query/acc.cgi?acc=GSM831968","GSM831968")</f>
        <v>GSM831968</v>
      </c>
      <c r="I3066" t="s">
        <v>111</v>
      </c>
      <c r="J3066" t="s">
        <v>18</v>
      </c>
      <c r="K3066" t="s">
        <v>19</v>
      </c>
      <c r="L3066" t="s">
        <v>113</v>
      </c>
      <c r="M3066" t="s">
        <v>24</v>
      </c>
      <c r="N3066" t="s">
        <v>22</v>
      </c>
    </row>
    <row r="3067" spans="1:14">
      <c r="A3067" s="4" t="str">
        <f t="shared" si="293"/>
        <v>EXP00094</v>
      </c>
      <c r="B3067" s="4" t="str">
        <f t="shared" si="290"/>
        <v>22412968</v>
      </c>
      <c r="C3067" s="4" t="str">
        <f t="shared" si="291"/>
        <v>GSE34153</v>
      </c>
      <c r="D3067" s="1" t="s">
        <v>214</v>
      </c>
      <c r="E3067" t="s">
        <v>215</v>
      </c>
      <c r="F3067" s="1">
        <v>2</v>
      </c>
      <c r="G3067" s="1" t="s">
        <v>220</v>
      </c>
      <c r="H3067" s="4" t="str">
        <f>HYPERLINK("https://www.ncbi.nlm.nih.gov/geo/query/acc.cgi?acc=GSM831975","GSM831975")</f>
        <v>GSM831975</v>
      </c>
      <c r="I3067" t="s">
        <v>111</v>
      </c>
      <c r="J3067" t="s">
        <v>18</v>
      </c>
      <c r="K3067" t="s">
        <v>19</v>
      </c>
      <c r="L3067" t="s">
        <v>113</v>
      </c>
      <c r="M3067" t="s">
        <v>24</v>
      </c>
      <c r="N3067" t="s">
        <v>22</v>
      </c>
    </row>
    <row r="3068" spans="1:14">
      <c r="A3068" s="4" t="str">
        <f t="shared" si="293"/>
        <v>EXP00094</v>
      </c>
      <c r="B3068" s="4" t="str">
        <f t="shared" si="290"/>
        <v>22412968</v>
      </c>
      <c r="C3068" s="4" t="str">
        <f t="shared" si="291"/>
        <v>GSE34153</v>
      </c>
      <c r="D3068" s="1" t="s">
        <v>214</v>
      </c>
      <c r="E3068" t="s">
        <v>215</v>
      </c>
      <c r="F3068" s="1">
        <v>2</v>
      </c>
      <c r="G3068" s="1" t="s">
        <v>220</v>
      </c>
      <c r="H3068" s="4" t="str">
        <f>HYPERLINK("https://www.ncbi.nlm.nih.gov/geo/query/acc.cgi?acc=GSM831976","GSM831976")</f>
        <v>GSM831976</v>
      </c>
      <c r="I3068" t="s">
        <v>111</v>
      </c>
      <c r="J3068" t="s">
        <v>18</v>
      </c>
      <c r="K3068" t="s">
        <v>19</v>
      </c>
      <c r="L3068" t="s">
        <v>113</v>
      </c>
      <c r="M3068" t="s">
        <v>24</v>
      </c>
      <c r="N3068" t="s">
        <v>22</v>
      </c>
    </row>
    <row r="3069" spans="1:14">
      <c r="A3069" s="4" t="str">
        <f t="shared" si="293"/>
        <v>EXP00094</v>
      </c>
      <c r="B3069" s="4" t="str">
        <f t="shared" si="290"/>
        <v>22412968</v>
      </c>
      <c r="C3069" s="4" t="str">
        <f t="shared" si="291"/>
        <v>GSE34153</v>
      </c>
      <c r="D3069" s="1" t="s">
        <v>214</v>
      </c>
      <c r="E3069" t="s">
        <v>215</v>
      </c>
      <c r="F3069" s="1">
        <v>2</v>
      </c>
      <c r="G3069" s="1" t="s">
        <v>220</v>
      </c>
      <c r="H3069" s="4" t="str">
        <f>HYPERLINK("https://www.ncbi.nlm.nih.gov/geo/query/acc.cgi?acc=GSM831978","GSM831978")</f>
        <v>GSM831978</v>
      </c>
      <c r="I3069" t="s">
        <v>111</v>
      </c>
      <c r="J3069" t="s">
        <v>18</v>
      </c>
      <c r="K3069" t="s">
        <v>19</v>
      </c>
      <c r="L3069" t="s">
        <v>113</v>
      </c>
      <c r="M3069" t="s">
        <v>24</v>
      </c>
      <c r="N3069" t="s">
        <v>22</v>
      </c>
    </row>
    <row r="3070" spans="1:14">
      <c r="A3070" s="4" t="str">
        <f t="shared" si="293"/>
        <v>EXP00094</v>
      </c>
      <c r="B3070" s="4" t="str">
        <f t="shared" si="290"/>
        <v>22412968</v>
      </c>
      <c r="C3070" s="4" t="str">
        <f t="shared" si="291"/>
        <v>GSE34153</v>
      </c>
      <c r="D3070" s="1" t="s">
        <v>214</v>
      </c>
      <c r="E3070" t="s">
        <v>215</v>
      </c>
      <c r="F3070" s="1">
        <v>2</v>
      </c>
      <c r="G3070" s="1" t="s">
        <v>220</v>
      </c>
      <c r="H3070" s="4" t="str">
        <f>HYPERLINK("https://www.ncbi.nlm.nih.gov/geo/query/acc.cgi?acc=GSM831979","GSM831979")</f>
        <v>GSM831979</v>
      </c>
      <c r="I3070" t="s">
        <v>111</v>
      </c>
      <c r="J3070" t="s">
        <v>18</v>
      </c>
      <c r="K3070" t="s">
        <v>19</v>
      </c>
      <c r="L3070" t="s">
        <v>113</v>
      </c>
      <c r="M3070" t="s">
        <v>24</v>
      </c>
      <c r="N3070" t="s">
        <v>22</v>
      </c>
    </row>
    <row r="3071" spans="1:14">
      <c r="A3071" s="4" t="str">
        <f t="shared" si="293"/>
        <v>EXP00094</v>
      </c>
      <c r="B3071" s="4" t="str">
        <f t="shared" si="290"/>
        <v>22412968</v>
      </c>
      <c r="C3071" s="4" t="str">
        <f t="shared" si="291"/>
        <v>GSE34153</v>
      </c>
      <c r="D3071" s="1" t="s">
        <v>214</v>
      </c>
      <c r="E3071" t="s">
        <v>215</v>
      </c>
      <c r="F3071" s="1">
        <v>2</v>
      </c>
      <c r="G3071" s="1" t="s">
        <v>220</v>
      </c>
      <c r="H3071" s="4" t="str">
        <f>HYPERLINK("https://www.ncbi.nlm.nih.gov/geo/query/acc.cgi?acc=GSM831989","GSM831989")</f>
        <v>GSM831989</v>
      </c>
      <c r="I3071" t="s">
        <v>111</v>
      </c>
      <c r="J3071" t="s">
        <v>18</v>
      </c>
      <c r="K3071" t="s">
        <v>19</v>
      </c>
      <c r="L3071" t="s">
        <v>113</v>
      </c>
      <c r="M3071" t="s">
        <v>24</v>
      </c>
      <c r="N3071" t="s">
        <v>22</v>
      </c>
    </row>
    <row r="3072" spans="1:14">
      <c r="A3072" s="4" t="str">
        <f t="shared" si="293"/>
        <v>EXP00094</v>
      </c>
      <c r="B3072" s="4" t="str">
        <f t="shared" si="290"/>
        <v>22412968</v>
      </c>
      <c r="C3072" s="4" t="str">
        <f t="shared" si="291"/>
        <v>GSE34153</v>
      </c>
      <c r="D3072" s="1" t="s">
        <v>214</v>
      </c>
      <c r="E3072" t="s">
        <v>215</v>
      </c>
      <c r="F3072" s="1">
        <v>2</v>
      </c>
      <c r="G3072" s="1" t="s">
        <v>220</v>
      </c>
      <c r="H3072" s="4" t="str">
        <f>HYPERLINK("https://www.ncbi.nlm.nih.gov/geo/query/acc.cgi?acc=GSM831993","GSM831993")</f>
        <v>GSM831993</v>
      </c>
      <c r="I3072" t="s">
        <v>111</v>
      </c>
      <c r="J3072" t="s">
        <v>18</v>
      </c>
      <c r="K3072" t="s">
        <v>19</v>
      </c>
      <c r="L3072" t="s">
        <v>113</v>
      </c>
      <c r="M3072" t="s">
        <v>24</v>
      </c>
      <c r="N3072" t="s">
        <v>22</v>
      </c>
    </row>
    <row r="3073" spans="1:14">
      <c r="A3073" s="4" t="str">
        <f t="shared" si="293"/>
        <v>EXP00094</v>
      </c>
      <c r="B3073" s="4" t="str">
        <f t="shared" ref="B3073:B3136" si="294">HYPERLINK("https://www.ncbi.nlm.nih.gov/pubmed/22412968","22412968")</f>
        <v>22412968</v>
      </c>
      <c r="C3073" s="4" t="str">
        <f t="shared" ref="C3073:C3136" si="295">HYPERLINK("https://www.ncbi.nlm.nih.gov/geo/query/acc.cgi?acc=GSE34153","GSE34153")</f>
        <v>GSE34153</v>
      </c>
      <c r="D3073" s="1" t="s">
        <v>214</v>
      </c>
      <c r="E3073" t="s">
        <v>215</v>
      </c>
      <c r="F3073" s="1">
        <v>2</v>
      </c>
      <c r="G3073" s="1" t="s">
        <v>220</v>
      </c>
      <c r="H3073" s="4" t="str">
        <f>HYPERLINK("https://www.ncbi.nlm.nih.gov/geo/query/acc.cgi?acc=GSM832003","GSM832003")</f>
        <v>GSM832003</v>
      </c>
      <c r="I3073" t="s">
        <v>111</v>
      </c>
      <c r="J3073" t="s">
        <v>18</v>
      </c>
      <c r="K3073" t="s">
        <v>19</v>
      </c>
      <c r="L3073" t="s">
        <v>113</v>
      </c>
      <c r="M3073" t="s">
        <v>24</v>
      </c>
      <c r="N3073" t="s">
        <v>22</v>
      </c>
    </row>
    <row r="3074" spans="1:14">
      <c r="A3074" s="4" t="str">
        <f t="shared" si="293"/>
        <v>EXP00094</v>
      </c>
      <c r="B3074" s="4" t="str">
        <f t="shared" si="294"/>
        <v>22412968</v>
      </c>
      <c r="C3074" s="4" t="str">
        <f t="shared" si="295"/>
        <v>GSE34153</v>
      </c>
      <c r="D3074" s="1" t="s">
        <v>214</v>
      </c>
      <c r="E3074" t="s">
        <v>215</v>
      </c>
      <c r="F3074" s="1">
        <v>2</v>
      </c>
      <c r="G3074" s="1" t="s">
        <v>220</v>
      </c>
      <c r="H3074" s="4" t="str">
        <f>HYPERLINK("https://www.ncbi.nlm.nih.gov/geo/query/acc.cgi?acc=GSM832014","GSM832014")</f>
        <v>GSM832014</v>
      </c>
      <c r="I3074" t="s">
        <v>111</v>
      </c>
      <c r="J3074" t="s">
        <v>18</v>
      </c>
      <c r="K3074" t="s">
        <v>19</v>
      </c>
      <c r="L3074" t="s">
        <v>113</v>
      </c>
      <c r="M3074" t="s">
        <v>24</v>
      </c>
      <c r="N3074" t="s">
        <v>22</v>
      </c>
    </row>
    <row r="3075" spans="1:14">
      <c r="A3075" s="4" t="str">
        <f t="shared" ref="A3075:A3092" si="296">HYPERLINK("http://hcmdb.i-sanger.com/experiment/details/experiment_id/EXP00095","EXP00095")</f>
        <v>EXP00095</v>
      </c>
      <c r="B3075" s="4" t="str">
        <f t="shared" si="294"/>
        <v>22412968</v>
      </c>
      <c r="C3075" s="4" t="str">
        <f t="shared" si="295"/>
        <v>GSE34153</v>
      </c>
      <c r="D3075" s="1" t="s">
        <v>214</v>
      </c>
      <c r="E3075" t="s">
        <v>215</v>
      </c>
      <c r="F3075" s="1">
        <v>1</v>
      </c>
      <c r="G3075" s="1" t="s">
        <v>219</v>
      </c>
      <c r="H3075" s="4" t="str">
        <f>HYPERLINK("https://www.ncbi.nlm.nih.gov/geo/query/acc.cgi?acc=GSM831949","GSM831949")</f>
        <v>GSM831949</v>
      </c>
      <c r="I3075" t="s">
        <v>111</v>
      </c>
      <c r="J3075" t="s">
        <v>18</v>
      </c>
      <c r="K3075" t="s">
        <v>19</v>
      </c>
      <c r="L3075" t="s">
        <v>113</v>
      </c>
      <c r="M3075" t="s">
        <v>41</v>
      </c>
      <c r="N3075" t="s">
        <v>22</v>
      </c>
    </row>
    <row r="3076" spans="1:14">
      <c r="A3076" s="4" t="str">
        <f t="shared" si="296"/>
        <v>EXP00095</v>
      </c>
      <c r="B3076" s="4" t="str">
        <f t="shared" si="294"/>
        <v>22412968</v>
      </c>
      <c r="C3076" s="4" t="str">
        <f t="shared" si="295"/>
        <v>GSE34153</v>
      </c>
      <c r="D3076" s="1" t="s">
        <v>214</v>
      </c>
      <c r="E3076" t="s">
        <v>215</v>
      </c>
      <c r="F3076" s="1">
        <v>1</v>
      </c>
      <c r="G3076" s="1" t="s">
        <v>219</v>
      </c>
      <c r="H3076" s="4" t="str">
        <f>HYPERLINK("https://www.ncbi.nlm.nih.gov/geo/query/acc.cgi?acc=GSM831950","GSM831950")</f>
        <v>GSM831950</v>
      </c>
      <c r="I3076" t="s">
        <v>111</v>
      </c>
      <c r="J3076" t="s">
        <v>18</v>
      </c>
      <c r="K3076" t="s">
        <v>19</v>
      </c>
      <c r="L3076" t="s">
        <v>113</v>
      </c>
      <c r="M3076" t="s">
        <v>41</v>
      </c>
      <c r="N3076" t="s">
        <v>22</v>
      </c>
    </row>
    <row r="3077" spans="1:14">
      <c r="A3077" s="4" t="str">
        <f t="shared" si="296"/>
        <v>EXP00095</v>
      </c>
      <c r="B3077" s="4" t="str">
        <f t="shared" si="294"/>
        <v>22412968</v>
      </c>
      <c r="C3077" s="4" t="str">
        <f t="shared" si="295"/>
        <v>GSE34153</v>
      </c>
      <c r="D3077" s="1" t="s">
        <v>214</v>
      </c>
      <c r="E3077" t="s">
        <v>215</v>
      </c>
      <c r="F3077" s="1">
        <v>1</v>
      </c>
      <c r="G3077" s="1" t="s">
        <v>219</v>
      </c>
      <c r="H3077" s="4" t="str">
        <f>HYPERLINK("https://www.ncbi.nlm.nih.gov/geo/query/acc.cgi?acc=GSM831957","GSM831957")</f>
        <v>GSM831957</v>
      </c>
      <c r="I3077" t="s">
        <v>111</v>
      </c>
      <c r="J3077" t="s">
        <v>18</v>
      </c>
      <c r="K3077" t="s">
        <v>19</v>
      </c>
      <c r="L3077" t="s">
        <v>113</v>
      </c>
      <c r="M3077" t="s">
        <v>41</v>
      </c>
      <c r="N3077" t="s">
        <v>22</v>
      </c>
    </row>
    <row r="3078" spans="1:14">
      <c r="A3078" s="4" t="str">
        <f t="shared" si="296"/>
        <v>EXP00095</v>
      </c>
      <c r="B3078" s="4" t="str">
        <f t="shared" si="294"/>
        <v>22412968</v>
      </c>
      <c r="C3078" s="4" t="str">
        <f t="shared" si="295"/>
        <v>GSE34153</v>
      </c>
      <c r="D3078" s="1" t="s">
        <v>214</v>
      </c>
      <c r="E3078" t="s">
        <v>215</v>
      </c>
      <c r="F3078" s="1">
        <v>1</v>
      </c>
      <c r="G3078" s="1" t="s">
        <v>219</v>
      </c>
      <c r="H3078" s="4" t="str">
        <f>HYPERLINK("https://www.ncbi.nlm.nih.gov/geo/query/acc.cgi?acc=GSM831974","GSM831974")</f>
        <v>GSM831974</v>
      </c>
      <c r="I3078" t="s">
        <v>111</v>
      </c>
      <c r="J3078" t="s">
        <v>18</v>
      </c>
      <c r="K3078" t="s">
        <v>19</v>
      </c>
      <c r="L3078" t="s">
        <v>113</v>
      </c>
      <c r="M3078" t="s">
        <v>41</v>
      </c>
      <c r="N3078" t="s">
        <v>22</v>
      </c>
    </row>
    <row r="3079" spans="1:14">
      <c r="A3079" s="4" t="str">
        <f t="shared" si="296"/>
        <v>EXP00095</v>
      </c>
      <c r="B3079" s="4" t="str">
        <f t="shared" si="294"/>
        <v>22412968</v>
      </c>
      <c r="C3079" s="4" t="str">
        <f t="shared" si="295"/>
        <v>GSE34153</v>
      </c>
      <c r="D3079" s="1" t="s">
        <v>214</v>
      </c>
      <c r="E3079" t="s">
        <v>215</v>
      </c>
      <c r="F3079" s="1">
        <v>1</v>
      </c>
      <c r="G3079" s="1" t="s">
        <v>219</v>
      </c>
      <c r="H3079" s="4" t="str">
        <f>HYPERLINK("https://www.ncbi.nlm.nih.gov/geo/query/acc.cgi?acc=GSM832004","GSM832004")</f>
        <v>GSM832004</v>
      </c>
      <c r="I3079" t="s">
        <v>111</v>
      </c>
      <c r="J3079" t="s">
        <v>18</v>
      </c>
      <c r="K3079" t="s">
        <v>19</v>
      </c>
      <c r="L3079" t="s">
        <v>113</v>
      </c>
      <c r="M3079" t="s">
        <v>41</v>
      </c>
      <c r="N3079" t="s">
        <v>22</v>
      </c>
    </row>
    <row r="3080" spans="1:14">
      <c r="A3080" s="4" t="str">
        <f t="shared" si="296"/>
        <v>EXP00095</v>
      </c>
      <c r="B3080" s="4" t="str">
        <f t="shared" si="294"/>
        <v>22412968</v>
      </c>
      <c r="C3080" s="4" t="str">
        <f t="shared" si="295"/>
        <v>GSE34153</v>
      </c>
      <c r="D3080" s="1" t="s">
        <v>214</v>
      </c>
      <c r="E3080" t="s">
        <v>215</v>
      </c>
      <c r="F3080" s="1">
        <v>1</v>
      </c>
      <c r="G3080" s="1" t="s">
        <v>219</v>
      </c>
      <c r="H3080" s="4" t="str">
        <f>HYPERLINK("https://www.ncbi.nlm.nih.gov/geo/query/acc.cgi?acc=GSM832005","GSM832005")</f>
        <v>GSM832005</v>
      </c>
      <c r="I3080" t="s">
        <v>111</v>
      </c>
      <c r="J3080" t="s">
        <v>18</v>
      </c>
      <c r="K3080" t="s">
        <v>19</v>
      </c>
      <c r="L3080" t="s">
        <v>113</v>
      </c>
      <c r="M3080" t="s">
        <v>41</v>
      </c>
      <c r="N3080" t="s">
        <v>22</v>
      </c>
    </row>
    <row r="3081" spans="1:14">
      <c r="A3081" s="4" t="str">
        <f t="shared" si="296"/>
        <v>EXP00095</v>
      </c>
      <c r="B3081" s="4" t="str">
        <f t="shared" si="294"/>
        <v>22412968</v>
      </c>
      <c r="C3081" s="4" t="str">
        <f t="shared" si="295"/>
        <v>GSE34153</v>
      </c>
      <c r="D3081" s="1" t="s">
        <v>214</v>
      </c>
      <c r="E3081" t="s">
        <v>215</v>
      </c>
      <c r="F3081" s="1">
        <v>1</v>
      </c>
      <c r="G3081" s="1" t="s">
        <v>219</v>
      </c>
      <c r="H3081" s="4" t="str">
        <f>HYPERLINK("https://www.ncbi.nlm.nih.gov/geo/query/acc.cgi?acc=GSM832015","GSM832015")</f>
        <v>GSM832015</v>
      </c>
      <c r="I3081" t="s">
        <v>111</v>
      </c>
      <c r="J3081" t="s">
        <v>18</v>
      </c>
      <c r="K3081" t="s">
        <v>19</v>
      </c>
      <c r="L3081" t="s">
        <v>113</v>
      </c>
      <c r="M3081" t="s">
        <v>41</v>
      </c>
      <c r="N3081" t="s">
        <v>22</v>
      </c>
    </row>
    <row r="3082" spans="1:14">
      <c r="A3082" s="4" t="str">
        <f t="shared" si="296"/>
        <v>EXP00095</v>
      </c>
      <c r="B3082" s="4" t="str">
        <f t="shared" si="294"/>
        <v>22412968</v>
      </c>
      <c r="C3082" s="4" t="str">
        <f t="shared" si="295"/>
        <v>GSE34153</v>
      </c>
      <c r="D3082" s="1" t="s">
        <v>214</v>
      </c>
      <c r="E3082" t="s">
        <v>215</v>
      </c>
      <c r="F3082" s="1">
        <v>1</v>
      </c>
      <c r="G3082" s="1" t="s">
        <v>219</v>
      </c>
      <c r="H3082" s="4" t="str">
        <f>HYPERLINK("https://www.ncbi.nlm.nih.gov/geo/query/acc.cgi?acc=GSM832016","GSM832016")</f>
        <v>GSM832016</v>
      </c>
      <c r="I3082" t="s">
        <v>111</v>
      </c>
      <c r="J3082" t="s">
        <v>18</v>
      </c>
      <c r="K3082" t="s">
        <v>19</v>
      </c>
      <c r="L3082" t="s">
        <v>113</v>
      </c>
      <c r="M3082" t="s">
        <v>41</v>
      </c>
      <c r="N3082" t="s">
        <v>22</v>
      </c>
    </row>
    <row r="3083" spans="1:14">
      <c r="A3083" s="4" t="str">
        <f t="shared" si="296"/>
        <v>EXP00095</v>
      </c>
      <c r="B3083" s="4" t="str">
        <f t="shared" si="294"/>
        <v>22412968</v>
      </c>
      <c r="C3083" s="4" t="str">
        <f t="shared" si="295"/>
        <v>GSE34153</v>
      </c>
      <c r="D3083" s="1" t="s">
        <v>214</v>
      </c>
      <c r="E3083" t="s">
        <v>215</v>
      </c>
      <c r="F3083" s="1">
        <v>2</v>
      </c>
      <c r="G3083" s="1" t="s">
        <v>221</v>
      </c>
      <c r="H3083" s="4" t="str">
        <f>HYPERLINK("https://www.ncbi.nlm.nih.gov/geo/query/acc.cgi?acc=GSM831944","GSM831944")</f>
        <v>GSM831944</v>
      </c>
      <c r="I3083" t="s">
        <v>111</v>
      </c>
      <c r="J3083" t="s">
        <v>18</v>
      </c>
      <c r="K3083" t="s">
        <v>19</v>
      </c>
      <c r="L3083" t="s">
        <v>113</v>
      </c>
      <c r="M3083" t="s">
        <v>222</v>
      </c>
      <c r="N3083" t="s">
        <v>22</v>
      </c>
    </row>
    <row r="3084" spans="1:14">
      <c r="A3084" s="4" t="str">
        <f t="shared" si="296"/>
        <v>EXP00095</v>
      </c>
      <c r="B3084" s="4" t="str">
        <f t="shared" si="294"/>
        <v>22412968</v>
      </c>
      <c r="C3084" s="4" t="str">
        <f t="shared" si="295"/>
        <v>GSE34153</v>
      </c>
      <c r="D3084" s="1" t="s">
        <v>214</v>
      </c>
      <c r="E3084" t="s">
        <v>215</v>
      </c>
      <c r="F3084" s="1">
        <v>2</v>
      </c>
      <c r="G3084" s="1" t="s">
        <v>221</v>
      </c>
      <c r="H3084" s="4" t="str">
        <f>HYPERLINK("https://www.ncbi.nlm.nih.gov/geo/query/acc.cgi?acc=GSM831951","GSM831951")</f>
        <v>GSM831951</v>
      </c>
      <c r="I3084" t="s">
        <v>111</v>
      </c>
      <c r="J3084" t="s">
        <v>18</v>
      </c>
      <c r="K3084" t="s">
        <v>19</v>
      </c>
      <c r="L3084" t="s">
        <v>113</v>
      </c>
      <c r="M3084" t="s">
        <v>222</v>
      </c>
      <c r="N3084" t="s">
        <v>22</v>
      </c>
    </row>
    <row r="3085" spans="1:14">
      <c r="A3085" s="4" t="str">
        <f t="shared" si="296"/>
        <v>EXP00095</v>
      </c>
      <c r="B3085" s="4" t="str">
        <f t="shared" si="294"/>
        <v>22412968</v>
      </c>
      <c r="C3085" s="4" t="str">
        <f t="shared" si="295"/>
        <v>GSE34153</v>
      </c>
      <c r="D3085" s="1" t="s">
        <v>214</v>
      </c>
      <c r="E3085" t="s">
        <v>215</v>
      </c>
      <c r="F3085" s="1">
        <v>2</v>
      </c>
      <c r="G3085" s="1" t="s">
        <v>221</v>
      </c>
      <c r="H3085" s="4" t="str">
        <f>HYPERLINK("https://www.ncbi.nlm.nih.gov/geo/query/acc.cgi?acc=GSM831953","GSM831953")</f>
        <v>GSM831953</v>
      </c>
      <c r="I3085" t="s">
        <v>111</v>
      </c>
      <c r="J3085" t="s">
        <v>18</v>
      </c>
      <c r="K3085" t="s">
        <v>19</v>
      </c>
      <c r="L3085" t="s">
        <v>113</v>
      </c>
      <c r="M3085" t="s">
        <v>222</v>
      </c>
      <c r="N3085" t="s">
        <v>22</v>
      </c>
    </row>
    <row r="3086" spans="1:14">
      <c r="A3086" s="4" t="str">
        <f t="shared" si="296"/>
        <v>EXP00095</v>
      </c>
      <c r="B3086" s="4" t="str">
        <f t="shared" si="294"/>
        <v>22412968</v>
      </c>
      <c r="C3086" s="4" t="str">
        <f t="shared" si="295"/>
        <v>GSE34153</v>
      </c>
      <c r="D3086" s="1" t="s">
        <v>214</v>
      </c>
      <c r="E3086" t="s">
        <v>215</v>
      </c>
      <c r="F3086" s="1">
        <v>2</v>
      </c>
      <c r="G3086" s="1" t="s">
        <v>221</v>
      </c>
      <c r="H3086" s="4" t="str">
        <f>HYPERLINK("https://www.ncbi.nlm.nih.gov/geo/query/acc.cgi?acc=GSM831954","GSM831954")</f>
        <v>GSM831954</v>
      </c>
      <c r="I3086" t="s">
        <v>111</v>
      </c>
      <c r="J3086" t="s">
        <v>18</v>
      </c>
      <c r="K3086" t="s">
        <v>19</v>
      </c>
      <c r="L3086" t="s">
        <v>113</v>
      </c>
      <c r="M3086" t="s">
        <v>222</v>
      </c>
      <c r="N3086" t="s">
        <v>22</v>
      </c>
    </row>
    <row r="3087" spans="1:14">
      <c r="A3087" s="4" t="str">
        <f t="shared" si="296"/>
        <v>EXP00095</v>
      </c>
      <c r="B3087" s="4" t="str">
        <f t="shared" si="294"/>
        <v>22412968</v>
      </c>
      <c r="C3087" s="4" t="str">
        <f t="shared" si="295"/>
        <v>GSE34153</v>
      </c>
      <c r="D3087" s="1" t="s">
        <v>214</v>
      </c>
      <c r="E3087" t="s">
        <v>215</v>
      </c>
      <c r="F3087" s="1">
        <v>2</v>
      </c>
      <c r="G3087" s="1" t="s">
        <v>221</v>
      </c>
      <c r="H3087" s="4" t="str">
        <f>HYPERLINK("https://www.ncbi.nlm.nih.gov/geo/query/acc.cgi?acc=GSM831955","GSM831955")</f>
        <v>GSM831955</v>
      </c>
      <c r="I3087" t="s">
        <v>111</v>
      </c>
      <c r="J3087" t="s">
        <v>18</v>
      </c>
      <c r="K3087" t="s">
        <v>19</v>
      </c>
      <c r="L3087" t="s">
        <v>113</v>
      </c>
      <c r="M3087" t="s">
        <v>222</v>
      </c>
      <c r="N3087" t="s">
        <v>22</v>
      </c>
    </row>
    <row r="3088" spans="1:14">
      <c r="A3088" s="4" t="str">
        <f t="shared" si="296"/>
        <v>EXP00095</v>
      </c>
      <c r="B3088" s="4" t="str">
        <f t="shared" si="294"/>
        <v>22412968</v>
      </c>
      <c r="C3088" s="4" t="str">
        <f t="shared" si="295"/>
        <v>GSE34153</v>
      </c>
      <c r="D3088" s="1" t="s">
        <v>214</v>
      </c>
      <c r="E3088" t="s">
        <v>215</v>
      </c>
      <c r="F3088" s="1">
        <v>2</v>
      </c>
      <c r="G3088" s="1" t="s">
        <v>221</v>
      </c>
      <c r="H3088" s="4" t="str">
        <f>HYPERLINK("https://www.ncbi.nlm.nih.gov/geo/query/acc.cgi?acc=GSM831986","GSM831986")</f>
        <v>GSM831986</v>
      </c>
      <c r="I3088" t="s">
        <v>111</v>
      </c>
      <c r="J3088" t="s">
        <v>18</v>
      </c>
      <c r="K3088" t="s">
        <v>19</v>
      </c>
      <c r="L3088" t="s">
        <v>113</v>
      </c>
      <c r="M3088" t="s">
        <v>222</v>
      </c>
      <c r="N3088" t="s">
        <v>22</v>
      </c>
    </row>
    <row r="3089" spans="1:14">
      <c r="A3089" s="4" t="str">
        <f t="shared" si="296"/>
        <v>EXP00095</v>
      </c>
      <c r="B3089" s="4" t="str">
        <f t="shared" si="294"/>
        <v>22412968</v>
      </c>
      <c r="C3089" s="4" t="str">
        <f t="shared" si="295"/>
        <v>GSE34153</v>
      </c>
      <c r="D3089" s="1" t="s">
        <v>214</v>
      </c>
      <c r="E3089" t="s">
        <v>215</v>
      </c>
      <c r="F3089" s="1">
        <v>2</v>
      </c>
      <c r="G3089" s="1" t="s">
        <v>221</v>
      </c>
      <c r="H3089" s="4" t="str">
        <f>HYPERLINK("https://www.ncbi.nlm.nih.gov/geo/query/acc.cgi?acc=GSM831987","GSM831987")</f>
        <v>GSM831987</v>
      </c>
      <c r="I3089" t="s">
        <v>111</v>
      </c>
      <c r="J3089" t="s">
        <v>18</v>
      </c>
      <c r="K3089" t="s">
        <v>19</v>
      </c>
      <c r="L3089" t="s">
        <v>113</v>
      </c>
      <c r="M3089" t="s">
        <v>222</v>
      </c>
      <c r="N3089" t="s">
        <v>22</v>
      </c>
    </row>
    <row r="3090" spans="1:14">
      <c r="A3090" s="4" t="str">
        <f t="shared" si="296"/>
        <v>EXP00095</v>
      </c>
      <c r="B3090" s="4" t="str">
        <f t="shared" si="294"/>
        <v>22412968</v>
      </c>
      <c r="C3090" s="4" t="str">
        <f t="shared" si="295"/>
        <v>GSE34153</v>
      </c>
      <c r="D3090" s="1" t="s">
        <v>214</v>
      </c>
      <c r="E3090" t="s">
        <v>215</v>
      </c>
      <c r="F3090" s="1">
        <v>2</v>
      </c>
      <c r="G3090" s="1" t="s">
        <v>221</v>
      </c>
      <c r="H3090" s="4" t="str">
        <f>HYPERLINK("https://www.ncbi.nlm.nih.gov/geo/query/acc.cgi?acc=GSM831999","GSM831999")</f>
        <v>GSM831999</v>
      </c>
      <c r="I3090" t="s">
        <v>111</v>
      </c>
      <c r="J3090" t="s">
        <v>18</v>
      </c>
      <c r="K3090" t="s">
        <v>19</v>
      </c>
      <c r="L3090" t="s">
        <v>113</v>
      </c>
      <c r="M3090" t="s">
        <v>222</v>
      </c>
      <c r="N3090" t="s">
        <v>22</v>
      </c>
    </row>
    <row r="3091" spans="1:14">
      <c r="A3091" s="4" t="str">
        <f t="shared" si="296"/>
        <v>EXP00095</v>
      </c>
      <c r="B3091" s="4" t="str">
        <f t="shared" si="294"/>
        <v>22412968</v>
      </c>
      <c r="C3091" s="4" t="str">
        <f t="shared" si="295"/>
        <v>GSE34153</v>
      </c>
      <c r="D3091" s="1" t="s">
        <v>214</v>
      </c>
      <c r="E3091" t="s">
        <v>215</v>
      </c>
      <c r="F3091" s="1">
        <v>2</v>
      </c>
      <c r="G3091" s="1" t="s">
        <v>221</v>
      </c>
      <c r="H3091" s="4" t="str">
        <f>HYPERLINK("https://www.ncbi.nlm.nih.gov/geo/query/acc.cgi?acc=GSM832001","GSM832001")</f>
        <v>GSM832001</v>
      </c>
      <c r="I3091" t="s">
        <v>111</v>
      </c>
      <c r="J3091" t="s">
        <v>18</v>
      </c>
      <c r="K3091" t="s">
        <v>19</v>
      </c>
      <c r="L3091" t="s">
        <v>113</v>
      </c>
      <c r="M3091" t="s">
        <v>222</v>
      </c>
      <c r="N3091" t="s">
        <v>22</v>
      </c>
    </row>
    <row r="3092" spans="1:14">
      <c r="A3092" s="4" t="str">
        <f t="shared" si="296"/>
        <v>EXP00095</v>
      </c>
      <c r="B3092" s="4" t="str">
        <f t="shared" si="294"/>
        <v>22412968</v>
      </c>
      <c r="C3092" s="4" t="str">
        <f t="shared" si="295"/>
        <v>GSE34153</v>
      </c>
      <c r="D3092" s="1" t="s">
        <v>214</v>
      </c>
      <c r="E3092" t="s">
        <v>215</v>
      </c>
      <c r="F3092" s="1">
        <v>2</v>
      </c>
      <c r="G3092" s="1" t="s">
        <v>221</v>
      </c>
      <c r="H3092" s="4" t="str">
        <f>HYPERLINK("https://www.ncbi.nlm.nih.gov/geo/query/acc.cgi?acc=GSM832002","GSM832002")</f>
        <v>GSM832002</v>
      </c>
      <c r="I3092" t="s">
        <v>111</v>
      </c>
      <c r="J3092" t="s">
        <v>18</v>
      </c>
      <c r="K3092" t="s">
        <v>19</v>
      </c>
      <c r="L3092" t="s">
        <v>113</v>
      </c>
      <c r="M3092" t="s">
        <v>222</v>
      </c>
      <c r="N3092" t="s">
        <v>22</v>
      </c>
    </row>
    <row r="3093" spans="1:14">
      <c r="A3093" s="4" t="str">
        <f t="shared" ref="A3093:A3114" si="297">HYPERLINK("http://hcmdb.i-sanger.com/experiment/details/experiment_id/EXP00096","EXP00096")</f>
        <v>EXP00096</v>
      </c>
      <c r="B3093" s="4" t="str">
        <f t="shared" si="294"/>
        <v>22412968</v>
      </c>
      <c r="C3093" s="4" t="str">
        <f t="shared" si="295"/>
        <v>GSE34153</v>
      </c>
      <c r="D3093" s="1" t="s">
        <v>214</v>
      </c>
      <c r="E3093" t="s">
        <v>215</v>
      </c>
      <c r="F3093" s="1">
        <v>1</v>
      </c>
      <c r="G3093" s="1" t="s">
        <v>219</v>
      </c>
      <c r="H3093" s="4" t="str">
        <f>HYPERLINK("https://www.ncbi.nlm.nih.gov/geo/query/acc.cgi?acc=GSM831949","GSM831949")</f>
        <v>GSM831949</v>
      </c>
      <c r="I3093" t="s">
        <v>111</v>
      </c>
      <c r="J3093" t="s">
        <v>18</v>
      </c>
      <c r="K3093" t="s">
        <v>19</v>
      </c>
      <c r="L3093" t="s">
        <v>113</v>
      </c>
      <c r="M3093" t="s">
        <v>41</v>
      </c>
      <c r="N3093" t="s">
        <v>22</v>
      </c>
    </row>
    <row r="3094" spans="1:14">
      <c r="A3094" s="4" t="str">
        <f t="shared" si="297"/>
        <v>EXP00096</v>
      </c>
      <c r="B3094" s="4" t="str">
        <f t="shared" si="294"/>
        <v>22412968</v>
      </c>
      <c r="C3094" s="4" t="str">
        <f t="shared" si="295"/>
        <v>GSE34153</v>
      </c>
      <c r="D3094" s="1" t="s">
        <v>214</v>
      </c>
      <c r="E3094" t="s">
        <v>215</v>
      </c>
      <c r="F3094" s="1">
        <v>1</v>
      </c>
      <c r="G3094" s="1" t="s">
        <v>219</v>
      </c>
      <c r="H3094" s="4" t="str">
        <f>HYPERLINK("https://www.ncbi.nlm.nih.gov/geo/query/acc.cgi?acc=GSM831950","GSM831950")</f>
        <v>GSM831950</v>
      </c>
      <c r="I3094" t="s">
        <v>111</v>
      </c>
      <c r="J3094" t="s">
        <v>18</v>
      </c>
      <c r="K3094" t="s">
        <v>19</v>
      </c>
      <c r="L3094" t="s">
        <v>113</v>
      </c>
      <c r="M3094" t="s">
        <v>41</v>
      </c>
      <c r="N3094" t="s">
        <v>22</v>
      </c>
    </row>
    <row r="3095" spans="1:14">
      <c r="A3095" s="4" t="str">
        <f t="shared" si="297"/>
        <v>EXP00096</v>
      </c>
      <c r="B3095" s="4" t="str">
        <f t="shared" si="294"/>
        <v>22412968</v>
      </c>
      <c r="C3095" s="4" t="str">
        <f t="shared" si="295"/>
        <v>GSE34153</v>
      </c>
      <c r="D3095" s="1" t="s">
        <v>214</v>
      </c>
      <c r="E3095" t="s">
        <v>215</v>
      </c>
      <c r="F3095" s="1">
        <v>1</v>
      </c>
      <c r="G3095" s="1" t="s">
        <v>219</v>
      </c>
      <c r="H3095" s="4" t="str">
        <f>HYPERLINK("https://www.ncbi.nlm.nih.gov/geo/query/acc.cgi?acc=GSM831957","GSM831957")</f>
        <v>GSM831957</v>
      </c>
      <c r="I3095" t="s">
        <v>111</v>
      </c>
      <c r="J3095" t="s">
        <v>18</v>
      </c>
      <c r="K3095" t="s">
        <v>19</v>
      </c>
      <c r="L3095" t="s">
        <v>113</v>
      </c>
      <c r="M3095" t="s">
        <v>41</v>
      </c>
      <c r="N3095" t="s">
        <v>22</v>
      </c>
    </row>
    <row r="3096" spans="1:14">
      <c r="A3096" s="4" t="str">
        <f t="shared" si="297"/>
        <v>EXP00096</v>
      </c>
      <c r="B3096" s="4" t="str">
        <f t="shared" si="294"/>
        <v>22412968</v>
      </c>
      <c r="C3096" s="4" t="str">
        <f t="shared" si="295"/>
        <v>GSE34153</v>
      </c>
      <c r="D3096" s="1" t="s">
        <v>214</v>
      </c>
      <c r="E3096" t="s">
        <v>215</v>
      </c>
      <c r="F3096" s="1">
        <v>1</v>
      </c>
      <c r="G3096" s="1" t="s">
        <v>219</v>
      </c>
      <c r="H3096" s="4" t="str">
        <f>HYPERLINK("https://www.ncbi.nlm.nih.gov/geo/query/acc.cgi?acc=GSM831974","GSM831974")</f>
        <v>GSM831974</v>
      </c>
      <c r="I3096" t="s">
        <v>111</v>
      </c>
      <c r="J3096" t="s">
        <v>18</v>
      </c>
      <c r="K3096" t="s">
        <v>19</v>
      </c>
      <c r="L3096" t="s">
        <v>113</v>
      </c>
      <c r="M3096" t="s">
        <v>41</v>
      </c>
      <c r="N3096" t="s">
        <v>22</v>
      </c>
    </row>
    <row r="3097" spans="1:14">
      <c r="A3097" s="4" t="str">
        <f t="shared" si="297"/>
        <v>EXP00096</v>
      </c>
      <c r="B3097" s="4" t="str">
        <f t="shared" si="294"/>
        <v>22412968</v>
      </c>
      <c r="C3097" s="4" t="str">
        <f t="shared" si="295"/>
        <v>GSE34153</v>
      </c>
      <c r="D3097" s="1" t="s">
        <v>214</v>
      </c>
      <c r="E3097" t="s">
        <v>215</v>
      </c>
      <c r="F3097" s="1">
        <v>1</v>
      </c>
      <c r="G3097" s="1" t="s">
        <v>219</v>
      </c>
      <c r="H3097" s="4" t="str">
        <f>HYPERLINK("https://www.ncbi.nlm.nih.gov/geo/query/acc.cgi?acc=GSM832004","GSM832004")</f>
        <v>GSM832004</v>
      </c>
      <c r="I3097" t="s">
        <v>111</v>
      </c>
      <c r="J3097" t="s">
        <v>18</v>
      </c>
      <c r="K3097" t="s">
        <v>19</v>
      </c>
      <c r="L3097" t="s">
        <v>113</v>
      </c>
      <c r="M3097" t="s">
        <v>41</v>
      </c>
      <c r="N3097" t="s">
        <v>22</v>
      </c>
    </row>
    <row r="3098" spans="1:14">
      <c r="A3098" s="4" t="str">
        <f t="shared" si="297"/>
        <v>EXP00096</v>
      </c>
      <c r="B3098" s="4" t="str">
        <f t="shared" si="294"/>
        <v>22412968</v>
      </c>
      <c r="C3098" s="4" t="str">
        <f t="shared" si="295"/>
        <v>GSE34153</v>
      </c>
      <c r="D3098" s="1" t="s">
        <v>214</v>
      </c>
      <c r="E3098" t="s">
        <v>215</v>
      </c>
      <c r="F3098" s="1">
        <v>1</v>
      </c>
      <c r="G3098" s="1" t="s">
        <v>219</v>
      </c>
      <c r="H3098" s="4" t="str">
        <f>HYPERLINK("https://www.ncbi.nlm.nih.gov/geo/query/acc.cgi?acc=GSM832005","GSM832005")</f>
        <v>GSM832005</v>
      </c>
      <c r="I3098" t="s">
        <v>111</v>
      </c>
      <c r="J3098" t="s">
        <v>18</v>
      </c>
      <c r="K3098" t="s">
        <v>19</v>
      </c>
      <c r="L3098" t="s">
        <v>113</v>
      </c>
      <c r="M3098" t="s">
        <v>41</v>
      </c>
      <c r="N3098" t="s">
        <v>22</v>
      </c>
    </row>
    <row r="3099" spans="1:14">
      <c r="A3099" s="4" t="str">
        <f t="shared" si="297"/>
        <v>EXP00096</v>
      </c>
      <c r="B3099" s="4" t="str">
        <f t="shared" si="294"/>
        <v>22412968</v>
      </c>
      <c r="C3099" s="4" t="str">
        <f t="shared" si="295"/>
        <v>GSE34153</v>
      </c>
      <c r="D3099" s="1" t="s">
        <v>214</v>
      </c>
      <c r="E3099" t="s">
        <v>215</v>
      </c>
      <c r="F3099" s="1">
        <v>1</v>
      </c>
      <c r="G3099" s="1" t="s">
        <v>219</v>
      </c>
      <c r="H3099" s="4" t="str">
        <f>HYPERLINK("https://www.ncbi.nlm.nih.gov/geo/query/acc.cgi?acc=GSM832015","GSM832015")</f>
        <v>GSM832015</v>
      </c>
      <c r="I3099" t="s">
        <v>111</v>
      </c>
      <c r="J3099" t="s">
        <v>18</v>
      </c>
      <c r="K3099" t="s">
        <v>19</v>
      </c>
      <c r="L3099" t="s">
        <v>113</v>
      </c>
      <c r="M3099" t="s">
        <v>41</v>
      </c>
      <c r="N3099" t="s">
        <v>22</v>
      </c>
    </row>
    <row r="3100" spans="1:14">
      <c r="A3100" s="4" t="str">
        <f t="shared" si="297"/>
        <v>EXP00096</v>
      </c>
      <c r="B3100" s="4" t="str">
        <f t="shared" si="294"/>
        <v>22412968</v>
      </c>
      <c r="C3100" s="4" t="str">
        <f t="shared" si="295"/>
        <v>GSE34153</v>
      </c>
      <c r="D3100" s="1" t="s">
        <v>214</v>
      </c>
      <c r="E3100" t="s">
        <v>215</v>
      </c>
      <c r="F3100" s="1">
        <v>1</v>
      </c>
      <c r="G3100" s="1" t="s">
        <v>219</v>
      </c>
      <c r="H3100" s="4" t="str">
        <f>HYPERLINK("https://www.ncbi.nlm.nih.gov/geo/query/acc.cgi?acc=GSM832016","GSM832016")</f>
        <v>GSM832016</v>
      </c>
      <c r="I3100" t="s">
        <v>111</v>
      </c>
      <c r="J3100" t="s">
        <v>18</v>
      </c>
      <c r="K3100" t="s">
        <v>19</v>
      </c>
      <c r="L3100" t="s">
        <v>113</v>
      </c>
      <c r="M3100" t="s">
        <v>41</v>
      </c>
      <c r="N3100" t="s">
        <v>22</v>
      </c>
    </row>
    <row r="3101" spans="1:14">
      <c r="A3101" s="4" t="str">
        <f t="shared" si="297"/>
        <v>EXP00096</v>
      </c>
      <c r="B3101" s="4" t="str">
        <f t="shared" si="294"/>
        <v>22412968</v>
      </c>
      <c r="C3101" s="4" t="str">
        <f t="shared" si="295"/>
        <v>GSE34153</v>
      </c>
      <c r="D3101" s="1" t="s">
        <v>214</v>
      </c>
      <c r="E3101" t="s">
        <v>215</v>
      </c>
      <c r="F3101" s="1">
        <v>2</v>
      </c>
      <c r="G3101" s="1" t="s">
        <v>223</v>
      </c>
      <c r="H3101" s="4" t="str">
        <f>HYPERLINK("https://www.ncbi.nlm.nih.gov/geo/query/acc.cgi?acc=GSM831958","GSM831958")</f>
        <v>GSM831958</v>
      </c>
      <c r="I3101" t="s">
        <v>111</v>
      </c>
      <c r="J3101" t="s">
        <v>18</v>
      </c>
      <c r="K3101" t="s">
        <v>19</v>
      </c>
      <c r="L3101" t="s">
        <v>113</v>
      </c>
      <c r="M3101" t="s">
        <v>113</v>
      </c>
      <c r="N3101" t="s">
        <v>22</v>
      </c>
    </row>
    <row r="3102" spans="1:14">
      <c r="A3102" s="4" t="str">
        <f t="shared" si="297"/>
        <v>EXP00096</v>
      </c>
      <c r="B3102" s="4" t="str">
        <f t="shared" si="294"/>
        <v>22412968</v>
      </c>
      <c r="C3102" s="4" t="str">
        <f t="shared" si="295"/>
        <v>GSE34153</v>
      </c>
      <c r="D3102" s="1" t="s">
        <v>214</v>
      </c>
      <c r="E3102" t="s">
        <v>215</v>
      </c>
      <c r="F3102" s="1">
        <v>2</v>
      </c>
      <c r="G3102" s="1" t="s">
        <v>223</v>
      </c>
      <c r="H3102" s="4" t="str">
        <f>HYPERLINK("https://www.ncbi.nlm.nih.gov/geo/query/acc.cgi?acc=GSM831959","GSM831959")</f>
        <v>GSM831959</v>
      </c>
      <c r="I3102" t="s">
        <v>111</v>
      </c>
      <c r="J3102" t="s">
        <v>18</v>
      </c>
      <c r="K3102" t="s">
        <v>19</v>
      </c>
      <c r="L3102" t="s">
        <v>113</v>
      </c>
      <c r="M3102" t="s">
        <v>113</v>
      </c>
      <c r="N3102" t="s">
        <v>22</v>
      </c>
    </row>
    <row r="3103" spans="1:14">
      <c r="A3103" s="4" t="str">
        <f t="shared" si="297"/>
        <v>EXP00096</v>
      </c>
      <c r="B3103" s="4" t="str">
        <f t="shared" si="294"/>
        <v>22412968</v>
      </c>
      <c r="C3103" s="4" t="str">
        <f t="shared" si="295"/>
        <v>GSE34153</v>
      </c>
      <c r="D3103" s="1" t="s">
        <v>214</v>
      </c>
      <c r="E3103" t="s">
        <v>215</v>
      </c>
      <c r="F3103" s="1">
        <v>2</v>
      </c>
      <c r="G3103" s="1" t="s">
        <v>223</v>
      </c>
      <c r="H3103" s="4" t="str">
        <f>HYPERLINK("https://www.ncbi.nlm.nih.gov/geo/query/acc.cgi?acc=GSM831960","GSM831960")</f>
        <v>GSM831960</v>
      </c>
      <c r="I3103" t="s">
        <v>111</v>
      </c>
      <c r="J3103" t="s">
        <v>18</v>
      </c>
      <c r="K3103" t="s">
        <v>19</v>
      </c>
      <c r="L3103" t="s">
        <v>113</v>
      </c>
      <c r="M3103" t="s">
        <v>113</v>
      </c>
      <c r="N3103" t="s">
        <v>22</v>
      </c>
    </row>
    <row r="3104" spans="1:14">
      <c r="A3104" s="4" t="str">
        <f t="shared" si="297"/>
        <v>EXP00096</v>
      </c>
      <c r="B3104" s="4" t="str">
        <f t="shared" si="294"/>
        <v>22412968</v>
      </c>
      <c r="C3104" s="4" t="str">
        <f t="shared" si="295"/>
        <v>GSE34153</v>
      </c>
      <c r="D3104" s="1" t="s">
        <v>214</v>
      </c>
      <c r="E3104" t="s">
        <v>215</v>
      </c>
      <c r="F3104" s="1">
        <v>2</v>
      </c>
      <c r="G3104" s="1" t="s">
        <v>223</v>
      </c>
      <c r="H3104" s="4" t="str">
        <f>HYPERLINK("https://www.ncbi.nlm.nih.gov/geo/query/acc.cgi?acc=GSM831964","GSM831964")</f>
        <v>GSM831964</v>
      </c>
      <c r="I3104" t="s">
        <v>111</v>
      </c>
      <c r="J3104" t="s">
        <v>18</v>
      </c>
      <c r="K3104" t="s">
        <v>19</v>
      </c>
      <c r="L3104" t="s">
        <v>113</v>
      </c>
      <c r="M3104" t="s">
        <v>113</v>
      </c>
      <c r="N3104" t="s">
        <v>22</v>
      </c>
    </row>
    <row r="3105" spans="1:14">
      <c r="A3105" s="4" t="str">
        <f t="shared" si="297"/>
        <v>EXP00096</v>
      </c>
      <c r="B3105" s="4" t="str">
        <f t="shared" si="294"/>
        <v>22412968</v>
      </c>
      <c r="C3105" s="4" t="str">
        <f t="shared" si="295"/>
        <v>GSE34153</v>
      </c>
      <c r="D3105" s="1" t="s">
        <v>214</v>
      </c>
      <c r="E3105" t="s">
        <v>215</v>
      </c>
      <c r="F3105" s="1">
        <v>2</v>
      </c>
      <c r="G3105" s="1" t="s">
        <v>223</v>
      </c>
      <c r="H3105" s="4" t="str">
        <f>HYPERLINK("https://www.ncbi.nlm.nih.gov/geo/query/acc.cgi?acc=GSM831966","GSM831966")</f>
        <v>GSM831966</v>
      </c>
      <c r="I3105" t="s">
        <v>111</v>
      </c>
      <c r="J3105" t="s">
        <v>18</v>
      </c>
      <c r="K3105" t="s">
        <v>19</v>
      </c>
      <c r="L3105" t="s">
        <v>113</v>
      </c>
      <c r="M3105" t="s">
        <v>113</v>
      </c>
      <c r="N3105" t="s">
        <v>22</v>
      </c>
    </row>
    <row r="3106" spans="1:14">
      <c r="A3106" s="4" t="str">
        <f t="shared" si="297"/>
        <v>EXP00096</v>
      </c>
      <c r="B3106" s="4" t="str">
        <f t="shared" si="294"/>
        <v>22412968</v>
      </c>
      <c r="C3106" s="4" t="str">
        <f t="shared" si="295"/>
        <v>GSE34153</v>
      </c>
      <c r="D3106" s="1" t="s">
        <v>214</v>
      </c>
      <c r="E3106" t="s">
        <v>215</v>
      </c>
      <c r="F3106" s="1">
        <v>2</v>
      </c>
      <c r="G3106" s="1" t="s">
        <v>223</v>
      </c>
      <c r="H3106" s="4" t="str">
        <f>HYPERLINK("https://www.ncbi.nlm.nih.gov/geo/query/acc.cgi?acc=GSM831970","GSM831970")</f>
        <v>GSM831970</v>
      </c>
      <c r="I3106" t="s">
        <v>111</v>
      </c>
      <c r="J3106" t="s">
        <v>18</v>
      </c>
      <c r="K3106" t="s">
        <v>19</v>
      </c>
      <c r="L3106" t="s">
        <v>113</v>
      </c>
      <c r="M3106" t="s">
        <v>113</v>
      </c>
      <c r="N3106" t="s">
        <v>22</v>
      </c>
    </row>
    <row r="3107" spans="1:14">
      <c r="A3107" s="4" t="str">
        <f t="shared" si="297"/>
        <v>EXP00096</v>
      </c>
      <c r="B3107" s="4" t="str">
        <f t="shared" si="294"/>
        <v>22412968</v>
      </c>
      <c r="C3107" s="4" t="str">
        <f t="shared" si="295"/>
        <v>GSE34153</v>
      </c>
      <c r="D3107" s="1" t="s">
        <v>214</v>
      </c>
      <c r="E3107" t="s">
        <v>215</v>
      </c>
      <c r="F3107" s="1">
        <v>2</v>
      </c>
      <c r="G3107" s="1" t="s">
        <v>223</v>
      </c>
      <c r="H3107" s="4" t="str">
        <f>HYPERLINK("https://www.ncbi.nlm.nih.gov/geo/query/acc.cgi?acc=GSM831973","GSM831973")</f>
        <v>GSM831973</v>
      </c>
      <c r="I3107" t="s">
        <v>111</v>
      </c>
      <c r="J3107" t="s">
        <v>18</v>
      </c>
      <c r="K3107" t="s">
        <v>19</v>
      </c>
      <c r="L3107" t="s">
        <v>113</v>
      </c>
      <c r="M3107" t="s">
        <v>113</v>
      </c>
      <c r="N3107" t="s">
        <v>22</v>
      </c>
    </row>
    <row r="3108" spans="1:14">
      <c r="A3108" s="4" t="str">
        <f t="shared" si="297"/>
        <v>EXP00096</v>
      </c>
      <c r="B3108" s="4" t="str">
        <f t="shared" si="294"/>
        <v>22412968</v>
      </c>
      <c r="C3108" s="4" t="str">
        <f t="shared" si="295"/>
        <v>GSE34153</v>
      </c>
      <c r="D3108" s="1" t="s">
        <v>214</v>
      </c>
      <c r="E3108" t="s">
        <v>215</v>
      </c>
      <c r="F3108" s="1">
        <v>2</v>
      </c>
      <c r="G3108" s="1" t="s">
        <v>223</v>
      </c>
      <c r="H3108" s="4" t="str">
        <f>HYPERLINK("https://www.ncbi.nlm.nih.gov/geo/query/acc.cgi?acc=GSM831988","GSM831988")</f>
        <v>GSM831988</v>
      </c>
      <c r="I3108" t="s">
        <v>111</v>
      </c>
      <c r="J3108" t="s">
        <v>18</v>
      </c>
      <c r="K3108" t="s">
        <v>19</v>
      </c>
      <c r="L3108" t="s">
        <v>113</v>
      </c>
      <c r="M3108" t="s">
        <v>113</v>
      </c>
      <c r="N3108" t="s">
        <v>22</v>
      </c>
    </row>
    <row r="3109" spans="1:14">
      <c r="A3109" s="4" t="str">
        <f t="shared" si="297"/>
        <v>EXP00096</v>
      </c>
      <c r="B3109" s="4" t="str">
        <f t="shared" si="294"/>
        <v>22412968</v>
      </c>
      <c r="C3109" s="4" t="str">
        <f t="shared" si="295"/>
        <v>GSE34153</v>
      </c>
      <c r="D3109" s="1" t="s">
        <v>214</v>
      </c>
      <c r="E3109" t="s">
        <v>215</v>
      </c>
      <c r="F3109" s="1">
        <v>2</v>
      </c>
      <c r="G3109" s="1" t="s">
        <v>223</v>
      </c>
      <c r="H3109" s="4" t="str">
        <f>HYPERLINK("https://www.ncbi.nlm.nih.gov/geo/query/acc.cgi?acc=GSM831992","GSM831992")</f>
        <v>GSM831992</v>
      </c>
      <c r="I3109" t="s">
        <v>111</v>
      </c>
      <c r="J3109" t="s">
        <v>18</v>
      </c>
      <c r="K3109" t="s">
        <v>19</v>
      </c>
      <c r="L3109" t="s">
        <v>113</v>
      </c>
      <c r="M3109" t="s">
        <v>113</v>
      </c>
      <c r="N3109" t="s">
        <v>22</v>
      </c>
    </row>
    <row r="3110" spans="1:14">
      <c r="A3110" s="4" t="str">
        <f t="shared" si="297"/>
        <v>EXP00096</v>
      </c>
      <c r="B3110" s="4" t="str">
        <f t="shared" si="294"/>
        <v>22412968</v>
      </c>
      <c r="C3110" s="4" t="str">
        <f t="shared" si="295"/>
        <v>GSE34153</v>
      </c>
      <c r="D3110" s="1" t="s">
        <v>214</v>
      </c>
      <c r="E3110" t="s">
        <v>215</v>
      </c>
      <c r="F3110" s="1">
        <v>2</v>
      </c>
      <c r="G3110" s="1" t="s">
        <v>223</v>
      </c>
      <c r="H3110" s="4" t="str">
        <f>HYPERLINK("https://www.ncbi.nlm.nih.gov/geo/query/acc.cgi?acc=GSM832006","GSM832006")</f>
        <v>GSM832006</v>
      </c>
      <c r="I3110" t="s">
        <v>111</v>
      </c>
      <c r="J3110" t="s">
        <v>18</v>
      </c>
      <c r="K3110" t="s">
        <v>19</v>
      </c>
      <c r="L3110" t="s">
        <v>113</v>
      </c>
      <c r="M3110" t="s">
        <v>113</v>
      </c>
      <c r="N3110" t="s">
        <v>22</v>
      </c>
    </row>
    <row r="3111" spans="1:14">
      <c r="A3111" s="4" t="str">
        <f t="shared" si="297"/>
        <v>EXP00096</v>
      </c>
      <c r="B3111" s="4" t="str">
        <f t="shared" si="294"/>
        <v>22412968</v>
      </c>
      <c r="C3111" s="4" t="str">
        <f t="shared" si="295"/>
        <v>GSE34153</v>
      </c>
      <c r="D3111" s="1" t="s">
        <v>214</v>
      </c>
      <c r="E3111" t="s">
        <v>215</v>
      </c>
      <c r="F3111" s="1">
        <v>2</v>
      </c>
      <c r="G3111" s="1" t="s">
        <v>223</v>
      </c>
      <c r="H3111" s="4" t="str">
        <f>HYPERLINK("https://www.ncbi.nlm.nih.gov/geo/query/acc.cgi?acc=GSM832007","GSM832007")</f>
        <v>GSM832007</v>
      </c>
      <c r="I3111" t="s">
        <v>111</v>
      </c>
      <c r="J3111" t="s">
        <v>18</v>
      </c>
      <c r="K3111" t="s">
        <v>19</v>
      </c>
      <c r="L3111" t="s">
        <v>113</v>
      </c>
      <c r="M3111" t="s">
        <v>113</v>
      </c>
      <c r="N3111" t="s">
        <v>22</v>
      </c>
    </row>
    <row r="3112" spans="1:14">
      <c r="A3112" s="4" t="str">
        <f t="shared" si="297"/>
        <v>EXP00096</v>
      </c>
      <c r="B3112" s="4" t="str">
        <f t="shared" si="294"/>
        <v>22412968</v>
      </c>
      <c r="C3112" s="4" t="str">
        <f t="shared" si="295"/>
        <v>GSE34153</v>
      </c>
      <c r="D3112" s="1" t="s">
        <v>214</v>
      </c>
      <c r="E3112" t="s">
        <v>215</v>
      </c>
      <c r="F3112" s="1">
        <v>2</v>
      </c>
      <c r="G3112" s="1" t="s">
        <v>223</v>
      </c>
      <c r="H3112" s="4" t="str">
        <f>HYPERLINK("https://www.ncbi.nlm.nih.gov/geo/query/acc.cgi?acc=GSM832010","GSM832010")</f>
        <v>GSM832010</v>
      </c>
      <c r="I3112" t="s">
        <v>111</v>
      </c>
      <c r="J3112" t="s">
        <v>18</v>
      </c>
      <c r="K3112" t="s">
        <v>19</v>
      </c>
      <c r="L3112" t="s">
        <v>113</v>
      </c>
      <c r="M3112" t="s">
        <v>113</v>
      </c>
      <c r="N3112" t="s">
        <v>22</v>
      </c>
    </row>
    <row r="3113" spans="1:14">
      <c r="A3113" s="4" t="str">
        <f t="shared" si="297"/>
        <v>EXP00096</v>
      </c>
      <c r="B3113" s="4" t="str">
        <f t="shared" si="294"/>
        <v>22412968</v>
      </c>
      <c r="C3113" s="4" t="str">
        <f t="shared" si="295"/>
        <v>GSE34153</v>
      </c>
      <c r="D3113" s="1" t="s">
        <v>214</v>
      </c>
      <c r="E3113" t="s">
        <v>215</v>
      </c>
      <c r="F3113" s="1">
        <v>2</v>
      </c>
      <c r="G3113" s="1" t="s">
        <v>223</v>
      </c>
      <c r="H3113" s="4" t="str">
        <f>HYPERLINK("https://www.ncbi.nlm.nih.gov/geo/query/acc.cgi?acc=GSM832011","GSM832011")</f>
        <v>GSM832011</v>
      </c>
      <c r="I3113" t="s">
        <v>111</v>
      </c>
      <c r="J3113" t="s">
        <v>18</v>
      </c>
      <c r="K3113" t="s">
        <v>19</v>
      </c>
      <c r="L3113" t="s">
        <v>113</v>
      </c>
      <c r="M3113" t="s">
        <v>113</v>
      </c>
      <c r="N3113" t="s">
        <v>22</v>
      </c>
    </row>
    <row r="3114" spans="1:14">
      <c r="A3114" s="4" t="str">
        <f t="shared" si="297"/>
        <v>EXP00096</v>
      </c>
      <c r="B3114" s="4" t="str">
        <f t="shared" si="294"/>
        <v>22412968</v>
      </c>
      <c r="C3114" s="4" t="str">
        <f t="shared" si="295"/>
        <v>GSE34153</v>
      </c>
      <c r="D3114" s="1" t="s">
        <v>214</v>
      </c>
      <c r="E3114" t="s">
        <v>215</v>
      </c>
      <c r="F3114" s="1">
        <v>2</v>
      </c>
      <c r="G3114" s="1" t="s">
        <v>223</v>
      </c>
      <c r="H3114" s="4" t="str">
        <f>HYPERLINK("https://www.ncbi.nlm.nih.gov/geo/query/acc.cgi?acc=GSM832012","GSM832012")</f>
        <v>GSM832012</v>
      </c>
      <c r="I3114" t="s">
        <v>111</v>
      </c>
      <c r="J3114" t="s">
        <v>18</v>
      </c>
      <c r="K3114" t="s">
        <v>19</v>
      </c>
      <c r="L3114" t="s">
        <v>113</v>
      </c>
      <c r="M3114" t="s">
        <v>113</v>
      </c>
      <c r="N3114" t="s">
        <v>22</v>
      </c>
    </row>
    <row r="3115" spans="1:14">
      <c r="A3115" s="4" t="str">
        <f t="shared" ref="A3115:A3136" si="298">HYPERLINK("http://hcmdb.i-sanger.com/experiment/details/experiment_id/EXP00097","EXP00097")</f>
        <v>EXP00097</v>
      </c>
      <c r="B3115" s="4" t="str">
        <f t="shared" si="294"/>
        <v>22412968</v>
      </c>
      <c r="C3115" s="4" t="str">
        <f t="shared" si="295"/>
        <v>GSE34153</v>
      </c>
      <c r="D3115" s="1" t="s">
        <v>214</v>
      </c>
      <c r="E3115" t="s">
        <v>215</v>
      </c>
      <c r="F3115" s="1">
        <v>1</v>
      </c>
      <c r="G3115" s="1" t="s">
        <v>220</v>
      </c>
      <c r="H3115" s="4" t="str">
        <f>HYPERLINK("https://www.ncbi.nlm.nih.gov/geo/query/acc.cgi?acc=GSM831943","GSM831943")</f>
        <v>GSM831943</v>
      </c>
      <c r="I3115" t="s">
        <v>111</v>
      </c>
      <c r="J3115" t="s">
        <v>18</v>
      </c>
      <c r="K3115" t="s">
        <v>19</v>
      </c>
      <c r="L3115" t="s">
        <v>113</v>
      </c>
      <c r="M3115" t="s">
        <v>24</v>
      </c>
      <c r="N3115" t="s">
        <v>22</v>
      </c>
    </row>
    <row r="3116" spans="1:14">
      <c r="A3116" s="4" t="str">
        <f t="shared" si="298"/>
        <v>EXP00097</v>
      </c>
      <c r="B3116" s="4" t="str">
        <f t="shared" si="294"/>
        <v>22412968</v>
      </c>
      <c r="C3116" s="4" t="str">
        <f t="shared" si="295"/>
        <v>GSE34153</v>
      </c>
      <c r="D3116" s="1" t="s">
        <v>214</v>
      </c>
      <c r="E3116" t="s">
        <v>215</v>
      </c>
      <c r="F3116" s="1">
        <v>1</v>
      </c>
      <c r="G3116" s="1" t="s">
        <v>220</v>
      </c>
      <c r="H3116" s="4" t="str">
        <f>HYPERLINK("https://www.ncbi.nlm.nih.gov/geo/query/acc.cgi?acc=GSM831962","GSM831962")</f>
        <v>GSM831962</v>
      </c>
      <c r="I3116" t="s">
        <v>111</v>
      </c>
      <c r="J3116" t="s">
        <v>18</v>
      </c>
      <c r="K3116" t="s">
        <v>19</v>
      </c>
      <c r="L3116" t="s">
        <v>113</v>
      </c>
      <c r="M3116" t="s">
        <v>24</v>
      </c>
      <c r="N3116" t="s">
        <v>22</v>
      </c>
    </row>
    <row r="3117" spans="1:14">
      <c r="A3117" s="4" t="str">
        <f t="shared" si="298"/>
        <v>EXP00097</v>
      </c>
      <c r="B3117" s="4" t="str">
        <f t="shared" si="294"/>
        <v>22412968</v>
      </c>
      <c r="C3117" s="4" t="str">
        <f t="shared" si="295"/>
        <v>GSE34153</v>
      </c>
      <c r="D3117" s="1" t="s">
        <v>214</v>
      </c>
      <c r="E3117" t="s">
        <v>215</v>
      </c>
      <c r="F3117" s="1">
        <v>1</v>
      </c>
      <c r="G3117" s="1" t="s">
        <v>220</v>
      </c>
      <c r="H3117" s="4" t="str">
        <f>HYPERLINK("https://www.ncbi.nlm.nih.gov/geo/query/acc.cgi?acc=GSM831963","GSM831963")</f>
        <v>GSM831963</v>
      </c>
      <c r="I3117" t="s">
        <v>111</v>
      </c>
      <c r="J3117" t="s">
        <v>18</v>
      </c>
      <c r="K3117" t="s">
        <v>19</v>
      </c>
      <c r="L3117" t="s">
        <v>113</v>
      </c>
      <c r="M3117" t="s">
        <v>24</v>
      </c>
      <c r="N3117" t="s">
        <v>22</v>
      </c>
    </row>
    <row r="3118" spans="1:14">
      <c r="A3118" s="4" t="str">
        <f t="shared" si="298"/>
        <v>EXP00097</v>
      </c>
      <c r="B3118" s="4" t="str">
        <f t="shared" si="294"/>
        <v>22412968</v>
      </c>
      <c r="C3118" s="4" t="str">
        <f t="shared" si="295"/>
        <v>GSE34153</v>
      </c>
      <c r="D3118" s="1" t="s">
        <v>214</v>
      </c>
      <c r="E3118" t="s">
        <v>215</v>
      </c>
      <c r="F3118" s="1">
        <v>1</v>
      </c>
      <c r="G3118" s="1" t="s">
        <v>220</v>
      </c>
      <c r="H3118" s="4" t="str">
        <f>HYPERLINK("https://www.ncbi.nlm.nih.gov/geo/query/acc.cgi?acc=GSM831968","GSM831968")</f>
        <v>GSM831968</v>
      </c>
      <c r="I3118" t="s">
        <v>111</v>
      </c>
      <c r="J3118" t="s">
        <v>18</v>
      </c>
      <c r="K3118" t="s">
        <v>19</v>
      </c>
      <c r="L3118" t="s">
        <v>113</v>
      </c>
      <c r="M3118" t="s">
        <v>24</v>
      </c>
      <c r="N3118" t="s">
        <v>22</v>
      </c>
    </row>
    <row r="3119" spans="1:14">
      <c r="A3119" s="4" t="str">
        <f t="shared" si="298"/>
        <v>EXP00097</v>
      </c>
      <c r="B3119" s="4" t="str">
        <f t="shared" si="294"/>
        <v>22412968</v>
      </c>
      <c r="C3119" s="4" t="str">
        <f t="shared" si="295"/>
        <v>GSE34153</v>
      </c>
      <c r="D3119" s="1" t="s">
        <v>214</v>
      </c>
      <c r="E3119" t="s">
        <v>215</v>
      </c>
      <c r="F3119" s="1">
        <v>1</v>
      </c>
      <c r="G3119" s="1" t="s">
        <v>220</v>
      </c>
      <c r="H3119" s="4" t="str">
        <f>HYPERLINK("https://www.ncbi.nlm.nih.gov/geo/query/acc.cgi?acc=GSM831975","GSM831975")</f>
        <v>GSM831975</v>
      </c>
      <c r="I3119" t="s">
        <v>111</v>
      </c>
      <c r="J3119" t="s">
        <v>18</v>
      </c>
      <c r="K3119" t="s">
        <v>19</v>
      </c>
      <c r="L3119" t="s">
        <v>113</v>
      </c>
      <c r="M3119" t="s">
        <v>24</v>
      </c>
      <c r="N3119" t="s">
        <v>22</v>
      </c>
    </row>
    <row r="3120" spans="1:14">
      <c r="A3120" s="4" t="str">
        <f t="shared" si="298"/>
        <v>EXP00097</v>
      </c>
      <c r="B3120" s="4" t="str">
        <f t="shared" si="294"/>
        <v>22412968</v>
      </c>
      <c r="C3120" s="4" t="str">
        <f t="shared" si="295"/>
        <v>GSE34153</v>
      </c>
      <c r="D3120" s="1" t="s">
        <v>214</v>
      </c>
      <c r="E3120" t="s">
        <v>215</v>
      </c>
      <c r="F3120" s="1">
        <v>1</v>
      </c>
      <c r="G3120" s="1" t="s">
        <v>220</v>
      </c>
      <c r="H3120" s="4" t="str">
        <f>HYPERLINK("https://www.ncbi.nlm.nih.gov/geo/query/acc.cgi?acc=GSM831976","GSM831976")</f>
        <v>GSM831976</v>
      </c>
      <c r="I3120" t="s">
        <v>111</v>
      </c>
      <c r="J3120" t="s">
        <v>18</v>
      </c>
      <c r="K3120" t="s">
        <v>19</v>
      </c>
      <c r="L3120" t="s">
        <v>113</v>
      </c>
      <c r="M3120" t="s">
        <v>24</v>
      </c>
      <c r="N3120" t="s">
        <v>22</v>
      </c>
    </row>
    <row r="3121" spans="1:14">
      <c r="A3121" s="4" t="str">
        <f t="shared" si="298"/>
        <v>EXP00097</v>
      </c>
      <c r="B3121" s="4" t="str">
        <f t="shared" si="294"/>
        <v>22412968</v>
      </c>
      <c r="C3121" s="4" t="str">
        <f t="shared" si="295"/>
        <v>GSE34153</v>
      </c>
      <c r="D3121" s="1" t="s">
        <v>214</v>
      </c>
      <c r="E3121" t="s">
        <v>215</v>
      </c>
      <c r="F3121" s="1">
        <v>1</v>
      </c>
      <c r="G3121" s="1" t="s">
        <v>220</v>
      </c>
      <c r="H3121" s="4" t="str">
        <f>HYPERLINK("https://www.ncbi.nlm.nih.gov/geo/query/acc.cgi?acc=GSM831978","GSM831978")</f>
        <v>GSM831978</v>
      </c>
      <c r="I3121" t="s">
        <v>111</v>
      </c>
      <c r="J3121" t="s">
        <v>18</v>
      </c>
      <c r="K3121" t="s">
        <v>19</v>
      </c>
      <c r="L3121" t="s">
        <v>113</v>
      </c>
      <c r="M3121" t="s">
        <v>24</v>
      </c>
      <c r="N3121" t="s">
        <v>22</v>
      </c>
    </row>
    <row r="3122" spans="1:14">
      <c r="A3122" s="4" t="str">
        <f t="shared" si="298"/>
        <v>EXP00097</v>
      </c>
      <c r="B3122" s="4" t="str">
        <f t="shared" si="294"/>
        <v>22412968</v>
      </c>
      <c r="C3122" s="4" t="str">
        <f t="shared" si="295"/>
        <v>GSE34153</v>
      </c>
      <c r="D3122" s="1" t="s">
        <v>214</v>
      </c>
      <c r="E3122" t="s">
        <v>215</v>
      </c>
      <c r="F3122" s="1">
        <v>1</v>
      </c>
      <c r="G3122" s="1" t="s">
        <v>220</v>
      </c>
      <c r="H3122" s="4" t="str">
        <f>HYPERLINK("https://www.ncbi.nlm.nih.gov/geo/query/acc.cgi?acc=GSM831979","GSM831979")</f>
        <v>GSM831979</v>
      </c>
      <c r="I3122" t="s">
        <v>111</v>
      </c>
      <c r="J3122" t="s">
        <v>18</v>
      </c>
      <c r="K3122" t="s">
        <v>19</v>
      </c>
      <c r="L3122" t="s">
        <v>113</v>
      </c>
      <c r="M3122" t="s">
        <v>24</v>
      </c>
      <c r="N3122" t="s">
        <v>22</v>
      </c>
    </row>
    <row r="3123" spans="1:14">
      <c r="A3123" s="4" t="str">
        <f t="shared" si="298"/>
        <v>EXP00097</v>
      </c>
      <c r="B3123" s="4" t="str">
        <f t="shared" si="294"/>
        <v>22412968</v>
      </c>
      <c r="C3123" s="4" t="str">
        <f t="shared" si="295"/>
        <v>GSE34153</v>
      </c>
      <c r="D3123" s="1" t="s">
        <v>214</v>
      </c>
      <c r="E3123" t="s">
        <v>215</v>
      </c>
      <c r="F3123" s="1">
        <v>1</v>
      </c>
      <c r="G3123" s="1" t="s">
        <v>220</v>
      </c>
      <c r="H3123" s="4" t="str">
        <f>HYPERLINK("https://www.ncbi.nlm.nih.gov/geo/query/acc.cgi?acc=GSM831989","GSM831989")</f>
        <v>GSM831989</v>
      </c>
      <c r="I3123" t="s">
        <v>111</v>
      </c>
      <c r="J3123" t="s">
        <v>18</v>
      </c>
      <c r="K3123" t="s">
        <v>19</v>
      </c>
      <c r="L3123" t="s">
        <v>113</v>
      </c>
      <c r="M3123" t="s">
        <v>24</v>
      </c>
      <c r="N3123" t="s">
        <v>22</v>
      </c>
    </row>
    <row r="3124" spans="1:14">
      <c r="A3124" s="4" t="str">
        <f t="shared" si="298"/>
        <v>EXP00097</v>
      </c>
      <c r="B3124" s="4" t="str">
        <f t="shared" si="294"/>
        <v>22412968</v>
      </c>
      <c r="C3124" s="4" t="str">
        <f t="shared" si="295"/>
        <v>GSE34153</v>
      </c>
      <c r="D3124" s="1" t="s">
        <v>214</v>
      </c>
      <c r="E3124" t="s">
        <v>215</v>
      </c>
      <c r="F3124" s="1">
        <v>1</v>
      </c>
      <c r="G3124" s="1" t="s">
        <v>220</v>
      </c>
      <c r="H3124" s="4" t="str">
        <f>HYPERLINK("https://www.ncbi.nlm.nih.gov/geo/query/acc.cgi?acc=GSM831993","GSM831993")</f>
        <v>GSM831993</v>
      </c>
      <c r="I3124" t="s">
        <v>111</v>
      </c>
      <c r="J3124" t="s">
        <v>18</v>
      </c>
      <c r="K3124" t="s">
        <v>19</v>
      </c>
      <c r="L3124" t="s">
        <v>113</v>
      </c>
      <c r="M3124" t="s">
        <v>24</v>
      </c>
      <c r="N3124" t="s">
        <v>22</v>
      </c>
    </row>
    <row r="3125" spans="1:14">
      <c r="A3125" s="4" t="str">
        <f t="shared" si="298"/>
        <v>EXP00097</v>
      </c>
      <c r="B3125" s="4" t="str">
        <f t="shared" si="294"/>
        <v>22412968</v>
      </c>
      <c r="C3125" s="4" t="str">
        <f t="shared" si="295"/>
        <v>GSE34153</v>
      </c>
      <c r="D3125" s="1" t="s">
        <v>214</v>
      </c>
      <c r="E3125" t="s">
        <v>215</v>
      </c>
      <c r="F3125" s="1">
        <v>1</v>
      </c>
      <c r="G3125" s="1" t="s">
        <v>220</v>
      </c>
      <c r="H3125" s="4" t="str">
        <f>HYPERLINK("https://www.ncbi.nlm.nih.gov/geo/query/acc.cgi?acc=GSM832003","GSM832003")</f>
        <v>GSM832003</v>
      </c>
      <c r="I3125" t="s">
        <v>111</v>
      </c>
      <c r="J3125" t="s">
        <v>18</v>
      </c>
      <c r="K3125" t="s">
        <v>19</v>
      </c>
      <c r="L3125" t="s">
        <v>113</v>
      </c>
      <c r="M3125" t="s">
        <v>24</v>
      </c>
      <c r="N3125" t="s">
        <v>22</v>
      </c>
    </row>
    <row r="3126" spans="1:14">
      <c r="A3126" s="4" t="str">
        <f t="shared" si="298"/>
        <v>EXP00097</v>
      </c>
      <c r="B3126" s="4" t="str">
        <f t="shared" si="294"/>
        <v>22412968</v>
      </c>
      <c r="C3126" s="4" t="str">
        <f t="shared" si="295"/>
        <v>GSE34153</v>
      </c>
      <c r="D3126" s="1" t="s">
        <v>214</v>
      </c>
      <c r="E3126" t="s">
        <v>215</v>
      </c>
      <c r="F3126" s="1">
        <v>1</v>
      </c>
      <c r="G3126" s="1" t="s">
        <v>220</v>
      </c>
      <c r="H3126" s="4" t="str">
        <f>HYPERLINK("https://www.ncbi.nlm.nih.gov/geo/query/acc.cgi?acc=GSM832014","GSM832014")</f>
        <v>GSM832014</v>
      </c>
      <c r="I3126" t="s">
        <v>111</v>
      </c>
      <c r="J3126" t="s">
        <v>18</v>
      </c>
      <c r="K3126" t="s">
        <v>19</v>
      </c>
      <c r="L3126" t="s">
        <v>113</v>
      </c>
      <c r="M3126" t="s">
        <v>24</v>
      </c>
      <c r="N3126" t="s">
        <v>22</v>
      </c>
    </row>
    <row r="3127" spans="1:14">
      <c r="A3127" s="4" t="str">
        <f t="shared" si="298"/>
        <v>EXP00097</v>
      </c>
      <c r="B3127" s="4" t="str">
        <f t="shared" si="294"/>
        <v>22412968</v>
      </c>
      <c r="C3127" s="4" t="str">
        <f t="shared" si="295"/>
        <v>GSE34153</v>
      </c>
      <c r="D3127" s="1" t="s">
        <v>214</v>
      </c>
      <c r="E3127" t="s">
        <v>215</v>
      </c>
      <c r="F3127" s="1">
        <v>2</v>
      </c>
      <c r="G3127" s="1" t="s">
        <v>221</v>
      </c>
      <c r="H3127" s="4" t="str">
        <f>HYPERLINK("https://www.ncbi.nlm.nih.gov/geo/query/acc.cgi?acc=GSM831944","GSM831944")</f>
        <v>GSM831944</v>
      </c>
      <c r="I3127" t="s">
        <v>111</v>
      </c>
      <c r="J3127" t="s">
        <v>18</v>
      </c>
      <c r="K3127" t="s">
        <v>19</v>
      </c>
      <c r="L3127" t="s">
        <v>113</v>
      </c>
      <c r="M3127" t="s">
        <v>222</v>
      </c>
      <c r="N3127" t="s">
        <v>22</v>
      </c>
    </row>
    <row r="3128" spans="1:14">
      <c r="A3128" s="4" t="str">
        <f t="shared" si="298"/>
        <v>EXP00097</v>
      </c>
      <c r="B3128" s="4" t="str">
        <f t="shared" si="294"/>
        <v>22412968</v>
      </c>
      <c r="C3128" s="4" t="str">
        <f t="shared" si="295"/>
        <v>GSE34153</v>
      </c>
      <c r="D3128" s="1" t="s">
        <v>214</v>
      </c>
      <c r="E3128" t="s">
        <v>215</v>
      </c>
      <c r="F3128" s="1">
        <v>2</v>
      </c>
      <c r="G3128" s="1" t="s">
        <v>221</v>
      </c>
      <c r="H3128" s="4" t="str">
        <f>HYPERLINK("https://www.ncbi.nlm.nih.gov/geo/query/acc.cgi?acc=GSM831951","GSM831951")</f>
        <v>GSM831951</v>
      </c>
      <c r="I3128" t="s">
        <v>111</v>
      </c>
      <c r="J3128" t="s">
        <v>18</v>
      </c>
      <c r="K3128" t="s">
        <v>19</v>
      </c>
      <c r="L3128" t="s">
        <v>113</v>
      </c>
      <c r="M3128" t="s">
        <v>222</v>
      </c>
      <c r="N3128" t="s">
        <v>22</v>
      </c>
    </row>
    <row r="3129" spans="1:14">
      <c r="A3129" s="4" t="str">
        <f t="shared" si="298"/>
        <v>EXP00097</v>
      </c>
      <c r="B3129" s="4" t="str">
        <f t="shared" si="294"/>
        <v>22412968</v>
      </c>
      <c r="C3129" s="4" t="str">
        <f t="shared" si="295"/>
        <v>GSE34153</v>
      </c>
      <c r="D3129" s="1" t="s">
        <v>214</v>
      </c>
      <c r="E3129" t="s">
        <v>215</v>
      </c>
      <c r="F3129" s="1">
        <v>2</v>
      </c>
      <c r="G3129" s="1" t="s">
        <v>221</v>
      </c>
      <c r="H3129" s="4" t="str">
        <f>HYPERLINK("https://www.ncbi.nlm.nih.gov/geo/query/acc.cgi?acc=GSM831953","GSM831953")</f>
        <v>GSM831953</v>
      </c>
      <c r="I3129" t="s">
        <v>111</v>
      </c>
      <c r="J3129" t="s">
        <v>18</v>
      </c>
      <c r="K3129" t="s">
        <v>19</v>
      </c>
      <c r="L3129" t="s">
        <v>113</v>
      </c>
      <c r="M3129" t="s">
        <v>222</v>
      </c>
      <c r="N3129" t="s">
        <v>22</v>
      </c>
    </row>
    <row r="3130" spans="1:14">
      <c r="A3130" s="4" t="str">
        <f t="shared" si="298"/>
        <v>EXP00097</v>
      </c>
      <c r="B3130" s="4" t="str">
        <f t="shared" si="294"/>
        <v>22412968</v>
      </c>
      <c r="C3130" s="4" t="str">
        <f t="shared" si="295"/>
        <v>GSE34153</v>
      </c>
      <c r="D3130" s="1" t="s">
        <v>214</v>
      </c>
      <c r="E3130" t="s">
        <v>215</v>
      </c>
      <c r="F3130" s="1">
        <v>2</v>
      </c>
      <c r="G3130" s="1" t="s">
        <v>221</v>
      </c>
      <c r="H3130" s="4" t="str">
        <f>HYPERLINK("https://www.ncbi.nlm.nih.gov/geo/query/acc.cgi?acc=GSM831954","GSM831954")</f>
        <v>GSM831954</v>
      </c>
      <c r="I3130" t="s">
        <v>111</v>
      </c>
      <c r="J3130" t="s">
        <v>18</v>
      </c>
      <c r="K3130" t="s">
        <v>19</v>
      </c>
      <c r="L3130" t="s">
        <v>113</v>
      </c>
      <c r="M3130" t="s">
        <v>222</v>
      </c>
      <c r="N3130" t="s">
        <v>22</v>
      </c>
    </row>
    <row r="3131" spans="1:14">
      <c r="A3131" s="4" t="str">
        <f t="shared" si="298"/>
        <v>EXP00097</v>
      </c>
      <c r="B3131" s="4" t="str">
        <f t="shared" si="294"/>
        <v>22412968</v>
      </c>
      <c r="C3131" s="4" t="str">
        <f t="shared" si="295"/>
        <v>GSE34153</v>
      </c>
      <c r="D3131" s="1" t="s">
        <v>214</v>
      </c>
      <c r="E3131" t="s">
        <v>215</v>
      </c>
      <c r="F3131" s="1">
        <v>2</v>
      </c>
      <c r="G3131" s="1" t="s">
        <v>221</v>
      </c>
      <c r="H3131" s="4" t="str">
        <f>HYPERLINK("https://www.ncbi.nlm.nih.gov/geo/query/acc.cgi?acc=GSM831955","GSM831955")</f>
        <v>GSM831955</v>
      </c>
      <c r="I3131" t="s">
        <v>111</v>
      </c>
      <c r="J3131" t="s">
        <v>18</v>
      </c>
      <c r="K3131" t="s">
        <v>19</v>
      </c>
      <c r="L3131" t="s">
        <v>113</v>
      </c>
      <c r="M3131" t="s">
        <v>222</v>
      </c>
      <c r="N3131" t="s">
        <v>22</v>
      </c>
    </row>
    <row r="3132" spans="1:14">
      <c r="A3132" s="4" t="str">
        <f t="shared" si="298"/>
        <v>EXP00097</v>
      </c>
      <c r="B3132" s="4" t="str">
        <f t="shared" si="294"/>
        <v>22412968</v>
      </c>
      <c r="C3132" s="4" t="str">
        <f t="shared" si="295"/>
        <v>GSE34153</v>
      </c>
      <c r="D3132" s="1" t="s">
        <v>214</v>
      </c>
      <c r="E3132" t="s">
        <v>215</v>
      </c>
      <c r="F3132" s="1">
        <v>2</v>
      </c>
      <c r="G3132" s="1" t="s">
        <v>221</v>
      </c>
      <c r="H3132" s="4" t="str">
        <f>HYPERLINK("https://www.ncbi.nlm.nih.gov/geo/query/acc.cgi?acc=GSM831986","GSM831986")</f>
        <v>GSM831986</v>
      </c>
      <c r="I3132" t="s">
        <v>111</v>
      </c>
      <c r="J3132" t="s">
        <v>18</v>
      </c>
      <c r="K3132" t="s">
        <v>19</v>
      </c>
      <c r="L3132" t="s">
        <v>113</v>
      </c>
      <c r="M3132" t="s">
        <v>222</v>
      </c>
      <c r="N3132" t="s">
        <v>22</v>
      </c>
    </row>
    <row r="3133" spans="1:14">
      <c r="A3133" s="4" t="str">
        <f t="shared" si="298"/>
        <v>EXP00097</v>
      </c>
      <c r="B3133" s="4" t="str">
        <f t="shared" si="294"/>
        <v>22412968</v>
      </c>
      <c r="C3133" s="4" t="str">
        <f t="shared" si="295"/>
        <v>GSE34153</v>
      </c>
      <c r="D3133" s="1" t="s">
        <v>214</v>
      </c>
      <c r="E3133" t="s">
        <v>215</v>
      </c>
      <c r="F3133" s="1">
        <v>2</v>
      </c>
      <c r="G3133" s="1" t="s">
        <v>221</v>
      </c>
      <c r="H3133" s="4" t="str">
        <f>HYPERLINK("https://www.ncbi.nlm.nih.gov/geo/query/acc.cgi?acc=GSM831987","GSM831987")</f>
        <v>GSM831987</v>
      </c>
      <c r="I3133" t="s">
        <v>111</v>
      </c>
      <c r="J3133" t="s">
        <v>18</v>
      </c>
      <c r="K3133" t="s">
        <v>19</v>
      </c>
      <c r="L3133" t="s">
        <v>113</v>
      </c>
      <c r="M3133" t="s">
        <v>222</v>
      </c>
      <c r="N3133" t="s">
        <v>22</v>
      </c>
    </row>
    <row r="3134" spans="1:14">
      <c r="A3134" s="4" t="str">
        <f t="shared" si="298"/>
        <v>EXP00097</v>
      </c>
      <c r="B3134" s="4" t="str">
        <f t="shared" si="294"/>
        <v>22412968</v>
      </c>
      <c r="C3134" s="4" t="str">
        <f t="shared" si="295"/>
        <v>GSE34153</v>
      </c>
      <c r="D3134" s="1" t="s">
        <v>214</v>
      </c>
      <c r="E3134" t="s">
        <v>215</v>
      </c>
      <c r="F3134" s="1">
        <v>2</v>
      </c>
      <c r="G3134" s="1" t="s">
        <v>221</v>
      </c>
      <c r="H3134" s="4" t="str">
        <f>HYPERLINK("https://www.ncbi.nlm.nih.gov/geo/query/acc.cgi?acc=GSM831999","GSM831999")</f>
        <v>GSM831999</v>
      </c>
      <c r="I3134" t="s">
        <v>111</v>
      </c>
      <c r="J3134" t="s">
        <v>18</v>
      </c>
      <c r="K3134" t="s">
        <v>19</v>
      </c>
      <c r="L3134" t="s">
        <v>113</v>
      </c>
      <c r="M3134" t="s">
        <v>222</v>
      </c>
      <c r="N3134" t="s">
        <v>22</v>
      </c>
    </row>
    <row r="3135" spans="1:14">
      <c r="A3135" s="4" t="str">
        <f t="shared" si="298"/>
        <v>EXP00097</v>
      </c>
      <c r="B3135" s="4" t="str">
        <f t="shared" si="294"/>
        <v>22412968</v>
      </c>
      <c r="C3135" s="4" t="str">
        <f t="shared" si="295"/>
        <v>GSE34153</v>
      </c>
      <c r="D3135" s="1" t="s">
        <v>214</v>
      </c>
      <c r="E3135" t="s">
        <v>215</v>
      </c>
      <c r="F3135" s="1">
        <v>2</v>
      </c>
      <c r="G3135" s="1" t="s">
        <v>221</v>
      </c>
      <c r="H3135" s="4" t="str">
        <f>HYPERLINK("https://www.ncbi.nlm.nih.gov/geo/query/acc.cgi?acc=GSM832001","GSM832001")</f>
        <v>GSM832001</v>
      </c>
      <c r="I3135" t="s">
        <v>111</v>
      </c>
      <c r="J3135" t="s">
        <v>18</v>
      </c>
      <c r="K3135" t="s">
        <v>19</v>
      </c>
      <c r="L3135" t="s">
        <v>113</v>
      </c>
      <c r="M3135" t="s">
        <v>222</v>
      </c>
      <c r="N3135" t="s">
        <v>22</v>
      </c>
    </row>
    <row r="3136" spans="1:14">
      <c r="A3136" s="4" t="str">
        <f t="shared" si="298"/>
        <v>EXP00097</v>
      </c>
      <c r="B3136" s="4" t="str">
        <f t="shared" si="294"/>
        <v>22412968</v>
      </c>
      <c r="C3136" s="4" t="str">
        <f t="shared" si="295"/>
        <v>GSE34153</v>
      </c>
      <c r="D3136" s="1" t="s">
        <v>214</v>
      </c>
      <c r="E3136" t="s">
        <v>215</v>
      </c>
      <c r="F3136" s="1">
        <v>2</v>
      </c>
      <c r="G3136" s="1" t="s">
        <v>221</v>
      </c>
      <c r="H3136" s="4" t="str">
        <f>HYPERLINK("https://www.ncbi.nlm.nih.gov/geo/query/acc.cgi?acc=GSM832002","GSM832002")</f>
        <v>GSM832002</v>
      </c>
      <c r="I3136" t="s">
        <v>111</v>
      </c>
      <c r="J3136" t="s">
        <v>18</v>
      </c>
      <c r="K3136" t="s">
        <v>19</v>
      </c>
      <c r="L3136" t="s">
        <v>113</v>
      </c>
      <c r="M3136" t="s">
        <v>222</v>
      </c>
      <c r="N3136" t="s">
        <v>22</v>
      </c>
    </row>
    <row r="3137" spans="1:14">
      <c r="A3137" s="4" t="str">
        <f t="shared" ref="A3137:A3162" si="299">HYPERLINK("http://hcmdb.i-sanger.com/experiment/details/experiment_id/EXP00098","EXP00098")</f>
        <v>EXP00098</v>
      </c>
      <c r="B3137" s="4" t="str">
        <f t="shared" ref="B3137:B3186" si="300">HYPERLINK("https://www.ncbi.nlm.nih.gov/pubmed/22412968","22412968")</f>
        <v>22412968</v>
      </c>
      <c r="C3137" s="4" t="str">
        <f t="shared" ref="C3137:C3186" si="301">HYPERLINK("https://www.ncbi.nlm.nih.gov/geo/query/acc.cgi?acc=GSE34153","GSE34153")</f>
        <v>GSE34153</v>
      </c>
      <c r="D3137" s="1" t="s">
        <v>214</v>
      </c>
      <c r="E3137" t="s">
        <v>215</v>
      </c>
      <c r="F3137" s="1">
        <v>1</v>
      </c>
      <c r="G3137" s="1" t="s">
        <v>220</v>
      </c>
      <c r="H3137" s="4" t="str">
        <f>HYPERLINK("https://www.ncbi.nlm.nih.gov/geo/query/acc.cgi?acc=GSM831943","GSM831943")</f>
        <v>GSM831943</v>
      </c>
      <c r="I3137" t="s">
        <v>111</v>
      </c>
      <c r="J3137" t="s">
        <v>18</v>
      </c>
      <c r="K3137" t="s">
        <v>19</v>
      </c>
      <c r="L3137" t="s">
        <v>113</v>
      </c>
      <c r="M3137" t="s">
        <v>24</v>
      </c>
      <c r="N3137" t="s">
        <v>22</v>
      </c>
    </row>
    <row r="3138" spans="1:14">
      <c r="A3138" s="4" t="str">
        <f t="shared" si="299"/>
        <v>EXP00098</v>
      </c>
      <c r="B3138" s="4" t="str">
        <f t="shared" si="300"/>
        <v>22412968</v>
      </c>
      <c r="C3138" s="4" t="str">
        <f t="shared" si="301"/>
        <v>GSE34153</v>
      </c>
      <c r="D3138" s="1" t="s">
        <v>214</v>
      </c>
      <c r="E3138" t="s">
        <v>215</v>
      </c>
      <c r="F3138" s="1">
        <v>1</v>
      </c>
      <c r="G3138" s="1" t="s">
        <v>220</v>
      </c>
      <c r="H3138" s="4" t="str">
        <f>HYPERLINK("https://www.ncbi.nlm.nih.gov/geo/query/acc.cgi?acc=GSM831962","GSM831962")</f>
        <v>GSM831962</v>
      </c>
      <c r="I3138" t="s">
        <v>111</v>
      </c>
      <c r="J3138" t="s">
        <v>18</v>
      </c>
      <c r="K3138" t="s">
        <v>19</v>
      </c>
      <c r="L3138" t="s">
        <v>113</v>
      </c>
      <c r="M3138" t="s">
        <v>24</v>
      </c>
      <c r="N3138" t="s">
        <v>22</v>
      </c>
    </row>
    <row r="3139" spans="1:14">
      <c r="A3139" s="4" t="str">
        <f t="shared" si="299"/>
        <v>EXP00098</v>
      </c>
      <c r="B3139" s="4" t="str">
        <f t="shared" si="300"/>
        <v>22412968</v>
      </c>
      <c r="C3139" s="4" t="str">
        <f t="shared" si="301"/>
        <v>GSE34153</v>
      </c>
      <c r="D3139" s="1" t="s">
        <v>214</v>
      </c>
      <c r="E3139" t="s">
        <v>215</v>
      </c>
      <c r="F3139" s="1">
        <v>1</v>
      </c>
      <c r="G3139" s="1" t="s">
        <v>220</v>
      </c>
      <c r="H3139" s="4" t="str">
        <f>HYPERLINK("https://www.ncbi.nlm.nih.gov/geo/query/acc.cgi?acc=GSM831963","GSM831963")</f>
        <v>GSM831963</v>
      </c>
      <c r="I3139" t="s">
        <v>111</v>
      </c>
      <c r="J3139" t="s">
        <v>18</v>
      </c>
      <c r="K3139" t="s">
        <v>19</v>
      </c>
      <c r="L3139" t="s">
        <v>113</v>
      </c>
      <c r="M3139" t="s">
        <v>24</v>
      </c>
      <c r="N3139" t="s">
        <v>22</v>
      </c>
    </row>
    <row r="3140" spans="1:14">
      <c r="A3140" s="4" t="str">
        <f t="shared" si="299"/>
        <v>EXP00098</v>
      </c>
      <c r="B3140" s="4" t="str">
        <f t="shared" si="300"/>
        <v>22412968</v>
      </c>
      <c r="C3140" s="4" t="str">
        <f t="shared" si="301"/>
        <v>GSE34153</v>
      </c>
      <c r="D3140" s="1" t="s">
        <v>214</v>
      </c>
      <c r="E3140" t="s">
        <v>215</v>
      </c>
      <c r="F3140" s="1">
        <v>1</v>
      </c>
      <c r="G3140" s="1" t="s">
        <v>220</v>
      </c>
      <c r="H3140" s="4" t="str">
        <f>HYPERLINK("https://www.ncbi.nlm.nih.gov/geo/query/acc.cgi?acc=GSM831968","GSM831968")</f>
        <v>GSM831968</v>
      </c>
      <c r="I3140" t="s">
        <v>111</v>
      </c>
      <c r="J3140" t="s">
        <v>18</v>
      </c>
      <c r="K3140" t="s">
        <v>19</v>
      </c>
      <c r="L3140" t="s">
        <v>113</v>
      </c>
      <c r="M3140" t="s">
        <v>24</v>
      </c>
      <c r="N3140" t="s">
        <v>22</v>
      </c>
    </row>
    <row r="3141" spans="1:14">
      <c r="A3141" s="4" t="str">
        <f t="shared" si="299"/>
        <v>EXP00098</v>
      </c>
      <c r="B3141" s="4" t="str">
        <f t="shared" si="300"/>
        <v>22412968</v>
      </c>
      <c r="C3141" s="4" t="str">
        <f t="shared" si="301"/>
        <v>GSE34153</v>
      </c>
      <c r="D3141" s="1" t="s">
        <v>214</v>
      </c>
      <c r="E3141" t="s">
        <v>215</v>
      </c>
      <c r="F3141" s="1">
        <v>1</v>
      </c>
      <c r="G3141" s="1" t="s">
        <v>220</v>
      </c>
      <c r="H3141" s="4" t="str">
        <f>HYPERLINK("https://www.ncbi.nlm.nih.gov/geo/query/acc.cgi?acc=GSM831975","GSM831975")</f>
        <v>GSM831975</v>
      </c>
      <c r="I3141" t="s">
        <v>111</v>
      </c>
      <c r="J3141" t="s">
        <v>18</v>
      </c>
      <c r="K3141" t="s">
        <v>19</v>
      </c>
      <c r="L3141" t="s">
        <v>113</v>
      </c>
      <c r="M3141" t="s">
        <v>24</v>
      </c>
      <c r="N3141" t="s">
        <v>22</v>
      </c>
    </row>
    <row r="3142" spans="1:14">
      <c r="A3142" s="4" t="str">
        <f t="shared" si="299"/>
        <v>EXP00098</v>
      </c>
      <c r="B3142" s="4" t="str">
        <f t="shared" si="300"/>
        <v>22412968</v>
      </c>
      <c r="C3142" s="4" t="str">
        <f t="shared" si="301"/>
        <v>GSE34153</v>
      </c>
      <c r="D3142" s="1" t="s">
        <v>214</v>
      </c>
      <c r="E3142" t="s">
        <v>215</v>
      </c>
      <c r="F3142" s="1">
        <v>1</v>
      </c>
      <c r="G3142" s="1" t="s">
        <v>220</v>
      </c>
      <c r="H3142" s="4" t="str">
        <f>HYPERLINK("https://www.ncbi.nlm.nih.gov/geo/query/acc.cgi?acc=GSM831976","GSM831976")</f>
        <v>GSM831976</v>
      </c>
      <c r="I3142" t="s">
        <v>111</v>
      </c>
      <c r="J3142" t="s">
        <v>18</v>
      </c>
      <c r="K3142" t="s">
        <v>19</v>
      </c>
      <c r="L3142" t="s">
        <v>113</v>
      </c>
      <c r="M3142" t="s">
        <v>24</v>
      </c>
      <c r="N3142" t="s">
        <v>22</v>
      </c>
    </row>
    <row r="3143" spans="1:14">
      <c r="A3143" s="4" t="str">
        <f t="shared" si="299"/>
        <v>EXP00098</v>
      </c>
      <c r="B3143" s="4" t="str">
        <f t="shared" si="300"/>
        <v>22412968</v>
      </c>
      <c r="C3143" s="4" t="str">
        <f t="shared" si="301"/>
        <v>GSE34153</v>
      </c>
      <c r="D3143" s="1" t="s">
        <v>214</v>
      </c>
      <c r="E3143" t="s">
        <v>215</v>
      </c>
      <c r="F3143" s="1">
        <v>1</v>
      </c>
      <c r="G3143" s="1" t="s">
        <v>220</v>
      </c>
      <c r="H3143" s="4" t="str">
        <f>HYPERLINK("https://www.ncbi.nlm.nih.gov/geo/query/acc.cgi?acc=GSM831978","GSM831978")</f>
        <v>GSM831978</v>
      </c>
      <c r="I3143" t="s">
        <v>111</v>
      </c>
      <c r="J3143" t="s">
        <v>18</v>
      </c>
      <c r="K3143" t="s">
        <v>19</v>
      </c>
      <c r="L3143" t="s">
        <v>113</v>
      </c>
      <c r="M3143" t="s">
        <v>24</v>
      </c>
      <c r="N3143" t="s">
        <v>22</v>
      </c>
    </row>
    <row r="3144" spans="1:14">
      <c r="A3144" s="4" t="str">
        <f t="shared" si="299"/>
        <v>EXP00098</v>
      </c>
      <c r="B3144" s="4" t="str">
        <f t="shared" si="300"/>
        <v>22412968</v>
      </c>
      <c r="C3144" s="4" t="str">
        <f t="shared" si="301"/>
        <v>GSE34153</v>
      </c>
      <c r="D3144" s="1" t="s">
        <v>214</v>
      </c>
      <c r="E3144" t="s">
        <v>215</v>
      </c>
      <c r="F3144" s="1">
        <v>1</v>
      </c>
      <c r="G3144" s="1" t="s">
        <v>220</v>
      </c>
      <c r="H3144" s="4" t="str">
        <f>HYPERLINK("https://www.ncbi.nlm.nih.gov/geo/query/acc.cgi?acc=GSM831979","GSM831979")</f>
        <v>GSM831979</v>
      </c>
      <c r="I3144" t="s">
        <v>111</v>
      </c>
      <c r="J3144" t="s">
        <v>18</v>
      </c>
      <c r="K3144" t="s">
        <v>19</v>
      </c>
      <c r="L3144" t="s">
        <v>113</v>
      </c>
      <c r="M3144" t="s">
        <v>24</v>
      </c>
      <c r="N3144" t="s">
        <v>22</v>
      </c>
    </row>
    <row r="3145" spans="1:14">
      <c r="A3145" s="4" t="str">
        <f t="shared" si="299"/>
        <v>EXP00098</v>
      </c>
      <c r="B3145" s="4" t="str">
        <f t="shared" si="300"/>
        <v>22412968</v>
      </c>
      <c r="C3145" s="4" t="str">
        <f t="shared" si="301"/>
        <v>GSE34153</v>
      </c>
      <c r="D3145" s="1" t="s">
        <v>214</v>
      </c>
      <c r="E3145" t="s">
        <v>215</v>
      </c>
      <c r="F3145" s="1">
        <v>1</v>
      </c>
      <c r="G3145" s="1" t="s">
        <v>220</v>
      </c>
      <c r="H3145" s="4" t="str">
        <f>HYPERLINK("https://www.ncbi.nlm.nih.gov/geo/query/acc.cgi?acc=GSM831989","GSM831989")</f>
        <v>GSM831989</v>
      </c>
      <c r="I3145" t="s">
        <v>111</v>
      </c>
      <c r="J3145" t="s">
        <v>18</v>
      </c>
      <c r="K3145" t="s">
        <v>19</v>
      </c>
      <c r="L3145" t="s">
        <v>113</v>
      </c>
      <c r="M3145" t="s">
        <v>24</v>
      </c>
      <c r="N3145" t="s">
        <v>22</v>
      </c>
    </row>
    <row r="3146" spans="1:14">
      <c r="A3146" s="4" t="str">
        <f t="shared" si="299"/>
        <v>EXP00098</v>
      </c>
      <c r="B3146" s="4" t="str">
        <f t="shared" si="300"/>
        <v>22412968</v>
      </c>
      <c r="C3146" s="4" t="str">
        <f t="shared" si="301"/>
        <v>GSE34153</v>
      </c>
      <c r="D3146" s="1" t="s">
        <v>214</v>
      </c>
      <c r="E3146" t="s">
        <v>215</v>
      </c>
      <c r="F3146" s="1">
        <v>1</v>
      </c>
      <c r="G3146" s="1" t="s">
        <v>220</v>
      </c>
      <c r="H3146" s="4" t="str">
        <f>HYPERLINK("https://www.ncbi.nlm.nih.gov/geo/query/acc.cgi?acc=GSM831993","GSM831993")</f>
        <v>GSM831993</v>
      </c>
      <c r="I3146" t="s">
        <v>111</v>
      </c>
      <c r="J3146" t="s">
        <v>18</v>
      </c>
      <c r="K3146" t="s">
        <v>19</v>
      </c>
      <c r="L3146" t="s">
        <v>113</v>
      </c>
      <c r="M3146" t="s">
        <v>24</v>
      </c>
      <c r="N3146" t="s">
        <v>22</v>
      </c>
    </row>
    <row r="3147" spans="1:14">
      <c r="A3147" s="4" t="str">
        <f t="shared" si="299"/>
        <v>EXP00098</v>
      </c>
      <c r="B3147" s="4" t="str">
        <f t="shared" si="300"/>
        <v>22412968</v>
      </c>
      <c r="C3147" s="4" t="str">
        <f t="shared" si="301"/>
        <v>GSE34153</v>
      </c>
      <c r="D3147" s="1" t="s">
        <v>214</v>
      </c>
      <c r="E3147" t="s">
        <v>215</v>
      </c>
      <c r="F3147" s="1">
        <v>1</v>
      </c>
      <c r="G3147" s="1" t="s">
        <v>220</v>
      </c>
      <c r="H3147" s="4" t="str">
        <f>HYPERLINK("https://www.ncbi.nlm.nih.gov/geo/query/acc.cgi?acc=GSM832003","GSM832003")</f>
        <v>GSM832003</v>
      </c>
      <c r="I3147" t="s">
        <v>111</v>
      </c>
      <c r="J3147" t="s">
        <v>18</v>
      </c>
      <c r="K3147" t="s">
        <v>19</v>
      </c>
      <c r="L3147" t="s">
        <v>113</v>
      </c>
      <c r="M3147" t="s">
        <v>24</v>
      </c>
      <c r="N3147" t="s">
        <v>22</v>
      </c>
    </row>
    <row r="3148" spans="1:14">
      <c r="A3148" s="4" t="str">
        <f t="shared" si="299"/>
        <v>EXP00098</v>
      </c>
      <c r="B3148" s="4" t="str">
        <f t="shared" si="300"/>
        <v>22412968</v>
      </c>
      <c r="C3148" s="4" t="str">
        <f t="shared" si="301"/>
        <v>GSE34153</v>
      </c>
      <c r="D3148" s="1" t="s">
        <v>214</v>
      </c>
      <c r="E3148" t="s">
        <v>215</v>
      </c>
      <c r="F3148" s="1">
        <v>1</v>
      </c>
      <c r="G3148" s="1" t="s">
        <v>220</v>
      </c>
      <c r="H3148" s="4" t="str">
        <f>HYPERLINK("https://www.ncbi.nlm.nih.gov/geo/query/acc.cgi?acc=GSM832014","GSM832014")</f>
        <v>GSM832014</v>
      </c>
      <c r="I3148" t="s">
        <v>111</v>
      </c>
      <c r="J3148" t="s">
        <v>18</v>
      </c>
      <c r="K3148" t="s">
        <v>19</v>
      </c>
      <c r="L3148" t="s">
        <v>113</v>
      </c>
      <c r="M3148" t="s">
        <v>24</v>
      </c>
      <c r="N3148" t="s">
        <v>22</v>
      </c>
    </row>
    <row r="3149" spans="1:14">
      <c r="A3149" s="4" t="str">
        <f t="shared" si="299"/>
        <v>EXP00098</v>
      </c>
      <c r="B3149" s="4" t="str">
        <f t="shared" si="300"/>
        <v>22412968</v>
      </c>
      <c r="C3149" s="4" t="str">
        <f t="shared" si="301"/>
        <v>GSE34153</v>
      </c>
      <c r="D3149" s="1" t="s">
        <v>214</v>
      </c>
      <c r="E3149" t="s">
        <v>215</v>
      </c>
      <c r="F3149" s="1">
        <v>2</v>
      </c>
      <c r="G3149" s="1" t="s">
        <v>223</v>
      </c>
      <c r="H3149" s="4" t="str">
        <f>HYPERLINK("https://www.ncbi.nlm.nih.gov/geo/query/acc.cgi?acc=GSM831958","GSM831958")</f>
        <v>GSM831958</v>
      </c>
      <c r="I3149" t="s">
        <v>111</v>
      </c>
      <c r="J3149" t="s">
        <v>18</v>
      </c>
      <c r="K3149" t="s">
        <v>19</v>
      </c>
      <c r="L3149" t="s">
        <v>113</v>
      </c>
      <c r="M3149" t="s">
        <v>113</v>
      </c>
      <c r="N3149" t="s">
        <v>22</v>
      </c>
    </row>
    <row r="3150" spans="1:14">
      <c r="A3150" s="4" t="str">
        <f t="shared" si="299"/>
        <v>EXP00098</v>
      </c>
      <c r="B3150" s="4" t="str">
        <f t="shared" si="300"/>
        <v>22412968</v>
      </c>
      <c r="C3150" s="4" t="str">
        <f t="shared" si="301"/>
        <v>GSE34153</v>
      </c>
      <c r="D3150" s="1" t="s">
        <v>214</v>
      </c>
      <c r="E3150" t="s">
        <v>215</v>
      </c>
      <c r="F3150" s="1">
        <v>2</v>
      </c>
      <c r="G3150" s="1" t="s">
        <v>223</v>
      </c>
      <c r="H3150" s="4" t="str">
        <f>HYPERLINK("https://www.ncbi.nlm.nih.gov/geo/query/acc.cgi?acc=GSM831959","GSM831959")</f>
        <v>GSM831959</v>
      </c>
      <c r="I3150" t="s">
        <v>111</v>
      </c>
      <c r="J3150" t="s">
        <v>18</v>
      </c>
      <c r="K3150" t="s">
        <v>19</v>
      </c>
      <c r="L3150" t="s">
        <v>113</v>
      </c>
      <c r="M3150" t="s">
        <v>113</v>
      </c>
      <c r="N3150" t="s">
        <v>22</v>
      </c>
    </row>
    <row r="3151" spans="1:14">
      <c r="A3151" s="4" t="str">
        <f t="shared" si="299"/>
        <v>EXP00098</v>
      </c>
      <c r="B3151" s="4" t="str">
        <f t="shared" si="300"/>
        <v>22412968</v>
      </c>
      <c r="C3151" s="4" t="str">
        <f t="shared" si="301"/>
        <v>GSE34153</v>
      </c>
      <c r="D3151" s="1" t="s">
        <v>214</v>
      </c>
      <c r="E3151" t="s">
        <v>215</v>
      </c>
      <c r="F3151" s="1">
        <v>2</v>
      </c>
      <c r="G3151" s="1" t="s">
        <v>223</v>
      </c>
      <c r="H3151" s="4" t="str">
        <f>HYPERLINK("https://www.ncbi.nlm.nih.gov/geo/query/acc.cgi?acc=GSM831960","GSM831960")</f>
        <v>GSM831960</v>
      </c>
      <c r="I3151" t="s">
        <v>111</v>
      </c>
      <c r="J3151" t="s">
        <v>18</v>
      </c>
      <c r="K3151" t="s">
        <v>19</v>
      </c>
      <c r="L3151" t="s">
        <v>113</v>
      </c>
      <c r="M3151" t="s">
        <v>113</v>
      </c>
      <c r="N3151" t="s">
        <v>22</v>
      </c>
    </row>
    <row r="3152" spans="1:14">
      <c r="A3152" s="4" t="str">
        <f t="shared" si="299"/>
        <v>EXP00098</v>
      </c>
      <c r="B3152" s="4" t="str">
        <f t="shared" si="300"/>
        <v>22412968</v>
      </c>
      <c r="C3152" s="4" t="str">
        <f t="shared" si="301"/>
        <v>GSE34153</v>
      </c>
      <c r="D3152" s="1" t="s">
        <v>214</v>
      </c>
      <c r="E3152" t="s">
        <v>215</v>
      </c>
      <c r="F3152" s="1">
        <v>2</v>
      </c>
      <c r="G3152" s="1" t="s">
        <v>223</v>
      </c>
      <c r="H3152" s="4" t="str">
        <f>HYPERLINK("https://www.ncbi.nlm.nih.gov/geo/query/acc.cgi?acc=GSM831964","GSM831964")</f>
        <v>GSM831964</v>
      </c>
      <c r="I3152" t="s">
        <v>111</v>
      </c>
      <c r="J3152" t="s">
        <v>18</v>
      </c>
      <c r="K3152" t="s">
        <v>19</v>
      </c>
      <c r="L3152" t="s">
        <v>113</v>
      </c>
      <c r="M3152" t="s">
        <v>113</v>
      </c>
      <c r="N3152" t="s">
        <v>22</v>
      </c>
    </row>
    <row r="3153" spans="1:14">
      <c r="A3153" s="4" t="str">
        <f t="shared" si="299"/>
        <v>EXP00098</v>
      </c>
      <c r="B3153" s="4" t="str">
        <f t="shared" si="300"/>
        <v>22412968</v>
      </c>
      <c r="C3153" s="4" t="str">
        <f t="shared" si="301"/>
        <v>GSE34153</v>
      </c>
      <c r="D3153" s="1" t="s">
        <v>214</v>
      </c>
      <c r="E3153" t="s">
        <v>215</v>
      </c>
      <c r="F3153" s="1">
        <v>2</v>
      </c>
      <c r="G3153" s="1" t="s">
        <v>223</v>
      </c>
      <c r="H3153" s="4" t="str">
        <f>HYPERLINK("https://www.ncbi.nlm.nih.gov/geo/query/acc.cgi?acc=GSM831966","GSM831966")</f>
        <v>GSM831966</v>
      </c>
      <c r="I3153" t="s">
        <v>111</v>
      </c>
      <c r="J3153" t="s">
        <v>18</v>
      </c>
      <c r="K3153" t="s">
        <v>19</v>
      </c>
      <c r="L3153" t="s">
        <v>113</v>
      </c>
      <c r="M3153" t="s">
        <v>113</v>
      </c>
      <c r="N3153" t="s">
        <v>22</v>
      </c>
    </row>
    <row r="3154" spans="1:14">
      <c r="A3154" s="4" t="str">
        <f t="shared" si="299"/>
        <v>EXP00098</v>
      </c>
      <c r="B3154" s="4" t="str">
        <f t="shared" si="300"/>
        <v>22412968</v>
      </c>
      <c r="C3154" s="4" t="str">
        <f t="shared" si="301"/>
        <v>GSE34153</v>
      </c>
      <c r="D3154" s="1" t="s">
        <v>214</v>
      </c>
      <c r="E3154" t="s">
        <v>215</v>
      </c>
      <c r="F3154" s="1">
        <v>2</v>
      </c>
      <c r="G3154" s="1" t="s">
        <v>223</v>
      </c>
      <c r="H3154" s="4" t="str">
        <f>HYPERLINK("https://www.ncbi.nlm.nih.gov/geo/query/acc.cgi?acc=GSM831970","GSM831970")</f>
        <v>GSM831970</v>
      </c>
      <c r="I3154" t="s">
        <v>111</v>
      </c>
      <c r="J3154" t="s">
        <v>18</v>
      </c>
      <c r="K3154" t="s">
        <v>19</v>
      </c>
      <c r="L3154" t="s">
        <v>113</v>
      </c>
      <c r="M3154" t="s">
        <v>113</v>
      </c>
      <c r="N3154" t="s">
        <v>22</v>
      </c>
    </row>
    <row r="3155" spans="1:14">
      <c r="A3155" s="4" t="str">
        <f t="shared" si="299"/>
        <v>EXP00098</v>
      </c>
      <c r="B3155" s="4" t="str">
        <f t="shared" si="300"/>
        <v>22412968</v>
      </c>
      <c r="C3155" s="4" t="str">
        <f t="shared" si="301"/>
        <v>GSE34153</v>
      </c>
      <c r="D3155" s="1" t="s">
        <v>214</v>
      </c>
      <c r="E3155" t="s">
        <v>215</v>
      </c>
      <c r="F3155" s="1">
        <v>2</v>
      </c>
      <c r="G3155" s="1" t="s">
        <v>223</v>
      </c>
      <c r="H3155" s="4" t="str">
        <f>HYPERLINK("https://www.ncbi.nlm.nih.gov/geo/query/acc.cgi?acc=GSM831973","GSM831973")</f>
        <v>GSM831973</v>
      </c>
      <c r="I3155" t="s">
        <v>111</v>
      </c>
      <c r="J3155" t="s">
        <v>18</v>
      </c>
      <c r="K3155" t="s">
        <v>19</v>
      </c>
      <c r="L3155" t="s">
        <v>113</v>
      </c>
      <c r="M3155" t="s">
        <v>113</v>
      </c>
      <c r="N3155" t="s">
        <v>22</v>
      </c>
    </row>
    <row r="3156" spans="1:14">
      <c r="A3156" s="4" t="str">
        <f t="shared" si="299"/>
        <v>EXP00098</v>
      </c>
      <c r="B3156" s="4" t="str">
        <f t="shared" si="300"/>
        <v>22412968</v>
      </c>
      <c r="C3156" s="4" t="str">
        <f t="shared" si="301"/>
        <v>GSE34153</v>
      </c>
      <c r="D3156" s="1" t="s">
        <v>214</v>
      </c>
      <c r="E3156" t="s">
        <v>215</v>
      </c>
      <c r="F3156" s="1">
        <v>2</v>
      </c>
      <c r="G3156" s="1" t="s">
        <v>223</v>
      </c>
      <c r="H3156" s="4" t="str">
        <f>HYPERLINK("https://www.ncbi.nlm.nih.gov/geo/query/acc.cgi?acc=GSM831988","GSM831988")</f>
        <v>GSM831988</v>
      </c>
      <c r="I3156" t="s">
        <v>111</v>
      </c>
      <c r="J3156" t="s">
        <v>18</v>
      </c>
      <c r="K3156" t="s">
        <v>19</v>
      </c>
      <c r="L3156" t="s">
        <v>113</v>
      </c>
      <c r="M3156" t="s">
        <v>113</v>
      </c>
      <c r="N3156" t="s">
        <v>22</v>
      </c>
    </row>
    <row r="3157" spans="1:14">
      <c r="A3157" s="4" t="str">
        <f t="shared" si="299"/>
        <v>EXP00098</v>
      </c>
      <c r="B3157" s="4" t="str">
        <f t="shared" si="300"/>
        <v>22412968</v>
      </c>
      <c r="C3157" s="4" t="str">
        <f t="shared" si="301"/>
        <v>GSE34153</v>
      </c>
      <c r="D3157" s="1" t="s">
        <v>214</v>
      </c>
      <c r="E3157" t="s">
        <v>215</v>
      </c>
      <c r="F3157" s="1">
        <v>2</v>
      </c>
      <c r="G3157" s="1" t="s">
        <v>223</v>
      </c>
      <c r="H3157" s="4" t="str">
        <f>HYPERLINK("https://www.ncbi.nlm.nih.gov/geo/query/acc.cgi?acc=GSM831992","GSM831992")</f>
        <v>GSM831992</v>
      </c>
      <c r="I3157" t="s">
        <v>111</v>
      </c>
      <c r="J3157" t="s">
        <v>18</v>
      </c>
      <c r="K3157" t="s">
        <v>19</v>
      </c>
      <c r="L3157" t="s">
        <v>113</v>
      </c>
      <c r="M3157" t="s">
        <v>113</v>
      </c>
      <c r="N3157" t="s">
        <v>22</v>
      </c>
    </row>
    <row r="3158" spans="1:14">
      <c r="A3158" s="4" t="str">
        <f t="shared" si="299"/>
        <v>EXP00098</v>
      </c>
      <c r="B3158" s="4" t="str">
        <f t="shared" si="300"/>
        <v>22412968</v>
      </c>
      <c r="C3158" s="4" t="str">
        <f t="shared" si="301"/>
        <v>GSE34153</v>
      </c>
      <c r="D3158" s="1" t="s">
        <v>214</v>
      </c>
      <c r="E3158" t="s">
        <v>215</v>
      </c>
      <c r="F3158" s="1">
        <v>2</v>
      </c>
      <c r="G3158" s="1" t="s">
        <v>223</v>
      </c>
      <c r="H3158" s="4" t="str">
        <f>HYPERLINK("https://www.ncbi.nlm.nih.gov/geo/query/acc.cgi?acc=GSM832006","GSM832006")</f>
        <v>GSM832006</v>
      </c>
      <c r="I3158" t="s">
        <v>111</v>
      </c>
      <c r="J3158" t="s">
        <v>18</v>
      </c>
      <c r="K3158" t="s">
        <v>19</v>
      </c>
      <c r="L3158" t="s">
        <v>113</v>
      </c>
      <c r="M3158" t="s">
        <v>113</v>
      </c>
      <c r="N3158" t="s">
        <v>22</v>
      </c>
    </row>
    <row r="3159" spans="1:14">
      <c r="A3159" s="4" t="str">
        <f t="shared" si="299"/>
        <v>EXP00098</v>
      </c>
      <c r="B3159" s="4" t="str">
        <f t="shared" si="300"/>
        <v>22412968</v>
      </c>
      <c r="C3159" s="4" t="str">
        <f t="shared" si="301"/>
        <v>GSE34153</v>
      </c>
      <c r="D3159" s="1" t="s">
        <v>214</v>
      </c>
      <c r="E3159" t="s">
        <v>215</v>
      </c>
      <c r="F3159" s="1">
        <v>2</v>
      </c>
      <c r="G3159" s="1" t="s">
        <v>223</v>
      </c>
      <c r="H3159" s="4" t="str">
        <f>HYPERLINK("https://www.ncbi.nlm.nih.gov/geo/query/acc.cgi?acc=GSM832007","GSM832007")</f>
        <v>GSM832007</v>
      </c>
      <c r="I3159" t="s">
        <v>111</v>
      </c>
      <c r="J3159" t="s">
        <v>18</v>
      </c>
      <c r="K3159" t="s">
        <v>19</v>
      </c>
      <c r="L3159" t="s">
        <v>113</v>
      </c>
      <c r="M3159" t="s">
        <v>113</v>
      </c>
      <c r="N3159" t="s">
        <v>22</v>
      </c>
    </row>
    <row r="3160" spans="1:14">
      <c r="A3160" s="4" t="str">
        <f t="shared" si="299"/>
        <v>EXP00098</v>
      </c>
      <c r="B3160" s="4" t="str">
        <f t="shared" si="300"/>
        <v>22412968</v>
      </c>
      <c r="C3160" s="4" t="str">
        <f t="shared" si="301"/>
        <v>GSE34153</v>
      </c>
      <c r="D3160" s="1" t="s">
        <v>214</v>
      </c>
      <c r="E3160" t="s">
        <v>215</v>
      </c>
      <c r="F3160" s="1">
        <v>2</v>
      </c>
      <c r="G3160" s="1" t="s">
        <v>223</v>
      </c>
      <c r="H3160" s="4" t="str">
        <f>HYPERLINK("https://www.ncbi.nlm.nih.gov/geo/query/acc.cgi?acc=GSM832010","GSM832010")</f>
        <v>GSM832010</v>
      </c>
      <c r="I3160" t="s">
        <v>111</v>
      </c>
      <c r="J3160" t="s">
        <v>18</v>
      </c>
      <c r="K3160" t="s">
        <v>19</v>
      </c>
      <c r="L3160" t="s">
        <v>113</v>
      </c>
      <c r="M3160" t="s">
        <v>113</v>
      </c>
      <c r="N3160" t="s">
        <v>22</v>
      </c>
    </row>
    <row r="3161" spans="1:14">
      <c r="A3161" s="4" t="str">
        <f t="shared" si="299"/>
        <v>EXP00098</v>
      </c>
      <c r="B3161" s="4" t="str">
        <f t="shared" si="300"/>
        <v>22412968</v>
      </c>
      <c r="C3161" s="4" t="str">
        <f t="shared" si="301"/>
        <v>GSE34153</v>
      </c>
      <c r="D3161" s="1" t="s">
        <v>214</v>
      </c>
      <c r="E3161" t="s">
        <v>215</v>
      </c>
      <c r="F3161" s="1">
        <v>2</v>
      </c>
      <c r="G3161" s="1" t="s">
        <v>223</v>
      </c>
      <c r="H3161" s="4" t="str">
        <f>HYPERLINK("https://www.ncbi.nlm.nih.gov/geo/query/acc.cgi?acc=GSM832011","GSM832011")</f>
        <v>GSM832011</v>
      </c>
      <c r="I3161" t="s">
        <v>111</v>
      </c>
      <c r="J3161" t="s">
        <v>18</v>
      </c>
      <c r="K3161" t="s">
        <v>19</v>
      </c>
      <c r="L3161" t="s">
        <v>113</v>
      </c>
      <c r="M3161" t="s">
        <v>113</v>
      </c>
      <c r="N3161" t="s">
        <v>22</v>
      </c>
    </row>
    <row r="3162" spans="1:14">
      <c r="A3162" s="4" t="str">
        <f t="shared" si="299"/>
        <v>EXP00098</v>
      </c>
      <c r="B3162" s="4" t="str">
        <f t="shared" si="300"/>
        <v>22412968</v>
      </c>
      <c r="C3162" s="4" t="str">
        <f t="shared" si="301"/>
        <v>GSE34153</v>
      </c>
      <c r="D3162" s="1" t="s">
        <v>214</v>
      </c>
      <c r="E3162" t="s">
        <v>215</v>
      </c>
      <c r="F3162" s="1">
        <v>2</v>
      </c>
      <c r="G3162" s="1" t="s">
        <v>223</v>
      </c>
      <c r="H3162" s="4" t="str">
        <f>HYPERLINK("https://www.ncbi.nlm.nih.gov/geo/query/acc.cgi?acc=GSM832012","GSM832012")</f>
        <v>GSM832012</v>
      </c>
      <c r="I3162" t="s">
        <v>111</v>
      </c>
      <c r="J3162" t="s">
        <v>18</v>
      </c>
      <c r="K3162" t="s">
        <v>19</v>
      </c>
      <c r="L3162" t="s">
        <v>113</v>
      </c>
      <c r="M3162" t="s">
        <v>113</v>
      </c>
      <c r="N3162" t="s">
        <v>22</v>
      </c>
    </row>
    <row r="3163" spans="1:14">
      <c r="A3163" s="4" t="str">
        <f t="shared" ref="A3163:A3186" si="302">HYPERLINK("http://hcmdb.i-sanger.com/experiment/details/experiment_id/EXP00099","EXP00099")</f>
        <v>EXP00099</v>
      </c>
      <c r="B3163" s="4" t="str">
        <f t="shared" si="300"/>
        <v>22412968</v>
      </c>
      <c r="C3163" s="4" t="str">
        <f t="shared" si="301"/>
        <v>GSE34153</v>
      </c>
      <c r="D3163" s="1" t="s">
        <v>214</v>
      </c>
      <c r="E3163" t="s">
        <v>215</v>
      </c>
      <c r="F3163" s="1">
        <v>1</v>
      </c>
      <c r="G3163" s="1" t="s">
        <v>221</v>
      </c>
      <c r="H3163" s="4" t="str">
        <f>HYPERLINK("https://www.ncbi.nlm.nih.gov/geo/query/acc.cgi?acc=GSM831944","GSM831944")</f>
        <v>GSM831944</v>
      </c>
      <c r="I3163" t="s">
        <v>111</v>
      </c>
      <c r="J3163" t="s">
        <v>18</v>
      </c>
      <c r="K3163" t="s">
        <v>19</v>
      </c>
      <c r="L3163" t="s">
        <v>113</v>
      </c>
      <c r="M3163" t="s">
        <v>222</v>
      </c>
      <c r="N3163" t="s">
        <v>22</v>
      </c>
    </row>
    <row r="3164" spans="1:14">
      <c r="A3164" s="4" t="str">
        <f t="shared" si="302"/>
        <v>EXP00099</v>
      </c>
      <c r="B3164" s="4" t="str">
        <f t="shared" si="300"/>
        <v>22412968</v>
      </c>
      <c r="C3164" s="4" t="str">
        <f t="shared" si="301"/>
        <v>GSE34153</v>
      </c>
      <c r="D3164" s="1" t="s">
        <v>214</v>
      </c>
      <c r="E3164" t="s">
        <v>215</v>
      </c>
      <c r="F3164" s="1">
        <v>1</v>
      </c>
      <c r="G3164" s="1" t="s">
        <v>221</v>
      </c>
      <c r="H3164" s="4" t="str">
        <f>HYPERLINK("https://www.ncbi.nlm.nih.gov/geo/query/acc.cgi?acc=GSM831951","GSM831951")</f>
        <v>GSM831951</v>
      </c>
      <c r="I3164" t="s">
        <v>111</v>
      </c>
      <c r="J3164" t="s">
        <v>18</v>
      </c>
      <c r="K3164" t="s">
        <v>19</v>
      </c>
      <c r="L3164" t="s">
        <v>113</v>
      </c>
      <c r="M3164" t="s">
        <v>222</v>
      </c>
      <c r="N3164" t="s">
        <v>22</v>
      </c>
    </row>
    <row r="3165" spans="1:14">
      <c r="A3165" s="4" t="str">
        <f t="shared" si="302"/>
        <v>EXP00099</v>
      </c>
      <c r="B3165" s="4" t="str">
        <f t="shared" si="300"/>
        <v>22412968</v>
      </c>
      <c r="C3165" s="4" t="str">
        <f t="shared" si="301"/>
        <v>GSE34153</v>
      </c>
      <c r="D3165" s="1" t="s">
        <v>214</v>
      </c>
      <c r="E3165" t="s">
        <v>215</v>
      </c>
      <c r="F3165" s="1">
        <v>1</v>
      </c>
      <c r="G3165" s="1" t="s">
        <v>221</v>
      </c>
      <c r="H3165" s="4" t="str">
        <f>HYPERLINK("https://www.ncbi.nlm.nih.gov/geo/query/acc.cgi?acc=GSM831953","GSM831953")</f>
        <v>GSM831953</v>
      </c>
      <c r="I3165" t="s">
        <v>111</v>
      </c>
      <c r="J3165" t="s">
        <v>18</v>
      </c>
      <c r="K3165" t="s">
        <v>19</v>
      </c>
      <c r="L3165" t="s">
        <v>113</v>
      </c>
      <c r="M3165" t="s">
        <v>222</v>
      </c>
      <c r="N3165" t="s">
        <v>22</v>
      </c>
    </row>
    <row r="3166" spans="1:14">
      <c r="A3166" s="4" t="str">
        <f t="shared" si="302"/>
        <v>EXP00099</v>
      </c>
      <c r="B3166" s="4" t="str">
        <f t="shared" si="300"/>
        <v>22412968</v>
      </c>
      <c r="C3166" s="4" t="str">
        <f t="shared" si="301"/>
        <v>GSE34153</v>
      </c>
      <c r="D3166" s="1" t="s">
        <v>214</v>
      </c>
      <c r="E3166" t="s">
        <v>215</v>
      </c>
      <c r="F3166" s="1">
        <v>1</v>
      </c>
      <c r="G3166" s="1" t="s">
        <v>221</v>
      </c>
      <c r="H3166" s="4" t="str">
        <f>HYPERLINK("https://www.ncbi.nlm.nih.gov/geo/query/acc.cgi?acc=GSM831954","GSM831954")</f>
        <v>GSM831954</v>
      </c>
      <c r="I3166" t="s">
        <v>111</v>
      </c>
      <c r="J3166" t="s">
        <v>18</v>
      </c>
      <c r="K3166" t="s">
        <v>19</v>
      </c>
      <c r="L3166" t="s">
        <v>113</v>
      </c>
      <c r="M3166" t="s">
        <v>222</v>
      </c>
      <c r="N3166" t="s">
        <v>22</v>
      </c>
    </row>
    <row r="3167" spans="1:14">
      <c r="A3167" s="4" t="str">
        <f t="shared" si="302"/>
        <v>EXP00099</v>
      </c>
      <c r="B3167" s="4" t="str">
        <f t="shared" si="300"/>
        <v>22412968</v>
      </c>
      <c r="C3167" s="4" t="str">
        <f t="shared" si="301"/>
        <v>GSE34153</v>
      </c>
      <c r="D3167" s="1" t="s">
        <v>214</v>
      </c>
      <c r="E3167" t="s">
        <v>215</v>
      </c>
      <c r="F3167" s="1">
        <v>1</v>
      </c>
      <c r="G3167" s="1" t="s">
        <v>221</v>
      </c>
      <c r="H3167" s="4" t="str">
        <f>HYPERLINK("https://www.ncbi.nlm.nih.gov/geo/query/acc.cgi?acc=GSM831955","GSM831955")</f>
        <v>GSM831955</v>
      </c>
      <c r="I3167" t="s">
        <v>111</v>
      </c>
      <c r="J3167" t="s">
        <v>18</v>
      </c>
      <c r="K3167" t="s">
        <v>19</v>
      </c>
      <c r="L3167" t="s">
        <v>113</v>
      </c>
      <c r="M3167" t="s">
        <v>222</v>
      </c>
      <c r="N3167" t="s">
        <v>22</v>
      </c>
    </row>
    <row r="3168" spans="1:14">
      <c r="A3168" s="4" t="str">
        <f t="shared" si="302"/>
        <v>EXP00099</v>
      </c>
      <c r="B3168" s="4" t="str">
        <f t="shared" si="300"/>
        <v>22412968</v>
      </c>
      <c r="C3168" s="4" t="str">
        <f t="shared" si="301"/>
        <v>GSE34153</v>
      </c>
      <c r="D3168" s="1" t="s">
        <v>214</v>
      </c>
      <c r="E3168" t="s">
        <v>215</v>
      </c>
      <c r="F3168" s="1">
        <v>1</v>
      </c>
      <c r="G3168" s="1" t="s">
        <v>221</v>
      </c>
      <c r="H3168" s="4" t="str">
        <f>HYPERLINK("https://www.ncbi.nlm.nih.gov/geo/query/acc.cgi?acc=GSM831986","GSM831986")</f>
        <v>GSM831986</v>
      </c>
      <c r="I3168" t="s">
        <v>111</v>
      </c>
      <c r="J3168" t="s">
        <v>18</v>
      </c>
      <c r="K3168" t="s">
        <v>19</v>
      </c>
      <c r="L3168" t="s">
        <v>113</v>
      </c>
      <c r="M3168" t="s">
        <v>222</v>
      </c>
      <c r="N3168" t="s">
        <v>22</v>
      </c>
    </row>
    <row r="3169" spans="1:14">
      <c r="A3169" s="4" t="str">
        <f t="shared" si="302"/>
        <v>EXP00099</v>
      </c>
      <c r="B3169" s="4" t="str">
        <f t="shared" si="300"/>
        <v>22412968</v>
      </c>
      <c r="C3169" s="4" t="str">
        <f t="shared" si="301"/>
        <v>GSE34153</v>
      </c>
      <c r="D3169" s="1" t="s">
        <v>214</v>
      </c>
      <c r="E3169" t="s">
        <v>215</v>
      </c>
      <c r="F3169" s="1">
        <v>1</v>
      </c>
      <c r="G3169" s="1" t="s">
        <v>221</v>
      </c>
      <c r="H3169" s="4" t="str">
        <f>HYPERLINK("https://www.ncbi.nlm.nih.gov/geo/query/acc.cgi?acc=GSM831987","GSM831987")</f>
        <v>GSM831987</v>
      </c>
      <c r="I3169" t="s">
        <v>111</v>
      </c>
      <c r="J3169" t="s">
        <v>18</v>
      </c>
      <c r="K3169" t="s">
        <v>19</v>
      </c>
      <c r="L3169" t="s">
        <v>113</v>
      </c>
      <c r="M3169" t="s">
        <v>222</v>
      </c>
      <c r="N3169" t="s">
        <v>22</v>
      </c>
    </row>
    <row r="3170" spans="1:14">
      <c r="A3170" s="4" t="str">
        <f t="shared" si="302"/>
        <v>EXP00099</v>
      </c>
      <c r="B3170" s="4" t="str">
        <f t="shared" si="300"/>
        <v>22412968</v>
      </c>
      <c r="C3170" s="4" t="str">
        <f t="shared" si="301"/>
        <v>GSE34153</v>
      </c>
      <c r="D3170" s="1" t="s">
        <v>214</v>
      </c>
      <c r="E3170" t="s">
        <v>215</v>
      </c>
      <c r="F3170" s="1">
        <v>1</v>
      </c>
      <c r="G3170" s="1" t="s">
        <v>221</v>
      </c>
      <c r="H3170" s="4" t="str">
        <f>HYPERLINK("https://www.ncbi.nlm.nih.gov/geo/query/acc.cgi?acc=GSM831999","GSM831999")</f>
        <v>GSM831999</v>
      </c>
      <c r="I3170" t="s">
        <v>111</v>
      </c>
      <c r="J3170" t="s">
        <v>18</v>
      </c>
      <c r="K3170" t="s">
        <v>19</v>
      </c>
      <c r="L3170" t="s">
        <v>113</v>
      </c>
      <c r="M3170" t="s">
        <v>222</v>
      </c>
      <c r="N3170" t="s">
        <v>22</v>
      </c>
    </row>
    <row r="3171" spans="1:14">
      <c r="A3171" s="4" t="str">
        <f t="shared" si="302"/>
        <v>EXP00099</v>
      </c>
      <c r="B3171" s="4" t="str">
        <f t="shared" si="300"/>
        <v>22412968</v>
      </c>
      <c r="C3171" s="4" t="str">
        <f t="shared" si="301"/>
        <v>GSE34153</v>
      </c>
      <c r="D3171" s="1" t="s">
        <v>214</v>
      </c>
      <c r="E3171" t="s">
        <v>215</v>
      </c>
      <c r="F3171" s="1">
        <v>1</v>
      </c>
      <c r="G3171" s="1" t="s">
        <v>221</v>
      </c>
      <c r="H3171" s="4" t="str">
        <f>HYPERLINK("https://www.ncbi.nlm.nih.gov/geo/query/acc.cgi?acc=GSM832001","GSM832001")</f>
        <v>GSM832001</v>
      </c>
      <c r="I3171" t="s">
        <v>111</v>
      </c>
      <c r="J3171" t="s">
        <v>18</v>
      </c>
      <c r="K3171" t="s">
        <v>19</v>
      </c>
      <c r="L3171" t="s">
        <v>113</v>
      </c>
      <c r="M3171" t="s">
        <v>222</v>
      </c>
      <c r="N3171" t="s">
        <v>22</v>
      </c>
    </row>
    <row r="3172" spans="1:14">
      <c r="A3172" s="4" t="str">
        <f t="shared" si="302"/>
        <v>EXP00099</v>
      </c>
      <c r="B3172" s="4" t="str">
        <f t="shared" si="300"/>
        <v>22412968</v>
      </c>
      <c r="C3172" s="4" t="str">
        <f t="shared" si="301"/>
        <v>GSE34153</v>
      </c>
      <c r="D3172" s="1" t="s">
        <v>214</v>
      </c>
      <c r="E3172" t="s">
        <v>215</v>
      </c>
      <c r="F3172" s="1">
        <v>1</v>
      </c>
      <c r="G3172" s="1" t="s">
        <v>221</v>
      </c>
      <c r="H3172" s="4" t="str">
        <f>HYPERLINK("https://www.ncbi.nlm.nih.gov/geo/query/acc.cgi?acc=GSM832002","GSM832002")</f>
        <v>GSM832002</v>
      </c>
      <c r="I3172" t="s">
        <v>111</v>
      </c>
      <c r="J3172" t="s">
        <v>18</v>
      </c>
      <c r="K3172" t="s">
        <v>19</v>
      </c>
      <c r="L3172" t="s">
        <v>113</v>
      </c>
      <c r="M3172" t="s">
        <v>222</v>
      </c>
      <c r="N3172" t="s">
        <v>22</v>
      </c>
    </row>
    <row r="3173" spans="1:14">
      <c r="A3173" s="4" t="str">
        <f t="shared" si="302"/>
        <v>EXP00099</v>
      </c>
      <c r="B3173" s="4" t="str">
        <f t="shared" si="300"/>
        <v>22412968</v>
      </c>
      <c r="C3173" s="4" t="str">
        <f t="shared" si="301"/>
        <v>GSE34153</v>
      </c>
      <c r="D3173" s="1" t="s">
        <v>214</v>
      </c>
      <c r="E3173" t="s">
        <v>215</v>
      </c>
      <c r="F3173" s="1">
        <v>2</v>
      </c>
      <c r="G3173" s="1" t="s">
        <v>223</v>
      </c>
      <c r="H3173" s="4" t="str">
        <f>HYPERLINK("https://www.ncbi.nlm.nih.gov/geo/query/acc.cgi?acc=GSM831958","GSM831958")</f>
        <v>GSM831958</v>
      </c>
      <c r="I3173" t="s">
        <v>111</v>
      </c>
      <c r="J3173" t="s">
        <v>18</v>
      </c>
      <c r="K3173" t="s">
        <v>19</v>
      </c>
      <c r="L3173" t="s">
        <v>113</v>
      </c>
      <c r="M3173" t="s">
        <v>113</v>
      </c>
      <c r="N3173" t="s">
        <v>22</v>
      </c>
    </row>
    <row r="3174" spans="1:14">
      <c r="A3174" s="4" t="str">
        <f t="shared" si="302"/>
        <v>EXP00099</v>
      </c>
      <c r="B3174" s="4" t="str">
        <f t="shared" si="300"/>
        <v>22412968</v>
      </c>
      <c r="C3174" s="4" t="str">
        <f t="shared" si="301"/>
        <v>GSE34153</v>
      </c>
      <c r="D3174" s="1" t="s">
        <v>214</v>
      </c>
      <c r="E3174" t="s">
        <v>215</v>
      </c>
      <c r="F3174" s="1">
        <v>2</v>
      </c>
      <c r="G3174" s="1" t="s">
        <v>223</v>
      </c>
      <c r="H3174" s="4" t="str">
        <f>HYPERLINK("https://www.ncbi.nlm.nih.gov/geo/query/acc.cgi?acc=GSM831959","GSM831959")</f>
        <v>GSM831959</v>
      </c>
      <c r="I3174" t="s">
        <v>111</v>
      </c>
      <c r="J3174" t="s">
        <v>18</v>
      </c>
      <c r="K3174" t="s">
        <v>19</v>
      </c>
      <c r="L3174" t="s">
        <v>113</v>
      </c>
      <c r="M3174" t="s">
        <v>113</v>
      </c>
      <c r="N3174" t="s">
        <v>22</v>
      </c>
    </row>
    <row r="3175" spans="1:14">
      <c r="A3175" s="4" t="str">
        <f t="shared" si="302"/>
        <v>EXP00099</v>
      </c>
      <c r="B3175" s="4" t="str">
        <f t="shared" si="300"/>
        <v>22412968</v>
      </c>
      <c r="C3175" s="4" t="str">
        <f t="shared" si="301"/>
        <v>GSE34153</v>
      </c>
      <c r="D3175" s="1" t="s">
        <v>214</v>
      </c>
      <c r="E3175" t="s">
        <v>215</v>
      </c>
      <c r="F3175" s="1">
        <v>2</v>
      </c>
      <c r="G3175" s="1" t="s">
        <v>223</v>
      </c>
      <c r="H3175" s="4" t="str">
        <f>HYPERLINK("https://www.ncbi.nlm.nih.gov/geo/query/acc.cgi?acc=GSM831960","GSM831960")</f>
        <v>GSM831960</v>
      </c>
      <c r="I3175" t="s">
        <v>111</v>
      </c>
      <c r="J3175" t="s">
        <v>18</v>
      </c>
      <c r="K3175" t="s">
        <v>19</v>
      </c>
      <c r="L3175" t="s">
        <v>113</v>
      </c>
      <c r="M3175" t="s">
        <v>113</v>
      </c>
      <c r="N3175" t="s">
        <v>22</v>
      </c>
    </row>
    <row r="3176" spans="1:14">
      <c r="A3176" s="4" t="str">
        <f t="shared" si="302"/>
        <v>EXP00099</v>
      </c>
      <c r="B3176" s="4" t="str">
        <f t="shared" si="300"/>
        <v>22412968</v>
      </c>
      <c r="C3176" s="4" t="str">
        <f t="shared" si="301"/>
        <v>GSE34153</v>
      </c>
      <c r="D3176" s="1" t="s">
        <v>214</v>
      </c>
      <c r="E3176" t="s">
        <v>215</v>
      </c>
      <c r="F3176" s="1">
        <v>2</v>
      </c>
      <c r="G3176" s="1" t="s">
        <v>223</v>
      </c>
      <c r="H3176" s="4" t="str">
        <f>HYPERLINK("https://www.ncbi.nlm.nih.gov/geo/query/acc.cgi?acc=GSM831964","GSM831964")</f>
        <v>GSM831964</v>
      </c>
      <c r="I3176" t="s">
        <v>111</v>
      </c>
      <c r="J3176" t="s">
        <v>18</v>
      </c>
      <c r="K3176" t="s">
        <v>19</v>
      </c>
      <c r="L3176" t="s">
        <v>113</v>
      </c>
      <c r="M3176" t="s">
        <v>113</v>
      </c>
      <c r="N3176" t="s">
        <v>22</v>
      </c>
    </row>
    <row r="3177" spans="1:14">
      <c r="A3177" s="4" t="str">
        <f t="shared" si="302"/>
        <v>EXP00099</v>
      </c>
      <c r="B3177" s="4" t="str">
        <f t="shared" si="300"/>
        <v>22412968</v>
      </c>
      <c r="C3177" s="4" t="str">
        <f t="shared" si="301"/>
        <v>GSE34153</v>
      </c>
      <c r="D3177" s="1" t="s">
        <v>214</v>
      </c>
      <c r="E3177" t="s">
        <v>215</v>
      </c>
      <c r="F3177" s="1">
        <v>2</v>
      </c>
      <c r="G3177" s="1" t="s">
        <v>223</v>
      </c>
      <c r="H3177" s="4" t="str">
        <f>HYPERLINK("https://www.ncbi.nlm.nih.gov/geo/query/acc.cgi?acc=GSM831966","GSM831966")</f>
        <v>GSM831966</v>
      </c>
      <c r="I3177" t="s">
        <v>111</v>
      </c>
      <c r="J3177" t="s">
        <v>18</v>
      </c>
      <c r="K3177" t="s">
        <v>19</v>
      </c>
      <c r="L3177" t="s">
        <v>113</v>
      </c>
      <c r="M3177" t="s">
        <v>113</v>
      </c>
      <c r="N3177" t="s">
        <v>22</v>
      </c>
    </row>
    <row r="3178" spans="1:14">
      <c r="A3178" s="4" t="str">
        <f t="shared" si="302"/>
        <v>EXP00099</v>
      </c>
      <c r="B3178" s="4" t="str">
        <f t="shared" si="300"/>
        <v>22412968</v>
      </c>
      <c r="C3178" s="4" t="str">
        <f t="shared" si="301"/>
        <v>GSE34153</v>
      </c>
      <c r="D3178" s="1" t="s">
        <v>214</v>
      </c>
      <c r="E3178" t="s">
        <v>215</v>
      </c>
      <c r="F3178" s="1">
        <v>2</v>
      </c>
      <c r="G3178" s="1" t="s">
        <v>223</v>
      </c>
      <c r="H3178" s="4" t="str">
        <f>HYPERLINK("https://www.ncbi.nlm.nih.gov/geo/query/acc.cgi?acc=GSM831970","GSM831970")</f>
        <v>GSM831970</v>
      </c>
      <c r="I3178" t="s">
        <v>111</v>
      </c>
      <c r="J3178" t="s">
        <v>18</v>
      </c>
      <c r="K3178" t="s">
        <v>19</v>
      </c>
      <c r="L3178" t="s">
        <v>113</v>
      </c>
      <c r="M3178" t="s">
        <v>113</v>
      </c>
      <c r="N3178" t="s">
        <v>22</v>
      </c>
    </row>
    <row r="3179" spans="1:14">
      <c r="A3179" s="4" t="str">
        <f t="shared" si="302"/>
        <v>EXP00099</v>
      </c>
      <c r="B3179" s="4" t="str">
        <f t="shared" si="300"/>
        <v>22412968</v>
      </c>
      <c r="C3179" s="4" t="str">
        <f t="shared" si="301"/>
        <v>GSE34153</v>
      </c>
      <c r="D3179" s="1" t="s">
        <v>214</v>
      </c>
      <c r="E3179" t="s">
        <v>215</v>
      </c>
      <c r="F3179" s="1">
        <v>2</v>
      </c>
      <c r="G3179" s="1" t="s">
        <v>223</v>
      </c>
      <c r="H3179" s="4" t="str">
        <f>HYPERLINK("https://www.ncbi.nlm.nih.gov/geo/query/acc.cgi?acc=GSM831973","GSM831973")</f>
        <v>GSM831973</v>
      </c>
      <c r="I3179" t="s">
        <v>111</v>
      </c>
      <c r="J3179" t="s">
        <v>18</v>
      </c>
      <c r="K3179" t="s">
        <v>19</v>
      </c>
      <c r="L3179" t="s">
        <v>113</v>
      </c>
      <c r="M3179" t="s">
        <v>113</v>
      </c>
      <c r="N3179" t="s">
        <v>22</v>
      </c>
    </row>
    <row r="3180" spans="1:14">
      <c r="A3180" s="4" t="str">
        <f t="shared" si="302"/>
        <v>EXP00099</v>
      </c>
      <c r="B3180" s="4" t="str">
        <f t="shared" si="300"/>
        <v>22412968</v>
      </c>
      <c r="C3180" s="4" t="str">
        <f t="shared" si="301"/>
        <v>GSE34153</v>
      </c>
      <c r="D3180" s="1" t="s">
        <v>214</v>
      </c>
      <c r="E3180" t="s">
        <v>215</v>
      </c>
      <c r="F3180" s="1">
        <v>2</v>
      </c>
      <c r="G3180" s="1" t="s">
        <v>223</v>
      </c>
      <c r="H3180" s="4" t="str">
        <f>HYPERLINK("https://www.ncbi.nlm.nih.gov/geo/query/acc.cgi?acc=GSM831988","GSM831988")</f>
        <v>GSM831988</v>
      </c>
      <c r="I3180" t="s">
        <v>111</v>
      </c>
      <c r="J3180" t="s">
        <v>18</v>
      </c>
      <c r="K3180" t="s">
        <v>19</v>
      </c>
      <c r="L3180" t="s">
        <v>113</v>
      </c>
      <c r="M3180" t="s">
        <v>113</v>
      </c>
      <c r="N3180" t="s">
        <v>22</v>
      </c>
    </row>
    <row r="3181" spans="1:14">
      <c r="A3181" s="4" t="str">
        <f t="shared" si="302"/>
        <v>EXP00099</v>
      </c>
      <c r="B3181" s="4" t="str">
        <f t="shared" si="300"/>
        <v>22412968</v>
      </c>
      <c r="C3181" s="4" t="str">
        <f t="shared" si="301"/>
        <v>GSE34153</v>
      </c>
      <c r="D3181" s="1" t="s">
        <v>214</v>
      </c>
      <c r="E3181" t="s">
        <v>215</v>
      </c>
      <c r="F3181" s="1">
        <v>2</v>
      </c>
      <c r="G3181" s="1" t="s">
        <v>223</v>
      </c>
      <c r="H3181" s="4" t="str">
        <f>HYPERLINK("https://www.ncbi.nlm.nih.gov/geo/query/acc.cgi?acc=GSM831992","GSM831992")</f>
        <v>GSM831992</v>
      </c>
      <c r="I3181" t="s">
        <v>111</v>
      </c>
      <c r="J3181" t="s">
        <v>18</v>
      </c>
      <c r="K3181" t="s">
        <v>19</v>
      </c>
      <c r="L3181" t="s">
        <v>113</v>
      </c>
      <c r="M3181" t="s">
        <v>113</v>
      </c>
      <c r="N3181" t="s">
        <v>22</v>
      </c>
    </row>
    <row r="3182" spans="1:14">
      <c r="A3182" s="4" t="str">
        <f t="shared" si="302"/>
        <v>EXP00099</v>
      </c>
      <c r="B3182" s="4" t="str">
        <f t="shared" si="300"/>
        <v>22412968</v>
      </c>
      <c r="C3182" s="4" t="str">
        <f t="shared" si="301"/>
        <v>GSE34153</v>
      </c>
      <c r="D3182" s="1" t="s">
        <v>214</v>
      </c>
      <c r="E3182" t="s">
        <v>215</v>
      </c>
      <c r="F3182" s="1">
        <v>2</v>
      </c>
      <c r="G3182" s="1" t="s">
        <v>223</v>
      </c>
      <c r="H3182" s="4" t="str">
        <f>HYPERLINK("https://www.ncbi.nlm.nih.gov/geo/query/acc.cgi?acc=GSM832006","GSM832006")</f>
        <v>GSM832006</v>
      </c>
      <c r="I3182" t="s">
        <v>111</v>
      </c>
      <c r="J3182" t="s">
        <v>18</v>
      </c>
      <c r="K3182" t="s">
        <v>19</v>
      </c>
      <c r="L3182" t="s">
        <v>113</v>
      </c>
      <c r="M3182" t="s">
        <v>113</v>
      </c>
      <c r="N3182" t="s">
        <v>22</v>
      </c>
    </row>
    <row r="3183" spans="1:14">
      <c r="A3183" s="4" t="str">
        <f t="shared" si="302"/>
        <v>EXP00099</v>
      </c>
      <c r="B3183" s="4" t="str">
        <f t="shared" si="300"/>
        <v>22412968</v>
      </c>
      <c r="C3183" s="4" t="str">
        <f t="shared" si="301"/>
        <v>GSE34153</v>
      </c>
      <c r="D3183" s="1" t="s">
        <v>214</v>
      </c>
      <c r="E3183" t="s">
        <v>215</v>
      </c>
      <c r="F3183" s="1">
        <v>2</v>
      </c>
      <c r="G3183" s="1" t="s">
        <v>223</v>
      </c>
      <c r="H3183" s="4" t="str">
        <f>HYPERLINK("https://www.ncbi.nlm.nih.gov/geo/query/acc.cgi?acc=GSM832007","GSM832007")</f>
        <v>GSM832007</v>
      </c>
      <c r="I3183" t="s">
        <v>111</v>
      </c>
      <c r="J3183" t="s">
        <v>18</v>
      </c>
      <c r="K3183" t="s">
        <v>19</v>
      </c>
      <c r="L3183" t="s">
        <v>113</v>
      </c>
      <c r="M3183" t="s">
        <v>113</v>
      </c>
      <c r="N3183" t="s">
        <v>22</v>
      </c>
    </row>
    <row r="3184" spans="1:14">
      <c r="A3184" s="4" t="str">
        <f t="shared" si="302"/>
        <v>EXP00099</v>
      </c>
      <c r="B3184" s="4" t="str">
        <f t="shared" si="300"/>
        <v>22412968</v>
      </c>
      <c r="C3184" s="4" t="str">
        <f t="shared" si="301"/>
        <v>GSE34153</v>
      </c>
      <c r="D3184" s="1" t="s">
        <v>214</v>
      </c>
      <c r="E3184" t="s">
        <v>215</v>
      </c>
      <c r="F3184" s="1">
        <v>2</v>
      </c>
      <c r="G3184" s="1" t="s">
        <v>223</v>
      </c>
      <c r="H3184" s="4" t="str">
        <f>HYPERLINK("https://www.ncbi.nlm.nih.gov/geo/query/acc.cgi?acc=GSM832010","GSM832010")</f>
        <v>GSM832010</v>
      </c>
      <c r="I3184" t="s">
        <v>111</v>
      </c>
      <c r="J3184" t="s">
        <v>18</v>
      </c>
      <c r="K3184" t="s">
        <v>19</v>
      </c>
      <c r="L3184" t="s">
        <v>113</v>
      </c>
      <c r="M3184" t="s">
        <v>113</v>
      </c>
      <c r="N3184" t="s">
        <v>22</v>
      </c>
    </row>
    <row r="3185" spans="1:14">
      <c r="A3185" s="4" t="str">
        <f t="shared" si="302"/>
        <v>EXP00099</v>
      </c>
      <c r="B3185" s="4" t="str">
        <f t="shared" si="300"/>
        <v>22412968</v>
      </c>
      <c r="C3185" s="4" t="str">
        <f t="shared" si="301"/>
        <v>GSE34153</v>
      </c>
      <c r="D3185" s="1" t="s">
        <v>214</v>
      </c>
      <c r="E3185" t="s">
        <v>215</v>
      </c>
      <c r="F3185" s="1">
        <v>2</v>
      </c>
      <c r="G3185" s="1" t="s">
        <v>223</v>
      </c>
      <c r="H3185" s="4" t="str">
        <f>HYPERLINK("https://www.ncbi.nlm.nih.gov/geo/query/acc.cgi?acc=GSM832011","GSM832011")</f>
        <v>GSM832011</v>
      </c>
      <c r="I3185" t="s">
        <v>111</v>
      </c>
      <c r="J3185" t="s">
        <v>18</v>
      </c>
      <c r="K3185" t="s">
        <v>19</v>
      </c>
      <c r="L3185" t="s">
        <v>113</v>
      </c>
      <c r="M3185" t="s">
        <v>113</v>
      </c>
      <c r="N3185" t="s">
        <v>22</v>
      </c>
    </row>
    <row r="3186" spans="1:14">
      <c r="A3186" s="4" t="str">
        <f t="shared" si="302"/>
        <v>EXP00099</v>
      </c>
      <c r="B3186" s="4" t="str">
        <f t="shared" si="300"/>
        <v>22412968</v>
      </c>
      <c r="C3186" s="4" t="str">
        <f t="shared" si="301"/>
        <v>GSE34153</v>
      </c>
      <c r="D3186" s="1" t="s">
        <v>214</v>
      </c>
      <c r="E3186" t="s">
        <v>215</v>
      </c>
      <c r="F3186" s="1">
        <v>2</v>
      </c>
      <c r="G3186" s="1" t="s">
        <v>223</v>
      </c>
      <c r="H3186" s="4" t="str">
        <f>HYPERLINK("https://www.ncbi.nlm.nih.gov/geo/query/acc.cgi?acc=GSM832012","GSM832012")</f>
        <v>GSM832012</v>
      </c>
      <c r="I3186" t="s">
        <v>111</v>
      </c>
      <c r="J3186" t="s">
        <v>18</v>
      </c>
      <c r="K3186" t="s">
        <v>19</v>
      </c>
      <c r="L3186" t="s">
        <v>113</v>
      </c>
      <c r="M3186" t="s">
        <v>113</v>
      </c>
      <c r="N3186" t="s">
        <v>22</v>
      </c>
    </row>
    <row r="3187" spans="1:14">
      <c r="A3187" s="4" t="str">
        <f t="shared" ref="A3187:A3196" si="303">HYPERLINK("http://hcmdb.i-sanger.com/experiment/details/experiment_id/EXP00100","EXP00100")</f>
        <v>EXP00100</v>
      </c>
      <c r="B3187" s="4" t="str">
        <f t="shared" ref="B3187:B3250" si="304">HYPERLINK("https://www.ncbi.nlm.nih.gov/pubmed/19291283","19291283")</f>
        <v>19291283</v>
      </c>
      <c r="C3187" s="4" t="str">
        <f t="shared" ref="C3187:C3250" si="305">HYPERLINK("https://www.ncbi.nlm.nih.gov/geo/query/acc.cgi?acc=GSE3521","GSE3521")</f>
        <v>GSE3521</v>
      </c>
      <c r="D3187" s="1" t="s">
        <v>38</v>
      </c>
      <c r="E3187" t="s">
        <v>39</v>
      </c>
      <c r="F3187" s="1">
        <v>1</v>
      </c>
      <c r="G3187" s="1" t="s">
        <v>26</v>
      </c>
      <c r="H3187" s="4" t="str">
        <f>HYPERLINK("https://www.ncbi.nlm.nih.gov/geo/query/acc.cgi?acc=GSM34464","GSM34464")</f>
        <v>GSM34464</v>
      </c>
      <c r="I3187" t="s">
        <v>17</v>
      </c>
      <c r="J3187" t="s">
        <v>18</v>
      </c>
      <c r="K3187" t="s">
        <v>19</v>
      </c>
      <c r="L3187" t="s">
        <v>20</v>
      </c>
      <c r="M3187" t="s">
        <v>24</v>
      </c>
      <c r="N3187" t="s">
        <v>22</v>
      </c>
    </row>
    <row r="3188" spans="1:14">
      <c r="A3188" s="4" t="str">
        <f t="shared" si="303"/>
        <v>EXP00100</v>
      </c>
      <c r="B3188" s="4" t="str">
        <f t="shared" si="304"/>
        <v>19291283</v>
      </c>
      <c r="C3188" s="4" t="str">
        <f t="shared" si="305"/>
        <v>GSE3521</v>
      </c>
      <c r="D3188" s="1" t="s">
        <v>38</v>
      </c>
      <c r="E3188" t="s">
        <v>39</v>
      </c>
      <c r="F3188" s="1">
        <v>1</v>
      </c>
      <c r="G3188" s="1" t="s">
        <v>26</v>
      </c>
      <c r="H3188" s="4" t="str">
        <f>HYPERLINK("https://www.ncbi.nlm.nih.gov/geo/query/acc.cgi?acc=GSM34466","GSM34466")</f>
        <v>GSM34466</v>
      </c>
      <c r="I3188" t="s">
        <v>17</v>
      </c>
      <c r="J3188" t="s">
        <v>18</v>
      </c>
      <c r="K3188" t="s">
        <v>19</v>
      </c>
      <c r="L3188" t="s">
        <v>20</v>
      </c>
      <c r="M3188" t="s">
        <v>24</v>
      </c>
      <c r="N3188" t="s">
        <v>22</v>
      </c>
    </row>
    <row r="3189" spans="1:14">
      <c r="A3189" s="4" t="str">
        <f t="shared" si="303"/>
        <v>EXP00100</v>
      </c>
      <c r="B3189" s="4" t="str">
        <f t="shared" si="304"/>
        <v>19291283</v>
      </c>
      <c r="C3189" s="4" t="str">
        <f t="shared" si="305"/>
        <v>GSE3521</v>
      </c>
      <c r="D3189" s="1" t="s">
        <v>38</v>
      </c>
      <c r="E3189" t="s">
        <v>39</v>
      </c>
      <c r="F3189" s="1">
        <v>1</v>
      </c>
      <c r="G3189" s="1" t="s">
        <v>26</v>
      </c>
      <c r="H3189" s="4" t="str">
        <f>HYPERLINK("https://www.ncbi.nlm.nih.gov/geo/query/acc.cgi?acc=GSM34513","GSM34513")</f>
        <v>GSM34513</v>
      </c>
      <c r="I3189" t="s">
        <v>17</v>
      </c>
      <c r="J3189" t="s">
        <v>18</v>
      </c>
      <c r="K3189" t="s">
        <v>19</v>
      </c>
      <c r="L3189" t="s">
        <v>20</v>
      </c>
      <c r="M3189" t="s">
        <v>24</v>
      </c>
      <c r="N3189" t="s">
        <v>22</v>
      </c>
    </row>
    <row r="3190" spans="1:14">
      <c r="A3190" s="4" t="str">
        <f t="shared" si="303"/>
        <v>EXP00100</v>
      </c>
      <c r="B3190" s="4" t="str">
        <f t="shared" si="304"/>
        <v>19291283</v>
      </c>
      <c r="C3190" s="4" t="str">
        <f t="shared" si="305"/>
        <v>GSE3521</v>
      </c>
      <c r="D3190" s="1" t="s">
        <v>38</v>
      </c>
      <c r="E3190" t="s">
        <v>39</v>
      </c>
      <c r="F3190" s="1">
        <v>1</v>
      </c>
      <c r="G3190" s="1" t="s">
        <v>26</v>
      </c>
      <c r="H3190" s="4" t="str">
        <f>HYPERLINK("https://www.ncbi.nlm.nih.gov/geo/query/acc.cgi?acc=GSM50148","GSM50148")</f>
        <v>GSM50148</v>
      </c>
      <c r="I3190" t="s">
        <v>17</v>
      </c>
      <c r="J3190" t="s">
        <v>18</v>
      </c>
      <c r="K3190" t="s">
        <v>19</v>
      </c>
      <c r="L3190" t="s">
        <v>20</v>
      </c>
      <c r="M3190" t="s">
        <v>24</v>
      </c>
      <c r="N3190" t="s">
        <v>22</v>
      </c>
    </row>
    <row r="3191" spans="1:14">
      <c r="A3191" s="4" t="str">
        <f t="shared" si="303"/>
        <v>EXP00100</v>
      </c>
      <c r="B3191" s="4" t="str">
        <f t="shared" si="304"/>
        <v>19291283</v>
      </c>
      <c r="C3191" s="4" t="str">
        <f t="shared" si="305"/>
        <v>GSE3521</v>
      </c>
      <c r="D3191" s="1" t="s">
        <v>38</v>
      </c>
      <c r="E3191" t="s">
        <v>39</v>
      </c>
      <c r="F3191" s="1">
        <v>1</v>
      </c>
      <c r="G3191" s="1" t="s">
        <v>26</v>
      </c>
      <c r="H3191" s="4" t="str">
        <f>HYPERLINK("https://www.ncbi.nlm.nih.gov/geo/query/acc.cgi?acc=GSM52917","GSM52917")</f>
        <v>GSM52917</v>
      </c>
      <c r="I3191" t="s">
        <v>17</v>
      </c>
      <c r="J3191" t="s">
        <v>18</v>
      </c>
      <c r="K3191" t="s">
        <v>19</v>
      </c>
      <c r="L3191" t="s">
        <v>20</v>
      </c>
      <c r="M3191" t="s">
        <v>24</v>
      </c>
      <c r="N3191" t="s">
        <v>22</v>
      </c>
    </row>
    <row r="3192" spans="1:14">
      <c r="A3192" s="4" t="str">
        <f t="shared" si="303"/>
        <v>EXP00100</v>
      </c>
      <c r="B3192" s="4" t="str">
        <f t="shared" si="304"/>
        <v>19291283</v>
      </c>
      <c r="C3192" s="4" t="str">
        <f t="shared" si="305"/>
        <v>GSE3521</v>
      </c>
      <c r="D3192" s="1" t="s">
        <v>38</v>
      </c>
      <c r="E3192" t="s">
        <v>39</v>
      </c>
      <c r="F3192" s="1">
        <v>1</v>
      </c>
      <c r="G3192" s="1" t="s">
        <v>26</v>
      </c>
      <c r="H3192" s="4" t="str">
        <f>HYPERLINK("https://www.ncbi.nlm.nih.gov/geo/query/acc.cgi?acc=GSM80242","GSM80242")</f>
        <v>GSM80242</v>
      </c>
      <c r="I3192" t="s">
        <v>17</v>
      </c>
      <c r="J3192" t="s">
        <v>18</v>
      </c>
      <c r="K3192" t="s">
        <v>19</v>
      </c>
      <c r="L3192" t="s">
        <v>20</v>
      </c>
      <c r="M3192" t="s">
        <v>24</v>
      </c>
      <c r="N3192" t="s">
        <v>22</v>
      </c>
    </row>
    <row r="3193" spans="1:14">
      <c r="A3193" s="4" t="str">
        <f t="shared" si="303"/>
        <v>EXP00100</v>
      </c>
      <c r="B3193" s="4" t="str">
        <f t="shared" si="304"/>
        <v>19291283</v>
      </c>
      <c r="C3193" s="4" t="str">
        <f t="shared" si="305"/>
        <v>GSE3521</v>
      </c>
      <c r="D3193" s="1" t="s">
        <v>38</v>
      </c>
      <c r="E3193" t="s">
        <v>39</v>
      </c>
      <c r="F3193" s="1">
        <v>1</v>
      </c>
      <c r="G3193" s="1" t="s">
        <v>26</v>
      </c>
      <c r="H3193" s="4" t="str">
        <f>HYPERLINK("https://www.ncbi.nlm.nih.gov/geo/query/acc.cgi?acc=GSM80246","GSM80246")</f>
        <v>GSM80246</v>
      </c>
      <c r="I3193" t="s">
        <v>17</v>
      </c>
      <c r="J3193" t="s">
        <v>18</v>
      </c>
      <c r="K3193" t="s">
        <v>19</v>
      </c>
      <c r="L3193" t="s">
        <v>20</v>
      </c>
      <c r="M3193" t="s">
        <v>24</v>
      </c>
      <c r="N3193" t="s">
        <v>22</v>
      </c>
    </row>
    <row r="3194" spans="1:14">
      <c r="A3194" s="4" t="str">
        <f t="shared" si="303"/>
        <v>EXP00100</v>
      </c>
      <c r="B3194" s="4" t="str">
        <f t="shared" si="304"/>
        <v>19291283</v>
      </c>
      <c r="C3194" s="4" t="str">
        <f t="shared" si="305"/>
        <v>GSE3521</v>
      </c>
      <c r="D3194" s="1" t="s">
        <v>38</v>
      </c>
      <c r="E3194" t="s">
        <v>39</v>
      </c>
      <c r="F3194" s="1">
        <v>2</v>
      </c>
      <c r="G3194" s="1" t="s">
        <v>28</v>
      </c>
      <c r="H3194" s="4" t="str">
        <f>HYPERLINK("https://www.ncbi.nlm.nih.gov/geo/query/acc.cgi?acc=GSM34491","GSM34491")</f>
        <v>GSM34491</v>
      </c>
      <c r="I3194" t="s">
        <v>17</v>
      </c>
      <c r="J3194" t="s">
        <v>18</v>
      </c>
      <c r="K3194" t="s">
        <v>19</v>
      </c>
      <c r="L3194" t="s">
        <v>20</v>
      </c>
      <c r="M3194" t="s">
        <v>24</v>
      </c>
      <c r="N3194" t="s">
        <v>29</v>
      </c>
    </row>
    <row r="3195" spans="1:14">
      <c r="A3195" s="4" t="str">
        <f t="shared" si="303"/>
        <v>EXP00100</v>
      </c>
      <c r="B3195" s="4" t="str">
        <f t="shared" si="304"/>
        <v>19291283</v>
      </c>
      <c r="C3195" s="4" t="str">
        <f t="shared" si="305"/>
        <v>GSE3521</v>
      </c>
      <c r="D3195" s="1" t="s">
        <v>38</v>
      </c>
      <c r="E3195" t="s">
        <v>39</v>
      </c>
      <c r="F3195" s="1">
        <v>2</v>
      </c>
      <c r="G3195" s="1" t="s">
        <v>28</v>
      </c>
      <c r="H3195" s="4" t="str">
        <f>HYPERLINK("https://www.ncbi.nlm.nih.gov/geo/query/acc.cgi?acc=GSM34512","GSM34512")</f>
        <v>GSM34512</v>
      </c>
      <c r="I3195" t="s">
        <v>17</v>
      </c>
      <c r="J3195" t="s">
        <v>18</v>
      </c>
      <c r="K3195" t="s">
        <v>19</v>
      </c>
      <c r="L3195" t="s">
        <v>20</v>
      </c>
      <c r="M3195" t="s">
        <v>24</v>
      </c>
      <c r="N3195" t="s">
        <v>29</v>
      </c>
    </row>
    <row r="3196" spans="1:14">
      <c r="A3196" s="4" t="str">
        <f t="shared" si="303"/>
        <v>EXP00100</v>
      </c>
      <c r="B3196" s="4" t="str">
        <f t="shared" si="304"/>
        <v>19291283</v>
      </c>
      <c r="C3196" s="4" t="str">
        <f t="shared" si="305"/>
        <v>GSE3521</v>
      </c>
      <c r="D3196" s="1" t="s">
        <v>38</v>
      </c>
      <c r="E3196" t="s">
        <v>39</v>
      </c>
      <c r="F3196" s="1">
        <v>2</v>
      </c>
      <c r="G3196" s="1" t="s">
        <v>28</v>
      </c>
      <c r="H3196" s="4" t="str">
        <f>HYPERLINK("https://www.ncbi.nlm.nih.gov/geo/query/acc.cgi?acc=GSM53476","GSM53476")</f>
        <v>GSM53476</v>
      </c>
      <c r="I3196" t="s">
        <v>17</v>
      </c>
      <c r="J3196" t="s">
        <v>18</v>
      </c>
      <c r="K3196" t="s">
        <v>19</v>
      </c>
      <c r="L3196" t="s">
        <v>20</v>
      </c>
      <c r="M3196" t="s">
        <v>24</v>
      </c>
      <c r="N3196" t="s">
        <v>29</v>
      </c>
    </row>
    <row r="3197" spans="1:14">
      <c r="A3197" s="4" t="str">
        <f t="shared" ref="A3197:A3209" si="306">HYPERLINK("http://hcmdb.i-sanger.com/experiment/details/experiment_id/EXP00101","EXP00101")</f>
        <v>EXP00101</v>
      </c>
      <c r="B3197" s="4" t="str">
        <f t="shared" si="304"/>
        <v>19291283</v>
      </c>
      <c r="C3197" s="4" t="str">
        <f t="shared" si="305"/>
        <v>GSE3521</v>
      </c>
      <c r="D3197" s="1" t="s">
        <v>38</v>
      </c>
      <c r="E3197" t="s">
        <v>15</v>
      </c>
      <c r="F3197" s="1">
        <v>1</v>
      </c>
      <c r="G3197" s="1" t="s">
        <v>40</v>
      </c>
      <c r="H3197" s="4" t="str">
        <f>HYPERLINK("https://www.ncbi.nlm.nih.gov/geo/query/acc.cgi?acc=GSM34443","GSM34443")</f>
        <v>GSM34443</v>
      </c>
      <c r="I3197" t="s">
        <v>17</v>
      </c>
      <c r="J3197" t="s">
        <v>18</v>
      </c>
      <c r="K3197" t="s">
        <v>19</v>
      </c>
      <c r="L3197" t="s">
        <v>20</v>
      </c>
      <c r="M3197" t="s">
        <v>41</v>
      </c>
      <c r="N3197" t="s">
        <v>22</v>
      </c>
    </row>
    <row r="3198" spans="1:14">
      <c r="A3198" s="4" t="str">
        <f t="shared" si="306"/>
        <v>EXP00101</v>
      </c>
      <c r="B3198" s="4" t="str">
        <f t="shared" si="304"/>
        <v>19291283</v>
      </c>
      <c r="C3198" s="4" t="str">
        <f t="shared" si="305"/>
        <v>GSE3521</v>
      </c>
      <c r="D3198" s="1" t="s">
        <v>38</v>
      </c>
      <c r="E3198" t="s">
        <v>15</v>
      </c>
      <c r="F3198" s="1">
        <v>1</v>
      </c>
      <c r="G3198" s="1" t="s">
        <v>40</v>
      </c>
      <c r="H3198" s="4" t="str">
        <f>HYPERLINK("https://www.ncbi.nlm.nih.gov/geo/query/acc.cgi?acc=GSM34467","GSM34467")</f>
        <v>GSM34467</v>
      </c>
      <c r="I3198" t="s">
        <v>17</v>
      </c>
      <c r="J3198" t="s">
        <v>18</v>
      </c>
      <c r="K3198" t="s">
        <v>19</v>
      </c>
      <c r="L3198" t="s">
        <v>20</v>
      </c>
      <c r="M3198" t="s">
        <v>41</v>
      </c>
      <c r="N3198" t="s">
        <v>22</v>
      </c>
    </row>
    <row r="3199" spans="1:14">
      <c r="A3199" s="4" t="str">
        <f t="shared" si="306"/>
        <v>EXP00101</v>
      </c>
      <c r="B3199" s="4" t="str">
        <f t="shared" si="304"/>
        <v>19291283</v>
      </c>
      <c r="C3199" s="4" t="str">
        <f t="shared" si="305"/>
        <v>GSE3521</v>
      </c>
      <c r="D3199" s="1" t="s">
        <v>38</v>
      </c>
      <c r="E3199" t="s">
        <v>15</v>
      </c>
      <c r="F3199" s="1">
        <v>1</v>
      </c>
      <c r="G3199" s="1" t="s">
        <v>40</v>
      </c>
      <c r="H3199" s="4" t="str">
        <f>HYPERLINK("https://www.ncbi.nlm.nih.gov/geo/query/acc.cgi?acc=GSM52921","GSM52921")</f>
        <v>GSM52921</v>
      </c>
      <c r="I3199" t="s">
        <v>17</v>
      </c>
      <c r="J3199" t="s">
        <v>18</v>
      </c>
      <c r="K3199" t="s">
        <v>19</v>
      </c>
      <c r="L3199" t="s">
        <v>20</v>
      </c>
      <c r="M3199" t="s">
        <v>41</v>
      </c>
      <c r="N3199" t="s">
        <v>22</v>
      </c>
    </row>
    <row r="3200" spans="1:14">
      <c r="A3200" s="4" t="str">
        <f t="shared" si="306"/>
        <v>EXP00101</v>
      </c>
      <c r="B3200" s="4" t="str">
        <f t="shared" si="304"/>
        <v>19291283</v>
      </c>
      <c r="C3200" s="4" t="str">
        <f t="shared" si="305"/>
        <v>GSE3521</v>
      </c>
      <c r="D3200" s="1" t="s">
        <v>38</v>
      </c>
      <c r="E3200" t="s">
        <v>15</v>
      </c>
      <c r="F3200" s="1">
        <v>1</v>
      </c>
      <c r="G3200" s="1" t="s">
        <v>40</v>
      </c>
      <c r="H3200" s="4" t="str">
        <f>HYPERLINK("https://www.ncbi.nlm.nih.gov/geo/query/acc.cgi?acc=GSM80224","GSM80224")</f>
        <v>GSM80224</v>
      </c>
      <c r="I3200" t="s">
        <v>17</v>
      </c>
      <c r="J3200" t="s">
        <v>18</v>
      </c>
      <c r="K3200" t="s">
        <v>19</v>
      </c>
      <c r="L3200" t="s">
        <v>20</v>
      </c>
      <c r="M3200" t="s">
        <v>41</v>
      </c>
      <c r="N3200" t="s">
        <v>22</v>
      </c>
    </row>
    <row r="3201" spans="1:14">
      <c r="A3201" s="4" t="str">
        <f t="shared" si="306"/>
        <v>EXP00101</v>
      </c>
      <c r="B3201" s="4" t="str">
        <f t="shared" si="304"/>
        <v>19291283</v>
      </c>
      <c r="C3201" s="4" t="str">
        <f t="shared" si="305"/>
        <v>GSE3521</v>
      </c>
      <c r="D3201" s="1" t="s">
        <v>38</v>
      </c>
      <c r="E3201" t="s">
        <v>15</v>
      </c>
      <c r="F3201" s="1">
        <v>2</v>
      </c>
      <c r="G3201" s="1" t="s">
        <v>23</v>
      </c>
      <c r="H3201" s="4" t="str">
        <f>HYPERLINK("https://www.ncbi.nlm.nih.gov/geo/query/acc.cgi?acc=GSM34464","GSM34464")</f>
        <v>GSM34464</v>
      </c>
      <c r="I3201" t="s">
        <v>17</v>
      </c>
      <c r="J3201" t="s">
        <v>18</v>
      </c>
      <c r="K3201" t="s">
        <v>19</v>
      </c>
      <c r="L3201" t="s">
        <v>20</v>
      </c>
      <c r="M3201" t="s">
        <v>24</v>
      </c>
      <c r="N3201" t="s">
        <v>22</v>
      </c>
    </row>
    <row r="3202" spans="1:14">
      <c r="A3202" s="4" t="str">
        <f t="shared" si="306"/>
        <v>EXP00101</v>
      </c>
      <c r="B3202" s="4" t="str">
        <f t="shared" si="304"/>
        <v>19291283</v>
      </c>
      <c r="C3202" s="4" t="str">
        <f t="shared" si="305"/>
        <v>GSE3521</v>
      </c>
      <c r="D3202" s="1" t="s">
        <v>38</v>
      </c>
      <c r="E3202" t="s">
        <v>15</v>
      </c>
      <c r="F3202" s="1">
        <v>2</v>
      </c>
      <c r="G3202" s="1" t="s">
        <v>23</v>
      </c>
      <c r="H3202" s="4" t="str">
        <f>HYPERLINK("https://www.ncbi.nlm.nih.gov/geo/query/acc.cgi?acc=GSM34466","GSM34466")</f>
        <v>GSM34466</v>
      </c>
      <c r="I3202" t="s">
        <v>17</v>
      </c>
      <c r="J3202" t="s">
        <v>18</v>
      </c>
      <c r="K3202" t="s">
        <v>19</v>
      </c>
      <c r="L3202" t="s">
        <v>20</v>
      </c>
      <c r="M3202" t="s">
        <v>24</v>
      </c>
      <c r="N3202" t="s">
        <v>22</v>
      </c>
    </row>
    <row r="3203" spans="1:14">
      <c r="A3203" s="4" t="str">
        <f t="shared" si="306"/>
        <v>EXP00101</v>
      </c>
      <c r="B3203" s="4" t="str">
        <f t="shared" si="304"/>
        <v>19291283</v>
      </c>
      <c r="C3203" s="4" t="str">
        <f t="shared" si="305"/>
        <v>GSE3521</v>
      </c>
      <c r="D3203" s="1" t="s">
        <v>38</v>
      </c>
      <c r="E3203" t="s">
        <v>15</v>
      </c>
      <c r="F3203" s="1">
        <v>2</v>
      </c>
      <c r="G3203" s="1" t="s">
        <v>23</v>
      </c>
      <c r="H3203" s="4" t="str">
        <f>HYPERLINK("https://www.ncbi.nlm.nih.gov/geo/query/acc.cgi?acc=GSM34513","GSM34513")</f>
        <v>GSM34513</v>
      </c>
      <c r="I3203" t="s">
        <v>17</v>
      </c>
      <c r="J3203" t="s">
        <v>18</v>
      </c>
      <c r="K3203" t="s">
        <v>19</v>
      </c>
      <c r="L3203" t="s">
        <v>20</v>
      </c>
      <c r="M3203" t="s">
        <v>24</v>
      </c>
      <c r="N3203" t="s">
        <v>22</v>
      </c>
    </row>
    <row r="3204" spans="1:14">
      <c r="A3204" s="4" t="str">
        <f t="shared" si="306"/>
        <v>EXP00101</v>
      </c>
      <c r="B3204" s="4" t="str">
        <f t="shared" si="304"/>
        <v>19291283</v>
      </c>
      <c r="C3204" s="4" t="str">
        <f t="shared" si="305"/>
        <v>GSE3521</v>
      </c>
      <c r="D3204" s="1" t="s">
        <v>38</v>
      </c>
      <c r="E3204" t="s">
        <v>15</v>
      </c>
      <c r="F3204" s="1">
        <v>2</v>
      </c>
      <c r="G3204" s="1" t="s">
        <v>23</v>
      </c>
      <c r="H3204" s="4" t="str">
        <f>HYPERLINK("https://www.ncbi.nlm.nih.gov/geo/query/acc.cgi?acc=GSM50148","GSM50148")</f>
        <v>GSM50148</v>
      </c>
      <c r="I3204" t="s">
        <v>17</v>
      </c>
      <c r="J3204" t="s">
        <v>18</v>
      </c>
      <c r="K3204" t="s">
        <v>19</v>
      </c>
      <c r="L3204" t="s">
        <v>20</v>
      </c>
      <c r="M3204" t="s">
        <v>24</v>
      </c>
      <c r="N3204" t="s">
        <v>22</v>
      </c>
    </row>
    <row r="3205" spans="1:14">
      <c r="A3205" s="4" t="str">
        <f t="shared" si="306"/>
        <v>EXP00101</v>
      </c>
      <c r="B3205" s="4" t="str">
        <f t="shared" si="304"/>
        <v>19291283</v>
      </c>
      <c r="C3205" s="4" t="str">
        <f t="shared" si="305"/>
        <v>GSE3521</v>
      </c>
      <c r="D3205" s="1" t="s">
        <v>38</v>
      </c>
      <c r="E3205" t="s">
        <v>15</v>
      </c>
      <c r="F3205" s="1">
        <v>2</v>
      </c>
      <c r="G3205" s="1" t="s">
        <v>23</v>
      </c>
      <c r="H3205" s="4" t="str">
        <f>HYPERLINK("https://www.ncbi.nlm.nih.gov/geo/query/acc.cgi?acc=GSM52917","GSM52917")</f>
        <v>GSM52917</v>
      </c>
      <c r="I3205" t="s">
        <v>17</v>
      </c>
      <c r="J3205" t="s">
        <v>18</v>
      </c>
      <c r="K3205" t="s">
        <v>19</v>
      </c>
      <c r="L3205" t="s">
        <v>20</v>
      </c>
      <c r="M3205" t="s">
        <v>24</v>
      </c>
      <c r="N3205" t="s">
        <v>22</v>
      </c>
    </row>
    <row r="3206" spans="1:14">
      <c r="A3206" s="4" t="str">
        <f t="shared" si="306"/>
        <v>EXP00101</v>
      </c>
      <c r="B3206" s="4" t="str">
        <f t="shared" si="304"/>
        <v>19291283</v>
      </c>
      <c r="C3206" s="4" t="str">
        <f t="shared" si="305"/>
        <v>GSE3521</v>
      </c>
      <c r="D3206" s="1" t="s">
        <v>38</v>
      </c>
      <c r="E3206" t="s">
        <v>15</v>
      </c>
      <c r="F3206" s="1">
        <v>2</v>
      </c>
      <c r="G3206" s="1" t="s">
        <v>23</v>
      </c>
      <c r="H3206" s="4" t="str">
        <f>HYPERLINK("https://www.ncbi.nlm.nih.gov/geo/query/acc.cgi?acc=GSM80242","GSM80242")</f>
        <v>GSM80242</v>
      </c>
      <c r="I3206" t="s">
        <v>17</v>
      </c>
      <c r="J3206" t="s">
        <v>18</v>
      </c>
      <c r="K3206" t="s">
        <v>19</v>
      </c>
      <c r="L3206" t="s">
        <v>20</v>
      </c>
      <c r="M3206" t="s">
        <v>24</v>
      </c>
      <c r="N3206" t="s">
        <v>22</v>
      </c>
    </row>
    <row r="3207" spans="1:14">
      <c r="A3207" s="4" t="str">
        <f t="shared" si="306"/>
        <v>EXP00101</v>
      </c>
      <c r="B3207" s="4" t="str">
        <f t="shared" si="304"/>
        <v>19291283</v>
      </c>
      <c r="C3207" s="4" t="str">
        <f t="shared" si="305"/>
        <v>GSE3521</v>
      </c>
      <c r="D3207" s="1" t="s">
        <v>38</v>
      </c>
      <c r="E3207" t="s">
        <v>15</v>
      </c>
      <c r="F3207" s="1">
        <v>2</v>
      </c>
      <c r="G3207" s="1" t="s">
        <v>23</v>
      </c>
      <c r="H3207" s="4" t="str">
        <f>HYPERLINK("https://www.ncbi.nlm.nih.gov/geo/query/acc.cgi?acc=GSM80246","GSM80246")</f>
        <v>GSM80246</v>
      </c>
      <c r="I3207" t="s">
        <v>17</v>
      </c>
      <c r="J3207" t="s">
        <v>18</v>
      </c>
      <c r="K3207" t="s">
        <v>19</v>
      </c>
      <c r="L3207" t="s">
        <v>20</v>
      </c>
      <c r="M3207" t="s">
        <v>24</v>
      </c>
      <c r="N3207" t="s">
        <v>22</v>
      </c>
    </row>
    <row r="3208" spans="1:14">
      <c r="A3208" s="4" t="str">
        <f t="shared" si="306"/>
        <v>EXP00101</v>
      </c>
      <c r="B3208" s="4" t="str">
        <f t="shared" si="304"/>
        <v>19291283</v>
      </c>
      <c r="C3208" s="4" t="str">
        <f t="shared" si="305"/>
        <v>GSE3521</v>
      </c>
      <c r="D3208" s="1" t="s">
        <v>38</v>
      </c>
      <c r="E3208" t="s">
        <v>15</v>
      </c>
      <c r="F3208" s="1">
        <v>3</v>
      </c>
      <c r="G3208" s="1" t="s">
        <v>224</v>
      </c>
      <c r="H3208" s="4" t="str">
        <f>HYPERLINK("https://www.ncbi.nlm.nih.gov/geo/query/acc.cgi?acc=GSM34468","GSM34468")</f>
        <v>GSM34468</v>
      </c>
      <c r="I3208" t="s">
        <v>17</v>
      </c>
      <c r="J3208" t="s">
        <v>18</v>
      </c>
      <c r="K3208" t="s">
        <v>19</v>
      </c>
      <c r="L3208" t="s">
        <v>20</v>
      </c>
      <c r="M3208" t="s">
        <v>27</v>
      </c>
      <c r="N3208" t="s">
        <v>22</v>
      </c>
    </row>
    <row r="3209" spans="1:14">
      <c r="A3209" s="4" t="str">
        <f t="shared" si="306"/>
        <v>EXP00101</v>
      </c>
      <c r="B3209" s="4" t="str">
        <f t="shared" si="304"/>
        <v>19291283</v>
      </c>
      <c r="C3209" s="4" t="str">
        <f t="shared" si="305"/>
        <v>GSE3521</v>
      </c>
      <c r="D3209" s="1" t="s">
        <v>38</v>
      </c>
      <c r="E3209" t="s">
        <v>15</v>
      </c>
      <c r="F3209" s="1">
        <v>3</v>
      </c>
      <c r="G3209" s="1" t="s">
        <v>224</v>
      </c>
      <c r="H3209" s="4" t="str">
        <f>HYPERLINK("https://www.ncbi.nlm.nih.gov/geo/query/acc.cgi?acc=GSM34568","GSM34568")</f>
        <v>GSM34568</v>
      </c>
      <c r="I3209" t="s">
        <v>17</v>
      </c>
      <c r="J3209" t="s">
        <v>18</v>
      </c>
      <c r="K3209" t="s">
        <v>19</v>
      </c>
      <c r="L3209" t="s">
        <v>20</v>
      </c>
      <c r="M3209" t="s">
        <v>27</v>
      </c>
      <c r="N3209" t="s">
        <v>22</v>
      </c>
    </row>
    <row r="3210" spans="1:14">
      <c r="A3210" s="4" t="str">
        <f t="shared" ref="A3210:A3229" si="307">HYPERLINK("http://hcmdb.i-sanger.com/experiment/details/experiment_id/EXP00102","EXP00102")</f>
        <v>EXP00102</v>
      </c>
      <c r="B3210" s="4" t="str">
        <f t="shared" si="304"/>
        <v>19291283</v>
      </c>
      <c r="C3210" s="4" t="str">
        <f t="shared" si="305"/>
        <v>GSE3521</v>
      </c>
      <c r="D3210" s="1" t="s">
        <v>38</v>
      </c>
      <c r="E3210" t="s">
        <v>25</v>
      </c>
      <c r="F3210" s="1">
        <v>1</v>
      </c>
      <c r="G3210" s="1" t="s">
        <v>26</v>
      </c>
      <c r="H3210" s="4" t="str">
        <f>HYPERLINK("https://www.ncbi.nlm.nih.gov/geo/query/acc.cgi?acc=GSM34443","GSM34443")</f>
        <v>GSM34443</v>
      </c>
      <c r="I3210" t="s">
        <v>17</v>
      </c>
      <c r="J3210" t="s">
        <v>18</v>
      </c>
      <c r="K3210" t="s">
        <v>19</v>
      </c>
      <c r="L3210" t="s">
        <v>20</v>
      </c>
      <c r="M3210" t="s">
        <v>41</v>
      </c>
      <c r="N3210" t="s">
        <v>22</v>
      </c>
    </row>
    <row r="3211" spans="1:14">
      <c r="A3211" s="4" t="str">
        <f t="shared" si="307"/>
        <v>EXP00102</v>
      </c>
      <c r="B3211" s="4" t="str">
        <f t="shared" si="304"/>
        <v>19291283</v>
      </c>
      <c r="C3211" s="4" t="str">
        <f t="shared" si="305"/>
        <v>GSE3521</v>
      </c>
      <c r="D3211" s="1" t="s">
        <v>38</v>
      </c>
      <c r="E3211" t="s">
        <v>25</v>
      </c>
      <c r="F3211" s="1">
        <v>1</v>
      </c>
      <c r="G3211" s="1" t="s">
        <v>26</v>
      </c>
      <c r="H3211" s="4" t="str">
        <f>HYPERLINK("https://www.ncbi.nlm.nih.gov/geo/query/acc.cgi?acc=GSM34464","GSM34464")</f>
        <v>GSM34464</v>
      </c>
      <c r="I3211" t="s">
        <v>17</v>
      </c>
      <c r="J3211" t="s">
        <v>18</v>
      </c>
      <c r="K3211" t="s">
        <v>19</v>
      </c>
      <c r="L3211" t="s">
        <v>20</v>
      </c>
      <c r="M3211" t="s">
        <v>24</v>
      </c>
      <c r="N3211" t="s">
        <v>22</v>
      </c>
    </row>
    <row r="3212" spans="1:14">
      <c r="A3212" s="4" t="str">
        <f t="shared" si="307"/>
        <v>EXP00102</v>
      </c>
      <c r="B3212" s="4" t="str">
        <f t="shared" si="304"/>
        <v>19291283</v>
      </c>
      <c r="C3212" s="4" t="str">
        <f t="shared" si="305"/>
        <v>GSE3521</v>
      </c>
      <c r="D3212" s="1" t="s">
        <v>38</v>
      </c>
      <c r="E3212" t="s">
        <v>25</v>
      </c>
      <c r="F3212" s="1">
        <v>1</v>
      </c>
      <c r="G3212" s="1" t="s">
        <v>26</v>
      </c>
      <c r="H3212" s="4" t="str">
        <f>HYPERLINK("https://www.ncbi.nlm.nih.gov/geo/query/acc.cgi?acc=GSM34466","GSM34466")</f>
        <v>GSM34466</v>
      </c>
      <c r="I3212" t="s">
        <v>17</v>
      </c>
      <c r="J3212" t="s">
        <v>18</v>
      </c>
      <c r="K3212" t="s">
        <v>19</v>
      </c>
      <c r="L3212" t="s">
        <v>20</v>
      </c>
      <c r="M3212" t="s">
        <v>24</v>
      </c>
      <c r="N3212" t="s">
        <v>22</v>
      </c>
    </row>
    <row r="3213" spans="1:14">
      <c r="A3213" s="4" t="str">
        <f t="shared" si="307"/>
        <v>EXP00102</v>
      </c>
      <c r="B3213" s="4" t="str">
        <f t="shared" si="304"/>
        <v>19291283</v>
      </c>
      <c r="C3213" s="4" t="str">
        <f t="shared" si="305"/>
        <v>GSE3521</v>
      </c>
      <c r="D3213" s="1" t="s">
        <v>38</v>
      </c>
      <c r="E3213" t="s">
        <v>25</v>
      </c>
      <c r="F3213" s="1">
        <v>1</v>
      </c>
      <c r="G3213" s="1" t="s">
        <v>26</v>
      </c>
      <c r="H3213" s="4" t="str">
        <f>HYPERLINK("https://www.ncbi.nlm.nih.gov/geo/query/acc.cgi?acc=GSM34467","GSM34467")</f>
        <v>GSM34467</v>
      </c>
      <c r="I3213" t="s">
        <v>17</v>
      </c>
      <c r="J3213" t="s">
        <v>18</v>
      </c>
      <c r="K3213" t="s">
        <v>19</v>
      </c>
      <c r="L3213" t="s">
        <v>20</v>
      </c>
      <c r="M3213" t="s">
        <v>41</v>
      </c>
      <c r="N3213" t="s">
        <v>22</v>
      </c>
    </row>
    <row r="3214" spans="1:14">
      <c r="A3214" s="4" t="str">
        <f t="shared" si="307"/>
        <v>EXP00102</v>
      </c>
      <c r="B3214" s="4" t="str">
        <f t="shared" si="304"/>
        <v>19291283</v>
      </c>
      <c r="C3214" s="4" t="str">
        <f t="shared" si="305"/>
        <v>GSE3521</v>
      </c>
      <c r="D3214" s="1" t="s">
        <v>38</v>
      </c>
      <c r="E3214" t="s">
        <v>25</v>
      </c>
      <c r="F3214" s="1">
        <v>1</v>
      </c>
      <c r="G3214" s="1" t="s">
        <v>26</v>
      </c>
      <c r="H3214" s="4" t="str">
        <f>HYPERLINK("https://www.ncbi.nlm.nih.gov/geo/query/acc.cgi?acc=GSM34468","GSM34468")</f>
        <v>GSM34468</v>
      </c>
      <c r="I3214" t="s">
        <v>17</v>
      </c>
      <c r="J3214" t="s">
        <v>18</v>
      </c>
      <c r="K3214" t="s">
        <v>19</v>
      </c>
      <c r="L3214" t="s">
        <v>20</v>
      </c>
      <c r="M3214" t="s">
        <v>27</v>
      </c>
      <c r="N3214" t="s">
        <v>22</v>
      </c>
    </row>
    <row r="3215" spans="1:14">
      <c r="A3215" s="4" t="str">
        <f t="shared" si="307"/>
        <v>EXP00102</v>
      </c>
      <c r="B3215" s="4" t="str">
        <f t="shared" si="304"/>
        <v>19291283</v>
      </c>
      <c r="C3215" s="4" t="str">
        <f t="shared" si="305"/>
        <v>GSE3521</v>
      </c>
      <c r="D3215" s="1" t="s">
        <v>38</v>
      </c>
      <c r="E3215" t="s">
        <v>25</v>
      </c>
      <c r="F3215" s="1">
        <v>1</v>
      </c>
      <c r="G3215" s="1" t="s">
        <v>26</v>
      </c>
      <c r="H3215" s="4" t="str">
        <f>HYPERLINK("https://www.ncbi.nlm.nih.gov/geo/query/acc.cgi?acc=GSM34513","GSM34513")</f>
        <v>GSM34513</v>
      </c>
      <c r="I3215" t="s">
        <v>17</v>
      </c>
      <c r="J3215" t="s">
        <v>18</v>
      </c>
      <c r="K3215" t="s">
        <v>19</v>
      </c>
      <c r="L3215" t="s">
        <v>20</v>
      </c>
      <c r="M3215" t="s">
        <v>24</v>
      </c>
      <c r="N3215" t="s">
        <v>22</v>
      </c>
    </row>
    <row r="3216" spans="1:14">
      <c r="A3216" s="4" t="str">
        <f t="shared" si="307"/>
        <v>EXP00102</v>
      </c>
      <c r="B3216" s="4" t="str">
        <f t="shared" si="304"/>
        <v>19291283</v>
      </c>
      <c r="C3216" s="4" t="str">
        <f t="shared" si="305"/>
        <v>GSE3521</v>
      </c>
      <c r="D3216" s="1" t="s">
        <v>38</v>
      </c>
      <c r="E3216" t="s">
        <v>25</v>
      </c>
      <c r="F3216" s="1">
        <v>1</v>
      </c>
      <c r="G3216" s="1" t="s">
        <v>26</v>
      </c>
      <c r="H3216" s="4" t="str">
        <f>HYPERLINK("https://www.ncbi.nlm.nih.gov/geo/query/acc.cgi?acc=GSM34568","GSM34568")</f>
        <v>GSM34568</v>
      </c>
      <c r="I3216" t="s">
        <v>17</v>
      </c>
      <c r="J3216" t="s">
        <v>18</v>
      </c>
      <c r="K3216" t="s">
        <v>19</v>
      </c>
      <c r="L3216" t="s">
        <v>20</v>
      </c>
      <c r="M3216" t="s">
        <v>27</v>
      </c>
      <c r="N3216" t="s">
        <v>22</v>
      </c>
    </row>
    <row r="3217" spans="1:14">
      <c r="A3217" s="4" t="str">
        <f t="shared" si="307"/>
        <v>EXP00102</v>
      </c>
      <c r="B3217" s="4" t="str">
        <f t="shared" si="304"/>
        <v>19291283</v>
      </c>
      <c r="C3217" s="4" t="str">
        <f t="shared" si="305"/>
        <v>GSE3521</v>
      </c>
      <c r="D3217" s="1" t="s">
        <v>38</v>
      </c>
      <c r="E3217" t="s">
        <v>25</v>
      </c>
      <c r="F3217" s="1">
        <v>1</v>
      </c>
      <c r="G3217" s="1" t="s">
        <v>26</v>
      </c>
      <c r="H3217" s="4" t="str">
        <f>HYPERLINK("https://www.ncbi.nlm.nih.gov/geo/query/acc.cgi?acc=GSM50148","GSM50148")</f>
        <v>GSM50148</v>
      </c>
      <c r="I3217" t="s">
        <v>17</v>
      </c>
      <c r="J3217" t="s">
        <v>18</v>
      </c>
      <c r="K3217" t="s">
        <v>19</v>
      </c>
      <c r="L3217" t="s">
        <v>20</v>
      </c>
      <c r="M3217" t="s">
        <v>24</v>
      </c>
      <c r="N3217" t="s">
        <v>22</v>
      </c>
    </row>
    <row r="3218" spans="1:14">
      <c r="A3218" s="4" t="str">
        <f t="shared" si="307"/>
        <v>EXP00102</v>
      </c>
      <c r="B3218" s="4" t="str">
        <f t="shared" si="304"/>
        <v>19291283</v>
      </c>
      <c r="C3218" s="4" t="str">
        <f t="shared" si="305"/>
        <v>GSE3521</v>
      </c>
      <c r="D3218" s="1" t="s">
        <v>38</v>
      </c>
      <c r="E3218" t="s">
        <v>25</v>
      </c>
      <c r="F3218" s="1">
        <v>1</v>
      </c>
      <c r="G3218" s="1" t="s">
        <v>26</v>
      </c>
      <c r="H3218" s="4" t="str">
        <f>HYPERLINK("https://www.ncbi.nlm.nih.gov/geo/query/acc.cgi?acc=GSM52910","GSM52910")</f>
        <v>GSM52910</v>
      </c>
      <c r="I3218" t="s">
        <v>17</v>
      </c>
      <c r="J3218" t="s">
        <v>18</v>
      </c>
      <c r="K3218" t="s">
        <v>19</v>
      </c>
      <c r="L3218" t="s">
        <v>20</v>
      </c>
      <c r="M3218" t="s">
        <v>34</v>
      </c>
      <c r="N3218" t="s">
        <v>22</v>
      </c>
    </row>
    <row r="3219" spans="1:14">
      <c r="A3219" s="4" t="str">
        <f t="shared" si="307"/>
        <v>EXP00102</v>
      </c>
      <c r="B3219" s="4" t="str">
        <f t="shared" si="304"/>
        <v>19291283</v>
      </c>
      <c r="C3219" s="4" t="str">
        <f t="shared" si="305"/>
        <v>GSE3521</v>
      </c>
      <c r="D3219" s="1" t="s">
        <v>38</v>
      </c>
      <c r="E3219" t="s">
        <v>25</v>
      </c>
      <c r="F3219" s="1">
        <v>1</v>
      </c>
      <c r="G3219" s="1" t="s">
        <v>26</v>
      </c>
      <c r="H3219" s="4" t="str">
        <f>HYPERLINK("https://www.ncbi.nlm.nih.gov/geo/query/acc.cgi?acc=GSM52917","GSM52917")</f>
        <v>GSM52917</v>
      </c>
      <c r="I3219" t="s">
        <v>17</v>
      </c>
      <c r="J3219" t="s">
        <v>18</v>
      </c>
      <c r="K3219" t="s">
        <v>19</v>
      </c>
      <c r="L3219" t="s">
        <v>20</v>
      </c>
      <c r="M3219" t="s">
        <v>24</v>
      </c>
      <c r="N3219" t="s">
        <v>22</v>
      </c>
    </row>
    <row r="3220" spans="1:14">
      <c r="A3220" s="4" t="str">
        <f t="shared" si="307"/>
        <v>EXP00102</v>
      </c>
      <c r="B3220" s="4" t="str">
        <f t="shared" si="304"/>
        <v>19291283</v>
      </c>
      <c r="C3220" s="4" t="str">
        <f t="shared" si="305"/>
        <v>GSE3521</v>
      </c>
      <c r="D3220" s="1" t="s">
        <v>38</v>
      </c>
      <c r="E3220" t="s">
        <v>25</v>
      </c>
      <c r="F3220" s="1">
        <v>1</v>
      </c>
      <c r="G3220" s="1" t="s">
        <v>26</v>
      </c>
      <c r="H3220" s="4" t="str">
        <f>HYPERLINK("https://www.ncbi.nlm.nih.gov/geo/query/acc.cgi?acc=GSM52919","GSM52919")</f>
        <v>GSM52919</v>
      </c>
      <c r="I3220" t="s">
        <v>17</v>
      </c>
      <c r="J3220" t="s">
        <v>18</v>
      </c>
      <c r="K3220" t="s">
        <v>19</v>
      </c>
      <c r="L3220" t="s">
        <v>20</v>
      </c>
      <c r="M3220" t="s">
        <v>42</v>
      </c>
      <c r="N3220" t="s">
        <v>22</v>
      </c>
    </row>
    <row r="3221" spans="1:14">
      <c r="A3221" s="4" t="str">
        <f t="shared" si="307"/>
        <v>EXP00102</v>
      </c>
      <c r="B3221" s="4" t="str">
        <f t="shared" si="304"/>
        <v>19291283</v>
      </c>
      <c r="C3221" s="4" t="str">
        <f t="shared" si="305"/>
        <v>GSE3521</v>
      </c>
      <c r="D3221" s="1" t="s">
        <v>38</v>
      </c>
      <c r="E3221" t="s">
        <v>25</v>
      </c>
      <c r="F3221" s="1">
        <v>1</v>
      </c>
      <c r="G3221" s="1" t="s">
        <v>26</v>
      </c>
      <c r="H3221" s="4" t="str">
        <f>HYPERLINK("https://www.ncbi.nlm.nih.gov/geo/query/acc.cgi?acc=GSM52921","GSM52921")</f>
        <v>GSM52921</v>
      </c>
      <c r="I3221" t="s">
        <v>17</v>
      </c>
      <c r="J3221" t="s">
        <v>18</v>
      </c>
      <c r="K3221" t="s">
        <v>19</v>
      </c>
      <c r="L3221" t="s">
        <v>20</v>
      </c>
      <c r="M3221" t="s">
        <v>41</v>
      </c>
      <c r="N3221" t="s">
        <v>22</v>
      </c>
    </row>
    <row r="3222" spans="1:14">
      <c r="A3222" s="4" t="str">
        <f t="shared" si="307"/>
        <v>EXP00102</v>
      </c>
      <c r="B3222" s="4" t="str">
        <f t="shared" si="304"/>
        <v>19291283</v>
      </c>
      <c r="C3222" s="4" t="str">
        <f t="shared" si="305"/>
        <v>GSE3521</v>
      </c>
      <c r="D3222" s="1" t="s">
        <v>38</v>
      </c>
      <c r="E3222" t="s">
        <v>25</v>
      </c>
      <c r="F3222" s="1">
        <v>1</v>
      </c>
      <c r="G3222" s="1" t="s">
        <v>26</v>
      </c>
      <c r="H3222" s="4" t="str">
        <f>HYPERLINK("https://www.ncbi.nlm.nih.gov/geo/query/acc.cgi?acc=GSM80213","GSM80213")</f>
        <v>GSM80213</v>
      </c>
      <c r="I3222" t="s">
        <v>17</v>
      </c>
      <c r="J3222" t="s">
        <v>18</v>
      </c>
      <c r="K3222" t="s">
        <v>19</v>
      </c>
      <c r="L3222" t="s">
        <v>20</v>
      </c>
      <c r="M3222" t="s">
        <v>43</v>
      </c>
      <c r="N3222" t="s">
        <v>22</v>
      </c>
    </row>
    <row r="3223" spans="1:14">
      <c r="A3223" s="4" t="str">
        <f t="shared" si="307"/>
        <v>EXP00102</v>
      </c>
      <c r="B3223" s="4" t="str">
        <f t="shared" si="304"/>
        <v>19291283</v>
      </c>
      <c r="C3223" s="4" t="str">
        <f t="shared" si="305"/>
        <v>GSE3521</v>
      </c>
      <c r="D3223" s="1" t="s">
        <v>38</v>
      </c>
      <c r="E3223" t="s">
        <v>25</v>
      </c>
      <c r="F3223" s="1">
        <v>1</v>
      </c>
      <c r="G3223" s="1" t="s">
        <v>26</v>
      </c>
      <c r="H3223" s="4" t="str">
        <f>HYPERLINK("https://www.ncbi.nlm.nih.gov/geo/query/acc.cgi?acc=GSM80223","GSM80223")</f>
        <v>GSM80223</v>
      </c>
      <c r="I3223" t="s">
        <v>17</v>
      </c>
      <c r="J3223" t="s">
        <v>18</v>
      </c>
      <c r="K3223" t="s">
        <v>19</v>
      </c>
      <c r="L3223" t="s">
        <v>20</v>
      </c>
      <c r="M3223" t="s">
        <v>44</v>
      </c>
      <c r="N3223" t="s">
        <v>22</v>
      </c>
    </row>
    <row r="3224" spans="1:14">
      <c r="A3224" s="4" t="str">
        <f t="shared" si="307"/>
        <v>EXP00102</v>
      </c>
      <c r="B3224" s="4" t="str">
        <f t="shared" si="304"/>
        <v>19291283</v>
      </c>
      <c r="C3224" s="4" t="str">
        <f t="shared" si="305"/>
        <v>GSE3521</v>
      </c>
      <c r="D3224" s="1" t="s">
        <v>38</v>
      </c>
      <c r="E3224" t="s">
        <v>25</v>
      </c>
      <c r="F3224" s="1">
        <v>1</v>
      </c>
      <c r="G3224" s="1" t="s">
        <v>26</v>
      </c>
      <c r="H3224" s="4" t="str">
        <f>HYPERLINK("https://www.ncbi.nlm.nih.gov/geo/query/acc.cgi?acc=GSM80224","GSM80224")</f>
        <v>GSM80224</v>
      </c>
      <c r="I3224" t="s">
        <v>17</v>
      </c>
      <c r="J3224" t="s">
        <v>18</v>
      </c>
      <c r="K3224" t="s">
        <v>19</v>
      </c>
      <c r="L3224" t="s">
        <v>20</v>
      </c>
      <c r="M3224" t="s">
        <v>41</v>
      </c>
      <c r="N3224" t="s">
        <v>22</v>
      </c>
    </row>
    <row r="3225" spans="1:14">
      <c r="A3225" s="4" t="str">
        <f t="shared" si="307"/>
        <v>EXP00102</v>
      </c>
      <c r="B3225" s="4" t="str">
        <f t="shared" si="304"/>
        <v>19291283</v>
      </c>
      <c r="C3225" s="4" t="str">
        <f t="shared" si="305"/>
        <v>GSE3521</v>
      </c>
      <c r="D3225" s="1" t="s">
        <v>38</v>
      </c>
      <c r="E3225" t="s">
        <v>25</v>
      </c>
      <c r="F3225" s="1">
        <v>1</v>
      </c>
      <c r="G3225" s="1" t="s">
        <v>26</v>
      </c>
      <c r="H3225" s="4" t="str">
        <f>HYPERLINK("https://www.ncbi.nlm.nih.gov/geo/query/acc.cgi?acc=GSM80242","GSM80242")</f>
        <v>GSM80242</v>
      </c>
      <c r="I3225" t="s">
        <v>17</v>
      </c>
      <c r="J3225" t="s">
        <v>18</v>
      </c>
      <c r="K3225" t="s">
        <v>19</v>
      </c>
      <c r="L3225" t="s">
        <v>20</v>
      </c>
      <c r="M3225" t="s">
        <v>24</v>
      </c>
      <c r="N3225" t="s">
        <v>22</v>
      </c>
    </row>
    <row r="3226" spans="1:14">
      <c r="A3226" s="4" t="str">
        <f t="shared" si="307"/>
        <v>EXP00102</v>
      </c>
      <c r="B3226" s="4" t="str">
        <f t="shared" si="304"/>
        <v>19291283</v>
      </c>
      <c r="C3226" s="4" t="str">
        <f t="shared" si="305"/>
        <v>GSE3521</v>
      </c>
      <c r="D3226" s="1" t="s">
        <v>38</v>
      </c>
      <c r="E3226" t="s">
        <v>25</v>
      </c>
      <c r="F3226" s="1">
        <v>1</v>
      </c>
      <c r="G3226" s="1" t="s">
        <v>26</v>
      </c>
      <c r="H3226" s="4" t="str">
        <f>HYPERLINK("https://www.ncbi.nlm.nih.gov/geo/query/acc.cgi?acc=GSM80246","GSM80246")</f>
        <v>GSM80246</v>
      </c>
      <c r="I3226" t="s">
        <v>17</v>
      </c>
      <c r="J3226" t="s">
        <v>18</v>
      </c>
      <c r="K3226" t="s">
        <v>19</v>
      </c>
      <c r="L3226" t="s">
        <v>20</v>
      </c>
      <c r="M3226" t="s">
        <v>24</v>
      </c>
      <c r="N3226" t="s">
        <v>22</v>
      </c>
    </row>
    <row r="3227" spans="1:14">
      <c r="A3227" s="4" t="str">
        <f t="shared" si="307"/>
        <v>EXP00102</v>
      </c>
      <c r="B3227" s="4" t="str">
        <f t="shared" si="304"/>
        <v>19291283</v>
      </c>
      <c r="C3227" s="4" t="str">
        <f t="shared" si="305"/>
        <v>GSE3521</v>
      </c>
      <c r="D3227" s="1" t="s">
        <v>38</v>
      </c>
      <c r="E3227" t="s">
        <v>25</v>
      </c>
      <c r="F3227" s="1">
        <v>2</v>
      </c>
      <c r="G3227" s="1" t="s">
        <v>28</v>
      </c>
      <c r="H3227" s="4" t="str">
        <f>HYPERLINK("https://www.ncbi.nlm.nih.gov/geo/query/acc.cgi?acc=GSM34491","GSM34491")</f>
        <v>GSM34491</v>
      </c>
      <c r="I3227" t="s">
        <v>17</v>
      </c>
      <c r="J3227" t="s">
        <v>18</v>
      </c>
      <c r="K3227" t="s">
        <v>19</v>
      </c>
      <c r="L3227" t="s">
        <v>20</v>
      </c>
      <c r="M3227" t="s">
        <v>24</v>
      </c>
      <c r="N3227" t="s">
        <v>29</v>
      </c>
    </row>
    <row r="3228" spans="1:14">
      <c r="A3228" s="4" t="str">
        <f t="shared" si="307"/>
        <v>EXP00102</v>
      </c>
      <c r="B3228" s="4" t="str">
        <f t="shared" si="304"/>
        <v>19291283</v>
      </c>
      <c r="C3228" s="4" t="str">
        <f t="shared" si="305"/>
        <v>GSE3521</v>
      </c>
      <c r="D3228" s="1" t="s">
        <v>38</v>
      </c>
      <c r="E3228" t="s">
        <v>25</v>
      </c>
      <c r="F3228" s="1">
        <v>2</v>
      </c>
      <c r="G3228" s="1" t="s">
        <v>28</v>
      </c>
      <c r="H3228" s="4" t="str">
        <f>HYPERLINK("https://www.ncbi.nlm.nih.gov/geo/query/acc.cgi?acc=GSM34512","GSM34512")</f>
        <v>GSM34512</v>
      </c>
      <c r="I3228" t="s">
        <v>17</v>
      </c>
      <c r="J3228" t="s">
        <v>18</v>
      </c>
      <c r="K3228" t="s">
        <v>19</v>
      </c>
      <c r="L3228" t="s">
        <v>20</v>
      </c>
      <c r="M3228" t="s">
        <v>24</v>
      </c>
      <c r="N3228" t="s">
        <v>29</v>
      </c>
    </row>
    <row r="3229" spans="1:14">
      <c r="A3229" s="4" t="str">
        <f t="shared" si="307"/>
        <v>EXP00102</v>
      </c>
      <c r="B3229" s="4" t="str">
        <f t="shared" si="304"/>
        <v>19291283</v>
      </c>
      <c r="C3229" s="4" t="str">
        <f t="shared" si="305"/>
        <v>GSE3521</v>
      </c>
      <c r="D3229" s="1" t="s">
        <v>38</v>
      </c>
      <c r="E3229" t="s">
        <v>25</v>
      </c>
      <c r="F3229" s="1">
        <v>2</v>
      </c>
      <c r="G3229" s="1" t="s">
        <v>28</v>
      </c>
      <c r="H3229" s="4" t="str">
        <f>HYPERLINK("https://www.ncbi.nlm.nih.gov/geo/query/acc.cgi?acc=GSM53476","GSM53476")</f>
        <v>GSM53476</v>
      </c>
      <c r="I3229" t="s">
        <v>17</v>
      </c>
      <c r="J3229" t="s">
        <v>18</v>
      </c>
      <c r="K3229" t="s">
        <v>19</v>
      </c>
      <c r="L3229" t="s">
        <v>20</v>
      </c>
      <c r="M3229" t="s">
        <v>24</v>
      </c>
      <c r="N3229" t="s">
        <v>29</v>
      </c>
    </row>
    <row r="3230" spans="1:14">
      <c r="A3230" s="4" t="str">
        <f t="shared" ref="A3230:A3261" si="308">HYPERLINK("http://hcmdb.i-sanger.com/experiment/details/experiment_id/EXP00103","EXP00103")</f>
        <v>EXP00103</v>
      </c>
      <c r="B3230" s="4" t="str">
        <f t="shared" si="304"/>
        <v>19291283</v>
      </c>
      <c r="C3230" s="4" t="str">
        <f t="shared" si="305"/>
        <v>GSE3521</v>
      </c>
      <c r="D3230" s="1" t="s">
        <v>38</v>
      </c>
      <c r="E3230" t="s">
        <v>30</v>
      </c>
      <c r="F3230" s="1">
        <v>1</v>
      </c>
      <c r="G3230" s="1" t="s">
        <v>31</v>
      </c>
      <c r="H3230" s="4" t="str">
        <f>HYPERLINK("https://www.ncbi.nlm.nih.gov/geo/query/acc.cgi?acc=GSM34491","GSM34491")</f>
        <v>GSM34491</v>
      </c>
      <c r="I3230" t="s">
        <v>17</v>
      </c>
      <c r="J3230" t="s">
        <v>18</v>
      </c>
      <c r="K3230" t="s">
        <v>19</v>
      </c>
      <c r="L3230" t="s">
        <v>20</v>
      </c>
      <c r="M3230" t="s">
        <v>24</v>
      </c>
      <c r="N3230" t="s">
        <v>29</v>
      </c>
    </row>
    <row r="3231" spans="1:14">
      <c r="A3231" s="4" t="str">
        <f t="shared" si="308"/>
        <v>EXP00103</v>
      </c>
      <c r="B3231" s="4" t="str">
        <f t="shared" si="304"/>
        <v>19291283</v>
      </c>
      <c r="C3231" s="4" t="str">
        <f t="shared" si="305"/>
        <v>GSE3521</v>
      </c>
      <c r="D3231" s="1" t="s">
        <v>38</v>
      </c>
      <c r="E3231" t="s">
        <v>30</v>
      </c>
      <c r="F3231" s="1">
        <v>1</v>
      </c>
      <c r="G3231" s="1" t="s">
        <v>31</v>
      </c>
      <c r="H3231" s="4" t="str">
        <f>HYPERLINK("https://www.ncbi.nlm.nih.gov/geo/query/acc.cgi?acc=GSM34512","GSM34512")</f>
        <v>GSM34512</v>
      </c>
      <c r="I3231" t="s">
        <v>17</v>
      </c>
      <c r="J3231" t="s">
        <v>18</v>
      </c>
      <c r="K3231" t="s">
        <v>19</v>
      </c>
      <c r="L3231" t="s">
        <v>20</v>
      </c>
      <c r="M3231" t="s">
        <v>24</v>
      </c>
      <c r="N3231" t="s">
        <v>29</v>
      </c>
    </row>
    <row r="3232" spans="1:14">
      <c r="A3232" s="4" t="str">
        <f t="shared" si="308"/>
        <v>EXP00103</v>
      </c>
      <c r="B3232" s="4" t="str">
        <f t="shared" si="304"/>
        <v>19291283</v>
      </c>
      <c r="C3232" s="4" t="str">
        <f t="shared" si="305"/>
        <v>GSE3521</v>
      </c>
      <c r="D3232" s="1" t="s">
        <v>38</v>
      </c>
      <c r="E3232" t="s">
        <v>30</v>
      </c>
      <c r="F3232" s="1">
        <v>1</v>
      </c>
      <c r="G3232" s="1" t="s">
        <v>31</v>
      </c>
      <c r="H3232" s="4" t="str">
        <f>HYPERLINK("https://www.ncbi.nlm.nih.gov/geo/query/acc.cgi?acc=GSM53476","GSM53476")</f>
        <v>GSM53476</v>
      </c>
      <c r="I3232" t="s">
        <v>17</v>
      </c>
      <c r="J3232" t="s">
        <v>18</v>
      </c>
      <c r="K3232" t="s">
        <v>19</v>
      </c>
      <c r="L3232" t="s">
        <v>20</v>
      </c>
      <c r="M3232" t="s">
        <v>24</v>
      </c>
      <c r="N3232" t="s">
        <v>29</v>
      </c>
    </row>
    <row r="3233" spans="1:14">
      <c r="A3233" s="4" t="str">
        <f t="shared" si="308"/>
        <v>EXP00103</v>
      </c>
      <c r="B3233" s="4" t="str">
        <f t="shared" si="304"/>
        <v>19291283</v>
      </c>
      <c r="C3233" s="4" t="str">
        <f t="shared" si="305"/>
        <v>GSE3521</v>
      </c>
      <c r="D3233" s="1" t="s">
        <v>38</v>
      </c>
      <c r="E3233" t="s">
        <v>30</v>
      </c>
      <c r="F3233" s="1">
        <v>2</v>
      </c>
      <c r="G3233" s="1" t="s">
        <v>32</v>
      </c>
      <c r="H3233" s="4" t="str">
        <f>HYPERLINK("https://www.ncbi.nlm.nih.gov/geo/query/acc.cgi?acc=GSM34424","GSM34424")</f>
        <v>GSM34424</v>
      </c>
      <c r="I3233" t="s">
        <v>17</v>
      </c>
      <c r="J3233" t="s">
        <v>18</v>
      </c>
      <c r="K3233" t="s">
        <v>33</v>
      </c>
      <c r="L3233" t="s">
        <v>20</v>
      </c>
      <c r="N3233" t="s">
        <v>29</v>
      </c>
    </row>
    <row r="3234" spans="1:14">
      <c r="A3234" s="4" t="str">
        <f t="shared" si="308"/>
        <v>EXP00103</v>
      </c>
      <c r="B3234" s="4" t="str">
        <f t="shared" si="304"/>
        <v>19291283</v>
      </c>
      <c r="C3234" s="4" t="str">
        <f t="shared" si="305"/>
        <v>GSE3521</v>
      </c>
      <c r="D3234" s="1" t="s">
        <v>38</v>
      </c>
      <c r="E3234" t="s">
        <v>30</v>
      </c>
      <c r="F3234" s="1">
        <v>2</v>
      </c>
      <c r="G3234" s="1" t="s">
        <v>32</v>
      </c>
      <c r="H3234" s="4" t="str">
        <f>HYPERLINK("https://www.ncbi.nlm.nih.gov/geo/query/acc.cgi?acc=GSM34425","GSM34425")</f>
        <v>GSM34425</v>
      </c>
      <c r="I3234" t="s">
        <v>17</v>
      </c>
      <c r="J3234" t="s">
        <v>18</v>
      </c>
      <c r="K3234" t="s">
        <v>33</v>
      </c>
      <c r="L3234" t="s">
        <v>20</v>
      </c>
      <c r="N3234" t="s">
        <v>29</v>
      </c>
    </row>
    <row r="3235" spans="1:14">
      <c r="A3235" s="4" t="str">
        <f t="shared" si="308"/>
        <v>EXP00103</v>
      </c>
      <c r="B3235" s="4" t="str">
        <f t="shared" si="304"/>
        <v>19291283</v>
      </c>
      <c r="C3235" s="4" t="str">
        <f t="shared" si="305"/>
        <v>GSE3521</v>
      </c>
      <c r="D3235" s="1" t="s">
        <v>38</v>
      </c>
      <c r="E3235" t="s">
        <v>30</v>
      </c>
      <c r="F3235" s="1">
        <v>2</v>
      </c>
      <c r="G3235" s="1" t="s">
        <v>32</v>
      </c>
      <c r="H3235" s="4" t="str">
        <f>HYPERLINK("https://www.ncbi.nlm.nih.gov/geo/query/acc.cgi?acc=GSM34426","GSM34426")</f>
        <v>GSM34426</v>
      </c>
      <c r="I3235" t="s">
        <v>17</v>
      </c>
      <c r="J3235" t="s">
        <v>18</v>
      </c>
      <c r="K3235" t="s">
        <v>33</v>
      </c>
      <c r="L3235" t="s">
        <v>20</v>
      </c>
      <c r="N3235" t="s">
        <v>29</v>
      </c>
    </row>
    <row r="3236" spans="1:14">
      <c r="A3236" s="4" t="str">
        <f t="shared" si="308"/>
        <v>EXP00103</v>
      </c>
      <c r="B3236" s="4" t="str">
        <f t="shared" si="304"/>
        <v>19291283</v>
      </c>
      <c r="C3236" s="4" t="str">
        <f t="shared" si="305"/>
        <v>GSE3521</v>
      </c>
      <c r="D3236" s="1" t="s">
        <v>38</v>
      </c>
      <c r="E3236" t="s">
        <v>30</v>
      </c>
      <c r="F3236" s="1">
        <v>2</v>
      </c>
      <c r="G3236" s="1" t="s">
        <v>32</v>
      </c>
      <c r="H3236" s="4" t="str">
        <f>HYPERLINK("https://www.ncbi.nlm.nih.gov/geo/query/acc.cgi?acc=GSM34428","GSM34428")</f>
        <v>GSM34428</v>
      </c>
      <c r="I3236" t="s">
        <v>17</v>
      </c>
      <c r="J3236" t="s">
        <v>18</v>
      </c>
      <c r="K3236" t="s">
        <v>33</v>
      </c>
      <c r="L3236" t="s">
        <v>20</v>
      </c>
      <c r="N3236" t="s">
        <v>29</v>
      </c>
    </row>
    <row r="3237" spans="1:14">
      <c r="A3237" s="4" t="str">
        <f t="shared" si="308"/>
        <v>EXP00103</v>
      </c>
      <c r="B3237" s="4" t="str">
        <f t="shared" si="304"/>
        <v>19291283</v>
      </c>
      <c r="C3237" s="4" t="str">
        <f t="shared" si="305"/>
        <v>GSE3521</v>
      </c>
      <c r="D3237" s="1" t="s">
        <v>38</v>
      </c>
      <c r="E3237" t="s">
        <v>30</v>
      </c>
      <c r="F3237" s="1">
        <v>2</v>
      </c>
      <c r="G3237" s="1" t="s">
        <v>32</v>
      </c>
      <c r="H3237" s="4" t="str">
        <f>HYPERLINK("https://www.ncbi.nlm.nih.gov/geo/query/acc.cgi?acc=GSM34429","GSM34429")</f>
        <v>GSM34429</v>
      </c>
      <c r="I3237" t="s">
        <v>17</v>
      </c>
      <c r="J3237" t="s">
        <v>18</v>
      </c>
      <c r="K3237" t="s">
        <v>33</v>
      </c>
      <c r="L3237" t="s">
        <v>20</v>
      </c>
      <c r="N3237" t="s">
        <v>29</v>
      </c>
    </row>
    <row r="3238" spans="1:14">
      <c r="A3238" s="4" t="str">
        <f t="shared" si="308"/>
        <v>EXP00103</v>
      </c>
      <c r="B3238" s="4" t="str">
        <f t="shared" si="304"/>
        <v>19291283</v>
      </c>
      <c r="C3238" s="4" t="str">
        <f t="shared" si="305"/>
        <v>GSE3521</v>
      </c>
      <c r="D3238" s="1" t="s">
        <v>38</v>
      </c>
      <c r="E3238" t="s">
        <v>30</v>
      </c>
      <c r="F3238" s="1">
        <v>2</v>
      </c>
      <c r="G3238" s="1" t="s">
        <v>32</v>
      </c>
      <c r="H3238" s="4" t="str">
        <f>HYPERLINK("https://www.ncbi.nlm.nih.gov/geo/query/acc.cgi?acc=GSM34430","GSM34430")</f>
        <v>GSM34430</v>
      </c>
      <c r="I3238" t="s">
        <v>17</v>
      </c>
      <c r="J3238" t="s">
        <v>18</v>
      </c>
      <c r="K3238" t="s">
        <v>33</v>
      </c>
      <c r="L3238" t="s">
        <v>20</v>
      </c>
      <c r="N3238" t="s">
        <v>29</v>
      </c>
    </row>
    <row r="3239" spans="1:14">
      <c r="A3239" s="4" t="str">
        <f t="shared" si="308"/>
        <v>EXP00103</v>
      </c>
      <c r="B3239" s="4" t="str">
        <f t="shared" si="304"/>
        <v>19291283</v>
      </c>
      <c r="C3239" s="4" t="str">
        <f t="shared" si="305"/>
        <v>GSE3521</v>
      </c>
      <c r="D3239" s="1" t="s">
        <v>38</v>
      </c>
      <c r="E3239" t="s">
        <v>30</v>
      </c>
      <c r="F3239" s="1">
        <v>2</v>
      </c>
      <c r="G3239" s="1" t="s">
        <v>32</v>
      </c>
      <c r="H3239" s="4" t="str">
        <f>HYPERLINK("https://www.ncbi.nlm.nih.gov/geo/query/acc.cgi?acc=GSM34437","GSM34437")</f>
        <v>GSM34437</v>
      </c>
      <c r="I3239" t="s">
        <v>17</v>
      </c>
      <c r="J3239" t="s">
        <v>18</v>
      </c>
      <c r="K3239" t="s">
        <v>33</v>
      </c>
      <c r="L3239" t="s">
        <v>20</v>
      </c>
      <c r="N3239" t="s">
        <v>29</v>
      </c>
    </row>
    <row r="3240" spans="1:14">
      <c r="A3240" s="4" t="str">
        <f t="shared" si="308"/>
        <v>EXP00103</v>
      </c>
      <c r="B3240" s="4" t="str">
        <f t="shared" si="304"/>
        <v>19291283</v>
      </c>
      <c r="C3240" s="4" t="str">
        <f t="shared" si="305"/>
        <v>GSE3521</v>
      </c>
      <c r="D3240" s="1" t="s">
        <v>38</v>
      </c>
      <c r="E3240" t="s">
        <v>30</v>
      </c>
      <c r="F3240" s="1">
        <v>2</v>
      </c>
      <c r="G3240" s="1" t="s">
        <v>32</v>
      </c>
      <c r="H3240" s="4" t="str">
        <f>HYPERLINK("https://www.ncbi.nlm.nih.gov/geo/query/acc.cgi?acc=GSM34439","GSM34439")</f>
        <v>GSM34439</v>
      </c>
      <c r="I3240" t="s">
        <v>17</v>
      </c>
      <c r="J3240" t="s">
        <v>18</v>
      </c>
      <c r="K3240" t="s">
        <v>33</v>
      </c>
      <c r="L3240" t="s">
        <v>20</v>
      </c>
      <c r="N3240" t="s">
        <v>29</v>
      </c>
    </row>
    <row r="3241" spans="1:14">
      <c r="A3241" s="4" t="str">
        <f t="shared" si="308"/>
        <v>EXP00103</v>
      </c>
      <c r="B3241" s="4" t="str">
        <f t="shared" si="304"/>
        <v>19291283</v>
      </c>
      <c r="C3241" s="4" t="str">
        <f t="shared" si="305"/>
        <v>GSE3521</v>
      </c>
      <c r="D3241" s="1" t="s">
        <v>38</v>
      </c>
      <c r="E3241" t="s">
        <v>30</v>
      </c>
      <c r="F3241" s="1">
        <v>2</v>
      </c>
      <c r="G3241" s="1" t="s">
        <v>32</v>
      </c>
      <c r="H3241" s="4" t="str">
        <f>HYPERLINK("https://www.ncbi.nlm.nih.gov/geo/query/acc.cgi?acc=GSM34461","GSM34461")</f>
        <v>GSM34461</v>
      </c>
      <c r="I3241" t="s">
        <v>17</v>
      </c>
      <c r="J3241" t="s">
        <v>18</v>
      </c>
      <c r="K3241" t="s">
        <v>33</v>
      </c>
      <c r="L3241" t="s">
        <v>20</v>
      </c>
      <c r="N3241" t="s">
        <v>29</v>
      </c>
    </row>
    <row r="3242" spans="1:14">
      <c r="A3242" s="4" t="str">
        <f t="shared" si="308"/>
        <v>EXP00103</v>
      </c>
      <c r="B3242" s="4" t="str">
        <f t="shared" si="304"/>
        <v>19291283</v>
      </c>
      <c r="C3242" s="4" t="str">
        <f t="shared" si="305"/>
        <v>GSE3521</v>
      </c>
      <c r="D3242" s="1" t="s">
        <v>38</v>
      </c>
      <c r="E3242" t="s">
        <v>30</v>
      </c>
      <c r="F3242" s="1">
        <v>2</v>
      </c>
      <c r="G3242" s="1" t="s">
        <v>32</v>
      </c>
      <c r="H3242" s="4" t="str">
        <f>HYPERLINK("https://www.ncbi.nlm.nih.gov/geo/query/acc.cgi?acc=GSM34462","GSM34462")</f>
        <v>GSM34462</v>
      </c>
      <c r="I3242" t="s">
        <v>17</v>
      </c>
      <c r="J3242" t="s">
        <v>18</v>
      </c>
      <c r="K3242" t="s">
        <v>33</v>
      </c>
      <c r="L3242" t="s">
        <v>20</v>
      </c>
      <c r="N3242" t="s">
        <v>29</v>
      </c>
    </row>
    <row r="3243" spans="1:14">
      <c r="A3243" s="4" t="str">
        <f t="shared" si="308"/>
        <v>EXP00103</v>
      </c>
      <c r="B3243" s="4" t="str">
        <f t="shared" si="304"/>
        <v>19291283</v>
      </c>
      <c r="C3243" s="4" t="str">
        <f t="shared" si="305"/>
        <v>GSE3521</v>
      </c>
      <c r="D3243" s="1" t="s">
        <v>38</v>
      </c>
      <c r="E3243" t="s">
        <v>30</v>
      </c>
      <c r="F3243" s="1">
        <v>2</v>
      </c>
      <c r="G3243" s="1" t="s">
        <v>32</v>
      </c>
      <c r="H3243" s="4" t="str">
        <f>HYPERLINK("https://www.ncbi.nlm.nih.gov/geo/query/acc.cgi?acc=GSM34463","GSM34463")</f>
        <v>GSM34463</v>
      </c>
      <c r="I3243" t="s">
        <v>17</v>
      </c>
      <c r="J3243" t="s">
        <v>18</v>
      </c>
      <c r="K3243" t="s">
        <v>33</v>
      </c>
      <c r="L3243" t="s">
        <v>20</v>
      </c>
      <c r="N3243" t="s">
        <v>29</v>
      </c>
    </row>
    <row r="3244" spans="1:14">
      <c r="A3244" s="4" t="str">
        <f t="shared" si="308"/>
        <v>EXP00103</v>
      </c>
      <c r="B3244" s="4" t="str">
        <f t="shared" si="304"/>
        <v>19291283</v>
      </c>
      <c r="C3244" s="4" t="str">
        <f t="shared" si="305"/>
        <v>GSE3521</v>
      </c>
      <c r="D3244" s="1" t="s">
        <v>38</v>
      </c>
      <c r="E3244" t="s">
        <v>30</v>
      </c>
      <c r="F3244" s="1">
        <v>2</v>
      </c>
      <c r="G3244" s="1" t="s">
        <v>32</v>
      </c>
      <c r="H3244" s="4" t="str">
        <f>HYPERLINK("https://www.ncbi.nlm.nih.gov/geo/query/acc.cgi?acc=GSM34470","GSM34470")</f>
        <v>GSM34470</v>
      </c>
      <c r="I3244" t="s">
        <v>17</v>
      </c>
      <c r="J3244" t="s">
        <v>18</v>
      </c>
      <c r="K3244" t="s">
        <v>33</v>
      </c>
      <c r="L3244" t="s">
        <v>20</v>
      </c>
      <c r="N3244" t="s">
        <v>29</v>
      </c>
    </row>
    <row r="3245" spans="1:14">
      <c r="A3245" s="4" t="str">
        <f t="shared" si="308"/>
        <v>EXP00103</v>
      </c>
      <c r="B3245" s="4" t="str">
        <f t="shared" si="304"/>
        <v>19291283</v>
      </c>
      <c r="C3245" s="4" t="str">
        <f t="shared" si="305"/>
        <v>GSE3521</v>
      </c>
      <c r="D3245" s="1" t="s">
        <v>38</v>
      </c>
      <c r="E3245" t="s">
        <v>30</v>
      </c>
      <c r="F3245" s="1">
        <v>2</v>
      </c>
      <c r="G3245" s="1" t="s">
        <v>32</v>
      </c>
      <c r="H3245" s="4" t="str">
        <f>HYPERLINK("https://www.ncbi.nlm.nih.gov/geo/query/acc.cgi?acc=GSM34476","GSM34476")</f>
        <v>GSM34476</v>
      </c>
      <c r="I3245" t="s">
        <v>17</v>
      </c>
      <c r="J3245" t="s">
        <v>18</v>
      </c>
      <c r="K3245" t="s">
        <v>33</v>
      </c>
      <c r="L3245" t="s">
        <v>20</v>
      </c>
      <c r="N3245" t="s">
        <v>29</v>
      </c>
    </row>
    <row r="3246" spans="1:14">
      <c r="A3246" s="4" t="str">
        <f t="shared" si="308"/>
        <v>EXP00103</v>
      </c>
      <c r="B3246" s="4" t="str">
        <f t="shared" si="304"/>
        <v>19291283</v>
      </c>
      <c r="C3246" s="4" t="str">
        <f t="shared" si="305"/>
        <v>GSE3521</v>
      </c>
      <c r="D3246" s="1" t="s">
        <v>38</v>
      </c>
      <c r="E3246" t="s">
        <v>30</v>
      </c>
      <c r="F3246" s="1">
        <v>2</v>
      </c>
      <c r="G3246" s="1" t="s">
        <v>32</v>
      </c>
      <c r="H3246" s="4" t="str">
        <f>HYPERLINK("https://www.ncbi.nlm.nih.gov/geo/query/acc.cgi?acc=GSM34477","GSM34477")</f>
        <v>GSM34477</v>
      </c>
      <c r="I3246" t="s">
        <v>17</v>
      </c>
      <c r="J3246" t="s">
        <v>18</v>
      </c>
      <c r="K3246" t="s">
        <v>33</v>
      </c>
      <c r="L3246" t="s">
        <v>20</v>
      </c>
      <c r="N3246" t="s">
        <v>29</v>
      </c>
    </row>
    <row r="3247" spans="1:14">
      <c r="A3247" s="4" t="str">
        <f t="shared" si="308"/>
        <v>EXP00103</v>
      </c>
      <c r="B3247" s="4" t="str">
        <f t="shared" si="304"/>
        <v>19291283</v>
      </c>
      <c r="C3247" s="4" t="str">
        <f t="shared" si="305"/>
        <v>GSE3521</v>
      </c>
      <c r="D3247" s="1" t="s">
        <v>38</v>
      </c>
      <c r="E3247" t="s">
        <v>30</v>
      </c>
      <c r="F3247" s="1">
        <v>2</v>
      </c>
      <c r="G3247" s="1" t="s">
        <v>32</v>
      </c>
      <c r="H3247" s="4" t="str">
        <f>HYPERLINK("https://www.ncbi.nlm.nih.gov/geo/query/acc.cgi?acc=GSM34478","GSM34478")</f>
        <v>GSM34478</v>
      </c>
      <c r="I3247" t="s">
        <v>17</v>
      </c>
      <c r="J3247" t="s">
        <v>18</v>
      </c>
      <c r="K3247" t="s">
        <v>33</v>
      </c>
      <c r="L3247" t="s">
        <v>20</v>
      </c>
      <c r="N3247" t="s">
        <v>29</v>
      </c>
    </row>
    <row r="3248" spans="1:14">
      <c r="A3248" s="4" t="str">
        <f t="shared" si="308"/>
        <v>EXP00103</v>
      </c>
      <c r="B3248" s="4" t="str">
        <f t="shared" si="304"/>
        <v>19291283</v>
      </c>
      <c r="C3248" s="4" t="str">
        <f t="shared" si="305"/>
        <v>GSE3521</v>
      </c>
      <c r="D3248" s="1" t="s">
        <v>38</v>
      </c>
      <c r="E3248" t="s">
        <v>30</v>
      </c>
      <c r="F3248" s="1">
        <v>2</v>
      </c>
      <c r="G3248" s="1" t="s">
        <v>32</v>
      </c>
      <c r="H3248" s="4" t="str">
        <f>HYPERLINK("https://www.ncbi.nlm.nih.gov/geo/query/acc.cgi?acc=GSM34484","GSM34484")</f>
        <v>GSM34484</v>
      </c>
      <c r="I3248" t="s">
        <v>17</v>
      </c>
      <c r="J3248" t="s">
        <v>18</v>
      </c>
      <c r="K3248" t="s">
        <v>33</v>
      </c>
      <c r="L3248" t="s">
        <v>20</v>
      </c>
      <c r="N3248" t="s">
        <v>29</v>
      </c>
    </row>
    <row r="3249" spans="1:14">
      <c r="A3249" s="4" t="str">
        <f t="shared" si="308"/>
        <v>EXP00103</v>
      </c>
      <c r="B3249" s="4" t="str">
        <f t="shared" si="304"/>
        <v>19291283</v>
      </c>
      <c r="C3249" s="4" t="str">
        <f t="shared" si="305"/>
        <v>GSE3521</v>
      </c>
      <c r="D3249" s="1" t="s">
        <v>38</v>
      </c>
      <c r="E3249" t="s">
        <v>30</v>
      </c>
      <c r="F3249" s="1">
        <v>2</v>
      </c>
      <c r="G3249" s="1" t="s">
        <v>32</v>
      </c>
      <c r="H3249" s="4" t="str">
        <f>HYPERLINK("https://www.ncbi.nlm.nih.gov/geo/query/acc.cgi?acc=GSM34485","GSM34485")</f>
        <v>GSM34485</v>
      </c>
      <c r="I3249" t="s">
        <v>17</v>
      </c>
      <c r="J3249" t="s">
        <v>18</v>
      </c>
      <c r="K3249" t="s">
        <v>33</v>
      </c>
      <c r="L3249" t="s">
        <v>20</v>
      </c>
      <c r="N3249" t="s">
        <v>29</v>
      </c>
    </row>
    <row r="3250" spans="1:14">
      <c r="A3250" s="4" t="str">
        <f t="shared" si="308"/>
        <v>EXP00103</v>
      </c>
      <c r="B3250" s="4" t="str">
        <f t="shared" si="304"/>
        <v>19291283</v>
      </c>
      <c r="C3250" s="4" t="str">
        <f t="shared" si="305"/>
        <v>GSE3521</v>
      </c>
      <c r="D3250" s="1" t="s">
        <v>38</v>
      </c>
      <c r="E3250" t="s">
        <v>30</v>
      </c>
      <c r="F3250" s="1">
        <v>2</v>
      </c>
      <c r="G3250" s="1" t="s">
        <v>32</v>
      </c>
      <c r="H3250" s="4" t="str">
        <f>HYPERLINK("https://www.ncbi.nlm.nih.gov/geo/query/acc.cgi?acc=GSM34487","GSM34487")</f>
        <v>GSM34487</v>
      </c>
      <c r="I3250" t="s">
        <v>17</v>
      </c>
      <c r="J3250" t="s">
        <v>18</v>
      </c>
      <c r="K3250" t="s">
        <v>33</v>
      </c>
      <c r="L3250" t="s">
        <v>20</v>
      </c>
      <c r="N3250" t="s">
        <v>29</v>
      </c>
    </row>
    <row r="3251" spans="1:14">
      <c r="A3251" s="4" t="str">
        <f t="shared" si="308"/>
        <v>EXP00103</v>
      </c>
      <c r="B3251" s="4" t="str">
        <f t="shared" ref="B3251:B3314" si="309">HYPERLINK("https://www.ncbi.nlm.nih.gov/pubmed/19291283","19291283")</f>
        <v>19291283</v>
      </c>
      <c r="C3251" s="4" t="str">
        <f t="shared" ref="C3251:C3314" si="310">HYPERLINK("https://www.ncbi.nlm.nih.gov/geo/query/acc.cgi?acc=GSE3521","GSE3521")</f>
        <v>GSE3521</v>
      </c>
      <c r="D3251" s="1" t="s">
        <v>38</v>
      </c>
      <c r="E3251" t="s">
        <v>30</v>
      </c>
      <c r="F3251" s="1">
        <v>2</v>
      </c>
      <c r="G3251" s="1" t="s">
        <v>32</v>
      </c>
      <c r="H3251" s="4" t="str">
        <f>HYPERLINK("https://www.ncbi.nlm.nih.gov/geo/query/acc.cgi?acc=GSM34489","GSM34489")</f>
        <v>GSM34489</v>
      </c>
      <c r="I3251" t="s">
        <v>17</v>
      </c>
      <c r="J3251" t="s">
        <v>18</v>
      </c>
      <c r="K3251" t="s">
        <v>33</v>
      </c>
      <c r="L3251" t="s">
        <v>20</v>
      </c>
      <c r="N3251" t="s">
        <v>29</v>
      </c>
    </row>
    <row r="3252" spans="1:14">
      <c r="A3252" s="4" t="str">
        <f t="shared" si="308"/>
        <v>EXP00103</v>
      </c>
      <c r="B3252" s="4" t="str">
        <f t="shared" si="309"/>
        <v>19291283</v>
      </c>
      <c r="C3252" s="4" t="str">
        <f t="shared" si="310"/>
        <v>GSE3521</v>
      </c>
      <c r="D3252" s="1" t="s">
        <v>38</v>
      </c>
      <c r="E3252" t="s">
        <v>30</v>
      </c>
      <c r="F3252" s="1">
        <v>2</v>
      </c>
      <c r="G3252" s="1" t="s">
        <v>32</v>
      </c>
      <c r="H3252" s="4" t="str">
        <f>HYPERLINK("https://www.ncbi.nlm.nih.gov/geo/query/acc.cgi?acc=GSM34492","GSM34492")</f>
        <v>GSM34492</v>
      </c>
      <c r="I3252" t="s">
        <v>17</v>
      </c>
      <c r="J3252" t="s">
        <v>18</v>
      </c>
      <c r="K3252" t="s">
        <v>33</v>
      </c>
      <c r="L3252" t="s">
        <v>20</v>
      </c>
      <c r="N3252" t="s">
        <v>29</v>
      </c>
    </row>
    <row r="3253" spans="1:14">
      <c r="A3253" s="4" t="str">
        <f t="shared" si="308"/>
        <v>EXP00103</v>
      </c>
      <c r="B3253" s="4" t="str">
        <f t="shared" si="309"/>
        <v>19291283</v>
      </c>
      <c r="C3253" s="4" t="str">
        <f t="shared" si="310"/>
        <v>GSE3521</v>
      </c>
      <c r="D3253" s="1" t="s">
        <v>38</v>
      </c>
      <c r="E3253" t="s">
        <v>30</v>
      </c>
      <c r="F3253" s="1">
        <v>2</v>
      </c>
      <c r="G3253" s="1" t="s">
        <v>32</v>
      </c>
      <c r="H3253" s="4" t="str">
        <f>HYPERLINK("https://www.ncbi.nlm.nih.gov/geo/query/acc.cgi?acc=GSM34499","GSM34499")</f>
        <v>GSM34499</v>
      </c>
      <c r="I3253" t="s">
        <v>17</v>
      </c>
      <c r="J3253" t="s">
        <v>18</v>
      </c>
      <c r="K3253" t="s">
        <v>33</v>
      </c>
      <c r="L3253" t="s">
        <v>20</v>
      </c>
      <c r="N3253" t="s">
        <v>29</v>
      </c>
    </row>
    <row r="3254" spans="1:14">
      <c r="A3254" s="4" t="str">
        <f t="shared" si="308"/>
        <v>EXP00103</v>
      </c>
      <c r="B3254" s="4" t="str">
        <f t="shared" si="309"/>
        <v>19291283</v>
      </c>
      <c r="C3254" s="4" t="str">
        <f t="shared" si="310"/>
        <v>GSE3521</v>
      </c>
      <c r="D3254" s="1" t="s">
        <v>38</v>
      </c>
      <c r="E3254" t="s">
        <v>30</v>
      </c>
      <c r="F3254" s="1">
        <v>2</v>
      </c>
      <c r="G3254" s="1" t="s">
        <v>32</v>
      </c>
      <c r="H3254" s="4" t="str">
        <f>HYPERLINK("https://www.ncbi.nlm.nih.gov/geo/query/acc.cgi?acc=GSM34504","GSM34504")</f>
        <v>GSM34504</v>
      </c>
      <c r="I3254" t="s">
        <v>17</v>
      </c>
      <c r="J3254" t="s">
        <v>18</v>
      </c>
      <c r="K3254" t="s">
        <v>33</v>
      </c>
      <c r="L3254" t="s">
        <v>20</v>
      </c>
      <c r="N3254" t="s">
        <v>29</v>
      </c>
    </row>
    <row r="3255" spans="1:14">
      <c r="A3255" s="4" t="str">
        <f t="shared" si="308"/>
        <v>EXP00103</v>
      </c>
      <c r="B3255" s="4" t="str">
        <f t="shared" si="309"/>
        <v>19291283</v>
      </c>
      <c r="C3255" s="4" t="str">
        <f t="shared" si="310"/>
        <v>GSE3521</v>
      </c>
      <c r="D3255" s="1" t="s">
        <v>38</v>
      </c>
      <c r="E3255" t="s">
        <v>30</v>
      </c>
      <c r="F3255" s="1">
        <v>2</v>
      </c>
      <c r="G3255" s="1" t="s">
        <v>32</v>
      </c>
      <c r="H3255" s="4" t="str">
        <f>HYPERLINK("https://www.ncbi.nlm.nih.gov/geo/query/acc.cgi?acc=GSM34505","GSM34505")</f>
        <v>GSM34505</v>
      </c>
      <c r="I3255" t="s">
        <v>17</v>
      </c>
      <c r="J3255" t="s">
        <v>18</v>
      </c>
      <c r="K3255" t="s">
        <v>33</v>
      </c>
      <c r="L3255" t="s">
        <v>20</v>
      </c>
      <c r="N3255" t="s">
        <v>29</v>
      </c>
    </row>
    <row r="3256" spans="1:14">
      <c r="A3256" s="4" t="str">
        <f t="shared" si="308"/>
        <v>EXP00103</v>
      </c>
      <c r="B3256" s="4" t="str">
        <f t="shared" si="309"/>
        <v>19291283</v>
      </c>
      <c r="C3256" s="4" t="str">
        <f t="shared" si="310"/>
        <v>GSE3521</v>
      </c>
      <c r="D3256" s="1" t="s">
        <v>38</v>
      </c>
      <c r="E3256" t="s">
        <v>30</v>
      </c>
      <c r="F3256" s="1">
        <v>2</v>
      </c>
      <c r="G3256" s="1" t="s">
        <v>32</v>
      </c>
      <c r="H3256" s="4" t="str">
        <f>HYPERLINK("https://www.ncbi.nlm.nih.gov/geo/query/acc.cgi?acc=GSM34506","GSM34506")</f>
        <v>GSM34506</v>
      </c>
      <c r="I3256" t="s">
        <v>17</v>
      </c>
      <c r="J3256" t="s">
        <v>18</v>
      </c>
      <c r="K3256" t="s">
        <v>33</v>
      </c>
      <c r="L3256" t="s">
        <v>20</v>
      </c>
      <c r="N3256" t="s">
        <v>29</v>
      </c>
    </row>
    <row r="3257" spans="1:14">
      <c r="A3257" s="4" t="str">
        <f t="shared" si="308"/>
        <v>EXP00103</v>
      </c>
      <c r="B3257" s="4" t="str">
        <f t="shared" si="309"/>
        <v>19291283</v>
      </c>
      <c r="C3257" s="4" t="str">
        <f t="shared" si="310"/>
        <v>GSE3521</v>
      </c>
      <c r="D3257" s="1" t="s">
        <v>38</v>
      </c>
      <c r="E3257" t="s">
        <v>30</v>
      </c>
      <c r="F3257" s="1">
        <v>2</v>
      </c>
      <c r="G3257" s="1" t="s">
        <v>32</v>
      </c>
      <c r="H3257" s="4" t="str">
        <f>HYPERLINK("https://www.ncbi.nlm.nih.gov/geo/query/acc.cgi?acc=GSM34507","GSM34507")</f>
        <v>GSM34507</v>
      </c>
      <c r="I3257" t="s">
        <v>17</v>
      </c>
      <c r="J3257" t="s">
        <v>18</v>
      </c>
      <c r="K3257" t="s">
        <v>33</v>
      </c>
      <c r="L3257" t="s">
        <v>20</v>
      </c>
      <c r="N3257" t="s">
        <v>29</v>
      </c>
    </row>
    <row r="3258" spans="1:14">
      <c r="A3258" s="4" t="str">
        <f t="shared" si="308"/>
        <v>EXP00103</v>
      </c>
      <c r="B3258" s="4" t="str">
        <f t="shared" si="309"/>
        <v>19291283</v>
      </c>
      <c r="C3258" s="4" t="str">
        <f t="shared" si="310"/>
        <v>GSE3521</v>
      </c>
      <c r="D3258" s="1" t="s">
        <v>38</v>
      </c>
      <c r="E3258" t="s">
        <v>30</v>
      </c>
      <c r="F3258" s="1">
        <v>2</v>
      </c>
      <c r="G3258" s="1" t="s">
        <v>32</v>
      </c>
      <c r="H3258" s="4" t="str">
        <f>HYPERLINK("https://www.ncbi.nlm.nih.gov/geo/query/acc.cgi?acc=GSM34508","GSM34508")</f>
        <v>GSM34508</v>
      </c>
      <c r="I3258" t="s">
        <v>17</v>
      </c>
      <c r="J3258" t="s">
        <v>18</v>
      </c>
      <c r="K3258" t="s">
        <v>33</v>
      </c>
      <c r="L3258" t="s">
        <v>20</v>
      </c>
      <c r="N3258" t="s">
        <v>29</v>
      </c>
    </row>
    <row r="3259" spans="1:14">
      <c r="A3259" s="4" t="str">
        <f t="shared" si="308"/>
        <v>EXP00103</v>
      </c>
      <c r="B3259" s="4" t="str">
        <f t="shared" si="309"/>
        <v>19291283</v>
      </c>
      <c r="C3259" s="4" t="str">
        <f t="shared" si="310"/>
        <v>GSE3521</v>
      </c>
      <c r="D3259" s="1" t="s">
        <v>38</v>
      </c>
      <c r="E3259" t="s">
        <v>30</v>
      </c>
      <c r="F3259" s="1">
        <v>2</v>
      </c>
      <c r="G3259" s="1" t="s">
        <v>32</v>
      </c>
      <c r="H3259" s="4" t="str">
        <f>HYPERLINK("https://www.ncbi.nlm.nih.gov/geo/query/acc.cgi?acc=GSM34510","GSM34510")</f>
        <v>GSM34510</v>
      </c>
      <c r="I3259" t="s">
        <v>17</v>
      </c>
      <c r="J3259" t="s">
        <v>18</v>
      </c>
      <c r="K3259" t="s">
        <v>33</v>
      </c>
      <c r="L3259" t="s">
        <v>20</v>
      </c>
      <c r="N3259" t="s">
        <v>29</v>
      </c>
    </row>
    <row r="3260" spans="1:14">
      <c r="A3260" s="4" t="str">
        <f t="shared" si="308"/>
        <v>EXP00103</v>
      </c>
      <c r="B3260" s="4" t="str">
        <f t="shared" si="309"/>
        <v>19291283</v>
      </c>
      <c r="C3260" s="4" t="str">
        <f t="shared" si="310"/>
        <v>GSE3521</v>
      </c>
      <c r="D3260" s="1" t="s">
        <v>38</v>
      </c>
      <c r="E3260" t="s">
        <v>30</v>
      </c>
      <c r="F3260" s="1">
        <v>2</v>
      </c>
      <c r="G3260" s="1" t="s">
        <v>32</v>
      </c>
      <c r="H3260" s="4" t="str">
        <f>HYPERLINK("https://www.ncbi.nlm.nih.gov/geo/query/acc.cgi?acc=GSM34515","GSM34515")</f>
        <v>GSM34515</v>
      </c>
      <c r="I3260" t="s">
        <v>17</v>
      </c>
      <c r="J3260" t="s">
        <v>18</v>
      </c>
      <c r="K3260" t="s">
        <v>33</v>
      </c>
      <c r="L3260" t="s">
        <v>20</v>
      </c>
      <c r="N3260" t="s">
        <v>29</v>
      </c>
    </row>
    <row r="3261" spans="1:14">
      <c r="A3261" s="4" t="str">
        <f t="shared" si="308"/>
        <v>EXP00103</v>
      </c>
      <c r="B3261" s="4" t="str">
        <f t="shared" si="309"/>
        <v>19291283</v>
      </c>
      <c r="C3261" s="4" t="str">
        <f t="shared" si="310"/>
        <v>GSE3521</v>
      </c>
      <c r="D3261" s="1" t="s">
        <v>38</v>
      </c>
      <c r="E3261" t="s">
        <v>30</v>
      </c>
      <c r="F3261" s="1">
        <v>2</v>
      </c>
      <c r="G3261" s="1" t="s">
        <v>32</v>
      </c>
      <c r="H3261" s="4" t="str">
        <f>HYPERLINK("https://www.ncbi.nlm.nih.gov/geo/query/acc.cgi?acc=GSM34516","GSM34516")</f>
        <v>GSM34516</v>
      </c>
      <c r="I3261" t="s">
        <v>17</v>
      </c>
      <c r="J3261" t="s">
        <v>18</v>
      </c>
      <c r="K3261" t="s">
        <v>33</v>
      </c>
      <c r="L3261" t="s">
        <v>20</v>
      </c>
      <c r="N3261" t="s">
        <v>29</v>
      </c>
    </row>
    <row r="3262" spans="1:14">
      <c r="A3262" s="4" t="str">
        <f t="shared" ref="A3262:A3285" si="311">HYPERLINK("http://hcmdb.i-sanger.com/experiment/details/experiment_id/EXP00103","EXP00103")</f>
        <v>EXP00103</v>
      </c>
      <c r="B3262" s="4" t="str">
        <f t="shared" si="309"/>
        <v>19291283</v>
      </c>
      <c r="C3262" s="4" t="str">
        <f t="shared" si="310"/>
        <v>GSE3521</v>
      </c>
      <c r="D3262" s="1" t="s">
        <v>38</v>
      </c>
      <c r="E3262" t="s">
        <v>30</v>
      </c>
      <c r="F3262" s="1">
        <v>2</v>
      </c>
      <c r="G3262" s="1" t="s">
        <v>32</v>
      </c>
      <c r="H3262" s="4" t="str">
        <f>HYPERLINK("https://www.ncbi.nlm.nih.gov/geo/query/acc.cgi?acc=GSM34517","GSM34517")</f>
        <v>GSM34517</v>
      </c>
      <c r="I3262" t="s">
        <v>17</v>
      </c>
      <c r="J3262" t="s">
        <v>18</v>
      </c>
      <c r="K3262" t="s">
        <v>33</v>
      </c>
      <c r="L3262" t="s">
        <v>20</v>
      </c>
      <c r="N3262" t="s">
        <v>29</v>
      </c>
    </row>
    <row r="3263" spans="1:14">
      <c r="A3263" s="4" t="str">
        <f t="shared" si="311"/>
        <v>EXP00103</v>
      </c>
      <c r="B3263" s="4" t="str">
        <f t="shared" si="309"/>
        <v>19291283</v>
      </c>
      <c r="C3263" s="4" t="str">
        <f t="shared" si="310"/>
        <v>GSE3521</v>
      </c>
      <c r="D3263" s="1" t="s">
        <v>38</v>
      </c>
      <c r="E3263" t="s">
        <v>30</v>
      </c>
      <c r="F3263" s="1">
        <v>2</v>
      </c>
      <c r="G3263" s="1" t="s">
        <v>32</v>
      </c>
      <c r="H3263" s="4" t="str">
        <f>HYPERLINK("https://www.ncbi.nlm.nih.gov/geo/query/acc.cgi?acc=GSM34518","GSM34518")</f>
        <v>GSM34518</v>
      </c>
      <c r="I3263" t="s">
        <v>17</v>
      </c>
      <c r="J3263" t="s">
        <v>18</v>
      </c>
      <c r="K3263" t="s">
        <v>33</v>
      </c>
      <c r="L3263" t="s">
        <v>20</v>
      </c>
      <c r="N3263" t="s">
        <v>29</v>
      </c>
    </row>
    <row r="3264" spans="1:14">
      <c r="A3264" s="4" t="str">
        <f t="shared" si="311"/>
        <v>EXP00103</v>
      </c>
      <c r="B3264" s="4" t="str">
        <f t="shared" si="309"/>
        <v>19291283</v>
      </c>
      <c r="C3264" s="4" t="str">
        <f t="shared" si="310"/>
        <v>GSE3521</v>
      </c>
      <c r="D3264" s="1" t="s">
        <v>38</v>
      </c>
      <c r="E3264" t="s">
        <v>30</v>
      </c>
      <c r="F3264" s="1">
        <v>2</v>
      </c>
      <c r="G3264" s="1" t="s">
        <v>32</v>
      </c>
      <c r="H3264" s="4" t="str">
        <f>HYPERLINK("https://www.ncbi.nlm.nih.gov/geo/query/acc.cgi?acc=GSM34519","GSM34519")</f>
        <v>GSM34519</v>
      </c>
      <c r="I3264" t="s">
        <v>17</v>
      </c>
      <c r="J3264" t="s">
        <v>18</v>
      </c>
      <c r="K3264" t="s">
        <v>33</v>
      </c>
      <c r="L3264" t="s">
        <v>20</v>
      </c>
      <c r="N3264" t="s">
        <v>29</v>
      </c>
    </row>
    <row r="3265" spans="1:14">
      <c r="A3265" s="4" t="str">
        <f t="shared" si="311"/>
        <v>EXP00103</v>
      </c>
      <c r="B3265" s="4" t="str">
        <f t="shared" si="309"/>
        <v>19291283</v>
      </c>
      <c r="C3265" s="4" t="str">
        <f t="shared" si="310"/>
        <v>GSE3521</v>
      </c>
      <c r="D3265" s="1" t="s">
        <v>38</v>
      </c>
      <c r="E3265" t="s">
        <v>30</v>
      </c>
      <c r="F3265" s="1">
        <v>2</v>
      </c>
      <c r="G3265" s="1" t="s">
        <v>32</v>
      </c>
      <c r="H3265" s="4" t="str">
        <f>HYPERLINK("https://www.ncbi.nlm.nih.gov/geo/query/acc.cgi?acc=GSM34521","GSM34521")</f>
        <v>GSM34521</v>
      </c>
      <c r="I3265" t="s">
        <v>17</v>
      </c>
      <c r="J3265" t="s">
        <v>18</v>
      </c>
      <c r="K3265" t="s">
        <v>33</v>
      </c>
      <c r="L3265" t="s">
        <v>20</v>
      </c>
      <c r="N3265" t="s">
        <v>29</v>
      </c>
    </row>
    <row r="3266" spans="1:14">
      <c r="A3266" s="4" t="str">
        <f t="shared" si="311"/>
        <v>EXP00103</v>
      </c>
      <c r="B3266" s="4" t="str">
        <f t="shared" si="309"/>
        <v>19291283</v>
      </c>
      <c r="C3266" s="4" t="str">
        <f t="shared" si="310"/>
        <v>GSE3521</v>
      </c>
      <c r="D3266" s="1" t="s">
        <v>38</v>
      </c>
      <c r="E3266" t="s">
        <v>30</v>
      </c>
      <c r="F3266" s="1">
        <v>2</v>
      </c>
      <c r="G3266" s="1" t="s">
        <v>32</v>
      </c>
      <c r="H3266" s="4" t="str">
        <f>HYPERLINK("https://www.ncbi.nlm.nih.gov/geo/query/acc.cgi?acc=GSM34523","GSM34523")</f>
        <v>GSM34523</v>
      </c>
      <c r="I3266" t="s">
        <v>17</v>
      </c>
      <c r="J3266" t="s">
        <v>18</v>
      </c>
      <c r="K3266" t="s">
        <v>33</v>
      </c>
      <c r="L3266" t="s">
        <v>20</v>
      </c>
      <c r="N3266" t="s">
        <v>29</v>
      </c>
    </row>
    <row r="3267" spans="1:14">
      <c r="A3267" s="4" t="str">
        <f t="shared" si="311"/>
        <v>EXP00103</v>
      </c>
      <c r="B3267" s="4" t="str">
        <f t="shared" si="309"/>
        <v>19291283</v>
      </c>
      <c r="C3267" s="4" t="str">
        <f t="shared" si="310"/>
        <v>GSE3521</v>
      </c>
      <c r="D3267" s="1" t="s">
        <v>38</v>
      </c>
      <c r="E3267" t="s">
        <v>30</v>
      </c>
      <c r="F3267" s="1">
        <v>2</v>
      </c>
      <c r="G3267" s="1" t="s">
        <v>32</v>
      </c>
      <c r="H3267" s="4" t="str">
        <f>HYPERLINK("https://www.ncbi.nlm.nih.gov/geo/query/acc.cgi?acc=GSM34525","GSM34525")</f>
        <v>GSM34525</v>
      </c>
      <c r="I3267" t="s">
        <v>17</v>
      </c>
      <c r="J3267" t="s">
        <v>18</v>
      </c>
      <c r="K3267" t="s">
        <v>33</v>
      </c>
      <c r="L3267" t="s">
        <v>20</v>
      </c>
      <c r="N3267" t="s">
        <v>29</v>
      </c>
    </row>
    <row r="3268" spans="1:14">
      <c r="A3268" s="4" t="str">
        <f t="shared" si="311"/>
        <v>EXP00103</v>
      </c>
      <c r="B3268" s="4" t="str">
        <f t="shared" si="309"/>
        <v>19291283</v>
      </c>
      <c r="C3268" s="4" t="str">
        <f t="shared" si="310"/>
        <v>GSE3521</v>
      </c>
      <c r="D3268" s="1" t="s">
        <v>38</v>
      </c>
      <c r="E3268" t="s">
        <v>30</v>
      </c>
      <c r="F3268" s="1">
        <v>2</v>
      </c>
      <c r="G3268" s="1" t="s">
        <v>32</v>
      </c>
      <c r="H3268" s="4" t="str">
        <f>HYPERLINK("https://www.ncbi.nlm.nih.gov/geo/query/acc.cgi?acc=GSM34526","GSM34526")</f>
        <v>GSM34526</v>
      </c>
      <c r="I3268" t="s">
        <v>17</v>
      </c>
      <c r="J3268" t="s">
        <v>18</v>
      </c>
      <c r="K3268" t="s">
        <v>33</v>
      </c>
      <c r="L3268" t="s">
        <v>20</v>
      </c>
      <c r="N3268" t="s">
        <v>29</v>
      </c>
    </row>
    <row r="3269" spans="1:14">
      <c r="A3269" s="4" t="str">
        <f t="shared" si="311"/>
        <v>EXP00103</v>
      </c>
      <c r="B3269" s="4" t="str">
        <f t="shared" si="309"/>
        <v>19291283</v>
      </c>
      <c r="C3269" s="4" t="str">
        <f t="shared" si="310"/>
        <v>GSE3521</v>
      </c>
      <c r="D3269" s="1" t="s">
        <v>38</v>
      </c>
      <c r="E3269" t="s">
        <v>30</v>
      </c>
      <c r="F3269" s="1">
        <v>2</v>
      </c>
      <c r="G3269" s="1" t="s">
        <v>32</v>
      </c>
      <c r="H3269" s="4" t="str">
        <f>HYPERLINK("https://www.ncbi.nlm.nih.gov/geo/query/acc.cgi?acc=GSM34527","GSM34527")</f>
        <v>GSM34527</v>
      </c>
      <c r="I3269" t="s">
        <v>17</v>
      </c>
      <c r="J3269" t="s">
        <v>18</v>
      </c>
      <c r="K3269" t="s">
        <v>33</v>
      </c>
      <c r="L3269" t="s">
        <v>20</v>
      </c>
      <c r="N3269" t="s">
        <v>29</v>
      </c>
    </row>
    <row r="3270" spans="1:14">
      <c r="A3270" s="4" t="str">
        <f t="shared" si="311"/>
        <v>EXP00103</v>
      </c>
      <c r="B3270" s="4" t="str">
        <f t="shared" si="309"/>
        <v>19291283</v>
      </c>
      <c r="C3270" s="4" t="str">
        <f t="shared" si="310"/>
        <v>GSE3521</v>
      </c>
      <c r="D3270" s="1" t="s">
        <v>38</v>
      </c>
      <c r="E3270" t="s">
        <v>30</v>
      </c>
      <c r="F3270" s="1">
        <v>2</v>
      </c>
      <c r="G3270" s="1" t="s">
        <v>32</v>
      </c>
      <c r="H3270" s="4" t="str">
        <f>HYPERLINK("https://www.ncbi.nlm.nih.gov/geo/query/acc.cgi?acc=GSM34528","GSM34528")</f>
        <v>GSM34528</v>
      </c>
      <c r="I3270" t="s">
        <v>17</v>
      </c>
      <c r="J3270" t="s">
        <v>18</v>
      </c>
      <c r="K3270" t="s">
        <v>33</v>
      </c>
      <c r="L3270" t="s">
        <v>20</v>
      </c>
      <c r="N3270" t="s">
        <v>29</v>
      </c>
    </row>
    <row r="3271" spans="1:14">
      <c r="A3271" s="4" t="str">
        <f t="shared" si="311"/>
        <v>EXP00103</v>
      </c>
      <c r="B3271" s="4" t="str">
        <f t="shared" si="309"/>
        <v>19291283</v>
      </c>
      <c r="C3271" s="4" t="str">
        <f t="shared" si="310"/>
        <v>GSE3521</v>
      </c>
      <c r="D3271" s="1" t="s">
        <v>38</v>
      </c>
      <c r="E3271" t="s">
        <v>30</v>
      </c>
      <c r="F3271" s="1">
        <v>2</v>
      </c>
      <c r="G3271" s="1" t="s">
        <v>32</v>
      </c>
      <c r="H3271" s="4" t="str">
        <f>HYPERLINK("https://www.ncbi.nlm.nih.gov/geo/query/acc.cgi?acc=GSM34529","GSM34529")</f>
        <v>GSM34529</v>
      </c>
      <c r="I3271" t="s">
        <v>17</v>
      </c>
      <c r="J3271" t="s">
        <v>18</v>
      </c>
      <c r="K3271" t="s">
        <v>33</v>
      </c>
      <c r="L3271" t="s">
        <v>20</v>
      </c>
      <c r="N3271" t="s">
        <v>29</v>
      </c>
    </row>
    <row r="3272" spans="1:14">
      <c r="A3272" s="4" t="str">
        <f t="shared" si="311"/>
        <v>EXP00103</v>
      </c>
      <c r="B3272" s="4" t="str">
        <f t="shared" si="309"/>
        <v>19291283</v>
      </c>
      <c r="C3272" s="4" t="str">
        <f t="shared" si="310"/>
        <v>GSE3521</v>
      </c>
      <c r="D3272" s="1" t="s">
        <v>38</v>
      </c>
      <c r="E3272" t="s">
        <v>30</v>
      </c>
      <c r="F3272" s="1">
        <v>2</v>
      </c>
      <c r="G3272" s="1" t="s">
        <v>32</v>
      </c>
      <c r="H3272" s="4" t="str">
        <f>HYPERLINK("https://www.ncbi.nlm.nih.gov/geo/query/acc.cgi?acc=GSM34530","GSM34530")</f>
        <v>GSM34530</v>
      </c>
      <c r="I3272" t="s">
        <v>17</v>
      </c>
      <c r="J3272" t="s">
        <v>18</v>
      </c>
      <c r="K3272" t="s">
        <v>33</v>
      </c>
      <c r="L3272" t="s">
        <v>20</v>
      </c>
      <c r="N3272" t="s">
        <v>29</v>
      </c>
    </row>
    <row r="3273" spans="1:14">
      <c r="A3273" s="4" t="str">
        <f t="shared" si="311"/>
        <v>EXP00103</v>
      </c>
      <c r="B3273" s="4" t="str">
        <f t="shared" si="309"/>
        <v>19291283</v>
      </c>
      <c r="C3273" s="4" t="str">
        <f t="shared" si="310"/>
        <v>GSE3521</v>
      </c>
      <c r="D3273" s="1" t="s">
        <v>38</v>
      </c>
      <c r="E3273" t="s">
        <v>30</v>
      </c>
      <c r="F3273" s="1">
        <v>2</v>
      </c>
      <c r="G3273" s="1" t="s">
        <v>32</v>
      </c>
      <c r="H3273" s="4" t="str">
        <f>HYPERLINK("https://www.ncbi.nlm.nih.gov/geo/query/acc.cgi?acc=GSM34531","GSM34531")</f>
        <v>GSM34531</v>
      </c>
      <c r="I3273" t="s">
        <v>17</v>
      </c>
      <c r="J3273" t="s">
        <v>18</v>
      </c>
      <c r="K3273" t="s">
        <v>33</v>
      </c>
      <c r="L3273" t="s">
        <v>20</v>
      </c>
      <c r="N3273" t="s">
        <v>29</v>
      </c>
    </row>
    <row r="3274" spans="1:14">
      <c r="A3274" s="4" t="str">
        <f t="shared" si="311"/>
        <v>EXP00103</v>
      </c>
      <c r="B3274" s="4" t="str">
        <f t="shared" si="309"/>
        <v>19291283</v>
      </c>
      <c r="C3274" s="4" t="str">
        <f t="shared" si="310"/>
        <v>GSE3521</v>
      </c>
      <c r="D3274" s="1" t="s">
        <v>38</v>
      </c>
      <c r="E3274" t="s">
        <v>30</v>
      </c>
      <c r="F3274" s="1">
        <v>2</v>
      </c>
      <c r="G3274" s="1" t="s">
        <v>32</v>
      </c>
      <c r="H3274" s="4" t="str">
        <f>HYPERLINK("https://www.ncbi.nlm.nih.gov/geo/query/acc.cgi?acc=GSM34532","GSM34532")</f>
        <v>GSM34532</v>
      </c>
      <c r="I3274" t="s">
        <v>17</v>
      </c>
      <c r="J3274" t="s">
        <v>18</v>
      </c>
      <c r="K3274" t="s">
        <v>33</v>
      </c>
      <c r="L3274" t="s">
        <v>20</v>
      </c>
      <c r="N3274" t="s">
        <v>29</v>
      </c>
    </row>
    <row r="3275" spans="1:14">
      <c r="A3275" s="4" t="str">
        <f t="shared" si="311"/>
        <v>EXP00103</v>
      </c>
      <c r="B3275" s="4" t="str">
        <f t="shared" si="309"/>
        <v>19291283</v>
      </c>
      <c r="C3275" s="4" t="str">
        <f t="shared" si="310"/>
        <v>GSE3521</v>
      </c>
      <c r="D3275" s="1" t="s">
        <v>38</v>
      </c>
      <c r="E3275" t="s">
        <v>30</v>
      </c>
      <c r="F3275" s="1">
        <v>2</v>
      </c>
      <c r="G3275" s="1" t="s">
        <v>32</v>
      </c>
      <c r="H3275" s="4" t="str">
        <f>HYPERLINK("https://www.ncbi.nlm.nih.gov/geo/query/acc.cgi?acc=GSM34556","GSM34556")</f>
        <v>GSM34556</v>
      </c>
      <c r="I3275" t="s">
        <v>17</v>
      </c>
      <c r="J3275" t="s">
        <v>18</v>
      </c>
      <c r="K3275" t="s">
        <v>33</v>
      </c>
      <c r="L3275" t="s">
        <v>20</v>
      </c>
      <c r="N3275" t="s">
        <v>29</v>
      </c>
    </row>
    <row r="3276" spans="1:14">
      <c r="A3276" s="4" t="str">
        <f t="shared" si="311"/>
        <v>EXP00103</v>
      </c>
      <c r="B3276" s="4" t="str">
        <f t="shared" si="309"/>
        <v>19291283</v>
      </c>
      <c r="C3276" s="4" t="str">
        <f t="shared" si="310"/>
        <v>GSE3521</v>
      </c>
      <c r="D3276" s="1" t="s">
        <v>38</v>
      </c>
      <c r="E3276" t="s">
        <v>30</v>
      </c>
      <c r="F3276" s="1">
        <v>2</v>
      </c>
      <c r="G3276" s="1" t="s">
        <v>32</v>
      </c>
      <c r="H3276" s="4" t="str">
        <f>HYPERLINK("https://www.ncbi.nlm.nih.gov/geo/query/acc.cgi?acc=GSM34557","GSM34557")</f>
        <v>GSM34557</v>
      </c>
      <c r="I3276" t="s">
        <v>17</v>
      </c>
      <c r="J3276" t="s">
        <v>18</v>
      </c>
      <c r="K3276" t="s">
        <v>33</v>
      </c>
      <c r="L3276" t="s">
        <v>20</v>
      </c>
      <c r="N3276" t="s">
        <v>29</v>
      </c>
    </row>
    <row r="3277" spans="1:14">
      <c r="A3277" s="4" t="str">
        <f t="shared" si="311"/>
        <v>EXP00103</v>
      </c>
      <c r="B3277" s="4" t="str">
        <f t="shared" si="309"/>
        <v>19291283</v>
      </c>
      <c r="C3277" s="4" t="str">
        <f t="shared" si="310"/>
        <v>GSE3521</v>
      </c>
      <c r="D3277" s="1" t="s">
        <v>38</v>
      </c>
      <c r="E3277" t="s">
        <v>30</v>
      </c>
      <c r="F3277" s="1">
        <v>2</v>
      </c>
      <c r="G3277" s="1" t="s">
        <v>32</v>
      </c>
      <c r="H3277" s="4" t="str">
        <f>HYPERLINK("https://www.ncbi.nlm.nih.gov/geo/query/acc.cgi?acc=GSM50154","GSM50154")</f>
        <v>GSM50154</v>
      </c>
      <c r="I3277" t="s">
        <v>17</v>
      </c>
      <c r="J3277" t="s">
        <v>18</v>
      </c>
      <c r="K3277" t="s">
        <v>33</v>
      </c>
      <c r="L3277" t="s">
        <v>20</v>
      </c>
      <c r="N3277" t="s">
        <v>29</v>
      </c>
    </row>
    <row r="3278" spans="1:14">
      <c r="A3278" s="4" t="str">
        <f t="shared" si="311"/>
        <v>EXP00103</v>
      </c>
      <c r="B3278" s="4" t="str">
        <f t="shared" si="309"/>
        <v>19291283</v>
      </c>
      <c r="C3278" s="4" t="str">
        <f t="shared" si="310"/>
        <v>GSE3521</v>
      </c>
      <c r="D3278" s="1" t="s">
        <v>38</v>
      </c>
      <c r="E3278" t="s">
        <v>30</v>
      </c>
      <c r="F3278" s="1">
        <v>2</v>
      </c>
      <c r="G3278" s="1" t="s">
        <v>32</v>
      </c>
      <c r="H3278" s="4" t="str">
        <f>HYPERLINK("https://www.ncbi.nlm.nih.gov/geo/query/acc.cgi?acc=GSM52883","GSM52883")</f>
        <v>GSM52883</v>
      </c>
      <c r="I3278" t="s">
        <v>17</v>
      </c>
      <c r="J3278" t="s">
        <v>18</v>
      </c>
      <c r="K3278" t="s">
        <v>33</v>
      </c>
      <c r="L3278" t="s">
        <v>20</v>
      </c>
      <c r="N3278" t="s">
        <v>29</v>
      </c>
    </row>
    <row r="3279" spans="1:14">
      <c r="A3279" s="4" t="str">
        <f t="shared" si="311"/>
        <v>EXP00103</v>
      </c>
      <c r="B3279" s="4" t="str">
        <f t="shared" si="309"/>
        <v>19291283</v>
      </c>
      <c r="C3279" s="4" t="str">
        <f t="shared" si="310"/>
        <v>GSE3521</v>
      </c>
      <c r="D3279" s="1" t="s">
        <v>38</v>
      </c>
      <c r="E3279" t="s">
        <v>30</v>
      </c>
      <c r="F3279" s="1">
        <v>2</v>
      </c>
      <c r="G3279" s="1" t="s">
        <v>32</v>
      </c>
      <c r="H3279" s="4" t="str">
        <f>HYPERLINK("https://www.ncbi.nlm.nih.gov/geo/query/acc.cgi?acc=GSM52884","GSM52884")</f>
        <v>GSM52884</v>
      </c>
      <c r="I3279" t="s">
        <v>17</v>
      </c>
      <c r="J3279" t="s">
        <v>18</v>
      </c>
      <c r="K3279" t="s">
        <v>33</v>
      </c>
      <c r="L3279" t="s">
        <v>20</v>
      </c>
      <c r="N3279" t="s">
        <v>29</v>
      </c>
    </row>
    <row r="3280" spans="1:14">
      <c r="A3280" s="4" t="str">
        <f t="shared" si="311"/>
        <v>EXP00103</v>
      </c>
      <c r="B3280" s="4" t="str">
        <f t="shared" si="309"/>
        <v>19291283</v>
      </c>
      <c r="C3280" s="4" t="str">
        <f t="shared" si="310"/>
        <v>GSE3521</v>
      </c>
      <c r="D3280" s="1" t="s">
        <v>38</v>
      </c>
      <c r="E3280" t="s">
        <v>30</v>
      </c>
      <c r="F3280" s="1">
        <v>2</v>
      </c>
      <c r="G3280" s="1" t="s">
        <v>32</v>
      </c>
      <c r="H3280" s="4" t="str">
        <f>HYPERLINK("https://www.ncbi.nlm.nih.gov/geo/query/acc.cgi?acc=GSM53477","GSM53477")</f>
        <v>GSM53477</v>
      </c>
      <c r="I3280" t="s">
        <v>17</v>
      </c>
      <c r="J3280" t="s">
        <v>18</v>
      </c>
      <c r="K3280" t="s">
        <v>33</v>
      </c>
      <c r="L3280" t="s">
        <v>20</v>
      </c>
      <c r="N3280" t="s">
        <v>29</v>
      </c>
    </row>
    <row r="3281" spans="1:14">
      <c r="A3281" s="4" t="str">
        <f t="shared" si="311"/>
        <v>EXP00103</v>
      </c>
      <c r="B3281" s="4" t="str">
        <f t="shared" si="309"/>
        <v>19291283</v>
      </c>
      <c r="C3281" s="4" t="str">
        <f t="shared" si="310"/>
        <v>GSE3521</v>
      </c>
      <c r="D3281" s="1" t="s">
        <v>38</v>
      </c>
      <c r="E3281" t="s">
        <v>30</v>
      </c>
      <c r="F3281" s="1">
        <v>2</v>
      </c>
      <c r="G3281" s="1" t="s">
        <v>32</v>
      </c>
      <c r="H3281" s="4" t="str">
        <f>HYPERLINK("https://www.ncbi.nlm.nih.gov/geo/query/acc.cgi?acc=GSM80231","GSM80231")</f>
        <v>GSM80231</v>
      </c>
      <c r="I3281" t="s">
        <v>17</v>
      </c>
      <c r="J3281" t="s">
        <v>18</v>
      </c>
      <c r="K3281" t="s">
        <v>33</v>
      </c>
      <c r="L3281" t="s">
        <v>20</v>
      </c>
      <c r="N3281" t="s">
        <v>29</v>
      </c>
    </row>
    <row r="3282" spans="1:14">
      <c r="A3282" s="4" t="str">
        <f t="shared" si="311"/>
        <v>EXP00103</v>
      </c>
      <c r="B3282" s="4" t="str">
        <f t="shared" si="309"/>
        <v>19291283</v>
      </c>
      <c r="C3282" s="4" t="str">
        <f t="shared" si="310"/>
        <v>GSE3521</v>
      </c>
      <c r="D3282" s="1" t="s">
        <v>38</v>
      </c>
      <c r="E3282" t="s">
        <v>30</v>
      </c>
      <c r="F3282" s="1">
        <v>2</v>
      </c>
      <c r="G3282" s="1" t="s">
        <v>32</v>
      </c>
      <c r="H3282" s="4" t="str">
        <f>HYPERLINK("https://www.ncbi.nlm.nih.gov/geo/query/acc.cgi?acc=GSM80233","GSM80233")</f>
        <v>GSM80233</v>
      </c>
      <c r="I3282" t="s">
        <v>17</v>
      </c>
      <c r="J3282" t="s">
        <v>18</v>
      </c>
      <c r="K3282" t="s">
        <v>33</v>
      </c>
      <c r="L3282" t="s">
        <v>20</v>
      </c>
      <c r="N3282" t="s">
        <v>29</v>
      </c>
    </row>
    <row r="3283" spans="1:14">
      <c r="A3283" s="4" t="str">
        <f t="shared" si="311"/>
        <v>EXP00103</v>
      </c>
      <c r="B3283" s="4" t="str">
        <f t="shared" si="309"/>
        <v>19291283</v>
      </c>
      <c r="C3283" s="4" t="str">
        <f t="shared" si="310"/>
        <v>GSE3521</v>
      </c>
      <c r="D3283" s="1" t="s">
        <v>38</v>
      </c>
      <c r="E3283" t="s">
        <v>30</v>
      </c>
      <c r="F3283" s="1">
        <v>2</v>
      </c>
      <c r="G3283" s="1" t="s">
        <v>32</v>
      </c>
      <c r="H3283" s="4" t="str">
        <f>HYPERLINK("https://www.ncbi.nlm.nih.gov/geo/query/acc.cgi?acc=GSM80235","GSM80235")</f>
        <v>GSM80235</v>
      </c>
      <c r="I3283" t="s">
        <v>17</v>
      </c>
      <c r="J3283" t="s">
        <v>18</v>
      </c>
      <c r="K3283" t="s">
        <v>33</v>
      </c>
      <c r="L3283" t="s">
        <v>20</v>
      </c>
      <c r="N3283" t="s">
        <v>29</v>
      </c>
    </row>
    <row r="3284" spans="1:14">
      <c r="A3284" s="4" t="str">
        <f t="shared" si="311"/>
        <v>EXP00103</v>
      </c>
      <c r="B3284" s="4" t="str">
        <f t="shared" si="309"/>
        <v>19291283</v>
      </c>
      <c r="C3284" s="4" t="str">
        <f t="shared" si="310"/>
        <v>GSE3521</v>
      </c>
      <c r="D3284" s="1" t="s">
        <v>38</v>
      </c>
      <c r="E3284" t="s">
        <v>30</v>
      </c>
      <c r="F3284" s="1">
        <v>2</v>
      </c>
      <c r="G3284" s="1" t="s">
        <v>32</v>
      </c>
      <c r="H3284" s="4" t="str">
        <f>HYPERLINK("https://www.ncbi.nlm.nih.gov/geo/query/acc.cgi?acc=GSM80238","GSM80238")</f>
        <v>GSM80238</v>
      </c>
      <c r="I3284" t="s">
        <v>17</v>
      </c>
      <c r="J3284" t="s">
        <v>18</v>
      </c>
      <c r="K3284" t="s">
        <v>33</v>
      </c>
      <c r="L3284" t="s">
        <v>20</v>
      </c>
      <c r="N3284" t="s">
        <v>29</v>
      </c>
    </row>
    <row r="3285" spans="1:14">
      <c r="A3285" s="4" t="str">
        <f t="shared" si="311"/>
        <v>EXP00103</v>
      </c>
      <c r="B3285" s="4" t="str">
        <f t="shared" si="309"/>
        <v>19291283</v>
      </c>
      <c r="C3285" s="4" t="str">
        <f t="shared" si="310"/>
        <v>GSE3521</v>
      </c>
      <c r="D3285" s="1" t="s">
        <v>38</v>
      </c>
      <c r="E3285" t="s">
        <v>30</v>
      </c>
      <c r="F3285" s="1">
        <v>2</v>
      </c>
      <c r="G3285" s="1" t="s">
        <v>32</v>
      </c>
      <c r="H3285" s="4" t="str">
        <f>HYPERLINK("https://www.ncbi.nlm.nih.gov/geo/query/acc.cgi?acc=GSM80245","GSM80245")</f>
        <v>GSM80245</v>
      </c>
      <c r="I3285" t="s">
        <v>17</v>
      </c>
      <c r="J3285" t="s">
        <v>18</v>
      </c>
      <c r="K3285" t="s">
        <v>33</v>
      </c>
      <c r="L3285" t="s">
        <v>20</v>
      </c>
      <c r="N3285" t="s">
        <v>29</v>
      </c>
    </row>
    <row r="3286" spans="1:14">
      <c r="A3286" s="4" t="str">
        <f t="shared" ref="A3286:A3317" si="312">HYPERLINK("http://hcmdb.i-sanger.com/experiment/details/experiment_id/EXP00104","EXP00104")</f>
        <v>EXP00104</v>
      </c>
      <c r="B3286" s="4" t="str">
        <f t="shared" si="309"/>
        <v>19291283</v>
      </c>
      <c r="C3286" s="4" t="str">
        <f t="shared" si="310"/>
        <v>GSE3521</v>
      </c>
      <c r="D3286" s="1" t="s">
        <v>38</v>
      </c>
      <c r="E3286" t="s">
        <v>35</v>
      </c>
      <c r="F3286" s="1">
        <v>1</v>
      </c>
      <c r="G3286" s="1" t="s">
        <v>36</v>
      </c>
      <c r="H3286" s="4" t="str">
        <f>HYPERLINK("https://www.ncbi.nlm.nih.gov/geo/query/acc.cgi?acc=GSM34427","GSM34427")</f>
        <v>GSM34427</v>
      </c>
      <c r="I3286" t="s">
        <v>17</v>
      </c>
      <c r="J3286" t="s">
        <v>18</v>
      </c>
      <c r="K3286" t="s">
        <v>33</v>
      </c>
      <c r="L3286" t="s">
        <v>20</v>
      </c>
      <c r="N3286" t="s">
        <v>37</v>
      </c>
    </row>
    <row r="3287" spans="1:14">
      <c r="A3287" s="4" t="str">
        <f t="shared" si="312"/>
        <v>EXP00104</v>
      </c>
      <c r="B3287" s="4" t="str">
        <f t="shared" si="309"/>
        <v>19291283</v>
      </c>
      <c r="C3287" s="4" t="str">
        <f t="shared" si="310"/>
        <v>GSE3521</v>
      </c>
      <c r="D3287" s="1" t="s">
        <v>38</v>
      </c>
      <c r="E3287" t="s">
        <v>35</v>
      </c>
      <c r="F3287" s="1">
        <v>1</v>
      </c>
      <c r="G3287" s="1" t="s">
        <v>36</v>
      </c>
      <c r="H3287" s="4" t="str">
        <f>HYPERLINK("https://www.ncbi.nlm.nih.gov/geo/query/acc.cgi?acc=GSM34441","GSM34441")</f>
        <v>GSM34441</v>
      </c>
      <c r="I3287" t="s">
        <v>17</v>
      </c>
      <c r="J3287" t="s">
        <v>18</v>
      </c>
      <c r="K3287" t="s">
        <v>33</v>
      </c>
      <c r="L3287" t="s">
        <v>20</v>
      </c>
      <c r="N3287" t="s">
        <v>37</v>
      </c>
    </row>
    <row r="3288" spans="1:14">
      <c r="A3288" s="4" t="str">
        <f t="shared" si="312"/>
        <v>EXP00104</v>
      </c>
      <c r="B3288" s="4" t="str">
        <f t="shared" si="309"/>
        <v>19291283</v>
      </c>
      <c r="C3288" s="4" t="str">
        <f t="shared" si="310"/>
        <v>GSE3521</v>
      </c>
      <c r="D3288" s="1" t="s">
        <v>38</v>
      </c>
      <c r="E3288" t="s">
        <v>35</v>
      </c>
      <c r="F3288" s="1">
        <v>1</v>
      </c>
      <c r="G3288" s="1" t="s">
        <v>36</v>
      </c>
      <c r="H3288" s="4" t="str">
        <f>HYPERLINK("https://www.ncbi.nlm.nih.gov/geo/query/acc.cgi?acc=GSM34465","GSM34465")</f>
        <v>GSM34465</v>
      </c>
      <c r="I3288" t="s">
        <v>17</v>
      </c>
      <c r="J3288" t="s">
        <v>18</v>
      </c>
      <c r="K3288" t="s">
        <v>33</v>
      </c>
      <c r="L3288" t="s">
        <v>20</v>
      </c>
      <c r="N3288" t="s">
        <v>37</v>
      </c>
    </row>
    <row r="3289" spans="1:14">
      <c r="A3289" s="4" t="str">
        <f t="shared" si="312"/>
        <v>EXP00104</v>
      </c>
      <c r="B3289" s="4" t="str">
        <f t="shared" si="309"/>
        <v>19291283</v>
      </c>
      <c r="C3289" s="4" t="str">
        <f t="shared" si="310"/>
        <v>GSE3521</v>
      </c>
      <c r="D3289" s="1" t="s">
        <v>38</v>
      </c>
      <c r="E3289" t="s">
        <v>35</v>
      </c>
      <c r="F3289" s="1">
        <v>2</v>
      </c>
      <c r="G3289" s="1" t="s">
        <v>28</v>
      </c>
      <c r="H3289" s="4" t="str">
        <f>HYPERLINK("https://www.ncbi.nlm.nih.gov/geo/query/acc.cgi?acc=GSM34424","GSM34424")</f>
        <v>GSM34424</v>
      </c>
      <c r="I3289" t="s">
        <v>17</v>
      </c>
      <c r="J3289" t="s">
        <v>18</v>
      </c>
      <c r="K3289" t="s">
        <v>33</v>
      </c>
      <c r="L3289" t="s">
        <v>20</v>
      </c>
      <c r="N3289" t="s">
        <v>29</v>
      </c>
    </row>
    <row r="3290" spans="1:14">
      <c r="A3290" s="4" t="str">
        <f t="shared" si="312"/>
        <v>EXP00104</v>
      </c>
      <c r="B3290" s="4" t="str">
        <f t="shared" si="309"/>
        <v>19291283</v>
      </c>
      <c r="C3290" s="4" t="str">
        <f t="shared" si="310"/>
        <v>GSE3521</v>
      </c>
      <c r="D3290" s="1" t="s">
        <v>38</v>
      </c>
      <c r="E3290" t="s">
        <v>35</v>
      </c>
      <c r="F3290" s="1">
        <v>2</v>
      </c>
      <c r="G3290" s="1" t="s">
        <v>28</v>
      </c>
      <c r="H3290" s="4" t="str">
        <f>HYPERLINK("https://www.ncbi.nlm.nih.gov/geo/query/acc.cgi?acc=GSM34425","GSM34425")</f>
        <v>GSM34425</v>
      </c>
      <c r="I3290" t="s">
        <v>17</v>
      </c>
      <c r="J3290" t="s">
        <v>18</v>
      </c>
      <c r="K3290" t="s">
        <v>33</v>
      </c>
      <c r="L3290" t="s">
        <v>20</v>
      </c>
      <c r="N3290" t="s">
        <v>29</v>
      </c>
    </row>
    <row r="3291" spans="1:14">
      <c r="A3291" s="4" t="str">
        <f t="shared" si="312"/>
        <v>EXP00104</v>
      </c>
      <c r="B3291" s="4" t="str">
        <f t="shared" si="309"/>
        <v>19291283</v>
      </c>
      <c r="C3291" s="4" t="str">
        <f t="shared" si="310"/>
        <v>GSE3521</v>
      </c>
      <c r="D3291" s="1" t="s">
        <v>38</v>
      </c>
      <c r="E3291" t="s">
        <v>35</v>
      </c>
      <c r="F3291" s="1">
        <v>2</v>
      </c>
      <c r="G3291" s="1" t="s">
        <v>28</v>
      </c>
      <c r="H3291" s="4" t="str">
        <f>HYPERLINK("https://www.ncbi.nlm.nih.gov/geo/query/acc.cgi?acc=GSM34426","GSM34426")</f>
        <v>GSM34426</v>
      </c>
      <c r="I3291" t="s">
        <v>17</v>
      </c>
      <c r="J3291" t="s">
        <v>18</v>
      </c>
      <c r="K3291" t="s">
        <v>33</v>
      </c>
      <c r="L3291" t="s">
        <v>20</v>
      </c>
      <c r="N3291" t="s">
        <v>29</v>
      </c>
    </row>
    <row r="3292" spans="1:14">
      <c r="A3292" s="4" t="str">
        <f t="shared" si="312"/>
        <v>EXP00104</v>
      </c>
      <c r="B3292" s="4" t="str">
        <f t="shared" si="309"/>
        <v>19291283</v>
      </c>
      <c r="C3292" s="4" t="str">
        <f t="shared" si="310"/>
        <v>GSE3521</v>
      </c>
      <c r="D3292" s="1" t="s">
        <v>38</v>
      </c>
      <c r="E3292" t="s">
        <v>35</v>
      </c>
      <c r="F3292" s="1">
        <v>2</v>
      </c>
      <c r="G3292" s="1" t="s">
        <v>28</v>
      </c>
      <c r="H3292" s="4" t="str">
        <f>HYPERLINK("https://www.ncbi.nlm.nih.gov/geo/query/acc.cgi?acc=GSM34428","GSM34428")</f>
        <v>GSM34428</v>
      </c>
      <c r="I3292" t="s">
        <v>17</v>
      </c>
      <c r="J3292" t="s">
        <v>18</v>
      </c>
      <c r="K3292" t="s">
        <v>33</v>
      </c>
      <c r="L3292" t="s">
        <v>20</v>
      </c>
      <c r="N3292" t="s">
        <v>29</v>
      </c>
    </row>
    <row r="3293" spans="1:14">
      <c r="A3293" s="4" t="str">
        <f t="shared" si="312"/>
        <v>EXP00104</v>
      </c>
      <c r="B3293" s="4" t="str">
        <f t="shared" si="309"/>
        <v>19291283</v>
      </c>
      <c r="C3293" s="4" t="str">
        <f t="shared" si="310"/>
        <v>GSE3521</v>
      </c>
      <c r="D3293" s="1" t="s">
        <v>38</v>
      </c>
      <c r="E3293" t="s">
        <v>35</v>
      </c>
      <c r="F3293" s="1">
        <v>2</v>
      </c>
      <c r="G3293" s="1" t="s">
        <v>28</v>
      </c>
      <c r="H3293" s="4" t="str">
        <f>HYPERLINK("https://www.ncbi.nlm.nih.gov/geo/query/acc.cgi?acc=GSM34429","GSM34429")</f>
        <v>GSM34429</v>
      </c>
      <c r="I3293" t="s">
        <v>17</v>
      </c>
      <c r="J3293" t="s">
        <v>18</v>
      </c>
      <c r="K3293" t="s">
        <v>33</v>
      </c>
      <c r="L3293" t="s">
        <v>20</v>
      </c>
      <c r="N3293" t="s">
        <v>29</v>
      </c>
    </row>
    <row r="3294" spans="1:14">
      <c r="A3294" s="4" t="str">
        <f t="shared" si="312"/>
        <v>EXP00104</v>
      </c>
      <c r="B3294" s="4" t="str">
        <f t="shared" si="309"/>
        <v>19291283</v>
      </c>
      <c r="C3294" s="4" t="str">
        <f t="shared" si="310"/>
        <v>GSE3521</v>
      </c>
      <c r="D3294" s="1" t="s">
        <v>38</v>
      </c>
      <c r="E3294" t="s">
        <v>35</v>
      </c>
      <c r="F3294" s="1">
        <v>2</v>
      </c>
      <c r="G3294" s="1" t="s">
        <v>28</v>
      </c>
      <c r="H3294" s="4" t="str">
        <f>HYPERLINK("https://www.ncbi.nlm.nih.gov/geo/query/acc.cgi?acc=GSM34430","GSM34430")</f>
        <v>GSM34430</v>
      </c>
      <c r="I3294" t="s">
        <v>17</v>
      </c>
      <c r="J3294" t="s">
        <v>18</v>
      </c>
      <c r="K3294" t="s">
        <v>33</v>
      </c>
      <c r="L3294" t="s">
        <v>20</v>
      </c>
      <c r="N3294" t="s">
        <v>29</v>
      </c>
    </row>
    <row r="3295" spans="1:14">
      <c r="A3295" s="4" t="str">
        <f t="shared" si="312"/>
        <v>EXP00104</v>
      </c>
      <c r="B3295" s="4" t="str">
        <f t="shared" si="309"/>
        <v>19291283</v>
      </c>
      <c r="C3295" s="4" t="str">
        <f t="shared" si="310"/>
        <v>GSE3521</v>
      </c>
      <c r="D3295" s="1" t="s">
        <v>38</v>
      </c>
      <c r="E3295" t="s">
        <v>35</v>
      </c>
      <c r="F3295" s="1">
        <v>2</v>
      </c>
      <c r="G3295" s="1" t="s">
        <v>28</v>
      </c>
      <c r="H3295" s="4" t="str">
        <f>HYPERLINK("https://www.ncbi.nlm.nih.gov/geo/query/acc.cgi?acc=GSM34437","GSM34437")</f>
        <v>GSM34437</v>
      </c>
      <c r="I3295" t="s">
        <v>17</v>
      </c>
      <c r="J3295" t="s">
        <v>18</v>
      </c>
      <c r="K3295" t="s">
        <v>33</v>
      </c>
      <c r="L3295" t="s">
        <v>20</v>
      </c>
      <c r="N3295" t="s">
        <v>29</v>
      </c>
    </row>
    <row r="3296" spans="1:14">
      <c r="A3296" s="4" t="str">
        <f t="shared" si="312"/>
        <v>EXP00104</v>
      </c>
      <c r="B3296" s="4" t="str">
        <f t="shared" si="309"/>
        <v>19291283</v>
      </c>
      <c r="C3296" s="4" t="str">
        <f t="shared" si="310"/>
        <v>GSE3521</v>
      </c>
      <c r="D3296" s="1" t="s">
        <v>38</v>
      </c>
      <c r="E3296" t="s">
        <v>35</v>
      </c>
      <c r="F3296" s="1">
        <v>2</v>
      </c>
      <c r="G3296" s="1" t="s">
        <v>28</v>
      </c>
      <c r="H3296" s="4" t="str">
        <f>HYPERLINK("https://www.ncbi.nlm.nih.gov/geo/query/acc.cgi?acc=GSM34439","GSM34439")</f>
        <v>GSM34439</v>
      </c>
      <c r="I3296" t="s">
        <v>17</v>
      </c>
      <c r="J3296" t="s">
        <v>18</v>
      </c>
      <c r="K3296" t="s">
        <v>33</v>
      </c>
      <c r="L3296" t="s">
        <v>20</v>
      </c>
      <c r="N3296" t="s">
        <v>29</v>
      </c>
    </row>
    <row r="3297" spans="1:14">
      <c r="A3297" s="4" t="str">
        <f t="shared" si="312"/>
        <v>EXP00104</v>
      </c>
      <c r="B3297" s="4" t="str">
        <f t="shared" si="309"/>
        <v>19291283</v>
      </c>
      <c r="C3297" s="4" t="str">
        <f t="shared" si="310"/>
        <v>GSE3521</v>
      </c>
      <c r="D3297" s="1" t="s">
        <v>38</v>
      </c>
      <c r="E3297" t="s">
        <v>35</v>
      </c>
      <c r="F3297" s="1">
        <v>2</v>
      </c>
      <c r="G3297" s="1" t="s">
        <v>28</v>
      </c>
      <c r="H3297" s="4" t="str">
        <f>HYPERLINK("https://www.ncbi.nlm.nih.gov/geo/query/acc.cgi?acc=GSM34461","GSM34461")</f>
        <v>GSM34461</v>
      </c>
      <c r="I3297" t="s">
        <v>17</v>
      </c>
      <c r="J3297" t="s">
        <v>18</v>
      </c>
      <c r="K3297" t="s">
        <v>33</v>
      </c>
      <c r="L3297" t="s">
        <v>20</v>
      </c>
      <c r="N3297" t="s">
        <v>29</v>
      </c>
    </row>
    <row r="3298" spans="1:14">
      <c r="A3298" s="4" t="str">
        <f t="shared" si="312"/>
        <v>EXP00104</v>
      </c>
      <c r="B3298" s="4" t="str">
        <f t="shared" si="309"/>
        <v>19291283</v>
      </c>
      <c r="C3298" s="4" t="str">
        <f t="shared" si="310"/>
        <v>GSE3521</v>
      </c>
      <c r="D3298" s="1" t="s">
        <v>38</v>
      </c>
      <c r="E3298" t="s">
        <v>35</v>
      </c>
      <c r="F3298" s="1">
        <v>2</v>
      </c>
      <c r="G3298" s="1" t="s">
        <v>28</v>
      </c>
      <c r="H3298" s="4" t="str">
        <f>HYPERLINK("https://www.ncbi.nlm.nih.gov/geo/query/acc.cgi?acc=GSM34462","GSM34462")</f>
        <v>GSM34462</v>
      </c>
      <c r="I3298" t="s">
        <v>17</v>
      </c>
      <c r="J3298" t="s">
        <v>18</v>
      </c>
      <c r="K3298" t="s">
        <v>33</v>
      </c>
      <c r="L3298" t="s">
        <v>20</v>
      </c>
      <c r="N3298" t="s">
        <v>29</v>
      </c>
    </row>
    <row r="3299" spans="1:14">
      <c r="A3299" s="4" t="str">
        <f t="shared" si="312"/>
        <v>EXP00104</v>
      </c>
      <c r="B3299" s="4" t="str">
        <f t="shared" si="309"/>
        <v>19291283</v>
      </c>
      <c r="C3299" s="4" t="str">
        <f t="shared" si="310"/>
        <v>GSE3521</v>
      </c>
      <c r="D3299" s="1" t="s">
        <v>38</v>
      </c>
      <c r="E3299" t="s">
        <v>35</v>
      </c>
      <c r="F3299" s="1">
        <v>2</v>
      </c>
      <c r="G3299" s="1" t="s">
        <v>28</v>
      </c>
      <c r="H3299" s="4" t="str">
        <f>HYPERLINK("https://www.ncbi.nlm.nih.gov/geo/query/acc.cgi?acc=GSM34463","GSM34463")</f>
        <v>GSM34463</v>
      </c>
      <c r="I3299" t="s">
        <v>17</v>
      </c>
      <c r="J3299" t="s">
        <v>18</v>
      </c>
      <c r="K3299" t="s">
        <v>33</v>
      </c>
      <c r="L3299" t="s">
        <v>20</v>
      </c>
      <c r="N3299" t="s">
        <v>29</v>
      </c>
    </row>
    <row r="3300" spans="1:14">
      <c r="A3300" s="4" t="str">
        <f t="shared" si="312"/>
        <v>EXP00104</v>
      </c>
      <c r="B3300" s="4" t="str">
        <f t="shared" si="309"/>
        <v>19291283</v>
      </c>
      <c r="C3300" s="4" t="str">
        <f t="shared" si="310"/>
        <v>GSE3521</v>
      </c>
      <c r="D3300" s="1" t="s">
        <v>38</v>
      </c>
      <c r="E3300" t="s">
        <v>35</v>
      </c>
      <c r="F3300" s="1">
        <v>2</v>
      </c>
      <c r="G3300" s="1" t="s">
        <v>28</v>
      </c>
      <c r="H3300" s="4" t="str">
        <f>HYPERLINK("https://www.ncbi.nlm.nih.gov/geo/query/acc.cgi?acc=GSM34470","GSM34470")</f>
        <v>GSM34470</v>
      </c>
      <c r="I3300" t="s">
        <v>17</v>
      </c>
      <c r="J3300" t="s">
        <v>18</v>
      </c>
      <c r="K3300" t="s">
        <v>33</v>
      </c>
      <c r="L3300" t="s">
        <v>20</v>
      </c>
      <c r="N3300" t="s">
        <v>29</v>
      </c>
    </row>
    <row r="3301" spans="1:14">
      <c r="A3301" s="4" t="str">
        <f t="shared" si="312"/>
        <v>EXP00104</v>
      </c>
      <c r="B3301" s="4" t="str">
        <f t="shared" si="309"/>
        <v>19291283</v>
      </c>
      <c r="C3301" s="4" t="str">
        <f t="shared" si="310"/>
        <v>GSE3521</v>
      </c>
      <c r="D3301" s="1" t="s">
        <v>38</v>
      </c>
      <c r="E3301" t="s">
        <v>35</v>
      </c>
      <c r="F3301" s="1">
        <v>2</v>
      </c>
      <c r="G3301" s="1" t="s">
        <v>28</v>
      </c>
      <c r="H3301" s="4" t="str">
        <f>HYPERLINK("https://www.ncbi.nlm.nih.gov/geo/query/acc.cgi?acc=GSM34476","GSM34476")</f>
        <v>GSM34476</v>
      </c>
      <c r="I3301" t="s">
        <v>17</v>
      </c>
      <c r="J3301" t="s">
        <v>18</v>
      </c>
      <c r="K3301" t="s">
        <v>33</v>
      </c>
      <c r="L3301" t="s">
        <v>20</v>
      </c>
      <c r="N3301" t="s">
        <v>29</v>
      </c>
    </row>
    <row r="3302" spans="1:14">
      <c r="A3302" s="4" t="str">
        <f t="shared" si="312"/>
        <v>EXP00104</v>
      </c>
      <c r="B3302" s="4" t="str">
        <f t="shared" si="309"/>
        <v>19291283</v>
      </c>
      <c r="C3302" s="4" t="str">
        <f t="shared" si="310"/>
        <v>GSE3521</v>
      </c>
      <c r="D3302" s="1" t="s">
        <v>38</v>
      </c>
      <c r="E3302" t="s">
        <v>35</v>
      </c>
      <c r="F3302" s="1">
        <v>2</v>
      </c>
      <c r="G3302" s="1" t="s">
        <v>28</v>
      </c>
      <c r="H3302" s="4" t="str">
        <f>HYPERLINK("https://www.ncbi.nlm.nih.gov/geo/query/acc.cgi?acc=GSM34477","GSM34477")</f>
        <v>GSM34477</v>
      </c>
      <c r="I3302" t="s">
        <v>17</v>
      </c>
      <c r="J3302" t="s">
        <v>18</v>
      </c>
      <c r="K3302" t="s">
        <v>33</v>
      </c>
      <c r="L3302" t="s">
        <v>20</v>
      </c>
      <c r="N3302" t="s">
        <v>29</v>
      </c>
    </row>
    <row r="3303" spans="1:14">
      <c r="A3303" s="4" t="str">
        <f t="shared" si="312"/>
        <v>EXP00104</v>
      </c>
      <c r="B3303" s="4" t="str">
        <f t="shared" si="309"/>
        <v>19291283</v>
      </c>
      <c r="C3303" s="4" t="str">
        <f t="shared" si="310"/>
        <v>GSE3521</v>
      </c>
      <c r="D3303" s="1" t="s">
        <v>38</v>
      </c>
      <c r="E3303" t="s">
        <v>35</v>
      </c>
      <c r="F3303" s="1">
        <v>2</v>
      </c>
      <c r="G3303" s="1" t="s">
        <v>28</v>
      </c>
      <c r="H3303" s="4" t="str">
        <f>HYPERLINK("https://www.ncbi.nlm.nih.gov/geo/query/acc.cgi?acc=GSM34478","GSM34478")</f>
        <v>GSM34478</v>
      </c>
      <c r="I3303" t="s">
        <v>17</v>
      </c>
      <c r="J3303" t="s">
        <v>18</v>
      </c>
      <c r="K3303" t="s">
        <v>33</v>
      </c>
      <c r="L3303" t="s">
        <v>20</v>
      </c>
      <c r="N3303" t="s">
        <v>29</v>
      </c>
    </row>
    <row r="3304" spans="1:14">
      <c r="A3304" s="4" t="str">
        <f t="shared" si="312"/>
        <v>EXP00104</v>
      </c>
      <c r="B3304" s="4" t="str">
        <f t="shared" si="309"/>
        <v>19291283</v>
      </c>
      <c r="C3304" s="4" t="str">
        <f t="shared" si="310"/>
        <v>GSE3521</v>
      </c>
      <c r="D3304" s="1" t="s">
        <v>38</v>
      </c>
      <c r="E3304" t="s">
        <v>35</v>
      </c>
      <c r="F3304" s="1">
        <v>2</v>
      </c>
      <c r="G3304" s="1" t="s">
        <v>28</v>
      </c>
      <c r="H3304" s="4" t="str">
        <f>HYPERLINK("https://www.ncbi.nlm.nih.gov/geo/query/acc.cgi?acc=GSM34484","GSM34484")</f>
        <v>GSM34484</v>
      </c>
      <c r="I3304" t="s">
        <v>17</v>
      </c>
      <c r="J3304" t="s">
        <v>18</v>
      </c>
      <c r="K3304" t="s">
        <v>33</v>
      </c>
      <c r="L3304" t="s">
        <v>20</v>
      </c>
      <c r="N3304" t="s">
        <v>29</v>
      </c>
    </row>
    <row r="3305" spans="1:14">
      <c r="A3305" s="4" t="str">
        <f t="shared" si="312"/>
        <v>EXP00104</v>
      </c>
      <c r="B3305" s="4" t="str">
        <f t="shared" si="309"/>
        <v>19291283</v>
      </c>
      <c r="C3305" s="4" t="str">
        <f t="shared" si="310"/>
        <v>GSE3521</v>
      </c>
      <c r="D3305" s="1" t="s">
        <v>38</v>
      </c>
      <c r="E3305" t="s">
        <v>35</v>
      </c>
      <c r="F3305" s="1">
        <v>2</v>
      </c>
      <c r="G3305" s="1" t="s">
        <v>28</v>
      </c>
      <c r="H3305" s="4" t="str">
        <f>HYPERLINK("https://www.ncbi.nlm.nih.gov/geo/query/acc.cgi?acc=GSM34485","GSM34485")</f>
        <v>GSM34485</v>
      </c>
      <c r="I3305" t="s">
        <v>17</v>
      </c>
      <c r="J3305" t="s">
        <v>18</v>
      </c>
      <c r="K3305" t="s">
        <v>33</v>
      </c>
      <c r="L3305" t="s">
        <v>20</v>
      </c>
      <c r="N3305" t="s">
        <v>29</v>
      </c>
    </row>
    <row r="3306" spans="1:14">
      <c r="A3306" s="4" t="str">
        <f t="shared" si="312"/>
        <v>EXP00104</v>
      </c>
      <c r="B3306" s="4" t="str">
        <f t="shared" si="309"/>
        <v>19291283</v>
      </c>
      <c r="C3306" s="4" t="str">
        <f t="shared" si="310"/>
        <v>GSE3521</v>
      </c>
      <c r="D3306" s="1" t="s">
        <v>38</v>
      </c>
      <c r="E3306" t="s">
        <v>35</v>
      </c>
      <c r="F3306" s="1">
        <v>2</v>
      </c>
      <c r="G3306" s="1" t="s">
        <v>28</v>
      </c>
      <c r="H3306" s="4" t="str">
        <f>HYPERLINK("https://www.ncbi.nlm.nih.gov/geo/query/acc.cgi?acc=GSM34487","GSM34487")</f>
        <v>GSM34487</v>
      </c>
      <c r="I3306" t="s">
        <v>17</v>
      </c>
      <c r="J3306" t="s">
        <v>18</v>
      </c>
      <c r="K3306" t="s">
        <v>33</v>
      </c>
      <c r="L3306" t="s">
        <v>20</v>
      </c>
      <c r="N3306" t="s">
        <v>29</v>
      </c>
    </row>
    <row r="3307" spans="1:14">
      <c r="A3307" s="4" t="str">
        <f t="shared" si="312"/>
        <v>EXP00104</v>
      </c>
      <c r="B3307" s="4" t="str">
        <f t="shared" si="309"/>
        <v>19291283</v>
      </c>
      <c r="C3307" s="4" t="str">
        <f t="shared" si="310"/>
        <v>GSE3521</v>
      </c>
      <c r="D3307" s="1" t="s">
        <v>38</v>
      </c>
      <c r="E3307" t="s">
        <v>35</v>
      </c>
      <c r="F3307" s="1">
        <v>2</v>
      </c>
      <c r="G3307" s="1" t="s">
        <v>28</v>
      </c>
      <c r="H3307" s="4" t="str">
        <f>HYPERLINK("https://www.ncbi.nlm.nih.gov/geo/query/acc.cgi?acc=GSM34489","GSM34489")</f>
        <v>GSM34489</v>
      </c>
      <c r="I3307" t="s">
        <v>17</v>
      </c>
      <c r="J3307" t="s">
        <v>18</v>
      </c>
      <c r="K3307" t="s">
        <v>33</v>
      </c>
      <c r="L3307" t="s">
        <v>20</v>
      </c>
      <c r="N3307" t="s">
        <v>29</v>
      </c>
    </row>
    <row r="3308" spans="1:14">
      <c r="A3308" s="4" t="str">
        <f t="shared" si="312"/>
        <v>EXP00104</v>
      </c>
      <c r="B3308" s="4" t="str">
        <f t="shared" si="309"/>
        <v>19291283</v>
      </c>
      <c r="C3308" s="4" t="str">
        <f t="shared" si="310"/>
        <v>GSE3521</v>
      </c>
      <c r="D3308" s="1" t="s">
        <v>38</v>
      </c>
      <c r="E3308" t="s">
        <v>35</v>
      </c>
      <c r="F3308" s="1">
        <v>2</v>
      </c>
      <c r="G3308" s="1" t="s">
        <v>28</v>
      </c>
      <c r="H3308" s="4" t="str">
        <f>HYPERLINK("https://www.ncbi.nlm.nih.gov/geo/query/acc.cgi?acc=GSM34492","GSM34492")</f>
        <v>GSM34492</v>
      </c>
      <c r="I3308" t="s">
        <v>17</v>
      </c>
      <c r="J3308" t="s">
        <v>18</v>
      </c>
      <c r="K3308" t="s">
        <v>33</v>
      </c>
      <c r="L3308" t="s">
        <v>20</v>
      </c>
      <c r="N3308" t="s">
        <v>29</v>
      </c>
    </row>
    <row r="3309" spans="1:14">
      <c r="A3309" s="4" t="str">
        <f t="shared" si="312"/>
        <v>EXP00104</v>
      </c>
      <c r="B3309" s="4" t="str">
        <f t="shared" si="309"/>
        <v>19291283</v>
      </c>
      <c r="C3309" s="4" t="str">
        <f t="shared" si="310"/>
        <v>GSE3521</v>
      </c>
      <c r="D3309" s="1" t="s">
        <v>38</v>
      </c>
      <c r="E3309" t="s">
        <v>35</v>
      </c>
      <c r="F3309" s="1">
        <v>2</v>
      </c>
      <c r="G3309" s="1" t="s">
        <v>28</v>
      </c>
      <c r="H3309" s="4" t="str">
        <f>HYPERLINK("https://www.ncbi.nlm.nih.gov/geo/query/acc.cgi?acc=GSM34499","GSM34499")</f>
        <v>GSM34499</v>
      </c>
      <c r="I3309" t="s">
        <v>17</v>
      </c>
      <c r="J3309" t="s">
        <v>18</v>
      </c>
      <c r="K3309" t="s">
        <v>33</v>
      </c>
      <c r="L3309" t="s">
        <v>20</v>
      </c>
      <c r="N3309" t="s">
        <v>29</v>
      </c>
    </row>
    <row r="3310" spans="1:14">
      <c r="A3310" s="4" t="str">
        <f t="shared" si="312"/>
        <v>EXP00104</v>
      </c>
      <c r="B3310" s="4" t="str">
        <f t="shared" si="309"/>
        <v>19291283</v>
      </c>
      <c r="C3310" s="4" t="str">
        <f t="shared" si="310"/>
        <v>GSE3521</v>
      </c>
      <c r="D3310" s="1" t="s">
        <v>38</v>
      </c>
      <c r="E3310" t="s">
        <v>35</v>
      </c>
      <c r="F3310" s="1">
        <v>2</v>
      </c>
      <c r="G3310" s="1" t="s">
        <v>28</v>
      </c>
      <c r="H3310" s="4" t="str">
        <f>HYPERLINK("https://www.ncbi.nlm.nih.gov/geo/query/acc.cgi?acc=GSM34504","GSM34504")</f>
        <v>GSM34504</v>
      </c>
      <c r="I3310" t="s">
        <v>17</v>
      </c>
      <c r="J3310" t="s">
        <v>18</v>
      </c>
      <c r="K3310" t="s">
        <v>33</v>
      </c>
      <c r="L3310" t="s">
        <v>20</v>
      </c>
      <c r="N3310" t="s">
        <v>29</v>
      </c>
    </row>
    <row r="3311" spans="1:14">
      <c r="A3311" s="4" t="str">
        <f t="shared" si="312"/>
        <v>EXP00104</v>
      </c>
      <c r="B3311" s="4" t="str">
        <f t="shared" si="309"/>
        <v>19291283</v>
      </c>
      <c r="C3311" s="4" t="str">
        <f t="shared" si="310"/>
        <v>GSE3521</v>
      </c>
      <c r="D3311" s="1" t="s">
        <v>38</v>
      </c>
      <c r="E3311" t="s">
        <v>35</v>
      </c>
      <c r="F3311" s="1">
        <v>2</v>
      </c>
      <c r="G3311" s="1" t="s">
        <v>28</v>
      </c>
      <c r="H3311" s="4" t="str">
        <f>HYPERLINK("https://www.ncbi.nlm.nih.gov/geo/query/acc.cgi?acc=GSM34505","GSM34505")</f>
        <v>GSM34505</v>
      </c>
      <c r="I3311" t="s">
        <v>17</v>
      </c>
      <c r="J3311" t="s">
        <v>18</v>
      </c>
      <c r="K3311" t="s">
        <v>33</v>
      </c>
      <c r="L3311" t="s">
        <v>20</v>
      </c>
      <c r="N3311" t="s">
        <v>29</v>
      </c>
    </row>
    <row r="3312" spans="1:14">
      <c r="A3312" s="4" t="str">
        <f t="shared" si="312"/>
        <v>EXP00104</v>
      </c>
      <c r="B3312" s="4" t="str">
        <f t="shared" si="309"/>
        <v>19291283</v>
      </c>
      <c r="C3312" s="4" t="str">
        <f t="shared" si="310"/>
        <v>GSE3521</v>
      </c>
      <c r="D3312" s="1" t="s">
        <v>38</v>
      </c>
      <c r="E3312" t="s">
        <v>35</v>
      </c>
      <c r="F3312" s="1">
        <v>2</v>
      </c>
      <c r="G3312" s="1" t="s">
        <v>28</v>
      </c>
      <c r="H3312" s="4" t="str">
        <f>HYPERLINK("https://www.ncbi.nlm.nih.gov/geo/query/acc.cgi?acc=GSM34506","GSM34506")</f>
        <v>GSM34506</v>
      </c>
      <c r="I3312" t="s">
        <v>17</v>
      </c>
      <c r="J3312" t="s">
        <v>18</v>
      </c>
      <c r="K3312" t="s">
        <v>33</v>
      </c>
      <c r="L3312" t="s">
        <v>20</v>
      </c>
      <c r="N3312" t="s">
        <v>29</v>
      </c>
    </row>
    <row r="3313" spans="1:14">
      <c r="A3313" s="4" t="str">
        <f t="shared" si="312"/>
        <v>EXP00104</v>
      </c>
      <c r="B3313" s="4" t="str">
        <f t="shared" si="309"/>
        <v>19291283</v>
      </c>
      <c r="C3313" s="4" t="str">
        <f t="shared" si="310"/>
        <v>GSE3521</v>
      </c>
      <c r="D3313" s="1" t="s">
        <v>38</v>
      </c>
      <c r="E3313" t="s">
        <v>35</v>
      </c>
      <c r="F3313" s="1">
        <v>2</v>
      </c>
      <c r="G3313" s="1" t="s">
        <v>28</v>
      </c>
      <c r="H3313" s="4" t="str">
        <f>HYPERLINK("https://www.ncbi.nlm.nih.gov/geo/query/acc.cgi?acc=GSM34507","GSM34507")</f>
        <v>GSM34507</v>
      </c>
      <c r="I3313" t="s">
        <v>17</v>
      </c>
      <c r="J3313" t="s">
        <v>18</v>
      </c>
      <c r="K3313" t="s">
        <v>33</v>
      </c>
      <c r="L3313" t="s">
        <v>20</v>
      </c>
      <c r="N3313" t="s">
        <v>29</v>
      </c>
    </row>
    <row r="3314" spans="1:14">
      <c r="A3314" s="4" t="str">
        <f t="shared" si="312"/>
        <v>EXP00104</v>
      </c>
      <c r="B3314" s="4" t="str">
        <f t="shared" si="309"/>
        <v>19291283</v>
      </c>
      <c r="C3314" s="4" t="str">
        <f t="shared" si="310"/>
        <v>GSE3521</v>
      </c>
      <c r="D3314" s="1" t="s">
        <v>38</v>
      </c>
      <c r="E3314" t="s">
        <v>35</v>
      </c>
      <c r="F3314" s="1">
        <v>2</v>
      </c>
      <c r="G3314" s="1" t="s">
        <v>28</v>
      </c>
      <c r="H3314" s="4" t="str">
        <f>HYPERLINK("https://www.ncbi.nlm.nih.gov/geo/query/acc.cgi?acc=GSM34508","GSM34508")</f>
        <v>GSM34508</v>
      </c>
      <c r="I3314" t="s">
        <v>17</v>
      </c>
      <c r="J3314" t="s">
        <v>18</v>
      </c>
      <c r="K3314" t="s">
        <v>33</v>
      </c>
      <c r="L3314" t="s">
        <v>20</v>
      </c>
      <c r="N3314" t="s">
        <v>29</v>
      </c>
    </row>
    <row r="3315" spans="1:14">
      <c r="A3315" s="4" t="str">
        <f t="shared" si="312"/>
        <v>EXP00104</v>
      </c>
      <c r="B3315" s="4" t="str">
        <f t="shared" ref="B3315:B3378" si="313">HYPERLINK("https://www.ncbi.nlm.nih.gov/pubmed/19291283","19291283")</f>
        <v>19291283</v>
      </c>
      <c r="C3315" s="4" t="str">
        <f t="shared" ref="C3315:C3378" si="314">HYPERLINK("https://www.ncbi.nlm.nih.gov/geo/query/acc.cgi?acc=GSE3521","GSE3521")</f>
        <v>GSE3521</v>
      </c>
      <c r="D3315" s="1" t="s">
        <v>38</v>
      </c>
      <c r="E3315" t="s">
        <v>35</v>
      </c>
      <c r="F3315" s="1">
        <v>2</v>
      </c>
      <c r="G3315" s="1" t="s">
        <v>28</v>
      </c>
      <c r="H3315" s="4" t="str">
        <f>HYPERLINK("https://www.ncbi.nlm.nih.gov/geo/query/acc.cgi?acc=GSM34510","GSM34510")</f>
        <v>GSM34510</v>
      </c>
      <c r="I3315" t="s">
        <v>17</v>
      </c>
      <c r="J3315" t="s">
        <v>18</v>
      </c>
      <c r="K3315" t="s">
        <v>33</v>
      </c>
      <c r="L3315" t="s">
        <v>20</v>
      </c>
      <c r="N3315" t="s">
        <v>29</v>
      </c>
    </row>
    <row r="3316" spans="1:14">
      <c r="A3316" s="4" t="str">
        <f t="shared" si="312"/>
        <v>EXP00104</v>
      </c>
      <c r="B3316" s="4" t="str">
        <f t="shared" si="313"/>
        <v>19291283</v>
      </c>
      <c r="C3316" s="4" t="str">
        <f t="shared" si="314"/>
        <v>GSE3521</v>
      </c>
      <c r="D3316" s="1" t="s">
        <v>38</v>
      </c>
      <c r="E3316" t="s">
        <v>35</v>
      </c>
      <c r="F3316" s="1">
        <v>2</v>
      </c>
      <c r="G3316" s="1" t="s">
        <v>28</v>
      </c>
      <c r="H3316" s="4" t="str">
        <f>HYPERLINK("https://www.ncbi.nlm.nih.gov/geo/query/acc.cgi?acc=GSM34515","GSM34515")</f>
        <v>GSM34515</v>
      </c>
      <c r="I3316" t="s">
        <v>17</v>
      </c>
      <c r="J3316" t="s">
        <v>18</v>
      </c>
      <c r="K3316" t="s">
        <v>33</v>
      </c>
      <c r="L3316" t="s">
        <v>20</v>
      </c>
      <c r="N3316" t="s">
        <v>29</v>
      </c>
    </row>
    <row r="3317" spans="1:14">
      <c r="A3317" s="4" t="str">
        <f t="shared" si="312"/>
        <v>EXP00104</v>
      </c>
      <c r="B3317" s="4" t="str">
        <f t="shared" si="313"/>
        <v>19291283</v>
      </c>
      <c r="C3317" s="4" t="str">
        <f t="shared" si="314"/>
        <v>GSE3521</v>
      </c>
      <c r="D3317" s="1" t="s">
        <v>38</v>
      </c>
      <c r="E3317" t="s">
        <v>35</v>
      </c>
      <c r="F3317" s="1">
        <v>2</v>
      </c>
      <c r="G3317" s="1" t="s">
        <v>28</v>
      </c>
      <c r="H3317" s="4" t="str">
        <f>HYPERLINK("https://www.ncbi.nlm.nih.gov/geo/query/acc.cgi?acc=GSM34516","GSM34516")</f>
        <v>GSM34516</v>
      </c>
      <c r="I3317" t="s">
        <v>17</v>
      </c>
      <c r="J3317" t="s">
        <v>18</v>
      </c>
      <c r="K3317" t="s">
        <v>33</v>
      </c>
      <c r="L3317" t="s">
        <v>20</v>
      </c>
      <c r="N3317" t="s">
        <v>29</v>
      </c>
    </row>
    <row r="3318" spans="1:14">
      <c r="A3318" s="4" t="str">
        <f t="shared" ref="A3318:A3341" si="315">HYPERLINK("http://hcmdb.i-sanger.com/experiment/details/experiment_id/EXP00104","EXP00104")</f>
        <v>EXP00104</v>
      </c>
      <c r="B3318" s="4" t="str">
        <f t="shared" si="313"/>
        <v>19291283</v>
      </c>
      <c r="C3318" s="4" t="str">
        <f t="shared" si="314"/>
        <v>GSE3521</v>
      </c>
      <c r="D3318" s="1" t="s">
        <v>38</v>
      </c>
      <c r="E3318" t="s">
        <v>35</v>
      </c>
      <c r="F3318" s="1">
        <v>2</v>
      </c>
      <c r="G3318" s="1" t="s">
        <v>28</v>
      </c>
      <c r="H3318" s="4" t="str">
        <f>HYPERLINK("https://www.ncbi.nlm.nih.gov/geo/query/acc.cgi?acc=GSM34517","GSM34517")</f>
        <v>GSM34517</v>
      </c>
      <c r="I3318" t="s">
        <v>17</v>
      </c>
      <c r="J3318" t="s">
        <v>18</v>
      </c>
      <c r="K3318" t="s">
        <v>33</v>
      </c>
      <c r="L3318" t="s">
        <v>20</v>
      </c>
      <c r="N3318" t="s">
        <v>29</v>
      </c>
    </row>
    <row r="3319" spans="1:14">
      <c r="A3319" s="4" t="str">
        <f t="shared" si="315"/>
        <v>EXP00104</v>
      </c>
      <c r="B3319" s="4" t="str">
        <f t="shared" si="313"/>
        <v>19291283</v>
      </c>
      <c r="C3319" s="4" t="str">
        <f t="shared" si="314"/>
        <v>GSE3521</v>
      </c>
      <c r="D3319" s="1" t="s">
        <v>38</v>
      </c>
      <c r="E3319" t="s">
        <v>35</v>
      </c>
      <c r="F3319" s="1">
        <v>2</v>
      </c>
      <c r="G3319" s="1" t="s">
        <v>28</v>
      </c>
      <c r="H3319" s="4" t="str">
        <f>HYPERLINK("https://www.ncbi.nlm.nih.gov/geo/query/acc.cgi?acc=GSM34518","GSM34518")</f>
        <v>GSM34518</v>
      </c>
      <c r="I3319" t="s">
        <v>17</v>
      </c>
      <c r="J3319" t="s">
        <v>18</v>
      </c>
      <c r="K3319" t="s">
        <v>33</v>
      </c>
      <c r="L3319" t="s">
        <v>20</v>
      </c>
      <c r="N3319" t="s">
        <v>29</v>
      </c>
    </row>
    <row r="3320" spans="1:14">
      <c r="A3320" s="4" t="str">
        <f t="shared" si="315"/>
        <v>EXP00104</v>
      </c>
      <c r="B3320" s="4" t="str">
        <f t="shared" si="313"/>
        <v>19291283</v>
      </c>
      <c r="C3320" s="4" t="str">
        <f t="shared" si="314"/>
        <v>GSE3521</v>
      </c>
      <c r="D3320" s="1" t="s">
        <v>38</v>
      </c>
      <c r="E3320" t="s">
        <v>35</v>
      </c>
      <c r="F3320" s="1">
        <v>2</v>
      </c>
      <c r="G3320" s="1" t="s">
        <v>28</v>
      </c>
      <c r="H3320" s="4" t="str">
        <f>HYPERLINK("https://www.ncbi.nlm.nih.gov/geo/query/acc.cgi?acc=GSM34519","GSM34519")</f>
        <v>GSM34519</v>
      </c>
      <c r="I3320" t="s">
        <v>17</v>
      </c>
      <c r="J3320" t="s">
        <v>18</v>
      </c>
      <c r="K3320" t="s">
        <v>33</v>
      </c>
      <c r="L3320" t="s">
        <v>20</v>
      </c>
      <c r="N3320" t="s">
        <v>29</v>
      </c>
    </row>
    <row r="3321" spans="1:14">
      <c r="A3321" s="4" t="str">
        <f t="shared" si="315"/>
        <v>EXP00104</v>
      </c>
      <c r="B3321" s="4" t="str">
        <f t="shared" si="313"/>
        <v>19291283</v>
      </c>
      <c r="C3321" s="4" t="str">
        <f t="shared" si="314"/>
        <v>GSE3521</v>
      </c>
      <c r="D3321" s="1" t="s">
        <v>38</v>
      </c>
      <c r="E3321" t="s">
        <v>35</v>
      </c>
      <c r="F3321" s="1">
        <v>2</v>
      </c>
      <c r="G3321" s="1" t="s">
        <v>28</v>
      </c>
      <c r="H3321" s="4" t="str">
        <f>HYPERLINK("https://www.ncbi.nlm.nih.gov/geo/query/acc.cgi?acc=GSM34521","GSM34521")</f>
        <v>GSM34521</v>
      </c>
      <c r="I3321" t="s">
        <v>17</v>
      </c>
      <c r="J3321" t="s">
        <v>18</v>
      </c>
      <c r="K3321" t="s">
        <v>33</v>
      </c>
      <c r="L3321" t="s">
        <v>20</v>
      </c>
      <c r="N3321" t="s">
        <v>29</v>
      </c>
    </row>
    <row r="3322" spans="1:14">
      <c r="A3322" s="4" t="str">
        <f t="shared" si="315"/>
        <v>EXP00104</v>
      </c>
      <c r="B3322" s="4" t="str">
        <f t="shared" si="313"/>
        <v>19291283</v>
      </c>
      <c r="C3322" s="4" t="str">
        <f t="shared" si="314"/>
        <v>GSE3521</v>
      </c>
      <c r="D3322" s="1" t="s">
        <v>38</v>
      </c>
      <c r="E3322" t="s">
        <v>35</v>
      </c>
      <c r="F3322" s="1">
        <v>2</v>
      </c>
      <c r="G3322" s="1" t="s">
        <v>28</v>
      </c>
      <c r="H3322" s="4" t="str">
        <f>HYPERLINK("https://www.ncbi.nlm.nih.gov/geo/query/acc.cgi?acc=GSM34523","GSM34523")</f>
        <v>GSM34523</v>
      </c>
      <c r="I3322" t="s">
        <v>17</v>
      </c>
      <c r="J3322" t="s">
        <v>18</v>
      </c>
      <c r="K3322" t="s">
        <v>33</v>
      </c>
      <c r="L3322" t="s">
        <v>20</v>
      </c>
      <c r="N3322" t="s">
        <v>29</v>
      </c>
    </row>
    <row r="3323" spans="1:14">
      <c r="A3323" s="4" t="str">
        <f t="shared" si="315"/>
        <v>EXP00104</v>
      </c>
      <c r="B3323" s="4" t="str">
        <f t="shared" si="313"/>
        <v>19291283</v>
      </c>
      <c r="C3323" s="4" t="str">
        <f t="shared" si="314"/>
        <v>GSE3521</v>
      </c>
      <c r="D3323" s="1" t="s">
        <v>38</v>
      </c>
      <c r="E3323" t="s">
        <v>35</v>
      </c>
      <c r="F3323" s="1">
        <v>2</v>
      </c>
      <c r="G3323" s="1" t="s">
        <v>28</v>
      </c>
      <c r="H3323" s="4" t="str">
        <f>HYPERLINK("https://www.ncbi.nlm.nih.gov/geo/query/acc.cgi?acc=GSM34525","GSM34525")</f>
        <v>GSM34525</v>
      </c>
      <c r="I3323" t="s">
        <v>17</v>
      </c>
      <c r="J3323" t="s">
        <v>18</v>
      </c>
      <c r="K3323" t="s">
        <v>33</v>
      </c>
      <c r="L3323" t="s">
        <v>20</v>
      </c>
      <c r="N3323" t="s">
        <v>29</v>
      </c>
    </row>
    <row r="3324" spans="1:14">
      <c r="A3324" s="4" t="str">
        <f t="shared" si="315"/>
        <v>EXP00104</v>
      </c>
      <c r="B3324" s="4" t="str">
        <f t="shared" si="313"/>
        <v>19291283</v>
      </c>
      <c r="C3324" s="4" t="str">
        <f t="shared" si="314"/>
        <v>GSE3521</v>
      </c>
      <c r="D3324" s="1" t="s">
        <v>38</v>
      </c>
      <c r="E3324" t="s">
        <v>35</v>
      </c>
      <c r="F3324" s="1">
        <v>2</v>
      </c>
      <c r="G3324" s="1" t="s">
        <v>28</v>
      </c>
      <c r="H3324" s="4" t="str">
        <f>HYPERLINK("https://www.ncbi.nlm.nih.gov/geo/query/acc.cgi?acc=GSM34526","GSM34526")</f>
        <v>GSM34526</v>
      </c>
      <c r="I3324" t="s">
        <v>17</v>
      </c>
      <c r="J3324" t="s">
        <v>18</v>
      </c>
      <c r="K3324" t="s">
        <v>33</v>
      </c>
      <c r="L3324" t="s">
        <v>20</v>
      </c>
      <c r="N3324" t="s">
        <v>29</v>
      </c>
    </row>
    <row r="3325" spans="1:14">
      <c r="A3325" s="4" t="str">
        <f t="shared" si="315"/>
        <v>EXP00104</v>
      </c>
      <c r="B3325" s="4" t="str">
        <f t="shared" si="313"/>
        <v>19291283</v>
      </c>
      <c r="C3325" s="4" t="str">
        <f t="shared" si="314"/>
        <v>GSE3521</v>
      </c>
      <c r="D3325" s="1" t="s">
        <v>38</v>
      </c>
      <c r="E3325" t="s">
        <v>35</v>
      </c>
      <c r="F3325" s="1">
        <v>2</v>
      </c>
      <c r="G3325" s="1" t="s">
        <v>28</v>
      </c>
      <c r="H3325" s="4" t="str">
        <f>HYPERLINK("https://www.ncbi.nlm.nih.gov/geo/query/acc.cgi?acc=GSM34527","GSM34527")</f>
        <v>GSM34527</v>
      </c>
      <c r="I3325" t="s">
        <v>17</v>
      </c>
      <c r="J3325" t="s">
        <v>18</v>
      </c>
      <c r="K3325" t="s">
        <v>33</v>
      </c>
      <c r="L3325" t="s">
        <v>20</v>
      </c>
      <c r="N3325" t="s">
        <v>29</v>
      </c>
    </row>
    <row r="3326" spans="1:14">
      <c r="A3326" s="4" t="str">
        <f t="shared" si="315"/>
        <v>EXP00104</v>
      </c>
      <c r="B3326" s="4" t="str">
        <f t="shared" si="313"/>
        <v>19291283</v>
      </c>
      <c r="C3326" s="4" t="str">
        <f t="shared" si="314"/>
        <v>GSE3521</v>
      </c>
      <c r="D3326" s="1" t="s">
        <v>38</v>
      </c>
      <c r="E3326" t="s">
        <v>35</v>
      </c>
      <c r="F3326" s="1">
        <v>2</v>
      </c>
      <c r="G3326" s="1" t="s">
        <v>28</v>
      </c>
      <c r="H3326" s="4" t="str">
        <f>HYPERLINK("https://www.ncbi.nlm.nih.gov/geo/query/acc.cgi?acc=GSM34528","GSM34528")</f>
        <v>GSM34528</v>
      </c>
      <c r="I3326" t="s">
        <v>17</v>
      </c>
      <c r="J3326" t="s">
        <v>18</v>
      </c>
      <c r="K3326" t="s">
        <v>33</v>
      </c>
      <c r="L3326" t="s">
        <v>20</v>
      </c>
      <c r="N3326" t="s">
        <v>29</v>
      </c>
    </row>
    <row r="3327" spans="1:14">
      <c r="A3327" s="4" t="str">
        <f t="shared" si="315"/>
        <v>EXP00104</v>
      </c>
      <c r="B3327" s="4" t="str">
        <f t="shared" si="313"/>
        <v>19291283</v>
      </c>
      <c r="C3327" s="4" t="str">
        <f t="shared" si="314"/>
        <v>GSE3521</v>
      </c>
      <c r="D3327" s="1" t="s">
        <v>38</v>
      </c>
      <c r="E3327" t="s">
        <v>35</v>
      </c>
      <c r="F3327" s="1">
        <v>2</v>
      </c>
      <c r="G3327" s="1" t="s">
        <v>28</v>
      </c>
      <c r="H3327" s="4" t="str">
        <f>HYPERLINK("https://www.ncbi.nlm.nih.gov/geo/query/acc.cgi?acc=GSM34529","GSM34529")</f>
        <v>GSM34529</v>
      </c>
      <c r="I3327" t="s">
        <v>17</v>
      </c>
      <c r="J3327" t="s">
        <v>18</v>
      </c>
      <c r="K3327" t="s">
        <v>33</v>
      </c>
      <c r="L3327" t="s">
        <v>20</v>
      </c>
      <c r="N3327" t="s">
        <v>29</v>
      </c>
    </row>
    <row r="3328" spans="1:14">
      <c r="A3328" s="4" t="str">
        <f t="shared" si="315"/>
        <v>EXP00104</v>
      </c>
      <c r="B3328" s="4" t="str">
        <f t="shared" si="313"/>
        <v>19291283</v>
      </c>
      <c r="C3328" s="4" t="str">
        <f t="shared" si="314"/>
        <v>GSE3521</v>
      </c>
      <c r="D3328" s="1" t="s">
        <v>38</v>
      </c>
      <c r="E3328" t="s">
        <v>35</v>
      </c>
      <c r="F3328" s="1">
        <v>2</v>
      </c>
      <c r="G3328" s="1" t="s">
        <v>28</v>
      </c>
      <c r="H3328" s="4" t="str">
        <f>HYPERLINK("https://www.ncbi.nlm.nih.gov/geo/query/acc.cgi?acc=GSM34530","GSM34530")</f>
        <v>GSM34530</v>
      </c>
      <c r="I3328" t="s">
        <v>17</v>
      </c>
      <c r="J3328" t="s">
        <v>18</v>
      </c>
      <c r="K3328" t="s">
        <v>33</v>
      </c>
      <c r="L3328" t="s">
        <v>20</v>
      </c>
      <c r="N3328" t="s">
        <v>29</v>
      </c>
    </row>
    <row r="3329" spans="1:14">
      <c r="A3329" s="4" t="str">
        <f t="shared" si="315"/>
        <v>EXP00104</v>
      </c>
      <c r="B3329" s="4" t="str">
        <f t="shared" si="313"/>
        <v>19291283</v>
      </c>
      <c r="C3329" s="4" t="str">
        <f t="shared" si="314"/>
        <v>GSE3521</v>
      </c>
      <c r="D3329" s="1" t="s">
        <v>38</v>
      </c>
      <c r="E3329" t="s">
        <v>35</v>
      </c>
      <c r="F3329" s="1">
        <v>2</v>
      </c>
      <c r="G3329" s="1" t="s">
        <v>28</v>
      </c>
      <c r="H3329" s="4" t="str">
        <f>HYPERLINK("https://www.ncbi.nlm.nih.gov/geo/query/acc.cgi?acc=GSM34531","GSM34531")</f>
        <v>GSM34531</v>
      </c>
      <c r="I3329" t="s">
        <v>17</v>
      </c>
      <c r="J3329" t="s">
        <v>18</v>
      </c>
      <c r="K3329" t="s">
        <v>33</v>
      </c>
      <c r="L3329" t="s">
        <v>20</v>
      </c>
      <c r="N3329" t="s">
        <v>29</v>
      </c>
    </row>
    <row r="3330" spans="1:14">
      <c r="A3330" s="4" t="str">
        <f t="shared" si="315"/>
        <v>EXP00104</v>
      </c>
      <c r="B3330" s="4" t="str">
        <f t="shared" si="313"/>
        <v>19291283</v>
      </c>
      <c r="C3330" s="4" t="str">
        <f t="shared" si="314"/>
        <v>GSE3521</v>
      </c>
      <c r="D3330" s="1" t="s">
        <v>38</v>
      </c>
      <c r="E3330" t="s">
        <v>35</v>
      </c>
      <c r="F3330" s="1">
        <v>2</v>
      </c>
      <c r="G3330" s="1" t="s">
        <v>28</v>
      </c>
      <c r="H3330" s="4" t="str">
        <f>HYPERLINK("https://www.ncbi.nlm.nih.gov/geo/query/acc.cgi?acc=GSM34532","GSM34532")</f>
        <v>GSM34532</v>
      </c>
      <c r="I3330" t="s">
        <v>17</v>
      </c>
      <c r="J3330" t="s">
        <v>18</v>
      </c>
      <c r="K3330" t="s">
        <v>33</v>
      </c>
      <c r="L3330" t="s">
        <v>20</v>
      </c>
      <c r="N3330" t="s">
        <v>29</v>
      </c>
    </row>
    <row r="3331" spans="1:14">
      <c r="A3331" s="4" t="str">
        <f t="shared" si="315"/>
        <v>EXP00104</v>
      </c>
      <c r="B3331" s="4" t="str">
        <f t="shared" si="313"/>
        <v>19291283</v>
      </c>
      <c r="C3331" s="4" t="str">
        <f t="shared" si="314"/>
        <v>GSE3521</v>
      </c>
      <c r="D3331" s="1" t="s">
        <v>38</v>
      </c>
      <c r="E3331" t="s">
        <v>35</v>
      </c>
      <c r="F3331" s="1">
        <v>2</v>
      </c>
      <c r="G3331" s="1" t="s">
        <v>28</v>
      </c>
      <c r="H3331" s="4" t="str">
        <f>HYPERLINK("https://www.ncbi.nlm.nih.gov/geo/query/acc.cgi?acc=GSM34556","GSM34556")</f>
        <v>GSM34556</v>
      </c>
      <c r="I3331" t="s">
        <v>17</v>
      </c>
      <c r="J3331" t="s">
        <v>18</v>
      </c>
      <c r="K3331" t="s">
        <v>33</v>
      </c>
      <c r="L3331" t="s">
        <v>20</v>
      </c>
      <c r="N3331" t="s">
        <v>29</v>
      </c>
    </row>
    <row r="3332" spans="1:14">
      <c r="A3332" s="4" t="str">
        <f t="shared" si="315"/>
        <v>EXP00104</v>
      </c>
      <c r="B3332" s="4" t="str">
        <f t="shared" si="313"/>
        <v>19291283</v>
      </c>
      <c r="C3332" s="4" t="str">
        <f t="shared" si="314"/>
        <v>GSE3521</v>
      </c>
      <c r="D3332" s="1" t="s">
        <v>38</v>
      </c>
      <c r="E3332" t="s">
        <v>35</v>
      </c>
      <c r="F3332" s="1">
        <v>2</v>
      </c>
      <c r="G3332" s="1" t="s">
        <v>28</v>
      </c>
      <c r="H3332" s="4" t="str">
        <f>HYPERLINK("https://www.ncbi.nlm.nih.gov/geo/query/acc.cgi?acc=GSM34557","GSM34557")</f>
        <v>GSM34557</v>
      </c>
      <c r="I3332" t="s">
        <v>17</v>
      </c>
      <c r="J3332" t="s">
        <v>18</v>
      </c>
      <c r="K3332" t="s">
        <v>33</v>
      </c>
      <c r="L3332" t="s">
        <v>20</v>
      </c>
      <c r="N3332" t="s">
        <v>29</v>
      </c>
    </row>
    <row r="3333" spans="1:14">
      <c r="A3333" s="4" t="str">
        <f t="shared" si="315"/>
        <v>EXP00104</v>
      </c>
      <c r="B3333" s="4" t="str">
        <f t="shared" si="313"/>
        <v>19291283</v>
      </c>
      <c r="C3333" s="4" t="str">
        <f t="shared" si="314"/>
        <v>GSE3521</v>
      </c>
      <c r="D3333" s="1" t="s">
        <v>38</v>
      </c>
      <c r="E3333" t="s">
        <v>35</v>
      </c>
      <c r="F3333" s="1">
        <v>2</v>
      </c>
      <c r="G3333" s="1" t="s">
        <v>28</v>
      </c>
      <c r="H3333" s="4" t="str">
        <f>HYPERLINK("https://www.ncbi.nlm.nih.gov/geo/query/acc.cgi?acc=GSM50154","GSM50154")</f>
        <v>GSM50154</v>
      </c>
      <c r="I3333" t="s">
        <v>17</v>
      </c>
      <c r="J3333" t="s">
        <v>18</v>
      </c>
      <c r="K3333" t="s">
        <v>33</v>
      </c>
      <c r="L3333" t="s">
        <v>20</v>
      </c>
      <c r="N3333" t="s">
        <v>29</v>
      </c>
    </row>
    <row r="3334" spans="1:14">
      <c r="A3334" s="4" t="str">
        <f t="shared" si="315"/>
        <v>EXP00104</v>
      </c>
      <c r="B3334" s="4" t="str">
        <f t="shared" si="313"/>
        <v>19291283</v>
      </c>
      <c r="C3334" s="4" t="str">
        <f t="shared" si="314"/>
        <v>GSE3521</v>
      </c>
      <c r="D3334" s="1" t="s">
        <v>38</v>
      </c>
      <c r="E3334" t="s">
        <v>35</v>
      </c>
      <c r="F3334" s="1">
        <v>2</v>
      </c>
      <c r="G3334" s="1" t="s">
        <v>28</v>
      </c>
      <c r="H3334" s="4" t="str">
        <f>HYPERLINK("https://www.ncbi.nlm.nih.gov/geo/query/acc.cgi?acc=GSM52883","GSM52883")</f>
        <v>GSM52883</v>
      </c>
      <c r="I3334" t="s">
        <v>17</v>
      </c>
      <c r="J3334" t="s">
        <v>18</v>
      </c>
      <c r="K3334" t="s">
        <v>33</v>
      </c>
      <c r="L3334" t="s">
        <v>20</v>
      </c>
      <c r="N3334" t="s">
        <v>29</v>
      </c>
    </row>
    <row r="3335" spans="1:14">
      <c r="A3335" s="4" t="str">
        <f t="shared" si="315"/>
        <v>EXP00104</v>
      </c>
      <c r="B3335" s="4" t="str">
        <f t="shared" si="313"/>
        <v>19291283</v>
      </c>
      <c r="C3335" s="4" t="str">
        <f t="shared" si="314"/>
        <v>GSE3521</v>
      </c>
      <c r="D3335" s="1" t="s">
        <v>38</v>
      </c>
      <c r="E3335" t="s">
        <v>35</v>
      </c>
      <c r="F3335" s="1">
        <v>2</v>
      </c>
      <c r="G3335" s="1" t="s">
        <v>28</v>
      </c>
      <c r="H3335" s="4" t="str">
        <f>HYPERLINK("https://www.ncbi.nlm.nih.gov/geo/query/acc.cgi?acc=GSM52884","GSM52884")</f>
        <v>GSM52884</v>
      </c>
      <c r="I3335" t="s">
        <v>17</v>
      </c>
      <c r="J3335" t="s">
        <v>18</v>
      </c>
      <c r="K3335" t="s">
        <v>33</v>
      </c>
      <c r="L3335" t="s">
        <v>20</v>
      </c>
      <c r="N3335" t="s">
        <v>29</v>
      </c>
    </row>
    <row r="3336" spans="1:14">
      <c r="A3336" s="4" t="str">
        <f t="shared" si="315"/>
        <v>EXP00104</v>
      </c>
      <c r="B3336" s="4" t="str">
        <f t="shared" si="313"/>
        <v>19291283</v>
      </c>
      <c r="C3336" s="4" t="str">
        <f t="shared" si="314"/>
        <v>GSE3521</v>
      </c>
      <c r="D3336" s="1" t="s">
        <v>38</v>
      </c>
      <c r="E3336" t="s">
        <v>35</v>
      </c>
      <c r="F3336" s="1">
        <v>2</v>
      </c>
      <c r="G3336" s="1" t="s">
        <v>28</v>
      </c>
      <c r="H3336" s="4" t="str">
        <f>HYPERLINK("https://www.ncbi.nlm.nih.gov/geo/query/acc.cgi?acc=GSM53477","GSM53477")</f>
        <v>GSM53477</v>
      </c>
      <c r="I3336" t="s">
        <v>17</v>
      </c>
      <c r="J3336" t="s">
        <v>18</v>
      </c>
      <c r="K3336" t="s">
        <v>33</v>
      </c>
      <c r="L3336" t="s">
        <v>20</v>
      </c>
      <c r="N3336" t="s">
        <v>29</v>
      </c>
    </row>
    <row r="3337" spans="1:14">
      <c r="A3337" s="4" t="str">
        <f t="shared" si="315"/>
        <v>EXP00104</v>
      </c>
      <c r="B3337" s="4" t="str">
        <f t="shared" si="313"/>
        <v>19291283</v>
      </c>
      <c r="C3337" s="4" t="str">
        <f t="shared" si="314"/>
        <v>GSE3521</v>
      </c>
      <c r="D3337" s="1" t="s">
        <v>38</v>
      </c>
      <c r="E3337" t="s">
        <v>35</v>
      </c>
      <c r="F3337" s="1">
        <v>2</v>
      </c>
      <c r="G3337" s="1" t="s">
        <v>28</v>
      </c>
      <c r="H3337" s="4" t="str">
        <f>HYPERLINK("https://www.ncbi.nlm.nih.gov/geo/query/acc.cgi?acc=GSM80231","GSM80231")</f>
        <v>GSM80231</v>
      </c>
      <c r="I3337" t="s">
        <v>17</v>
      </c>
      <c r="J3337" t="s">
        <v>18</v>
      </c>
      <c r="K3337" t="s">
        <v>33</v>
      </c>
      <c r="L3337" t="s">
        <v>20</v>
      </c>
      <c r="N3337" t="s">
        <v>29</v>
      </c>
    </row>
    <row r="3338" spans="1:14">
      <c r="A3338" s="4" t="str">
        <f t="shared" si="315"/>
        <v>EXP00104</v>
      </c>
      <c r="B3338" s="4" t="str">
        <f t="shared" si="313"/>
        <v>19291283</v>
      </c>
      <c r="C3338" s="4" t="str">
        <f t="shared" si="314"/>
        <v>GSE3521</v>
      </c>
      <c r="D3338" s="1" t="s">
        <v>38</v>
      </c>
      <c r="E3338" t="s">
        <v>35</v>
      </c>
      <c r="F3338" s="1">
        <v>2</v>
      </c>
      <c r="G3338" s="1" t="s">
        <v>28</v>
      </c>
      <c r="H3338" s="4" t="str">
        <f>HYPERLINK("https://www.ncbi.nlm.nih.gov/geo/query/acc.cgi?acc=GSM80233","GSM80233")</f>
        <v>GSM80233</v>
      </c>
      <c r="I3338" t="s">
        <v>17</v>
      </c>
      <c r="J3338" t="s">
        <v>18</v>
      </c>
      <c r="K3338" t="s">
        <v>33</v>
      </c>
      <c r="L3338" t="s">
        <v>20</v>
      </c>
      <c r="N3338" t="s">
        <v>29</v>
      </c>
    </row>
    <row r="3339" spans="1:14">
      <c r="A3339" s="4" t="str">
        <f t="shared" si="315"/>
        <v>EXP00104</v>
      </c>
      <c r="B3339" s="4" t="str">
        <f t="shared" si="313"/>
        <v>19291283</v>
      </c>
      <c r="C3339" s="4" t="str">
        <f t="shared" si="314"/>
        <v>GSE3521</v>
      </c>
      <c r="D3339" s="1" t="s">
        <v>38</v>
      </c>
      <c r="E3339" t="s">
        <v>35</v>
      </c>
      <c r="F3339" s="1">
        <v>2</v>
      </c>
      <c r="G3339" s="1" t="s">
        <v>28</v>
      </c>
      <c r="H3339" s="4" t="str">
        <f>HYPERLINK("https://www.ncbi.nlm.nih.gov/geo/query/acc.cgi?acc=GSM80235","GSM80235")</f>
        <v>GSM80235</v>
      </c>
      <c r="I3339" t="s">
        <v>17</v>
      </c>
      <c r="J3339" t="s">
        <v>18</v>
      </c>
      <c r="K3339" t="s">
        <v>33</v>
      </c>
      <c r="L3339" t="s">
        <v>20</v>
      </c>
      <c r="N3339" t="s">
        <v>29</v>
      </c>
    </row>
    <row r="3340" spans="1:14">
      <c r="A3340" s="4" t="str">
        <f t="shared" si="315"/>
        <v>EXP00104</v>
      </c>
      <c r="B3340" s="4" t="str">
        <f t="shared" si="313"/>
        <v>19291283</v>
      </c>
      <c r="C3340" s="4" t="str">
        <f t="shared" si="314"/>
        <v>GSE3521</v>
      </c>
      <c r="D3340" s="1" t="s">
        <v>38</v>
      </c>
      <c r="E3340" t="s">
        <v>35</v>
      </c>
      <c r="F3340" s="1">
        <v>2</v>
      </c>
      <c r="G3340" s="1" t="s">
        <v>28</v>
      </c>
      <c r="H3340" s="4" t="str">
        <f>HYPERLINK("https://www.ncbi.nlm.nih.gov/geo/query/acc.cgi?acc=GSM80238","GSM80238")</f>
        <v>GSM80238</v>
      </c>
      <c r="I3340" t="s">
        <v>17</v>
      </c>
      <c r="J3340" t="s">
        <v>18</v>
      </c>
      <c r="K3340" t="s">
        <v>33</v>
      </c>
      <c r="L3340" t="s">
        <v>20</v>
      </c>
      <c r="N3340" t="s">
        <v>29</v>
      </c>
    </row>
    <row r="3341" spans="1:14">
      <c r="A3341" s="4" t="str">
        <f t="shared" si="315"/>
        <v>EXP00104</v>
      </c>
      <c r="B3341" s="4" t="str">
        <f t="shared" si="313"/>
        <v>19291283</v>
      </c>
      <c r="C3341" s="4" t="str">
        <f t="shared" si="314"/>
        <v>GSE3521</v>
      </c>
      <c r="D3341" s="1" t="s">
        <v>38</v>
      </c>
      <c r="E3341" t="s">
        <v>35</v>
      </c>
      <c r="F3341" s="1">
        <v>2</v>
      </c>
      <c r="G3341" s="1" t="s">
        <v>28</v>
      </c>
      <c r="H3341" s="4" t="str">
        <f>HYPERLINK("https://www.ncbi.nlm.nih.gov/geo/query/acc.cgi?acc=GSM80245","GSM80245")</f>
        <v>GSM80245</v>
      </c>
      <c r="I3341" t="s">
        <v>17</v>
      </c>
      <c r="J3341" t="s">
        <v>18</v>
      </c>
      <c r="K3341" t="s">
        <v>33</v>
      </c>
      <c r="L3341" t="s">
        <v>20</v>
      </c>
      <c r="N3341" t="s">
        <v>29</v>
      </c>
    </row>
    <row r="3342" spans="1:14">
      <c r="A3342" s="4" t="str">
        <f t="shared" ref="A3342:A3349" si="316">HYPERLINK("http://hcmdb.i-sanger.com/experiment/details/experiment_id/EXP00105","EXP00105")</f>
        <v>EXP00105</v>
      </c>
      <c r="B3342" s="4" t="str">
        <f t="shared" si="313"/>
        <v>19291283</v>
      </c>
      <c r="C3342" s="4" t="str">
        <f t="shared" si="314"/>
        <v>GSE3521</v>
      </c>
      <c r="D3342" s="1" t="s">
        <v>14</v>
      </c>
      <c r="E3342" t="s">
        <v>15</v>
      </c>
      <c r="F3342" s="1">
        <v>1</v>
      </c>
      <c r="G3342" s="1" t="s">
        <v>16</v>
      </c>
      <c r="H3342" s="4" t="str">
        <f>HYPERLINK("https://www.ncbi.nlm.nih.gov/geo/query/acc.cgi?acc=GSM34453","GSM34453")</f>
        <v>GSM34453</v>
      </c>
      <c r="I3342" t="s">
        <v>17</v>
      </c>
      <c r="J3342" t="s">
        <v>18</v>
      </c>
      <c r="K3342" t="s">
        <v>19</v>
      </c>
      <c r="L3342" t="s">
        <v>20</v>
      </c>
      <c r="M3342" t="s">
        <v>21</v>
      </c>
      <c r="N3342" t="s">
        <v>22</v>
      </c>
    </row>
    <row r="3343" spans="1:14">
      <c r="A3343" s="4" t="str">
        <f t="shared" si="316"/>
        <v>EXP00105</v>
      </c>
      <c r="B3343" s="4" t="str">
        <f t="shared" si="313"/>
        <v>19291283</v>
      </c>
      <c r="C3343" s="4" t="str">
        <f t="shared" si="314"/>
        <v>GSE3521</v>
      </c>
      <c r="D3343" s="1" t="s">
        <v>14</v>
      </c>
      <c r="E3343" t="s">
        <v>15</v>
      </c>
      <c r="F3343" s="1">
        <v>1</v>
      </c>
      <c r="G3343" s="1" t="s">
        <v>16</v>
      </c>
      <c r="H3343" s="4" t="str">
        <f>HYPERLINK("https://www.ncbi.nlm.nih.gov/geo/query/acc.cgi?acc=GSM34472","GSM34472")</f>
        <v>GSM34472</v>
      </c>
      <c r="I3343" t="s">
        <v>17</v>
      </c>
      <c r="J3343" t="s">
        <v>18</v>
      </c>
      <c r="K3343" t="s">
        <v>19</v>
      </c>
      <c r="L3343" t="s">
        <v>20</v>
      </c>
      <c r="M3343" t="s">
        <v>21</v>
      </c>
      <c r="N3343" t="s">
        <v>22</v>
      </c>
    </row>
    <row r="3344" spans="1:14">
      <c r="A3344" s="4" t="str">
        <f t="shared" si="316"/>
        <v>EXP00105</v>
      </c>
      <c r="B3344" s="4" t="str">
        <f t="shared" si="313"/>
        <v>19291283</v>
      </c>
      <c r="C3344" s="4" t="str">
        <f t="shared" si="314"/>
        <v>GSE3521</v>
      </c>
      <c r="D3344" s="1" t="s">
        <v>14</v>
      </c>
      <c r="E3344" t="s">
        <v>15</v>
      </c>
      <c r="F3344" s="1">
        <v>1</v>
      </c>
      <c r="G3344" s="1" t="s">
        <v>16</v>
      </c>
      <c r="H3344" s="4" t="str">
        <f>HYPERLINK("https://www.ncbi.nlm.nih.gov/geo/query/acc.cgi?acc=GSM34498","GSM34498")</f>
        <v>GSM34498</v>
      </c>
      <c r="I3344" t="s">
        <v>17</v>
      </c>
      <c r="J3344" t="s">
        <v>18</v>
      </c>
      <c r="K3344" t="s">
        <v>19</v>
      </c>
      <c r="L3344" t="s">
        <v>20</v>
      </c>
      <c r="M3344" t="s">
        <v>21</v>
      </c>
      <c r="N3344" t="s">
        <v>22</v>
      </c>
    </row>
    <row r="3345" spans="1:14">
      <c r="A3345" s="4" t="str">
        <f t="shared" si="316"/>
        <v>EXP00105</v>
      </c>
      <c r="B3345" s="4" t="str">
        <f t="shared" si="313"/>
        <v>19291283</v>
      </c>
      <c r="C3345" s="4" t="str">
        <f t="shared" si="314"/>
        <v>GSE3521</v>
      </c>
      <c r="D3345" s="1" t="s">
        <v>14</v>
      </c>
      <c r="E3345" t="s">
        <v>15</v>
      </c>
      <c r="F3345" s="1">
        <v>1</v>
      </c>
      <c r="G3345" s="1" t="s">
        <v>16</v>
      </c>
      <c r="H3345" s="4" t="str">
        <f>HYPERLINK("https://www.ncbi.nlm.nih.gov/geo/query/acc.cgi?acc=GSM34511","GSM34511")</f>
        <v>GSM34511</v>
      </c>
      <c r="I3345" t="s">
        <v>17</v>
      </c>
      <c r="J3345" t="s">
        <v>18</v>
      </c>
      <c r="K3345" t="s">
        <v>19</v>
      </c>
      <c r="L3345" t="s">
        <v>20</v>
      </c>
      <c r="M3345" t="s">
        <v>21</v>
      </c>
      <c r="N3345" t="s">
        <v>22</v>
      </c>
    </row>
    <row r="3346" spans="1:14">
      <c r="A3346" s="4" t="str">
        <f t="shared" si="316"/>
        <v>EXP00105</v>
      </c>
      <c r="B3346" s="4" t="str">
        <f t="shared" si="313"/>
        <v>19291283</v>
      </c>
      <c r="C3346" s="4" t="str">
        <f t="shared" si="314"/>
        <v>GSE3521</v>
      </c>
      <c r="D3346" s="1" t="s">
        <v>14</v>
      </c>
      <c r="E3346" t="s">
        <v>15</v>
      </c>
      <c r="F3346" s="1">
        <v>1</v>
      </c>
      <c r="G3346" s="1" t="s">
        <v>16</v>
      </c>
      <c r="H3346" s="4" t="str">
        <f>HYPERLINK("https://www.ncbi.nlm.nih.gov/geo/query/acc.cgi?acc=GSM52913","GSM52913")</f>
        <v>GSM52913</v>
      </c>
      <c r="I3346" t="s">
        <v>17</v>
      </c>
      <c r="J3346" t="s">
        <v>18</v>
      </c>
      <c r="K3346" t="s">
        <v>19</v>
      </c>
      <c r="L3346" t="s">
        <v>20</v>
      </c>
      <c r="M3346" t="s">
        <v>21</v>
      </c>
      <c r="N3346" t="s">
        <v>22</v>
      </c>
    </row>
    <row r="3347" spans="1:14">
      <c r="A3347" s="4" t="str">
        <f t="shared" si="316"/>
        <v>EXP00105</v>
      </c>
      <c r="B3347" s="4" t="str">
        <f t="shared" si="313"/>
        <v>19291283</v>
      </c>
      <c r="C3347" s="4" t="str">
        <f t="shared" si="314"/>
        <v>GSE3521</v>
      </c>
      <c r="D3347" s="1" t="s">
        <v>14</v>
      </c>
      <c r="E3347" t="s">
        <v>15</v>
      </c>
      <c r="F3347" s="1">
        <v>2</v>
      </c>
      <c r="G3347" s="1" t="s">
        <v>23</v>
      </c>
      <c r="H3347" s="4" t="str">
        <f>HYPERLINK("https://www.ncbi.nlm.nih.gov/geo/query/acc.cgi?acc=GSM34564","GSM34564")</f>
        <v>GSM34564</v>
      </c>
      <c r="I3347" t="s">
        <v>17</v>
      </c>
      <c r="J3347" t="s">
        <v>18</v>
      </c>
      <c r="K3347" t="s">
        <v>19</v>
      </c>
      <c r="L3347" t="s">
        <v>20</v>
      </c>
      <c r="M3347" t="s">
        <v>24</v>
      </c>
      <c r="N3347" t="s">
        <v>22</v>
      </c>
    </row>
    <row r="3348" spans="1:14">
      <c r="A3348" s="4" t="str">
        <f t="shared" si="316"/>
        <v>EXP00105</v>
      </c>
      <c r="B3348" s="4" t="str">
        <f t="shared" si="313"/>
        <v>19291283</v>
      </c>
      <c r="C3348" s="4" t="str">
        <f t="shared" si="314"/>
        <v>GSE3521</v>
      </c>
      <c r="D3348" s="1" t="s">
        <v>14</v>
      </c>
      <c r="E3348" t="s">
        <v>15</v>
      </c>
      <c r="F3348" s="1">
        <v>2</v>
      </c>
      <c r="G3348" s="1" t="s">
        <v>23</v>
      </c>
      <c r="H3348" s="4" t="str">
        <f>HYPERLINK("https://www.ncbi.nlm.nih.gov/geo/query/acc.cgi?acc=GSM80241","GSM80241")</f>
        <v>GSM80241</v>
      </c>
      <c r="I3348" t="s">
        <v>17</v>
      </c>
      <c r="J3348" t="s">
        <v>18</v>
      </c>
      <c r="K3348" t="s">
        <v>19</v>
      </c>
      <c r="L3348" t="s">
        <v>20</v>
      </c>
      <c r="M3348" t="s">
        <v>24</v>
      </c>
      <c r="N3348" t="s">
        <v>22</v>
      </c>
    </row>
    <row r="3349" spans="1:14">
      <c r="A3349" s="4" t="str">
        <f t="shared" si="316"/>
        <v>EXP00105</v>
      </c>
      <c r="B3349" s="4" t="str">
        <f t="shared" si="313"/>
        <v>19291283</v>
      </c>
      <c r="C3349" s="4" t="str">
        <f t="shared" si="314"/>
        <v>GSE3521</v>
      </c>
      <c r="D3349" s="1" t="s">
        <v>14</v>
      </c>
      <c r="E3349" t="s">
        <v>15</v>
      </c>
      <c r="F3349" s="1">
        <v>2</v>
      </c>
      <c r="G3349" s="1" t="s">
        <v>23</v>
      </c>
      <c r="H3349" s="4" t="str">
        <f>HYPERLINK("https://www.ncbi.nlm.nih.gov/geo/query/acc.cgi?acc=GSM80244","GSM80244")</f>
        <v>GSM80244</v>
      </c>
      <c r="I3349" t="s">
        <v>17</v>
      </c>
      <c r="J3349" t="s">
        <v>18</v>
      </c>
      <c r="K3349" t="s">
        <v>19</v>
      </c>
      <c r="L3349" t="s">
        <v>20</v>
      </c>
      <c r="M3349" t="s">
        <v>24</v>
      </c>
      <c r="N3349" t="s">
        <v>22</v>
      </c>
    </row>
    <row r="3350" spans="1:14">
      <c r="A3350" s="4" t="str">
        <f t="shared" ref="A3350:A3361" si="317">HYPERLINK("http://hcmdb.i-sanger.com/experiment/details/experiment_id/EXP00106","EXP00106")</f>
        <v>EXP00106</v>
      </c>
      <c r="B3350" s="4" t="str">
        <f t="shared" si="313"/>
        <v>19291283</v>
      </c>
      <c r="C3350" s="4" t="str">
        <f t="shared" si="314"/>
        <v>GSE3521</v>
      </c>
      <c r="D3350" s="1" t="s">
        <v>14</v>
      </c>
      <c r="E3350" t="s">
        <v>25</v>
      </c>
      <c r="F3350" s="1">
        <v>1</v>
      </c>
      <c r="G3350" s="1" t="s">
        <v>26</v>
      </c>
      <c r="H3350" s="4" t="str">
        <f>HYPERLINK("https://www.ncbi.nlm.nih.gov/geo/query/acc.cgi?acc=GSM34453","GSM34453")</f>
        <v>GSM34453</v>
      </c>
      <c r="I3350" t="s">
        <v>17</v>
      </c>
      <c r="J3350" t="s">
        <v>18</v>
      </c>
      <c r="K3350" t="s">
        <v>19</v>
      </c>
      <c r="L3350" t="s">
        <v>20</v>
      </c>
      <c r="M3350" t="s">
        <v>21</v>
      </c>
      <c r="N3350" t="s">
        <v>22</v>
      </c>
    </row>
    <row r="3351" spans="1:14">
      <c r="A3351" s="4" t="str">
        <f t="shared" si="317"/>
        <v>EXP00106</v>
      </c>
      <c r="B3351" s="4" t="str">
        <f t="shared" si="313"/>
        <v>19291283</v>
      </c>
      <c r="C3351" s="4" t="str">
        <f t="shared" si="314"/>
        <v>GSE3521</v>
      </c>
      <c r="D3351" s="1" t="s">
        <v>14</v>
      </c>
      <c r="E3351" t="s">
        <v>25</v>
      </c>
      <c r="F3351" s="1">
        <v>1</v>
      </c>
      <c r="G3351" s="1" t="s">
        <v>26</v>
      </c>
      <c r="H3351" s="4" t="str">
        <f>HYPERLINK("https://www.ncbi.nlm.nih.gov/geo/query/acc.cgi?acc=GSM34472","GSM34472")</f>
        <v>GSM34472</v>
      </c>
      <c r="I3351" t="s">
        <v>17</v>
      </c>
      <c r="J3351" t="s">
        <v>18</v>
      </c>
      <c r="K3351" t="s">
        <v>19</v>
      </c>
      <c r="L3351" t="s">
        <v>20</v>
      </c>
      <c r="M3351" t="s">
        <v>21</v>
      </c>
      <c r="N3351" t="s">
        <v>22</v>
      </c>
    </row>
    <row r="3352" spans="1:14">
      <c r="A3352" s="4" t="str">
        <f t="shared" si="317"/>
        <v>EXP00106</v>
      </c>
      <c r="B3352" s="4" t="str">
        <f t="shared" si="313"/>
        <v>19291283</v>
      </c>
      <c r="C3352" s="4" t="str">
        <f t="shared" si="314"/>
        <v>GSE3521</v>
      </c>
      <c r="D3352" s="1" t="s">
        <v>14</v>
      </c>
      <c r="E3352" t="s">
        <v>25</v>
      </c>
      <c r="F3352" s="1">
        <v>1</v>
      </c>
      <c r="G3352" s="1" t="s">
        <v>26</v>
      </c>
      <c r="H3352" s="4" t="str">
        <f>HYPERLINK("https://www.ncbi.nlm.nih.gov/geo/query/acc.cgi?acc=GSM34498","GSM34498")</f>
        <v>GSM34498</v>
      </c>
      <c r="I3352" t="s">
        <v>17</v>
      </c>
      <c r="J3352" t="s">
        <v>18</v>
      </c>
      <c r="K3352" t="s">
        <v>19</v>
      </c>
      <c r="L3352" t="s">
        <v>20</v>
      </c>
      <c r="M3352" t="s">
        <v>21</v>
      </c>
      <c r="N3352" t="s">
        <v>22</v>
      </c>
    </row>
    <row r="3353" spans="1:14">
      <c r="A3353" s="4" t="str">
        <f t="shared" si="317"/>
        <v>EXP00106</v>
      </c>
      <c r="B3353" s="4" t="str">
        <f t="shared" si="313"/>
        <v>19291283</v>
      </c>
      <c r="C3353" s="4" t="str">
        <f t="shared" si="314"/>
        <v>GSE3521</v>
      </c>
      <c r="D3353" s="1" t="s">
        <v>14</v>
      </c>
      <c r="E3353" t="s">
        <v>25</v>
      </c>
      <c r="F3353" s="1">
        <v>1</v>
      </c>
      <c r="G3353" s="1" t="s">
        <v>26</v>
      </c>
      <c r="H3353" s="4" t="str">
        <f>HYPERLINK("https://www.ncbi.nlm.nih.gov/geo/query/acc.cgi?acc=GSM34511","GSM34511")</f>
        <v>GSM34511</v>
      </c>
      <c r="I3353" t="s">
        <v>17</v>
      </c>
      <c r="J3353" t="s">
        <v>18</v>
      </c>
      <c r="K3353" t="s">
        <v>19</v>
      </c>
      <c r="L3353" t="s">
        <v>20</v>
      </c>
      <c r="M3353" t="s">
        <v>21</v>
      </c>
      <c r="N3353" t="s">
        <v>22</v>
      </c>
    </row>
    <row r="3354" spans="1:14">
      <c r="A3354" s="4" t="str">
        <f t="shared" si="317"/>
        <v>EXP00106</v>
      </c>
      <c r="B3354" s="4" t="str">
        <f t="shared" si="313"/>
        <v>19291283</v>
      </c>
      <c r="C3354" s="4" t="str">
        <f t="shared" si="314"/>
        <v>GSE3521</v>
      </c>
      <c r="D3354" s="1" t="s">
        <v>14</v>
      </c>
      <c r="E3354" t="s">
        <v>25</v>
      </c>
      <c r="F3354" s="1">
        <v>1</v>
      </c>
      <c r="G3354" s="1" t="s">
        <v>26</v>
      </c>
      <c r="H3354" s="4" t="str">
        <f>HYPERLINK("https://www.ncbi.nlm.nih.gov/geo/query/acc.cgi?acc=GSM34564","GSM34564")</f>
        <v>GSM34564</v>
      </c>
      <c r="I3354" t="s">
        <v>17</v>
      </c>
      <c r="J3354" t="s">
        <v>18</v>
      </c>
      <c r="K3354" t="s">
        <v>19</v>
      </c>
      <c r="L3354" t="s">
        <v>20</v>
      </c>
      <c r="M3354" t="s">
        <v>24</v>
      </c>
      <c r="N3354" t="s">
        <v>22</v>
      </c>
    </row>
    <row r="3355" spans="1:14">
      <c r="A3355" s="4" t="str">
        <f t="shared" si="317"/>
        <v>EXP00106</v>
      </c>
      <c r="B3355" s="4" t="str">
        <f t="shared" si="313"/>
        <v>19291283</v>
      </c>
      <c r="C3355" s="4" t="str">
        <f t="shared" si="314"/>
        <v>GSE3521</v>
      </c>
      <c r="D3355" s="1" t="s">
        <v>14</v>
      </c>
      <c r="E3355" t="s">
        <v>25</v>
      </c>
      <c r="F3355" s="1">
        <v>1</v>
      </c>
      <c r="G3355" s="1" t="s">
        <v>26</v>
      </c>
      <c r="H3355" s="4" t="str">
        <f>HYPERLINK("https://www.ncbi.nlm.nih.gov/geo/query/acc.cgi?acc=GSM52913","GSM52913")</f>
        <v>GSM52913</v>
      </c>
      <c r="I3355" t="s">
        <v>17</v>
      </c>
      <c r="J3355" t="s">
        <v>18</v>
      </c>
      <c r="K3355" t="s">
        <v>19</v>
      </c>
      <c r="L3355" t="s">
        <v>20</v>
      </c>
      <c r="M3355" t="s">
        <v>21</v>
      </c>
      <c r="N3355" t="s">
        <v>22</v>
      </c>
    </row>
    <row r="3356" spans="1:14">
      <c r="A3356" s="4" t="str">
        <f t="shared" si="317"/>
        <v>EXP00106</v>
      </c>
      <c r="B3356" s="4" t="str">
        <f t="shared" si="313"/>
        <v>19291283</v>
      </c>
      <c r="C3356" s="4" t="str">
        <f t="shared" si="314"/>
        <v>GSE3521</v>
      </c>
      <c r="D3356" s="1" t="s">
        <v>14</v>
      </c>
      <c r="E3356" t="s">
        <v>25</v>
      </c>
      <c r="F3356" s="1">
        <v>1</v>
      </c>
      <c r="G3356" s="1" t="s">
        <v>26</v>
      </c>
      <c r="H3356" s="4" t="str">
        <f>HYPERLINK("https://www.ncbi.nlm.nih.gov/geo/query/acc.cgi?acc=GSM80241","GSM80241")</f>
        <v>GSM80241</v>
      </c>
      <c r="I3356" t="s">
        <v>17</v>
      </c>
      <c r="J3356" t="s">
        <v>18</v>
      </c>
      <c r="K3356" t="s">
        <v>19</v>
      </c>
      <c r="L3356" t="s">
        <v>20</v>
      </c>
      <c r="M3356" t="s">
        <v>24</v>
      </c>
      <c r="N3356" t="s">
        <v>22</v>
      </c>
    </row>
    <row r="3357" spans="1:14">
      <c r="A3357" s="4" t="str">
        <f t="shared" si="317"/>
        <v>EXP00106</v>
      </c>
      <c r="B3357" s="4" t="str">
        <f t="shared" si="313"/>
        <v>19291283</v>
      </c>
      <c r="C3357" s="4" t="str">
        <f t="shared" si="314"/>
        <v>GSE3521</v>
      </c>
      <c r="D3357" s="1" t="s">
        <v>14</v>
      </c>
      <c r="E3357" t="s">
        <v>25</v>
      </c>
      <c r="F3357" s="1">
        <v>1</v>
      </c>
      <c r="G3357" s="1" t="s">
        <v>26</v>
      </c>
      <c r="H3357" s="4" t="str">
        <f>HYPERLINK("https://www.ncbi.nlm.nih.gov/geo/query/acc.cgi?acc=GSM80244","GSM80244")</f>
        <v>GSM80244</v>
      </c>
      <c r="I3357" t="s">
        <v>17</v>
      </c>
      <c r="J3357" t="s">
        <v>18</v>
      </c>
      <c r="K3357" t="s">
        <v>19</v>
      </c>
      <c r="L3357" t="s">
        <v>20</v>
      </c>
      <c r="M3357" t="s">
        <v>24</v>
      </c>
      <c r="N3357" t="s">
        <v>22</v>
      </c>
    </row>
    <row r="3358" spans="1:14">
      <c r="A3358" s="4" t="str">
        <f t="shared" si="317"/>
        <v>EXP00106</v>
      </c>
      <c r="B3358" s="4" t="str">
        <f t="shared" si="313"/>
        <v>19291283</v>
      </c>
      <c r="C3358" s="4" t="str">
        <f t="shared" si="314"/>
        <v>GSE3521</v>
      </c>
      <c r="D3358" s="1" t="s">
        <v>14</v>
      </c>
      <c r="E3358" t="s">
        <v>25</v>
      </c>
      <c r="F3358" s="1">
        <v>2</v>
      </c>
      <c r="G3358" s="1" t="s">
        <v>28</v>
      </c>
      <c r="H3358" s="4" t="str">
        <f>HYPERLINK("https://www.ncbi.nlm.nih.gov/geo/query/acc.cgi?acc=GSM34432","GSM34432")</f>
        <v>GSM34432</v>
      </c>
      <c r="I3358" t="s">
        <v>17</v>
      </c>
      <c r="J3358" t="s">
        <v>18</v>
      </c>
      <c r="K3358" t="s">
        <v>19</v>
      </c>
      <c r="L3358" t="s">
        <v>20</v>
      </c>
      <c r="M3358" t="s">
        <v>21</v>
      </c>
      <c r="N3358" t="s">
        <v>29</v>
      </c>
    </row>
    <row r="3359" spans="1:14">
      <c r="A3359" s="4" t="str">
        <f t="shared" si="317"/>
        <v>EXP00106</v>
      </c>
      <c r="B3359" s="4" t="str">
        <f t="shared" si="313"/>
        <v>19291283</v>
      </c>
      <c r="C3359" s="4" t="str">
        <f t="shared" si="314"/>
        <v>GSE3521</v>
      </c>
      <c r="D3359" s="1" t="s">
        <v>14</v>
      </c>
      <c r="E3359" t="s">
        <v>25</v>
      </c>
      <c r="F3359" s="1">
        <v>2</v>
      </c>
      <c r="G3359" s="1" t="s">
        <v>28</v>
      </c>
      <c r="H3359" s="4" t="str">
        <f>HYPERLINK("https://www.ncbi.nlm.nih.gov/geo/query/acc.cgi?acc=GSM34473","GSM34473")</f>
        <v>GSM34473</v>
      </c>
      <c r="I3359" t="s">
        <v>17</v>
      </c>
      <c r="J3359" t="s">
        <v>18</v>
      </c>
      <c r="K3359" t="s">
        <v>19</v>
      </c>
      <c r="L3359" t="s">
        <v>20</v>
      </c>
      <c r="M3359" t="s">
        <v>34</v>
      </c>
      <c r="N3359" t="s">
        <v>29</v>
      </c>
    </row>
    <row r="3360" spans="1:14">
      <c r="A3360" s="4" t="str">
        <f t="shared" si="317"/>
        <v>EXP00106</v>
      </c>
      <c r="B3360" s="4" t="str">
        <f t="shared" si="313"/>
        <v>19291283</v>
      </c>
      <c r="C3360" s="4" t="str">
        <f t="shared" si="314"/>
        <v>GSE3521</v>
      </c>
      <c r="D3360" s="1" t="s">
        <v>14</v>
      </c>
      <c r="E3360" t="s">
        <v>25</v>
      </c>
      <c r="F3360" s="1">
        <v>2</v>
      </c>
      <c r="G3360" s="1" t="s">
        <v>28</v>
      </c>
      <c r="H3360" s="4" t="str">
        <f>HYPERLINK("https://www.ncbi.nlm.nih.gov/geo/query/acc.cgi?acc=GSM34543","GSM34543")</f>
        <v>GSM34543</v>
      </c>
      <c r="I3360" t="s">
        <v>17</v>
      </c>
      <c r="J3360" t="s">
        <v>18</v>
      </c>
      <c r="K3360" t="s">
        <v>19</v>
      </c>
      <c r="L3360" t="s">
        <v>20</v>
      </c>
      <c r="M3360" t="s">
        <v>24</v>
      </c>
      <c r="N3360" t="s">
        <v>29</v>
      </c>
    </row>
    <row r="3361" spans="1:14">
      <c r="A3361" s="4" t="str">
        <f t="shared" si="317"/>
        <v>EXP00106</v>
      </c>
      <c r="B3361" s="4" t="str">
        <f t="shared" si="313"/>
        <v>19291283</v>
      </c>
      <c r="C3361" s="4" t="str">
        <f t="shared" si="314"/>
        <v>GSE3521</v>
      </c>
      <c r="D3361" s="1" t="s">
        <v>14</v>
      </c>
      <c r="E3361" t="s">
        <v>25</v>
      </c>
      <c r="F3361" s="1">
        <v>2</v>
      </c>
      <c r="G3361" s="1" t="s">
        <v>28</v>
      </c>
      <c r="H3361" s="4" t="str">
        <f>HYPERLINK("https://www.ncbi.nlm.nih.gov/geo/query/acc.cgi?acc=GSM80243","GSM80243")</f>
        <v>GSM80243</v>
      </c>
      <c r="I3361" t="s">
        <v>17</v>
      </c>
      <c r="J3361" t="s">
        <v>18</v>
      </c>
      <c r="K3361" t="s">
        <v>19</v>
      </c>
      <c r="L3361" t="s">
        <v>20</v>
      </c>
      <c r="N3361" t="s">
        <v>29</v>
      </c>
    </row>
    <row r="3362" spans="1:14">
      <c r="A3362" s="4" t="str">
        <f t="shared" ref="A3362:A3393" si="318">HYPERLINK("http://hcmdb.i-sanger.com/experiment/details/experiment_id/EXP00107","EXP00107")</f>
        <v>EXP00107</v>
      </c>
      <c r="B3362" s="4" t="str">
        <f t="shared" si="313"/>
        <v>19291283</v>
      </c>
      <c r="C3362" s="4" t="str">
        <f t="shared" si="314"/>
        <v>GSE3521</v>
      </c>
      <c r="D3362" s="1" t="s">
        <v>14</v>
      </c>
      <c r="E3362" t="s">
        <v>30</v>
      </c>
      <c r="F3362" s="1">
        <v>1</v>
      </c>
      <c r="G3362" s="1" t="s">
        <v>31</v>
      </c>
      <c r="H3362" s="4" t="str">
        <f>HYPERLINK("https://www.ncbi.nlm.nih.gov/geo/query/acc.cgi?acc=GSM34432","GSM34432")</f>
        <v>GSM34432</v>
      </c>
      <c r="I3362" t="s">
        <v>17</v>
      </c>
      <c r="J3362" t="s">
        <v>18</v>
      </c>
      <c r="K3362" t="s">
        <v>19</v>
      </c>
      <c r="L3362" t="s">
        <v>20</v>
      </c>
      <c r="M3362" t="s">
        <v>21</v>
      </c>
      <c r="N3362" t="s">
        <v>29</v>
      </c>
    </row>
    <row r="3363" spans="1:14">
      <c r="A3363" s="4" t="str">
        <f t="shared" si="318"/>
        <v>EXP00107</v>
      </c>
      <c r="B3363" s="4" t="str">
        <f t="shared" si="313"/>
        <v>19291283</v>
      </c>
      <c r="C3363" s="4" t="str">
        <f t="shared" si="314"/>
        <v>GSE3521</v>
      </c>
      <c r="D3363" s="1" t="s">
        <v>14</v>
      </c>
      <c r="E3363" t="s">
        <v>30</v>
      </c>
      <c r="F3363" s="1">
        <v>1</v>
      </c>
      <c r="G3363" s="1" t="s">
        <v>31</v>
      </c>
      <c r="H3363" s="4" t="str">
        <f>HYPERLINK("https://www.ncbi.nlm.nih.gov/geo/query/acc.cgi?acc=GSM34473","GSM34473")</f>
        <v>GSM34473</v>
      </c>
      <c r="I3363" t="s">
        <v>17</v>
      </c>
      <c r="J3363" t="s">
        <v>18</v>
      </c>
      <c r="K3363" t="s">
        <v>19</v>
      </c>
      <c r="L3363" t="s">
        <v>20</v>
      </c>
      <c r="M3363" t="s">
        <v>34</v>
      </c>
      <c r="N3363" t="s">
        <v>29</v>
      </c>
    </row>
    <row r="3364" spans="1:14">
      <c r="A3364" s="4" t="str">
        <f t="shared" si="318"/>
        <v>EXP00107</v>
      </c>
      <c r="B3364" s="4" t="str">
        <f t="shared" si="313"/>
        <v>19291283</v>
      </c>
      <c r="C3364" s="4" t="str">
        <f t="shared" si="314"/>
        <v>GSE3521</v>
      </c>
      <c r="D3364" s="1" t="s">
        <v>14</v>
      </c>
      <c r="E3364" t="s">
        <v>30</v>
      </c>
      <c r="F3364" s="1">
        <v>1</v>
      </c>
      <c r="G3364" s="1" t="s">
        <v>31</v>
      </c>
      <c r="H3364" s="4" t="str">
        <f>HYPERLINK("https://www.ncbi.nlm.nih.gov/geo/query/acc.cgi?acc=GSM34543","GSM34543")</f>
        <v>GSM34543</v>
      </c>
      <c r="I3364" t="s">
        <v>17</v>
      </c>
      <c r="J3364" t="s">
        <v>18</v>
      </c>
      <c r="K3364" t="s">
        <v>19</v>
      </c>
      <c r="L3364" t="s">
        <v>20</v>
      </c>
      <c r="M3364" t="s">
        <v>24</v>
      </c>
      <c r="N3364" t="s">
        <v>29</v>
      </c>
    </row>
    <row r="3365" spans="1:14">
      <c r="A3365" s="4" t="str">
        <f t="shared" si="318"/>
        <v>EXP00107</v>
      </c>
      <c r="B3365" s="4" t="str">
        <f t="shared" si="313"/>
        <v>19291283</v>
      </c>
      <c r="C3365" s="4" t="str">
        <f t="shared" si="314"/>
        <v>GSE3521</v>
      </c>
      <c r="D3365" s="1" t="s">
        <v>14</v>
      </c>
      <c r="E3365" t="s">
        <v>30</v>
      </c>
      <c r="F3365" s="1">
        <v>1</v>
      </c>
      <c r="G3365" s="1" t="s">
        <v>31</v>
      </c>
      <c r="H3365" s="4" t="str">
        <f>HYPERLINK("https://www.ncbi.nlm.nih.gov/geo/query/acc.cgi?acc=GSM80243","GSM80243")</f>
        <v>GSM80243</v>
      </c>
      <c r="I3365" t="s">
        <v>17</v>
      </c>
      <c r="J3365" t="s">
        <v>18</v>
      </c>
      <c r="K3365" t="s">
        <v>19</v>
      </c>
      <c r="L3365" t="s">
        <v>20</v>
      </c>
      <c r="N3365" t="s">
        <v>29</v>
      </c>
    </row>
    <row r="3366" spans="1:14">
      <c r="A3366" s="4" t="str">
        <f t="shared" si="318"/>
        <v>EXP00107</v>
      </c>
      <c r="B3366" s="4" t="str">
        <f t="shared" si="313"/>
        <v>19291283</v>
      </c>
      <c r="C3366" s="4" t="str">
        <f t="shared" si="314"/>
        <v>GSE3521</v>
      </c>
      <c r="D3366" s="1" t="s">
        <v>14</v>
      </c>
      <c r="E3366" t="s">
        <v>30</v>
      </c>
      <c r="F3366" s="1">
        <v>2</v>
      </c>
      <c r="G3366" s="1" t="s">
        <v>32</v>
      </c>
      <c r="H3366" s="4" t="str">
        <f>HYPERLINK("https://www.ncbi.nlm.nih.gov/geo/query/acc.cgi?acc=GSM34431","GSM34431")</f>
        <v>GSM34431</v>
      </c>
      <c r="I3366" t="s">
        <v>17</v>
      </c>
      <c r="J3366" t="s">
        <v>18</v>
      </c>
      <c r="K3366" t="s">
        <v>33</v>
      </c>
      <c r="L3366" t="s">
        <v>20</v>
      </c>
      <c r="N3366" t="s">
        <v>29</v>
      </c>
    </row>
    <row r="3367" spans="1:14">
      <c r="A3367" s="4" t="str">
        <f t="shared" si="318"/>
        <v>EXP00107</v>
      </c>
      <c r="B3367" s="4" t="str">
        <f t="shared" si="313"/>
        <v>19291283</v>
      </c>
      <c r="C3367" s="4" t="str">
        <f t="shared" si="314"/>
        <v>GSE3521</v>
      </c>
      <c r="D3367" s="1" t="s">
        <v>14</v>
      </c>
      <c r="E3367" t="s">
        <v>30</v>
      </c>
      <c r="F3367" s="1">
        <v>2</v>
      </c>
      <c r="G3367" s="1" t="s">
        <v>32</v>
      </c>
      <c r="H3367" s="4" t="str">
        <f>HYPERLINK("https://www.ncbi.nlm.nih.gov/geo/query/acc.cgi?acc=GSM34433","GSM34433")</f>
        <v>GSM34433</v>
      </c>
      <c r="I3367" t="s">
        <v>17</v>
      </c>
      <c r="J3367" t="s">
        <v>18</v>
      </c>
      <c r="K3367" t="s">
        <v>33</v>
      </c>
      <c r="L3367" t="s">
        <v>20</v>
      </c>
      <c r="N3367" t="s">
        <v>29</v>
      </c>
    </row>
    <row r="3368" spans="1:14">
      <c r="A3368" s="4" t="str">
        <f t="shared" si="318"/>
        <v>EXP00107</v>
      </c>
      <c r="B3368" s="4" t="str">
        <f t="shared" si="313"/>
        <v>19291283</v>
      </c>
      <c r="C3368" s="4" t="str">
        <f t="shared" si="314"/>
        <v>GSE3521</v>
      </c>
      <c r="D3368" s="1" t="s">
        <v>14</v>
      </c>
      <c r="E3368" t="s">
        <v>30</v>
      </c>
      <c r="F3368" s="1">
        <v>2</v>
      </c>
      <c r="G3368" s="1" t="s">
        <v>32</v>
      </c>
      <c r="H3368" s="4" t="str">
        <f>HYPERLINK("https://www.ncbi.nlm.nih.gov/geo/query/acc.cgi?acc=GSM34434","GSM34434")</f>
        <v>GSM34434</v>
      </c>
      <c r="I3368" t="s">
        <v>17</v>
      </c>
      <c r="J3368" t="s">
        <v>18</v>
      </c>
      <c r="K3368" t="s">
        <v>33</v>
      </c>
      <c r="L3368" t="s">
        <v>20</v>
      </c>
      <c r="N3368" t="s">
        <v>29</v>
      </c>
    </row>
    <row r="3369" spans="1:14">
      <c r="A3369" s="4" t="str">
        <f t="shared" si="318"/>
        <v>EXP00107</v>
      </c>
      <c r="B3369" s="4" t="str">
        <f t="shared" si="313"/>
        <v>19291283</v>
      </c>
      <c r="C3369" s="4" t="str">
        <f t="shared" si="314"/>
        <v>GSE3521</v>
      </c>
      <c r="D3369" s="1" t="s">
        <v>14</v>
      </c>
      <c r="E3369" t="s">
        <v>30</v>
      </c>
      <c r="F3369" s="1">
        <v>2</v>
      </c>
      <c r="G3369" s="1" t="s">
        <v>32</v>
      </c>
      <c r="H3369" s="4" t="str">
        <f>HYPERLINK("https://www.ncbi.nlm.nih.gov/geo/query/acc.cgi?acc=GSM34438","GSM34438")</f>
        <v>GSM34438</v>
      </c>
      <c r="I3369" t="s">
        <v>17</v>
      </c>
      <c r="J3369" t="s">
        <v>18</v>
      </c>
      <c r="K3369" t="s">
        <v>33</v>
      </c>
      <c r="L3369" t="s">
        <v>20</v>
      </c>
      <c r="N3369" t="s">
        <v>29</v>
      </c>
    </row>
    <row r="3370" spans="1:14">
      <c r="A3370" s="4" t="str">
        <f t="shared" si="318"/>
        <v>EXP00107</v>
      </c>
      <c r="B3370" s="4" t="str">
        <f t="shared" si="313"/>
        <v>19291283</v>
      </c>
      <c r="C3370" s="4" t="str">
        <f t="shared" si="314"/>
        <v>GSE3521</v>
      </c>
      <c r="D3370" s="1" t="s">
        <v>14</v>
      </c>
      <c r="E3370" t="s">
        <v>30</v>
      </c>
      <c r="F3370" s="1">
        <v>2</v>
      </c>
      <c r="G3370" s="1" t="s">
        <v>32</v>
      </c>
      <c r="H3370" s="4" t="str">
        <f>HYPERLINK("https://www.ncbi.nlm.nih.gov/geo/query/acc.cgi?acc=GSM34445","GSM34445")</f>
        <v>GSM34445</v>
      </c>
      <c r="I3370" t="s">
        <v>17</v>
      </c>
      <c r="J3370" t="s">
        <v>18</v>
      </c>
      <c r="K3370" t="s">
        <v>33</v>
      </c>
      <c r="L3370" t="s">
        <v>20</v>
      </c>
      <c r="N3370" t="s">
        <v>29</v>
      </c>
    </row>
    <row r="3371" spans="1:14">
      <c r="A3371" s="4" t="str">
        <f t="shared" si="318"/>
        <v>EXP00107</v>
      </c>
      <c r="B3371" s="4" t="str">
        <f t="shared" si="313"/>
        <v>19291283</v>
      </c>
      <c r="C3371" s="4" t="str">
        <f t="shared" si="314"/>
        <v>GSE3521</v>
      </c>
      <c r="D3371" s="1" t="s">
        <v>14</v>
      </c>
      <c r="E3371" t="s">
        <v>30</v>
      </c>
      <c r="F3371" s="1">
        <v>2</v>
      </c>
      <c r="G3371" s="1" t="s">
        <v>32</v>
      </c>
      <c r="H3371" s="4" t="str">
        <f>HYPERLINK("https://www.ncbi.nlm.nih.gov/geo/query/acc.cgi?acc=GSM34447","GSM34447")</f>
        <v>GSM34447</v>
      </c>
      <c r="I3371" t="s">
        <v>17</v>
      </c>
      <c r="J3371" t="s">
        <v>18</v>
      </c>
      <c r="K3371" t="s">
        <v>33</v>
      </c>
      <c r="L3371" t="s">
        <v>20</v>
      </c>
      <c r="N3371" t="s">
        <v>29</v>
      </c>
    </row>
    <row r="3372" spans="1:14">
      <c r="A3372" s="4" t="str">
        <f t="shared" si="318"/>
        <v>EXP00107</v>
      </c>
      <c r="B3372" s="4" t="str">
        <f t="shared" si="313"/>
        <v>19291283</v>
      </c>
      <c r="C3372" s="4" t="str">
        <f t="shared" si="314"/>
        <v>GSE3521</v>
      </c>
      <c r="D3372" s="1" t="s">
        <v>14</v>
      </c>
      <c r="E3372" t="s">
        <v>30</v>
      </c>
      <c r="F3372" s="1">
        <v>2</v>
      </c>
      <c r="G3372" s="1" t="s">
        <v>32</v>
      </c>
      <c r="H3372" s="4" t="str">
        <f>HYPERLINK("https://www.ncbi.nlm.nih.gov/geo/query/acc.cgi?acc=GSM34448","GSM34448")</f>
        <v>GSM34448</v>
      </c>
      <c r="I3372" t="s">
        <v>17</v>
      </c>
      <c r="J3372" t="s">
        <v>18</v>
      </c>
      <c r="K3372" t="s">
        <v>33</v>
      </c>
      <c r="L3372" t="s">
        <v>20</v>
      </c>
      <c r="N3372" t="s">
        <v>29</v>
      </c>
    </row>
    <row r="3373" spans="1:14">
      <c r="A3373" s="4" t="str">
        <f t="shared" si="318"/>
        <v>EXP00107</v>
      </c>
      <c r="B3373" s="4" t="str">
        <f t="shared" si="313"/>
        <v>19291283</v>
      </c>
      <c r="C3373" s="4" t="str">
        <f t="shared" si="314"/>
        <v>GSE3521</v>
      </c>
      <c r="D3373" s="1" t="s">
        <v>14</v>
      </c>
      <c r="E3373" t="s">
        <v>30</v>
      </c>
      <c r="F3373" s="1">
        <v>2</v>
      </c>
      <c r="G3373" s="1" t="s">
        <v>32</v>
      </c>
      <c r="H3373" s="4" t="str">
        <f>HYPERLINK("https://www.ncbi.nlm.nih.gov/geo/query/acc.cgi?acc=GSM34449","GSM34449")</f>
        <v>GSM34449</v>
      </c>
      <c r="I3373" t="s">
        <v>17</v>
      </c>
      <c r="J3373" t="s">
        <v>18</v>
      </c>
      <c r="K3373" t="s">
        <v>33</v>
      </c>
      <c r="L3373" t="s">
        <v>20</v>
      </c>
      <c r="N3373" t="s">
        <v>29</v>
      </c>
    </row>
    <row r="3374" spans="1:14">
      <c r="A3374" s="4" t="str">
        <f t="shared" si="318"/>
        <v>EXP00107</v>
      </c>
      <c r="B3374" s="4" t="str">
        <f t="shared" si="313"/>
        <v>19291283</v>
      </c>
      <c r="C3374" s="4" t="str">
        <f t="shared" si="314"/>
        <v>GSE3521</v>
      </c>
      <c r="D3374" s="1" t="s">
        <v>14</v>
      </c>
      <c r="E3374" t="s">
        <v>30</v>
      </c>
      <c r="F3374" s="1">
        <v>2</v>
      </c>
      <c r="G3374" s="1" t="s">
        <v>32</v>
      </c>
      <c r="H3374" s="4" t="str">
        <f>HYPERLINK("https://www.ncbi.nlm.nih.gov/geo/query/acc.cgi?acc=GSM34450","GSM34450")</f>
        <v>GSM34450</v>
      </c>
      <c r="I3374" t="s">
        <v>17</v>
      </c>
      <c r="J3374" t="s">
        <v>18</v>
      </c>
      <c r="K3374" t="s">
        <v>33</v>
      </c>
      <c r="L3374" t="s">
        <v>20</v>
      </c>
      <c r="N3374" t="s">
        <v>29</v>
      </c>
    </row>
    <row r="3375" spans="1:14">
      <c r="A3375" s="4" t="str">
        <f t="shared" si="318"/>
        <v>EXP00107</v>
      </c>
      <c r="B3375" s="4" t="str">
        <f t="shared" si="313"/>
        <v>19291283</v>
      </c>
      <c r="C3375" s="4" t="str">
        <f t="shared" si="314"/>
        <v>GSE3521</v>
      </c>
      <c r="D3375" s="1" t="s">
        <v>14</v>
      </c>
      <c r="E3375" t="s">
        <v>30</v>
      </c>
      <c r="F3375" s="1">
        <v>2</v>
      </c>
      <c r="G3375" s="1" t="s">
        <v>32</v>
      </c>
      <c r="H3375" s="4" t="str">
        <f>HYPERLINK("https://www.ncbi.nlm.nih.gov/geo/query/acc.cgi?acc=GSM34451","GSM34451")</f>
        <v>GSM34451</v>
      </c>
      <c r="I3375" t="s">
        <v>17</v>
      </c>
      <c r="J3375" t="s">
        <v>18</v>
      </c>
      <c r="K3375" t="s">
        <v>33</v>
      </c>
      <c r="L3375" t="s">
        <v>20</v>
      </c>
      <c r="N3375" t="s">
        <v>29</v>
      </c>
    </row>
    <row r="3376" spans="1:14">
      <c r="A3376" s="4" t="str">
        <f t="shared" si="318"/>
        <v>EXP00107</v>
      </c>
      <c r="B3376" s="4" t="str">
        <f t="shared" si="313"/>
        <v>19291283</v>
      </c>
      <c r="C3376" s="4" t="str">
        <f t="shared" si="314"/>
        <v>GSE3521</v>
      </c>
      <c r="D3376" s="1" t="s">
        <v>14</v>
      </c>
      <c r="E3376" t="s">
        <v>30</v>
      </c>
      <c r="F3376" s="1">
        <v>2</v>
      </c>
      <c r="G3376" s="1" t="s">
        <v>32</v>
      </c>
      <c r="H3376" s="4" t="str">
        <f>HYPERLINK("https://www.ncbi.nlm.nih.gov/geo/query/acc.cgi?acc=GSM34452","GSM34452")</f>
        <v>GSM34452</v>
      </c>
      <c r="I3376" t="s">
        <v>17</v>
      </c>
      <c r="J3376" t="s">
        <v>18</v>
      </c>
      <c r="K3376" t="s">
        <v>33</v>
      </c>
      <c r="L3376" t="s">
        <v>20</v>
      </c>
      <c r="N3376" t="s">
        <v>29</v>
      </c>
    </row>
    <row r="3377" spans="1:14">
      <c r="A3377" s="4" t="str">
        <f t="shared" si="318"/>
        <v>EXP00107</v>
      </c>
      <c r="B3377" s="4" t="str">
        <f t="shared" si="313"/>
        <v>19291283</v>
      </c>
      <c r="C3377" s="4" t="str">
        <f t="shared" si="314"/>
        <v>GSE3521</v>
      </c>
      <c r="D3377" s="1" t="s">
        <v>14</v>
      </c>
      <c r="E3377" t="s">
        <v>30</v>
      </c>
      <c r="F3377" s="1">
        <v>2</v>
      </c>
      <c r="G3377" s="1" t="s">
        <v>32</v>
      </c>
      <c r="H3377" s="4" t="str">
        <f>HYPERLINK("https://www.ncbi.nlm.nih.gov/geo/query/acc.cgi?acc=GSM34454","GSM34454")</f>
        <v>GSM34454</v>
      </c>
      <c r="I3377" t="s">
        <v>17</v>
      </c>
      <c r="J3377" t="s">
        <v>18</v>
      </c>
      <c r="K3377" t="s">
        <v>33</v>
      </c>
      <c r="L3377" t="s">
        <v>20</v>
      </c>
      <c r="N3377" t="s">
        <v>29</v>
      </c>
    </row>
    <row r="3378" spans="1:14">
      <c r="A3378" s="4" t="str">
        <f t="shared" si="318"/>
        <v>EXP00107</v>
      </c>
      <c r="B3378" s="4" t="str">
        <f t="shared" si="313"/>
        <v>19291283</v>
      </c>
      <c r="C3378" s="4" t="str">
        <f t="shared" si="314"/>
        <v>GSE3521</v>
      </c>
      <c r="D3378" s="1" t="s">
        <v>14</v>
      </c>
      <c r="E3378" t="s">
        <v>30</v>
      </c>
      <c r="F3378" s="1">
        <v>2</v>
      </c>
      <c r="G3378" s="1" t="s">
        <v>32</v>
      </c>
      <c r="H3378" s="4" t="str">
        <f>HYPERLINK("https://www.ncbi.nlm.nih.gov/geo/query/acc.cgi?acc=GSM34455","GSM34455")</f>
        <v>GSM34455</v>
      </c>
      <c r="I3378" t="s">
        <v>17</v>
      </c>
      <c r="J3378" t="s">
        <v>18</v>
      </c>
      <c r="K3378" t="s">
        <v>33</v>
      </c>
      <c r="L3378" t="s">
        <v>20</v>
      </c>
      <c r="N3378" t="s">
        <v>29</v>
      </c>
    </row>
    <row r="3379" spans="1:14">
      <c r="A3379" s="4" t="str">
        <f t="shared" si="318"/>
        <v>EXP00107</v>
      </c>
      <c r="B3379" s="4" t="str">
        <f t="shared" ref="B3379:B3442" si="319">HYPERLINK("https://www.ncbi.nlm.nih.gov/pubmed/19291283","19291283")</f>
        <v>19291283</v>
      </c>
      <c r="C3379" s="4" t="str">
        <f t="shared" ref="C3379:C3442" si="320">HYPERLINK("https://www.ncbi.nlm.nih.gov/geo/query/acc.cgi?acc=GSE3521","GSE3521")</f>
        <v>GSE3521</v>
      </c>
      <c r="D3379" s="1" t="s">
        <v>14</v>
      </c>
      <c r="E3379" t="s">
        <v>30</v>
      </c>
      <c r="F3379" s="1">
        <v>2</v>
      </c>
      <c r="G3379" s="1" t="s">
        <v>32</v>
      </c>
      <c r="H3379" s="4" t="str">
        <f>HYPERLINK("https://www.ncbi.nlm.nih.gov/geo/query/acc.cgi?acc=GSM34456","GSM34456")</f>
        <v>GSM34456</v>
      </c>
      <c r="I3379" t="s">
        <v>17</v>
      </c>
      <c r="J3379" t="s">
        <v>18</v>
      </c>
      <c r="K3379" t="s">
        <v>33</v>
      </c>
      <c r="L3379" t="s">
        <v>20</v>
      </c>
      <c r="N3379" t="s">
        <v>29</v>
      </c>
    </row>
    <row r="3380" spans="1:14">
      <c r="A3380" s="4" t="str">
        <f t="shared" si="318"/>
        <v>EXP00107</v>
      </c>
      <c r="B3380" s="4" t="str">
        <f t="shared" si="319"/>
        <v>19291283</v>
      </c>
      <c r="C3380" s="4" t="str">
        <f t="shared" si="320"/>
        <v>GSE3521</v>
      </c>
      <c r="D3380" s="1" t="s">
        <v>14</v>
      </c>
      <c r="E3380" t="s">
        <v>30</v>
      </c>
      <c r="F3380" s="1">
        <v>2</v>
      </c>
      <c r="G3380" s="1" t="s">
        <v>32</v>
      </c>
      <c r="H3380" s="4" t="str">
        <f>HYPERLINK("https://www.ncbi.nlm.nih.gov/geo/query/acc.cgi?acc=GSM34457","GSM34457")</f>
        <v>GSM34457</v>
      </c>
      <c r="I3380" t="s">
        <v>17</v>
      </c>
      <c r="J3380" t="s">
        <v>18</v>
      </c>
      <c r="K3380" t="s">
        <v>33</v>
      </c>
      <c r="L3380" t="s">
        <v>20</v>
      </c>
      <c r="N3380" t="s">
        <v>29</v>
      </c>
    </row>
    <row r="3381" spans="1:14">
      <c r="A3381" s="4" t="str">
        <f t="shared" si="318"/>
        <v>EXP00107</v>
      </c>
      <c r="B3381" s="4" t="str">
        <f t="shared" si="319"/>
        <v>19291283</v>
      </c>
      <c r="C3381" s="4" t="str">
        <f t="shared" si="320"/>
        <v>GSE3521</v>
      </c>
      <c r="D3381" s="1" t="s">
        <v>14</v>
      </c>
      <c r="E3381" t="s">
        <v>30</v>
      </c>
      <c r="F3381" s="1">
        <v>2</v>
      </c>
      <c r="G3381" s="1" t="s">
        <v>32</v>
      </c>
      <c r="H3381" s="4" t="str">
        <f>HYPERLINK("https://www.ncbi.nlm.nih.gov/geo/query/acc.cgi?acc=GSM34458","GSM34458")</f>
        <v>GSM34458</v>
      </c>
      <c r="I3381" t="s">
        <v>17</v>
      </c>
      <c r="J3381" t="s">
        <v>18</v>
      </c>
      <c r="K3381" t="s">
        <v>33</v>
      </c>
      <c r="L3381" t="s">
        <v>20</v>
      </c>
      <c r="N3381" t="s">
        <v>29</v>
      </c>
    </row>
    <row r="3382" spans="1:14">
      <c r="A3382" s="4" t="str">
        <f t="shared" si="318"/>
        <v>EXP00107</v>
      </c>
      <c r="B3382" s="4" t="str">
        <f t="shared" si="319"/>
        <v>19291283</v>
      </c>
      <c r="C3382" s="4" t="str">
        <f t="shared" si="320"/>
        <v>GSE3521</v>
      </c>
      <c r="D3382" s="1" t="s">
        <v>14</v>
      </c>
      <c r="E3382" t="s">
        <v>30</v>
      </c>
      <c r="F3382" s="1">
        <v>2</v>
      </c>
      <c r="G3382" s="1" t="s">
        <v>32</v>
      </c>
      <c r="H3382" s="4" t="str">
        <f>HYPERLINK("https://www.ncbi.nlm.nih.gov/geo/query/acc.cgi?acc=GSM34459","GSM34459")</f>
        <v>GSM34459</v>
      </c>
      <c r="I3382" t="s">
        <v>17</v>
      </c>
      <c r="J3382" t="s">
        <v>18</v>
      </c>
      <c r="K3382" t="s">
        <v>33</v>
      </c>
      <c r="L3382" t="s">
        <v>20</v>
      </c>
      <c r="N3382" t="s">
        <v>29</v>
      </c>
    </row>
    <row r="3383" spans="1:14">
      <c r="A3383" s="4" t="str">
        <f t="shared" si="318"/>
        <v>EXP00107</v>
      </c>
      <c r="B3383" s="4" t="str">
        <f t="shared" si="319"/>
        <v>19291283</v>
      </c>
      <c r="C3383" s="4" t="str">
        <f t="shared" si="320"/>
        <v>GSE3521</v>
      </c>
      <c r="D3383" s="1" t="s">
        <v>14</v>
      </c>
      <c r="E3383" t="s">
        <v>30</v>
      </c>
      <c r="F3383" s="1">
        <v>2</v>
      </c>
      <c r="G3383" s="1" t="s">
        <v>32</v>
      </c>
      <c r="H3383" s="4" t="str">
        <f>HYPERLINK("https://www.ncbi.nlm.nih.gov/geo/query/acc.cgi?acc=GSM34474","GSM34474")</f>
        <v>GSM34474</v>
      </c>
      <c r="I3383" t="s">
        <v>17</v>
      </c>
      <c r="J3383" t="s">
        <v>18</v>
      </c>
      <c r="K3383" t="s">
        <v>33</v>
      </c>
      <c r="L3383" t="s">
        <v>20</v>
      </c>
      <c r="N3383" t="s">
        <v>29</v>
      </c>
    </row>
    <row r="3384" spans="1:14">
      <c r="A3384" s="4" t="str">
        <f t="shared" si="318"/>
        <v>EXP00107</v>
      </c>
      <c r="B3384" s="4" t="str">
        <f t="shared" si="319"/>
        <v>19291283</v>
      </c>
      <c r="C3384" s="4" t="str">
        <f t="shared" si="320"/>
        <v>GSE3521</v>
      </c>
      <c r="D3384" s="1" t="s">
        <v>14</v>
      </c>
      <c r="E3384" t="s">
        <v>30</v>
      </c>
      <c r="F3384" s="1">
        <v>2</v>
      </c>
      <c r="G3384" s="1" t="s">
        <v>32</v>
      </c>
      <c r="H3384" s="4" t="str">
        <f>HYPERLINK("https://www.ncbi.nlm.nih.gov/geo/query/acc.cgi?acc=GSM34475","GSM34475")</f>
        <v>GSM34475</v>
      </c>
      <c r="I3384" t="s">
        <v>17</v>
      </c>
      <c r="J3384" t="s">
        <v>18</v>
      </c>
      <c r="K3384" t="s">
        <v>33</v>
      </c>
      <c r="L3384" t="s">
        <v>20</v>
      </c>
      <c r="N3384" t="s">
        <v>29</v>
      </c>
    </row>
    <row r="3385" spans="1:14">
      <c r="A3385" s="4" t="str">
        <f t="shared" si="318"/>
        <v>EXP00107</v>
      </c>
      <c r="B3385" s="4" t="str">
        <f t="shared" si="319"/>
        <v>19291283</v>
      </c>
      <c r="C3385" s="4" t="str">
        <f t="shared" si="320"/>
        <v>GSE3521</v>
      </c>
      <c r="D3385" s="1" t="s">
        <v>14</v>
      </c>
      <c r="E3385" t="s">
        <v>30</v>
      </c>
      <c r="F3385" s="1">
        <v>2</v>
      </c>
      <c r="G3385" s="1" t="s">
        <v>32</v>
      </c>
      <c r="H3385" s="4" t="str">
        <f>HYPERLINK("https://www.ncbi.nlm.nih.gov/geo/query/acc.cgi?acc=GSM34479","GSM34479")</f>
        <v>GSM34479</v>
      </c>
      <c r="I3385" t="s">
        <v>17</v>
      </c>
      <c r="J3385" t="s">
        <v>18</v>
      </c>
      <c r="K3385" t="s">
        <v>33</v>
      </c>
      <c r="L3385" t="s">
        <v>20</v>
      </c>
      <c r="N3385" t="s">
        <v>29</v>
      </c>
    </row>
    <row r="3386" spans="1:14">
      <c r="A3386" s="4" t="str">
        <f t="shared" si="318"/>
        <v>EXP00107</v>
      </c>
      <c r="B3386" s="4" t="str">
        <f t="shared" si="319"/>
        <v>19291283</v>
      </c>
      <c r="C3386" s="4" t="str">
        <f t="shared" si="320"/>
        <v>GSE3521</v>
      </c>
      <c r="D3386" s="1" t="s">
        <v>14</v>
      </c>
      <c r="E3386" t="s">
        <v>30</v>
      </c>
      <c r="F3386" s="1">
        <v>2</v>
      </c>
      <c r="G3386" s="1" t="s">
        <v>32</v>
      </c>
      <c r="H3386" s="4" t="str">
        <f>HYPERLINK("https://www.ncbi.nlm.nih.gov/geo/query/acc.cgi?acc=GSM34480","GSM34480")</f>
        <v>GSM34480</v>
      </c>
      <c r="I3386" t="s">
        <v>17</v>
      </c>
      <c r="J3386" t="s">
        <v>18</v>
      </c>
      <c r="K3386" t="s">
        <v>33</v>
      </c>
      <c r="L3386" t="s">
        <v>20</v>
      </c>
      <c r="N3386" t="s">
        <v>29</v>
      </c>
    </row>
    <row r="3387" spans="1:14">
      <c r="A3387" s="4" t="str">
        <f t="shared" si="318"/>
        <v>EXP00107</v>
      </c>
      <c r="B3387" s="4" t="str">
        <f t="shared" si="319"/>
        <v>19291283</v>
      </c>
      <c r="C3387" s="4" t="str">
        <f t="shared" si="320"/>
        <v>GSE3521</v>
      </c>
      <c r="D3387" s="1" t="s">
        <v>14</v>
      </c>
      <c r="E3387" t="s">
        <v>30</v>
      </c>
      <c r="F3387" s="1">
        <v>2</v>
      </c>
      <c r="G3387" s="1" t="s">
        <v>32</v>
      </c>
      <c r="H3387" s="4" t="str">
        <f>HYPERLINK("https://www.ncbi.nlm.nih.gov/geo/query/acc.cgi?acc=GSM34481","GSM34481")</f>
        <v>GSM34481</v>
      </c>
      <c r="I3387" t="s">
        <v>17</v>
      </c>
      <c r="J3387" t="s">
        <v>18</v>
      </c>
      <c r="K3387" t="s">
        <v>33</v>
      </c>
      <c r="L3387" t="s">
        <v>20</v>
      </c>
      <c r="N3387" t="s">
        <v>29</v>
      </c>
    </row>
    <row r="3388" spans="1:14">
      <c r="A3388" s="4" t="str">
        <f t="shared" si="318"/>
        <v>EXP00107</v>
      </c>
      <c r="B3388" s="4" t="str">
        <f t="shared" si="319"/>
        <v>19291283</v>
      </c>
      <c r="C3388" s="4" t="str">
        <f t="shared" si="320"/>
        <v>GSE3521</v>
      </c>
      <c r="D3388" s="1" t="s">
        <v>14</v>
      </c>
      <c r="E3388" t="s">
        <v>30</v>
      </c>
      <c r="F3388" s="1">
        <v>2</v>
      </c>
      <c r="G3388" s="1" t="s">
        <v>32</v>
      </c>
      <c r="H3388" s="4" t="str">
        <f>HYPERLINK("https://www.ncbi.nlm.nih.gov/geo/query/acc.cgi?acc=GSM34486","GSM34486")</f>
        <v>GSM34486</v>
      </c>
      <c r="I3388" t="s">
        <v>17</v>
      </c>
      <c r="J3388" t="s">
        <v>18</v>
      </c>
      <c r="K3388" t="s">
        <v>33</v>
      </c>
      <c r="L3388" t="s">
        <v>20</v>
      </c>
      <c r="N3388" t="s">
        <v>29</v>
      </c>
    </row>
    <row r="3389" spans="1:14">
      <c r="A3389" s="4" t="str">
        <f t="shared" si="318"/>
        <v>EXP00107</v>
      </c>
      <c r="B3389" s="4" t="str">
        <f t="shared" si="319"/>
        <v>19291283</v>
      </c>
      <c r="C3389" s="4" t="str">
        <f t="shared" si="320"/>
        <v>GSE3521</v>
      </c>
      <c r="D3389" s="1" t="s">
        <v>14</v>
      </c>
      <c r="E3389" t="s">
        <v>30</v>
      </c>
      <c r="F3389" s="1">
        <v>2</v>
      </c>
      <c r="G3389" s="1" t="s">
        <v>32</v>
      </c>
      <c r="H3389" s="4" t="str">
        <f>HYPERLINK("https://www.ncbi.nlm.nih.gov/geo/query/acc.cgi?acc=GSM34488","GSM34488")</f>
        <v>GSM34488</v>
      </c>
      <c r="I3389" t="s">
        <v>17</v>
      </c>
      <c r="J3389" t="s">
        <v>18</v>
      </c>
      <c r="K3389" t="s">
        <v>33</v>
      </c>
      <c r="L3389" t="s">
        <v>20</v>
      </c>
      <c r="N3389" t="s">
        <v>29</v>
      </c>
    </row>
    <row r="3390" spans="1:14">
      <c r="A3390" s="4" t="str">
        <f t="shared" si="318"/>
        <v>EXP00107</v>
      </c>
      <c r="B3390" s="4" t="str">
        <f t="shared" si="319"/>
        <v>19291283</v>
      </c>
      <c r="C3390" s="4" t="str">
        <f t="shared" si="320"/>
        <v>GSE3521</v>
      </c>
      <c r="D3390" s="1" t="s">
        <v>14</v>
      </c>
      <c r="E3390" t="s">
        <v>30</v>
      </c>
      <c r="F3390" s="1">
        <v>2</v>
      </c>
      <c r="G3390" s="1" t="s">
        <v>32</v>
      </c>
      <c r="H3390" s="4" t="str">
        <f>HYPERLINK("https://www.ncbi.nlm.nih.gov/geo/query/acc.cgi?acc=GSM34494","GSM34494")</f>
        <v>GSM34494</v>
      </c>
      <c r="I3390" t="s">
        <v>17</v>
      </c>
      <c r="J3390" t="s">
        <v>18</v>
      </c>
      <c r="K3390" t="s">
        <v>33</v>
      </c>
      <c r="L3390" t="s">
        <v>20</v>
      </c>
      <c r="N3390" t="s">
        <v>29</v>
      </c>
    </row>
    <row r="3391" spans="1:14">
      <c r="A3391" s="4" t="str">
        <f t="shared" si="318"/>
        <v>EXP00107</v>
      </c>
      <c r="B3391" s="4" t="str">
        <f t="shared" si="319"/>
        <v>19291283</v>
      </c>
      <c r="C3391" s="4" t="str">
        <f t="shared" si="320"/>
        <v>GSE3521</v>
      </c>
      <c r="D3391" s="1" t="s">
        <v>14</v>
      </c>
      <c r="E3391" t="s">
        <v>30</v>
      </c>
      <c r="F3391" s="1">
        <v>2</v>
      </c>
      <c r="G3391" s="1" t="s">
        <v>32</v>
      </c>
      <c r="H3391" s="4" t="str">
        <f>HYPERLINK("https://www.ncbi.nlm.nih.gov/geo/query/acc.cgi?acc=GSM34496","GSM34496")</f>
        <v>GSM34496</v>
      </c>
      <c r="I3391" t="s">
        <v>17</v>
      </c>
      <c r="J3391" t="s">
        <v>18</v>
      </c>
      <c r="K3391" t="s">
        <v>33</v>
      </c>
      <c r="L3391" t="s">
        <v>20</v>
      </c>
      <c r="N3391" t="s">
        <v>29</v>
      </c>
    </row>
    <row r="3392" spans="1:14">
      <c r="A3392" s="4" t="str">
        <f t="shared" si="318"/>
        <v>EXP00107</v>
      </c>
      <c r="B3392" s="4" t="str">
        <f t="shared" si="319"/>
        <v>19291283</v>
      </c>
      <c r="C3392" s="4" t="str">
        <f t="shared" si="320"/>
        <v>GSE3521</v>
      </c>
      <c r="D3392" s="1" t="s">
        <v>14</v>
      </c>
      <c r="E3392" t="s">
        <v>30</v>
      </c>
      <c r="F3392" s="1">
        <v>2</v>
      </c>
      <c r="G3392" s="1" t="s">
        <v>32</v>
      </c>
      <c r="H3392" s="4" t="str">
        <f>HYPERLINK("https://www.ncbi.nlm.nih.gov/geo/query/acc.cgi?acc=GSM34497","GSM34497")</f>
        <v>GSM34497</v>
      </c>
      <c r="I3392" t="s">
        <v>17</v>
      </c>
      <c r="J3392" t="s">
        <v>18</v>
      </c>
      <c r="K3392" t="s">
        <v>33</v>
      </c>
      <c r="L3392" t="s">
        <v>20</v>
      </c>
      <c r="N3392" t="s">
        <v>29</v>
      </c>
    </row>
    <row r="3393" spans="1:14">
      <c r="A3393" s="4" t="str">
        <f t="shared" si="318"/>
        <v>EXP00107</v>
      </c>
      <c r="B3393" s="4" t="str">
        <f t="shared" si="319"/>
        <v>19291283</v>
      </c>
      <c r="C3393" s="4" t="str">
        <f t="shared" si="320"/>
        <v>GSE3521</v>
      </c>
      <c r="D3393" s="1" t="s">
        <v>14</v>
      </c>
      <c r="E3393" t="s">
        <v>30</v>
      </c>
      <c r="F3393" s="1">
        <v>2</v>
      </c>
      <c r="G3393" s="1" t="s">
        <v>32</v>
      </c>
      <c r="H3393" s="4" t="str">
        <f>HYPERLINK("https://www.ncbi.nlm.nih.gov/geo/query/acc.cgi?acc=GSM34534","GSM34534")</f>
        <v>GSM34534</v>
      </c>
      <c r="I3393" t="s">
        <v>17</v>
      </c>
      <c r="J3393" t="s">
        <v>18</v>
      </c>
      <c r="K3393" t="s">
        <v>33</v>
      </c>
      <c r="L3393" t="s">
        <v>20</v>
      </c>
      <c r="N3393" t="s">
        <v>29</v>
      </c>
    </row>
    <row r="3394" spans="1:14">
      <c r="A3394" s="4" t="str">
        <f t="shared" ref="A3394:A3425" si="321">HYPERLINK("http://hcmdb.i-sanger.com/experiment/details/experiment_id/EXP00107","EXP00107")</f>
        <v>EXP00107</v>
      </c>
      <c r="B3394" s="4" t="str">
        <f t="shared" si="319"/>
        <v>19291283</v>
      </c>
      <c r="C3394" s="4" t="str">
        <f t="shared" si="320"/>
        <v>GSE3521</v>
      </c>
      <c r="D3394" s="1" t="s">
        <v>14</v>
      </c>
      <c r="E3394" t="s">
        <v>30</v>
      </c>
      <c r="F3394" s="1">
        <v>2</v>
      </c>
      <c r="G3394" s="1" t="s">
        <v>32</v>
      </c>
      <c r="H3394" s="4" t="str">
        <f>HYPERLINK("https://www.ncbi.nlm.nih.gov/geo/query/acc.cgi?acc=GSM34535","GSM34535")</f>
        <v>GSM34535</v>
      </c>
      <c r="I3394" t="s">
        <v>17</v>
      </c>
      <c r="J3394" t="s">
        <v>18</v>
      </c>
      <c r="K3394" t="s">
        <v>33</v>
      </c>
      <c r="L3394" t="s">
        <v>20</v>
      </c>
      <c r="N3394" t="s">
        <v>29</v>
      </c>
    </row>
    <row r="3395" spans="1:14">
      <c r="A3395" s="4" t="str">
        <f t="shared" si="321"/>
        <v>EXP00107</v>
      </c>
      <c r="B3395" s="4" t="str">
        <f t="shared" si="319"/>
        <v>19291283</v>
      </c>
      <c r="C3395" s="4" t="str">
        <f t="shared" si="320"/>
        <v>GSE3521</v>
      </c>
      <c r="D3395" s="1" t="s">
        <v>14</v>
      </c>
      <c r="E3395" t="s">
        <v>30</v>
      </c>
      <c r="F3395" s="1">
        <v>2</v>
      </c>
      <c r="G3395" s="1" t="s">
        <v>32</v>
      </c>
      <c r="H3395" s="4" t="str">
        <f>HYPERLINK("https://www.ncbi.nlm.nih.gov/geo/query/acc.cgi?acc=GSM34536","GSM34536")</f>
        <v>GSM34536</v>
      </c>
      <c r="I3395" t="s">
        <v>17</v>
      </c>
      <c r="J3395" t="s">
        <v>18</v>
      </c>
      <c r="K3395" t="s">
        <v>33</v>
      </c>
      <c r="L3395" t="s">
        <v>20</v>
      </c>
      <c r="N3395" t="s">
        <v>29</v>
      </c>
    </row>
    <row r="3396" spans="1:14">
      <c r="A3396" s="4" t="str">
        <f t="shared" si="321"/>
        <v>EXP00107</v>
      </c>
      <c r="B3396" s="4" t="str">
        <f t="shared" si="319"/>
        <v>19291283</v>
      </c>
      <c r="C3396" s="4" t="str">
        <f t="shared" si="320"/>
        <v>GSE3521</v>
      </c>
      <c r="D3396" s="1" t="s">
        <v>14</v>
      </c>
      <c r="E3396" t="s">
        <v>30</v>
      </c>
      <c r="F3396" s="1">
        <v>2</v>
      </c>
      <c r="G3396" s="1" t="s">
        <v>32</v>
      </c>
      <c r="H3396" s="4" t="str">
        <f>HYPERLINK("https://www.ncbi.nlm.nih.gov/geo/query/acc.cgi?acc=GSM34538","GSM34538")</f>
        <v>GSM34538</v>
      </c>
      <c r="I3396" t="s">
        <v>17</v>
      </c>
      <c r="J3396" t="s">
        <v>18</v>
      </c>
      <c r="K3396" t="s">
        <v>33</v>
      </c>
      <c r="L3396" t="s">
        <v>20</v>
      </c>
      <c r="N3396" t="s">
        <v>29</v>
      </c>
    </row>
    <row r="3397" spans="1:14">
      <c r="A3397" s="4" t="str">
        <f t="shared" si="321"/>
        <v>EXP00107</v>
      </c>
      <c r="B3397" s="4" t="str">
        <f t="shared" si="319"/>
        <v>19291283</v>
      </c>
      <c r="C3397" s="4" t="str">
        <f t="shared" si="320"/>
        <v>GSE3521</v>
      </c>
      <c r="D3397" s="1" t="s">
        <v>14</v>
      </c>
      <c r="E3397" t="s">
        <v>30</v>
      </c>
      <c r="F3397" s="1">
        <v>2</v>
      </c>
      <c r="G3397" s="1" t="s">
        <v>32</v>
      </c>
      <c r="H3397" s="4" t="str">
        <f>HYPERLINK("https://www.ncbi.nlm.nih.gov/geo/query/acc.cgi?acc=GSM34539","GSM34539")</f>
        <v>GSM34539</v>
      </c>
      <c r="I3397" t="s">
        <v>17</v>
      </c>
      <c r="J3397" t="s">
        <v>18</v>
      </c>
      <c r="K3397" t="s">
        <v>33</v>
      </c>
      <c r="L3397" t="s">
        <v>20</v>
      </c>
      <c r="N3397" t="s">
        <v>29</v>
      </c>
    </row>
    <row r="3398" spans="1:14">
      <c r="A3398" s="4" t="str">
        <f t="shared" si="321"/>
        <v>EXP00107</v>
      </c>
      <c r="B3398" s="4" t="str">
        <f t="shared" si="319"/>
        <v>19291283</v>
      </c>
      <c r="C3398" s="4" t="str">
        <f t="shared" si="320"/>
        <v>GSE3521</v>
      </c>
      <c r="D3398" s="1" t="s">
        <v>14</v>
      </c>
      <c r="E3398" t="s">
        <v>30</v>
      </c>
      <c r="F3398" s="1">
        <v>2</v>
      </c>
      <c r="G3398" s="1" t="s">
        <v>32</v>
      </c>
      <c r="H3398" s="4" t="str">
        <f>HYPERLINK("https://www.ncbi.nlm.nih.gov/geo/query/acc.cgi?acc=GSM34540","GSM34540")</f>
        <v>GSM34540</v>
      </c>
      <c r="I3398" t="s">
        <v>17</v>
      </c>
      <c r="J3398" t="s">
        <v>18</v>
      </c>
      <c r="K3398" t="s">
        <v>33</v>
      </c>
      <c r="L3398" t="s">
        <v>20</v>
      </c>
      <c r="N3398" t="s">
        <v>29</v>
      </c>
    </row>
    <row r="3399" spans="1:14">
      <c r="A3399" s="4" t="str">
        <f t="shared" si="321"/>
        <v>EXP00107</v>
      </c>
      <c r="B3399" s="4" t="str">
        <f t="shared" si="319"/>
        <v>19291283</v>
      </c>
      <c r="C3399" s="4" t="str">
        <f t="shared" si="320"/>
        <v>GSE3521</v>
      </c>
      <c r="D3399" s="1" t="s">
        <v>14</v>
      </c>
      <c r="E3399" t="s">
        <v>30</v>
      </c>
      <c r="F3399" s="1">
        <v>2</v>
      </c>
      <c r="G3399" s="1" t="s">
        <v>32</v>
      </c>
      <c r="H3399" s="4" t="str">
        <f>HYPERLINK("https://www.ncbi.nlm.nih.gov/geo/query/acc.cgi?acc=GSM34541","GSM34541")</f>
        <v>GSM34541</v>
      </c>
      <c r="I3399" t="s">
        <v>17</v>
      </c>
      <c r="J3399" t="s">
        <v>18</v>
      </c>
      <c r="K3399" t="s">
        <v>33</v>
      </c>
      <c r="L3399" t="s">
        <v>20</v>
      </c>
      <c r="N3399" t="s">
        <v>29</v>
      </c>
    </row>
    <row r="3400" spans="1:14">
      <c r="A3400" s="4" t="str">
        <f t="shared" si="321"/>
        <v>EXP00107</v>
      </c>
      <c r="B3400" s="4" t="str">
        <f t="shared" si="319"/>
        <v>19291283</v>
      </c>
      <c r="C3400" s="4" t="str">
        <f t="shared" si="320"/>
        <v>GSE3521</v>
      </c>
      <c r="D3400" s="1" t="s">
        <v>14</v>
      </c>
      <c r="E3400" t="s">
        <v>30</v>
      </c>
      <c r="F3400" s="1">
        <v>2</v>
      </c>
      <c r="G3400" s="1" t="s">
        <v>32</v>
      </c>
      <c r="H3400" s="4" t="str">
        <f>HYPERLINK("https://www.ncbi.nlm.nih.gov/geo/query/acc.cgi?acc=GSM34542","GSM34542")</f>
        <v>GSM34542</v>
      </c>
      <c r="I3400" t="s">
        <v>17</v>
      </c>
      <c r="J3400" t="s">
        <v>18</v>
      </c>
      <c r="K3400" t="s">
        <v>33</v>
      </c>
      <c r="L3400" t="s">
        <v>20</v>
      </c>
      <c r="N3400" t="s">
        <v>29</v>
      </c>
    </row>
    <row r="3401" spans="1:14">
      <c r="A3401" s="4" t="str">
        <f t="shared" si="321"/>
        <v>EXP00107</v>
      </c>
      <c r="B3401" s="4" t="str">
        <f t="shared" si="319"/>
        <v>19291283</v>
      </c>
      <c r="C3401" s="4" t="str">
        <f t="shared" si="320"/>
        <v>GSE3521</v>
      </c>
      <c r="D3401" s="1" t="s">
        <v>14</v>
      </c>
      <c r="E3401" t="s">
        <v>30</v>
      </c>
      <c r="F3401" s="1">
        <v>2</v>
      </c>
      <c r="G3401" s="1" t="s">
        <v>32</v>
      </c>
      <c r="H3401" s="4" t="str">
        <f>HYPERLINK("https://www.ncbi.nlm.nih.gov/geo/query/acc.cgi?acc=GSM34544","GSM34544")</f>
        <v>GSM34544</v>
      </c>
      <c r="I3401" t="s">
        <v>17</v>
      </c>
      <c r="J3401" t="s">
        <v>18</v>
      </c>
      <c r="K3401" t="s">
        <v>33</v>
      </c>
      <c r="L3401" t="s">
        <v>20</v>
      </c>
      <c r="N3401" t="s">
        <v>29</v>
      </c>
    </row>
    <row r="3402" spans="1:14">
      <c r="A3402" s="4" t="str">
        <f t="shared" si="321"/>
        <v>EXP00107</v>
      </c>
      <c r="B3402" s="4" t="str">
        <f t="shared" si="319"/>
        <v>19291283</v>
      </c>
      <c r="C3402" s="4" t="str">
        <f t="shared" si="320"/>
        <v>GSE3521</v>
      </c>
      <c r="D3402" s="1" t="s">
        <v>14</v>
      </c>
      <c r="E3402" t="s">
        <v>30</v>
      </c>
      <c r="F3402" s="1">
        <v>2</v>
      </c>
      <c r="G3402" s="1" t="s">
        <v>32</v>
      </c>
      <c r="H3402" s="4" t="str">
        <f>HYPERLINK("https://www.ncbi.nlm.nih.gov/geo/query/acc.cgi?acc=GSM34545","GSM34545")</f>
        <v>GSM34545</v>
      </c>
      <c r="I3402" t="s">
        <v>17</v>
      </c>
      <c r="J3402" t="s">
        <v>18</v>
      </c>
      <c r="K3402" t="s">
        <v>33</v>
      </c>
      <c r="L3402" t="s">
        <v>20</v>
      </c>
      <c r="N3402" t="s">
        <v>29</v>
      </c>
    </row>
    <row r="3403" spans="1:14">
      <c r="A3403" s="4" t="str">
        <f t="shared" si="321"/>
        <v>EXP00107</v>
      </c>
      <c r="B3403" s="4" t="str">
        <f t="shared" si="319"/>
        <v>19291283</v>
      </c>
      <c r="C3403" s="4" t="str">
        <f t="shared" si="320"/>
        <v>GSE3521</v>
      </c>
      <c r="D3403" s="1" t="s">
        <v>14</v>
      </c>
      <c r="E3403" t="s">
        <v>30</v>
      </c>
      <c r="F3403" s="1">
        <v>2</v>
      </c>
      <c r="G3403" s="1" t="s">
        <v>32</v>
      </c>
      <c r="H3403" s="4" t="str">
        <f>HYPERLINK("https://www.ncbi.nlm.nih.gov/geo/query/acc.cgi?acc=GSM34546","GSM34546")</f>
        <v>GSM34546</v>
      </c>
      <c r="I3403" t="s">
        <v>17</v>
      </c>
      <c r="J3403" t="s">
        <v>18</v>
      </c>
      <c r="K3403" t="s">
        <v>33</v>
      </c>
      <c r="L3403" t="s">
        <v>20</v>
      </c>
      <c r="N3403" t="s">
        <v>29</v>
      </c>
    </row>
    <row r="3404" spans="1:14">
      <c r="A3404" s="4" t="str">
        <f t="shared" si="321"/>
        <v>EXP00107</v>
      </c>
      <c r="B3404" s="4" t="str">
        <f t="shared" si="319"/>
        <v>19291283</v>
      </c>
      <c r="C3404" s="4" t="str">
        <f t="shared" si="320"/>
        <v>GSE3521</v>
      </c>
      <c r="D3404" s="1" t="s">
        <v>14</v>
      </c>
      <c r="E3404" t="s">
        <v>30</v>
      </c>
      <c r="F3404" s="1">
        <v>2</v>
      </c>
      <c r="G3404" s="1" t="s">
        <v>32</v>
      </c>
      <c r="H3404" s="4" t="str">
        <f>HYPERLINK("https://www.ncbi.nlm.nih.gov/geo/query/acc.cgi?acc=GSM34548","GSM34548")</f>
        <v>GSM34548</v>
      </c>
      <c r="I3404" t="s">
        <v>17</v>
      </c>
      <c r="J3404" t="s">
        <v>18</v>
      </c>
      <c r="K3404" t="s">
        <v>33</v>
      </c>
      <c r="L3404" t="s">
        <v>20</v>
      </c>
      <c r="N3404" t="s">
        <v>29</v>
      </c>
    </row>
    <row r="3405" spans="1:14">
      <c r="A3405" s="4" t="str">
        <f t="shared" si="321"/>
        <v>EXP00107</v>
      </c>
      <c r="B3405" s="4" t="str">
        <f t="shared" si="319"/>
        <v>19291283</v>
      </c>
      <c r="C3405" s="4" t="str">
        <f t="shared" si="320"/>
        <v>GSE3521</v>
      </c>
      <c r="D3405" s="1" t="s">
        <v>14</v>
      </c>
      <c r="E3405" t="s">
        <v>30</v>
      </c>
      <c r="F3405" s="1">
        <v>2</v>
      </c>
      <c r="G3405" s="1" t="s">
        <v>32</v>
      </c>
      <c r="H3405" s="4" t="str">
        <f>HYPERLINK("https://www.ncbi.nlm.nih.gov/geo/query/acc.cgi?acc=GSM34549","GSM34549")</f>
        <v>GSM34549</v>
      </c>
      <c r="I3405" t="s">
        <v>17</v>
      </c>
      <c r="J3405" t="s">
        <v>18</v>
      </c>
      <c r="K3405" t="s">
        <v>33</v>
      </c>
      <c r="L3405" t="s">
        <v>20</v>
      </c>
      <c r="N3405" t="s">
        <v>29</v>
      </c>
    </row>
    <row r="3406" spans="1:14">
      <c r="A3406" s="4" t="str">
        <f t="shared" si="321"/>
        <v>EXP00107</v>
      </c>
      <c r="B3406" s="4" t="str">
        <f t="shared" si="319"/>
        <v>19291283</v>
      </c>
      <c r="C3406" s="4" t="str">
        <f t="shared" si="320"/>
        <v>GSE3521</v>
      </c>
      <c r="D3406" s="1" t="s">
        <v>14</v>
      </c>
      <c r="E3406" t="s">
        <v>30</v>
      </c>
      <c r="F3406" s="1">
        <v>2</v>
      </c>
      <c r="G3406" s="1" t="s">
        <v>32</v>
      </c>
      <c r="H3406" s="4" t="str">
        <f>HYPERLINK("https://www.ncbi.nlm.nih.gov/geo/query/acc.cgi?acc=GSM34553","GSM34553")</f>
        <v>GSM34553</v>
      </c>
      <c r="I3406" t="s">
        <v>17</v>
      </c>
      <c r="J3406" t="s">
        <v>18</v>
      </c>
      <c r="K3406" t="s">
        <v>33</v>
      </c>
      <c r="L3406" t="s">
        <v>20</v>
      </c>
      <c r="N3406" t="s">
        <v>29</v>
      </c>
    </row>
    <row r="3407" spans="1:14">
      <c r="A3407" s="4" t="str">
        <f t="shared" si="321"/>
        <v>EXP00107</v>
      </c>
      <c r="B3407" s="4" t="str">
        <f t="shared" si="319"/>
        <v>19291283</v>
      </c>
      <c r="C3407" s="4" t="str">
        <f t="shared" si="320"/>
        <v>GSE3521</v>
      </c>
      <c r="D3407" s="1" t="s">
        <v>14</v>
      </c>
      <c r="E3407" t="s">
        <v>30</v>
      </c>
      <c r="F3407" s="1">
        <v>2</v>
      </c>
      <c r="G3407" s="1" t="s">
        <v>32</v>
      </c>
      <c r="H3407" s="4" t="str">
        <f>HYPERLINK("https://www.ncbi.nlm.nih.gov/geo/query/acc.cgi?acc=GSM34554","GSM34554")</f>
        <v>GSM34554</v>
      </c>
      <c r="I3407" t="s">
        <v>17</v>
      </c>
      <c r="J3407" t="s">
        <v>18</v>
      </c>
      <c r="K3407" t="s">
        <v>33</v>
      </c>
      <c r="L3407" t="s">
        <v>20</v>
      </c>
      <c r="N3407" t="s">
        <v>29</v>
      </c>
    </row>
    <row r="3408" spans="1:14">
      <c r="A3408" s="4" t="str">
        <f t="shared" si="321"/>
        <v>EXP00107</v>
      </c>
      <c r="B3408" s="4" t="str">
        <f t="shared" si="319"/>
        <v>19291283</v>
      </c>
      <c r="C3408" s="4" t="str">
        <f t="shared" si="320"/>
        <v>GSE3521</v>
      </c>
      <c r="D3408" s="1" t="s">
        <v>14</v>
      </c>
      <c r="E3408" t="s">
        <v>30</v>
      </c>
      <c r="F3408" s="1">
        <v>2</v>
      </c>
      <c r="G3408" s="1" t="s">
        <v>32</v>
      </c>
      <c r="H3408" s="4" t="str">
        <f>HYPERLINK("https://www.ncbi.nlm.nih.gov/geo/query/acc.cgi?acc=GSM34555","GSM34555")</f>
        <v>GSM34555</v>
      </c>
      <c r="I3408" t="s">
        <v>17</v>
      </c>
      <c r="J3408" t="s">
        <v>18</v>
      </c>
      <c r="K3408" t="s">
        <v>33</v>
      </c>
      <c r="L3408" t="s">
        <v>20</v>
      </c>
      <c r="N3408" t="s">
        <v>29</v>
      </c>
    </row>
    <row r="3409" spans="1:14">
      <c r="A3409" s="4" t="str">
        <f t="shared" si="321"/>
        <v>EXP00107</v>
      </c>
      <c r="B3409" s="4" t="str">
        <f t="shared" si="319"/>
        <v>19291283</v>
      </c>
      <c r="C3409" s="4" t="str">
        <f t="shared" si="320"/>
        <v>GSE3521</v>
      </c>
      <c r="D3409" s="1" t="s">
        <v>14</v>
      </c>
      <c r="E3409" t="s">
        <v>30</v>
      </c>
      <c r="F3409" s="1">
        <v>2</v>
      </c>
      <c r="G3409" s="1" t="s">
        <v>32</v>
      </c>
      <c r="H3409" s="4" t="str">
        <f>HYPERLINK("https://www.ncbi.nlm.nih.gov/geo/query/acc.cgi?acc=GSM34558","GSM34558")</f>
        <v>GSM34558</v>
      </c>
      <c r="I3409" t="s">
        <v>17</v>
      </c>
      <c r="J3409" t="s">
        <v>18</v>
      </c>
      <c r="K3409" t="s">
        <v>33</v>
      </c>
      <c r="L3409" t="s">
        <v>20</v>
      </c>
      <c r="N3409" t="s">
        <v>29</v>
      </c>
    </row>
    <row r="3410" spans="1:14">
      <c r="A3410" s="4" t="str">
        <f t="shared" si="321"/>
        <v>EXP00107</v>
      </c>
      <c r="B3410" s="4" t="str">
        <f t="shared" si="319"/>
        <v>19291283</v>
      </c>
      <c r="C3410" s="4" t="str">
        <f t="shared" si="320"/>
        <v>GSE3521</v>
      </c>
      <c r="D3410" s="1" t="s">
        <v>14</v>
      </c>
      <c r="E3410" t="s">
        <v>30</v>
      </c>
      <c r="F3410" s="1">
        <v>2</v>
      </c>
      <c r="G3410" s="1" t="s">
        <v>32</v>
      </c>
      <c r="H3410" s="4" t="str">
        <f>HYPERLINK("https://www.ncbi.nlm.nih.gov/geo/query/acc.cgi?acc=GSM34559","GSM34559")</f>
        <v>GSM34559</v>
      </c>
      <c r="I3410" t="s">
        <v>17</v>
      </c>
      <c r="J3410" t="s">
        <v>18</v>
      </c>
      <c r="K3410" t="s">
        <v>33</v>
      </c>
      <c r="L3410" t="s">
        <v>20</v>
      </c>
      <c r="N3410" t="s">
        <v>29</v>
      </c>
    </row>
    <row r="3411" spans="1:14">
      <c r="A3411" s="4" t="str">
        <f t="shared" si="321"/>
        <v>EXP00107</v>
      </c>
      <c r="B3411" s="4" t="str">
        <f t="shared" si="319"/>
        <v>19291283</v>
      </c>
      <c r="C3411" s="4" t="str">
        <f t="shared" si="320"/>
        <v>GSE3521</v>
      </c>
      <c r="D3411" s="1" t="s">
        <v>14</v>
      </c>
      <c r="E3411" t="s">
        <v>30</v>
      </c>
      <c r="F3411" s="1">
        <v>2</v>
      </c>
      <c r="G3411" s="1" t="s">
        <v>32</v>
      </c>
      <c r="H3411" s="4" t="str">
        <f>HYPERLINK("https://www.ncbi.nlm.nih.gov/geo/query/acc.cgi?acc=GSM34561","GSM34561")</f>
        <v>GSM34561</v>
      </c>
      <c r="I3411" t="s">
        <v>17</v>
      </c>
      <c r="J3411" t="s">
        <v>18</v>
      </c>
      <c r="K3411" t="s">
        <v>33</v>
      </c>
      <c r="L3411" t="s">
        <v>20</v>
      </c>
      <c r="N3411" t="s">
        <v>29</v>
      </c>
    </row>
    <row r="3412" spans="1:14">
      <c r="A3412" s="4" t="str">
        <f t="shared" si="321"/>
        <v>EXP00107</v>
      </c>
      <c r="B3412" s="4" t="str">
        <f t="shared" si="319"/>
        <v>19291283</v>
      </c>
      <c r="C3412" s="4" t="str">
        <f t="shared" si="320"/>
        <v>GSE3521</v>
      </c>
      <c r="D3412" s="1" t="s">
        <v>14</v>
      </c>
      <c r="E3412" t="s">
        <v>30</v>
      </c>
      <c r="F3412" s="1">
        <v>2</v>
      </c>
      <c r="G3412" s="1" t="s">
        <v>32</v>
      </c>
      <c r="H3412" s="4" t="str">
        <f>HYPERLINK("https://www.ncbi.nlm.nih.gov/geo/query/acc.cgi?acc=GSM34562","GSM34562")</f>
        <v>GSM34562</v>
      </c>
      <c r="I3412" t="s">
        <v>17</v>
      </c>
      <c r="J3412" t="s">
        <v>18</v>
      </c>
      <c r="K3412" t="s">
        <v>33</v>
      </c>
      <c r="L3412" t="s">
        <v>20</v>
      </c>
      <c r="N3412" t="s">
        <v>29</v>
      </c>
    </row>
    <row r="3413" spans="1:14">
      <c r="A3413" s="4" t="str">
        <f t="shared" si="321"/>
        <v>EXP00107</v>
      </c>
      <c r="B3413" s="4" t="str">
        <f t="shared" si="319"/>
        <v>19291283</v>
      </c>
      <c r="C3413" s="4" t="str">
        <f t="shared" si="320"/>
        <v>GSE3521</v>
      </c>
      <c r="D3413" s="1" t="s">
        <v>14</v>
      </c>
      <c r="E3413" t="s">
        <v>30</v>
      </c>
      <c r="F3413" s="1">
        <v>2</v>
      </c>
      <c r="G3413" s="1" t="s">
        <v>32</v>
      </c>
      <c r="H3413" s="4" t="str">
        <f>HYPERLINK("https://www.ncbi.nlm.nih.gov/geo/query/acc.cgi?acc=GSM34563","GSM34563")</f>
        <v>GSM34563</v>
      </c>
      <c r="I3413" t="s">
        <v>17</v>
      </c>
      <c r="J3413" t="s">
        <v>18</v>
      </c>
      <c r="K3413" t="s">
        <v>33</v>
      </c>
      <c r="L3413" t="s">
        <v>20</v>
      </c>
      <c r="N3413" t="s">
        <v>29</v>
      </c>
    </row>
    <row r="3414" spans="1:14">
      <c r="A3414" s="4" t="str">
        <f t="shared" si="321"/>
        <v>EXP00107</v>
      </c>
      <c r="B3414" s="4" t="str">
        <f t="shared" si="319"/>
        <v>19291283</v>
      </c>
      <c r="C3414" s="4" t="str">
        <f t="shared" si="320"/>
        <v>GSE3521</v>
      </c>
      <c r="D3414" s="1" t="s">
        <v>14</v>
      </c>
      <c r="E3414" t="s">
        <v>30</v>
      </c>
      <c r="F3414" s="1">
        <v>2</v>
      </c>
      <c r="G3414" s="1" t="s">
        <v>32</v>
      </c>
      <c r="H3414" s="4" t="str">
        <f>HYPERLINK("https://www.ncbi.nlm.nih.gov/geo/query/acc.cgi?acc=GSM34565","GSM34565")</f>
        <v>GSM34565</v>
      </c>
      <c r="I3414" t="s">
        <v>17</v>
      </c>
      <c r="J3414" t="s">
        <v>18</v>
      </c>
      <c r="K3414" t="s">
        <v>33</v>
      </c>
      <c r="L3414" t="s">
        <v>20</v>
      </c>
      <c r="N3414" t="s">
        <v>29</v>
      </c>
    </row>
    <row r="3415" spans="1:14">
      <c r="A3415" s="4" t="str">
        <f t="shared" si="321"/>
        <v>EXP00107</v>
      </c>
      <c r="B3415" s="4" t="str">
        <f t="shared" si="319"/>
        <v>19291283</v>
      </c>
      <c r="C3415" s="4" t="str">
        <f t="shared" si="320"/>
        <v>GSE3521</v>
      </c>
      <c r="D3415" s="1" t="s">
        <v>14</v>
      </c>
      <c r="E3415" t="s">
        <v>30</v>
      </c>
      <c r="F3415" s="1">
        <v>2</v>
      </c>
      <c r="G3415" s="1" t="s">
        <v>32</v>
      </c>
      <c r="H3415" s="4" t="str">
        <f>HYPERLINK("https://www.ncbi.nlm.nih.gov/geo/query/acc.cgi?acc=GSM34566","GSM34566")</f>
        <v>GSM34566</v>
      </c>
      <c r="I3415" t="s">
        <v>17</v>
      </c>
      <c r="J3415" t="s">
        <v>18</v>
      </c>
      <c r="K3415" t="s">
        <v>33</v>
      </c>
      <c r="L3415" t="s">
        <v>20</v>
      </c>
      <c r="N3415" t="s">
        <v>29</v>
      </c>
    </row>
    <row r="3416" spans="1:14">
      <c r="A3416" s="4" t="str">
        <f t="shared" si="321"/>
        <v>EXP00107</v>
      </c>
      <c r="B3416" s="4" t="str">
        <f t="shared" si="319"/>
        <v>19291283</v>
      </c>
      <c r="C3416" s="4" t="str">
        <f t="shared" si="320"/>
        <v>GSE3521</v>
      </c>
      <c r="D3416" s="1" t="s">
        <v>14</v>
      </c>
      <c r="E3416" t="s">
        <v>30</v>
      </c>
      <c r="F3416" s="1">
        <v>2</v>
      </c>
      <c r="G3416" s="1" t="s">
        <v>32</v>
      </c>
      <c r="H3416" s="4" t="str">
        <f>HYPERLINK("https://www.ncbi.nlm.nih.gov/geo/query/acc.cgi?acc=GSM34567","GSM34567")</f>
        <v>GSM34567</v>
      </c>
      <c r="I3416" t="s">
        <v>17</v>
      </c>
      <c r="J3416" t="s">
        <v>18</v>
      </c>
      <c r="K3416" t="s">
        <v>33</v>
      </c>
      <c r="L3416" t="s">
        <v>20</v>
      </c>
      <c r="N3416" t="s">
        <v>29</v>
      </c>
    </row>
    <row r="3417" spans="1:14">
      <c r="A3417" s="4" t="str">
        <f t="shared" si="321"/>
        <v>EXP00107</v>
      </c>
      <c r="B3417" s="4" t="str">
        <f t="shared" si="319"/>
        <v>19291283</v>
      </c>
      <c r="C3417" s="4" t="str">
        <f t="shared" si="320"/>
        <v>GSE3521</v>
      </c>
      <c r="D3417" s="1" t="s">
        <v>14</v>
      </c>
      <c r="E3417" t="s">
        <v>30</v>
      </c>
      <c r="F3417" s="1">
        <v>2</v>
      </c>
      <c r="G3417" s="1" t="s">
        <v>32</v>
      </c>
      <c r="H3417" s="4" t="str">
        <f>HYPERLINK("https://www.ncbi.nlm.nih.gov/geo/query/acc.cgi?acc=GSM50135","GSM50135")</f>
        <v>GSM50135</v>
      </c>
      <c r="I3417" t="s">
        <v>17</v>
      </c>
      <c r="J3417" t="s">
        <v>18</v>
      </c>
      <c r="K3417" t="s">
        <v>33</v>
      </c>
      <c r="L3417" t="s">
        <v>20</v>
      </c>
      <c r="N3417" t="s">
        <v>29</v>
      </c>
    </row>
    <row r="3418" spans="1:14">
      <c r="A3418" s="4" t="str">
        <f t="shared" si="321"/>
        <v>EXP00107</v>
      </c>
      <c r="B3418" s="4" t="str">
        <f t="shared" si="319"/>
        <v>19291283</v>
      </c>
      <c r="C3418" s="4" t="str">
        <f t="shared" si="320"/>
        <v>GSE3521</v>
      </c>
      <c r="D3418" s="1" t="s">
        <v>14</v>
      </c>
      <c r="E3418" t="s">
        <v>30</v>
      </c>
      <c r="F3418" s="1">
        <v>2</v>
      </c>
      <c r="G3418" s="1" t="s">
        <v>32</v>
      </c>
      <c r="H3418" s="4" t="str">
        <f>HYPERLINK("https://www.ncbi.nlm.nih.gov/geo/query/acc.cgi?acc=GSM50149","GSM50149")</f>
        <v>GSM50149</v>
      </c>
      <c r="I3418" t="s">
        <v>17</v>
      </c>
      <c r="J3418" t="s">
        <v>18</v>
      </c>
      <c r="K3418" t="s">
        <v>33</v>
      </c>
      <c r="L3418" t="s">
        <v>20</v>
      </c>
      <c r="N3418" t="s">
        <v>29</v>
      </c>
    </row>
    <row r="3419" spans="1:14">
      <c r="A3419" s="4" t="str">
        <f t="shared" si="321"/>
        <v>EXP00107</v>
      </c>
      <c r="B3419" s="4" t="str">
        <f t="shared" si="319"/>
        <v>19291283</v>
      </c>
      <c r="C3419" s="4" t="str">
        <f t="shared" si="320"/>
        <v>GSE3521</v>
      </c>
      <c r="D3419" s="1" t="s">
        <v>14</v>
      </c>
      <c r="E3419" t="s">
        <v>30</v>
      </c>
      <c r="F3419" s="1">
        <v>2</v>
      </c>
      <c r="G3419" s="1" t="s">
        <v>32</v>
      </c>
      <c r="H3419" s="4" t="str">
        <f>HYPERLINK("https://www.ncbi.nlm.nih.gov/geo/query/acc.cgi?acc=GSM52885","GSM52885")</f>
        <v>GSM52885</v>
      </c>
      <c r="I3419" t="s">
        <v>17</v>
      </c>
      <c r="J3419" t="s">
        <v>18</v>
      </c>
      <c r="K3419" t="s">
        <v>33</v>
      </c>
      <c r="L3419" t="s">
        <v>20</v>
      </c>
      <c r="N3419" t="s">
        <v>29</v>
      </c>
    </row>
    <row r="3420" spans="1:14">
      <c r="A3420" s="4" t="str">
        <f t="shared" si="321"/>
        <v>EXP00107</v>
      </c>
      <c r="B3420" s="4" t="str">
        <f t="shared" si="319"/>
        <v>19291283</v>
      </c>
      <c r="C3420" s="4" t="str">
        <f t="shared" si="320"/>
        <v>GSE3521</v>
      </c>
      <c r="D3420" s="1" t="s">
        <v>14</v>
      </c>
      <c r="E3420" t="s">
        <v>30</v>
      </c>
      <c r="F3420" s="1">
        <v>2</v>
      </c>
      <c r="G3420" s="1" t="s">
        <v>32</v>
      </c>
      <c r="H3420" s="4" t="str">
        <f>HYPERLINK("https://www.ncbi.nlm.nih.gov/geo/query/acc.cgi?acc=GSM52886","GSM52886")</f>
        <v>GSM52886</v>
      </c>
      <c r="I3420" t="s">
        <v>17</v>
      </c>
      <c r="J3420" t="s">
        <v>18</v>
      </c>
      <c r="K3420" t="s">
        <v>33</v>
      </c>
      <c r="L3420" t="s">
        <v>20</v>
      </c>
      <c r="N3420" t="s">
        <v>29</v>
      </c>
    </row>
    <row r="3421" spans="1:14">
      <c r="A3421" s="4" t="str">
        <f t="shared" si="321"/>
        <v>EXP00107</v>
      </c>
      <c r="B3421" s="4" t="str">
        <f t="shared" si="319"/>
        <v>19291283</v>
      </c>
      <c r="C3421" s="4" t="str">
        <f t="shared" si="320"/>
        <v>GSE3521</v>
      </c>
      <c r="D3421" s="1" t="s">
        <v>14</v>
      </c>
      <c r="E3421" t="s">
        <v>30</v>
      </c>
      <c r="F3421" s="1">
        <v>2</v>
      </c>
      <c r="G3421" s="1" t="s">
        <v>32</v>
      </c>
      <c r="H3421" s="4" t="str">
        <f>HYPERLINK("https://www.ncbi.nlm.nih.gov/geo/query/acc.cgi?acc=GSM52887","GSM52887")</f>
        <v>GSM52887</v>
      </c>
      <c r="I3421" t="s">
        <v>17</v>
      </c>
      <c r="J3421" t="s">
        <v>18</v>
      </c>
      <c r="K3421" t="s">
        <v>33</v>
      </c>
      <c r="L3421" t="s">
        <v>20</v>
      </c>
      <c r="N3421" t="s">
        <v>29</v>
      </c>
    </row>
    <row r="3422" spans="1:14">
      <c r="A3422" s="4" t="str">
        <f t="shared" si="321"/>
        <v>EXP00107</v>
      </c>
      <c r="B3422" s="4" t="str">
        <f t="shared" si="319"/>
        <v>19291283</v>
      </c>
      <c r="C3422" s="4" t="str">
        <f t="shared" si="320"/>
        <v>GSE3521</v>
      </c>
      <c r="D3422" s="1" t="s">
        <v>14</v>
      </c>
      <c r="E3422" t="s">
        <v>30</v>
      </c>
      <c r="F3422" s="1">
        <v>2</v>
      </c>
      <c r="G3422" s="1" t="s">
        <v>32</v>
      </c>
      <c r="H3422" s="4" t="str">
        <f>HYPERLINK("https://www.ncbi.nlm.nih.gov/geo/query/acc.cgi?acc=GSM52888","GSM52888")</f>
        <v>GSM52888</v>
      </c>
      <c r="I3422" t="s">
        <v>17</v>
      </c>
      <c r="J3422" t="s">
        <v>18</v>
      </c>
      <c r="K3422" t="s">
        <v>33</v>
      </c>
      <c r="L3422" t="s">
        <v>20</v>
      </c>
      <c r="N3422" t="s">
        <v>29</v>
      </c>
    </row>
    <row r="3423" spans="1:14">
      <c r="A3423" s="4" t="str">
        <f t="shared" si="321"/>
        <v>EXP00107</v>
      </c>
      <c r="B3423" s="4" t="str">
        <f t="shared" si="319"/>
        <v>19291283</v>
      </c>
      <c r="C3423" s="4" t="str">
        <f t="shared" si="320"/>
        <v>GSE3521</v>
      </c>
      <c r="D3423" s="1" t="s">
        <v>14</v>
      </c>
      <c r="E3423" t="s">
        <v>30</v>
      </c>
      <c r="F3423" s="1">
        <v>2</v>
      </c>
      <c r="G3423" s="1" t="s">
        <v>32</v>
      </c>
      <c r="H3423" s="4" t="str">
        <f>HYPERLINK("https://www.ncbi.nlm.nih.gov/geo/query/acc.cgi?acc=GSM52889","GSM52889")</f>
        <v>GSM52889</v>
      </c>
      <c r="I3423" t="s">
        <v>17</v>
      </c>
      <c r="J3423" t="s">
        <v>18</v>
      </c>
      <c r="K3423" t="s">
        <v>33</v>
      </c>
      <c r="L3423" t="s">
        <v>20</v>
      </c>
      <c r="N3423" t="s">
        <v>29</v>
      </c>
    </row>
    <row r="3424" spans="1:14">
      <c r="A3424" s="4" t="str">
        <f t="shared" si="321"/>
        <v>EXP00107</v>
      </c>
      <c r="B3424" s="4" t="str">
        <f t="shared" si="319"/>
        <v>19291283</v>
      </c>
      <c r="C3424" s="4" t="str">
        <f t="shared" si="320"/>
        <v>GSE3521</v>
      </c>
      <c r="D3424" s="1" t="s">
        <v>14</v>
      </c>
      <c r="E3424" t="s">
        <v>30</v>
      </c>
      <c r="F3424" s="1">
        <v>2</v>
      </c>
      <c r="G3424" s="1" t="s">
        <v>32</v>
      </c>
      <c r="H3424" s="4" t="str">
        <f>HYPERLINK("https://www.ncbi.nlm.nih.gov/geo/query/acc.cgi?acc=GSM52890","GSM52890")</f>
        <v>GSM52890</v>
      </c>
      <c r="I3424" t="s">
        <v>17</v>
      </c>
      <c r="J3424" t="s">
        <v>18</v>
      </c>
      <c r="K3424" t="s">
        <v>33</v>
      </c>
      <c r="L3424" t="s">
        <v>20</v>
      </c>
      <c r="N3424" t="s">
        <v>29</v>
      </c>
    </row>
    <row r="3425" spans="1:14">
      <c r="A3425" s="4" t="str">
        <f t="shared" si="321"/>
        <v>EXP00107</v>
      </c>
      <c r="B3425" s="4" t="str">
        <f t="shared" si="319"/>
        <v>19291283</v>
      </c>
      <c r="C3425" s="4" t="str">
        <f t="shared" si="320"/>
        <v>GSE3521</v>
      </c>
      <c r="D3425" s="1" t="s">
        <v>14</v>
      </c>
      <c r="E3425" t="s">
        <v>30</v>
      </c>
      <c r="F3425" s="1">
        <v>2</v>
      </c>
      <c r="G3425" s="1" t="s">
        <v>32</v>
      </c>
      <c r="H3425" s="4" t="str">
        <f>HYPERLINK("https://www.ncbi.nlm.nih.gov/geo/query/acc.cgi?acc=GSM52891","GSM52891")</f>
        <v>GSM52891</v>
      </c>
      <c r="I3425" t="s">
        <v>17</v>
      </c>
      <c r="J3425" t="s">
        <v>18</v>
      </c>
      <c r="K3425" t="s">
        <v>33</v>
      </c>
      <c r="L3425" t="s">
        <v>20</v>
      </c>
      <c r="N3425" t="s">
        <v>29</v>
      </c>
    </row>
    <row r="3426" spans="1:14">
      <c r="A3426" s="4" t="str">
        <f t="shared" ref="A3426:A3444" si="322">HYPERLINK("http://hcmdb.i-sanger.com/experiment/details/experiment_id/EXP00107","EXP00107")</f>
        <v>EXP00107</v>
      </c>
      <c r="B3426" s="4" t="str">
        <f t="shared" si="319"/>
        <v>19291283</v>
      </c>
      <c r="C3426" s="4" t="str">
        <f t="shared" si="320"/>
        <v>GSE3521</v>
      </c>
      <c r="D3426" s="1" t="s">
        <v>14</v>
      </c>
      <c r="E3426" t="s">
        <v>30</v>
      </c>
      <c r="F3426" s="1">
        <v>2</v>
      </c>
      <c r="G3426" s="1" t="s">
        <v>32</v>
      </c>
      <c r="H3426" s="4" t="str">
        <f>HYPERLINK("https://www.ncbi.nlm.nih.gov/geo/query/acc.cgi?acc=GSM52892","GSM52892")</f>
        <v>GSM52892</v>
      </c>
      <c r="I3426" t="s">
        <v>17</v>
      </c>
      <c r="J3426" t="s">
        <v>18</v>
      </c>
      <c r="K3426" t="s">
        <v>33</v>
      </c>
      <c r="L3426" t="s">
        <v>20</v>
      </c>
      <c r="N3426" t="s">
        <v>29</v>
      </c>
    </row>
    <row r="3427" spans="1:14">
      <c r="A3427" s="4" t="str">
        <f t="shared" si="322"/>
        <v>EXP00107</v>
      </c>
      <c r="B3427" s="4" t="str">
        <f t="shared" si="319"/>
        <v>19291283</v>
      </c>
      <c r="C3427" s="4" t="str">
        <f t="shared" si="320"/>
        <v>GSE3521</v>
      </c>
      <c r="D3427" s="1" t="s">
        <v>14</v>
      </c>
      <c r="E3427" t="s">
        <v>30</v>
      </c>
      <c r="F3427" s="1">
        <v>2</v>
      </c>
      <c r="G3427" s="1" t="s">
        <v>32</v>
      </c>
      <c r="H3427" s="4" t="str">
        <f>HYPERLINK("https://www.ncbi.nlm.nih.gov/geo/query/acc.cgi?acc=GSM52893","GSM52893")</f>
        <v>GSM52893</v>
      </c>
      <c r="I3427" t="s">
        <v>17</v>
      </c>
      <c r="J3427" t="s">
        <v>18</v>
      </c>
      <c r="K3427" t="s">
        <v>33</v>
      </c>
      <c r="L3427" t="s">
        <v>20</v>
      </c>
      <c r="N3427" t="s">
        <v>29</v>
      </c>
    </row>
    <row r="3428" spans="1:14">
      <c r="A3428" s="4" t="str">
        <f t="shared" si="322"/>
        <v>EXP00107</v>
      </c>
      <c r="B3428" s="4" t="str">
        <f t="shared" si="319"/>
        <v>19291283</v>
      </c>
      <c r="C3428" s="4" t="str">
        <f t="shared" si="320"/>
        <v>GSE3521</v>
      </c>
      <c r="D3428" s="1" t="s">
        <v>14</v>
      </c>
      <c r="E3428" t="s">
        <v>30</v>
      </c>
      <c r="F3428" s="1">
        <v>2</v>
      </c>
      <c r="G3428" s="1" t="s">
        <v>32</v>
      </c>
      <c r="H3428" s="4" t="str">
        <f>HYPERLINK("https://www.ncbi.nlm.nih.gov/geo/query/acc.cgi?acc=GSM52894","GSM52894")</f>
        <v>GSM52894</v>
      </c>
      <c r="I3428" t="s">
        <v>17</v>
      </c>
      <c r="J3428" t="s">
        <v>18</v>
      </c>
      <c r="K3428" t="s">
        <v>33</v>
      </c>
      <c r="L3428" t="s">
        <v>20</v>
      </c>
      <c r="N3428" t="s">
        <v>29</v>
      </c>
    </row>
    <row r="3429" spans="1:14">
      <c r="A3429" s="4" t="str">
        <f t="shared" si="322"/>
        <v>EXP00107</v>
      </c>
      <c r="B3429" s="4" t="str">
        <f t="shared" si="319"/>
        <v>19291283</v>
      </c>
      <c r="C3429" s="4" t="str">
        <f t="shared" si="320"/>
        <v>GSE3521</v>
      </c>
      <c r="D3429" s="1" t="s">
        <v>14</v>
      </c>
      <c r="E3429" t="s">
        <v>30</v>
      </c>
      <c r="F3429" s="1">
        <v>2</v>
      </c>
      <c r="G3429" s="1" t="s">
        <v>32</v>
      </c>
      <c r="H3429" s="4" t="str">
        <f>HYPERLINK("https://www.ncbi.nlm.nih.gov/geo/query/acc.cgi?acc=GSM52895","GSM52895")</f>
        <v>GSM52895</v>
      </c>
      <c r="I3429" t="s">
        <v>17</v>
      </c>
      <c r="J3429" t="s">
        <v>18</v>
      </c>
      <c r="K3429" t="s">
        <v>33</v>
      </c>
      <c r="L3429" t="s">
        <v>20</v>
      </c>
      <c r="N3429" t="s">
        <v>29</v>
      </c>
    </row>
    <row r="3430" spans="1:14">
      <c r="A3430" s="4" t="str">
        <f t="shared" si="322"/>
        <v>EXP00107</v>
      </c>
      <c r="B3430" s="4" t="str">
        <f t="shared" si="319"/>
        <v>19291283</v>
      </c>
      <c r="C3430" s="4" t="str">
        <f t="shared" si="320"/>
        <v>GSE3521</v>
      </c>
      <c r="D3430" s="1" t="s">
        <v>14</v>
      </c>
      <c r="E3430" t="s">
        <v>30</v>
      </c>
      <c r="F3430" s="1">
        <v>2</v>
      </c>
      <c r="G3430" s="1" t="s">
        <v>32</v>
      </c>
      <c r="H3430" s="4" t="str">
        <f>HYPERLINK("https://www.ncbi.nlm.nih.gov/geo/query/acc.cgi?acc=GSM52896","GSM52896")</f>
        <v>GSM52896</v>
      </c>
      <c r="I3430" t="s">
        <v>17</v>
      </c>
      <c r="J3430" t="s">
        <v>18</v>
      </c>
      <c r="K3430" t="s">
        <v>33</v>
      </c>
      <c r="L3430" t="s">
        <v>20</v>
      </c>
      <c r="N3430" t="s">
        <v>29</v>
      </c>
    </row>
    <row r="3431" spans="1:14">
      <c r="A3431" s="4" t="str">
        <f t="shared" si="322"/>
        <v>EXP00107</v>
      </c>
      <c r="B3431" s="4" t="str">
        <f t="shared" si="319"/>
        <v>19291283</v>
      </c>
      <c r="C3431" s="4" t="str">
        <f t="shared" si="320"/>
        <v>GSE3521</v>
      </c>
      <c r="D3431" s="1" t="s">
        <v>14</v>
      </c>
      <c r="E3431" t="s">
        <v>30</v>
      </c>
      <c r="F3431" s="1">
        <v>2</v>
      </c>
      <c r="G3431" s="1" t="s">
        <v>32</v>
      </c>
      <c r="H3431" s="4" t="str">
        <f>HYPERLINK("https://www.ncbi.nlm.nih.gov/geo/query/acc.cgi?acc=GSM53474","GSM53474")</f>
        <v>GSM53474</v>
      </c>
      <c r="I3431" t="s">
        <v>17</v>
      </c>
      <c r="J3431" t="s">
        <v>18</v>
      </c>
      <c r="K3431" t="s">
        <v>33</v>
      </c>
      <c r="L3431" t="s">
        <v>20</v>
      </c>
      <c r="N3431" t="s">
        <v>29</v>
      </c>
    </row>
    <row r="3432" spans="1:14">
      <c r="A3432" s="4" t="str">
        <f t="shared" si="322"/>
        <v>EXP00107</v>
      </c>
      <c r="B3432" s="4" t="str">
        <f t="shared" si="319"/>
        <v>19291283</v>
      </c>
      <c r="C3432" s="4" t="str">
        <f t="shared" si="320"/>
        <v>GSE3521</v>
      </c>
      <c r="D3432" s="1" t="s">
        <v>14</v>
      </c>
      <c r="E3432" t="s">
        <v>30</v>
      </c>
      <c r="F3432" s="1">
        <v>2</v>
      </c>
      <c r="G3432" s="1" t="s">
        <v>32</v>
      </c>
      <c r="H3432" s="4" t="str">
        <f>HYPERLINK("https://www.ncbi.nlm.nih.gov/geo/query/acc.cgi?acc=GSM80216","GSM80216")</f>
        <v>GSM80216</v>
      </c>
      <c r="I3432" t="s">
        <v>17</v>
      </c>
      <c r="J3432" t="s">
        <v>18</v>
      </c>
      <c r="K3432" t="s">
        <v>33</v>
      </c>
      <c r="L3432" t="s">
        <v>20</v>
      </c>
      <c r="N3432" t="s">
        <v>29</v>
      </c>
    </row>
    <row r="3433" spans="1:14">
      <c r="A3433" s="4" t="str">
        <f t="shared" si="322"/>
        <v>EXP00107</v>
      </c>
      <c r="B3433" s="4" t="str">
        <f t="shared" si="319"/>
        <v>19291283</v>
      </c>
      <c r="C3433" s="4" t="str">
        <f t="shared" si="320"/>
        <v>GSE3521</v>
      </c>
      <c r="D3433" s="1" t="s">
        <v>14</v>
      </c>
      <c r="E3433" t="s">
        <v>30</v>
      </c>
      <c r="F3433" s="1">
        <v>2</v>
      </c>
      <c r="G3433" s="1" t="s">
        <v>32</v>
      </c>
      <c r="H3433" s="4" t="str">
        <f>HYPERLINK("https://www.ncbi.nlm.nih.gov/geo/query/acc.cgi?acc=GSM80217","GSM80217")</f>
        <v>GSM80217</v>
      </c>
      <c r="I3433" t="s">
        <v>17</v>
      </c>
      <c r="J3433" t="s">
        <v>18</v>
      </c>
      <c r="K3433" t="s">
        <v>33</v>
      </c>
      <c r="L3433" t="s">
        <v>20</v>
      </c>
      <c r="N3433" t="s">
        <v>29</v>
      </c>
    </row>
    <row r="3434" spans="1:14">
      <c r="A3434" s="4" t="str">
        <f t="shared" si="322"/>
        <v>EXP00107</v>
      </c>
      <c r="B3434" s="4" t="str">
        <f t="shared" si="319"/>
        <v>19291283</v>
      </c>
      <c r="C3434" s="4" t="str">
        <f t="shared" si="320"/>
        <v>GSE3521</v>
      </c>
      <c r="D3434" s="1" t="s">
        <v>14</v>
      </c>
      <c r="E3434" t="s">
        <v>30</v>
      </c>
      <c r="F3434" s="1">
        <v>2</v>
      </c>
      <c r="G3434" s="1" t="s">
        <v>32</v>
      </c>
      <c r="H3434" s="4" t="str">
        <f>HYPERLINK("https://www.ncbi.nlm.nih.gov/geo/query/acc.cgi?acc=GSM80218","GSM80218")</f>
        <v>GSM80218</v>
      </c>
      <c r="I3434" t="s">
        <v>17</v>
      </c>
      <c r="J3434" t="s">
        <v>18</v>
      </c>
      <c r="K3434" t="s">
        <v>33</v>
      </c>
      <c r="L3434" t="s">
        <v>20</v>
      </c>
      <c r="N3434" t="s">
        <v>29</v>
      </c>
    </row>
    <row r="3435" spans="1:14">
      <c r="A3435" s="4" t="str">
        <f t="shared" si="322"/>
        <v>EXP00107</v>
      </c>
      <c r="B3435" s="4" t="str">
        <f t="shared" si="319"/>
        <v>19291283</v>
      </c>
      <c r="C3435" s="4" t="str">
        <f t="shared" si="320"/>
        <v>GSE3521</v>
      </c>
      <c r="D3435" s="1" t="s">
        <v>14</v>
      </c>
      <c r="E3435" t="s">
        <v>30</v>
      </c>
      <c r="F3435" s="1">
        <v>2</v>
      </c>
      <c r="G3435" s="1" t="s">
        <v>32</v>
      </c>
      <c r="H3435" s="4" t="str">
        <f>HYPERLINK("https://www.ncbi.nlm.nih.gov/geo/query/acc.cgi?acc=GSM80219","GSM80219")</f>
        <v>GSM80219</v>
      </c>
      <c r="I3435" t="s">
        <v>17</v>
      </c>
      <c r="J3435" t="s">
        <v>18</v>
      </c>
      <c r="K3435" t="s">
        <v>33</v>
      </c>
      <c r="L3435" t="s">
        <v>20</v>
      </c>
      <c r="N3435" t="s">
        <v>29</v>
      </c>
    </row>
    <row r="3436" spans="1:14">
      <c r="A3436" s="4" t="str">
        <f t="shared" si="322"/>
        <v>EXP00107</v>
      </c>
      <c r="B3436" s="4" t="str">
        <f t="shared" si="319"/>
        <v>19291283</v>
      </c>
      <c r="C3436" s="4" t="str">
        <f t="shared" si="320"/>
        <v>GSE3521</v>
      </c>
      <c r="D3436" s="1" t="s">
        <v>14</v>
      </c>
      <c r="E3436" t="s">
        <v>30</v>
      </c>
      <c r="F3436" s="1">
        <v>2</v>
      </c>
      <c r="G3436" s="1" t="s">
        <v>32</v>
      </c>
      <c r="H3436" s="4" t="str">
        <f>HYPERLINK("https://www.ncbi.nlm.nih.gov/geo/query/acc.cgi?acc=GSM80220","GSM80220")</f>
        <v>GSM80220</v>
      </c>
      <c r="I3436" t="s">
        <v>17</v>
      </c>
      <c r="J3436" t="s">
        <v>18</v>
      </c>
      <c r="K3436" t="s">
        <v>33</v>
      </c>
      <c r="L3436" t="s">
        <v>20</v>
      </c>
      <c r="N3436" t="s">
        <v>29</v>
      </c>
    </row>
    <row r="3437" spans="1:14">
      <c r="A3437" s="4" t="str">
        <f t="shared" si="322"/>
        <v>EXP00107</v>
      </c>
      <c r="B3437" s="4" t="str">
        <f t="shared" si="319"/>
        <v>19291283</v>
      </c>
      <c r="C3437" s="4" t="str">
        <f t="shared" si="320"/>
        <v>GSE3521</v>
      </c>
      <c r="D3437" s="1" t="s">
        <v>14</v>
      </c>
      <c r="E3437" t="s">
        <v>30</v>
      </c>
      <c r="F3437" s="1">
        <v>2</v>
      </c>
      <c r="G3437" s="1" t="s">
        <v>32</v>
      </c>
      <c r="H3437" s="4" t="str">
        <f>HYPERLINK("https://www.ncbi.nlm.nih.gov/geo/query/acc.cgi?acc=GSM80221","GSM80221")</f>
        <v>GSM80221</v>
      </c>
      <c r="I3437" t="s">
        <v>17</v>
      </c>
      <c r="J3437" t="s">
        <v>18</v>
      </c>
      <c r="K3437" t="s">
        <v>33</v>
      </c>
      <c r="L3437" t="s">
        <v>20</v>
      </c>
      <c r="N3437" t="s">
        <v>29</v>
      </c>
    </row>
    <row r="3438" spans="1:14">
      <c r="A3438" s="4" t="str">
        <f t="shared" si="322"/>
        <v>EXP00107</v>
      </c>
      <c r="B3438" s="4" t="str">
        <f t="shared" si="319"/>
        <v>19291283</v>
      </c>
      <c r="C3438" s="4" t="str">
        <f t="shared" si="320"/>
        <v>GSE3521</v>
      </c>
      <c r="D3438" s="1" t="s">
        <v>14</v>
      </c>
      <c r="E3438" t="s">
        <v>30</v>
      </c>
      <c r="F3438" s="1">
        <v>2</v>
      </c>
      <c r="G3438" s="1" t="s">
        <v>32</v>
      </c>
      <c r="H3438" s="4" t="str">
        <f>HYPERLINK("https://www.ncbi.nlm.nih.gov/geo/query/acc.cgi?acc=GSM80222","GSM80222")</f>
        <v>GSM80222</v>
      </c>
      <c r="I3438" t="s">
        <v>17</v>
      </c>
      <c r="J3438" t="s">
        <v>18</v>
      </c>
      <c r="K3438" t="s">
        <v>33</v>
      </c>
      <c r="L3438" t="s">
        <v>20</v>
      </c>
      <c r="N3438" t="s">
        <v>29</v>
      </c>
    </row>
    <row r="3439" spans="1:14">
      <c r="A3439" s="4" t="str">
        <f t="shared" si="322"/>
        <v>EXP00107</v>
      </c>
      <c r="B3439" s="4" t="str">
        <f t="shared" si="319"/>
        <v>19291283</v>
      </c>
      <c r="C3439" s="4" t="str">
        <f t="shared" si="320"/>
        <v>GSE3521</v>
      </c>
      <c r="D3439" s="1" t="s">
        <v>14</v>
      </c>
      <c r="E3439" t="s">
        <v>30</v>
      </c>
      <c r="F3439" s="1">
        <v>2</v>
      </c>
      <c r="G3439" s="1" t="s">
        <v>32</v>
      </c>
      <c r="H3439" s="4" t="str">
        <f>HYPERLINK("https://www.ncbi.nlm.nih.gov/geo/query/acc.cgi?acc=GSM80226","GSM80226")</f>
        <v>GSM80226</v>
      </c>
      <c r="I3439" t="s">
        <v>17</v>
      </c>
      <c r="J3439" t="s">
        <v>18</v>
      </c>
      <c r="K3439" t="s">
        <v>33</v>
      </c>
      <c r="L3439" t="s">
        <v>20</v>
      </c>
      <c r="N3439" t="s">
        <v>29</v>
      </c>
    </row>
    <row r="3440" spans="1:14">
      <c r="A3440" s="4" t="str">
        <f t="shared" si="322"/>
        <v>EXP00107</v>
      </c>
      <c r="B3440" s="4" t="str">
        <f t="shared" si="319"/>
        <v>19291283</v>
      </c>
      <c r="C3440" s="4" t="str">
        <f t="shared" si="320"/>
        <v>GSE3521</v>
      </c>
      <c r="D3440" s="1" t="s">
        <v>14</v>
      </c>
      <c r="E3440" t="s">
        <v>30</v>
      </c>
      <c r="F3440" s="1">
        <v>2</v>
      </c>
      <c r="G3440" s="1" t="s">
        <v>32</v>
      </c>
      <c r="H3440" s="4" t="str">
        <f>HYPERLINK("https://www.ncbi.nlm.nih.gov/geo/query/acc.cgi?acc=GSM80227","GSM80227")</f>
        <v>GSM80227</v>
      </c>
      <c r="I3440" t="s">
        <v>17</v>
      </c>
      <c r="J3440" t="s">
        <v>18</v>
      </c>
      <c r="K3440" t="s">
        <v>33</v>
      </c>
      <c r="L3440" t="s">
        <v>20</v>
      </c>
      <c r="N3440" t="s">
        <v>29</v>
      </c>
    </row>
    <row r="3441" spans="1:14">
      <c r="A3441" s="4" t="str">
        <f t="shared" si="322"/>
        <v>EXP00107</v>
      </c>
      <c r="B3441" s="4" t="str">
        <f t="shared" si="319"/>
        <v>19291283</v>
      </c>
      <c r="C3441" s="4" t="str">
        <f t="shared" si="320"/>
        <v>GSE3521</v>
      </c>
      <c r="D3441" s="1" t="s">
        <v>14</v>
      </c>
      <c r="E3441" t="s">
        <v>30</v>
      </c>
      <c r="F3441" s="1">
        <v>2</v>
      </c>
      <c r="G3441" s="1" t="s">
        <v>32</v>
      </c>
      <c r="H3441" s="4" t="str">
        <f>HYPERLINK("https://www.ncbi.nlm.nih.gov/geo/query/acc.cgi?acc=GSM80229","GSM80229")</f>
        <v>GSM80229</v>
      </c>
      <c r="I3441" t="s">
        <v>17</v>
      </c>
      <c r="J3441" t="s">
        <v>18</v>
      </c>
      <c r="K3441" t="s">
        <v>33</v>
      </c>
      <c r="L3441" t="s">
        <v>20</v>
      </c>
      <c r="N3441" t="s">
        <v>29</v>
      </c>
    </row>
    <row r="3442" spans="1:14">
      <c r="A3442" s="4" t="str">
        <f t="shared" si="322"/>
        <v>EXP00107</v>
      </c>
      <c r="B3442" s="4" t="str">
        <f t="shared" si="319"/>
        <v>19291283</v>
      </c>
      <c r="C3442" s="4" t="str">
        <f t="shared" si="320"/>
        <v>GSE3521</v>
      </c>
      <c r="D3442" s="1" t="s">
        <v>14</v>
      </c>
      <c r="E3442" t="s">
        <v>30</v>
      </c>
      <c r="F3442" s="1">
        <v>2</v>
      </c>
      <c r="G3442" s="1" t="s">
        <v>32</v>
      </c>
      <c r="H3442" s="4" t="str">
        <f>HYPERLINK("https://www.ncbi.nlm.nih.gov/geo/query/acc.cgi?acc=GSM80230","GSM80230")</f>
        <v>GSM80230</v>
      </c>
      <c r="I3442" t="s">
        <v>17</v>
      </c>
      <c r="J3442" t="s">
        <v>18</v>
      </c>
      <c r="K3442" t="s">
        <v>33</v>
      </c>
      <c r="L3442" t="s">
        <v>20</v>
      </c>
      <c r="N3442" t="s">
        <v>29</v>
      </c>
    </row>
    <row r="3443" spans="1:14">
      <c r="A3443" s="4" t="str">
        <f t="shared" si="322"/>
        <v>EXP00107</v>
      </c>
      <c r="B3443" s="4" t="str">
        <f t="shared" ref="B3443:B3506" si="323">HYPERLINK("https://www.ncbi.nlm.nih.gov/pubmed/19291283","19291283")</f>
        <v>19291283</v>
      </c>
      <c r="C3443" s="4" t="str">
        <f t="shared" ref="C3443:C3506" si="324">HYPERLINK("https://www.ncbi.nlm.nih.gov/geo/query/acc.cgi?acc=GSE3521","GSE3521")</f>
        <v>GSE3521</v>
      </c>
      <c r="D3443" s="1" t="s">
        <v>14</v>
      </c>
      <c r="E3443" t="s">
        <v>30</v>
      </c>
      <c r="F3443" s="1">
        <v>2</v>
      </c>
      <c r="G3443" s="1" t="s">
        <v>32</v>
      </c>
      <c r="H3443" s="4" t="str">
        <f>HYPERLINK("https://www.ncbi.nlm.nih.gov/geo/query/acc.cgi?acc=GSM80232","GSM80232")</f>
        <v>GSM80232</v>
      </c>
      <c r="I3443" t="s">
        <v>17</v>
      </c>
      <c r="J3443" t="s">
        <v>18</v>
      </c>
      <c r="K3443" t="s">
        <v>33</v>
      </c>
      <c r="L3443" t="s">
        <v>20</v>
      </c>
      <c r="N3443" t="s">
        <v>29</v>
      </c>
    </row>
    <row r="3444" spans="1:14">
      <c r="A3444" s="4" t="str">
        <f t="shared" si="322"/>
        <v>EXP00107</v>
      </c>
      <c r="B3444" s="4" t="str">
        <f t="shared" si="323"/>
        <v>19291283</v>
      </c>
      <c r="C3444" s="4" t="str">
        <f t="shared" si="324"/>
        <v>GSE3521</v>
      </c>
      <c r="D3444" s="1" t="s">
        <v>14</v>
      </c>
      <c r="E3444" t="s">
        <v>30</v>
      </c>
      <c r="F3444" s="1">
        <v>2</v>
      </c>
      <c r="G3444" s="1" t="s">
        <v>32</v>
      </c>
      <c r="H3444" s="4" t="str">
        <f>HYPERLINK("https://www.ncbi.nlm.nih.gov/geo/query/acc.cgi?acc=GSM80237","GSM80237")</f>
        <v>GSM80237</v>
      </c>
      <c r="I3444" t="s">
        <v>17</v>
      </c>
      <c r="J3444" t="s">
        <v>18</v>
      </c>
      <c r="K3444" t="s">
        <v>33</v>
      </c>
      <c r="L3444" t="s">
        <v>20</v>
      </c>
      <c r="N3444" t="s">
        <v>29</v>
      </c>
    </row>
    <row r="3445" spans="1:14">
      <c r="A3445" s="4" t="str">
        <f t="shared" ref="A3445:A3476" si="325">HYPERLINK("http://hcmdb.i-sanger.com/experiment/details/experiment_id/EXP00108","EXP00108")</f>
        <v>EXP00108</v>
      </c>
      <c r="B3445" s="4" t="str">
        <f t="shared" si="323"/>
        <v>19291283</v>
      </c>
      <c r="C3445" s="4" t="str">
        <f t="shared" si="324"/>
        <v>GSE3521</v>
      </c>
      <c r="D3445" s="1" t="s">
        <v>14</v>
      </c>
      <c r="E3445" t="s">
        <v>35</v>
      </c>
      <c r="F3445" s="1">
        <v>1</v>
      </c>
      <c r="G3445" s="1" t="s">
        <v>36</v>
      </c>
      <c r="H3445" s="4" t="str">
        <f>HYPERLINK("https://www.ncbi.nlm.nih.gov/geo/query/acc.cgi?acc=GSM34482","GSM34482")</f>
        <v>GSM34482</v>
      </c>
      <c r="I3445" t="s">
        <v>17</v>
      </c>
      <c r="J3445" t="s">
        <v>18</v>
      </c>
      <c r="K3445" t="s">
        <v>33</v>
      </c>
      <c r="L3445" t="s">
        <v>20</v>
      </c>
      <c r="N3445" t="s">
        <v>37</v>
      </c>
    </row>
    <row r="3446" spans="1:14">
      <c r="A3446" s="4" t="str">
        <f t="shared" si="325"/>
        <v>EXP00108</v>
      </c>
      <c r="B3446" s="4" t="str">
        <f t="shared" si="323"/>
        <v>19291283</v>
      </c>
      <c r="C3446" s="4" t="str">
        <f t="shared" si="324"/>
        <v>GSE3521</v>
      </c>
      <c r="D3446" s="1" t="s">
        <v>14</v>
      </c>
      <c r="E3446" t="s">
        <v>35</v>
      </c>
      <c r="F3446" s="1">
        <v>1</v>
      </c>
      <c r="G3446" s="1" t="s">
        <v>36</v>
      </c>
      <c r="H3446" s="4" t="str">
        <f>HYPERLINK("https://www.ncbi.nlm.nih.gov/geo/query/acc.cgi?acc=GSM34483","GSM34483")</f>
        <v>GSM34483</v>
      </c>
      <c r="I3446" t="s">
        <v>17</v>
      </c>
      <c r="J3446" t="s">
        <v>18</v>
      </c>
      <c r="K3446" t="s">
        <v>33</v>
      </c>
      <c r="L3446" t="s">
        <v>20</v>
      </c>
      <c r="N3446" t="s">
        <v>37</v>
      </c>
    </row>
    <row r="3447" spans="1:14">
      <c r="A3447" s="4" t="str">
        <f t="shared" si="325"/>
        <v>EXP00108</v>
      </c>
      <c r="B3447" s="4" t="str">
        <f t="shared" si="323"/>
        <v>19291283</v>
      </c>
      <c r="C3447" s="4" t="str">
        <f t="shared" si="324"/>
        <v>GSE3521</v>
      </c>
      <c r="D3447" s="1" t="s">
        <v>14</v>
      </c>
      <c r="E3447" t="s">
        <v>35</v>
      </c>
      <c r="F3447" s="1">
        <v>1</v>
      </c>
      <c r="G3447" s="1" t="s">
        <v>36</v>
      </c>
      <c r="H3447" s="4" t="str">
        <f>HYPERLINK("https://www.ncbi.nlm.nih.gov/geo/query/acc.cgi?acc=GSM34547","GSM34547")</f>
        <v>GSM34547</v>
      </c>
      <c r="I3447" t="s">
        <v>17</v>
      </c>
      <c r="J3447" t="s">
        <v>18</v>
      </c>
      <c r="K3447" t="s">
        <v>33</v>
      </c>
      <c r="L3447" t="s">
        <v>20</v>
      </c>
      <c r="N3447" t="s">
        <v>37</v>
      </c>
    </row>
    <row r="3448" spans="1:14">
      <c r="A3448" s="4" t="str">
        <f t="shared" si="325"/>
        <v>EXP00108</v>
      </c>
      <c r="B3448" s="4" t="str">
        <f t="shared" si="323"/>
        <v>19291283</v>
      </c>
      <c r="C3448" s="4" t="str">
        <f t="shared" si="324"/>
        <v>GSE3521</v>
      </c>
      <c r="D3448" s="1" t="s">
        <v>14</v>
      </c>
      <c r="E3448" t="s">
        <v>35</v>
      </c>
      <c r="F3448" s="1">
        <v>2</v>
      </c>
      <c r="G3448" s="1" t="s">
        <v>28</v>
      </c>
      <c r="H3448" s="4" t="str">
        <f>HYPERLINK("https://www.ncbi.nlm.nih.gov/geo/query/acc.cgi?acc=GSM34431","GSM34431")</f>
        <v>GSM34431</v>
      </c>
      <c r="I3448" t="s">
        <v>17</v>
      </c>
      <c r="J3448" t="s">
        <v>18</v>
      </c>
      <c r="K3448" t="s">
        <v>33</v>
      </c>
      <c r="L3448" t="s">
        <v>20</v>
      </c>
      <c r="N3448" t="s">
        <v>29</v>
      </c>
    </row>
    <row r="3449" spans="1:14">
      <c r="A3449" s="4" t="str">
        <f t="shared" si="325"/>
        <v>EXP00108</v>
      </c>
      <c r="B3449" s="4" t="str">
        <f t="shared" si="323"/>
        <v>19291283</v>
      </c>
      <c r="C3449" s="4" t="str">
        <f t="shared" si="324"/>
        <v>GSE3521</v>
      </c>
      <c r="D3449" s="1" t="s">
        <v>14</v>
      </c>
      <c r="E3449" t="s">
        <v>35</v>
      </c>
      <c r="F3449" s="1">
        <v>2</v>
      </c>
      <c r="G3449" s="1" t="s">
        <v>28</v>
      </c>
      <c r="H3449" s="4" t="str">
        <f>HYPERLINK("https://www.ncbi.nlm.nih.gov/geo/query/acc.cgi?acc=GSM34433","GSM34433")</f>
        <v>GSM34433</v>
      </c>
      <c r="I3449" t="s">
        <v>17</v>
      </c>
      <c r="J3449" t="s">
        <v>18</v>
      </c>
      <c r="K3449" t="s">
        <v>33</v>
      </c>
      <c r="L3449" t="s">
        <v>20</v>
      </c>
      <c r="N3449" t="s">
        <v>29</v>
      </c>
    </row>
    <row r="3450" spans="1:14">
      <c r="A3450" s="4" t="str">
        <f t="shared" si="325"/>
        <v>EXP00108</v>
      </c>
      <c r="B3450" s="4" t="str">
        <f t="shared" si="323"/>
        <v>19291283</v>
      </c>
      <c r="C3450" s="4" t="str">
        <f t="shared" si="324"/>
        <v>GSE3521</v>
      </c>
      <c r="D3450" s="1" t="s">
        <v>14</v>
      </c>
      <c r="E3450" t="s">
        <v>35</v>
      </c>
      <c r="F3450" s="1">
        <v>2</v>
      </c>
      <c r="G3450" s="1" t="s">
        <v>28</v>
      </c>
      <c r="H3450" s="4" t="str">
        <f>HYPERLINK("https://www.ncbi.nlm.nih.gov/geo/query/acc.cgi?acc=GSM34434","GSM34434")</f>
        <v>GSM34434</v>
      </c>
      <c r="I3450" t="s">
        <v>17</v>
      </c>
      <c r="J3450" t="s">
        <v>18</v>
      </c>
      <c r="K3450" t="s">
        <v>33</v>
      </c>
      <c r="L3450" t="s">
        <v>20</v>
      </c>
      <c r="N3450" t="s">
        <v>29</v>
      </c>
    </row>
    <row r="3451" spans="1:14">
      <c r="A3451" s="4" t="str">
        <f t="shared" si="325"/>
        <v>EXP00108</v>
      </c>
      <c r="B3451" s="4" t="str">
        <f t="shared" si="323"/>
        <v>19291283</v>
      </c>
      <c r="C3451" s="4" t="str">
        <f t="shared" si="324"/>
        <v>GSE3521</v>
      </c>
      <c r="D3451" s="1" t="s">
        <v>14</v>
      </c>
      <c r="E3451" t="s">
        <v>35</v>
      </c>
      <c r="F3451" s="1">
        <v>2</v>
      </c>
      <c r="G3451" s="1" t="s">
        <v>28</v>
      </c>
      <c r="H3451" s="4" t="str">
        <f>HYPERLINK("https://www.ncbi.nlm.nih.gov/geo/query/acc.cgi?acc=GSM34438","GSM34438")</f>
        <v>GSM34438</v>
      </c>
      <c r="I3451" t="s">
        <v>17</v>
      </c>
      <c r="J3451" t="s">
        <v>18</v>
      </c>
      <c r="K3451" t="s">
        <v>33</v>
      </c>
      <c r="L3451" t="s">
        <v>20</v>
      </c>
      <c r="N3451" t="s">
        <v>29</v>
      </c>
    </row>
    <row r="3452" spans="1:14">
      <c r="A3452" s="4" t="str">
        <f t="shared" si="325"/>
        <v>EXP00108</v>
      </c>
      <c r="B3452" s="4" t="str">
        <f t="shared" si="323"/>
        <v>19291283</v>
      </c>
      <c r="C3452" s="4" t="str">
        <f t="shared" si="324"/>
        <v>GSE3521</v>
      </c>
      <c r="D3452" s="1" t="s">
        <v>14</v>
      </c>
      <c r="E3452" t="s">
        <v>35</v>
      </c>
      <c r="F3452" s="1">
        <v>2</v>
      </c>
      <c r="G3452" s="1" t="s">
        <v>28</v>
      </c>
      <c r="H3452" s="4" t="str">
        <f>HYPERLINK("https://www.ncbi.nlm.nih.gov/geo/query/acc.cgi?acc=GSM34445","GSM34445")</f>
        <v>GSM34445</v>
      </c>
      <c r="I3452" t="s">
        <v>17</v>
      </c>
      <c r="J3452" t="s">
        <v>18</v>
      </c>
      <c r="K3452" t="s">
        <v>33</v>
      </c>
      <c r="L3452" t="s">
        <v>20</v>
      </c>
      <c r="N3452" t="s">
        <v>29</v>
      </c>
    </row>
    <row r="3453" spans="1:14">
      <c r="A3453" s="4" t="str">
        <f t="shared" si="325"/>
        <v>EXP00108</v>
      </c>
      <c r="B3453" s="4" t="str">
        <f t="shared" si="323"/>
        <v>19291283</v>
      </c>
      <c r="C3453" s="4" t="str">
        <f t="shared" si="324"/>
        <v>GSE3521</v>
      </c>
      <c r="D3453" s="1" t="s">
        <v>14</v>
      </c>
      <c r="E3453" t="s">
        <v>35</v>
      </c>
      <c r="F3453" s="1">
        <v>2</v>
      </c>
      <c r="G3453" s="1" t="s">
        <v>28</v>
      </c>
      <c r="H3453" s="4" t="str">
        <f>HYPERLINK("https://www.ncbi.nlm.nih.gov/geo/query/acc.cgi?acc=GSM34447","GSM34447")</f>
        <v>GSM34447</v>
      </c>
      <c r="I3453" t="s">
        <v>17</v>
      </c>
      <c r="J3453" t="s">
        <v>18</v>
      </c>
      <c r="K3453" t="s">
        <v>33</v>
      </c>
      <c r="L3453" t="s">
        <v>20</v>
      </c>
      <c r="N3453" t="s">
        <v>29</v>
      </c>
    </row>
    <row r="3454" spans="1:14">
      <c r="A3454" s="4" t="str">
        <f t="shared" si="325"/>
        <v>EXP00108</v>
      </c>
      <c r="B3454" s="4" t="str">
        <f t="shared" si="323"/>
        <v>19291283</v>
      </c>
      <c r="C3454" s="4" t="str">
        <f t="shared" si="324"/>
        <v>GSE3521</v>
      </c>
      <c r="D3454" s="1" t="s">
        <v>14</v>
      </c>
      <c r="E3454" t="s">
        <v>35</v>
      </c>
      <c r="F3454" s="1">
        <v>2</v>
      </c>
      <c r="G3454" s="1" t="s">
        <v>28</v>
      </c>
      <c r="H3454" s="4" t="str">
        <f>HYPERLINK("https://www.ncbi.nlm.nih.gov/geo/query/acc.cgi?acc=GSM34448","GSM34448")</f>
        <v>GSM34448</v>
      </c>
      <c r="I3454" t="s">
        <v>17</v>
      </c>
      <c r="J3454" t="s">
        <v>18</v>
      </c>
      <c r="K3454" t="s">
        <v>33</v>
      </c>
      <c r="L3454" t="s">
        <v>20</v>
      </c>
      <c r="N3454" t="s">
        <v>29</v>
      </c>
    </row>
    <row r="3455" spans="1:14">
      <c r="A3455" s="4" t="str">
        <f t="shared" si="325"/>
        <v>EXP00108</v>
      </c>
      <c r="B3455" s="4" t="str">
        <f t="shared" si="323"/>
        <v>19291283</v>
      </c>
      <c r="C3455" s="4" t="str">
        <f t="shared" si="324"/>
        <v>GSE3521</v>
      </c>
      <c r="D3455" s="1" t="s">
        <v>14</v>
      </c>
      <c r="E3455" t="s">
        <v>35</v>
      </c>
      <c r="F3455" s="1">
        <v>2</v>
      </c>
      <c r="G3455" s="1" t="s">
        <v>28</v>
      </c>
      <c r="H3455" s="4" t="str">
        <f>HYPERLINK("https://www.ncbi.nlm.nih.gov/geo/query/acc.cgi?acc=GSM34449","GSM34449")</f>
        <v>GSM34449</v>
      </c>
      <c r="I3455" t="s">
        <v>17</v>
      </c>
      <c r="J3455" t="s">
        <v>18</v>
      </c>
      <c r="K3455" t="s">
        <v>33</v>
      </c>
      <c r="L3455" t="s">
        <v>20</v>
      </c>
      <c r="N3455" t="s">
        <v>29</v>
      </c>
    </row>
    <row r="3456" spans="1:14">
      <c r="A3456" s="4" t="str">
        <f t="shared" si="325"/>
        <v>EXP00108</v>
      </c>
      <c r="B3456" s="4" t="str">
        <f t="shared" si="323"/>
        <v>19291283</v>
      </c>
      <c r="C3456" s="4" t="str">
        <f t="shared" si="324"/>
        <v>GSE3521</v>
      </c>
      <c r="D3456" s="1" t="s">
        <v>14</v>
      </c>
      <c r="E3456" t="s">
        <v>35</v>
      </c>
      <c r="F3456" s="1">
        <v>2</v>
      </c>
      <c r="G3456" s="1" t="s">
        <v>28</v>
      </c>
      <c r="H3456" s="4" t="str">
        <f>HYPERLINK("https://www.ncbi.nlm.nih.gov/geo/query/acc.cgi?acc=GSM34450","GSM34450")</f>
        <v>GSM34450</v>
      </c>
      <c r="I3456" t="s">
        <v>17</v>
      </c>
      <c r="J3456" t="s">
        <v>18</v>
      </c>
      <c r="K3456" t="s">
        <v>33</v>
      </c>
      <c r="L3456" t="s">
        <v>20</v>
      </c>
      <c r="N3456" t="s">
        <v>29</v>
      </c>
    </row>
    <row r="3457" spans="1:14">
      <c r="A3457" s="4" t="str">
        <f t="shared" si="325"/>
        <v>EXP00108</v>
      </c>
      <c r="B3457" s="4" t="str">
        <f t="shared" si="323"/>
        <v>19291283</v>
      </c>
      <c r="C3457" s="4" t="str">
        <f t="shared" si="324"/>
        <v>GSE3521</v>
      </c>
      <c r="D3457" s="1" t="s">
        <v>14</v>
      </c>
      <c r="E3457" t="s">
        <v>35</v>
      </c>
      <c r="F3457" s="1">
        <v>2</v>
      </c>
      <c r="G3457" s="1" t="s">
        <v>28</v>
      </c>
      <c r="H3457" s="4" t="str">
        <f>HYPERLINK("https://www.ncbi.nlm.nih.gov/geo/query/acc.cgi?acc=GSM34451","GSM34451")</f>
        <v>GSM34451</v>
      </c>
      <c r="I3457" t="s">
        <v>17</v>
      </c>
      <c r="J3457" t="s">
        <v>18</v>
      </c>
      <c r="K3457" t="s">
        <v>33</v>
      </c>
      <c r="L3457" t="s">
        <v>20</v>
      </c>
      <c r="N3457" t="s">
        <v>29</v>
      </c>
    </row>
    <row r="3458" spans="1:14">
      <c r="A3458" s="4" t="str">
        <f t="shared" si="325"/>
        <v>EXP00108</v>
      </c>
      <c r="B3458" s="4" t="str">
        <f t="shared" si="323"/>
        <v>19291283</v>
      </c>
      <c r="C3458" s="4" t="str">
        <f t="shared" si="324"/>
        <v>GSE3521</v>
      </c>
      <c r="D3458" s="1" t="s">
        <v>14</v>
      </c>
      <c r="E3458" t="s">
        <v>35</v>
      </c>
      <c r="F3458" s="1">
        <v>2</v>
      </c>
      <c r="G3458" s="1" t="s">
        <v>28</v>
      </c>
      <c r="H3458" s="4" t="str">
        <f>HYPERLINK("https://www.ncbi.nlm.nih.gov/geo/query/acc.cgi?acc=GSM34452","GSM34452")</f>
        <v>GSM34452</v>
      </c>
      <c r="I3458" t="s">
        <v>17</v>
      </c>
      <c r="J3458" t="s">
        <v>18</v>
      </c>
      <c r="K3458" t="s">
        <v>33</v>
      </c>
      <c r="L3458" t="s">
        <v>20</v>
      </c>
      <c r="N3458" t="s">
        <v>29</v>
      </c>
    </row>
    <row r="3459" spans="1:14">
      <c r="A3459" s="4" t="str">
        <f t="shared" si="325"/>
        <v>EXP00108</v>
      </c>
      <c r="B3459" s="4" t="str">
        <f t="shared" si="323"/>
        <v>19291283</v>
      </c>
      <c r="C3459" s="4" t="str">
        <f t="shared" si="324"/>
        <v>GSE3521</v>
      </c>
      <c r="D3459" s="1" t="s">
        <v>14</v>
      </c>
      <c r="E3459" t="s">
        <v>35</v>
      </c>
      <c r="F3459" s="1">
        <v>2</v>
      </c>
      <c r="G3459" s="1" t="s">
        <v>28</v>
      </c>
      <c r="H3459" s="4" t="str">
        <f>HYPERLINK("https://www.ncbi.nlm.nih.gov/geo/query/acc.cgi?acc=GSM34454","GSM34454")</f>
        <v>GSM34454</v>
      </c>
      <c r="I3459" t="s">
        <v>17</v>
      </c>
      <c r="J3459" t="s">
        <v>18</v>
      </c>
      <c r="K3459" t="s">
        <v>33</v>
      </c>
      <c r="L3459" t="s">
        <v>20</v>
      </c>
      <c r="N3459" t="s">
        <v>29</v>
      </c>
    </row>
    <row r="3460" spans="1:14">
      <c r="A3460" s="4" t="str">
        <f t="shared" si="325"/>
        <v>EXP00108</v>
      </c>
      <c r="B3460" s="4" t="str">
        <f t="shared" si="323"/>
        <v>19291283</v>
      </c>
      <c r="C3460" s="4" t="str">
        <f t="shared" si="324"/>
        <v>GSE3521</v>
      </c>
      <c r="D3460" s="1" t="s">
        <v>14</v>
      </c>
      <c r="E3460" t="s">
        <v>35</v>
      </c>
      <c r="F3460" s="1">
        <v>2</v>
      </c>
      <c r="G3460" s="1" t="s">
        <v>28</v>
      </c>
      <c r="H3460" s="4" t="str">
        <f>HYPERLINK("https://www.ncbi.nlm.nih.gov/geo/query/acc.cgi?acc=GSM34455","GSM34455")</f>
        <v>GSM34455</v>
      </c>
      <c r="I3460" t="s">
        <v>17</v>
      </c>
      <c r="J3460" t="s">
        <v>18</v>
      </c>
      <c r="K3460" t="s">
        <v>33</v>
      </c>
      <c r="L3460" t="s">
        <v>20</v>
      </c>
      <c r="N3460" t="s">
        <v>29</v>
      </c>
    </row>
    <row r="3461" spans="1:14">
      <c r="A3461" s="4" t="str">
        <f t="shared" si="325"/>
        <v>EXP00108</v>
      </c>
      <c r="B3461" s="4" t="str">
        <f t="shared" si="323"/>
        <v>19291283</v>
      </c>
      <c r="C3461" s="4" t="str">
        <f t="shared" si="324"/>
        <v>GSE3521</v>
      </c>
      <c r="D3461" s="1" t="s">
        <v>14</v>
      </c>
      <c r="E3461" t="s">
        <v>35</v>
      </c>
      <c r="F3461" s="1">
        <v>2</v>
      </c>
      <c r="G3461" s="1" t="s">
        <v>28</v>
      </c>
      <c r="H3461" s="4" t="str">
        <f>HYPERLINK("https://www.ncbi.nlm.nih.gov/geo/query/acc.cgi?acc=GSM34456","GSM34456")</f>
        <v>GSM34456</v>
      </c>
      <c r="I3461" t="s">
        <v>17</v>
      </c>
      <c r="J3461" t="s">
        <v>18</v>
      </c>
      <c r="K3461" t="s">
        <v>33</v>
      </c>
      <c r="L3461" t="s">
        <v>20</v>
      </c>
      <c r="N3461" t="s">
        <v>29</v>
      </c>
    </row>
    <row r="3462" spans="1:14">
      <c r="A3462" s="4" t="str">
        <f t="shared" si="325"/>
        <v>EXP00108</v>
      </c>
      <c r="B3462" s="4" t="str">
        <f t="shared" si="323"/>
        <v>19291283</v>
      </c>
      <c r="C3462" s="4" t="str">
        <f t="shared" si="324"/>
        <v>GSE3521</v>
      </c>
      <c r="D3462" s="1" t="s">
        <v>14</v>
      </c>
      <c r="E3462" t="s">
        <v>35</v>
      </c>
      <c r="F3462" s="1">
        <v>2</v>
      </c>
      <c r="G3462" s="1" t="s">
        <v>28</v>
      </c>
      <c r="H3462" s="4" t="str">
        <f>HYPERLINK("https://www.ncbi.nlm.nih.gov/geo/query/acc.cgi?acc=GSM34457","GSM34457")</f>
        <v>GSM34457</v>
      </c>
      <c r="I3462" t="s">
        <v>17</v>
      </c>
      <c r="J3462" t="s">
        <v>18</v>
      </c>
      <c r="K3462" t="s">
        <v>33</v>
      </c>
      <c r="L3462" t="s">
        <v>20</v>
      </c>
      <c r="N3462" t="s">
        <v>29</v>
      </c>
    </row>
    <row r="3463" spans="1:14">
      <c r="A3463" s="4" t="str">
        <f t="shared" si="325"/>
        <v>EXP00108</v>
      </c>
      <c r="B3463" s="4" t="str">
        <f t="shared" si="323"/>
        <v>19291283</v>
      </c>
      <c r="C3463" s="4" t="str">
        <f t="shared" si="324"/>
        <v>GSE3521</v>
      </c>
      <c r="D3463" s="1" t="s">
        <v>14</v>
      </c>
      <c r="E3463" t="s">
        <v>35</v>
      </c>
      <c r="F3463" s="1">
        <v>2</v>
      </c>
      <c r="G3463" s="1" t="s">
        <v>28</v>
      </c>
      <c r="H3463" s="4" t="str">
        <f>HYPERLINK("https://www.ncbi.nlm.nih.gov/geo/query/acc.cgi?acc=GSM34458","GSM34458")</f>
        <v>GSM34458</v>
      </c>
      <c r="I3463" t="s">
        <v>17</v>
      </c>
      <c r="J3463" t="s">
        <v>18</v>
      </c>
      <c r="K3463" t="s">
        <v>33</v>
      </c>
      <c r="L3463" t="s">
        <v>20</v>
      </c>
      <c r="N3463" t="s">
        <v>29</v>
      </c>
    </row>
    <row r="3464" spans="1:14">
      <c r="A3464" s="4" t="str">
        <f t="shared" si="325"/>
        <v>EXP00108</v>
      </c>
      <c r="B3464" s="4" t="str">
        <f t="shared" si="323"/>
        <v>19291283</v>
      </c>
      <c r="C3464" s="4" t="str">
        <f t="shared" si="324"/>
        <v>GSE3521</v>
      </c>
      <c r="D3464" s="1" t="s">
        <v>14</v>
      </c>
      <c r="E3464" t="s">
        <v>35</v>
      </c>
      <c r="F3464" s="1">
        <v>2</v>
      </c>
      <c r="G3464" s="1" t="s">
        <v>28</v>
      </c>
      <c r="H3464" s="4" t="str">
        <f>HYPERLINK("https://www.ncbi.nlm.nih.gov/geo/query/acc.cgi?acc=GSM34459","GSM34459")</f>
        <v>GSM34459</v>
      </c>
      <c r="I3464" t="s">
        <v>17</v>
      </c>
      <c r="J3464" t="s">
        <v>18</v>
      </c>
      <c r="K3464" t="s">
        <v>33</v>
      </c>
      <c r="L3464" t="s">
        <v>20</v>
      </c>
      <c r="N3464" t="s">
        <v>29</v>
      </c>
    </row>
    <row r="3465" spans="1:14">
      <c r="A3465" s="4" t="str">
        <f t="shared" si="325"/>
        <v>EXP00108</v>
      </c>
      <c r="B3465" s="4" t="str">
        <f t="shared" si="323"/>
        <v>19291283</v>
      </c>
      <c r="C3465" s="4" t="str">
        <f t="shared" si="324"/>
        <v>GSE3521</v>
      </c>
      <c r="D3465" s="1" t="s">
        <v>14</v>
      </c>
      <c r="E3465" t="s">
        <v>35</v>
      </c>
      <c r="F3465" s="1">
        <v>2</v>
      </c>
      <c r="G3465" s="1" t="s">
        <v>28</v>
      </c>
      <c r="H3465" s="4" t="str">
        <f>HYPERLINK("https://www.ncbi.nlm.nih.gov/geo/query/acc.cgi?acc=GSM34474","GSM34474")</f>
        <v>GSM34474</v>
      </c>
      <c r="I3465" t="s">
        <v>17</v>
      </c>
      <c r="J3465" t="s">
        <v>18</v>
      </c>
      <c r="K3465" t="s">
        <v>33</v>
      </c>
      <c r="L3465" t="s">
        <v>20</v>
      </c>
      <c r="N3465" t="s">
        <v>29</v>
      </c>
    </row>
    <row r="3466" spans="1:14">
      <c r="A3466" s="4" t="str">
        <f t="shared" si="325"/>
        <v>EXP00108</v>
      </c>
      <c r="B3466" s="4" t="str">
        <f t="shared" si="323"/>
        <v>19291283</v>
      </c>
      <c r="C3466" s="4" t="str">
        <f t="shared" si="324"/>
        <v>GSE3521</v>
      </c>
      <c r="D3466" s="1" t="s">
        <v>14</v>
      </c>
      <c r="E3466" t="s">
        <v>35</v>
      </c>
      <c r="F3466" s="1">
        <v>2</v>
      </c>
      <c r="G3466" s="1" t="s">
        <v>28</v>
      </c>
      <c r="H3466" s="4" t="str">
        <f>HYPERLINK("https://www.ncbi.nlm.nih.gov/geo/query/acc.cgi?acc=GSM34475","GSM34475")</f>
        <v>GSM34475</v>
      </c>
      <c r="I3466" t="s">
        <v>17</v>
      </c>
      <c r="J3466" t="s">
        <v>18</v>
      </c>
      <c r="K3466" t="s">
        <v>33</v>
      </c>
      <c r="L3466" t="s">
        <v>20</v>
      </c>
      <c r="N3466" t="s">
        <v>29</v>
      </c>
    </row>
    <row r="3467" spans="1:14">
      <c r="A3467" s="4" t="str">
        <f t="shared" si="325"/>
        <v>EXP00108</v>
      </c>
      <c r="B3467" s="4" t="str">
        <f t="shared" si="323"/>
        <v>19291283</v>
      </c>
      <c r="C3467" s="4" t="str">
        <f t="shared" si="324"/>
        <v>GSE3521</v>
      </c>
      <c r="D3467" s="1" t="s">
        <v>14</v>
      </c>
      <c r="E3467" t="s">
        <v>35</v>
      </c>
      <c r="F3467" s="1">
        <v>2</v>
      </c>
      <c r="G3467" s="1" t="s">
        <v>28</v>
      </c>
      <c r="H3467" s="4" t="str">
        <f>HYPERLINK("https://www.ncbi.nlm.nih.gov/geo/query/acc.cgi?acc=GSM34479","GSM34479")</f>
        <v>GSM34479</v>
      </c>
      <c r="I3467" t="s">
        <v>17</v>
      </c>
      <c r="J3467" t="s">
        <v>18</v>
      </c>
      <c r="K3467" t="s">
        <v>33</v>
      </c>
      <c r="L3467" t="s">
        <v>20</v>
      </c>
      <c r="N3467" t="s">
        <v>29</v>
      </c>
    </row>
    <row r="3468" spans="1:14">
      <c r="A3468" s="4" t="str">
        <f t="shared" si="325"/>
        <v>EXP00108</v>
      </c>
      <c r="B3468" s="4" t="str">
        <f t="shared" si="323"/>
        <v>19291283</v>
      </c>
      <c r="C3468" s="4" t="str">
        <f t="shared" si="324"/>
        <v>GSE3521</v>
      </c>
      <c r="D3468" s="1" t="s">
        <v>14</v>
      </c>
      <c r="E3468" t="s">
        <v>35</v>
      </c>
      <c r="F3468" s="1">
        <v>2</v>
      </c>
      <c r="G3468" s="1" t="s">
        <v>28</v>
      </c>
      <c r="H3468" s="4" t="str">
        <f>HYPERLINK("https://www.ncbi.nlm.nih.gov/geo/query/acc.cgi?acc=GSM34480","GSM34480")</f>
        <v>GSM34480</v>
      </c>
      <c r="I3468" t="s">
        <v>17</v>
      </c>
      <c r="J3468" t="s">
        <v>18</v>
      </c>
      <c r="K3468" t="s">
        <v>33</v>
      </c>
      <c r="L3468" t="s">
        <v>20</v>
      </c>
      <c r="N3468" t="s">
        <v>29</v>
      </c>
    </row>
    <row r="3469" spans="1:14">
      <c r="A3469" s="4" t="str">
        <f t="shared" si="325"/>
        <v>EXP00108</v>
      </c>
      <c r="B3469" s="4" t="str">
        <f t="shared" si="323"/>
        <v>19291283</v>
      </c>
      <c r="C3469" s="4" t="str">
        <f t="shared" si="324"/>
        <v>GSE3521</v>
      </c>
      <c r="D3469" s="1" t="s">
        <v>14</v>
      </c>
      <c r="E3469" t="s">
        <v>35</v>
      </c>
      <c r="F3469" s="1">
        <v>2</v>
      </c>
      <c r="G3469" s="1" t="s">
        <v>28</v>
      </c>
      <c r="H3469" s="4" t="str">
        <f>HYPERLINK("https://www.ncbi.nlm.nih.gov/geo/query/acc.cgi?acc=GSM34481","GSM34481")</f>
        <v>GSM34481</v>
      </c>
      <c r="I3469" t="s">
        <v>17</v>
      </c>
      <c r="J3469" t="s">
        <v>18</v>
      </c>
      <c r="K3469" t="s">
        <v>33</v>
      </c>
      <c r="L3469" t="s">
        <v>20</v>
      </c>
      <c r="N3469" t="s">
        <v>29</v>
      </c>
    </row>
    <row r="3470" spans="1:14">
      <c r="A3470" s="4" t="str">
        <f t="shared" si="325"/>
        <v>EXP00108</v>
      </c>
      <c r="B3470" s="4" t="str">
        <f t="shared" si="323"/>
        <v>19291283</v>
      </c>
      <c r="C3470" s="4" t="str">
        <f t="shared" si="324"/>
        <v>GSE3521</v>
      </c>
      <c r="D3470" s="1" t="s">
        <v>14</v>
      </c>
      <c r="E3470" t="s">
        <v>35</v>
      </c>
      <c r="F3470" s="1">
        <v>2</v>
      </c>
      <c r="G3470" s="1" t="s">
        <v>28</v>
      </c>
      <c r="H3470" s="4" t="str">
        <f>HYPERLINK("https://www.ncbi.nlm.nih.gov/geo/query/acc.cgi?acc=GSM34486","GSM34486")</f>
        <v>GSM34486</v>
      </c>
      <c r="I3470" t="s">
        <v>17</v>
      </c>
      <c r="J3470" t="s">
        <v>18</v>
      </c>
      <c r="K3470" t="s">
        <v>33</v>
      </c>
      <c r="L3470" t="s">
        <v>20</v>
      </c>
      <c r="N3470" t="s">
        <v>29</v>
      </c>
    </row>
    <row r="3471" spans="1:14">
      <c r="A3471" s="4" t="str">
        <f t="shared" si="325"/>
        <v>EXP00108</v>
      </c>
      <c r="B3471" s="4" t="str">
        <f t="shared" si="323"/>
        <v>19291283</v>
      </c>
      <c r="C3471" s="4" t="str">
        <f t="shared" si="324"/>
        <v>GSE3521</v>
      </c>
      <c r="D3471" s="1" t="s">
        <v>14</v>
      </c>
      <c r="E3471" t="s">
        <v>35</v>
      </c>
      <c r="F3471" s="1">
        <v>2</v>
      </c>
      <c r="G3471" s="1" t="s">
        <v>28</v>
      </c>
      <c r="H3471" s="4" t="str">
        <f>HYPERLINK("https://www.ncbi.nlm.nih.gov/geo/query/acc.cgi?acc=GSM34488","GSM34488")</f>
        <v>GSM34488</v>
      </c>
      <c r="I3471" t="s">
        <v>17</v>
      </c>
      <c r="J3471" t="s">
        <v>18</v>
      </c>
      <c r="K3471" t="s">
        <v>33</v>
      </c>
      <c r="L3471" t="s">
        <v>20</v>
      </c>
      <c r="N3471" t="s">
        <v>29</v>
      </c>
    </row>
    <row r="3472" spans="1:14">
      <c r="A3472" s="4" t="str">
        <f t="shared" si="325"/>
        <v>EXP00108</v>
      </c>
      <c r="B3472" s="4" t="str">
        <f t="shared" si="323"/>
        <v>19291283</v>
      </c>
      <c r="C3472" s="4" t="str">
        <f t="shared" si="324"/>
        <v>GSE3521</v>
      </c>
      <c r="D3472" s="1" t="s">
        <v>14</v>
      </c>
      <c r="E3472" t="s">
        <v>35</v>
      </c>
      <c r="F3472" s="1">
        <v>2</v>
      </c>
      <c r="G3472" s="1" t="s">
        <v>28</v>
      </c>
      <c r="H3472" s="4" t="str">
        <f>HYPERLINK("https://www.ncbi.nlm.nih.gov/geo/query/acc.cgi?acc=GSM34494","GSM34494")</f>
        <v>GSM34494</v>
      </c>
      <c r="I3472" t="s">
        <v>17</v>
      </c>
      <c r="J3472" t="s">
        <v>18</v>
      </c>
      <c r="K3472" t="s">
        <v>33</v>
      </c>
      <c r="L3472" t="s">
        <v>20</v>
      </c>
      <c r="N3472" t="s">
        <v>29</v>
      </c>
    </row>
    <row r="3473" spans="1:14">
      <c r="A3473" s="4" t="str">
        <f t="shared" si="325"/>
        <v>EXP00108</v>
      </c>
      <c r="B3473" s="4" t="str">
        <f t="shared" si="323"/>
        <v>19291283</v>
      </c>
      <c r="C3473" s="4" t="str">
        <f t="shared" si="324"/>
        <v>GSE3521</v>
      </c>
      <c r="D3473" s="1" t="s">
        <v>14</v>
      </c>
      <c r="E3473" t="s">
        <v>35</v>
      </c>
      <c r="F3473" s="1">
        <v>2</v>
      </c>
      <c r="G3473" s="1" t="s">
        <v>28</v>
      </c>
      <c r="H3473" s="4" t="str">
        <f>HYPERLINK("https://www.ncbi.nlm.nih.gov/geo/query/acc.cgi?acc=GSM34496","GSM34496")</f>
        <v>GSM34496</v>
      </c>
      <c r="I3473" t="s">
        <v>17</v>
      </c>
      <c r="J3473" t="s">
        <v>18</v>
      </c>
      <c r="K3473" t="s">
        <v>33</v>
      </c>
      <c r="L3473" t="s">
        <v>20</v>
      </c>
      <c r="N3473" t="s">
        <v>29</v>
      </c>
    </row>
    <row r="3474" spans="1:14">
      <c r="A3474" s="4" t="str">
        <f t="shared" si="325"/>
        <v>EXP00108</v>
      </c>
      <c r="B3474" s="4" t="str">
        <f t="shared" si="323"/>
        <v>19291283</v>
      </c>
      <c r="C3474" s="4" t="str">
        <f t="shared" si="324"/>
        <v>GSE3521</v>
      </c>
      <c r="D3474" s="1" t="s">
        <v>14</v>
      </c>
      <c r="E3474" t="s">
        <v>35</v>
      </c>
      <c r="F3474" s="1">
        <v>2</v>
      </c>
      <c r="G3474" s="1" t="s">
        <v>28</v>
      </c>
      <c r="H3474" s="4" t="str">
        <f>HYPERLINK("https://www.ncbi.nlm.nih.gov/geo/query/acc.cgi?acc=GSM34497","GSM34497")</f>
        <v>GSM34497</v>
      </c>
      <c r="I3474" t="s">
        <v>17</v>
      </c>
      <c r="J3474" t="s">
        <v>18</v>
      </c>
      <c r="K3474" t="s">
        <v>33</v>
      </c>
      <c r="L3474" t="s">
        <v>20</v>
      </c>
      <c r="N3474" t="s">
        <v>29</v>
      </c>
    </row>
    <row r="3475" spans="1:14">
      <c r="A3475" s="4" t="str">
        <f t="shared" si="325"/>
        <v>EXP00108</v>
      </c>
      <c r="B3475" s="4" t="str">
        <f t="shared" si="323"/>
        <v>19291283</v>
      </c>
      <c r="C3475" s="4" t="str">
        <f t="shared" si="324"/>
        <v>GSE3521</v>
      </c>
      <c r="D3475" s="1" t="s">
        <v>14</v>
      </c>
      <c r="E3475" t="s">
        <v>35</v>
      </c>
      <c r="F3475" s="1">
        <v>2</v>
      </c>
      <c r="G3475" s="1" t="s">
        <v>28</v>
      </c>
      <c r="H3475" s="4" t="str">
        <f>HYPERLINK("https://www.ncbi.nlm.nih.gov/geo/query/acc.cgi?acc=GSM34534","GSM34534")</f>
        <v>GSM34534</v>
      </c>
      <c r="I3475" t="s">
        <v>17</v>
      </c>
      <c r="J3475" t="s">
        <v>18</v>
      </c>
      <c r="K3475" t="s">
        <v>33</v>
      </c>
      <c r="L3475" t="s">
        <v>20</v>
      </c>
      <c r="N3475" t="s">
        <v>29</v>
      </c>
    </row>
    <row r="3476" spans="1:14">
      <c r="A3476" s="4" t="str">
        <f t="shared" si="325"/>
        <v>EXP00108</v>
      </c>
      <c r="B3476" s="4" t="str">
        <f t="shared" si="323"/>
        <v>19291283</v>
      </c>
      <c r="C3476" s="4" t="str">
        <f t="shared" si="324"/>
        <v>GSE3521</v>
      </c>
      <c r="D3476" s="1" t="s">
        <v>14</v>
      </c>
      <c r="E3476" t="s">
        <v>35</v>
      </c>
      <c r="F3476" s="1">
        <v>2</v>
      </c>
      <c r="G3476" s="1" t="s">
        <v>28</v>
      </c>
      <c r="H3476" s="4" t="str">
        <f>HYPERLINK("https://www.ncbi.nlm.nih.gov/geo/query/acc.cgi?acc=GSM34535","GSM34535")</f>
        <v>GSM34535</v>
      </c>
      <c r="I3476" t="s">
        <v>17</v>
      </c>
      <c r="J3476" t="s">
        <v>18</v>
      </c>
      <c r="K3476" t="s">
        <v>33</v>
      </c>
      <c r="L3476" t="s">
        <v>20</v>
      </c>
      <c r="N3476" t="s">
        <v>29</v>
      </c>
    </row>
    <row r="3477" spans="1:14">
      <c r="A3477" s="4" t="str">
        <f t="shared" ref="A3477:A3508" si="326">HYPERLINK("http://hcmdb.i-sanger.com/experiment/details/experiment_id/EXP00108","EXP00108")</f>
        <v>EXP00108</v>
      </c>
      <c r="B3477" s="4" t="str">
        <f t="shared" si="323"/>
        <v>19291283</v>
      </c>
      <c r="C3477" s="4" t="str">
        <f t="shared" si="324"/>
        <v>GSE3521</v>
      </c>
      <c r="D3477" s="1" t="s">
        <v>14</v>
      </c>
      <c r="E3477" t="s">
        <v>35</v>
      </c>
      <c r="F3477" s="1">
        <v>2</v>
      </c>
      <c r="G3477" s="1" t="s">
        <v>28</v>
      </c>
      <c r="H3477" s="4" t="str">
        <f>HYPERLINK("https://www.ncbi.nlm.nih.gov/geo/query/acc.cgi?acc=GSM34536","GSM34536")</f>
        <v>GSM34536</v>
      </c>
      <c r="I3477" t="s">
        <v>17</v>
      </c>
      <c r="J3477" t="s">
        <v>18</v>
      </c>
      <c r="K3477" t="s">
        <v>33</v>
      </c>
      <c r="L3477" t="s">
        <v>20</v>
      </c>
      <c r="N3477" t="s">
        <v>29</v>
      </c>
    </row>
    <row r="3478" spans="1:14">
      <c r="A3478" s="4" t="str">
        <f t="shared" si="326"/>
        <v>EXP00108</v>
      </c>
      <c r="B3478" s="4" t="str">
        <f t="shared" si="323"/>
        <v>19291283</v>
      </c>
      <c r="C3478" s="4" t="str">
        <f t="shared" si="324"/>
        <v>GSE3521</v>
      </c>
      <c r="D3478" s="1" t="s">
        <v>14</v>
      </c>
      <c r="E3478" t="s">
        <v>35</v>
      </c>
      <c r="F3478" s="1">
        <v>2</v>
      </c>
      <c r="G3478" s="1" t="s">
        <v>28</v>
      </c>
      <c r="H3478" s="4" t="str">
        <f>HYPERLINK("https://www.ncbi.nlm.nih.gov/geo/query/acc.cgi?acc=GSM34538","GSM34538")</f>
        <v>GSM34538</v>
      </c>
      <c r="I3478" t="s">
        <v>17</v>
      </c>
      <c r="J3478" t="s">
        <v>18</v>
      </c>
      <c r="K3478" t="s">
        <v>33</v>
      </c>
      <c r="L3478" t="s">
        <v>20</v>
      </c>
      <c r="N3478" t="s">
        <v>29</v>
      </c>
    </row>
    <row r="3479" spans="1:14">
      <c r="A3479" s="4" t="str">
        <f t="shared" si="326"/>
        <v>EXP00108</v>
      </c>
      <c r="B3479" s="4" t="str">
        <f t="shared" si="323"/>
        <v>19291283</v>
      </c>
      <c r="C3479" s="4" t="str">
        <f t="shared" si="324"/>
        <v>GSE3521</v>
      </c>
      <c r="D3479" s="1" t="s">
        <v>14</v>
      </c>
      <c r="E3479" t="s">
        <v>35</v>
      </c>
      <c r="F3479" s="1">
        <v>2</v>
      </c>
      <c r="G3479" s="1" t="s">
        <v>28</v>
      </c>
      <c r="H3479" s="4" t="str">
        <f>HYPERLINK("https://www.ncbi.nlm.nih.gov/geo/query/acc.cgi?acc=GSM34539","GSM34539")</f>
        <v>GSM34539</v>
      </c>
      <c r="I3479" t="s">
        <v>17</v>
      </c>
      <c r="J3479" t="s">
        <v>18</v>
      </c>
      <c r="K3479" t="s">
        <v>33</v>
      </c>
      <c r="L3479" t="s">
        <v>20</v>
      </c>
      <c r="N3479" t="s">
        <v>29</v>
      </c>
    </row>
    <row r="3480" spans="1:14">
      <c r="A3480" s="4" t="str">
        <f t="shared" si="326"/>
        <v>EXP00108</v>
      </c>
      <c r="B3480" s="4" t="str">
        <f t="shared" si="323"/>
        <v>19291283</v>
      </c>
      <c r="C3480" s="4" t="str">
        <f t="shared" si="324"/>
        <v>GSE3521</v>
      </c>
      <c r="D3480" s="1" t="s">
        <v>14</v>
      </c>
      <c r="E3480" t="s">
        <v>35</v>
      </c>
      <c r="F3480" s="1">
        <v>2</v>
      </c>
      <c r="G3480" s="1" t="s">
        <v>28</v>
      </c>
      <c r="H3480" s="4" t="str">
        <f>HYPERLINK("https://www.ncbi.nlm.nih.gov/geo/query/acc.cgi?acc=GSM34540","GSM34540")</f>
        <v>GSM34540</v>
      </c>
      <c r="I3480" t="s">
        <v>17</v>
      </c>
      <c r="J3480" t="s">
        <v>18</v>
      </c>
      <c r="K3480" t="s">
        <v>33</v>
      </c>
      <c r="L3480" t="s">
        <v>20</v>
      </c>
      <c r="N3480" t="s">
        <v>29</v>
      </c>
    </row>
    <row r="3481" spans="1:14">
      <c r="A3481" s="4" t="str">
        <f t="shared" si="326"/>
        <v>EXP00108</v>
      </c>
      <c r="B3481" s="4" t="str">
        <f t="shared" si="323"/>
        <v>19291283</v>
      </c>
      <c r="C3481" s="4" t="str">
        <f t="shared" si="324"/>
        <v>GSE3521</v>
      </c>
      <c r="D3481" s="1" t="s">
        <v>14</v>
      </c>
      <c r="E3481" t="s">
        <v>35</v>
      </c>
      <c r="F3481" s="1">
        <v>2</v>
      </c>
      <c r="G3481" s="1" t="s">
        <v>28</v>
      </c>
      <c r="H3481" s="4" t="str">
        <f>HYPERLINK("https://www.ncbi.nlm.nih.gov/geo/query/acc.cgi?acc=GSM34541","GSM34541")</f>
        <v>GSM34541</v>
      </c>
      <c r="I3481" t="s">
        <v>17</v>
      </c>
      <c r="J3481" t="s">
        <v>18</v>
      </c>
      <c r="K3481" t="s">
        <v>33</v>
      </c>
      <c r="L3481" t="s">
        <v>20</v>
      </c>
      <c r="N3481" t="s">
        <v>29</v>
      </c>
    </row>
    <row r="3482" spans="1:14">
      <c r="A3482" s="4" t="str">
        <f t="shared" si="326"/>
        <v>EXP00108</v>
      </c>
      <c r="B3482" s="4" t="str">
        <f t="shared" si="323"/>
        <v>19291283</v>
      </c>
      <c r="C3482" s="4" t="str">
        <f t="shared" si="324"/>
        <v>GSE3521</v>
      </c>
      <c r="D3482" s="1" t="s">
        <v>14</v>
      </c>
      <c r="E3482" t="s">
        <v>35</v>
      </c>
      <c r="F3482" s="1">
        <v>2</v>
      </c>
      <c r="G3482" s="1" t="s">
        <v>28</v>
      </c>
      <c r="H3482" s="4" t="str">
        <f>HYPERLINK("https://www.ncbi.nlm.nih.gov/geo/query/acc.cgi?acc=GSM34542","GSM34542")</f>
        <v>GSM34542</v>
      </c>
      <c r="I3482" t="s">
        <v>17</v>
      </c>
      <c r="J3482" t="s">
        <v>18</v>
      </c>
      <c r="K3482" t="s">
        <v>33</v>
      </c>
      <c r="L3482" t="s">
        <v>20</v>
      </c>
      <c r="N3482" t="s">
        <v>29</v>
      </c>
    </row>
    <row r="3483" spans="1:14">
      <c r="A3483" s="4" t="str">
        <f t="shared" si="326"/>
        <v>EXP00108</v>
      </c>
      <c r="B3483" s="4" t="str">
        <f t="shared" si="323"/>
        <v>19291283</v>
      </c>
      <c r="C3483" s="4" t="str">
        <f t="shared" si="324"/>
        <v>GSE3521</v>
      </c>
      <c r="D3483" s="1" t="s">
        <v>14</v>
      </c>
      <c r="E3483" t="s">
        <v>35</v>
      </c>
      <c r="F3483" s="1">
        <v>2</v>
      </c>
      <c r="G3483" s="1" t="s">
        <v>28</v>
      </c>
      <c r="H3483" s="4" t="str">
        <f>HYPERLINK("https://www.ncbi.nlm.nih.gov/geo/query/acc.cgi?acc=GSM34544","GSM34544")</f>
        <v>GSM34544</v>
      </c>
      <c r="I3483" t="s">
        <v>17</v>
      </c>
      <c r="J3483" t="s">
        <v>18</v>
      </c>
      <c r="K3483" t="s">
        <v>33</v>
      </c>
      <c r="L3483" t="s">
        <v>20</v>
      </c>
      <c r="N3483" t="s">
        <v>29</v>
      </c>
    </row>
    <row r="3484" spans="1:14">
      <c r="A3484" s="4" t="str">
        <f t="shared" si="326"/>
        <v>EXP00108</v>
      </c>
      <c r="B3484" s="4" t="str">
        <f t="shared" si="323"/>
        <v>19291283</v>
      </c>
      <c r="C3484" s="4" t="str">
        <f t="shared" si="324"/>
        <v>GSE3521</v>
      </c>
      <c r="D3484" s="1" t="s">
        <v>14</v>
      </c>
      <c r="E3484" t="s">
        <v>35</v>
      </c>
      <c r="F3484" s="1">
        <v>2</v>
      </c>
      <c r="G3484" s="1" t="s">
        <v>28</v>
      </c>
      <c r="H3484" s="4" t="str">
        <f>HYPERLINK("https://www.ncbi.nlm.nih.gov/geo/query/acc.cgi?acc=GSM34545","GSM34545")</f>
        <v>GSM34545</v>
      </c>
      <c r="I3484" t="s">
        <v>17</v>
      </c>
      <c r="J3484" t="s">
        <v>18</v>
      </c>
      <c r="K3484" t="s">
        <v>33</v>
      </c>
      <c r="L3484" t="s">
        <v>20</v>
      </c>
      <c r="N3484" t="s">
        <v>29</v>
      </c>
    </row>
    <row r="3485" spans="1:14">
      <c r="A3485" s="4" t="str">
        <f t="shared" si="326"/>
        <v>EXP00108</v>
      </c>
      <c r="B3485" s="4" t="str">
        <f t="shared" si="323"/>
        <v>19291283</v>
      </c>
      <c r="C3485" s="4" t="str">
        <f t="shared" si="324"/>
        <v>GSE3521</v>
      </c>
      <c r="D3485" s="1" t="s">
        <v>14</v>
      </c>
      <c r="E3485" t="s">
        <v>35</v>
      </c>
      <c r="F3485" s="1">
        <v>2</v>
      </c>
      <c r="G3485" s="1" t="s">
        <v>28</v>
      </c>
      <c r="H3485" s="4" t="str">
        <f>HYPERLINK("https://www.ncbi.nlm.nih.gov/geo/query/acc.cgi?acc=GSM34546","GSM34546")</f>
        <v>GSM34546</v>
      </c>
      <c r="I3485" t="s">
        <v>17</v>
      </c>
      <c r="J3485" t="s">
        <v>18</v>
      </c>
      <c r="K3485" t="s">
        <v>33</v>
      </c>
      <c r="L3485" t="s">
        <v>20</v>
      </c>
      <c r="N3485" t="s">
        <v>29</v>
      </c>
    </row>
    <row r="3486" spans="1:14">
      <c r="A3486" s="4" t="str">
        <f t="shared" si="326"/>
        <v>EXP00108</v>
      </c>
      <c r="B3486" s="4" t="str">
        <f t="shared" si="323"/>
        <v>19291283</v>
      </c>
      <c r="C3486" s="4" t="str">
        <f t="shared" si="324"/>
        <v>GSE3521</v>
      </c>
      <c r="D3486" s="1" t="s">
        <v>14</v>
      </c>
      <c r="E3486" t="s">
        <v>35</v>
      </c>
      <c r="F3486" s="1">
        <v>2</v>
      </c>
      <c r="G3486" s="1" t="s">
        <v>28</v>
      </c>
      <c r="H3486" s="4" t="str">
        <f>HYPERLINK("https://www.ncbi.nlm.nih.gov/geo/query/acc.cgi?acc=GSM34548","GSM34548")</f>
        <v>GSM34548</v>
      </c>
      <c r="I3486" t="s">
        <v>17</v>
      </c>
      <c r="J3486" t="s">
        <v>18</v>
      </c>
      <c r="K3486" t="s">
        <v>33</v>
      </c>
      <c r="L3486" t="s">
        <v>20</v>
      </c>
      <c r="N3486" t="s">
        <v>29</v>
      </c>
    </row>
    <row r="3487" spans="1:14">
      <c r="A3487" s="4" t="str">
        <f t="shared" si="326"/>
        <v>EXP00108</v>
      </c>
      <c r="B3487" s="4" t="str">
        <f t="shared" si="323"/>
        <v>19291283</v>
      </c>
      <c r="C3487" s="4" t="str">
        <f t="shared" si="324"/>
        <v>GSE3521</v>
      </c>
      <c r="D3487" s="1" t="s">
        <v>14</v>
      </c>
      <c r="E3487" t="s">
        <v>35</v>
      </c>
      <c r="F3487" s="1">
        <v>2</v>
      </c>
      <c r="G3487" s="1" t="s">
        <v>28</v>
      </c>
      <c r="H3487" s="4" t="str">
        <f>HYPERLINK("https://www.ncbi.nlm.nih.gov/geo/query/acc.cgi?acc=GSM34549","GSM34549")</f>
        <v>GSM34549</v>
      </c>
      <c r="I3487" t="s">
        <v>17</v>
      </c>
      <c r="J3487" t="s">
        <v>18</v>
      </c>
      <c r="K3487" t="s">
        <v>33</v>
      </c>
      <c r="L3487" t="s">
        <v>20</v>
      </c>
      <c r="N3487" t="s">
        <v>29</v>
      </c>
    </row>
    <row r="3488" spans="1:14">
      <c r="A3488" s="4" t="str">
        <f t="shared" si="326"/>
        <v>EXP00108</v>
      </c>
      <c r="B3488" s="4" t="str">
        <f t="shared" si="323"/>
        <v>19291283</v>
      </c>
      <c r="C3488" s="4" t="str">
        <f t="shared" si="324"/>
        <v>GSE3521</v>
      </c>
      <c r="D3488" s="1" t="s">
        <v>14</v>
      </c>
      <c r="E3488" t="s">
        <v>35</v>
      </c>
      <c r="F3488" s="1">
        <v>2</v>
      </c>
      <c r="G3488" s="1" t="s">
        <v>28</v>
      </c>
      <c r="H3488" s="4" t="str">
        <f>HYPERLINK("https://www.ncbi.nlm.nih.gov/geo/query/acc.cgi?acc=GSM34553","GSM34553")</f>
        <v>GSM34553</v>
      </c>
      <c r="I3488" t="s">
        <v>17</v>
      </c>
      <c r="J3488" t="s">
        <v>18</v>
      </c>
      <c r="K3488" t="s">
        <v>33</v>
      </c>
      <c r="L3488" t="s">
        <v>20</v>
      </c>
      <c r="N3488" t="s">
        <v>29</v>
      </c>
    </row>
    <row r="3489" spans="1:14">
      <c r="A3489" s="4" t="str">
        <f t="shared" si="326"/>
        <v>EXP00108</v>
      </c>
      <c r="B3489" s="4" t="str">
        <f t="shared" si="323"/>
        <v>19291283</v>
      </c>
      <c r="C3489" s="4" t="str">
        <f t="shared" si="324"/>
        <v>GSE3521</v>
      </c>
      <c r="D3489" s="1" t="s">
        <v>14</v>
      </c>
      <c r="E3489" t="s">
        <v>35</v>
      </c>
      <c r="F3489" s="1">
        <v>2</v>
      </c>
      <c r="G3489" s="1" t="s">
        <v>28</v>
      </c>
      <c r="H3489" s="4" t="str">
        <f>HYPERLINK("https://www.ncbi.nlm.nih.gov/geo/query/acc.cgi?acc=GSM34554","GSM34554")</f>
        <v>GSM34554</v>
      </c>
      <c r="I3489" t="s">
        <v>17</v>
      </c>
      <c r="J3489" t="s">
        <v>18</v>
      </c>
      <c r="K3489" t="s">
        <v>33</v>
      </c>
      <c r="L3489" t="s">
        <v>20</v>
      </c>
      <c r="N3489" t="s">
        <v>29</v>
      </c>
    </row>
    <row r="3490" spans="1:14">
      <c r="A3490" s="4" t="str">
        <f t="shared" si="326"/>
        <v>EXP00108</v>
      </c>
      <c r="B3490" s="4" t="str">
        <f t="shared" si="323"/>
        <v>19291283</v>
      </c>
      <c r="C3490" s="4" t="str">
        <f t="shared" si="324"/>
        <v>GSE3521</v>
      </c>
      <c r="D3490" s="1" t="s">
        <v>14</v>
      </c>
      <c r="E3490" t="s">
        <v>35</v>
      </c>
      <c r="F3490" s="1">
        <v>2</v>
      </c>
      <c r="G3490" s="1" t="s">
        <v>28</v>
      </c>
      <c r="H3490" s="4" t="str">
        <f>HYPERLINK("https://www.ncbi.nlm.nih.gov/geo/query/acc.cgi?acc=GSM34555","GSM34555")</f>
        <v>GSM34555</v>
      </c>
      <c r="I3490" t="s">
        <v>17</v>
      </c>
      <c r="J3490" t="s">
        <v>18</v>
      </c>
      <c r="K3490" t="s">
        <v>33</v>
      </c>
      <c r="L3490" t="s">
        <v>20</v>
      </c>
      <c r="N3490" t="s">
        <v>29</v>
      </c>
    </row>
    <row r="3491" spans="1:14">
      <c r="A3491" s="4" t="str">
        <f t="shared" si="326"/>
        <v>EXP00108</v>
      </c>
      <c r="B3491" s="4" t="str">
        <f t="shared" si="323"/>
        <v>19291283</v>
      </c>
      <c r="C3491" s="4" t="str">
        <f t="shared" si="324"/>
        <v>GSE3521</v>
      </c>
      <c r="D3491" s="1" t="s">
        <v>14</v>
      </c>
      <c r="E3491" t="s">
        <v>35</v>
      </c>
      <c r="F3491" s="1">
        <v>2</v>
      </c>
      <c r="G3491" s="1" t="s">
        <v>28</v>
      </c>
      <c r="H3491" s="4" t="str">
        <f>HYPERLINK("https://www.ncbi.nlm.nih.gov/geo/query/acc.cgi?acc=GSM34558","GSM34558")</f>
        <v>GSM34558</v>
      </c>
      <c r="I3491" t="s">
        <v>17</v>
      </c>
      <c r="J3491" t="s">
        <v>18</v>
      </c>
      <c r="K3491" t="s">
        <v>33</v>
      </c>
      <c r="L3491" t="s">
        <v>20</v>
      </c>
      <c r="N3491" t="s">
        <v>29</v>
      </c>
    </row>
    <row r="3492" spans="1:14">
      <c r="A3492" s="4" t="str">
        <f t="shared" si="326"/>
        <v>EXP00108</v>
      </c>
      <c r="B3492" s="4" t="str">
        <f t="shared" si="323"/>
        <v>19291283</v>
      </c>
      <c r="C3492" s="4" t="str">
        <f t="shared" si="324"/>
        <v>GSE3521</v>
      </c>
      <c r="D3492" s="1" t="s">
        <v>14</v>
      </c>
      <c r="E3492" t="s">
        <v>35</v>
      </c>
      <c r="F3492" s="1">
        <v>2</v>
      </c>
      <c r="G3492" s="1" t="s">
        <v>28</v>
      </c>
      <c r="H3492" s="4" t="str">
        <f>HYPERLINK("https://www.ncbi.nlm.nih.gov/geo/query/acc.cgi?acc=GSM34559","GSM34559")</f>
        <v>GSM34559</v>
      </c>
      <c r="I3492" t="s">
        <v>17</v>
      </c>
      <c r="J3492" t="s">
        <v>18</v>
      </c>
      <c r="K3492" t="s">
        <v>33</v>
      </c>
      <c r="L3492" t="s">
        <v>20</v>
      </c>
      <c r="N3492" t="s">
        <v>29</v>
      </c>
    </row>
    <row r="3493" spans="1:14">
      <c r="A3493" s="4" t="str">
        <f t="shared" si="326"/>
        <v>EXP00108</v>
      </c>
      <c r="B3493" s="4" t="str">
        <f t="shared" si="323"/>
        <v>19291283</v>
      </c>
      <c r="C3493" s="4" t="str">
        <f t="shared" si="324"/>
        <v>GSE3521</v>
      </c>
      <c r="D3493" s="1" t="s">
        <v>14</v>
      </c>
      <c r="E3493" t="s">
        <v>35</v>
      </c>
      <c r="F3493" s="1">
        <v>2</v>
      </c>
      <c r="G3493" s="1" t="s">
        <v>28</v>
      </c>
      <c r="H3493" s="4" t="str">
        <f>HYPERLINK("https://www.ncbi.nlm.nih.gov/geo/query/acc.cgi?acc=GSM34561","GSM34561")</f>
        <v>GSM34561</v>
      </c>
      <c r="I3493" t="s">
        <v>17</v>
      </c>
      <c r="J3493" t="s">
        <v>18</v>
      </c>
      <c r="K3493" t="s">
        <v>33</v>
      </c>
      <c r="L3493" t="s">
        <v>20</v>
      </c>
      <c r="N3493" t="s">
        <v>29</v>
      </c>
    </row>
    <row r="3494" spans="1:14">
      <c r="A3494" s="4" t="str">
        <f t="shared" si="326"/>
        <v>EXP00108</v>
      </c>
      <c r="B3494" s="4" t="str">
        <f t="shared" si="323"/>
        <v>19291283</v>
      </c>
      <c r="C3494" s="4" t="str">
        <f t="shared" si="324"/>
        <v>GSE3521</v>
      </c>
      <c r="D3494" s="1" t="s">
        <v>14</v>
      </c>
      <c r="E3494" t="s">
        <v>35</v>
      </c>
      <c r="F3494" s="1">
        <v>2</v>
      </c>
      <c r="G3494" s="1" t="s">
        <v>28</v>
      </c>
      <c r="H3494" s="4" t="str">
        <f>HYPERLINK("https://www.ncbi.nlm.nih.gov/geo/query/acc.cgi?acc=GSM34562","GSM34562")</f>
        <v>GSM34562</v>
      </c>
      <c r="I3494" t="s">
        <v>17</v>
      </c>
      <c r="J3494" t="s">
        <v>18</v>
      </c>
      <c r="K3494" t="s">
        <v>33</v>
      </c>
      <c r="L3494" t="s">
        <v>20</v>
      </c>
      <c r="N3494" t="s">
        <v>29</v>
      </c>
    </row>
    <row r="3495" spans="1:14">
      <c r="A3495" s="4" t="str">
        <f t="shared" si="326"/>
        <v>EXP00108</v>
      </c>
      <c r="B3495" s="4" t="str">
        <f t="shared" si="323"/>
        <v>19291283</v>
      </c>
      <c r="C3495" s="4" t="str">
        <f t="shared" si="324"/>
        <v>GSE3521</v>
      </c>
      <c r="D3495" s="1" t="s">
        <v>14</v>
      </c>
      <c r="E3495" t="s">
        <v>35</v>
      </c>
      <c r="F3495" s="1">
        <v>2</v>
      </c>
      <c r="G3495" s="1" t="s">
        <v>28</v>
      </c>
      <c r="H3495" s="4" t="str">
        <f>HYPERLINK("https://www.ncbi.nlm.nih.gov/geo/query/acc.cgi?acc=GSM34563","GSM34563")</f>
        <v>GSM34563</v>
      </c>
      <c r="I3495" t="s">
        <v>17</v>
      </c>
      <c r="J3495" t="s">
        <v>18</v>
      </c>
      <c r="K3495" t="s">
        <v>33</v>
      </c>
      <c r="L3495" t="s">
        <v>20</v>
      </c>
      <c r="N3495" t="s">
        <v>29</v>
      </c>
    </row>
    <row r="3496" spans="1:14">
      <c r="A3496" s="4" t="str">
        <f t="shared" si="326"/>
        <v>EXP00108</v>
      </c>
      <c r="B3496" s="4" t="str">
        <f t="shared" si="323"/>
        <v>19291283</v>
      </c>
      <c r="C3496" s="4" t="str">
        <f t="shared" si="324"/>
        <v>GSE3521</v>
      </c>
      <c r="D3496" s="1" t="s">
        <v>14</v>
      </c>
      <c r="E3496" t="s">
        <v>35</v>
      </c>
      <c r="F3496" s="1">
        <v>2</v>
      </c>
      <c r="G3496" s="1" t="s">
        <v>28</v>
      </c>
      <c r="H3496" s="4" t="str">
        <f>HYPERLINK("https://www.ncbi.nlm.nih.gov/geo/query/acc.cgi?acc=GSM34565","GSM34565")</f>
        <v>GSM34565</v>
      </c>
      <c r="I3496" t="s">
        <v>17</v>
      </c>
      <c r="J3496" t="s">
        <v>18</v>
      </c>
      <c r="K3496" t="s">
        <v>33</v>
      </c>
      <c r="L3496" t="s">
        <v>20</v>
      </c>
      <c r="N3496" t="s">
        <v>29</v>
      </c>
    </row>
    <row r="3497" spans="1:14">
      <c r="A3497" s="4" t="str">
        <f t="shared" si="326"/>
        <v>EXP00108</v>
      </c>
      <c r="B3497" s="4" t="str">
        <f t="shared" si="323"/>
        <v>19291283</v>
      </c>
      <c r="C3497" s="4" t="str">
        <f t="shared" si="324"/>
        <v>GSE3521</v>
      </c>
      <c r="D3497" s="1" t="s">
        <v>14</v>
      </c>
      <c r="E3497" t="s">
        <v>35</v>
      </c>
      <c r="F3497" s="1">
        <v>2</v>
      </c>
      <c r="G3497" s="1" t="s">
        <v>28</v>
      </c>
      <c r="H3497" s="4" t="str">
        <f>HYPERLINK("https://www.ncbi.nlm.nih.gov/geo/query/acc.cgi?acc=GSM34566","GSM34566")</f>
        <v>GSM34566</v>
      </c>
      <c r="I3497" t="s">
        <v>17</v>
      </c>
      <c r="J3497" t="s">
        <v>18</v>
      </c>
      <c r="K3497" t="s">
        <v>33</v>
      </c>
      <c r="L3497" t="s">
        <v>20</v>
      </c>
      <c r="N3497" t="s">
        <v>29</v>
      </c>
    </row>
    <row r="3498" spans="1:14">
      <c r="A3498" s="4" t="str">
        <f t="shared" si="326"/>
        <v>EXP00108</v>
      </c>
      <c r="B3498" s="4" t="str">
        <f t="shared" si="323"/>
        <v>19291283</v>
      </c>
      <c r="C3498" s="4" t="str">
        <f t="shared" si="324"/>
        <v>GSE3521</v>
      </c>
      <c r="D3498" s="1" t="s">
        <v>14</v>
      </c>
      <c r="E3498" t="s">
        <v>35</v>
      </c>
      <c r="F3498" s="1">
        <v>2</v>
      </c>
      <c r="G3498" s="1" t="s">
        <v>28</v>
      </c>
      <c r="H3498" s="4" t="str">
        <f>HYPERLINK("https://www.ncbi.nlm.nih.gov/geo/query/acc.cgi?acc=GSM34567","GSM34567")</f>
        <v>GSM34567</v>
      </c>
      <c r="I3498" t="s">
        <v>17</v>
      </c>
      <c r="J3498" t="s">
        <v>18</v>
      </c>
      <c r="K3498" t="s">
        <v>33</v>
      </c>
      <c r="L3498" t="s">
        <v>20</v>
      </c>
      <c r="N3498" t="s">
        <v>29</v>
      </c>
    </row>
    <row r="3499" spans="1:14">
      <c r="A3499" s="4" t="str">
        <f t="shared" si="326"/>
        <v>EXP00108</v>
      </c>
      <c r="B3499" s="4" t="str">
        <f t="shared" si="323"/>
        <v>19291283</v>
      </c>
      <c r="C3499" s="4" t="str">
        <f t="shared" si="324"/>
        <v>GSE3521</v>
      </c>
      <c r="D3499" s="1" t="s">
        <v>14</v>
      </c>
      <c r="E3499" t="s">
        <v>35</v>
      </c>
      <c r="F3499" s="1">
        <v>2</v>
      </c>
      <c r="G3499" s="1" t="s">
        <v>28</v>
      </c>
      <c r="H3499" s="4" t="str">
        <f>HYPERLINK("https://www.ncbi.nlm.nih.gov/geo/query/acc.cgi?acc=GSM50135","GSM50135")</f>
        <v>GSM50135</v>
      </c>
      <c r="I3499" t="s">
        <v>17</v>
      </c>
      <c r="J3499" t="s">
        <v>18</v>
      </c>
      <c r="K3499" t="s">
        <v>33</v>
      </c>
      <c r="L3499" t="s">
        <v>20</v>
      </c>
      <c r="N3499" t="s">
        <v>29</v>
      </c>
    </row>
    <row r="3500" spans="1:14">
      <c r="A3500" s="4" t="str">
        <f t="shared" si="326"/>
        <v>EXP00108</v>
      </c>
      <c r="B3500" s="4" t="str">
        <f t="shared" si="323"/>
        <v>19291283</v>
      </c>
      <c r="C3500" s="4" t="str">
        <f t="shared" si="324"/>
        <v>GSE3521</v>
      </c>
      <c r="D3500" s="1" t="s">
        <v>14</v>
      </c>
      <c r="E3500" t="s">
        <v>35</v>
      </c>
      <c r="F3500" s="1">
        <v>2</v>
      </c>
      <c r="G3500" s="1" t="s">
        <v>28</v>
      </c>
      <c r="H3500" s="4" t="str">
        <f>HYPERLINK("https://www.ncbi.nlm.nih.gov/geo/query/acc.cgi?acc=GSM50149","GSM50149")</f>
        <v>GSM50149</v>
      </c>
      <c r="I3500" t="s">
        <v>17</v>
      </c>
      <c r="J3500" t="s">
        <v>18</v>
      </c>
      <c r="K3500" t="s">
        <v>33</v>
      </c>
      <c r="L3500" t="s">
        <v>20</v>
      </c>
      <c r="N3500" t="s">
        <v>29</v>
      </c>
    </row>
    <row r="3501" spans="1:14">
      <c r="A3501" s="4" t="str">
        <f t="shared" si="326"/>
        <v>EXP00108</v>
      </c>
      <c r="B3501" s="4" t="str">
        <f t="shared" si="323"/>
        <v>19291283</v>
      </c>
      <c r="C3501" s="4" t="str">
        <f t="shared" si="324"/>
        <v>GSE3521</v>
      </c>
      <c r="D3501" s="1" t="s">
        <v>14</v>
      </c>
      <c r="E3501" t="s">
        <v>35</v>
      </c>
      <c r="F3501" s="1">
        <v>2</v>
      </c>
      <c r="G3501" s="1" t="s">
        <v>28</v>
      </c>
      <c r="H3501" s="4" t="str">
        <f>HYPERLINK("https://www.ncbi.nlm.nih.gov/geo/query/acc.cgi?acc=GSM52885","GSM52885")</f>
        <v>GSM52885</v>
      </c>
      <c r="I3501" t="s">
        <v>17</v>
      </c>
      <c r="J3501" t="s">
        <v>18</v>
      </c>
      <c r="K3501" t="s">
        <v>33</v>
      </c>
      <c r="L3501" t="s">
        <v>20</v>
      </c>
      <c r="N3501" t="s">
        <v>29</v>
      </c>
    </row>
    <row r="3502" spans="1:14">
      <c r="A3502" s="4" t="str">
        <f t="shared" si="326"/>
        <v>EXP00108</v>
      </c>
      <c r="B3502" s="4" t="str">
        <f t="shared" si="323"/>
        <v>19291283</v>
      </c>
      <c r="C3502" s="4" t="str">
        <f t="shared" si="324"/>
        <v>GSE3521</v>
      </c>
      <c r="D3502" s="1" t="s">
        <v>14</v>
      </c>
      <c r="E3502" t="s">
        <v>35</v>
      </c>
      <c r="F3502" s="1">
        <v>2</v>
      </c>
      <c r="G3502" s="1" t="s">
        <v>28</v>
      </c>
      <c r="H3502" s="4" t="str">
        <f>HYPERLINK("https://www.ncbi.nlm.nih.gov/geo/query/acc.cgi?acc=GSM52886","GSM52886")</f>
        <v>GSM52886</v>
      </c>
      <c r="I3502" t="s">
        <v>17</v>
      </c>
      <c r="J3502" t="s">
        <v>18</v>
      </c>
      <c r="K3502" t="s">
        <v>33</v>
      </c>
      <c r="L3502" t="s">
        <v>20</v>
      </c>
      <c r="N3502" t="s">
        <v>29</v>
      </c>
    </row>
    <row r="3503" spans="1:14">
      <c r="A3503" s="4" t="str">
        <f t="shared" si="326"/>
        <v>EXP00108</v>
      </c>
      <c r="B3503" s="4" t="str">
        <f t="shared" si="323"/>
        <v>19291283</v>
      </c>
      <c r="C3503" s="4" t="str">
        <f t="shared" si="324"/>
        <v>GSE3521</v>
      </c>
      <c r="D3503" s="1" t="s">
        <v>14</v>
      </c>
      <c r="E3503" t="s">
        <v>35</v>
      </c>
      <c r="F3503" s="1">
        <v>2</v>
      </c>
      <c r="G3503" s="1" t="s">
        <v>28</v>
      </c>
      <c r="H3503" s="4" t="str">
        <f>HYPERLINK("https://www.ncbi.nlm.nih.gov/geo/query/acc.cgi?acc=GSM52887","GSM52887")</f>
        <v>GSM52887</v>
      </c>
      <c r="I3503" t="s">
        <v>17</v>
      </c>
      <c r="J3503" t="s">
        <v>18</v>
      </c>
      <c r="K3503" t="s">
        <v>33</v>
      </c>
      <c r="L3503" t="s">
        <v>20</v>
      </c>
      <c r="N3503" t="s">
        <v>29</v>
      </c>
    </row>
    <row r="3504" spans="1:14">
      <c r="A3504" s="4" t="str">
        <f t="shared" si="326"/>
        <v>EXP00108</v>
      </c>
      <c r="B3504" s="4" t="str">
        <f t="shared" si="323"/>
        <v>19291283</v>
      </c>
      <c r="C3504" s="4" t="str">
        <f t="shared" si="324"/>
        <v>GSE3521</v>
      </c>
      <c r="D3504" s="1" t="s">
        <v>14</v>
      </c>
      <c r="E3504" t="s">
        <v>35</v>
      </c>
      <c r="F3504" s="1">
        <v>2</v>
      </c>
      <c r="G3504" s="1" t="s">
        <v>28</v>
      </c>
      <c r="H3504" s="4" t="str">
        <f>HYPERLINK("https://www.ncbi.nlm.nih.gov/geo/query/acc.cgi?acc=GSM52888","GSM52888")</f>
        <v>GSM52888</v>
      </c>
      <c r="I3504" t="s">
        <v>17</v>
      </c>
      <c r="J3504" t="s">
        <v>18</v>
      </c>
      <c r="K3504" t="s">
        <v>33</v>
      </c>
      <c r="L3504" t="s">
        <v>20</v>
      </c>
      <c r="N3504" t="s">
        <v>29</v>
      </c>
    </row>
    <row r="3505" spans="1:14">
      <c r="A3505" s="4" t="str">
        <f t="shared" si="326"/>
        <v>EXP00108</v>
      </c>
      <c r="B3505" s="4" t="str">
        <f t="shared" si="323"/>
        <v>19291283</v>
      </c>
      <c r="C3505" s="4" t="str">
        <f t="shared" si="324"/>
        <v>GSE3521</v>
      </c>
      <c r="D3505" s="1" t="s">
        <v>14</v>
      </c>
      <c r="E3505" t="s">
        <v>35</v>
      </c>
      <c r="F3505" s="1">
        <v>2</v>
      </c>
      <c r="G3505" s="1" t="s">
        <v>28</v>
      </c>
      <c r="H3505" s="4" t="str">
        <f>HYPERLINK("https://www.ncbi.nlm.nih.gov/geo/query/acc.cgi?acc=GSM52889","GSM52889")</f>
        <v>GSM52889</v>
      </c>
      <c r="I3505" t="s">
        <v>17</v>
      </c>
      <c r="J3505" t="s">
        <v>18</v>
      </c>
      <c r="K3505" t="s">
        <v>33</v>
      </c>
      <c r="L3505" t="s">
        <v>20</v>
      </c>
      <c r="N3505" t="s">
        <v>29</v>
      </c>
    </row>
    <row r="3506" spans="1:14">
      <c r="A3506" s="4" t="str">
        <f t="shared" si="326"/>
        <v>EXP00108</v>
      </c>
      <c r="B3506" s="4" t="str">
        <f t="shared" si="323"/>
        <v>19291283</v>
      </c>
      <c r="C3506" s="4" t="str">
        <f t="shared" si="324"/>
        <v>GSE3521</v>
      </c>
      <c r="D3506" s="1" t="s">
        <v>14</v>
      </c>
      <c r="E3506" t="s">
        <v>35</v>
      </c>
      <c r="F3506" s="1">
        <v>2</v>
      </c>
      <c r="G3506" s="1" t="s">
        <v>28</v>
      </c>
      <c r="H3506" s="4" t="str">
        <f>HYPERLINK("https://www.ncbi.nlm.nih.gov/geo/query/acc.cgi?acc=GSM52890","GSM52890")</f>
        <v>GSM52890</v>
      </c>
      <c r="I3506" t="s">
        <v>17</v>
      </c>
      <c r="J3506" t="s">
        <v>18</v>
      </c>
      <c r="K3506" t="s">
        <v>33</v>
      </c>
      <c r="L3506" t="s">
        <v>20</v>
      </c>
      <c r="N3506" t="s">
        <v>29</v>
      </c>
    </row>
    <row r="3507" spans="1:14">
      <c r="A3507" s="4" t="str">
        <f t="shared" si="326"/>
        <v>EXP00108</v>
      </c>
      <c r="B3507" s="4" t="str">
        <f t="shared" ref="B3507:B3526" si="327">HYPERLINK("https://www.ncbi.nlm.nih.gov/pubmed/19291283","19291283")</f>
        <v>19291283</v>
      </c>
      <c r="C3507" s="4" t="str">
        <f t="shared" ref="C3507:C3526" si="328">HYPERLINK("https://www.ncbi.nlm.nih.gov/geo/query/acc.cgi?acc=GSE3521","GSE3521")</f>
        <v>GSE3521</v>
      </c>
      <c r="D3507" s="1" t="s">
        <v>14</v>
      </c>
      <c r="E3507" t="s">
        <v>35</v>
      </c>
      <c r="F3507" s="1">
        <v>2</v>
      </c>
      <c r="G3507" s="1" t="s">
        <v>28</v>
      </c>
      <c r="H3507" s="4" t="str">
        <f>HYPERLINK("https://www.ncbi.nlm.nih.gov/geo/query/acc.cgi?acc=GSM52891","GSM52891")</f>
        <v>GSM52891</v>
      </c>
      <c r="I3507" t="s">
        <v>17</v>
      </c>
      <c r="J3507" t="s">
        <v>18</v>
      </c>
      <c r="K3507" t="s">
        <v>33</v>
      </c>
      <c r="L3507" t="s">
        <v>20</v>
      </c>
      <c r="N3507" t="s">
        <v>29</v>
      </c>
    </row>
    <row r="3508" spans="1:14">
      <c r="A3508" s="4" t="str">
        <f t="shared" si="326"/>
        <v>EXP00108</v>
      </c>
      <c r="B3508" s="4" t="str">
        <f t="shared" si="327"/>
        <v>19291283</v>
      </c>
      <c r="C3508" s="4" t="str">
        <f t="shared" si="328"/>
        <v>GSE3521</v>
      </c>
      <c r="D3508" s="1" t="s">
        <v>14</v>
      </c>
      <c r="E3508" t="s">
        <v>35</v>
      </c>
      <c r="F3508" s="1">
        <v>2</v>
      </c>
      <c r="G3508" s="1" t="s">
        <v>28</v>
      </c>
      <c r="H3508" s="4" t="str">
        <f>HYPERLINK("https://www.ncbi.nlm.nih.gov/geo/query/acc.cgi?acc=GSM52892","GSM52892")</f>
        <v>GSM52892</v>
      </c>
      <c r="I3508" t="s">
        <v>17</v>
      </c>
      <c r="J3508" t="s">
        <v>18</v>
      </c>
      <c r="K3508" t="s">
        <v>33</v>
      </c>
      <c r="L3508" t="s">
        <v>20</v>
      </c>
      <c r="N3508" t="s">
        <v>29</v>
      </c>
    </row>
    <row r="3509" spans="1:14">
      <c r="A3509" s="4" t="str">
        <f t="shared" ref="A3509:A3526" si="329">HYPERLINK("http://hcmdb.i-sanger.com/experiment/details/experiment_id/EXP00108","EXP00108")</f>
        <v>EXP00108</v>
      </c>
      <c r="B3509" s="4" t="str">
        <f t="shared" si="327"/>
        <v>19291283</v>
      </c>
      <c r="C3509" s="4" t="str">
        <f t="shared" si="328"/>
        <v>GSE3521</v>
      </c>
      <c r="D3509" s="1" t="s">
        <v>14</v>
      </c>
      <c r="E3509" t="s">
        <v>35</v>
      </c>
      <c r="F3509" s="1">
        <v>2</v>
      </c>
      <c r="G3509" s="1" t="s">
        <v>28</v>
      </c>
      <c r="H3509" s="4" t="str">
        <f>HYPERLINK("https://www.ncbi.nlm.nih.gov/geo/query/acc.cgi?acc=GSM52893","GSM52893")</f>
        <v>GSM52893</v>
      </c>
      <c r="I3509" t="s">
        <v>17</v>
      </c>
      <c r="J3509" t="s">
        <v>18</v>
      </c>
      <c r="K3509" t="s">
        <v>33</v>
      </c>
      <c r="L3509" t="s">
        <v>20</v>
      </c>
      <c r="N3509" t="s">
        <v>29</v>
      </c>
    </row>
    <row r="3510" spans="1:14">
      <c r="A3510" s="4" t="str">
        <f t="shared" si="329"/>
        <v>EXP00108</v>
      </c>
      <c r="B3510" s="4" t="str">
        <f t="shared" si="327"/>
        <v>19291283</v>
      </c>
      <c r="C3510" s="4" t="str">
        <f t="shared" si="328"/>
        <v>GSE3521</v>
      </c>
      <c r="D3510" s="1" t="s">
        <v>14</v>
      </c>
      <c r="E3510" t="s">
        <v>35</v>
      </c>
      <c r="F3510" s="1">
        <v>2</v>
      </c>
      <c r="G3510" s="1" t="s">
        <v>28</v>
      </c>
      <c r="H3510" s="4" t="str">
        <f>HYPERLINK("https://www.ncbi.nlm.nih.gov/geo/query/acc.cgi?acc=GSM52894","GSM52894")</f>
        <v>GSM52894</v>
      </c>
      <c r="I3510" t="s">
        <v>17</v>
      </c>
      <c r="J3510" t="s">
        <v>18</v>
      </c>
      <c r="K3510" t="s">
        <v>33</v>
      </c>
      <c r="L3510" t="s">
        <v>20</v>
      </c>
      <c r="N3510" t="s">
        <v>29</v>
      </c>
    </row>
    <row r="3511" spans="1:14">
      <c r="A3511" s="4" t="str">
        <f t="shared" si="329"/>
        <v>EXP00108</v>
      </c>
      <c r="B3511" s="4" t="str">
        <f t="shared" si="327"/>
        <v>19291283</v>
      </c>
      <c r="C3511" s="4" t="str">
        <f t="shared" si="328"/>
        <v>GSE3521</v>
      </c>
      <c r="D3511" s="1" t="s">
        <v>14</v>
      </c>
      <c r="E3511" t="s">
        <v>35</v>
      </c>
      <c r="F3511" s="1">
        <v>2</v>
      </c>
      <c r="G3511" s="1" t="s">
        <v>28</v>
      </c>
      <c r="H3511" s="4" t="str">
        <f>HYPERLINK("https://www.ncbi.nlm.nih.gov/geo/query/acc.cgi?acc=GSM52895","GSM52895")</f>
        <v>GSM52895</v>
      </c>
      <c r="I3511" t="s">
        <v>17</v>
      </c>
      <c r="J3511" t="s">
        <v>18</v>
      </c>
      <c r="K3511" t="s">
        <v>33</v>
      </c>
      <c r="L3511" t="s">
        <v>20</v>
      </c>
      <c r="N3511" t="s">
        <v>29</v>
      </c>
    </row>
    <row r="3512" spans="1:14">
      <c r="A3512" s="4" t="str">
        <f t="shared" si="329"/>
        <v>EXP00108</v>
      </c>
      <c r="B3512" s="4" t="str">
        <f t="shared" si="327"/>
        <v>19291283</v>
      </c>
      <c r="C3512" s="4" t="str">
        <f t="shared" si="328"/>
        <v>GSE3521</v>
      </c>
      <c r="D3512" s="1" t="s">
        <v>14</v>
      </c>
      <c r="E3512" t="s">
        <v>35</v>
      </c>
      <c r="F3512" s="1">
        <v>2</v>
      </c>
      <c r="G3512" s="1" t="s">
        <v>28</v>
      </c>
      <c r="H3512" s="4" t="str">
        <f>HYPERLINK("https://www.ncbi.nlm.nih.gov/geo/query/acc.cgi?acc=GSM52896","GSM52896")</f>
        <v>GSM52896</v>
      </c>
      <c r="I3512" t="s">
        <v>17</v>
      </c>
      <c r="J3512" t="s">
        <v>18</v>
      </c>
      <c r="K3512" t="s">
        <v>33</v>
      </c>
      <c r="L3512" t="s">
        <v>20</v>
      </c>
      <c r="N3512" t="s">
        <v>29</v>
      </c>
    </row>
    <row r="3513" spans="1:14">
      <c r="A3513" s="4" t="str">
        <f t="shared" si="329"/>
        <v>EXP00108</v>
      </c>
      <c r="B3513" s="4" t="str">
        <f t="shared" si="327"/>
        <v>19291283</v>
      </c>
      <c r="C3513" s="4" t="str">
        <f t="shared" si="328"/>
        <v>GSE3521</v>
      </c>
      <c r="D3513" s="1" t="s">
        <v>14</v>
      </c>
      <c r="E3513" t="s">
        <v>35</v>
      </c>
      <c r="F3513" s="1">
        <v>2</v>
      </c>
      <c r="G3513" s="1" t="s">
        <v>28</v>
      </c>
      <c r="H3513" s="4" t="str">
        <f>HYPERLINK("https://www.ncbi.nlm.nih.gov/geo/query/acc.cgi?acc=GSM53474","GSM53474")</f>
        <v>GSM53474</v>
      </c>
      <c r="I3513" t="s">
        <v>17</v>
      </c>
      <c r="J3513" t="s">
        <v>18</v>
      </c>
      <c r="K3513" t="s">
        <v>33</v>
      </c>
      <c r="L3513" t="s">
        <v>20</v>
      </c>
      <c r="N3513" t="s">
        <v>29</v>
      </c>
    </row>
    <row r="3514" spans="1:14">
      <c r="A3514" s="4" t="str">
        <f t="shared" si="329"/>
        <v>EXP00108</v>
      </c>
      <c r="B3514" s="4" t="str">
        <f t="shared" si="327"/>
        <v>19291283</v>
      </c>
      <c r="C3514" s="4" t="str">
        <f t="shared" si="328"/>
        <v>GSE3521</v>
      </c>
      <c r="D3514" s="1" t="s">
        <v>14</v>
      </c>
      <c r="E3514" t="s">
        <v>35</v>
      </c>
      <c r="F3514" s="1">
        <v>2</v>
      </c>
      <c r="G3514" s="1" t="s">
        <v>28</v>
      </c>
      <c r="H3514" s="4" t="str">
        <f>HYPERLINK("https://www.ncbi.nlm.nih.gov/geo/query/acc.cgi?acc=GSM80216","GSM80216")</f>
        <v>GSM80216</v>
      </c>
      <c r="I3514" t="s">
        <v>17</v>
      </c>
      <c r="J3514" t="s">
        <v>18</v>
      </c>
      <c r="K3514" t="s">
        <v>33</v>
      </c>
      <c r="L3514" t="s">
        <v>20</v>
      </c>
      <c r="N3514" t="s">
        <v>29</v>
      </c>
    </row>
    <row r="3515" spans="1:14">
      <c r="A3515" s="4" t="str">
        <f t="shared" si="329"/>
        <v>EXP00108</v>
      </c>
      <c r="B3515" s="4" t="str">
        <f t="shared" si="327"/>
        <v>19291283</v>
      </c>
      <c r="C3515" s="4" t="str">
        <f t="shared" si="328"/>
        <v>GSE3521</v>
      </c>
      <c r="D3515" s="1" t="s">
        <v>14</v>
      </c>
      <c r="E3515" t="s">
        <v>35</v>
      </c>
      <c r="F3515" s="1">
        <v>2</v>
      </c>
      <c r="G3515" s="1" t="s">
        <v>28</v>
      </c>
      <c r="H3515" s="4" t="str">
        <f>HYPERLINK("https://www.ncbi.nlm.nih.gov/geo/query/acc.cgi?acc=GSM80217","GSM80217")</f>
        <v>GSM80217</v>
      </c>
      <c r="I3515" t="s">
        <v>17</v>
      </c>
      <c r="J3515" t="s">
        <v>18</v>
      </c>
      <c r="K3515" t="s">
        <v>33</v>
      </c>
      <c r="L3515" t="s">
        <v>20</v>
      </c>
      <c r="N3515" t="s">
        <v>29</v>
      </c>
    </row>
    <row r="3516" spans="1:14">
      <c r="A3516" s="4" t="str">
        <f t="shared" si="329"/>
        <v>EXP00108</v>
      </c>
      <c r="B3516" s="4" t="str">
        <f t="shared" si="327"/>
        <v>19291283</v>
      </c>
      <c r="C3516" s="4" t="str">
        <f t="shared" si="328"/>
        <v>GSE3521</v>
      </c>
      <c r="D3516" s="1" t="s">
        <v>14</v>
      </c>
      <c r="E3516" t="s">
        <v>35</v>
      </c>
      <c r="F3516" s="1">
        <v>2</v>
      </c>
      <c r="G3516" s="1" t="s">
        <v>28</v>
      </c>
      <c r="H3516" s="4" t="str">
        <f>HYPERLINK("https://www.ncbi.nlm.nih.gov/geo/query/acc.cgi?acc=GSM80218","GSM80218")</f>
        <v>GSM80218</v>
      </c>
      <c r="I3516" t="s">
        <v>17</v>
      </c>
      <c r="J3516" t="s">
        <v>18</v>
      </c>
      <c r="K3516" t="s">
        <v>33</v>
      </c>
      <c r="L3516" t="s">
        <v>20</v>
      </c>
      <c r="N3516" t="s">
        <v>29</v>
      </c>
    </row>
    <row r="3517" spans="1:14">
      <c r="A3517" s="4" t="str">
        <f t="shared" si="329"/>
        <v>EXP00108</v>
      </c>
      <c r="B3517" s="4" t="str">
        <f t="shared" si="327"/>
        <v>19291283</v>
      </c>
      <c r="C3517" s="4" t="str">
        <f t="shared" si="328"/>
        <v>GSE3521</v>
      </c>
      <c r="D3517" s="1" t="s">
        <v>14</v>
      </c>
      <c r="E3517" t="s">
        <v>35</v>
      </c>
      <c r="F3517" s="1">
        <v>2</v>
      </c>
      <c r="G3517" s="1" t="s">
        <v>28</v>
      </c>
      <c r="H3517" s="4" t="str">
        <f>HYPERLINK("https://www.ncbi.nlm.nih.gov/geo/query/acc.cgi?acc=GSM80219","GSM80219")</f>
        <v>GSM80219</v>
      </c>
      <c r="I3517" t="s">
        <v>17</v>
      </c>
      <c r="J3517" t="s">
        <v>18</v>
      </c>
      <c r="K3517" t="s">
        <v>33</v>
      </c>
      <c r="L3517" t="s">
        <v>20</v>
      </c>
      <c r="N3517" t="s">
        <v>29</v>
      </c>
    </row>
    <row r="3518" spans="1:14">
      <c r="A3518" s="4" t="str">
        <f t="shared" si="329"/>
        <v>EXP00108</v>
      </c>
      <c r="B3518" s="4" t="str">
        <f t="shared" si="327"/>
        <v>19291283</v>
      </c>
      <c r="C3518" s="4" t="str">
        <f t="shared" si="328"/>
        <v>GSE3521</v>
      </c>
      <c r="D3518" s="1" t="s">
        <v>14</v>
      </c>
      <c r="E3518" t="s">
        <v>35</v>
      </c>
      <c r="F3518" s="1">
        <v>2</v>
      </c>
      <c r="G3518" s="1" t="s">
        <v>28</v>
      </c>
      <c r="H3518" s="4" t="str">
        <f>HYPERLINK("https://www.ncbi.nlm.nih.gov/geo/query/acc.cgi?acc=GSM80220","GSM80220")</f>
        <v>GSM80220</v>
      </c>
      <c r="I3518" t="s">
        <v>17</v>
      </c>
      <c r="J3518" t="s">
        <v>18</v>
      </c>
      <c r="K3518" t="s">
        <v>33</v>
      </c>
      <c r="L3518" t="s">
        <v>20</v>
      </c>
      <c r="N3518" t="s">
        <v>29</v>
      </c>
    </row>
    <row r="3519" spans="1:14">
      <c r="A3519" s="4" t="str">
        <f t="shared" si="329"/>
        <v>EXP00108</v>
      </c>
      <c r="B3519" s="4" t="str">
        <f t="shared" si="327"/>
        <v>19291283</v>
      </c>
      <c r="C3519" s="4" t="str">
        <f t="shared" si="328"/>
        <v>GSE3521</v>
      </c>
      <c r="D3519" s="1" t="s">
        <v>14</v>
      </c>
      <c r="E3519" t="s">
        <v>35</v>
      </c>
      <c r="F3519" s="1">
        <v>2</v>
      </c>
      <c r="G3519" s="1" t="s">
        <v>28</v>
      </c>
      <c r="H3519" s="4" t="str">
        <f>HYPERLINK("https://www.ncbi.nlm.nih.gov/geo/query/acc.cgi?acc=GSM80221","GSM80221")</f>
        <v>GSM80221</v>
      </c>
      <c r="I3519" t="s">
        <v>17</v>
      </c>
      <c r="J3519" t="s">
        <v>18</v>
      </c>
      <c r="K3519" t="s">
        <v>33</v>
      </c>
      <c r="L3519" t="s">
        <v>20</v>
      </c>
      <c r="N3519" t="s">
        <v>29</v>
      </c>
    </row>
    <row r="3520" spans="1:14">
      <c r="A3520" s="4" t="str">
        <f t="shared" si="329"/>
        <v>EXP00108</v>
      </c>
      <c r="B3520" s="4" t="str">
        <f t="shared" si="327"/>
        <v>19291283</v>
      </c>
      <c r="C3520" s="4" t="str">
        <f t="shared" si="328"/>
        <v>GSE3521</v>
      </c>
      <c r="D3520" s="1" t="s">
        <v>14</v>
      </c>
      <c r="E3520" t="s">
        <v>35</v>
      </c>
      <c r="F3520" s="1">
        <v>2</v>
      </c>
      <c r="G3520" s="1" t="s">
        <v>28</v>
      </c>
      <c r="H3520" s="4" t="str">
        <f>HYPERLINK("https://www.ncbi.nlm.nih.gov/geo/query/acc.cgi?acc=GSM80222","GSM80222")</f>
        <v>GSM80222</v>
      </c>
      <c r="I3520" t="s">
        <v>17</v>
      </c>
      <c r="J3520" t="s">
        <v>18</v>
      </c>
      <c r="K3520" t="s">
        <v>33</v>
      </c>
      <c r="L3520" t="s">
        <v>20</v>
      </c>
      <c r="N3520" t="s">
        <v>29</v>
      </c>
    </row>
    <row r="3521" spans="1:14">
      <c r="A3521" s="4" t="str">
        <f t="shared" si="329"/>
        <v>EXP00108</v>
      </c>
      <c r="B3521" s="4" t="str">
        <f t="shared" si="327"/>
        <v>19291283</v>
      </c>
      <c r="C3521" s="4" t="str">
        <f t="shared" si="328"/>
        <v>GSE3521</v>
      </c>
      <c r="D3521" s="1" t="s">
        <v>14</v>
      </c>
      <c r="E3521" t="s">
        <v>35</v>
      </c>
      <c r="F3521" s="1">
        <v>2</v>
      </c>
      <c r="G3521" s="1" t="s">
        <v>28</v>
      </c>
      <c r="H3521" s="4" t="str">
        <f>HYPERLINK("https://www.ncbi.nlm.nih.gov/geo/query/acc.cgi?acc=GSM80226","GSM80226")</f>
        <v>GSM80226</v>
      </c>
      <c r="I3521" t="s">
        <v>17</v>
      </c>
      <c r="J3521" t="s">
        <v>18</v>
      </c>
      <c r="K3521" t="s">
        <v>33</v>
      </c>
      <c r="L3521" t="s">
        <v>20</v>
      </c>
      <c r="N3521" t="s">
        <v>29</v>
      </c>
    </row>
    <row r="3522" spans="1:14">
      <c r="A3522" s="4" t="str">
        <f t="shared" si="329"/>
        <v>EXP00108</v>
      </c>
      <c r="B3522" s="4" t="str">
        <f t="shared" si="327"/>
        <v>19291283</v>
      </c>
      <c r="C3522" s="4" t="str">
        <f t="shared" si="328"/>
        <v>GSE3521</v>
      </c>
      <c r="D3522" s="1" t="s">
        <v>14</v>
      </c>
      <c r="E3522" t="s">
        <v>35</v>
      </c>
      <c r="F3522" s="1">
        <v>2</v>
      </c>
      <c r="G3522" s="1" t="s">
        <v>28</v>
      </c>
      <c r="H3522" s="4" t="str">
        <f>HYPERLINK("https://www.ncbi.nlm.nih.gov/geo/query/acc.cgi?acc=GSM80227","GSM80227")</f>
        <v>GSM80227</v>
      </c>
      <c r="I3522" t="s">
        <v>17</v>
      </c>
      <c r="J3522" t="s">
        <v>18</v>
      </c>
      <c r="K3522" t="s">
        <v>33</v>
      </c>
      <c r="L3522" t="s">
        <v>20</v>
      </c>
      <c r="N3522" t="s">
        <v>29</v>
      </c>
    </row>
    <row r="3523" spans="1:14">
      <c r="A3523" s="4" t="str">
        <f t="shared" si="329"/>
        <v>EXP00108</v>
      </c>
      <c r="B3523" s="4" t="str">
        <f t="shared" si="327"/>
        <v>19291283</v>
      </c>
      <c r="C3523" s="4" t="str">
        <f t="shared" si="328"/>
        <v>GSE3521</v>
      </c>
      <c r="D3523" s="1" t="s">
        <v>14</v>
      </c>
      <c r="E3523" t="s">
        <v>35</v>
      </c>
      <c r="F3523" s="1">
        <v>2</v>
      </c>
      <c r="G3523" s="1" t="s">
        <v>28</v>
      </c>
      <c r="H3523" s="4" t="str">
        <f>HYPERLINK("https://www.ncbi.nlm.nih.gov/geo/query/acc.cgi?acc=GSM80229","GSM80229")</f>
        <v>GSM80229</v>
      </c>
      <c r="I3523" t="s">
        <v>17</v>
      </c>
      <c r="J3523" t="s">
        <v>18</v>
      </c>
      <c r="K3523" t="s">
        <v>33</v>
      </c>
      <c r="L3523" t="s">
        <v>20</v>
      </c>
      <c r="N3523" t="s">
        <v>29</v>
      </c>
    </row>
    <row r="3524" spans="1:14">
      <c r="A3524" s="4" t="str">
        <f t="shared" si="329"/>
        <v>EXP00108</v>
      </c>
      <c r="B3524" s="4" t="str">
        <f t="shared" si="327"/>
        <v>19291283</v>
      </c>
      <c r="C3524" s="4" t="str">
        <f t="shared" si="328"/>
        <v>GSE3521</v>
      </c>
      <c r="D3524" s="1" t="s">
        <v>14</v>
      </c>
      <c r="E3524" t="s">
        <v>35</v>
      </c>
      <c r="F3524" s="1">
        <v>2</v>
      </c>
      <c r="G3524" s="1" t="s">
        <v>28</v>
      </c>
      <c r="H3524" s="4" t="str">
        <f>HYPERLINK("https://www.ncbi.nlm.nih.gov/geo/query/acc.cgi?acc=GSM80230","GSM80230")</f>
        <v>GSM80230</v>
      </c>
      <c r="I3524" t="s">
        <v>17</v>
      </c>
      <c r="J3524" t="s">
        <v>18</v>
      </c>
      <c r="K3524" t="s">
        <v>33</v>
      </c>
      <c r="L3524" t="s">
        <v>20</v>
      </c>
      <c r="N3524" t="s">
        <v>29</v>
      </c>
    </row>
    <row r="3525" spans="1:14">
      <c r="A3525" s="4" t="str">
        <f t="shared" si="329"/>
        <v>EXP00108</v>
      </c>
      <c r="B3525" s="4" t="str">
        <f t="shared" si="327"/>
        <v>19291283</v>
      </c>
      <c r="C3525" s="4" t="str">
        <f t="shared" si="328"/>
        <v>GSE3521</v>
      </c>
      <c r="D3525" s="1" t="s">
        <v>14</v>
      </c>
      <c r="E3525" t="s">
        <v>35</v>
      </c>
      <c r="F3525" s="1">
        <v>2</v>
      </c>
      <c r="G3525" s="1" t="s">
        <v>28</v>
      </c>
      <c r="H3525" s="4" t="str">
        <f>HYPERLINK("https://www.ncbi.nlm.nih.gov/geo/query/acc.cgi?acc=GSM80232","GSM80232")</f>
        <v>GSM80232</v>
      </c>
      <c r="I3525" t="s">
        <v>17</v>
      </c>
      <c r="J3525" t="s">
        <v>18</v>
      </c>
      <c r="K3525" t="s">
        <v>33</v>
      </c>
      <c r="L3525" t="s">
        <v>20</v>
      </c>
      <c r="N3525" t="s">
        <v>29</v>
      </c>
    </row>
    <row r="3526" spans="1:14">
      <c r="A3526" s="4" t="str">
        <f t="shared" si="329"/>
        <v>EXP00108</v>
      </c>
      <c r="B3526" s="4" t="str">
        <f t="shared" si="327"/>
        <v>19291283</v>
      </c>
      <c r="C3526" s="4" t="str">
        <f t="shared" si="328"/>
        <v>GSE3521</v>
      </c>
      <c r="D3526" s="1" t="s">
        <v>14</v>
      </c>
      <c r="E3526" t="s">
        <v>35</v>
      </c>
      <c r="F3526" s="1">
        <v>2</v>
      </c>
      <c r="G3526" s="1" t="s">
        <v>28</v>
      </c>
      <c r="H3526" s="4" t="str">
        <f>HYPERLINK("https://www.ncbi.nlm.nih.gov/geo/query/acc.cgi?acc=GSM80237","GSM80237")</f>
        <v>GSM80237</v>
      </c>
      <c r="I3526" t="s">
        <v>17</v>
      </c>
      <c r="J3526" t="s">
        <v>18</v>
      </c>
      <c r="K3526" t="s">
        <v>33</v>
      </c>
      <c r="L3526" t="s">
        <v>20</v>
      </c>
      <c r="N3526" t="s">
        <v>29</v>
      </c>
    </row>
    <row r="3527" spans="1:14">
      <c r="A3527" s="4" t="str">
        <f t="shared" ref="A3527:A3571" si="330">HYPERLINK("http://hcmdb.i-sanger.com/experiment/details/experiment_id/EXP00109","EXP00109")</f>
        <v>EXP00109</v>
      </c>
      <c r="B3527" s="4" t="str">
        <f t="shared" ref="B3527:B3558" si="331">HYPERLINK("https://www.ncbi.nlm.nih.gov/pubmed/23987127","23987127")</f>
        <v>23987127</v>
      </c>
      <c r="C3527" s="4" t="str">
        <f t="shared" ref="C3527:C3558" si="332">HYPERLINK("https://www.ncbi.nlm.nih.gov/geo/query/acc.cgi?acc=GSE35834","GSE35834")</f>
        <v>GSE35834</v>
      </c>
      <c r="D3527" s="1" t="s">
        <v>225</v>
      </c>
      <c r="E3527" t="s">
        <v>72</v>
      </c>
      <c r="F3527" s="1">
        <v>1</v>
      </c>
      <c r="G3527" s="1" t="s">
        <v>26</v>
      </c>
      <c r="H3527" s="4" t="str">
        <f>HYPERLINK("https://www.ncbi.nlm.nih.gov/geo/query/acc.cgi?acc=GSM875942","GSM875942")</f>
        <v>GSM875942</v>
      </c>
      <c r="I3527" t="s">
        <v>69</v>
      </c>
      <c r="J3527" t="s">
        <v>18</v>
      </c>
      <c r="K3527" t="s">
        <v>19</v>
      </c>
      <c r="L3527" t="s">
        <v>70</v>
      </c>
      <c r="M3527" t="s">
        <v>44</v>
      </c>
      <c r="N3527" t="s">
        <v>22</v>
      </c>
    </row>
    <row r="3528" spans="1:14">
      <c r="A3528" s="4" t="str">
        <f t="shared" si="330"/>
        <v>EXP00109</v>
      </c>
      <c r="B3528" s="4" t="str">
        <f t="shared" si="331"/>
        <v>23987127</v>
      </c>
      <c r="C3528" s="4" t="str">
        <f t="shared" si="332"/>
        <v>GSE35834</v>
      </c>
      <c r="D3528" s="1" t="s">
        <v>225</v>
      </c>
      <c r="E3528" t="s">
        <v>72</v>
      </c>
      <c r="F3528" s="1">
        <v>1</v>
      </c>
      <c r="G3528" s="1" t="s">
        <v>26</v>
      </c>
      <c r="H3528" s="4" t="str">
        <f>HYPERLINK("https://www.ncbi.nlm.nih.gov/geo/query/acc.cgi?acc=GSM875944","GSM875944")</f>
        <v>GSM875944</v>
      </c>
      <c r="I3528" t="s">
        <v>69</v>
      </c>
      <c r="J3528" t="s">
        <v>18</v>
      </c>
      <c r="K3528" t="s">
        <v>19</v>
      </c>
      <c r="L3528" t="s">
        <v>70</v>
      </c>
      <c r="M3528" t="s">
        <v>44</v>
      </c>
      <c r="N3528" t="s">
        <v>22</v>
      </c>
    </row>
    <row r="3529" spans="1:14">
      <c r="A3529" s="4" t="str">
        <f t="shared" si="330"/>
        <v>EXP00109</v>
      </c>
      <c r="B3529" s="4" t="str">
        <f t="shared" si="331"/>
        <v>23987127</v>
      </c>
      <c r="C3529" s="4" t="str">
        <f t="shared" si="332"/>
        <v>GSE35834</v>
      </c>
      <c r="D3529" s="1" t="s">
        <v>225</v>
      </c>
      <c r="E3529" t="s">
        <v>72</v>
      </c>
      <c r="F3529" s="1">
        <v>1</v>
      </c>
      <c r="G3529" s="1" t="s">
        <v>26</v>
      </c>
      <c r="H3529" s="4" t="str">
        <f>HYPERLINK("https://www.ncbi.nlm.nih.gov/geo/query/acc.cgi?acc=GSM875946","GSM875946")</f>
        <v>GSM875946</v>
      </c>
      <c r="I3529" t="s">
        <v>69</v>
      </c>
      <c r="J3529" t="s">
        <v>18</v>
      </c>
      <c r="K3529" t="s">
        <v>19</v>
      </c>
      <c r="L3529" t="s">
        <v>70</v>
      </c>
      <c r="M3529" t="s">
        <v>44</v>
      </c>
      <c r="N3529" t="s">
        <v>22</v>
      </c>
    </row>
    <row r="3530" spans="1:14">
      <c r="A3530" s="4" t="str">
        <f t="shared" si="330"/>
        <v>EXP00109</v>
      </c>
      <c r="B3530" s="4" t="str">
        <f t="shared" si="331"/>
        <v>23987127</v>
      </c>
      <c r="C3530" s="4" t="str">
        <f t="shared" si="332"/>
        <v>GSE35834</v>
      </c>
      <c r="D3530" s="1" t="s">
        <v>225</v>
      </c>
      <c r="E3530" t="s">
        <v>72</v>
      </c>
      <c r="F3530" s="1">
        <v>1</v>
      </c>
      <c r="G3530" s="1" t="s">
        <v>26</v>
      </c>
      <c r="H3530" s="4" t="str">
        <f>HYPERLINK("https://www.ncbi.nlm.nih.gov/geo/query/acc.cgi?acc=GSM875948","GSM875948")</f>
        <v>GSM875948</v>
      </c>
      <c r="I3530" t="s">
        <v>69</v>
      </c>
      <c r="J3530" t="s">
        <v>18</v>
      </c>
      <c r="K3530" t="s">
        <v>19</v>
      </c>
      <c r="L3530" t="s">
        <v>70</v>
      </c>
      <c r="M3530" t="s">
        <v>44</v>
      </c>
      <c r="N3530" t="s">
        <v>22</v>
      </c>
    </row>
    <row r="3531" spans="1:14">
      <c r="A3531" s="4" t="str">
        <f t="shared" si="330"/>
        <v>EXP00109</v>
      </c>
      <c r="B3531" s="4" t="str">
        <f t="shared" si="331"/>
        <v>23987127</v>
      </c>
      <c r="C3531" s="4" t="str">
        <f t="shared" si="332"/>
        <v>GSE35834</v>
      </c>
      <c r="D3531" s="1" t="s">
        <v>225</v>
      </c>
      <c r="E3531" t="s">
        <v>72</v>
      </c>
      <c r="F3531" s="1">
        <v>1</v>
      </c>
      <c r="G3531" s="1" t="s">
        <v>26</v>
      </c>
      <c r="H3531" s="4" t="str">
        <f>HYPERLINK("https://www.ncbi.nlm.nih.gov/geo/query/acc.cgi?acc=GSM875949","GSM875949")</f>
        <v>GSM875949</v>
      </c>
      <c r="I3531" t="s">
        <v>69</v>
      </c>
      <c r="J3531" t="s">
        <v>18</v>
      </c>
      <c r="K3531" t="s">
        <v>19</v>
      </c>
      <c r="L3531" t="s">
        <v>70</v>
      </c>
      <c r="M3531" t="s">
        <v>44</v>
      </c>
      <c r="N3531" t="s">
        <v>22</v>
      </c>
    </row>
    <row r="3532" spans="1:14">
      <c r="A3532" s="4" t="str">
        <f t="shared" si="330"/>
        <v>EXP00109</v>
      </c>
      <c r="B3532" s="4" t="str">
        <f t="shared" si="331"/>
        <v>23987127</v>
      </c>
      <c r="C3532" s="4" t="str">
        <f t="shared" si="332"/>
        <v>GSE35834</v>
      </c>
      <c r="D3532" s="1" t="s">
        <v>225</v>
      </c>
      <c r="E3532" t="s">
        <v>72</v>
      </c>
      <c r="F3532" s="1">
        <v>1</v>
      </c>
      <c r="G3532" s="1" t="s">
        <v>26</v>
      </c>
      <c r="H3532" s="4" t="str">
        <f>HYPERLINK("https://www.ncbi.nlm.nih.gov/geo/query/acc.cgi?acc=GSM875951","GSM875951")</f>
        <v>GSM875951</v>
      </c>
      <c r="I3532" t="s">
        <v>69</v>
      </c>
      <c r="J3532" t="s">
        <v>18</v>
      </c>
      <c r="K3532" t="s">
        <v>19</v>
      </c>
      <c r="L3532" t="s">
        <v>70</v>
      </c>
      <c r="M3532" t="s">
        <v>44</v>
      </c>
      <c r="N3532" t="s">
        <v>22</v>
      </c>
    </row>
    <row r="3533" spans="1:14">
      <c r="A3533" s="4" t="str">
        <f t="shared" si="330"/>
        <v>EXP00109</v>
      </c>
      <c r="B3533" s="4" t="str">
        <f t="shared" si="331"/>
        <v>23987127</v>
      </c>
      <c r="C3533" s="4" t="str">
        <f t="shared" si="332"/>
        <v>GSE35834</v>
      </c>
      <c r="D3533" s="1" t="s">
        <v>225</v>
      </c>
      <c r="E3533" t="s">
        <v>72</v>
      </c>
      <c r="F3533" s="1">
        <v>1</v>
      </c>
      <c r="G3533" s="1" t="s">
        <v>26</v>
      </c>
      <c r="H3533" s="4" t="str">
        <f>HYPERLINK("https://www.ncbi.nlm.nih.gov/geo/query/acc.cgi?acc=GSM875953","GSM875953")</f>
        <v>GSM875953</v>
      </c>
      <c r="I3533" t="s">
        <v>69</v>
      </c>
      <c r="J3533" t="s">
        <v>18</v>
      </c>
      <c r="K3533" t="s">
        <v>19</v>
      </c>
      <c r="L3533" t="s">
        <v>70</v>
      </c>
      <c r="M3533" t="s">
        <v>44</v>
      </c>
      <c r="N3533" t="s">
        <v>22</v>
      </c>
    </row>
    <row r="3534" spans="1:14">
      <c r="A3534" s="4" t="str">
        <f t="shared" si="330"/>
        <v>EXP00109</v>
      </c>
      <c r="B3534" s="4" t="str">
        <f t="shared" si="331"/>
        <v>23987127</v>
      </c>
      <c r="C3534" s="4" t="str">
        <f t="shared" si="332"/>
        <v>GSE35834</v>
      </c>
      <c r="D3534" s="1" t="s">
        <v>225</v>
      </c>
      <c r="E3534" t="s">
        <v>72</v>
      </c>
      <c r="F3534" s="1">
        <v>1</v>
      </c>
      <c r="G3534" s="1" t="s">
        <v>26</v>
      </c>
      <c r="H3534" s="4" t="str">
        <f>HYPERLINK("https://www.ncbi.nlm.nih.gov/geo/query/acc.cgi?acc=GSM875955","GSM875955")</f>
        <v>GSM875955</v>
      </c>
      <c r="I3534" t="s">
        <v>69</v>
      </c>
      <c r="J3534" t="s">
        <v>18</v>
      </c>
      <c r="K3534" t="s">
        <v>19</v>
      </c>
      <c r="L3534" t="s">
        <v>70</v>
      </c>
      <c r="M3534" t="s">
        <v>44</v>
      </c>
      <c r="N3534" t="s">
        <v>22</v>
      </c>
    </row>
    <row r="3535" spans="1:14">
      <c r="A3535" s="4" t="str">
        <f t="shared" si="330"/>
        <v>EXP00109</v>
      </c>
      <c r="B3535" s="4" t="str">
        <f t="shared" si="331"/>
        <v>23987127</v>
      </c>
      <c r="C3535" s="4" t="str">
        <f t="shared" si="332"/>
        <v>GSE35834</v>
      </c>
      <c r="D3535" s="1" t="s">
        <v>225</v>
      </c>
      <c r="E3535" t="s">
        <v>72</v>
      </c>
      <c r="F3535" s="1">
        <v>1</v>
      </c>
      <c r="G3535" s="1" t="s">
        <v>26</v>
      </c>
      <c r="H3535" s="4" t="str">
        <f>HYPERLINK("https://www.ncbi.nlm.nih.gov/geo/query/acc.cgi?acc=GSM875956","GSM875956")</f>
        <v>GSM875956</v>
      </c>
      <c r="I3535" t="s">
        <v>69</v>
      </c>
      <c r="J3535" t="s">
        <v>18</v>
      </c>
      <c r="K3535" t="s">
        <v>19</v>
      </c>
      <c r="L3535" t="s">
        <v>70</v>
      </c>
      <c r="M3535" t="s">
        <v>44</v>
      </c>
      <c r="N3535" t="s">
        <v>22</v>
      </c>
    </row>
    <row r="3536" spans="1:14">
      <c r="A3536" s="4" t="str">
        <f t="shared" si="330"/>
        <v>EXP00109</v>
      </c>
      <c r="B3536" s="4" t="str">
        <f t="shared" si="331"/>
        <v>23987127</v>
      </c>
      <c r="C3536" s="4" t="str">
        <f t="shared" si="332"/>
        <v>GSE35834</v>
      </c>
      <c r="D3536" s="1" t="s">
        <v>225</v>
      </c>
      <c r="E3536" t="s">
        <v>72</v>
      </c>
      <c r="F3536" s="1">
        <v>1</v>
      </c>
      <c r="G3536" s="1" t="s">
        <v>26</v>
      </c>
      <c r="H3536" s="4" t="str">
        <f>HYPERLINK("https://www.ncbi.nlm.nih.gov/geo/query/acc.cgi?acc=GSM875959","GSM875959")</f>
        <v>GSM875959</v>
      </c>
      <c r="I3536" t="s">
        <v>69</v>
      </c>
      <c r="J3536" t="s">
        <v>18</v>
      </c>
      <c r="K3536" t="s">
        <v>19</v>
      </c>
      <c r="L3536" t="s">
        <v>70</v>
      </c>
      <c r="M3536" t="s">
        <v>44</v>
      </c>
      <c r="N3536" t="s">
        <v>22</v>
      </c>
    </row>
    <row r="3537" spans="1:14">
      <c r="A3537" s="4" t="str">
        <f t="shared" si="330"/>
        <v>EXP00109</v>
      </c>
      <c r="B3537" s="4" t="str">
        <f t="shared" si="331"/>
        <v>23987127</v>
      </c>
      <c r="C3537" s="4" t="str">
        <f t="shared" si="332"/>
        <v>GSE35834</v>
      </c>
      <c r="D3537" s="1" t="s">
        <v>225</v>
      </c>
      <c r="E3537" t="s">
        <v>72</v>
      </c>
      <c r="F3537" s="1">
        <v>1</v>
      </c>
      <c r="G3537" s="1" t="s">
        <v>26</v>
      </c>
      <c r="H3537" s="4" t="str">
        <f>HYPERLINK("https://www.ncbi.nlm.nih.gov/geo/query/acc.cgi?acc=GSM875961","GSM875961")</f>
        <v>GSM875961</v>
      </c>
      <c r="I3537" t="s">
        <v>69</v>
      </c>
      <c r="J3537" t="s">
        <v>18</v>
      </c>
      <c r="K3537" t="s">
        <v>19</v>
      </c>
      <c r="L3537" t="s">
        <v>70</v>
      </c>
      <c r="M3537" t="s">
        <v>44</v>
      </c>
      <c r="N3537" t="s">
        <v>22</v>
      </c>
    </row>
    <row r="3538" spans="1:14">
      <c r="A3538" s="4" t="str">
        <f t="shared" si="330"/>
        <v>EXP00109</v>
      </c>
      <c r="B3538" s="4" t="str">
        <f t="shared" si="331"/>
        <v>23987127</v>
      </c>
      <c r="C3538" s="4" t="str">
        <f t="shared" si="332"/>
        <v>GSE35834</v>
      </c>
      <c r="D3538" s="1" t="s">
        <v>225</v>
      </c>
      <c r="E3538" t="s">
        <v>72</v>
      </c>
      <c r="F3538" s="1">
        <v>1</v>
      </c>
      <c r="G3538" s="1" t="s">
        <v>26</v>
      </c>
      <c r="H3538" s="4" t="str">
        <f>HYPERLINK("https://www.ncbi.nlm.nih.gov/geo/query/acc.cgi?acc=GSM875962","GSM875962")</f>
        <v>GSM875962</v>
      </c>
      <c r="I3538" t="s">
        <v>69</v>
      </c>
      <c r="J3538" t="s">
        <v>18</v>
      </c>
      <c r="K3538" t="s">
        <v>19</v>
      </c>
      <c r="L3538" t="s">
        <v>70</v>
      </c>
      <c r="M3538" t="s">
        <v>44</v>
      </c>
      <c r="N3538" t="s">
        <v>22</v>
      </c>
    </row>
    <row r="3539" spans="1:14">
      <c r="A3539" s="4" t="str">
        <f t="shared" si="330"/>
        <v>EXP00109</v>
      </c>
      <c r="B3539" s="4" t="str">
        <f t="shared" si="331"/>
        <v>23987127</v>
      </c>
      <c r="C3539" s="4" t="str">
        <f t="shared" si="332"/>
        <v>GSE35834</v>
      </c>
      <c r="D3539" s="1" t="s">
        <v>225</v>
      </c>
      <c r="E3539" t="s">
        <v>72</v>
      </c>
      <c r="F3539" s="1">
        <v>1</v>
      </c>
      <c r="G3539" s="1" t="s">
        <v>26</v>
      </c>
      <c r="H3539" s="4" t="str">
        <f>HYPERLINK("https://www.ncbi.nlm.nih.gov/geo/query/acc.cgi?acc=GSM875967","GSM875967")</f>
        <v>GSM875967</v>
      </c>
      <c r="I3539" t="s">
        <v>69</v>
      </c>
      <c r="J3539" t="s">
        <v>18</v>
      </c>
      <c r="K3539" t="s">
        <v>19</v>
      </c>
      <c r="L3539" t="s">
        <v>70</v>
      </c>
      <c r="M3539" t="s">
        <v>44</v>
      </c>
      <c r="N3539" t="s">
        <v>22</v>
      </c>
    </row>
    <row r="3540" spans="1:14">
      <c r="A3540" s="4" t="str">
        <f t="shared" si="330"/>
        <v>EXP00109</v>
      </c>
      <c r="B3540" s="4" t="str">
        <f t="shared" si="331"/>
        <v>23987127</v>
      </c>
      <c r="C3540" s="4" t="str">
        <f t="shared" si="332"/>
        <v>GSE35834</v>
      </c>
      <c r="D3540" s="1" t="s">
        <v>225</v>
      </c>
      <c r="E3540" t="s">
        <v>72</v>
      </c>
      <c r="F3540" s="1">
        <v>1</v>
      </c>
      <c r="G3540" s="1" t="s">
        <v>26</v>
      </c>
      <c r="H3540" s="4" t="str">
        <f>HYPERLINK("https://www.ncbi.nlm.nih.gov/geo/query/acc.cgi?acc=GSM875970","GSM875970")</f>
        <v>GSM875970</v>
      </c>
      <c r="I3540" t="s">
        <v>69</v>
      </c>
      <c r="J3540" t="s">
        <v>18</v>
      </c>
      <c r="K3540" t="s">
        <v>19</v>
      </c>
      <c r="L3540" t="s">
        <v>70</v>
      </c>
      <c r="M3540" t="s">
        <v>44</v>
      </c>
      <c r="N3540" t="s">
        <v>22</v>
      </c>
    </row>
    <row r="3541" spans="1:14">
      <c r="A3541" s="4" t="str">
        <f t="shared" si="330"/>
        <v>EXP00109</v>
      </c>
      <c r="B3541" s="4" t="str">
        <f t="shared" si="331"/>
        <v>23987127</v>
      </c>
      <c r="C3541" s="4" t="str">
        <f t="shared" si="332"/>
        <v>GSE35834</v>
      </c>
      <c r="D3541" s="1" t="s">
        <v>225</v>
      </c>
      <c r="E3541" t="s">
        <v>72</v>
      </c>
      <c r="F3541" s="1">
        <v>1</v>
      </c>
      <c r="G3541" s="1" t="s">
        <v>26</v>
      </c>
      <c r="H3541" s="4" t="str">
        <f>HYPERLINK("https://www.ncbi.nlm.nih.gov/geo/query/acc.cgi?acc=GSM875976","GSM875976")</f>
        <v>GSM875976</v>
      </c>
      <c r="I3541" t="s">
        <v>69</v>
      </c>
      <c r="J3541" t="s">
        <v>18</v>
      </c>
      <c r="K3541" t="s">
        <v>19</v>
      </c>
      <c r="L3541" t="s">
        <v>70</v>
      </c>
      <c r="M3541" t="s">
        <v>44</v>
      </c>
      <c r="N3541" t="s">
        <v>22</v>
      </c>
    </row>
    <row r="3542" spans="1:14">
      <c r="A3542" s="4" t="str">
        <f t="shared" si="330"/>
        <v>EXP00109</v>
      </c>
      <c r="B3542" s="4" t="str">
        <f t="shared" si="331"/>
        <v>23987127</v>
      </c>
      <c r="C3542" s="4" t="str">
        <f t="shared" si="332"/>
        <v>GSE35834</v>
      </c>
      <c r="D3542" s="1" t="s">
        <v>225</v>
      </c>
      <c r="E3542" t="s">
        <v>72</v>
      </c>
      <c r="F3542" s="1">
        <v>1</v>
      </c>
      <c r="G3542" s="1" t="s">
        <v>26</v>
      </c>
      <c r="H3542" s="4" t="str">
        <f>HYPERLINK("https://www.ncbi.nlm.nih.gov/geo/query/acc.cgi?acc=GSM875979","GSM875979")</f>
        <v>GSM875979</v>
      </c>
      <c r="I3542" t="s">
        <v>69</v>
      </c>
      <c r="J3542" t="s">
        <v>18</v>
      </c>
      <c r="K3542" t="s">
        <v>19</v>
      </c>
      <c r="L3542" t="s">
        <v>70</v>
      </c>
      <c r="M3542" t="s">
        <v>44</v>
      </c>
      <c r="N3542" t="s">
        <v>22</v>
      </c>
    </row>
    <row r="3543" spans="1:14">
      <c r="A3543" s="4" t="str">
        <f t="shared" si="330"/>
        <v>EXP00109</v>
      </c>
      <c r="B3543" s="4" t="str">
        <f t="shared" si="331"/>
        <v>23987127</v>
      </c>
      <c r="C3543" s="4" t="str">
        <f t="shared" si="332"/>
        <v>GSE35834</v>
      </c>
      <c r="D3543" s="1" t="s">
        <v>225</v>
      </c>
      <c r="E3543" t="s">
        <v>72</v>
      </c>
      <c r="F3543" s="1">
        <v>1</v>
      </c>
      <c r="G3543" s="1" t="s">
        <v>26</v>
      </c>
      <c r="H3543" s="4" t="str">
        <f>HYPERLINK("https://www.ncbi.nlm.nih.gov/geo/query/acc.cgi?acc=GSM875980","GSM875980")</f>
        <v>GSM875980</v>
      </c>
      <c r="I3543" t="s">
        <v>69</v>
      </c>
      <c r="J3543" t="s">
        <v>18</v>
      </c>
      <c r="K3543" t="s">
        <v>19</v>
      </c>
      <c r="L3543" t="s">
        <v>70</v>
      </c>
      <c r="M3543" t="s">
        <v>44</v>
      </c>
      <c r="N3543" t="s">
        <v>22</v>
      </c>
    </row>
    <row r="3544" spans="1:14">
      <c r="A3544" s="4" t="str">
        <f t="shared" si="330"/>
        <v>EXP00109</v>
      </c>
      <c r="B3544" s="4" t="str">
        <f t="shared" si="331"/>
        <v>23987127</v>
      </c>
      <c r="C3544" s="4" t="str">
        <f t="shared" si="332"/>
        <v>GSE35834</v>
      </c>
      <c r="D3544" s="1" t="s">
        <v>225</v>
      </c>
      <c r="E3544" t="s">
        <v>72</v>
      </c>
      <c r="F3544" s="1">
        <v>1</v>
      </c>
      <c r="G3544" s="1" t="s">
        <v>26</v>
      </c>
      <c r="H3544" s="4" t="str">
        <f>HYPERLINK("https://www.ncbi.nlm.nih.gov/geo/query/acc.cgi?acc=GSM875984","GSM875984")</f>
        <v>GSM875984</v>
      </c>
      <c r="I3544" t="s">
        <v>69</v>
      </c>
      <c r="J3544" t="s">
        <v>18</v>
      </c>
      <c r="K3544" t="s">
        <v>19</v>
      </c>
      <c r="L3544" t="s">
        <v>70</v>
      </c>
      <c r="M3544" t="s">
        <v>44</v>
      </c>
      <c r="N3544" t="s">
        <v>22</v>
      </c>
    </row>
    <row r="3545" spans="1:14">
      <c r="A3545" s="4" t="str">
        <f t="shared" si="330"/>
        <v>EXP00109</v>
      </c>
      <c r="B3545" s="4" t="str">
        <f t="shared" si="331"/>
        <v>23987127</v>
      </c>
      <c r="C3545" s="4" t="str">
        <f t="shared" si="332"/>
        <v>GSE35834</v>
      </c>
      <c r="D3545" s="1" t="s">
        <v>225</v>
      </c>
      <c r="E3545" t="s">
        <v>72</v>
      </c>
      <c r="F3545" s="1">
        <v>1</v>
      </c>
      <c r="G3545" s="1" t="s">
        <v>26</v>
      </c>
      <c r="H3545" s="4" t="str">
        <f>HYPERLINK("https://www.ncbi.nlm.nih.gov/geo/query/acc.cgi?acc=GSM875990","GSM875990")</f>
        <v>GSM875990</v>
      </c>
      <c r="I3545" t="s">
        <v>69</v>
      </c>
      <c r="J3545" t="s">
        <v>18</v>
      </c>
      <c r="K3545" t="s">
        <v>19</v>
      </c>
      <c r="L3545" t="s">
        <v>70</v>
      </c>
      <c r="M3545" t="s">
        <v>44</v>
      </c>
      <c r="N3545" t="s">
        <v>22</v>
      </c>
    </row>
    <row r="3546" spans="1:14">
      <c r="A3546" s="4" t="str">
        <f t="shared" si="330"/>
        <v>EXP00109</v>
      </c>
      <c r="B3546" s="4" t="str">
        <f t="shared" si="331"/>
        <v>23987127</v>
      </c>
      <c r="C3546" s="4" t="str">
        <f t="shared" si="332"/>
        <v>GSE35834</v>
      </c>
      <c r="D3546" s="1" t="s">
        <v>225</v>
      </c>
      <c r="E3546" t="s">
        <v>72</v>
      </c>
      <c r="F3546" s="1">
        <v>1</v>
      </c>
      <c r="G3546" s="1" t="s">
        <v>26</v>
      </c>
      <c r="H3546" s="4" t="str">
        <f>HYPERLINK("https://www.ncbi.nlm.nih.gov/geo/query/acc.cgi?acc=GSM875992","GSM875992")</f>
        <v>GSM875992</v>
      </c>
      <c r="I3546" t="s">
        <v>69</v>
      </c>
      <c r="J3546" t="s">
        <v>18</v>
      </c>
      <c r="K3546" t="s">
        <v>19</v>
      </c>
      <c r="L3546" t="s">
        <v>70</v>
      </c>
      <c r="M3546" t="s">
        <v>44</v>
      </c>
      <c r="N3546" t="s">
        <v>22</v>
      </c>
    </row>
    <row r="3547" spans="1:14">
      <c r="A3547" s="4" t="str">
        <f t="shared" si="330"/>
        <v>EXP00109</v>
      </c>
      <c r="B3547" s="4" t="str">
        <f t="shared" si="331"/>
        <v>23987127</v>
      </c>
      <c r="C3547" s="4" t="str">
        <f t="shared" si="332"/>
        <v>GSE35834</v>
      </c>
      <c r="D3547" s="1" t="s">
        <v>225</v>
      </c>
      <c r="E3547" t="s">
        <v>72</v>
      </c>
      <c r="F3547" s="1">
        <v>1</v>
      </c>
      <c r="G3547" s="1" t="s">
        <v>26</v>
      </c>
      <c r="H3547" s="4" t="str">
        <f>HYPERLINK("https://www.ncbi.nlm.nih.gov/geo/query/acc.cgi?acc=GSM875994","GSM875994")</f>
        <v>GSM875994</v>
      </c>
      <c r="I3547" t="s">
        <v>69</v>
      </c>
      <c r="J3547" t="s">
        <v>18</v>
      </c>
      <c r="K3547" t="s">
        <v>19</v>
      </c>
      <c r="L3547" t="s">
        <v>70</v>
      </c>
      <c r="M3547" t="s">
        <v>44</v>
      </c>
      <c r="N3547" t="s">
        <v>22</v>
      </c>
    </row>
    <row r="3548" spans="1:14">
      <c r="A3548" s="4" t="str">
        <f t="shared" si="330"/>
        <v>EXP00109</v>
      </c>
      <c r="B3548" s="4" t="str">
        <f t="shared" si="331"/>
        <v>23987127</v>
      </c>
      <c r="C3548" s="4" t="str">
        <f t="shared" si="332"/>
        <v>GSE35834</v>
      </c>
      <c r="D3548" s="1" t="s">
        <v>225</v>
      </c>
      <c r="E3548" t="s">
        <v>72</v>
      </c>
      <c r="F3548" s="1">
        <v>1</v>
      </c>
      <c r="G3548" s="1" t="s">
        <v>26</v>
      </c>
      <c r="H3548" s="4" t="str">
        <f>HYPERLINK("https://www.ncbi.nlm.nih.gov/geo/query/acc.cgi?acc=GSM875997","GSM875997")</f>
        <v>GSM875997</v>
      </c>
      <c r="I3548" t="s">
        <v>69</v>
      </c>
      <c r="J3548" t="s">
        <v>18</v>
      </c>
      <c r="K3548" t="s">
        <v>19</v>
      </c>
      <c r="L3548" t="s">
        <v>70</v>
      </c>
      <c r="M3548" t="s">
        <v>44</v>
      </c>
      <c r="N3548" t="s">
        <v>22</v>
      </c>
    </row>
    <row r="3549" spans="1:14">
      <c r="A3549" s="4" t="str">
        <f t="shared" si="330"/>
        <v>EXP00109</v>
      </c>
      <c r="B3549" s="4" t="str">
        <f t="shared" si="331"/>
        <v>23987127</v>
      </c>
      <c r="C3549" s="4" t="str">
        <f t="shared" si="332"/>
        <v>GSE35834</v>
      </c>
      <c r="D3549" s="1" t="s">
        <v>225</v>
      </c>
      <c r="E3549" t="s">
        <v>72</v>
      </c>
      <c r="F3549" s="1">
        <v>1</v>
      </c>
      <c r="G3549" s="1" t="s">
        <v>26</v>
      </c>
      <c r="H3549" s="4" t="str">
        <f>HYPERLINK("https://www.ncbi.nlm.nih.gov/geo/query/acc.cgi?acc=GSM876000","GSM876000")</f>
        <v>GSM876000</v>
      </c>
      <c r="I3549" t="s">
        <v>69</v>
      </c>
      <c r="J3549" t="s">
        <v>18</v>
      </c>
      <c r="K3549" t="s">
        <v>19</v>
      </c>
      <c r="L3549" t="s">
        <v>70</v>
      </c>
      <c r="M3549" t="s">
        <v>44</v>
      </c>
      <c r="N3549" t="s">
        <v>22</v>
      </c>
    </row>
    <row r="3550" spans="1:14">
      <c r="A3550" s="4" t="str">
        <f t="shared" si="330"/>
        <v>EXP00109</v>
      </c>
      <c r="B3550" s="4" t="str">
        <f t="shared" si="331"/>
        <v>23987127</v>
      </c>
      <c r="C3550" s="4" t="str">
        <f t="shared" si="332"/>
        <v>GSE35834</v>
      </c>
      <c r="D3550" s="1" t="s">
        <v>225</v>
      </c>
      <c r="E3550" t="s">
        <v>72</v>
      </c>
      <c r="F3550" s="1">
        <v>1</v>
      </c>
      <c r="G3550" s="1" t="s">
        <v>26</v>
      </c>
      <c r="H3550" s="4" t="str">
        <f>HYPERLINK("https://www.ncbi.nlm.nih.gov/geo/query/acc.cgi?acc=GSM876001","GSM876001")</f>
        <v>GSM876001</v>
      </c>
      <c r="I3550" t="s">
        <v>69</v>
      </c>
      <c r="J3550" t="s">
        <v>18</v>
      </c>
      <c r="K3550" t="s">
        <v>19</v>
      </c>
      <c r="L3550" t="s">
        <v>70</v>
      </c>
      <c r="M3550" t="s">
        <v>44</v>
      </c>
      <c r="N3550" t="s">
        <v>22</v>
      </c>
    </row>
    <row r="3551" spans="1:14">
      <c r="A3551" s="4" t="str">
        <f t="shared" si="330"/>
        <v>EXP00109</v>
      </c>
      <c r="B3551" s="4" t="str">
        <f t="shared" si="331"/>
        <v>23987127</v>
      </c>
      <c r="C3551" s="4" t="str">
        <f t="shared" si="332"/>
        <v>GSE35834</v>
      </c>
      <c r="D3551" s="1" t="s">
        <v>225</v>
      </c>
      <c r="E3551" t="s">
        <v>72</v>
      </c>
      <c r="F3551" s="1">
        <v>1</v>
      </c>
      <c r="G3551" s="1" t="s">
        <v>26</v>
      </c>
      <c r="H3551" s="4" t="str">
        <f>HYPERLINK("https://www.ncbi.nlm.nih.gov/geo/query/acc.cgi?acc=GSM876003","GSM876003")</f>
        <v>GSM876003</v>
      </c>
      <c r="I3551" t="s">
        <v>69</v>
      </c>
      <c r="J3551" t="s">
        <v>18</v>
      </c>
      <c r="K3551" t="s">
        <v>19</v>
      </c>
      <c r="L3551" t="s">
        <v>70</v>
      </c>
      <c r="M3551" t="s">
        <v>44</v>
      </c>
      <c r="N3551" t="s">
        <v>22</v>
      </c>
    </row>
    <row r="3552" spans="1:14">
      <c r="A3552" s="4" t="str">
        <f t="shared" si="330"/>
        <v>EXP00109</v>
      </c>
      <c r="B3552" s="4" t="str">
        <f t="shared" si="331"/>
        <v>23987127</v>
      </c>
      <c r="C3552" s="4" t="str">
        <f t="shared" si="332"/>
        <v>GSE35834</v>
      </c>
      <c r="D3552" s="1" t="s">
        <v>225</v>
      </c>
      <c r="E3552" t="s">
        <v>72</v>
      </c>
      <c r="F3552" s="1">
        <v>1</v>
      </c>
      <c r="G3552" s="1" t="s">
        <v>26</v>
      </c>
      <c r="H3552" s="4" t="str">
        <f>HYPERLINK("https://www.ncbi.nlm.nih.gov/geo/query/acc.cgi?acc=GSM876006","GSM876006")</f>
        <v>GSM876006</v>
      </c>
      <c r="I3552" t="s">
        <v>69</v>
      </c>
      <c r="J3552" t="s">
        <v>18</v>
      </c>
      <c r="K3552" t="s">
        <v>19</v>
      </c>
      <c r="L3552" t="s">
        <v>70</v>
      </c>
      <c r="M3552" t="s">
        <v>44</v>
      </c>
      <c r="N3552" t="s">
        <v>22</v>
      </c>
    </row>
    <row r="3553" spans="1:14">
      <c r="A3553" s="4" t="str">
        <f t="shared" si="330"/>
        <v>EXP00109</v>
      </c>
      <c r="B3553" s="4" t="str">
        <f t="shared" si="331"/>
        <v>23987127</v>
      </c>
      <c r="C3553" s="4" t="str">
        <f t="shared" si="332"/>
        <v>GSE35834</v>
      </c>
      <c r="D3553" s="1" t="s">
        <v>225</v>
      </c>
      <c r="E3553" t="s">
        <v>72</v>
      </c>
      <c r="F3553" s="1">
        <v>1</v>
      </c>
      <c r="G3553" s="1" t="s">
        <v>26</v>
      </c>
      <c r="H3553" s="4" t="str">
        <f>HYPERLINK("https://www.ncbi.nlm.nih.gov/geo/query/acc.cgi?acc=GSM876008","GSM876008")</f>
        <v>GSM876008</v>
      </c>
      <c r="I3553" t="s">
        <v>69</v>
      </c>
      <c r="J3553" t="s">
        <v>18</v>
      </c>
      <c r="K3553" t="s">
        <v>19</v>
      </c>
      <c r="L3553" t="s">
        <v>70</v>
      </c>
      <c r="M3553" t="s">
        <v>44</v>
      </c>
      <c r="N3553" t="s">
        <v>22</v>
      </c>
    </row>
    <row r="3554" spans="1:14">
      <c r="A3554" s="4" t="str">
        <f t="shared" si="330"/>
        <v>EXP00109</v>
      </c>
      <c r="B3554" s="4" t="str">
        <f t="shared" si="331"/>
        <v>23987127</v>
      </c>
      <c r="C3554" s="4" t="str">
        <f t="shared" si="332"/>
        <v>GSE35834</v>
      </c>
      <c r="D3554" s="1" t="s">
        <v>225</v>
      </c>
      <c r="E3554" t="s">
        <v>72</v>
      </c>
      <c r="F3554" s="1">
        <v>2</v>
      </c>
      <c r="G3554" s="1" t="s">
        <v>28</v>
      </c>
      <c r="H3554" s="4" t="str">
        <f>HYPERLINK("https://www.ncbi.nlm.nih.gov/geo/query/acc.cgi?acc=GSM875933","GSM875933")</f>
        <v>GSM875933</v>
      </c>
      <c r="I3554" t="s">
        <v>69</v>
      </c>
      <c r="J3554" t="s">
        <v>18</v>
      </c>
      <c r="K3554" t="s">
        <v>19</v>
      </c>
      <c r="L3554" t="s">
        <v>70</v>
      </c>
      <c r="M3554" t="s">
        <v>44</v>
      </c>
      <c r="N3554" t="s">
        <v>29</v>
      </c>
    </row>
    <row r="3555" spans="1:14">
      <c r="A3555" s="4" t="str">
        <f t="shared" si="330"/>
        <v>EXP00109</v>
      </c>
      <c r="B3555" s="4" t="str">
        <f t="shared" si="331"/>
        <v>23987127</v>
      </c>
      <c r="C3555" s="4" t="str">
        <f t="shared" si="332"/>
        <v>GSE35834</v>
      </c>
      <c r="D3555" s="1" t="s">
        <v>225</v>
      </c>
      <c r="E3555" t="s">
        <v>72</v>
      </c>
      <c r="F3555" s="1">
        <v>2</v>
      </c>
      <c r="G3555" s="1" t="s">
        <v>28</v>
      </c>
      <c r="H3555" s="4" t="str">
        <f>HYPERLINK("https://www.ncbi.nlm.nih.gov/geo/query/acc.cgi?acc=GSM875934","GSM875934")</f>
        <v>GSM875934</v>
      </c>
      <c r="I3555" t="s">
        <v>69</v>
      </c>
      <c r="J3555" t="s">
        <v>18</v>
      </c>
      <c r="K3555" t="s">
        <v>19</v>
      </c>
      <c r="L3555" t="s">
        <v>70</v>
      </c>
      <c r="M3555" t="s">
        <v>44</v>
      </c>
      <c r="N3555" t="s">
        <v>29</v>
      </c>
    </row>
    <row r="3556" spans="1:14">
      <c r="A3556" s="4" t="str">
        <f t="shared" si="330"/>
        <v>EXP00109</v>
      </c>
      <c r="B3556" s="4" t="str">
        <f t="shared" si="331"/>
        <v>23987127</v>
      </c>
      <c r="C3556" s="4" t="str">
        <f t="shared" si="332"/>
        <v>GSE35834</v>
      </c>
      <c r="D3556" s="1" t="s">
        <v>225</v>
      </c>
      <c r="E3556" t="s">
        <v>72</v>
      </c>
      <c r="F3556" s="1">
        <v>2</v>
      </c>
      <c r="G3556" s="1" t="s">
        <v>28</v>
      </c>
      <c r="H3556" s="4" t="str">
        <f>HYPERLINK("https://www.ncbi.nlm.nih.gov/geo/query/acc.cgi?acc=GSM875935","GSM875935")</f>
        <v>GSM875935</v>
      </c>
      <c r="I3556" t="s">
        <v>69</v>
      </c>
      <c r="J3556" t="s">
        <v>18</v>
      </c>
      <c r="K3556" t="s">
        <v>19</v>
      </c>
      <c r="L3556" t="s">
        <v>70</v>
      </c>
      <c r="M3556" t="s">
        <v>44</v>
      </c>
      <c r="N3556" t="s">
        <v>29</v>
      </c>
    </row>
    <row r="3557" spans="1:14">
      <c r="A3557" s="4" t="str">
        <f t="shared" si="330"/>
        <v>EXP00109</v>
      </c>
      <c r="B3557" s="4" t="str">
        <f t="shared" si="331"/>
        <v>23987127</v>
      </c>
      <c r="C3557" s="4" t="str">
        <f t="shared" si="332"/>
        <v>GSE35834</v>
      </c>
      <c r="D3557" s="1" t="s">
        <v>225</v>
      </c>
      <c r="E3557" t="s">
        <v>72</v>
      </c>
      <c r="F3557" s="1">
        <v>2</v>
      </c>
      <c r="G3557" s="1" t="s">
        <v>28</v>
      </c>
      <c r="H3557" s="4" t="str">
        <f>HYPERLINK("https://www.ncbi.nlm.nih.gov/geo/query/acc.cgi?acc=GSM875936","GSM875936")</f>
        <v>GSM875936</v>
      </c>
      <c r="I3557" t="s">
        <v>69</v>
      </c>
      <c r="J3557" t="s">
        <v>18</v>
      </c>
      <c r="K3557" t="s">
        <v>19</v>
      </c>
      <c r="L3557" t="s">
        <v>70</v>
      </c>
      <c r="M3557" t="s">
        <v>44</v>
      </c>
      <c r="N3557" t="s">
        <v>29</v>
      </c>
    </row>
    <row r="3558" spans="1:14">
      <c r="A3558" s="4" t="str">
        <f t="shared" si="330"/>
        <v>EXP00109</v>
      </c>
      <c r="B3558" s="4" t="str">
        <f t="shared" si="331"/>
        <v>23987127</v>
      </c>
      <c r="C3558" s="4" t="str">
        <f t="shared" si="332"/>
        <v>GSE35834</v>
      </c>
      <c r="D3558" s="1" t="s">
        <v>225</v>
      </c>
      <c r="E3558" t="s">
        <v>72</v>
      </c>
      <c r="F3558" s="1">
        <v>2</v>
      </c>
      <c r="G3558" s="1" t="s">
        <v>28</v>
      </c>
      <c r="H3558" s="4" t="str">
        <f>HYPERLINK("https://www.ncbi.nlm.nih.gov/geo/query/acc.cgi?acc=GSM875941","GSM875941")</f>
        <v>GSM875941</v>
      </c>
      <c r="I3558" t="s">
        <v>69</v>
      </c>
      <c r="J3558" t="s">
        <v>18</v>
      </c>
      <c r="K3558" t="s">
        <v>19</v>
      </c>
      <c r="L3558" t="s">
        <v>70</v>
      </c>
      <c r="M3558" t="s">
        <v>44</v>
      </c>
      <c r="N3558" t="s">
        <v>29</v>
      </c>
    </row>
    <row r="3559" spans="1:14">
      <c r="A3559" s="4" t="str">
        <f t="shared" si="330"/>
        <v>EXP00109</v>
      </c>
      <c r="B3559" s="4" t="str">
        <f t="shared" ref="B3559:B3590" si="333">HYPERLINK("https://www.ncbi.nlm.nih.gov/pubmed/23987127","23987127")</f>
        <v>23987127</v>
      </c>
      <c r="C3559" s="4" t="str">
        <f t="shared" ref="C3559:C3590" si="334">HYPERLINK("https://www.ncbi.nlm.nih.gov/geo/query/acc.cgi?acc=GSE35834","GSE35834")</f>
        <v>GSE35834</v>
      </c>
      <c r="D3559" s="1" t="s">
        <v>225</v>
      </c>
      <c r="E3559" t="s">
        <v>72</v>
      </c>
      <c r="F3559" s="1">
        <v>2</v>
      </c>
      <c r="G3559" s="1" t="s">
        <v>28</v>
      </c>
      <c r="H3559" s="4" t="str">
        <f>HYPERLINK("https://www.ncbi.nlm.nih.gov/geo/query/acc.cgi?acc=GSM875945","GSM875945")</f>
        <v>GSM875945</v>
      </c>
      <c r="I3559" t="s">
        <v>69</v>
      </c>
      <c r="J3559" t="s">
        <v>18</v>
      </c>
      <c r="K3559" t="s">
        <v>19</v>
      </c>
      <c r="L3559" t="s">
        <v>70</v>
      </c>
      <c r="M3559" t="s">
        <v>44</v>
      </c>
      <c r="N3559" t="s">
        <v>29</v>
      </c>
    </row>
    <row r="3560" spans="1:14">
      <c r="A3560" s="4" t="str">
        <f t="shared" si="330"/>
        <v>EXP00109</v>
      </c>
      <c r="B3560" s="4" t="str">
        <f t="shared" si="333"/>
        <v>23987127</v>
      </c>
      <c r="C3560" s="4" t="str">
        <f t="shared" si="334"/>
        <v>GSE35834</v>
      </c>
      <c r="D3560" s="1" t="s">
        <v>225</v>
      </c>
      <c r="E3560" t="s">
        <v>72</v>
      </c>
      <c r="F3560" s="1">
        <v>2</v>
      </c>
      <c r="G3560" s="1" t="s">
        <v>28</v>
      </c>
      <c r="H3560" s="4" t="str">
        <f>HYPERLINK("https://www.ncbi.nlm.nih.gov/geo/query/acc.cgi?acc=GSM875947","GSM875947")</f>
        <v>GSM875947</v>
      </c>
      <c r="I3560" t="s">
        <v>69</v>
      </c>
      <c r="J3560" t="s">
        <v>18</v>
      </c>
      <c r="K3560" t="s">
        <v>19</v>
      </c>
      <c r="L3560" t="s">
        <v>70</v>
      </c>
      <c r="M3560" t="s">
        <v>44</v>
      </c>
      <c r="N3560" t="s">
        <v>29</v>
      </c>
    </row>
    <row r="3561" spans="1:14">
      <c r="A3561" s="4" t="str">
        <f t="shared" si="330"/>
        <v>EXP00109</v>
      </c>
      <c r="B3561" s="4" t="str">
        <f t="shared" si="333"/>
        <v>23987127</v>
      </c>
      <c r="C3561" s="4" t="str">
        <f t="shared" si="334"/>
        <v>GSE35834</v>
      </c>
      <c r="D3561" s="1" t="s">
        <v>225</v>
      </c>
      <c r="E3561" t="s">
        <v>72</v>
      </c>
      <c r="F3561" s="1">
        <v>2</v>
      </c>
      <c r="G3561" s="1" t="s">
        <v>28</v>
      </c>
      <c r="H3561" s="4" t="str">
        <f>HYPERLINK("https://www.ncbi.nlm.nih.gov/geo/query/acc.cgi?acc=GSM875957","GSM875957")</f>
        <v>GSM875957</v>
      </c>
      <c r="I3561" t="s">
        <v>69</v>
      </c>
      <c r="J3561" t="s">
        <v>18</v>
      </c>
      <c r="K3561" t="s">
        <v>19</v>
      </c>
      <c r="L3561" t="s">
        <v>70</v>
      </c>
      <c r="M3561" t="s">
        <v>44</v>
      </c>
      <c r="N3561" t="s">
        <v>29</v>
      </c>
    </row>
    <row r="3562" spans="1:14">
      <c r="A3562" s="4" t="str">
        <f t="shared" si="330"/>
        <v>EXP00109</v>
      </c>
      <c r="B3562" s="4" t="str">
        <f t="shared" si="333"/>
        <v>23987127</v>
      </c>
      <c r="C3562" s="4" t="str">
        <f t="shared" si="334"/>
        <v>GSE35834</v>
      </c>
      <c r="D3562" s="1" t="s">
        <v>225</v>
      </c>
      <c r="E3562" t="s">
        <v>72</v>
      </c>
      <c r="F3562" s="1">
        <v>2</v>
      </c>
      <c r="G3562" s="1" t="s">
        <v>28</v>
      </c>
      <c r="H3562" s="4" t="str">
        <f>HYPERLINK("https://www.ncbi.nlm.nih.gov/geo/query/acc.cgi?acc=GSM875963","GSM875963")</f>
        <v>GSM875963</v>
      </c>
      <c r="I3562" t="s">
        <v>69</v>
      </c>
      <c r="J3562" t="s">
        <v>18</v>
      </c>
      <c r="K3562" t="s">
        <v>19</v>
      </c>
      <c r="L3562" t="s">
        <v>70</v>
      </c>
      <c r="M3562" t="s">
        <v>44</v>
      </c>
      <c r="N3562" t="s">
        <v>29</v>
      </c>
    </row>
    <row r="3563" spans="1:14">
      <c r="A3563" s="4" t="str">
        <f t="shared" si="330"/>
        <v>EXP00109</v>
      </c>
      <c r="B3563" s="4" t="str">
        <f t="shared" si="333"/>
        <v>23987127</v>
      </c>
      <c r="C3563" s="4" t="str">
        <f t="shared" si="334"/>
        <v>GSE35834</v>
      </c>
      <c r="D3563" s="1" t="s">
        <v>225</v>
      </c>
      <c r="E3563" t="s">
        <v>72</v>
      </c>
      <c r="F3563" s="1">
        <v>2</v>
      </c>
      <c r="G3563" s="1" t="s">
        <v>28</v>
      </c>
      <c r="H3563" s="4" t="str">
        <f>HYPERLINK("https://www.ncbi.nlm.nih.gov/geo/query/acc.cgi?acc=GSM875965","GSM875965")</f>
        <v>GSM875965</v>
      </c>
      <c r="I3563" t="s">
        <v>69</v>
      </c>
      <c r="J3563" t="s">
        <v>18</v>
      </c>
      <c r="K3563" t="s">
        <v>19</v>
      </c>
      <c r="L3563" t="s">
        <v>70</v>
      </c>
      <c r="M3563" t="s">
        <v>44</v>
      </c>
      <c r="N3563" t="s">
        <v>29</v>
      </c>
    </row>
    <row r="3564" spans="1:14">
      <c r="A3564" s="4" t="str">
        <f t="shared" si="330"/>
        <v>EXP00109</v>
      </c>
      <c r="B3564" s="4" t="str">
        <f t="shared" si="333"/>
        <v>23987127</v>
      </c>
      <c r="C3564" s="4" t="str">
        <f t="shared" si="334"/>
        <v>GSE35834</v>
      </c>
      <c r="D3564" s="1" t="s">
        <v>225</v>
      </c>
      <c r="E3564" t="s">
        <v>72</v>
      </c>
      <c r="F3564" s="1">
        <v>2</v>
      </c>
      <c r="G3564" s="1" t="s">
        <v>28</v>
      </c>
      <c r="H3564" s="4" t="str">
        <f>HYPERLINK("https://www.ncbi.nlm.nih.gov/geo/query/acc.cgi?acc=GSM875968","GSM875968")</f>
        <v>GSM875968</v>
      </c>
      <c r="I3564" t="s">
        <v>69</v>
      </c>
      <c r="J3564" t="s">
        <v>18</v>
      </c>
      <c r="K3564" t="s">
        <v>19</v>
      </c>
      <c r="L3564" t="s">
        <v>70</v>
      </c>
      <c r="M3564" t="s">
        <v>44</v>
      </c>
      <c r="N3564" t="s">
        <v>29</v>
      </c>
    </row>
    <row r="3565" spans="1:14">
      <c r="A3565" s="4" t="str">
        <f t="shared" si="330"/>
        <v>EXP00109</v>
      </c>
      <c r="B3565" s="4" t="str">
        <f t="shared" si="333"/>
        <v>23987127</v>
      </c>
      <c r="C3565" s="4" t="str">
        <f t="shared" si="334"/>
        <v>GSE35834</v>
      </c>
      <c r="D3565" s="1" t="s">
        <v>225</v>
      </c>
      <c r="E3565" t="s">
        <v>72</v>
      </c>
      <c r="F3565" s="1">
        <v>2</v>
      </c>
      <c r="G3565" s="1" t="s">
        <v>28</v>
      </c>
      <c r="H3565" s="4" t="str">
        <f>HYPERLINK("https://www.ncbi.nlm.nih.gov/geo/query/acc.cgi?acc=GSM875969","GSM875969")</f>
        <v>GSM875969</v>
      </c>
      <c r="I3565" t="s">
        <v>69</v>
      </c>
      <c r="J3565" t="s">
        <v>18</v>
      </c>
      <c r="K3565" t="s">
        <v>19</v>
      </c>
      <c r="L3565" t="s">
        <v>70</v>
      </c>
      <c r="M3565" t="s">
        <v>44</v>
      </c>
      <c r="N3565" t="s">
        <v>29</v>
      </c>
    </row>
    <row r="3566" spans="1:14">
      <c r="A3566" s="4" t="str">
        <f t="shared" si="330"/>
        <v>EXP00109</v>
      </c>
      <c r="B3566" s="4" t="str">
        <f t="shared" si="333"/>
        <v>23987127</v>
      </c>
      <c r="C3566" s="4" t="str">
        <f t="shared" si="334"/>
        <v>GSE35834</v>
      </c>
      <c r="D3566" s="1" t="s">
        <v>225</v>
      </c>
      <c r="E3566" t="s">
        <v>72</v>
      </c>
      <c r="F3566" s="1">
        <v>2</v>
      </c>
      <c r="G3566" s="1" t="s">
        <v>28</v>
      </c>
      <c r="H3566" s="4" t="str">
        <f>HYPERLINK("https://www.ncbi.nlm.nih.gov/geo/query/acc.cgi?acc=GSM875971","GSM875971")</f>
        <v>GSM875971</v>
      </c>
      <c r="I3566" t="s">
        <v>69</v>
      </c>
      <c r="J3566" t="s">
        <v>18</v>
      </c>
      <c r="K3566" t="s">
        <v>19</v>
      </c>
      <c r="L3566" t="s">
        <v>70</v>
      </c>
      <c r="M3566" t="s">
        <v>44</v>
      </c>
      <c r="N3566" t="s">
        <v>29</v>
      </c>
    </row>
    <row r="3567" spans="1:14">
      <c r="A3567" s="4" t="str">
        <f t="shared" si="330"/>
        <v>EXP00109</v>
      </c>
      <c r="B3567" s="4" t="str">
        <f t="shared" si="333"/>
        <v>23987127</v>
      </c>
      <c r="C3567" s="4" t="str">
        <f t="shared" si="334"/>
        <v>GSE35834</v>
      </c>
      <c r="D3567" s="1" t="s">
        <v>225</v>
      </c>
      <c r="E3567" t="s">
        <v>72</v>
      </c>
      <c r="F3567" s="1">
        <v>2</v>
      </c>
      <c r="G3567" s="1" t="s">
        <v>28</v>
      </c>
      <c r="H3567" s="4" t="str">
        <f>HYPERLINK("https://www.ncbi.nlm.nih.gov/geo/query/acc.cgi?acc=GSM875972","GSM875972")</f>
        <v>GSM875972</v>
      </c>
      <c r="I3567" t="s">
        <v>69</v>
      </c>
      <c r="J3567" t="s">
        <v>18</v>
      </c>
      <c r="K3567" t="s">
        <v>19</v>
      </c>
      <c r="L3567" t="s">
        <v>70</v>
      </c>
      <c r="M3567" t="s">
        <v>44</v>
      </c>
      <c r="N3567" t="s">
        <v>29</v>
      </c>
    </row>
    <row r="3568" spans="1:14">
      <c r="A3568" s="4" t="str">
        <f t="shared" si="330"/>
        <v>EXP00109</v>
      </c>
      <c r="B3568" s="4" t="str">
        <f t="shared" si="333"/>
        <v>23987127</v>
      </c>
      <c r="C3568" s="4" t="str">
        <f t="shared" si="334"/>
        <v>GSE35834</v>
      </c>
      <c r="D3568" s="1" t="s">
        <v>225</v>
      </c>
      <c r="E3568" t="s">
        <v>72</v>
      </c>
      <c r="F3568" s="1">
        <v>2</v>
      </c>
      <c r="G3568" s="1" t="s">
        <v>28</v>
      </c>
      <c r="H3568" s="4" t="str">
        <f>HYPERLINK("https://www.ncbi.nlm.nih.gov/geo/query/acc.cgi?acc=GSM875978","GSM875978")</f>
        <v>GSM875978</v>
      </c>
      <c r="I3568" t="s">
        <v>69</v>
      </c>
      <c r="J3568" t="s">
        <v>18</v>
      </c>
      <c r="K3568" t="s">
        <v>19</v>
      </c>
      <c r="L3568" t="s">
        <v>70</v>
      </c>
      <c r="M3568" t="s">
        <v>44</v>
      </c>
      <c r="N3568" t="s">
        <v>29</v>
      </c>
    </row>
    <row r="3569" spans="1:14">
      <c r="A3569" s="4" t="str">
        <f t="shared" si="330"/>
        <v>EXP00109</v>
      </c>
      <c r="B3569" s="4" t="str">
        <f t="shared" si="333"/>
        <v>23987127</v>
      </c>
      <c r="C3569" s="4" t="str">
        <f t="shared" si="334"/>
        <v>GSE35834</v>
      </c>
      <c r="D3569" s="1" t="s">
        <v>225</v>
      </c>
      <c r="E3569" t="s">
        <v>72</v>
      </c>
      <c r="F3569" s="1">
        <v>2</v>
      </c>
      <c r="G3569" s="1" t="s">
        <v>28</v>
      </c>
      <c r="H3569" s="4" t="str">
        <f>HYPERLINK("https://www.ncbi.nlm.nih.gov/geo/query/acc.cgi?acc=GSM875995","GSM875995")</f>
        <v>GSM875995</v>
      </c>
      <c r="I3569" t="s">
        <v>69</v>
      </c>
      <c r="J3569" t="s">
        <v>18</v>
      </c>
      <c r="K3569" t="s">
        <v>19</v>
      </c>
      <c r="L3569" t="s">
        <v>70</v>
      </c>
      <c r="M3569" t="s">
        <v>44</v>
      </c>
      <c r="N3569" t="s">
        <v>29</v>
      </c>
    </row>
    <row r="3570" spans="1:14">
      <c r="A3570" s="4" t="str">
        <f t="shared" si="330"/>
        <v>EXP00109</v>
      </c>
      <c r="B3570" s="4" t="str">
        <f t="shared" si="333"/>
        <v>23987127</v>
      </c>
      <c r="C3570" s="4" t="str">
        <f t="shared" si="334"/>
        <v>GSE35834</v>
      </c>
      <c r="D3570" s="1" t="s">
        <v>225</v>
      </c>
      <c r="E3570" t="s">
        <v>72</v>
      </c>
      <c r="F3570" s="1">
        <v>2</v>
      </c>
      <c r="G3570" s="1" t="s">
        <v>28</v>
      </c>
      <c r="H3570" s="4" t="str">
        <f>HYPERLINK("https://www.ncbi.nlm.nih.gov/geo/query/acc.cgi?acc=GSM875998","GSM875998")</f>
        <v>GSM875998</v>
      </c>
      <c r="I3570" t="s">
        <v>69</v>
      </c>
      <c r="J3570" t="s">
        <v>18</v>
      </c>
      <c r="K3570" t="s">
        <v>19</v>
      </c>
      <c r="L3570" t="s">
        <v>70</v>
      </c>
      <c r="M3570" t="s">
        <v>44</v>
      </c>
      <c r="N3570" t="s">
        <v>29</v>
      </c>
    </row>
    <row r="3571" spans="1:14">
      <c r="A3571" s="4" t="str">
        <f t="shared" si="330"/>
        <v>EXP00109</v>
      </c>
      <c r="B3571" s="4" t="str">
        <f t="shared" si="333"/>
        <v>23987127</v>
      </c>
      <c r="C3571" s="4" t="str">
        <f t="shared" si="334"/>
        <v>GSE35834</v>
      </c>
      <c r="D3571" s="1" t="s">
        <v>225</v>
      </c>
      <c r="E3571" t="s">
        <v>72</v>
      </c>
      <c r="F3571" s="1">
        <v>2</v>
      </c>
      <c r="G3571" s="1" t="s">
        <v>28</v>
      </c>
      <c r="H3571" s="4" t="str">
        <f>HYPERLINK("https://www.ncbi.nlm.nih.gov/geo/query/acc.cgi?acc=GSM876007","GSM876007")</f>
        <v>GSM876007</v>
      </c>
      <c r="I3571" t="s">
        <v>69</v>
      </c>
      <c r="J3571" t="s">
        <v>18</v>
      </c>
      <c r="K3571" t="s">
        <v>19</v>
      </c>
      <c r="L3571" t="s">
        <v>70</v>
      </c>
      <c r="M3571" t="s">
        <v>44</v>
      </c>
      <c r="N3571" t="s">
        <v>29</v>
      </c>
    </row>
    <row r="3572" spans="1:14">
      <c r="A3572" s="4" t="str">
        <f t="shared" ref="A3572:A3601" si="335">HYPERLINK("http://hcmdb.i-sanger.com/experiment/details/experiment_id/EXP00110","EXP00110")</f>
        <v>EXP00110</v>
      </c>
      <c r="B3572" s="4" t="str">
        <f t="shared" si="333"/>
        <v>23987127</v>
      </c>
      <c r="C3572" s="4" t="str">
        <f t="shared" si="334"/>
        <v>GSE35834</v>
      </c>
      <c r="D3572" s="1" t="s">
        <v>225</v>
      </c>
      <c r="E3572" t="s">
        <v>73</v>
      </c>
      <c r="F3572" s="1">
        <v>1</v>
      </c>
      <c r="G3572" s="1" t="s">
        <v>36</v>
      </c>
      <c r="H3572" s="4" t="str">
        <f>HYPERLINK("https://www.ncbi.nlm.nih.gov/geo/query/acc.cgi?acc=GSM875952","GSM875952")</f>
        <v>GSM875952</v>
      </c>
      <c r="I3572" t="s">
        <v>69</v>
      </c>
      <c r="J3572" t="s">
        <v>18</v>
      </c>
      <c r="K3572" t="s">
        <v>19</v>
      </c>
      <c r="L3572" t="s">
        <v>70</v>
      </c>
      <c r="M3572" t="s">
        <v>44</v>
      </c>
      <c r="N3572" t="s">
        <v>37</v>
      </c>
    </row>
    <row r="3573" spans="1:14">
      <c r="A3573" s="4" t="str">
        <f t="shared" si="335"/>
        <v>EXP00110</v>
      </c>
      <c r="B3573" s="4" t="str">
        <f t="shared" si="333"/>
        <v>23987127</v>
      </c>
      <c r="C3573" s="4" t="str">
        <f t="shared" si="334"/>
        <v>GSE35834</v>
      </c>
      <c r="D3573" s="1" t="s">
        <v>225</v>
      </c>
      <c r="E3573" t="s">
        <v>73</v>
      </c>
      <c r="F3573" s="1">
        <v>1</v>
      </c>
      <c r="G3573" s="1" t="s">
        <v>36</v>
      </c>
      <c r="H3573" s="4" t="str">
        <f>HYPERLINK("https://www.ncbi.nlm.nih.gov/geo/query/acc.cgi?acc=GSM875954","GSM875954")</f>
        <v>GSM875954</v>
      </c>
      <c r="I3573" t="s">
        <v>69</v>
      </c>
      <c r="J3573" t="s">
        <v>18</v>
      </c>
      <c r="K3573" t="s">
        <v>19</v>
      </c>
      <c r="L3573" t="s">
        <v>70</v>
      </c>
      <c r="M3573" t="s">
        <v>44</v>
      </c>
      <c r="N3573" t="s">
        <v>37</v>
      </c>
    </row>
    <row r="3574" spans="1:14">
      <c r="A3574" s="4" t="str">
        <f t="shared" si="335"/>
        <v>EXP00110</v>
      </c>
      <c r="B3574" s="4" t="str">
        <f t="shared" si="333"/>
        <v>23987127</v>
      </c>
      <c r="C3574" s="4" t="str">
        <f t="shared" si="334"/>
        <v>GSE35834</v>
      </c>
      <c r="D3574" s="1" t="s">
        <v>225</v>
      </c>
      <c r="E3574" t="s">
        <v>73</v>
      </c>
      <c r="F3574" s="1">
        <v>1</v>
      </c>
      <c r="G3574" s="1" t="s">
        <v>36</v>
      </c>
      <c r="H3574" s="4" t="str">
        <f>HYPERLINK("https://www.ncbi.nlm.nih.gov/geo/query/acc.cgi?acc=GSM875960","GSM875960")</f>
        <v>GSM875960</v>
      </c>
      <c r="I3574" t="s">
        <v>69</v>
      </c>
      <c r="J3574" t="s">
        <v>18</v>
      </c>
      <c r="K3574" t="s">
        <v>19</v>
      </c>
      <c r="L3574" t="s">
        <v>70</v>
      </c>
      <c r="M3574" t="s">
        <v>44</v>
      </c>
      <c r="N3574" t="s">
        <v>37</v>
      </c>
    </row>
    <row r="3575" spans="1:14">
      <c r="A3575" s="4" t="str">
        <f t="shared" si="335"/>
        <v>EXP00110</v>
      </c>
      <c r="B3575" s="4" t="str">
        <f t="shared" si="333"/>
        <v>23987127</v>
      </c>
      <c r="C3575" s="4" t="str">
        <f t="shared" si="334"/>
        <v>GSE35834</v>
      </c>
      <c r="D3575" s="1" t="s">
        <v>225</v>
      </c>
      <c r="E3575" t="s">
        <v>73</v>
      </c>
      <c r="F3575" s="1">
        <v>1</v>
      </c>
      <c r="G3575" s="1" t="s">
        <v>36</v>
      </c>
      <c r="H3575" s="4" t="str">
        <f>HYPERLINK("https://www.ncbi.nlm.nih.gov/geo/query/acc.cgi?acc=GSM875964","GSM875964")</f>
        <v>GSM875964</v>
      </c>
      <c r="I3575" t="s">
        <v>69</v>
      </c>
      <c r="J3575" t="s">
        <v>18</v>
      </c>
      <c r="K3575" t="s">
        <v>19</v>
      </c>
      <c r="L3575" t="s">
        <v>70</v>
      </c>
      <c r="M3575" t="s">
        <v>44</v>
      </c>
      <c r="N3575" t="s">
        <v>37</v>
      </c>
    </row>
    <row r="3576" spans="1:14">
      <c r="A3576" s="4" t="str">
        <f t="shared" si="335"/>
        <v>EXP00110</v>
      </c>
      <c r="B3576" s="4" t="str">
        <f t="shared" si="333"/>
        <v>23987127</v>
      </c>
      <c r="C3576" s="4" t="str">
        <f t="shared" si="334"/>
        <v>GSE35834</v>
      </c>
      <c r="D3576" s="1" t="s">
        <v>225</v>
      </c>
      <c r="E3576" t="s">
        <v>73</v>
      </c>
      <c r="F3576" s="1">
        <v>1</v>
      </c>
      <c r="G3576" s="1" t="s">
        <v>36</v>
      </c>
      <c r="H3576" s="4" t="str">
        <f>HYPERLINK("https://www.ncbi.nlm.nih.gov/geo/query/acc.cgi?acc=GSM875966","GSM875966")</f>
        <v>GSM875966</v>
      </c>
      <c r="I3576" t="s">
        <v>69</v>
      </c>
      <c r="J3576" t="s">
        <v>18</v>
      </c>
      <c r="K3576" t="s">
        <v>19</v>
      </c>
      <c r="L3576" t="s">
        <v>70</v>
      </c>
      <c r="M3576" t="s">
        <v>44</v>
      </c>
      <c r="N3576" t="s">
        <v>37</v>
      </c>
    </row>
    <row r="3577" spans="1:14">
      <c r="A3577" s="4" t="str">
        <f t="shared" si="335"/>
        <v>EXP00110</v>
      </c>
      <c r="B3577" s="4" t="str">
        <f t="shared" si="333"/>
        <v>23987127</v>
      </c>
      <c r="C3577" s="4" t="str">
        <f t="shared" si="334"/>
        <v>GSE35834</v>
      </c>
      <c r="D3577" s="1" t="s">
        <v>225</v>
      </c>
      <c r="E3577" t="s">
        <v>73</v>
      </c>
      <c r="F3577" s="1">
        <v>1</v>
      </c>
      <c r="G3577" s="1" t="s">
        <v>36</v>
      </c>
      <c r="H3577" s="4" t="str">
        <f>HYPERLINK("https://www.ncbi.nlm.nih.gov/geo/query/acc.cgi?acc=GSM875977","GSM875977")</f>
        <v>GSM875977</v>
      </c>
      <c r="I3577" t="s">
        <v>69</v>
      </c>
      <c r="J3577" t="s">
        <v>18</v>
      </c>
      <c r="K3577" t="s">
        <v>19</v>
      </c>
      <c r="L3577" t="s">
        <v>70</v>
      </c>
      <c r="M3577" t="s">
        <v>44</v>
      </c>
      <c r="N3577" t="s">
        <v>37</v>
      </c>
    </row>
    <row r="3578" spans="1:14">
      <c r="A3578" s="4" t="str">
        <f t="shared" si="335"/>
        <v>EXP00110</v>
      </c>
      <c r="B3578" s="4" t="str">
        <f t="shared" si="333"/>
        <v>23987127</v>
      </c>
      <c r="C3578" s="4" t="str">
        <f t="shared" si="334"/>
        <v>GSE35834</v>
      </c>
      <c r="D3578" s="1" t="s">
        <v>225</v>
      </c>
      <c r="E3578" t="s">
        <v>73</v>
      </c>
      <c r="F3578" s="1">
        <v>1</v>
      </c>
      <c r="G3578" s="1" t="s">
        <v>36</v>
      </c>
      <c r="H3578" s="4" t="str">
        <f>HYPERLINK("https://www.ncbi.nlm.nih.gov/geo/query/acc.cgi?acc=GSM875982","GSM875982")</f>
        <v>GSM875982</v>
      </c>
      <c r="I3578" t="s">
        <v>69</v>
      </c>
      <c r="J3578" t="s">
        <v>18</v>
      </c>
      <c r="K3578" t="s">
        <v>19</v>
      </c>
      <c r="L3578" t="s">
        <v>70</v>
      </c>
      <c r="M3578" t="s">
        <v>44</v>
      </c>
      <c r="N3578" t="s">
        <v>37</v>
      </c>
    </row>
    <row r="3579" spans="1:14">
      <c r="A3579" s="4" t="str">
        <f t="shared" si="335"/>
        <v>EXP00110</v>
      </c>
      <c r="B3579" s="4" t="str">
        <f t="shared" si="333"/>
        <v>23987127</v>
      </c>
      <c r="C3579" s="4" t="str">
        <f t="shared" si="334"/>
        <v>GSE35834</v>
      </c>
      <c r="D3579" s="1" t="s">
        <v>225</v>
      </c>
      <c r="E3579" t="s">
        <v>73</v>
      </c>
      <c r="F3579" s="1">
        <v>1</v>
      </c>
      <c r="G3579" s="1" t="s">
        <v>36</v>
      </c>
      <c r="H3579" s="4" t="str">
        <f>HYPERLINK("https://www.ncbi.nlm.nih.gov/geo/query/acc.cgi?acc=GSM875983","GSM875983")</f>
        <v>GSM875983</v>
      </c>
      <c r="I3579" t="s">
        <v>69</v>
      </c>
      <c r="J3579" t="s">
        <v>18</v>
      </c>
      <c r="K3579" t="s">
        <v>19</v>
      </c>
      <c r="L3579" t="s">
        <v>70</v>
      </c>
      <c r="M3579" t="s">
        <v>44</v>
      </c>
      <c r="N3579" t="s">
        <v>37</v>
      </c>
    </row>
    <row r="3580" spans="1:14">
      <c r="A3580" s="4" t="str">
        <f t="shared" si="335"/>
        <v>EXP00110</v>
      </c>
      <c r="B3580" s="4" t="str">
        <f t="shared" si="333"/>
        <v>23987127</v>
      </c>
      <c r="C3580" s="4" t="str">
        <f t="shared" si="334"/>
        <v>GSE35834</v>
      </c>
      <c r="D3580" s="1" t="s">
        <v>225</v>
      </c>
      <c r="E3580" t="s">
        <v>73</v>
      </c>
      <c r="F3580" s="1">
        <v>1</v>
      </c>
      <c r="G3580" s="1" t="s">
        <v>36</v>
      </c>
      <c r="H3580" s="4" t="str">
        <f>HYPERLINK("https://www.ncbi.nlm.nih.gov/geo/query/acc.cgi?acc=GSM875988","GSM875988")</f>
        <v>GSM875988</v>
      </c>
      <c r="I3580" t="s">
        <v>69</v>
      </c>
      <c r="J3580" t="s">
        <v>18</v>
      </c>
      <c r="K3580" t="s">
        <v>19</v>
      </c>
      <c r="L3580" t="s">
        <v>70</v>
      </c>
      <c r="M3580" t="s">
        <v>44</v>
      </c>
      <c r="N3580" t="s">
        <v>37</v>
      </c>
    </row>
    <row r="3581" spans="1:14">
      <c r="A3581" s="4" t="str">
        <f t="shared" si="335"/>
        <v>EXP00110</v>
      </c>
      <c r="B3581" s="4" t="str">
        <f t="shared" si="333"/>
        <v>23987127</v>
      </c>
      <c r="C3581" s="4" t="str">
        <f t="shared" si="334"/>
        <v>GSE35834</v>
      </c>
      <c r="D3581" s="1" t="s">
        <v>225</v>
      </c>
      <c r="E3581" t="s">
        <v>73</v>
      </c>
      <c r="F3581" s="1">
        <v>1</v>
      </c>
      <c r="G3581" s="1" t="s">
        <v>36</v>
      </c>
      <c r="H3581" s="4" t="str">
        <f>HYPERLINK("https://www.ncbi.nlm.nih.gov/geo/query/acc.cgi?acc=GSM875993","GSM875993")</f>
        <v>GSM875993</v>
      </c>
      <c r="I3581" t="s">
        <v>69</v>
      </c>
      <c r="J3581" t="s">
        <v>18</v>
      </c>
      <c r="K3581" t="s">
        <v>19</v>
      </c>
      <c r="L3581" t="s">
        <v>70</v>
      </c>
      <c r="M3581" t="s">
        <v>44</v>
      </c>
      <c r="N3581" t="s">
        <v>37</v>
      </c>
    </row>
    <row r="3582" spans="1:14">
      <c r="A3582" s="4" t="str">
        <f t="shared" si="335"/>
        <v>EXP00110</v>
      </c>
      <c r="B3582" s="4" t="str">
        <f t="shared" si="333"/>
        <v>23987127</v>
      </c>
      <c r="C3582" s="4" t="str">
        <f t="shared" si="334"/>
        <v>GSE35834</v>
      </c>
      <c r="D3582" s="1" t="s">
        <v>225</v>
      </c>
      <c r="E3582" t="s">
        <v>73</v>
      </c>
      <c r="F3582" s="1">
        <v>1</v>
      </c>
      <c r="G3582" s="1" t="s">
        <v>36</v>
      </c>
      <c r="H3582" s="4" t="str">
        <f>HYPERLINK("https://www.ncbi.nlm.nih.gov/geo/query/acc.cgi?acc=GSM875996","GSM875996")</f>
        <v>GSM875996</v>
      </c>
      <c r="I3582" t="s">
        <v>69</v>
      </c>
      <c r="J3582" t="s">
        <v>18</v>
      </c>
      <c r="K3582" t="s">
        <v>19</v>
      </c>
      <c r="L3582" t="s">
        <v>70</v>
      </c>
      <c r="M3582" t="s">
        <v>44</v>
      </c>
      <c r="N3582" t="s">
        <v>37</v>
      </c>
    </row>
    <row r="3583" spans="1:14">
      <c r="A3583" s="4" t="str">
        <f t="shared" si="335"/>
        <v>EXP00110</v>
      </c>
      <c r="B3583" s="4" t="str">
        <f t="shared" si="333"/>
        <v>23987127</v>
      </c>
      <c r="C3583" s="4" t="str">
        <f t="shared" si="334"/>
        <v>GSE35834</v>
      </c>
      <c r="D3583" s="1" t="s">
        <v>225</v>
      </c>
      <c r="E3583" t="s">
        <v>73</v>
      </c>
      <c r="F3583" s="1">
        <v>1</v>
      </c>
      <c r="G3583" s="1" t="s">
        <v>36</v>
      </c>
      <c r="H3583" s="4" t="str">
        <f>HYPERLINK("https://www.ncbi.nlm.nih.gov/geo/query/acc.cgi?acc=GSM876012","GSM876012")</f>
        <v>GSM876012</v>
      </c>
      <c r="I3583" t="s">
        <v>69</v>
      </c>
      <c r="J3583" t="s">
        <v>18</v>
      </c>
      <c r="K3583" t="s">
        <v>19</v>
      </c>
      <c r="L3583" t="s">
        <v>70</v>
      </c>
      <c r="M3583" t="s">
        <v>44</v>
      </c>
      <c r="N3583" t="s">
        <v>37</v>
      </c>
    </row>
    <row r="3584" spans="1:14">
      <c r="A3584" s="4" t="str">
        <f t="shared" si="335"/>
        <v>EXP00110</v>
      </c>
      <c r="B3584" s="4" t="str">
        <f t="shared" si="333"/>
        <v>23987127</v>
      </c>
      <c r="C3584" s="4" t="str">
        <f t="shared" si="334"/>
        <v>GSE35834</v>
      </c>
      <c r="D3584" s="1" t="s">
        <v>225</v>
      </c>
      <c r="E3584" t="s">
        <v>73</v>
      </c>
      <c r="F3584" s="1">
        <v>2</v>
      </c>
      <c r="G3584" s="1" t="s">
        <v>28</v>
      </c>
      <c r="H3584" s="4" t="str">
        <f>HYPERLINK("https://www.ncbi.nlm.nih.gov/geo/query/acc.cgi?acc=GSM875933","GSM875933")</f>
        <v>GSM875933</v>
      </c>
      <c r="I3584" t="s">
        <v>69</v>
      </c>
      <c r="J3584" t="s">
        <v>18</v>
      </c>
      <c r="K3584" t="s">
        <v>19</v>
      </c>
      <c r="L3584" t="s">
        <v>70</v>
      </c>
      <c r="M3584" t="s">
        <v>44</v>
      </c>
      <c r="N3584" t="s">
        <v>29</v>
      </c>
    </row>
    <row r="3585" spans="1:14">
      <c r="A3585" s="4" t="str">
        <f t="shared" si="335"/>
        <v>EXP00110</v>
      </c>
      <c r="B3585" s="4" t="str">
        <f t="shared" si="333"/>
        <v>23987127</v>
      </c>
      <c r="C3585" s="4" t="str">
        <f t="shared" si="334"/>
        <v>GSE35834</v>
      </c>
      <c r="D3585" s="1" t="s">
        <v>225</v>
      </c>
      <c r="E3585" t="s">
        <v>73</v>
      </c>
      <c r="F3585" s="1">
        <v>2</v>
      </c>
      <c r="G3585" s="1" t="s">
        <v>28</v>
      </c>
      <c r="H3585" s="4" t="str">
        <f>HYPERLINK("https://www.ncbi.nlm.nih.gov/geo/query/acc.cgi?acc=GSM875934","GSM875934")</f>
        <v>GSM875934</v>
      </c>
      <c r="I3585" t="s">
        <v>69</v>
      </c>
      <c r="J3585" t="s">
        <v>18</v>
      </c>
      <c r="K3585" t="s">
        <v>19</v>
      </c>
      <c r="L3585" t="s">
        <v>70</v>
      </c>
      <c r="M3585" t="s">
        <v>44</v>
      </c>
      <c r="N3585" t="s">
        <v>29</v>
      </c>
    </row>
    <row r="3586" spans="1:14">
      <c r="A3586" s="4" t="str">
        <f t="shared" si="335"/>
        <v>EXP00110</v>
      </c>
      <c r="B3586" s="4" t="str">
        <f t="shared" si="333"/>
        <v>23987127</v>
      </c>
      <c r="C3586" s="4" t="str">
        <f t="shared" si="334"/>
        <v>GSE35834</v>
      </c>
      <c r="D3586" s="1" t="s">
        <v>225</v>
      </c>
      <c r="E3586" t="s">
        <v>73</v>
      </c>
      <c r="F3586" s="1">
        <v>2</v>
      </c>
      <c r="G3586" s="1" t="s">
        <v>28</v>
      </c>
      <c r="H3586" s="4" t="str">
        <f>HYPERLINK("https://www.ncbi.nlm.nih.gov/geo/query/acc.cgi?acc=GSM875935","GSM875935")</f>
        <v>GSM875935</v>
      </c>
      <c r="I3586" t="s">
        <v>69</v>
      </c>
      <c r="J3586" t="s">
        <v>18</v>
      </c>
      <c r="K3586" t="s">
        <v>19</v>
      </c>
      <c r="L3586" t="s">
        <v>70</v>
      </c>
      <c r="M3586" t="s">
        <v>44</v>
      </c>
      <c r="N3586" t="s">
        <v>29</v>
      </c>
    </row>
    <row r="3587" spans="1:14">
      <c r="A3587" s="4" t="str">
        <f t="shared" si="335"/>
        <v>EXP00110</v>
      </c>
      <c r="B3587" s="4" t="str">
        <f t="shared" si="333"/>
        <v>23987127</v>
      </c>
      <c r="C3587" s="4" t="str">
        <f t="shared" si="334"/>
        <v>GSE35834</v>
      </c>
      <c r="D3587" s="1" t="s">
        <v>225</v>
      </c>
      <c r="E3587" t="s">
        <v>73</v>
      </c>
      <c r="F3587" s="1">
        <v>2</v>
      </c>
      <c r="G3587" s="1" t="s">
        <v>28</v>
      </c>
      <c r="H3587" s="4" t="str">
        <f>HYPERLINK("https://www.ncbi.nlm.nih.gov/geo/query/acc.cgi?acc=GSM875936","GSM875936")</f>
        <v>GSM875936</v>
      </c>
      <c r="I3587" t="s">
        <v>69</v>
      </c>
      <c r="J3587" t="s">
        <v>18</v>
      </c>
      <c r="K3587" t="s">
        <v>19</v>
      </c>
      <c r="L3587" t="s">
        <v>70</v>
      </c>
      <c r="M3587" t="s">
        <v>44</v>
      </c>
      <c r="N3587" t="s">
        <v>29</v>
      </c>
    </row>
    <row r="3588" spans="1:14">
      <c r="A3588" s="4" t="str">
        <f t="shared" si="335"/>
        <v>EXP00110</v>
      </c>
      <c r="B3588" s="4" t="str">
        <f t="shared" si="333"/>
        <v>23987127</v>
      </c>
      <c r="C3588" s="4" t="str">
        <f t="shared" si="334"/>
        <v>GSE35834</v>
      </c>
      <c r="D3588" s="1" t="s">
        <v>225</v>
      </c>
      <c r="E3588" t="s">
        <v>73</v>
      </c>
      <c r="F3588" s="1">
        <v>2</v>
      </c>
      <c r="G3588" s="1" t="s">
        <v>28</v>
      </c>
      <c r="H3588" s="4" t="str">
        <f>HYPERLINK("https://www.ncbi.nlm.nih.gov/geo/query/acc.cgi?acc=GSM875941","GSM875941")</f>
        <v>GSM875941</v>
      </c>
      <c r="I3588" t="s">
        <v>69</v>
      </c>
      <c r="J3588" t="s">
        <v>18</v>
      </c>
      <c r="K3588" t="s">
        <v>19</v>
      </c>
      <c r="L3588" t="s">
        <v>70</v>
      </c>
      <c r="M3588" t="s">
        <v>44</v>
      </c>
      <c r="N3588" t="s">
        <v>29</v>
      </c>
    </row>
    <row r="3589" spans="1:14">
      <c r="A3589" s="4" t="str">
        <f t="shared" si="335"/>
        <v>EXP00110</v>
      </c>
      <c r="B3589" s="4" t="str">
        <f t="shared" si="333"/>
        <v>23987127</v>
      </c>
      <c r="C3589" s="4" t="str">
        <f t="shared" si="334"/>
        <v>GSE35834</v>
      </c>
      <c r="D3589" s="1" t="s">
        <v>225</v>
      </c>
      <c r="E3589" t="s">
        <v>73</v>
      </c>
      <c r="F3589" s="1">
        <v>2</v>
      </c>
      <c r="G3589" s="1" t="s">
        <v>28</v>
      </c>
      <c r="H3589" s="4" t="str">
        <f>HYPERLINK("https://www.ncbi.nlm.nih.gov/geo/query/acc.cgi?acc=GSM875945","GSM875945")</f>
        <v>GSM875945</v>
      </c>
      <c r="I3589" t="s">
        <v>69</v>
      </c>
      <c r="J3589" t="s">
        <v>18</v>
      </c>
      <c r="K3589" t="s">
        <v>19</v>
      </c>
      <c r="L3589" t="s">
        <v>70</v>
      </c>
      <c r="M3589" t="s">
        <v>44</v>
      </c>
      <c r="N3589" t="s">
        <v>29</v>
      </c>
    </row>
    <row r="3590" spans="1:14">
      <c r="A3590" s="4" t="str">
        <f t="shared" si="335"/>
        <v>EXP00110</v>
      </c>
      <c r="B3590" s="4" t="str">
        <f t="shared" si="333"/>
        <v>23987127</v>
      </c>
      <c r="C3590" s="4" t="str">
        <f t="shared" si="334"/>
        <v>GSE35834</v>
      </c>
      <c r="D3590" s="1" t="s">
        <v>225</v>
      </c>
      <c r="E3590" t="s">
        <v>73</v>
      </c>
      <c r="F3590" s="1">
        <v>2</v>
      </c>
      <c r="G3590" s="1" t="s">
        <v>28</v>
      </c>
      <c r="H3590" s="4" t="str">
        <f>HYPERLINK("https://www.ncbi.nlm.nih.gov/geo/query/acc.cgi?acc=GSM875947","GSM875947")</f>
        <v>GSM875947</v>
      </c>
      <c r="I3590" t="s">
        <v>69</v>
      </c>
      <c r="J3590" t="s">
        <v>18</v>
      </c>
      <c r="K3590" t="s">
        <v>19</v>
      </c>
      <c r="L3590" t="s">
        <v>70</v>
      </c>
      <c r="M3590" t="s">
        <v>44</v>
      </c>
      <c r="N3590" t="s">
        <v>29</v>
      </c>
    </row>
    <row r="3591" spans="1:14">
      <c r="A3591" s="4" t="str">
        <f t="shared" si="335"/>
        <v>EXP00110</v>
      </c>
      <c r="B3591" s="4" t="str">
        <f t="shared" ref="B3591:B3622" si="336">HYPERLINK("https://www.ncbi.nlm.nih.gov/pubmed/23987127","23987127")</f>
        <v>23987127</v>
      </c>
      <c r="C3591" s="4" t="str">
        <f t="shared" ref="C3591:C3622" si="337">HYPERLINK("https://www.ncbi.nlm.nih.gov/geo/query/acc.cgi?acc=GSE35834","GSE35834")</f>
        <v>GSE35834</v>
      </c>
      <c r="D3591" s="1" t="s">
        <v>225</v>
      </c>
      <c r="E3591" t="s">
        <v>73</v>
      </c>
      <c r="F3591" s="1">
        <v>2</v>
      </c>
      <c r="G3591" s="1" t="s">
        <v>28</v>
      </c>
      <c r="H3591" s="4" t="str">
        <f>HYPERLINK("https://www.ncbi.nlm.nih.gov/geo/query/acc.cgi?acc=GSM875957","GSM875957")</f>
        <v>GSM875957</v>
      </c>
      <c r="I3591" t="s">
        <v>69</v>
      </c>
      <c r="J3591" t="s">
        <v>18</v>
      </c>
      <c r="K3591" t="s">
        <v>19</v>
      </c>
      <c r="L3591" t="s">
        <v>70</v>
      </c>
      <c r="M3591" t="s">
        <v>44</v>
      </c>
      <c r="N3591" t="s">
        <v>29</v>
      </c>
    </row>
    <row r="3592" spans="1:14">
      <c r="A3592" s="4" t="str">
        <f t="shared" si="335"/>
        <v>EXP00110</v>
      </c>
      <c r="B3592" s="4" t="str">
        <f t="shared" si="336"/>
        <v>23987127</v>
      </c>
      <c r="C3592" s="4" t="str">
        <f t="shared" si="337"/>
        <v>GSE35834</v>
      </c>
      <c r="D3592" s="1" t="s">
        <v>225</v>
      </c>
      <c r="E3592" t="s">
        <v>73</v>
      </c>
      <c r="F3592" s="1">
        <v>2</v>
      </c>
      <c r="G3592" s="1" t="s">
        <v>28</v>
      </c>
      <c r="H3592" s="4" t="str">
        <f>HYPERLINK("https://www.ncbi.nlm.nih.gov/geo/query/acc.cgi?acc=GSM875963","GSM875963")</f>
        <v>GSM875963</v>
      </c>
      <c r="I3592" t="s">
        <v>69</v>
      </c>
      <c r="J3592" t="s">
        <v>18</v>
      </c>
      <c r="K3592" t="s">
        <v>19</v>
      </c>
      <c r="L3592" t="s">
        <v>70</v>
      </c>
      <c r="M3592" t="s">
        <v>44</v>
      </c>
      <c r="N3592" t="s">
        <v>29</v>
      </c>
    </row>
    <row r="3593" spans="1:14">
      <c r="A3593" s="4" t="str">
        <f t="shared" si="335"/>
        <v>EXP00110</v>
      </c>
      <c r="B3593" s="4" t="str">
        <f t="shared" si="336"/>
        <v>23987127</v>
      </c>
      <c r="C3593" s="4" t="str">
        <f t="shared" si="337"/>
        <v>GSE35834</v>
      </c>
      <c r="D3593" s="1" t="s">
        <v>225</v>
      </c>
      <c r="E3593" t="s">
        <v>73</v>
      </c>
      <c r="F3593" s="1">
        <v>2</v>
      </c>
      <c r="G3593" s="1" t="s">
        <v>28</v>
      </c>
      <c r="H3593" s="4" t="str">
        <f>HYPERLINK("https://www.ncbi.nlm.nih.gov/geo/query/acc.cgi?acc=GSM875965","GSM875965")</f>
        <v>GSM875965</v>
      </c>
      <c r="I3593" t="s">
        <v>69</v>
      </c>
      <c r="J3593" t="s">
        <v>18</v>
      </c>
      <c r="K3593" t="s">
        <v>19</v>
      </c>
      <c r="L3593" t="s">
        <v>70</v>
      </c>
      <c r="M3593" t="s">
        <v>44</v>
      </c>
      <c r="N3593" t="s">
        <v>29</v>
      </c>
    </row>
    <row r="3594" spans="1:14">
      <c r="A3594" s="4" t="str">
        <f t="shared" si="335"/>
        <v>EXP00110</v>
      </c>
      <c r="B3594" s="4" t="str">
        <f t="shared" si="336"/>
        <v>23987127</v>
      </c>
      <c r="C3594" s="4" t="str">
        <f t="shared" si="337"/>
        <v>GSE35834</v>
      </c>
      <c r="D3594" s="1" t="s">
        <v>225</v>
      </c>
      <c r="E3594" t="s">
        <v>73</v>
      </c>
      <c r="F3594" s="1">
        <v>2</v>
      </c>
      <c r="G3594" s="1" t="s">
        <v>28</v>
      </c>
      <c r="H3594" s="4" t="str">
        <f>HYPERLINK("https://www.ncbi.nlm.nih.gov/geo/query/acc.cgi?acc=GSM875968","GSM875968")</f>
        <v>GSM875968</v>
      </c>
      <c r="I3594" t="s">
        <v>69</v>
      </c>
      <c r="J3594" t="s">
        <v>18</v>
      </c>
      <c r="K3594" t="s">
        <v>19</v>
      </c>
      <c r="L3594" t="s">
        <v>70</v>
      </c>
      <c r="M3594" t="s">
        <v>44</v>
      </c>
      <c r="N3594" t="s">
        <v>29</v>
      </c>
    </row>
    <row r="3595" spans="1:14">
      <c r="A3595" s="4" t="str">
        <f t="shared" si="335"/>
        <v>EXP00110</v>
      </c>
      <c r="B3595" s="4" t="str">
        <f t="shared" si="336"/>
        <v>23987127</v>
      </c>
      <c r="C3595" s="4" t="str">
        <f t="shared" si="337"/>
        <v>GSE35834</v>
      </c>
      <c r="D3595" s="1" t="s">
        <v>225</v>
      </c>
      <c r="E3595" t="s">
        <v>73</v>
      </c>
      <c r="F3595" s="1">
        <v>2</v>
      </c>
      <c r="G3595" s="1" t="s">
        <v>28</v>
      </c>
      <c r="H3595" s="4" t="str">
        <f>HYPERLINK("https://www.ncbi.nlm.nih.gov/geo/query/acc.cgi?acc=GSM875969","GSM875969")</f>
        <v>GSM875969</v>
      </c>
      <c r="I3595" t="s">
        <v>69</v>
      </c>
      <c r="J3595" t="s">
        <v>18</v>
      </c>
      <c r="K3595" t="s">
        <v>19</v>
      </c>
      <c r="L3595" t="s">
        <v>70</v>
      </c>
      <c r="M3595" t="s">
        <v>44</v>
      </c>
      <c r="N3595" t="s">
        <v>29</v>
      </c>
    </row>
    <row r="3596" spans="1:14">
      <c r="A3596" s="4" t="str">
        <f t="shared" si="335"/>
        <v>EXP00110</v>
      </c>
      <c r="B3596" s="4" t="str">
        <f t="shared" si="336"/>
        <v>23987127</v>
      </c>
      <c r="C3596" s="4" t="str">
        <f t="shared" si="337"/>
        <v>GSE35834</v>
      </c>
      <c r="D3596" s="1" t="s">
        <v>225</v>
      </c>
      <c r="E3596" t="s">
        <v>73</v>
      </c>
      <c r="F3596" s="1">
        <v>2</v>
      </c>
      <c r="G3596" s="1" t="s">
        <v>28</v>
      </c>
      <c r="H3596" s="4" t="str">
        <f>HYPERLINK("https://www.ncbi.nlm.nih.gov/geo/query/acc.cgi?acc=GSM875971","GSM875971")</f>
        <v>GSM875971</v>
      </c>
      <c r="I3596" t="s">
        <v>69</v>
      </c>
      <c r="J3596" t="s">
        <v>18</v>
      </c>
      <c r="K3596" t="s">
        <v>19</v>
      </c>
      <c r="L3596" t="s">
        <v>70</v>
      </c>
      <c r="M3596" t="s">
        <v>44</v>
      </c>
      <c r="N3596" t="s">
        <v>29</v>
      </c>
    </row>
    <row r="3597" spans="1:14">
      <c r="A3597" s="4" t="str">
        <f t="shared" si="335"/>
        <v>EXP00110</v>
      </c>
      <c r="B3597" s="4" t="str">
        <f t="shared" si="336"/>
        <v>23987127</v>
      </c>
      <c r="C3597" s="4" t="str">
        <f t="shared" si="337"/>
        <v>GSE35834</v>
      </c>
      <c r="D3597" s="1" t="s">
        <v>225</v>
      </c>
      <c r="E3597" t="s">
        <v>73</v>
      </c>
      <c r="F3597" s="1">
        <v>2</v>
      </c>
      <c r="G3597" s="1" t="s">
        <v>28</v>
      </c>
      <c r="H3597" s="4" t="str">
        <f>HYPERLINK("https://www.ncbi.nlm.nih.gov/geo/query/acc.cgi?acc=GSM875972","GSM875972")</f>
        <v>GSM875972</v>
      </c>
      <c r="I3597" t="s">
        <v>69</v>
      </c>
      <c r="J3597" t="s">
        <v>18</v>
      </c>
      <c r="K3597" t="s">
        <v>19</v>
      </c>
      <c r="L3597" t="s">
        <v>70</v>
      </c>
      <c r="M3597" t="s">
        <v>44</v>
      </c>
      <c r="N3597" t="s">
        <v>29</v>
      </c>
    </row>
    <row r="3598" spans="1:14">
      <c r="A3598" s="4" t="str">
        <f t="shared" si="335"/>
        <v>EXP00110</v>
      </c>
      <c r="B3598" s="4" t="str">
        <f t="shared" si="336"/>
        <v>23987127</v>
      </c>
      <c r="C3598" s="4" t="str">
        <f t="shared" si="337"/>
        <v>GSE35834</v>
      </c>
      <c r="D3598" s="1" t="s">
        <v>225</v>
      </c>
      <c r="E3598" t="s">
        <v>73</v>
      </c>
      <c r="F3598" s="1">
        <v>2</v>
      </c>
      <c r="G3598" s="1" t="s">
        <v>28</v>
      </c>
      <c r="H3598" s="4" t="str">
        <f>HYPERLINK("https://www.ncbi.nlm.nih.gov/geo/query/acc.cgi?acc=GSM875978","GSM875978")</f>
        <v>GSM875978</v>
      </c>
      <c r="I3598" t="s">
        <v>69</v>
      </c>
      <c r="J3598" t="s">
        <v>18</v>
      </c>
      <c r="K3598" t="s">
        <v>19</v>
      </c>
      <c r="L3598" t="s">
        <v>70</v>
      </c>
      <c r="M3598" t="s">
        <v>44</v>
      </c>
      <c r="N3598" t="s">
        <v>29</v>
      </c>
    </row>
    <row r="3599" spans="1:14">
      <c r="A3599" s="4" t="str">
        <f t="shared" si="335"/>
        <v>EXP00110</v>
      </c>
      <c r="B3599" s="4" t="str">
        <f t="shared" si="336"/>
        <v>23987127</v>
      </c>
      <c r="C3599" s="4" t="str">
        <f t="shared" si="337"/>
        <v>GSE35834</v>
      </c>
      <c r="D3599" s="1" t="s">
        <v>225</v>
      </c>
      <c r="E3599" t="s">
        <v>73</v>
      </c>
      <c r="F3599" s="1">
        <v>2</v>
      </c>
      <c r="G3599" s="1" t="s">
        <v>28</v>
      </c>
      <c r="H3599" s="4" t="str">
        <f>HYPERLINK("https://www.ncbi.nlm.nih.gov/geo/query/acc.cgi?acc=GSM875995","GSM875995")</f>
        <v>GSM875995</v>
      </c>
      <c r="I3599" t="s">
        <v>69</v>
      </c>
      <c r="J3599" t="s">
        <v>18</v>
      </c>
      <c r="K3599" t="s">
        <v>19</v>
      </c>
      <c r="L3599" t="s">
        <v>70</v>
      </c>
      <c r="M3599" t="s">
        <v>44</v>
      </c>
      <c r="N3599" t="s">
        <v>29</v>
      </c>
    </row>
    <row r="3600" spans="1:14">
      <c r="A3600" s="4" t="str">
        <f t="shared" si="335"/>
        <v>EXP00110</v>
      </c>
      <c r="B3600" s="4" t="str">
        <f t="shared" si="336"/>
        <v>23987127</v>
      </c>
      <c r="C3600" s="4" t="str">
        <f t="shared" si="337"/>
        <v>GSE35834</v>
      </c>
      <c r="D3600" s="1" t="s">
        <v>225</v>
      </c>
      <c r="E3600" t="s">
        <v>73</v>
      </c>
      <c r="F3600" s="1">
        <v>2</v>
      </c>
      <c r="G3600" s="1" t="s">
        <v>28</v>
      </c>
      <c r="H3600" s="4" t="str">
        <f>HYPERLINK("https://www.ncbi.nlm.nih.gov/geo/query/acc.cgi?acc=GSM875998","GSM875998")</f>
        <v>GSM875998</v>
      </c>
      <c r="I3600" t="s">
        <v>69</v>
      </c>
      <c r="J3600" t="s">
        <v>18</v>
      </c>
      <c r="K3600" t="s">
        <v>19</v>
      </c>
      <c r="L3600" t="s">
        <v>70</v>
      </c>
      <c r="M3600" t="s">
        <v>44</v>
      </c>
      <c r="N3600" t="s">
        <v>29</v>
      </c>
    </row>
    <row r="3601" spans="1:14">
      <c r="A3601" s="4" t="str">
        <f t="shared" si="335"/>
        <v>EXP00110</v>
      </c>
      <c r="B3601" s="4" t="str">
        <f t="shared" si="336"/>
        <v>23987127</v>
      </c>
      <c r="C3601" s="4" t="str">
        <f t="shared" si="337"/>
        <v>GSE35834</v>
      </c>
      <c r="D3601" s="1" t="s">
        <v>225</v>
      </c>
      <c r="E3601" t="s">
        <v>73</v>
      </c>
      <c r="F3601" s="1">
        <v>2</v>
      </c>
      <c r="G3601" s="1" t="s">
        <v>28</v>
      </c>
      <c r="H3601" s="4" t="str">
        <f>HYPERLINK("https://www.ncbi.nlm.nih.gov/geo/query/acc.cgi?acc=GSM876007","GSM876007")</f>
        <v>GSM876007</v>
      </c>
      <c r="I3601" t="s">
        <v>69</v>
      </c>
      <c r="J3601" t="s">
        <v>18</v>
      </c>
      <c r="K3601" t="s">
        <v>19</v>
      </c>
      <c r="L3601" t="s">
        <v>70</v>
      </c>
      <c r="M3601" t="s">
        <v>44</v>
      </c>
      <c r="N3601" t="s">
        <v>29</v>
      </c>
    </row>
    <row r="3602" spans="1:14">
      <c r="A3602" s="4" t="str">
        <f t="shared" ref="A3602:A3631" si="338">HYPERLINK("http://hcmdb.i-sanger.com/experiment/details/experiment_id/EXP00111","EXP00111")</f>
        <v>EXP00111</v>
      </c>
      <c r="B3602" s="4" t="str">
        <f t="shared" si="336"/>
        <v>23987127</v>
      </c>
      <c r="C3602" s="4" t="str">
        <f t="shared" si="337"/>
        <v>GSE35834</v>
      </c>
      <c r="D3602" s="1" t="s">
        <v>225</v>
      </c>
      <c r="E3602" t="s">
        <v>68</v>
      </c>
      <c r="F3602" s="1">
        <v>1</v>
      </c>
      <c r="G3602" s="1" t="s">
        <v>31</v>
      </c>
      <c r="H3602" s="4" t="str">
        <f>HYPERLINK("https://www.ncbi.nlm.nih.gov/geo/query/acc.cgi?acc=GSM875933","GSM875933")</f>
        <v>GSM875933</v>
      </c>
      <c r="I3602" t="s">
        <v>69</v>
      </c>
      <c r="J3602" t="s">
        <v>18</v>
      </c>
      <c r="K3602" t="s">
        <v>19</v>
      </c>
      <c r="L3602" t="s">
        <v>70</v>
      </c>
      <c r="M3602" t="s">
        <v>44</v>
      </c>
      <c r="N3602" t="s">
        <v>29</v>
      </c>
    </row>
    <row r="3603" spans="1:14">
      <c r="A3603" s="4" t="str">
        <f t="shared" si="338"/>
        <v>EXP00111</v>
      </c>
      <c r="B3603" s="4" t="str">
        <f t="shared" si="336"/>
        <v>23987127</v>
      </c>
      <c r="C3603" s="4" t="str">
        <f t="shared" si="337"/>
        <v>GSE35834</v>
      </c>
      <c r="D3603" s="1" t="s">
        <v>225</v>
      </c>
      <c r="E3603" t="s">
        <v>68</v>
      </c>
      <c r="F3603" s="1">
        <v>1</v>
      </c>
      <c r="G3603" s="1" t="s">
        <v>31</v>
      </c>
      <c r="H3603" s="4" t="str">
        <f>HYPERLINK("https://www.ncbi.nlm.nih.gov/geo/query/acc.cgi?acc=GSM875934","GSM875934")</f>
        <v>GSM875934</v>
      </c>
      <c r="I3603" t="s">
        <v>69</v>
      </c>
      <c r="J3603" t="s">
        <v>18</v>
      </c>
      <c r="K3603" t="s">
        <v>19</v>
      </c>
      <c r="L3603" t="s">
        <v>70</v>
      </c>
      <c r="M3603" t="s">
        <v>44</v>
      </c>
      <c r="N3603" t="s">
        <v>29</v>
      </c>
    </row>
    <row r="3604" spans="1:14">
      <c r="A3604" s="4" t="str">
        <f t="shared" si="338"/>
        <v>EXP00111</v>
      </c>
      <c r="B3604" s="4" t="str">
        <f t="shared" si="336"/>
        <v>23987127</v>
      </c>
      <c r="C3604" s="4" t="str">
        <f t="shared" si="337"/>
        <v>GSE35834</v>
      </c>
      <c r="D3604" s="1" t="s">
        <v>225</v>
      </c>
      <c r="E3604" t="s">
        <v>68</v>
      </c>
      <c r="F3604" s="1">
        <v>1</v>
      </c>
      <c r="G3604" s="1" t="s">
        <v>31</v>
      </c>
      <c r="H3604" s="4" t="str">
        <f>HYPERLINK("https://www.ncbi.nlm.nih.gov/geo/query/acc.cgi?acc=GSM875935","GSM875935")</f>
        <v>GSM875935</v>
      </c>
      <c r="I3604" t="s">
        <v>69</v>
      </c>
      <c r="J3604" t="s">
        <v>18</v>
      </c>
      <c r="K3604" t="s">
        <v>19</v>
      </c>
      <c r="L3604" t="s">
        <v>70</v>
      </c>
      <c r="M3604" t="s">
        <v>44</v>
      </c>
      <c r="N3604" t="s">
        <v>29</v>
      </c>
    </row>
    <row r="3605" spans="1:14">
      <c r="A3605" s="4" t="str">
        <f t="shared" si="338"/>
        <v>EXP00111</v>
      </c>
      <c r="B3605" s="4" t="str">
        <f t="shared" si="336"/>
        <v>23987127</v>
      </c>
      <c r="C3605" s="4" t="str">
        <f t="shared" si="337"/>
        <v>GSE35834</v>
      </c>
      <c r="D3605" s="1" t="s">
        <v>225</v>
      </c>
      <c r="E3605" t="s">
        <v>68</v>
      </c>
      <c r="F3605" s="1">
        <v>1</v>
      </c>
      <c r="G3605" s="1" t="s">
        <v>31</v>
      </c>
      <c r="H3605" s="4" t="str">
        <f>HYPERLINK("https://www.ncbi.nlm.nih.gov/geo/query/acc.cgi?acc=GSM875936","GSM875936")</f>
        <v>GSM875936</v>
      </c>
      <c r="I3605" t="s">
        <v>69</v>
      </c>
      <c r="J3605" t="s">
        <v>18</v>
      </c>
      <c r="K3605" t="s">
        <v>19</v>
      </c>
      <c r="L3605" t="s">
        <v>70</v>
      </c>
      <c r="M3605" t="s">
        <v>44</v>
      </c>
      <c r="N3605" t="s">
        <v>29</v>
      </c>
    </row>
    <row r="3606" spans="1:14">
      <c r="A3606" s="4" t="str">
        <f t="shared" si="338"/>
        <v>EXP00111</v>
      </c>
      <c r="B3606" s="4" t="str">
        <f t="shared" si="336"/>
        <v>23987127</v>
      </c>
      <c r="C3606" s="4" t="str">
        <f t="shared" si="337"/>
        <v>GSE35834</v>
      </c>
      <c r="D3606" s="1" t="s">
        <v>225</v>
      </c>
      <c r="E3606" t="s">
        <v>68</v>
      </c>
      <c r="F3606" s="1">
        <v>1</v>
      </c>
      <c r="G3606" s="1" t="s">
        <v>31</v>
      </c>
      <c r="H3606" s="4" t="str">
        <f>HYPERLINK("https://www.ncbi.nlm.nih.gov/geo/query/acc.cgi?acc=GSM875941","GSM875941")</f>
        <v>GSM875941</v>
      </c>
      <c r="I3606" t="s">
        <v>69</v>
      </c>
      <c r="J3606" t="s">
        <v>18</v>
      </c>
      <c r="K3606" t="s">
        <v>19</v>
      </c>
      <c r="L3606" t="s">
        <v>70</v>
      </c>
      <c r="M3606" t="s">
        <v>44</v>
      </c>
      <c r="N3606" t="s">
        <v>29</v>
      </c>
    </row>
    <row r="3607" spans="1:14">
      <c r="A3607" s="4" t="str">
        <f t="shared" si="338"/>
        <v>EXP00111</v>
      </c>
      <c r="B3607" s="4" t="str">
        <f t="shared" si="336"/>
        <v>23987127</v>
      </c>
      <c r="C3607" s="4" t="str">
        <f t="shared" si="337"/>
        <v>GSE35834</v>
      </c>
      <c r="D3607" s="1" t="s">
        <v>225</v>
      </c>
      <c r="E3607" t="s">
        <v>68</v>
      </c>
      <c r="F3607" s="1">
        <v>1</v>
      </c>
      <c r="G3607" s="1" t="s">
        <v>31</v>
      </c>
      <c r="H3607" s="4" t="str">
        <f>HYPERLINK("https://www.ncbi.nlm.nih.gov/geo/query/acc.cgi?acc=GSM875945","GSM875945")</f>
        <v>GSM875945</v>
      </c>
      <c r="I3607" t="s">
        <v>69</v>
      </c>
      <c r="J3607" t="s">
        <v>18</v>
      </c>
      <c r="K3607" t="s">
        <v>19</v>
      </c>
      <c r="L3607" t="s">
        <v>70</v>
      </c>
      <c r="M3607" t="s">
        <v>44</v>
      </c>
      <c r="N3607" t="s">
        <v>29</v>
      </c>
    </row>
    <row r="3608" spans="1:14">
      <c r="A3608" s="4" t="str">
        <f t="shared" si="338"/>
        <v>EXP00111</v>
      </c>
      <c r="B3608" s="4" t="str">
        <f t="shared" si="336"/>
        <v>23987127</v>
      </c>
      <c r="C3608" s="4" t="str">
        <f t="shared" si="337"/>
        <v>GSE35834</v>
      </c>
      <c r="D3608" s="1" t="s">
        <v>225</v>
      </c>
      <c r="E3608" t="s">
        <v>68</v>
      </c>
      <c r="F3608" s="1">
        <v>1</v>
      </c>
      <c r="G3608" s="1" t="s">
        <v>31</v>
      </c>
      <c r="H3608" s="4" t="str">
        <f>HYPERLINK("https://www.ncbi.nlm.nih.gov/geo/query/acc.cgi?acc=GSM875947","GSM875947")</f>
        <v>GSM875947</v>
      </c>
      <c r="I3608" t="s">
        <v>69</v>
      </c>
      <c r="J3608" t="s">
        <v>18</v>
      </c>
      <c r="K3608" t="s">
        <v>19</v>
      </c>
      <c r="L3608" t="s">
        <v>70</v>
      </c>
      <c r="M3608" t="s">
        <v>44</v>
      </c>
      <c r="N3608" t="s">
        <v>29</v>
      </c>
    </row>
    <row r="3609" spans="1:14">
      <c r="A3609" s="4" t="str">
        <f t="shared" si="338"/>
        <v>EXP00111</v>
      </c>
      <c r="B3609" s="4" t="str">
        <f t="shared" si="336"/>
        <v>23987127</v>
      </c>
      <c r="C3609" s="4" t="str">
        <f t="shared" si="337"/>
        <v>GSE35834</v>
      </c>
      <c r="D3609" s="1" t="s">
        <v>225</v>
      </c>
      <c r="E3609" t="s">
        <v>68</v>
      </c>
      <c r="F3609" s="1">
        <v>1</v>
      </c>
      <c r="G3609" s="1" t="s">
        <v>31</v>
      </c>
      <c r="H3609" s="4" t="str">
        <f>HYPERLINK("https://www.ncbi.nlm.nih.gov/geo/query/acc.cgi?acc=GSM875957","GSM875957")</f>
        <v>GSM875957</v>
      </c>
      <c r="I3609" t="s">
        <v>69</v>
      </c>
      <c r="J3609" t="s">
        <v>18</v>
      </c>
      <c r="K3609" t="s">
        <v>19</v>
      </c>
      <c r="L3609" t="s">
        <v>70</v>
      </c>
      <c r="M3609" t="s">
        <v>44</v>
      </c>
      <c r="N3609" t="s">
        <v>29</v>
      </c>
    </row>
    <row r="3610" spans="1:14">
      <c r="A3610" s="4" t="str">
        <f t="shared" si="338"/>
        <v>EXP00111</v>
      </c>
      <c r="B3610" s="4" t="str">
        <f t="shared" si="336"/>
        <v>23987127</v>
      </c>
      <c r="C3610" s="4" t="str">
        <f t="shared" si="337"/>
        <v>GSE35834</v>
      </c>
      <c r="D3610" s="1" t="s">
        <v>225</v>
      </c>
      <c r="E3610" t="s">
        <v>68</v>
      </c>
      <c r="F3610" s="1">
        <v>1</v>
      </c>
      <c r="G3610" s="1" t="s">
        <v>31</v>
      </c>
      <c r="H3610" s="4" t="str">
        <f>HYPERLINK("https://www.ncbi.nlm.nih.gov/geo/query/acc.cgi?acc=GSM875963","GSM875963")</f>
        <v>GSM875963</v>
      </c>
      <c r="I3610" t="s">
        <v>69</v>
      </c>
      <c r="J3610" t="s">
        <v>18</v>
      </c>
      <c r="K3610" t="s">
        <v>19</v>
      </c>
      <c r="L3610" t="s">
        <v>70</v>
      </c>
      <c r="M3610" t="s">
        <v>44</v>
      </c>
      <c r="N3610" t="s">
        <v>29</v>
      </c>
    </row>
    <row r="3611" spans="1:14">
      <c r="A3611" s="4" t="str">
        <f t="shared" si="338"/>
        <v>EXP00111</v>
      </c>
      <c r="B3611" s="4" t="str">
        <f t="shared" si="336"/>
        <v>23987127</v>
      </c>
      <c r="C3611" s="4" t="str">
        <f t="shared" si="337"/>
        <v>GSE35834</v>
      </c>
      <c r="D3611" s="1" t="s">
        <v>225</v>
      </c>
      <c r="E3611" t="s">
        <v>68</v>
      </c>
      <c r="F3611" s="1">
        <v>1</v>
      </c>
      <c r="G3611" s="1" t="s">
        <v>31</v>
      </c>
      <c r="H3611" s="4" t="str">
        <f>HYPERLINK("https://www.ncbi.nlm.nih.gov/geo/query/acc.cgi?acc=GSM875965","GSM875965")</f>
        <v>GSM875965</v>
      </c>
      <c r="I3611" t="s">
        <v>69</v>
      </c>
      <c r="J3611" t="s">
        <v>18</v>
      </c>
      <c r="K3611" t="s">
        <v>19</v>
      </c>
      <c r="L3611" t="s">
        <v>70</v>
      </c>
      <c r="M3611" t="s">
        <v>44</v>
      </c>
      <c r="N3611" t="s">
        <v>29</v>
      </c>
    </row>
    <row r="3612" spans="1:14">
      <c r="A3612" s="4" t="str">
        <f t="shared" si="338"/>
        <v>EXP00111</v>
      </c>
      <c r="B3612" s="4" t="str">
        <f t="shared" si="336"/>
        <v>23987127</v>
      </c>
      <c r="C3612" s="4" t="str">
        <f t="shared" si="337"/>
        <v>GSE35834</v>
      </c>
      <c r="D3612" s="1" t="s">
        <v>225</v>
      </c>
      <c r="E3612" t="s">
        <v>68</v>
      </c>
      <c r="F3612" s="1">
        <v>1</v>
      </c>
      <c r="G3612" s="1" t="s">
        <v>31</v>
      </c>
      <c r="H3612" s="4" t="str">
        <f>HYPERLINK("https://www.ncbi.nlm.nih.gov/geo/query/acc.cgi?acc=GSM875968","GSM875968")</f>
        <v>GSM875968</v>
      </c>
      <c r="I3612" t="s">
        <v>69</v>
      </c>
      <c r="J3612" t="s">
        <v>18</v>
      </c>
      <c r="K3612" t="s">
        <v>19</v>
      </c>
      <c r="L3612" t="s">
        <v>70</v>
      </c>
      <c r="M3612" t="s">
        <v>44</v>
      </c>
      <c r="N3612" t="s">
        <v>29</v>
      </c>
    </row>
    <row r="3613" spans="1:14">
      <c r="A3613" s="4" t="str">
        <f t="shared" si="338"/>
        <v>EXP00111</v>
      </c>
      <c r="B3613" s="4" t="str">
        <f t="shared" si="336"/>
        <v>23987127</v>
      </c>
      <c r="C3613" s="4" t="str">
        <f t="shared" si="337"/>
        <v>GSE35834</v>
      </c>
      <c r="D3613" s="1" t="s">
        <v>225</v>
      </c>
      <c r="E3613" t="s">
        <v>68</v>
      </c>
      <c r="F3613" s="1">
        <v>1</v>
      </c>
      <c r="G3613" s="1" t="s">
        <v>31</v>
      </c>
      <c r="H3613" s="4" t="str">
        <f>HYPERLINK("https://www.ncbi.nlm.nih.gov/geo/query/acc.cgi?acc=GSM875969","GSM875969")</f>
        <v>GSM875969</v>
      </c>
      <c r="I3613" t="s">
        <v>69</v>
      </c>
      <c r="J3613" t="s">
        <v>18</v>
      </c>
      <c r="K3613" t="s">
        <v>19</v>
      </c>
      <c r="L3613" t="s">
        <v>70</v>
      </c>
      <c r="M3613" t="s">
        <v>44</v>
      </c>
      <c r="N3613" t="s">
        <v>29</v>
      </c>
    </row>
    <row r="3614" spans="1:14">
      <c r="A3614" s="4" t="str">
        <f t="shared" si="338"/>
        <v>EXP00111</v>
      </c>
      <c r="B3614" s="4" t="str">
        <f t="shared" si="336"/>
        <v>23987127</v>
      </c>
      <c r="C3614" s="4" t="str">
        <f t="shared" si="337"/>
        <v>GSE35834</v>
      </c>
      <c r="D3614" s="1" t="s">
        <v>225</v>
      </c>
      <c r="E3614" t="s">
        <v>68</v>
      </c>
      <c r="F3614" s="1">
        <v>1</v>
      </c>
      <c r="G3614" s="1" t="s">
        <v>31</v>
      </c>
      <c r="H3614" s="4" t="str">
        <f>HYPERLINK("https://www.ncbi.nlm.nih.gov/geo/query/acc.cgi?acc=GSM875971","GSM875971")</f>
        <v>GSM875971</v>
      </c>
      <c r="I3614" t="s">
        <v>69</v>
      </c>
      <c r="J3614" t="s">
        <v>18</v>
      </c>
      <c r="K3614" t="s">
        <v>19</v>
      </c>
      <c r="L3614" t="s">
        <v>70</v>
      </c>
      <c r="M3614" t="s">
        <v>44</v>
      </c>
      <c r="N3614" t="s">
        <v>29</v>
      </c>
    </row>
    <row r="3615" spans="1:14">
      <c r="A3615" s="4" t="str">
        <f t="shared" si="338"/>
        <v>EXP00111</v>
      </c>
      <c r="B3615" s="4" t="str">
        <f t="shared" si="336"/>
        <v>23987127</v>
      </c>
      <c r="C3615" s="4" t="str">
        <f t="shared" si="337"/>
        <v>GSE35834</v>
      </c>
      <c r="D3615" s="1" t="s">
        <v>225</v>
      </c>
      <c r="E3615" t="s">
        <v>68</v>
      </c>
      <c r="F3615" s="1">
        <v>1</v>
      </c>
      <c r="G3615" s="1" t="s">
        <v>31</v>
      </c>
      <c r="H3615" s="4" t="str">
        <f>HYPERLINK("https://www.ncbi.nlm.nih.gov/geo/query/acc.cgi?acc=GSM875972","GSM875972")</f>
        <v>GSM875972</v>
      </c>
      <c r="I3615" t="s">
        <v>69</v>
      </c>
      <c r="J3615" t="s">
        <v>18</v>
      </c>
      <c r="K3615" t="s">
        <v>19</v>
      </c>
      <c r="L3615" t="s">
        <v>70</v>
      </c>
      <c r="M3615" t="s">
        <v>44</v>
      </c>
      <c r="N3615" t="s">
        <v>29</v>
      </c>
    </row>
    <row r="3616" spans="1:14">
      <c r="A3616" s="4" t="str">
        <f t="shared" si="338"/>
        <v>EXP00111</v>
      </c>
      <c r="B3616" s="4" t="str">
        <f t="shared" si="336"/>
        <v>23987127</v>
      </c>
      <c r="C3616" s="4" t="str">
        <f t="shared" si="337"/>
        <v>GSE35834</v>
      </c>
      <c r="D3616" s="1" t="s">
        <v>225</v>
      </c>
      <c r="E3616" t="s">
        <v>68</v>
      </c>
      <c r="F3616" s="1">
        <v>1</v>
      </c>
      <c r="G3616" s="1" t="s">
        <v>31</v>
      </c>
      <c r="H3616" s="4" t="str">
        <f>HYPERLINK("https://www.ncbi.nlm.nih.gov/geo/query/acc.cgi?acc=GSM875978","GSM875978")</f>
        <v>GSM875978</v>
      </c>
      <c r="I3616" t="s">
        <v>69</v>
      </c>
      <c r="J3616" t="s">
        <v>18</v>
      </c>
      <c r="K3616" t="s">
        <v>19</v>
      </c>
      <c r="L3616" t="s">
        <v>70</v>
      </c>
      <c r="M3616" t="s">
        <v>44</v>
      </c>
      <c r="N3616" t="s">
        <v>29</v>
      </c>
    </row>
    <row r="3617" spans="1:14">
      <c r="A3617" s="4" t="str">
        <f t="shared" si="338"/>
        <v>EXP00111</v>
      </c>
      <c r="B3617" s="4" t="str">
        <f t="shared" si="336"/>
        <v>23987127</v>
      </c>
      <c r="C3617" s="4" t="str">
        <f t="shared" si="337"/>
        <v>GSE35834</v>
      </c>
      <c r="D3617" s="1" t="s">
        <v>225</v>
      </c>
      <c r="E3617" t="s">
        <v>68</v>
      </c>
      <c r="F3617" s="1">
        <v>1</v>
      </c>
      <c r="G3617" s="1" t="s">
        <v>31</v>
      </c>
      <c r="H3617" s="4" t="str">
        <f>HYPERLINK("https://www.ncbi.nlm.nih.gov/geo/query/acc.cgi?acc=GSM875995","GSM875995")</f>
        <v>GSM875995</v>
      </c>
      <c r="I3617" t="s">
        <v>69</v>
      </c>
      <c r="J3617" t="s">
        <v>18</v>
      </c>
      <c r="K3617" t="s">
        <v>19</v>
      </c>
      <c r="L3617" t="s">
        <v>70</v>
      </c>
      <c r="M3617" t="s">
        <v>44</v>
      </c>
      <c r="N3617" t="s">
        <v>29</v>
      </c>
    </row>
    <row r="3618" spans="1:14">
      <c r="A3618" s="4" t="str">
        <f t="shared" si="338"/>
        <v>EXP00111</v>
      </c>
      <c r="B3618" s="4" t="str">
        <f t="shared" si="336"/>
        <v>23987127</v>
      </c>
      <c r="C3618" s="4" t="str">
        <f t="shared" si="337"/>
        <v>GSE35834</v>
      </c>
      <c r="D3618" s="1" t="s">
        <v>225</v>
      </c>
      <c r="E3618" t="s">
        <v>68</v>
      </c>
      <c r="F3618" s="1">
        <v>1</v>
      </c>
      <c r="G3618" s="1" t="s">
        <v>31</v>
      </c>
      <c r="H3618" s="4" t="str">
        <f>HYPERLINK("https://www.ncbi.nlm.nih.gov/geo/query/acc.cgi?acc=GSM875998","GSM875998")</f>
        <v>GSM875998</v>
      </c>
      <c r="I3618" t="s">
        <v>69</v>
      </c>
      <c r="J3618" t="s">
        <v>18</v>
      </c>
      <c r="K3618" t="s">
        <v>19</v>
      </c>
      <c r="L3618" t="s">
        <v>70</v>
      </c>
      <c r="M3618" t="s">
        <v>44</v>
      </c>
      <c r="N3618" t="s">
        <v>29</v>
      </c>
    </row>
    <row r="3619" spans="1:14">
      <c r="A3619" s="4" t="str">
        <f t="shared" si="338"/>
        <v>EXP00111</v>
      </c>
      <c r="B3619" s="4" t="str">
        <f t="shared" si="336"/>
        <v>23987127</v>
      </c>
      <c r="C3619" s="4" t="str">
        <f t="shared" si="337"/>
        <v>GSE35834</v>
      </c>
      <c r="D3619" s="1" t="s">
        <v>225</v>
      </c>
      <c r="E3619" t="s">
        <v>68</v>
      </c>
      <c r="F3619" s="1">
        <v>1</v>
      </c>
      <c r="G3619" s="1" t="s">
        <v>31</v>
      </c>
      <c r="H3619" s="4" t="str">
        <f>HYPERLINK("https://www.ncbi.nlm.nih.gov/geo/query/acc.cgi?acc=GSM876007","GSM876007")</f>
        <v>GSM876007</v>
      </c>
      <c r="I3619" t="s">
        <v>69</v>
      </c>
      <c r="J3619" t="s">
        <v>18</v>
      </c>
      <c r="K3619" t="s">
        <v>19</v>
      </c>
      <c r="L3619" t="s">
        <v>70</v>
      </c>
      <c r="M3619" t="s">
        <v>44</v>
      </c>
      <c r="N3619" t="s">
        <v>29</v>
      </c>
    </row>
    <row r="3620" spans="1:14">
      <c r="A3620" s="4" t="str">
        <f t="shared" si="338"/>
        <v>EXP00111</v>
      </c>
      <c r="B3620" s="4" t="str">
        <f t="shared" si="336"/>
        <v>23987127</v>
      </c>
      <c r="C3620" s="4" t="str">
        <f t="shared" si="337"/>
        <v>GSE35834</v>
      </c>
      <c r="D3620" s="1" t="s">
        <v>225</v>
      </c>
      <c r="E3620" t="s">
        <v>68</v>
      </c>
      <c r="F3620" s="1">
        <v>2</v>
      </c>
      <c r="G3620" s="1" t="s">
        <v>32</v>
      </c>
      <c r="H3620" s="4" t="str">
        <f>HYPERLINK("https://www.ncbi.nlm.nih.gov/geo/query/acc.cgi?acc=GSM875938","GSM875938")</f>
        <v>GSM875938</v>
      </c>
      <c r="I3620" t="s">
        <v>69</v>
      </c>
      <c r="J3620" t="s">
        <v>18</v>
      </c>
      <c r="K3620" t="s">
        <v>33</v>
      </c>
      <c r="L3620" t="s">
        <v>70</v>
      </c>
      <c r="N3620" t="s">
        <v>29</v>
      </c>
    </row>
    <row r="3621" spans="1:14">
      <c r="A3621" s="4" t="str">
        <f t="shared" si="338"/>
        <v>EXP00111</v>
      </c>
      <c r="B3621" s="4" t="str">
        <f t="shared" si="336"/>
        <v>23987127</v>
      </c>
      <c r="C3621" s="4" t="str">
        <f t="shared" si="337"/>
        <v>GSE35834</v>
      </c>
      <c r="D3621" s="1" t="s">
        <v>225</v>
      </c>
      <c r="E3621" t="s">
        <v>68</v>
      </c>
      <c r="F3621" s="1">
        <v>2</v>
      </c>
      <c r="G3621" s="1" t="s">
        <v>32</v>
      </c>
      <c r="H3621" s="4" t="str">
        <f>HYPERLINK("https://www.ncbi.nlm.nih.gov/geo/query/acc.cgi?acc=GSM875939","GSM875939")</f>
        <v>GSM875939</v>
      </c>
      <c r="I3621" t="s">
        <v>69</v>
      </c>
      <c r="J3621" t="s">
        <v>18</v>
      </c>
      <c r="K3621" t="s">
        <v>33</v>
      </c>
      <c r="L3621" t="s">
        <v>70</v>
      </c>
      <c r="N3621" t="s">
        <v>29</v>
      </c>
    </row>
    <row r="3622" spans="1:14">
      <c r="A3622" s="4" t="str">
        <f t="shared" si="338"/>
        <v>EXP00111</v>
      </c>
      <c r="B3622" s="4" t="str">
        <f t="shared" si="336"/>
        <v>23987127</v>
      </c>
      <c r="C3622" s="4" t="str">
        <f t="shared" si="337"/>
        <v>GSE35834</v>
      </c>
      <c r="D3622" s="1" t="s">
        <v>225</v>
      </c>
      <c r="E3622" t="s">
        <v>68</v>
      </c>
      <c r="F3622" s="1">
        <v>2</v>
      </c>
      <c r="G3622" s="1" t="s">
        <v>32</v>
      </c>
      <c r="H3622" s="4" t="str">
        <f>HYPERLINK("https://www.ncbi.nlm.nih.gov/geo/query/acc.cgi?acc=GSM875940","GSM875940")</f>
        <v>GSM875940</v>
      </c>
      <c r="I3622" t="s">
        <v>69</v>
      </c>
      <c r="J3622" t="s">
        <v>18</v>
      </c>
      <c r="K3622" t="s">
        <v>33</v>
      </c>
      <c r="L3622" t="s">
        <v>70</v>
      </c>
      <c r="N3622" t="s">
        <v>29</v>
      </c>
    </row>
    <row r="3623" spans="1:14">
      <c r="A3623" s="4" t="str">
        <f t="shared" si="338"/>
        <v>EXP00111</v>
      </c>
      <c r="B3623" s="4" t="str">
        <f t="shared" ref="B3623:B3654" si="339">HYPERLINK("https://www.ncbi.nlm.nih.gov/pubmed/23987127","23987127")</f>
        <v>23987127</v>
      </c>
      <c r="C3623" s="4" t="str">
        <f t="shared" ref="C3623:C3654" si="340">HYPERLINK("https://www.ncbi.nlm.nih.gov/geo/query/acc.cgi?acc=GSE35834","GSE35834")</f>
        <v>GSE35834</v>
      </c>
      <c r="D3623" s="1" t="s">
        <v>225</v>
      </c>
      <c r="E3623" t="s">
        <v>68</v>
      </c>
      <c r="F3623" s="1">
        <v>2</v>
      </c>
      <c r="G3623" s="1" t="s">
        <v>32</v>
      </c>
      <c r="H3623" s="4" t="str">
        <f>HYPERLINK("https://www.ncbi.nlm.nih.gov/geo/query/acc.cgi?acc=GSM875943","GSM875943")</f>
        <v>GSM875943</v>
      </c>
      <c r="I3623" t="s">
        <v>69</v>
      </c>
      <c r="J3623" t="s">
        <v>18</v>
      </c>
      <c r="K3623" t="s">
        <v>33</v>
      </c>
      <c r="L3623" t="s">
        <v>70</v>
      </c>
      <c r="N3623" t="s">
        <v>29</v>
      </c>
    </row>
    <row r="3624" spans="1:14">
      <c r="A3624" s="4" t="str">
        <f t="shared" si="338"/>
        <v>EXP00111</v>
      </c>
      <c r="B3624" s="4" t="str">
        <f t="shared" si="339"/>
        <v>23987127</v>
      </c>
      <c r="C3624" s="4" t="str">
        <f t="shared" si="340"/>
        <v>GSE35834</v>
      </c>
      <c r="D3624" s="1" t="s">
        <v>225</v>
      </c>
      <c r="E3624" t="s">
        <v>68</v>
      </c>
      <c r="F3624" s="1">
        <v>2</v>
      </c>
      <c r="G3624" s="1" t="s">
        <v>32</v>
      </c>
      <c r="H3624" s="4" t="str">
        <f>HYPERLINK("https://www.ncbi.nlm.nih.gov/geo/query/acc.cgi?acc=GSM875958","GSM875958")</f>
        <v>GSM875958</v>
      </c>
      <c r="I3624" t="s">
        <v>69</v>
      </c>
      <c r="J3624" t="s">
        <v>18</v>
      </c>
      <c r="K3624" t="s">
        <v>33</v>
      </c>
      <c r="L3624" t="s">
        <v>70</v>
      </c>
      <c r="N3624" t="s">
        <v>29</v>
      </c>
    </row>
    <row r="3625" spans="1:14">
      <c r="A3625" s="4" t="str">
        <f t="shared" si="338"/>
        <v>EXP00111</v>
      </c>
      <c r="B3625" s="4" t="str">
        <f t="shared" si="339"/>
        <v>23987127</v>
      </c>
      <c r="C3625" s="4" t="str">
        <f t="shared" si="340"/>
        <v>GSE35834</v>
      </c>
      <c r="D3625" s="1" t="s">
        <v>225</v>
      </c>
      <c r="E3625" t="s">
        <v>68</v>
      </c>
      <c r="F3625" s="1">
        <v>2</v>
      </c>
      <c r="G3625" s="1" t="s">
        <v>32</v>
      </c>
      <c r="H3625" s="4" t="str">
        <f>HYPERLINK("https://www.ncbi.nlm.nih.gov/geo/query/acc.cgi?acc=GSM875973","GSM875973")</f>
        <v>GSM875973</v>
      </c>
      <c r="I3625" t="s">
        <v>69</v>
      </c>
      <c r="J3625" t="s">
        <v>18</v>
      </c>
      <c r="K3625" t="s">
        <v>33</v>
      </c>
      <c r="L3625" t="s">
        <v>70</v>
      </c>
      <c r="N3625" t="s">
        <v>29</v>
      </c>
    </row>
    <row r="3626" spans="1:14">
      <c r="A3626" s="4" t="str">
        <f t="shared" si="338"/>
        <v>EXP00111</v>
      </c>
      <c r="B3626" s="4" t="str">
        <f t="shared" si="339"/>
        <v>23987127</v>
      </c>
      <c r="C3626" s="4" t="str">
        <f t="shared" si="340"/>
        <v>GSE35834</v>
      </c>
      <c r="D3626" s="1" t="s">
        <v>225</v>
      </c>
      <c r="E3626" t="s">
        <v>68</v>
      </c>
      <c r="F3626" s="1">
        <v>2</v>
      </c>
      <c r="G3626" s="1" t="s">
        <v>32</v>
      </c>
      <c r="H3626" s="4" t="str">
        <f>HYPERLINK("https://www.ncbi.nlm.nih.gov/geo/query/acc.cgi?acc=GSM875974","GSM875974")</f>
        <v>GSM875974</v>
      </c>
      <c r="I3626" t="s">
        <v>69</v>
      </c>
      <c r="J3626" t="s">
        <v>18</v>
      </c>
      <c r="K3626" t="s">
        <v>33</v>
      </c>
      <c r="L3626" t="s">
        <v>70</v>
      </c>
      <c r="N3626" t="s">
        <v>29</v>
      </c>
    </row>
    <row r="3627" spans="1:14">
      <c r="A3627" s="4" t="str">
        <f t="shared" si="338"/>
        <v>EXP00111</v>
      </c>
      <c r="B3627" s="4" t="str">
        <f t="shared" si="339"/>
        <v>23987127</v>
      </c>
      <c r="C3627" s="4" t="str">
        <f t="shared" si="340"/>
        <v>GSE35834</v>
      </c>
      <c r="D3627" s="1" t="s">
        <v>225</v>
      </c>
      <c r="E3627" t="s">
        <v>68</v>
      </c>
      <c r="F3627" s="1">
        <v>2</v>
      </c>
      <c r="G3627" s="1" t="s">
        <v>32</v>
      </c>
      <c r="H3627" s="4" t="str">
        <f>HYPERLINK("https://www.ncbi.nlm.nih.gov/geo/query/acc.cgi?acc=GSM875987","GSM875987")</f>
        <v>GSM875987</v>
      </c>
      <c r="I3627" t="s">
        <v>69</v>
      </c>
      <c r="J3627" t="s">
        <v>18</v>
      </c>
      <c r="K3627" t="s">
        <v>33</v>
      </c>
      <c r="L3627" t="s">
        <v>70</v>
      </c>
      <c r="N3627" t="s">
        <v>29</v>
      </c>
    </row>
    <row r="3628" spans="1:14">
      <c r="A3628" s="4" t="str">
        <f t="shared" si="338"/>
        <v>EXP00111</v>
      </c>
      <c r="B3628" s="4" t="str">
        <f t="shared" si="339"/>
        <v>23987127</v>
      </c>
      <c r="C3628" s="4" t="str">
        <f t="shared" si="340"/>
        <v>GSE35834</v>
      </c>
      <c r="D3628" s="1" t="s">
        <v>225</v>
      </c>
      <c r="E3628" t="s">
        <v>68</v>
      </c>
      <c r="F3628" s="1">
        <v>2</v>
      </c>
      <c r="G3628" s="1" t="s">
        <v>32</v>
      </c>
      <c r="H3628" s="4" t="str">
        <f>HYPERLINK("https://www.ncbi.nlm.nih.gov/geo/query/acc.cgi?acc=GSM875991","GSM875991")</f>
        <v>GSM875991</v>
      </c>
      <c r="I3628" t="s">
        <v>69</v>
      </c>
      <c r="J3628" t="s">
        <v>18</v>
      </c>
      <c r="K3628" t="s">
        <v>33</v>
      </c>
      <c r="L3628" t="s">
        <v>70</v>
      </c>
      <c r="N3628" t="s">
        <v>29</v>
      </c>
    </row>
    <row r="3629" spans="1:14">
      <c r="A3629" s="4" t="str">
        <f t="shared" si="338"/>
        <v>EXP00111</v>
      </c>
      <c r="B3629" s="4" t="str">
        <f t="shared" si="339"/>
        <v>23987127</v>
      </c>
      <c r="C3629" s="4" t="str">
        <f t="shared" si="340"/>
        <v>GSE35834</v>
      </c>
      <c r="D3629" s="1" t="s">
        <v>225</v>
      </c>
      <c r="E3629" t="s">
        <v>68</v>
      </c>
      <c r="F3629" s="1">
        <v>2</v>
      </c>
      <c r="G3629" s="1" t="s">
        <v>32</v>
      </c>
      <c r="H3629" s="4" t="str">
        <f>HYPERLINK("https://www.ncbi.nlm.nih.gov/geo/query/acc.cgi?acc=GSM875999","GSM875999")</f>
        <v>GSM875999</v>
      </c>
      <c r="I3629" t="s">
        <v>69</v>
      </c>
      <c r="J3629" t="s">
        <v>18</v>
      </c>
      <c r="K3629" t="s">
        <v>33</v>
      </c>
      <c r="L3629" t="s">
        <v>70</v>
      </c>
      <c r="N3629" t="s">
        <v>29</v>
      </c>
    </row>
    <row r="3630" spans="1:14">
      <c r="A3630" s="4" t="str">
        <f t="shared" si="338"/>
        <v>EXP00111</v>
      </c>
      <c r="B3630" s="4" t="str">
        <f t="shared" si="339"/>
        <v>23987127</v>
      </c>
      <c r="C3630" s="4" t="str">
        <f t="shared" si="340"/>
        <v>GSE35834</v>
      </c>
      <c r="D3630" s="1" t="s">
        <v>225</v>
      </c>
      <c r="E3630" t="s">
        <v>68</v>
      </c>
      <c r="F3630" s="1">
        <v>2</v>
      </c>
      <c r="G3630" s="1" t="s">
        <v>32</v>
      </c>
      <c r="H3630" s="4" t="str">
        <f>HYPERLINK("https://www.ncbi.nlm.nih.gov/geo/query/acc.cgi?acc=GSM876004","GSM876004")</f>
        <v>GSM876004</v>
      </c>
      <c r="I3630" t="s">
        <v>69</v>
      </c>
      <c r="J3630" t="s">
        <v>18</v>
      </c>
      <c r="K3630" t="s">
        <v>33</v>
      </c>
      <c r="L3630" t="s">
        <v>70</v>
      </c>
      <c r="N3630" t="s">
        <v>29</v>
      </c>
    </row>
    <row r="3631" spans="1:14">
      <c r="A3631" s="4" t="str">
        <f t="shared" si="338"/>
        <v>EXP00111</v>
      </c>
      <c r="B3631" s="4" t="str">
        <f t="shared" si="339"/>
        <v>23987127</v>
      </c>
      <c r="C3631" s="4" t="str">
        <f t="shared" si="340"/>
        <v>GSE35834</v>
      </c>
      <c r="D3631" s="1" t="s">
        <v>225</v>
      </c>
      <c r="E3631" t="s">
        <v>68</v>
      </c>
      <c r="F3631" s="1">
        <v>2</v>
      </c>
      <c r="G3631" s="1" t="s">
        <v>32</v>
      </c>
      <c r="H3631" s="4" t="str">
        <f>HYPERLINK("https://www.ncbi.nlm.nih.gov/geo/query/acc.cgi?acc=GSM876010","GSM876010")</f>
        <v>GSM876010</v>
      </c>
      <c r="I3631" t="s">
        <v>69</v>
      </c>
      <c r="J3631" t="s">
        <v>18</v>
      </c>
      <c r="K3631" t="s">
        <v>33</v>
      </c>
      <c r="L3631" t="s">
        <v>70</v>
      </c>
      <c r="N3631" t="s">
        <v>29</v>
      </c>
    </row>
    <row r="3632" spans="1:14">
      <c r="A3632" s="4" t="str">
        <f t="shared" ref="A3632:A3654" si="341">HYPERLINK("http://hcmdb.i-sanger.com/experiment/details/experiment_id/EXP00112","EXP00112")</f>
        <v>EXP00112</v>
      </c>
      <c r="B3632" s="4" t="str">
        <f t="shared" si="339"/>
        <v>23987127</v>
      </c>
      <c r="C3632" s="4" t="str">
        <f t="shared" si="340"/>
        <v>GSE35834</v>
      </c>
      <c r="D3632" s="1" t="s">
        <v>225</v>
      </c>
      <c r="E3632" t="s">
        <v>96</v>
      </c>
      <c r="F3632" s="1">
        <v>1</v>
      </c>
      <c r="G3632" s="1" t="s">
        <v>36</v>
      </c>
      <c r="H3632" s="4" t="str">
        <f>HYPERLINK("https://www.ncbi.nlm.nih.gov/geo/query/acc.cgi?acc=GSM875937","GSM875937")</f>
        <v>GSM875937</v>
      </c>
      <c r="I3632" t="s">
        <v>69</v>
      </c>
      <c r="J3632" t="s">
        <v>18</v>
      </c>
      <c r="K3632" t="s">
        <v>33</v>
      </c>
      <c r="L3632" t="s">
        <v>70</v>
      </c>
      <c r="N3632" t="s">
        <v>37</v>
      </c>
    </row>
    <row r="3633" spans="1:14">
      <c r="A3633" s="4" t="str">
        <f t="shared" si="341"/>
        <v>EXP00112</v>
      </c>
      <c r="B3633" s="4" t="str">
        <f t="shared" si="339"/>
        <v>23987127</v>
      </c>
      <c r="C3633" s="4" t="str">
        <f t="shared" si="340"/>
        <v>GSE35834</v>
      </c>
      <c r="D3633" s="1" t="s">
        <v>225</v>
      </c>
      <c r="E3633" t="s">
        <v>96</v>
      </c>
      <c r="F3633" s="1">
        <v>1</v>
      </c>
      <c r="G3633" s="1" t="s">
        <v>36</v>
      </c>
      <c r="H3633" s="4" t="str">
        <f>HYPERLINK("https://www.ncbi.nlm.nih.gov/geo/query/acc.cgi?acc=GSM875950","GSM875950")</f>
        <v>GSM875950</v>
      </c>
      <c r="I3633" t="s">
        <v>69</v>
      </c>
      <c r="J3633" t="s">
        <v>18</v>
      </c>
      <c r="K3633" t="s">
        <v>33</v>
      </c>
      <c r="L3633" t="s">
        <v>70</v>
      </c>
      <c r="N3633" t="s">
        <v>37</v>
      </c>
    </row>
    <row r="3634" spans="1:14">
      <c r="A3634" s="4" t="str">
        <f t="shared" si="341"/>
        <v>EXP00112</v>
      </c>
      <c r="B3634" s="4" t="str">
        <f t="shared" si="339"/>
        <v>23987127</v>
      </c>
      <c r="C3634" s="4" t="str">
        <f t="shared" si="340"/>
        <v>GSE35834</v>
      </c>
      <c r="D3634" s="1" t="s">
        <v>225</v>
      </c>
      <c r="E3634" t="s">
        <v>96</v>
      </c>
      <c r="F3634" s="1">
        <v>1</v>
      </c>
      <c r="G3634" s="1" t="s">
        <v>36</v>
      </c>
      <c r="H3634" s="4" t="str">
        <f>HYPERLINK("https://www.ncbi.nlm.nih.gov/geo/query/acc.cgi?acc=GSM875975","GSM875975")</f>
        <v>GSM875975</v>
      </c>
      <c r="I3634" t="s">
        <v>69</v>
      </c>
      <c r="J3634" t="s">
        <v>18</v>
      </c>
      <c r="K3634" t="s">
        <v>33</v>
      </c>
      <c r="L3634" t="s">
        <v>70</v>
      </c>
      <c r="N3634" t="s">
        <v>37</v>
      </c>
    </row>
    <row r="3635" spans="1:14">
      <c r="A3635" s="4" t="str">
        <f t="shared" si="341"/>
        <v>EXP00112</v>
      </c>
      <c r="B3635" s="4" t="str">
        <f t="shared" si="339"/>
        <v>23987127</v>
      </c>
      <c r="C3635" s="4" t="str">
        <f t="shared" si="340"/>
        <v>GSE35834</v>
      </c>
      <c r="D3635" s="1" t="s">
        <v>225</v>
      </c>
      <c r="E3635" t="s">
        <v>96</v>
      </c>
      <c r="F3635" s="1">
        <v>1</v>
      </c>
      <c r="G3635" s="1" t="s">
        <v>36</v>
      </c>
      <c r="H3635" s="4" t="str">
        <f>HYPERLINK("https://www.ncbi.nlm.nih.gov/geo/query/acc.cgi?acc=GSM875981","GSM875981")</f>
        <v>GSM875981</v>
      </c>
      <c r="I3635" t="s">
        <v>69</v>
      </c>
      <c r="J3635" t="s">
        <v>18</v>
      </c>
      <c r="K3635" t="s">
        <v>33</v>
      </c>
      <c r="L3635" t="s">
        <v>70</v>
      </c>
      <c r="N3635" t="s">
        <v>37</v>
      </c>
    </row>
    <row r="3636" spans="1:14">
      <c r="A3636" s="4" t="str">
        <f t="shared" si="341"/>
        <v>EXP00112</v>
      </c>
      <c r="B3636" s="4" t="str">
        <f t="shared" si="339"/>
        <v>23987127</v>
      </c>
      <c r="C3636" s="4" t="str">
        <f t="shared" si="340"/>
        <v>GSE35834</v>
      </c>
      <c r="D3636" s="1" t="s">
        <v>225</v>
      </c>
      <c r="E3636" t="s">
        <v>96</v>
      </c>
      <c r="F3636" s="1">
        <v>1</v>
      </c>
      <c r="G3636" s="1" t="s">
        <v>36</v>
      </c>
      <c r="H3636" s="4" t="str">
        <f>HYPERLINK("https://www.ncbi.nlm.nih.gov/geo/query/acc.cgi?acc=GSM875985","GSM875985")</f>
        <v>GSM875985</v>
      </c>
      <c r="I3636" t="s">
        <v>69</v>
      </c>
      <c r="J3636" t="s">
        <v>18</v>
      </c>
      <c r="K3636" t="s">
        <v>33</v>
      </c>
      <c r="L3636" t="s">
        <v>70</v>
      </c>
      <c r="N3636" t="s">
        <v>37</v>
      </c>
    </row>
    <row r="3637" spans="1:14">
      <c r="A3637" s="4" t="str">
        <f t="shared" si="341"/>
        <v>EXP00112</v>
      </c>
      <c r="B3637" s="4" t="str">
        <f t="shared" si="339"/>
        <v>23987127</v>
      </c>
      <c r="C3637" s="4" t="str">
        <f t="shared" si="340"/>
        <v>GSE35834</v>
      </c>
      <c r="D3637" s="1" t="s">
        <v>225</v>
      </c>
      <c r="E3637" t="s">
        <v>96</v>
      </c>
      <c r="F3637" s="1">
        <v>1</v>
      </c>
      <c r="G3637" s="1" t="s">
        <v>36</v>
      </c>
      <c r="H3637" s="4" t="str">
        <f>HYPERLINK("https://www.ncbi.nlm.nih.gov/geo/query/acc.cgi?acc=GSM875986","GSM875986")</f>
        <v>GSM875986</v>
      </c>
      <c r="I3637" t="s">
        <v>69</v>
      </c>
      <c r="J3637" t="s">
        <v>18</v>
      </c>
      <c r="K3637" t="s">
        <v>33</v>
      </c>
      <c r="L3637" t="s">
        <v>70</v>
      </c>
      <c r="N3637" t="s">
        <v>37</v>
      </c>
    </row>
    <row r="3638" spans="1:14">
      <c r="A3638" s="4" t="str">
        <f t="shared" si="341"/>
        <v>EXP00112</v>
      </c>
      <c r="B3638" s="4" t="str">
        <f t="shared" si="339"/>
        <v>23987127</v>
      </c>
      <c r="C3638" s="4" t="str">
        <f t="shared" si="340"/>
        <v>GSE35834</v>
      </c>
      <c r="D3638" s="1" t="s">
        <v>225</v>
      </c>
      <c r="E3638" t="s">
        <v>96</v>
      </c>
      <c r="F3638" s="1">
        <v>1</v>
      </c>
      <c r="G3638" s="1" t="s">
        <v>36</v>
      </c>
      <c r="H3638" s="4" t="str">
        <f>HYPERLINK("https://www.ncbi.nlm.nih.gov/geo/query/acc.cgi?acc=GSM875989","GSM875989")</f>
        <v>GSM875989</v>
      </c>
      <c r="I3638" t="s">
        <v>69</v>
      </c>
      <c r="J3638" t="s">
        <v>18</v>
      </c>
      <c r="K3638" t="s">
        <v>33</v>
      </c>
      <c r="L3638" t="s">
        <v>70</v>
      </c>
      <c r="N3638" t="s">
        <v>37</v>
      </c>
    </row>
    <row r="3639" spans="1:14">
      <c r="A3639" s="4" t="str">
        <f t="shared" si="341"/>
        <v>EXP00112</v>
      </c>
      <c r="B3639" s="4" t="str">
        <f t="shared" si="339"/>
        <v>23987127</v>
      </c>
      <c r="C3639" s="4" t="str">
        <f t="shared" si="340"/>
        <v>GSE35834</v>
      </c>
      <c r="D3639" s="1" t="s">
        <v>225</v>
      </c>
      <c r="E3639" t="s">
        <v>96</v>
      </c>
      <c r="F3639" s="1">
        <v>1</v>
      </c>
      <c r="G3639" s="1" t="s">
        <v>36</v>
      </c>
      <c r="H3639" s="4" t="str">
        <f>HYPERLINK("https://www.ncbi.nlm.nih.gov/geo/query/acc.cgi?acc=GSM876002","GSM876002")</f>
        <v>GSM876002</v>
      </c>
      <c r="I3639" t="s">
        <v>69</v>
      </c>
      <c r="J3639" t="s">
        <v>18</v>
      </c>
      <c r="K3639" t="s">
        <v>33</v>
      </c>
      <c r="L3639" t="s">
        <v>70</v>
      </c>
      <c r="N3639" t="s">
        <v>37</v>
      </c>
    </row>
    <row r="3640" spans="1:14">
      <c r="A3640" s="4" t="str">
        <f t="shared" si="341"/>
        <v>EXP00112</v>
      </c>
      <c r="B3640" s="4" t="str">
        <f t="shared" si="339"/>
        <v>23987127</v>
      </c>
      <c r="C3640" s="4" t="str">
        <f t="shared" si="340"/>
        <v>GSE35834</v>
      </c>
      <c r="D3640" s="1" t="s">
        <v>225</v>
      </c>
      <c r="E3640" t="s">
        <v>96</v>
      </c>
      <c r="F3640" s="1">
        <v>1</v>
      </c>
      <c r="G3640" s="1" t="s">
        <v>36</v>
      </c>
      <c r="H3640" s="4" t="str">
        <f>HYPERLINK("https://www.ncbi.nlm.nih.gov/geo/query/acc.cgi?acc=GSM876005","GSM876005")</f>
        <v>GSM876005</v>
      </c>
      <c r="I3640" t="s">
        <v>69</v>
      </c>
      <c r="J3640" t="s">
        <v>18</v>
      </c>
      <c r="K3640" t="s">
        <v>33</v>
      </c>
      <c r="L3640" t="s">
        <v>70</v>
      </c>
      <c r="N3640" t="s">
        <v>37</v>
      </c>
    </row>
    <row r="3641" spans="1:14">
      <c r="A3641" s="4" t="str">
        <f t="shared" si="341"/>
        <v>EXP00112</v>
      </c>
      <c r="B3641" s="4" t="str">
        <f t="shared" si="339"/>
        <v>23987127</v>
      </c>
      <c r="C3641" s="4" t="str">
        <f t="shared" si="340"/>
        <v>GSE35834</v>
      </c>
      <c r="D3641" s="1" t="s">
        <v>225</v>
      </c>
      <c r="E3641" t="s">
        <v>96</v>
      </c>
      <c r="F3641" s="1">
        <v>1</v>
      </c>
      <c r="G3641" s="1" t="s">
        <v>36</v>
      </c>
      <c r="H3641" s="4" t="str">
        <f>HYPERLINK("https://www.ncbi.nlm.nih.gov/geo/query/acc.cgi?acc=GSM876009","GSM876009")</f>
        <v>GSM876009</v>
      </c>
      <c r="I3641" t="s">
        <v>69</v>
      </c>
      <c r="J3641" t="s">
        <v>18</v>
      </c>
      <c r="K3641" t="s">
        <v>33</v>
      </c>
      <c r="L3641" t="s">
        <v>70</v>
      </c>
      <c r="N3641" t="s">
        <v>37</v>
      </c>
    </row>
    <row r="3642" spans="1:14">
      <c r="A3642" s="4" t="str">
        <f t="shared" si="341"/>
        <v>EXP00112</v>
      </c>
      <c r="B3642" s="4" t="str">
        <f t="shared" si="339"/>
        <v>23987127</v>
      </c>
      <c r="C3642" s="4" t="str">
        <f t="shared" si="340"/>
        <v>GSE35834</v>
      </c>
      <c r="D3642" s="1" t="s">
        <v>225</v>
      </c>
      <c r="E3642" t="s">
        <v>96</v>
      </c>
      <c r="F3642" s="1">
        <v>1</v>
      </c>
      <c r="G3642" s="1" t="s">
        <v>36</v>
      </c>
      <c r="H3642" s="4" t="str">
        <f>HYPERLINK("https://www.ncbi.nlm.nih.gov/geo/query/acc.cgi?acc=GSM876011","GSM876011")</f>
        <v>GSM876011</v>
      </c>
      <c r="I3642" t="s">
        <v>69</v>
      </c>
      <c r="J3642" t="s">
        <v>18</v>
      </c>
      <c r="K3642" t="s">
        <v>33</v>
      </c>
      <c r="L3642" t="s">
        <v>70</v>
      </c>
      <c r="N3642" t="s">
        <v>37</v>
      </c>
    </row>
    <row r="3643" spans="1:14">
      <c r="A3643" s="4" t="str">
        <f t="shared" si="341"/>
        <v>EXP00112</v>
      </c>
      <c r="B3643" s="4" t="str">
        <f t="shared" si="339"/>
        <v>23987127</v>
      </c>
      <c r="C3643" s="4" t="str">
        <f t="shared" si="340"/>
        <v>GSE35834</v>
      </c>
      <c r="D3643" s="1" t="s">
        <v>225</v>
      </c>
      <c r="E3643" t="s">
        <v>96</v>
      </c>
      <c r="F3643" s="1">
        <v>2</v>
      </c>
      <c r="G3643" s="1" t="s">
        <v>28</v>
      </c>
      <c r="H3643" s="4" t="str">
        <f>HYPERLINK("https://www.ncbi.nlm.nih.gov/geo/query/acc.cgi?acc=GSM875938","GSM875938")</f>
        <v>GSM875938</v>
      </c>
      <c r="I3643" t="s">
        <v>69</v>
      </c>
      <c r="J3643" t="s">
        <v>18</v>
      </c>
      <c r="K3643" t="s">
        <v>33</v>
      </c>
      <c r="L3643" t="s">
        <v>70</v>
      </c>
      <c r="N3643" t="s">
        <v>29</v>
      </c>
    </row>
    <row r="3644" spans="1:14">
      <c r="A3644" s="4" t="str">
        <f t="shared" si="341"/>
        <v>EXP00112</v>
      </c>
      <c r="B3644" s="4" t="str">
        <f t="shared" si="339"/>
        <v>23987127</v>
      </c>
      <c r="C3644" s="4" t="str">
        <f t="shared" si="340"/>
        <v>GSE35834</v>
      </c>
      <c r="D3644" s="1" t="s">
        <v>225</v>
      </c>
      <c r="E3644" t="s">
        <v>96</v>
      </c>
      <c r="F3644" s="1">
        <v>2</v>
      </c>
      <c r="G3644" s="1" t="s">
        <v>28</v>
      </c>
      <c r="H3644" s="4" t="str">
        <f>HYPERLINK("https://www.ncbi.nlm.nih.gov/geo/query/acc.cgi?acc=GSM875939","GSM875939")</f>
        <v>GSM875939</v>
      </c>
      <c r="I3644" t="s">
        <v>69</v>
      </c>
      <c r="J3644" t="s">
        <v>18</v>
      </c>
      <c r="K3644" t="s">
        <v>33</v>
      </c>
      <c r="L3644" t="s">
        <v>70</v>
      </c>
      <c r="N3644" t="s">
        <v>29</v>
      </c>
    </row>
    <row r="3645" spans="1:14">
      <c r="A3645" s="4" t="str">
        <f t="shared" si="341"/>
        <v>EXP00112</v>
      </c>
      <c r="B3645" s="4" t="str">
        <f t="shared" si="339"/>
        <v>23987127</v>
      </c>
      <c r="C3645" s="4" t="str">
        <f t="shared" si="340"/>
        <v>GSE35834</v>
      </c>
      <c r="D3645" s="1" t="s">
        <v>225</v>
      </c>
      <c r="E3645" t="s">
        <v>96</v>
      </c>
      <c r="F3645" s="1">
        <v>2</v>
      </c>
      <c r="G3645" s="1" t="s">
        <v>28</v>
      </c>
      <c r="H3645" s="4" t="str">
        <f>HYPERLINK("https://www.ncbi.nlm.nih.gov/geo/query/acc.cgi?acc=GSM875940","GSM875940")</f>
        <v>GSM875940</v>
      </c>
      <c r="I3645" t="s">
        <v>69</v>
      </c>
      <c r="J3645" t="s">
        <v>18</v>
      </c>
      <c r="K3645" t="s">
        <v>33</v>
      </c>
      <c r="L3645" t="s">
        <v>70</v>
      </c>
      <c r="N3645" t="s">
        <v>29</v>
      </c>
    </row>
    <row r="3646" spans="1:14">
      <c r="A3646" s="4" t="str">
        <f t="shared" si="341"/>
        <v>EXP00112</v>
      </c>
      <c r="B3646" s="4" t="str">
        <f t="shared" si="339"/>
        <v>23987127</v>
      </c>
      <c r="C3646" s="4" t="str">
        <f t="shared" si="340"/>
        <v>GSE35834</v>
      </c>
      <c r="D3646" s="1" t="s">
        <v>225</v>
      </c>
      <c r="E3646" t="s">
        <v>96</v>
      </c>
      <c r="F3646" s="1">
        <v>2</v>
      </c>
      <c r="G3646" s="1" t="s">
        <v>28</v>
      </c>
      <c r="H3646" s="4" t="str">
        <f>HYPERLINK("https://www.ncbi.nlm.nih.gov/geo/query/acc.cgi?acc=GSM875943","GSM875943")</f>
        <v>GSM875943</v>
      </c>
      <c r="I3646" t="s">
        <v>69</v>
      </c>
      <c r="J3646" t="s">
        <v>18</v>
      </c>
      <c r="K3646" t="s">
        <v>33</v>
      </c>
      <c r="L3646" t="s">
        <v>70</v>
      </c>
      <c r="N3646" t="s">
        <v>29</v>
      </c>
    </row>
    <row r="3647" spans="1:14">
      <c r="A3647" s="4" t="str">
        <f t="shared" si="341"/>
        <v>EXP00112</v>
      </c>
      <c r="B3647" s="4" t="str">
        <f t="shared" si="339"/>
        <v>23987127</v>
      </c>
      <c r="C3647" s="4" t="str">
        <f t="shared" si="340"/>
        <v>GSE35834</v>
      </c>
      <c r="D3647" s="1" t="s">
        <v>225</v>
      </c>
      <c r="E3647" t="s">
        <v>96</v>
      </c>
      <c r="F3647" s="1">
        <v>2</v>
      </c>
      <c r="G3647" s="1" t="s">
        <v>28</v>
      </c>
      <c r="H3647" s="4" t="str">
        <f>HYPERLINK("https://www.ncbi.nlm.nih.gov/geo/query/acc.cgi?acc=GSM875958","GSM875958")</f>
        <v>GSM875958</v>
      </c>
      <c r="I3647" t="s">
        <v>69</v>
      </c>
      <c r="J3647" t="s">
        <v>18</v>
      </c>
      <c r="K3647" t="s">
        <v>33</v>
      </c>
      <c r="L3647" t="s">
        <v>70</v>
      </c>
      <c r="N3647" t="s">
        <v>29</v>
      </c>
    </row>
    <row r="3648" spans="1:14">
      <c r="A3648" s="4" t="str">
        <f t="shared" si="341"/>
        <v>EXP00112</v>
      </c>
      <c r="B3648" s="4" t="str">
        <f t="shared" si="339"/>
        <v>23987127</v>
      </c>
      <c r="C3648" s="4" t="str">
        <f t="shared" si="340"/>
        <v>GSE35834</v>
      </c>
      <c r="D3648" s="1" t="s">
        <v>225</v>
      </c>
      <c r="E3648" t="s">
        <v>96</v>
      </c>
      <c r="F3648" s="1">
        <v>2</v>
      </c>
      <c r="G3648" s="1" t="s">
        <v>28</v>
      </c>
      <c r="H3648" s="4" t="str">
        <f>HYPERLINK("https://www.ncbi.nlm.nih.gov/geo/query/acc.cgi?acc=GSM875973","GSM875973")</f>
        <v>GSM875973</v>
      </c>
      <c r="I3648" t="s">
        <v>69</v>
      </c>
      <c r="J3648" t="s">
        <v>18</v>
      </c>
      <c r="K3648" t="s">
        <v>33</v>
      </c>
      <c r="L3648" t="s">
        <v>70</v>
      </c>
      <c r="N3648" t="s">
        <v>29</v>
      </c>
    </row>
    <row r="3649" spans="1:14">
      <c r="A3649" s="4" t="str">
        <f t="shared" si="341"/>
        <v>EXP00112</v>
      </c>
      <c r="B3649" s="4" t="str">
        <f t="shared" si="339"/>
        <v>23987127</v>
      </c>
      <c r="C3649" s="4" t="str">
        <f t="shared" si="340"/>
        <v>GSE35834</v>
      </c>
      <c r="D3649" s="1" t="s">
        <v>225</v>
      </c>
      <c r="E3649" t="s">
        <v>96</v>
      </c>
      <c r="F3649" s="1">
        <v>2</v>
      </c>
      <c r="G3649" s="1" t="s">
        <v>28</v>
      </c>
      <c r="H3649" s="4" t="str">
        <f>HYPERLINK("https://www.ncbi.nlm.nih.gov/geo/query/acc.cgi?acc=GSM875974","GSM875974")</f>
        <v>GSM875974</v>
      </c>
      <c r="I3649" t="s">
        <v>69</v>
      </c>
      <c r="J3649" t="s">
        <v>18</v>
      </c>
      <c r="K3649" t="s">
        <v>33</v>
      </c>
      <c r="L3649" t="s">
        <v>70</v>
      </c>
      <c r="N3649" t="s">
        <v>29</v>
      </c>
    </row>
    <row r="3650" spans="1:14">
      <c r="A3650" s="4" t="str">
        <f t="shared" si="341"/>
        <v>EXP00112</v>
      </c>
      <c r="B3650" s="4" t="str">
        <f t="shared" si="339"/>
        <v>23987127</v>
      </c>
      <c r="C3650" s="4" t="str">
        <f t="shared" si="340"/>
        <v>GSE35834</v>
      </c>
      <c r="D3650" s="1" t="s">
        <v>225</v>
      </c>
      <c r="E3650" t="s">
        <v>96</v>
      </c>
      <c r="F3650" s="1">
        <v>2</v>
      </c>
      <c r="G3650" s="1" t="s">
        <v>28</v>
      </c>
      <c r="H3650" s="4" t="str">
        <f>HYPERLINK("https://www.ncbi.nlm.nih.gov/geo/query/acc.cgi?acc=GSM875987","GSM875987")</f>
        <v>GSM875987</v>
      </c>
      <c r="I3650" t="s">
        <v>69</v>
      </c>
      <c r="J3650" t="s">
        <v>18</v>
      </c>
      <c r="K3650" t="s">
        <v>33</v>
      </c>
      <c r="L3650" t="s">
        <v>70</v>
      </c>
      <c r="N3650" t="s">
        <v>29</v>
      </c>
    </row>
    <row r="3651" spans="1:14">
      <c r="A3651" s="4" t="str">
        <f t="shared" si="341"/>
        <v>EXP00112</v>
      </c>
      <c r="B3651" s="4" t="str">
        <f t="shared" si="339"/>
        <v>23987127</v>
      </c>
      <c r="C3651" s="4" t="str">
        <f t="shared" si="340"/>
        <v>GSE35834</v>
      </c>
      <c r="D3651" s="1" t="s">
        <v>225</v>
      </c>
      <c r="E3651" t="s">
        <v>96</v>
      </c>
      <c r="F3651" s="1">
        <v>2</v>
      </c>
      <c r="G3651" s="1" t="s">
        <v>28</v>
      </c>
      <c r="H3651" s="4" t="str">
        <f>HYPERLINK("https://www.ncbi.nlm.nih.gov/geo/query/acc.cgi?acc=GSM875991","GSM875991")</f>
        <v>GSM875991</v>
      </c>
      <c r="I3651" t="s">
        <v>69</v>
      </c>
      <c r="J3651" t="s">
        <v>18</v>
      </c>
      <c r="K3651" t="s">
        <v>33</v>
      </c>
      <c r="L3651" t="s">
        <v>70</v>
      </c>
      <c r="N3651" t="s">
        <v>29</v>
      </c>
    </row>
    <row r="3652" spans="1:14">
      <c r="A3652" s="4" t="str">
        <f t="shared" si="341"/>
        <v>EXP00112</v>
      </c>
      <c r="B3652" s="4" t="str">
        <f t="shared" si="339"/>
        <v>23987127</v>
      </c>
      <c r="C3652" s="4" t="str">
        <f t="shared" si="340"/>
        <v>GSE35834</v>
      </c>
      <c r="D3652" s="1" t="s">
        <v>225</v>
      </c>
      <c r="E3652" t="s">
        <v>96</v>
      </c>
      <c r="F3652" s="1">
        <v>2</v>
      </c>
      <c r="G3652" s="1" t="s">
        <v>28</v>
      </c>
      <c r="H3652" s="4" t="str">
        <f>HYPERLINK("https://www.ncbi.nlm.nih.gov/geo/query/acc.cgi?acc=GSM875999","GSM875999")</f>
        <v>GSM875999</v>
      </c>
      <c r="I3652" t="s">
        <v>69</v>
      </c>
      <c r="J3652" t="s">
        <v>18</v>
      </c>
      <c r="K3652" t="s">
        <v>33</v>
      </c>
      <c r="L3652" t="s">
        <v>70</v>
      </c>
      <c r="N3652" t="s">
        <v>29</v>
      </c>
    </row>
    <row r="3653" spans="1:14">
      <c r="A3653" s="4" t="str">
        <f t="shared" si="341"/>
        <v>EXP00112</v>
      </c>
      <c r="B3653" s="4" t="str">
        <f t="shared" si="339"/>
        <v>23987127</v>
      </c>
      <c r="C3653" s="4" t="str">
        <f t="shared" si="340"/>
        <v>GSE35834</v>
      </c>
      <c r="D3653" s="1" t="s">
        <v>225</v>
      </c>
      <c r="E3653" t="s">
        <v>96</v>
      </c>
      <c r="F3653" s="1">
        <v>2</v>
      </c>
      <c r="G3653" s="1" t="s">
        <v>28</v>
      </c>
      <c r="H3653" s="4" t="str">
        <f>HYPERLINK("https://www.ncbi.nlm.nih.gov/geo/query/acc.cgi?acc=GSM876004","GSM876004")</f>
        <v>GSM876004</v>
      </c>
      <c r="I3653" t="s">
        <v>69</v>
      </c>
      <c r="J3653" t="s">
        <v>18</v>
      </c>
      <c r="K3653" t="s">
        <v>33</v>
      </c>
      <c r="L3653" t="s">
        <v>70</v>
      </c>
      <c r="N3653" t="s">
        <v>29</v>
      </c>
    </row>
    <row r="3654" spans="1:14">
      <c r="A3654" s="4" t="str">
        <f t="shared" si="341"/>
        <v>EXP00112</v>
      </c>
      <c r="B3654" s="4" t="str">
        <f t="shared" si="339"/>
        <v>23987127</v>
      </c>
      <c r="C3654" s="4" t="str">
        <f t="shared" si="340"/>
        <v>GSE35834</v>
      </c>
      <c r="D3654" s="1" t="s">
        <v>225</v>
      </c>
      <c r="E3654" t="s">
        <v>96</v>
      </c>
      <c r="F3654" s="1">
        <v>2</v>
      </c>
      <c r="G3654" s="1" t="s">
        <v>28</v>
      </c>
      <c r="H3654" s="4" t="str">
        <f>HYPERLINK("https://www.ncbi.nlm.nih.gov/geo/query/acc.cgi?acc=GSM876010","GSM876010")</f>
        <v>GSM876010</v>
      </c>
      <c r="I3654" t="s">
        <v>69</v>
      </c>
      <c r="J3654" t="s">
        <v>18</v>
      </c>
      <c r="K3654" t="s">
        <v>33</v>
      </c>
      <c r="L3654" t="s">
        <v>70</v>
      </c>
      <c r="N3654" t="s">
        <v>29</v>
      </c>
    </row>
    <row r="3655" spans="1:14">
      <c r="A3655" s="4" t="str">
        <f t="shared" ref="A3655:A3659" si="342">HYPERLINK("http://hcmdb.i-sanger.com/experiment/details/experiment_id/EXP00113","EXP00113")</f>
        <v>EXP00113</v>
      </c>
      <c r="B3655" s="4" t="str">
        <f t="shared" ref="B3655:B3686" si="343">HYPERLINK("https://www.ncbi.nlm.nih.gov/pubmed/22294488","22294488")</f>
        <v>22294488</v>
      </c>
      <c r="C3655" s="4" t="str">
        <f t="shared" ref="C3655:C3686" si="344">HYPERLINK("https://www.ncbi.nlm.nih.gov/geo/query/acc.cgi?acc=GSE37407","GSE37407")</f>
        <v>GSE37407</v>
      </c>
      <c r="D3655" s="1" t="s">
        <v>226</v>
      </c>
      <c r="E3655" t="s">
        <v>227</v>
      </c>
      <c r="F3655" s="1">
        <v>1</v>
      </c>
      <c r="G3655" s="1" t="s">
        <v>36</v>
      </c>
      <c r="H3655" s="4" t="str">
        <f>HYPERLINK("https://www.ncbi.nlm.nih.gov/geo/query/acc.cgi?acc=GSM918057","GSM918057")</f>
        <v>GSM918057</v>
      </c>
      <c r="I3655" t="s">
        <v>17</v>
      </c>
      <c r="J3655" t="s">
        <v>18</v>
      </c>
      <c r="K3655" t="s">
        <v>19</v>
      </c>
      <c r="L3655" t="s">
        <v>20</v>
      </c>
      <c r="M3655" t="s">
        <v>228</v>
      </c>
      <c r="N3655" t="s">
        <v>37</v>
      </c>
    </row>
    <row r="3656" spans="1:14">
      <c r="A3656" s="4" t="str">
        <f t="shared" si="342"/>
        <v>EXP00113</v>
      </c>
      <c r="B3656" s="4" t="str">
        <f t="shared" si="343"/>
        <v>22294488</v>
      </c>
      <c r="C3656" s="4" t="str">
        <f t="shared" si="344"/>
        <v>GSE37407</v>
      </c>
      <c r="D3656" s="1" t="s">
        <v>226</v>
      </c>
      <c r="E3656" t="s">
        <v>227</v>
      </c>
      <c r="F3656" s="1">
        <v>1</v>
      </c>
      <c r="G3656" s="1" t="s">
        <v>36</v>
      </c>
      <c r="H3656" s="4" t="str">
        <f>HYPERLINK("https://www.ncbi.nlm.nih.gov/geo/query/acc.cgi?acc=GSM918058","GSM918058")</f>
        <v>GSM918058</v>
      </c>
      <c r="I3656" t="s">
        <v>17</v>
      </c>
      <c r="J3656" t="s">
        <v>18</v>
      </c>
      <c r="K3656" t="s">
        <v>19</v>
      </c>
      <c r="L3656" t="s">
        <v>20</v>
      </c>
      <c r="M3656" t="s">
        <v>228</v>
      </c>
      <c r="N3656" t="s">
        <v>37</v>
      </c>
    </row>
    <row r="3657" spans="1:14">
      <c r="A3657" s="4" t="str">
        <f t="shared" si="342"/>
        <v>EXP00113</v>
      </c>
      <c r="B3657" s="4" t="str">
        <f t="shared" si="343"/>
        <v>22294488</v>
      </c>
      <c r="C3657" s="4" t="str">
        <f t="shared" si="344"/>
        <v>GSE37407</v>
      </c>
      <c r="D3657" s="1" t="s">
        <v>226</v>
      </c>
      <c r="E3657" t="s">
        <v>227</v>
      </c>
      <c r="F3657" s="1">
        <v>1</v>
      </c>
      <c r="G3657" s="1" t="s">
        <v>36</v>
      </c>
      <c r="H3657" s="4" t="str">
        <f>HYPERLINK("https://www.ncbi.nlm.nih.gov/geo/query/acc.cgi?acc=GSM918059","GSM918059")</f>
        <v>GSM918059</v>
      </c>
      <c r="I3657" t="s">
        <v>17</v>
      </c>
      <c r="J3657" t="s">
        <v>18</v>
      </c>
      <c r="K3657" t="s">
        <v>19</v>
      </c>
      <c r="L3657" t="s">
        <v>20</v>
      </c>
      <c r="M3657" t="s">
        <v>228</v>
      </c>
      <c r="N3657" t="s">
        <v>37</v>
      </c>
    </row>
    <row r="3658" spans="1:14">
      <c r="A3658" s="4" t="str">
        <f t="shared" si="342"/>
        <v>EXP00113</v>
      </c>
      <c r="B3658" s="4" t="str">
        <f t="shared" si="343"/>
        <v>22294488</v>
      </c>
      <c r="C3658" s="4" t="str">
        <f t="shared" si="344"/>
        <v>GSE37407</v>
      </c>
      <c r="D3658" s="1" t="s">
        <v>226</v>
      </c>
      <c r="E3658" t="s">
        <v>227</v>
      </c>
      <c r="F3658" s="1">
        <v>2</v>
      </c>
      <c r="G3658" s="1" t="s">
        <v>28</v>
      </c>
      <c r="H3658" s="4" t="str">
        <f>HYPERLINK("https://www.ncbi.nlm.nih.gov/geo/query/acc.cgi?acc=GSM918023","GSM918023")</f>
        <v>GSM918023</v>
      </c>
      <c r="I3658" t="s">
        <v>17</v>
      </c>
      <c r="J3658" t="s">
        <v>18</v>
      </c>
      <c r="K3658" t="s">
        <v>19</v>
      </c>
      <c r="L3658" t="s">
        <v>20</v>
      </c>
      <c r="M3658" t="s">
        <v>228</v>
      </c>
      <c r="N3658" t="s">
        <v>29</v>
      </c>
    </row>
    <row r="3659" spans="1:14">
      <c r="A3659" s="4" t="str">
        <f t="shared" si="342"/>
        <v>EXP00113</v>
      </c>
      <c r="B3659" s="4" t="str">
        <f t="shared" si="343"/>
        <v>22294488</v>
      </c>
      <c r="C3659" s="4" t="str">
        <f t="shared" si="344"/>
        <v>GSE37407</v>
      </c>
      <c r="D3659" s="1" t="s">
        <v>226</v>
      </c>
      <c r="E3659" t="s">
        <v>227</v>
      </c>
      <c r="F3659" s="1">
        <v>2</v>
      </c>
      <c r="G3659" s="1" t="s">
        <v>28</v>
      </c>
      <c r="H3659" s="4" t="str">
        <f>HYPERLINK("https://www.ncbi.nlm.nih.gov/geo/query/acc.cgi?acc=GSM918056","GSM918056")</f>
        <v>GSM918056</v>
      </c>
      <c r="I3659" t="s">
        <v>17</v>
      </c>
      <c r="J3659" t="s">
        <v>18</v>
      </c>
      <c r="K3659" t="s">
        <v>19</v>
      </c>
      <c r="L3659" t="s">
        <v>20</v>
      </c>
      <c r="M3659" t="s">
        <v>228</v>
      </c>
      <c r="N3659" t="s">
        <v>29</v>
      </c>
    </row>
    <row r="3660" spans="1:14">
      <c r="A3660" s="4" t="str">
        <f t="shared" ref="A3660:A3675" si="345">HYPERLINK("http://hcmdb.i-sanger.com/experiment/details/experiment_id/EXP00114","EXP00114")</f>
        <v>EXP00114</v>
      </c>
      <c r="B3660" s="4" t="str">
        <f t="shared" si="343"/>
        <v>22294488</v>
      </c>
      <c r="C3660" s="4" t="str">
        <f t="shared" si="344"/>
        <v>GSE37407</v>
      </c>
      <c r="D3660" s="1" t="s">
        <v>226</v>
      </c>
      <c r="E3660" t="s">
        <v>229</v>
      </c>
      <c r="F3660" s="1">
        <v>1</v>
      </c>
      <c r="G3660" s="1" t="s">
        <v>75</v>
      </c>
      <c r="H3660" s="4" t="str">
        <f>HYPERLINK("https://www.ncbi.nlm.nih.gov/geo/query/acc.cgi?acc=GSM918015","GSM918015")</f>
        <v>GSM918015</v>
      </c>
      <c r="I3660" t="s">
        <v>17</v>
      </c>
      <c r="J3660" t="s">
        <v>18</v>
      </c>
      <c r="K3660" t="s">
        <v>19</v>
      </c>
      <c r="L3660" t="s">
        <v>20</v>
      </c>
      <c r="M3660" t="s">
        <v>21</v>
      </c>
      <c r="N3660" t="s">
        <v>76</v>
      </c>
    </row>
    <row r="3661" spans="1:14">
      <c r="A3661" s="4" t="str">
        <f t="shared" si="345"/>
        <v>EXP00114</v>
      </c>
      <c r="B3661" s="4" t="str">
        <f t="shared" si="343"/>
        <v>22294488</v>
      </c>
      <c r="C3661" s="4" t="str">
        <f t="shared" si="344"/>
        <v>GSE37407</v>
      </c>
      <c r="D3661" s="1" t="s">
        <v>226</v>
      </c>
      <c r="E3661" t="s">
        <v>229</v>
      </c>
      <c r="F3661" s="1">
        <v>1</v>
      </c>
      <c r="G3661" s="1" t="s">
        <v>75</v>
      </c>
      <c r="H3661" s="4" t="str">
        <f>HYPERLINK("https://www.ncbi.nlm.nih.gov/geo/query/acc.cgi?acc=GSM918064","GSM918064")</f>
        <v>GSM918064</v>
      </c>
      <c r="I3661" t="s">
        <v>17</v>
      </c>
      <c r="J3661" t="s">
        <v>18</v>
      </c>
      <c r="K3661" t="s">
        <v>19</v>
      </c>
      <c r="L3661" t="s">
        <v>20</v>
      </c>
      <c r="M3661" t="s">
        <v>21</v>
      </c>
      <c r="N3661" t="s">
        <v>76</v>
      </c>
    </row>
    <row r="3662" spans="1:14">
      <c r="A3662" s="4" t="str">
        <f t="shared" si="345"/>
        <v>EXP00114</v>
      </c>
      <c r="B3662" s="4" t="str">
        <f t="shared" si="343"/>
        <v>22294488</v>
      </c>
      <c r="C3662" s="4" t="str">
        <f t="shared" si="344"/>
        <v>GSE37407</v>
      </c>
      <c r="D3662" s="1" t="s">
        <v>226</v>
      </c>
      <c r="E3662" t="s">
        <v>229</v>
      </c>
      <c r="F3662" s="1">
        <v>2</v>
      </c>
      <c r="G3662" s="1" t="s">
        <v>26</v>
      </c>
      <c r="H3662" s="4" t="str">
        <f>HYPERLINK("https://www.ncbi.nlm.nih.gov/geo/query/acc.cgi?acc=GSM918012","GSM918012")</f>
        <v>GSM918012</v>
      </c>
      <c r="I3662" t="s">
        <v>17</v>
      </c>
      <c r="J3662" t="s">
        <v>18</v>
      </c>
      <c r="K3662" t="s">
        <v>19</v>
      </c>
      <c r="L3662" t="s">
        <v>20</v>
      </c>
      <c r="M3662" t="s">
        <v>21</v>
      </c>
      <c r="N3662" t="s">
        <v>22</v>
      </c>
    </row>
    <row r="3663" spans="1:14">
      <c r="A3663" s="4" t="str">
        <f t="shared" si="345"/>
        <v>EXP00114</v>
      </c>
      <c r="B3663" s="4" t="str">
        <f t="shared" si="343"/>
        <v>22294488</v>
      </c>
      <c r="C3663" s="4" t="str">
        <f t="shared" si="344"/>
        <v>GSE37407</v>
      </c>
      <c r="D3663" s="1" t="s">
        <v>226</v>
      </c>
      <c r="E3663" t="s">
        <v>229</v>
      </c>
      <c r="F3663" s="1">
        <v>2</v>
      </c>
      <c r="G3663" s="1" t="s">
        <v>26</v>
      </c>
      <c r="H3663" s="4" t="str">
        <f>HYPERLINK("https://www.ncbi.nlm.nih.gov/geo/query/acc.cgi?acc=GSM918014","GSM918014")</f>
        <v>GSM918014</v>
      </c>
      <c r="I3663" t="s">
        <v>17</v>
      </c>
      <c r="J3663" t="s">
        <v>18</v>
      </c>
      <c r="K3663" t="s">
        <v>19</v>
      </c>
      <c r="L3663" t="s">
        <v>20</v>
      </c>
      <c r="M3663" t="s">
        <v>21</v>
      </c>
      <c r="N3663" t="s">
        <v>22</v>
      </c>
    </row>
    <row r="3664" spans="1:14">
      <c r="A3664" s="4" t="str">
        <f t="shared" si="345"/>
        <v>EXP00114</v>
      </c>
      <c r="B3664" s="4" t="str">
        <f t="shared" si="343"/>
        <v>22294488</v>
      </c>
      <c r="C3664" s="4" t="str">
        <f t="shared" si="344"/>
        <v>GSE37407</v>
      </c>
      <c r="D3664" s="1" t="s">
        <v>226</v>
      </c>
      <c r="E3664" t="s">
        <v>229</v>
      </c>
      <c r="F3664" s="1">
        <v>2</v>
      </c>
      <c r="G3664" s="1" t="s">
        <v>26</v>
      </c>
      <c r="H3664" s="4" t="str">
        <f>HYPERLINK("https://www.ncbi.nlm.nih.gov/geo/query/acc.cgi?acc=GSM918020","GSM918020")</f>
        <v>GSM918020</v>
      </c>
      <c r="I3664" t="s">
        <v>17</v>
      </c>
      <c r="J3664" t="s">
        <v>18</v>
      </c>
      <c r="K3664" t="s">
        <v>19</v>
      </c>
      <c r="L3664" t="s">
        <v>20</v>
      </c>
      <c r="M3664" t="s">
        <v>21</v>
      </c>
      <c r="N3664" t="s">
        <v>22</v>
      </c>
    </row>
    <row r="3665" spans="1:14">
      <c r="A3665" s="4" t="str">
        <f t="shared" si="345"/>
        <v>EXP00114</v>
      </c>
      <c r="B3665" s="4" t="str">
        <f t="shared" si="343"/>
        <v>22294488</v>
      </c>
      <c r="C3665" s="4" t="str">
        <f t="shared" si="344"/>
        <v>GSE37407</v>
      </c>
      <c r="D3665" s="1" t="s">
        <v>226</v>
      </c>
      <c r="E3665" t="s">
        <v>229</v>
      </c>
      <c r="F3665" s="1">
        <v>2</v>
      </c>
      <c r="G3665" s="1" t="s">
        <v>26</v>
      </c>
      <c r="H3665" s="4" t="str">
        <f>HYPERLINK("https://www.ncbi.nlm.nih.gov/geo/query/acc.cgi?acc=GSM918021","GSM918021")</f>
        <v>GSM918021</v>
      </c>
      <c r="I3665" t="s">
        <v>17</v>
      </c>
      <c r="J3665" t="s">
        <v>18</v>
      </c>
      <c r="K3665" t="s">
        <v>19</v>
      </c>
      <c r="L3665" t="s">
        <v>20</v>
      </c>
      <c r="M3665" t="s">
        <v>21</v>
      </c>
      <c r="N3665" t="s">
        <v>22</v>
      </c>
    </row>
    <row r="3666" spans="1:14">
      <c r="A3666" s="4" t="str">
        <f t="shared" si="345"/>
        <v>EXP00114</v>
      </c>
      <c r="B3666" s="4" t="str">
        <f t="shared" si="343"/>
        <v>22294488</v>
      </c>
      <c r="C3666" s="4" t="str">
        <f t="shared" si="344"/>
        <v>GSE37407</v>
      </c>
      <c r="D3666" s="1" t="s">
        <v>226</v>
      </c>
      <c r="E3666" t="s">
        <v>229</v>
      </c>
      <c r="F3666" s="1">
        <v>2</v>
      </c>
      <c r="G3666" s="1" t="s">
        <v>26</v>
      </c>
      <c r="H3666" s="4" t="str">
        <f>HYPERLINK("https://www.ncbi.nlm.nih.gov/geo/query/acc.cgi?acc=GSM918025","GSM918025")</f>
        <v>GSM918025</v>
      </c>
      <c r="I3666" t="s">
        <v>17</v>
      </c>
      <c r="J3666" t="s">
        <v>18</v>
      </c>
      <c r="K3666" t="s">
        <v>19</v>
      </c>
      <c r="L3666" t="s">
        <v>20</v>
      </c>
      <c r="M3666" t="s">
        <v>21</v>
      </c>
      <c r="N3666" t="s">
        <v>22</v>
      </c>
    </row>
    <row r="3667" spans="1:14">
      <c r="A3667" s="4" t="str">
        <f t="shared" si="345"/>
        <v>EXP00114</v>
      </c>
      <c r="B3667" s="4" t="str">
        <f t="shared" si="343"/>
        <v>22294488</v>
      </c>
      <c r="C3667" s="4" t="str">
        <f t="shared" si="344"/>
        <v>GSE37407</v>
      </c>
      <c r="D3667" s="1" t="s">
        <v>226</v>
      </c>
      <c r="E3667" t="s">
        <v>229</v>
      </c>
      <c r="F3667" s="1">
        <v>2</v>
      </c>
      <c r="G3667" s="1" t="s">
        <v>26</v>
      </c>
      <c r="H3667" s="4" t="str">
        <f>HYPERLINK("https://www.ncbi.nlm.nih.gov/geo/query/acc.cgi?acc=GSM918028","GSM918028")</f>
        <v>GSM918028</v>
      </c>
      <c r="I3667" t="s">
        <v>17</v>
      </c>
      <c r="J3667" t="s">
        <v>18</v>
      </c>
      <c r="K3667" t="s">
        <v>19</v>
      </c>
      <c r="L3667" t="s">
        <v>20</v>
      </c>
      <c r="M3667" t="s">
        <v>21</v>
      </c>
      <c r="N3667" t="s">
        <v>22</v>
      </c>
    </row>
    <row r="3668" spans="1:14">
      <c r="A3668" s="4" t="str">
        <f t="shared" si="345"/>
        <v>EXP00114</v>
      </c>
      <c r="B3668" s="4" t="str">
        <f t="shared" si="343"/>
        <v>22294488</v>
      </c>
      <c r="C3668" s="4" t="str">
        <f t="shared" si="344"/>
        <v>GSE37407</v>
      </c>
      <c r="D3668" s="1" t="s">
        <v>226</v>
      </c>
      <c r="E3668" t="s">
        <v>229</v>
      </c>
      <c r="F3668" s="1">
        <v>2</v>
      </c>
      <c r="G3668" s="1" t="s">
        <v>26</v>
      </c>
      <c r="H3668" s="4" t="str">
        <f>HYPERLINK("https://www.ncbi.nlm.nih.gov/geo/query/acc.cgi?acc=GSM918035","GSM918035")</f>
        <v>GSM918035</v>
      </c>
      <c r="I3668" t="s">
        <v>17</v>
      </c>
      <c r="J3668" t="s">
        <v>18</v>
      </c>
      <c r="K3668" t="s">
        <v>19</v>
      </c>
      <c r="L3668" t="s">
        <v>20</v>
      </c>
      <c r="M3668" t="s">
        <v>21</v>
      </c>
      <c r="N3668" t="s">
        <v>22</v>
      </c>
    </row>
    <row r="3669" spans="1:14">
      <c r="A3669" s="4" t="str">
        <f t="shared" si="345"/>
        <v>EXP00114</v>
      </c>
      <c r="B3669" s="4" t="str">
        <f t="shared" si="343"/>
        <v>22294488</v>
      </c>
      <c r="C3669" s="4" t="str">
        <f t="shared" si="344"/>
        <v>GSE37407</v>
      </c>
      <c r="D3669" s="1" t="s">
        <v>226</v>
      </c>
      <c r="E3669" t="s">
        <v>229</v>
      </c>
      <c r="F3669" s="1">
        <v>2</v>
      </c>
      <c r="G3669" s="1" t="s">
        <v>26</v>
      </c>
      <c r="H3669" s="4" t="str">
        <f>HYPERLINK("https://www.ncbi.nlm.nih.gov/geo/query/acc.cgi?acc=GSM918036","GSM918036")</f>
        <v>GSM918036</v>
      </c>
      <c r="I3669" t="s">
        <v>17</v>
      </c>
      <c r="J3669" t="s">
        <v>18</v>
      </c>
      <c r="K3669" t="s">
        <v>19</v>
      </c>
      <c r="L3669" t="s">
        <v>20</v>
      </c>
      <c r="M3669" t="s">
        <v>21</v>
      </c>
      <c r="N3669" t="s">
        <v>22</v>
      </c>
    </row>
    <row r="3670" spans="1:14">
      <c r="A3670" s="4" t="str">
        <f t="shared" si="345"/>
        <v>EXP00114</v>
      </c>
      <c r="B3670" s="4" t="str">
        <f t="shared" si="343"/>
        <v>22294488</v>
      </c>
      <c r="C3670" s="4" t="str">
        <f t="shared" si="344"/>
        <v>GSE37407</v>
      </c>
      <c r="D3670" s="1" t="s">
        <v>226</v>
      </c>
      <c r="E3670" t="s">
        <v>229</v>
      </c>
      <c r="F3670" s="1">
        <v>2</v>
      </c>
      <c r="G3670" s="1" t="s">
        <v>26</v>
      </c>
      <c r="H3670" s="4" t="str">
        <f>HYPERLINK("https://www.ncbi.nlm.nih.gov/geo/query/acc.cgi?acc=GSM918039","GSM918039")</f>
        <v>GSM918039</v>
      </c>
      <c r="I3670" t="s">
        <v>17</v>
      </c>
      <c r="J3670" t="s">
        <v>18</v>
      </c>
      <c r="K3670" t="s">
        <v>19</v>
      </c>
      <c r="L3670" t="s">
        <v>20</v>
      </c>
      <c r="M3670" t="s">
        <v>21</v>
      </c>
      <c r="N3670" t="s">
        <v>22</v>
      </c>
    </row>
    <row r="3671" spans="1:14">
      <c r="A3671" s="4" t="str">
        <f t="shared" si="345"/>
        <v>EXP00114</v>
      </c>
      <c r="B3671" s="4" t="str">
        <f t="shared" si="343"/>
        <v>22294488</v>
      </c>
      <c r="C3671" s="4" t="str">
        <f t="shared" si="344"/>
        <v>GSE37407</v>
      </c>
      <c r="D3671" s="1" t="s">
        <v>226</v>
      </c>
      <c r="E3671" t="s">
        <v>229</v>
      </c>
      <c r="F3671" s="1">
        <v>2</v>
      </c>
      <c r="G3671" s="1" t="s">
        <v>26</v>
      </c>
      <c r="H3671" s="4" t="str">
        <f>HYPERLINK("https://www.ncbi.nlm.nih.gov/geo/query/acc.cgi?acc=GSM918043","GSM918043")</f>
        <v>GSM918043</v>
      </c>
      <c r="I3671" t="s">
        <v>17</v>
      </c>
      <c r="J3671" t="s">
        <v>18</v>
      </c>
      <c r="K3671" t="s">
        <v>19</v>
      </c>
      <c r="L3671" t="s">
        <v>20</v>
      </c>
      <c r="M3671" t="s">
        <v>21</v>
      </c>
      <c r="N3671" t="s">
        <v>22</v>
      </c>
    </row>
    <row r="3672" spans="1:14">
      <c r="A3672" s="4" t="str">
        <f t="shared" si="345"/>
        <v>EXP00114</v>
      </c>
      <c r="B3672" s="4" t="str">
        <f t="shared" si="343"/>
        <v>22294488</v>
      </c>
      <c r="C3672" s="4" t="str">
        <f t="shared" si="344"/>
        <v>GSE37407</v>
      </c>
      <c r="D3672" s="1" t="s">
        <v>226</v>
      </c>
      <c r="E3672" t="s">
        <v>229</v>
      </c>
      <c r="F3672" s="1">
        <v>2</v>
      </c>
      <c r="G3672" s="1" t="s">
        <v>26</v>
      </c>
      <c r="H3672" s="4" t="str">
        <f>HYPERLINK("https://www.ncbi.nlm.nih.gov/geo/query/acc.cgi?acc=GSM918050","GSM918050")</f>
        <v>GSM918050</v>
      </c>
      <c r="I3672" t="s">
        <v>17</v>
      </c>
      <c r="J3672" t="s">
        <v>18</v>
      </c>
      <c r="K3672" t="s">
        <v>19</v>
      </c>
      <c r="L3672" t="s">
        <v>20</v>
      </c>
      <c r="M3672" t="s">
        <v>21</v>
      </c>
      <c r="N3672" t="s">
        <v>22</v>
      </c>
    </row>
    <row r="3673" spans="1:14">
      <c r="A3673" s="4" t="str">
        <f t="shared" si="345"/>
        <v>EXP00114</v>
      </c>
      <c r="B3673" s="4" t="str">
        <f t="shared" si="343"/>
        <v>22294488</v>
      </c>
      <c r="C3673" s="4" t="str">
        <f t="shared" si="344"/>
        <v>GSE37407</v>
      </c>
      <c r="D3673" s="1" t="s">
        <v>226</v>
      </c>
      <c r="E3673" t="s">
        <v>229</v>
      </c>
      <c r="F3673" s="1">
        <v>2</v>
      </c>
      <c r="G3673" s="1" t="s">
        <v>26</v>
      </c>
      <c r="H3673" s="4" t="str">
        <f>HYPERLINK("https://www.ncbi.nlm.nih.gov/geo/query/acc.cgi?acc=GSM918051","GSM918051")</f>
        <v>GSM918051</v>
      </c>
      <c r="I3673" t="s">
        <v>17</v>
      </c>
      <c r="J3673" t="s">
        <v>18</v>
      </c>
      <c r="K3673" t="s">
        <v>19</v>
      </c>
      <c r="L3673" t="s">
        <v>20</v>
      </c>
      <c r="M3673" t="s">
        <v>21</v>
      </c>
      <c r="N3673" t="s">
        <v>22</v>
      </c>
    </row>
    <row r="3674" spans="1:14">
      <c r="A3674" s="4" t="str">
        <f t="shared" si="345"/>
        <v>EXP00114</v>
      </c>
      <c r="B3674" s="4" t="str">
        <f t="shared" si="343"/>
        <v>22294488</v>
      </c>
      <c r="C3674" s="4" t="str">
        <f t="shared" si="344"/>
        <v>GSE37407</v>
      </c>
      <c r="D3674" s="1" t="s">
        <v>226</v>
      </c>
      <c r="E3674" t="s">
        <v>229</v>
      </c>
      <c r="F3674" s="1">
        <v>2</v>
      </c>
      <c r="G3674" s="1" t="s">
        <v>26</v>
      </c>
      <c r="H3674" s="4" t="str">
        <f>HYPERLINK("https://www.ncbi.nlm.nih.gov/geo/query/acc.cgi?acc=GSM918053","GSM918053")</f>
        <v>GSM918053</v>
      </c>
      <c r="I3674" t="s">
        <v>17</v>
      </c>
      <c r="J3674" t="s">
        <v>18</v>
      </c>
      <c r="K3674" t="s">
        <v>19</v>
      </c>
      <c r="L3674" t="s">
        <v>20</v>
      </c>
      <c r="M3674" t="s">
        <v>21</v>
      </c>
      <c r="N3674" t="s">
        <v>22</v>
      </c>
    </row>
    <row r="3675" spans="1:14">
      <c r="A3675" s="4" t="str">
        <f t="shared" si="345"/>
        <v>EXP00114</v>
      </c>
      <c r="B3675" s="4" t="str">
        <f t="shared" si="343"/>
        <v>22294488</v>
      </c>
      <c r="C3675" s="4" t="str">
        <f t="shared" si="344"/>
        <v>GSE37407</v>
      </c>
      <c r="D3675" s="1" t="s">
        <v>226</v>
      </c>
      <c r="E3675" t="s">
        <v>229</v>
      </c>
      <c r="F3675" s="1">
        <v>2</v>
      </c>
      <c r="G3675" s="1" t="s">
        <v>26</v>
      </c>
      <c r="H3675" s="4" t="str">
        <f>HYPERLINK("https://www.ncbi.nlm.nih.gov/geo/query/acc.cgi?acc=GSM918067","GSM918067")</f>
        <v>GSM918067</v>
      </c>
      <c r="I3675" t="s">
        <v>17</v>
      </c>
      <c r="J3675" t="s">
        <v>18</v>
      </c>
      <c r="K3675" t="s">
        <v>19</v>
      </c>
      <c r="L3675" t="s">
        <v>20</v>
      </c>
      <c r="M3675" t="s">
        <v>21</v>
      </c>
      <c r="N3675" t="s">
        <v>22</v>
      </c>
    </row>
    <row r="3676" spans="1:14">
      <c r="A3676" s="4" t="str">
        <f t="shared" ref="A3676:A3688" si="346">HYPERLINK("http://hcmdb.i-sanger.com/experiment/details/experiment_id/EXP00115","EXP00115")</f>
        <v>EXP00115</v>
      </c>
      <c r="B3676" s="4" t="str">
        <f t="shared" si="343"/>
        <v>22294488</v>
      </c>
      <c r="C3676" s="4" t="str">
        <f t="shared" si="344"/>
        <v>GSE37407</v>
      </c>
      <c r="D3676" s="1" t="s">
        <v>226</v>
      </c>
      <c r="E3676" t="s">
        <v>52</v>
      </c>
      <c r="F3676" s="1">
        <v>1</v>
      </c>
      <c r="G3676" s="1" t="s">
        <v>230</v>
      </c>
      <c r="H3676" s="4" t="str">
        <f>HYPERLINK("https://www.ncbi.nlm.nih.gov/geo/query/acc.cgi?acc=GSM918022","GSM918022")</f>
        <v>GSM918022</v>
      </c>
      <c r="I3676" t="s">
        <v>17</v>
      </c>
      <c r="J3676" t="s">
        <v>18</v>
      </c>
      <c r="K3676" t="s">
        <v>19</v>
      </c>
      <c r="L3676" t="s">
        <v>20</v>
      </c>
      <c r="M3676" t="s">
        <v>231</v>
      </c>
      <c r="N3676" t="s">
        <v>29</v>
      </c>
    </row>
    <row r="3677" spans="1:14">
      <c r="A3677" s="4" t="str">
        <f t="shared" si="346"/>
        <v>EXP00115</v>
      </c>
      <c r="B3677" s="4" t="str">
        <f t="shared" si="343"/>
        <v>22294488</v>
      </c>
      <c r="C3677" s="4" t="str">
        <f t="shared" si="344"/>
        <v>GSE37407</v>
      </c>
      <c r="D3677" s="1" t="s">
        <v>226</v>
      </c>
      <c r="E3677" t="s">
        <v>52</v>
      </c>
      <c r="F3677" s="1">
        <v>1</v>
      </c>
      <c r="G3677" s="1" t="s">
        <v>230</v>
      </c>
      <c r="H3677" s="4" t="str">
        <f>HYPERLINK("https://www.ncbi.nlm.nih.gov/geo/query/acc.cgi?acc=GSM918029","GSM918029")</f>
        <v>GSM918029</v>
      </c>
      <c r="I3677" t="s">
        <v>17</v>
      </c>
      <c r="J3677" t="s">
        <v>18</v>
      </c>
      <c r="K3677" t="s">
        <v>19</v>
      </c>
      <c r="L3677" t="s">
        <v>20</v>
      </c>
      <c r="M3677" t="s">
        <v>231</v>
      </c>
      <c r="N3677" t="s">
        <v>29</v>
      </c>
    </row>
    <row r="3678" spans="1:14">
      <c r="A3678" s="4" t="str">
        <f t="shared" si="346"/>
        <v>EXP00115</v>
      </c>
      <c r="B3678" s="4" t="str">
        <f t="shared" si="343"/>
        <v>22294488</v>
      </c>
      <c r="C3678" s="4" t="str">
        <f t="shared" si="344"/>
        <v>GSE37407</v>
      </c>
      <c r="D3678" s="1" t="s">
        <v>226</v>
      </c>
      <c r="E3678" t="s">
        <v>52</v>
      </c>
      <c r="F3678" s="1">
        <v>1</v>
      </c>
      <c r="G3678" s="1" t="s">
        <v>230</v>
      </c>
      <c r="H3678" s="4" t="str">
        <f>HYPERLINK("https://www.ncbi.nlm.nih.gov/geo/query/acc.cgi?acc=GSM918033","GSM918033")</f>
        <v>GSM918033</v>
      </c>
      <c r="I3678" t="s">
        <v>17</v>
      </c>
      <c r="J3678" t="s">
        <v>18</v>
      </c>
      <c r="K3678" t="s">
        <v>19</v>
      </c>
      <c r="L3678" t="s">
        <v>20</v>
      </c>
      <c r="M3678" t="s">
        <v>231</v>
      </c>
      <c r="N3678" t="s">
        <v>29</v>
      </c>
    </row>
    <row r="3679" spans="1:14">
      <c r="A3679" s="4" t="str">
        <f t="shared" si="346"/>
        <v>EXP00115</v>
      </c>
      <c r="B3679" s="4" t="str">
        <f t="shared" si="343"/>
        <v>22294488</v>
      </c>
      <c r="C3679" s="4" t="str">
        <f t="shared" si="344"/>
        <v>GSE37407</v>
      </c>
      <c r="D3679" s="1" t="s">
        <v>226</v>
      </c>
      <c r="E3679" t="s">
        <v>52</v>
      </c>
      <c r="F3679" s="1">
        <v>1</v>
      </c>
      <c r="G3679" s="1" t="s">
        <v>230</v>
      </c>
      <c r="H3679" s="4" t="str">
        <f>HYPERLINK("https://www.ncbi.nlm.nih.gov/geo/query/acc.cgi?acc=GSM918038","GSM918038")</f>
        <v>GSM918038</v>
      </c>
      <c r="I3679" t="s">
        <v>17</v>
      </c>
      <c r="J3679" t="s">
        <v>18</v>
      </c>
      <c r="K3679" t="s">
        <v>19</v>
      </c>
      <c r="L3679" t="s">
        <v>20</v>
      </c>
      <c r="M3679" t="s">
        <v>231</v>
      </c>
      <c r="N3679" t="s">
        <v>29</v>
      </c>
    </row>
    <row r="3680" spans="1:14">
      <c r="A3680" s="4" t="str">
        <f t="shared" si="346"/>
        <v>EXP00115</v>
      </c>
      <c r="B3680" s="4" t="str">
        <f t="shared" si="343"/>
        <v>22294488</v>
      </c>
      <c r="C3680" s="4" t="str">
        <f t="shared" si="344"/>
        <v>GSE37407</v>
      </c>
      <c r="D3680" s="1" t="s">
        <v>226</v>
      </c>
      <c r="E3680" t="s">
        <v>52</v>
      </c>
      <c r="F3680" s="1">
        <v>1</v>
      </c>
      <c r="G3680" s="1" t="s">
        <v>230</v>
      </c>
      <c r="H3680" s="4" t="str">
        <f>HYPERLINK("https://www.ncbi.nlm.nih.gov/geo/query/acc.cgi?acc=GSM918040","GSM918040")</f>
        <v>GSM918040</v>
      </c>
      <c r="I3680" t="s">
        <v>17</v>
      </c>
      <c r="J3680" t="s">
        <v>18</v>
      </c>
      <c r="K3680" t="s">
        <v>19</v>
      </c>
      <c r="L3680" t="s">
        <v>20</v>
      </c>
      <c r="M3680" t="s">
        <v>231</v>
      </c>
      <c r="N3680" t="s">
        <v>29</v>
      </c>
    </row>
    <row r="3681" spans="1:14">
      <c r="A3681" s="4" t="str">
        <f t="shared" si="346"/>
        <v>EXP00115</v>
      </c>
      <c r="B3681" s="4" t="str">
        <f t="shared" si="343"/>
        <v>22294488</v>
      </c>
      <c r="C3681" s="4" t="str">
        <f t="shared" si="344"/>
        <v>GSE37407</v>
      </c>
      <c r="D3681" s="1" t="s">
        <v>226</v>
      </c>
      <c r="E3681" t="s">
        <v>52</v>
      </c>
      <c r="F3681" s="1">
        <v>1</v>
      </c>
      <c r="G3681" s="1" t="s">
        <v>230</v>
      </c>
      <c r="H3681" s="4" t="str">
        <f>HYPERLINK("https://www.ncbi.nlm.nih.gov/geo/query/acc.cgi?acc=GSM918041","GSM918041")</f>
        <v>GSM918041</v>
      </c>
      <c r="I3681" t="s">
        <v>17</v>
      </c>
      <c r="J3681" t="s">
        <v>18</v>
      </c>
      <c r="K3681" t="s">
        <v>19</v>
      </c>
      <c r="L3681" t="s">
        <v>20</v>
      </c>
      <c r="M3681" t="s">
        <v>231</v>
      </c>
      <c r="N3681" t="s">
        <v>29</v>
      </c>
    </row>
    <row r="3682" spans="1:14">
      <c r="A3682" s="4" t="str">
        <f t="shared" si="346"/>
        <v>EXP00115</v>
      </c>
      <c r="B3682" s="4" t="str">
        <f t="shared" si="343"/>
        <v>22294488</v>
      </c>
      <c r="C3682" s="4" t="str">
        <f t="shared" si="344"/>
        <v>GSE37407</v>
      </c>
      <c r="D3682" s="1" t="s">
        <v>226</v>
      </c>
      <c r="E3682" t="s">
        <v>52</v>
      </c>
      <c r="F3682" s="1">
        <v>1</v>
      </c>
      <c r="G3682" s="1" t="s">
        <v>230</v>
      </c>
      <c r="H3682" s="4" t="str">
        <f>HYPERLINK("https://www.ncbi.nlm.nih.gov/geo/query/acc.cgi?acc=GSM918044","GSM918044")</f>
        <v>GSM918044</v>
      </c>
      <c r="I3682" t="s">
        <v>17</v>
      </c>
      <c r="J3682" t="s">
        <v>18</v>
      </c>
      <c r="K3682" t="s">
        <v>19</v>
      </c>
      <c r="L3682" t="s">
        <v>20</v>
      </c>
      <c r="M3682" t="s">
        <v>231</v>
      </c>
      <c r="N3682" t="s">
        <v>29</v>
      </c>
    </row>
    <row r="3683" spans="1:14">
      <c r="A3683" s="4" t="str">
        <f t="shared" si="346"/>
        <v>EXP00115</v>
      </c>
      <c r="B3683" s="4" t="str">
        <f t="shared" si="343"/>
        <v>22294488</v>
      </c>
      <c r="C3683" s="4" t="str">
        <f t="shared" si="344"/>
        <v>GSE37407</v>
      </c>
      <c r="D3683" s="1" t="s">
        <v>226</v>
      </c>
      <c r="E3683" t="s">
        <v>52</v>
      </c>
      <c r="F3683" s="1">
        <v>1</v>
      </c>
      <c r="G3683" s="1" t="s">
        <v>230</v>
      </c>
      <c r="H3683" s="4" t="str">
        <f>HYPERLINK("https://www.ncbi.nlm.nih.gov/geo/query/acc.cgi?acc=GSM918048","GSM918048")</f>
        <v>GSM918048</v>
      </c>
      <c r="I3683" t="s">
        <v>17</v>
      </c>
      <c r="J3683" t="s">
        <v>18</v>
      </c>
      <c r="K3683" t="s">
        <v>19</v>
      </c>
      <c r="L3683" t="s">
        <v>20</v>
      </c>
      <c r="M3683" t="s">
        <v>231</v>
      </c>
      <c r="N3683" t="s">
        <v>29</v>
      </c>
    </row>
    <row r="3684" spans="1:14">
      <c r="A3684" s="4" t="str">
        <f t="shared" si="346"/>
        <v>EXP00115</v>
      </c>
      <c r="B3684" s="4" t="str">
        <f t="shared" si="343"/>
        <v>22294488</v>
      </c>
      <c r="C3684" s="4" t="str">
        <f t="shared" si="344"/>
        <v>GSE37407</v>
      </c>
      <c r="D3684" s="1" t="s">
        <v>226</v>
      </c>
      <c r="E3684" t="s">
        <v>52</v>
      </c>
      <c r="F3684" s="1">
        <v>1</v>
      </c>
      <c r="G3684" s="1" t="s">
        <v>230</v>
      </c>
      <c r="H3684" s="4" t="str">
        <f>HYPERLINK("https://www.ncbi.nlm.nih.gov/geo/query/acc.cgi?acc=GSM918062","GSM918062")</f>
        <v>GSM918062</v>
      </c>
      <c r="I3684" t="s">
        <v>17</v>
      </c>
      <c r="J3684" t="s">
        <v>18</v>
      </c>
      <c r="K3684" t="s">
        <v>19</v>
      </c>
      <c r="L3684" t="s">
        <v>20</v>
      </c>
      <c r="M3684" t="s">
        <v>231</v>
      </c>
      <c r="N3684" t="s">
        <v>29</v>
      </c>
    </row>
    <row r="3685" spans="1:14">
      <c r="A3685" s="4" t="str">
        <f t="shared" si="346"/>
        <v>EXP00115</v>
      </c>
      <c r="B3685" s="4" t="str">
        <f t="shared" si="343"/>
        <v>22294488</v>
      </c>
      <c r="C3685" s="4" t="str">
        <f t="shared" si="344"/>
        <v>GSE37407</v>
      </c>
      <c r="D3685" s="1" t="s">
        <v>226</v>
      </c>
      <c r="E3685" t="s">
        <v>52</v>
      </c>
      <c r="F3685" s="1">
        <v>1</v>
      </c>
      <c r="G3685" s="1" t="s">
        <v>230</v>
      </c>
      <c r="H3685" s="4" t="str">
        <f>HYPERLINK("https://www.ncbi.nlm.nih.gov/geo/query/acc.cgi?acc=GSM918066","GSM918066")</f>
        <v>GSM918066</v>
      </c>
      <c r="I3685" t="s">
        <v>17</v>
      </c>
      <c r="J3685" t="s">
        <v>18</v>
      </c>
      <c r="K3685" t="s">
        <v>19</v>
      </c>
      <c r="L3685" t="s">
        <v>20</v>
      </c>
      <c r="M3685" t="s">
        <v>231</v>
      </c>
      <c r="N3685" t="s">
        <v>29</v>
      </c>
    </row>
    <row r="3686" spans="1:14">
      <c r="A3686" s="4" t="str">
        <f t="shared" si="346"/>
        <v>EXP00115</v>
      </c>
      <c r="B3686" s="4" t="str">
        <f t="shared" si="343"/>
        <v>22294488</v>
      </c>
      <c r="C3686" s="4" t="str">
        <f t="shared" si="344"/>
        <v>GSE37407</v>
      </c>
      <c r="D3686" s="1" t="s">
        <v>226</v>
      </c>
      <c r="E3686" t="s">
        <v>52</v>
      </c>
      <c r="F3686" s="1">
        <v>1</v>
      </c>
      <c r="G3686" s="1" t="s">
        <v>230</v>
      </c>
      <c r="H3686" s="4" t="str">
        <f>HYPERLINK("https://www.ncbi.nlm.nih.gov/geo/query/acc.cgi?acc=GSM918071","GSM918071")</f>
        <v>GSM918071</v>
      </c>
      <c r="I3686" t="s">
        <v>17</v>
      </c>
      <c r="J3686" t="s">
        <v>18</v>
      </c>
      <c r="K3686" t="s">
        <v>19</v>
      </c>
      <c r="L3686" t="s">
        <v>20</v>
      </c>
      <c r="M3686" t="s">
        <v>231</v>
      </c>
      <c r="N3686" t="s">
        <v>29</v>
      </c>
    </row>
    <row r="3687" spans="1:14">
      <c r="A3687" s="4" t="str">
        <f t="shared" si="346"/>
        <v>EXP00115</v>
      </c>
      <c r="B3687" s="4" t="str">
        <f t="shared" ref="B3687:B3718" si="347">HYPERLINK("https://www.ncbi.nlm.nih.gov/pubmed/22294488","22294488")</f>
        <v>22294488</v>
      </c>
      <c r="C3687" s="4" t="str">
        <f t="shared" ref="C3687:C3718" si="348">HYPERLINK("https://www.ncbi.nlm.nih.gov/geo/query/acc.cgi?acc=GSE37407","GSE37407")</f>
        <v>GSE37407</v>
      </c>
      <c r="D3687" s="1" t="s">
        <v>226</v>
      </c>
      <c r="E3687" t="s">
        <v>52</v>
      </c>
      <c r="F3687" s="1">
        <v>2</v>
      </c>
      <c r="G3687" s="1" t="s">
        <v>232</v>
      </c>
      <c r="H3687" s="4" t="str">
        <f>HYPERLINK("https://www.ncbi.nlm.nih.gov/geo/query/acc.cgi?acc=GSM918023","GSM918023")</f>
        <v>GSM918023</v>
      </c>
      <c r="I3687" t="s">
        <v>17</v>
      </c>
      <c r="J3687" t="s">
        <v>18</v>
      </c>
      <c r="K3687" t="s">
        <v>19</v>
      </c>
      <c r="L3687" t="s">
        <v>20</v>
      </c>
      <c r="M3687" t="s">
        <v>228</v>
      </c>
      <c r="N3687" t="s">
        <v>29</v>
      </c>
    </row>
    <row r="3688" spans="1:14">
      <c r="A3688" s="4" t="str">
        <f t="shared" si="346"/>
        <v>EXP00115</v>
      </c>
      <c r="B3688" s="4" t="str">
        <f t="shared" si="347"/>
        <v>22294488</v>
      </c>
      <c r="C3688" s="4" t="str">
        <f t="shared" si="348"/>
        <v>GSE37407</v>
      </c>
      <c r="D3688" s="1" t="s">
        <v>226</v>
      </c>
      <c r="E3688" t="s">
        <v>52</v>
      </c>
      <c r="F3688" s="1">
        <v>2</v>
      </c>
      <c r="G3688" s="1" t="s">
        <v>232</v>
      </c>
      <c r="H3688" s="4" t="str">
        <f>HYPERLINK("https://www.ncbi.nlm.nih.gov/geo/query/acc.cgi?acc=GSM918056","GSM918056")</f>
        <v>GSM918056</v>
      </c>
      <c r="I3688" t="s">
        <v>17</v>
      </c>
      <c r="J3688" t="s">
        <v>18</v>
      </c>
      <c r="K3688" t="s">
        <v>19</v>
      </c>
      <c r="L3688" t="s">
        <v>20</v>
      </c>
      <c r="M3688" t="s">
        <v>228</v>
      </c>
      <c r="N3688" t="s">
        <v>29</v>
      </c>
    </row>
    <row r="3689" spans="1:14">
      <c r="A3689" s="4" t="str">
        <f t="shared" ref="A3689:A3718" si="349">HYPERLINK("http://hcmdb.i-sanger.com/experiment/details/experiment_id/EXP00116","EXP00116")</f>
        <v>EXP00116</v>
      </c>
      <c r="B3689" s="4" t="str">
        <f t="shared" si="347"/>
        <v>22294488</v>
      </c>
      <c r="C3689" s="4" t="str">
        <f t="shared" si="348"/>
        <v>GSE37407</v>
      </c>
      <c r="D3689" s="1" t="s">
        <v>226</v>
      </c>
      <c r="E3689" t="s">
        <v>15</v>
      </c>
      <c r="F3689" s="1">
        <v>1</v>
      </c>
      <c r="G3689" s="1" t="s">
        <v>16</v>
      </c>
      <c r="H3689" s="4" t="str">
        <f>HYPERLINK("https://www.ncbi.nlm.nih.gov/geo/query/acc.cgi?acc=GSM918012","GSM918012")</f>
        <v>GSM918012</v>
      </c>
      <c r="I3689" t="s">
        <v>17</v>
      </c>
      <c r="J3689" t="s">
        <v>18</v>
      </c>
      <c r="K3689" t="s">
        <v>19</v>
      </c>
      <c r="L3689" t="s">
        <v>20</v>
      </c>
      <c r="M3689" t="s">
        <v>21</v>
      </c>
      <c r="N3689" t="s">
        <v>22</v>
      </c>
    </row>
    <row r="3690" spans="1:14">
      <c r="A3690" s="4" t="str">
        <f t="shared" si="349"/>
        <v>EXP00116</v>
      </c>
      <c r="B3690" s="4" t="str">
        <f t="shared" si="347"/>
        <v>22294488</v>
      </c>
      <c r="C3690" s="4" t="str">
        <f t="shared" si="348"/>
        <v>GSE37407</v>
      </c>
      <c r="D3690" s="1" t="s">
        <v>226</v>
      </c>
      <c r="E3690" t="s">
        <v>15</v>
      </c>
      <c r="F3690" s="1">
        <v>1</v>
      </c>
      <c r="G3690" s="1" t="s">
        <v>16</v>
      </c>
      <c r="H3690" s="4" t="str">
        <f>HYPERLINK("https://www.ncbi.nlm.nih.gov/geo/query/acc.cgi?acc=GSM918014","GSM918014")</f>
        <v>GSM918014</v>
      </c>
      <c r="I3690" t="s">
        <v>17</v>
      </c>
      <c r="J3690" t="s">
        <v>18</v>
      </c>
      <c r="K3690" t="s">
        <v>19</v>
      </c>
      <c r="L3690" t="s">
        <v>20</v>
      </c>
      <c r="M3690" t="s">
        <v>21</v>
      </c>
      <c r="N3690" t="s">
        <v>22</v>
      </c>
    </row>
    <row r="3691" spans="1:14">
      <c r="A3691" s="4" t="str">
        <f t="shared" si="349"/>
        <v>EXP00116</v>
      </c>
      <c r="B3691" s="4" t="str">
        <f t="shared" si="347"/>
        <v>22294488</v>
      </c>
      <c r="C3691" s="4" t="str">
        <f t="shared" si="348"/>
        <v>GSE37407</v>
      </c>
      <c r="D3691" s="1" t="s">
        <v>226</v>
      </c>
      <c r="E3691" t="s">
        <v>15</v>
      </c>
      <c r="F3691" s="1">
        <v>1</v>
      </c>
      <c r="G3691" s="1" t="s">
        <v>16</v>
      </c>
      <c r="H3691" s="4" t="str">
        <f>HYPERLINK("https://www.ncbi.nlm.nih.gov/geo/query/acc.cgi?acc=GSM918020","GSM918020")</f>
        <v>GSM918020</v>
      </c>
      <c r="I3691" t="s">
        <v>17</v>
      </c>
      <c r="J3691" t="s">
        <v>18</v>
      </c>
      <c r="K3691" t="s">
        <v>19</v>
      </c>
      <c r="L3691" t="s">
        <v>20</v>
      </c>
      <c r="M3691" t="s">
        <v>21</v>
      </c>
      <c r="N3691" t="s">
        <v>22</v>
      </c>
    </row>
    <row r="3692" spans="1:14">
      <c r="A3692" s="4" t="str">
        <f t="shared" si="349"/>
        <v>EXP00116</v>
      </c>
      <c r="B3692" s="4" t="str">
        <f t="shared" si="347"/>
        <v>22294488</v>
      </c>
      <c r="C3692" s="4" t="str">
        <f t="shared" si="348"/>
        <v>GSE37407</v>
      </c>
      <c r="D3692" s="1" t="s">
        <v>226</v>
      </c>
      <c r="E3692" t="s">
        <v>15</v>
      </c>
      <c r="F3692" s="1">
        <v>1</v>
      </c>
      <c r="G3692" s="1" t="s">
        <v>16</v>
      </c>
      <c r="H3692" s="4" t="str">
        <f>HYPERLINK("https://www.ncbi.nlm.nih.gov/geo/query/acc.cgi?acc=GSM918021","GSM918021")</f>
        <v>GSM918021</v>
      </c>
      <c r="I3692" t="s">
        <v>17</v>
      </c>
      <c r="J3692" t="s">
        <v>18</v>
      </c>
      <c r="K3692" t="s">
        <v>19</v>
      </c>
      <c r="L3692" t="s">
        <v>20</v>
      </c>
      <c r="M3692" t="s">
        <v>21</v>
      </c>
      <c r="N3692" t="s">
        <v>22</v>
      </c>
    </row>
    <row r="3693" spans="1:14">
      <c r="A3693" s="4" t="str">
        <f t="shared" si="349"/>
        <v>EXP00116</v>
      </c>
      <c r="B3693" s="4" t="str">
        <f t="shared" si="347"/>
        <v>22294488</v>
      </c>
      <c r="C3693" s="4" t="str">
        <f t="shared" si="348"/>
        <v>GSE37407</v>
      </c>
      <c r="D3693" s="1" t="s">
        <v>226</v>
      </c>
      <c r="E3693" t="s">
        <v>15</v>
      </c>
      <c r="F3693" s="1">
        <v>1</v>
      </c>
      <c r="G3693" s="1" t="s">
        <v>16</v>
      </c>
      <c r="H3693" s="4" t="str">
        <f>HYPERLINK("https://www.ncbi.nlm.nih.gov/geo/query/acc.cgi?acc=GSM918025","GSM918025")</f>
        <v>GSM918025</v>
      </c>
      <c r="I3693" t="s">
        <v>17</v>
      </c>
      <c r="J3693" t="s">
        <v>18</v>
      </c>
      <c r="K3693" t="s">
        <v>19</v>
      </c>
      <c r="L3693" t="s">
        <v>20</v>
      </c>
      <c r="M3693" t="s">
        <v>21</v>
      </c>
      <c r="N3693" t="s">
        <v>22</v>
      </c>
    </row>
    <row r="3694" spans="1:14">
      <c r="A3694" s="4" t="str">
        <f t="shared" si="349"/>
        <v>EXP00116</v>
      </c>
      <c r="B3694" s="4" t="str">
        <f t="shared" si="347"/>
        <v>22294488</v>
      </c>
      <c r="C3694" s="4" t="str">
        <f t="shared" si="348"/>
        <v>GSE37407</v>
      </c>
      <c r="D3694" s="1" t="s">
        <v>226</v>
      </c>
      <c r="E3694" t="s">
        <v>15</v>
      </c>
      <c r="F3694" s="1">
        <v>1</v>
      </c>
      <c r="G3694" s="1" t="s">
        <v>16</v>
      </c>
      <c r="H3694" s="4" t="str">
        <f>HYPERLINK("https://www.ncbi.nlm.nih.gov/geo/query/acc.cgi?acc=GSM918028","GSM918028")</f>
        <v>GSM918028</v>
      </c>
      <c r="I3694" t="s">
        <v>17</v>
      </c>
      <c r="J3694" t="s">
        <v>18</v>
      </c>
      <c r="K3694" t="s">
        <v>19</v>
      </c>
      <c r="L3694" t="s">
        <v>20</v>
      </c>
      <c r="M3694" t="s">
        <v>21</v>
      </c>
      <c r="N3694" t="s">
        <v>22</v>
      </c>
    </row>
    <row r="3695" spans="1:14">
      <c r="A3695" s="4" t="str">
        <f t="shared" si="349"/>
        <v>EXP00116</v>
      </c>
      <c r="B3695" s="4" t="str">
        <f t="shared" si="347"/>
        <v>22294488</v>
      </c>
      <c r="C3695" s="4" t="str">
        <f t="shared" si="348"/>
        <v>GSE37407</v>
      </c>
      <c r="D3695" s="1" t="s">
        <v>226</v>
      </c>
      <c r="E3695" t="s">
        <v>15</v>
      </c>
      <c r="F3695" s="1">
        <v>1</v>
      </c>
      <c r="G3695" s="1" t="s">
        <v>16</v>
      </c>
      <c r="H3695" s="4" t="str">
        <f>HYPERLINK("https://www.ncbi.nlm.nih.gov/geo/query/acc.cgi?acc=GSM918035","GSM918035")</f>
        <v>GSM918035</v>
      </c>
      <c r="I3695" t="s">
        <v>17</v>
      </c>
      <c r="J3695" t="s">
        <v>18</v>
      </c>
      <c r="K3695" t="s">
        <v>19</v>
      </c>
      <c r="L3695" t="s">
        <v>20</v>
      </c>
      <c r="M3695" t="s">
        <v>21</v>
      </c>
      <c r="N3695" t="s">
        <v>22</v>
      </c>
    </row>
    <row r="3696" spans="1:14">
      <c r="A3696" s="4" t="str">
        <f t="shared" si="349"/>
        <v>EXP00116</v>
      </c>
      <c r="B3696" s="4" t="str">
        <f t="shared" si="347"/>
        <v>22294488</v>
      </c>
      <c r="C3696" s="4" t="str">
        <f t="shared" si="348"/>
        <v>GSE37407</v>
      </c>
      <c r="D3696" s="1" t="s">
        <v>226</v>
      </c>
      <c r="E3696" t="s">
        <v>15</v>
      </c>
      <c r="F3696" s="1">
        <v>1</v>
      </c>
      <c r="G3696" s="1" t="s">
        <v>16</v>
      </c>
      <c r="H3696" s="4" t="str">
        <f>HYPERLINK("https://www.ncbi.nlm.nih.gov/geo/query/acc.cgi?acc=GSM918036","GSM918036")</f>
        <v>GSM918036</v>
      </c>
      <c r="I3696" t="s">
        <v>17</v>
      </c>
      <c r="J3696" t="s">
        <v>18</v>
      </c>
      <c r="K3696" t="s">
        <v>19</v>
      </c>
      <c r="L3696" t="s">
        <v>20</v>
      </c>
      <c r="M3696" t="s">
        <v>21</v>
      </c>
      <c r="N3696" t="s">
        <v>22</v>
      </c>
    </row>
    <row r="3697" spans="1:14">
      <c r="A3697" s="4" t="str">
        <f t="shared" si="349"/>
        <v>EXP00116</v>
      </c>
      <c r="B3697" s="4" t="str">
        <f t="shared" si="347"/>
        <v>22294488</v>
      </c>
      <c r="C3697" s="4" t="str">
        <f t="shared" si="348"/>
        <v>GSE37407</v>
      </c>
      <c r="D3697" s="1" t="s">
        <v>226</v>
      </c>
      <c r="E3697" t="s">
        <v>15</v>
      </c>
      <c r="F3697" s="1">
        <v>1</v>
      </c>
      <c r="G3697" s="1" t="s">
        <v>16</v>
      </c>
      <c r="H3697" s="4" t="str">
        <f>HYPERLINK("https://www.ncbi.nlm.nih.gov/geo/query/acc.cgi?acc=GSM918039","GSM918039")</f>
        <v>GSM918039</v>
      </c>
      <c r="I3697" t="s">
        <v>17</v>
      </c>
      <c r="J3697" t="s">
        <v>18</v>
      </c>
      <c r="K3697" t="s">
        <v>19</v>
      </c>
      <c r="L3697" t="s">
        <v>20</v>
      </c>
      <c r="M3697" t="s">
        <v>21</v>
      </c>
      <c r="N3697" t="s">
        <v>22</v>
      </c>
    </row>
    <row r="3698" spans="1:14">
      <c r="A3698" s="4" t="str">
        <f t="shared" si="349"/>
        <v>EXP00116</v>
      </c>
      <c r="B3698" s="4" t="str">
        <f t="shared" si="347"/>
        <v>22294488</v>
      </c>
      <c r="C3698" s="4" t="str">
        <f t="shared" si="348"/>
        <v>GSE37407</v>
      </c>
      <c r="D3698" s="1" t="s">
        <v>226</v>
      </c>
      <c r="E3698" t="s">
        <v>15</v>
      </c>
      <c r="F3698" s="1">
        <v>1</v>
      </c>
      <c r="G3698" s="1" t="s">
        <v>16</v>
      </c>
      <c r="H3698" s="4" t="str">
        <f>HYPERLINK("https://www.ncbi.nlm.nih.gov/geo/query/acc.cgi?acc=GSM918043","GSM918043")</f>
        <v>GSM918043</v>
      </c>
      <c r="I3698" t="s">
        <v>17</v>
      </c>
      <c r="J3698" t="s">
        <v>18</v>
      </c>
      <c r="K3698" t="s">
        <v>19</v>
      </c>
      <c r="L3698" t="s">
        <v>20</v>
      </c>
      <c r="M3698" t="s">
        <v>21</v>
      </c>
      <c r="N3698" t="s">
        <v>22</v>
      </c>
    </row>
    <row r="3699" spans="1:14">
      <c r="A3699" s="4" t="str">
        <f t="shared" si="349"/>
        <v>EXP00116</v>
      </c>
      <c r="B3699" s="4" t="str">
        <f t="shared" si="347"/>
        <v>22294488</v>
      </c>
      <c r="C3699" s="4" t="str">
        <f t="shared" si="348"/>
        <v>GSE37407</v>
      </c>
      <c r="D3699" s="1" t="s">
        <v>226</v>
      </c>
      <c r="E3699" t="s">
        <v>15</v>
      </c>
      <c r="F3699" s="1">
        <v>1</v>
      </c>
      <c r="G3699" s="1" t="s">
        <v>16</v>
      </c>
      <c r="H3699" s="4" t="str">
        <f>HYPERLINK("https://www.ncbi.nlm.nih.gov/geo/query/acc.cgi?acc=GSM918050","GSM918050")</f>
        <v>GSM918050</v>
      </c>
      <c r="I3699" t="s">
        <v>17</v>
      </c>
      <c r="J3699" t="s">
        <v>18</v>
      </c>
      <c r="K3699" t="s">
        <v>19</v>
      </c>
      <c r="L3699" t="s">
        <v>20</v>
      </c>
      <c r="M3699" t="s">
        <v>21</v>
      </c>
      <c r="N3699" t="s">
        <v>22</v>
      </c>
    </row>
    <row r="3700" spans="1:14">
      <c r="A3700" s="4" t="str">
        <f t="shared" si="349"/>
        <v>EXP00116</v>
      </c>
      <c r="B3700" s="4" t="str">
        <f t="shared" si="347"/>
        <v>22294488</v>
      </c>
      <c r="C3700" s="4" t="str">
        <f t="shared" si="348"/>
        <v>GSE37407</v>
      </c>
      <c r="D3700" s="1" t="s">
        <v>226</v>
      </c>
      <c r="E3700" t="s">
        <v>15</v>
      </c>
      <c r="F3700" s="1">
        <v>1</v>
      </c>
      <c r="G3700" s="1" t="s">
        <v>16</v>
      </c>
      <c r="H3700" s="4" t="str">
        <f>HYPERLINK("https://www.ncbi.nlm.nih.gov/geo/query/acc.cgi?acc=GSM918051","GSM918051")</f>
        <v>GSM918051</v>
      </c>
      <c r="I3700" t="s">
        <v>17</v>
      </c>
      <c r="J3700" t="s">
        <v>18</v>
      </c>
      <c r="K3700" t="s">
        <v>19</v>
      </c>
      <c r="L3700" t="s">
        <v>20</v>
      </c>
      <c r="M3700" t="s">
        <v>21</v>
      </c>
      <c r="N3700" t="s">
        <v>22</v>
      </c>
    </row>
    <row r="3701" spans="1:14">
      <c r="A3701" s="4" t="str">
        <f t="shared" si="349"/>
        <v>EXP00116</v>
      </c>
      <c r="B3701" s="4" t="str">
        <f t="shared" si="347"/>
        <v>22294488</v>
      </c>
      <c r="C3701" s="4" t="str">
        <f t="shared" si="348"/>
        <v>GSE37407</v>
      </c>
      <c r="D3701" s="1" t="s">
        <v>226</v>
      </c>
      <c r="E3701" t="s">
        <v>15</v>
      </c>
      <c r="F3701" s="1">
        <v>1</v>
      </c>
      <c r="G3701" s="1" t="s">
        <v>16</v>
      </c>
      <c r="H3701" s="4" t="str">
        <f>HYPERLINK("https://www.ncbi.nlm.nih.gov/geo/query/acc.cgi?acc=GSM918053","GSM918053")</f>
        <v>GSM918053</v>
      </c>
      <c r="I3701" t="s">
        <v>17</v>
      </c>
      <c r="J3701" t="s">
        <v>18</v>
      </c>
      <c r="K3701" t="s">
        <v>19</v>
      </c>
      <c r="L3701" t="s">
        <v>20</v>
      </c>
      <c r="M3701" t="s">
        <v>21</v>
      </c>
      <c r="N3701" t="s">
        <v>22</v>
      </c>
    </row>
    <row r="3702" spans="1:14">
      <c r="A3702" s="4" t="str">
        <f t="shared" si="349"/>
        <v>EXP00116</v>
      </c>
      <c r="B3702" s="4" t="str">
        <f t="shared" si="347"/>
        <v>22294488</v>
      </c>
      <c r="C3702" s="4" t="str">
        <f t="shared" si="348"/>
        <v>GSE37407</v>
      </c>
      <c r="D3702" s="1" t="s">
        <v>226</v>
      </c>
      <c r="E3702" t="s">
        <v>15</v>
      </c>
      <c r="F3702" s="1">
        <v>1</v>
      </c>
      <c r="G3702" s="1" t="s">
        <v>16</v>
      </c>
      <c r="H3702" s="4" t="str">
        <f>HYPERLINK("https://www.ncbi.nlm.nih.gov/geo/query/acc.cgi?acc=GSM918067","GSM918067")</f>
        <v>GSM918067</v>
      </c>
      <c r="I3702" t="s">
        <v>17</v>
      </c>
      <c r="J3702" t="s">
        <v>18</v>
      </c>
      <c r="K3702" t="s">
        <v>19</v>
      </c>
      <c r="L3702" t="s">
        <v>20</v>
      </c>
      <c r="M3702" t="s">
        <v>21</v>
      </c>
      <c r="N3702" t="s">
        <v>22</v>
      </c>
    </row>
    <row r="3703" spans="1:14">
      <c r="A3703" s="4" t="str">
        <f t="shared" si="349"/>
        <v>EXP00116</v>
      </c>
      <c r="B3703" s="4" t="str">
        <f t="shared" si="347"/>
        <v>22294488</v>
      </c>
      <c r="C3703" s="4" t="str">
        <f t="shared" si="348"/>
        <v>GSE37407</v>
      </c>
      <c r="D3703" s="1" t="s">
        <v>226</v>
      </c>
      <c r="E3703" t="s">
        <v>15</v>
      </c>
      <c r="F3703" s="1">
        <v>2</v>
      </c>
      <c r="G3703" s="1" t="s">
        <v>63</v>
      </c>
      <c r="H3703" s="4" t="str">
        <f>HYPERLINK("https://www.ncbi.nlm.nih.gov/geo/query/acc.cgi?acc=GSM918055","GSM918055")</f>
        <v>GSM918055</v>
      </c>
      <c r="I3703" t="s">
        <v>17</v>
      </c>
      <c r="J3703" t="s">
        <v>18</v>
      </c>
      <c r="K3703" t="s">
        <v>19</v>
      </c>
      <c r="L3703" t="s">
        <v>20</v>
      </c>
      <c r="M3703" t="s">
        <v>44</v>
      </c>
      <c r="N3703" t="s">
        <v>22</v>
      </c>
    </row>
    <row r="3704" spans="1:14">
      <c r="A3704" s="4" t="str">
        <f t="shared" si="349"/>
        <v>EXP00116</v>
      </c>
      <c r="B3704" s="4" t="str">
        <f t="shared" si="347"/>
        <v>22294488</v>
      </c>
      <c r="C3704" s="4" t="str">
        <f t="shared" si="348"/>
        <v>GSE37407</v>
      </c>
      <c r="D3704" s="1" t="s">
        <v>226</v>
      </c>
      <c r="E3704" t="s">
        <v>15</v>
      </c>
      <c r="F3704" s="1">
        <v>2</v>
      </c>
      <c r="G3704" s="1" t="s">
        <v>63</v>
      </c>
      <c r="H3704" s="4" t="str">
        <f>HYPERLINK("https://www.ncbi.nlm.nih.gov/geo/query/acc.cgi?acc=GSM918061","GSM918061")</f>
        <v>GSM918061</v>
      </c>
      <c r="I3704" t="s">
        <v>17</v>
      </c>
      <c r="J3704" t="s">
        <v>18</v>
      </c>
      <c r="K3704" t="s">
        <v>19</v>
      </c>
      <c r="L3704" t="s">
        <v>20</v>
      </c>
      <c r="M3704" t="s">
        <v>44</v>
      </c>
      <c r="N3704" t="s">
        <v>22</v>
      </c>
    </row>
    <row r="3705" spans="1:14">
      <c r="A3705" s="4" t="str">
        <f t="shared" si="349"/>
        <v>EXP00116</v>
      </c>
      <c r="B3705" s="4" t="str">
        <f t="shared" si="347"/>
        <v>22294488</v>
      </c>
      <c r="C3705" s="4" t="str">
        <f t="shared" si="348"/>
        <v>GSE37407</v>
      </c>
      <c r="D3705" s="1" t="s">
        <v>226</v>
      </c>
      <c r="E3705" t="s">
        <v>15</v>
      </c>
      <c r="F3705" s="1">
        <v>2</v>
      </c>
      <c r="G3705" s="1" t="s">
        <v>63</v>
      </c>
      <c r="H3705" s="4" t="str">
        <f>HYPERLINK("https://www.ncbi.nlm.nih.gov/geo/query/acc.cgi?acc=GSM918068","GSM918068")</f>
        <v>GSM918068</v>
      </c>
      <c r="I3705" t="s">
        <v>17</v>
      </c>
      <c r="J3705" t="s">
        <v>18</v>
      </c>
      <c r="K3705" t="s">
        <v>19</v>
      </c>
      <c r="L3705" t="s">
        <v>20</v>
      </c>
      <c r="M3705" t="s">
        <v>44</v>
      </c>
      <c r="N3705" t="s">
        <v>22</v>
      </c>
    </row>
    <row r="3706" spans="1:14">
      <c r="A3706" s="4" t="str">
        <f t="shared" si="349"/>
        <v>EXP00116</v>
      </c>
      <c r="B3706" s="4" t="str">
        <f t="shared" si="347"/>
        <v>22294488</v>
      </c>
      <c r="C3706" s="4" t="str">
        <f t="shared" si="348"/>
        <v>GSE37407</v>
      </c>
      <c r="D3706" s="1" t="s">
        <v>226</v>
      </c>
      <c r="E3706" t="s">
        <v>15</v>
      </c>
      <c r="F3706" s="1">
        <v>3</v>
      </c>
      <c r="G3706" s="1" t="s">
        <v>23</v>
      </c>
      <c r="H3706" s="4" t="str">
        <f>HYPERLINK("https://www.ncbi.nlm.nih.gov/geo/query/acc.cgi?acc=GSM918011","GSM918011")</f>
        <v>GSM918011</v>
      </c>
      <c r="I3706" t="s">
        <v>17</v>
      </c>
      <c r="J3706" t="s">
        <v>18</v>
      </c>
      <c r="K3706" t="s">
        <v>19</v>
      </c>
      <c r="L3706" t="s">
        <v>20</v>
      </c>
      <c r="M3706" t="s">
        <v>24</v>
      </c>
      <c r="N3706" t="s">
        <v>22</v>
      </c>
    </row>
    <row r="3707" spans="1:14">
      <c r="A3707" s="4" t="str">
        <f t="shared" si="349"/>
        <v>EXP00116</v>
      </c>
      <c r="B3707" s="4" t="str">
        <f t="shared" si="347"/>
        <v>22294488</v>
      </c>
      <c r="C3707" s="4" t="str">
        <f t="shared" si="348"/>
        <v>GSE37407</v>
      </c>
      <c r="D3707" s="1" t="s">
        <v>226</v>
      </c>
      <c r="E3707" t="s">
        <v>15</v>
      </c>
      <c r="F3707" s="1">
        <v>3</v>
      </c>
      <c r="G3707" s="1" t="s">
        <v>23</v>
      </c>
      <c r="H3707" s="4" t="str">
        <f>HYPERLINK("https://www.ncbi.nlm.nih.gov/geo/query/acc.cgi?acc=GSM918013","GSM918013")</f>
        <v>GSM918013</v>
      </c>
      <c r="I3707" t="s">
        <v>17</v>
      </c>
      <c r="J3707" t="s">
        <v>18</v>
      </c>
      <c r="K3707" t="s">
        <v>19</v>
      </c>
      <c r="L3707" t="s">
        <v>20</v>
      </c>
      <c r="M3707" t="s">
        <v>24</v>
      </c>
      <c r="N3707" t="s">
        <v>22</v>
      </c>
    </row>
    <row r="3708" spans="1:14">
      <c r="A3708" s="4" t="str">
        <f t="shared" si="349"/>
        <v>EXP00116</v>
      </c>
      <c r="B3708" s="4" t="str">
        <f t="shared" si="347"/>
        <v>22294488</v>
      </c>
      <c r="C3708" s="4" t="str">
        <f t="shared" si="348"/>
        <v>GSE37407</v>
      </c>
      <c r="D3708" s="1" t="s">
        <v>226</v>
      </c>
      <c r="E3708" t="s">
        <v>15</v>
      </c>
      <c r="F3708" s="1">
        <v>3</v>
      </c>
      <c r="G3708" s="1" t="s">
        <v>23</v>
      </c>
      <c r="H3708" s="4" t="str">
        <f>HYPERLINK("https://www.ncbi.nlm.nih.gov/geo/query/acc.cgi?acc=GSM918017","GSM918017")</f>
        <v>GSM918017</v>
      </c>
      <c r="I3708" t="s">
        <v>17</v>
      </c>
      <c r="J3708" t="s">
        <v>18</v>
      </c>
      <c r="K3708" t="s">
        <v>19</v>
      </c>
      <c r="L3708" t="s">
        <v>20</v>
      </c>
      <c r="M3708" t="s">
        <v>24</v>
      </c>
      <c r="N3708" t="s">
        <v>22</v>
      </c>
    </row>
    <row r="3709" spans="1:14">
      <c r="A3709" s="4" t="str">
        <f t="shared" si="349"/>
        <v>EXP00116</v>
      </c>
      <c r="B3709" s="4" t="str">
        <f t="shared" si="347"/>
        <v>22294488</v>
      </c>
      <c r="C3709" s="4" t="str">
        <f t="shared" si="348"/>
        <v>GSE37407</v>
      </c>
      <c r="D3709" s="1" t="s">
        <v>226</v>
      </c>
      <c r="E3709" t="s">
        <v>15</v>
      </c>
      <c r="F3709" s="1">
        <v>3</v>
      </c>
      <c r="G3709" s="1" t="s">
        <v>23</v>
      </c>
      <c r="H3709" s="4" t="str">
        <f>HYPERLINK("https://www.ncbi.nlm.nih.gov/geo/query/acc.cgi?acc=GSM918034","GSM918034")</f>
        <v>GSM918034</v>
      </c>
      <c r="I3709" t="s">
        <v>17</v>
      </c>
      <c r="J3709" t="s">
        <v>18</v>
      </c>
      <c r="K3709" t="s">
        <v>19</v>
      </c>
      <c r="L3709" t="s">
        <v>20</v>
      </c>
      <c r="M3709" t="s">
        <v>24</v>
      </c>
      <c r="N3709" t="s">
        <v>22</v>
      </c>
    </row>
    <row r="3710" spans="1:14">
      <c r="A3710" s="4" t="str">
        <f t="shared" si="349"/>
        <v>EXP00116</v>
      </c>
      <c r="B3710" s="4" t="str">
        <f t="shared" si="347"/>
        <v>22294488</v>
      </c>
      <c r="C3710" s="4" t="str">
        <f t="shared" si="348"/>
        <v>GSE37407</v>
      </c>
      <c r="D3710" s="1" t="s">
        <v>226</v>
      </c>
      <c r="E3710" t="s">
        <v>15</v>
      </c>
      <c r="F3710" s="1">
        <v>3</v>
      </c>
      <c r="G3710" s="1" t="s">
        <v>23</v>
      </c>
      <c r="H3710" s="4" t="str">
        <f>HYPERLINK("https://www.ncbi.nlm.nih.gov/geo/query/acc.cgi?acc=GSM918042","GSM918042")</f>
        <v>GSM918042</v>
      </c>
      <c r="I3710" t="s">
        <v>17</v>
      </c>
      <c r="J3710" t="s">
        <v>18</v>
      </c>
      <c r="K3710" t="s">
        <v>19</v>
      </c>
      <c r="L3710" t="s">
        <v>20</v>
      </c>
      <c r="M3710" t="s">
        <v>24</v>
      </c>
      <c r="N3710" t="s">
        <v>22</v>
      </c>
    </row>
    <row r="3711" spans="1:14">
      <c r="A3711" s="4" t="str">
        <f t="shared" si="349"/>
        <v>EXP00116</v>
      </c>
      <c r="B3711" s="4" t="str">
        <f t="shared" si="347"/>
        <v>22294488</v>
      </c>
      <c r="C3711" s="4" t="str">
        <f t="shared" si="348"/>
        <v>GSE37407</v>
      </c>
      <c r="D3711" s="1" t="s">
        <v>226</v>
      </c>
      <c r="E3711" t="s">
        <v>15</v>
      </c>
      <c r="F3711" s="1">
        <v>3</v>
      </c>
      <c r="G3711" s="1" t="s">
        <v>23</v>
      </c>
      <c r="H3711" s="4" t="str">
        <f>HYPERLINK("https://www.ncbi.nlm.nih.gov/geo/query/acc.cgi?acc=GSM918045","GSM918045")</f>
        <v>GSM918045</v>
      </c>
      <c r="I3711" t="s">
        <v>17</v>
      </c>
      <c r="J3711" t="s">
        <v>18</v>
      </c>
      <c r="K3711" t="s">
        <v>19</v>
      </c>
      <c r="L3711" t="s">
        <v>20</v>
      </c>
      <c r="M3711" t="s">
        <v>24</v>
      </c>
      <c r="N3711" t="s">
        <v>22</v>
      </c>
    </row>
    <row r="3712" spans="1:14">
      <c r="A3712" s="4" t="str">
        <f t="shared" si="349"/>
        <v>EXP00116</v>
      </c>
      <c r="B3712" s="4" t="str">
        <f t="shared" si="347"/>
        <v>22294488</v>
      </c>
      <c r="C3712" s="4" t="str">
        <f t="shared" si="348"/>
        <v>GSE37407</v>
      </c>
      <c r="D3712" s="1" t="s">
        <v>226</v>
      </c>
      <c r="E3712" t="s">
        <v>15</v>
      </c>
      <c r="F3712" s="1">
        <v>3</v>
      </c>
      <c r="G3712" s="1" t="s">
        <v>23</v>
      </c>
      <c r="H3712" s="4" t="str">
        <f>HYPERLINK("https://www.ncbi.nlm.nih.gov/geo/query/acc.cgi?acc=GSM918049","GSM918049")</f>
        <v>GSM918049</v>
      </c>
      <c r="I3712" t="s">
        <v>17</v>
      </c>
      <c r="J3712" t="s">
        <v>18</v>
      </c>
      <c r="K3712" t="s">
        <v>19</v>
      </c>
      <c r="L3712" t="s">
        <v>20</v>
      </c>
      <c r="M3712" t="s">
        <v>24</v>
      </c>
      <c r="N3712" t="s">
        <v>22</v>
      </c>
    </row>
    <row r="3713" spans="1:14">
      <c r="A3713" s="4" t="str">
        <f t="shared" si="349"/>
        <v>EXP00116</v>
      </c>
      <c r="B3713" s="4" t="str">
        <f t="shared" si="347"/>
        <v>22294488</v>
      </c>
      <c r="C3713" s="4" t="str">
        <f t="shared" si="348"/>
        <v>GSE37407</v>
      </c>
      <c r="D3713" s="1" t="s">
        <v>226</v>
      </c>
      <c r="E3713" t="s">
        <v>15</v>
      </c>
      <c r="F3713" s="1">
        <v>3</v>
      </c>
      <c r="G3713" s="1" t="s">
        <v>23</v>
      </c>
      <c r="H3713" s="4" t="str">
        <f>HYPERLINK("https://www.ncbi.nlm.nih.gov/geo/query/acc.cgi?acc=GSM918052","GSM918052")</f>
        <v>GSM918052</v>
      </c>
      <c r="I3713" t="s">
        <v>17</v>
      </c>
      <c r="J3713" t="s">
        <v>18</v>
      </c>
      <c r="K3713" t="s">
        <v>19</v>
      </c>
      <c r="L3713" t="s">
        <v>20</v>
      </c>
      <c r="M3713" t="s">
        <v>24</v>
      </c>
      <c r="N3713" t="s">
        <v>22</v>
      </c>
    </row>
    <row r="3714" spans="1:14">
      <c r="A3714" s="4" t="str">
        <f t="shared" si="349"/>
        <v>EXP00116</v>
      </c>
      <c r="B3714" s="4" t="str">
        <f t="shared" si="347"/>
        <v>22294488</v>
      </c>
      <c r="C3714" s="4" t="str">
        <f t="shared" si="348"/>
        <v>GSE37407</v>
      </c>
      <c r="D3714" s="1" t="s">
        <v>226</v>
      </c>
      <c r="E3714" t="s">
        <v>15</v>
      </c>
      <c r="F3714" s="1">
        <v>3</v>
      </c>
      <c r="G3714" s="1" t="s">
        <v>23</v>
      </c>
      <c r="H3714" s="4" t="str">
        <f>HYPERLINK("https://www.ncbi.nlm.nih.gov/geo/query/acc.cgi?acc=GSM918063","GSM918063")</f>
        <v>GSM918063</v>
      </c>
      <c r="I3714" t="s">
        <v>17</v>
      </c>
      <c r="J3714" t="s">
        <v>18</v>
      </c>
      <c r="K3714" t="s">
        <v>19</v>
      </c>
      <c r="L3714" t="s">
        <v>20</v>
      </c>
      <c r="M3714" t="s">
        <v>24</v>
      </c>
      <c r="N3714" t="s">
        <v>22</v>
      </c>
    </row>
    <row r="3715" spans="1:14">
      <c r="A3715" s="4" t="str">
        <f t="shared" si="349"/>
        <v>EXP00116</v>
      </c>
      <c r="B3715" s="4" t="str">
        <f t="shared" si="347"/>
        <v>22294488</v>
      </c>
      <c r="C3715" s="4" t="str">
        <f t="shared" si="348"/>
        <v>GSE37407</v>
      </c>
      <c r="D3715" s="1" t="s">
        <v>226</v>
      </c>
      <c r="E3715" t="s">
        <v>15</v>
      </c>
      <c r="F3715" s="1">
        <v>3</v>
      </c>
      <c r="G3715" s="1" t="s">
        <v>23</v>
      </c>
      <c r="H3715" s="4" t="str">
        <f>HYPERLINK("https://www.ncbi.nlm.nih.gov/geo/query/acc.cgi?acc=GSM918065","GSM918065")</f>
        <v>GSM918065</v>
      </c>
      <c r="I3715" t="s">
        <v>17</v>
      </c>
      <c r="J3715" t="s">
        <v>18</v>
      </c>
      <c r="K3715" t="s">
        <v>19</v>
      </c>
      <c r="L3715" t="s">
        <v>20</v>
      </c>
      <c r="M3715" t="s">
        <v>24</v>
      </c>
      <c r="N3715" t="s">
        <v>22</v>
      </c>
    </row>
    <row r="3716" spans="1:14">
      <c r="A3716" s="4" t="str">
        <f t="shared" si="349"/>
        <v>EXP00116</v>
      </c>
      <c r="B3716" s="4" t="str">
        <f t="shared" si="347"/>
        <v>22294488</v>
      </c>
      <c r="C3716" s="4" t="str">
        <f t="shared" si="348"/>
        <v>GSE37407</v>
      </c>
      <c r="D3716" s="1" t="s">
        <v>226</v>
      </c>
      <c r="E3716" t="s">
        <v>15</v>
      </c>
      <c r="F3716" s="1">
        <v>4</v>
      </c>
      <c r="G3716" s="1" t="s">
        <v>224</v>
      </c>
      <c r="H3716" s="4" t="str">
        <f>HYPERLINK("https://www.ncbi.nlm.nih.gov/geo/query/acc.cgi?acc=GSM918019","GSM918019")</f>
        <v>GSM918019</v>
      </c>
      <c r="I3716" t="s">
        <v>17</v>
      </c>
      <c r="J3716" t="s">
        <v>18</v>
      </c>
      <c r="K3716" t="s">
        <v>19</v>
      </c>
      <c r="L3716" t="s">
        <v>20</v>
      </c>
      <c r="M3716" t="s">
        <v>27</v>
      </c>
      <c r="N3716" t="s">
        <v>22</v>
      </c>
    </row>
    <row r="3717" spans="1:14">
      <c r="A3717" s="4" t="str">
        <f t="shared" si="349"/>
        <v>EXP00116</v>
      </c>
      <c r="B3717" s="4" t="str">
        <f t="shared" si="347"/>
        <v>22294488</v>
      </c>
      <c r="C3717" s="4" t="str">
        <f t="shared" si="348"/>
        <v>GSE37407</v>
      </c>
      <c r="D3717" s="1" t="s">
        <v>226</v>
      </c>
      <c r="E3717" t="s">
        <v>15</v>
      </c>
      <c r="F3717" s="1">
        <v>4</v>
      </c>
      <c r="G3717" s="1" t="s">
        <v>224</v>
      </c>
      <c r="H3717" s="4" t="str">
        <f>HYPERLINK("https://www.ncbi.nlm.nih.gov/geo/query/acc.cgi?acc=GSM918037","GSM918037")</f>
        <v>GSM918037</v>
      </c>
      <c r="I3717" t="s">
        <v>17</v>
      </c>
      <c r="J3717" t="s">
        <v>18</v>
      </c>
      <c r="K3717" t="s">
        <v>19</v>
      </c>
      <c r="L3717" t="s">
        <v>20</v>
      </c>
      <c r="M3717" t="s">
        <v>27</v>
      </c>
      <c r="N3717" t="s">
        <v>22</v>
      </c>
    </row>
    <row r="3718" spans="1:14">
      <c r="A3718" s="4" t="str">
        <f t="shared" si="349"/>
        <v>EXP00116</v>
      </c>
      <c r="B3718" s="4" t="str">
        <f t="shared" si="347"/>
        <v>22294488</v>
      </c>
      <c r="C3718" s="4" t="str">
        <f t="shared" si="348"/>
        <v>GSE37407</v>
      </c>
      <c r="D3718" s="1" t="s">
        <v>226</v>
      </c>
      <c r="E3718" t="s">
        <v>15</v>
      </c>
      <c r="F3718" s="1">
        <v>4</v>
      </c>
      <c r="G3718" s="1" t="s">
        <v>224</v>
      </c>
      <c r="H3718" s="4" t="str">
        <f>HYPERLINK("https://www.ncbi.nlm.nih.gov/geo/query/acc.cgi?acc=GSM918070","GSM918070")</f>
        <v>GSM918070</v>
      </c>
      <c r="I3718" t="s">
        <v>17</v>
      </c>
      <c r="J3718" t="s">
        <v>18</v>
      </c>
      <c r="K3718" t="s">
        <v>19</v>
      </c>
      <c r="L3718" t="s">
        <v>20</v>
      </c>
      <c r="M3718" t="s">
        <v>27</v>
      </c>
      <c r="N3718" t="s">
        <v>22</v>
      </c>
    </row>
    <row r="3719" spans="1:14">
      <c r="A3719" s="4" t="str">
        <f t="shared" ref="A3719:A3766" si="350">HYPERLINK("http://hcmdb.i-sanger.com/experiment/details/experiment_id/EXP00117","EXP00117")</f>
        <v>EXP00117</v>
      </c>
      <c r="B3719" s="4" t="str">
        <f t="shared" ref="B3719:B3750" si="351">HYPERLINK("https://www.ncbi.nlm.nih.gov/pubmed/22294488","22294488")</f>
        <v>22294488</v>
      </c>
      <c r="C3719" s="4" t="str">
        <f t="shared" ref="C3719:C3750" si="352">HYPERLINK("https://www.ncbi.nlm.nih.gov/geo/query/acc.cgi?acc=GSE37407","GSE37407")</f>
        <v>GSE37407</v>
      </c>
      <c r="D3719" s="1" t="s">
        <v>226</v>
      </c>
      <c r="E3719" t="s">
        <v>25</v>
      </c>
      <c r="F3719" s="1">
        <v>1</v>
      </c>
      <c r="G3719" s="1" t="s">
        <v>26</v>
      </c>
      <c r="H3719" s="4" t="str">
        <f>HYPERLINK("https://www.ncbi.nlm.nih.gov/geo/query/acc.cgi?acc=GSM918011","GSM918011")</f>
        <v>GSM918011</v>
      </c>
      <c r="I3719" t="s">
        <v>17</v>
      </c>
      <c r="J3719" t="s">
        <v>18</v>
      </c>
      <c r="K3719" t="s">
        <v>19</v>
      </c>
      <c r="L3719" t="s">
        <v>20</v>
      </c>
      <c r="M3719" t="s">
        <v>24</v>
      </c>
      <c r="N3719" t="s">
        <v>22</v>
      </c>
    </row>
    <row r="3720" spans="1:14">
      <c r="A3720" s="4" t="str">
        <f t="shared" si="350"/>
        <v>EXP00117</v>
      </c>
      <c r="B3720" s="4" t="str">
        <f t="shared" si="351"/>
        <v>22294488</v>
      </c>
      <c r="C3720" s="4" t="str">
        <f t="shared" si="352"/>
        <v>GSE37407</v>
      </c>
      <c r="D3720" s="1" t="s">
        <v>226</v>
      </c>
      <c r="E3720" t="s">
        <v>25</v>
      </c>
      <c r="F3720" s="1">
        <v>1</v>
      </c>
      <c r="G3720" s="1" t="s">
        <v>26</v>
      </c>
      <c r="H3720" s="4" t="str">
        <f>HYPERLINK("https://www.ncbi.nlm.nih.gov/geo/query/acc.cgi?acc=GSM918012","GSM918012")</f>
        <v>GSM918012</v>
      </c>
      <c r="I3720" t="s">
        <v>17</v>
      </c>
      <c r="J3720" t="s">
        <v>18</v>
      </c>
      <c r="K3720" t="s">
        <v>19</v>
      </c>
      <c r="L3720" t="s">
        <v>20</v>
      </c>
      <c r="M3720" t="s">
        <v>21</v>
      </c>
      <c r="N3720" t="s">
        <v>22</v>
      </c>
    </row>
    <row r="3721" spans="1:14">
      <c r="A3721" s="4" t="str">
        <f t="shared" si="350"/>
        <v>EXP00117</v>
      </c>
      <c r="B3721" s="4" t="str">
        <f t="shared" si="351"/>
        <v>22294488</v>
      </c>
      <c r="C3721" s="4" t="str">
        <f t="shared" si="352"/>
        <v>GSE37407</v>
      </c>
      <c r="D3721" s="1" t="s">
        <v>226</v>
      </c>
      <c r="E3721" t="s">
        <v>25</v>
      </c>
      <c r="F3721" s="1">
        <v>1</v>
      </c>
      <c r="G3721" s="1" t="s">
        <v>26</v>
      </c>
      <c r="H3721" s="4" t="str">
        <f>HYPERLINK("https://www.ncbi.nlm.nih.gov/geo/query/acc.cgi?acc=GSM918013","GSM918013")</f>
        <v>GSM918013</v>
      </c>
      <c r="I3721" t="s">
        <v>17</v>
      </c>
      <c r="J3721" t="s">
        <v>18</v>
      </c>
      <c r="K3721" t="s">
        <v>19</v>
      </c>
      <c r="L3721" t="s">
        <v>20</v>
      </c>
      <c r="M3721" t="s">
        <v>24</v>
      </c>
      <c r="N3721" t="s">
        <v>22</v>
      </c>
    </row>
    <row r="3722" spans="1:14">
      <c r="A3722" s="4" t="str">
        <f t="shared" si="350"/>
        <v>EXP00117</v>
      </c>
      <c r="B3722" s="4" t="str">
        <f t="shared" si="351"/>
        <v>22294488</v>
      </c>
      <c r="C3722" s="4" t="str">
        <f t="shared" si="352"/>
        <v>GSE37407</v>
      </c>
      <c r="D3722" s="1" t="s">
        <v>226</v>
      </c>
      <c r="E3722" t="s">
        <v>25</v>
      </c>
      <c r="F3722" s="1">
        <v>1</v>
      </c>
      <c r="G3722" s="1" t="s">
        <v>26</v>
      </c>
      <c r="H3722" s="4" t="str">
        <f>HYPERLINK("https://www.ncbi.nlm.nih.gov/geo/query/acc.cgi?acc=GSM918014","GSM918014")</f>
        <v>GSM918014</v>
      </c>
      <c r="I3722" t="s">
        <v>17</v>
      </c>
      <c r="J3722" t="s">
        <v>18</v>
      </c>
      <c r="K3722" t="s">
        <v>19</v>
      </c>
      <c r="L3722" t="s">
        <v>20</v>
      </c>
      <c r="M3722" t="s">
        <v>21</v>
      </c>
      <c r="N3722" t="s">
        <v>22</v>
      </c>
    </row>
    <row r="3723" spans="1:14">
      <c r="A3723" s="4" t="str">
        <f t="shared" si="350"/>
        <v>EXP00117</v>
      </c>
      <c r="B3723" s="4" t="str">
        <f t="shared" si="351"/>
        <v>22294488</v>
      </c>
      <c r="C3723" s="4" t="str">
        <f t="shared" si="352"/>
        <v>GSE37407</v>
      </c>
      <c r="D3723" s="1" t="s">
        <v>226</v>
      </c>
      <c r="E3723" t="s">
        <v>25</v>
      </c>
      <c r="F3723" s="1">
        <v>1</v>
      </c>
      <c r="G3723" s="1" t="s">
        <v>26</v>
      </c>
      <c r="H3723" s="4" t="str">
        <f>HYPERLINK("https://www.ncbi.nlm.nih.gov/geo/query/acc.cgi?acc=GSM918017","GSM918017")</f>
        <v>GSM918017</v>
      </c>
      <c r="I3723" t="s">
        <v>17</v>
      </c>
      <c r="J3723" t="s">
        <v>18</v>
      </c>
      <c r="K3723" t="s">
        <v>19</v>
      </c>
      <c r="L3723" t="s">
        <v>20</v>
      </c>
      <c r="M3723" t="s">
        <v>24</v>
      </c>
      <c r="N3723" t="s">
        <v>22</v>
      </c>
    </row>
    <row r="3724" spans="1:14">
      <c r="A3724" s="4" t="str">
        <f t="shared" si="350"/>
        <v>EXP00117</v>
      </c>
      <c r="B3724" s="4" t="str">
        <f t="shared" si="351"/>
        <v>22294488</v>
      </c>
      <c r="C3724" s="4" t="str">
        <f t="shared" si="352"/>
        <v>GSE37407</v>
      </c>
      <c r="D3724" s="1" t="s">
        <v>226</v>
      </c>
      <c r="E3724" t="s">
        <v>25</v>
      </c>
      <c r="F3724" s="1">
        <v>1</v>
      </c>
      <c r="G3724" s="1" t="s">
        <v>26</v>
      </c>
      <c r="H3724" s="4" t="str">
        <f>HYPERLINK("https://www.ncbi.nlm.nih.gov/geo/query/acc.cgi?acc=GSM918019","GSM918019")</f>
        <v>GSM918019</v>
      </c>
      <c r="I3724" t="s">
        <v>17</v>
      </c>
      <c r="J3724" t="s">
        <v>18</v>
      </c>
      <c r="K3724" t="s">
        <v>19</v>
      </c>
      <c r="L3724" t="s">
        <v>20</v>
      </c>
      <c r="M3724" t="s">
        <v>27</v>
      </c>
      <c r="N3724" t="s">
        <v>22</v>
      </c>
    </row>
    <row r="3725" spans="1:14">
      <c r="A3725" s="4" t="str">
        <f t="shared" si="350"/>
        <v>EXP00117</v>
      </c>
      <c r="B3725" s="4" t="str">
        <f t="shared" si="351"/>
        <v>22294488</v>
      </c>
      <c r="C3725" s="4" t="str">
        <f t="shared" si="352"/>
        <v>GSE37407</v>
      </c>
      <c r="D3725" s="1" t="s">
        <v>226</v>
      </c>
      <c r="E3725" t="s">
        <v>25</v>
      </c>
      <c r="F3725" s="1">
        <v>1</v>
      </c>
      <c r="G3725" s="1" t="s">
        <v>26</v>
      </c>
      <c r="H3725" s="4" t="str">
        <f>HYPERLINK("https://www.ncbi.nlm.nih.gov/geo/query/acc.cgi?acc=GSM918020","GSM918020")</f>
        <v>GSM918020</v>
      </c>
      <c r="I3725" t="s">
        <v>17</v>
      </c>
      <c r="J3725" t="s">
        <v>18</v>
      </c>
      <c r="K3725" t="s">
        <v>19</v>
      </c>
      <c r="L3725" t="s">
        <v>20</v>
      </c>
      <c r="M3725" t="s">
        <v>21</v>
      </c>
      <c r="N3725" t="s">
        <v>22</v>
      </c>
    </row>
    <row r="3726" spans="1:14">
      <c r="A3726" s="4" t="str">
        <f t="shared" si="350"/>
        <v>EXP00117</v>
      </c>
      <c r="B3726" s="4" t="str">
        <f t="shared" si="351"/>
        <v>22294488</v>
      </c>
      <c r="C3726" s="4" t="str">
        <f t="shared" si="352"/>
        <v>GSE37407</v>
      </c>
      <c r="D3726" s="1" t="s">
        <v>226</v>
      </c>
      <c r="E3726" t="s">
        <v>25</v>
      </c>
      <c r="F3726" s="1">
        <v>1</v>
      </c>
      <c r="G3726" s="1" t="s">
        <v>26</v>
      </c>
      <c r="H3726" s="4" t="str">
        <f>HYPERLINK("https://www.ncbi.nlm.nih.gov/geo/query/acc.cgi?acc=GSM918021","GSM918021")</f>
        <v>GSM918021</v>
      </c>
      <c r="I3726" t="s">
        <v>17</v>
      </c>
      <c r="J3726" t="s">
        <v>18</v>
      </c>
      <c r="K3726" t="s">
        <v>19</v>
      </c>
      <c r="L3726" t="s">
        <v>20</v>
      </c>
      <c r="M3726" t="s">
        <v>21</v>
      </c>
      <c r="N3726" t="s">
        <v>22</v>
      </c>
    </row>
    <row r="3727" spans="1:14">
      <c r="A3727" s="4" t="str">
        <f t="shared" si="350"/>
        <v>EXP00117</v>
      </c>
      <c r="B3727" s="4" t="str">
        <f t="shared" si="351"/>
        <v>22294488</v>
      </c>
      <c r="C3727" s="4" t="str">
        <f t="shared" si="352"/>
        <v>GSE37407</v>
      </c>
      <c r="D3727" s="1" t="s">
        <v>226</v>
      </c>
      <c r="E3727" t="s">
        <v>25</v>
      </c>
      <c r="F3727" s="1">
        <v>1</v>
      </c>
      <c r="G3727" s="1" t="s">
        <v>26</v>
      </c>
      <c r="H3727" s="4" t="str">
        <f>HYPERLINK("https://www.ncbi.nlm.nih.gov/geo/query/acc.cgi?acc=GSM918025","GSM918025")</f>
        <v>GSM918025</v>
      </c>
      <c r="I3727" t="s">
        <v>17</v>
      </c>
      <c r="J3727" t="s">
        <v>18</v>
      </c>
      <c r="K3727" t="s">
        <v>19</v>
      </c>
      <c r="L3727" t="s">
        <v>20</v>
      </c>
      <c r="M3727" t="s">
        <v>21</v>
      </c>
      <c r="N3727" t="s">
        <v>22</v>
      </c>
    </row>
    <row r="3728" spans="1:14">
      <c r="A3728" s="4" t="str">
        <f t="shared" si="350"/>
        <v>EXP00117</v>
      </c>
      <c r="B3728" s="4" t="str">
        <f t="shared" si="351"/>
        <v>22294488</v>
      </c>
      <c r="C3728" s="4" t="str">
        <f t="shared" si="352"/>
        <v>GSE37407</v>
      </c>
      <c r="D3728" s="1" t="s">
        <v>226</v>
      </c>
      <c r="E3728" t="s">
        <v>25</v>
      </c>
      <c r="F3728" s="1">
        <v>1</v>
      </c>
      <c r="G3728" s="1" t="s">
        <v>26</v>
      </c>
      <c r="H3728" s="4" t="str">
        <f>HYPERLINK("https://www.ncbi.nlm.nih.gov/geo/query/acc.cgi?acc=GSM918028","GSM918028")</f>
        <v>GSM918028</v>
      </c>
      <c r="I3728" t="s">
        <v>17</v>
      </c>
      <c r="J3728" t="s">
        <v>18</v>
      </c>
      <c r="K3728" t="s">
        <v>19</v>
      </c>
      <c r="L3728" t="s">
        <v>20</v>
      </c>
      <c r="M3728" t="s">
        <v>21</v>
      </c>
      <c r="N3728" t="s">
        <v>22</v>
      </c>
    </row>
    <row r="3729" spans="1:14">
      <c r="A3729" s="4" t="str">
        <f t="shared" si="350"/>
        <v>EXP00117</v>
      </c>
      <c r="B3729" s="4" t="str">
        <f t="shared" si="351"/>
        <v>22294488</v>
      </c>
      <c r="C3729" s="4" t="str">
        <f t="shared" si="352"/>
        <v>GSE37407</v>
      </c>
      <c r="D3729" s="1" t="s">
        <v>226</v>
      </c>
      <c r="E3729" t="s">
        <v>25</v>
      </c>
      <c r="F3729" s="1">
        <v>1</v>
      </c>
      <c r="G3729" s="1" t="s">
        <v>26</v>
      </c>
      <c r="H3729" s="4" t="str">
        <f>HYPERLINK("https://www.ncbi.nlm.nih.gov/geo/query/acc.cgi?acc=GSM918034","GSM918034")</f>
        <v>GSM918034</v>
      </c>
      <c r="I3729" t="s">
        <v>17</v>
      </c>
      <c r="J3729" t="s">
        <v>18</v>
      </c>
      <c r="K3729" t="s">
        <v>19</v>
      </c>
      <c r="L3729" t="s">
        <v>20</v>
      </c>
      <c r="M3729" t="s">
        <v>24</v>
      </c>
      <c r="N3729" t="s">
        <v>22</v>
      </c>
    </row>
    <row r="3730" spans="1:14">
      <c r="A3730" s="4" t="str">
        <f t="shared" si="350"/>
        <v>EXP00117</v>
      </c>
      <c r="B3730" s="4" t="str">
        <f t="shared" si="351"/>
        <v>22294488</v>
      </c>
      <c r="C3730" s="4" t="str">
        <f t="shared" si="352"/>
        <v>GSE37407</v>
      </c>
      <c r="D3730" s="1" t="s">
        <v>226</v>
      </c>
      <c r="E3730" t="s">
        <v>25</v>
      </c>
      <c r="F3730" s="1">
        <v>1</v>
      </c>
      <c r="G3730" s="1" t="s">
        <v>26</v>
      </c>
      <c r="H3730" s="4" t="str">
        <f>HYPERLINK("https://www.ncbi.nlm.nih.gov/geo/query/acc.cgi?acc=GSM918035","GSM918035")</f>
        <v>GSM918035</v>
      </c>
      <c r="I3730" t="s">
        <v>17</v>
      </c>
      <c r="J3730" t="s">
        <v>18</v>
      </c>
      <c r="K3730" t="s">
        <v>19</v>
      </c>
      <c r="L3730" t="s">
        <v>20</v>
      </c>
      <c r="M3730" t="s">
        <v>21</v>
      </c>
      <c r="N3730" t="s">
        <v>22</v>
      </c>
    </row>
    <row r="3731" spans="1:14">
      <c r="A3731" s="4" t="str">
        <f t="shared" si="350"/>
        <v>EXP00117</v>
      </c>
      <c r="B3731" s="4" t="str">
        <f t="shared" si="351"/>
        <v>22294488</v>
      </c>
      <c r="C3731" s="4" t="str">
        <f t="shared" si="352"/>
        <v>GSE37407</v>
      </c>
      <c r="D3731" s="1" t="s">
        <v>226</v>
      </c>
      <c r="E3731" t="s">
        <v>25</v>
      </c>
      <c r="F3731" s="1">
        <v>1</v>
      </c>
      <c r="G3731" s="1" t="s">
        <v>26</v>
      </c>
      <c r="H3731" s="4" t="str">
        <f>HYPERLINK("https://www.ncbi.nlm.nih.gov/geo/query/acc.cgi?acc=GSM918036","GSM918036")</f>
        <v>GSM918036</v>
      </c>
      <c r="I3731" t="s">
        <v>17</v>
      </c>
      <c r="J3731" t="s">
        <v>18</v>
      </c>
      <c r="K3731" t="s">
        <v>19</v>
      </c>
      <c r="L3731" t="s">
        <v>20</v>
      </c>
      <c r="M3731" t="s">
        <v>21</v>
      </c>
      <c r="N3731" t="s">
        <v>22</v>
      </c>
    </row>
    <row r="3732" spans="1:14">
      <c r="A3732" s="4" t="str">
        <f t="shared" si="350"/>
        <v>EXP00117</v>
      </c>
      <c r="B3732" s="4" t="str">
        <f t="shared" si="351"/>
        <v>22294488</v>
      </c>
      <c r="C3732" s="4" t="str">
        <f t="shared" si="352"/>
        <v>GSE37407</v>
      </c>
      <c r="D3732" s="1" t="s">
        <v>226</v>
      </c>
      <c r="E3732" t="s">
        <v>25</v>
      </c>
      <c r="F3732" s="1">
        <v>1</v>
      </c>
      <c r="G3732" s="1" t="s">
        <v>26</v>
      </c>
      <c r="H3732" s="4" t="str">
        <f>HYPERLINK("https://www.ncbi.nlm.nih.gov/geo/query/acc.cgi?acc=GSM918037","GSM918037")</f>
        <v>GSM918037</v>
      </c>
      <c r="I3732" t="s">
        <v>17</v>
      </c>
      <c r="J3732" t="s">
        <v>18</v>
      </c>
      <c r="K3732" t="s">
        <v>19</v>
      </c>
      <c r="L3732" t="s">
        <v>20</v>
      </c>
      <c r="M3732" t="s">
        <v>27</v>
      </c>
      <c r="N3732" t="s">
        <v>22</v>
      </c>
    </row>
    <row r="3733" spans="1:14">
      <c r="A3733" s="4" t="str">
        <f t="shared" si="350"/>
        <v>EXP00117</v>
      </c>
      <c r="B3733" s="4" t="str">
        <f t="shared" si="351"/>
        <v>22294488</v>
      </c>
      <c r="C3733" s="4" t="str">
        <f t="shared" si="352"/>
        <v>GSE37407</v>
      </c>
      <c r="D3733" s="1" t="s">
        <v>226</v>
      </c>
      <c r="E3733" t="s">
        <v>25</v>
      </c>
      <c r="F3733" s="1">
        <v>1</v>
      </c>
      <c r="G3733" s="1" t="s">
        <v>26</v>
      </c>
      <c r="H3733" s="4" t="str">
        <f>HYPERLINK("https://www.ncbi.nlm.nih.gov/geo/query/acc.cgi?acc=GSM918039","GSM918039")</f>
        <v>GSM918039</v>
      </c>
      <c r="I3733" t="s">
        <v>17</v>
      </c>
      <c r="J3733" t="s">
        <v>18</v>
      </c>
      <c r="K3733" t="s">
        <v>19</v>
      </c>
      <c r="L3733" t="s">
        <v>20</v>
      </c>
      <c r="M3733" t="s">
        <v>21</v>
      </c>
      <c r="N3733" t="s">
        <v>22</v>
      </c>
    </row>
    <row r="3734" spans="1:14">
      <c r="A3734" s="4" t="str">
        <f t="shared" si="350"/>
        <v>EXP00117</v>
      </c>
      <c r="B3734" s="4" t="str">
        <f t="shared" si="351"/>
        <v>22294488</v>
      </c>
      <c r="C3734" s="4" t="str">
        <f t="shared" si="352"/>
        <v>GSE37407</v>
      </c>
      <c r="D3734" s="1" t="s">
        <v>226</v>
      </c>
      <c r="E3734" t="s">
        <v>25</v>
      </c>
      <c r="F3734" s="1">
        <v>1</v>
      </c>
      <c r="G3734" s="1" t="s">
        <v>26</v>
      </c>
      <c r="H3734" s="4" t="str">
        <f>HYPERLINK("https://www.ncbi.nlm.nih.gov/geo/query/acc.cgi?acc=GSM918042","GSM918042")</f>
        <v>GSM918042</v>
      </c>
      <c r="I3734" t="s">
        <v>17</v>
      </c>
      <c r="J3734" t="s">
        <v>18</v>
      </c>
      <c r="K3734" t="s">
        <v>19</v>
      </c>
      <c r="L3734" t="s">
        <v>20</v>
      </c>
      <c r="M3734" t="s">
        <v>24</v>
      </c>
      <c r="N3734" t="s">
        <v>22</v>
      </c>
    </row>
    <row r="3735" spans="1:14">
      <c r="A3735" s="4" t="str">
        <f t="shared" si="350"/>
        <v>EXP00117</v>
      </c>
      <c r="B3735" s="4" t="str">
        <f t="shared" si="351"/>
        <v>22294488</v>
      </c>
      <c r="C3735" s="4" t="str">
        <f t="shared" si="352"/>
        <v>GSE37407</v>
      </c>
      <c r="D3735" s="1" t="s">
        <v>226</v>
      </c>
      <c r="E3735" t="s">
        <v>25</v>
      </c>
      <c r="F3735" s="1">
        <v>1</v>
      </c>
      <c r="G3735" s="1" t="s">
        <v>26</v>
      </c>
      <c r="H3735" s="4" t="str">
        <f>HYPERLINK("https://www.ncbi.nlm.nih.gov/geo/query/acc.cgi?acc=GSM918043","GSM918043")</f>
        <v>GSM918043</v>
      </c>
      <c r="I3735" t="s">
        <v>17</v>
      </c>
      <c r="J3735" t="s">
        <v>18</v>
      </c>
      <c r="K3735" t="s">
        <v>19</v>
      </c>
      <c r="L3735" t="s">
        <v>20</v>
      </c>
      <c r="M3735" t="s">
        <v>21</v>
      </c>
      <c r="N3735" t="s">
        <v>22</v>
      </c>
    </row>
    <row r="3736" spans="1:14">
      <c r="A3736" s="4" t="str">
        <f t="shared" si="350"/>
        <v>EXP00117</v>
      </c>
      <c r="B3736" s="4" t="str">
        <f t="shared" si="351"/>
        <v>22294488</v>
      </c>
      <c r="C3736" s="4" t="str">
        <f t="shared" si="352"/>
        <v>GSE37407</v>
      </c>
      <c r="D3736" s="1" t="s">
        <v>226</v>
      </c>
      <c r="E3736" t="s">
        <v>25</v>
      </c>
      <c r="F3736" s="1">
        <v>1</v>
      </c>
      <c r="G3736" s="1" t="s">
        <v>26</v>
      </c>
      <c r="H3736" s="4" t="str">
        <f>HYPERLINK("https://www.ncbi.nlm.nih.gov/geo/query/acc.cgi?acc=GSM918045","GSM918045")</f>
        <v>GSM918045</v>
      </c>
      <c r="I3736" t="s">
        <v>17</v>
      </c>
      <c r="J3736" t="s">
        <v>18</v>
      </c>
      <c r="K3736" t="s">
        <v>19</v>
      </c>
      <c r="L3736" t="s">
        <v>20</v>
      </c>
      <c r="M3736" t="s">
        <v>24</v>
      </c>
      <c r="N3736" t="s">
        <v>22</v>
      </c>
    </row>
    <row r="3737" spans="1:14">
      <c r="A3737" s="4" t="str">
        <f t="shared" si="350"/>
        <v>EXP00117</v>
      </c>
      <c r="B3737" s="4" t="str">
        <f t="shared" si="351"/>
        <v>22294488</v>
      </c>
      <c r="C3737" s="4" t="str">
        <f t="shared" si="352"/>
        <v>GSE37407</v>
      </c>
      <c r="D3737" s="1" t="s">
        <v>226</v>
      </c>
      <c r="E3737" t="s">
        <v>25</v>
      </c>
      <c r="F3737" s="1">
        <v>1</v>
      </c>
      <c r="G3737" s="1" t="s">
        <v>26</v>
      </c>
      <c r="H3737" s="4" t="str">
        <f>HYPERLINK("https://www.ncbi.nlm.nih.gov/geo/query/acc.cgi?acc=GSM918049","GSM918049")</f>
        <v>GSM918049</v>
      </c>
      <c r="I3737" t="s">
        <v>17</v>
      </c>
      <c r="J3737" t="s">
        <v>18</v>
      </c>
      <c r="K3737" t="s">
        <v>19</v>
      </c>
      <c r="L3737" t="s">
        <v>20</v>
      </c>
      <c r="M3737" t="s">
        <v>24</v>
      </c>
      <c r="N3737" t="s">
        <v>22</v>
      </c>
    </row>
    <row r="3738" spans="1:14">
      <c r="A3738" s="4" t="str">
        <f t="shared" si="350"/>
        <v>EXP00117</v>
      </c>
      <c r="B3738" s="4" t="str">
        <f t="shared" si="351"/>
        <v>22294488</v>
      </c>
      <c r="C3738" s="4" t="str">
        <f t="shared" si="352"/>
        <v>GSE37407</v>
      </c>
      <c r="D3738" s="1" t="s">
        <v>226</v>
      </c>
      <c r="E3738" t="s">
        <v>25</v>
      </c>
      <c r="F3738" s="1">
        <v>1</v>
      </c>
      <c r="G3738" s="1" t="s">
        <v>26</v>
      </c>
      <c r="H3738" s="4" t="str">
        <f>HYPERLINK("https://www.ncbi.nlm.nih.gov/geo/query/acc.cgi?acc=GSM918050","GSM918050")</f>
        <v>GSM918050</v>
      </c>
      <c r="I3738" t="s">
        <v>17</v>
      </c>
      <c r="J3738" t="s">
        <v>18</v>
      </c>
      <c r="K3738" t="s">
        <v>19</v>
      </c>
      <c r="L3738" t="s">
        <v>20</v>
      </c>
      <c r="M3738" t="s">
        <v>21</v>
      </c>
      <c r="N3738" t="s">
        <v>22</v>
      </c>
    </row>
    <row r="3739" spans="1:14">
      <c r="A3739" s="4" t="str">
        <f t="shared" si="350"/>
        <v>EXP00117</v>
      </c>
      <c r="B3739" s="4" t="str">
        <f t="shared" si="351"/>
        <v>22294488</v>
      </c>
      <c r="C3739" s="4" t="str">
        <f t="shared" si="352"/>
        <v>GSE37407</v>
      </c>
      <c r="D3739" s="1" t="s">
        <v>226</v>
      </c>
      <c r="E3739" t="s">
        <v>25</v>
      </c>
      <c r="F3739" s="1">
        <v>1</v>
      </c>
      <c r="G3739" s="1" t="s">
        <v>26</v>
      </c>
      <c r="H3739" s="4" t="str">
        <f>HYPERLINK("https://www.ncbi.nlm.nih.gov/geo/query/acc.cgi?acc=GSM918051","GSM918051")</f>
        <v>GSM918051</v>
      </c>
      <c r="I3739" t="s">
        <v>17</v>
      </c>
      <c r="J3739" t="s">
        <v>18</v>
      </c>
      <c r="K3739" t="s">
        <v>19</v>
      </c>
      <c r="L3739" t="s">
        <v>20</v>
      </c>
      <c r="M3739" t="s">
        <v>21</v>
      </c>
      <c r="N3739" t="s">
        <v>22</v>
      </c>
    </row>
    <row r="3740" spans="1:14">
      <c r="A3740" s="4" t="str">
        <f t="shared" si="350"/>
        <v>EXP00117</v>
      </c>
      <c r="B3740" s="4" t="str">
        <f t="shared" si="351"/>
        <v>22294488</v>
      </c>
      <c r="C3740" s="4" t="str">
        <f t="shared" si="352"/>
        <v>GSE37407</v>
      </c>
      <c r="D3740" s="1" t="s">
        <v>226</v>
      </c>
      <c r="E3740" t="s">
        <v>25</v>
      </c>
      <c r="F3740" s="1">
        <v>1</v>
      </c>
      <c r="G3740" s="1" t="s">
        <v>26</v>
      </c>
      <c r="H3740" s="4" t="str">
        <f>HYPERLINK("https://www.ncbi.nlm.nih.gov/geo/query/acc.cgi?acc=GSM918052","GSM918052")</f>
        <v>GSM918052</v>
      </c>
      <c r="I3740" t="s">
        <v>17</v>
      </c>
      <c r="J3740" t="s">
        <v>18</v>
      </c>
      <c r="K3740" t="s">
        <v>19</v>
      </c>
      <c r="L3740" t="s">
        <v>20</v>
      </c>
      <c r="M3740" t="s">
        <v>24</v>
      </c>
      <c r="N3740" t="s">
        <v>22</v>
      </c>
    </row>
    <row r="3741" spans="1:14">
      <c r="A3741" s="4" t="str">
        <f t="shared" si="350"/>
        <v>EXP00117</v>
      </c>
      <c r="B3741" s="4" t="str">
        <f t="shared" si="351"/>
        <v>22294488</v>
      </c>
      <c r="C3741" s="4" t="str">
        <f t="shared" si="352"/>
        <v>GSE37407</v>
      </c>
      <c r="D3741" s="1" t="s">
        <v>226</v>
      </c>
      <c r="E3741" t="s">
        <v>25</v>
      </c>
      <c r="F3741" s="1">
        <v>1</v>
      </c>
      <c r="G3741" s="1" t="s">
        <v>26</v>
      </c>
      <c r="H3741" s="4" t="str">
        <f>HYPERLINK("https://www.ncbi.nlm.nih.gov/geo/query/acc.cgi?acc=GSM918053","GSM918053")</f>
        <v>GSM918053</v>
      </c>
      <c r="I3741" t="s">
        <v>17</v>
      </c>
      <c r="J3741" t="s">
        <v>18</v>
      </c>
      <c r="K3741" t="s">
        <v>19</v>
      </c>
      <c r="L3741" t="s">
        <v>20</v>
      </c>
      <c r="M3741" t="s">
        <v>21</v>
      </c>
      <c r="N3741" t="s">
        <v>22</v>
      </c>
    </row>
    <row r="3742" spans="1:14">
      <c r="A3742" s="4" t="str">
        <f t="shared" si="350"/>
        <v>EXP00117</v>
      </c>
      <c r="B3742" s="4" t="str">
        <f t="shared" si="351"/>
        <v>22294488</v>
      </c>
      <c r="C3742" s="4" t="str">
        <f t="shared" si="352"/>
        <v>GSE37407</v>
      </c>
      <c r="D3742" s="1" t="s">
        <v>226</v>
      </c>
      <c r="E3742" t="s">
        <v>25</v>
      </c>
      <c r="F3742" s="1">
        <v>1</v>
      </c>
      <c r="G3742" s="1" t="s">
        <v>26</v>
      </c>
      <c r="H3742" s="4" t="str">
        <f>HYPERLINK("https://www.ncbi.nlm.nih.gov/geo/query/acc.cgi?acc=GSM918054","GSM918054")</f>
        <v>GSM918054</v>
      </c>
      <c r="I3742" t="s">
        <v>17</v>
      </c>
      <c r="J3742" t="s">
        <v>18</v>
      </c>
      <c r="K3742" t="s">
        <v>19</v>
      </c>
      <c r="L3742" t="s">
        <v>20</v>
      </c>
      <c r="M3742" t="s">
        <v>65</v>
      </c>
      <c r="N3742" t="s">
        <v>22</v>
      </c>
    </row>
    <row r="3743" spans="1:14">
      <c r="A3743" s="4" t="str">
        <f t="shared" si="350"/>
        <v>EXP00117</v>
      </c>
      <c r="B3743" s="4" t="str">
        <f t="shared" si="351"/>
        <v>22294488</v>
      </c>
      <c r="C3743" s="4" t="str">
        <f t="shared" si="352"/>
        <v>GSE37407</v>
      </c>
      <c r="D3743" s="1" t="s">
        <v>226</v>
      </c>
      <c r="E3743" t="s">
        <v>25</v>
      </c>
      <c r="F3743" s="1">
        <v>1</v>
      </c>
      <c r="G3743" s="1" t="s">
        <v>26</v>
      </c>
      <c r="H3743" s="4" t="str">
        <f>HYPERLINK("https://www.ncbi.nlm.nih.gov/geo/query/acc.cgi?acc=GSM918055","GSM918055")</f>
        <v>GSM918055</v>
      </c>
      <c r="I3743" t="s">
        <v>17</v>
      </c>
      <c r="J3743" t="s">
        <v>18</v>
      </c>
      <c r="K3743" t="s">
        <v>19</v>
      </c>
      <c r="L3743" t="s">
        <v>20</v>
      </c>
      <c r="M3743" t="s">
        <v>44</v>
      </c>
      <c r="N3743" t="s">
        <v>22</v>
      </c>
    </row>
    <row r="3744" spans="1:14">
      <c r="A3744" s="4" t="str">
        <f t="shared" si="350"/>
        <v>EXP00117</v>
      </c>
      <c r="B3744" s="4" t="str">
        <f t="shared" si="351"/>
        <v>22294488</v>
      </c>
      <c r="C3744" s="4" t="str">
        <f t="shared" si="352"/>
        <v>GSE37407</v>
      </c>
      <c r="D3744" s="1" t="s">
        <v>226</v>
      </c>
      <c r="E3744" t="s">
        <v>25</v>
      </c>
      <c r="F3744" s="1">
        <v>1</v>
      </c>
      <c r="G3744" s="1" t="s">
        <v>26</v>
      </c>
      <c r="H3744" s="4" t="str">
        <f>HYPERLINK("https://www.ncbi.nlm.nih.gov/geo/query/acc.cgi?acc=GSM918061","GSM918061")</f>
        <v>GSM918061</v>
      </c>
      <c r="I3744" t="s">
        <v>17</v>
      </c>
      <c r="J3744" t="s">
        <v>18</v>
      </c>
      <c r="K3744" t="s">
        <v>19</v>
      </c>
      <c r="L3744" t="s">
        <v>20</v>
      </c>
      <c r="M3744" t="s">
        <v>44</v>
      </c>
      <c r="N3744" t="s">
        <v>22</v>
      </c>
    </row>
    <row r="3745" spans="1:14">
      <c r="A3745" s="4" t="str">
        <f t="shared" si="350"/>
        <v>EXP00117</v>
      </c>
      <c r="B3745" s="4" t="str">
        <f t="shared" si="351"/>
        <v>22294488</v>
      </c>
      <c r="C3745" s="4" t="str">
        <f t="shared" si="352"/>
        <v>GSE37407</v>
      </c>
      <c r="D3745" s="1" t="s">
        <v>226</v>
      </c>
      <c r="E3745" t="s">
        <v>25</v>
      </c>
      <c r="F3745" s="1">
        <v>1</v>
      </c>
      <c r="G3745" s="1" t="s">
        <v>26</v>
      </c>
      <c r="H3745" s="4" t="str">
        <f>HYPERLINK("https://www.ncbi.nlm.nih.gov/geo/query/acc.cgi?acc=GSM918063","GSM918063")</f>
        <v>GSM918063</v>
      </c>
      <c r="I3745" t="s">
        <v>17</v>
      </c>
      <c r="J3745" t="s">
        <v>18</v>
      </c>
      <c r="K3745" t="s">
        <v>19</v>
      </c>
      <c r="L3745" t="s">
        <v>20</v>
      </c>
      <c r="M3745" t="s">
        <v>24</v>
      </c>
      <c r="N3745" t="s">
        <v>22</v>
      </c>
    </row>
    <row r="3746" spans="1:14">
      <c r="A3746" s="4" t="str">
        <f t="shared" si="350"/>
        <v>EXP00117</v>
      </c>
      <c r="B3746" s="4" t="str">
        <f t="shared" si="351"/>
        <v>22294488</v>
      </c>
      <c r="C3746" s="4" t="str">
        <f t="shared" si="352"/>
        <v>GSE37407</v>
      </c>
      <c r="D3746" s="1" t="s">
        <v>226</v>
      </c>
      <c r="E3746" t="s">
        <v>25</v>
      </c>
      <c r="F3746" s="1">
        <v>1</v>
      </c>
      <c r="G3746" s="1" t="s">
        <v>26</v>
      </c>
      <c r="H3746" s="4" t="str">
        <f>HYPERLINK("https://www.ncbi.nlm.nih.gov/geo/query/acc.cgi?acc=GSM918065","GSM918065")</f>
        <v>GSM918065</v>
      </c>
      <c r="I3746" t="s">
        <v>17</v>
      </c>
      <c r="J3746" t="s">
        <v>18</v>
      </c>
      <c r="K3746" t="s">
        <v>19</v>
      </c>
      <c r="L3746" t="s">
        <v>20</v>
      </c>
      <c r="M3746" t="s">
        <v>24</v>
      </c>
      <c r="N3746" t="s">
        <v>22</v>
      </c>
    </row>
    <row r="3747" spans="1:14">
      <c r="A3747" s="4" t="str">
        <f t="shared" si="350"/>
        <v>EXP00117</v>
      </c>
      <c r="B3747" s="4" t="str">
        <f t="shared" si="351"/>
        <v>22294488</v>
      </c>
      <c r="C3747" s="4" t="str">
        <f t="shared" si="352"/>
        <v>GSE37407</v>
      </c>
      <c r="D3747" s="1" t="s">
        <v>226</v>
      </c>
      <c r="E3747" t="s">
        <v>25</v>
      </c>
      <c r="F3747" s="1">
        <v>1</v>
      </c>
      <c r="G3747" s="1" t="s">
        <v>26</v>
      </c>
      <c r="H3747" s="4" t="str">
        <f>HYPERLINK("https://www.ncbi.nlm.nih.gov/geo/query/acc.cgi?acc=GSM918067","GSM918067")</f>
        <v>GSM918067</v>
      </c>
      <c r="I3747" t="s">
        <v>17</v>
      </c>
      <c r="J3747" t="s">
        <v>18</v>
      </c>
      <c r="K3747" t="s">
        <v>19</v>
      </c>
      <c r="L3747" t="s">
        <v>20</v>
      </c>
      <c r="M3747" t="s">
        <v>21</v>
      </c>
      <c r="N3747" t="s">
        <v>22</v>
      </c>
    </row>
    <row r="3748" spans="1:14">
      <c r="A3748" s="4" t="str">
        <f t="shared" si="350"/>
        <v>EXP00117</v>
      </c>
      <c r="B3748" s="4" t="str">
        <f t="shared" si="351"/>
        <v>22294488</v>
      </c>
      <c r="C3748" s="4" t="str">
        <f t="shared" si="352"/>
        <v>GSE37407</v>
      </c>
      <c r="D3748" s="1" t="s">
        <v>226</v>
      </c>
      <c r="E3748" t="s">
        <v>25</v>
      </c>
      <c r="F3748" s="1">
        <v>1</v>
      </c>
      <c r="G3748" s="1" t="s">
        <v>26</v>
      </c>
      <c r="H3748" s="4" t="str">
        <f>HYPERLINK("https://www.ncbi.nlm.nih.gov/geo/query/acc.cgi?acc=GSM918068","GSM918068")</f>
        <v>GSM918068</v>
      </c>
      <c r="I3748" t="s">
        <v>17</v>
      </c>
      <c r="J3748" t="s">
        <v>18</v>
      </c>
      <c r="K3748" t="s">
        <v>19</v>
      </c>
      <c r="L3748" t="s">
        <v>20</v>
      </c>
      <c r="M3748" t="s">
        <v>44</v>
      </c>
      <c r="N3748" t="s">
        <v>22</v>
      </c>
    </row>
    <row r="3749" spans="1:14">
      <c r="A3749" s="4" t="str">
        <f t="shared" si="350"/>
        <v>EXP00117</v>
      </c>
      <c r="B3749" s="4" t="str">
        <f t="shared" si="351"/>
        <v>22294488</v>
      </c>
      <c r="C3749" s="4" t="str">
        <f t="shared" si="352"/>
        <v>GSE37407</v>
      </c>
      <c r="D3749" s="1" t="s">
        <v>226</v>
      </c>
      <c r="E3749" t="s">
        <v>25</v>
      </c>
      <c r="F3749" s="1">
        <v>1</v>
      </c>
      <c r="G3749" s="1" t="s">
        <v>26</v>
      </c>
      <c r="H3749" s="4" t="str">
        <f>HYPERLINK("https://www.ncbi.nlm.nih.gov/geo/query/acc.cgi?acc=GSM918070","GSM918070")</f>
        <v>GSM918070</v>
      </c>
      <c r="I3749" t="s">
        <v>17</v>
      </c>
      <c r="J3749" t="s">
        <v>18</v>
      </c>
      <c r="K3749" t="s">
        <v>19</v>
      </c>
      <c r="L3749" t="s">
        <v>20</v>
      </c>
      <c r="M3749" t="s">
        <v>27</v>
      </c>
      <c r="N3749" t="s">
        <v>22</v>
      </c>
    </row>
    <row r="3750" spans="1:14">
      <c r="A3750" s="4" t="str">
        <f t="shared" si="350"/>
        <v>EXP00117</v>
      </c>
      <c r="B3750" s="4" t="str">
        <f t="shared" si="351"/>
        <v>22294488</v>
      </c>
      <c r="C3750" s="4" t="str">
        <f t="shared" si="352"/>
        <v>GSE37407</v>
      </c>
      <c r="D3750" s="1" t="s">
        <v>226</v>
      </c>
      <c r="E3750" t="s">
        <v>25</v>
      </c>
      <c r="F3750" s="1">
        <v>2</v>
      </c>
      <c r="G3750" s="1" t="s">
        <v>28</v>
      </c>
      <c r="H3750" s="4" t="str">
        <f>HYPERLINK("https://www.ncbi.nlm.nih.gov/geo/query/acc.cgi?acc=GSM918016","GSM918016")</f>
        <v>GSM918016</v>
      </c>
      <c r="I3750" t="s">
        <v>17</v>
      </c>
      <c r="J3750" t="s">
        <v>18</v>
      </c>
      <c r="K3750" t="s">
        <v>19</v>
      </c>
      <c r="L3750" t="s">
        <v>20</v>
      </c>
      <c r="M3750" t="s">
        <v>44</v>
      </c>
      <c r="N3750" t="s">
        <v>29</v>
      </c>
    </row>
    <row r="3751" spans="1:14">
      <c r="A3751" s="4" t="str">
        <f t="shared" si="350"/>
        <v>EXP00117</v>
      </c>
      <c r="B3751" s="4" t="str">
        <f t="shared" ref="B3751:B3782" si="353">HYPERLINK("https://www.ncbi.nlm.nih.gov/pubmed/22294488","22294488")</f>
        <v>22294488</v>
      </c>
      <c r="C3751" s="4" t="str">
        <f t="shared" ref="C3751:C3782" si="354">HYPERLINK("https://www.ncbi.nlm.nih.gov/geo/query/acc.cgi?acc=GSE37407","GSE37407")</f>
        <v>GSE37407</v>
      </c>
      <c r="D3751" s="1" t="s">
        <v>226</v>
      </c>
      <c r="E3751" t="s">
        <v>25</v>
      </c>
      <c r="F3751" s="1">
        <v>2</v>
      </c>
      <c r="G3751" s="1" t="s">
        <v>28</v>
      </c>
      <c r="H3751" s="4" t="str">
        <f>HYPERLINK("https://www.ncbi.nlm.nih.gov/geo/query/acc.cgi?acc=GSM918022","GSM918022")</f>
        <v>GSM918022</v>
      </c>
      <c r="I3751" t="s">
        <v>17</v>
      </c>
      <c r="J3751" t="s">
        <v>18</v>
      </c>
      <c r="K3751" t="s">
        <v>19</v>
      </c>
      <c r="L3751" t="s">
        <v>20</v>
      </c>
      <c r="M3751" t="s">
        <v>231</v>
      </c>
      <c r="N3751" t="s">
        <v>29</v>
      </c>
    </row>
    <row r="3752" spans="1:14">
      <c r="A3752" s="4" t="str">
        <f t="shared" si="350"/>
        <v>EXP00117</v>
      </c>
      <c r="B3752" s="4" t="str">
        <f t="shared" si="353"/>
        <v>22294488</v>
      </c>
      <c r="C3752" s="4" t="str">
        <f t="shared" si="354"/>
        <v>GSE37407</v>
      </c>
      <c r="D3752" s="1" t="s">
        <v>226</v>
      </c>
      <c r="E3752" t="s">
        <v>25</v>
      </c>
      <c r="F3752" s="1">
        <v>2</v>
      </c>
      <c r="G3752" s="1" t="s">
        <v>28</v>
      </c>
      <c r="H3752" s="4" t="str">
        <f>HYPERLINK("https://www.ncbi.nlm.nih.gov/geo/query/acc.cgi?acc=GSM918023","GSM918023")</f>
        <v>GSM918023</v>
      </c>
      <c r="I3752" t="s">
        <v>17</v>
      </c>
      <c r="J3752" t="s">
        <v>18</v>
      </c>
      <c r="K3752" t="s">
        <v>19</v>
      </c>
      <c r="L3752" t="s">
        <v>20</v>
      </c>
      <c r="M3752" t="s">
        <v>228</v>
      </c>
      <c r="N3752" t="s">
        <v>29</v>
      </c>
    </row>
    <row r="3753" spans="1:14">
      <c r="A3753" s="4" t="str">
        <f t="shared" si="350"/>
        <v>EXP00117</v>
      </c>
      <c r="B3753" s="4" t="str">
        <f t="shared" si="353"/>
        <v>22294488</v>
      </c>
      <c r="C3753" s="4" t="str">
        <f t="shared" si="354"/>
        <v>GSE37407</v>
      </c>
      <c r="D3753" s="1" t="s">
        <v>226</v>
      </c>
      <c r="E3753" t="s">
        <v>25</v>
      </c>
      <c r="F3753" s="1">
        <v>2</v>
      </c>
      <c r="G3753" s="1" t="s">
        <v>28</v>
      </c>
      <c r="H3753" s="4" t="str">
        <f>HYPERLINK("https://www.ncbi.nlm.nih.gov/geo/query/acc.cgi?acc=GSM918024","GSM918024")</f>
        <v>GSM918024</v>
      </c>
      <c r="I3753" t="s">
        <v>17</v>
      </c>
      <c r="J3753" t="s">
        <v>18</v>
      </c>
      <c r="K3753" t="s">
        <v>19</v>
      </c>
      <c r="L3753" t="s">
        <v>20</v>
      </c>
      <c r="M3753" t="s">
        <v>21</v>
      </c>
      <c r="N3753" t="s">
        <v>29</v>
      </c>
    </row>
    <row r="3754" spans="1:14">
      <c r="A3754" s="4" t="str">
        <f t="shared" si="350"/>
        <v>EXP00117</v>
      </c>
      <c r="B3754" s="4" t="str">
        <f t="shared" si="353"/>
        <v>22294488</v>
      </c>
      <c r="C3754" s="4" t="str">
        <f t="shared" si="354"/>
        <v>GSE37407</v>
      </c>
      <c r="D3754" s="1" t="s">
        <v>226</v>
      </c>
      <c r="E3754" t="s">
        <v>25</v>
      </c>
      <c r="F3754" s="1">
        <v>2</v>
      </c>
      <c r="G3754" s="1" t="s">
        <v>28</v>
      </c>
      <c r="H3754" s="4" t="str">
        <f>HYPERLINK("https://www.ncbi.nlm.nih.gov/geo/query/acc.cgi?acc=GSM918029","GSM918029")</f>
        <v>GSM918029</v>
      </c>
      <c r="I3754" t="s">
        <v>17</v>
      </c>
      <c r="J3754" t="s">
        <v>18</v>
      </c>
      <c r="K3754" t="s">
        <v>19</v>
      </c>
      <c r="L3754" t="s">
        <v>20</v>
      </c>
      <c r="M3754" t="s">
        <v>231</v>
      </c>
      <c r="N3754" t="s">
        <v>29</v>
      </c>
    </row>
    <row r="3755" spans="1:14">
      <c r="A3755" s="4" t="str">
        <f t="shared" si="350"/>
        <v>EXP00117</v>
      </c>
      <c r="B3755" s="4" t="str">
        <f t="shared" si="353"/>
        <v>22294488</v>
      </c>
      <c r="C3755" s="4" t="str">
        <f t="shared" si="354"/>
        <v>GSE37407</v>
      </c>
      <c r="D3755" s="1" t="s">
        <v>226</v>
      </c>
      <c r="E3755" t="s">
        <v>25</v>
      </c>
      <c r="F3755" s="1">
        <v>2</v>
      </c>
      <c r="G3755" s="1" t="s">
        <v>28</v>
      </c>
      <c r="H3755" s="4" t="str">
        <f>HYPERLINK("https://www.ncbi.nlm.nih.gov/geo/query/acc.cgi?acc=GSM918030","GSM918030")</f>
        <v>GSM918030</v>
      </c>
      <c r="I3755" t="s">
        <v>17</v>
      </c>
      <c r="J3755" t="s">
        <v>18</v>
      </c>
      <c r="K3755" t="s">
        <v>19</v>
      </c>
      <c r="L3755" t="s">
        <v>20</v>
      </c>
      <c r="M3755" t="s">
        <v>233</v>
      </c>
      <c r="N3755" t="s">
        <v>29</v>
      </c>
    </row>
    <row r="3756" spans="1:14">
      <c r="A3756" s="4" t="str">
        <f t="shared" si="350"/>
        <v>EXP00117</v>
      </c>
      <c r="B3756" s="4" t="str">
        <f t="shared" si="353"/>
        <v>22294488</v>
      </c>
      <c r="C3756" s="4" t="str">
        <f t="shared" si="354"/>
        <v>GSE37407</v>
      </c>
      <c r="D3756" s="1" t="s">
        <v>226</v>
      </c>
      <c r="E3756" t="s">
        <v>25</v>
      </c>
      <c r="F3756" s="1">
        <v>2</v>
      </c>
      <c r="G3756" s="1" t="s">
        <v>28</v>
      </c>
      <c r="H3756" s="4" t="str">
        <f>HYPERLINK("https://www.ncbi.nlm.nih.gov/geo/query/acc.cgi?acc=GSM918033","GSM918033")</f>
        <v>GSM918033</v>
      </c>
      <c r="I3756" t="s">
        <v>17</v>
      </c>
      <c r="J3756" t="s">
        <v>18</v>
      </c>
      <c r="K3756" t="s">
        <v>19</v>
      </c>
      <c r="L3756" t="s">
        <v>20</v>
      </c>
      <c r="M3756" t="s">
        <v>231</v>
      </c>
      <c r="N3756" t="s">
        <v>29</v>
      </c>
    </row>
    <row r="3757" spans="1:14">
      <c r="A3757" s="4" t="str">
        <f t="shared" si="350"/>
        <v>EXP00117</v>
      </c>
      <c r="B3757" s="4" t="str">
        <f t="shared" si="353"/>
        <v>22294488</v>
      </c>
      <c r="C3757" s="4" t="str">
        <f t="shared" si="354"/>
        <v>GSE37407</v>
      </c>
      <c r="D3757" s="1" t="s">
        <v>226</v>
      </c>
      <c r="E3757" t="s">
        <v>25</v>
      </c>
      <c r="F3757" s="1">
        <v>2</v>
      </c>
      <c r="G3757" s="1" t="s">
        <v>28</v>
      </c>
      <c r="H3757" s="4" t="str">
        <f>HYPERLINK("https://www.ncbi.nlm.nih.gov/geo/query/acc.cgi?acc=GSM918038","GSM918038")</f>
        <v>GSM918038</v>
      </c>
      <c r="I3757" t="s">
        <v>17</v>
      </c>
      <c r="J3757" t="s">
        <v>18</v>
      </c>
      <c r="K3757" t="s">
        <v>19</v>
      </c>
      <c r="L3757" t="s">
        <v>20</v>
      </c>
      <c r="M3757" t="s">
        <v>231</v>
      </c>
      <c r="N3757" t="s">
        <v>29</v>
      </c>
    </row>
    <row r="3758" spans="1:14">
      <c r="A3758" s="4" t="str">
        <f t="shared" si="350"/>
        <v>EXP00117</v>
      </c>
      <c r="B3758" s="4" t="str">
        <f t="shared" si="353"/>
        <v>22294488</v>
      </c>
      <c r="C3758" s="4" t="str">
        <f t="shared" si="354"/>
        <v>GSE37407</v>
      </c>
      <c r="D3758" s="1" t="s">
        <v>226</v>
      </c>
      <c r="E3758" t="s">
        <v>25</v>
      </c>
      <c r="F3758" s="1">
        <v>2</v>
      </c>
      <c r="G3758" s="1" t="s">
        <v>28</v>
      </c>
      <c r="H3758" s="4" t="str">
        <f>HYPERLINK("https://www.ncbi.nlm.nih.gov/geo/query/acc.cgi?acc=GSM918040","GSM918040")</f>
        <v>GSM918040</v>
      </c>
      <c r="I3758" t="s">
        <v>17</v>
      </c>
      <c r="J3758" t="s">
        <v>18</v>
      </c>
      <c r="K3758" t="s">
        <v>19</v>
      </c>
      <c r="L3758" t="s">
        <v>20</v>
      </c>
      <c r="M3758" t="s">
        <v>231</v>
      </c>
      <c r="N3758" t="s">
        <v>29</v>
      </c>
    </row>
    <row r="3759" spans="1:14">
      <c r="A3759" s="4" t="str">
        <f t="shared" si="350"/>
        <v>EXP00117</v>
      </c>
      <c r="B3759" s="4" t="str">
        <f t="shared" si="353"/>
        <v>22294488</v>
      </c>
      <c r="C3759" s="4" t="str">
        <f t="shared" si="354"/>
        <v>GSE37407</v>
      </c>
      <c r="D3759" s="1" t="s">
        <v>226</v>
      </c>
      <c r="E3759" t="s">
        <v>25</v>
      </c>
      <c r="F3759" s="1">
        <v>2</v>
      </c>
      <c r="G3759" s="1" t="s">
        <v>28</v>
      </c>
      <c r="H3759" s="4" t="str">
        <f>HYPERLINK("https://www.ncbi.nlm.nih.gov/geo/query/acc.cgi?acc=GSM918041","GSM918041")</f>
        <v>GSM918041</v>
      </c>
      <c r="I3759" t="s">
        <v>17</v>
      </c>
      <c r="J3759" t="s">
        <v>18</v>
      </c>
      <c r="K3759" t="s">
        <v>19</v>
      </c>
      <c r="L3759" t="s">
        <v>20</v>
      </c>
      <c r="M3759" t="s">
        <v>231</v>
      </c>
      <c r="N3759" t="s">
        <v>29</v>
      </c>
    </row>
    <row r="3760" spans="1:14">
      <c r="A3760" s="4" t="str">
        <f t="shared" si="350"/>
        <v>EXP00117</v>
      </c>
      <c r="B3760" s="4" t="str">
        <f t="shared" si="353"/>
        <v>22294488</v>
      </c>
      <c r="C3760" s="4" t="str">
        <f t="shared" si="354"/>
        <v>GSE37407</v>
      </c>
      <c r="D3760" s="1" t="s">
        <v>226</v>
      </c>
      <c r="E3760" t="s">
        <v>25</v>
      </c>
      <c r="F3760" s="1">
        <v>2</v>
      </c>
      <c r="G3760" s="1" t="s">
        <v>28</v>
      </c>
      <c r="H3760" s="4" t="str">
        <f>HYPERLINK("https://www.ncbi.nlm.nih.gov/geo/query/acc.cgi?acc=GSM918044","GSM918044")</f>
        <v>GSM918044</v>
      </c>
      <c r="I3760" t="s">
        <v>17</v>
      </c>
      <c r="J3760" t="s">
        <v>18</v>
      </c>
      <c r="K3760" t="s">
        <v>19</v>
      </c>
      <c r="L3760" t="s">
        <v>20</v>
      </c>
      <c r="M3760" t="s">
        <v>231</v>
      </c>
      <c r="N3760" t="s">
        <v>29</v>
      </c>
    </row>
    <row r="3761" spans="1:14">
      <c r="A3761" s="4" t="str">
        <f t="shared" si="350"/>
        <v>EXP00117</v>
      </c>
      <c r="B3761" s="4" t="str">
        <f t="shared" si="353"/>
        <v>22294488</v>
      </c>
      <c r="C3761" s="4" t="str">
        <f t="shared" si="354"/>
        <v>GSE37407</v>
      </c>
      <c r="D3761" s="1" t="s">
        <v>226</v>
      </c>
      <c r="E3761" t="s">
        <v>25</v>
      </c>
      <c r="F3761" s="1">
        <v>2</v>
      </c>
      <c r="G3761" s="1" t="s">
        <v>28</v>
      </c>
      <c r="H3761" s="4" t="str">
        <f>HYPERLINK("https://www.ncbi.nlm.nih.gov/geo/query/acc.cgi?acc=GSM918048","GSM918048")</f>
        <v>GSM918048</v>
      </c>
      <c r="I3761" t="s">
        <v>17</v>
      </c>
      <c r="J3761" t="s">
        <v>18</v>
      </c>
      <c r="K3761" t="s">
        <v>19</v>
      </c>
      <c r="L3761" t="s">
        <v>20</v>
      </c>
      <c r="M3761" t="s">
        <v>231</v>
      </c>
      <c r="N3761" t="s">
        <v>29</v>
      </c>
    </row>
    <row r="3762" spans="1:14">
      <c r="A3762" s="4" t="str">
        <f t="shared" si="350"/>
        <v>EXP00117</v>
      </c>
      <c r="B3762" s="4" t="str">
        <f t="shared" si="353"/>
        <v>22294488</v>
      </c>
      <c r="C3762" s="4" t="str">
        <f t="shared" si="354"/>
        <v>GSE37407</v>
      </c>
      <c r="D3762" s="1" t="s">
        <v>226</v>
      </c>
      <c r="E3762" t="s">
        <v>25</v>
      </c>
      <c r="F3762" s="1">
        <v>2</v>
      </c>
      <c r="G3762" s="1" t="s">
        <v>28</v>
      </c>
      <c r="H3762" s="4" t="str">
        <f>HYPERLINK("https://www.ncbi.nlm.nih.gov/geo/query/acc.cgi?acc=GSM918056","GSM918056")</f>
        <v>GSM918056</v>
      </c>
      <c r="I3762" t="s">
        <v>17</v>
      </c>
      <c r="J3762" t="s">
        <v>18</v>
      </c>
      <c r="K3762" t="s">
        <v>19</v>
      </c>
      <c r="L3762" t="s">
        <v>20</v>
      </c>
      <c r="M3762" t="s">
        <v>228</v>
      </c>
      <c r="N3762" t="s">
        <v>29</v>
      </c>
    </row>
    <row r="3763" spans="1:14">
      <c r="A3763" s="4" t="str">
        <f t="shared" si="350"/>
        <v>EXP00117</v>
      </c>
      <c r="B3763" s="4" t="str">
        <f t="shared" si="353"/>
        <v>22294488</v>
      </c>
      <c r="C3763" s="4" t="str">
        <f t="shared" si="354"/>
        <v>GSE37407</v>
      </c>
      <c r="D3763" s="1" t="s">
        <v>226</v>
      </c>
      <c r="E3763" t="s">
        <v>25</v>
      </c>
      <c r="F3763" s="1">
        <v>2</v>
      </c>
      <c r="G3763" s="1" t="s">
        <v>28</v>
      </c>
      <c r="H3763" s="4" t="str">
        <f>HYPERLINK("https://www.ncbi.nlm.nih.gov/geo/query/acc.cgi?acc=GSM918062","GSM918062")</f>
        <v>GSM918062</v>
      </c>
      <c r="I3763" t="s">
        <v>17</v>
      </c>
      <c r="J3763" t="s">
        <v>18</v>
      </c>
      <c r="K3763" t="s">
        <v>19</v>
      </c>
      <c r="L3763" t="s">
        <v>20</v>
      </c>
      <c r="M3763" t="s">
        <v>231</v>
      </c>
      <c r="N3763" t="s">
        <v>29</v>
      </c>
    </row>
    <row r="3764" spans="1:14">
      <c r="A3764" s="4" t="str">
        <f t="shared" si="350"/>
        <v>EXP00117</v>
      </c>
      <c r="B3764" s="4" t="str">
        <f t="shared" si="353"/>
        <v>22294488</v>
      </c>
      <c r="C3764" s="4" t="str">
        <f t="shared" si="354"/>
        <v>GSE37407</v>
      </c>
      <c r="D3764" s="1" t="s">
        <v>226</v>
      </c>
      <c r="E3764" t="s">
        <v>25</v>
      </c>
      <c r="F3764" s="1">
        <v>2</v>
      </c>
      <c r="G3764" s="1" t="s">
        <v>28</v>
      </c>
      <c r="H3764" s="4" t="str">
        <f>HYPERLINK("https://www.ncbi.nlm.nih.gov/geo/query/acc.cgi?acc=GSM918066","GSM918066")</f>
        <v>GSM918066</v>
      </c>
      <c r="I3764" t="s">
        <v>17</v>
      </c>
      <c r="J3764" t="s">
        <v>18</v>
      </c>
      <c r="K3764" t="s">
        <v>19</v>
      </c>
      <c r="L3764" t="s">
        <v>20</v>
      </c>
      <c r="M3764" t="s">
        <v>231</v>
      </c>
      <c r="N3764" t="s">
        <v>29</v>
      </c>
    </row>
    <row r="3765" spans="1:14">
      <c r="A3765" s="4" t="str">
        <f t="shared" si="350"/>
        <v>EXP00117</v>
      </c>
      <c r="B3765" s="4" t="str">
        <f t="shared" si="353"/>
        <v>22294488</v>
      </c>
      <c r="C3765" s="4" t="str">
        <f t="shared" si="354"/>
        <v>GSE37407</v>
      </c>
      <c r="D3765" s="1" t="s">
        <v>226</v>
      </c>
      <c r="E3765" t="s">
        <v>25</v>
      </c>
      <c r="F3765" s="1">
        <v>2</v>
      </c>
      <c r="G3765" s="1" t="s">
        <v>28</v>
      </c>
      <c r="H3765" s="4" t="str">
        <f>HYPERLINK("https://www.ncbi.nlm.nih.gov/geo/query/acc.cgi?acc=GSM918069","GSM918069")</f>
        <v>GSM918069</v>
      </c>
      <c r="I3765" t="s">
        <v>17</v>
      </c>
      <c r="J3765" t="s">
        <v>18</v>
      </c>
      <c r="K3765" t="s">
        <v>19</v>
      </c>
      <c r="L3765" t="s">
        <v>20</v>
      </c>
      <c r="M3765" t="s">
        <v>234</v>
      </c>
      <c r="N3765" t="s">
        <v>29</v>
      </c>
    </row>
    <row r="3766" spans="1:14">
      <c r="A3766" s="4" t="str">
        <f t="shared" si="350"/>
        <v>EXP00117</v>
      </c>
      <c r="B3766" s="4" t="str">
        <f t="shared" si="353"/>
        <v>22294488</v>
      </c>
      <c r="C3766" s="4" t="str">
        <f t="shared" si="354"/>
        <v>GSE37407</v>
      </c>
      <c r="D3766" s="1" t="s">
        <v>226</v>
      </c>
      <c r="E3766" t="s">
        <v>25</v>
      </c>
      <c r="F3766" s="1">
        <v>2</v>
      </c>
      <c r="G3766" s="1" t="s">
        <v>28</v>
      </c>
      <c r="H3766" s="4" t="str">
        <f>HYPERLINK("https://www.ncbi.nlm.nih.gov/geo/query/acc.cgi?acc=GSM918071","GSM918071")</f>
        <v>GSM918071</v>
      </c>
      <c r="I3766" t="s">
        <v>17</v>
      </c>
      <c r="J3766" t="s">
        <v>18</v>
      </c>
      <c r="K3766" t="s">
        <v>19</v>
      </c>
      <c r="L3766" t="s">
        <v>20</v>
      </c>
      <c r="M3766" t="s">
        <v>231</v>
      </c>
      <c r="N3766" t="s">
        <v>29</v>
      </c>
    </row>
    <row r="3767" spans="1:14">
      <c r="A3767" s="4" t="str">
        <f t="shared" ref="A3767:A3788" si="355">HYPERLINK("http://hcmdb.i-sanger.com/experiment/details/experiment_id/EXP00118","EXP00118")</f>
        <v>EXP00118</v>
      </c>
      <c r="B3767" s="4" t="str">
        <f t="shared" si="353"/>
        <v>22294488</v>
      </c>
      <c r="C3767" s="4" t="str">
        <f t="shared" si="354"/>
        <v>GSE37407</v>
      </c>
      <c r="D3767" s="1" t="s">
        <v>226</v>
      </c>
      <c r="E3767" t="s">
        <v>235</v>
      </c>
      <c r="F3767" s="1">
        <v>1</v>
      </c>
      <c r="G3767" s="1" t="s">
        <v>36</v>
      </c>
      <c r="H3767" s="4" t="str">
        <f>HYPERLINK("https://www.ncbi.nlm.nih.gov/geo/query/acc.cgi?acc=GSM918027","GSM918027")</f>
        <v>GSM918027</v>
      </c>
      <c r="I3767" t="s">
        <v>17</v>
      </c>
      <c r="J3767" t="s">
        <v>18</v>
      </c>
      <c r="K3767" t="s">
        <v>19</v>
      </c>
      <c r="L3767" t="s">
        <v>20</v>
      </c>
      <c r="M3767" t="s">
        <v>21</v>
      </c>
      <c r="N3767" t="s">
        <v>37</v>
      </c>
    </row>
    <row r="3768" spans="1:14">
      <c r="A3768" s="4" t="str">
        <f t="shared" si="355"/>
        <v>EXP00118</v>
      </c>
      <c r="B3768" s="4" t="str">
        <f t="shared" si="353"/>
        <v>22294488</v>
      </c>
      <c r="C3768" s="4" t="str">
        <f t="shared" si="354"/>
        <v>GSE37407</v>
      </c>
      <c r="D3768" s="1" t="s">
        <v>226</v>
      </c>
      <c r="E3768" t="s">
        <v>235</v>
      </c>
      <c r="F3768" s="1">
        <v>1</v>
      </c>
      <c r="G3768" s="1" t="s">
        <v>36</v>
      </c>
      <c r="H3768" s="4" t="str">
        <f>HYPERLINK("https://www.ncbi.nlm.nih.gov/geo/query/acc.cgi?acc=GSM918047","GSM918047")</f>
        <v>GSM918047</v>
      </c>
      <c r="I3768" t="s">
        <v>17</v>
      </c>
      <c r="J3768" t="s">
        <v>18</v>
      </c>
      <c r="K3768" t="s">
        <v>19</v>
      </c>
      <c r="L3768" t="s">
        <v>20</v>
      </c>
      <c r="M3768" t="s">
        <v>231</v>
      </c>
      <c r="N3768" t="s">
        <v>37</v>
      </c>
    </row>
    <row r="3769" spans="1:14">
      <c r="A3769" s="4" t="str">
        <f t="shared" si="355"/>
        <v>EXP00118</v>
      </c>
      <c r="B3769" s="4" t="str">
        <f t="shared" si="353"/>
        <v>22294488</v>
      </c>
      <c r="C3769" s="4" t="str">
        <f t="shared" si="354"/>
        <v>GSE37407</v>
      </c>
      <c r="D3769" s="1" t="s">
        <v>226</v>
      </c>
      <c r="E3769" t="s">
        <v>235</v>
      </c>
      <c r="F3769" s="1">
        <v>1</v>
      </c>
      <c r="G3769" s="1" t="s">
        <v>36</v>
      </c>
      <c r="H3769" s="4" t="str">
        <f>HYPERLINK("https://www.ncbi.nlm.nih.gov/geo/query/acc.cgi?acc=GSM918057","GSM918057")</f>
        <v>GSM918057</v>
      </c>
      <c r="I3769" t="s">
        <v>17</v>
      </c>
      <c r="J3769" t="s">
        <v>18</v>
      </c>
      <c r="K3769" t="s">
        <v>19</v>
      </c>
      <c r="L3769" t="s">
        <v>20</v>
      </c>
      <c r="M3769" t="s">
        <v>228</v>
      </c>
      <c r="N3769" t="s">
        <v>37</v>
      </c>
    </row>
    <row r="3770" spans="1:14">
      <c r="A3770" s="4" t="str">
        <f t="shared" si="355"/>
        <v>EXP00118</v>
      </c>
      <c r="B3770" s="4" t="str">
        <f t="shared" si="353"/>
        <v>22294488</v>
      </c>
      <c r="C3770" s="4" t="str">
        <f t="shared" si="354"/>
        <v>GSE37407</v>
      </c>
      <c r="D3770" s="1" t="s">
        <v>226</v>
      </c>
      <c r="E3770" t="s">
        <v>235</v>
      </c>
      <c r="F3770" s="1">
        <v>1</v>
      </c>
      <c r="G3770" s="1" t="s">
        <v>36</v>
      </c>
      <c r="H3770" s="4" t="str">
        <f>HYPERLINK("https://www.ncbi.nlm.nih.gov/geo/query/acc.cgi?acc=GSM918058","GSM918058")</f>
        <v>GSM918058</v>
      </c>
      <c r="I3770" t="s">
        <v>17</v>
      </c>
      <c r="J3770" t="s">
        <v>18</v>
      </c>
      <c r="K3770" t="s">
        <v>19</v>
      </c>
      <c r="L3770" t="s">
        <v>20</v>
      </c>
      <c r="M3770" t="s">
        <v>228</v>
      </c>
      <c r="N3770" t="s">
        <v>37</v>
      </c>
    </row>
    <row r="3771" spans="1:14">
      <c r="A3771" s="4" t="str">
        <f t="shared" si="355"/>
        <v>EXP00118</v>
      </c>
      <c r="B3771" s="4" t="str">
        <f t="shared" si="353"/>
        <v>22294488</v>
      </c>
      <c r="C3771" s="4" t="str">
        <f t="shared" si="354"/>
        <v>GSE37407</v>
      </c>
      <c r="D3771" s="1" t="s">
        <v>226</v>
      </c>
      <c r="E3771" t="s">
        <v>235</v>
      </c>
      <c r="F3771" s="1">
        <v>1</v>
      </c>
      <c r="G3771" s="1" t="s">
        <v>36</v>
      </c>
      <c r="H3771" s="4" t="str">
        <f>HYPERLINK("https://www.ncbi.nlm.nih.gov/geo/query/acc.cgi?acc=GSM918059","GSM918059")</f>
        <v>GSM918059</v>
      </c>
      <c r="I3771" t="s">
        <v>17</v>
      </c>
      <c r="J3771" t="s">
        <v>18</v>
      </c>
      <c r="K3771" t="s">
        <v>19</v>
      </c>
      <c r="L3771" t="s">
        <v>20</v>
      </c>
      <c r="M3771" t="s">
        <v>228</v>
      </c>
      <c r="N3771" t="s">
        <v>37</v>
      </c>
    </row>
    <row r="3772" spans="1:14">
      <c r="A3772" s="4" t="str">
        <f t="shared" si="355"/>
        <v>EXP00118</v>
      </c>
      <c r="B3772" s="4" t="str">
        <f t="shared" si="353"/>
        <v>22294488</v>
      </c>
      <c r="C3772" s="4" t="str">
        <f t="shared" si="354"/>
        <v>GSE37407</v>
      </c>
      <c r="D3772" s="1" t="s">
        <v>226</v>
      </c>
      <c r="E3772" t="s">
        <v>235</v>
      </c>
      <c r="F3772" s="1">
        <v>2</v>
      </c>
      <c r="G3772" s="1" t="s">
        <v>28</v>
      </c>
      <c r="H3772" s="4" t="str">
        <f>HYPERLINK("https://www.ncbi.nlm.nih.gov/geo/query/acc.cgi?acc=GSM918016","GSM918016")</f>
        <v>GSM918016</v>
      </c>
      <c r="I3772" t="s">
        <v>17</v>
      </c>
      <c r="J3772" t="s">
        <v>18</v>
      </c>
      <c r="K3772" t="s">
        <v>19</v>
      </c>
      <c r="L3772" t="s">
        <v>20</v>
      </c>
      <c r="M3772" t="s">
        <v>44</v>
      </c>
      <c r="N3772" t="s">
        <v>29</v>
      </c>
    </row>
    <row r="3773" spans="1:14">
      <c r="A3773" s="4" t="str">
        <f t="shared" si="355"/>
        <v>EXP00118</v>
      </c>
      <c r="B3773" s="4" t="str">
        <f t="shared" si="353"/>
        <v>22294488</v>
      </c>
      <c r="C3773" s="4" t="str">
        <f t="shared" si="354"/>
        <v>GSE37407</v>
      </c>
      <c r="D3773" s="1" t="s">
        <v>226</v>
      </c>
      <c r="E3773" t="s">
        <v>235</v>
      </c>
      <c r="F3773" s="1">
        <v>2</v>
      </c>
      <c r="G3773" s="1" t="s">
        <v>28</v>
      </c>
      <c r="H3773" s="4" t="str">
        <f>HYPERLINK("https://www.ncbi.nlm.nih.gov/geo/query/acc.cgi?acc=GSM918022","GSM918022")</f>
        <v>GSM918022</v>
      </c>
      <c r="I3773" t="s">
        <v>17</v>
      </c>
      <c r="J3773" t="s">
        <v>18</v>
      </c>
      <c r="K3773" t="s">
        <v>19</v>
      </c>
      <c r="L3773" t="s">
        <v>20</v>
      </c>
      <c r="M3773" t="s">
        <v>231</v>
      </c>
      <c r="N3773" t="s">
        <v>29</v>
      </c>
    </row>
    <row r="3774" spans="1:14">
      <c r="A3774" s="4" t="str">
        <f t="shared" si="355"/>
        <v>EXP00118</v>
      </c>
      <c r="B3774" s="4" t="str">
        <f t="shared" si="353"/>
        <v>22294488</v>
      </c>
      <c r="C3774" s="4" t="str">
        <f t="shared" si="354"/>
        <v>GSE37407</v>
      </c>
      <c r="D3774" s="1" t="s">
        <v>226</v>
      </c>
      <c r="E3774" t="s">
        <v>235</v>
      </c>
      <c r="F3774" s="1">
        <v>2</v>
      </c>
      <c r="G3774" s="1" t="s">
        <v>28</v>
      </c>
      <c r="H3774" s="4" t="str">
        <f>HYPERLINK("https://www.ncbi.nlm.nih.gov/geo/query/acc.cgi?acc=GSM918023","GSM918023")</f>
        <v>GSM918023</v>
      </c>
      <c r="I3774" t="s">
        <v>17</v>
      </c>
      <c r="J3774" t="s">
        <v>18</v>
      </c>
      <c r="K3774" t="s">
        <v>19</v>
      </c>
      <c r="L3774" t="s">
        <v>20</v>
      </c>
      <c r="M3774" t="s">
        <v>228</v>
      </c>
      <c r="N3774" t="s">
        <v>29</v>
      </c>
    </row>
    <row r="3775" spans="1:14">
      <c r="A3775" s="4" t="str">
        <f t="shared" si="355"/>
        <v>EXP00118</v>
      </c>
      <c r="B3775" s="4" t="str">
        <f t="shared" si="353"/>
        <v>22294488</v>
      </c>
      <c r="C3775" s="4" t="str">
        <f t="shared" si="354"/>
        <v>GSE37407</v>
      </c>
      <c r="D3775" s="1" t="s">
        <v>226</v>
      </c>
      <c r="E3775" t="s">
        <v>235</v>
      </c>
      <c r="F3775" s="1">
        <v>2</v>
      </c>
      <c r="G3775" s="1" t="s">
        <v>28</v>
      </c>
      <c r="H3775" s="4" t="str">
        <f>HYPERLINK("https://www.ncbi.nlm.nih.gov/geo/query/acc.cgi?acc=GSM918024","GSM918024")</f>
        <v>GSM918024</v>
      </c>
      <c r="I3775" t="s">
        <v>17</v>
      </c>
      <c r="J3775" t="s">
        <v>18</v>
      </c>
      <c r="K3775" t="s">
        <v>19</v>
      </c>
      <c r="L3775" t="s">
        <v>20</v>
      </c>
      <c r="M3775" t="s">
        <v>21</v>
      </c>
      <c r="N3775" t="s">
        <v>29</v>
      </c>
    </row>
    <row r="3776" spans="1:14">
      <c r="A3776" s="4" t="str">
        <f t="shared" si="355"/>
        <v>EXP00118</v>
      </c>
      <c r="B3776" s="4" t="str">
        <f t="shared" si="353"/>
        <v>22294488</v>
      </c>
      <c r="C3776" s="4" t="str">
        <f t="shared" si="354"/>
        <v>GSE37407</v>
      </c>
      <c r="D3776" s="1" t="s">
        <v>226</v>
      </c>
      <c r="E3776" t="s">
        <v>235</v>
      </c>
      <c r="F3776" s="1">
        <v>2</v>
      </c>
      <c r="G3776" s="1" t="s">
        <v>28</v>
      </c>
      <c r="H3776" s="4" t="str">
        <f>HYPERLINK("https://www.ncbi.nlm.nih.gov/geo/query/acc.cgi?acc=GSM918029","GSM918029")</f>
        <v>GSM918029</v>
      </c>
      <c r="I3776" t="s">
        <v>17</v>
      </c>
      <c r="J3776" t="s">
        <v>18</v>
      </c>
      <c r="K3776" t="s">
        <v>19</v>
      </c>
      <c r="L3776" t="s">
        <v>20</v>
      </c>
      <c r="M3776" t="s">
        <v>231</v>
      </c>
      <c r="N3776" t="s">
        <v>29</v>
      </c>
    </row>
    <row r="3777" spans="1:14">
      <c r="A3777" s="4" t="str">
        <f t="shared" si="355"/>
        <v>EXP00118</v>
      </c>
      <c r="B3777" s="4" t="str">
        <f t="shared" si="353"/>
        <v>22294488</v>
      </c>
      <c r="C3777" s="4" t="str">
        <f t="shared" si="354"/>
        <v>GSE37407</v>
      </c>
      <c r="D3777" s="1" t="s">
        <v>226</v>
      </c>
      <c r="E3777" t="s">
        <v>235</v>
      </c>
      <c r="F3777" s="1">
        <v>2</v>
      </c>
      <c r="G3777" s="1" t="s">
        <v>28</v>
      </c>
      <c r="H3777" s="4" t="str">
        <f>HYPERLINK("https://www.ncbi.nlm.nih.gov/geo/query/acc.cgi?acc=GSM918030","GSM918030")</f>
        <v>GSM918030</v>
      </c>
      <c r="I3777" t="s">
        <v>17</v>
      </c>
      <c r="J3777" t="s">
        <v>18</v>
      </c>
      <c r="K3777" t="s">
        <v>19</v>
      </c>
      <c r="L3777" t="s">
        <v>20</v>
      </c>
      <c r="M3777" t="s">
        <v>233</v>
      </c>
      <c r="N3777" t="s">
        <v>29</v>
      </c>
    </row>
    <row r="3778" spans="1:14">
      <c r="A3778" s="4" t="str">
        <f t="shared" si="355"/>
        <v>EXP00118</v>
      </c>
      <c r="B3778" s="4" t="str">
        <f t="shared" si="353"/>
        <v>22294488</v>
      </c>
      <c r="C3778" s="4" t="str">
        <f t="shared" si="354"/>
        <v>GSE37407</v>
      </c>
      <c r="D3778" s="1" t="s">
        <v>226</v>
      </c>
      <c r="E3778" t="s">
        <v>235</v>
      </c>
      <c r="F3778" s="1">
        <v>2</v>
      </c>
      <c r="G3778" s="1" t="s">
        <v>28</v>
      </c>
      <c r="H3778" s="4" t="str">
        <f>HYPERLINK("https://www.ncbi.nlm.nih.gov/geo/query/acc.cgi?acc=GSM918033","GSM918033")</f>
        <v>GSM918033</v>
      </c>
      <c r="I3778" t="s">
        <v>17</v>
      </c>
      <c r="J3778" t="s">
        <v>18</v>
      </c>
      <c r="K3778" t="s">
        <v>19</v>
      </c>
      <c r="L3778" t="s">
        <v>20</v>
      </c>
      <c r="M3778" t="s">
        <v>231</v>
      </c>
      <c r="N3778" t="s">
        <v>29</v>
      </c>
    </row>
    <row r="3779" spans="1:14">
      <c r="A3779" s="4" t="str">
        <f t="shared" si="355"/>
        <v>EXP00118</v>
      </c>
      <c r="B3779" s="4" t="str">
        <f t="shared" si="353"/>
        <v>22294488</v>
      </c>
      <c r="C3779" s="4" t="str">
        <f t="shared" si="354"/>
        <v>GSE37407</v>
      </c>
      <c r="D3779" s="1" t="s">
        <v>226</v>
      </c>
      <c r="E3779" t="s">
        <v>235</v>
      </c>
      <c r="F3779" s="1">
        <v>2</v>
      </c>
      <c r="G3779" s="1" t="s">
        <v>28</v>
      </c>
      <c r="H3779" s="4" t="str">
        <f>HYPERLINK("https://www.ncbi.nlm.nih.gov/geo/query/acc.cgi?acc=GSM918038","GSM918038")</f>
        <v>GSM918038</v>
      </c>
      <c r="I3779" t="s">
        <v>17</v>
      </c>
      <c r="J3779" t="s">
        <v>18</v>
      </c>
      <c r="K3779" t="s">
        <v>19</v>
      </c>
      <c r="L3779" t="s">
        <v>20</v>
      </c>
      <c r="M3779" t="s">
        <v>231</v>
      </c>
      <c r="N3779" t="s">
        <v>29</v>
      </c>
    </row>
    <row r="3780" spans="1:14">
      <c r="A3780" s="4" t="str">
        <f t="shared" si="355"/>
        <v>EXP00118</v>
      </c>
      <c r="B3780" s="4" t="str">
        <f t="shared" si="353"/>
        <v>22294488</v>
      </c>
      <c r="C3780" s="4" t="str">
        <f t="shared" si="354"/>
        <v>GSE37407</v>
      </c>
      <c r="D3780" s="1" t="s">
        <v>226</v>
      </c>
      <c r="E3780" t="s">
        <v>235</v>
      </c>
      <c r="F3780" s="1">
        <v>2</v>
      </c>
      <c r="G3780" s="1" t="s">
        <v>28</v>
      </c>
      <c r="H3780" s="4" t="str">
        <f>HYPERLINK("https://www.ncbi.nlm.nih.gov/geo/query/acc.cgi?acc=GSM918040","GSM918040")</f>
        <v>GSM918040</v>
      </c>
      <c r="I3780" t="s">
        <v>17</v>
      </c>
      <c r="J3780" t="s">
        <v>18</v>
      </c>
      <c r="K3780" t="s">
        <v>19</v>
      </c>
      <c r="L3780" t="s">
        <v>20</v>
      </c>
      <c r="M3780" t="s">
        <v>231</v>
      </c>
      <c r="N3780" t="s">
        <v>29</v>
      </c>
    </row>
    <row r="3781" spans="1:14">
      <c r="A3781" s="4" t="str">
        <f t="shared" si="355"/>
        <v>EXP00118</v>
      </c>
      <c r="B3781" s="4" t="str">
        <f t="shared" si="353"/>
        <v>22294488</v>
      </c>
      <c r="C3781" s="4" t="str">
        <f t="shared" si="354"/>
        <v>GSE37407</v>
      </c>
      <c r="D3781" s="1" t="s">
        <v>226</v>
      </c>
      <c r="E3781" t="s">
        <v>235</v>
      </c>
      <c r="F3781" s="1">
        <v>2</v>
      </c>
      <c r="G3781" s="1" t="s">
        <v>28</v>
      </c>
      <c r="H3781" s="4" t="str">
        <f>HYPERLINK("https://www.ncbi.nlm.nih.gov/geo/query/acc.cgi?acc=GSM918041","GSM918041")</f>
        <v>GSM918041</v>
      </c>
      <c r="I3781" t="s">
        <v>17</v>
      </c>
      <c r="J3781" t="s">
        <v>18</v>
      </c>
      <c r="K3781" t="s">
        <v>19</v>
      </c>
      <c r="L3781" t="s">
        <v>20</v>
      </c>
      <c r="M3781" t="s">
        <v>231</v>
      </c>
      <c r="N3781" t="s">
        <v>29</v>
      </c>
    </row>
    <row r="3782" spans="1:14">
      <c r="A3782" s="4" t="str">
        <f t="shared" si="355"/>
        <v>EXP00118</v>
      </c>
      <c r="B3782" s="4" t="str">
        <f t="shared" si="353"/>
        <v>22294488</v>
      </c>
      <c r="C3782" s="4" t="str">
        <f t="shared" si="354"/>
        <v>GSE37407</v>
      </c>
      <c r="D3782" s="1" t="s">
        <v>226</v>
      </c>
      <c r="E3782" t="s">
        <v>235</v>
      </c>
      <c r="F3782" s="1">
        <v>2</v>
      </c>
      <c r="G3782" s="1" t="s">
        <v>28</v>
      </c>
      <c r="H3782" s="4" t="str">
        <f>HYPERLINK("https://www.ncbi.nlm.nih.gov/geo/query/acc.cgi?acc=GSM918044","GSM918044")</f>
        <v>GSM918044</v>
      </c>
      <c r="I3782" t="s">
        <v>17</v>
      </c>
      <c r="J3782" t="s">
        <v>18</v>
      </c>
      <c r="K3782" t="s">
        <v>19</v>
      </c>
      <c r="L3782" t="s">
        <v>20</v>
      </c>
      <c r="M3782" t="s">
        <v>231</v>
      </c>
      <c r="N3782" t="s">
        <v>29</v>
      </c>
    </row>
    <row r="3783" spans="1:14">
      <c r="A3783" s="4" t="str">
        <f t="shared" si="355"/>
        <v>EXP00118</v>
      </c>
      <c r="B3783" s="4" t="str">
        <f t="shared" ref="B3783:B3814" si="356">HYPERLINK("https://www.ncbi.nlm.nih.gov/pubmed/22294488","22294488")</f>
        <v>22294488</v>
      </c>
      <c r="C3783" s="4" t="str">
        <f t="shared" ref="C3783:C3814" si="357">HYPERLINK("https://www.ncbi.nlm.nih.gov/geo/query/acc.cgi?acc=GSE37407","GSE37407")</f>
        <v>GSE37407</v>
      </c>
      <c r="D3783" s="1" t="s">
        <v>226</v>
      </c>
      <c r="E3783" t="s">
        <v>235</v>
      </c>
      <c r="F3783" s="1">
        <v>2</v>
      </c>
      <c r="G3783" s="1" t="s">
        <v>28</v>
      </c>
      <c r="H3783" s="4" t="str">
        <f>HYPERLINK("https://www.ncbi.nlm.nih.gov/geo/query/acc.cgi?acc=GSM918048","GSM918048")</f>
        <v>GSM918048</v>
      </c>
      <c r="I3783" t="s">
        <v>17</v>
      </c>
      <c r="J3783" t="s">
        <v>18</v>
      </c>
      <c r="K3783" t="s">
        <v>19</v>
      </c>
      <c r="L3783" t="s">
        <v>20</v>
      </c>
      <c r="M3783" t="s">
        <v>231</v>
      </c>
      <c r="N3783" t="s">
        <v>29</v>
      </c>
    </row>
    <row r="3784" spans="1:14">
      <c r="A3784" s="4" t="str">
        <f t="shared" si="355"/>
        <v>EXP00118</v>
      </c>
      <c r="B3784" s="4" t="str">
        <f t="shared" si="356"/>
        <v>22294488</v>
      </c>
      <c r="C3784" s="4" t="str">
        <f t="shared" si="357"/>
        <v>GSE37407</v>
      </c>
      <c r="D3784" s="1" t="s">
        <v>226</v>
      </c>
      <c r="E3784" t="s">
        <v>235</v>
      </c>
      <c r="F3784" s="1">
        <v>2</v>
      </c>
      <c r="G3784" s="1" t="s">
        <v>28</v>
      </c>
      <c r="H3784" s="4" t="str">
        <f>HYPERLINK("https://www.ncbi.nlm.nih.gov/geo/query/acc.cgi?acc=GSM918056","GSM918056")</f>
        <v>GSM918056</v>
      </c>
      <c r="I3784" t="s">
        <v>17</v>
      </c>
      <c r="J3784" t="s">
        <v>18</v>
      </c>
      <c r="K3784" t="s">
        <v>19</v>
      </c>
      <c r="L3784" t="s">
        <v>20</v>
      </c>
      <c r="M3784" t="s">
        <v>228</v>
      </c>
      <c r="N3784" t="s">
        <v>29</v>
      </c>
    </row>
    <row r="3785" spans="1:14">
      <c r="A3785" s="4" t="str">
        <f t="shared" si="355"/>
        <v>EXP00118</v>
      </c>
      <c r="B3785" s="4" t="str">
        <f t="shared" si="356"/>
        <v>22294488</v>
      </c>
      <c r="C3785" s="4" t="str">
        <f t="shared" si="357"/>
        <v>GSE37407</v>
      </c>
      <c r="D3785" s="1" t="s">
        <v>226</v>
      </c>
      <c r="E3785" t="s">
        <v>235</v>
      </c>
      <c r="F3785" s="1">
        <v>2</v>
      </c>
      <c r="G3785" s="1" t="s">
        <v>28</v>
      </c>
      <c r="H3785" s="4" t="str">
        <f>HYPERLINK("https://www.ncbi.nlm.nih.gov/geo/query/acc.cgi?acc=GSM918062","GSM918062")</f>
        <v>GSM918062</v>
      </c>
      <c r="I3785" t="s">
        <v>17</v>
      </c>
      <c r="J3785" t="s">
        <v>18</v>
      </c>
      <c r="K3785" t="s">
        <v>19</v>
      </c>
      <c r="L3785" t="s">
        <v>20</v>
      </c>
      <c r="M3785" t="s">
        <v>231</v>
      </c>
      <c r="N3785" t="s">
        <v>29</v>
      </c>
    </row>
    <row r="3786" spans="1:14">
      <c r="A3786" s="4" t="str">
        <f t="shared" si="355"/>
        <v>EXP00118</v>
      </c>
      <c r="B3786" s="4" t="str">
        <f t="shared" si="356"/>
        <v>22294488</v>
      </c>
      <c r="C3786" s="4" t="str">
        <f t="shared" si="357"/>
        <v>GSE37407</v>
      </c>
      <c r="D3786" s="1" t="s">
        <v>226</v>
      </c>
      <c r="E3786" t="s">
        <v>235</v>
      </c>
      <c r="F3786" s="1">
        <v>2</v>
      </c>
      <c r="G3786" s="1" t="s">
        <v>28</v>
      </c>
      <c r="H3786" s="4" t="str">
        <f>HYPERLINK("https://www.ncbi.nlm.nih.gov/geo/query/acc.cgi?acc=GSM918066","GSM918066")</f>
        <v>GSM918066</v>
      </c>
      <c r="I3786" t="s">
        <v>17</v>
      </c>
      <c r="J3786" t="s">
        <v>18</v>
      </c>
      <c r="K3786" t="s">
        <v>19</v>
      </c>
      <c r="L3786" t="s">
        <v>20</v>
      </c>
      <c r="M3786" t="s">
        <v>231</v>
      </c>
      <c r="N3786" t="s">
        <v>29</v>
      </c>
    </row>
    <row r="3787" spans="1:14">
      <c r="A3787" s="4" t="str">
        <f t="shared" si="355"/>
        <v>EXP00118</v>
      </c>
      <c r="B3787" s="4" t="str">
        <f t="shared" si="356"/>
        <v>22294488</v>
      </c>
      <c r="C3787" s="4" t="str">
        <f t="shared" si="357"/>
        <v>GSE37407</v>
      </c>
      <c r="D3787" s="1" t="s">
        <v>226</v>
      </c>
      <c r="E3787" t="s">
        <v>235</v>
      </c>
      <c r="F3787" s="1">
        <v>2</v>
      </c>
      <c r="G3787" s="1" t="s">
        <v>28</v>
      </c>
      <c r="H3787" s="4" t="str">
        <f>HYPERLINK("https://www.ncbi.nlm.nih.gov/geo/query/acc.cgi?acc=GSM918069","GSM918069")</f>
        <v>GSM918069</v>
      </c>
      <c r="I3787" t="s">
        <v>17</v>
      </c>
      <c r="J3787" t="s">
        <v>18</v>
      </c>
      <c r="K3787" t="s">
        <v>19</v>
      </c>
      <c r="L3787" t="s">
        <v>20</v>
      </c>
      <c r="M3787" t="s">
        <v>234</v>
      </c>
      <c r="N3787" t="s">
        <v>29</v>
      </c>
    </row>
    <row r="3788" spans="1:14">
      <c r="A3788" s="4" t="str">
        <f t="shared" si="355"/>
        <v>EXP00118</v>
      </c>
      <c r="B3788" s="4" t="str">
        <f t="shared" si="356"/>
        <v>22294488</v>
      </c>
      <c r="C3788" s="4" t="str">
        <f t="shared" si="357"/>
        <v>GSE37407</v>
      </c>
      <c r="D3788" s="1" t="s">
        <v>226</v>
      </c>
      <c r="E3788" t="s">
        <v>235</v>
      </c>
      <c r="F3788" s="1">
        <v>2</v>
      </c>
      <c r="G3788" s="1" t="s">
        <v>28</v>
      </c>
      <c r="H3788" s="4" t="str">
        <f>HYPERLINK("https://www.ncbi.nlm.nih.gov/geo/query/acc.cgi?acc=GSM918071","GSM918071")</f>
        <v>GSM918071</v>
      </c>
      <c r="I3788" t="s">
        <v>17</v>
      </c>
      <c r="J3788" t="s">
        <v>18</v>
      </c>
      <c r="K3788" t="s">
        <v>19</v>
      </c>
      <c r="L3788" t="s">
        <v>20</v>
      </c>
      <c r="M3788" t="s">
        <v>231</v>
      </c>
      <c r="N3788" t="s">
        <v>29</v>
      </c>
    </row>
    <row r="3789" spans="1:14">
      <c r="A3789" s="4" t="str">
        <f t="shared" ref="A3789:A3824" si="358">HYPERLINK("http://hcmdb.i-sanger.com/experiment/details/experiment_id/EXP00119","EXP00119")</f>
        <v>EXP00119</v>
      </c>
      <c r="B3789" s="4" t="str">
        <f t="shared" si="356"/>
        <v>22294488</v>
      </c>
      <c r="C3789" s="4" t="str">
        <f t="shared" si="357"/>
        <v>GSE37407</v>
      </c>
      <c r="D3789" s="1" t="s">
        <v>226</v>
      </c>
      <c r="E3789" t="s">
        <v>236</v>
      </c>
      <c r="F3789" s="1">
        <v>1</v>
      </c>
      <c r="G3789" s="1" t="s">
        <v>75</v>
      </c>
      <c r="H3789" s="4" t="str">
        <f>HYPERLINK("https://www.ncbi.nlm.nih.gov/geo/query/acc.cgi?acc=GSM918015","GSM918015")</f>
        <v>GSM918015</v>
      </c>
      <c r="I3789" t="s">
        <v>17</v>
      </c>
      <c r="J3789" t="s">
        <v>18</v>
      </c>
      <c r="K3789" t="s">
        <v>19</v>
      </c>
      <c r="L3789" t="s">
        <v>20</v>
      </c>
      <c r="M3789" t="s">
        <v>21</v>
      </c>
      <c r="N3789" t="s">
        <v>76</v>
      </c>
    </row>
    <row r="3790" spans="1:14">
      <c r="A3790" s="4" t="str">
        <f t="shared" si="358"/>
        <v>EXP00119</v>
      </c>
      <c r="B3790" s="4" t="str">
        <f t="shared" si="356"/>
        <v>22294488</v>
      </c>
      <c r="C3790" s="4" t="str">
        <f t="shared" si="357"/>
        <v>GSE37407</v>
      </c>
      <c r="D3790" s="1" t="s">
        <v>226</v>
      </c>
      <c r="E3790" t="s">
        <v>236</v>
      </c>
      <c r="F3790" s="1">
        <v>1</v>
      </c>
      <c r="G3790" s="1" t="s">
        <v>75</v>
      </c>
      <c r="H3790" s="4" t="str">
        <f>HYPERLINK("https://www.ncbi.nlm.nih.gov/geo/query/acc.cgi?acc=GSM918032","GSM918032")</f>
        <v>GSM918032</v>
      </c>
      <c r="I3790" t="s">
        <v>17</v>
      </c>
      <c r="J3790" t="s">
        <v>18</v>
      </c>
      <c r="K3790" t="s">
        <v>19</v>
      </c>
      <c r="L3790" t="s">
        <v>20</v>
      </c>
      <c r="M3790" t="s">
        <v>27</v>
      </c>
      <c r="N3790" t="s">
        <v>76</v>
      </c>
    </row>
    <row r="3791" spans="1:14">
      <c r="A3791" s="4" t="str">
        <f t="shared" si="358"/>
        <v>EXP00119</v>
      </c>
      <c r="B3791" s="4" t="str">
        <f t="shared" si="356"/>
        <v>22294488</v>
      </c>
      <c r="C3791" s="4" t="str">
        <f t="shared" si="357"/>
        <v>GSE37407</v>
      </c>
      <c r="D3791" s="1" t="s">
        <v>226</v>
      </c>
      <c r="E3791" t="s">
        <v>236</v>
      </c>
      <c r="F3791" s="1">
        <v>1</v>
      </c>
      <c r="G3791" s="1" t="s">
        <v>75</v>
      </c>
      <c r="H3791" s="4" t="str">
        <f>HYPERLINK("https://www.ncbi.nlm.nih.gov/geo/query/acc.cgi?acc=GSM918046","GSM918046")</f>
        <v>GSM918046</v>
      </c>
      <c r="I3791" t="s">
        <v>17</v>
      </c>
      <c r="J3791" t="s">
        <v>18</v>
      </c>
      <c r="K3791" t="s">
        <v>19</v>
      </c>
      <c r="L3791" t="s">
        <v>20</v>
      </c>
      <c r="M3791" t="s">
        <v>24</v>
      </c>
      <c r="N3791" t="s">
        <v>76</v>
      </c>
    </row>
    <row r="3792" spans="1:14">
      <c r="A3792" s="4" t="str">
        <f t="shared" si="358"/>
        <v>EXP00119</v>
      </c>
      <c r="B3792" s="4" t="str">
        <f t="shared" si="356"/>
        <v>22294488</v>
      </c>
      <c r="C3792" s="4" t="str">
        <f t="shared" si="357"/>
        <v>GSE37407</v>
      </c>
      <c r="D3792" s="1" t="s">
        <v>226</v>
      </c>
      <c r="E3792" t="s">
        <v>236</v>
      </c>
      <c r="F3792" s="1">
        <v>1</v>
      </c>
      <c r="G3792" s="1" t="s">
        <v>75</v>
      </c>
      <c r="H3792" s="4" t="str">
        <f>HYPERLINK("https://www.ncbi.nlm.nih.gov/geo/query/acc.cgi?acc=GSM918060","GSM918060")</f>
        <v>GSM918060</v>
      </c>
      <c r="I3792" t="s">
        <v>17</v>
      </c>
      <c r="J3792" t="s">
        <v>18</v>
      </c>
      <c r="K3792" t="s">
        <v>19</v>
      </c>
      <c r="L3792" t="s">
        <v>20</v>
      </c>
      <c r="M3792" t="s">
        <v>65</v>
      </c>
      <c r="N3792" t="s">
        <v>76</v>
      </c>
    </row>
    <row r="3793" spans="1:14">
      <c r="A3793" s="4" t="str">
        <f t="shared" si="358"/>
        <v>EXP00119</v>
      </c>
      <c r="B3793" s="4" t="str">
        <f t="shared" si="356"/>
        <v>22294488</v>
      </c>
      <c r="C3793" s="4" t="str">
        <f t="shared" si="357"/>
        <v>GSE37407</v>
      </c>
      <c r="D3793" s="1" t="s">
        <v>226</v>
      </c>
      <c r="E3793" t="s">
        <v>236</v>
      </c>
      <c r="F3793" s="1">
        <v>1</v>
      </c>
      <c r="G3793" s="1" t="s">
        <v>75</v>
      </c>
      <c r="H3793" s="4" t="str">
        <f>HYPERLINK("https://www.ncbi.nlm.nih.gov/geo/query/acc.cgi?acc=GSM918064","GSM918064")</f>
        <v>GSM918064</v>
      </c>
      <c r="I3793" t="s">
        <v>17</v>
      </c>
      <c r="J3793" t="s">
        <v>18</v>
      </c>
      <c r="K3793" t="s">
        <v>19</v>
      </c>
      <c r="L3793" t="s">
        <v>20</v>
      </c>
      <c r="M3793" t="s">
        <v>21</v>
      </c>
      <c r="N3793" t="s">
        <v>76</v>
      </c>
    </row>
    <row r="3794" spans="1:14">
      <c r="A3794" s="4" t="str">
        <f t="shared" si="358"/>
        <v>EXP00119</v>
      </c>
      <c r="B3794" s="4" t="str">
        <f t="shared" si="356"/>
        <v>22294488</v>
      </c>
      <c r="C3794" s="4" t="str">
        <f t="shared" si="357"/>
        <v>GSE37407</v>
      </c>
      <c r="D3794" s="1" t="s">
        <v>226</v>
      </c>
      <c r="E3794" t="s">
        <v>236</v>
      </c>
      <c r="F3794" s="1">
        <v>2</v>
      </c>
      <c r="G3794" s="1" t="s">
        <v>26</v>
      </c>
      <c r="H3794" s="4" t="str">
        <f>HYPERLINK("https://www.ncbi.nlm.nih.gov/geo/query/acc.cgi?acc=GSM918011","GSM918011")</f>
        <v>GSM918011</v>
      </c>
      <c r="I3794" t="s">
        <v>17</v>
      </c>
      <c r="J3794" t="s">
        <v>18</v>
      </c>
      <c r="K3794" t="s">
        <v>19</v>
      </c>
      <c r="L3794" t="s">
        <v>20</v>
      </c>
      <c r="M3794" t="s">
        <v>24</v>
      </c>
      <c r="N3794" t="s">
        <v>22</v>
      </c>
    </row>
    <row r="3795" spans="1:14">
      <c r="A3795" s="4" t="str">
        <f t="shared" si="358"/>
        <v>EXP00119</v>
      </c>
      <c r="B3795" s="4" t="str">
        <f t="shared" si="356"/>
        <v>22294488</v>
      </c>
      <c r="C3795" s="4" t="str">
        <f t="shared" si="357"/>
        <v>GSE37407</v>
      </c>
      <c r="D3795" s="1" t="s">
        <v>226</v>
      </c>
      <c r="E3795" t="s">
        <v>236</v>
      </c>
      <c r="F3795" s="1">
        <v>2</v>
      </c>
      <c r="G3795" s="1" t="s">
        <v>26</v>
      </c>
      <c r="H3795" s="4" t="str">
        <f>HYPERLINK("https://www.ncbi.nlm.nih.gov/geo/query/acc.cgi?acc=GSM918012","GSM918012")</f>
        <v>GSM918012</v>
      </c>
      <c r="I3795" t="s">
        <v>17</v>
      </c>
      <c r="J3795" t="s">
        <v>18</v>
      </c>
      <c r="K3795" t="s">
        <v>19</v>
      </c>
      <c r="L3795" t="s">
        <v>20</v>
      </c>
      <c r="M3795" t="s">
        <v>21</v>
      </c>
      <c r="N3795" t="s">
        <v>22</v>
      </c>
    </row>
    <row r="3796" spans="1:14">
      <c r="A3796" s="4" t="str">
        <f t="shared" si="358"/>
        <v>EXP00119</v>
      </c>
      <c r="B3796" s="4" t="str">
        <f t="shared" si="356"/>
        <v>22294488</v>
      </c>
      <c r="C3796" s="4" t="str">
        <f t="shared" si="357"/>
        <v>GSE37407</v>
      </c>
      <c r="D3796" s="1" t="s">
        <v>226</v>
      </c>
      <c r="E3796" t="s">
        <v>236</v>
      </c>
      <c r="F3796" s="1">
        <v>2</v>
      </c>
      <c r="G3796" s="1" t="s">
        <v>26</v>
      </c>
      <c r="H3796" s="4" t="str">
        <f>HYPERLINK("https://www.ncbi.nlm.nih.gov/geo/query/acc.cgi?acc=GSM918013","GSM918013")</f>
        <v>GSM918013</v>
      </c>
      <c r="I3796" t="s">
        <v>17</v>
      </c>
      <c r="J3796" t="s">
        <v>18</v>
      </c>
      <c r="K3796" t="s">
        <v>19</v>
      </c>
      <c r="L3796" t="s">
        <v>20</v>
      </c>
      <c r="M3796" t="s">
        <v>24</v>
      </c>
      <c r="N3796" t="s">
        <v>22</v>
      </c>
    </row>
    <row r="3797" spans="1:14">
      <c r="A3797" s="4" t="str">
        <f t="shared" si="358"/>
        <v>EXP00119</v>
      </c>
      <c r="B3797" s="4" t="str">
        <f t="shared" si="356"/>
        <v>22294488</v>
      </c>
      <c r="C3797" s="4" t="str">
        <f t="shared" si="357"/>
        <v>GSE37407</v>
      </c>
      <c r="D3797" s="1" t="s">
        <v>226</v>
      </c>
      <c r="E3797" t="s">
        <v>236</v>
      </c>
      <c r="F3797" s="1">
        <v>2</v>
      </c>
      <c r="G3797" s="1" t="s">
        <v>26</v>
      </c>
      <c r="H3797" s="4" t="str">
        <f>HYPERLINK("https://www.ncbi.nlm.nih.gov/geo/query/acc.cgi?acc=GSM918014","GSM918014")</f>
        <v>GSM918014</v>
      </c>
      <c r="I3797" t="s">
        <v>17</v>
      </c>
      <c r="J3797" t="s">
        <v>18</v>
      </c>
      <c r="K3797" t="s">
        <v>19</v>
      </c>
      <c r="L3797" t="s">
        <v>20</v>
      </c>
      <c r="M3797" t="s">
        <v>21</v>
      </c>
      <c r="N3797" t="s">
        <v>22</v>
      </c>
    </row>
    <row r="3798" spans="1:14">
      <c r="A3798" s="4" t="str">
        <f t="shared" si="358"/>
        <v>EXP00119</v>
      </c>
      <c r="B3798" s="4" t="str">
        <f t="shared" si="356"/>
        <v>22294488</v>
      </c>
      <c r="C3798" s="4" t="str">
        <f t="shared" si="357"/>
        <v>GSE37407</v>
      </c>
      <c r="D3798" s="1" t="s">
        <v>226</v>
      </c>
      <c r="E3798" t="s">
        <v>236</v>
      </c>
      <c r="F3798" s="1">
        <v>2</v>
      </c>
      <c r="G3798" s="1" t="s">
        <v>26</v>
      </c>
      <c r="H3798" s="4" t="str">
        <f>HYPERLINK("https://www.ncbi.nlm.nih.gov/geo/query/acc.cgi?acc=GSM918017","GSM918017")</f>
        <v>GSM918017</v>
      </c>
      <c r="I3798" t="s">
        <v>17</v>
      </c>
      <c r="J3798" t="s">
        <v>18</v>
      </c>
      <c r="K3798" t="s">
        <v>19</v>
      </c>
      <c r="L3798" t="s">
        <v>20</v>
      </c>
      <c r="M3798" t="s">
        <v>24</v>
      </c>
      <c r="N3798" t="s">
        <v>22</v>
      </c>
    </row>
    <row r="3799" spans="1:14">
      <c r="A3799" s="4" t="str">
        <f t="shared" si="358"/>
        <v>EXP00119</v>
      </c>
      <c r="B3799" s="4" t="str">
        <f t="shared" si="356"/>
        <v>22294488</v>
      </c>
      <c r="C3799" s="4" t="str">
        <f t="shared" si="357"/>
        <v>GSE37407</v>
      </c>
      <c r="D3799" s="1" t="s">
        <v>226</v>
      </c>
      <c r="E3799" t="s">
        <v>236</v>
      </c>
      <c r="F3799" s="1">
        <v>2</v>
      </c>
      <c r="G3799" s="1" t="s">
        <v>26</v>
      </c>
      <c r="H3799" s="4" t="str">
        <f>HYPERLINK("https://www.ncbi.nlm.nih.gov/geo/query/acc.cgi?acc=GSM918019","GSM918019")</f>
        <v>GSM918019</v>
      </c>
      <c r="I3799" t="s">
        <v>17</v>
      </c>
      <c r="J3799" t="s">
        <v>18</v>
      </c>
      <c r="K3799" t="s">
        <v>19</v>
      </c>
      <c r="L3799" t="s">
        <v>20</v>
      </c>
      <c r="M3799" t="s">
        <v>27</v>
      </c>
      <c r="N3799" t="s">
        <v>22</v>
      </c>
    </row>
    <row r="3800" spans="1:14">
      <c r="A3800" s="4" t="str">
        <f t="shared" si="358"/>
        <v>EXP00119</v>
      </c>
      <c r="B3800" s="4" t="str">
        <f t="shared" si="356"/>
        <v>22294488</v>
      </c>
      <c r="C3800" s="4" t="str">
        <f t="shared" si="357"/>
        <v>GSE37407</v>
      </c>
      <c r="D3800" s="1" t="s">
        <v>226</v>
      </c>
      <c r="E3800" t="s">
        <v>236</v>
      </c>
      <c r="F3800" s="1">
        <v>2</v>
      </c>
      <c r="G3800" s="1" t="s">
        <v>26</v>
      </c>
      <c r="H3800" s="4" t="str">
        <f>HYPERLINK("https://www.ncbi.nlm.nih.gov/geo/query/acc.cgi?acc=GSM918020","GSM918020")</f>
        <v>GSM918020</v>
      </c>
      <c r="I3800" t="s">
        <v>17</v>
      </c>
      <c r="J3800" t="s">
        <v>18</v>
      </c>
      <c r="K3800" t="s">
        <v>19</v>
      </c>
      <c r="L3800" t="s">
        <v>20</v>
      </c>
      <c r="M3800" t="s">
        <v>21</v>
      </c>
      <c r="N3800" t="s">
        <v>22</v>
      </c>
    </row>
    <row r="3801" spans="1:14">
      <c r="A3801" s="4" t="str">
        <f t="shared" si="358"/>
        <v>EXP00119</v>
      </c>
      <c r="B3801" s="4" t="str">
        <f t="shared" si="356"/>
        <v>22294488</v>
      </c>
      <c r="C3801" s="4" t="str">
        <f t="shared" si="357"/>
        <v>GSE37407</v>
      </c>
      <c r="D3801" s="1" t="s">
        <v>226</v>
      </c>
      <c r="E3801" t="s">
        <v>236</v>
      </c>
      <c r="F3801" s="1">
        <v>2</v>
      </c>
      <c r="G3801" s="1" t="s">
        <v>26</v>
      </c>
      <c r="H3801" s="4" t="str">
        <f>HYPERLINK("https://www.ncbi.nlm.nih.gov/geo/query/acc.cgi?acc=GSM918021","GSM918021")</f>
        <v>GSM918021</v>
      </c>
      <c r="I3801" t="s">
        <v>17</v>
      </c>
      <c r="J3801" t="s">
        <v>18</v>
      </c>
      <c r="K3801" t="s">
        <v>19</v>
      </c>
      <c r="L3801" t="s">
        <v>20</v>
      </c>
      <c r="M3801" t="s">
        <v>21</v>
      </c>
      <c r="N3801" t="s">
        <v>22</v>
      </c>
    </row>
    <row r="3802" spans="1:14">
      <c r="A3802" s="4" t="str">
        <f t="shared" si="358"/>
        <v>EXP00119</v>
      </c>
      <c r="B3802" s="4" t="str">
        <f t="shared" si="356"/>
        <v>22294488</v>
      </c>
      <c r="C3802" s="4" t="str">
        <f t="shared" si="357"/>
        <v>GSE37407</v>
      </c>
      <c r="D3802" s="1" t="s">
        <v>226</v>
      </c>
      <c r="E3802" t="s">
        <v>236</v>
      </c>
      <c r="F3802" s="1">
        <v>2</v>
      </c>
      <c r="G3802" s="1" t="s">
        <v>26</v>
      </c>
      <c r="H3802" s="4" t="str">
        <f>HYPERLINK("https://www.ncbi.nlm.nih.gov/geo/query/acc.cgi?acc=GSM918025","GSM918025")</f>
        <v>GSM918025</v>
      </c>
      <c r="I3802" t="s">
        <v>17</v>
      </c>
      <c r="J3802" t="s">
        <v>18</v>
      </c>
      <c r="K3802" t="s">
        <v>19</v>
      </c>
      <c r="L3802" t="s">
        <v>20</v>
      </c>
      <c r="M3802" t="s">
        <v>21</v>
      </c>
      <c r="N3802" t="s">
        <v>22</v>
      </c>
    </row>
    <row r="3803" spans="1:14">
      <c r="A3803" s="4" t="str">
        <f t="shared" si="358"/>
        <v>EXP00119</v>
      </c>
      <c r="B3803" s="4" t="str">
        <f t="shared" si="356"/>
        <v>22294488</v>
      </c>
      <c r="C3803" s="4" t="str">
        <f t="shared" si="357"/>
        <v>GSE37407</v>
      </c>
      <c r="D3803" s="1" t="s">
        <v>226</v>
      </c>
      <c r="E3803" t="s">
        <v>236</v>
      </c>
      <c r="F3803" s="1">
        <v>2</v>
      </c>
      <c r="G3803" s="1" t="s">
        <v>26</v>
      </c>
      <c r="H3803" s="4" t="str">
        <f>HYPERLINK("https://www.ncbi.nlm.nih.gov/geo/query/acc.cgi?acc=GSM918028","GSM918028")</f>
        <v>GSM918028</v>
      </c>
      <c r="I3803" t="s">
        <v>17</v>
      </c>
      <c r="J3803" t="s">
        <v>18</v>
      </c>
      <c r="K3803" t="s">
        <v>19</v>
      </c>
      <c r="L3803" t="s">
        <v>20</v>
      </c>
      <c r="M3803" t="s">
        <v>21</v>
      </c>
      <c r="N3803" t="s">
        <v>22</v>
      </c>
    </row>
    <row r="3804" spans="1:14">
      <c r="A3804" s="4" t="str">
        <f t="shared" si="358"/>
        <v>EXP00119</v>
      </c>
      <c r="B3804" s="4" t="str">
        <f t="shared" si="356"/>
        <v>22294488</v>
      </c>
      <c r="C3804" s="4" t="str">
        <f t="shared" si="357"/>
        <v>GSE37407</v>
      </c>
      <c r="D3804" s="1" t="s">
        <v>226</v>
      </c>
      <c r="E3804" t="s">
        <v>236</v>
      </c>
      <c r="F3804" s="1">
        <v>2</v>
      </c>
      <c r="G3804" s="1" t="s">
        <v>26</v>
      </c>
      <c r="H3804" s="4" t="str">
        <f>HYPERLINK("https://www.ncbi.nlm.nih.gov/geo/query/acc.cgi?acc=GSM918034","GSM918034")</f>
        <v>GSM918034</v>
      </c>
      <c r="I3804" t="s">
        <v>17</v>
      </c>
      <c r="J3804" t="s">
        <v>18</v>
      </c>
      <c r="K3804" t="s">
        <v>19</v>
      </c>
      <c r="L3804" t="s">
        <v>20</v>
      </c>
      <c r="M3804" t="s">
        <v>24</v>
      </c>
      <c r="N3804" t="s">
        <v>22</v>
      </c>
    </row>
    <row r="3805" spans="1:14">
      <c r="A3805" s="4" t="str">
        <f t="shared" si="358"/>
        <v>EXP00119</v>
      </c>
      <c r="B3805" s="4" t="str">
        <f t="shared" si="356"/>
        <v>22294488</v>
      </c>
      <c r="C3805" s="4" t="str">
        <f t="shared" si="357"/>
        <v>GSE37407</v>
      </c>
      <c r="D3805" s="1" t="s">
        <v>226</v>
      </c>
      <c r="E3805" t="s">
        <v>236</v>
      </c>
      <c r="F3805" s="1">
        <v>2</v>
      </c>
      <c r="G3805" s="1" t="s">
        <v>26</v>
      </c>
      <c r="H3805" s="4" t="str">
        <f>HYPERLINK("https://www.ncbi.nlm.nih.gov/geo/query/acc.cgi?acc=GSM918035","GSM918035")</f>
        <v>GSM918035</v>
      </c>
      <c r="I3805" t="s">
        <v>17</v>
      </c>
      <c r="J3805" t="s">
        <v>18</v>
      </c>
      <c r="K3805" t="s">
        <v>19</v>
      </c>
      <c r="L3805" t="s">
        <v>20</v>
      </c>
      <c r="M3805" t="s">
        <v>21</v>
      </c>
      <c r="N3805" t="s">
        <v>22</v>
      </c>
    </row>
    <row r="3806" spans="1:14">
      <c r="A3806" s="4" t="str">
        <f t="shared" si="358"/>
        <v>EXP00119</v>
      </c>
      <c r="B3806" s="4" t="str">
        <f t="shared" si="356"/>
        <v>22294488</v>
      </c>
      <c r="C3806" s="4" t="str">
        <f t="shared" si="357"/>
        <v>GSE37407</v>
      </c>
      <c r="D3806" s="1" t="s">
        <v>226</v>
      </c>
      <c r="E3806" t="s">
        <v>236</v>
      </c>
      <c r="F3806" s="1">
        <v>2</v>
      </c>
      <c r="G3806" s="1" t="s">
        <v>26</v>
      </c>
      <c r="H3806" s="4" t="str">
        <f>HYPERLINK("https://www.ncbi.nlm.nih.gov/geo/query/acc.cgi?acc=GSM918036","GSM918036")</f>
        <v>GSM918036</v>
      </c>
      <c r="I3806" t="s">
        <v>17</v>
      </c>
      <c r="J3806" t="s">
        <v>18</v>
      </c>
      <c r="K3806" t="s">
        <v>19</v>
      </c>
      <c r="L3806" t="s">
        <v>20</v>
      </c>
      <c r="M3806" t="s">
        <v>21</v>
      </c>
      <c r="N3806" t="s">
        <v>22</v>
      </c>
    </row>
    <row r="3807" spans="1:14">
      <c r="A3807" s="4" t="str">
        <f t="shared" si="358"/>
        <v>EXP00119</v>
      </c>
      <c r="B3807" s="4" t="str">
        <f t="shared" si="356"/>
        <v>22294488</v>
      </c>
      <c r="C3807" s="4" t="str">
        <f t="shared" si="357"/>
        <v>GSE37407</v>
      </c>
      <c r="D3807" s="1" t="s">
        <v>226</v>
      </c>
      <c r="E3807" t="s">
        <v>236</v>
      </c>
      <c r="F3807" s="1">
        <v>2</v>
      </c>
      <c r="G3807" s="1" t="s">
        <v>26</v>
      </c>
      <c r="H3807" s="4" t="str">
        <f>HYPERLINK("https://www.ncbi.nlm.nih.gov/geo/query/acc.cgi?acc=GSM918037","GSM918037")</f>
        <v>GSM918037</v>
      </c>
      <c r="I3807" t="s">
        <v>17</v>
      </c>
      <c r="J3807" t="s">
        <v>18</v>
      </c>
      <c r="K3807" t="s">
        <v>19</v>
      </c>
      <c r="L3807" t="s">
        <v>20</v>
      </c>
      <c r="M3807" t="s">
        <v>27</v>
      </c>
      <c r="N3807" t="s">
        <v>22</v>
      </c>
    </row>
    <row r="3808" spans="1:14">
      <c r="A3808" s="4" t="str">
        <f t="shared" si="358"/>
        <v>EXP00119</v>
      </c>
      <c r="B3808" s="4" t="str">
        <f t="shared" si="356"/>
        <v>22294488</v>
      </c>
      <c r="C3808" s="4" t="str">
        <f t="shared" si="357"/>
        <v>GSE37407</v>
      </c>
      <c r="D3808" s="1" t="s">
        <v>226</v>
      </c>
      <c r="E3808" t="s">
        <v>236</v>
      </c>
      <c r="F3808" s="1">
        <v>2</v>
      </c>
      <c r="G3808" s="1" t="s">
        <v>26</v>
      </c>
      <c r="H3808" s="4" t="str">
        <f>HYPERLINK("https://www.ncbi.nlm.nih.gov/geo/query/acc.cgi?acc=GSM918039","GSM918039")</f>
        <v>GSM918039</v>
      </c>
      <c r="I3808" t="s">
        <v>17</v>
      </c>
      <c r="J3808" t="s">
        <v>18</v>
      </c>
      <c r="K3808" t="s">
        <v>19</v>
      </c>
      <c r="L3808" t="s">
        <v>20</v>
      </c>
      <c r="M3808" t="s">
        <v>21</v>
      </c>
      <c r="N3808" t="s">
        <v>22</v>
      </c>
    </row>
    <row r="3809" spans="1:14">
      <c r="A3809" s="4" t="str">
        <f t="shared" si="358"/>
        <v>EXP00119</v>
      </c>
      <c r="B3809" s="4" t="str">
        <f t="shared" si="356"/>
        <v>22294488</v>
      </c>
      <c r="C3809" s="4" t="str">
        <f t="shared" si="357"/>
        <v>GSE37407</v>
      </c>
      <c r="D3809" s="1" t="s">
        <v>226</v>
      </c>
      <c r="E3809" t="s">
        <v>236</v>
      </c>
      <c r="F3809" s="1">
        <v>2</v>
      </c>
      <c r="G3809" s="1" t="s">
        <v>26</v>
      </c>
      <c r="H3809" s="4" t="str">
        <f>HYPERLINK("https://www.ncbi.nlm.nih.gov/geo/query/acc.cgi?acc=GSM918042","GSM918042")</f>
        <v>GSM918042</v>
      </c>
      <c r="I3809" t="s">
        <v>17</v>
      </c>
      <c r="J3809" t="s">
        <v>18</v>
      </c>
      <c r="K3809" t="s">
        <v>19</v>
      </c>
      <c r="L3809" t="s">
        <v>20</v>
      </c>
      <c r="M3809" t="s">
        <v>24</v>
      </c>
      <c r="N3809" t="s">
        <v>22</v>
      </c>
    </row>
    <row r="3810" spans="1:14">
      <c r="A3810" s="4" t="str">
        <f t="shared" si="358"/>
        <v>EXP00119</v>
      </c>
      <c r="B3810" s="4" t="str">
        <f t="shared" si="356"/>
        <v>22294488</v>
      </c>
      <c r="C3810" s="4" t="str">
        <f t="shared" si="357"/>
        <v>GSE37407</v>
      </c>
      <c r="D3810" s="1" t="s">
        <v>226</v>
      </c>
      <c r="E3810" t="s">
        <v>236</v>
      </c>
      <c r="F3810" s="1">
        <v>2</v>
      </c>
      <c r="G3810" s="1" t="s">
        <v>26</v>
      </c>
      <c r="H3810" s="4" t="str">
        <f>HYPERLINK("https://www.ncbi.nlm.nih.gov/geo/query/acc.cgi?acc=GSM918043","GSM918043")</f>
        <v>GSM918043</v>
      </c>
      <c r="I3810" t="s">
        <v>17</v>
      </c>
      <c r="J3810" t="s">
        <v>18</v>
      </c>
      <c r="K3810" t="s">
        <v>19</v>
      </c>
      <c r="L3810" t="s">
        <v>20</v>
      </c>
      <c r="M3810" t="s">
        <v>21</v>
      </c>
      <c r="N3810" t="s">
        <v>22</v>
      </c>
    </row>
    <row r="3811" spans="1:14">
      <c r="A3811" s="4" t="str">
        <f t="shared" si="358"/>
        <v>EXP00119</v>
      </c>
      <c r="B3811" s="4" t="str">
        <f t="shared" si="356"/>
        <v>22294488</v>
      </c>
      <c r="C3811" s="4" t="str">
        <f t="shared" si="357"/>
        <v>GSE37407</v>
      </c>
      <c r="D3811" s="1" t="s">
        <v>226</v>
      </c>
      <c r="E3811" t="s">
        <v>236</v>
      </c>
      <c r="F3811" s="1">
        <v>2</v>
      </c>
      <c r="G3811" s="1" t="s">
        <v>26</v>
      </c>
      <c r="H3811" s="4" t="str">
        <f>HYPERLINK("https://www.ncbi.nlm.nih.gov/geo/query/acc.cgi?acc=GSM918045","GSM918045")</f>
        <v>GSM918045</v>
      </c>
      <c r="I3811" t="s">
        <v>17</v>
      </c>
      <c r="J3811" t="s">
        <v>18</v>
      </c>
      <c r="K3811" t="s">
        <v>19</v>
      </c>
      <c r="L3811" t="s">
        <v>20</v>
      </c>
      <c r="M3811" t="s">
        <v>24</v>
      </c>
      <c r="N3811" t="s">
        <v>22</v>
      </c>
    </row>
    <row r="3812" spans="1:14">
      <c r="A3812" s="4" t="str">
        <f t="shared" si="358"/>
        <v>EXP00119</v>
      </c>
      <c r="B3812" s="4" t="str">
        <f t="shared" si="356"/>
        <v>22294488</v>
      </c>
      <c r="C3812" s="4" t="str">
        <f t="shared" si="357"/>
        <v>GSE37407</v>
      </c>
      <c r="D3812" s="1" t="s">
        <v>226</v>
      </c>
      <c r="E3812" t="s">
        <v>236</v>
      </c>
      <c r="F3812" s="1">
        <v>2</v>
      </c>
      <c r="G3812" s="1" t="s">
        <v>26</v>
      </c>
      <c r="H3812" s="4" t="str">
        <f>HYPERLINK("https://www.ncbi.nlm.nih.gov/geo/query/acc.cgi?acc=GSM918049","GSM918049")</f>
        <v>GSM918049</v>
      </c>
      <c r="I3812" t="s">
        <v>17</v>
      </c>
      <c r="J3812" t="s">
        <v>18</v>
      </c>
      <c r="K3812" t="s">
        <v>19</v>
      </c>
      <c r="L3812" t="s">
        <v>20</v>
      </c>
      <c r="M3812" t="s">
        <v>24</v>
      </c>
      <c r="N3812" t="s">
        <v>22</v>
      </c>
    </row>
    <row r="3813" spans="1:14">
      <c r="A3813" s="4" t="str">
        <f t="shared" si="358"/>
        <v>EXP00119</v>
      </c>
      <c r="B3813" s="4" t="str">
        <f t="shared" si="356"/>
        <v>22294488</v>
      </c>
      <c r="C3813" s="4" t="str">
        <f t="shared" si="357"/>
        <v>GSE37407</v>
      </c>
      <c r="D3813" s="1" t="s">
        <v>226</v>
      </c>
      <c r="E3813" t="s">
        <v>236</v>
      </c>
      <c r="F3813" s="1">
        <v>2</v>
      </c>
      <c r="G3813" s="1" t="s">
        <v>26</v>
      </c>
      <c r="H3813" s="4" t="str">
        <f>HYPERLINK("https://www.ncbi.nlm.nih.gov/geo/query/acc.cgi?acc=GSM918050","GSM918050")</f>
        <v>GSM918050</v>
      </c>
      <c r="I3813" t="s">
        <v>17</v>
      </c>
      <c r="J3813" t="s">
        <v>18</v>
      </c>
      <c r="K3813" t="s">
        <v>19</v>
      </c>
      <c r="L3813" t="s">
        <v>20</v>
      </c>
      <c r="M3813" t="s">
        <v>21</v>
      </c>
      <c r="N3813" t="s">
        <v>22</v>
      </c>
    </row>
    <row r="3814" spans="1:14">
      <c r="A3814" s="4" t="str">
        <f t="shared" si="358"/>
        <v>EXP00119</v>
      </c>
      <c r="B3814" s="4" t="str">
        <f t="shared" si="356"/>
        <v>22294488</v>
      </c>
      <c r="C3814" s="4" t="str">
        <f t="shared" si="357"/>
        <v>GSE37407</v>
      </c>
      <c r="D3814" s="1" t="s">
        <v>226</v>
      </c>
      <c r="E3814" t="s">
        <v>236</v>
      </c>
      <c r="F3814" s="1">
        <v>2</v>
      </c>
      <c r="G3814" s="1" t="s">
        <v>26</v>
      </c>
      <c r="H3814" s="4" t="str">
        <f>HYPERLINK("https://www.ncbi.nlm.nih.gov/geo/query/acc.cgi?acc=GSM918051","GSM918051")</f>
        <v>GSM918051</v>
      </c>
      <c r="I3814" t="s">
        <v>17</v>
      </c>
      <c r="J3814" t="s">
        <v>18</v>
      </c>
      <c r="K3814" t="s">
        <v>19</v>
      </c>
      <c r="L3814" t="s">
        <v>20</v>
      </c>
      <c r="M3814" t="s">
        <v>21</v>
      </c>
      <c r="N3814" t="s">
        <v>22</v>
      </c>
    </row>
    <row r="3815" spans="1:14">
      <c r="A3815" s="4" t="str">
        <f t="shared" si="358"/>
        <v>EXP00119</v>
      </c>
      <c r="B3815" s="4" t="str">
        <f t="shared" ref="B3815:B3824" si="359">HYPERLINK("https://www.ncbi.nlm.nih.gov/pubmed/22294488","22294488")</f>
        <v>22294488</v>
      </c>
      <c r="C3815" s="4" t="str">
        <f t="shared" ref="C3815:C3824" si="360">HYPERLINK("https://www.ncbi.nlm.nih.gov/geo/query/acc.cgi?acc=GSE37407","GSE37407")</f>
        <v>GSE37407</v>
      </c>
      <c r="D3815" s="1" t="s">
        <v>226</v>
      </c>
      <c r="E3815" t="s">
        <v>236</v>
      </c>
      <c r="F3815" s="1">
        <v>2</v>
      </c>
      <c r="G3815" s="1" t="s">
        <v>26</v>
      </c>
      <c r="H3815" s="4" t="str">
        <f>HYPERLINK("https://www.ncbi.nlm.nih.gov/geo/query/acc.cgi?acc=GSM918052","GSM918052")</f>
        <v>GSM918052</v>
      </c>
      <c r="I3815" t="s">
        <v>17</v>
      </c>
      <c r="J3815" t="s">
        <v>18</v>
      </c>
      <c r="K3815" t="s">
        <v>19</v>
      </c>
      <c r="L3815" t="s">
        <v>20</v>
      </c>
      <c r="M3815" t="s">
        <v>24</v>
      </c>
      <c r="N3815" t="s">
        <v>22</v>
      </c>
    </row>
    <row r="3816" spans="1:14">
      <c r="A3816" s="4" t="str">
        <f t="shared" si="358"/>
        <v>EXP00119</v>
      </c>
      <c r="B3816" s="4" t="str">
        <f t="shared" si="359"/>
        <v>22294488</v>
      </c>
      <c r="C3816" s="4" t="str">
        <f t="shared" si="360"/>
        <v>GSE37407</v>
      </c>
      <c r="D3816" s="1" t="s">
        <v>226</v>
      </c>
      <c r="E3816" t="s">
        <v>236</v>
      </c>
      <c r="F3816" s="1">
        <v>2</v>
      </c>
      <c r="G3816" s="1" t="s">
        <v>26</v>
      </c>
      <c r="H3816" s="4" t="str">
        <f>HYPERLINK("https://www.ncbi.nlm.nih.gov/geo/query/acc.cgi?acc=GSM918053","GSM918053")</f>
        <v>GSM918053</v>
      </c>
      <c r="I3816" t="s">
        <v>17</v>
      </c>
      <c r="J3816" t="s">
        <v>18</v>
      </c>
      <c r="K3816" t="s">
        <v>19</v>
      </c>
      <c r="L3816" t="s">
        <v>20</v>
      </c>
      <c r="M3816" t="s">
        <v>21</v>
      </c>
      <c r="N3816" t="s">
        <v>22</v>
      </c>
    </row>
    <row r="3817" spans="1:14">
      <c r="A3817" s="4" t="str">
        <f t="shared" si="358"/>
        <v>EXP00119</v>
      </c>
      <c r="B3817" s="4" t="str">
        <f t="shared" si="359"/>
        <v>22294488</v>
      </c>
      <c r="C3817" s="4" t="str">
        <f t="shared" si="360"/>
        <v>GSE37407</v>
      </c>
      <c r="D3817" s="1" t="s">
        <v>226</v>
      </c>
      <c r="E3817" t="s">
        <v>236</v>
      </c>
      <c r="F3817" s="1">
        <v>2</v>
      </c>
      <c r="G3817" s="1" t="s">
        <v>26</v>
      </c>
      <c r="H3817" s="4" t="str">
        <f>HYPERLINK("https://www.ncbi.nlm.nih.gov/geo/query/acc.cgi?acc=GSM918054","GSM918054")</f>
        <v>GSM918054</v>
      </c>
      <c r="I3817" t="s">
        <v>17</v>
      </c>
      <c r="J3817" t="s">
        <v>18</v>
      </c>
      <c r="K3817" t="s">
        <v>19</v>
      </c>
      <c r="L3817" t="s">
        <v>20</v>
      </c>
      <c r="M3817" t="s">
        <v>65</v>
      </c>
      <c r="N3817" t="s">
        <v>22</v>
      </c>
    </row>
    <row r="3818" spans="1:14">
      <c r="A3818" s="4" t="str">
        <f t="shared" si="358"/>
        <v>EXP00119</v>
      </c>
      <c r="B3818" s="4" t="str">
        <f t="shared" si="359"/>
        <v>22294488</v>
      </c>
      <c r="C3818" s="4" t="str">
        <f t="shared" si="360"/>
        <v>GSE37407</v>
      </c>
      <c r="D3818" s="1" t="s">
        <v>226</v>
      </c>
      <c r="E3818" t="s">
        <v>236</v>
      </c>
      <c r="F3818" s="1">
        <v>2</v>
      </c>
      <c r="G3818" s="1" t="s">
        <v>26</v>
      </c>
      <c r="H3818" s="4" t="str">
        <f>HYPERLINK("https://www.ncbi.nlm.nih.gov/geo/query/acc.cgi?acc=GSM918055","GSM918055")</f>
        <v>GSM918055</v>
      </c>
      <c r="I3818" t="s">
        <v>17</v>
      </c>
      <c r="J3818" t="s">
        <v>18</v>
      </c>
      <c r="K3818" t="s">
        <v>19</v>
      </c>
      <c r="L3818" t="s">
        <v>20</v>
      </c>
      <c r="M3818" t="s">
        <v>44</v>
      </c>
      <c r="N3818" t="s">
        <v>22</v>
      </c>
    </row>
    <row r="3819" spans="1:14">
      <c r="A3819" s="4" t="str">
        <f t="shared" si="358"/>
        <v>EXP00119</v>
      </c>
      <c r="B3819" s="4" t="str">
        <f t="shared" si="359"/>
        <v>22294488</v>
      </c>
      <c r="C3819" s="4" t="str">
        <f t="shared" si="360"/>
        <v>GSE37407</v>
      </c>
      <c r="D3819" s="1" t="s">
        <v>226</v>
      </c>
      <c r="E3819" t="s">
        <v>236</v>
      </c>
      <c r="F3819" s="1">
        <v>2</v>
      </c>
      <c r="G3819" s="1" t="s">
        <v>26</v>
      </c>
      <c r="H3819" s="4" t="str">
        <f>HYPERLINK("https://www.ncbi.nlm.nih.gov/geo/query/acc.cgi?acc=GSM918061","GSM918061")</f>
        <v>GSM918061</v>
      </c>
      <c r="I3819" t="s">
        <v>17</v>
      </c>
      <c r="J3819" t="s">
        <v>18</v>
      </c>
      <c r="K3819" t="s">
        <v>19</v>
      </c>
      <c r="L3819" t="s">
        <v>20</v>
      </c>
      <c r="M3819" t="s">
        <v>44</v>
      </c>
      <c r="N3819" t="s">
        <v>22</v>
      </c>
    </row>
    <row r="3820" spans="1:14">
      <c r="A3820" s="4" t="str">
        <f t="shared" si="358"/>
        <v>EXP00119</v>
      </c>
      <c r="B3820" s="4" t="str">
        <f t="shared" si="359"/>
        <v>22294488</v>
      </c>
      <c r="C3820" s="4" t="str">
        <f t="shared" si="360"/>
        <v>GSE37407</v>
      </c>
      <c r="D3820" s="1" t="s">
        <v>226</v>
      </c>
      <c r="E3820" t="s">
        <v>236</v>
      </c>
      <c r="F3820" s="1">
        <v>2</v>
      </c>
      <c r="G3820" s="1" t="s">
        <v>26</v>
      </c>
      <c r="H3820" s="4" t="str">
        <f>HYPERLINK("https://www.ncbi.nlm.nih.gov/geo/query/acc.cgi?acc=GSM918063","GSM918063")</f>
        <v>GSM918063</v>
      </c>
      <c r="I3820" t="s">
        <v>17</v>
      </c>
      <c r="J3820" t="s">
        <v>18</v>
      </c>
      <c r="K3820" t="s">
        <v>19</v>
      </c>
      <c r="L3820" t="s">
        <v>20</v>
      </c>
      <c r="M3820" t="s">
        <v>24</v>
      </c>
      <c r="N3820" t="s">
        <v>22</v>
      </c>
    </row>
    <row r="3821" spans="1:14">
      <c r="A3821" s="4" t="str">
        <f t="shared" si="358"/>
        <v>EXP00119</v>
      </c>
      <c r="B3821" s="4" t="str">
        <f t="shared" si="359"/>
        <v>22294488</v>
      </c>
      <c r="C3821" s="4" t="str">
        <f t="shared" si="360"/>
        <v>GSE37407</v>
      </c>
      <c r="D3821" s="1" t="s">
        <v>226</v>
      </c>
      <c r="E3821" t="s">
        <v>236</v>
      </c>
      <c r="F3821" s="1">
        <v>2</v>
      </c>
      <c r="G3821" s="1" t="s">
        <v>26</v>
      </c>
      <c r="H3821" s="4" t="str">
        <f>HYPERLINK("https://www.ncbi.nlm.nih.gov/geo/query/acc.cgi?acc=GSM918065","GSM918065")</f>
        <v>GSM918065</v>
      </c>
      <c r="I3821" t="s">
        <v>17</v>
      </c>
      <c r="J3821" t="s">
        <v>18</v>
      </c>
      <c r="K3821" t="s">
        <v>19</v>
      </c>
      <c r="L3821" t="s">
        <v>20</v>
      </c>
      <c r="M3821" t="s">
        <v>24</v>
      </c>
      <c r="N3821" t="s">
        <v>22</v>
      </c>
    </row>
    <row r="3822" spans="1:14">
      <c r="A3822" s="4" t="str">
        <f t="shared" si="358"/>
        <v>EXP00119</v>
      </c>
      <c r="B3822" s="4" t="str">
        <f t="shared" si="359"/>
        <v>22294488</v>
      </c>
      <c r="C3822" s="4" t="str">
        <f t="shared" si="360"/>
        <v>GSE37407</v>
      </c>
      <c r="D3822" s="1" t="s">
        <v>226</v>
      </c>
      <c r="E3822" t="s">
        <v>236</v>
      </c>
      <c r="F3822" s="1">
        <v>2</v>
      </c>
      <c r="G3822" s="1" t="s">
        <v>26</v>
      </c>
      <c r="H3822" s="4" t="str">
        <f>HYPERLINK("https://www.ncbi.nlm.nih.gov/geo/query/acc.cgi?acc=GSM918067","GSM918067")</f>
        <v>GSM918067</v>
      </c>
      <c r="I3822" t="s">
        <v>17</v>
      </c>
      <c r="J3822" t="s">
        <v>18</v>
      </c>
      <c r="K3822" t="s">
        <v>19</v>
      </c>
      <c r="L3822" t="s">
        <v>20</v>
      </c>
      <c r="M3822" t="s">
        <v>21</v>
      </c>
      <c r="N3822" t="s">
        <v>22</v>
      </c>
    </row>
    <row r="3823" spans="1:14">
      <c r="A3823" s="4" t="str">
        <f t="shared" si="358"/>
        <v>EXP00119</v>
      </c>
      <c r="B3823" s="4" t="str">
        <f t="shared" si="359"/>
        <v>22294488</v>
      </c>
      <c r="C3823" s="4" t="str">
        <f t="shared" si="360"/>
        <v>GSE37407</v>
      </c>
      <c r="D3823" s="1" t="s">
        <v>226</v>
      </c>
      <c r="E3823" t="s">
        <v>236</v>
      </c>
      <c r="F3823" s="1">
        <v>2</v>
      </c>
      <c r="G3823" s="1" t="s">
        <v>26</v>
      </c>
      <c r="H3823" s="4" t="str">
        <f>HYPERLINK("https://www.ncbi.nlm.nih.gov/geo/query/acc.cgi?acc=GSM918068","GSM918068")</f>
        <v>GSM918068</v>
      </c>
      <c r="I3823" t="s">
        <v>17</v>
      </c>
      <c r="J3823" t="s">
        <v>18</v>
      </c>
      <c r="K3823" t="s">
        <v>19</v>
      </c>
      <c r="L3823" t="s">
        <v>20</v>
      </c>
      <c r="M3823" t="s">
        <v>44</v>
      </c>
      <c r="N3823" t="s">
        <v>22</v>
      </c>
    </row>
    <row r="3824" spans="1:14">
      <c r="A3824" s="4" t="str">
        <f t="shared" si="358"/>
        <v>EXP00119</v>
      </c>
      <c r="B3824" s="4" t="str">
        <f t="shared" si="359"/>
        <v>22294488</v>
      </c>
      <c r="C3824" s="4" t="str">
        <f t="shared" si="360"/>
        <v>GSE37407</v>
      </c>
      <c r="D3824" s="1" t="s">
        <v>226</v>
      </c>
      <c r="E3824" t="s">
        <v>236</v>
      </c>
      <c r="F3824" s="1">
        <v>2</v>
      </c>
      <c r="G3824" s="1" t="s">
        <v>26</v>
      </c>
      <c r="H3824" s="4" t="str">
        <f>HYPERLINK("https://www.ncbi.nlm.nih.gov/geo/query/acc.cgi?acc=GSM918070","GSM918070")</f>
        <v>GSM918070</v>
      </c>
      <c r="I3824" t="s">
        <v>17</v>
      </c>
      <c r="J3824" t="s">
        <v>18</v>
      </c>
      <c r="K3824" t="s">
        <v>19</v>
      </c>
      <c r="L3824" t="s">
        <v>20</v>
      </c>
      <c r="M3824" t="s">
        <v>27</v>
      </c>
      <c r="N3824" t="s">
        <v>22</v>
      </c>
    </row>
    <row r="3825" spans="1:14">
      <c r="A3825" s="4" t="str">
        <f t="shared" ref="A3825:A3856" si="361">HYPERLINK("http://hcmdb.i-sanger.com/experiment/details/experiment_id/EXP00120","EXP00120")</f>
        <v>EXP00120</v>
      </c>
      <c r="B3825" s="4" t="str">
        <f t="shared" ref="B3825:B3856" si="362">HYPERLINK("https://www.ncbi.nlm.nih.gov/pubmed/25559688","25559688")</f>
        <v>25559688</v>
      </c>
      <c r="C3825" s="4" t="str">
        <f t="shared" ref="C3825:C3856" si="363">HYPERLINK("https://www.ncbi.nlm.nih.gov/geo/query/acc.cgi?acc=GSE38057","GSE38057")</f>
        <v>GSE38057</v>
      </c>
      <c r="D3825" s="1" t="s">
        <v>237</v>
      </c>
      <c r="E3825" t="s">
        <v>30</v>
      </c>
      <c r="F3825" s="1">
        <v>1</v>
      </c>
      <c r="G3825" s="1" t="s">
        <v>31</v>
      </c>
      <c r="H3825" s="4" t="str">
        <f>HYPERLINK("https://www.ncbi.nlm.nih.gov/geo/query/acc.cgi?acc=GSM933103","GSM933103")</f>
        <v>GSM933103</v>
      </c>
      <c r="I3825" t="s">
        <v>17</v>
      </c>
      <c r="J3825" t="s">
        <v>18</v>
      </c>
      <c r="K3825" t="s">
        <v>19</v>
      </c>
      <c r="L3825" t="s">
        <v>20</v>
      </c>
      <c r="M3825" t="s">
        <v>21</v>
      </c>
      <c r="N3825" t="s">
        <v>29</v>
      </c>
    </row>
    <row r="3826" spans="1:14">
      <c r="A3826" s="4" t="str">
        <f t="shared" si="361"/>
        <v>EXP00120</v>
      </c>
      <c r="B3826" s="4" t="str">
        <f t="shared" si="362"/>
        <v>25559688</v>
      </c>
      <c r="C3826" s="4" t="str">
        <f t="shared" si="363"/>
        <v>GSE38057</v>
      </c>
      <c r="D3826" s="1" t="s">
        <v>237</v>
      </c>
      <c r="E3826" t="s">
        <v>30</v>
      </c>
      <c r="F3826" s="1">
        <v>1</v>
      </c>
      <c r="G3826" s="1" t="s">
        <v>31</v>
      </c>
      <c r="H3826" s="4" t="str">
        <f>HYPERLINK("https://www.ncbi.nlm.nih.gov/geo/query/acc.cgi?acc=GSM933104","GSM933104")</f>
        <v>GSM933104</v>
      </c>
      <c r="I3826" t="s">
        <v>17</v>
      </c>
      <c r="J3826" t="s">
        <v>18</v>
      </c>
      <c r="K3826" t="s">
        <v>19</v>
      </c>
      <c r="L3826" t="s">
        <v>20</v>
      </c>
      <c r="M3826" t="s">
        <v>21</v>
      </c>
      <c r="N3826" t="s">
        <v>29</v>
      </c>
    </row>
    <row r="3827" spans="1:14">
      <c r="A3827" s="4" t="str">
        <f t="shared" si="361"/>
        <v>EXP00120</v>
      </c>
      <c r="B3827" s="4" t="str">
        <f t="shared" si="362"/>
        <v>25559688</v>
      </c>
      <c r="C3827" s="4" t="str">
        <f t="shared" si="363"/>
        <v>GSE38057</v>
      </c>
      <c r="D3827" s="1" t="s">
        <v>237</v>
      </c>
      <c r="E3827" t="s">
        <v>30</v>
      </c>
      <c r="F3827" s="1">
        <v>1</v>
      </c>
      <c r="G3827" s="1" t="s">
        <v>31</v>
      </c>
      <c r="H3827" s="4" t="str">
        <f>HYPERLINK("https://www.ncbi.nlm.nih.gov/geo/query/acc.cgi?acc=GSM933105","GSM933105")</f>
        <v>GSM933105</v>
      </c>
      <c r="I3827" t="s">
        <v>17</v>
      </c>
      <c r="J3827" t="s">
        <v>18</v>
      </c>
      <c r="K3827" t="s">
        <v>19</v>
      </c>
      <c r="L3827" t="s">
        <v>20</v>
      </c>
      <c r="M3827" t="s">
        <v>21</v>
      </c>
      <c r="N3827" t="s">
        <v>29</v>
      </c>
    </row>
    <row r="3828" spans="1:14">
      <c r="A3828" s="4" t="str">
        <f t="shared" si="361"/>
        <v>EXP00120</v>
      </c>
      <c r="B3828" s="4" t="str">
        <f t="shared" si="362"/>
        <v>25559688</v>
      </c>
      <c r="C3828" s="4" t="str">
        <f t="shared" si="363"/>
        <v>GSE38057</v>
      </c>
      <c r="D3828" s="1" t="s">
        <v>237</v>
      </c>
      <c r="E3828" t="s">
        <v>30</v>
      </c>
      <c r="F3828" s="1">
        <v>1</v>
      </c>
      <c r="G3828" s="1" t="s">
        <v>31</v>
      </c>
      <c r="H3828" s="4" t="str">
        <f>HYPERLINK("https://www.ncbi.nlm.nih.gov/geo/query/acc.cgi?acc=GSM933106","GSM933106")</f>
        <v>GSM933106</v>
      </c>
      <c r="I3828" t="s">
        <v>17</v>
      </c>
      <c r="J3828" t="s">
        <v>18</v>
      </c>
      <c r="K3828" t="s">
        <v>19</v>
      </c>
      <c r="L3828" t="s">
        <v>20</v>
      </c>
      <c r="M3828" t="s">
        <v>21</v>
      </c>
      <c r="N3828" t="s">
        <v>29</v>
      </c>
    </row>
    <row r="3829" spans="1:14">
      <c r="A3829" s="4" t="str">
        <f t="shared" si="361"/>
        <v>EXP00120</v>
      </c>
      <c r="B3829" s="4" t="str">
        <f t="shared" si="362"/>
        <v>25559688</v>
      </c>
      <c r="C3829" s="4" t="str">
        <f t="shared" si="363"/>
        <v>GSE38057</v>
      </c>
      <c r="D3829" s="1" t="s">
        <v>237</v>
      </c>
      <c r="E3829" t="s">
        <v>30</v>
      </c>
      <c r="F3829" s="1">
        <v>1</v>
      </c>
      <c r="G3829" s="1" t="s">
        <v>31</v>
      </c>
      <c r="H3829" s="4" t="str">
        <f>HYPERLINK("https://www.ncbi.nlm.nih.gov/geo/query/acc.cgi?acc=GSM933108","GSM933108")</f>
        <v>GSM933108</v>
      </c>
      <c r="I3829" t="s">
        <v>17</v>
      </c>
      <c r="J3829" t="s">
        <v>18</v>
      </c>
      <c r="K3829" t="s">
        <v>19</v>
      </c>
      <c r="L3829" t="s">
        <v>20</v>
      </c>
      <c r="M3829" t="s">
        <v>21</v>
      </c>
      <c r="N3829" t="s">
        <v>29</v>
      </c>
    </row>
    <row r="3830" spans="1:14">
      <c r="A3830" s="4" t="str">
        <f t="shared" si="361"/>
        <v>EXP00120</v>
      </c>
      <c r="B3830" s="4" t="str">
        <f t="shared" si="362"/>
        <v>25559688</v>
      </c>
      <c r="C3830" s="4" t="str">
        <f t="shared" si="363"/>
        <v>GSE38057</v>
      </c>
      <c r="D3830" s="1" t="s">
        <v>237</v>
      </c>
      <c r="E3830" t="s">
        <v>30</v>
      </c>
      <c r="F3830" s="1">
        <v>1</v>
      </c>
      <c r="G3830" s="1" t="s">
        <v>31</v>
      </c>
      <c r="H3830" s="4" t="str">
        <f>HYPERLINK("https://www.ncbi.nlm.nih.gov/geo/query/acc.cgi?acc=GSM933113","GSM933113")</f>
        <v>GSM933113</v>
      </c>
      <c r="I3830" t="s">
        <v>17</v>
      </c>
      <c r="J3830" t="s">
        <v>18</v>
      </c>
      <c r="K3830" t="s">
        <v>19</v>
      </c>
      <c r="L3830" t="s">
        <v>20</v>
      </c>
      <c r="M3830" t="s">
        <v>21</v>
      </c>
      <c r="N3830" t="s">
        <v>29</v>
      </c>
    </row>
    <row r="3831" spans="1:14">
      <c r="A3831" s="4" t="str">
        <f t="shared" si="361"/>
        <v>EXP00120</v>
      </c>
      <c r="B3831" s="4" t="str">
        <f t="shared" si="362"/>
        <v>25559688</v>
      </c>
      <c r="C3831" s="4" t="str">
        <f t="shared" si="363"/>
        <v>GSE38057</v>
      </c>
      <c r="D3831" s="1" t="s">
        <v>237</v>
      </c>
      <c r="E3831" t="s">
        <v>30</v>
      </c>
      <c r="F3831" s="1">
        <v>1</v>
      </c>
      <c r="G3831" s="1" t="s">
        <v>31</v>
      </c>
      <c r="H3831" s="4" t="str">
        <f>HYPERLINK("https://www.ncbi.nlm.nih.gov/geo/query/acc.cgi?acc=GSM933116","GSM933116")</f>
        <v>GSM933116</v>
      </c>
      <c r="I3831" t="s">
        <v>17</v>
      </c>
      <c r="J3831" t="s">
        <v>18</v>
      </c>
      <c r="K3831" t="s">
        <v>19</v>
      </c>
      <c r="L3831" t="s">
        <v>20</v>
      </c>
      <c r="M3831" t="s">
        <v>21</v>
      </c>
      <c r="N3831" t="s">
        <v>29</v>
      </c>
    </row>
    <row r="3832" spans="1:14">
      <c r="A3832" s="4" t="str">
        <f t="shared" si="361"/>
        <v>EXP00120</v>
      </c>
      <c r="B3832" s="4" t="str">
        <f t="shared" si="362"/>
        <v>25559688</v>
      </c>
      <c r="C3832" s="4" t="str">
        <f t="shared" si="363"/>
        <v>GSE38057</v>
      </c>
      <c r="D3832" s="1" t="s">
        <v>237</v>
      </c>
      <c r="E3832" t="s">
        <v>30</v>
      </c>
      <c r="F3832" s="1">
        <v>1</v>
      </c>
      <c r="G3832" s="1" t="s">
        <v>31</v>
      </c>
      <c r="H3832" s="4" t="str">
        <f>HYPERLINK("https://www.ncbi.nlm.nih.gov/geo/query/acc.cgi?acc=GSM933117","GSM933117")</f>
        <v>GSM933117</v>
      </c>
      <c r="I3832" t="s">
        <v>17</v>
      </c>
      <c r="J3832" t="s">
        <v>18</v>
      </c>
      <c r="K3832" t="s">
        <v>19</v>
      </c>
      <c r="L3832" t="s">
        <v>20</v>
      </c>
      <c r="M3832" t="s">
        <v>21</v>
      </c>
      <c r="N3832" t="s">
        <v>29</v>
      </c>
    </row>
    <row r="3833" spans="1:14">
      <c r="A3833" s="4" t="str">
        <f t="shared" si="361"/>
        <v>EXP00120</v>
      </c>
      <c r="B3833" s="4" t="str">
        <f t="shared" si="362"/>
        <v>25559688</v>
      </c>
      <c r="C3833" s="4" t="str">
        <f t="shared" si="363"/>
        <v>GSE38057</v>
      </c>
      <c r="D3833" s="1" t="s">
        <v>237</v>
      </c>
      <c r="E3833" t="s">
        <v>30</v>
      </c>
      <c r="F3833" s="1">
        <v>1</v>
      </c>
      <c r="G3833" s="1" t="s">
        <v>31</v>
      </c>
      <c r="H3833" s="4" t="str">
        <f>HYPERLINK("https://www.ncbi.nlm.nih.gov/geo/query/acc.cgi?acc=GSM933118","GSM933118")</f>
        <v>GSM933118</v>
      </c>
      <c r="I3833" t="s">
        <v>17</v>
      </c>
      <c r="J3833" t="s">
        <v>18</v>
      </c>
      <c r="K3833" t="s">
        <v>19</v>
      </c>
      <c r="L3833" t="s">
        <v>20</v>
      </c>
      <c r="M3833" t="s">
        <v>21</v>
      </c>
      <c r="N3833" t="s">
        <v>29</v>
      </c>
    </row>
    <row r="3834" spans="1:14">
      <c r="A3834" s="4" t="str">
        <f t="shared" si="361"/>
        <v>EXP00120</v>
      </c>
      <c r="B3834" s="4" t="str">
        <f t="shared" si="362"/>
        <v>25559688</v>
      </c>
      <c r="C3834" s="4" t="str">
        <f t="shared" si="363"/>
        <v>GSE38057</v>
      </c>
      <c r="D3834" s="1" t="s">
        <v>237</v>
      </c>
      <c r="E3834" t="s">
        <v>30</v>
      </c>
      <c r="F3834" s="1">
        <v>1</v>
      </c>
      <c r="G3834" s="1" t="s">
        <v>31</v>
      </c>
      <c r="H3834" s="4" t="str">
        <f>HYPERLINK("https://www.ncbi.nlm.nih.gov/geo/query/acc.cgi?acc=GSM933119","GSM933119")</f>
        <v>GSM933119</v>
      </c>
      <c r="I3834" t="s">
        <v>17</v>
      </c>
      <c r="J3834" t="s">
        <v>18</v>
      </c>
      <c r="K3834" t="s">
        <v>19</v>
      </c>
      <c r="L3834" t="s">
        <v>20</v>
      </c>
      <c r="M3834" t="s">
        <v>21</v>
      </c>
      <c r="N3834" t="s">
        <v>29</v>
      </c>
    </row>
    <row r="3835" spans="1:14">
      <c r="A3835" s="4" t="str">
        <f t="shared" si="361"/>
        <v>EXP00120</v>
      </c>
      <c r="B3835" s="4" t="str">
        <f t="shared" si="362"/>
        <v>25559688</v>
      </c>
      <c r="C3835" s="4" t="str">
        <f t="shared" si="363"/>
        <v>GSE38057</v>
      </c>
      <c r="D3835" s="1" t="s">
        <v>237</v>
      </c>
      <c r="E3835" t="s">
        <v>30</v>
      </c>
      <c r="F3835" s="1">
        <v>1</v>
      </c>
      <c r="G3835" s="1" t="s">
        <v>31</v>
      </c>
      <c r="H3835" s="4" t="str">
        <f>HYPERLINK("https://www.ncbi.nlm.nih.gov/geo/query/acc.cgi?acc=GSM933120","GSM933120")</f>
        <v>GSM933120</v>
      </c>
      <c r="I3835" t="s">
        <v>17</v>
      </c>
      <c r="J3835" t="s">
        <v>18</v>
      </c>
      <c r="K3835" t="s">
        <v>19</v>
      </c>
      <c r="L3835" t="s">
        <v>20</v>
      </c>
      <c r="M3835" t="s">
        <v>21</v>
      </c>
      <c r="N3835" t="s">
        <v>29</v>
      </c>
    </row>
    <row r="3836" spans="1:14">
      <c r="A3836" s="4" t="str">
        <f t="shared" si="361"/>
        <v>EXP00120</v>
      </c>
      <c r="B3836" s="4" t="str">
        <f t="shared" si="362"/>
        <v>25559688</v>
      </c>
      <c r="C3836" s="4" t="str">
        <f t="shared" si="363"/>
        <v>GSE38057</v>
      </c>
      <c r="D3836" s="1" t="s">
        <v>237</v>
      </c>
      <c r="E3836" t="s">
        <v>30</v>
      </c>
      <c r="F3836" s="1">
        <v>1</v>
      </c>
      <c r="G3836" s="1" t="s">
        <v>31</v>
      </c>
      <c r="H3836" s="4" t="str">
        <f>HYPERLINK("https://www.ncbi.nlm.nih.gov/geo/query/acc.cgi?acc=GSM933122","GSM933122")</f>
        <v>GSM933122</v>
      </c>
      <c r="I3836" t="s">
        <v>17</v>
      </c>
      <c r="J3836" t="s">
        <v>18</v>
      </c>
      <c r="K3836" t="s">
        <v>19</v>
      </c>
      <c r="L3836" t="s">
        <v>20</v>
      </c>
      <c r="M3836" t="s">
        <v>21</v>
      </c>
      <c r="N3836" t="s">
        <v>29</v>
      </c>
    </row>
    <row r="3837" spans="1:14">
      <c r="A3837" s="4" t="str">
        <f t="shared" si="361"/>
        <v>EXP00120</v>
      </c>
      <c r="B3837" s="4" t="str">
        <f t="shared" si="362"/>
        <v>25559688</v>
      </c>
      <c r="C3837" s="4" t="str">
        <f t="shared" si="363"/>
        <v>GSE38057</v>
      </c>
      <c r="D3837" s="1" t="s">
        <v>237</v>
      </c>
      <c r="E3837" t="s">
        <v>30</v>
      </c>
      <c r="F3837" s="1">
        <v>1</v>
      </c>
      <c r="G3837" s="1" t="s">
        <v>31</v>
      </c>
      <c r="H3837" s="4" t="str">
        <f>HYPERLINK("https://www.ncbi.nlm.nih.gov/geo/query/acc.cgi?acc=GSM933125","GSM933125")</f>
        <v>GSM933125</v>
      </c>
      <c r="I3837" t="s">
        <v>17</v>
      </c>
      <c r="J3837" t="s">
        <v>18</v>
      </c>
      <c r="K3837" t="s">
        <v>19</v>
      </c>
      <c r="L3837" t="s">
        <v>20</v>
      </c>
      <c r="M3837" t="s">
        <v>21</v>
      </c>
      <c r="N3837" t="s">
        <v>29</v>
      </c>
    </row>
    <row r="3838" spans="1:14">
      <c r="A3838" s="4" t="str">
        <f t="shared" si="361"/>
        <v>EXP00120</v>
      </c>
      <c r="B3838" s="4" t="str">
        <f t="shared" si="362"/>
        <v>25559688</v>
      </c>
      <c r="C3838" s="4" t="str">
        <f t="shared" si="363"/>
        <v>GSE38057</v>
      </c>
      <c r="D3838" s="1" t="s">
        <v>237</v>
      </c>
      <c r="E3838" t="s">
        <v>30</v>
      </c>
      <c r="F3838" s="1">
        <v>1</v>
      </c>
      <c r="G3838" s="1" t="s">
        <v>31</v>
      </c>
      <c r="H3838" s="4" t="str">
        <f>HYPERLINK("https://www.ncbi.nlm.nih.gov/geo/query/acc.cgi?acc=GSM933126","GSM933126")</f>
        <v>GSM933126</v>
      </c>
      <c r="I3838" t="s">
        <v>17</v>
      </c>
      <c r="J3838" t="s">
        <v>18</v>
      </c>
      <c r="K3838" t="s">
        <v>19</v>
      </c>
      <c r="L3838" t="s">
        <v>20</v>
      </c>
      <c r="M3838" t="s">
        <v>21</v>
      </c>
      <c r="N3838" t="s">
        <v>29</v>
      </c>
    </row>
    <row r="3839" spans="1:14">
      <c r="A3839" s="4" t="str">
        <f t="shared" si="361"/>
        <v>EXP00120</v>
      </c>
      <c r="B3839" s="4" t="str">
        <f t="shared" si="362"/>
        <v>25559688</v>
      </c>
      <c r="C3839" s="4" t="str">
        <f t="shared" si="363"/>
        <v>GSE38057</v>
      </c>
      <c r="D3839" s="1" t="s">
        <v>237</v>
      </c>
      <c r="E3839" t="s">
        <v>30</v>
      </c>
      <c r="F3839" s="1">
        <v>1</v>
      </c>
      <c r="G3839" s="1" t="s">
        <v>31</v>
      </c>
      <c r="H3839" s="4" t="str">
        <f>HYPERLINK("https://www.ncbi.nlm.nih.gov/geo/query/acc.cgi?acc=GSM933127","GSM933127")</f>
        <v>GSM933127</v>
      </c>
      <c r="I3839" t="s">
        <v>17</v>
      </c>
      <c r="J3839" t="s">
        <v>18</v>
      </c>
      <c r="K3839" t="s">
        <v>19</v>
      </c>
      <c r="L3839" t="s">
        <v>20</v>
      </c>
      <c r="M3839" t="s">
        <v>21</v>
      </c>
      <c r="N3839" t="s">
        <v>29</v>
      </c>
    </row>
    <row r="3840" spans="1:14">
      <c r="A3840" s="4" t="str">
        <f t="shared" si="361"/>
        <v>EXP00120</v>
      </c>
      <c r="B3840" s="4" t="str">
        <f t="shared" si="362"/>
        <v>25559688</v>
      </c>
      <c r="C3840" s="4" t="str">
        <f t="shared" si="363"/>
        <v>GSE38057</v>
      </c>
      <c r="D3840" s="1" t="s">
        <v>237</v>
      </c>
      <c r="E3840" t="s">
        <v>30</v>
      </c>
      <c r="F3840" s="1">
        <v>1</v>
      </c>
      <c r="G3840" s="1" t="s">
        <v>31</v>
      </c>
      <c r="H3840" s="4" t="str">
        <f>HYPERLINK("https://www.ncbi.nlm.nih.gov/geo/query/acc.cgi?acc=GSM933129","GSM933129")</f>
        <v>GSM933129</v>
      </c>
      <c r="I3840" t="s">
        <v>17</v>
      </c>
      <c r="J3840" t="s">
        <v>18</v>
      </c>
      <c r="K3840" t="s">
        <v>19</v>
      </c>
      <c r="L3840" t="s">
        <v>20</v>
      </c>
      <c r="M3840" t="s">
        <v>21</v>
      </c>
      <c r="N3840" t="s">
        <v>29</v>
      </c>
    </row>
    <row r="3841" spans="1:14">
      <c r="A3841" s="4" t="str">
        <f t="shared" si="361"/>
        <v>EXP00120</v>
      </c>
      <c r="B3841" s="4" t="str">
        <f t="shared" si="362"/>
        <v>25559688</v>
      </c>
      <c r="C3841" s="4" t="str">
        <f t="shared" si="363"/>
        <v>GSE38057</v>
      </c>
      <c r="D3841" s="1" t="s">
        <v>237</v>
      </c>
      <c r="E3841" t="s">
        <v>30</v>
      </c>
      <c r="F3841" s="1">
        <v>1</v>
      </c>
      <c r="G3841" s="1" t="s">
        <v>31</v>
      </c>
      <c r="H3841" s="4" t="str">
        <f>HYPERLINK("https://www.ncbi.nlm.nih.gov/geo/query/acc.cgi?acc=GSM933134","GSM933134")</f>
        <v>GSM933134</v>
      </c>
      <c r="I3841" t="s">
        <v>17</v>
      </c>
      <c r="J3841" t="s">
        <v>18</v>
      </c>
      <c r="K3841" t="s">
        <v>19</v>
      </c>
      <c r="L3841" t="s">
        <v>20</v>
      </c>
      <c r="M3841" t="s">
        <v>21</v>
      </c>
      <c r="N3841" t="s">
        <v>29</v>
      </c>
    </row>
    <row r="3842" spans="1:14">
      <c r="A3842" s="4" t="str">
        <f t="shared" si="361"/>
        <v>EXP00120</v>
      </c>
      <c r="B3842" s="4" t="str">
        <f t="shared" si="362"/>
        <v>25559688</v>
      </c>
      <c r="C3842" s="4" t="str">
        <f t="shared" si="363"/>
        <v>GSE38057</v>
      </c>
      <c r="D3842" s="1" t="s">
        <v>237</v>
      </c>
      <c r="E3842" t="s">
        <v>30</v>
      </c>
      <c r="F3842" s="1">
        <v>1</v>
      </c>
      <c r="G3842" s="1" t="s">
        <v>31</v>
      </c>
      <c r="H3842" s="4" t="str">
        <f>HYPERLINK("https://www.ncbi.nlm.nih.gov/geo/query/acc.cgi?acc=GSM933135","GSM933135")</f>
        <v>GSM933135</v>
      </c>
      <c r="I3842" t="s">
        <v>17</v>
      </c>
      <c r="J3842" t="s">
        <v>18</v>
      </c>
      <c r="K3842" t="s">
        <v>19</v>
      </c>
      <c r="L3842" t="s">
        <v>20</v>
      </c>
      <c r="M3842" t="s">
        <v>21</v>
      </c>
      <c r="N3842" t="s">
        <v>29</v>
      </c>
    </row>
    <row r="3843" spans="1:14">
      <c r="A3843" s="4" t="str">
        <f t="shared" si="361"/>
        <v>EXP00120</v>
      </c>
      <c r="B3843" s="4" t="str">
        <f t="shared" si="362"/>
        <v>25559688</v>
      </c>
      <c r="C3843" s="4" t="str">
        <f t="shared" si="363"/>
        <v>GSE38057</v>
      </c>
      <c r="D3843" s="1" t="s">
        <v>237</v>
      </c>
      <c r="E3843" t="s">
        <v>30</v>
      </c>
      <c r="F3843" s="1">
        <v>1</v>
      </c>
      <c r="G3843" s="1" t="s">
        <v>31</v>
      </c>
      <c r="H3843" s="4" t="str">
        <f>HYPERLINK("https://www.ncbi.nlm.nih.gov/geo/query/acc.cgi?acc=GSM933137","GSM933137")</f>
        <v>GSM933137</v>
      </c>
      <c r="I3843" t="s">
        <v>17</v>
      </c>
      <c r="J3843" t="s">
        <v>18</v>
      </c>
      <c r="K3843" t="s">
        <v>19</v>
      </c>
      <c r="L3843" t="s">
        <v>20</v>
      </c>
      <c r="M3843" t="s">
        <v>21</v>
      </c>
      <c r="N3843" t="s">
        <v>29</v>
      </c>
    </row>
    <row r="3844" spans="1:14">
      <c r="A3844" s="4" t="str">
        <f t="shared" si="361"/>
        <v>EXP00120</v>
      </c>
      <c r="B3844" s="4" t="str">
        <f t="shared" si="362"/>
        <v>25559688</v>
      </c>
      <c r="C3844" s="4" t="str">
        <f t="shared" si="363"/>
        <v>GSE38057</v>
      </c>
      <c r="D3844" s="1" t="s">
        <v>237</v>
      </c>
      <c r="E3844" t="s">
        <v>30</v>
      </c>
      <c r="F3844" s="1">
        <v>1</v>
      </c>
      <c r="G3844" s="1" t="s">
        <v>31</v>
      </c>
      <c r="H3844" s="4" t="str">
        <f>HYPERLINK("https://www.ncbi.nlm.nih.gov/geo/query/acc.cgi?acc=GSM933138","GSM933138")</f>
        <v>GSM933138</v>
      </c>
      <c r="I3844" t="s">
        <v>17</v>
      </c>
      <c r="J3844" t="s">
        <v>18</v>
      </c>
      <c r="K3844" t="s">
        <v>19</v>
      </c>
      <c r="L3844" t="s">
        <v>20</v>
      </c>
      <c r="M3844" t="s">
        <v>21</v>
      </c>
      <c r="N3844" t="s">
        <v>29</v>
      </c>
    </row>
    <row r="3845" spans="1:14">
      <c r="A3845" s="4" t="str">
        <f t="shared" si="361"/>
        <v>EXP00120</v>
      </c>
      <c r="B3845" s="4" t="str">
        <f t="shared" si="362"/>
        <v>25559688</v>
      </c>
      <c r="C3845" s="4" t="str">
        <f t="shared" si="363"/>
        <v>GSE38057</v>
      </c>
      <c r="D3845" s="1" t="s">
        <v>237</v>
      </c>
      <c r="E3845" t="s">
        <v>30</v>
      </c>
      <c r="F3845" s="1">
        <v>1</v>
      </c>
      <c r="G3845" s="1" t="s">
        <v>31</v>
      </c>
      <c r="H3845" s="4" t="str">
        <f>HYPERLINK("https://www.ncbi.nlm.nih.gov/geo/query/acc.cgi?acc=GSM933141","GSM933141")</f>
        <v>GSM933141</v>
      </c>
      <c r="I3845" t="s">
        <v>17</v>
      </c>
      <c r="J3845" t="s">
        <v>18</v>
      </c>
      <c r="K3845" t="s">
        <v>19</v>
      </c>
      <c r="L3845" t="s">
        <v>20</v>
      </c>
      <c r="M3845" t="s">
        <v>21</v>
      </c>
      <c r="N3845" t="s">
        <v>29</v>
      </c>
    </row>
    <row r="3846" spans="1:14">
      <c r="A3846" s="4" t="str">
        <f t="shared" si="361"/>
        <v>EXP00120</v>
      </c>
      <c r="B3846" s="4" t="str">
        <f t="shared" si="362"/>
        <v>25559688</v>
      </c>
      <c r="C3846" s="4" t="str">
        <f t="shared" si="363"/>
        <v>GSE38057</v>
      </c>
      <c r="D3846" s="1" t="s">
        <v>237</v>
      </c>
      <c r="E3846" t="s">
        <v>30</v>
      </c>
      <c r="F3846" s="1">
        <v>1</v>
      </c>
      <c r="G3846" s="1" t="s">
        <v>31</v>
      </c>
      <c r="H3846" s="4" t="str">
        <f>HYPERLINK("https://www.ncbi.nlm.nih.gov/geo/query/acc.cgi?acc=GSM933144","GSM933144")</f>
        <v>GSM933144</v>
      </c>
      <c r="I3846" t="s">
        <v>17</v>
      </c>
      <c r="J3846" t="s">
        <v>18</v>
      </c>
      <c r="K3846" t="s">
        <v>19</v>
      </c>
      <c r="L3846" t="s">
        <v>20</v>
      </c>
      <c r="M3846" t="s">
        <v>21</v>
      </c>
      <c r="N3846" t="s">
        <v>29</v>
      </c>
    </row>
    <row r="3847" spans="1:14">
      <c r="A3847" s="4" t="str">
        <f t="shared" si="361"/>
        <v>EXP00120</v>
      </c>
      <c r="B3847" s="4" t="str">
        <f t="shared" si="362"/>
        <v>25559688</v>
      </c>
      <c r="C3847" s="4" t="str">
        <f t="shared" si="363"/>
        <v>GSE38057</v>
      </c>
      <c r="D3847" s="1" t="s">
        <v>237</v>
      </c>
      <c r="E3847" t="s">
        <v>30</v>
      </c>
      <c r="F3847" s="1">
        <v>1</v>
      </c>
      <c r="G3847" s="1" t="s">
        <v>31</v>
      </c>
      <c r="H3847" s="4" t="str">
        <f>HYPERLINK("https://www.ncbi.nlm.nih.gov/geo/query/acc.cgi?acc=GSM933145","GSM933145")</f>
        <v>GSM933145</v>
      </c>
      <c r="I3847" t="s">
        <v>17</v>
      </c>
      <c r="J3847" t="s">
        <v>18</v>
      </c>
      <c r="K3847" t="s">
        <v>19</v>
      </c>
      <c r="L3847" t="s">
        <v>20</v>
      </c>
      <c r="M3847" t="s">
        <v>21</v>
      </c>
      <c r="N3847" t="s">
        <v>29</v>
      </c>
    </row>
    <row r="3848" spans="1:14">
      <c r="A3848" s="4" t="str">
        <f t="shared" si="361"/>
        <v>EXP00120</v>
      </c>
      <c r="B3848" s="4" t="str">
        <f t="shared" si="362"/>
        <v>25559688</v>
      </c>
      <c r="C3848" s="4" t="str">
        <f t="shared" si="363"/>
        <v>GSE38057</v>
      </c>
      <c r="D3848" s="1" t="s">
        <v>237</v>
      </c>
      <c r="E3848" t="s">
        <v>30</v>
      </c>
      <c r="F3848" s="1">
        <v>1</v>
      </c>
      <c r="G3848" s="1" t="s">
        <v>31</v>
      </c>
      <c r="H3848" s="4" t="str">
        <f>HYPERLINK("https://www.ncbi.nlm.nih.gov/geo/query/acc.cgi?acc=GSM933147","GSM933147")</f>
        <v>GSM933147</v>
      </c>
      <c r="I3848" t="s">
        <v>17</v>
      </c>
      <c r="J3848" t="s">
        <v>18</v>
      </c>
      <c r="K3848" t="s">
        <v>19</v>
      </c>
      <c r="L3848" t="s">
        <v>20</v>
      </c>
      <c r="M3848" t="s">
        <v>21</v>
      </c>
      <c r="N3848" t="s">
        <v>29</v>
      </c>
    </row>
    <row r="3849" spans="1:14">
      <c r="A3849" s="4" t="str">
        <f t="shared" si="361"/>
        <v>EXP00120</v>
      </c>
      <c r="B3849" s="4" t="str">
        <f t="shared" si="362"/>
        <v>25559688</v>
      </c>
      <c r="C3849" s="4" t="str">
        <f t="shared" si="363"/>
        <v>GSE38057</v>
      </c>
      <c r="D3849" s="1" t="s">
        <v>237</v>
      </c>
      <c r="E3849" t="s">
        <v>30</v>
      </c>
      <c r="F3849" s="1">
        <v>1</v>
      </c>
      <c r="G3849" s="1" t="s">
        <v>31</v>
      </c>
      <c r="H3849" s="4" t="str">
        <f>HYPERLINK("https://www.ncbi.nlm.nih.gov/geo/query/acc.cgi?acc=GSM933148","GSM933148")</f>
        <v>GSM933148</v>
      </c>
      <c r="I3849" t="s">
        <v>17</v>
      </c>
      <c r="J3849" t="s">
        <v>18</v>
      </c>
      <c r="K3849" t="s">
        <v>19</v>
      </c>
      <c r="L3849" t="s">
        <v>20</v>
      </c>
      <c r="M3849" t="s">
        <v>21</v>
      </c>
      <c r="N3849" t="s">
        <v>29</v>
      </c>
    </row>
    <row r="3850" spans="1:14">
      <c r="A3850" s="4" t="str">
        <f t="shared" si="361"/>
        <v>EXP00120</v>
      </c>
      <c r="B3850" s="4" t="str">
        <f t="shared" si="362"/>
        <v>25559688</v>
      </c>
      <c r="C3850" s="4" t="str">
        <f t="shared" si="363"/>
        <v>GSE38057</v>
      </c>
      <c r="D3850" s="1" t="s">
        <v>237</v>
      </c>
      <c r="E3850" t="s">
        <v>30</v>
      </c>
      <c r="F3850" s="1">
        <v>1</v>
      </c>
      <c r="G3850" s="1" t="s">
        <v>31</v>
      </c>
      <c r="H3850" s="4" t="str">
        <f>HYPERLINK("https://www.ncbi.nlm.nih.gov/geo/query/acc.cgi?acc=GSM933149","GSM933149")</f>
        <v>GSM933149</v>
      </c>
      <c r="I3850" t="s">
        <v>17</v>
      </c>
      <c r="J3850" t="s">
        <v>18</v>
      </c>
      <c r="K3850" t="s">
        <v>19</v>
      </c>
      <c r="L3850" t="s">
        <v>20</v>
      </c>
      <c r="M3850" t="s">
        <v>21</v>
      </c>
      <c r="N3850" t="s">
        <v>29</v>
      </c>
    </row>
    <row r="3851" spans="1:14">
      <c r="A3851" s="4" t="str">
        <f t="shared" si="361"/>
        <v>EXP00120</v>
      </c>
      <c r="B3851" s="4" t="str">
        <f t="shared" si="362"/>
        <v>25559688</v>
      </c>
      <c r="C3851" s="4" t="str">
        <f t="shared" si="363"/>
        <v>GSE38057</v>
      </c>
      <c r="D3851" s="1" t="s">
        <v>237</v>
      </c>
      <c r="E3851" t="s">
        <v>30</v>
      </c>
      <c r="F3851" s="1">
        <v>1</v>
      </c>
      <c r="G3851" s="1" t="s">
        <v>31</v>
      </c>
      <c r="H3851" s="4" t="str">
        <f>HYPERLINK("https://www.ncbi.nlm.nih.gov/geo/query/acc.cgi?acc=GSM933151","GSM933151")</f>
        <v>GSM933151</v>
      </c>
      <c r="I3851" t="s">
        <v>17</v>
      </c>
      <c r="J3851" t="s">
        <v>18</v>
      </c>
      <c r="K3851" t="s">
        <v>19</v>
      </c>
      <c r="L3851" t="s">
        <v>20</v>
      </c>
      <c r="M3851" t="s">
        <v>21</v>
      </c>
      <c r="N3851" t="s">
        <v>29</v>
      </c>
    </row>
    <row r="3852" spans="1:14">
      <c r="A3852" s="4" t="str">
        <f t="shared" si="361"/>
        <v>EXP00120</v>
      </c>
      <c r="B3852" s="4" t="str">
        <f t="shared" si="362"/>
        <v>25559688</v>
      </c>
      <c r="C3852" s="4" t="str">
        <f t="shared" si="363"/>
        <v>GSE38057</v>
      </c>
      <c r="D3852" s="1" t="s">
        <v>237</v>
      </c>
      <c r="E3852" t="s">
        <v>30</v>
      </c>
      <c r="F3852" s="1">
        <v>1</v>
      </c>
      <c r="G3852" s="1" t="s">
        <v>31</v>
      </c>
      <c r="H3852" s="4" t="str">
        <f>HYPERLINK("https://www.ncbi.nlm.nih.gov/geo/query/acc.cgi?acc=GSM933152","GSM933152")</f>
        <v>GSM933152</v>
      </c>
      <c r="I3852" t="s">
        <v>17</v>
      </c>
      <c r="J3852" t="s">
        <v>18</v>
      </c>
      <c r="K3852" t="s">
        <v>19</v>
      </c>
      <c r="L3852" t="s">
        <v>20</v>
      </c>
      <c r="M3852" t="s">
        <v>21</v>
      </c>
      <c r="N3852" t="s">
        <v>29</v>
      </c>
    </row>
    <row r="3853" spans="1:14">
      <c r="A3853" s="4" t="str">
        <f t="shared" si="361"/>
        <v>EXP00120</v>
      </c>
      <c r="B3853" s="4" t="str">
        <f t="shared" si="362"/>
        <v>25559688</v>
      </c>
      <c r="C3853" s="4" t="str">
        <f t="shared" si="363"/>
        <v>GSE38057</v>
      </c>
      <c r="D3853" s="1" t="s">
        <v>237</v>
      </c>
      <c r="E3853" t="s">
        <v>30</v>
      </c>
      <c r="F3853" s="1">
        <v>1</v>
      </c>
      <c r="G3853" s="1" t="s">
        <v>31</v>
      </c>
      <c r="H3853" s="4" t="str">
        <f>HYPERLINK("https://www.ncbi.nlm.nih.gov/geo/query/acc.cgi?acc=GSM933156","GSM933156")</f>
        <v>GSM933156</v>
      </c>
      <c r="I3853" t="s">
        <v>17</v>
      </c>
      <c r="J3853" t="s">
        <v>18</v>
      </c>
      <c r="K3853" t="s">
        <v>19</v>
      </c>
      <c r="L3853" t="s">
        <v>20</v>
      </c>
      <c r="M3853" t="s">
        <v>21</v>
      </c>
      <c r="N3853" t="s">
        <v>29</v>
      </c>
    </row>
    <row r="3854" spans="1:14">
      <c r="A3854" s="4" t="str">
        <f t="shared" si="361"/>
        <v>EXP00120</v>
      </c>
      <c r="B3854" s="4" t="str">
        <f t="shared" si="362"/>
        <v>25559688</v>
      </c>
      <c r="C3854" s="4" t="str">
        <f t="shared" si="363"/>
        <v>GSE38057</v>
      </c>
      <c r="D3854" s="1" t="s">
        <v>237</v>
      </c>
      <c r="E3854" t="s">
        <v>30</v>
      </c>
      <c r="F3854" s="1">
        <v>1</v>
      </c>
      <c r="G3854" s="1" t="s">
        <v>31</v>
      </c>
      <c r="H3854" s="4" t="str">
        <f>HYPERLINK("https://www.ncbi.nlm.nih.gov/geo/query/acc.cgi?acc=GSM933160","GSM933160")</f>
        <v>GSM933160</v>
      </c>
      <c r="I3854" t="s">
        <v>17</v>
      </c>
      <c r="J3854" t="s">
        <v>18</v>
      </c>
      <c r="K3854" t="s">
        <v>19</v>
      </c>
      <c r="L3854" t="s">
        <v>20</v>
      </c>
      <c r="M3854" t="s">
        <v>21</v>
      </c>
      <c r="N3854" t="s">
        <v>29</v>
      </c>
    </row>
    <row r="3855" spans="1:14">
      <c r="A3855" s="4" t="str">
        <f t="shared" si="361"/>
        <v>EXP00120</v>
      </c>
      <c r="B3855" s="4" t="str">
        <f t="shared" si="362"/>
        <v>25559688</v>
      </c>
      <c r="C3855" s="4" t="str">
        <f t="shared" si="363"/>
        <v>GSE38057</v>
      </c>
      <c r="D3855" s="1" t="s">
        <v>237</v>
      </c>
      <c r="E3855" t="s">
        <v>30</v>
      </c>
      <c r="F3855" s="1">
        <v>1</v>
      </c>
      <c r="G3855" s="1" t="s">
        <v>31</v>
      </c>
      <c r="H3855" s="4" t="str">
        <f>HYPERLINK("https://www.ncbi.nlm.nih.gov/geo/query/acc.cgi?acc=GSM933161","GSM933161")</f>
        <v>GSM933161</v>
      </c>
      <c r="I3855" t="s">
        <v>17</v>
      </c>
      <c r="J3855" t="s">
        <v>18</v>
      </c>
      <c r="K3855" t="s">
        <v>19</v>
      </c>
      <c r="L3855" t="s">
        <v>20</v>
      </c>
      <c r="M3855" t="s">
        <v>21</v>
      </c>
      <c r="N3855" t="s">
        <v>29</v>
      </c>
    </row>
    <row r="3856" spans="1:14">
      <c r="A3856" s="4" t="str">
        <f t="shared" si="361"/>
        <v>EXP00120</v>
      </c>
      <c r="B3856" s="4" t="str">
        <f t="shared" si="362"/>
        <v>25559688</v>
      </c>
      <c r="C3856" s="4" t="str">
        <f t="shared" si="363"/>
        <v>GSE38057</v>
      </c>
      <c r="D3856" s="1" t="s">
        <v>237</v>
      </c>
      <c r="E3856" t="s">
        <v>30</v>
      </c>
      <c r="F3856" s="1">
        <v>1</v>
      </c>
      <c r="G3856" s="1" t="s">
        <v>31</v>
      </c>
      <c r="H3856" s="4" t="str">
        <f>HYPERLINK("https://www.ncbi.nlm.nih.gov/geo/query/acc.cgi?acc=GSM933163","GSM933163")</f>
        <v>GSM933163</v>
      </c>
      <c r="I3856" t="s">
        <v>17</v>
      </c>
      <c r="J3856" t="s">
        <v>18</v>
      </c>
      <c r="K3856" t="s">
        <v>19</v>
      </c>
      <c r="L3856" t="s">
        <v>20</v>
      </c>
      <c r="M3856" t="s">
        <v>21</v>
      </c>
      <c r="N3856" t="s">
        <v>29</v>
      </c>
    </row>
    <row r="3857" spans="1:14">
      <c r="A3857" s="4" t="str">
        <f t="shared" ref="A3857:A3888" si="364">HYPERLINK("http://hcmdb.i-sanger.com/experiment/details/experiment_id/EXP00120","EXP00120")</f>
        <v>EXP00120</v>
      </c>
      <c r="B3857" s="4" t="str">
        <f t="shared" ref="B3857:B3888" si="365">HYPERLINK("https://www.ncbi.nlm.nih.gov/pubmed/25559688","25559688")</f>
        <v>25559688</v>
      </c>
      <c r="C3857" s="4" t="str">
        <f t="shared" ref="C3857:C3888" si="366">HYPERLINK("https://www.ncbi.nlm.nih.gov/geo/query/acc.cgi?acc=GSE38057","GSE38057")</f>
        <v>GSE38057</v>
      </c>
      <c r="D3857" s="1" t="s">
        <v>237</v>
      </c>
      <c r="E3857" t="s">
        <v>30</v>
      </c>
      <c r="F3857" s="1">
        <v>1</v>
      </c>
      <c r="G3857" s="1" t="s">
        <v>31</v>
      </c>
      <c r="H3857" s="4" t="str">
        <f>HYPERLINK("https://www.ncbi.nlm.nih.gov/geo/query/acc.cgi?acc=GSM933164","GSM933164")</f>
        <v>GSM933164</v>
      </c>
      <c r="I3857" t="s">
        <v>17</v>
      </c>
      <c r="J3857" t="s">
        <v>18</v>
      </c>
      <c r="K3857" t="s">
        <v>19</v>
      </c>
      <c r="L3857" t="s">
        <v>20</v>
      </c>
      <c r="M3857" t="s">
        <v>21</v>
      </c>
      <c r="N3857" t="s">
        <v>29</v>
      </c>
    </row>
    <row r="3858" spans="1:14">
      <c r="A3858" s="4" t="str">
        <f t="shared" si="364"/>
        <v>EXP00120</v>
      </c>
      <c r="B3858" s="4" t="str">
        <f t="shared" si="365"/>
        <v>25559688</v>
      </c>
      <c r="C3858" s="4" t="str">
        <f t="shared" si="366"/>
        <v>GSE38057</v>
      </c>
      <c r="D3858" s="1" t="s">
        <v>237</v>
      </c>
      <c r="E3858" t="s">
        <v>30</v>
      </c>
      <c r="F3858" s="1">
        <v>1</v>
      </c>
      <c r="G3858" s="1" t="s">
        <v>31</v>
      </c>
      <c r="H3858" s="4" t="str">
        <f>HYPERLINK("https://www.ncbi.nlm.nih.gov/geo/query/acc.cgi?acc=GSM933165","GSM933165")</f>
        <v>GSM933165</v>
      </c>
      <c r="I3858" t="s">
        <v>17</v>
      </c>
      <c r="J3858" t="s">
        <v>18</v>
      </c>
      <c r="K3858" t="s">
        <v>19</v>
      </c>
      <c r="L3858" t="s">
        <v>20</v>
      </c>
      <c r="M3858" t="s">
        <v>21</v>
      </c>
      <c r="N3858" t="s">
        <v>29</v>
      </c>
    </row>
    <row r="3859" spans="1:14">
      <c r="A3859" s="4" t="str">
        <f t="shared" si="364"/>
        <v>EXP00120</v>
      </c>
      <c r="B3859" s="4" t="str">
        <f t="shared" si="365"/>
        <v>25559688</v>
      </c>
      <c r="C3859" s="4" t="str">
        <f t="shared" si="366"/>
        <v>GSE38057</v>
      </c>
      <c r="D3859" s="1" t="s">
        <v>237</v>
      </c>
      <c r="E3859" t="s">
        <v>30</v>
      </c>
      <c r="F3859" s="1">
        <v>1</v>
      </c>
      <c r="G3859" s="1" t="s">
        <v>31</v>
      </c>
      <c r="H3859" s="4" t="str">
        <f>HYPERLINK("https://www.ncbi.nlm.nih.gov/geo/query/acc.cgi?acc=GSM933166","GSM933166")</f>
        <v>GSM933166</v>
      </c>
      <c r="I3859" t="s">
        <v>17</v>
      </c>
      <c r="J3859" t="s">
        <v>18</v>
      </c>
      <c r="K3859" t="s">
        <v>19</v>
      </c>
      <c r="L3859" t="s">
        <v>20</v>
      </c>
      <c r="M3859" t="s">
        <v>21</v>
      </c>
      <c r="N3859" t="s">
        <v>29</v>
      </c>
    </row>
    <row r="3860" spans="1:14">
      <c r="A3860" s="4" t="str">
        <f t="shared" si="364"/>
        <v>EXP00120</v>
      </c>
      <c r="B3860" s="4" t="str">
        <f t="shared" si="365"/>
        <v>25559688</v>
      </c>
      <c r="C3860" s="4" t="str">
        <f t="shared" si="366"/>
        <v>GSE38057</v>
      </c>
      <c r="D3860" s="1" t="s">
        <v>237</v>
      </c>
      <c r="E3860" t="s">
        <v>30</v>
      </c>
      <c r="F3860" s="1">
        <v>1</v>
      </c>
      <c r="G3860" s="1" t="s">
        <v>31</v>
      </c>
      <c r="H3860" s="4" t="str">
        <f>HYPERLINK("https://www.ncbi.nlm.nih.gov/geo/query/acc.cgi?acc=GSM933170","GSM933170")</f>
        <v>GSM933170</v>
      </c>
      <c r="I3860" t="s">
        <v>17</v>
      </c>
      <c r="J3860" t="s">
        <v>18</v>
      </c>
      <c r="K3860" t="s">
        <v>19</v>
      </c>
      <c r="L3860" t="s">
        <v>20</v>
      </c>
      <c r="M3860" t="s">
        <v>21</v>
      </c>
      <c r="N3860" t="s">
        <v>29</v>
      </c>
    </row>
    <row r="3861" spans="1:14">
      <c r="A3861" s="4" t="str">
        <f t="shared" si="364"/>
        <v>EXP00120</v>
      </c>
      <c r="B3861" s="4" t="str">
        <f t="shared" si="365"/>
        <v>25559688</v>
      </c>
      <c r="C3861" s="4" t="str">
        <f t="shared" si="366"/>
        <v>GSE38057</v>
      </c>
      <c r="D3861" s="1" t="s">
        <v>237</v>
      </c>
      <c r="E3861" t="s">
        <v>30</v>
      </c>
      <c r="F3861" s="1">
        <v>1</v>
      </c>
      <c r="G3861" s="1" t="s">
        <v>31</v>
      </c>
      <c r="H3861" s="4" t="str">
        <f>HYPERLINK("https://www.ncbi.nlm.nih.gov/geo/query/acc.cgi?acc=GSM933178","GSM933178")</f>
        <v>GSM933178</v>
      </c>
      <c r="I3861" t="s">
        <v>17</v>
      </c>
      <c r="J3861" t="s">
        <v>18</v>
      </c>
      <c r="K3861" t="s">
        <v>19</v>
      </c>
      <c r="L3861" t="s">
        <v>20</v>
      </c>
      <c r="M3861" t="s">
        <v>21</v>
      </c>
      <c r="N3861" t="s">
        <v>29</v>
      </c>
    </row>
    <row r="3862" spans="1:14">
      <c r="A3862" s="4" t="str">
        <f t="shared" si="364"/>
        <v>EXP00120</v>
      </c>
      <c r="B3862" s="4" t="str">
        <f t="shared" si="365"/>
        <v>25559688</v>
      </c>
      <c r="C3862" s="4" t="str">
        <f t="shared" si="366"/>
        <v>GSE38057</v>
      </c>
      <c r="D3862" s="1" t="s">
        <v>237</v>
      </c>
      <c r="E3862" t="s">
        <v>30</v>
      </c>
      <c r="F3862" s="1">
        <v>1</v>
      </c>
      <c r="G3862" s="1" t="s">
        <v>31</v>
      </c>
      <c r="H3862" s="4" t="str">
        <f>HYPERLINK("https://www.ncbi.nlm.nih.gov/geo/query/acc.cgi?acc=GSM933179","GSM933179")</f>
        <v>GSM933179</v>
      </c>
      <c r="I3862" t="s">
        <v>17</v>
      </c>
      <c r="J3862" t="s">
        <v>18</v>
      </c>
      <c r="K3862" t="s">
        <v>19</v>
      </c>
      <c r="L3862" t="s">
        <v>20</v>
      </c>
      <c r="M3862" t="s">
        <v>21</v>
      </c>
      <c r="N3862" t="s">
        <v>29</v>
      </c>
    </row>
    <row r="3863" spans="1:14">
      <c r="A3863" s="4" t="str">
        <f t="shared" si="364"/>
        <v>EXP00120</v>
      </c>
      <c r="B3863" s="4" t="str">
        <f t="shared" si="365"/>
        <v>25559688</v>
      </c>
      <c r="C3863" s="4" t="str">
        <f t="shared" si="366"/>
        <v>GSE38057</v>
      </c>
      <c r="D3863" s="1" t="s">
        <v>237</v>
      </c>
      <c r="E3863" t="s">
        <v>30</v>
      </c>
      <c r="F3863" s="1">
        <v>1</v>
      </c>
      <c r="G3863" s="1" t="s">
        <v>31</v>
      </c>
      <c r="H3863" s="4" t="str">
        <f>HYPERLINK("https://www.ncbi.nlm.nih.gov/geo/query/acc.cgi?acc=GSM933180","GSM933180")</f>
        <v>GSM933180</v>
      </c>
      <c r="I3863" t="s">
        <v>17</v>
      </c>
      <c r="J3863" t="s">
        <v>18</v>
      </c>
      <c r="K3863" t="s">
        <v>19</v>
      </c>
      <c r="L3863" t="s">
        <v>20</v>
      </c>
      <c r="M3863" t="s">
        <v>21</v>
      </c>
      <c r="N3863" t="s">
        <v>29</v>
      </c>
    </row>
    <row r="3864" spans="1:14">
      <c r="A3864" s="4" t="str">
        <f t="shared" si="364"/>
        <v>EXP00120</v>
      </c>
      <c r="B3864" s="4" t="str">
        <f t="shared" si="365"/>
        <v>25559688</v>
      </c>
      <c r="C3864" s="4" t="str">
        <f t="shared" si="366"/>
        <v>GSE38057</v>
      </c>
      <c r="D3864" s="1" t="s">
        <v>237</v>
      </c>
      <c r="E3864" t="s">
        <v>30</v>
      </c>
      <c r="F3864" s="1">
        <v>1</v>
      </c>
      <c r="G3864" s="1" t="s">
        <v>31</v>
      </c>
      <c r="H3864" s="4" t="str">
        <f>HYPERLINK("https://www.ncbi.nlm.nih.gov/geo/query/acc.cgi?acc=GSM933181","GSM933181")</f>
        <v>GSM933181</v>
      </c>
      <c r="I3864" t="s">
        <v>17</v>
      </c>
      <c r="J3864" t="s">
        <v>18</v>
      </c>
      <c r="K3864" t="s">
        <v>19</v>
      </c>
      <c r="L3864" t="s">
        <v>20</v>
      </c>
      <c r="M3864" t="s">
        <v>21</v>
      </c>
      <c r="N3864" t="s">
        <v>29</v>
      </c>
    </row>
    <row r="3865" spans="1:14">
      <c r="A3865" s="4" t="str">
        <f t="shared" si="364"/>
        <v>EXP00120</v>
      </c>
      <c r="B3865" s="4" t="str">
        <f t="shared" si="365"/>
        <v>25559688</v>
      </c>
      <c r="C3865" s="4" t="str">
        <f t="shared" si="366"/>
        <v>GSE38057</v>
      </c>
      <c r="D3865" s="1" t="s">
        <v>237</v>
      </c>
      <c r="E3865" t="s">
        <v>30</v>
      </c>
      <c r="F3865" s="1">
        <v>1</v>
      </c>
      <c r="G3865" s="1" t="s">
        <v>31</v>
      </c>
      <c r="H3865" s="4" t="str">
        <f>HYPERLINK("https://www.ncbi.nlm.nih.gov/geo/query/acc.cgi?acc=GSM933185","GSM933185")</f>
        <v>GSM933185</v>
      </c>
      <c r="I3865" t="s">
        <v>17</v>
      </c>
      <c r="J3865" t="s">
        <v>18</v>
      </c>
      <c r="K3865" t="s">
        <v>19</v>
      </c>
      <c r="L3865" t="s">
        <v>20</v>
      </c>
      <c r="M3865" t="s">
        <v>21</v>
      </c>
      <c r="N3865" t="s">
        <v>29</v>
      </c>
    </row>
    <row r="3866" spans="1:14">
      <c r="A3866" s="4" t="str">
        <f t="shared" si="364"/>
        <v>EXP00120</v>
      </c>
      <c r="B3866" s="4" t="str">
        <f t="shared" si="365"/>
        <v>25559688</v>
      </c>
      <c r="C3866" s="4" t="str">
        <f t="shared" si="366"/>
        <v>GSE38057</v>
      </c>
      <c r="D3866" s="1" t="s">
        <v>237</v>
      </c>
      <c r="E3866" t="s">
        <v>30</v>
      </c>
      <c r="F3866" s="1">
        <v>2</v>
      </c>
      <c r="G3866" s="1" t="s">
        <v>32</v>
      </c>
      <c r="H3866" s="4" t="str">
        <f>HYPERLINK("https://www.ncbi.nlm.nih.gov/geo/query/acc.cgi?acc=GSM933102","GSM933102")</f>
        <v>GSM933102</v>
      </c>
      <c r="I3866" t="s">
        <v>17</v>
      </c>
      <c r="J3866" t="s">
        <v>18</v>
      </c>
      <c r="K3866" t="s">
        <v>33</v>
      </c>
      <c r="L3866" t="s">
        <v>20</v>
      </c>
      <c r="N3866" t="s">
        <v>29</v>
      </c>
    </row>
    <row r="3867" spans="1:14">
      <c r="A3867" s="4" t="str">
        <f t="shared" si="364"/>
        <v>EXP00120</v>
      </c>
      <c r="B3867" s="4" t="str">
        <f t="shared" si="365"/>
        <v>25559688</v>
      </c>
      <c r="C3867" s="4" t="str">
        <f t="shared" si="366"/>
        <v>GSE38057</v>
      </c>
      <c r="D3867" s="1" t="s">
        <v>237</v>
      </c>
      <c r="E3867" t="s">
        <v>30</v>
      </c>
      <c r="F3867" s="1">
        <v>2</v>
      </c>
      <c r="G3867" s="1" t="s">
        <v>32</v>
      </c>
      <c r="H3867" s="4" t="str">
        <f>HYPERLINK("https://www.ncbi.nlm.nih.gov/geo/query/acc.cgi?acc=GSM933107","GSM933107")</f>
        <v>GSM933107</v>
      </c>
      <c r="I3867" t="s">
        <v>17</v>
      </c>
      <c r="J3867" t="s">
        <v>18</v>
      </c>
      <c r="K3867" t="s">
        <v>33</v>
      </c>
      <c r="L3867" t="s">
        <v>20</v>
      </c>
      <c r="N3867" t="s">
        <v>29</v>
      </c>
    </row>
    <row r="3868" spans="1:14">
      <c r="A3868" s="4" t="str">
        <f t="shared" si="364"/>
        <v>EXP00120</v>
      </c>
      <c r="B3868" s="4" t="str">
        <f t="shared" si="365"/>
        <v>25559688</v>
      </c>
      <c r="C3868" s="4" t="str">
        <f t="shared" si="366"/>
        <v>GSE38057</v>
      </c>
      <c r="D3868" s="1" t="s">
        <v>237</v>
      </c>
      <c r="E3868" t="s">
        <v>30</v>
      </c>
      <c r="F3868" s="1">
        <v>2</v>
      </c>
      <c r="G3868" s="1" t="s">
        <v>32</v>
      </c>
      <c r="H3868" s="4" t="str">
        <f>HYPERLINK("https://www.ncbi.nlm.nih.gov/geo/query/acc.cgi?acc=GSM933109","GSM933109")</f>
        <v>GSM933109</v>
      </c>
      <c r="I3868" t="s">
        <v>17</v>
      </c>
      <c r="J3868" t="s">
        <v>18</v>
      </c>
      <c r="K3868" t="s">
        <v>33</v>
      </c>
      <c r="L3868" t="s">
        <v>20</v>
      </c>
      <c r="N3868" t="s">
        <v>29</v>
      </c>
    </row>
    <row r="3869" spans="1:14">
      <c r="A3869" s="4" t="str">
        <f t="shared" si="364"/>
        <v>EXP00120</v>
      </c>
      <c r="B3869" s="4" t="str">
        <f t="shared" si="365"/>
        <v>25559688</v>
      </c>
      <c r="C3869" s="4" t="str">
        <f t="shared" si="366"/>
        <v>GSE38057</v>
      </c>
      <c r="D3869" s="1" t="s">
        <v>237</v>
      </c>
      <c r="E3869" t="s">
        <v>30</v>
      </c>
      <c r="F3869" s="1">
        <v>2</v>
      </c>
      <c r="G3869" s="1" t="s">
        <v>32</v>
      </c>
      <c r="H3869" s="4" t="str">
        <f>HYPERLINK("https://www.ncbi.nlm.nih.gov/geo/query/acc.cgi?acc=GSM933110","GSM933110")</f>
        <v>GSM933110</v>
      </c>
      <c r="I3869" t="s">
        <v>17</v>
      </c>
      <c r="J3869" t="s">
        <v>18</v>
      </c>
      <c r="K3869" t="s">
        <v>33</v>
      </c>
      <c r="L3869" t="s">
        <v>20</v>
      </c>
      <c r="N3869" t="s">
        <v>29</v>
      </c>
    </row>
    <row r="3870" spans="1:14">
      <c r="A3870" s="4" t="str">
        <f t="shared" si="364"/>
        <v>EXP00120</v>
      </c>
      <c r="B3870" s="4" t="str">
        <f t="shared" si="365"/>
        <v>25559688</v>
      </c>
      <c r="C3870" s="4" t="str">
        <f t="shared" si="366"/>
        <v>GSE38057</v>
      </c>
      <c r="D3870" s="1" t="s">
        <v>237</v>
      </c>
      <c r="E3870" t="s">
        <v>30</v>
      </c>
      <c r="F3870" s="1">
        <v>2</v>
      </c>
      <c r="G3870" s="1" t="s">
        <v>32</v>
      </c>
      <c r="H3870" s="4" t="str">
        <f>HYPERLINK("https://www.ncbi.nlm.nih.gov/geo/query/acc.cgi?acc=GSM933111","GSM933111")</f>
        <v>GSM933111</v>
      </c>
      <c r="I3870" t="s">
        <v>17</v>
      </c>
      <c r="J3870" t="s">
        <v>18</v>
      </c>
      <c r="K3870" t="s">
        <v>33</v>
      </c>
      <c r="L3870" t="s">
        <v>20</v>
      </c>
      <c r="N3870" t="s">
        <v>29</v>
      </c>
    </row>
    <row r="3871" spans="1:14">
      <c r="A3871" s="4" t="str">
        <f t="shared" si="364"/>
        <v>EXP00120</v>
      </c>
      <c r="B3871" s="4" t="str">
        <f t="shared" si="365"/>
        <v>25559688</v>
      </c>
      <c r="C3871" s="4" t="str">
        <f t="shared" si="366"/>
        <v>GSE38057</v>
      </c>
      <c r="D3871" s="1" t="s">
        <v>237</v>
      </c>
      <c r="E3871" t="s">
        <v>30</v>
      </c>
      <c r="F3871" s="1">
        <v>2</v>
      </c>
      <c r="G3871" s="1" t="s">
        <v>32</v>
      </c>
      <c r="H3871" s="4" t="str">
        <f>HYPERLINK("https://www.ncbi.nlm.nih.gov/geo/query/acc.cgi?acc=GSM933112","GSM933112")</f>
        <v>GSM933112</v>
      </c>
      <c r="I3871" t="s">
        <v>17</v>
      </c>
      <c r="J3871" t="s">
        <v>18</v>
      </c>
      <c r="K3871" t="s">
        <v>33</v>
      </c>
      <c r="L3871" t="s">
        <v>20</v>
      </c>
      <c r="N3871" t="s">
        <v>29</v>
      </c>
    </row>
    <row r="3872" spans="1:14">
      <c r="A3872" s="4" t="str">
        <f t="shared" si="364"/>
        <v>EXP00120</v>
      </c>
      <c r="B3872" s="4" t="str">
        <f t="shared" si="365"/>
        <v>25559688</v>
      </c>
      <c r="C3872" s="4" t="str">
        <f t="shared" si="366"/>
        <v>GSE38057</v>
      </c>
      <c r="D3872" s="1" t="s">
        <v>237</v>
      </c>
      <c r="E3872" t="s">
        <v>30</v>
      </c>
      <c r="F3872" s="1">
        <v>2</v>
      </c>
      <c r="G3872" s="1" t="s">
        <v>32</v>
      </c>
      <c r="H3872" s="4" t="str">
        <f>HYPERLINK("https://www.ncbi.nlm.nih.gov/geo/query/acc.cgi?acc=GSM933114","GSM933114")</f>
        <v>GSM933114</v>
      </c>
      <c r="I3872" t="s">
        <v>17</v>
      </c>
      <c r="J3872" t="s">
        <v>18</v>
      </c>
      <c r="K3872" t="s">
        <v>33</v>
      </c>
      <c r="L3872" t="s">
        <v>20</v>
      </c>
      <c r="N3872" t="s">
        <v>29</v>
      </c>
    </row>
    <row r="3873" spans="1:14">
      <c r="A3873" s="4" t="str">
        <f t="shared" si="364"/>
        <v>EXP00120</v>
      </c>
      <c r="B3873" s="4" t="str">
        <f t="shared" si="365"/>
        <v>25559688</v>
      </c>
      <c r="C3873" s="4" t="str">
        <f t="shared" si="366"/>
        <v>GSE38057</v>
      </c>
      <c r="D3873" s="1" t="s">
        <v>237</v>
      </c>
      <c r="E3873" t="s">
        <v>30</v>
      </c>
      <c r="F3873" s="1">
        <v>2</v>
      </c>
      <c r="G3873" s="1" t="s">
        <v>32</v>
      </c>
      <c r="H3873" s="4" t="str">
        <f>HYPERLINK("https://www.ncbi.nlm.nih.gov/geo/query/acc.cgi?acc=GSM933115","GSM933115")</f>
        <v>GSM933115</v>
      </c>
      <c r="I3873" t="s">
        <v>17</v>
      </c>
      <c r="J3873" t="s">
        <v>18</v>
      </c>
      <c r="K3873" t="s">
        <v>33</v>
      </c>
      <c r="L3873" t="s">
        <v>20</v>
      </c>
      <c r="N3873" t="s">
        <v>29</v>
      </c>
    </row>
    <row r="3874" spans="1:14">
      <c r="A3874" s="4" t="str">
        <f t="shared" si="364"/>
        <v>EXP00120</v>
      </c>
      <c r="B3874" s="4" t="str">
        <f t="shared" si="365"/>
        <v>25559688</v>
      </c>
      <c r="C3874" s="4" t="str">
        <f t="shared" si="366"/>
        <v>GSE38057</v>
      </c>
      <c r="D3874" s="1" t="s">
        <v>237</v>
      </c>
      <c r="E3874" t="s">
        <v>30</v>
      </c>
      <c r="F3874" s="1">
        <v>2</v>
      </c>
      <c r="G3874" s="1" t="s">
        <v>32</v>
      </c>
      <c r="H3874" s="4" t="str">
        <f>HYPERLINK("https://www.ncbi.nlm.nih.gov/geo/query/acc.cgi?acc=GSM933121","GSM933121")</f>
        <v>GSM933121</v>
      </c>
      <c r="I3874" t="s">
        <v>17</v>
      </c>
      <c r="J3874" t="s">
        <v>18</v>
      </c>
      <c r="K3874" t="s">
        <v>33</v>
      </c>
      <c r="L3874" t="s">
        <v>20</v>
      </c>
      <c r="N3874" t="s">
        <v>29</v>
      </c>
    </row>
    <row r="3875" spans="1:14">
      <c r="A3875" s="4" t="str">
        <f t="shared" si="364"/>
        <v>EXP00120</v>
      </c>
      <c r="B3875" s="4" t="str">
        <f t="shared" si="365"/>
        <v>25559688</v>
      </c>
      <c r="C3875" s="4" t="str">
        <f t="shared" si="366"/>
        <v>GSE38057</v>
      </c>
      <c r="D3875" s="1" t="s">
        <v>237</v>
      </c>
      <c r="E3875" t="s">
        <v>30</v>
      </c>
      <c r="F3875" s="1">
        <v>2</v>
      </c>
      <c r="G3875" s="1" t="s">
        <v>32</v>
      </c>
      <c r="H3875" s="4" t="str">
        <f>HYPERLINK("https://www.ncbi.nlm.nih.gov/geo/query/acc.cgi?acc=GSM933123","GSM933123")</f>
        <v>GSM933123</v>
      </c>
      <c r="I3875" t="s">
        <v>17</v>
      </c>
      <c r="J3875" t="s">
        <v>18</v>
      </c>
      <c r="K3875" t="s">
        <v>33</v>
      </c>
      <c r="L3875" t="s">
        <v>20</v>
      </c>
      <c r="N3875" t="s">
        <v>29</v>
      </c>
    </row>
    <row r="3876" spans="1:14">
      <c r="A3876" s="4" t="str">
        <f t="shared" si="364"/>
        <v>EXP00120</v>
      </c>
      <c r="B3876" s="4" t="str">
        <f t="shared" si="365"/>
        <v>25559688</v>
      </c>
      <c r="C3876" s="4" t="str">
        <f t="shared" si="366"/>
        <v>GSE38057</v>
      </c>
      <c r="D3876" s="1" t="s">
        <v>237</v>
      </c>
      <c r="E3876" t="s">
        <v>30</v>
      </c>
      <c r="F3876" s="1">
        <v>2</v>
      </c>
      <c r="G3876" s="1" t="s">
        <v>32</v>
      </c>
      <c r="H3876" s="4" t="str">
        <f>HYPERLINK("https://www.ncbi.nlm.nih.gov/geo/query/acc.cgi?acc=GSM933124","GSM933124")</f>
        <v>GSM933124</v>
      </c>
      <c r="I3876" t="s">
        <v>17</v>
      </c>
      <c r="J3876" t="s">
        <v>18</v>
      </c>
      <c r="K3876" t="s">
        <v>33</v>
      </c>
      <c r="L3876" t="s">
        <v>20</v>
      </c>
      <c r="N3876" t="s">
        <v>29</v>
      </c>
    </row>
    <row r="3877" spans="1:14">
      <c r="A3877" s="4" t="str">
        <f t="shared" si="364"/>
        <v>EXP00120</v>
      </c>
      <c r="B3877" s="4" t="str">
        <f t="shared" si="365"/>
        <v>25559688</v>
      </c>
      <c r="C3877" s="4" t="str">
        <f t="shared" si="366"/>
        <v>GSE38057</v>
      </c>
      <c r="D3877" s="1" t="s">
        <v>237</v>
      </c>
      <c r="E3877" t="s">
        <v>30</v>
      </c>
      <c r="F3877" s="1">
        <v>2</v>
      </c>
      <c r="G3877" s="1" t="s">
        <v>32</v>
      </c>
      <c r="H3877" s="4" t="str">
        <f>HYPERLINK("https://www.ncbi.nlm.nih.gov/geo/query/acc.cgi?acc=GSM933128","GSM933128")</f>
        <v>GSM933128</v>
      </c>
      <c r="I3877" t="s">
        <v>17</v>
      </c>
      <c r="J3877" t="s">
        <v>18</v>
      </c>
      <c r="K3877" t="s">
        <v>33</v>
      </c>
      <c r="L3877" t="s">
        <v>20</v>
      </c>
      <c r="N3877" t="s">
        <v>29</v>
      </c>
    </row>
    <row r="3878" spans="1:14">
      <c r="A3878" s="4" t="str">
        <f t="shared" si="364"/>
        <v>EXP00120</v>
      </c>
      <c r="B3878" s="4" t="str">
        <f t="shared" si="365"/>
        <v>25559688</v>
      </c>
      <c r="C3878" s="4" t="str">
        <f t="shared" si="366"/>
        <v>GSE38057</v>
      </c>
      <c r="D3878" s="1" t="s">
        <v>237</v>
      </c>
      <c r="E3878" t="s">
        <v>30</v>
      </c>
      <c r="F3878" s="1">
        <v>2</v>
      </c>
      <c r="G3878" s="1" t="s">
        <v>32</v>
      </c>
      <c r="H3878" s="4" t="str">
        <f>HYPERLINK("https://www.ncbi.nlm.nih.gov/geo/query/acc.cgi?acc=GSM933130","GSM933130")</f>
        <v>GSM933130</v>
      </c>
      <c r="I3878" t="s">
        <v>17</v>
      </c>
      <c r="J3878" t="s">
        <v>18</v>
      </c>
      <c r="K3878" t="s">
        <v>33</v>
      </c>
      <c r="L3878" t="s">
        <v>20</v>
      </c>
      <c r="N3878" t="s">
        <v>29</v>
      </c>
    </row>
    <row r="3879" spans="1:14">
      <c r="A3879" s="4" t="str">
        <f t="shared" si="364"/>
        <v>EXP00120</v>
      </c>
      <c r="B3879" s="4" t="str">
        <f t="shared" si="365"/>
        <v>25559688</v>
      </c>
      <c r="C3879" s="4" t="str">
        <f t="shared" si="366"/>
        <v>GSE38057</v>
      </c>
      <c r="D3879" s="1" t="s">
        <v>237</v>
      </c>
      <c r="E3879" t="s">
        <v>30</v>
      </c>
      <c r="F3879" s="1">
        <v>2</v>
      </c>
      <c r="G3879" s="1" t="s">
        <v>32</v>
      </c>
      <c r="H3879" s="4" t="str">
        <f>HYPERLINK("https://www.ncbi.nlm.nih.gov/geo/query/acc.cgi?acc=GSM933131","GSM933131")</f>
        <v>GSM933131</v>
      </c>
      <c r="I3879" t="s">
        <v>17</v>
      </c>
      <c r="J3879" t="s">
        <v>18</v>
      </c>
      <c r="K3879" t="s">
        <v>33</v>
      </c>
      <c r="L3879" t="s">
        <v>20</v>
      </c>
      <c r="N3879" t="s">
        <v>29</v>
      </c>
    </row>
    <row r="3880" spans="1:14">
      <c r="A3880" s="4" t="str">
        <f t="shared" si="364"/>
        <v>EXP00120</v>
      </c>
      <c r="B3880" s="4" t="str">
        <f t="shared" si="365"/>
        <v>25559688</v>
      </c>
      <c r="C3880" s="4" t="str">
        <f t="shared" si="366"/>
        <v>GSE38057</v>
      </c>
      <c r="D3880" s="1" t="s">
        <v>237</v>
      </c>
      <c r="E3880" t="s">
        <v>30</v>
      </c>
      <c r="F3880" s="1">
        <v>2</v>
      </c>
      <c r="G3880" s="1" t="s">
        <v>32</v>
      </c>
      <c r="H3880" s="4" t="str">
        <f>HYPERLINK("https://www.ncbi.nlm.nih.gov/geo/query/acc.cgi?acc=GSM933132","GSM933132")</f>
        <v>GSM933132</v>
      </c>
      <c r="I3880" t="s">
        <v>17</v>
      </c>
      <c r="J3880" t="s">
        <v>18</v>
      </c>
      <c r="K3880" t="s">
        <v>33</v>
      </c>
      <c r="L3880" t="s">
        <v>20</v>
      </c>
      <c r="N3880" t="s">
        <v>29</v>
      </c>
    </row>
    <row r="3881" spans="1:14">
      <c r="A3881" s="4" t="str">
        <f t="shared" si="364"/>
        <v>EXP00120</v>
      </c>
      <c r="B3881" s="4" t="str">
        <f t="shared" si="365"/>
        <v>25559688</v>
      </c>
      <c r="C3881" s="4" t="str">
        <f t="shared" si="366"/>
        <v>GSE38057</v>
      </c>
      <c r="D3881" s="1" t="s">
        <v>237</v>
      </c>
      <c r="E3881" t="s">
        <v>30</v>
      </c>
      <c r="F3881" s="1">
        <v>2</v>
      </c>
      <c r="G3881" s="1" t="s">
        <v>32</v>
      </c>
      <c r="H3881" s="4" t="str">
        <f>HYPERLINK("https://www.ncbi.nlm.nih.gov/geo/query/acc.cgi?acc=GSM933133","GSM933133")</f>
        <v>GSM933133</v>
      </c>
      <c r="I3881" t="s">
        <v>17</v>
      </c>
      <c r="J3881" t="s">
        <v>18</v>
      </c>
      <c r="K3881" t="s">
        <v>33</v>
      </c>
      <c r="L3881" t="s">
        <v>20</v>
      </c>
      <c r="N3881" t="s">
        <v>29</v>
      </c>
    </row>
    <row r="3882" spans="1:14">
      <c r="A3882" s="4" t="str">
        <f t="shared" si="364"/>
        <v>EXP00120</v>
      </c>
      <c r="B3882" s="4" t="str">
        <f t="shared" si="365"/>
        <v>25559688</v>
      </c>
      <c r="C3882" s="4" t="str">
        <f t="shared" si="366"/>
        <v>GSE38057</v>
      </c>
      <c r="D3882" s="1" t="s">
        <v>237</v>
      </c>
      <c r="E3882" t="s">
        <v>30</v>
      </c>
      <c r="F3882" s="1">
        <v>2</v>
      </c>
      <c r="G3882" s="1" t="s">
        <v>32</v>
      </c>
      <c r="H3882" s="4" t="str">
        <f>HYPERLINK("https://www.ncbi.nlm.nih.gov/geo/query/acc.cgi?acc=GSM933136","GSM933136")</f>
        <v>GSM933136</v>
      </c>
      <c r="I3882" t="s">
        <v>17</v>
      </c>
      <c r="J3882" t="s">
        <v>18</v>
      </c>
      <c r="K3882" t="s">
        <v>33</v>
      </c>
      <c r="L3882" t="s">
        <v>20</v>
      </c>
      <c r="N3882" t="s">
        <v>29</v>
      </c>
    </row>
    <row r="3883" spans="1:14">
      <c r="A3883" s="4" t="str">
        <f t="shared" si="364"/>
        <v>EXP00120</v>
      </c>
      <c r="B3883" s="4" t="str">
        <f t="shared" si="365"/>
        <v>25559688</v>
      </c>
      <c r="C3883" s="4" t="str">
        <f t="shared" si="366"/>
        <v>GSE38057</v>
      </c>
      <c r="D3883" s="1" t="s">
        <v>237</v>
      </c>
      <c r="E3883" t="s">
        <v>30</v>
      </c>
      <c r="F3883" s="1">
        <v>2</v>
      </c>
      <c r="G3883" s="1" t="s">
        <v>32</v>
      </c>
      <c r="H3883" s="4" t="str">
        <f>HYPERLINK("https://www.ncbi.nlm.nih.gov/geo/query/acc.cgi?acc=GSM933139","GSM933139")</f>
        <v>GSM933139</v>
      </c>
      <c r="I3883" t="s">
        <v>17</v>
      </c>
      <c r="J3883" t="s">
        <v>18</v>
      </c>
      <c r="K3883" t="s">
        <v>33</v>
      </c>
      <c r="L3883" t="s">
        <v>20</v>
      </c>
      <c r="N3883" t="s">
        <v>29</v>
      </c>
    </row>
    <row r="3884" spans="1:14">
      <c r="A3884" s="4" t="str">
        <f t="shared" si="364"/>
        <v>EXP00120</v>
      </c>
      <c r="B3884" s="4" t="str">
        <f t="shared" si="365"/>
        <v>25559688</v>
      </c>
      <c r="C3884" s="4" t="str">
        <f t="shared" si="366"/>
        <v>GSE38057</v>
      </c>
      <c r="D3884" s="1" t="s">
        <v>237</v>
      </c>
      <c r="E3884" t="s">
        <v>30</v>
      </c>
      <c r="F3884" s="1">
        <v>2</v>
      </c>
      <c r="G3884" s="1" t="s">
        <v>32</v>
      </c>
      <c r="H3884" s="4" t="str">
        <f>HYPERLINK("https://www.ncbi.nlm.nih.gov/geo/query/acc.cgi?acc=GSM933140","GSM933140")</f>
        <v>GSM933140</v>
      </c>
      <c r="I3884" t="s">
        <v>17</v>
      </c>
      <c r="J3884" t="s">
        <v>18</v>
      </c>
      <c r="K3884" t="s">
        <v>33</v>
      </c>
      <c r="L3884" t="s">
        <v>20</v>
      </c>
      <c r="N3884" t="s">
        <v>29</v>
      </c>
    </row>
    <row r="3885" spans="1:14">
      <c r="A3885" s="4" t="str">
        <f t="shared" si="364"/>
        <v>EXP00120</v>
      </c>
      <c r="B3885" s="4" t="str">
        <f t="shared" si="365"/>
        <v>25559688</v>
      </c>
      <c r="C3885" s="4" t="str">
        <f t="shared" si="366"/>
        <v>GSE38057</v>
      </c>
      <c r="D3885" s="1" t="s">
        <v>237</v>
      </c>
      <c r="E3885" t="s">
        <v>30</v>
      </c>
      <c r="F3885" s="1">
        <v>2</v>
      </c>
      <c r="G3885" s="1" t="s">
        <v>32</v>
      </c>
      <c r="H3885" s="4" t="str">
        <f>HYPERLINK("https://www.ncbi.nlm.nih.gov/geo/query/acc.cgi?acc=GSM933142","GSM933142")</f>
        <v>GSM933142</v>
      </c>
      <c r="I3885" t="s">
        <v>17</v>
      </c>
      <c r="J3885" t="s">
        <v>18</v>
      </c>
      <c r="K3885" t="s">
        <v>33</v>
      </c>
      <c r="L3885" t="s">
        <v>20</v>
      </c>
      <c r="N3885" t="s">
        <v>29</v>
      </c>
    </row>
    <row r="3886" spans="1:14">
      <c r="A3886" s="4" t="str">
        <f t="shared" si="364"/>
        <v>EXP00120</v>
      </c>
      <c r="B3886" s="4" t="str">
        <f t="shared" si="365"/>
        <v>25559688</v>
      </c>
      <c r="C3886" s="4" t="str">
        <f t="shared" si="366"/>
        <v>GSE38057</v>
      </c>
      <c r="D3886" s="1" t="s">
        <v>237</v>
      </c>
      <c r="E3886" t="s">
        <v>30</v>
      </c>
      <c r="F3886" s="1">
        <v>2</v>
      </c>
      <c r="G3886" s="1" t="s">
        <v>32</v>
      </c>
      <c r="H3886" s="4" t="str">
        <f>HYPERLINK("https://www.ncbi.nlm.nih.gov/geo/query/acc.cgi?acc=GSM933143","GSM933143")</f>
        <v>GSM933143</v>
      </c>
      <c r="I3886" t="s">
        <v>17</v>
      </c>
      <c r="J3886" t="s">
        <v>18</v>
      </c>
      <c r="K3886" t="s">
        <v>33</v>
      </c>
      <c r="L3886" t="s">
        <v>20</v>
      </c>
      <c r="N3886" t="s">
        <v>29</v>
      </c>
    </row>
    <row r="3887" spans="1:14">
      <c r="A3887" s="4" t="str">
        <f t="shared" si="364"/>
        <v>EXP00120</v>
      </c>
      <c r="B3887" s="4" t="str">
        <f t="shared" si="365"/>
        <v>25559688</v>
      </c>
      <c r="C3887" s="4" t="str">
        <f t="shared" si="366"/>
        <v>GSE38057</v>
      </c>
      <c r="D3887" s="1" t="s">
        <v>237</v>
      </c>
      <c r="E3887" t="s">
        <v>30</v>
      </c>
      <c r="F3887" s="1">
        <v>2</v>
      </c>
      <c r="G3887" s="1" t="s">
        <v>32</v>
      </c>
      <c r="H3887" s="4" t="str">
        <f>HYPERLINK("https://www.ncbi.nlm.nih.gov/geo/query/acc.cgi?acc=GSM933146","GSM933146")</f>
        <v>GSM933146</v>
      </c>
      <c r="I3887" t="s">
        <v>17</v>
      </c>
      <c r="J3887" t="s">
        <v>18</v>
      </c>
      <c r="K3887" t="s">
        <v>33</v>
      </c>
      <c r="L3887" t="s">
        <v>20</v>
      </c>
      <c r="N3887" t="s">
        <v>29</v>
      </c>
    </row>
    <row r="3888" spans="1:14">
      <c r="A3888" s="4" t="str">
        <f t="shared" si="364"/>
        <v>EXP00120</v>
      </c>
      <c r="B3888" s="4" t="str">
        <f t="shared" si="365"/>
        <v>25559688</v>
      </c>
      <c r="C3888" s="4" t="str">
        <f t="shared" si="366"/>
        <v>GSE38057</v>
      </c>
      <c r="D3888" s="1" t="s">
        <v>237</v>
      </c>
      <c r="E3888" t="s">
        <v>30</v>
      </c>
      <c r="F3888" s="1">
        <v>2</v>
      </c>
      <c r="G3888" s="1" t="s">
        <v>32</v>
      </c>
      <c r="H3888" s="4" t="str">
        <f>HYPERLINK("https://www.ncbi.nlm.nih.gov/geo/query/acc.cgi?acc=GSM933150","GSM933150")</f>
        <v>GSM933150</v>
      </c>
      <c r="I3888" t="s">
        <v>17</v>
      </c>
      <c r="J3888" t="s">
        <v>18</v>
      </c>
      <c r="K3888" t="s">
        <v>33</v>
      </c>
      <c r="L3888" t="s">
        <v>20</v>
      </c>
      <c r="N3888" t="s">
        <v>29</v>
      </c>
    </row>
    <row r="3889" spans="1:14">
      <c r="A3889" s="4" t="str">
        <f t="shared" ref="A3889:A3911" si="367">HYPERLINK("http://hcmdb.i-sanger.com/experiment/details/experiment_id/EXP00120","EXP00120")</f>
        <v>EXP00120</v>
      </c>
      <c r="B3889" s="4" t="str">
        <f t="shared" ref="B3889:B3911" si="368">HYPERLINK("https://www.ncbi.nlm.nih.gov/pubmed/25559688","25559688")</f>
        <v>25559688</v>
      </c>
      <c r="C3889" s="4" t="str">
        <f t="shared" ref="C3889:C3911" si="369">HYPERLINK("https://www.ncbi.nlm.nih.gov/geo/query/acc.cgi?acc=GSE38057","GSE38057")</f>
        <v>GSE38057</v>
      </c>
      <c r="D3889" s="1" t="s">
        <v>237</v>
      </c>
      <c r="E3889" t="s">
        <v>30</v>
      </c>
      <c r="F3889" s="1">
        <v>2</v>
      </c>
      <c r="G3889" s="1" t="s">
        <v>32</v>
      </c>
      <c r="H3889" s="4" t="str">
        <f>HYPERLINK("https://www.ncbi.nlm.nih.gov/geo/query/acc.cgi?acc=GSM933153","GSM933153")</f>
        <v>GSM933153</v>
      </c>
      <c r="I3889" t="s">
        <v>17</v>
      </c>
      <c r="J3889" t="s">
        <v>18</v>
      </c>
      <c r="K3889" t="s">
        <v>33</v>
      </c>
      <c r="L3889" t="s">
        <v>20</v>
      </c>
      <c r="N3889" t="s">
        <v>29</v>
      </c>
    </row>
    <row r="3890" spans="1:14">
      <c r="A3890" s="4" t="str">
        <f t="shared" si="367"/>
        <v>EXP00120</v>
      </c>
      <c r="B3890" s="4" t="str">
        <f t="shared" si="368"/>
        <v>25559688</v>
      </c>
      <c r="C3890" s="4" t="str">
        <f t="shared" si="369"/>
        <v>GSE38057</v>
      </c>
      <c r="D3890" s="1" t="s">
        <v>237</v>
      </c>
      <c r="E3890" t="s">
        <v>30</v>
      </c>
      <c r="F3890" s="1">
        <v>2</v>
      </c>
      <c r="G3890" s="1" t="s">
        <v>32</v>
      </c>
      <c r="H3890" s="4" t="str">
        <f>HYPERLINK("https://www.ncbi.nlm.nih.gov/geo/query/acc.cgi?acc=GSM933154","GSM933154")</f>
        <v>GSM933154</v>
      </c>
      <c r="I3890" t="s">
        <v>17</v>
      </c>
      <c r="J3890" t="s">
        <v>18</v>
      </c>
      <c r="K3890" t="s">
        <v>33</v>
      </c>
      <c r="L3890" t="s">
        <v>20</v>
      </c>
      <c r="N3890" t="s">
        <v>29</v>
      </c>
    </row>
    <row r="3891" spans="1:14">
      <c r="A3891" s="4" t="str">
        <f t="shared" si="367"/>
        <v>EXP00120</v>
      </c>
      <c r="B3891" s="4" t="str">
        <f t="shared" si="368"/>
        <v>25559688</v>
      </c>
      <c r="C3891" s="4" t="str">
        <f t="shared" si="369"/>
        <v>GSE38057</v>
      </c>
      <c r="D3891" s="1" t="s">
        <v>237</v>
      </c>
      <c r="E3891" t="s">
        <v>30</v>
      </c>
      <c r="F3891" s="1">
        <v>2</v>
      </c>
      <c r="G3891" s="1" t="s">
        <v>32</v>
      </c>
      <c r="H3891" s="4" t="str">
        <f>HYPERLINK("https://www.ncbi.nlm.nih.gov/geo/query/acc.cgi?acc=GSM933155","GSM933155")</f>
        <v>GSM933155</v>
      </c>
      <c r="I3891" t="s">
        <v>17</v>
      </c>
      <c r="J3891" t="s">
        <v>18</v>
      </c>
      <c r="K3891" t="s">
        <v>33</v>
      </c>
      <c r="L3891" t="s">
        <v>20</v>
      </c>
      <c r="N3891" t="s">
        <v>29</v>
      </c>
    </row>
    <row r="3892" spans="1:14">
      <c r="A3892" s="4" t="str">
        <f t="shared" si="367"/>
        <v>EXP00120</v>
      </c>
      <c r="B3892" s="4" t="str">
        <f t="shared" si="368"/>
        <v>25559688</v>
      </c>
      <c r="C3892" s="4" t="str">
        <f t="shared" si="369"/>
        <v>GSE38057</v>
      </c>
      <c r="D3892" s="1" t="s">
        <v>237</v>
      </c>
      <c r="E3892" t="s">
        <v>30</v>
      </c>
      <c r="F3892" s="1">
        <v>2</v>
      </c>
      <c r="G3892" s="1" t="s">
        <v>32</v>
      </c>
      <c r="H3892" s="4" t="str">
        <f>HYPERLINK("https://www.ncbi.nlm.nih.gov/geo/query/acc.cgi?acc=GSM933157","GSM933157")</f>
        <v>GSM933157</v>
      </c>
      <c r="I3892" t="s">
        <v>17</v>
      </c>
      <c r="J3892" t="s">
        <v>18</v>
      </c>
      <c r="K3892" t="s">
        <v>33</v>
      </c>
      <c r="L3892" t="s">
        <v>20</v>
      </c>
      <c r="N3892" t="s">
        <v>29</v>
      </c>
    </row>
    <row r="3893" spans="1:14">
      <c r="A3893" s="4" t="str">
        <f t="shared" si="367"/>
        <v>EXP00120</v>
      </c>
      <c r="B3893" s="4" t="str">
        <f t="shared" si="368"/>
        <v>25559688</v>
      </c>
      <c r="C3893" s="4" t="str">
        <f t="shared" si="369"/>
        <v>GSE38057</v>
      </c>
      <c r="D3893" s="1" t="s">
        <v>237</v>
      </c>
      <c r="E3893" t="s">
        <v>30</v>
      </c>
      <c r="F3893" s="1">
        <v>2</v>
      </c>
      <c r="G3893" s="1" t="s">
        <v>32</v>
      </c>
      <c r="H3893" s="4" t="str">
        <f>HYPERLINK("https://www.ncbi.nlm.nih.gov/geo/query/acc.cgi?acc=GSM933158","GSM933158")</f>
        <v>GSM933158</v>
      </c>
      <c r="I3893" t="s">
        <v>17</v>
      </c>
      <c r="J3893" t="s">
        <v>18</v>
      </c>
      <c r="K3893" t="s">
        <v>33</v>
      </c>
      <c r="L3893" t="s">
        <v>20</v>
      </c>
      <c r="N3893" t="s">
        <v>29</v>
      </c>
    </row>
    <row r="3894" spans="1:14">
      <c r="A3894" s="4" t="str">
        <f t="shared" si="367"/>
        <v>EXP00120</v>
      </c>
      <c r="B3894" s="4" t="str">
        <f t="shared" si="368"/>
        <v>25559688</v>
      </c>
      <c r="C3894" s="4" t="str">
        <f t="shared" si="369"/>
        <v>GSE38057</v>
      </c>
      <c r="D3894" s="1" t="s">
        <v>237</v>
      </c>
      <c r="E3894" t="s">
        <v>30</v>
      </c>
      <c r="F3894" s="1">
        <v>2</v>
      </c>
      <c r="G3894" s="1" t="s">
        <v>32</v>
      </c>
      <c r="H3894" s="4" t="str">
        <f>HYPERLINK("https://www.ncbi.nlm.nih.gov/geo/query/acc.cgi?acc=GSM933159","GSM933159")</f>
        <v>GSM933159</v>
      </c>
      <c r="I3894" t="s">
        <v>17</v>
      </c>
      <c r="J3894" t="s">
        <v>18</v>
      </c>
      <c r="K3894" t="s">
        <v>33</v>
      </c>
      <c r="L3894" t="s">
        <v>20</v>
      </c>
      <c r="N3894" t="s">
        <v>29</v>
      </c>
    </row>
    <row r="3895" spans="1:14">
      <c r="A3895" s="4" t="str">
        <f t="shared" si="367"/>
        <v>EXP00120</v>
      </c>
      <c r="B3895" s="4" t="str">
        <f t="shared" si="368"/>
        <v>25559688</v>
      </c>
      <c r="C3895" s="4" t="str">
        <f t="shared" si="369"/>
        <v>GSE38057</v>
      </c>
      <c r="D3895" s="1" t="s">
        <v>237</v>
      </c>
      <c r="E3895" t="s">
        <v>30</v>
      </c>
      <c r="F3895" s="1">
        <v>2</v>
      </c>
      <c r="G3895" s="1" t="s">
        <v>32</v>
      </c>
      <c r="H3895" s="4" t="str">
        <f>HYPERLINK("https://www.ncbi.nlm.nih.gov/geo/query/acc.cgi?acc=GSM933162","GSM933162")</f>
        <v>GSM933162</v>
      </c>
      <c r="I3895" t="s">
        <v>17</v>
      </c>
      <c r="J3895" t="s">
        <v>18</v>
      </c>
      <c r="K3895" t="s">
        <v>33</v>
      </c>
      <c r="L3895" t="s">
        <v>20</v>
      </c>
      <c r="N3895" t="s">
        <v>29</v>
      </c>
    </row>
    <row r="3896" spans="1:14">
      <c r="A3896" s="4" t="str">
        <f t="shared" si="367"/>
        <v>EXP00120</v>
      </c>
      <c r="B3896" s="4" t="str">
        <f t="shared" si="368"/>
        <v>25559688</v>
      </c>
      <c r="C3896" s="4" t="str">
        <f t="shared" si="369"/>
        <v>GSE38057</v>
      </c>
      <c r="D3896" s="1" t="s">
        <v>237</v>
      </c>
      <c r="E3896" t="s">
        <v>30</v>
      </c>
      <c r="F3896" s="1">
        <v>2</v>
      </c>
      <c r="G3896" s="1" t="s">
        <v>32</v>
      </c>
      <c r="H3896" s="4" t="str">
        <f>HYPERLINK("https://www.ncbi.nlm.nih.gov/geo/query/acc.cgi?acc=GSM933167","GSM933167")</f>
        <v>GSM933167</v>
      </c>
      <c r="I3896" t="s">
        <v>17</v>
      </c>
      <c r="J3896" t="s">
        <v>18</v>
      </c>
      <c r="K3896" t="s">
        <v>33</v>
      </c>
      <c r="L3896" t="s">
        <v>20</v>
      </c>
      <c r="N3896" t="s">
        <v>29</v>
      </c>
    </row>
    <row r="3897" spans="1:14">
      <c r="A3897" s="4" t="str">
        <f t="shared" si="367"/>
        <v>EXP00120</v>
      </c>
      <c r="B3897" s="4" t="str">
        <f t="shared" si="368"/>
        <v>25559688</v>
      </c>
      <c r="C3897" s="4" t="str">
        <f t="shared" si="369"/>
        <v>GSE38057</v>
      </c>
      <c r="D3897" s="1" t="s">
        <v>237</v>
      </c>
      <c r="E3897" t="s">
        <v>30</v>
      </c>
      <c r="F3897" s="1">
        <v>2</v>
      </c>
      <c r="G3897" s="1" t="s">
        <v>32</v>
      </c>
      <c r="H3897" s="4" t="str">
        <f>HYPERLINK("https://www.ncbi.nlm.nih.gov/geo/query/acc.cgi?acc=GSM933168","GSM933168")</f>
        <v>GSM933168</v>
      </c>
      <c r="I3897" t="s">
        <v>17</v>
      </c>
      <c r="J3897" t="s">
        <v>18</v>
      </c>
      <c r="K3897" t="s">
        <v>33</v>
      </c>
      <c r="L3897" t="s">
        <v>20</v>
      </c>
      <c r="N3897" t="s">
        <v>29</v>
      </c>
    </row>
    <row r="3898" spans="1:14">
      <c r="A3898" s="4" t="str">
        <f t="shared" si="367"/>
        <v>EXP00120</v>
      </c>
      <c r="B3898" s="4" t="str">
        <f t="shared" si="368"/>
        <v>25559688</v>
      </c>
      <c r="C3898" s="4" t="str">
        <f t="shared" si="369"/>
        <v>GSE38057</v>
      </c>
      <c r="D3898" s="1" t="s">
        <v>237</v>
      </c>
      <c r="E3898" t="s">
        <v>30</v>
      </c>
      <c r="F3898" s="1">
        <v>2</v>
      </c>
      <c r="G3898" s="1" t="s">
        <v>32</v>
      </c>
      <c r="H3898" s="4" t="str">
        <f>HYPERLINK("https://www.ncbi.nlm.nih.gov/geo/query/acc.cgi?acc=GSM933169","GSM933169")</f>
        <v>GSM933169</v>
      </c>
      <c r="I3898" t="s">
        <v>17</v>
      </c>
      <c r="J3898" t="s">
        <v>18</v>
      </c>
      <c r="K3898" t="s">
        <v>33</v>
      </c>
      <c r="L3898" t="s">
        <v>20</v>
      </c>
      <c r="N3898" t="s">
        <v>29</v>
      </c>
    </row>
    <row r="3899" spans="1:14">
      <c r="A3899" s="4" t="str">
        <f t="shared" si="367"/>
        <v>EXP00120</v>
      </c>
      <c r="B3899" s="4" t="str">
        <f t="shared" si="368"/>
        <v>25559688</v>
      </c>
      <c r="C3899" s="4" t="str">
        <f t="shared" si="369"/>
        <v>GSE38057</v>
      </c>
      <c r="D3899" s="1" t="s">
        <v>237</v>
      </c>
      <c r="E3899" t="s">
        <v>30</v>
      </c>
      <c r="F3899" s="1">
        <v>2</v>
      </c>
      <c r="G3899" s="1" t="s">
        <v>32</v>
      </c>
      <c r="H3899" s="4" t="str">
        <f>HYPERLINK("https://www.ncbi.nlm.nih.gov/geo/query/acc.cgi?acc=GSM933171","GSM933171")</f>
        <v>GSM933171</v>
      </c>
      <c r="I3899" t="s">
        <v>17</v>
      </c>
      <c r="J3899" t="s">
        <v>18</v>
      </c>
      <c r="K3899" t="s">
        <v>33</v>
      </c>
      <c r="L3899" t="s">
        <v>20</v>
      </c>
      <c r="N3899" t="s">
        <v>29</v>
      </c>
    </row>
    <row r="3900" spans="1:14">
      <c r="A3900" s="4" t="str">
        <f t="shared" si="367"/>
        <v>EXP00120</v>
      </c>
      <c r="B3900" s="4" t="str">
        <f t="shared" si="368"/>
        <v>25559688</v>
      </c>
      <c r="C3900" s="4" t="str">
        <f t="shared" si="369"/>
        <v>GSE38057</v>
      </c>
      <c r="D3900" s="1" t="s">
        <v>237</v>
      </c>
      <c r="E3900" t="s">
        <v>30</v>
      </c>
      <c r="F3900" s="1">
        <v>2</v>
      </c>
      <c r="G3900" s="1" t="s">
        <v>32</v>
      </c>
      <c r="H3900" s="4" t="str">
        <f>HYPERLINK("https://www.ncbi.nlm.nih.gov/geo/query/acc.cgi?acc=GSM933172","GSM933172")</f>
        <v>GSM933172</v>
      </c>
      <c r="I3900" t="s">
        <v>17</v>
      </c>
      <c r="J3900" t="s">
        <v>18</v>
      </c>
      <c r="K3900" t="s">
        <v>33</v>
      </c>
      <c r="L3900" t="s">
        <v>20</v>
      </c>
      <c r="N3900" t="s">
        <v>29</v>
      </c>
    </row>
    <row r="3901" spans="1:14">
      <c r="A3901" s="4" t="str">
        <f t="shared" si="367"/>
        <v>EXP00120</v>
      </c>
      <c r="B3901" s="4" t="str">
        <f t="shared" si="368"/>
        <v>25559688</v>
      </c>
      <c r="C3901" s="4" t="str">
        <f t="shared" si="369"/>
        <v>GSE38057</v>
      </c>
      <c r="D3901" s="1" t="s">
        <v>237</v>
      </c>
      <c r="E3901" t="s">
        <v>30</v>
      </c>
      <c r="F3901" s="1">
        <v>2</v>
      </c>
      <c r="G3901" s="1" t="s">
        <v>32</v>
      </c>
      <c r="H3901" s="4" t="str">
        <f>HYPERLINK("https://www.ncbi.nlm.nih.gov/geo/query/acc.cgi?acc=GSM933173","GSM933173")</f>
        <v>GSM933173</v>
      </c>
      <c r="I3901" t="s">
        <v>17</v>
      </c>
      <c r="J3901" t="s">
        <v>18</v>
      </c>
      <c r="K3901" t="s">
        <v>33</v>
      </c>
      <c r="L3901" t="s">
        <v>20</v>
      </c>
      <c r="N3901" t="s">
        <v>29</v>
      </c>
    </row>
    <row r="3902" spans="1:14">
      <c r="A3902" s="4" t="str">
        <f t="shared" si="367"/>
        <v>EXP00120</v>
      </c>
      <c r="B3902" s="4" t="str">
        <f t="shared" si="368"/>
        <v>25559688</v>
      </c>
      <c r="C3902" s="4" t="str">
        <f t="shared" si="369"/>
        <v>GSE38057</v>
      </c>
      <c r="D3902" s="1" t="s">
        <v>237</v>
      </c>
      <c r="E3902" t="s">
        <v>30</v>
      </c>
      <c r="F3902" s="1">
        <v>2</v>
      </c>
      <c r="G3902" s="1" t="s">
        <v>32</v>
      </c>
      <c r="H3902" s="4" t="str">
        <f>HYPERLINK("https://www.ncbi.nlm.nih.gov/geo/query/acc.cgi?acc=GSM933174","GSM933174")</f>
        <v>GSM933174</v>
      </c>
      <c r="I3902" t="s">
        <v>17</v>
      </c>
      <c r="J3902" t="s">
        <v>18</v>
      </c>
      <c r="K3902" t="s">
        <v>33</v>
      </c>
      <c r="L3902" t="s">
        <v>20</v>
      </c>
      <c r="N3902" t="s">
        <v>29</v>
      </c>
    </row>
    <row r="3903" spans="1:14">
      <c r="A3903" s="4" t="str">
        <f t="shared" si="367"/>
        <v>EXP00120</v>
      </c>
      <c r="B3903" s="4" t="str">
        <f t="shared" si="368"/>
        <v>25559688</v>
      </c>
      <c r="C3903" s="4" t="str">
        <f t="shared" si="369"/>
        <v>GSE38057</v>
      </c>
      <c r="D3903" s="1" t="s">
        <v>237</v>
      </c>
      <c r="E3903" t="s">
        <v>30</v>
      </c>
      <c r="F3903" s="1">
        <v>2</v>
      </c>
      <c r="G3903" s="1" t="s">
        <v>32</v>
      </c>
      <c r="H3903" s="4" t="str">
        <f>HYPERLINK("https://www.ncbi.nlm.nih.gov/geo/query/acc.cgi?acc=GSM933175","GSM933175")</f>
        <v>GSM933175</v>
      </c>
      <c r="I3903" t="s">
        <v>17</v>
      </c>
      <c r="J3903" t="s">
        <v>18</v>
      </c>
      <c r="K3903" t="s">
        <v>33</v>
      </c>
      <c r="L3903" t="s">
        <v>20</v>
      </c>
      <c r="N3903" t="s">
        <v>29</v>
      </c>
    </row>
    <row r="3904" spans="1:14">
      <c r="A3904" s="4" t="str">
        <f t="shared" si="367"/>
        <v>EXP00120</v>
      </c>
      <c r="B3904" s="4" t="str">
        <f t="shared" si="368"/>
        <v>25559688</v>
      </c>
      <c r="C3904" s="4" t="str">
        <f t="shared" si="369"/>
        <v>GSE38057</v>
      </c>
      <c r="D3904" s="1" t="s">
        <v>237</v>
      </c>
      <c r="E3904" t="s">
        <v>30</v>
      </c>
      <c r="F3904" s="1">
        <v>2</v>
      </c>
      <c r="G3904" s="1" t="s">
        <v>32</v>
      </c>
      <c r="H3904" s="4" t="str">
        <f>HYPERLINK("https://www.ncbi.nlm.nih.gov/geo/query/acc.cgi?acc=GSM933176","GSM933176")</f>
        <v>GSM933176</v>
      </c>
      <c r="I3904" t="s">
        <v>17</v>
      </c>
      <c r="J3904" t="s">
        <v>18</v>
      </c>
      <c r="K3904" t="s">
        <v>33</v>
      </c>
      <c r="L3904" t="s">
        <v>20</v>
      </c>
      <c r="N3904" t="s">
        <v>29</v>
      </c>
    </row>
    <row r="3905" spans="1:14">
      <c r="A3905" s="4" t="str">
        <f t="shared" si="367"/>
        <v>EXP00120</v>
      </c>
      <c r="B3905" s="4" t="str">
        <f t="shared" si="368"/>
        <v>25559688</v>
      </c>
      <c r="C3905" s="4" t="str">
        <f t="shared" si="369"/>
        <v>GSE38057</v>
      </c>
      <c r="D3905" s="1" t="s">
        <v>237</v>
      </c>
      <c r="E3905" t="s">
        <v>30</v>
      </c>
      <c r="F3905" s="1">
        <v>2</v>
      </c>
      <c r="G3905" s="1" t="s">
        <v>32</v>
      </c>
      <c r="H3905" s="4" t="str">
        <f>HYPERLINK("https://www.ncbi.nlm.nih.gov/geo/query/acc.cgi?acc=GSM933177","GSM933177")</f>
        <v>GSM933177</v>
      </c>
      <c r="I3905" t="s">
        <v>17</v>
      </c>
      <c r="J3905" t="s">
        <v>18</v>
      </c>
      <c r="K3905" t="s">
        <v>33</v>
      </c>
      <c r="L3905" t="s">
        <v>20</v>
      </c>
      <c r="N3905" t="s">
        <v>29</v>
      </c>
    </row>
    <row r="3906" spans="1:14">
      <c r="A3906" s="4" t="str">
        <f t="shared" si="367"/>
        <v>EXP00120</v>
      </c>
      <c r="B3906" s="4" t="str">
        <f t="shared" si="368"/>
        <v>25559688</v>
      </c>
      <c r="C3906" s="4" t="str">
        <f t="shared" si="369"/>
        <v>GSE38057</v>
      </c>
      <c r="D3906" s="1" t="s">
        <v>237</v>
      </c>
      <c r="E3906" t="s">
        <v>30</v>
      </c>
      <c r="F3906" s="1">
        <v>2</v>
      </c>
      <c r="G3906" s="1" t="s">
        <v>32</v>
      </c>
      <c r="H3906" s="4" t="str">
        <f>HYPERLINK("https://www.ncbi.nlm.nih.gov/geo/query/acc.cgi?acc=GSM933182","GSM933182")</f>
        <v>GSM933182</v>
      </c>
      <c r="I3906" t="s">
        <v>17</v>
      </c>
      <c r="J3906" t="s">
        <v>18</v>
      </c>
      <c r="K3906" t="s">
        <v>33</v>
      </c>
      <c r="L3906" t="s">
        <v>20</v>
      </c>
      <c r="N3906" t="s">
        <v>29</v>
      </c>
    </row>
    <row r="3907" spans="1:14">
      <c r="A3907" s="4" t="str">
        <f t="shared" si="367"/>
        <v>EXP00120</v>
      </c>
      <c r="B3907" s="4" t="str">
        <f t="shared" si="368"/>
        <v>25559688</v>
      </c>
      <c r="C3907" s="4" t="str">
        <f t="shared" si="369"/>
        <v>GSE38057</v>
      </c>
      <c r="D3907" s="1" t="s">
        <v>237</v>
      </c>
      <c r="E3907" t="s">
        <v>30</v>
      </c>
      <c r="F3907" s="1">
        <v>2</v>
      </c>
      <c r="G3907" s="1" t="s">
        <v>32</v>
      </c>
      <c r="H3907" s="4" t="str">
        <f>HYPERLINK("https://www.ncbi.nlm.nih.gov/geo/query/acc.cgi?acc=GSM933183","GSM933183")</f>
        <v>GSM933183</v>
      </c>
      <c r="I3907" t="s">
        <v>17</v>
      </c>
      <c r="J3907" t="s">
        <v>18</v>
      </c>
      <c r="K3907" t="s">
        <v>33</v>
      </c>
      <c r="L3907" t="s">
        <v>20</v>
      </c>
      <c r="N3907" t="s">
        <v>29</v>
      </c>
    </row>
    <row r="3908" spans="1:14">
      <c r="A3908" s="4" t="str">
        <f t="shared" si="367"/>
        <v>EXP00120</v>
      </c>
      <c r="B3908" s="4" t="str">
        <f t="shared" si="368"/>
        <v>25559688</v>
      </c>
      <c r="C3908" s="4" t="str">
        <f t="shared" si="369"/>
        <v>GSE38057</v>
      </c>
      <c r="D3908" s="1" t="s">
        <v>237</v>
      </c>
      <c r="E3908" t="s">
        <v>30</v>
      </c>
      <c r="F3908" s="1">
        <v>2</v>
      </c>
      <c r="G3908" s="1" t="s">
        <v>32</v>
      </c>
      <c r="H3908" s="4" t="str">
        <f>HYPERLINK("https://www.ncbi.nlm.nih.gov/geo/query/acc.cgi?acc=GSM933184","GSM933184")</f>
        <v>GSM933184</v>
      </c>
      <c r="I3908" t="s">
        <v>17</v>
      </c>
      <c r="J3908" t="s">
        <v>18</v>
      </c>
      <c r="K3908" t="s">
        <v>33</v>
      </c>
      <c r="L3908" t="s">
        <v>20</v>
      </c>
      <c r="N3908" t="s">
        <v>29</v>
      </c>
    </row>
    <row r="3909" spans="1:14">
      <c r="A3909" s="4" t="str">
        <f t="shared" si="367"/>
        <v>EXP00120</v>
      </c>
      <c r="B3909" s="4" t="str">
        <f t="shared" si="368"/>
        <v>25559688</v>
      </c>
      <c r="C3909" s="4" t="str">
        <f t="shared" si="369"/>
        <v>GSE38057</v>
      </c>
      <c r="D3909" s="1" t="s">
        <v>237</v>
      </c>
      <c r="E3909" t="s">
        <v>30</v>
      </c>
      <c r="F3909" s="1">
        <v>2</v>
      </c>
      <c r="G3909" s="1" t="s">
        <v>32</v>
      </c>
      <c r="H3909" s="4" t="str">
        <f>HYPERLINK("https://www.ncbi.nlm.nih.gov/geo/query/acc.cgi?acc=GSM933186","GSM933186")</f>
        <v>GSM933186</v>
      </c>
      <c r="I3909" t="s">
        <v>17</v>
      </c>
      <c r="J3909" t="s">
        <v>18</v>
      </c>
      <c r="K3909" t="s">
        <v>33</v>
      </c>
      <c r="L3909" t="s">
        <v>20</v>
      </c>
      <c r="N3909" t="s">
        <v>29</v>
      </c>
    </row>
    <row r="3910" spans="1:14">
      <c r="A3910" s="4" t="str">
        <f t="shared" si="367"/>
        <v>EXP00120</v>
      </c>
      <c r="B3910" s="4" t="str">
        <f t="shared" si="368"/>
        <v>25559688</v>
      </c>
      <c r="C3910" s="4" t="str">
        <f t="shared" si="369"/>
        <v>GSE38057</v>
      </c>
      <c r="D3910" s="1" t="s">
        <v>237</v>
      </c>
      <c r="E3910" t="s">
        <v>30</v>
      </c>
      <c r="F3910" s="1">
        <v>2</v>
      </c>
      <c r="G3910" s="1" t="s">
        <v>32</v>
      </c>
      <c r="H3910" s="4" t="str">
        <f>HYPERLINK("https://www.ncbi.nlm.nih.gov/geo/query/acc.cgi?acc=GSM933187","GSM933187")</f>
        <v>GSM933187</v>
      </c>
      <c r="I3910" t="s">
        <v>17</v>
      </c>
      <c r="J3910" t="s">
        <v>18</v>
      </c>
      <c r="K3910" t="s">
        <v>33</v>
      </c>
      <c r="L3910" t="s">
        <v>20</v>
      </c>
      <c r="N3910" t="s">
        <v>29</v>
      </c>
    </row>
    <row r="3911" spans="1:14">
      <c r="A3911" s="4" t="str">
        <f t="shared" si="367"/>
        <v>EXP00120</v>
      </c>
      <c r="B3911" s="4" t="str">
        <f t="shared" si="368"/>
        <v>25559688</v>
      </c>
      <c r="C3911" s="4" t="str">
        <f t="shared" si="369"/>
        <v>GSE38057</v>
      </c>
      <c r="D3911" s="1" t="s">
        <v>237</v>
      </c>
      <c r="E3911" t="s">
        <v>30</v>
      </c>
      <c r="F3911" s="1">
        <v>2</v>
      </c>
      <c r="G3911" s="1" t="s">
        <v>32</v>
      </c>
      <c r="H3911" s="4" t="str">
        <f>HYPERLINK("https://www.ncbi.nlm.nih.gov/geo/query/acc.cgi?acc=GSM933188","GSM933188")</f>
        <v>GSM933188</v>
      </c>
      <c r="I3911" t="s">
        <v>17</v>
      </c>
      <c r="J3911" t="s">
        <v>18</v>
      </c>
      <c r="K3911" t="s">
        <v>33</v>
      </c>
      <c r="L3911" t="s">
        <v>20</v>
      </c>
      <c r="N3911" t="s">
        <v>29</v>
      </c>
    </row>
    <row r="3912" spans="1:14">
      <c r="A3912" s="4" t="str">
        <f t="shared" ref="A3912:A3934" si="370">HYPERLINK("http://hcmdb.i-sanger.com/experiment/details/experiment_id/EXP00121","EXP00121")</f>
        <v>EXP00121</v>
      </c>
      <c r="B3912" s="4" t="str">
        <f t="shared" ref="B3912:B3949" si="371">HYPERLINK("https://www.ncbi.nlm.nih.gov/pubmed/16542501","16542501")</f>
        <v>16542501</v>
      </c>
      <c r="C3912" s="4" t="str">
        <f t="shared" ref="C3912:C3949" si="372">HYPERLINK("https://www.ncbi.nlm.nih.gov/geo/query/acc.cgi?acc=GSE3964","GSE3964")</f>
        <v>GSE3964</v>
      </c>
      <c r="D3912" s="1" t="s">
        <v>238</v>
      </c>
      <c r="E3912" t="s">
        <v>72</v>
      </c>
      <c r="F3912" s="1">
        <v>1</v>
      </c>
      <c r="G3912" s="1" t="s">
        <v>26</v>
      </c>
      <c r="H3912" s="4" t="str">
        <f>HYPERLINK("https://www.ncbi.nlm.nih.gov/geo/query/acc.cgi?acc=GSM89262","GSM89262")</f>
        <v>GSM89262</v>
      </c>
      <c r="I3912" t="s">
        <v>69</v>
      </c>
      <c r="J3912" t="s">
        <v>18</v>
      </c>
      <c r="K3912" t="s">
        <v>19</v>
      </c>
      <c r="L3912" t="s">
        <v>70</v>
      </c>
      <c r="M3912" t="s">
        <v>44</v>
      </c>
      <c r="N3912" t="s">
        <v>22</v>
      </c>
    </row>
    <row r="3913" spans="1:14">
      <c r="A3913" s="4" t="str">
        <f t="shared" si="370"/>
        <v>EXP00121</v>
      </c>
      <c r="B3913" s="4" t="str">
        <f t="shared" si="371"/>
        <v>16542501</v>
      </c>
      <c r="C3913" s="4" t="str">
        <f t="shared" si="372"/>
        <v>GSE3964</v>
      </c>
      <c r="D3913" s="1" t="s">
        <v>238</v>
      </c>
      <c r="E3913" t="s">
        <v>72</v>
      </c>
      <c r="F3913" s="1">
        <v>1</v>
      </c>
      <c r="G3913" s="1" t="s">
        <v>26</v>
      </c>
      <c r="H3913" s="4" t="str">
        <f>HYPERLINK("https://www.ncbi.nlm.nih.gov/geo/query/acc.cgi?acc=GSM89263","GSM89263")</f>
        <v>GSM89263</v>
      </c>
      <c r="I3913" t="s">
        <v>69</v>
      </c>
      <c r="J3913" t="s">
        <v>18</v>
      </c>
      <c r="K3913" t="s">
        <v>19</v>
      </c>
      <c r="L3913" t="s">
        <v>70</v>
      </c>
      <c r="M3913" t="s">
        <v>44</v>
      </c>
      <c r="N3913" t="s">
        <v>22</v>
      </c>
    </row>
    <row r="3914" spans="1:14">
      <c r="A3914" s="4" t="str">
        <f t="shared" si="370"/>
        <v>EXP00121</v>
      </c>
      <c r="B3914" s="4" t="str">
        <f t="shared" si="371"/>
        <v>16542501</v>
      </c>
      <c r="C3914" s="4" t="str">
        <f t="shared" si="372"/>
        <v>GSE3964</v>
      </c>
      <c r="D3914" s="1" t="s">
        <v>238</v>
      </c>
      <c r="E3914" t="s">
        <v>72</v>
      </c>
      <c r="F3914" s="1">
        <v>1</v>
      </c>
      <c r="G3914" s="1" t="s">
        <v>26</v>
      </c>
      <c r="H3914" s="4" t="str">
        <f>HYPERLINK("https://www.ncbi.nlm.nih.gov/geo/query/acc.cgi?acc=GSM89264","GSM89264")</f>
        <v>GSM89264</v>
      </c>
      <c r="I3914" t="s">
        <v>69</v>
      </c>
      <c r="J3914" t="s">
        <v>18</v>
      </c>
      <c r="K3914" t="s">
        <v>19</v>
      </c>
      <c r="L3914" t="s">
        <v>70</v>
      </c>
      <c r="M3914" t="s">
        <v>44</v>
      </c>
      <c r="N3914" t="s">
        <v>22</v>
      </c>
    </row>
    <row r="3915" spans="1:14">
      <c r="A3915" s="4" t="str">
        <f t="shared" si="370"/>
        <v>EXP00121</v>
      </c>
      <c r="B3915" s="4" t="str">
        <f t="shared" si="371"/>
        <v>16542501</v>
      </c>
      <c r="C3915" s="4" t="str">
        <f t="shared" si="372"/>
        <v>GSE3964</v>
      </c>
      <c r="D3915" s="1" t="s">
        <v>238</v>
      </c>
      <c r="E3915" t="s">
        <v>72</v>
      </c>
      <c r="F3915" s="1">
        <v>1</v>
      </c>
      <c r="G3915" s="1" t="s">
        <v>26</v>
      </c>
      <c r="H3915" s="4" t="str">
        <f>HYPERLINK("https://www.ncbi.nlm.nih.gov/geo/query/acc.cgi?acc=GSM89265","GSM89265")</f>
        <v>GSM89265</v>
      </c>
      <c r="I3915" t="s">
        <v>69</v>
      </c>
      <c r="J3915" t="s">
        <v>18</v>
      </c>
      <c r="K3915" t="s">
        <v>19</v>
      </c>
      <c r="L3915" t="s">
        <v>70</v>
      </c>
      <c r="M3915" t="s">
        <v>44</v>
      </c>
      <c r="N3915" t="s">
        <v>22</v>
      </c>
    </row>
    <row r="3916" spans="1:14">
      <c r="A3916" s="4" t="str">
        <f t="shared" si="370"/>
        <v>EXP00121</v>
      </c>
      <c r="B3916" s="4" t="str">
        <f t="shared" si="371"/>
        <v>16542501</v>
      </c>
      <c r="C3916" s="4" t="str">
        <f t="shared" si="372"/>
        <v>GSE3964</v>
      </c>
      <c r="D3916" s="1" t="s">
        <v>238</v>
      </c>
      <c r="E3916" t="s">
        <v>72</v>
      </c>
      <c r="F3916" s="1">
        <v>1</v>
      </c>
      <c r="G3916" s="1" t="s">
        <v>26</v>
      </c>
      <c r="H3916" s="4" t="str">
        <f>HYPERLINK("https://www.ncbi.nlm.nih.gov/geo/query/acc.cgi?acc=GSM89266","GSM89266")</f>
        <v>GSM89266</v>
      </c>
      <c r="I3916" t="s">
        <v>69</v>
      </c>
      <c r="J3916" t="s">
        <v>18</v>
      </c>
      <c r="K3916" t="s">
        <v>19</v>
      </c>
      <c r="L3916" t="s">
        <v>70</v>
      </c>
      <c r="M3916" t="s">
        <v>44</v>
      </c>
      <c r="N3916" t="s">
        <v>22</v>
      </c>
    </row>
    <row r="3917" spans="1:14">
      <c r="A3917" s="4" t="str">
        <f t="shared" si="370"/>
        <v>EXP00121</v>
      </c>
      <c r="B3917" s="4" t="str">
        <f t="shared" si="371"/>
        <v>16542501</v>
      </c>
      <c r="C3917" s="4" t="str">
        <f t="shared" si="372"/>
        <v>GSE3964</v>
      </c>
      <c r="D3917" s="1" t="s">
        <v>238</v>
      </c>
      <c r="E3917" t="s">
        <v>72</v>
      </c>
      <c r="F3917" s="1">
        <v>1</v>
      </c>
      <c r="G3917" s="1" t="s">
        <v>26</v>
      </c>
      <c r="H3917" s="4" t="str">
        <f>HYPERLINK("https://www.ncbi.nlm.nih.gov/geo/query/acc.cgi?acc=GSM89267","GSM89267")</f>
        <v>GSM89267</v>
      </c>
      <c r="I3917" t="s">
        <v>69</v>
      </c>
      <c r="J3917" t="s">
        <v>18</v>
      </c>
      <c r="K3917" t="s">
        <v>19</v>
      </c>
      <c r="L3917" t="s">
        <v>70</v>
      </c>
      <c r="M3917" t="s">
        <v>44</v>
      </c>
      <c r="N3917" t="s">
        <v>22</v>
      </c>
    </row>
    <row r="3918" spans="1:14">
      <c r="A3918" s="4" t="str">
        <f t="shared" si="370"/>
        <v>EXP00121</v>
      </c>
      <c r="B3918" s="4" t="str">
        <f t="shared" si="371"/>
        <v>16542501</v>
      </c>
      <c r="C3918" s="4" t="str">
        <f t="shared" si="372"/>
        <v>GSE3964</v>
      </c>
      <c r="D3918" s="1" t="s">
        <v>238</v>
      </c>
      <c r="E3918" t="s">
        <v>72</v>
      </c>
      <c r="F3918" s="1">
        <v>1</v>
      </c>
      <c r="G3918" s="1" t="s">
        <v>26</v>
      </c>
      <c r="H3918" s="4" t="str">
        <f>HYPERLINK("https://www.ncbi.nlm.nih.gov/geo/query/acc.cgi?acc=GSM89268","GSM89268")</f>
        <v>GSM89268</v>
      </c>
      <c r="I3918" t="s">
        <v>69</v>
      </c>
      <c r="J3918" t="s">
        <v>18</v>
      </c>
      <c r="K3918" t="s">
        <v>19</v>
      </c>
      <c r="L3918" t="s">
        <v>70</v>
      </c>
      <c r="M3918" t="s">
        <v>44</v>
      </c>
      <c r="N3918" t="s">
        <v>22</v>
      </c>
    </row>
    <row r="3919" spans="1:14">
      <c r="A3919" s="4" t="str">
        <f t="shared" si="370"/>
        <v>EXP00121</v>
      </c>
      <c r="B3919" s="4" t="str">
        <f t="shared" si="371"/>
        <v>16542501</v>
      </c>
      <c r="C3919" s="4" t="str">
        <f t="shared" si="372"/>
        <v>GSE3964</v>
      </c>
      <c r="D3919" s="1" t="s">
        <v>238</v>
      </c>
      <c r="E3919" t="s">
        <v>72</v>
      </c>
      <c r="F3919" s="1">
        <v>1</v>
      </c>
      <c r="G3919" s="1" t="s">
        <v>26</v>
      </c>
      <c r="H3919" s="4" t="str">
        <f>HYPERLINK("https://www.ncbi.nlm.nih.gov/geo/query/acc.cgi?acc=GSM89269","GSM89269")</f>
        <v>GSM89269</v>
      </c>
      <c r="I3919" t="s">
        <v>69</v>
      </c>
      <c r="J3919" t="s">
        <v>18</v>
      </c>
      <c r="K3919" t="s">
        <v>19</v>
      </c>
      <c r="L3919" t="s">
        <v>70</v>
      </c>
      <c r="M3919" t="s">
        <v>44</v>
      </c>
      <c r="N3919" t="s">
        <v>22</v>
      </c>
    </row>
    <row r="3920" spans="1:14">
      <c r="A3920" s="4" t="str">
        <f t="shared" si="370"/>
        <v>EXP00121</v>
      </c>
      <c r="B3920" s="4" t="str">
        <f t="shared" si="371"/>
        <v>16542501</v>
      </c>
      <c r="C3920" s="4" t="str">
        <f t="shared" si="372"/>
        <v>GSE3964</v>
      </c>
      <c r="D3920" s="1" t="s">
        <v>238</v>
      </c>
      <c r="E3920" t="s">
        <v>72</v>
      </c>
      <c r="F3920" s="1">
        <v>1</v>
      </c>
      <c r="G3920" s="1" t="s">
        <v>26</v>
      </c>
      <c r="H3920" s="4" t="str">
        <f>HYPERLINK("https://www.ncbi.nlm.nih.gov/geo/query/acc.cgi?acc=GSM89270","GSM89270")</f>
        <v>GSM89270</v>
      </c>
      <c r="I3920" t="s">
        <v>69</v>
      </c>
      <c r="J3920" t="s">
        <v>18</v>
      </c>
      <c r="K3920" t="s">
        <v>19</v>
      </c>
      <c r="L3920" t="s">
        <v>70</v>
      </c>
      <c r="M3920" t="s">
        <v>44</v>
      </c>
      <c r="N3920" t="s">
        <v>22</v>
      </c>
    </row>
    <row r="3921" spans="1:14">
      <c r="A3921" s="4" t="str">
        <f t="shared" si="370"/>
        <v>EXP00121</v>
      </c>
      <c r="B3921" s="4" t="str">
        <f t="shared" si="371"/>
        <v>16542501</v>
      </c>
      <c r="C3921" s="4" t="str">
        <f t="shared" si="372"/>
        <v>GSE3964</v>
      </c>
      <c r="D3921" s="1" t="s">
        <v>238</v>
      </c>
      <c r="E3921" t="s">
        <v>72</v>
      </c>
      <c r="F3921" s="1">
        <v>1</v>
      </c>
      <c r="G3921" s="1" t="s">
        <v>26</v>
      </c>
      <c r="H3921" s="4" t="str">
        <f>HYPERLINK("https://www.ncbi.nlm.nih.gov/geo/query/acc.cgi?acc=GSM89271","GSM89271")</f>
        <v>GSM89271</v>
      </c>
      <c r="I3921" t="s">
        <v>69</v>
      </c>
      <c r="J3921" t="s">
        <v>18</v>
      </c>
      <c r="K3921" t="s">
        <v>19</v>
      </c>
      <c r="L3921" t="s">
        <v>70</v>
      </c>
      <c r="M3921" t="s">
        <v>44</v>
      </c>
      <c r="N3921" t="s">
        <v>22</v>
      </c>
    </row>
    <row r="3922" spans="1:14">
      <c r="A3922" s="4" t="str">
        <f t="shared" si="370"/>
        <v>EXP00121</v>
      </c>
      <c r="B3922" s="4" t="str">
        <f t="shared" si="371"/>
        <v>16542501</v>
      </c>
      <c r="C3922" s="4" t="str">
        <f t="shared" si="372"/>
        <v>GSE3964</v>
      </c>
      <c r="D3922" s="1" t="s">
        <v>238</v>
      </c>
      <c r="E3922" t="s">
        <v>72</v>
      </c>
      <c r="F3922" s="1">
        <v>1</v>
      </c>
      <c r="G3922" s="1" t="s">
        <v>26</v>
      </c>
      <c r="H3922" s="4" t="str">
        <f>HYPERLINK("https://www.ncbi.nlm.nih.gov/geo/query/acc.cgi?acc=GSM89272","GSM89272")</f>
        <v>GSM89272</v>
      </c>
      <c r="I3922" t="s">
        <v>69</v>
      </c>
      <c r="J3922" t="s">
        <v>18</v>
      </c>
      <c r="K3922" t="s">
        <v>19</v>
      </c>
      <c r="L3922" t="s">
        <v>70</v>
      </c>
      <c r="M3922" t="s">
        <v>44</v>
      </c>
      <c r="N3922" t="s">
        <v>22</v>
      </c>
    </row>
    <row r="3923" spans="1:14">
      <c r="A3923" s="4" t="str">
        <f t="shared" si="370"/>
        <v>EXP00121</v>
      </c>
      <c r="B3923" s="4" t="str">
        <f t="shared" si="371"/>
        <v>16542501</v>
      </c>
      <c r="C3923" s="4" t="str">
        <f t="shared" si="372"/>
        <v>GSE3964</v>
      </c>
      <c r="D3923" s="1" t="s">
        <v>238</v>
      </c>
      <c r="E3923" t="s">
        <v>72</v>
      </c>
      <c r="F3923" s="1">
        <v>1</v>
      </c>
      <c r="G3923" s="1" t="s">
        <v>26</v>
      </c>
      <c r="H3923" s="4" t="str">
        <f>HYPERLINK("https://www.ncbi.nlm.nih.gov/geo/query/acc.cgi?acc=GSM89273","GSM89273")</f>
        <v>GSM89273</v>
      </c>
      <c r="I3923" t="s">
        <v>69</v>
      </c>
      <c r="J3923" t="s">
        <v>18</v>
      </c>
      <c r="K3923" t="s">
        <v>19</v>
      </c>
      <c r="L3923" t="s">
        <v>70</v>
      </c>
      <c r="M3923" t="s">
        <v>44</v>
      </c>
      <c r="N3923" t="s">
        <v>22</v>
      </c>
    </row>
    <row r="3924" spans="1:14">
      <c r="A3924" s="4" t="str">
        <f t="shared" si="370"/>
        <v>EXP00121</v>
      </c>
      <c r="B3924" s="4" t="str">
        <f t="shared" si="371"/>
        <v>16542501</v>
      </c>
      <c r="C3924" s="4" t="str">
        <f t="shared" si="372"/>
        <v>GSE3964</v>
      </c>
      <c r="D3924" s="1" t="s">
        <v>238</v>
      </c>
      <c r="E3924" t="s">
        <v>72</v>
      </c>
      <c r="F3924" s="1">
        <v>1</v>
      </c>
      <c r="G3924" s="1" t="s">
        <v>26</v>
      </c>
      <c r="H3924" s="4" t="str">
        <f>HYPERLINK("https://www.ncbi.nlm.nih.gov/geo/query/acc.cgi?acc=GSM89274","GSM89274")</f>
        <v>GSM89274</v>
      </c>
      <c r="I3924" t="s">
        <v>69</v>
      </c>
      <c r="J3924" t="s">
        <v>18</v>
      </c>
      <c r="K3924" t="s">
        <v>19</v>
      </c>
      <c r="L3924" t="s">
        <v>70</v>
      </c>
      <c r="M3924" t="s">
        <v>44</v>
      </c>
      <c r="N3924" t="s">
        <v>22</v>
      </c>
    </row>
    <row r="3925" spans="1:14">
      <c r="A3925" s="4" t="str">
        <f t="shared" si="370"/>
        <v>EXP00121</v>
      </c>
      <c r="B3925" s="4" t="str">
        <f t="shared" si="371"/>
        <v>16542501</v>
      </c>
      <c r="C3925" s="4" t="str">
        <f t="shared" si="372"/>
        <v>GSE3964</v>
      </c>
      <c r="D3925" s="1" t="s">
        <v>238</v>
      </c>
      <c r="E3925" t="s">
        <v>72</v>
      </c>
      <c r="F3925" s="1">
        <v>1</v>
      </c>
      <c r="G3925" s="1" t="s">
        <v>26</v>
      </c>
      <c r="H3925" s="4" t="str">
        <f>HYPERLINK("https://www.ncbi.nlm.nih.gov/geo/query/acc.cgi?acc=GSM89275","GSM89275")</f>
        <v>GSM89275</v>
      </c>
      <c r="I3925" t="s">
        <v>69</v>
      </c>
      <c r="J3925" t="s">
        <v>18</v>
      </c>
      <c r="K3925" t="s">
        <v>19</v>
      </c>
      <c r="L3925" t="s">
        <v>70</v>
      </c>
      <c r="M3925" t="s">
        <v>44</v>
      </c>
      <c r="N3925" t="s">
        <v>22</v>
      </c>
    </row>
    <row r="3926" spans="1:14">
      <c r="A3926" s="4" t="str">
        <f t="shared" si="370"/>
        <v>EXP00121</v>
      </c>
      <c r="B3926" s="4" t="str">
        <f t="shared" si="371"/>
        <v>16542501</v>
      </c>
      <c r="C3926" s="4" t="str">
        <f t="shared" si="372"/>
        <v>GSE3964</v>
      </c>
      <c r="D3926" s="1" t="s">
        <v>238</v>
      </c>
      <c r="E3926" t="s">
        <v>72</v>
      </c>
      <c r="F3926" s="1">
        <v>2</v>
      </c>
      <c r="G3926" s="1" t="s">
        <v>28</v>
      </c>
      <c r="H3926" s="4" t="str">
        <f>HYPERLINK("https://www.ncbi.nlm.nih.gov/geo/query/acc.cgi?acc=GSM89282","GSM89282")</f>
        <v>GSM89282</v>
      </c>
      <c r="I3926" t="s">
        <v>69</v>
      </c>
      <c r="J3926" t="s">
        <v>18</v>
      </c>
      <c r="K3926" t="s">
        <v>19</v>
      </c>
      <c r="L3926" t="s">
        <v>70</v>
      </c>
      <c r="M3926" t="s">
        <v>44</v>
      </c>
      <c r="N3926" t="s">
        <v>29</v>
      </c>
    </row>
    <row r="3927" spans="1:14">
      <c r="A3927" s="4" t="str">
        <f t="shared" si="370"/>
        <v>EXP00121</v>
      </c>
      <c r="B3927" s="4" t="str">
        <f t="shared" si="371"/>
        <v>16542501</v>
      </c>
      <c r="C3927" s="4" t="str">
        <f t="shared" si="372"/>
        <v>GSE3964</v>
      </c>
      <c r="D3927" s="1" t="s">
        <v>238</v>
      </c>
      <c r="E3927" t="s">
        <v>72</v>
      </c>
      <c r="F3927" s="1">
        <v>2</v>
      </c>
      <c r="G3927" s="1" t="s">
        <v>28</v>
      </c>
      <c r="H3927" s="4" t="str">
        <f>HYPERLINK("https://www.ncbi.nlm.nih.gov/geo/query/acc.cgi?acc=GSM89283","GSM89283")</f>
        <v>GSM89283</v>
      </c>
      <c r="I3927" t="s">
        <v>69</v>
      </c>
      <c r="J3927" t="s">
        <v>18</v>
      </c>
      <c r="K3927" t="s">
        <v>19</v>
      </c>
      <c r="L3927" t="s">
        <v>70</v>
      </c>
      <c r="M3927" t="s">
        <v>44</v>
      </c>
      <c r="N3927" t="s">
        <v>29</v>
      </c>
    </row>
    <row r="3928" spans="1:14">
      <c r="A3928" s="4" t="str">
        <f t="shared" si="370"/>
        <v>EXP00121</v>
      </c>
      <c r="B3928" s="4" t="str">
        <f t="shared" si="371"/>
        <v>16542501</v>
      </c>
      <c r="C3928" s="4" t="str">
        <f t="shared" si="372"/>
        <v>GSE3964</v>
      </c>
      <c r="D3928" s="1" t="s">
        <v>238</v>
      </c>
      <c r="E3928" t="s">
        <v>72</v>
      </c>
      <c r="F3928" s="1">
        <v>2</v>
      </c>
      <c r="G3928" s="1" t="s">
        <v>28</v>
      </c>
      <c r="H3928" s="4" t="str">
        <f>HYPERLINK("https://www.ncbi.nlm.nih.gov/geo/query/acc.cgi?acc=GSM89424","GSM89424")</f>
        <v>GSM89424</v>
      </c>
      <c r="I3928" t="s">
        <v>69</v>
      </c>
      <c r="J3928" t="s">
        <v>18</v>
      </c>
      <c r="K3928" t="s">
        <v>19</v>
      </c>
      <c r="L3928" t="s">
        <v>70</v>
      </c>
      <c r="M3928" t="s">
        <v>44</v>
      </c>
      <c r="N3928" t="s">
        <v>29</v>
      </c>
    </row>
    <row r="3929" spans="1:14">
      <c r="A3929" s="4" t="str">
        <f t="shared" si="370"/>
        <v>EXP00121</v>
      </c>
      <c r="B3929" s="4" t="str">
        <f t="shared" si="371"/>
        <v>16542501</v>
      </c>
      <c r="C3929" s="4" t="str">
        <f t="shared" si="372"/>
        <v>GSE3964</v>
      </c>
      <c r="D3929" s="1" t="s">
        <v>238</v>
      </c>
      <c r="E3929" t="s">
        <v>72</v>
      </c>
      <c r="F3929" s="1">
        <v>2</v>
      </c>
      <c r="G3929" s="1" t="s">
        <v>28</v>
      </c>
      <c r="H3929" s="4" t="str">
        <f>HYPERLINK("https://www.ncbi.nlm.nih.gov/geo/query/acc.cgi?acc=GSM89425","GSM89425")</f>
        <v>GSM89425</v>
      </c>
      <c r="I3929" t="s">
        <v>69</v>
      </c>
      <c r="J3929" t="s">
        <v>18</v>
      </c>
      <c r="K3929" t="s">
        <v>19</v>
      </c>
      <c r="L3929" t="s">
        <v>70</v>
      </c>
      <c r="M3929" t="s">
        <v>44</v>
      </c>
      <c r="N3929" t="s">
        <v>29</v>
      </c>
    </row>
    <row r="3930" spans="1:14">
      <c r="A3930" s="4" t="str">
        <f t="shared" si="370"/>
        <v>EXP00121</v>
      </c>
      <c r="B3930" s="4" t="str">
        <f t="shared" si="371"/>
        <v>16542501</v>
      </c>
      <c r="C3930" s="4" t="str">
        <f t="shared" si="372"/>
        <v>GSE3964</v>
      </c>
      <c r="D3930" s="1" t="s">
        <v>238</v>
      </c>
      <c r="E3930" t="s">
        <v>72</v>
      </c>
      <c r="F3930" s="1">
        <v>2</v>
      </c>
      <c r="G3930" s="1" t="s">
        <v>28</v>
      </c>
      <c r="H3930" s="4" t="str">
        <f>HYPERLINK("https://www.ncbi.nlm.nih.gov/geo/query/acc.cgi?acc=GSM89426","GSM89426")</f>
        <v>GSM89426</v>
      </c>
      <c r="I3930" t="s">
        <v>69</v>
      </c>
      <c r="J3930" t="s">
        <v>18</v>
      </c>
      <c r="K3930" t="s">
        <v>19</v>
      </c>
      <c r="L3930" t="s">
        <v>70</v>
      </c>
      <c r="M3930" t="s">
        <v>44</v>
      </c>
      <c r="N3930" t="s">
        <v>29</v>
      </c>
    </row>
    <row r="3931" spans="1:14">
      <c r="A3931" s="4" t="str">
        <f t="shared" si="370"/>
        <v>EXP00121</v>
      </c>
      <c r="B3931" s="4" t="str">
        <f t="shared" si="371"/>
        <v>16542501</v>
      </c>
      <c r="C3931" s="4" t="str">
        <f t="shared" si="372"/>
        <v>GSE3964</v>
      </c>
      <c r="D3931" s="1" t="s">
        <v>238</v>
      </c>
      <c r="E3931" t="s">
        <v>72</v>
      </c>
      <c r="F3931" s="1">
        <v>2</v>
      </c>
      <c r="G3931" s="1" t="s">
        <v>28</v>
      </c>
      <c r="H3931" s="4" t="str">
        <f>HYPERLINK("https://www.ncbi.nlm.nih.gov/geo/query/acc.cgi?acc=GSM89427","GSM89427")</f>
        <v>GSM89427</v>
      </c>
      <c r="I3931" t="s">
        <v>69</v>
      </c>
      <c r="J3931" t="s">
        <v>18</v>
      </c>
      <c r="K3931" t="s">
        <v>19</v>
      </c>
      <c r="L3931" t="s">
        <v>70</v>
      </c>
      <c r="M3931" t="s">
        <v>44</v>
      </c>
      <c r="N3931" t="s">
        <v>29</v>
      </c>
    </row>
    <row r="3932" spans="1:14">
      <c r="A3932" s="4" t="str">
        <f t="shared" si="370"/>
        <v>EXP00121</v>
      </c>
      <c r="B3932" s="4" t="str">
        <f t="shared" si="371"/>
        <v>16542501</v>
      </c>
      <c r="C3932" s="4" t="str">
        <f t="shared" si="372"/>
        <v>GSE3964</v>
      </c>
      <c r="D3932" s="1" t="s">
        <v>238</v>
      </c>
      <c r="E3932" t="s">
        <v>72</v>
      </c>
      <c r="F3932" s="1">
        <v>2</v>
      </c>
      <c r="G3932" s="1" t="s">
        <v>28</v>
      </c>
      <c r="H3932" s="4" t="str">
        <f>HYPERLINK("https://www.ncbi.nlm.nih.gov/geo/query/acc.cgi?acc=GSM89428","GSM89428")</f>
        <v>GSM89428</v>
      </c>
      <c r="I3932" t="s">
        <v>69</v>
      </c>
      <c r="J3932" t="s">
        <v>18</v>
      </c>
      <c r="K3932" t="s">
        <v>19</v>
      </c>
      <c r="L3932" t="s">
        <v>70</v>
      </c>
      <c r="M3932" t="s">
        <v>44</v>
      </c>
      <c r="N3932" t="s">
        <v>29</v>
      </c>
    </row>
    <row r="3933" spans="1:14">
      <c r="A3933" s="4" t="str">
        <f t="shared" si="370"/>
        <v>EXP00121</v>
      </c>
      <c r="B3933" s="4" t="str">
        <f t="shared" si="371"/>
        <v>16542501</v>
      </c>
      <c r="C3933" s="4" t="str">
        <f t="shared" si="372"/>
        <v>GSE3964</v>
      </c>
      <c r="D3933" s="1" t="s">
        <v>238</v>
      </c>
      <c r="E3933" t="s">
        <v>72</v>
      </c>
      <c r="F3933" s="1">
        <v>2</v>
      </c>
      <c r="G3933" s="1" t="s">
        <v>28</v>
      </c>
      <c r="H3933" s="4" t="str">
        <f>HYPERLINK("https://www.ncbi.nlm.nih.gov/geo/query/acc.cgi?acc=GSM89429","GSM89429")</f>
        <v>GSM89429</v>
      </c>
      <c r="I3933" t="s">
        <v>69</v>
      </c>
      <c r="J3933" t="s">
        <v>18</v>
      </c>
      <c r="K3933" t="s">
        <v>19</v>
      </c>
      <c r="L3933" t="s">
        <v>70</v>
      </c>
      <c r="M3933" t="s">
        <v>44</v>
      </c>
      <c r="N3933" t="s">
        <v>29</v>
      </c>
    </row>
    <row r="3934" spans="1:14">
      <c r="A3934" s="4" t="str">
        <f t="shared" si="370"/>
        <v>EXP00121</v>
      </c>
      <c r="B3934" s="4" t="str">
        <f t="shared" si="371"/>
        <v>16542501</v>
      </c>
      <c r="C3934" s="4" t="str">
        <f t="shared" si="372"/>
        <v>GSE3964</v>
      </c>
      <c r="D3934" s="1" t="s">
        <v>238</v>
      </c>
      <c r="E3934" t="s">
        <v>72</v>
      </c>
      <c r="F3934" s="1">
        <v>2</v>
      </c>
      <c r="G3934" s="1" t="s">
        <v>28</v>
      </c>
      <c r="H3934" s="4" t="str">
        <f>HYPERLINK("https://www.ncbi.nlm.nih.gov/geo/query/acc.cgi?acc=GSM89430","GSM89430")</f>
        <v>GSM89430</v>
      </c>
      <c r="I3934" t="s">
        <v>69</v>
      </c>
      <c r="J3934" t="s">
        <v>18</v>
      </c>
      <c r="K3934" t="s">
        <v>19</v>
      </c>
      <c r="L3934" t="s">
        <v>70</v>
      </c>
      <c r="M3934" t="s">
        <v>44</v>
      </c>
      <c r="N3934" t="s">
        <v>29</v>
      </c>
    </row>
    <row r="3935" spans="1:14">
      <c r="A3935" s="4" t="str">
        <f t="shared" ref="A3935:A3949" si="373">HYPERLINK("http://hcmdb.i-sanger.com/experiment/details/experiment_id/EXP00122","EXP00122")</f>
        <v>EXP00122</v>
      </c>
      <c r="B3935" s="4" t="str">
        <f t="shared" si="371"/>
        <v>16542501</v>
      </c>
      <c r="C3935" s="4" t="str">
        <f t="shared" si="372"/>
        <v>GSE3964</v>
      </c>
      <c r="D3935" s="1" t="s">
        <v>238</v>
      </c>
      <c r="E3935" t="s">
        <v>73</v>
      </c>
      <c r="F3935" s="1">
        <v>1</v>
      </c>
      <c r="G3935" s="1" t="s">
        <v>36</v>
      </c>
      <c r="H3935" s="4" t="str">
        <f>HYPERLINK("https://www.ncbi.nlm.nih.gov/geo/query/acc.cgi?acc=GSM89276","GSM89276")</f>
        <v>GSM89276</v>
      </c>
      <c r="I3935" t="s">
        <v>69</v>
      </c>
      <c r="J3935" t="s">
        <v>18</v>
      </c>
      <c r="K3935" t="s">
        <v>19</v>
      </c>
      <c r="L3935" t="s">
        <v>70</v>
      </c>
      <c r="M3935" t="s">
        <v>44</v>
      </c>
      <c r="N3935" t="s">
        <v>37</v>
      </c>
    </row>
    <row r="3936" spans="1:14">
      <c r="A3936" s="4" t="str">
        <f t="shared" si="373"/>
        <v>EXP00122</v>
      </c>
      <c r="B3936" s="4" t="str">
        <f t="shared" si="371"/>
        <v>16542501</v>
      </c>
      <c r="C3936" s="4" t="str">
        <f t="shared" si="372"/>
        <v>GSE3964</v>
      </c>
      <c r="D3936" s="1" t="s">
        <v>238</v>
      </c>
      <c r="E3936" t="s">
        <v>73</v>
      </c>
      <c r="F3936" s="1">
        <v>1</v>
      </c>
      <c r="G3936" s="1" t="s">
        <v>36</v>
      </c>
      <c r="H3936" s="4" t="str">
        <f>HYPERLINK("https://www.ncbi.nlm.nih.gov/geo/query/acc.cgi?acc=GSM89277","GSM89277")</f>
        <v>GSM89277</v>
      </c>
      <c r="I3936" t="s">
        <v>69</v>
      </c>
      <c r="J3936" t="s">
        <v>18</v>
      </c>
      <c r="K3936" t="s">
        <v>19</v>
      </c>
      <c r="L3936" t="s">
        <v>70</v>
      </c>
      <c r="M3936" t="s">
        <v>44</v>
      </c>
      <c r="N3936" t="s">
        <v>37</v>
      </c>
    </row>
    <row r="3937" spans="1:14">
      <c r="A3937" s="4" t="str">
        <f t="shared" si="373"/>
        <v>EXP00122</v>
      </c>
      <c r="B3937" s="4" t="str">
        <f t="shared" si="371"/>
        <v>16542501</v>
      </c>
      <c r="C3937" s="4" t="str">
        <f t="shared" si="372"/>
        <v>GSE3964</v>
      </c>
      <c r="D3937" s="1" t="s">
        <v>238</v>
      </c>
      <c r="E3937" t="s">
        <v>73</v>
      </c>
      <c r="F3937" s="1">
        <v>1</v>
      </c>
      <c r="G3937" s="1" t="s">
        <v>36</v>
      </c>
      <c r="H3937" s="4" t="str">
        <f>HYPERLINK("https://www.ncbi.nlm.nih.gov/geo/query/acc.cgi?acc=GSM89278","GSM89278")</f>
        <v>GSM89278</v>
      </c>
      <c r="I3937" t="s">
        <v>69</v>
      </c>
      <c r="J3937" t="s">
        <v>18</v>
      </c>
      <c r="K3937" t="s">
        <v>19</v>
      </c>
      <c r="L3937" t="s">
        <v>70</v>
      </c>
      <c r="M3937" t="s">
        <v>44</v>
      </c>
      <c r="N3937" t="s">
        <v>37</v>
      </c>
    </row>
    <row r="3938" spans="1:14">
      <c r="A3938" s="4" t="str">
        <f t="shared" si="373"/>
        <v>EXP00122</v>
      </c>
      <c r="B3938" s="4" t="str">
        <f t="shared" si="371"/>
        <v>16542501</v>
      </c>
      <c r="C3938" s="4" t="str">
        <f t="shared" si="372"/>
        <v>GSE3964</v>
      </c>
      <c r="D3938" s="1" t="s">
        <v>238</v>
      </c>
      <c r="E3938" t="s">
        <v>73</v>
      </c>
      <c r="F3938" s="1">
        <v>1</v>
      </c>
      <c r="G3938" s="1" t="s">
        <v>36</v>
      </c>
      <c r="H3938" s="4" t="str">
        <f>HYPERLINK("https://www.ncbi.nlm.nih.gov/geo/query/acc.cgi?acc=GSM89279","GSM89279")</f>
        <v>GSM89279</v>
      </c>
      <c r="I3938" t="s">
        <v>69</v>
      </c>
      <c r="J3938" t="s">
        <v>18</v>
      </c>
      <c r="K3938" t="s">
        <v>19</v>
      </c>
      <c r="L3938" t="s">
        <v>70</v>
      </c>
      <c r="M3938" t="s">
        <v>44</v>
      </c>
      <c r="N3938" t="s">
        <v>37</v>
      </c>
    </row>
    <row r="3939" spans="1:14">
      <c r="A3939" s="4" t="str">
        <f t="shared" si="373"/>
        <v>EXP00122</v>
      </c>
      <c r="B3939" s="4" t="str">
        <f t="shared" si="371"/>
        <v>16542501</v>
      </c>
      <c r="C3939" s="4" t="str">
        <f t="shared" si="372"/>
        <v>GSE3964</v>
      </c>
      <c r="D3939" s="1" t="s">
        <v>238</v>
      </c>
      <c r="E3939" t="s">
        <v>73</v>
      </c>
      <c r="F3939" s="1">
        <v>1</v>
      </c>
      <c r="G3939" s="1" t="s">
        <v>36</v>
      </c>
      <c r="H3939" s="4" t="str">
        <f>HYPERLINK("https://www.ncbi.nlm.nih.gov/geo/query/acc.cgi?acc=GSM89280","GSM89280")</f>
        <v>GSM89280</v>
      </c>
      <c r="I3939" t="s">
        <v>69</v>
      </c>
      <c r="J3939" t="s">
        <v>18</v>
      </c>
      <c r="K3939" t="s">
        <v>19</v>
      </c>
      <c r="L3939" t="s">
        <v>70</v>
      </c>
      <c r="M3939" t="s">
        <v>44</v>
      </c>
      <c r="N3939" t="s">
        <v>37</v>
      </c>
    </row>
    <row r="3940" spans="1:14">
      <c r="A3940" s="4" t="str">
        <f t="shared" si="373"/>
        <v>EXP00122</v>
      </c>
      <c r="B3940" s="4" t="str">
        <f t="shared" si="371"/>
        <v>16542501</v>
      </c>
      <c r="C3940" s="4" t="str">
        <f t="shared" si="372"/>
        <v>GSE3964</v>
      </c>
      <c r="D3940" s="1" t="s">
        <v>238</v>
      </c>
      <c r="E3940" t="s">
        <v>73</v>
      </c>
      <c r="F3940" s="1">
        <v>1</v>
      </c>
      <c r="G3940" s="1" t="s">
        <v>36</v>
      </c>
      <c r="H3940" s="4" t="str">
        <f>HYPERLINK("https://www.ncbi.nlm.nih.gov/geo/query/acc.cgi?acc=GSM89281","GSM89281")</f>
        <v>GSM89281</v>
      </c>
      <c r="I3940" t="s">
        <v>69</v>
      </c>
      <c r="J3940" t="s">
        <v>18</v>
      </c>
      <c r="K3940" t="s">
        <v>19</v>
      </c>
      <c r="L3940" t="s">
        <v>70</v>
      </c>
      <c r="M3940" t="s">
        <v>44</v>
      </c>
      <c r="N3940" t="s">
        <v>37</v>
      </c>
    </row>
    <row r="3941" spans="1:14">
      <c r="A3941" s="4" t="str">
        <f t="shared" si="373"/>
        <v>EXP00122</v>
      </c>
      <c r="B3941" s="4" t="str">
        <f t="shared" si="371"/>
        <v>16542501</v>
      </c>
      <c r="C3941" s="4" t="str">
        <f t="shared" si="372"/>
        <v>GSE3964</v>
      </c>
      <c r="D3941" s="1" t="s">
        <v>238</v>
      </c>
      <c r="E3941" t="s">
        <v>73</v>
      </c>
      <c r="F3941" s="1">
        <v>2</v>
      </c>
      <c r="G3941" s="1" t="s">
        <v>28</v>
      </c>
      <c r="H3941" s="4" t="str">
        <f>HYPERLINK("https://www.ncbi.nlm.nih.gov/geo/query/acc.cgi?acc=GSM89282","GSM89282")</f>
        <v>GSM89282</v>
      </c>
      <c r="I3941" t="s">
        <v>69</v>
      </c>
      <c r="J3941" t="s">
        <v>18</v>
      </c>
      <c r="K3941" t="s">
        <v>19</v>
      </c>
      <c r="L3941" t="s">
        <v>70</v>
      </c>
      <c r="M3941" t="s">
        <v>44</v>
      </c>
      <c r="N3941" t="s">
        <v>29</v>
      </c>
    </row>
    <row r="3942" spans="1:14">
      <c r="A3942" s="4" t="str">
        <f t="shared" si="373"/>
        <v>EXP00122</v>
      </c>
      <c r="B3942" s="4" t="str">
        <f t="shared" si="371"/>
        <v>16542501</v>
      </c>
      <c r="C3942" s="4" t="str">
        <f t="shared" si="372"/>
        <v>GSE3964</v>
      </c>
      <c r="D3942" s="1" t="s">
        <v>238</v>
      </c>
      <c r="E3942" t="s">
        <v>73</v>
      </c>
      <c r="F3942" s="1">
        <v>2</v>
      </c>
      <c r="G3942" s="1" t="s">
        <v>28</v>
      </c>
      <c r="H3942" s="4" t="str">
        <f>HYPERLINK("https://www.ncbi.nlm.nih.gov/geo/query/acc.cgi?acc=GSM89283","GSM89283")</f>
        <v>GSM89283</v>
      </c>
      <c r="I3942" t="s">
        <v>69</v>
      </c>
      <c r="J3942" t="s">
        <v>18</v>
      </c>
      <c r="K3942" t="s">
        <v>19</v>
      </c>
      <c r="L3942" t="s">
        <v>70</v>
      </c>
      <c r="M3942" t="s">
        <v>44</v>
      </c>
      <c r="N3942" t="s">
        <v>29</v>
      </c>
    </row>
    <row r="3943" spans="1:14">
      <c r="A3943" s="4" t="str">
        <f t="shared" si="373"/>
        <v>EXP00122</v>
      </c>
      <c r="B3943" s="4" t="str">
        <f t="shared" si="371"/>
        <v>16542501</v>
      </c>
      <c r="C3943" s="4" t="str">
        <f t="shared" si="372"/>
        <v>GSE3964</v>
      </c>
      <c r="D3943" s="1" t="s">
        <v>238</v>
      </c>
      <c r="E3943" t="s">
        <v>73</v>
      </c>
      <c r="F3943" s="1">
        <v>2</v>
      </c>
      <c r="G3943" s="1" t="s">
        <v>28</v>
      </c>
      <c r="H3943" s="4" t="str">
        <f>HYPERLINK("https://www.ncbi.nlm.nih.gov/geo/query/acc.cgi?acc=GSM89424","GSM89424")</f>
        <v>GSM89424</v>
      </c>
      <c r="I3943" t="s">
        <v>69</v>
      </c>
      <c r="J3943" t="s">
        <v>18</v>
      </c>
      <c r="K3943" t="s">
        <v>19</v>
      </c>
      <c r="L3943" t="s">
        <v>70</v>
      </c>
      <c r="M3943" t="s">
        <v>44</v>
      </c>
      <c r="N3943" t="s">
        <v>29</v>
      </c>
    </row>
    <row r="3944" spans="1:14">
      <c r="A3944" s="4" t="str">
        <f t="shared" si="373"/>
        <v>EXP00122</v>
      </c>
      <c r="B3944" s="4" t="str">
        <f t="shared" si="371"/>
        <v>16542501</v>
      </c>
      <c r="C3944" s="4" t="str">
        <f t="shared" si="372"/>
        <v>GSE3964</v>
      </c>
      <c r="D3944" s="1" t="s">
        <v>238</v>
      </c>
      <c r="E3944" t="s">
        <v>73</v>
      </c>
      <c r="F3944" s="1">
        <v>2</v>
      </c>
      <c r="G3944" s="1" t="s">
        <v>28</v>
      </c>
      <c r="H3944" s="4" t="str">
        <f>HYPERLINK("https://www.ncbi.nlm.nih.gov/geo/query/acc.cgi?acc=GSM89425","GSM89425")</f>
        <v>GSM89425</v>
      </c>
      <c r="I3944" t="s">
        <v>69</v>
      </c>
      <c r="J3944" t="s">
        <v>18</v>
      </c>
      <c r="K3944" t="s">
        <v>19</v>
      </c>
      <c r="L3944" t="s">
        <v>70</v>
      </c>
      <c r="M3944" t="s">
        <v>44</v>
      </c>
      <c r="N3944" t="s">
        <v>29</v>
      </c>
    </row>
    <row r="3945" spans="1:14">
      <c r="A3945" s="4" t="str">
        <f t="shared" si="373"/>
        <v>EXP00122</v>
      </c>
      <c r="B3945" s="4" t="str">
        <f t="shared" si="371"/>
        <v>16542501</v>
      </c>
      <c r="C3945" s="4" t="str">
        <f t="shared" si="372"/>
        <v>GSE3964</v>
      </c>
      <c r="D3945" s="1" t="s">
        <v>238</v>
      </c>
      <c r="E3945" t="s">
        <v>73</v>
      </c>
      <c r="F3945" s="1">
        <v>2</v>
      </c>
      <c r="G3945" s="1" t="s">
        <v>28</v>
      </c>
      <c r="H3945" s="4" t="str">
        <f>HYPERLINK("https://www.ncbi.nlm.nih.gov/geo/query/acc.cgi?acc=GSM89426","GSM89426")</f>
        <v>GSM89426</v>
      </c>
      <c r="I3945" t="s">
        <v>69</v>
      </c>
      <c r="J3945" t="s">
        <v>18</v>
      </c>
      <c r="K3945" t="s">
        <v>19</v>
      </c>
      <c r="L3945" t="s">
        <v>70</v>
      </c>
      <c r="M3945" t="s">
        <v>44</v>
      </c>
      <c r="N3945" t="s">
        <v>29</v>
      </c>
    </row>
    <row r="3946" spans="1:14">
      <c r="A3946" s="4" t="str">
        <f t="shared" si="373"/>
        <v>EXP00122</v>
      </c>
      <c r="B3946" s="4" t="str">
        <f t="shared" si="371"/>
        <v>16542501</v>
      </c>
      <c r="C3946" s="4" t="str">
        <f t="shared" si="372"/>
        <v>GSE3964</v>
      </c>
      <c r="D3946" s="1" t="s">
        <v>238</v>
      </c>
      <c r="E3946" t="s">
        <v>73</v>
      </c>
      <c r="F3946" s="1">
        <v>2</v>
      </c>
      <c r="G3946" s="1" t="s">
        <v>28</v>
      </c>
      <c r="H3946" s="4" t="str">
        <f>HYPERLINK("https://www.ncbi.nlm.nih.gov/geo/query/acc.cgi?acc=GSM89427","GSM89427")</f>
        <v>GSM89427</v>
      </c>
      <c r="I3946" t="s">
        <v>69</v>
      </c>
      <c r="J3946" t="s">
        <v>18</v>
      </c>
      <c r="K3946" t="s">
        <v>19</v>
      </c>
      <c r="L3946" t="s">
        <v>70</v>
      </c>
      <c r="M3946" t="s">
        <v>44</v>
      </c>
      <c r="N3946" t="s">
        <v>29</v>
      </c>
    </row>
    <row r="3947" spans="1:14">
      <c r="A3947" s="4" t="str">
        <f t="shared" si="373"/>
        <v>EXP00122</v>
      </c>
      <c r="B3947" s="4" t="str">
        <f t="shared" si="371"/>
        <v>16542501</v>
      </c>
      <c r="C3947" s="4" t="str">
        <f t="shared" si="372"/>
        <v>GSE3964</v>
      </c>
      <c r="D3947" s="1" t="s">
        <v>238</v>
      </c>
      <c r="E3947" t="s">
        <v>73</v>
      </c>
      <c r="F3947" s="1">
        <v>2</v>
      </c>
      <c r="G3947" s="1" t="s">
        <v>28</v>
      </c>
      <c r="H3947" s="4" t="str">
        <f>HYPERLINK("https://www.ncbi.nlm.nih.gov/geo/query/acc.cgi?acc=GSM89428","GSM89428")</f>
        <v>GSM89428</v>
      </c>
      <c r="I3947" t="s">
        <v>69</v>
      </c>
      <c r="J3947" t="s">
        <v>18</v>
      </c>
      <c r="K3947" t="s">
        <v>19</v>
      </c>
      <c r="L3947" t="s">
        <v>70</v>
      </c>
      <c r="M3947" t="s">
        <v>44</v>
      </c>
      <c r="N3947" t="s">
        <v>29</v>
      </c>
    </row>
    <row r="3948" spans="1:14">
      <c r="A3948" s="4" t="str">
        <f t="shared" si="373"/>
        <v>EXP00122</v>
      </c>
      <c r="B3948" s="4" t="str">
        <f t="shared" si="371"/>
        <v>16542501</v>
      </c>
      <c r="C3948" s="4" t="str">
        <f t="shared" si="372"/>
        <v>GSE3964</v>
      </c>
      <c r="D3948" s="1" t="s">
        <v>238</v>
      </c>
      <c r="E3948" t="s">
        <v>73</v>
      </c>
      <c r="F3948" s="1">
        <v>2</v>
      </c>
      <c r="G3948" s="1" t="s">
        <v>28</v>
      </c>
      <c r="H3948" s="4" t="str">
        <f>HYPERLINK("https://www.ncbi.nlm.nih.gov/geo/query/acc.cgi?acc=GSM89429","GSM89429")</f>
        <v>GSM89429</v>
      </c>
      <c r="I3948" t="s">
        <v>69</v>
      </c>
      <c r="J3948" t="s">
        <v>18</v>
      </c>
      <c r="K3948" t="s">
        <v>19</v>
      </c>
      <c r="L3948" t="s">
        <v>70</v>
      </c>
      <c r="M3948" t="s">
        <v>44</v>
      </c>
      <c r="N3948" t="s">
        <v>29</v>
      </c>
    </row>
    <row r="3949" spans="1:14">
      <c r="A3949" s="4" t="str">
        <f t="shared" si="373"/>
        <v>EXP00122</v>
      </c>
      <c r="B3949" s="4" t="str">
        <f t="shared" si="371"/>
        <v>16542501</v>
      </c>
      <c r="C3949" s="4" t="str">
        <f t="shared" si="372"/>
        <v>GSE3964</v>
      </c>
      <c r="D3949" s="1" t="s">
        <v>238</v>
      </c>
      <c r="E3949" t="s">
        <v>73</v>
      </c>
      <c r="F3949" s="1">
        <v>2</v>
      </c>
      <c r="G3949" s="1" t="s">
        <v>28</v>
      </c>
      <c r="H3949" s="4" t="str">
        <f>HYPERLINK("https://www.ncbi.nlm.nih.gov/geo/query/acc.cgi?acc=GSM89430","GSM89430")</f>
        <v>GSM89430</v>
      </c>
      <c r="I3949" t="s">
        <v>69</v>
      </c>
      <c r="J3949" t="s">
        <v>18</v>
      </c>
      <c r="K3949" t="s">
        <v>19</v>
      </c>
      <c r="L3949" t="s">
        <v>70</v>
      </c>
      <c r="M3949" t="s">
        <v>44</v>
      </c>
      <c r="N3949" t="s">
        <v>29</v>
      </c>
    </row>
    <row r="3950" spans="1:14">
      <c r="A3950" s="4" t="str">
        <f t="shared" ref="A3950:A3983" si="374">HYPERLINK("http://hcmdb.i-sanger.com/experiment/details/experiment_id/EXP00123","EXP00123")</f>
        <v>EXP00123</v>
      </c>
      <c r="B3950" s="4" t="str">
        <f t="shared" ref="B3950:B3983" si="375">HYPERLINK("https://www.ncbi.nlm.nih.gov/pubmed/23319690","23319690")</f>
        <v>23319690</v>
      </c>
      <c r="C3950" s="4" t="str">
        <f t="shared" ref="C3950:C3983" si="376">HYPERLINK("https://www.ncbi.nlm.nih.gov/geo/query/acc.cgi?acc=GSE40018","GSE40018")</f>
        <v>GSE40018</v>
      </c>
      <c r="D3950" s="1" t="s">
        <v>239</v>
      </c>
      <c r="E3950" t="s">
        <v>240</v>
      </c>
      <c r="F3950" s="1">
        <v>1</v>
      </c>
      <c r="G3950" s="1" t="s">
        <v>31</v>
      </c>
      <c r="H3950" s="4" t="str">
        <f>HYPERLINK("https://www.ncbi.nlm.nih.gov/geo/query/acc.cgi?acc=GSM983678","GSM983678")</f>
        <v>GSM983678</v>
      </c>
      <c r="I3950" t="s">
        <v>241</v>
      </c>
      <c r="J3950" t="s">
        <v>18</v>
      </c>
      <c r="K3950" t="s">
        <v>19</v>
      </c>
      <c r="L3950" t="s">
        <v>242</v>
      </c>
      <c r="M3950" t="s">
        <v>51</v>
      </c>
      <c r="N3950" t="s">
        <v>29</v>
      </c>
    </row>
    <row r="3951" spans="1:14">
      <c r="A3951" s="4" t="str">
        <f t="shared" si="374"/>
        <v>EXP00123</v>
      </c>
      <c r="B3951" s="4" t="str">
        <f t="shared" si="375"/>
        <v>23319690</v>
      </c>
      <c r="C3951" s="4" t="str">
        <f t="shared" si="376"/>
        <v>GSE40018</v>
      </c>
      <c r="D3951" s="1" t="s">
        <v>239</v>
      </c>
      <c r="E3951" t="s">
        <v>240</v>
      </c>
      <c r="F3951" s="1">
        <v>1</v>
      </c>
      <c r="G3951" s="1" t="s">
        <v>31</v>
      </c>
      <c r="H3951" s="4" t="str">
        <f>HYPERLINK("https://www.ncbi.nlm.nih.gov/geo/query/acc.cgi?acc=GSM983679","GSM983679")</f>
        <v>GSM983679</v>
      </c>
      <c r="I3951" t="s">
        <v>241</v>
      </c>
      <c r="J3951" t="s">
        <v>18</v>
      </c>
      <c r="K3951" t="s">
        <v>19</v>
      </c>
      <c r="L3951" t="s">
        <v>242</v>
      </c>
      <c r="M3951" t="s">
        <v>51</v>
      </c>
      <c r="N3951" t="s">
        <v>29</v>
      </c>
    </row>
    <row r="3952" spans="1:14">
      <c r="A3952" s="4" t="str">
        <f t="shared" si="374"/>
        <v>EXP00123</v>
      </c>
      <c r="B3952" s="4" t="str">
        <f t="shared" si="375"/>
        <v>23319690</v>
      </c>
      <c r="C3952" s="4" t="str">
        <f t="shared" si="376"/>
        <v>GSE40018</v>
      </c>
      <c r="D3952" s="1" t="s">
        <v>239</v>
      </c>
      <c r="E3952" t="s">
        <v>240</v>
      </c>
      <c r="F3952" s="1">
        <v>1</v>
      </c>
      <c r="G3952" s="1" t="s">
        <v>31</v>
      </c>
      <c r="H3952" s="4" t="str">
        <f>HYPERLINK("https://www.ncbi.nlm.nih.gov/geo/query/acc.cgi?acc=GSM983680","GSM983680")</f>
        <v>GSM983680</v>
      </c>
      <c r="I3952" t="s">
        <v>241</v>
      </c>
      <c r="J3952" t="s">
        <v>18</v>
      </c>
      <c r="K3952" t="s">
        <v>19</v>
      </c>
      <c r="L3952" t="s">
        <v>242</v>
      </c>
      <c r="M3952" t="s">
        <v>51</v>
      </c>
      <c r="N3952" t="s">
        <v>29</v>
      </c>
    </row>
    <row r="3953" spans="1:14">
      <c r="A3953" s="4" t="str">
        <f t="shared" si="374"/>
        <v>EXP00123</v>
      </c>
      <c r="B3953" s="4" t="str">
        <f t="shared" si="375"/>
        <v>23319690</v>
      </c>
      <c r="C3953" s="4" t="str">
        <f t="shared" si="376"/>
        <v>GSE40018</v>
      </c>
      <c r="D3953" s="1" t="s">
        <v>239</v>
      </c>
      <c r="E3953" t="s">
        <v>240</v>
      </c>
      <c r="F3953" s="1">
        <v>1</v>
      </c>
      <c r="G3953" s="1" t="s">
        <v>31</v>
      </c>
      <c r="H3953" s="4" t="str">
        <f>HYPERLINK("https://www.ncbi.nlm.nih.gov/geo/query/acc.cgi?acc=GSM983682","GSM983682")</f>
        <v>GSM983682</v>
      </c>
      <c r="I3953" t="s">
        <v>241</v>
      </c>
      <c r="J3953" t="s">
        <v>18</v>
      </c>
      <c r="K3953" t="s">
        <v>19</v>
      </c>
      <c r="L3953" t="s">
        <v>242</v>
      </c>
      <c r="M3953" t="s">
        <v>51</v>
      </c>
      <c r="N3953" t="s">
        <v>29</v>
      </c>
    </row>
    <row r="3954" spans="1:14">
      <c r="A3954" s="4" t="str">
        <f t="shared" si="374"/>
        <v>EXP00123</v>
      </c>
      <c r="B3954" s="4" t="str">
        <f t="shared" si="375"/>
        <v>23319690</v>
      </c>
      <c r="C3954" s="4" t="str">
        <f t="shared" si="376"/>
        <v>GSE40018</v>
      </c>
      <c r="D3954" s="1" t="s">
        <v>239</v>
      </c>
      <c r="E3954" t="s">
        <v>240</v>
      </c>
      <c r="F3954" s="1">
        <v>1</v>
      </c>
      <c r="G3954" s="1" t="s">
        <v>31</v>
      </c>
      <c r="H3954" s="4" t="str">
        <f>HYPERLINK("https://www.ncbi.nlm.nih.gov/geo/query/acc.cgi?acc=GSM983683","GSM983683")</f>
        <v>GSM983683</v>
      </c>
      <c r="I3954" t="s">
        <v>241</v>
      </c>
      <c r="J3954" t="s">
        <v>18</v>
      </c>
      <c r="K3954" t="s">
        <v>19</v>
      </c>
      <c r="L3954" t="s">
        <v>242</v>
      </c>
      <c r="M3954" t="s">
        <v>51</v>
      </c>
      <c r="N3954" t="s">
        <v>29</v>
      </c>
    </row>
    <row r="3955" spans="1:14">
      <c r="A3955" s="4" t="str">
        <f t="shared" si="374"/>
        <v>EXP00123</v>
      </c>
      <c r="B3955" s="4" t="str">
        <f t="shared" si="375"/>
        <v>23319690</v>
      </c>
      <c r="C3955" s="4" t="str">
        <f t="shared" si="376"/>
        <v>GSE40018</v>
      </c>
      <c r="D3955" s="1" t="s">
        <v>239</v>
      </c>
      <c r="E3955" t="s">
        <v>240</v>
      </c>
      <c r="F3955" s="1">
        <v>1</v>
      </c>
      <c r="G3955" s="1" t="s">
        <v>31</v>
      </c>
      <c r="H3955" s="4" t="str">
        <f>HYPERLINK("https://www.ncbi.nlm.nih.gov/geo/query/acc.cgi?acc=GSM983684","GSM983684")</f>
        <v>GSM983684</v>
      </c>
      <c r="I3955" t="s">
        <v>241</v>
      </c>
      <c r="J3955" t="s">
        <v>18</v>
      </c>
      <c r="K3955" t="s">
        <v>19</v>
      </c>
      <c r="L3955" t="s">
        <v>242</v>
      </c>
      <c r="M3955" t="s">
        <v>51</v>
      </c>
      <c r="N3955" t="s">
        <v>29</v>
      </c>
    </row>
    <row r="3956" spans="1:14">
      <c r="A3956" s="4" t="str">
        <f t="shared" si="374"/>
        <v>EXP00123</v>
      </c>
      <c r="B3956" s="4" t="str">
        <f t="shared" si="375"/>
        <v>23319690</v>
      </c>
      <c r="C3956" s="4" t="str">
        <f t="shared" si="376"/>
        <v>GSE40018</v>
      </c>
      <c r="D3956" s="1" t="s">
        <v>239</v>
      </c>
      <c r="E3956" t="s">
        <v>240</v>
      </c>
      <c r="F3956" s="1">
        <v>1</v>
      </c>
      <c r="G3956" s="1" t="s">
        <v>31</v>
      </c>
      <c r="H3956" s="4" t="str">
        <f>HYPERLINK("https://www.ncbi.nlm.nih.gov/geo/query/acc.cgi?acc=GSM983685","GSM983685")</f>
        <v>GSM983685</v>
      </c>
      <c r="I3956" t="s">
        <v>241</v>
      </c>
      <c r="J3956" t="s">
        <v>18</v>
      </c>
      <c r="K3956" t="s">
        <v>19</v>
      </c>
      <c r="L3956" t="s">
        <v>242</v>
      </c>
      <c r="M3956" t="s">
        <v>51</v>
      </c>
      <c r="N3956" t="s">
        <v>29</v>
      </c>
    </row>
    <row r="3957" spans="1:14">
      <c r="A3957" s="4" t="str">
        <f t="shared" si="374"/>
        <v>EXP00123</v>
      </c>
      <c r="B3957" s="4" t="str">
        <f t="shared" si="375"/>
        <v>23319690</v>
      </c>
      <c r="C3957" s="4" t="str">
        <f t="shared" si="376"/>
        <v>GSE40018</v>
      </c>
      <c r="D3957" s="1" t="s">
        <v>239</v>
      </c>
      <c r="E3957" t="s">
        <v>240</v>
      </c>
      <c r="F3957" s="1">
        <v>1</v>
      </c>
      <c r="G3957" s="1" t="s">
        <v>31</v>
      </c>
      <c r="H3957" s="4" t="str">
        <f>HYPERLINK("https://www.ncbi.nlm.nih.gov/geo/query/acc.cgi?acc=GSM983687","GSM983687")</f>
        <v>GSM983687</v>
      </c>
      <c r="I3957" t="s">
        <v>241</v>
      </c>
      <c r="J3957" t="s">
        <v>18</v>
      </c>
      <c r="K3957" t="s">
        <v>19</v>
      </c>
      <c r="L3957" t="s">
        <v>242</v>
      </c>
      <c r="N3957" t="s">
        <v>29</v>
      </c>
    </row>
    <row r="3958" spans="1:14">
      <c r="A3958" s="4" t="str">
        <f t="shared" si="374"/>
        <v>EXP00123</v>
      </c>
      <c r="B3958" s="4" t="str">
        <f t="shared" si="375"/>
        <v>23319690</v>
      </c>
      <c r="C3958" s="4" t="str">
        <f t="shared" si="376"/>
        <v>GSE40018</v>
      </c>
      <c r="D3958" s="1" t="s">
        <v>239</v>
      </c>
      <c r="E3958" t="s">
        <v>240</v>
      </c>
      <c r="F3958" s="1">
        <v>1</v>
      </c>
      <c r="G3958" s="1" t="s">
        <v>31</v>
      </c>
      <c r="H3958" s="4" t="str">
        <f>HYPERLINK("https://www.ncbi.nlm.nih.gov/geo/query/acc.cgi?acc=GSM983689","GSM983689")</f>
        <v>GSM983689</v>
      </c>
      <c r="I3958" t="s">
        <v>241</v>
      </c>
      <c r="J3958" t="s">
        <v>18</v>
      </c>
      <c r="K3958" t="s">
        <v>19</v>
      </c>
      <c r="L3958" t="s">
        <v>242</v>
      </c>
      <c r="M3958" t="s">
        <v>51</v>
      </c>
      <c r="N3958" t="s">
        <v>29</v>
      </c>
    </row>
    <row r="3959" spans="1:14">
      <c r="A3959" s="4" t="str">
        <f t="shared" si="374"/>
        <v>EXP00123</v>
      </c>
      <c r="B3959" s="4" t="str">
        <f t="shared" si="375"/>
        <v>23319690</v>
      </c>
      <c r="C3959" s="4" t="str">
        <f t="shared" si="376"/>
        <v>GSE40018</v>
      </c>
      <c r="D3959" s="1" t="s">
        <v>239</v>
      </c>
      <c r="E3959" t="s">
        <v>240</v>
      </c>
      <c r="F3959" s="1">
        <v>1</v>
      </c>
      <c r="G3959" s="1" t="s">
        <v>31</v>
      </c>
      <c r="H3959" s="4" t="str">
        <f>HYPERLINK("https://www.ncbi.nlm.nih.gov/geo/query/acc.cgi?acc=GSM983691","GSM983691")</f>
        <v>GSM983691</v>
      </c>
      <c r="I3959" t="s">
        <v>241</v>
      </c>
      <c r="J3959" t="s">
        <v>18</v>
      </c>
      <c r="K3959" t="s">
        <v>19</v>
      </c>
      <c r="L3959" t="s">
        <v>242</v>
      </c>
      <c r="M3959" t="s">
        <v>51</v>
      </c>
      <c r="N3959" t="s">
        <v>29</v>
      </c>
    </row>
    <row r="3960" spans="1:14">
      <c r="A3960" s="4" t="str">
        <f t="shared" si="374"/>
        <v>EXP00123</v>
      </c>
      <c r="B3960" s="4" t="str">
        <f t="shared" si="375"/>
        <v>23319690</v>
      </c>
      <c r="C3960" s="4" t="str">
        <f t="shared" si="376"/>
        <v>GSE40018</v>
      </c>
      <c r="D3960" s="1" t="s">
        <v>239</v>
      </c>
      <c r="E3960" t="s">
        <v>240</v>
      </c>
      <c r="F3960" s="1">
        <v>1</v>
      </c>
      <c r="G3960" s="1" t="s">
        <v>31</v>
      </c>
      <c r="H3960" s="4" t="str">
        <f>HYPERLINK("https://www.ncbi.nlm.nih.gov/geo/query/acc.cgi?acc=GSM983692","GSM983692")</f>
        <v>GSM983692</v>
      </c>
      <c r="I3960" t="s">
        <v>241</v>
      </c>
      <c r="J3960" t="s">
        <v>18</v>
      </c>
      <c r="K3960" t="s">
        <v>19</v>
      </c>
      <c r="L3960" t="s">
        <v>242</v>
      </c>
      <c r="M3960" t="s">
        <v>51</v>
      </c>
      <c r="N3960" t="s">
        <v>29</v>
      </c>
    </row>
    <row r="3961" spans="1:14">
      <c r="A3961" s="4" t="str">
        <f t="shared" si="374"/>
        <v>EXP00123</v>
      </c>
      <c r="B3961" s="4" t="str">
        <f t="shared" si="375"/>
        <v>23319690</v>
      </c>
      <c r="C3961" s="4" t="str">
        <f t="shared" si="376"/>
        <v>GSE40018</v>
      </c>
      <c r="D3961" s="1" t="s">
        <v>239</v>
      </c>
      <c r="E3961" t="s">
        <v>240</v>
      </c>
      <c r="F3961" s="1">
        <v>1</v>
      </c>
      <c r="G3961" s="1" t="s">
        <v>31</v>
      </c>
      <c r="H3961" s="4" t="str">
        <f>HYPERLINK("https://www.ncbi.nlm.nih.gov/geo/query/acc.cgi?acc=GSM983693","GSM983693")</f>
        <v>GSM983693</v>
      </c>
      <c r="I3961" t="s">
        <v>241</v>
      </c>
      <c r="J3961" t="s">
        <v>18</v>
      </c>
      <c r="K3961" t="s">
        <v>19</v>
      </c>
      <c r="L3961" t="s">
        <v>242</v>
      </c>
      <c r="M3961" t="s">
        <v>51</v>
      </c>
      <c r="N3961" t="s">
        <v>29</v>
      </c>
    </row>
    <row r="3962" spans="1:14">
      <c r="A3962" s="4" t="str">
        <f t="shared" si="374"/>
        <v>EXP00123</v>
      </c>
      <c r="B3962" s="4" t="str">
        <f t="shared" si="375"/>
        <v>23319690</v>
      </c>
      <c r="C3962" s="4" t="str">
        <f t="shared" si="376"/>
        <v>GSE40018</v>
      </c>
      <c r="D3962" s="1" t="s">
        <v>239</v>
      </c>
      <c r="E3962" t="s">
        <v>240</v>
      </c>
      <c r="F3962" s="1">
        <v>1</v>
      </c>
      <c r="G3962" s="1" t="s">
        <v>31</v>
      </c>
      <c r="H3962" s="4" t="str">
        <f>HYPERLINK("https://www.ncbi.nlm.nih.gov/geo/query/acc.cgi?acc=GSM983695","GSM983695")</f>
        <v>GSM983695</v>
      </c>
      <c r="I3962" t="s">
        <v>241</v>
      </c>
      <c r="J3962" t="s">
        <v>18</v>
      </c>
      <c r="K3962" t="s">
        <v>19</v>
      </c>
      <c r="L3962" t="s">
        <v>242</v>
      </c>
      <c r="M3962" t="s">
        <v>51</v>
      </c>
      <c r="N3962" t="s">
        <v>29</v>
      </c>
    </row>
    <row r="3963" spans="1:14">
      <c r="A3963" s="4" t="str">
        <f t="shared" si="374"/>
        <v>EXP00123</v>
      </c>
      <c r="B3963" s="4" t="str">
        <f t="shared" si="375"/>
        <v>23319690</v>
      </c>
      <c r="C3963" s="4" t="str">
        <f t="shared" si="376"/>
        <v>GSE40018</v>
      </c>
      <c r="D3963" s="1" t="s">
        <v>239</v>
      </c>
      <c r="E3963" t="s">
        <v>240</v>
      </c>
      <c r="F3963" s="1">
        <v>1</v>
      </c>
      <c r="G3963" s="1" t="s">
        <v>31</v>
      </c>
      <c r="H3963" s="4" t="str">
        <f>HYPERLINK("https://www.ncbi.nlm.nih.gov/geo/query/acc.cgi?acc=GSM983696","GSM983696")</f>
        <v>GSM983696</v>
      </c>
      <c r="I3963" t="s">
        <v>241</v>
      </c>
      <c r="J3963" t="s">
        <v>18</v>
      </c>
      <c r="K3963" t="s">
        <v>19</v>
      </c>
      <c r="L3963" t="s">
        <v>242</v>
      </c>
      <c r="M3963" t="s">
        <v>51</v>
      </c>
      <c r="N3963" t="s">
        <v>29</v>
      </c>
    </row>
    <row r="3964" spans="1:14">
      <c r="A3964" s="4" t="str">
        <f t="shared" si="374"/>
        <v>EXP00123</v>
      </c>
      <c r="B3964" s="4" t="str">
        <f t="shared" si="375"/>
        <v>23319690</v>
      </c>
      <c r="C3964" s="4" t="str">
        <f t="shared" si="376"/>
        <v>GSE40018</v>
      </c>
      <c r="D3964" s="1" t="s">
        <v>239</v>
      </c>
      <c r="E3964" t="s">
        <v>240</v>
      </c>
      <c r="F3964" s="1">
        <v>1</v>
      </c>
      <c r="G3964" s="1" t="s">
        <v>31</v>
      </c>
      <c r="H3964" s="4" t="str">
        <f>HYPERLINK("https://www.ncbi.nlm.nih.gov/geo/query/acc.cgi?acc=GSM983701","GSM983701")</f>
        <v>GSM983701</v>
      </c>
      <c r="I3964" t="s">
        <v>241</v>
      </c>
      <c r="J3964" t="s">
        <v>18</v>
      </c>
      <c r="K3964" t="s">
        <v>19</v>
      </c>
      <c r="L3964" t="s">
        <v>242</v>
      </c>
      <c r="M3964" t="s">
        <v>51</v>
      </c>
      <c r="N3964" t="s">
        <v>29</v>
      </c>
    </row>
    <row r="3965" spans="1:14">
      <c r="A3965" s="4" t="str">
        <f t="shared" si="374"/>
        <v>EXP00123</v>
      </c>
      <c r="B3965" s="4" t="str">
        <f t="shared" si="375"/>
        <v>23319690</v>
      </c>
      <c r="C3965" s="4" t="str">
        <f t="shared" si="376"/>
        <v>GSE40018</v>
      </c>
      <c r="D3965" s="1" t="s">
        <v>239</v>
      </c>
      <c r="E3965" t="s">
        <v>240</v>
      </c>
      <c r="F3965" s="1">
        <v>1</v>
      </c>
      <c r="G3965" s="1" t="s">
        <v>31</v>
      </c>
      <c r="H3965" s="4" t="str">
        <f>HYPERLINK("https://www.ncbi.nlm.nih.gov/geo/query/acc.cgi?acc=GSM983702","GSM983702")</f>
        <v>GSM983702</v>
      </c>
      <c r="I3965" t="s">
        <v>241</v>
      </c>
      <c r="J3965" t="s">
        <v>18</v>
      </c>
      <c r="K3965" t="s">
        <v>19</v>
      </c>
      <c r="L3965" t="s">
        <v>242</v>
      </c>
      <c r="M3965" t="s">
        <v>51</v>
      </c>
      <c r="N3965" t="s">
        <v>29</v>
      </c>
    </row>
    <row r="3966" spans="1:14">
      <c r="A3966" s="4" t="str">
        <f t="shared" si="374"/>
        <v>EXP00123</v>
      </c>
      <c r="B3966" s="4" t="str">
        <f t="shared" si="375"/>
        <v>23319690</v>
      </c>
      <c r="C3966" s="4" t="str">
        <f t="shared" si="376"/>
        <v>GSE40018</v>
      </c>
      <c r="D3966" s="1" t="s">
        <v>239</v>
      </c>
      <c r="E3966" t="s">
        <v>240</v>
      </c>
      <c r="F3966" s="1">
        <v>1</v>
      </c>
      <c r="G3966" s="1" t="s">
        <v>31</v>
      </c>
      <c r="H3966" s="4" t="str">
        <f>HYPERLINK("https://www.ncbi.nlm.nih.gov/geo/query/acc.cgi?acc=GSM983703","GSM983703")</f>
        <v>GSM983703</v>
      </c>
      <c r="I3966" t="s">
        <v>241</v>
      </c>
      <c r="J3966" t="s">
        <v>18</v>
      </c>
      <c r="K3966" t="s">
        <v>19</v>
      </c>
      <c r="L3966" t="s">
        <v>242</v>
      </c>
      <c r="M3966" t="s">
        <v>51</v>
      </c>
      <c r="N3966" t="s">
        <v>29</v>
      </c>
    </row>
    <row r="3967" spans="1:14">
      <c r="A3967" s="4" t="str">
        <f t="shared" si="374"/>
        <v>EXP00123</v>
      </c>
      <c r="B3967" s="4" t="str">
        <f t="shared" si="375"/>
        <v>23319690</v>
      </c>
      <c r="C3967" s="4" t="str">
        <f t="shared" si="376"/>
        <v>GSE40018</v>
      </c>
      <c r="D3967" s="1" t="s">
        <v>239</v>
      </c>
      <c r="E3967" t="s">
        <v>240</v>
      </c>
      <c r="F3967" s="1">
        <v>2</v>
      </c>
      <c r="G3967" s="1" t="s">
        <v>32</v>
      </c>
      <c r="H3967" s="4" t="str">
        <f>HYPERLINK("https://www.ncbi.nlm.nih.gov/geo/query/acc.cgi?acc=GSM983677","GSM983677")</f>
        <v>GSM983677</v>
      </c>
      <c r="I3967" t="s">
        <v>241</v>
      </c>
      <c r="J3967" t="s">
        <v>18</v>
      </c>
      <c r="K3967" t="s">
        <v>33</v>
      </c>
      <c r="L3967" t="s">
        <v>242</v>
      </c>
      <c r="N3967" t="s">
        <v>29</v>
      </c>
    </row>
    <row r="3968" spans="1:14">
      <c r="A3968" s="4" t="str">
        <f t="shared" si="374"/>
        <v>EXP00123</v>
      </c>
      <c r="B3968" s="4" t="str">
        <f t="shared" si="375"/>
        <v>23319690</v>
      </c>
      <c r="C3968" s="4" t="str">
        <f t="shared" si="376"/>
        <v>GSE40018</v>
      </c>
      <c r="D3968" s="1" t="s">
        <v>239</v>
      </c>
      <c r="E3968" t="s">
        <v>240</v>
      </c>
      <c r="F3968" s="1">
        <v>2</v>
      </c>
      <c r="G3968" s="1" t="s">
        <v>32</v>
      </c>
      <c r="H3968" s="4" t="str">
        <f>HYPERLINK("https://www.ncbi.nlm.nih.gov/geo/query/acc.cgi?acc=GSM983681","GSM983681")</f>
        <v>GSM983681</v>
      </c>
      <c r="I3968" t="s">
        <v>241</v>
      </c>
      <c r="J3968" t="s">
        <v>18</v>
      </c>
      <c r="K3968" t="s">
        <v>33</v>
      </c>
      <c r="L3968" t="s">
        <v>242</v>
      </c>
      <c r="N3968" t="s">
        <v>29</v>
      </c>
    </row>
    <row r="3969" spans="1:14">
      <c r="A3969" s="4" t="str">
        <f t="shared" si="374"/>
        <v>EXP00123</v>
      </c>
      <c r="B3969" s="4" t="str">
        <f t="shared" si="375"/>
        <v>23319690</v>
      </c>
      <c r="C3969" s="4" t="str">
        <f t="shared" si="376"/>
        <v>GSE40018</v>
      </c>
      <c r="D3969" s="1" t="s">
        <v>239</v>
      </c>
      <c r="E3969" t="s">
        <v>240</v>
      </c>
      <c r="F3969" s="1">
        <v>2</v>
      </c>
      <c r="G3969" s="1" t="s">
        <v>32</v>
      </c>
      <c r="H3969" s="4" t="str">
        <f>HYPERLINK("https://www.ncbi.nlm.nih.gov/geo/query/acc.cgi?acc=GSM983686","GSM983686")</f>
        <v>GSM983686</v>
      </c>
      <c r="I3969" t="s">
        <v>241</v>
      </c>
      <c r="J3969" t="s">
        <v>18</v>
      </c>
      <c r="K3969" t="s">
        <v>33</v>
      </c>
      <c r="L3969" t="s">
        <v>242</v>
      </c>
      <c r="N3969" t="s">
        <v>29</v>
      </c>
    </row>
    <row r="3970" spans="1:14">
      <c r="A3970" s="4" t="str">
        <f t="shared" si="374"/>
        <v>EXP00123</v>
      </c>
      <c r="B3970" s="4" t="str">
        <f t="shared" si="375"/>
        <v>23319690</v>
      </c>
      <c r="C3970" s="4" t="str">
        <f t="shared" si="376"/>
        <v>GSE40018</v>
      </c>
      <c r="D3970" s="1" t="s">
        <v>239</v>
      </c>
      <c r="E3970" t="s">
        <v>240</v>
      </c>
      <c r="F3970" s="1">
        <v>2</v>
      </c>
      <c r="G3970" s="1" t="s">
        <v>32</v>
      </c>
      <c r="H3970" s="4" t="str">
        <f>HYPERLINK("https://www.ncbi.nlm.nih.gov/geo/query/acc.cgi?acc=GSM983688","GSM983688")</f>
        <v>GSM983688</v>
      </c>
      <c r="I3970" t="s">
        <v>241</v>
      </c>
      <c r="J3970" t="s">
        <v>18</v>
      </c>
      <c r="K3970" t="s">
        <v>33</v>
      </c>
      <c r="L3970" t="s">
        <v>242</v>
      </c>
      <c r="N3970" t="s">
        <v>29</v>
      </c>
    </row>
    <row r="3971" spans="1:14">
      <c r="A3971" s="4" t="str">
        <f t="shared" si="374"/>
        <v>EXP00123</v>
      </c>
      <c r="B3971" s="4" t="str">
        <f t="shared" si="375"/>
        <v>23319690</v>
      </c>
      <c r="C3971" s="4" t="str">
        <f t="shared" si="376"/>
        <v>GSE40018</v>
      </c>
      <c r="D3971" s="1" t="s">
        <v>239</v>
      </c>
      <c r="E3971" t="s">
        <v>240</v>
      </c>
      <c r="F3971" s="1">
        <v>2</v>
      </c>
      <c r="G3971" s="1" t="s">
        <v>32</v>
      </c>
      <c r="H3971" s="4" t="str">
        <f>HYPERLINK("https://www.ncbi.nlm.nih.gov/geo/query/acc.cgi?acc=GSM983690","GSM983690")</f>
        <v>GSM983690</v>
      </c>
      <c r="I3971" t="s">
        <v>241</v>
      </c>
      <c r="J3971" t="s">
        <v>18</v>
      </c>
      <c r="K3971" t="s">
        <v>33</v>
      </c>
      <c r="L3971" t="s">
        <v>242</v>
      </c>
      <c r="N3971" t="s">
        <v>29</v>
      </c>
    </row>
    <row r="3972" spans="1:14">
      <c r="A3972" s="4" t="str">
        <f t="shared" si="374"/>
        <v>EXP00123</v>
      </c>
      <c r="B3972" s="4" t="str">
        <f t="shared" si="375"/>
        <v>23319690</v>
      </c>
      <c r="C3972" s="4" t="str">
        <f t="shared" si="376"/>
        <v>GSE40018</v>
      </c>
      <c r="D3972" s="1" t="s">
        <v>239</v>
      </c>
      <c r="E3972" t="s">
        <v>240</v>
      </c>
      <c r="F3972" s="1">
        <v>2</v>
      </c>
      <c r="G3972" s="1" t="s">
        <v>32</v>
      </c>
      <c r="H3972" s="4" t="str">
        <f>HYPERLINK("https://www.ncbi.nlm.nih.gov/geo/query/acc.cgi?acc=GSM983694","GSM983694")</f>
        <v>GSM983694</v>
      </c>
      <c r="I3972" t="s">
        <v>241</v>
      </c>
      <c r="J3972" t="s">
        <v>18</v>
      </c>
      <c r="K3972" t="s">
        <v>33</v>
      </c>
      <c r="L3972" t="s">
        <v>242</v>
      </c>
      <c r="N3972" t="s">
        <v>29</v>
      </c>
    </row>
    <row r="3973" spans="1:14">
      <c r="A3973" s="4" t="str">
        <f t="shared" si="374"/>
        <v>EXP00123</v>
      </c>
      <c r="B3973" s="4" t="str">
        <f t="shared" si="375"/>
        <v>23319690</v>
      </c>
      <c r="C3973" s="4" t="str">
        <f t="shared" si="376"/>
        <v>GSE40018</v>
      </c>
      <c r="D3973" s="1" t="s">
        <v>239</v>
      </c>
      <c r="E3973" t="s">
        <v>240</v>
      </c>
      <c r="F3973" s="1">
        <v>2</v>
      </c>
      <c r="G3973" s="1" t="s">
        <v>32</v>
      </c>
      <c r="H3973" s="4" t="str">
        <f>HYPERLINK("https://www.ncbi.nlm.nih.gov/geo/query/acc.cgi?acc=GSM983697","GSM983697")</f>
        <v>GSM983697</v>
      </c>
      <c r="I3973" t="s">
        <v>241</v>
      </c>
      <c r="J3973" t="s">
        <v>18</v>
      </c>
      <c r="K3973" t="s">
        <v>33</v>
      </c>
      <c r="L3973" t="s">
        <v>242</v>
      </c>
      <c r="N3973" t="s">
        <v>29</v>
      </c>
    </row>
    <row r="3974" spans="1:14">
      <c r="A3974" s="4" t="str">
        <f t="shared" si="374"/>
        <v>EXP00123</v>
      </c>
      <c r="B3974" s="4" t="str">
        <f t="shared" si="375"/>
        <v>23319690</v>
      </c>
      <c r="C3974" s="4" t="str">
        <f t="shared" si="376"/>
        <v>GSE40018</v>
      </c>
      <c r="D3974" s="1" t="s">
        <v>239</v>
      </c>
      <c r="E3974" t="s">
        <v>240</v>
      </c>
      <c r="F3974" s="1">
        <v>2</v>
      </c>
      <c r="G3974" s="1" t="s">
        <v>32</v>
      </c>
      <c r="H3974" s="4" t="str">
        <f>HYPERLINK("https://www.ncbi.nlm.nih.gov/geo/query/acc.cgi?acc=GSM983698","GSM983698")</f>
        <v>GSM983698</v>
      </c>
      <c r="I3974" t="s">
        <v>241</v>
      </c>
      <c r="J3974" t="s">
        <v>18</v>
      </c>
      <c r="K3974" t="s">
        <v>33</v>
      </c>
      <c r="L3974" t="s">
        <v>242</v>
      </c>
      <c r="N3974" t="s">
        <v>29</v>
      </c>
    </row>
    <row r="3975" spans="1:14">
      <c r="A3975" s="4" t="str">
        <f t="shared" si="374"/>
        <v>EXP00123</v>
      </c>
      <c r="B3975" s="4" t="str">
        <f t="shared" si="375"/>
        <v>23319690</v>
      </c>
      <c r="C3975" s="4" t="str">
        <f t="shared" si="376"/>
        <v>GSE40018</v>
      </c>
      <c r="D3975" s="1" t="s">
        <v>239</v>
      </c>
      <c r="E3975" t="s">
        <v>240</v>
      </c>
      <c r="F3975" s="1">
        <v>2</v>
      </c>
      <c r="G3975" s="1" t="s">
        <v>32</v>
      </c>
      <c r="H3975" s="4" t="str">
        <f>HYPERLINK("https://www.ncbi.nlm.nih.gov/geo/query/acc.cgi?acc=GSM983699","GSM983699")</f>
        <v>GSM983699</v>
      </c>
      <c r="I3975" t="s">
        <v>241</v>
      </c>
      <c r="J3975" t="s">
        <v>18</v>
      </c>
      <c r="K3975" t="s">
        <v>33</v>
      </c>
      <c r="L3975" t="s">
        <v>242</v>
      </c>
      <c r="N3975" t="s">
        <v>29</v>
      </c>
    </row>
    <row r="3976" spans="1:14">
      <c r="A3976" s="4" t="str">
        <f t="shared" si="374"/>
        <v>EXP00123</v>
      </c>
      <c r="B3976" s="4" t="str">
        <f t="shared" si="375"/>
        <v>23319690</v>
      </c>
      <c r="C3976" s="4" t="str">
        <f t="shared" si="376"/>
        <v>GSE40018</v>
      </c>
      <c r="D3976" s="1" t="s">
        <v>239</v>
      </c>
      <c r="E3976" t="s">
        <v>240</v>
      </c>
      <c r="F3976" s="1">
        <v>2</v>
      </c>
      <c r="G3976" s="1" t="s">
        <v>32</v>
      </c>
      <c r="H3976" s="4" t="str">
        <f>HYPERLINK("https://www.ncbi.nlm.nih.gov/geo/query/acc.cgi?acc=GSM983700","GSM983700")</f>
        <v>GSM983700</v>
      </c>
      <c r="I3976" t="s">
        <v>241</v>
      </c>
      <c r="J3976" t="s">
        <v>18</v>
      </c>
      <c r="K3976" t="s">
        <v>33</v>
      </c>
      <c r="L3976" t="s">
        <v>242</v>
      </c>
      <c r="N3976" t="s">
        <v>29</v>
      </c>
    </row>
    <row r="3977" spans="1:14">
      <c r="A3977" s="4" t="str">
        <f t="shared" si="374"/>
        <v>EXP00123</v>
      </c>
      <c r="B3977" s="4" t="str">
        <f t="shared" si="375"/>
        <v>23319690</v>
      </c>
      <c r="C3977" s="4" t="str">
        <f t="shared" si="376"/>
        <v>GSE40018</v>
      </c>
      <c r="D3977" s="1" t="s">
        <v>239</v>
      </c>
      <c r="E3977" t="s">
        <v>240</v>
      </c>
      <c r="F3977" s="1">
        <v>2</v>
      </c>
      <c r="G3977" s="1" t="s">
        <v>32</v>
      </c>
      <c r="H3977" s="4" t="str">
        <f>HYPERLINK("https://www.ncbi.nlm.nih.gov/geo/query/acc.cgi?acc=GSM983704","GSM983704")</f>
        <v>GSM983704</v>
      </c>
      <c r="I3977" t="s">
        <v>241</v>
      </c>
      <c r="J3977" t="s">
        <v>18</v>
      </c>
      <c r="K3977" t="s">
        <v>33</v>
      </c>
      <c r="L3977" t="s">
        <v>242</v>
      </c>
      <c r="N3977" t="s">
        <v>29</v>
      </c>
    </row>
    <row r="3978" spans="1:14">
      <c r="A3978" s="4" t="str">
        <f t="shared" si="374"/>
        <v>EXP00123</v>
      </c>
      <c r="B3978" s="4" t="str">
        <f t="shared" si="375"/>
        <v>23319690</v>
      </c>
      <c r="C3978" s="4" t="str">
        <f t="shared" si="376"/>
        <v>GSE40018</v>
      </c>
      <c r="D3978" s="1" t="s">
        <v>239</v>
      </c>
      <c r="E3978" t="s">
        <v>240</v>
      </c>
      <c r="F3978" s="1">
        <v>2</v>
      </c>
      <c r="G3978" s="1" t="s">
        <v>32</v>
      </c>
      <c r="H3978" s="4" t="str">
        <f>HYPERLINK("https://www.ncbi.nlm.nih.gov/geo/query/acc.cgi?acc=GSM983705","GSM983705")</f>
        <v>GSM983705</v>
      </c>
      <c r="I3978" t="s">
        <v>241</v>
      </c>
      <c r="J3978" t="s">
        <v>18</v>
      </c>
      <c r="K3978" t="s">
        <v>33</v>
      </c>
      <c r="L3978" t="s">
        <v>242</v>
      </c>
      <c r="N3978" t="s">
        <v>29</v>
      </c>
    </row>
    <row r="3979" spans="1:14">
      <c r="A3979" s="4" t="str">
        <f t="shared" si="374"/>
        <v>EXP00123</v>
      </c>
      <c r="B3979" s="4" t="str">
        <f t="shared" si="375"/>
        <v>23319690</v>
      </c>
      <c r="C3979" s="4" t="str">
        <f t="shared" si="376"/>
        <v>GSE40018</v>
      </c>
      <c r="D3979" s="1" t="s">
        <v>239</v>
      </c>
      <c r="E3979" t="s">
        <v>240</v>
      </c>
      <c r="F3979" s="1">
        <v>2</v>
      </c>
      <c r="G3979" s="1" t="s">
        <v>32</v>
      </c>
      <c r="H3979" s="4" t="str">
        <f>HYPERLINK("https://www.ncbi.nlm.nih.gov/geo/query/acc.cgi?acc=GSM983706","GSM983706")</f>
        <v>GSM983706</v>
      </c>
      <c r="I3979" t="s">
        <v>241</v>
      </c>
      <c r="J3979" t="s">
        <v>18</v>
      </c>
      <c r="K3979" t="s">
        <v>33</v>
      </c>
      <c r="L3979" t="s">
        <v>242</v>
      </c>
      <c r="N3979" t="s">
        <v>29</v>
      </c>
    </row>
    <row r="3980" spans="1:14">
      <c r="A3980" s="4" t="str">
        <f t="shared" si="374"/>
        <v>EXP00123</v>
      </c>
      <c r="B3980" s="4" t="str">
        <f t="shared" si="375"/>
        <v>23319690</v>
      </c>
      <c r="C3980" s="4" t="str">
        <f t="shared" si="376"/>
        <v>GSE40018</v>
      </c>
      <c r="D3980" s="1" t="s">
        <v>239</v>
      </c>
      <c r="E3980" t="s">
        <v>240</v>
      </c>
      <c r="F3980" s="1">
        <v>2</v>
      </c>
      <c r="G3980" s="1" t="s">
        <v>32</v>
      </c>
      <c r="H3980" s="4" t="str">
        <f>HYPERLINK("https://www.ncbi.nlm.nih.gov/geo/query/acc.cgi?acc=GSM983707","GSM983707")</f>
        <v>GSM983707</v>
      </c>
      <c r="I3980" t="s">
        <v>241</v>
      </c>
      <c r="J3980" t="s">
        <v>18</v>
      </c>
      <c r="K3980" t="s">
        <v>33</v>
      </c>
      <c r="L3980" t="s">
        <v>242</v>
      </c>
      <c r="N3980" t="s">
        <v>29</v>
      </c>
    </row>
    <row r="3981" spans="1:14">
      <c r="A3981" s="4" t="str">
        <f t="shared" si="374"/>
        <v>EXP00123</v>
      </c>
      <c r="B3981" s="4" t="str">
        <f t="shared" si="375"/>
        <v>23319690</v>
      </c>
      <c r="C3981" s="4" t="str">
        <f t="shared" si="376"/>
        <v>GSE40018</v>
      </c>
      <c r="D3981" s="1" t="s">
        <v>239</v>
      </c>
      <c r="E3981" t="s">
        <v>240</v>
      </c>
      <c r="F3981" s="1">
        <v>2</v>
      </c>
      <c r="G3981" s="1" t="s">
        <v>32</v>
      </c>
      <c r="H3981" s="4" t="str">
        <f>HYPERLINK("https://www.ncbi.nlm.nih.gov/geo/query/acc.cgi?acc=GSM983708","GSM983708")</f>
        <v>GSM983708</v>
      </c>
      <c r="I3981" t="s">
        <v>241</v>
      </c>
      <c r="J3981" t="s">
        <v>18</v>
      </c>
      <c r="K3981" t="s">
        <v>33</v>
      </c>
      <c r="L3981" t="s">
        <v>242</v>
      </c>
      <c r="N3981" t="s">
        <v>29</v>
      </c>
    </row>
    <row r="3982" spans="1:14">
      <c r="A3982" s="4" t="str">
        <f t="shared" si="374"/>
        <v>EXP00123</v>
      </c>
      <c r="B3982" s="4" t="str">
        <f t="shared" si="375"/>
        <v>23319690</v>
      </c>
      <c r="C3982" s="4" t="str">
        <f t="shared" si="376"/>
        <v>GSE40018</v>
      </c>
      <c r="D3982" s="1" t="s">
        <v>239</v>
      </c>
      <c r="E3982" t="s">
        <v>240</v>
      </c>
      <c r="F3982" s="1">
        <v>2</v>
      </c>
      <c r="G3982" s="1" t="s">
        <v>32</v>
      </c>
      <c r="H3982" s="4" t="str">
        <f>HYPERLINK("https://www.ncbi.nlm.nih.gov/geo/query/acc.cgi?acc=GSM983709","GSM983709")</f>
        <v>GSM983709</v>
      </c>
      <c r="I3982" t="s">
        <v>241</v>
      </c>
      <c r="J3982" t="s">
        <v>18</v>
      </c>
      <c r="K3982" t="s">
        <v>33</v>
      </c>
      <c r="L3982" t="s">
        <v>242</v>
      </c>
      <c r="N3982" t="s">
        <v>29</v>
      </c>
    </row>
    <row r="3983" spans="1:14">
      <c r="A3983" s="4" t="str">
        <f t="shared" si="374"/>
        <v>EXP00123</v>
      </c>
      <c r="B3983" s="4" t="str">
        <f t="shared" si="375"/>
        <v>23319690</v>
      </c>
      <c r="C3983" s="4" t="str">
        <f t="shared" si="376"/>
        <v>GSE40018</v>
      </c>
      <c r="D3983" s="1" t="s">
        <v>239</v>
      </c>
      <c r="E3983" t="s">
        <v>240</v>
      </c>
      <c r="F3983" s="1">
        <v>2</v>
      </c>
      <c r="G3983" s="1" t="s">
        <v>32</v>
      </c>
      <c r="H3983" s="4" t="str">
        <f>HYPERLINK("https://www.ncbi.nlm.nih.gov/geo/query/acc.cgi?acc=GSM983710","GSM983710")</f>
        <v>GSM983710</v>
      </c>
      <c r="I3983" t="s">
        <v>241</v>
      </c>
      <c r="J3983" t="s">
        <v>18</v>
      </c>
      <c r="K3983" t="s">
        <v>33</v>
      </c>
      <c r="L3983" t="s">
        <v>242</v>
      </c>
      <c r="N3983" t="s">
        <v>29</v>
      </c>
    </row>
    <row r="3984" spans="1:14">
      <c r="A3984" s="4" t="str">
        <f t="shared" ref="A3984:A4001" si="377">HYPERLINK("http://hcmdb.i-sanger.com/experiment/details/experiment_id/EXP00124","EXP00124")</f>
        <v>EXP00124</v>
      </c>
      <c r="B3984" s="4" t="str">
        <f t="shared" ref="B3984:B4047" si="378">HYPERLINK("https://www.ncbi.nlm.nih.gov/pubmed/25552933","25552933")</f>
        <v>25552933</v>
      </c>
      <c r="C3984" s="4" t="str">
        <f t="shared" ref="C3984:C4047" si="379">HYPERLINK("https://www.ncbi.nlm.nih.gov/geo/query/acc.cgi?acc=GSE40367","GSE40367")</f>
        <v>GSE40367</v>
      </c>
      <c r="D3984" s="1" t="s">
        <v>45</v>
      </c>
      <c r="E3984" t="s">
        <v>243</v>
      </c>
      <c r="F3984" s="1">
        <v>1</v>
      </c>
      <c r="G3984" s="1" t="s">
        <v>244</v>
      </c>
      <c r="H3984" s="4" t="str">
        <f>HYPERLINK("https://www.ncbi.nlm.nih.gov/geo/query/acc.cgi?acc=GSM992273","GSM992273")</f>
        <v>GSM992273</v>
      </c>
      <c r="I3984" t="s">
        <v>69</v>
      </c>
      <c r="J3984" t="s">
        <v>245</v>
      </c>
      <c r="K3984" t="s">
        <v>19</v>
      </c>
      <c r="L3984" t="s">
        <v>70</v>
      </c>
      <c r="M3984" t="s">
        <v>44</v>
      </c>
      <c r="N3984" t="s">
        <v>29</v>
      </c>
    </row>
    <row r="3985" spans="1:14">
      <c r="A3985" s="4" t="str">
        <f t="shared" si="377"/>
        <v>EXP00124</v>
      </c>
      <c r="B3985" s="4" t="str">
        <f t="shared" si="378"/>
        <v>25552933</v>
      </c>
      <c r="C3985" s="4" t="str">
        <f t="shared" si="379"/>
        <v>GSE40367</v>
      </c>
      <c r="D3985" s="1" t="s">
        <v>45</v>
      </c>
      <c r="E3985" t="s">
        <v>243</v>
      </c>
      <c r="F3985" s="1">
        <v>1</v>
      </c>
      <c r="G3985" s="1" t="s">
        <v>244</v>
      </c>
      <c r="H3985" s="4" t="str">
        <f>HYPERLINK("https://www.ncbi.nlm.nih.gov/geo/query/acc.cgi?acc=GSM992275","GSM992275")</f>
        <v>GSM992275</v>
      </c>
      <c r="I3985" t="s">
        <v>69</v>
      </c>
      <c r="J3985" t="s">
        <v>245</v>
      </c>
      <c r="K3985" t="s">
        <v>19</v>
      </c>
      <c r="L3985" t="s">
        <v>70</v>
      </c>
      <c r="M3985" t="s">
        <v>44</v>
      </c>
      <c r="N3985" t="s">
        <v>29</v>
      </c>
    </row>
    <row r="3986" spans="1:14">
      <c r="A3986" s="4" t="str">
        <f t="shared" si="377"/>
        <v>EXP00124</v>
      </c>
      <c r="B3986" s="4" t="str">
        <f t="shared" si="378"/>
        <v>25552933</v>
      </c>
      <c r="C3986" s="4" t="str">
        <f t="shared" si="379"/>
        <v>GSE40367</v>
      </c>
      <c r="D3986" s="1" t="s">
        <v>45</v>
      </c>
      <c r="E3986" t="s">
        <v>243</v>
      </c>
      <c r="F3986" s="1">
        <v>1</v>
      </c>
      <c r="G3986" s="1" t="s">
        <v>244</v>
      </c>
      <c r="H3986" s="4" t="str">
        <f>HYPERLINK("https://www.ncbi.nlm.nih.gov/geo/query/acc.cgi?acc=GSM992277","GSM992277")</f>
        <v>GSM992277</v>
      </c>
      <c r="I3986" t="s">
        <v>69</v>
      </c>
      <c r="J3986" t="s">
        <v>245</v>
      </c>
      <c r="K3986" t="s">
        <v>19</v>
      </c>
      <c r="L3986" t="s">
        <v>70</v>
      </c>
      <c r="M3986" t="s">
        <v>44</v>
      </c>
      <c r="N3986" t="s">
        <v>29</v>
      </c>
    </row>
    <row r="3987" spans="1:14">
      <c r="A3987" s="4" t="str">
        <f t="shared" si="377"/>
        <v>EXP00124</v>
      </c>
      <c r="B3987" s="4" t="str">
        <f t="shared" si="378"/>
        <v>25552933</v>
      </c>
      <c r="C3987" s="4" t="str">
        <f t="shared" si="379"/>
        <v>GSE40367</v>
      </c>
      <c r="D3987" s="1" t="s">
        <v>45</v>
      </c>
      <c r="E3987" t="s">
        <v>243</v>
      </c>
      <c r="F3987" s="1">
        <v>1</v>
      </c>
      <c r="G3987" s="1" t="s">
        <v>244</v>
      </c>
      <c r="H3987" s="4" t="str">
        <f>HYPERLINK("https://www.ncbi.nlm.nih.gov/geo/query/acc.cgi?acc=GSM992279","GSM992279")</f>
        <v>GSM992279</v>
      </c>
      <c r="I3987" t="s">
        <v>69</v>
      </c>
      <c r="J3987" t="s">
        <v>245</v>
      </c>
      <c r="K3987" t="s">
        <v>19</v>
      </c>
      <c r="L3987" t="s">
        <v>70</v>
      </c>
      <c r="M3987" t="s">
        <v>44</v>
      </c>
      <c r="N3987" t="s">
        <v>29</v>
      </c>
    </row>
    <row r="3988" spans="1:14">
      <c r="A3988" s="4" t="str">
        <f t="shared" si="377"/>
        <v>EXP00124</v>
      </c>
      <c r="B3988" s="4" t="str">
        <f t="shared" si="378"/>
        <v>25552933</v>
      </c>
      <c r="C3988" s="4" t="str">
        <f t="shared" si="379"/>
        <v>GSE40367</v>
      </c>
      <c r="D3988" s="1" t="s">
        <v>45</v>
      </c>
      <c r="E3988" t="s">
        <v>243</v>
      </c>
      <c r="F3988" s="1">
        <v>1</v>
      </c>
      <c r="G3988" s="1" t="s">
        <v>244</v>
      </c>
      <c r="H3988" s="4" t="str">
        <f>HYPERLINK("https://www.ncbi.nlm.nih.gov/geo/query/acc.cgi?acc=GSM992280","GSM992280")</f>
        <v>GSM992280</v>
      </c>
      <c r="I3988" t="s">
        <v>69</v>
      </c>
      <c r="J3988" t="s">
        <v>245</v>
      </c>
      <c r="K3988" t="s">
        <v>19</v>
      </c>
      <c r="L3988" t="s">
        <v>246</v>
      </c>
      <c r="M3988" t="s">
        <v>44</v>
      </c>
      <c r="N3988" t="s">
        <v>29</v>
      </c>
    </row>
    <row r="3989" spans="1:14">
      <c r="A3989" s="4" t="str">
        <f t="shared" si="377"/>
        <v>EXP00124</v>
      </c>
      <c r="B3989" s="4" t="str">
        <f t="shared" si="378"/>
        <v>25552933</v>
      </c>
      <c r="C3989" s="4" t="str">
        <f t="shared" si="379"/>
        <v>GSE40367</v>
      </c>
      <c r="D3989" s="1" t="s">
        <v>45</v>
      </c>
      <c r="E3989" t="s">
        <v>243</v>
      </c>
      <c r="F3989" s="1">
        <v>1</v>
      </c>
      <c r="G3989" s="1" t="s">
        <v>244</v>
      </c>
      <c r="H3989" s="4" t="str">
        <f>HYPERLINK("https://www.ncbi.nlm.nih.gov/geo/query/acc.cgi?acc=GSM992282","GSM992282")</f>
        <v>GSM992282</v>
      </c>
      <c r="I3989" t="s">
        <v>69</v>
      </c>
      <c r="J3989" t="s">
        <v>245</v>
      </c>
      <c r="K3989" t="s">
        <v>19</v>
      </c>
      <c r="L3989" t="s">
        <v>70</v>
      </c>
      <c r="M3989" t="s">
        <v>44</v>
      </c>
      <c r="N3989" t="s">
        <v>29</v>
      </c>
    </row>
    <row r="3990" spans="1:14">
      <c r="A3990" s="4" t="str">
        <f t="shared" si="377"/>
        <v>EXP00124</v>
      </c>
      <c r="B3990" s="4" t="str">
        <f t="shared" si="378"/>
        <v>25552933</v>
      </c>
      <c r="C3990" s="4" t="str">
        <f t="shared" si="379"/>
        <v>GSE40367</v>
      </c>
      <c r="D3990" s="1" t="s">
        <v>45</v>
      </c>
      <c r="E3990" t="s">
        <v>243</v>
      </c>
      <c r="F3990" s="1">
        <v>1</v>
      </c>
      <c r="G3990" s="1" t="s">
        <v>244</v>
      </c>
      <c r="H3990" s="4" t="str">
        <f>HYPERLINK("https://www.ncbi.nlm.nih.gov/geo/query/acc.cgi?acc=GSM992284","GSM992284")</f>
        <v>GSM992284</v>
      </c>
      <c r="I3990" t="s">
        <v>69</v>
      </c>
      <c r="J3990" t="s">
        <v>245</v>
      </c>
      <c r="K3990" t="s">
        <v>19</v>
      </c>
      <c r="L3990" t="s">
        <v>70</v>
      </c>
      <c r="M3990" t="s">
        <v>44</v>
      </c>
      <c r="N3990" t="s">
        <v>29</v>
      </c>
    </row>
    <row r="3991" spans="1:14">
      <c r="A3991" s="4" t="str">
        <f t="shared" si="377"/>
        <v>EXP00124</v>
      </c>
      <c r="B3991" s="4" t="str">
        <f t="shared" si="378"/>
        <v>25552933</v>
      </c>
      <c r="C3991" s="4" t="str">
        <f t="shared" si="379"/>
        <v>GSE40367</v>
      </c>
      <c r="D3991" s="1" t="s">
        <v>45</v>
      </c>
      <c r="E3991" t="s">
        <v>243</v>
      </c>
      <c r="F3991" s="1">
        <v>1</v>
      </c>
      <c r="G3991" s="1" t="s">
        <v>244</v>
      </c>
      <c r="H3991" s="4" t="str">
        <f>HYPERLINK("https://www.ncbi.nlm.nih.gov/geo/query/acc.cgi?acc=GSM992286","GSM992286")</f>
        <v>GSM992286</v>
      </c>
      <c r="I3991" t="s">
        <v>69</v>
      </c>
      <c r="J3991" t="s">
        <v>245</v>
      </c>
      <c r="K3991" t="s">
        <v>19</v>
      </c>
      <c r="L3991" t="s">
        <v>70</v>
      </c>
      <c r="M3991" t="s">
        <v>44</v>
      </c>
      <c r="N3991" t="s">
        <v>29</v>
      </c>
    </row>
    <row r="3992" spans="1:14">
      <c r="A3992" s="4" t="str">
        <f t="shared" si="377"/>
        <v>EXP00124</v>
      </c>
      <c r="B3992" s="4" t="str">
        <f t="shared" si="378"/>
        <v>25552933</v>
      </c>
      <c r="C3992" s="4" t="str">
        <f t="shared" si="379"/>
        <v>GSE40367</v>
      </c>
      <c r="D3992" s="1" t="s">
        <v>45</v>
      </c>
      <c r="E3992" t="s">
        <v>243</v>
      </c>
      <c r="F3992" s="1">
        <v>2</v>
      </c>
      <c r="G3992" s="1" t="s">
        <v>247</v>
      </c>
      <c r="H3992" s="4" t="str">
        <f>HYPERLINK("https://www.ncbi.nlm.nih.gov/geo/query/acc.cgi?acc=GSM992303","GSM992303")</f>
        <v>GSM992303</v>
      </c>
      <c r="I3992" t="s">
        <v>177</v>
      </c>
      <c r="J3992" t="s">
        <v>248</v>
      </c>
      <c r="K3992" t="s">
        <v>19</v>
      </c>
      <c r="L3992" t="s">
        <v>44</v>
      </c>
      <c r="M3992" t="s">
        <v>24</v>
      </c>
      <c r="N3992" t="s">
        <v>29</v>
      </c>
    </row>
    <row r="3993" spans="1:14">
      <c r="A3993" s="4" t="str">
        <f t="shared" si="377"/>
        <v>EXP00124</v>
      </c>
      <c r="B3993" s="4" t="str">
        <f t="shared" si="378"/>
        <v>25552933</v>
      </c>
      <c r="C3993" s="4" t="str">
        <f t="shared" si="379"/>
        <v>GSE40367</v>
      </c>
      <c r="D3993" s="1" t="s">
        <v>45</v>
      </c>
      <c r="E3993" t="s">
        <v>243</v>
      </c>
      <c r="F3993" s="1">
        <v>2</v>
      </c>
      <c r="G3993" s="1" t="s">
        <v>247</v>
      </c>
      <c r="H3993" s="4" t="str">
        <f>HYPERLINK("https://www.ncbi.nlm.nih.gov/geo/query/acc.cgi?acc=GSM992305","GSM992305")</f>
        <v>GSM992305</v>
      </c>
      <c r="I3993" t="s">
        <v>177</v>
      </c>
      <c r="J3993" t="s">
        <v>248</v>
      </c>
      <c r="K3993" t="s">
        <v>19</v>
      </c>
      <c r="L3993" t="s">
        <v>44</v>
      </c>
      <c r="M3993" t="s">
        <v>24</v>
      </c>
      <c r="N3993" t="s">
        <v>29</v>
      </c>
    </row>
    <row r="3994" spans="1:14">
      <c r="A3994" s="4" t="str">
        <f t="shared" si="377"/>
        <v>EXP00124</v>
      </c>
      <c r="B3994" s="4" t="str">
        <f t="shared" si="378"/>
        <v>25552933</v>
      </c>
      <c r="C3994" s="4" t="str">
        <f t="shared" si="379"/>
        <v>GSE40367</v>
      </c>
      <c r="D3994" s="1" t="s">
        <v>45</v>
      </c>
      <c r="E3994" t="s">
        <v>243</v>
      </c>
      <c r="F3994" s="1">
        <v>2</v>
      </c>
      <c r="G3994" s="1" t="s">
        <v>247</v>
      </c>
      <c r="H3994" s="4" t="str">
        <f>HYPERLINK("https://www.ncbi.nlm.nih.gov/geo/query/acc.cgi?acc=GSM992309","GSM992309")</f>
        <v>GSM992309</v>
      </c>
      <c r="I3994" t="s">
        <v>177</v>
      </c>
      <c r="J3994" t="s">
        <v>178</v>
      </c>
      <c r="K3994" t="s">
        <v>19</v>
      </c>
      <c r="L3994" t="s">
        <v>44</v>
      </c>
      <c r="M3994" t="s">
        <v>24</v>
      </c>
      <c r="N3994" t="s">
        <v>29</v>
      </c>
    </row>
    <row r="3995" spans="1:14">
      <c r="A3995" s="4" t="str">
        <f t="shared" si="377"/>
        <v>EXP00124</v>
      </c>
      <c r="B3995" s="4" t="str">
        <f t="shared" si="378"/>
        <v>25552933</v>
      </c>
      <c r="C3995" s="4" t="str">
        <f t="shared" si="379"/>
        <v>GSE40367</v>
      </c>
      <c r="D3995" s="1" t="s">
        <v>45</v>
      </c>
      <c r="E3995" t="s">
        <v>243</v>
      </c>
      <c r="F3995" s="1">
        <v>2</v>
      </c>
      <c r="G3995" s="1" t="s">
        <v>247</v>
      </c>
      <c r="H3995" s="4" t="str">
        <f>HYPERLINK("https://www.ncbi.nlm.nih.gov/geo/query/acc.cgi?acc=GSM992311","GSM992311")</f>
        <v>GSM992311</v>
      </c>
      <c r="I3995" t="s">
        <v>177</v>
      </c>
      <c r="J3995" t="s">
        <v>248</v>
      </c>
      <c r="K3995" t="s">
        <v>19</v>
      </c>
      <c r="L3995" t="s">
        <v>44</v>
      </c>
      <c r="M3995" t="s">
        <v>24</v>
      </c>
      <c r="N3995" t="s">
        <v>29</v>
      </c>
    </row>
    <row r="3996" spans="1:14">
      <c r="A3996" s="4" t="str">
        <f t="shared" si="377"/>
        <v>EXP00124</v>
      </c>
      <c r="B3996" s="4" t="str">
        <f t="shared" si="378"/>
        <v>25552933</v>
      </c>
      <c r="C3996" s="4" t="str">
        <f t="shared" si="379"/>
        <v>GSE40367</v>
      </c>
      <c r="D3996" s="1" t="s">
        <v>45</v>
      </c>
      <c r="E3996" t="s">
        <v>243</v>
      </c>
      <c r="F3996" s="1">
        <v>2</v>
      </c>
      <c r="G3996" s="1" t="s">
        <v>247</v>
      </c>
      <c r="H3996" s="4" t="str">
        <f>HYPERLINK("https://www.ncbi.nlm.nih.gov/geo/query/acc.cgi?acc=GSM992313","GSM992313")</f>
        <v>GSM992313</v>
      </c>
      <c r="I3996" t="s">
        <v>177</v>
      </c>
      <c r="J3996" t="s">
        <v>178</v>
      </c>
      <c r="K3996" t="s">
        <v>19</v>
      </c>
      <c r="L3996" t="s">
        <v>44</v>
      </c>
      <c r="M3996" t="s">
        <v>34</v>
      </c>
      <c r="N3996" t="s">
        <v>29</v>
      </c>
    </row>
    <row r="3997" spans="1:14">
      <c r="A3997" s="4" t="str">
        <f t="shared" si="377"/>
        <v>EXP00124</v>
      </c>
      <c r="B3997" s="4" t="str">
        <f t="shared" si="378"/>
        <v>25552933</v>
      </c>
      <c r="C3997" s="4" t="str">
        <f t="shared" si="379"/>
        <v>GSE40367</v>
      </c>
      <c r="D3997" s="1" t="s">
        <v>45</v>
      </c>
      <c r="E3997" t="s">
        <v>243</v>
      </c>
      <c r="F3997" s="1">
        <v>2</v>
      </c>
      <c r="G3997" s="1" t="s">
        <v>247</v>
      </c>
      <c r="H3997" s="4" t="str">
        <f>HYPERLINK("https://www.ncbi.nlm.nih.gov/geo/query/acc.cgi?acc=GSM992315","GSM992315")</f>
        <v>GSM992315</v>
      </c>
      <c r="I3997" t="s">
        <v>177</v>
      </c>
      <c r="J3997" t="s">
        <v>178</v>
      </c>
      <c r="K3997" t="s">
        <v>19</v>
      </c>
      <c r="L3997" t="s">
        <v>44</v>
      </c>
      <c r="M3997" t="s">
        <v>34</v>
      </c>
      <c r="N3997" t="s">
        <v>29</v>
      </c>
    </row>
    <row r="3998" spans="1:14">
      <c r="A3998" s="4" t="str">
        <f t="shared" si="377"/>
        <v>EXP00124</v>
      </c>
      <c r="B3998" s="4" t="str">
        <f t="shared" si="378"/>
        <v>25552933</v>
      </c>
      <c r="C3998" s="4" t="str">
        <f t="shared" si="379"/>
        <v>GSE40367</v>
      </c>
      <c r="D3998" s="1" t="s">
        <v>45</v>
      </c>
      <c r="E3998" t="s">
        <v>243</v>
      </c>
      <c r="F3998" s="1">
        <v>2</v>
      </c>
      <c r="G3998" s="1" t="s">
        <v>247</v>
      </c>
      <c r="H3998" s="4" t="str">
        <f>HYPERLINK("https://www.ncbi.nlm.nih.gov/geo/query/acc.cgi?acc=GSM992317","GSM992317")</f>
        <v>GSM992317</v>
      </c>
      <c r="I3998" t="s">
        <v>177</v>
      </c>
      <c r="J3998" t="s">
        <v>178</v>
      </c>
      <c r="K3998" t="s">
        <v>19</v>
      </c>
      <c r="L3998" t="s">
        <v>44</v>
      </c>
      <c r="M3998" t="s">
        <v>34</v>
      </c>
      <c r="N3998" t="s">
        <v>29</v>
      </c>
    </row>
    <row r="3999" spans="1:14">
      <c r="A3999" s="4" t="str">
        <f t="shared" si="377"/>
        <v>EXP00124</v>
      </c>
      <c r="B3999" s="4" t="str">
        <f t="shared" si="378"/>
        <v>25552933</v>
      </c>
      <c r="C3999" s="4" t="str">
        <f t="shared" si="379"/>
        <v>GSE40367</v>
      </c>
      <c r="D3999" s="1" t="s">
        <v>45</v>
      </c>
      <c r="E3999" t="s">
        <v>243</v>
      </c>
      <c r="F3999" s="1">
        <v>2</v>
      </c>
      <c r="G3999" s="1" t="s">
        <v>247</v>
      </c>
      <c r="H3999" s="4" t="str">
        <f>HYPERLINK("https://www.ncbi.nlm.nih.gov/geo/query/acc.cgi?acc=GSM992318","GSM992318")</f>
        <v>GSM992318</v>
      </c>
      <c r="I3999" t="s">
        <v>177</v>
      </c>
      <c r="J3999" t="s">
        <v>248</v>
      </c>
      <c r="K3999" t="s">
        <v>19</v>
      </c>
      <c r="L3999" t="s">
        <v>44</v>
      </c>
      <c r="M3999" t="s">
        <v>41</v>
      </c>
      <c r="N3999" t="s">
        <v>29</v>
      </c>
    </row>
    <row r="4000" spans="1:14">
      <c r="A4000" s="4" t="str">
        <f t="shared" si="377"/>
        <v>EXP00124</v>
      </c>
      <c r="B4000" s="4" t="str">
        <f t="shared" si="378"/>
        <v>25552933</v>
      </c>
      <c r="C4000" s="4" t="str">
        <f t="shared" si="379"/>
        <v>GSE40367</v>
      </c>
      <c r="D4000" s="1" t="s">
        <v>45</v>
      </c>
      <c r="E4000" t="s">
        <v>243</v>
      </c>
      <c r="F4000" s="1">
        <v>2</v>
      </c>
      <c r="G4000" s="1" t="s">
        <v>247</v>
      </c>
      <c r="H4000" s="4" t="str">
        <f>HYPERLINK("https://www.ncbi.nlm.nih.gov/geo/query/acc.cgi?acc=GSM992320","GSM992320")</f>
        <v>GSM992320</v>
      </c>
      <c r="I4000" t="s">
        <v>177</v>
      </c>
      <c r="J4000" t="s">
        <v>178</v>
      </c>
      <c r="K4000" t="s">
        <v>19</v>
      </c>
      <c r="L4000" t="s">
        <v>44</v>
      </c>
      <c r="M4000" t="s">
        <v>41</v>
      </c>
      <c r="N4000" t="s">
        <v>29</v>
      </c>
    </row>
    <row r="4001" spans="1:14">
      <c r="A4001" s="4" t="str">
        <f t="shared" si="377"/>
        <v>EXP00124</v>
      </c>
      <c r="B4001" s="4" t="str">
        <f t="shared" si="378"/>
        <v>25552933</v>
      </c>
      <c r="C4001" s="4" t="str">
        <f t="shared" si="379"/>
        <v>GSE40367</v>
      </c>
      <c r="D4001" s="1" t="s">
        <v>45</v>
      </c>
      <c r="E4001" t="s">
        <v>243</v>
      </c>
      <c r="F4001" s="1">
        <v>2</v>
      </c>
      <c r="G4001" s="1" t="s">
        <v>247</v>
      </c>
      <c r="H4001" s="4" t="str">
        <f>HYPERLINK("https://www.ncbi.nlm.nih.gov/geo/query/acc.cgi?acc=GSM992322","GSM992322")</f>
        <v>GSM992322</v>
      </c>
      <c r="I4001" t="s">
        <v>177</v>
      </c>
      <c r="J4001" t="s">
        <v>178</v>
      </c>
      <c r="K4001" t="s">
        <v>19</v>
      </c>
      <c r="L4001" t="s">
        <v>44</v>
      </c>
      <c r="M4001" t="s">
        <v>41</v>
      </c>
      <c r="N4001" t="s">
        <v>29</v>
      </c>
    </row>
    <row r="4002" spans="1:14">
      <c r="A4002" s="4" t="str">
        <f t="shared" ref="A4002:A4027" si="380">HYPERLINK("http://hcmdb.i-sanger.com/experiment/details/experiment_id/EXP00125","EXP00125")</f>
        <v>EXP00125</v>
      </c>
      <c r="B4002" s="4" t="str">
        <f t="shared" si="378"/>
        <v>25552933</v>
      </c>
      <c r="C4002" s="4" t="str">
        <f t="shared" si="379"/>
        <v>GSE40367</v>
      </c>
      <c r="D4002" s="1" t="s">
        <v>45</v>
      </c>
      <c r="E4002" t="s">
        <v>249</v>
      </c>
      <c r="F4002" s="1">
        <v>1</v>
      </c>
      <c r="G4002" s="1" t="s">
        <v>250</v>
      </c>
      <c r="H4002" s="4" t="str">
        <f>HYPERLINK("https://www.ncbi.nlm.nih.gov/geo/query/acc.cgi?acc=GSM992272","GSM992272")</f>
        <v>GSM992272</v>
      </c>
      <c r="I4002" t="s">
        <v>69</v>
      </c>
      <c r="J4002" t="s">
        <v>245</v>
      </c>
      <c r="K4002" t="s">
        <v>19</v>
      </c>
      <c r="L4002" t="s">
        <v>70</v>
      </c>
      <c r="M4002" t="s">
        <v>44</v>
      </c>
      <c r="N4002" t="s">
        <v>22</v>
      </c>
    </row>
    <row r="4003" spans="1:14">
      <c r="A4003" s="4" t="str">
        <f t="shared" si="380"/>
        <v>EXP00125</v>
      </c>
      <c r="B4003" s="4" t="str">
        <f t="shared" si="378"/>
        <v>25552933</v>
      </c>
      <c r="C4003" s="4" t="str">
        <f t="shared" si="379"/>
        <v>GSE40367</v>
      </c>
      <c r="D4003" s="1" t="s">
        <v>45</v>
      </c>
      <c r="E4003" t="s">
        <v>249</v>
      </c>
      <c r="F4003" s="1">
        <v>1</v>
      </c>
      <c r="G4003" s="1" t="s">
        <v>250</v>
      </c>
      <c r="H4003" s="4" t="str">
        <f>HYPERLINK("https://www.ncbi.nlm.nih.gov/geo/query/acc.cgi?acc=GSM992274","GSM992274")</f>
        <v>GSM992274</v>
      </c>
      <c r="I4003" t="s">
        <v>69</v>
      </c>
      <c r="J4003" t="s">
        <v>245</v>
      </c>
      <c r="K4003" t="s">
        <v>19</v>
      </c>
      <c r="L4003" t="s">
        <v>70</v>
      </c>
      <c r="M4003" t="s">
        <v>44</v>
      </c>
      <c r="N4003" t="s">
        <v>22</v>
      </c>
    </row>
    <row r="4004" spans="1:14">
      <c r="A4004" s="4" t="str">
        <f t="shared" si="380"/>
        <v>EXP00125</v>
      </c>
      <c r="B4004" s="4" t="str">
        <f t="shared" si="378"/>
        <v>25552933</v>
      </c>
      <c r="C4004" s="4" t="str">
        <f t="shared" si="379"/>
        <v>GSE40367</v>
      </c>
      <c r="D4004" s="1" t="s">
        <v>45</v>
      </c>
      <c r="E4004" t="s">
        <v>249</v>
      </c>
      <c r="F4004" s="1">
        <v>1</v>
      </c>
      <c r="G4004" s="1" t="s">
        <v>250</v>
      </c>
      <c r="H4004" s="4" t="str">
        <f>HYPERLINK("https://www.ncbi.nlm.nih.gov/geo/query/acc.cgi?acc=GSM992276","GSM992276")</f>
        <v>GSM992276</v>
      </c>
      <c r="I4004" t="s">
        <v>69</v>
      </c>
      <c r="J4004" t="s">
        <v>245</v>
      </c>
      <c r="K4004" t="s">
        <v>19</v>
      </c>
      <c r="L4004" t="s">
        <v>70</v>
      </c>
      <c r="M4004" t="s">
        <v>44</v>
      </c>
      <c r="N4004" t="s">
        <v>22</v>
      </c>
    </row>
    <row r="4005" spans="1:14">
      <c r="A4005" s="4" t="str">
        <f t="shared" si="380"/>
        <v>EXP00125</v>
      </c>
      <c r="B4005" s="4" t="str">
        <f t="shared" si="378"/>
        <v>25552933</v>
      </c>
      <c r="C4005" s="4" t="str">
        <f t="shared" si="379"/>
        <v>GSE40367</v>
      </c>
      <c r="D4005" s="1" t="s">
        <v>45</v>
      </c>
      <c r="E4005" t="s">
        <v>249</v>
      </c>
      <c r="F4005" s="1">
        <v>1</v>
      </c>
      <c r="G4005" s="1" t="s">
        <v>250</v>
      </c>
      <c r="H4005" s="4" t="str">
        <f>HYPERLINK("https://www.ncbi.nlm.nih.gov/geo/query/acc.cgi?acc=GSM992278","GSM992278")</f>
        <v>GSM992278</v>
      </c>
      <c r="I4005" t="s">
        <v>69</v>
      </c>
      <c r="J4005" t="s">
        <v>245</v>
      </c>
      <c r="K4005" t="s">
        <v>19</v>
      </c>
      <c r="L4005" t="s">
        <v>70</v>
      </c>
      <c r="M4005" t="s">
        <v>44</v>
      </c>
      <c r="N4005" t="s">
        <v>22</v>
      </c>
    </row>
    <row r="4006" spans="1:14">
      <c r="A4006" s="4" t="str">
        <f t="shared" si="380"/>
        <v>EXP00125</v>
      </c>
      <c r="B4006" s="4" t="str">
        <f t="shared" si="378"/>
        <v>25552933</v>
      </c>
      <c r="C4006" s="4" t="str">
        <f t="shared" si="379"/>
        <v>GSE40367</v>
      </c>
      <c r="D4006" s="1" t="s">
        <v>45</v>
      </c>
      <c r="E4006" t="s">
        <v>249</v>
      </c>
      <c r="F4006" s="1">
        <v>1</v>
      </c>
      <c r="G4006" s="1" t="s">
        <v>250</v>
      </c>
      <c r="H4006" s="4" t="str">
        <f>HYPERLINK("https://www.ncbi.nlm.nih.gov/geo/query/acc.cgi?acc=GSM992281","GSM992281")</f>
        <v>GSM992281</v>
      </c>
      <c r="I4006" t="s">
        <v>69</v>
      </c>
      <c r="J4006" t="s">
        <v>245</v>
      </c>
      <c r="K4006" t="s">
        <v>19</v>
      </c>
      <c r="L4006" t="s">
        <v>70</v>
      </c>
      <c r="M4006" t="s">
        <v>44</v>
      </c>
      <c r="N4006" t="s">
        <v>22</v>
      </c>
    </row>
    <row r="4007" spans="1:14">
      <c r="A4007" s="4" t="str">
        <f t="shared" si="380"/>
        <v>EXP00125</v>
      </c>
      <c r="B4007" s="4" t="str">
        <f t="shared" si="378"/>
        <v>25552933</v>
      </c>
      <c r="C4007" s="4" t="str">
        <f t="shared" si="379"/>
        <v>GSE40367</v>
      </c>
      <c r="D4007" s="1" t="s">
        <v>45</v>
      </c>
      <c r="E4007" t="s">
        <v>249</v>
      </c>
      <c r="F4007" s="1">
        <v>1</v>
      </c>
      <c r="G4007" s="1" t="s">
        <v>250</v>
      </c>
      <c r="H4007" s="4" t="str">
        <f>HYPERLINK("https://www.ncbi.nlm.nih.gov/geo/query/acc.cgi?acc=GSM992283","GSM992283")</f>
        <v>GSM992283</v>
      </c>
      <c r="I4007" t="s">
        <v>69</v>
      </c>
      <c r="J4007" t="s">
        <v>245</v>
      </c>
      <c r="K4007" t="s">
        <v>19</v>
      </c>
      <c r="L4007" t="s">
        <v>70</v>
      </c>
      <c r="M4007" t="s">
        <v>44</v>
      </c>
      <c r="N4007" t="s">
        <v>22</v>
      </c>
    </row>
    <row r="4008" spans="1:14">
      <c r="A4008" s="4" t="str">
        <f t="shared" si="380"/>
        <v>EXP00125</v>
      </c>
      <c r="B4008" s="4" t="str">
        <f t="shared" si="378"/>
        <v>25552933</v>
      </c>
      <c r="C4008" s="4" t="str">
        <f t="shared" si="379"/>
        <v>GSE40367</v>
      </c>
      <c r="D4008" s="1" t="s">
        <v>45</v>
      </c>
      <c r="E4008" t="s">
        <v>249</v>
      </c>
      <c r="F4008" s="1">
        <v>1</v>
      </c>
      <c r="G4008" s="1" t="s">
        <v>250</v>
      </c>
      <c r="H4008" s="4" t="str">
        <f>HYPERLINK("https://www.ncbi.nlm.nih.gov/geo/query/acc.cgi?acc=GSM992285","GSM992285")</f>
        <v>GSM992285</v>
      </c>
      <c r="I4008" t="s">
        <v>69</v>
      </c>
      <c r="J4008" t="s">
        <v>245</v>
      </c>
      <c r="K4008" t="s">
        <v>19</v>
      </c>
      <c r="L4008" t="s">
        <v>70</v>
      </c>
      <c r="M4008" t="s">
        <v>44</v>
      </c>
      <c r="N4008" t="s">
        <v>22</v>
      </c>
    </row>
    <row r="4009" spans="1:14">
      <c r="A4009" s="4" t="str">
        <f t="shared" si="380"/>
        <v>EXP00125</v>
      </c>
      <c r="B4009" s="4" t="str">
        <f t="shared" si="378"/>
        <v>25552933</v>
      </c>
      <c r="C4009" s="4" t="str">
        <f t="shared" si="379"/>
        <v>GSE40367</v>
      </c>
      <c r="D4009" s="1" t="s">
        <v>45</v>
      </c>
      <c r="E4009" t="s">
        <v>249</v>
      </c>
      <c r="F4009" s="1">
        <v>2</v>
      </c>
      <c r="G4009" s="1" t="s">
        <v>251</v>
      </c>
      <c r="H4009" s="4" t="str">
        <f>HYPERLINK("https://www.ncbi.nlm.nih.gov/geo/query/acc.cgi?acc=GSM992302","GSM992302")</f>
        <v>GSM992302</v>
      </c>
      <c r="I4009" t="s">
        <v>177</v>
      </c>
      <c r="J4009" t="s">
        <v>248</v>
      </c>
      <c r="K4009" t="s">
        <v>19</v>
      </c>
      <c r="L4009" t="s">
        <v>44</v>
      </c>
      <c r="M4009" t="s">
        <v>24</v>
      </c>
      <c r="N4009" t="s">
        <v>22</v>
      </c>
    </row>
    <row r="4010" spans="1:14">
      <c r="A4010" s="4" t="str">
        <f t="shared" si="380"/>
        <v>EXP00125</v>
      </c>
      <c r="B4010" s="4" t="str">
        <f t="shared" si="378"/>
        <v>25552933</v>
      </c>
      <c r="C4010" s="4" t="str">
        <f t="shared" si="379"/>
        <v>GSE40367</v>
      </c>
      <c r="D4010" s="1" t="s">
        <v>45</v>
      </c>
      <c r="E4010" t="s">
        <v>249</v>
      </c>
      <c r="F4010" s="1">
        <v>2</v>
      </c>
      <c r="G4010" s="1" t="s">
        <v>251</v>
      </c>
      <c r="H4010" s="4" t="str">
        <f>HYPERLINK("https://www.ncbi.nlm.nih.gov/geo/query/acc.cgi?acc=GSM992304","GSM992304")</f>
        <v>GSM992304</v>
      </c>
      <c r="I4010" t="s">
        <v>177</v>
      </c>
      <c r="J4010" t="s">
        <v>248</v>
      </c>
      <c r="K4010" t="s">
        <v>19</v>
      </c>
      <c r="L4010" t="s">
        <v>44</v>
      </c>
      <c r="M4010" t="s">
        <v>24</v>
      </c>
      <c r="N4010" t="s">
        <v>22</v>
      </c>
    </row>
    <row r="4011" spans="1:14">
      <c r="A4011" s="4" t="str">
        <f t="shared" si="380"/>
        <v>EXP00125</v>
      </c>
      <c r="B4011" s="4" t="str">
        <f t="shared" si="378"/>
        <v>25552933</v>
      </c>
      <c r="C4011" s="4" t="str">
        <f t="shared" si="379"/>
        <v>GSE40367</v>
      </c>
      <c r="D4011" s="1" t="s">
        <v>45</v>
      </c>
      <c r="E4011" t="s">
        <v>249</v>
      </c>
      <c r="F4011" s="1">
        <v>2</v>
      </c>
      <c r="G4011" s="1" t="s">
        <v>251</v>
      </c>
      <c r="H4011" s="4" t="str">
        <f>HYPERLINK("https://www.ncbi.nlm.nih.gov/geo/query/acc.cgi?acc=GSM992308","GSM992308")</f>
        <v>GSM992308</v>
      </c>
      <c r="I4011" t="s">
        <v>177</v>
      </c>
      <c r="J4011" t="s">
        <v>178</v>
      </c>
      <c r="K4011" t="s">
        <v>19</v>
      </c>
      <c r="L4011" t="s">
        <v>44</v>
      </c>
      <c r="M4011" t="s">
        <v>24</v>
      </c>
      <c r="N4011" t="s">
        <v>22</v>
      </c>
    </row>
    <row r="4012" spans="1:14">
      <c r="A4012" s="4" t="str">
        <f t="shared" si="380"/>
        <v>EXP00125</v>
      </c>
      <c r="B4012" s="4" t="str">
        <f t="shared" si="378"/>
        <v>25552933</v>
      </c>
      <c r="C4012" s="4" t="str">
        <f t="shared" si="379"/>
        <v>GSE40367</v>
      </c>
      <c r="D4012" s="1" t="s">
        <v>45</v>
      </c>
      <c r="E4012" t="s">
        <v>249</v>
      </c>
      <c r="F4012" s="1">
        <v>2</v>
      </c>
      <c r="G4012" s="1" t="s">
        <v>251</v>
      </c>
      <c r="H4012" s="4" t="str">
        <f>HYPERLINK("https://www.ncbi.nlm.nih.gov/geo/query/acc.cgi?acc=GSM992310","GSM992310")</f>
        <v>GSM992310</v>
      </c>
      <c r="I4012" t="s">
        <v>177</v>
      </c>
      <c r="J4012" t="s">
        <v>248</v>
      </c>
      <c r="K4012" t="s">
        <v>19</v>
      </c>
      <c r="L4012" t="s">
        <v>44</v>
      </c>
      <c r="M4012" t="s">
        <v>24</v>
      </c>
      <c r="N4012" t="s">
        <v>22</v>
      </c>
    </row>
    <row r="4013" spans="1:14">
      <c r="A4013" s="4" t="str">
        <f t="shared" si="380"/>
        <v>EXP00125</v>
      </c>
      <c r="B4013" s="4" t="str">
        <f t="shared" si="378"/>
        <v>25552933</v>
      </c>
      <c r="C4013" s="4" t="str">
        <f t="shared" si="379"/>
        <v>GSE40367</v>
      </c>
      <c r="D4013" s="1" t="s">
        <v>45</v>
      </c>
      <c r="E4013" t="s">
        <v>249</v>
      </c>
      <c r="F4013" s="1">
        <v>2</v>
      </c>
      <c r="G4013" s="1" t="s">
        <v>251</v>
      </c>
      <c r="H4013" s="4" t="str">
        <f>HYPERLINK("https://www.ncbi.nlm.nih.gov/geo/query/acc.cgi?acc=GSM992312","GSM992312")</f>
        <v>GSM992312</v>
      </c>
      <c r="I4013" t="s">
        <v>177</v>
      </c>
      <c r="J4013" t="s">
        <v>178</v>
      </c>
      <c r="K4013" t="s">
        <v>19</v>
      </c>
      <c r="L4013" t="s">
        <v>44</v>
      </c>
      <c r="M4013" t="s">
        <v>34</v>
      </c>
      <c r="N4013" t="s">
        <v>22</v>
      </c>
    </row>
    <row r="4014" spans="1:14">
      <c r="A4014" s="4" t="str">
        <f t="shared" si="380"/>
        <v>EXP00125</v>
      </c>
      <c r="B4014" s="4" t="str">
        <f t="shared" si="378"/>
        <v>25552933</v>
      </c>
      <c r="C4014" s="4" t="str">
        <f t="shared" si="379"/>
        <v>GSE40367</v>
      </c>
      <c r="D4014" s="1" t="s">
        <v>45</v>
      </c>
      <c r="E4014" t="s">
        <v>249</v>
      </c>
      <c r="F4014" s="1">
        <v>2</v>
      </c>
      <c r="G4014" s="1" t="s">
        <v>251</v>
      </c>
      <c r="H4014" s="4" t="str">
        <f>HYPERLINK("https://www.ncbi.nlm.nih.gov/geo/query/acc.cgi?acc=GSM992314","GSM992314")</f>
        <v>GSM992314</v>
      </c>
      <c r="I4014" t="s">
        <v>177</v>
      </c>
      <c r="J4014" t="s">
        <v>178</v>
      </c>
      <c r="K4014" t="s">
        <v>19</v>
      </c>
      <c r="L4014" t="s">
        <v>44</v>
      </c>
      <c r="M4014" t="s">
        <v>34</v>
      </c>
      <c r="N4014" t="s">
        <v>22</v>
      </c>
    </row>
    <row r="4015" spans="1:14">
      <c r="A4015" s="4" t="str">
        <f t="shared" si="380"/>
        <v>EXP00125</v>
      </c>
      <c r="B4015" s="4" t="str">
        <f t="shared" si="378"/>
        <v>25552933</v>
      </c>
      <c r="C4015" s="4" t="str">
        <f t="shared" si="379"/>
        <v>GSE40367</v>
      </c>
      <c r="D4015" s="1" t="s">
        <v>45</v>
      </c>
      <c r="E4015" t="s">
        <v>249</v>
      </c>
      <c r="F4015" s="1">
        <v>2</v>
      </c>
      <c r="G4015" s="1" t="s">
        <v>251</v>
      </c>
      <c r="H4015" s="4" t="str">
        <f>HYPERLINK("https://www.ncbi.nlm.nih.gov/geo/query/acc.cgi?acc=GSM992316","GSM992316")</f>
        <v>GSM992316</v>
      </c>
      <c r="I4015" t="s">
        <v>177</v>
      </c>
      <c r="J4015" t="s">
        <v>178</v>
      </c>
      <c r="K4015" t="s">
        <v>19</v>
      </c>
      <c r="L4015" t="s">
        <v>44</v>
      </c>
      <c r="M4015" t="s">
        <v>34</v>
      </c>
      <c r="N4015" t="s">
        <v>22</v>
      </c>
    </row>
    <row r="4016" spans="1:14">
      <c r="A4016" s="4" t="str">
        <f t="shared" si="380"/>
        <v>EXP00125</v>
      </c>
      <c r="B4016" s="4" t="str">
        <f t="shared" si="378"/>
        <v>25552933</v>
      </c>
      <c r="C4016" s="4" t="str">
        <f t="shared" si="379"/>
        <v>GSE40367</v>
      </c>
      <c r="D4016" s="1" t="s">
        <v>45</v>
      </c>
      <c r="E4016" t="s">
        <v>249</v>
      </c>
      <c r="F4016" s="1">
        <v>2</v>
      </c>
      <c r="G4016" s="1" t="s">
        <v>251</v>
      </c>
      <c r="H4016" s="4" t="str">
        <f>HYPERLINK("https://www.ncbi.nlm.nih.gov/geo/query/acc.cgi?acc=GSM992319","GSM992319")</f>
        <v>GSM992319</v>
      </c>
      <c r="I4016" t="s">
        <v>177</v>
      </c>
      <c r="J4016" t="s">
        <v>178</v>
      </c>
      <c r="K4016" t="s">
        <v>19</v>
      </c>
      <c r="L4016" t="s">
        <v>44</v>
      </c>
      <c r="M4016" t="s">
        <v>41</v>
      </c>
      <c r="N4016" t="s">
        <v>22</v>
      </c>
    </row>
    <row r="4017" spans="1:14">
      <c r="A4017" s="4" t="str">
        <f t="shared" si="380"/>
        <v>EXP00125</v>
      </c>
      <c r="B4017" s="4" t="str">
        <f t="shared" si="378"/>
        <v>25552933</v>
      </c>
      <c r="C4017" s="4" t="str">
        <f t="shared" si="379"/>
        <v>GSE40367</v>
      </c>
      <c r="D4017" s="1" t="s">
        <v>45</v>
      </c>
      <c r="E4017" t="s">
        <v>249</v>
      </c>
      <c r="F4017" s="1">
        <v>2</v>
      </c>
      <c r="G4017" s="1" t="s">
        <v>251</v>
      </c>
      <c r="H4017" s="4" t="str">
        <f>HYPERLINK("https://www.ncbi.nlm.nih.gov/geo/query/acc.cgi?acc=GSM992321","GSM992321")</f>
        <v>GSM992321</v>
      </c>
      <c r="I4017" t="s">
        <v>177</v>
      </c>
      <c r="J4017" t="s">
        <v>178</v>
      </c>
      <c r="K4017" t="s">
        <v>19</v>
      </c>
      <c r="L4017" t="s">
        <v>44</v>
      </c>
      <c r="M4017" t="s">
        <v>41</v>
      </c>
      <c r="N4017" t="s">
        <v>22</v>
      </c>
    </row>
    <row r="4018" spans="1:14">
      <c r="A4018" s="4" t="str">
        <f t="shared" si="380"/>
        <v>EXP00125</v>
      </c>
      <c r="B4018" s="4" t="str">
        <f t="shared" si="378"/>
        <v>25552933</v>
      </c>
      <c r="C4018" s="4" t="str">
        <f t="shared" si="379"/>
        <v>GSE40367</v>
      </c>
      <c r="D4018" s="1" t="s">
        <v>45</v>
      </c>
      <c r="E4018" t="s">
        <v>249</v>
      </c>
      <c r="F4018" s="1">
        <v>2</v>
      </c>
      <c r="G4018" s="1" t="s">
        <v>251</v>
      </c>
      <c r="H4018" s="4" t="str">
        <f>HYPERLINK("https://www.ncbi.nlm.nih.gov/geo/query/acc.cgi?acc=GSM992323","GSM992323")</f>
        <v>GSM992323</v>
      </c>
      <c r="I4018" t="s">
        <v>177</v>
      </c>
      <c r="J4018" t="s">
        <v>178</v>
      </c>
      <c r="K4018" t="s">
        <v>19</v>
      </c>
      <c r="L4018" t="s">
        <v>44</v>
      </c>
      <c r="M4018" t="s">
        <v>41</v>
      </c>
      <c r="N4018" t="s">
        <v>22</v>
      </c>
    </row>
    <row r="4019" spans="1:14">
      <c r="A4019" s="4" t="str">
        <f t="shared" si="380"/>
        <v>EXP00125</v>
      </c>
      <c r="B4019" s="4" t="str">
        <f t="shared" si="378"/>
        <v>25552933</v>
      </c>
      <c r="C4019" s="4" t="str">
        <f t="shared" si="379"/>
        <v>GSE40367</v>
      </c>
      <c r="D4019" s="1" t="s">
        <v>45</v>
      </c>
      <c r="E4019" t="s">
        <v>249</v>
      </c>
      <c r="F4019" s="1">
        <v>2</v>
      </c>
      <c r="G4019" s="1" t="s">
        <v>251</v>
      </c>
      <c r="H4019" s="4" t="str">
        <f>HYPERLINK("https://www.ncbi.nlm.nih.gov/geo/query/acc.cgi?acc=GSM992324","GSM992324")</f>
        <v>GSM992324</v>
      </c>
      <c r="I4019" t="s">
        <v>177</v>
      </c>
      <c r="J4019" t="s">
        <v>178</v>
      </c>
      <c r="K4019" t="s">
        <v>19</v>
      </c>
      <c r="L4019" t="s">
        <v>44</v>
      </c>
      <c r="M4019" t="s">
        <v>41</v>
      </c>
      <c r="N4019" t="s">
        <v>22</v>
      </c>
    </row>
    <row r="4020" spans="1:14">
      <c r="A4020" s="4" t="str">
        <f t="shared" si="380"/>
        <v>EXP00125</v>
      </c>
      <c r="B4020" s="4" t="str">
        <f t="shared" si="378"/>
        <v>25552933</v>
      </c>
      <c r="C4020" s="4" t="str">
        <f t="shared" si="379"/>
        <v>GSE40367</v>
      </c>
      <c r="D4020" s="1" t="s">
        <v>45</v>
      </c>
      <c r="E4020" t="s">
        <v>249</v>
      </c>
      <c r="F4020" s="1">
        <v>2</v>
      </c>
      <c r="G4020" s="1" t="s">
        <v>251</v>
      </c>
      <c r="H4020" s="4" t="str">
        <f>HYPERLINK("https://www.ncbi.nlm.nih.gov/geo/query/acc.cgi?acc=GSM992325","GSM992325")</f>
        <v>GSM992325</v>
      </c>
      <c r="I4020" t="s">
        <v>177</v>
      </c>
      <c r="J4020" t="s">
        <v>178</v>
      </c>
      <c r="K4020" t="s">
        <v>19</v>
      </c>
      <c r="L4020" t="s">
        <v>44</v>
      </c>
      <c r="M4020" t="s">
        <v>41</v>
      </c>
      <c r="N4020" t="s">
        <v>22</v>
      </c>
    </row>
    <row r="4021" spans="1:14">
      <c r="A4021" s="4" t="str">
        <f t="shared" si="380"/>
        <v>EXP00125</v>
      </c>
      <c r="B4021" s="4" t="str">
        <f t="shared" si="378"/>
        <v>25552933</v>
      </c>
      <c r="C4021" s="4" t="str">
        <f t="shared" si="379"/>
        <v>GSE40367</v>
      </c>
      <c r="D4021" s="1" t="s">
        <v>45</v>
      </c>
      <c r="E4021" t="s">
        <v>249</v>
      </c>
      <c r="F4021" s="1">
        <v>2</v>
      </c>
      <c r="G4021" s="1" t="s">
        <v>251</v>
      </c>
      <c r="H4021" s="4" t="str">
        <f>HYPERLINK("https://www.ncbi.nlm.nih.gov/geo/query/acc.cgi?acc=GSM992326","GSM992326")</f>
        <v>GSM992326</v>
      </c>
      <c r="I4021" t="s">
        <v>177</v>
      </c>
      <c r="J4021" t="s">
        <v>178</v>
      </c>
      <c r="K4021" t="s">
        <v>19</v>
      </c>
      <c r="L4021" t="s">
        <v>44</v>
      </c>
      <c r="M4021" t="s">
        <v>41</v>
      </c>
      <c r="N4021" t="s">
        <v>22</v>
      </c>
    </row>
    <row r="4022" spans="1:14">
      <c r="A4022" s="4" t="str">
        <f t="shared" si="380"/>
        <v>EXP00125</v>
      </c>
      <c r="B4022" s="4" t="str">
        <f t="shared" si="378"/>
        <v>25552933</v>
      </c>
      <c r="C4022" s="4" t="str">
        <f t="shared" si="379"/>
        <v>GSE40367</v>
      </c>
      <c r="D4022" s="1" t="s">
        <v>45</v>
      </c>
      <c r="E4022" t="s">
        <v>249</v>
      </c>
      <c r="F4022" s="1">
        <v>2</v>
      </c>
      <c r="G4022" s="1" t="s">
        <v>251</v>
      </c>
      <c r="H4022" s="4" t="str">
        <f>HYPERLINK("https://www.ncbi.nlm.nih.gov/geo/query/acc.cgi?acc=GSM992327","GSM992327")</f>
        <v>GSM992327</v>
      </c>
      <c r="I4022" t="s">
        <v>177</v>
      </c>
      <c r="J4022" t="s">
        <v>178</v>
      </c>
      <c r="K4022" t="s">
        <v>19</v>
      </c>
      <c r="L4022" t="s">
        <v>44</v>
      </c>
      <c r="M4022" t="s">
        <v>41</v>
      </c>
      <c r="N4022" t="s">
        <v>22</v>
      </c>
    </row>
    <row r="4023" spans="1:14">
      <c r="A4023" s="4" t="str">
        <f t="shared" si="380"/>
        <v>EXP00125</v>
      </c>
      <c r="B4023" s="4" t="str">
        <f t="shared" si="378"/>
        <v>25552933</v>
      </c>
      <c r="C4023" s="4" t="str">
        <f t="shared" si="379"/>
        <v>GSE40367</v>
      </c>
      <c r="D4023" s="1" t="s">
        <v>45</v>
      </c>
      <c r="E4023" t="s">
        <v>249</v>
      </c>
      <c r="F4023" s="1">
        <v>2</v>
      </c>
      <c r="G4023" s="1" t="s">
        <v>251</v>
      </c>
      <c r="H4023" s="4" t="str">
        <f>HYPERLINK("https://www.ncbi.nlm.nih.gov/geo/query/acc.cgi?acc=GSM992328","GSM992328")</f>
        <v>GSM992328</v>
      </c>
      <c r="I4023" t="s">
        <v>177</v>
      </c>
      <c r="J4023" t="s">
        <v>178</v>
      </c>
      <c r="K4023" t="s">
        <v>19</v>
      </c>
      <c r="L4023" t="s">
        <v>44</v>
      </c>
      <c r="M4023" t="s">
        <v>41</v>
      </c>
      <c r="N4023" t="s">
        <v>22</v>
      </c>
    </row>
    <row r="4024" spans="1:14">
      <c r="A4024" s="4" t="str">
        <f t="shared" si="380"/>
        <v>EXP00125</v>
      </c>
      <c r="B4024" s="4" t="str">
        <f t="shared" si="378"/>
        <v>25552933</v>
      </c>
      <c r="C4024" s="4" t="str">
        <f t="shared" si="379"/>
        <v>GSE40367</v>
      </c>
      <c r="D4024" s="1" t="s">
        <v>45</v>
      </c>
      <c r="E4024" t="s">
        <v>249</v>
      </c>
      <c r="F4024" s="1">
        <v>2</v>
      </c>
      <c r="G4024" s="1" t="s">
        <v>251</v>
      </c>
      <c r="H4024" s="4" t="str">
        <f>HYPERLINK("https://www.ncbi.nlm.nih.gov/geo/query/acc.cgi?acc=GSM992329","GSM992329")</f>
        <v>GSM992329</v>
      </c>
      <c r="I4024" t="s">
        <v>177</v>
      </c>
      <c r="J4024" t="s">
        <v>178</v>
      </c>
      <c r="K4024" t="s">
        <v>19</v>
      </c>
      <c r="L4024" t="s">
        <v>44</v>
      </c>
      <c r="M4024" t="s">
        <v>41</v>
      </c>
      <c r="N4024" t="s">
        <v>22</v>
      </c>
    </row>
    <row r="4025" spans="1:14">
      <c r="A4025" s="4" t="str">
        <f t="shared" si="380"/>
        <v>EXP00125</v>
      </c>
      <c r="B4025" s="4" t="str">
        <f t="shared" si="378"/>
        <v>25552933</v>
      </c>
      <c r="C4025" s="4" t="str">
        <f t="shared" si="379"/>
        <v>GSE40367</v>
      </c>
      <c r="D4025" s="1" t="s">
        <v>45</v>
      </c>
      <c r="E4025" t="s">
        <v>249</v>
      </c>
      <c r="F4025" s="1">
        <v>2</v>
      </c>
      <c r="G4025" s="1" t="s">
        <v>251</v>
      </c>
      <c r="H4025" s="4" t="str">
        <f>HYPERLINK("https://www.ncbi.nlm.nih.gov/geo/query/acc.cgi?acc=GSM992330","GSM992330")</f>
        <v>GSM992330</v>
      </c>
      <c r="I4025" t="s">
        <v>177</v>
      </c>
      <c r="J4025" t="s">
        <v>178</v>
      </c>
      <c r="K4025" t="s">
        <v>19</v>
      </c>
      <c r="L4025" t="s">
        <v>44</v>
      </c>
      <c r="M4025" t="s">
        <v>41</v>
      </c>
      <c r="N4025" t="s">
        <v>22</v>
      </c>
    </row>
    <row r="4026" spans="1:14">
      <c r="A4026" s="4" t="str">
        <f t="shared" si="380"/>
        <v>EXP00125</v>
      </c>
      <c r="B4026" s="4" t="str">
        <f t="shared" si="378"/>
        <v>25552933</v>
      </c>
      <c r="C4026" s="4" t="str">
        <f t="shared" si="379"/>
        <v>GSE40367</v>
      </c>
      <c r="D4026" s="1" t="s">
        <v>45</v>
      </c>
      <c r="E4026" t="s">
        <v>249</v>
      </c>
      <c r="F4026" s="1">
        <v>2</v>
      </c>
      <c r="G4026" s="1" t="s">
        <v>251</v>
      </c>
      <c r="H4026" s="4" t="str">
        <f>HYPERLINK("https://www.ncbi.nlm.nih.gov/geo/query/acc.cgi?acc=GSM992331","GSM992331")</f>
        <v>GSM992331</v>
      </c>
      <c r="I4026" t="s">
        <v>177</v>
      </c>
      <c r="J4026" t="s">
        <v>178</v>
      </c>
      <c r="K4026" t="s">
        <v>19</v>
      </c>
      <c r="L4026" t="s">
        <v>44</v>
      </c>
      <c r="M4026" t="s">
        <v>41</v>
      </c>
      <c r="N4026" t="s">
        <v>22</v>
      </c>
    </row>
    <row r="4027" spans="1:14">
      <c r="A4027" s="4" t="str">
        <f t="shared" si="380"/>
        <v>EXP00125</v>
      </c>
      <c r="B4027" s="4" t="str">
        <f t="shared" si="378"/>
        <v>25552933</v>
      </c>
      <c r="C4027" s="4" t="str">
        <f t="shared" si="379"/>
        <v>GSE40367</v>
      </c>
      <c r="D4027" s="1" t="s">
        <v>45</v>
      </c>
      <c r="E4027" t="s">
        <v>249</v>
      </c>
      <c r="F4027" s="1">
        <v>2</v>
      </c>
      <c r="G4027" s="1" t="s">
        <v>251</v>
      </c>
      <c r="H4027" s="4" t="str">
        <f>HYPERLINK("https://www.ncbi.nlm.nih.gov/geo/query/acc.cgi?acc=GSM992332","GSM992332")</f>
        <v>GSM992332</v>
      </c>
      <c r="I4027" t="s">
        <v>177</v>
      </c>
      <c r="J4027" t="s">
        <v>178</v>
      </c>
      <c r="K4027" t="s">
        <v>19</v>
      </c>
      <c r="L4027" t="s">
        <v>44</v>
      </c>
      <c r="M4027" t="s">
        <v>41</v>
      </c>
      <c r="N4027" t="s">
        <v>22</v>
      </c>
    </row>
    <row r="4028" spans="1:14">
      <c r="A4028" s="4" t="str">
        <f t="shared" ref="A4028:A4037" si="381">HYPERLINK("http://hcmdb.i-sanger.com/experiment/details/experiment_id/EXP00126","EXP00126")</f>
        <v>EXP00126</v>
      </c>
      <c r="B4028" s="4" t="str">
        <f t="shared" si="378"/>
        <v>25552933</v>
      </c>
      <c r="C4028" s="4" t="str">
        <f t="shared" si="379"/>
        <v>GSE40367</v>
      </c>
      <c r="D4028" s="1" t="s">
        <v>45</v>
      </c>
      <c r="E4028" t="s">
        <v>252</v>
      </c>
      <c r="F4028" s="1">
        <v>1</v>
      </c>
      <c r="G4028" s="1" t="s">
        <v>253</v>
      </c>
      <c r="H4028" s="4" t="str">
        <f>HYPERLINK("https://www.ncbi.nlm.nih.gov/geo/query/acc.cgi?acc=GSM992303","GSM992303")</f>
        <v>GSM992303</v>
      </c>
      <c r="I4028" t="s">
        <v>177</v>
      </c>
      <c r="J4028" t="s">
        <v>248</v>
      </c>
      <c r="K4028" t="s">
        <v>19</v>
      </c>
      <c r="L4028" t="s">
        <v>44</v>
      </c>
      <c r="M4028" t="s">
        <v>24</v>
      </c>
      <c r="N4028" t="s">
        <v>29</v>
      </c>
    </row>
    <row r="4029" spans="1:14">
      <c r="A4029" s="4" t="str">
        <f t="shared" si="381"/>
        <v>EXP00126</v>
      </c>
      <c r="B4029" s="4" t="str">
        <f t="shared" si="378"/>
        <v>25552933</v>
      </c>
      <c r="C4029" s="4" t="str">
        <f t="shared" si="379"/>
        <v>GSE40367</v>
      </c>
      <c r="D4029" s="1" t="s">
        <v>45</v>
      </c>
      <c r="E4029" t="s">
        <v>252</v>
      </c>
      <c r="F4029" s="1">
        <v>1</v>
      </c>
      <c r="G4029" s="1" t="s">
        <v>253</v>
      </c>
      <c r="H4029" s="4" t="str">
        <f>HYPERLINK("https://www.ncbi.nlm.nih.gov/geo/query/acc.cgi?acc=GSM992305","GSM992305")</f>
        <v>GSM992305</v>
      </c>
      <c r="I4029" t="s">
        <v>177</v>
      </c>
      <c r="J4029" t="s">
        <v>248</v>
      </c>
      <c r="K4029" t="s">
        <v>19</v>
      </c>
      <c r="L4029" t="s">
        <v>44</v>
      </c>
      <c r="M4029" t="s">
        <v>24</v>
      </c>
      <c r="N4029" t="s">
        <v>29</v>
      </c>
    </row>
    <row r="4030" spans="1:14">
      <c r="A4030" s="4" t="str">
        <f t="shared" si="381"/>
        <v>EXP00126</v>
      </c>
      <c r="B4030" s="4" t="str">
        <f t="shared" si="378"/>
        <v>25552933</v>
      </c>
      <c r="C4030" s="4" t="str">
        <f t="shared" si="379"/>
        <v>GSE40367</v>
      </c>
      <c r="D4030" s="1" t="s">
        <v>45</v>
      </c>
      <c r="E4030" t="s">
        <v>252</v>
      </c>
      <c r="F4030" s="1">
        <v>1</v>
      </c>
      <c r="G4030" s="1" t="s">
        <v>253</v>
      </c>
      <c r="H4030" s="4" t="str">
        <f>HYPERLINK("https://www.ncbi.nlm.nih.gov/geo/query/acc.cgi?acc=GSM992311","GSM992311")</f>
        <v>GSM992311</v>
      </c>
      <c r="I4030" t="s">
        <v>177</v>
      </c>
      <c r="J4030" t="s">
        <v>248</v>
      </c>
      <c r="K4030" t="s">
        <v>19</v>
      </c>
      <c r="L4030" t="s">
        <v>44</v>
      </c>
      <c r="M4030" t="s">
        <v>24</v>
      </c>
      <c r="N4030" t="s">
        <v>29</v>
      </c>
    </row>
    <row r="4031" spans="1:14">
      <c r="A4031" s="4" t="str">
        <f t="shared" si="381"/>
        <v>EXP00126</v>
      </c>
      <c r="B4031" s="4" t="str">
        <f t="shared" si="378"/>
        <v>25552933</v>
      </c>
      <c r="C4031" s="4" t="str">
        <f t="shared" si="379"/>
        <v>GSE40367</v>
      </c>
      <c r="D4031" s="1" t="s">
        <v>45</v>
      </c>
      <c r="E4031" t="s">
        <v>252</v>
      </c>
      <c r="F4031" s="1">
        <v>1</v>
      </c>
      <c r="G4031" s="1" t="s">
        <v>253</v>
      </c>
      <c r="H4031" s="4" t="str">
        <f>HYPERLINK("https://www.ncbi.nlm.nih.gov/geo/query/acc.cgi?acc=GSM992318","GSM992318")</f>
        <v>GSM992318</v>
      </c>
      <c r="I4031" t="s">
        <v>177</v>
      </c>
      <c r="J4031" t="s">
        <v>248</v>
      </c>
      <c r="K4031" t="s">
        <v>19</v>
      </c>
      <c r="L4031" t="s">
        <v>44</v>
      </c>
      <c r="M4031" t="s">
        <v>41</v>
      </c>
      <c r="N4031" t="s">
        <v>29</v>
      </c>
    </row>
    <row r="4032" spans="1:14">
      <c r="A4032" s="4" t="str">
        <f t="shared" si="381"/>
        <v>EXP00126</v>
      </c>
      <c r="B4032" s="4" t="str">
        <f t="shared" si="378"/>
        <v>25552933</v>
      </c>
      <c r="C4032" s="4" t="str">
        <f t="shared" si="379"/>
        <v>GSE40367</v>
      </c>
      <c r="D4032" s="1" t="s">
        <v>45</v>
      </c>
      <c r="E4032" t="s">
        <v>252</v>
      </c>
      <c r="F4032" s="1">
        <v>2</v>
      </c>
      <c r="G4032" s="1" t="s">
        <v>254</v>
      </c>
      <c r="H4032" s="4" t="str">
        <f>HYPERLINK("https://www.ncbi.nlm.nih.gov/geo/query/acc.cgi?acc=GSM992309","GSM992309")</f>
        <v>GSM992309</v>
      </c>
      <c r="I4032" t="s">
        <v>177</v>
      </c>
      <c r="J4032" t="s">
        <v>178</v>
      </c>
      <c r="K4032" t="s">
        <v>19</v>
      </c>
      <c r="L4032" t="s">
        <v>44</v>
      </c>
      <c r="M4032" t="s">
        <v>24</v>
      </c>
      <c r="N4032" t="s">
        <v>29</v>
      </c>
    </row>
    <row r="4033" spans="1:14">
      <c r="A4033" s="4" t="str">
        <f t="shared" si="381"/>
        <v>EXP00126</v>
      </c>
      <c r="B4033" s="4" t="str">
        <f t="shared" si="378"/>
        <v>25552933</v>
      </c>
      <c r="C4033" s="4" t="str">
        <f t="shared" si="379"/>
        <v>GSE40367</v>
      </c>
      <c r="D4033" s="1" t="s">
        <v>45</v>
      </c>
      <c r="E4033" t="s">
        <v>252</v>
      </c>
      <c r="F4033" s="1">
        <v>2</v>
      </c>
      <c r="G4033" s="1" t="s">
        <v>254</v>
      </c>
      <c r="H4033" s="4" t="str">
        <f>HYPERLINK("https://www.ncbi.nlm.nih.gov/geo/query/acc.cgi?acc=GSM992313","GSM992313")</f>
        <v>GSM992313</v>
      </c>
      <c r="I4033" t="s">
        <v>177</v>
      </c>
      <c r="J4033" t="s">
        <v>178</v>
      </c>
      <c r="K4033" t="s">
        <v>19</v>
      </c>
      <c r="L4033" t="s">
        <v>44</v>
      </c>
      <c r="M4033" t="s">
        <v>34</v>
      </c>
      <c r="N4033" t="s">
        <v>29</v>
      </c>
    </row>
    <row r="4034" spans="1:14">
      <c r="A4034" s="4" t="str">
        <f t="shared" si="381"/>
        <v>EXP00126</v>
      </c>
      <c r="B4034" s="4" t="str">
        <f t="shared" si="378"/>
        <v>25552933</v>
      </c>
      <c r="C4034" s="4" t="str">
        <f t="shared" si="379"/>
        <v>GSE40367</v>
      </c>
      <c r="D4034" s="1" t="s">
        <v>45</v>
      </c>
      <c r="E4034" t="s">
        <v>252</v>
      </c>
      <c r="F4034" s="1">
        <v>2</v>
      </c>
      <c r="G4034" s="1" t="s">
        <v>254</v>
      </c>
      <c r="H4034" s="4" t="str">
        <f>HYPERLINK("https://www.ncbi.nlm.nih.gov/geo/query/acc.cgi?acc=GSM992315","GSM992315")</f>
        <v>GSM992315</v>
      </c>
      <c r="I4034" t="s">
        <v>177</v>
      </c>
      <c r="J4034" t="s">
        <v>178</v>
      </c>
      <c r="K4034" t="s">
        <v>19</v>
      </c>
      <c r="L4034" t="s">
        <v>44</v>
      </c>
      <c r="M4034" t="s">
        <v>34</v>
      </c>
      <c r="N4034" t="s">
        <v>29</v>
      </c>
    </row>
    <row r="4035" spans="1:14">
      <c r="A4035" s="4" t="str">
        <f t="shared" si="381"/>
        <v>EXP00126</v>
      </c>
      <c r="B4035" s="4" t="str">
        <f t="shared" si="378"/>
        <v>25552933</v>
      </c>
      <c r="C4035" s="4" t="str">
        <f t="shared" si="379"/>
        <v>GSE40367</v>
      </c>
      <c r="D4035" s="1" t="s">
        <v>45</v>
      </c>
      <c r="E4035" t="s">
        <v>252</v>
      </c>
      <c r="F4035" s="1">
        <v>2</v>
      </c>
      <c r="G4035" s="1" t="s">
        <v>254</v>
      </c>
      <c r="H4035" s="4" t="str">
        <f>HYPERLINK("https://www.ncbi.nlm.nih.gov/geo/query/acc.cgi?acc=GSM992317","GSM992317")</f>
        <v>GSM992317</v>
      </c>
      <c r="I4035" t="s">
        <v>177</v>
      </c>
      <c r="J4035" t="s">
        <v>178</v>
      </c>
      <c r="K4035" t="s">
        <v>19</v>
      </c>
      <c r="L4035" t="s">
        <v>44</v>
      </c>
      <c r="M4035" t="s">
        <v>34</v>
      </c>
      <c r="N4035" t="s">
        <v>29</v>
      </c>
    </row>
    <row r="4036" spans="1:14">
      <c r="A4036" s="4" t="str">
        <f t="shared" si="381"/>
        <v>EXP00126</v>
      </c>
      <c r="B4036" s="4" t="str">
        <f t="shared" si="378"/>
        <v>25552933</v>
      </c>
      <c r="C4036" s="4" t="str">
        <f t="shared" si="379"/>
        <v>GSE40367</v>
      </c>
      <c r="D4036" s="1" t="s">
        <v>45</v>
      </c>
      <c r="E4036" t="s">
        <v>252</v>
      </c>
      <c r="F4036" s="1">
        <v>2</v>
      </c>
      <c r="G4036" s="1" t="s">
        <v>254</v>
      </c>
      <c r="H4036" s="4" t="str">
        <f>HYPERLINK("https://www.ncbi.nlm.nih.gov/geo/query/acc.cgi?acc=GSM992320","GSM992320")</f>
        <v>GSM992320</v>
      </c>
      <c r="I4036" t="s">
        <v>177</v>
      </c>
      <c r="J4036" t="s">
        <v>178</v>
      </c>
      <c r="K4036" t="s">
        <v>19</v>
      </c>
      <c r="L4036" t="s">
        <v>44</v>
      </c>
      <c r="M4036" t="s">
        <v>41</v>
      </c>
      <c r="N4036" t="s">
        <v>29</v>
      </c>
    </row>
    <row r="4037" spans="1:14">
      <c r="A4037" s="4" t="str">
        <f t="shared" si="381"/>
        <v>EXP00126</v>
      </c>
      <c r="B4037" s="4" t="str">
        <f t="shared" si="378"/>
        <v>25552933</v>
      </c>
      <c r="C4037" s="4" t="str">
        <f t="shared" si="379"/>
        <v>GSE40367</v>
      </c>
      <c r="D4037" s="1" t="s">
        <v>45</v>
      </c>
      <c r="E4037" t="s">
        <v>252</v>
      </c>
      <c r="F4037" s="1">
        <v>2</v>
      </c>
      <c r="G4037" s="1" t="s">
        <v>254</v>
      </c>
      <c r="H4037" s="4" t="str">
        <f>HYPERLINK("https://www.ncbi.nlm.nih.gov/geo/query/acc.cgi?acc=GSM992322","GSM992322")</f>
        <v>GSM992322</v>
      </c>
      <c r="I4037" t="s">
        <v>177</v>
      </c>
      <c r="J4037" t="s">
        <v>178</v>
      </c>
      <c r="K4037" t="s">
        <v>19</v>
      </c>
      <c r="L4037" t="s">
        <v>44</v>
      </c>
      <c r="M4037" t="s">
        <v>41</v>
      </c>
      <c r="N4037" t="s">
        <v>29</v>
      </c>
    </row>
    <row r="4038" spans="1:14">
      <c r="A4038" s="4" t="str">
        <f t="shared" ref="A4038:A4056" si="382">HYPERLINK("http://hcmdb.i-sanger.com/experiment/details/experiment_id/EXP00127","EXP00127")</f>
        <v>EXP00127</v>
      </c>
      <c r="B4038" s="4" t="str">
        <f t="shared" si="378"/>
        <v>25552933</v>
      </c>
      <c r="C4038" s="4" t="str">
        <f t="shared" si="379"/>
        <v>GSE40367</v>
      </c>
      <c r="D4038" s="1" t="s">
        <v>45</v>
      </c>
      <c r="E4038" t="s">
        <v>255</v>
      </c>
      <c r="F4038" s="1">
        <v>1</v>
      </c>
      <c r="G4038" s="1" t="s">
        <v>256</v>
      </c>
      <c r="H4038" s="4" t="str">
        <f>HYPERLINK("https://www.ncbi.nlm.nih.gov/geo/query/acc.cgi?acc=GSM992302","GSM992302")</f>
        <v>GSM992302</v>
      </c>
      <c r="I4038" t="s">
        <v>177</v>
      </c>
      <c r="J4038" t="s">
        <v>248</v>
      </c>
      <c r="K4038" t="s">
        <v>19</v>
      </c>
      <c r="L4038" t="s">
        <v>44</v>
      </c>
      <c r="M4038" t="s">
        <v>24</v>
      </c>
      <c r="N4038" t="s">
        <v>22</v>
      </c>
    </row>
    <row r="4039" spans="1:14">
      <c r="A4039" s="4" t="str">
        <f t="shared" si="382"/>
        <v>EXP00127</v>
      </c>
      <c r="B4039" s="4" t="str">
        <f t="shared" si="378"/>
        <v>25552933</v>
      </c>
      <c r="C4039" s="4" t="str">
        <f t="shared" si="379"/>
        <v>GSE40367</v>
      </c>
      <c r="D4039" s="1" t="s">
        <v>45</v>
      </c>
      <c r="E4039" t="s">
        <v>255</v>
      </c>
      <c r="F4039" s="1">
        <v>1</v>
      </c>
      <c r="G4039" s="1" t="s">
        <v>256</v>
      </c>
      <c r="H4039" s="4" t="str">
        <f>HYPERLINK("https://www.ncbi.nlm.nih.gov/geo/query/acc.cgi?acc=GSM992304","GSM992304")</f>
        <v>GSM992304</v>
      </c>
      <c r="I4039" t="s">
        <v>177</v>
      </c>
      <c r="J4039" t="s">
        <v>248</v>
      </c>
      <c r="K4039" t="s">
        <v>19</v>
      </c>
      <c r="L4039" t="s">
        <v>44</v>
      </c>
      <c r="M4039" t="s">
        <v>24</v>
      </c>
      <c r="N4039" t="s">
        <v>22</v>
      </c>
    </row>
    <row r="4040" spans="1:14">
      <c r="A4040" s="4" t="str">
        <f t="shared" si="382"/>
        <v>EXP00127</v>
      </c>
      <c r="B4040" s="4" t="str">
        <f t="shared" si="378"/>
        <v>25552933</v>
      </c>
      <c r="C4040" s="4" t="str">
        <f t="shared" si="379"/>
        <v>GSE40367</v>
      </c>
      <c r="D4040" s="1" t="s">
        <v>45</v>
      </c>
      <c r="E4040" t="s">
        <v>255</v>
      </c>
      <c r="F4040" s="1">
        <v>1</v>
      </c>
      <c r="G4040" s="1" t="s">
        <v>256</v>
      </c>
      <c r="H4040" s="4" t="str">
        <f>HYPERLINK("https://www.ncbi.nlm.nih.gov/geo/query/acc.cgi?acc=GSM992310","GSM992310")</f>
        <v>GSM992310</v>
      </c>
      <c r="I4040" t="s">
        <v>177</v>
      </c>
      <c r="J4040" t="s">
        <v>248</v>
      </c>
      <c r="K4040" t="s">
        <v>19</v>
      </c>
      <c r="L4040" t="s">
        <v>44</v>
      </c>
      <c r="M4040" t="s">
        <v>24</v>
      </c>
      <c r="N4040" t="s">
        <v>22</v>
      </c>
    </row>
    <row r="4041" spans="1:14">
      <c r="A4041" s="4" t="str">
        <f t="shared" si="382"/>
        <v>EXP00127</v>
      </c>
      <c r="B4041" s="4" t="str">
        <f t="shared" si="378"/>
        <v>25552933</v>
      </c>
      <c r="C4041" s="4" t="str">
        <f t="shared" si="379"/>
        <v>GSE40367</v>
      </c>
      <c r="D4041" s="1" t="s">
        <v>45</v>
      </c>
      <c r="E4041" t="s">
        <v>255</v>
      </c>
      <c r="F4041" s="1">
        <v>2</v>
      </c>
      <c r="G4041" s="1" t="s">
        <v>257</v>
      </c>
      <c r="H4041" s="4" t="str">
        <f>HYPERLINK("https://www.ncbi.nlm.nih.gov/geo/query/acc.cgi?acc=GSM992308","GSM992308")</f>
        <v>GSM992308</v>
      </c>
      <c r="I4041" t="s">
        <v>177</v>
      </c>
      <c r="J4041" t="s">
        <v>178</v>
      </c>
      <c r="K4041" t="s">
        <v>19</v>
      </c>
      <c r="L4041" t="s">
        <v>44</v>
      </c>
      <c r="M4041" t="s">
        <v>24</v>
      </c>
      <c r="N4041" t="s">
        <v>22</v>
      </c>
    </row>
    <row r="4042" spans="1:14">
      <c r="A4042" s="4" t="str">
        <f t="shared" si="382"/>
        <v>EXP00127</v>
      </c>
      <c r="B4042" s="4" t="str">
        <f t="shared" si="378"/>
        <v>25552933</v>
      </c>
      <c r="C4042" s="4" t="str">
        <f t="shared" si="379"/>
        <v>GSE40367</v>
      </c>
      <c r="D4042" s="1" t="s">
        <v>45</v>
      </c>
      <c r="E4042" t="s">
        <v>255</v>
      </c>
      <c r="F4042" s="1">
        <v>2</v>
      </c>
      <c r="G4042" s="1" t="s">
        <v>257</v>
      </c>
      <c r="H4042" s="4" t="str">
        <f>HYPERLINK("https://www.ncbi.nlm.nih.gov/geo/query/acc.cgi?acc=GSM992312","GSM992312")</f>
        <v>GSM992312</v>
      </c>
      <c r="I4042" t="s">
        <v>177</v>
      </c>
      <c r="J4042" t="s">
        <v>178</v>
      </c>
      <c r="K4042" t="s">
        <v>19</v>
      </c>
      <c r="L4042" t="s">
        <v>44</v>
      </c>
      <c r="M4042" t="s">
        <v>34</v>
      </c>
      <c r="N4042" t="s">
        <v>22</v>
      </c>
    </row>
    <row r="4043" spans="1:14">
      <c r="A4043" s="4" t="str">
        <f t="shared" si="382"/>
        <v>EXP00127</v>
      </c>
      <c r="B4043" s="4" t="str">
        <f t="shared" si="378"/>
        <v>25552933</v>
      </c>
      <c r="C4043" s="4" t="str">
        <f t="shared" si="379"/>
        <v>GSE40367</v>
      </c>
      <c r="D4043" s="1" t="s">
        <v>45</v>
      </c>
      <c r="E4043" t="s">
        <v>255</v>
      </c>
      <c r="F4043" s="1">
        <v>2</v>
      </c>
      <c r="G4043" s="1" t="s">
        <v>257</v>
      </c>
      <c r="H4043" s="4" t="str">
        <f>HYPERLINK("https://www.ncbi.nlm.nih.gov/geo/query/acc.cgi?acc=GSM992314","GSM992314")</f>
        <v>GSM992314</v>
      </c>
      <c r="I4043" t="s">
        <v>177</v>
      </c>
      <c r="J4043" t="s">
        <v>178</v>
      </c>
      <c r="K4043" t="s">
        <v>19</v>
      </c>
      <c r="L4043" t="s">
        <v>44</v>
      </c>
      <c r="M4043" t="s">
        <v>34</v>
      </c>
      <c r="N4043" t="s">
        <v>22</v>
      </c>
    </row>
    <row r="4044" spans="1:14">
      <c r="A4044" s="4" t="str">
        <f t="shared" si="382"/>
        <v>EXP00127</v>
      </c>
      <c r="B4044" s="4" t="str">
        <f t="shared" si="378"/>
        <v>25552933</v>
      </c>
      <c r="C4044" s="4" t="str">
        <f t="shared" si="379"/>
        <v>GSE40367</v>
      </c>
      <c r="D4044" s="1" t="s">
        <v>45</v>
      </c>
      <c r="E4044" t="s">
        <v>255</v>
      </c>
      <c r="F4044" s="1">
        <v>2</v>
      </c>
      <c r="G4044" s="1" t="s">
        <v>257</v>
      </c>
      <c r="H4044" s="4" t="str">
        <f>HYPERLINK("https://www.ncbi.nlm.nih.gov/geo/query/acc.cgi?acc=GSM992316","GSM992316")</f>
        <v>GSM992316</v>
      </c>
      <c r="I4044" t="s">
        <v>177</v>
      </c>
      <c r="J4044" t="s">
        <v>178</v>
      </c>
      <c r="K4044" t="s">
        <v>19</v>
      </c>
      <c r="L4044" t="s">
        <v>44</v>
      </c>
      <c r="M4044" t="s">
        <v>34</v>
      </c>
      <c r="N4044" t="s">
        <v>22</v>
      </c>
    </row>
    <row r="4045" spans="1:14">
      <c r="A4045" s="4" t="str">
        <f t="shared" si="382"/>
        <v>EXP00127</v>
      </c>
      <c r="B4045" s="4" t="str">
        <f t="shared" si="378"/>
        <v>25552933</v>
      </c>
      <c r="C4045" s="4" t="str">
        <f t="shared" si="379"/>
        <v>GSE40367</v>
      </c>
      <c r="D4045" s="1" t="s">
        <v>45</v>
      </c>
      <c r="E4045" t="s">
        <v>255</v>
      </c>
      <c r="F4045" s="1">
        <v>2</v>
      </c>
      <c r="G4045" s="1" t="s">
        <v>257</v>
      </c>
      <c r="H4045" s="4" t="str">
        <f>HYPERLINK("https://www.ncbi.nlm.nih.gov/geo/query/acc.cgi?acc=GSM992319","GSM992319")</f>
        <v>GSM992319</v>
      </c>
      <c r="I4045" t="s">
        <v>177</v>
      </c>
      <c r="J4045" t="s">
        <v>178</v>
      </c>
      <c r="K4045" t="s">
        <v>19</v>
      </c>
      <c r="L4045" t="s">
        <v>44</v>
      </c>
      <c r="M4045" t="s">
        <v>41</v>
      </c>
      <c r="N4045" t="s">
        <v>22</v>
      </c>
    </row>
    <row r="4046" spans="1:14">
      <c r="A4046" s="4" t="str">
        <f t="shared" si="382"/>
        <v>EXP00127</v>
      </c>
      <c r="B4046" s="4" t="str">
        <f t="shared" si="378"/>
        <v>25552933</v>
      </c>
      <c r="C4046" s="4" t="str">
        <f t="shared" si="379"/>
        <v>GSE40367</v>
      </c>
      <c r="D4046" s="1" t="s">
        <v>45</v>
      </c>
      <c r="E4046" t="s">
        <v>255</v>
      </c>
      <c r="F4046" s="1">
        <v>2</v>
      </c>
      <c r="G4046" s="1" t="s">
        <v>257</v>
      </c>
      <c r="H4046" s="4" t="str">
        <f>HYPERLINK("https://www.ncbi.nlm.nih.gov/geo/query/acc.cgi?acc=GSM992321","GSM992321")</f>
        <v>GSM992321</v>
      </c>
      <c r="I4046" t="s">
        <v>177</v>
      </c>
      <c r="J4046" t="s">
        <v>178</v>
      </c>
      <c r="K4046" t="s">
        <v>19</v>
      </c>
      <c r="L4046" t="s">
        <v>44</v>
      </c>
      <c r="M4046" t="s">
        <v>41</v>
      </c>
      <c r="N4046" t="s">
        <v>22</v>
      </c>
    </row>
    <row r="4047" spans="1:14">
      <c r="A4047" s="4" t="str">
        <f t="shared" si="382"/>
        <v>EXP00127</v>
      </c>
      <c r="B4047" s="4" t="str">
        <f t="shared" si="378"/>
        <v>25552933</v>
      </c>
      <c r="C4047" s="4" t="str">
        <f t="shared" si="379"/>
        <v>GSE40367</v>
      </c>
      <c r="D4047" s="1" t="s">
        <v>45</v>
      </c>
      <c r="E4047" t="s">
        <v>255</v>
      </c>
      <c r="F4047" s="1">
        <v>2</v>
      </c>
      <c r="G4047" s="1" t="s">
        <v>257</v>
      </c>
      <c r="H4047" s="4" t="str">
        <f>HYPERLINK("https://www.ncbi.nlm.nih.gov/geo/query/acc.cgi?acc=GSM992323","GSM992323")</f>
        <v>GSM992323</v>
      </c>
      <c r="I4047" t="s">
        <v>177</v>
      </c>
      <c r="J4047" t="s">
        <v>178</v>
      </c>
      <c r="K4047" t="s">
        <v>19</v>
      </c>
      <c r="L4047" t="s">
        <v>44</v>
      </c>
      <c r="M4047" t="s">
        <v>41</v>
      </c>
      <c r="N4047" t="s">
        <v>22</v>
      </c>
    </row>
    <row r="4048" spans="1:14">
      <c r="A4048" s="4" t="str">
        <f t="shared" si="382"/>
        <v>EXP00127</v>
      </c>
      <c r="B4048" s="4" t="str">
        <f t="shared" ref="B4048:B4111" si="383">HYPERLINK("https://www.ncbi.nlm.nih.gov/pubmed/25552933","25552933")</f>
        <v>25552933</v>
      </c>
      <c r="C4048" s="4" t="str">
        <f t="shared" ref="C4048:C4111" si="384">HYPERLINK("https://www.ncbi.nlm.nih.gov/geo/query/acc.cgi?acc=GSE40367","GSE40367")</f>
        <v>GSE40367</v>
      </c>
      <c r="D4048" s="1" t="s">
        <v>45</v>
      </c>
      <c r="E4048" t="s">
        <v>255</v>
      </c>
      <c r="F4048" s="1">
        <v>2</v>
      </c>
      <c r="G4048" s="1" t="s">
        <v>257</v>
      </c>
      <c r="H4048" s="4" t="str">
        <f>HYPERLINK("https://www.ncbi.nlm.nih.gov/geo/query/acc.cgi?acc=GSM992324","GSM992324")</f>
        <v>GSM992324</v>
      </c>
      <c r="I4048" t="s">
        <v>177</v>
      </c>
      <c r="J4048" t="s">
        <v>178</v>
      </c>
      <c r="K4048" t="s">
        <v>19</v>
      </c>
      <c r="L4048" t="s">
        <v>44</v>
      </c>
      <c r="M4048" t="s">
        <v>41</v>
      </c>
      <c r="N4048" t="s">
        <v>22</v>
      </c>
    </row>
    <row r="4049" spans="1:14">
      <c r="A4049" s="4" t="str">
        <f t="shared" si="382"/>
        <v>EXP00127</v>
      </c>
      <c r="B4049" s="4" t="str">
        <f t="shared" si="383"/>
        <v>25552933</v>
      </c>
      <c r="C4049" s="4" t="str">
        <f t="shared" si="384"/>
        <v>GSE40367</v>
      </c>
      <c r="D4049" s="1" t="s">
        <v>45</v>
      </c>
      <c r="E4049" t="s">
        <v>255</v>
      </c>
      <c r="F4049" s="1">
        <v>2</v>
      </c>
      <c r="G4049" s="1" t="s">
        <v>257</v>
      </c>
      <c r="H4049" s="4" t="str">
        <f>HYPERLINK("https://www.ncbi.nlm.nih.gov/geo/query/acc.cgi?acc=GSM992325","GSM992325")</f>
        <v>GSM992325</v>
      </c>
      <c r="I4049" t="s">
        <v>177</v>
      </c>
      <c r="J4049" t="s">
        <v>178</v>
      </c>
      <c r="K4049" t="s">
        <v>19</v>
      </c>
      <c r="L4049" t="s">
        <v>44</v>
      </c>
      <c r="M4049" t="s">
        <v>41</v>
      </c>
      <c r="N4049" t="s">
        <v>22</v>
      </c>
    </row>
    <row r="4050" spans="1:14">
      <c r="A4050" s="4" t="str">
        <f t="shared" si="382"/>
        <v>EXP00127</v>
      </c>
      <c r="B4050" s="4" t="str">
        <f t="shared" si="383"/>
        <v>25552933</v>
      </c>
      <c r="C4050" s="4" t="str">
        <f t="shared" si="384"/>
        <v>GSE40367</v>
      </c>
      <c r="D4050" s="1" t="s">
        <v>45</v>
      </c>
      <c r="E4050" t="s">
        <v>255</v>
      </c>
      <c r="F4050" s="1">
        <v>2</v>
      </c>
      <c r="G4050" s="1" t="s">
        <v>257</v>
      </c>
      <c r="H4050" s="4" t="str">
        <f>HYPERLINK("https://www.ncbi.nlm.nih.gov/geo/query/acc.cgi?acc=GSM992326","GSM992326")</f>
        <v>GSM992326</v>
      </c>
      <c r="I4050" t="s">
        <v>177</v>
      </c>
      <c r="J4050" t="s">
        <v>178</v>
      </c>
      <c r="K4050" t="s">
        <v>19</v>
      </c>
      <c r="L4050" t="s">
        <v>44</v>
      </c>
      <c r="M4050" t="s">
        <v>41</v>
      </c>
      <c r="N4050" t="s">
        <v>22</v>
      </c>
    </row>
    <row r="4051" spans="1:14">
      <c r="A4051" s="4" t="str">
        <f t="shared" si="382"/>
        <v>EXP00127</v>
      </c>
      <c r="B4051" s="4" t="str">
        <f t="shared" si="383"/>
        <v>25552933</v>
      </c>
      <c r="C4051" s="4" t="str">
        <f t="shared" si="384"/>
        <v>GSE40367</v>
      </c>
      <c r="D4051" s="1" t="s">
        <v>45</v>
      </c>
      <c r="E4051" t="s">
        <v>255</v>
      </c>
      <c r="F4051" s="1">
        <v>2</v>
      </c>
      <c r="G4051" s="1" t="s">
        <v>257</v>
      </c>
      <c r="H4051" s="4" t="str">
        <f>HYPERLINK("https://www.ncbi.nlm.nih.gov/geo/query/acc.cgi?acc=GSM992327","GSM992327")</f>
        <v>GSM992327</v>
      </c>
      <c r="I4051" t="s">
        <v>177</v>
      </c>
      <c r="J4051" t="s">
        <v>178</v>
      </c>
      <c r="K4051" t="s">
        <v>19</v>
      </c>
      <c r="L4051" t="s">
        <v>44</v>
      </c>
      <c r="M4051" t="s">
        <v>41</v>
      </c>
      <c r="N4051" t="s">
        <v>22</v>
      </c>
    </row>
    <row r="4052" spans="1:14">
      <c r="A4052" s="4" t="str">
        <f t="shared" si="382"/>
        <v>EXP00127</v>
      </c>
      <c r="B4052" s="4" t="str">
        <f t="shared" si="383"/>
        <v>25552933</v>
      </c>
      <c r="C4052" s="4" t="str">
        <f t="shared" si="384"/>
        <v>GSE40367</v>
      </c>
      <c r="D4052" s="1" t="s">
        <v>45</v>
      </c>
      <c r="E4052" t="s">
        <v>255</v>
      </c>
      <c r="F4052" s="1">
        <v>2</v>
      </c>
      <c r="G4052" s="1" t="s">
        <v>257</v>
      </c>
      <c r="H4052" s="4" t="str">
        <f>HYPERLINK("https://www.ncbi.nlm.nih.gov/geo/query/acc.cgi?acc=GSM992328","GSM992328")</f>
        <v>GSM992328</v>
      </c>
      <c r="I4052" t="s">
        <v>177</v>
      </c>
      <c r="J4052" t="s">
        <v>178</v>
      </c>
      <c r="K4052" t="s">
        <v>19</v>
      </c>
      <c r="L4052" t="s">
        <v>44</v>
      </c>
      <c r="M4052" t="s">
        <v>41</v>
      </c>
      <c r="N4052" t="s">
        <v>22</v>
      </c>
    </row>
    <row r="4053" spans="1:14">
      <c r="A4053" s="4" t="str">
        <f t="shared" si="382"/>
        <v>EXP00127</v>
      </c>
      <c r="B4053" s="4" t="str">
        <f t="shared" si="383"/>
        <v>25552933</v>
      </c>
      <c r="C4053" s="4" t="str">
        <f t="shared" si="384"/>
        <v>GSE40367</v>
      </c>
      <c r="D4053" s="1" t="s">
        <v>45</v>
      </c>
      <c r="E4053" t="s">
        <v>255</v>
      </c>
      <c r="F4053" s="1">
        <v>2</v>
      </c>
      <c r="G4053" s="1" t="s">
        <v>257</v>
      </c>
      <c r="H4053" s="4" t="str">
        <f>HYPERLINK("https://www.ncbi.nlm.nih.gov/geo/query/acc.cgi?acc=GSM992329","GSM992329")</f>
        <v>GSM992329</v>
      </c>
      <c r="I4053" t="s">
        <v>177</v>
      </c>
      <c r="J4053" t="s">
        <v>178</v>
      </c>
      <c r="K4053" t="s">
        <v>19</v>
      </c>
      <c r="L4053" t="s">
        <v>44</v>
      </c>
      <c r="M4053" t="s">
        <v>41</v>
      </c>
      <c r="N4053" t="s">
        <v>22</v>
      </c>
    </row>
    <row r="4054" spans="1:14">
      <c r="A4054" s="4" t="str">
        <f t="shared" si="382"/>
        <v>EXP00127</v>
      </c>
      <c r="B4054" s="4" t="str">
        <f t="shared" si="383"/>
        <v>25552933</v>
      </c>
      <c r="C4054" s="4" t="str">
        <f t="shared" si="384"/>
        <v>GSE40367</v>
      </c>
      <c r="D4054" s="1" t="s">
        <v>45</v>
      </c>
      <c r="E4054" t="s">
        <v>255</v>
      </c>
      <c r="F4054" s="1">
        <v>2</v>
      </c>
      <c r="G4054" s="1" t="s">
        <v>257</v>
      </c>
      <c r="H4054" s="4" t="str">
        <f>HYPERLINK("https://www.ncbi.nlm.nih.gov/geo/query/acc.cgi?acc=GSM992330","GSM992330")</f>
        <v>GSM992330</v>
      </c>
      <c r="I4054" t="s">
        <v>177</v>
      </c>
      <c r="J4054" t="s">
        <v>178</v>
      </c>
      <c r="K4054" t="s">
        <v>19</v>
      </c>
      <c r="L4054" t="s">
        <v>44</v>
      </c>
      <c r="M4054" t="s">
        <v>41</v>
      </c>
      <c r="N4054" t="s">
        <v>22</v>
      </c>
    </row>
    <row r="4055" spans="1:14">
      <c r="A4055" s="4" t="str">
        <f t="shared" si="382"/>
        <v>EXP00127</v>
      </c>
      <c r="B4055" s="4" t="str">
        <f t="shared" si="383"/>
        <v>25552933</v>
      </c>
      <c r="C4055" s="4" t="str">
        <f t="shared" si="384"/>
        <v>GSE40367</v>
      </c>
      <c r="D4055" s="1" t="s">
        <v>45</v>
      </c>
      <c r="E4055" t="s">
        <v>255</v>
      </c>
      <c r="F4055" s="1">
        <v>2</v>
      </c>
      <c r="G4055" s="1" t="s">
        <v>257</v>
      </c>
      <c r="H4055" s="4" t="str">
        <f>HYPERLINK("https://www.ncbi.nlm.nih.gov/geo/query/acc.cgi?acc=GSM992331","GSM992331")</f>
        <v>GSM992331</v>
      </c>
      <c r="I4055" t="s">
        <v>177</v>
      </c>
      <c r="J4055" t="s">
        <v>178</v>
      </c>
      <c r="K4055" t="s">
        <v>19</v>
      </c>
      <c r="L4055" t="s">
        <v>44</v>
      </c>
      <c r="M4055" t="s">
        <v>41</v>
      </c>
      <c r="N4055" t="s">
        <v>22</v>
      </c>
    </row>
    <row r="4056" spans="1:14">
      <c r="A4056" s="4" t="str">
        <f t="shared" si="382"/>
        <v>EXP00127</v>
      </c>
      <c r="B4056" s="4" t="str">
        <f t="shared" si="383"/>
        <v>25552933</v>
      </c>
      <c r="C4056" s="4" t="str">
        <f t="shared" si="384"/>
        <v>GSE40367</v>
      </c>
      <c r="D4056" s="1" t="s">
        <v>45</v>
      </c>
      <c r="E4056" t="s">
        <v>255</v>
      </c>
      <c r="F4056" s="1">
        <v>2</v>
      </c>
      <c r="G4056" s="1" t="s">
        <v>257</v>
      </c>
      <c r="H4056" s="4" t="str">
        <f>HYPERLINK("https://www.ncbi.nlm.nih.gov/geo/query/acc.cgi?acc=GSM992332","GSM992332")</f>
        <v>GSM992332</v>
      </c>
      <c r="I4056" t="s">
        <v>177</v>
      </c>
      <c r="J4056" t="s">
        <v>178</v>
      </c>
      <c r="K4056" t="s">
        <v>19</v>
      </c>
      <c r="L4056" t="s">
        <v>44</v>
      </c>
      <c r="M4056" t="s">
        <v>41</v>
      </c>
      <c r="N4056" t="s">
        <v>22</v>
      </c>
    </row>
    <row r="4057" spans="1:14">
      <c r="A4057" s="4" t="str">
        <f t="shared" ref="A4057:A4062" si="385">HYPERLINK("http://hcmdb.i-sanger.com/experiment/details/experiment_id/EXP00128","EXP00128")</f>
        <v>EXP00128</v>
      </c>
      <c r="B4057" s="4" t="str">
        <f t="shared" si="383"/>
        <v>25552933</v>
      </c>
      <c r="C4057" s="4" t="str">
        <f t="shared" si="384"/>
        <v>GSE40367</v>
      </c>
      <c r="D4057" s="1" t="s">
        <v>45</v>
      </c>
      <c r="E4057" t="s">
        <v>258</v>
      </c>
      <c r="F4057" s="1">
        <v>1</v>
      </c>
      <c r="G4057" s="1" t="s">
        <v>26</v>
      </c>
      <c r="H4057" s="4" t="str">
        <f>HYPERLINK("https://www.ncbi.nlm.nih.gov/geo/query/acc.cgi?acc=GSM992312","GSM992312")</f>
        <v>GSM992312</v>
      </c>
      <c r="I4057" t="s">
        <v>177</v>
      </c>
      <c r="J4057" t="s">
        <v>178</v>
      </c>
      <c r="K4057" t="s">
        <v>19</v>
      </c>
      <c r="L4057" t="s">
        <v>44</v>
      </c>
      <c r="M4057" t="s">
        <v>34</v>
      </c>
      <c r="N4057" t="s">
        <v>22</v>
      </c>
    </row>
    <row r="4058" spans="1:14">
      <c r="A4058" s="4" t="str">
        <f t="shared" si="385"/>
        <v>EXP00128</v>
      </c>
      <c r="B4058" s="4" t="str">
        <f t="shared" si="383"/>
        <v>25552933</v>
      </c>
      <c r="C4058" s="4" t="str">
        <f t="shared" si="384"/>
        <v>GSE40367</v>
      </c>
      <c r="D4058" s="1" t="s">
        <v>45</v>
      </c>
      <c r="E4058" t="s">
        <v>258</v>
      </c>
      <c r="F4058" s="1">
        <v>1</v>
      </c>
      <c r="G4058" s="1" t="s">
        <v>26</v>
      </c>
      <c r="H4058" s="4" t="str">
        <f>HYPERLINK("https://www.ncbi.nlm.nih.gov/geo/query/acc.cgi?acc=GSM992314","GSM992314")</f>
        <v>GSM992314</v>
      </c>
      <c r="I4058" t="s">
        <v>177</v>
      </c>
      <c r="J4058" t="s">
        <v>178</v>
      </c>
      <c r="K4058" t="s">
        <v>19</v>
      </c>
      <c r="L4058" t="s">
        <v>44</v>
      </c>
      <c r="M4058" t="s">
        <v>34</v>
      </c>
      <c r="N4058" t="s">
        <v>22</v>
      </c>
    </row>
    <row r="4059" spans="1:14">
      <c r="A4059" s="4" t="str">
        <f t="shared" si="385"/>
        <v>EXP00128</v>
      </c>
      <c r="B4059" s="4" t="str">
        <f t="shared" si="383"/>
        <v>25552933</v>
      </c>
      <c r="C4059" s="4" t="str">
        <f t="shared" si="384"/>
        <v>GSE40367</v>
      </c>
      <c r="D4059" s="1" t="s">
        <v>45</v>
      </c>
      <c r="E4059" t="s">
        <v>258</v>
      </c>
      <c r="F4059" s="1">
        <v>1</v>
      </c>
      <c r="G4059" s="1" t="s">
        <v>26</v>
      </c>
      <c r="H4059" s="4" t="str">
        <f>HYPERLINK("https://www.ncbi.nlm.nih.gov/geo/query/acc.cgi?acc=GSM992316","GSM992316")</f>
        <v>GSM992316</v>
      </c>
      <c r="I4059" t="s">
        <v>177</v>
      </c>
      <c r="J4059" t="s">
        <v>178</v>
      </c>
      <c r="K4059" t="s">
        <v>19</v>
      </c>
      <c r="L4059" t="s">
        <v>44</v>
      </c>
      <c r="M4059" t="s">
        <v>34</v>
      </c>
      <c r="N4059" t="s">
        <v>22</v>
      </c>
    </row>
    <row r="4060" spans="1:14">
      <c r="A4060" s="4" t="str">
        <f t="shared" si="385"/>
        <v>EXP00128</v>
      </c>
      <c r="B4060" s="4" t="str">
        <f t="shared" si="383"/>
        <v>25552933</v>
      </c>
      <c r="C4060" s="4" t="str">
        <f t="shared" si="384"/>
        <v>GSE40367</v>
      </c>
      <c r="D4060" s="1" t="s">
        <v>45</v>
      </c>
      <c r="E4060" t="s">
        <v>258</v>
      </c>
      <c r="F4060" s="1">
        <v>2</v>
      </c>
      <c r="G4060" s="1" t="s">
        <v>28</v>
      </c>
      <c r="H4060" s="4" t="str">
        <f>HYPERLINK("https://www.ncbi.nlm.nih.gov/geo/query/acc.cgi?acc=GSM992313","GSM992313")</f>
        <v>GSM992313</v>
      </c>
      <c r="I4060" t="s">
        <v>177</v>
      </c>
      <c r="J4060" t="s">
        <v>178</v>
      </c>
      <c r="K4060" t="s">
        <v>19</v>
      </c>
      <c r="L4060" t="s">
        <v>44</v>
      </c>
      <c r="M4060" t="s">
        <v>34</v>
      </c>
      <c r="N4060" t="s">
        <v>29</v>
      </c>
    </row>
    <row r="4061" spans="1:14">
      <c r="A4061" s="4" t="str">
        <f t="shared" si="385"/>
        <v>EXP00128</v>
      </c>
      <c r="B4061" s="4" t="str">
        <f t="shared" si="383"/>
        <v>25552933</v>
      </c>
      <c r="C4061" s="4" t="str">
        <f t="shared" si="384"/>
        <v>GSE40367</v>
      </c>
      <c r="D4061" s="1" t="s">
        <v>45</v>
      </c>
      <c r="E4061" t="s">
        <v>258</v>
      </c>
      <c r="F4061" s="1">
        <v>2</v>
      </c>
      <c r="G4061" s="1" t="s">
        <v>28</v>
      </c>
      <c r="H4061" s="4" t="str">
        <f>HYPERLINK("https://www.ncbi.nlm.nih.gov/geo/query/acc.cgi?acc=GSM992315","GSM992315")</f>
        <v>GSM992315</v>
      </c>
      <c r="I4061" t="s">
        <v>177</v>
      </c>
      <c r="J4061" t="s">
        <v>178</v>
      </c>
      <c r="K4061" t="s">
        <v>19</v>
      </c>
      <c r="L4061" t="s">
        <v>44</v>
      </c>
      <c r="M4061" t="s">
        <v>34</v>
      </c>
      <c r="N4061" t="s">
        <v>29</v>
      </c>
    </row>
    <row r="4062" spans="1:14">
      <c r="A4062" s="4" t="str">
        <f t="shared" si="385"/>
        <v>EXP00128</v>
      </c>
      <c r="B4062" s="4" t="str">
        <f t="shared" si="383"/>
        <v>25552933</v>
      </c>
      <c r="C4062" s="4" t="str">
        <f t="shared" si="384"/>
        <v>GSE40367</v>
      </c>
      <c r="D4062" s="1" t="s">
        <v>45</v>
      </c>
      <c r="E4062" t="s">
        <v>258</v>
      </c>
      <c r="F4062" s="1">
        <v>2</v>
      </c>
      <c r="G4062" s="1" t="s">
        <v>28</v>
      </c>
      <c r="H4062" s="4" t="str">
        <f>HYPERLINK("https://www.ncbi.nlm.nih.gov/geo/query/acc.cgi?acc=GSM992317","GSM992317")</f>
        <v>GSM992317</v>
      </c>
      <c r="I4062" t="s">
        <v>177</v>
      </c>
      <c r="J4062" t="s">
        <v>178</v>
      </c>
      <c r="K4062" t="s">
        <v>19</v>
      </c>
      <c r="L4062" t="s">
        <v>44</v>
      </c>
      <c r="M4062" t="s">
        <v>34</v>
      </c>
      <c r="N4062" t="s">
        <v>29</v>
      </c>
    </row>
    <row r="4063" spans="1:14">
      <c r="A4063" s="4" t="str">
        <f t="shared" ref="A4063:A4077" si="386">HYPERLINK("http://hcmdb.i-sanger.com/experiment/details/experiment_id/EXP00129","EXP00129")</f>
        <v>EXP00129</v>
      </c>
      <c r="B4063" s="4" t="str">
        <f t="shared" si="383"/>
        <v>25552933</v>
      </c>
      <c r="C4063" s="4" t="str">
        <f t="shared" si="384"/>
        <v>GSE40367</v>
      </c>
      <c r="D4063" s="1" t="s">
        <v>45</v>
      </c>
      <c r="E4063" t="s">
        <v>259</v>
      </c>
      <c r="F4063" s="1">
        <v>1</v>
      </c>
      <c r="G4063" s="1" t="s">
        <v>26</v>
      </c>
      <c r="H4063" s="4" t="str">
        <f>HYPERLINK("https://www.ncbi.nlm.nih.gov/geo/query/acc.cgi?acc=GSM992319","GSM992319")</f>
        <v>GSM992319</v>
      </c>
      <c r="I4063" t="s">
        <v>177</v>
      </c>
      <c r="J4063" t="s">
        <v>178</v>
      </c>
      <c r="K4063" t="s">
        <v>19</v>
      </c>
      <c r="L4063" t="s">
        <v>44</v>
      </c>
      <c r="M4063" t="s">
        <v>41</v>
      </c>
      <c r="N4063" t="s">
        <v>22</v>
      </c>
    </row>
    <row r="4064" spans="1:14">
      <c r="A4064" s="4" t="str">
        <f t="shared" si="386"/>
        <v>EXP00129</v>
      </c>
      <c r="B4064" s="4" t="str">
        <f t="shared" si="383"/>
        <v>25552933</v>
      </c>
      <c r="C4064" s="4" t="str">
        <f t="shared" si="384"/>
        <v>GSE40367</v>
      </c>
      <c r="D4064" s="1" t="s">
        <v>45</v>
      </c>
      <c r="E4064" t="s">
        <v>259</v>
      </c>
      <c r="F4064" s="1">
        <v>1</v>
      </c>
      <c r="G4064" s="1" t="s">
        <v>26</v>
      </c>
      <c r="H4064" s="4" t="str">
        <f>HYPERLINK("https://www.ncbi.nlm.nih.gov/geo/query/acc.cgi?acc=GSM992321","GSM992321")</f>
        <v>GSM992321</v>
      </c>
      <c r="I4064" t="s">
        <v>177</v>
      </c>
      <c r="J4064" t="s">
        <v>178</v>
      </c>
      <c r="K4064" t="s">
        <v>19</v>
      </c>
      <c r="L4064" t="s">
        <v>44</v>
      </c>
      <c r="M4064" t="s">
        <v>41</v>
      </c>
      <c r="N4064" t="s">
        <v>22</v>
      </c>
    </row>
    <row r="4065" spans="1:14">
      <c r="A4065" s="4" t="str">
        <f t="shared" si="386"/>
        <v>EXP00129</v>
      </c>
      <c r="B4065" s="4" t="str">
        <f t="shared" si="383"/>
        <v>25552933</v>
      </c>
      <c r="C4065" s="4" t="str">
        <f t="shared" si="384"/>
        <v>GSE40367</v>
      </c>
      <c r="D4065" s="1" t="s">
        <v>45</v>
      </c>
      <c r="E4065" t="s">
        <v>259</v>
      </c>
      <c r="F4065" s="1">
        <v>1</v>
      </c>
      <c r="G4065" s="1" t="s">
        <v>26</v>
      </c>
      <c r="H4065" s="4" t="str">
        <f>HYPERLINK("https://www.ncbi.nlm.nih.gov/geo/query/acc.cgi?acc=GSM992323","GSM992323")</f>
        <v>GSM992323</v>
      </c>
      <c r="I4065" t="s">
        <v>177</v>
      </c>
      <c r="J4065" t="s">
        <v>178</v>
      </c>
      <c r="K4065" t="s">
        <v>19</v>
      </c>
      <c r="L4065" t="s">
        <v>44</v>
      </c>
      <c r="M4065" t="s">
        <v>41</v>
      </c>
      <c r="N4065" t="s">
        <v>22</v>
      </c>
    </row>
    <row r="4066" spans="1:14">
      <c r="A4066" s="4" t="str">
        <f t="shared" si="386"/>
        <v>EXP00129</v>
      </c>
      <c r="B4066" s="4" t="str">
        <f t="shared" si="383"/>
        <v>25552933</v>
      </c>
      <c r="C4066" s="4" t="str">
        <f t="shared" si="384"/>
        <v>GSE40367</v>
      </c>
      <c r="D4066" s="1" t="s">
        <v>45</v>
      </c>
      <c r="E4066" t="s">
        <v>259</v>
      </c>
      <c r="F4066" s="1">
        <v>1</v>
      </c>
      <c r="G4066" s="1" t="s">
        <v>26</v>
      </c>
      <c r="H4066" s="4" t="str">
        <f>HYPERLINK("https://www.ncbi.nlm.nih.gov/geo/query/acc.cgi?acc=GSM992324","GSM992324")</f>
        <v>GSM992324</v>
      </c>
      <c r="I4066" t="s">
        <v>177</v>
      </c>
      <c r="J4066" t="s">
        <v>178</v>
      </c>
      <c r="K4066" t="s">
        <v>19</v>
      </c>
      <c r="L4066" t="s">
        <v>44</v>
      </c>
      <c r="M4066" t="s">
        <v>41</v>
      </c>
      <c r="N4066" t="s">
        <v>22</v>
      </c>
    </row>
    <row r="4067" spans="1:14">
      <c r="A4067" s="4" t="str">
        <f t="shared" si="386"/>
        <v>EXP00129</v>
      </c>
      <c r="B4067" s="4" t="str">
        <f t="shared" si="383"/>
        <v>25552933</v>
      </c>
      <c r="C4067" s="4" t="str">
        <f t="shared" si="384"/>
        <v>GSE40367</v>
      </c>
      <c r="D4067" s="1" t="s">
        <v>45</v>
      </c>
      <c r="E4067" t="s">
        <v>259</v>
      </c>
      <c r="F4067" s="1">
        <v>1</v>
      </c>
      <c r="G4067" s="1" t="s">
        <v>26</v>
      </c>
      <c r="H4067" s="4" t="str">
        <f>HYPERLINK("https://www.ncbi.nlm.nih.gov/geo/query/acc.cgi?acc=GSM992325","GSM992325")</f>
        <v>GSM992325</v>
      </c>
      <c r="I4067" t="s">
        <v>177</v>
      </c>
      <c r="J4067" t="s">
        <v>178</v>
      </c>
      <c r="K4067" t="s">
        <v>19</v>
      </c>
      <c r="L4067" t="s">
        <v>44</v>
      </c>
      <c r="M4067" t="s">
        <v>41</v>
      </c>
      <c r="N4067" t="s">
        <v>22</v>
      </c>
    </row>
    <row r="4068" spans="1:14">
      <c r="A4068" s="4" t="str">
        <f t="shared" si="386"/>
        <v>EXP00129</v>
      </c>
      <c r="B4068" s="4" t="str">
        <f t="shared" si="383"/>
        <v>25552933</v>
      </c>
      <c r="C4068" s="4" t="str">
        <f t="shared" si="384"/>
        <v>GSE40367</v>
      </c>
      <c r="D4068" s="1" t="s">
        <v>45</v>
      </c>
      <c r="E4068" t="s">
        <v>259</v>
      </c>
      <c r="F4068" s="1">
        <v>1</v>
      </c>
      <c r="G4068" s="1" t="s">
        <v>26</v>
      </c>
      <c r="H4068" s="4" t="str">
        <f>HYPERLINK("https://www.ncbi.nlm.nih.gov/geo/query/acc.cgi?acc=GSM992326","GSM992326")</f>
        <v>GSM992326</v>
      </c>
      <c r="I4068" t="s">
        <v>177</v>
      </c>
      <c r="J4068" t="s">
        <v>178</v>
      </c>
      <c r="K4068" t="s">
        <v>19</v>
      </c>
      <c r="L4068" t="s">
        <v>44</v>
      </c>
      <c r="M4068" t="s">
        <v>41</v>
      </c>
      <c r="N4068" t="s">
        <v>22</v>
      </c>
    </row>
    <row r="4069" spans="1:14">
      <c r="A4069" s="4" t="str">
        <f t="shared" si="386"/>
        <v>EXP00129</v>
      </c>
      <c r="B4069" s="4" t="str">
        <f t="shared" si="383"/>
        <v>25552933</v>
      </c>
      <c r="C4069" s="4" t="str">
        <f t="shared" si="384"/>
        <v>GSE40367</v>
      </c>
      <c r="D4069" s="1" t="s">
        <v>45</v>
      </c>
      <c r="E4069" t="s">
        <v>259</v>
      </c>
      <c r="F4069" s="1">
        <v>1</v>
      </c>
      <c r="G4069" s="1" t="s">
        <v>26</v>
      </c>
      <c r="H4069" s="4" t="str">
        <f>HYPERLINK("https://www.ncbi.nlm.nih.gov/geo/query/acc.cgi?acc=GSM992327","GSM992327")</f>
        <v>GSM992327</v>
      </c>
      <c r="I4069" t="s">
        <v>177</v>
      </c>
      <c r="J4069" t="s">
        <v>178</v>
      </c>
      <c r="K4069" t="s">
        <v>19</v>
      </c>
      <c r="L4069" t="s">
        <v>44</v>
      </c>
      <c r="M4069" t="s">
        <v>41</v>
      </c>
      <c r="N4069" t="s">
        <v>22</v>
      </c>
    </row>
    <row r="4070" spans="1:14">
      <c r="A4070" s="4" t="str">
        <f t="shared" si="386"/>
        <v>EXP00129</v>
      </c>
      <c r="B4070" s="4" t="str">
        <f t="shared" si="383"/>
        <v>25552933</v>
      </c>
      <c r="C4070" s="4" t="str">
        <f t="shared" si="384"/>
        <v>GSE40367</v>
      </c>
      <c r="D4070" s="1" t="s">
        <v>45</v>
      </c>
      <c r="E4070" t="s">
        <v>259</v>
      </c>
      <c r="F4070" s="1">
        <v>1</v>
      </c>
      <c r="G4070" s="1" t="s">
        <v>26</v>
      </c>
      <c r="H4070" s="4" t="str">
        <f>HYPERLINK("https://www.ncbi.nlm.nih.gov/geo/query/acc.cgi?acc=GSM992328","GSM992328")</f>
        <v>GSM992328</v>
      </c>
      <c r="I4070" t="s">
        <v>177</v>
      </c>
      <c r="J4070" t="s">
        <v>178</v>
      </c>
      <c r="K4070" t="s">
        <v>19</v>
      </c>
      <c r="L4070" t="s">
        <v>44</v>
      </c>
      <c r="M4070" t="s">
        <v>41</v>
      </c>
      <c r="N4070" t="s">
        <v>22</v>
      </c>
    </row>
    <row r="4071" spans="1:14">
      <c r="A4071" s="4" t="str">
        <f t="shared" si="386"/>
        <v>EXP00129</v>
      </c>
      <c r="B4071" s="4" t="str">
        <f t="shared" si="383"/>
        <v>25552933</v>
      </c>
      <c r="C4071" s="4" t="str">
        <f t="shared" si="384"/>
        <v>GSE40367</v>
      </c>
      <c r="D4071" s="1" t="s">
        <v>45</v>
      </c>
      <c r="E4071" t="s">
        <v>259</v>
      </c>
      <c r="F4071" s="1">
        <v>1</v>
      </c>
      <c r="G4071" s="1" t="s">
        <v>26</v>
      </c>
      <c r="H4071" s="4" t="str">
        <f>HYPERLINK("https://www.ncbi.nlm.nih.gov/geo/query/acc.cgi?acc=GSM992329","GSM992329")</f>
        <v>GSM992329</v>
      </c>
      <c r="I4071" t="s">
        <v>177</v>
      </c>
      <c r="J4071" t="s">
        <v>178</v>
      </c>
      <c r="K4071" t="s">
        <v>19</v>
      </c>
      <c r="L4071" t="s">
        <v>44</v>
      </c>
      <c r="M4071" t="s">
        <v>41</v>
      </c>
      <c r="N4071" t="s">
        <v>22</v>
      </c>
    </row>
    <row r="4072" spans="1:14">
      <c r="A4072" s="4" t="str">
        <f t="shared" si="386"/>
        <v>EXP00129</v>
      </c>
      <c r="B4072" s="4" t="str">
        <f t="shared" si="383"/>
        <v>25552933</v>
      </c>
      <c r="C4072" s="4" t="str">
        <f t="shared" si="384"/>
        <v>GSE40367</v>
      </c>
      <c r="D4072" s="1" t="s">
        <v>45</v>
      </c>
      <c r="E4072" t="s">
        <v>259</v>
      </c>
      <c r="F4072" s="1">
        <v>1</v>
      </c>
      <c r="G4072" s="1" t="s">
        <v>26</v>
      </c>
      <c r="H4072" s="4" t="str">
        <f>HYPERLINK("https://www.ncbi.nlm.nih.gov/geo/query/acc.cgi?acc=GSM992330","GSM992330")</f>
        <v>GSM992330</v>
      </c>
      <c r="I4072" t="s">
        <v>177</v>
      </c>
      <c r="J4072" t="s">
        <v>178</v>
      </c>
      <c r="K4072" t="s">
        <v>19</v>
      </c>
      <c r="L4072" t="s">
        <v>44</v>
      </c>
      <c r="M4072" t="s">
        <v>41</v>
      </c>
      <c r="N4072" t="s">
        <v>22</v>
      </c>
    </row>
    <row r="4073" spans="1:14">
      <c r="A4073" s="4" t="str">
        <f t="shared" si="386"/>
        <v>EXP00129</v>
      </c>
      <c r="B4073" s="4" t="str">
        <f t="shared" si="383"/>
        <v>25552933</v>
      </c>
      <c r="C4073" s="4" t="str">
        <f t="shared" si="384"/>
        <v>GSE40367</v>
      </c>
      <c r="D4073" s="1" t="s">
        <v>45</v>
      </c>
      <c r="E4073" t="s">
        <v>259</v>
      </c>
      <c r="F4073" s="1">
        <v>1</v>
      </c>
      <c r="G4073" s="1" t="s">
        <v>26</v>
      </c>
      <c r="H4073" s="4" t="str">
        <f>HYPERLINK("https://www.ncbi.nlm.nih.gov/geo/query/acc.cgi?acc=GSM992331","GSM992331")</f>
        <v>GSM992331</v>
      </c>
      <c r="I4073" t="s">
        <v>177</v>
      </c>
      <c r="J4073" t="s">
        <v>178</v>
      </c>
      <c r="K4073" t="s">
        <v>19</v>
      </c>
      <c r="L4073" t="s">
        <v>44</v>
      </c>
      <c r="M4073" t="s">
        <v>41</v>
      </c>
      <c r="N4073" t="s">
        <v>22</v>
      </c>
    </row>
    <row r="4074" spans="1:14">
      <c r="A4074" s="4" t="str">
        <f t="shared" si="386"/>
        <v>EXP00129</v>
      </c>
      <c r="B4074" s="4" t="str">
        <f t="shared" si="383"/>
        <v>25552933</v>
      </c>
      <c r="C4074" s="4" t="str">
        <f t="shared" si="384"/>
        <v>GSE40367</v>
      </c>
      <c r="D4074" s="1" t="s">
        <v>45</v>
      </c>
      <c r="E4074" t="s">
        <v>259</v>
      </c>
      <c r="F4074" s="1">
        <v>1</v>
      </c>
      <c r="G4074" s="1" t="s">
        <v>26</v>
      </c>
      <c r="H4074" s="4" t="str">
        <f>HYPERLINK("https://www.ncbi.nlm.nih.gov/geo/query/acc.cgi?acc=GSM992332","GSM992332")</f>
        <v>GSM992332</v>
      </c>
      <c r="I4074" t="s">
        <v>177</v>
      </c>
      <c r="J4074" t="s">
        <v>178</v>
      </c>
      <c r="K4074" t="s">
        <v>19</v>
      </c>
      <c r="L4074" t="s">
        <v>44</v>
      </c>
      <c r="M4074" t="s">
        <v>41</v>
      </c>
      <c r="N4074" t="s">
        <v>22</v>
      </c>
    </row>
    <row r="4075" spans="1:14">
      <c r="A4075" s="4" t="str">
        <f t="shared" si="386"/>
        <v>EXP00129</v>
      </c>
      <c r="B4075" s="4" t="str">
        <f t="shared" si="383"/>
        <v>25552933</v>
      </c>
      <c r="C4075" s="4" t="str">
        <f t="shared" si="384"/>
        <v>GSE40367</v>
      </c>
      <c r="D4075" s="1" t="s">
        <v>45</v>
      </c>
      <c r="E4075" t="s">
        <v>259</v>
      </c>
      <c r="F4075" s="1">
        <v>2</v>
      </c>
      <c r="G4075" s="1" t="s">
        <v>28</v>
      </c>
      <c r="H4075" s="4" t="str">
        <f>HYPERLINK("https://www.ncbi.nlm.nih.gov/geo/query/acc.cgi?acc=GSM992318","GSM992318")</f>
        <v>GSM992318</v>
      </c>
      <c r="I4075" t="s">
        <v>177</v>
      </c>
      <c r="J4075" t="s">
        <v>248</v>
      </c>
      <c r="K4075" t="s">
        <v>19</v>
      </c>
      <c r="L4075" t="s">
        <v>44</v>
      </c>
      <c r="M4075" t="s">
        <v>41</v>
      </c>
      <c r="N4075" t="s">
        <v>29</v>
      </c>
    </row>
    <row r="4076" spans="1:14">
      <c r="A4076" s="4" t="str">
        <f t="shared" si="386"/>
        <v>EXP00129</v>
      </c>
      <c r="B4076" s="4" t="str">
        <f t="shared" si="383"/>
        <v>25552933</v>
      </c>
      <c r="C4076" s="4" t="str">
        <f t="shared" si="384"/>
        <v>GSE40367</v>
      </c>
      <c r="D4076" s="1" t="s">
        <v>45</v>
      </c>
      <c r="E4076" t="s">
        <v>259</v>
      </c>
      <c r="F4076" s="1">
        <v>2</v>
      </c>
      <c r="G4076" s="1" t="s">
        <v>28</v>
      </c>
      <c r="H4076" s="4" t="str">
        <f>HYPERLINK("https://www.ncbi.nlm.nih.gov/geo/query/acc.cgi?acc=GSM992320","GSM992320")</f>
        <v>GSM992320</v>
      </c>
      <c r="I4076" t="s">
        <v>177</v>
      </c>
      <c r="J4076" t="s">
        <v>178</v>
      </c>
      <c r="K4076" t="s">
        <v>19</v>
      </c>
      <c r="L4076" t="s">
        <v>44</v>
      </c>
      <c r="M4076" t="s">
        <v>41</v>
      </c>
      <c r="N4076" t="s">
        <v>29</v>
      </c>
    </row>
    <row r="4077" spans="1:14">
      <c r="A4077" s="4" t="str">
        <f t="shared" si="386"/>
        <v>EXP00129</v>
      </c>
      <c r="B4077" s="4" t="str">
        <f t="shared" si="383"/>
        <v>25552933</v>
      </c>
      <c r="C4077" s="4" t="str">
        <f t="shared" si="384"/>
        <v>GSE40367</v>
      </c>
      <c r="D4077" s="1" t="s">
        <v>45</v>
      </c>
      <c r="E4077" t="s">
        <v>259</v>
      </c>
      <c r="F4077" s="1">
        <v>2</v>
      </c>
      <c r="G4077" s="1" t="s">
        <v>28</v>
      </c>
      <c r="H4077" s="4" t="str">
        <f>HYPERLINK("https://www.ncbi.nlm.nih.gov/geo/query/acc.cgi?acc=GSM992322","GSM992322")</f>
        <v>GSM992322</v>
      </c>
      <c r="I4077" t="s">
        <v>177</v>
      </c>
      <c r="J4077" t="s">
        <v>178</v>
      </c>
      <c r="K4077" t="s">
        <v>19</v>
      </c>
      <c r="L4077" t="s">
        <v>44</v>
      </c>
      <c r="M4077" t="s">
        <v>41</v>
      </c>
      <c r="N4077" t="s">
        <v>29</v>
      </c>
    </row>
    <row r="4078" spans="1:14">
      <c r="A4078" s="4" t="str">
        <f t="shared" ref="A4078:A4085" si="387">HYPERLINK("http://hcmdb.i-sanger.com/experiment/details/experiment_id/EXP00130","EXP00130")</f>
        <v>EXP00130</v>
      </c>
      <c r="B4078" s="4" t="str">
        <f t="shared" si="383"/>
        <v>25552933</v>
      </c>
      <c r="C4078" s="4" t="str">
        <f t="shared" si="384"/>
        <v>GSE40367</v>
      </c>
      <c r="D4078" s="1" t="s">
        <v>45</v>
      </c>
      <c r="E4078" t="s">
        <v>260</v>
      </c>
      <c r="F4078" s="1">
        <v>1</v>
      </c>
      <c r="G4078" s="1" t="s">
        <v>26</v>
      </c>
      <c r="H4078" s="4" t="str">
        <f>HYPERLINK("https://www.ncbi.nlm.nih.gov/geo/query/acc.cgi?acc=GSM992302","GSM992302")</f>
        <v>GSM992302</v>
      </c>
      <c r="I4078" t="s">
        <v>177</v>
      </c>
      <c r="J4078" t="s">
        <v>248</v>
      </c>
      <c r="K4078" t="s">
        <v>19</v>
      </c>
      <c r="L4078" t="s">
        <v>44</v>
      </c>
      <c r="M4078" t="s">
        <v>24</v>
      </c>
      <c r="N4078" t="s">
        <v>22</v>
      </c>
    </row>
    <row r="4079" spans="1:14">
      <c r="A4079" s="4" t="str">
        <f t="shared" si="387"/>
        <v>EXP00130</v>
      </c>
      <c r="B4079" s="4" t="str">
        <f t="shared" si="383"/>
        <v>25552933</v>
      </c>
      <c r="C4079" s="4" t="str">
        <f t="shared" si="384"/>
        <v>GSE40367</v>
      </c>
      <c r="D4079" s="1" t="s">
        <v>45</v>
      </c>
      <c r="E4079" t="s">
        <v>260</v>
      </c>
      <c r="F4079" s="1">
        <v>1</v>
      </c>
      <c r="G4079" s="1" t="s">
        <v>26</v>
      </c>
      <c r="H4079" s="4" t="str">
        <f>HYPERLINK("https://www.ncbi.nlm.nih.gov/geo/query/acc.cgi?acc=GSM992304","GSM992304")</f>
        <v>GSM992304</v>
      </c>
      <c r="I4079" t="s">
        <v>177</v>
      </c>
      <c r="J4079" t="s">
        <v>248</v>
      </c>
      <c r="K4079" t="s">
        <v>19</v>
      </c>
      <c r="L4079" t="s">
        <v>44</v>
      </c>
      <c r="M4079" t="s">
        <v>24</v>
      </c>
      <c r="N4079" t="s">
        <v>22</v>
      </c>
    </row>
    <row r="4080" spans="1:14">
      <c r="A4080" s="4" t="str">
        <f t="shared" si="387"/>
        <v>EXP00130</v>
      </c>
      <c r="B4080" s="4" t="str">
        <f t="shared" si="383"/>
        <v>25552933</v>
      </c>
      <c r="C4080" s="4" t="str">
        <f t="shared" si="384"/>
        <v>GSE40367</v>
      </c>
      <c r="D4080" s="1" t="s">
        <v>45</v>
      </c>
      <c r="E4080" t="s">
        <v>260</v>
      </c>
      <c r="F4080" s="1">
        <v>1</v>
      </c>
      <c r="G4080" s="1" t="s">
        <v>26</v>
      </c>
      <c r="H4080" s="4" t="str">
        <f>HYPERLINK("https://www.ncbi.nlm.nih.gov/geo/query/acc.cgi?acc=GSM992308","GSM992308")</f>
        <v>GSM992308</v>
      </c>
      <c r="I4080" t="s">
        <v>177</v>
      </c>
      <c r="J4080" t="s">
        <v>178</v>
      </c>
      <c r="K4080" t="s">
        <v>19</v>
      </c>
      <c r="L4080" t="s">
        <v>44</v>
      </c>
      <c r="M4080" t="s">
        <v>24</v>
      </c>
      <c r="N4080" t="s">
        <v>22</v>
      </c>
    </row>
    <row r="4081" spans="1:14">
      <c r="A4081" s="4" t="str">
        <f t="shared" si="387"/>
        <v>EXP00130</v>
      </c>
      <c r="B4081" s="4" t="str">
        <f t="shared" si="383"/>
        <v>25552933</v>
      </c>
      <c r="C4081" s="4" t="str">
        <f t="shared" si="384"/>
        <v>GSE40367</v>
      </c>
      <c r="D4081" s="1" t="s">
        <v>45</v>
      </c>
      <c r="E4081" t="s">
        <v>260</v>
      </c>
      <c r="F4081" s="1">
        <v>1</v>
      </c>
      <c r="G4081" s="1" t="s">
        <v>26</v>
      </c>
      <c r="H4081" s="4" t="str">
        <f>HYPERLINK("https://www.ncbi.nlm.nih.gov/geo/query/acc.cgi?acc=GSM992310","GSM992310")</f>
        <v>GSM992310</v>
      </c>
      <c r="I4081" t="s">
        <v>177</v>
      </c>
      <c r="J4081" t="s">
        <v>248</v>
      </c>
      <c r="K4081" t="s">
        <v>19</v>
      </c>
      <c r="L4081" t="s">
        <v>44</v>
      </c>
      <c r="M4081" t="s">
        <v>24</v>
      </c>
      <c r="N4081" t="s">
        <v>22</v>
      </c>
    </row>
    <row r="4082" spans="1:14">
      <c r="A4082" s="4" t="str">
        <f t="shared" si="387"/>
        <v>EXP00130</v>
      </c>
      <c r="B4082" s="4" t="str">
        <f t="shared" si="383"/>
        <v>25552933</v>
      </c>
      <c r="C4082" s="4" t="str">
        <f t="shared" si="384"/>
        <v>GSE40367</v>
      </c>
      <c r="D4082" s="1" t="s">
        <v>45</v>
      </c>
      <c r="E4082" t="s">
        <v>260</v>
      </c>
      <c r="F4082" s="1">
        <v>2</v>
      </c>
      <c r="G4082" s="1" t="s">
        <v>28</v>
      </c>
      <c r="H4082" s="4" t="str">
        <f>HYPERLINK("https://www.ncbi.nlm.nih.gov/geo/query/acc.cgi?acc=GSM992303","GSM992303")</f>
        <v>GSM992303</v>
      </c>
      <c r="I4082" t="s">
        <v>177</v>
      </c>
      <c r="J4082" t="s">
        <v>248</v>
      </c>
      <c r="K4082" t="s">
        <v>19</v>
      </c>
      <c r="L4082" t="s">
        <v>44</v>
      </c>
      <c r="M4082" t="s">
        <v>24</v>
      </c>
      <c r="N4082" t="s">
        <v>29</v>
      </c>
    </row>
    <row r="4083" spans="1:14">
      <c r="A4083" s="4" t="str">
        <f t="shared" si="387"/>
        <v>EXP00130</v>
      </c>
      <c r="B4083" s="4" t="str">
        <f t="shared" si="383"/>
        <v>25552933</v>
      </c>
      <c r="C4083" s="4" t="str">
        <f t="shared" si="384"/>
        <v>GSE40367</v>
      </c>
      <c r="D4083" s="1" t="s">
        <v>45</v>
      </c>
      <c r="E4083" t="s">
        <v>260</v>
      </c>
      <c r="F4083" s="1">
        <v>2</v>
      </c>
      <c r="G4083" s="1" t="s">
        <v>28</v>
      </c>
      <c r="H4083" s="4" t="str">
        <f>HYPERLINK("https://www.ncbi.nlm.nih.gov/geo/query/acc.cgi?acc=GSM992305","GSM992305")</f>
        <v>GSM992305</v>
      </c>
      <c r="I4083" t="s">
        <v>177</v>
      </c>
      <c r="J4083" t="s">
        <v>248</v>
      </c>
      <c r="K4083" t="s">
        <v>19</v>
      </c>
      <c r="L4083" t="s">
        <v>44</v>
      </c>
      <c r="M4083" t="s">
        <v>24</v>
      </c>
      <c r="N4083" t="s">
        <v>29</v>
      </c>
    </row>
    <row r="4084" spans="1:14">
      <c r="A4084" s="4" t="str">
        <f t="shared" si="387"/>
        <v>EXP00130</v>
      </c>
      <c r="B4084" s="4" t="str">
        <f t="shared" si="383"/>
        <v>25552933</v>
      </c>
      <c r="C4084" s="4" t="str">
        <f t="shared" si="384"/>
        <v>GSE40367</v>
      </c>
      <c r="D4084" s="1" t="s">
        <v>45</v>
      </c>
      <c r="E4084" t="s">
        <v>260</v>
      </c>
      <c r="F4084" s="1">
        <v>2</v>
      </c>
      <c r="G4084" s="1" t="s">
        <v>28</v>
      </c>
      <c r="H4084" s="4" t="str">
        <f>HYPERLINK("https://www.ncbi.nlm.nih.gov/geo/query/acc.cgi?acc=GSM992309","GSM992309")</f>
        <v>GSM992309</v>
      </c>
      <c r="I4084" t="s">
        <v>177</v>
      </c>
      <c r="J4084" t="s">
        <v>178</v>
      </c>
      <c r="K4084" t="s">
        <v>19</v>
      </c>
      <c r="L4084" t="s">
        <v>44</v>
      </c>
      <c r="M4084" t="s">
        <v>24</v>
      </c>
      <c r="N4084" t="s">
        <v>29</v>
      </c>
    </row>
    <row r="4085" spans="1:14">
      <c r="A4085" s="4" t="str">
        <f t="shared" si="387"/>
        <v>EXP00130</v>
      </c>
      <c r="B4085" s="4" t="str">
        <f t="shared" si="383"/>
        <v>25552933</v>
      </c>
      <c r="C4085" s="4" t="str">
        <f t="shared" si="384"/>
        <v>GSE40367</v>
      </c>
      <c r="D4085" s="1" t="s">
        <v>45</v>
      </c>
      <c r="E4085" t="s">
        <v>260</v>
      </c>
      <c r="F4085" s="1">
        <v>2</v>
      </c>
      <c r="G4085" s="1" t="s">
        <v>28</v>
      </c>
      <c r="H4085" s="4" t="str">
        <f>HYPERLINK("https://www.ncbi.nlm.nih.gov/geo/query/acc.cgi?acc=GSM992311","GSM992311")</f>
        <v>GSM992311</v>
      </c>
      <c r="I4085" t="s">
        <v>177</v>
      </c>
      <c r="J4085" t="s">
        <v>248</v>
      </c>
      <c r="K4085" t="s">
        <v>19</v>
      </c>
      <c r="L4085" t="s">
        <v>44</v>
      </c>
      <c r="M4085" t="s">
        <v>24</v>
      </c>
      <c r="N4085" t="s">
        <v>29</v>
      </c>
    </row>
    <row r="4086" spans="1:14">
      <c r="A4086" s="4" t="str">
        <f t="shared" ref="A4086:A4095" si="388">HYPERLINK("http://hcmdb.i-sanger.com/experiment/details/experiment_id/EXP00131","EXP00131")</f>
        <v>EXP00131</v>
      </c>
      <c r="B4086" s="4" t="str">
        <f t="shared" si="383"/>
        <v>25552933</v>
      </c>
      <c r="C4086" s="4" t="str">
        <f t="shared" si="384"/>
        <v>GSE40367</v>
      </c>
      <c r="D4086" s="1" t="s">
        <v>45</v>
      </c>
      <c r="E4086" t="s">
        <v>261</v>
      </c>
      <c r="F4086" s="1">
        <v>1</v>
      </c>
      <c r="G4086" s="1" t="s">
        <v>262</v>
      </c>
      <c r="H4086" s="4" t="str">
        <f>HYPERLINK("https://www.ncbi.nlm.nih.gov/geo/query/acc.cgi?acc=GSM992313","GSM992313")</f>
        <v>GSM992313</v>
      </c>
      <c r="I4086" t="s">
        <v>177</v>
      </c>
      <c r="J4086" t="s">
        <v>178</v>
      </c>
      <c r="K4086" t="s">
        <v>19</v>
      </c>
      <c r="L4086" t="s">
        <v>44</v>
      </c>
      <c r="M4086" t="s">
        <v>34</v>
      </c>
      <c r="N4086" t="s">
        <v>29</v>
      </c>
    </row>
    <row r="4087" spans="1:14">
      <c r="A4087" s="4" t="str">
        <f t="shared" si="388"/>
        <v>EXP00131</v>
      </c>
      <c r="B4087" s="4" t="str">
        <f t="shared" si="383"/>
        <v>25552933</v>
      </c>
      <c r="C4087" s="4" t="str">
        <f t="shared" si="384"/>
        <v>GSE40367</v>
      </c>
      <c r="D4087" s="1" t="s">
        <v>45</v>
      </c>
      <c r="E4087" t="s">
        <v>261</v>
      </c>
      <c r="F4087" s="1">
        <v>1</v>
      </c>
      <c r="G4087" s="1" t="s">
        <v>262</v>
      </c>
      <c r="H4087" s="4" t="str">
        <f>HYPERLINK("https://www.ncbi.nlm.nih.gov/geo/query/acc.cgi?acc=GSM992315","GSM992315")</f>
        <v>GSM992315</v>
      </c>
      <c r="I4087" t="s">
        <v>177</v>
      </c>
      <c r="J4087" t="s">
        <v>178</v>
      </c>
      <c r="K4087" t="s">
        <v>19</v>
      </c>
      <c r="L4087" t="s">
        <v>44</v>
      </c>
      <c r="M4087" t="s">
        <v>34</v>
      </c>
      <c r="N4087" t="s">
        <v>29</v>
      </c>
    </row>
    <row r="4088" spans="1:14">
      <c r="A4088" s="4" t="str">
        <f t="shared" si="388"/>
        <v>EXP00131</v>
      </c>
      <c r="B4088" s="4" t="str">
        <f t="shared" si="383"/>
        <v>25552933</v>
      </c>
      <c r="C4088" s="4" t="str">
        <f t="shared" si="384"/>
        <v>GSE40367</v>
      </c>
      <c r="D4088" s="1" t="s">
        <v>45</v>
      </c>
      <c r="E4088" t="s">
        <v>261</v>
      </c>
      <c r="F4088" s="1">
        <v>1</v>
      </c>
      <c r="G4088" s="1" t="s">
        <v>262</v>
      </c>
      <c r="H4088" s="4" t="str">
        <f>HYPERLINK("https://www.ncbi.nlm.nih.gov/geo/query/acc.cgi?acc=GSM992317","GSM992317")</f>
        <v>GSM992317</v>
      </c>
      <c r="I4088" t="s">
        <v>177</v>
      </c>
      <c r="J4088" t="s">
        <v>178</v>
      </c>
      <c r="K4088" t="s">
        <v>19</v>
      </c>
      <c r="L4088" t="s">
        <v>44</v>
      </c>
      <c r="M4088" t="s">
        <v>34</v>
      </c>
      <c r="N4088" t="s">
        <v>29</v>
      </c>
    </row>
    <row r="4089" spans="1:14">
      <c r="A4089" s="4" t="str">
        <f t="shared" si="388"/>
        <v>EXP00131</v>
      </c>
      <c r="B4089" s="4" t="str">
        <f t="shared" si="383"/>
        <v>25552933</v>
      </c>
      <c r="C4089" s="4" t="str">
        <f t="shared" si="384"/>
        <v>GSE40367</v>
      </c>
      <c r="D4089" s="1" t="s">
        <v>45</v>
      </c>
      <c r="E4089" t="s">
        <v>261</v>
      </c>
      <c r="F4089" s="1">
        <v>2</v>
      </c>
      <c r="G4089" s="1" t="s">
        <v>263</v>
      </c>
      <c r="H4089" s="4" t="str">
        <f>HYPERLINK("https://www.ncbi.nlm.nih.gov/geo/query/acc.cgi?acc=GSM992318","GSM992318")</f>
        <v>GSM992318</v>
      </c>
      <c r="I4089" t="s">
        <v>177</v>
      </c>
      <c r="J4089" t="s">
        <v>248</v>
      </c>
      <c r="K4089" t="s">
        <v>19</v>
      </c>
      <c r="L4089" t="s">
        <v>44</v>
      </c>
      <c r="M4089" t="s">
        <v>41</v>
      </c>
      <c r="N4089" t="s">
        <v>29</v>
      </c>
    </row>
    <row r="4090" spans="1:14">
      <c r="A4090" s="4" t="str">
        <f t="shared" si="388"/>
        <v>EXP00131</v>
      </c>
      <c r="B4090" s="4" t="str">
        <f t="shared" si="383"/>
        <v>25552933</v>
      </c>
      <c r="C4090" s="4" t="str">
        <f t="shared" si="384"/>
        <v>GSE40367</v>
      </c>
      <c r="D4090" s="1" t="s">
        <v>45</v>
      </c>
      <c r="E4090" t="s">
        <v>261</v>
      </c>
      <c r="F4090" s="1">
        <v>2</v>
      </c>
      <c r="G4090" s="1" t="s">
        <v>263</v>
      </c>
      <c r="H4090" s="4" t="str">
        <f>HYPERLINK("https://www.ncbi.nlm.nih.gov/geo/query/acc.cgi?acc=GSM992320","GSM992320")</f>
        <v>GSM992320</v>
      </c>
      <c r="I4090" t="s">
        <v>177</v>
      </c>
      <c r="J4090" t="s">
        <v>178</v>
      </c>
      <c r="K4090" t="s">
        <v>19</v>
      </c>
      <c r="L4090" t="s">
        <v>44</v>
      </c>
      <c r="M4090" t="s">
        <v>41</v>
      </c>
      <c r="N4090" t="s">
        <v>29</v>
      </c>
    </row>
    <row r="4091" spans="1:14">
      <c r="A4091" s="4" t="str">
        <f t="shared" si="388"/>
        <v>EXP00131</v>
      </c>
      <c r="B4091" s="4" t="str">
        <f t="shared" si="383"/>
        <v>25552933</v>
      </c>
      <c r="C4091" s="4" t="str">
        <f t="shared" si="384"/>
        <v>GSE40367</v>
      </c>
      <c r="D4091" s="1" t="s">
        <v>45</v>
      </c>
      <c r="E4091" t="s">
        <v>261</v>
      </c>
      <c r="F4091" s="1">
        <v>2</v>
      </c>
      <c r="G4091" s="1" t="s">
        <v>263</v>
      </c>
      <c r="H4091" s="4" t="str">
        <f>HYPERLINK("https://www.ncbi.nlm.nih.gov/geo/query/acc.cgi?acc=GSM992322","GSM992322")</f>
        <v>GSM992322</v>
      </c>
      <c r="I4091" t="s">
        <v>177</v>
      </c>
      <c r="J4091" t="s">
        <v>178</v>
      </c>
      <c r="K4091" t="s">
        <v>19</v>
      </c>
      <c r="L4091" t="s">
        <v>44</v>
      </c>
      <c r="M4091" t="s">
        <v>41</v>
      </c>
      <c r="N4091" t="s">
        <v>29</v>
      </c>
    </row>
    <row r="4092" spans="1:14">
      <c r="A4092" s="4" t="str">
        <f t="shared" si="388"/>
        <v>EXP00131</v>
      </c>
      <c r="B4092" s="4" t="str">
        <f t="shared" si="383"/>
        <v>25552933</v>
      </c>
      <c r="C4092" s="4" t="str">
        <f t="shared" si="384"/>
        <v>GSE40367</v>
      </c>
      <c r="D4092" s="1" t="s">
        <v>45</v>
      </c>
      <c r="E4092" t="s">
        <v>261</v>
      </c>
      <c r="F4092" s="1">
        <v>3</v>
      </c>
      <c r="G4092" s="1" t="s">
        <v>264</v>
      </c>
      <c r="H4092" s="4" t="str">
        <f>HYPERLINK("https://www.ncbi.nlm.nih.gov/geo/query/acc.cgi?acc=GSM992303","GSM992303")</f>
        <v>GSM992303</v>
      </c>
      <c r="I4092" t="s">
        <v>177</v>
      </c>
      <c r="J4092" t="s">
        <v>248</v>
      </c>
      <c r="K4092" t="s">
        <v>19</v>
      </c>
      <c r="L4092" t="s">
        <v>44</v>
      </c>
      <c r="M4092" t="s">
        <v>24</v>
      </c>
      <c r="N4092" t="s">
        <v>29</v>
      </c>
    </row>
    <row r="4093" spans="1:14">
      <c r="A4093" s="4" t="str">
        <f t="shared" si="388"/>
        <v>EXP00131</v>
      </c>
      <c r="B4093" s="4" t="str">
        <f t="shared" si="383"/>
        <v>25552933</v>
      </c>
      <c r="C4093" s="4" t="str">
        <f t="shared" si="384"/>
        <v>GSE40367</v>
      </c>
      <c r="D4093" s="1" t="s">
        <v>45</v>
      </c>
      <c r="E4093" t="s">
        <v>261</v>
      </c>
      <c r="F4093" s="1">
        <v>3</v>
      </c>
      <c r="G4093" s="1" t="s">
        <v>264</v>
      </c>
      <c r="H4093" s="4" t="str">
        <f>HYPERLINK("https://www.ncbi.nlm.nih.gov/geo/query/acc.cgi?acc=GSM992305","GSM992305")</f>
        <v>GSM992305</v>
      </c>
      <c r="I4093" t="s">
        <v>177</v>
      </c>
      <c r="J4093" t="s">
        <v>248</v>
      </c>
      <c r="K4093" t="s">
        <v>19</v>
      </c>
      <c r="L4093" t="s">
        <v>44</v>
      </c>
      <c r="M4093" t="s">
        <v>24</v>
      </c>
      <c r="N4093" t="s">
        <v>29</v>
      </c>
    </row>
    <row r="4094" spans="1:14">
      <c r="A4094" s="4" t="str">
        <f t="shared" si="388"/>
        <v>EXP00131</v>
      </c>
      <c r="B4094" s="4" t="str">
        <f t="shared" si="383"/>
        <v>25552933</v>
      </c>
      <c r="C4094" s="4" t="str">
        <f t="shared" si="384"/>
        <v>GSE40367</v>
      </c>
      <c r="D4094" s="1" t="s">
        <v>45</v>
      </c>
      <c r="E4094" t="s">
        <v>261</v>
      </c>
      <c r="F4094" s="1">
        <v>3</v>
      </c>
      <c r="G4094" s="1" t="s">
        <v>264</v>
      </c>
      <c r="H4094" s="4" t="str">
        <f>HYPERLINK("https://www.ncbi.nlm.nih.gov/geo/query/acc.cgi?acc=GSM992309","GSM992309")</f>
        <v>GSM992309</v>
      </c>
      <c r="I4094" t="s">
        <v>177</v>
      </c>
      <c r="J4094" t="s">
        <v>178</v>
      </c>
      <c r="K4094" t="s">
        <v>19</v>
      </c>
      <c r="L4094" t="s">
        <v>44</v>
      </c>
      <c r="M4094" t="s">
        <v>24</v>
      </c>
      <c r="N4094" t="s">
        <v>29</v>
      </c>
    </row>
    <row r="4095" spans="1:14">
      <c r="A4095" s="4" t="str">
        <f t="shared" si="388"/>
        <v>EXP00131</v>
      </c>
      <c r="B4095" s="4" t="str">
        <f t="shared" si="383"/>
        <v>25552933</v>
      </c>
      <c r="C4095" s="4" t="str">
        <f t="shared" si="384"/>
        <v>GSE40367</v>
      </c>
      <c r="D4095" s="1" t="s">
        <v>45</v>
      </c>
      <c r="E4095" t="s">
        <v>261</v>
      </c>
      <c r="F4095" s="1">
        <v>3</v>
      </c>
      <c r="G4095" s="1" t="s">
        <v>264</v>
      </c>
      <c r="H4095" s="4" t="str">
        <f>HYPERLINK("https://www.ncbi.nlm.nih.gov/geo/query/acc.cgi?acc=GSM992311","GSM992311")</f>
        <v>GSM992311</v>
      </c>
      <c r="I4095" t="s">
        <v>177</v>
      </c>
      <c r="J4095" t="s">
        <v>248</v>
      </c>
      <c r="K4095" t="s">
        <v>19</v>
      </c>
      <c r="L4095" t="s">
        <v>44</v>
      </c>
      <c r="M4095" t="s">
        <v>24</v>
      </c>
      <c r="N4095" t="s">
        <v>29</v>
      </c>
    </row>
    <row r="4096" spans="1:14">
      <c r="A4096" s="4" t="str">
        <f t="shared" ref="A4096:A4114" si="389">HYPERLINK("http://hcmdb.i-sanger.com/experiment/details/experiment_id/EXP00132","EXP00132")</f>
        <v>EXP00132</v>
      </c>
      <c r="B4096" s="4" t="str">
        <f t="shared" si="383"/>
        <v>25552933</v>
      </c>
      <c r="C4096" s="4" t="str">
        <f t="shared" si="384"/>
        <v>GSE40367</v>
      </c>
      <c r="D4096" s="1" t="s">
        <v>45</v>
      </c>
      <c r="E4096" t="s">
        <v>265</v>
      </c>
      <c r="F4096" s="1">
        <v>1</v>
      </c>
      <c r="G4096" s="1" t="s">
        <v>266</v>
      </c>
      <c r="H4096" s="4" t="str">
        <f>HYPERLINK("https://www.ncbi.nlm.nih.gov/geo/query/acc.cgi?acc=GSM992312","GSM992312")</f>
        <v>GSM992312</v>
      </c>
      <c r="I4096" t="s">
        <v>177</v>
      </c>
      <c r="J4096" t="s">
        <v>178</v>
      </c>
      <c r="K4096" t="s">
        <v>19</v>
      </c>
      <c r="L4096" t="s">
        <v>44</v>
      </c>
      <c r="M4096" t="s">
        <v>34</v>
      </c>
      <c r="N4096" t="s">
        <v>22</v>
      </c>
    </row>
    <row r="4097" spans="1:14">
      <c r="A4097" s="4" t="str">
        <f t="shared" si="389"/>
        <v>EXP00132</v>
      </c>
      <c r="B4097" s="4" t="str">
        <f t="shared" si="383"/>
        <v>25552933</v>
      </c>
      <c r="C4097" s="4" t="str">
        <f t="shared" si="384"/>
        <v>GSE40367</v>
      </c>
      <c r="D4097" s="1" t="s">
        <v>45</v>
      </c>
      <c r="E4097" t="s">
        <v>265</v>
      </c>
      <c r="F4097" s="1">
        <v>1</v>
      </c>
      <c r="G4097" s="1" t="s">
        <v>266</v>
      </c>
      <c r="H4097" s="4" t="str">
        <f>HYPERLINK("https://www.ncbi.nlm.nih.gov/geo/query/acc.cgi?acc=GSM992314","GSM992314")</f>
        <v>GSM992314</v>
      </c>
      <c r="I4097" t="s">
        <v>177</v>
      </c>
      <c r="J4097" t="s">
        <v>178</v>
      </c>
      <c r="K4097" t="s">
        <v>19</v>
      </c>
      <c r="L4097" t="s">
        <v>44</v>
      </c>
      <c r="M4097" t="s">
        <v>34</v>
      </c>
      <c r="N4097" t="s">
        <v>22</v>
      </c>
    </row>
    <row r="4098" spans="1:14">
      <c r="A4098" s="4" t="str">
        <f t="shared" si="389"/>
        <v>EXP00132</v>
      </c>
      <c r="B4098" s="4" t="str">
        <f t="shared" si="383"/>
        <v>25552933</v>
      </c>
      <c r="C4098" s="4" t="str">
        <f t="shared" si="384"/>
        <v>GSE40367</v>
      </c>
      <c r="D4098" s="1" t="s">
        <v>45</v>
      </c>
      <c r="E4098" t="s">
        <v>265</v>
      </c>
      <c r="F4098" s="1">
        <v>1</v>
      </c>
      <c r="G4098" s="1" t="s">
        <v>266</v>
      </c>
      <c r="H4098" s="4" t="str">
        <f>HYPERLINK("https://www.ncbi.nlm.nih.gov/geo/query/acc.cgi?acc=GSM992316","GSM992316")</f>
        <v>GSM992316</v>
      </c>
      <c r="I4098" t="s">
        <v>177</v>
      </c>
      <c r="J4098" t="s">
        <v>178</v>
      </c>
      <c r="K4098" t="s">
        <v>19</v>
      </c>
      <c r="L4098" t="s">
        <v>44</v>
      </c>
      <c r="M4098" t="s">
        <v>34</v>
      </c>
      <c r="N4098" t="s">
        <v>22</v>
      </c>
    </row>
    <row r="4099" spans="1:14">
      <c r="A4099" s="4" t="str">
        <f t="shared" si="389"/>
        <v>EXP00132</v>
      </c>
      <c r="B4099" s="4" t="str">
        <f t="shared" si="383"/>
        <v>25552933</v>
      </c>
      <c r="C4099" s="4" t="str">
        <f t="shared" si="384"/>
        <v>GSE40367</v>
      </c>
      <c r="D4099" s="1" t="s">
        <v>45</v>
      </c>
      <c r="E4099" t="s">
        <v>265</v>
      </c>
      <c r="F4099" s="1">
        <v>2</v>
      </c>
      <c r="G4099" s="1" t="s">
        <v>267</v>
      </c>
      <c r="H4099" s="4" t="str">
        <f>HYPERLINK("https://www.ncbi.nlm.nih.gov/geo/query/acc.cgi?acc=GSM992319","GSM992319")</f>
        <v>GSM992319</v>
      </c>
      <c r="I4099" t="s">
        <v>177</v>
      </c>
      <c r="J4099" t="s">
        <v>178</v>
      </c>
      <c r="K4099" t="s">
        <v>19</v>
      </c>
      <c r="L4099" t="s">
        <v>44</v>
      </c>
      <c r="M4099" t="s">
        <v>41</v>
      </c>
      <c r="N4099" t="s">
        <v>22</v>
      </c>
    </row>
    <row r="4100" spans="1:14">
      <c r="A4100" s="4" t="str">
        <f t="shared" si="389"/>
        <v>EXP00132</v>
      </c>
      <c r="B4100" s="4" t="str">
        <f t="shared" si="383"/>
        <v>25552933</v>
      </c>
      <c r="C4100" s="4" t="str">
        <f t="shared" si="384"/>
        <v>GSE40367</v>
      </c>
      <c r="D4100" s="1" t="s">
        <v>45</v>
      </c>
      <c r="E4100" t="s">
        <v>265</v>
      </c>
      <c r="F4100" s="1">
        <v>2</v>
      </c>
      <c r="G4100" s="1" t="s">
        <v>267</v>
      </c>
      <c r="H4100" s="4" t="str">
        <f>HYPERLINK("https://www.ncbi.nlm.nih.gov/geo/query/acc.cgi?acc=GSM992321","GSM992321")</f>
        <v>GSM992321</v>
      </c>
      <c r="I4100" t="s">
        <v>177</v>
      </c>
      <c r="J4100" t="s">
        <v>178</v>
      </c>
      <c r="K4100" t="s">
        <v>19</v>
      </c>
      <c r="L4100" t="s">
        <v>44</v>
      </c>
      <c r="M4100" t="s">
        <v>41</v>
      </c>
      <c r="N4100" t="s">
        <v>22</v>
      </c>
    </row>
    <row r="4101" spans="1:14">
      <c r="A4101" s="4" t="str">
        <f t="shared" si="389"/>
        <v>EXP00132</v>
      </c>
      <c r="B4101" s="4" t="str">
        <f t="shared" si="383"/>
        <v>25552933</v>
      </c>
      <c r="C4101" s="4" t="str">
        <f t="shared" si="384"/>
        <v>GSE40367</v>
      </c>
      <c r="D4101" s="1" t="s">
        <v>45</v>
      </c>
      <c r="E4101" t="s">
        <v>265</v>
      </c>
      <c r="F4101" s="1">
        <v>2</v>
      </c>
      <c r="G4101" s="1" t="s">
        <v>267</v>
      </c>
      <c r="H4101" s="4" t="str">
        <f>HYPERLINK("https://www.ncbi.nlm.nih.gov/geo/query/acc.cgi?acc=GSM992323","GSM992323")</f>
        <v>GSM992323</v>
      </c>
      <c r="I4101" t="s">
        <v>177</v>
      </c>
      <c r="J4101" t="s">
        <v>178</v>
      </c>
      <c r="K4101" t="s">
        <v>19</v>
      </c>
      <c r="L4101" t="s">
        <v>44</v>
      </c>
      <c r="M4101" t="s">
        <v>41</v>
      </c>
      <c r="N4101" t="s">
        <v>22</v>
      </c>
    </row>
    <row r="4102" spans="1:14">
      <c r="A4102" s="4" t="str">
        <f t="shared" si="389"/>
        <v>EXP00132</v>
      </c>
      <c r="B4102" s="4" t="str">
        <f t="shared" si="383"/>
        <v>25552933</v>
      </c>
      <c r="C4102" s="4" t="str">
        <f t="shared" si="384"/>
        <v>GSE40367</v>
      </c>
      <c r="D4102" s="1" t="s">
        <v>45</v>
      </c>
      <c r="E4102" t="s">
        <v>265</v>
      </c>
      <c r="F4102" s="1">
        <v>2</v>
      </c>
      <c r="G4102" s="1" t="s">
        <v>267</v>
      </c>
      <c r="H4102" s="4" t="str">
        <f>HYPERLINK("https://www.ncbi.nlm.nih.gov/geo/query/acc.cgi?acc=GSM992324","GSM992324")</f>
        <v>GSM992324</v>
      </c>
      <c r="I4102" t="s">
        <v>177</v>
      </c>
      <c r="J4102" t="s">
        <v>178</v>
      </c>
      <c r="K4102" t="s">
        <v>19</v>
      </c>
      <c r="L4102" t="s">
        <v>44</v>
      </c>
      <c r="M4102" t="s">
        <v>41</v>
      </c>
      <c r="N4102" t="s">
        <v>22</v>
      </c>
    </row>
    <row r="4103" spans="1:14">
      <c r="A4103" s="4" t="str">
        <f t="shared" si="389"/>
        <v>EXP00132</v>
      </c>
      <c r="B4103" s="4" t="str">
        <f t="shared" si="383"/>
        <v>25552933</v>
      </c>
      <c r="C4103" s="4" t="str">
        <f t="shared" si="384"/>
        <v>GSE40367</v>
      </c>
      <c r="D4103" s="1" t="s">
        <v>45</v>
      </c>
      <c r="E4103" t="s">
        <v>265</v>
      </c>
      <c r="F4103" s="1">
        <v>2</v>
      </c>
      <c r="G4103" s="1" t="s">
        <v>267</v>
      </c>
      <c r="H4103" s="4" t="str">
        <f>HYPERLINK("https://www.ncbi.nlm.nih.gov/geo/query/acc.cgi?acc=GSM992325","GSM992325")</f>
        <v>GSM992325</v>
      </c>
      <c r="I4103" t="s">
        <v>177</v>
      </c>
      <c r="J4103" t="s">
        <v>178</v>
      </c>
      <c r="K4103" t="s">
        <v>19</v>
      </c>
      <c r="L4103" t="s">
        <v>44</v>
      </c>
      <c r="M4103" t="s">
        <v>41</v>
      </c>
      <c r="N4103" t="s">
        <v>22</v>
      </c>
    </row>
    <row r="4104" spans="1:14">
      <c r="A4104" s="4" t="str">
        <f t="shared" si="389"/>
        <v>EXP00132</v>
      </c>
      <c r="B4104" s="4" t="str">
        <f t="shared" si="383"/>
        <v>25552933</v>
      </c>
      <c r="C4104" s="4" t="str">
        <f t="shared" si="384"/>
        <v>GSE40367</v>
      </c>
      <c r="D4104" s="1" t="s">
        <v>45</v>
      </c>
      <c r="E4104" t="s">
        <v>265</v>
      </c>
      <c r="F4104" s="1">
        <v>2</v>
      </c>
      <c r="G4104" s="1" t="s">
        <v>267</v>
      </c>
      <c r="H4104" s="4" t="str">
        <f>HYPERLINK("https://www.ncbi.nlm.nih.gov/geo/query/acc.cgi?acc=GSM992326","GSM992326")</f>
        <v>GSM992326</v>
      </c>
      <c r="I4104" t="s">
        <v>177</v>
      </c>
      <c r="J4104" t="s">
        <v>178</v>
      </c>
      <c r="K4104" t="s">
        <v>19</v>
      </c>
      <c r="L4104" t="s">
        <v>44</v>
      </c>
      <c r="M4104" t="s">
        <v>41</v>
      </c>
      <c r="N4104" t="s">
        <v>22</v>
      </c>
    </row>
    <row r="4105" spans="1:14">
      <c r="A4105" s="4" t="str">
        <f t="shared" si="389"/>
        <v>EXP00132</v>
      </c>
      <c r="B4105" s="4" t="str">
        <f t="shared" si="383"/>
        <v>25552933</v>
      </c>
      <c r="C4105" s="4" t="str">
        <f t="shared" si="384"/>
        <v>GSE40367</v>
      </c>
      <c r="D4105" s="1" t="s">
        <v>45</v>
      </c>
      <c r="E4105" t="s">
        <v>265</v>
      </c>
      <c r="F4105" s="1">
        <v>2</v>
      </c>
      <c r="G4105" s="1" t="s">
        <v>267</v>
      </c>
      <c r="H4105" s="4" t="str">
        <f>HYPERLINK("https://www.ncbi.nlm.nih.gov/geo/query/acc.cgi?acc=GSM992327","GSM992327")</f>
        <v>GSM992327</v>
      </c>
      <c r="I4105" t="s">
        <v>177</v>
      </c>
      <c r="J4105" t="s">
        <v>178</v>
      </c>
      <c r="K4105" t="s">
        <v>19</v>
      </c>
      <c r="L4105" t="s">
        <v>44</v>
      </c>
      <c r="M4105" t="s">
        <v>41</v>
      </c>
      <c r="N4105" t="s">
        <v>22</v>
      </c>
    </row>
    <row r="4106" spans="1:14">
      <c r="A4106" s="4" t="str">
        <f t="shared" si="389"/>
        <v>EXP00132</v>
      </c>
      <c r="B4106" s="4" t="str">
        <f t="shared" si="383"/>
        <v>25552933</v>
      </c>
      <c r="C4106" s="4" t="str">
        <f t="shared" si="384"/>
        <v>GSE40367</v>
      </c>
      <c r="D4106" s="1" t="s">
        <v>45</v>
      </c>
      <c r="E4106" t="s">
        <v>265</v>
      </c>
      <c r="F4106" s="1">
        <v>2</v>
      </c>
      <c r="G4106" s="1" t="s">
        <v>267</v>
      </c>
      <c r="H4106" s="4" t="str">
        <f>HYPERLINK("https://www.ncbi.nlm.nih.gov/geo/query/acc.cgi?acc=GSM992328","GSM992328")</f>
        <v>GSM992328</v>
      </c>
      <c r="I4106" t="s">
        <v>177</v>
      </c>
      <c r="J4106" t="s">
        <v>178</v>
      </c>
      <c r="K4106" t="s">
        <v>19</v>
      </c>
      <c r="L4106" t="s">
        <v>44</v>
      </c>
      <c r="M4106" t="s">
        <v>41</v>
      </c>
      <c r="N4106" t="s">
        <v>22</v>
      </c>
    </row>
    <row r="4107" spans="1:14">
      <c r="A4107" s="4" t="str">
        <f t="shared" si="389"/>
        <v>EXP00132</v>
      </c>
      <c r="B4107" s="4" t="str">
        <f t="shared" si="383"/>
        <v>25552933</v>
      </c>
      <c r="C4107" s="4" t="str">
        <f t="shared" si="384"/>
        <v>GSE40367</v>
      </c>
      <c r="D4107" s="1" t="s">
        <v>45</v>
      </c>
      <c r="E4107" t="s">
        <v>265</v>
      </c>
      <c r="F4107" s="1">
        <v>2</v>
      </c>
      <c r="G4107" s="1" t="s">
        <v>267</v>
      </c>
      <c r="H4107" s="4" t="str">
        <f>HYPERLINK("https://www.ncbi.nlm.nih.gov/geo/query/acc.cgi?acc=GSM992329","GSM992329")</f>
        <v>GSM992329</v>
      </c>
      <c r="I4107" t="s">
        <v>177</v>
      </c>
      <c r="J4107" t="s">
        <v>178</v>
      </c>
      <c r="K4107" t="s">
        <v>19</v>
      </c>
      <c r="L4107" t="s">
        <v>44</v>
      </c>
      <c r="M4107" t="s">
        <v>41</v>
      </c>
      <c r="N4107" t="s">
        <v>22</v>
      </c>
    </row>
    <row r="4108" spans="1:14">
      <c r="A4108" s="4" t="str">
        <f t="shared" si="389"/>
        <v>EXP00132</v>
      </c>
      <c r="B4108" s="4" t="str">
        <f t="shared" si="383"/>
        <v>25552933</v>
      </c>
      <c r="C4108" s="4" t="str">
        <f t="shared" si="384"/>
        <v>GSE40367</v>
      </c>
      <c r="D4108" s="1" t="s">
        <v>45</v>
      </c>
      <c r="E4108" t="s">
        <v>265</v>
      </c>
      <c r="F4108" s="1">
        <v>2</v>
      </c>
      <c r="G4108" s="1" t="s">
        <v>267</v>
      </c>
      <c r="H4108" s="4" t="str">
        <f>HYPERLINK("https://www.ncbi.nlm.nih.gov/geo/query/acc.cgi?acc=GSM992330","GSM992330")</f>
        <v>GSM992330</v>
      </c>
      <c r="I4108" t="s">
        <v>177</v>
      </c>
      <c r="J4108" t="s">
        <v>178</v>
      </c>
      <c r="K4108" t="s">
        <v>19</v>
      </c>
      <c r="L4108" t="s">
        <v>44</v>
      </c>
      <c r="M4108" t="s">
        <v>41</v>
      </c>
      <c r="N4108" t="s">
        <v>22</v>
      </c>
    </row>
    <row r="4109" spans="1:14">
      <c r="A4109" s="4" t="str">
        <f t="shared" si="389"/>
        <v>EXP00132</v>
      </c>
      <c r="B4109" s="4" t="str">
        <f t="shared" si="383"/>
        <v>25552933</v>
      </c>
      <c r="C4109" s="4" t="str">
        <f t="shared" si="384"/>
        <v>GSE40367</v>
      </c>
      <c r="D4109" s="1" t="s">
        <v>45</v>
      </c>
      <c r="E4109" t="s">
        <v>265</v>
      </c>
      <c r="F4109" s="1">
        <v>2</v>
      </c>
      <c r="G4109" s="1" t="s">
        <v>267</v>
      </c>
      <c r="H4109" s="4" t="str">
        <f>HYPERLINK("https://www.ncbi.nlm.nih.gov/geo/query/acc.cgi?acc=GSM992331","GSM992331")</f>
        <v>GSM992331</v>
      </c>
      <c r="I4109" t="s">
        <v>177</v>
      </c>
      <c r="J4109" t="s">
        <v>178</v>
      </c>
      <c r="K4109" t="s">
        <v>19</v>
      </c>
      <c r="L4109" t="s">
        <v>44</v>
      </c>
      <c r="M4109" t="s">
        <v>41</v>
      </c>
      <c r="N4109" t="s">
        <v>22</v>
      </c>
    </row>
    <row r="4110" spans="1:14">
      <c r="A4110" s="4" t="str">
        <f t="shared" si="389"/>
        <v>EXP00132</v>
      </c>
      <c r="B4110" s="4" t="str">
        <f t="shared" si="383"/>
        <v>25552933</v>
      </c>
      <c r="C4110" s="4" t="str">
        <f t="shared" si="384"/>
        <v>GSE40367</v>
      </c>
      <c r="D4110" s="1" t="s">
        <v>45</v>
      </c>
      <c r="E4110" t="s">
        <v>265</v>
      </c>
      <c r="F4110" s="1">
        <v>2</v>
      </c>
      <c r="G4110" s="1" t="s">
        <v>267</v>
      </c>
      <c r="H4110" s="4" t="str">
        <f>HYPERLINK("https://www.ncbi.nlm.nih.gov/geo/query/acc.cgi?acc=GSM992332","GSM992332")</f>
        <v>GSM992332</v>
      </c>
      <c r="I4110" t="s">
        <v>177</v>
      </c>
      <c r="J4110" t="s">
        <v>178</v>
      </c>
      <c r="K4110" t="s">
        <v>19</v>
      </c>
      <c r="L4110" t="s">
        <v>44</v>
      </c>
      <c r="M4110" t="s">
        <v>41</v>
      </c>
      <c r="N4110" t="s">
        <v>22</v>
      </c>
    </row>
    <row r="4111" spans="1:14">
      <c r="A4111" s="4" t="str">
        <f t="shared" si="389"/>
        <v>EXP00132</v>
      </c>
      <c r="B4111" s="4" t="str">
        <f t="shared" si="383"/>
        <v>25552933</v>
      </c>
      <c r="C4111" s="4" t="str">
        <f t="shared" si="384"/>
        <v>GSE40367</v>
      </c>
      <c r="D4111" s="1" t="s">
        <v>45</v>
      </c>
      <c r="E4111" t="s">
        <v>265</v>
      </c>
      <c r="F4111" s="1">
        <v>3</v>
      </c>
      <c r="G4111" s="1" t="s">
        <v>268</v>
      </c>
      <c r="H4111" s="4" t="str">
        <f>HYPERLINK("https://www.ncbi.nlm.nih.gov/geo/query/acc.cgi?acc=GSM992302","GSM992302")</f>
        <v>GSM992302</v>
      </c>
      <c r="I4111" t="s">
        <v>177</v>
      </c>
      <c r="J4111" t="s">
        <v>248</v>
      </c>
      <c r="K4111" t="s">
        <v>19</v>
      </c>
      <c r="L4111" t="s">
        <v>44</v>
      </c>
      <c r="M4111" t="s">
        <v>24</v>
      </c>
      <c r="N4111" t="s">
        <v>22</v>
      </c>
    </row>
    <row r="4112" spans="1:14">
      <c r="A4112" s="4" t="str">
        <f t="shared" si="389"/>
        <v>EXP00132</v>
      </c>
      <c r="B4112" s="4" t="str">
        <f t="shared" ref="B4112:B4175" si="390">HYPERLINK("https://www.ncbi.nlm.nih.gov/pubmed/25552933","25552933")</f>
        <v>25552933</v>
      </c>
      <c r="C4112" s="4" t="str">
        <f t="shared" ref="C4112:C4175" si="391">HYPERLINK("https://www.ncbi.nlm.nih.gov/geo/query/acc.cgi?acc=GSE40367","GSE40367")</f>
        <v>GSE40367</v>
      </c>
      <c r="D4112" s="1" t="s">
        <v>45</v>
      </c>
      <c r="E4112" t="s">
        <v>265</v>
      </c>
      <c r="F4112" s="1">
        <v>3</v>
      </c>
      <c r="G4112" s="1" t="s">
        <v>268</v>
      </c>
      <c r="H4112" s="4" t="str">
        <f>HYPERLINK("https://www.ncbi.nlm.nih.gov/geo/query/acc.cgi?acc=GSM992304","GSM992304")</f>
        <v>GSM992304</v>
      </c>
      <c r="I4112" t="s">
        <v>177</v>
      </c>
      <c r="J4112" t="s">
        <v>248</v>
      </c>
      <c r="K4112" t="s">
        <v>19</v>
      </c>
      <c r="L4112" t="s">
        <v>44</v>
      </c>
      <c r="M4112" t="s">
        <v>24</v>
      </c>
      <c r="N4112" t="s">
        <v>22</v>
      </c>
    </row>
    <row r="4113" spans="1:14">
      <c r="A4113" s="4" t="str">
        <f t="shared" si="389"/>
        <v>EXP00132</v>
      </c>
      <c r="B4113" s="4" t="str">
        <f t="shared" si="390"/>
        <v>25552933</v>
      </c>
      <c r="C4113" s="4" t="str">
        <f t="shared" si="391"/>
        <v>GSE40367</v>
      </c>
      <c r="D4113" s="1" t="s">
        <v>45</v>
      </c>
      <c r="E4113" t="s">
        <v>265</v>
      </c>
      <c r="F4113" s="1">
        <v>3</v>
      </c>
      <c r="G4113" s="1" t="s">
        <v>268</v>
      </c>
      <c r="H4113" s="4" t="str">
        <f>HYPERLINK("https://www.ncbi.nlm.nih.gov/geo/query/acc.cgi?acc=GSM992308","GSM992308")</f>
        <v>GSM992308</v>
      </c>
      <c r="I4113" t="s">
        <v>177</v>
      </c>
      <c r="J4113" t="s">
        <v>178</v>
      </c>
      <c r="K4113" t="s">
        <v>19</v>
      </c>
      <c r="L4113" t="s">
        <v>44</v>
      </c>
      <c r="M4113" t="s">
        <v>24</v>
      </c>
      <c r="N4113" t="s">
        <v>22</v>
      </c>
    </row>
    <row r="4114" spans="1:14">
      <c r="A4114" s="4" t="str">
        <f t="shared" si="389"/>
        <v>EXP00132</v>
      </c>
      <c r="B4114" s="4" t="str">
        <f t="shared" si="390"/>
        <v>25552933</v>
      </c>
      <c r="C4114" s="4" t="str">
        <f t="shared" si="391"/>
        <v>GSE40367</v>
      </c>
      <c r="D4114" s="1" t="s">
        <v>45</v>
      </c>
      <c r="E4114" t="s">
        <v>265</v>
      </c>
      <c r="F4114" s="1">
        <v>3</v>
      </c>
      <c r="G4114" s="1" t="s">
        <v>268</v>
      </c>
      <c r="H4114" s="4" t="str">
        <f>HYPERLINK("https://www.ncbi.nlm.nih.gov/geo/query/acc.cgi?acc=GSM992310","GSM992310")</f>
        <v>GSM992310</v>
      </c>
      <c r="I4114" t="s">
        <v>177</v>
      </c>
      <c r="J4114" t="s">
        <v>248</v>
      </c>
      <c r="K4114" t="s">
        <v>19</v>
      </c>
      <c r="L4114" t="s">
        <v>44</v>
      </c>
      <c r="M4114" t="s">
        <v>24</v>
      </c>
      <c r="N4114" t="s">
        <v>22</v>
      </c>
    </row>
    <row r="4115" spans="1:14">
      <c r="A4115" s="4" t="str">
        <f t="shared" ref="A4115:A4143" si="392">HYPERLINK("http://hcmdb.i-sanger.com/experiment/details/experiment_id/EXP00133","EXP00133")</f>
        <v>EXP00133</v>
      </c>
      <c r="B4115" s="4" t="str">
        <f t="shared" si="390"/>
        <v>25552933</v>
      </c>
      <c r="C4115" s="4" t="str">
        <f t="shared" si="391"/>
        <v>GSE40367</v>
      </c>
      <c r="D4115" s="1" t="s">
        <v>45</v>
      </c>
      <c r="E4115" t="s">
        <v>269</v>
      </c>
      <c r="F4115" s="1">
        <v>1</v>
      </c>
      <c r="G4115" s="1" t="s">
        <v>26</v>
      </c>
      <c r="H4115" s="4" t="str">
        <f>HYPERLINK("https://www.ncbi.nlm.nih.gov/geo/query/acc.cgi?acc=GSM992302","GSM992302")</f>
        <v>GSM992302</v>
      </c>
      <c r="I4115" t="s">
        <v>177</v>
      </c>
      <c r="J4115" t="s">
        <v>248</v>
      </c>
      <c r="K4115" t="s">
        <v>19</v>
      </c>
      <c r="L4115" t="s">
        <v>44</v>
      </c>
      <c r="M4115" t="s">
        <v>24</v>
      </c>
      <c r="N4115" t="s">
        <v>22</v>
      </c>
    </row>
    <row r="4116" spans="1:14">
      <c r="A4116" s="4" t="str">
        <f t="shared" si="392"/>
        <v>EXP00133</v>
      </c>
      <c r="B4116" s="4" t="str">
        <f t="shared" si="390"/>
        <v>25552933</v>
      </c>
      <c r="C4116" s="4" t="str">
        <f t="shared" si="391"/>
        <v>GSE40367</v>
      </c>
      <c r="D4116" s="1" t="s">
        <v>45</v>
      </c>
      <c r="E4116" t="s">
        <v>269</v>
      </c>
      <c r="F4116" s="1">
        <v>1</v>
      </c>
      <c r="G4116" s="1" t="s">
        <v>26</v>
      </c>
      <c r="H4116" s="4" t="str">
        <f>HYPERLINK("https://www.ncbi.nlm.nih.gov/geo/query/acc.cgi?acc=GSM992304","GSM992304")</f>
        <v>GSM992304</v>
      </c>
      <c r="I4116" t="s">
        <v>177</v>
      </c>
      <c r="J4116" t="s">
        <v>248</v>
      </c>
      <c r="K4116" t="s">
        <v>19</v>
      </c>
      <c r="L4116" t="s">
        <v>44</v>
      </c>
      <c r="M4116" t="s">
        <v>24</v>
      </c>
      <c r="N4116" t="s">
        <v>22</v>
      </c>
    </row>
    <row r="4117" spans="1:14">
      <c r="A4117" s="4" t="str">
        <f t="shared" si="392"/>
        <v>EXP00133</v>
      </c>
      <c r="B4117" s="4" t="str">
        <f t="shared" si="390"/>
        <v>25552933</v>
      </c>
      <c r="C4117" s="4" t="str">
        <f t="shared" si="391"/>
        <v>GSE40367</v>
      </c>
      <c r="D4117" s="1" t="s">
        <v>45</v>
      </c>
      <c r="E4117" t="s">
        <v>269</v>
      </c>
      <c r="F4117" s="1">
        <v>1</v>
      </c>
      <c r="G4117" s="1" t="s">
        <v>26</v>
      </c>
      <c r="H4117" s="4" t="str">
        <f>HYPERLINK("https://www.ncbi.nlm.nih.gov/geo/query/acc.cgi?acc=GSM992308","GSM992308")</f>
        <v>GSM992308</v>
      </c>
      <c r="I4117" t="s">
        <v>177</v>
      </c>
      <c r="J4117" t="s">
        <v>178</v>
      </c>
      <c r="K4117" t="s">
        <v>19</v>
      </c>
      <c r="L4117" t="s">
        <v>44</v>
      </c>
      <c r="M4117" t="s">
        <v>24</v>
      </c>
      <c r="N4117" t="s">
        <v>22</v>
      </c>
    </row>
    <row r="4118" spans="1:14">
      <c r="A4118" s="4" t="str">
        <f t="shared" si="392"/>
        <v>EXP00133</v>
      </c>
      <c r="B4118" s="4" t="str">
        <f t="shared" si="390"/>
        <v>25552933</v>
      </c>
      <c r="C4118" s="4" t="str">
        <f t="shared" si="391"/>
        <v>GSE40367</v>
      </c>
      <c r="D4118" s="1" t="s">
        <v>45</v>
      </c>
      <c r="E4118" t="s">
        <v>269</v>
      </c>
      <c r="F4118" s="1">
        <v>1</v>
      </c>
      <c r="G4118" s="1" t="s">
        <v>26</v>
      </c>
      <c r="H4118" s="4" t="str">
        <f>HYPERLINK("https://www.ncbi.nlm.nih.gov/geo/query/acc.cgi?acc=GSM992310","GSM992310")</f>
        <v>GSM992310</v>
      </c>
      <c r="I4118" t="s">
        <v>177</v>
      </c>
      <c r="J4118" t="s">
        <v>248</v>
      </c>
      <c r="K4118" t="s">
        <v>19</v>
      </c>
      <c r="L4118" t="s">
        <v>44</v>
      </c>
      <c r="M4118" t="s">
        <v>24</v>
      </c>
      <c r="N4118" t="s">
        <v>22</v>
      </c>
    </row>
    <row r="4119" spans="1:14">
      <c r="A4119" s="4" t="str">
        <f t="shared" si="392"/>
        <v>EXP00133</v>
      </c>
      <c r="B4119" s="4" t="str">
        <f t="shared" si="390"/>
        <v>25552933</v>
      </c>
      <c r="C4119" s="4" t="str">
        <f t="shared" si="391"/>
        <v>GSE40367</v>
      </c>
      <c r="D4119" s="1" t="s">
        <v>45</v>
      </c>
      <c r="E4119" t="s">
        <v>269</v>
      </c>
      <c r="F4119" s="1">
        <v>1</v>
      </c>
      <c r="G4119" s="1" t="s">
        <v>26</v>
      </c>
      <c r="H4119" s="4" t="str">
        <f>HYPERLINK("https://www.ncbi.nlm.nih.gov/geo/query/acc.cgi?acc=GSM992312","GSM992312")</f>
        <v>GSM992312</v>
      </c>
      <c r="I4119" t="s">
        <v>177</v>
      </c>
      <c r="J4119" t="s">
        <v>178</v>
      </c>
      <c r="K4119" t="s">
        <v>19</v>
      </c>
      <c r="L4119" t="s">
        <v>44</v>
      </c>
      <c r="M4119" t="s">
        <v>34</v>
      </c>
      <c r="N4119" t="s">
        <v>22</v>
      </c>
    </row>
    <row r="4120" spans="1:14">
      <c r="A4120" s="4" t="str">
        <f t="shared" si="392"/>
        <v>EXP00133</v>
      </c>
      <c r="B4120" s="4" t="str">
        <f t="shared" si="390"/>
        <v>25552933</v>
      </c>
      <c r="C4120" s="4" t="str">
        <f t="shared" si="391"/>
        <v>GSE40367</v>
      </c>
      <c r="D4120" s="1" t="s">
        <v>45</v>
      </c>
      <c r="E4120" t="s">
        <v>269</v>
      </c>
      <c r="F4120" s="1">
        <v>1</v>
      </c>
      <c r="G4120" s="1" t="s">
        <v>26</v>
      </c>
      <c r="H4120" s="4" t="str">
        <f>HYPERLINK("https://www.ncbi.nlm.nih.gov/geo/query/acc.cgi?acc=GSM992314","GSM992314")</f>
        <v>GSM992314</v>
      </c>
      <c r="I4120" t="s">
        <v>177</v>
      </c>
      <c r="J4120" t="s">
        <v>178</v>
      </c>
      <c r="K4120" t="s">
        <v>19</v>
      </c>
      <c r="L4120" t="s">
        <v>44</v>
      </c>
      <c r="M4120" t="s">
        <v>34</v>
      </c>
      <c r="N4120" t="s">
        <v>22</v>
      </c>
    </row>
    <row r="4121" spans="1:14">
      <c r="A4121" s="4" t="str">
        <f t="shared" si="392"/>
        <v>EXP00133</v>
      </c>
      <c r="B4121" s="4" t="str">
        <f t="shared" si="390"/>
        <v>25552933</v>
      </c>
      <c r="C4121" s="4" t="str">
        <f t="shared" si="391"/>
        <v>GSE40367</v>
      </c>
      <c r="D4121" s="1" t="s">
        <v>45</v>
      </c>
      <c r="E4121" t="s">
        <v>269</v>
      </c>
      <c r="F4121" s="1">
        <v>1</v>
      </c>
      <c r="G4121" s="1" t="s">
        <v>26</v>
      </c>
      <c r="H4121" s="4" t="str">
        <f>HYPERLINK("https://www.ncbi.nlm.nih.gov/geo/query/acc.cgi?acc=GSM992316","GSM992316")</f>
        <v>GSM992316</v>
      </c>
      <c r="I4121" t="s">
        <v>177</v>
      </c>
      <c r="J4121" t="s">
        <v>178</v>
      </c>
      <c r="K4121" t="s">
        <v>19</v>
      </c>
      <c r="L4121" t="s">
        <v>44</v>
      </c>
      <c r="M4121" t="s">
        <v>34</v>
      </c>
      <c r="N4121" t="s">
        <v>22</v>
      </c>
    </row>
    <row r="4122" spans="1:14">
      <c r="A4122" s="4" t="str">
        <f t="shared" si="392"/>
        <v>EXP00133</v>
      </c>
      <c r="B4122" s="4" t="str">
        <f t="shared" si="390"/>
        <v>25552933</v>
      </c>
      <c r="C4122" s="4" t="str">
        <f t="shared" si="391"/>
        <v>GSE40367</v>
      </c>
      <c r="D4122" s="1" t="s">
        <v>45</v>
      </c>
      <c r="E4122" t="s">
        <v>269</v>
      </c>
      <c r="F4122" s="1">
        <v>1</v>
      </c>
      <c r="G4122" s="1" t="s">
        <v>26</v>
      </c>
      <c r="H4122" s="4" t="str">
        <f>HYPERLINK("https://www.ncbi.nlm.nih.gov/geo/query/acc.cgi?acc=GSM992319","GSM992319")</f>
        <v>GSM992319</v>
      </c>
      <c r="I4122" t="s">
        <v>177</v>
      </c>
      <c r="J4122" t="s">
        <v>178</v>
      </c>
      <c r="K4122" t="s">
        <v>19</v>
      </c>
      <c r="L4122" t="s">
        <v>44</v>
      </c>
      <c r="M4122" t="s">
        <v>41</v>
      </c>
      <c r="N4122" t="s">
        <v>22</v>
      </c>
    </row>
    <row r="4123" spans="1:14">
      <c r="A4123" s="4" t="str">
        <f t="shared" si="392"/>
        <v>EXP00133</v>
      </c>
      <c r="B4123" s="4" t="str">
        <f t="shared" si="390"/>
        <v>25552933</v>
      </c>
      <c r="C4123" s="4" t="str">
        <f t="shared" si="391"/>
        <v>GSE40367</v>
      </c>
      <c r="D4123" s="1" t="s">
        <v>45</v>
      </c>
      <c r="E4123" t="s">
        <v>269</v>
      </c>
      <c r="F4123" s="1">
        <v>1</v>
      </c>
      <c r="G4123" s="1" t="s">
        <v>26</v>
      </c>
      <c r="H4123" s="4" t="str">
        <f>HYPERLINK("https://www.ncbi.nlm.nih.gov/geo/query/acc.cgi?acc=GSM992321","GSM992321")</f>
        <v>GSM992321</v>
      </c>
      <c r="I4123" t="s">
        <v>177</v>
      </c>
      <c r="J4123" t="s">
        <v>178</v>
      </c>
      <c r="K4123" t="s">
        <v>19</v>
      </c>
      <c r="L4123" t="s">
        <v>44</v>
      </c>
      <c r="M4123" t="s">
        <v>41</v>
      </c>
      <c r="N4123" t="s">
        <v>22</v>
      </c>
    </row>
    <row r="4124" spans="1:14">
      <c r="A4124" s="4" t="str">
        <f t="shared" si="392"/>
        <v>EXP00133</v>
      </c>
      <c r="B4124" s="4" t="str">
        <f t="shared" si="390"/>
        <v>25552933</v>
      </c>
      <c r="C4124" s="4" t="str">
        <f t="shared" si="391"/>
        <v>GSE40367</v>
      </c>
      <c r="D4124" s="1" t="s">
        <v>45</v>
      </c>
      <c r="E4124" t="s">
        <v>269</v>
      </c>
      <c r="F4124" s="1">
        <v>1</v>
      </c>
      <c r="G4124" s="1" t="s">
        <v>26</v>
      </c>
      <c r="H4124" s="4" t="str">
        <f>HYPERLINK("https://www.ncbi.nlm.nih.gov/geo/query/acc.cgi?acc=GSM992323","GSM992323")</f>
        <v>GSM992323</v>
      </c>
      <c r="I4124" t="s">
        <v>177</v>
      </c>
      <c r="J4124" t="s">
        <v>178</v>
      </c>
      <c r="K4124" t="s">
        <v>19</v>
      </c>
      <c r="L4124" t="s">
        <v>44</v>
      </c>
      <c r="M4124" t="s">
        <v>41</v>
      </c>
      <c r="N4124" t="s">
        <v>22</v>
      </c>
    </row>
    <row r="4125" spans="1:14">
      <c r="A4125" s="4" t="str">
        <f t="shared" si="392"/>
        <v>EXP00133</v>
      </c>
      <c r="B4125" s="4" t="str">
        <f t="shared" si="390"/>
        <v>25552933</v>
      </c>
      <c r="C4125" s="4" t="str">
        <f t="shared" si="391"/>
        <v>GSE40367</v>
      </c>
      <c r="D4125" s="1" t="s">
        <v>45</v>
      </c>
      <c r="E4125" t="s">
        <v>269</v>
      </c>
      <c r="F4125" s="1">
        <v>1</v>
      </c>
      <c r="G4125" s="1" t="s">
        <v>26</v>
      </c>
      <c r="H4125" s="4" t="str">
        <f>HYPERLINK("https://www.ncbi.nlm.nih.gov/geo/query/acc.cgi?acc=GSM992324","GSM992324")</f>
        <v>GSM992324</v>
      </c>
      <c r="I4125" t="s">
        <v>177</v>
      </c>
      <c r="J4125" t="s">
        <v>178</v>
      </c>
      <c r="K4125" t="s">
        <v>19</v>
      </c>
      <c r="L4125" t="s">
        <v>44</v>
      </c>
      <c r="M4125" t="s">
        <v>41</v>
      </c>
      <c r="N4125" t="s">
        <v>22</v>
      </c>
    </row>
    <row r="4126" spans="1:14">
      <c r="A4126" s="4" t="str">
        <f t="shared" si="392"/>
        <v>EXP00133</v>
      </c>
      <c r="B4126" s="4" t="str">
        <f t="shared" si="390"/>
        <v>25552933</v>
      </c>
      <c r="C4126" s="4" t="str">
        <f t="shared" si="391"/>
        <v>GSE40367</v>
      </c>
      <c r="D4126" s="1" t="s">
        <v>45</v>
      </c>
      <c r="E4126" t="s">
        <v>269</v>
      </c>
      <c r="F4126" s="1">
        <v>1</v>
      </c>
      <c r="G4126" s="1" t="s">
        <v>26</v>
      </c>
      <c r="H4126" s="4" t="str">
        <f>HYPERLINK("https://www.ncbi.nlm.nih.gov/geo/query/acc.cgi?acc=GSM992325","GSM992325")</f>
        <v>GSM992325</v>
      </c>
      <c r="I4126" t="s">
        <v>177</v>
      </c>
      <c r="J4126" t="s">
        <v>178</v>
      </c>
      <c r="K4126" t="s">
        <v>19</v>
      </c>
      <c r="L4126" t="s">
        <v>44</v>
      </c>
      <c r="M4126" t="s">
        <v>41</v>
      </c>
      <c r="N4126" t="s">
        <v>22</v>
      </c>
    </row>
    <row r="4127" spans="1:14">
      <c r="A4127" s="4" t="str">
        <f t="shared" si="392"/>
        <v>EXP00133</v>
      </c>
      <c r="B4127" s="4" t="str">
        <f t="shared" si="390"/>
        <v>25552933</v>
      </c>
      <c r="C4127" s="4" t="str">
        <f t="shared" si="391"/>
        <v>GSE40367</v>
      </c>
      <c r="D4127" s="1" t="s">
        <v>45</v>
      </c>
      <c r="E4127" t="s">
        <v>269</v>
      </c>
      <c r="F4127" s="1">
        <v>1</v>
      </c>
      <c r="G4127" s="1" t="s">
        <v>26</v>
      </c>
      <c r="H4127" s="4" t="str">
        <f>HYPERLINK("https://www.ncbi.nlm.nih.gov/geo/query/acc.cgi?acc=GSM992326","GSM992326")</f>
        <v>GSM992326</v>
      </c>
      <c r="I4127" t="s">
        <v>177</v>
      </c>
      <c r="J4127" t="s">
        <v>178</v>
      </c>
      <c r="K4127" t="s">
        <v>19</v>
      </c>
      <c r="L4127" t="s">
        <v>44</v>
      </c>
      <c r="M4127" t="s">
        <v>41</v>
      </c>
      <c r="N4127" t="s">
        <v>22</v>
      </c>
    </row>
    <row r="4128" spans="1:14">
      <c r="A4128" s="4" t="str">
        <f t="shared" si="392"/>
        <v>EXP00133</v>
      </c>
      <c r="B4128" s="4" t="str">
        <f t="shared" si="390"/>
        <v>25552933</v>
      </c>
      <c r="C4128" s="4" t="str">
        <f t="shared" si="391"/>
        <v>GSE40367</v>
      </c>
      <c r="D4128" s="1" t="s">
        <v>45</v>
      </c>
      <c r="E4128" t="s">
        <v>269</v>
      </c>
      <c r="F4128" s="1">
        <v>1</v>
      </c>
      <c r="G4128" s="1" t="s">
        <v>26</v>
      </c>
      <c r="H4128" s="4" t="str">
        <f>HYPERLINK("https://www.ncbi.nlm.nih.gov/geo/query/acc.cgi?acc=GSM992327","GSM992327")</f>
        <v>GSM992327</v>
      </c>
      <c r="I4128" t="s">
        <v>177</v>
      </c>
      <c r="J4128" t="s">
        <v>178</v>
      </c>
      <c r="K4128" t="s">
        <v>19</v>
      </c>
      <c r="L4128" t="s">
        <v>44</v>
      </c>
      <c r="M4128" t="s">
        <v>41</v>
      </c>
      <c r="N4128" t="s">
        <v>22</v>
      </c>
    </row>
    <row r="4129" spans="1:14">
      <c r="A4129" s="4" t="str">
        <f t="shared" si="392"/>
        <v>EXP00133</v>
      </c>
      <c r="B4129" s="4" t="str">
        <f t="shared" si="390"/>
        <v>25552933</v>
      </c>
      <c r="C4129" s="4" t="str">
        <f t="shared" si="391"/>
        <v>GSE40367</v>
      </c>
      <c r="D4129" s="1" t="s">
        <v>45</v>
      </c>
      <c r="E4129" t="s">
        <v>269</v>
      </c>
      <c r="F4129" s="1">
        <v>1</v>
      </c>
      <c r="G4129" s="1" t="s">
        <v>26</v>
      </c>
      <c r="H4129" s="4" t="str">
        <f>HYPERLINK("https://www.ncbi.nlm.nih.gov/geo/query/acc.cgi?acc=GSM992328","GSM992328")</f>
        <v>GSM992328</v>
      </c>
      <c r="I4129" t="s">
        <v>177</v>
      </c>
      <c r="J4129" t="s">
        <v>178</v>
      </c>
      <c r="K4129" t="s">
        <v>19</v>
      </c>
      <c r="L4129" t="s">
        <v>44</v>
      </c>
      <c r="M4129" t="s">
        <v>41</v>
      </c>
      <c r="N4129" t="s">
        <v>22</v>
      </c>
    </row>
    <row r="4130" spans="1:14">
      <c r="A4130" s="4" t="str">
        <f t="shared" si="392"/>
        <v>EXP00133</v>
      </c>
      <c r="B4130" s="4" t="str">
        <f t="shared" si="390"/>
        <v>25552933</v>
      </c>
      <c r="C4130" s="4" t="str">
        <f t="shared" si="391"/>
        <v>GSE40367</v>
      </c>
      <c r="D4130" s="1" t="s">
        <v>45</v>
      </c>
      <c r="E4130" t="s">
        <v>269</v>
      </c>
      <c r="F4130" s="1">
        <v>1</v>
      </c>
      <c r="G4130" s="1" t="s">
        <v>26</v>
      </c>
      <c r="H4130" s="4" t="str">
        <f>HYPERLINK("https://www.ncbi.nlm.nih.gov/geo/query/acc.cgi?acc=GSM992329","GSM992329")</f>
        <v>GSM992329</v>
      </c>
      <c r="I4130" t="s">
        <v>177</v>
      </c>
      <c r="J4130" t="s">
        <v>178</v>
      </c>
      <c r="K4130" t="s">
        <v>19</v>
      </c>
      <c r="L4130" t="s">
        <v>44</v>
      </c>
      <c r="M4130" t="s">
        <v>41</v>
      </c>
      <c r="N4130" t="s">
        <v>22</v>
      </c>
    </row>
    <row r="4131" spans="1:14">
      <c r="A4131" s="4" t="str">
        <f t="shared" si="392"/>
        <v>EXP00133</v>
      </c>
      <c r="B4131" s="4" t="str">
        <f t="shared" si="390"/>
        <v>25552933</v>
      </c>
      <c r="C4131" s="4" t="str">
        <f t="shared" si="391"/>
        <v>GSE40367</v>
      </c>
      <c r="D4131" s="1" t="s">
        <v>45</v>
      </c>
      <c r="E4131" t="s">
        <v>269</v>
      </c>
      <c r="F4131" s="1">
        <v>1</v>
      </c>
      <c r="G4131" s="1" t="s">
        <v>26</v>
      </c>
      <c r="H4131" s="4" t="str">
        <f>HYPERLINK("https://www.ncbi.nlm.nih.gov/geo/query/acc.cgi?acc=GSM992330","GSM992330")</f>
        <v>GSM992330</v>
      </c>
      <c r="I4131" t="s">
        <v>177</v>
      </c>
      <c r="J4131" t="s">
        <v>178</v>
      </c>
      <c r="K4131" t="s">
        <v>19</v>
      </c>
      <c r="L4131" t="s">
        <v>44</v>
      </c>
      <c r="M4131" t="s">
        <v>41</v>
      </c>
      <c r="N4131" t="s">
        <v>22</v>
      </c>
    </row>
    <row r="4132" spans="1:14">
      <c r="A4132" s="4" t="str">
        <f t="shared" si="392"/>
        <v>EXP00133</v>
      </c>
      <c r="B4132" s="4" t="str">
        <f t="shared" si="390"/>
        <v>25552933</v>
      </c>
      <c r="C4132" s="4" t="str">
        <f t="shared" si="391"/>
        <v>GSE40367</v>
      </c>
      <c r="D4132" s="1" t="s">
        <v>45</v>
      </c>
      <c r="E4132" t="s">
        <v>269</v>
      </c>
      <c r="F4132" s="1">
        <v>1</v>
      </c>
      <c r="G4132" s="1" t="s">
        <v>26</v>
      </c>
      <c r="H4132" s="4" t="str">
        <f>HYPERLINK("https://www.ncbi.nlm.nih.gov/geo/query/acc.cgi?acc=GSM992331","GSM992331")</f>
        <v>GSM992331</v>
      </c>
      <c r="I4132" t="s">
        <v>177</v>
      </c>
      <c r="J4132" t="s">
        <v>178</v>
      </c>
      <c r="K4132" t="s">
        <v>19</v>
      </c>
      <c r="L4132" t="s">
        <v>44</v>
      </c>
      <c r="M4132" t="s">
        <v>41</v>
      </c>
      <c r="N4132" t="s">
        <v>22</v>
      </c>
    </row>
    <row r="4133" spans="1:14">
      <c r="A4133" s="4" t="str">
        <f t="shared" si="392"/>
        <v>EXP00133</v>
      </c>
      <c r="B4133" s="4" t="str">
        <f t="shared" si="390"/>
        <v>25552933</v>
      </c>
      <c r="C4133" s="4" t="str">
        <f t="shared" si="391"/>
        <v>GSE40367</v>
      </c>
      <c r="D4133" s="1" t="s">
        <v>45</v>
      </c>
      <c r="E4133" t="s">
        <v>269</v>
      </c>
      <c r="F4133" s="1">
        <v>1</v>
      </c>
      <c r="G4133" s="1" t="s">
        <v>26</v>
      </c>
      <c r="H4133" s="4" t="str">
        <f>HYPERLINK("https://www.ncbi.nlm.nih.gov/geo/query/acc.cgi?acc=GSM992332","GSM992332")</f>
        <v>GSM992332</v>
      </c>
      <c r="I4133" t="s">
        <v>177</v>
      </c>
      <c r="J4133" t="s">
        <v>178</v>
      </c>
      <c r="K4133" t="s">
        <v>19</v>
      </c>
      <c r="L4133" t="s">
        <v>44</v>
      </c>
      <c r="M4133" t="s">
        <v>41</v>
      </c>
      <c r="N4133" t="s">
        <v>22</v>
      </c>
    </row>
    <row r="4134" spans="1:14">
      <c r="A4134" s="4" t="str">
        <f t="shared" si="392"/>
        <v>EXP00133</v>
      </c>
      <c r="B4134" s="4" t="str">
        <f t="shared" si="390"/>
        <v>25552933</v>
      </c>
      <c r="C4134" s="4" t="str">
        <f t="shared" si="391"/>
        <v>GSE40367</v>
      </c>
      <c r="D4134" s="1" t="s">
        <v>45</v>
      </c>
      <c r="E4134" t="s">
        <v>269</v>
      </c>
      <c r="F4134" s="1">
        <v>2</v>
      </c>
      <c r="G4134" s="1" t="s">
        <v>28</v>
      </c>
      <c r="H4134" s="4" t="str">
        <f>HYPERLINK("https://www.ncbi.nlm.nih.gov/geo/query/acc.cgi?acc=GSM992303","GSM992303")</f>
        <v>GSM992303</v>
      </c>
      <c r="I4134" t="s">
        <v>177</v>
      </c>
      <c r="J4134" t="s">
        <v>248</v>
      </c>
      <c r="K4134" t="s">
        <v>19</v>
      </c>
      <c r="L4134" t="s">
        <v>44</v>
      </c>
      <c r="M4134" t="s">
        <v>24</v>
      </c>
      <c r="N4134" t="s">
        <v>29</v>
      </c>
    </row>
    <row r="4135" spans="1:14">
      <c r="A4135" s="4" t="str">
        <f t="shared" si="392"/>
        <v>EXP00133</v>
      </c>
      <c r="B4135" s="4" t="str">
        <f t="shared" si="390"/>
        <v>25552933</v>
      </c>
      <c r="C4135" s="4" t="str">
        <f t="shared" si="391"/>
        <v>GSE40367</v>
      </c>
      <c r="D4135" s="1" t="s">
        <v>45</v>
      </c>
      <c r="E4135" t="s">
        <v>269</v>
      </c>
      <c r="F4135" s="1">
        <v>2</v>
      </c>
      <c r="G4135" s="1" t="s">
        <v>28</v>
      </c>
      <c r="H4135" s="4" t="str">
        <f>HYPERLINK("https://www.ncbi.nlm.nih.gov/geo/query/acc.cgi?acc=GSM992305","GSM992305")</f>
        <v>GSM992305</v>
      </c>
      <c r="I4135" t="s">
        <v>177</v>
      </c>
      <c r="J4135" t="s">
        <v>248</v>
      </c>
      <c r="K4135" t="s">
        <v>19</v>
      </c>
      <c r="L4135" t="s">
        <v>44</v>
      </c>
      <c r="M4135" t="s">
        <v>24</v>
      </c>
      <c r="N4135" t="s">
        <v>29</v>
      </c>
    </row>
    <row r="4136" spans="1:14">
      <c r="A4136" s="4" t="str">
        <f t="shared" si="392"/>
        <v>EXP00133</v>
      </c>
      <c r="B4136" s="4" t="str">
        <f t="shared" si="390"/>
        <v>25552933</v>
      </c>
      <c r="C4136" s="4" t="str">
        <f t="shared" si="391"/>
        <v>GSE40367</v>
      </c>
      <c r="D4136" s="1" t="s">
        <v>45</v>
      </c>
      <c r="E4136" t="s">
        <v>269</v>
      </c>
      <c r="F4136" s="1">
        <v>2</v>
      </c>
      <c r="G4136" s="1" t="s">
        <v>28</v>
      </c>
      <c r="H4136" s="4" t="str">
        <f>HYPERLINK("https://www.ncbi.nlm.nih.gov/geo/query/acc.cgi?acc=GSM992309","GSM992309")</f>
        <v>GSM992309</v>
      </c>
      <c r="I4136" t="s">
        <v>177</v>
      </c>
      <c r="J4136" t="s">
        <v>178</v>
      </c>
      <c r="K4136" t="s">
        <v>19</v>
      </c>
      <c r="L4136" t="s">
        <v>44</v>
      </c>
      <c r="M4136" t="s">
        <v>24</v>
      </c>
      <c r="N4136" t="s">
        <v>29</v>
      </c>
    </row>
    <row r="4137" spans="1:14">
      <c r="A4137" s="4" t="str">
        <f t="shared" si="392"/>
        <v>EXP00133</v>
      </c>
      <c r="B4137" s="4" t="str">
        <f t="shared" si="390"/>
        <v>25552933</v>
      </c>
      <c r="C4137" s="4" t="str">
        <f t="shared" si="391"/>
        <v>GSE40367</v>
      </c>
      <c r="D4137" s="1" t="s">
        <v>45</v>
      </c>
      <c r="E4137" t="s">
        <v>269</v>
      </c>
      <c r="F4137" s="1">
        <v>2</v>
      </c>
      <c r="G4137" s="1" t="s">
        <v>28</v>
      </c>
      <c r="H4137" s="4" t="str">
        <f>HYPERLINK("https://www.ncbi.nlm.nih.gov/geo/query/acc.cgi?acc=GSM992311","GSM992311")</f>
        <v>GSM992311</v>
      </c>
      <c r="I4137" t="s">
        <v>177</v>
      </c>
      <c r="J4137" t="s">
        <v>248</v>
      </c>
      <c r="K4137" t="s">
        <v>19</v>
      </c>
      <c r="L4137" t="s">
        <v>44</v>
      </c>
      <c r="M4137" t="s">
        <v>24</v>
      </c>
      <c r="N4137" t="s">
        <v>29</v>
      </c>
    </row>
    <row r="4138" spans="1:14">
      <c r="A4138" s="4" t="str">
        <f t="shared" si="392"/>
        <v>EXP00133</v>
      </c>
      <c r="B4138" s="4" t="str">
        <f t="shared" si="390"/>
        <v>25552933</v>
      </c>
      <c r="C4138" s="4" t="str">
        <f t="shared" si="391"/>
        <v>GSE40367</v>
      </c>
      <c r="D4138" s="1" t="s">
        <v>45</v>
      </c>
      <c r="E4138" t="s">
        <v>269</v>
      </c>
      <c r="F4138" s="1">
        <v>2</v>
      </c>
      <c r="G4138" s="1" t="s">
        <v>28</v>
      </c>
      <c r="H4138" s="4" t="str">
        <f>HYPERLINK("https://www.ncbi.nlm.nih.gov/geo/query/acc.cgi?acc=GSM992313","GSM992313")</f>
        <v>GSM992313</v>
      </c>
      <c r="I4138" t="s">
        <v>177</v>
      </c>
      <c r="J4138" t="s">
        <v>178</v>
      </c>
      <c r="K4138" t="s">
        <v>19</v>
      </c>
      <c r="L4138" t="s">
        <v>44</v>
      </c>
      <c r="M4138" t="s">
        <v>34</v>
      </c>
      <c r="N4138" t="s">
        <v>29</v>
      </c>
    </row>
    <row r="4139" spans="1:14">
      <c r="A4139" s="4" t="str">
        <f t="shared" si="392"/>
        <v>EXP00133</v>
      </c>
      <c r="B4139" s="4" t="str">
        <f t="shared" si="390"/>
        <v>25552933</v>
      </c>
      <c r="C4139" s="4" t="str">
        <f t="shared" si="391"/>
        <v>GSE40367</v>
      </c>
      <c r="D4139" s="1" t="s">
        <v>45</v>
      </c>
      <c r="E4139" t="s">
        <v>269</v>
      </c>
      <c r="F4139" s="1">
        <v>2</v>
      </c>
      <c r="G4139" s="1" t="s">
        <v>28</v>
      </c>
      <c r="H4139" s="4" t="str">
        <f>HYPERLINK("https://www.ncbi.nlm.nih.gov/geo/query/acc.cgi?acc=GSM992315","GSM992315")</f>
        <v>GSM992315</v>
      </c>
      <c r="I4139" t="s">
        <v>177</v>
      </c>
      <c r="J4139" t="s">
        <v>178</v>
      </c>
      <c r="K4139" t="s">
        <v>19</v>
      </c>
      <c r="L4139" t="s">
        <v>44</v>
      </c>
      <c r="M4139" t="s">
        <v>34</v>
      </c>
      <c r="N4139" t="s">
        <v>29</v>
      </c>
    </row>
    <row r="4140" spans="1:14">
      <c r="A4140" s="4" t="str">
        <f t="shared" si="392"/>
        <v>EXP00133</v>
      </c>
      <c r="B4140" s="4" t="str">
        <f t="shared" si="390"/>
        <v>25552933</v>
      </c>
      <c r="C4140" s="4" t="str">
        <f t="shared" si="391"/>
        <v>GSE40367</v>
      </c>
      <c r="D4140" s="1" t="s">
        <v>45</v>
      </c>
      <c r="E4140" t="s">
        <v>269</v>
      </c>
      <c r="F4140" s="1">
        <v>2</v>
      </c>
      <c r="G4140" s="1" t="s">
        <v>28</v>
      </c>
      <c r="H4140" s="4" t="str">
        <f>HYPERLINK("https://www.ncbi.nlm.nih.gov/geo/query/acc.cgi?acc=GSM992317","GSM992317")</f>
        <v>GSM992317</v>
      </c>
      <c r="I4140" t="s">
        <v>177</v>
      </c>
      <c r="J4140" t="s">
        <v>178</v>
      </c>
      <c r="K4140" t="s">
        <v>19</v>
      </c>
      <c r="L4140" t="s">
        <v>44</v>
      </c>
      <c r="M4140" t="s">
        <v>34</v>
      </c>
      <c r="N4140" t="s">
        <v>29</v>
      </c>
    </row>
    <row r="4141" spans="1:14">
      <c r="A4141" s="4" t="str">
        <f t="shared" si="392"/>
        <v>EXP00133</v>
      </c>
      <c r="B4141" s="4" t="str">
        <f t="shared" si="390"/>
        <v>25552933</v>
      </c>
      <c r="C4141" s="4" t="str">
        <f t="shared" si="391"/>
        <v>GSE40367</v>
      </c>
      <c r="D4141" s="1" t="s">
        <v>45</v>
      </c>
      <c r="E4141" t="s">
        <v>269</v>
      </c>
      <c r="F4141" s="1">
        <v>2</v>
      </c>
      <c r="G4141" s="1" t="s">
        <v>28</v>
      </c>
      <c r="H4141" s="4" t="str">
        <f>HYPERLINK("https://www.ncbi.nlm.nih.gov/geo/query/acc.cgi?acc=GSM992318","GSM992318")</f>
        <v>GSM992318</v>
      </c>
      <c r="I4141" t="s">
        <v>177</v>
      </c>
      <c r="J4141" t="s">
        <v>248</v>
      </c>
      <c r="K4141" t="s">
        <v>19</v>
      </c>
      <c r="L4141" t="s">
        <v>44</v>
      </c>
      <c r="M4141" t="s">
        <v>41</v>
      </c>
      <c r="N4141" t="s">
        <v>29</v>
      </c>
    </row>
    <row r="4142" spans="1:14">
      <c r="A4142" s="4" t="str">
        <f t="shared" si="392"/>
        <v>EXP00133</v>
      </c>
      <c r="B4142" s="4" t="str">
        <f t="shared" si="390"/>
        <v>25552933</v>
      </c>
      <c r="C4142" s="4" t="str">
        <f t="shared" si="391"/>
        <v>GSE40367</v>
      </c>
      <c r="D4142" s="1" t="s">
        <v>45</v>
      </c>
      <c r="E4142" t="s">
        <v>269</v>
      </c>
      <c r="F4142" s="1">
        <v>2</v>
      </c>
      <c r="G4142" s="1" t="s">
        <v>28</v>
      </c>
      <c r="H4142" s="4" t="str">
        <f>HYPERLINK("https://www.ncbi.nlm.nih.gov/geo/query/acc.cgi?acc=GSM992320","GSM992320")</f>
        <v>GSM992320</v>
      </c>
      <c r="I4142" t="s">
        <v>177</v>
      </c>
      <c r="J4142" t="s">
        <v>178</v>
      </c>
      <c r="K4142" t="s">
        <v>19</v>
      </c>
      <c r="L4142" t="s">
        <v>44</v>
      </c>
      <c r="M4142" t="s">
        <v>41</v>
      </c>
      <c r="N4142" t="s">
        <v>29</v>
      </c>
    </row>
    <row r="4143" spans="1:14">
      <c r="A4143" s="4" t="str">
        <f t="shared" si="392"/>
        <v>EXP00133</v>
      </c>
      <c r="B4143" s="4" t="str">
        <f t="shared" si="390"/>
        <v>25552933</v>
      </c>
      <c r="C4143" s="4" t="str">
        <f t="shared" si="391"/>
        <v>GSE40367</v>
      </c>
      <c r="D4143" s="1" t="s">
        <v>45</v>
      </c>
      <c r="E4143" t="s">
        <v>269</v>
      </c>
      <c r="F4143" s="1">
        <v>2</v>
      </c>
      <c r="G4143" s="1" t="s">
        <v>28</v>
      </c>
      <c r="H4143" s="4" t="str">
        <f>HYPERLINK("https://www.ncbi.nlm.nih.gov/geo/query/acc.cgi?acc=GSM992322","GSM992322")</f>
        <v>GSM992322</v>
      </c>
      <c r="I4143" t="s">
        <v>177</v>
      </c>
      <c r="J4143" t="s">
        <v>178</v>
      </c>
      <c r="K4143" t="s">
        <v>19</v>
      </c>
      <c r="L4143" t="s">
        <v>44</v>
      </c>
      <c r="M4143" t="s">
        <v>41</v>
      </c>
      <c r="N4143" t="s">
        <v>29</v>
      </c>
    </row>
    <row r="4144" spans="1:14">
      <c r="A4144" s="4" t="str">
        <f t="shared" ref="A4144:A4163" si="393">HYPERLINK("http://hcmdb.i-sanger.com/experiment/details/experiment_id/EXP00134","EXP00134")</f>
        <v>EXP00134</v>
      </c>
      <c r="B4144" s="4" t="str">
        <f t="shared" si="390"/>
        <v>25552933</v>
      </c>
      <c r="C4144" s="4" t="str">
        <f t="shared" si="391"/>
        <v>GSE40367</v>
      </c>
      <c r="D4144" s="1" t="s">
        <v>45</v>
      </c>
      <c r="E4144" t="s">
        <v>270</v>
      </c>
      <c r="F4144" s="1">
        <v>1</v>
      </c>
      <c r="G4144" s="1" t="s">
        <v>31</v>
      </c>
      <c r="H4144" s="4" t="str">
        <f>HYPERLINK("https://www.ncbi.nlm.nih.gov/geo/query/acc.cgi?acc=GSM992303","GSM992303")</f>
        <v>GSM992303</v>
      </c>
      <c r="I4144" t="s">
        <v>177</v>
      </c>
      <c r="J4144" t="s">
        <v>248</v>
      </c>
      <c r="K4144" t="s">
        <v>19</v>
      </c>
      <c r="L4144" t="s">
        <v>44</v>
      </c>
      <c r="M4144" t="s">
        <v>24</v>
      </c>
      <c r="N4144" t="s">
        <v>29</v>
      </c>
    </row>
    <row r="4145" spans="1:14">
      <c r="A4145" s="4" t="str">
        <f t="shared" si="393"/>
        <v>EXP00134</v>
      </c>
      <c r="B4145" s="4" t="str">
        <f t="shared" si="390"/>
        <v>25552933</v>
      </c>
      <c r="C4145" s="4" t="str">
        <f t="shared" si="391"/>
        <v>GSE40367</v>
      </c>
      <c r="D4145" s="1" t="s">
        <v>45</v>
      </c>
      <c r="E4145" t="s">
        <v>270</v>
      </c>
      <c r="F4145" s="1">
        <v>1</v>
      </c>
      <c r="G4145" s="1" t="s">
        <v>31</v>
      </c>
      <c r="H4145" s="4" t="str">
        <f>HYPERLINK("https://www.ncbi.nlm.nih.gov/geo/query/acc.cgi?acc=GSM992305","GSM992305")</f>
        <v>GSM992305</v>
      </c>
      <c r="I4145" t="s">
        <v>177</v>
      </c>
      <c r="J4145" t="s">
        <v>248</v>
      </c>
      <c r="K4145" t="s">
        <v>19</v>
      </c>
      <c r="L4145" t="s">
        <v>44</v>
      </c>
      <c r="M4145" t="s">
        <v>24</v>
      </c>
      <c r="N4145" t="s">
        <v>29</v>
      </c>
    </row>
    <row r="4146" spans="1:14">
      <c r="A4146" s="4" t="str">
        <f t="shared" si="393"/>
        <v>EXP00134</v>
      </c>
      <c r="B4146" s="4" t="str">
        <f t="shared" si="390"/>
        <v>25552933</v>
      </c>
      <c r="C4146" s="4" t="str">
        <f t="shared" si="391"/>
        <v>GSE40367</v>
      </c>
      <c r="D4146" s="1" t="s">
        <v>45</v>
      </c>
      <c r="E4146" t="s">
        <v>270</v>
      </c>
      <c r="F4146" s="1">
        <v>1</v>
      </c>
      <c r="G4146" s="1" t="s">
        <v>31</v>
      </c>
      <c r="H4146" s="4" t="str">
        <f>HYPERLINK("https://www.ncbi.nlm.nih.gov/geo/query/acc.cgi?acc=GSM992309","GSM992309")</f>
        <v>GSM992309</v>
      </c>
      <c r="I4146" t="s">
        <v>177</v>
      </c>
      <c r="J4146" t="s">
        <v>178</v>
      </c>
      <c r="K4146" t="s">
        <v>19</v>
      </c>
      <c r="L4146" t="s">
        <v>44</v>
      </c>
      <c r="M4146" t="s">
        <v>24</v>
      </c>
      <c r="N4146" t="s">
        <v>29</v>
      </c>
    </row>
    <row r="4147" spans="1:14">
      <c r="A4147" s="4" t="str">
        <f t="shared" si="393"/>
        <v>EXP00134</v>
      </c>
      <c r="B4147" s="4" t="str">
        <f t="shared" si="390"/>
        <v>25552933</v>
      </c>
      <c r="C4147" s="4" t="str">
        <f t="shared" si="391"/>
        <v>GSE40367</v>
      </c>
      <c r="D4147" s="1" t="s">
        <v>45</v>
      </c>
      <c r="E4147" t="s">
        <v>270</v>
      </c>
      <c r="F4147" s="1">
        <v>1</v>
      </c>
      <c r="G4147" s="1" t="s">
        <v>31</v>
      </c>
      <c r="H4147" s="4" t="str">
        <f>HYPERLINK("https://www.ncbi.nlm.nih.gov/geo/query/acc.cgi?acc=GSM992311","GSM992311")</f>
        <v>GSM992311</v>
      </c>
      <c r="I4147" t="s">
        <v>177</v>
      </c>
      <c r="J4147" t="s">
        <v>248</v>
      </c>
      <c r="K4147" t="s">
        <v>19</v>
      </c>
      <c r="L4147" t="s">
        <v>44</v>
      </c>
      <c r="M4147" t="s">
        <v>24</v>
      </c>
      <c r="N4147" t="s">
        <v>29</v>
      </c>
    </row>
    <row r="4148" spans="1:14">
      <c r="A4148" s="4" t="str">
        <f t="shared" si="393"/>
        <v>EXP00134</v>
      </c>
      <c r="B4148" s="4" t="str">
        <f t="shared" si="390"/>
        <v>25552933</v>
      </c>
      <c r="C4148" s="4" t="str">
        <f t="shared" si="391"/>
        <v>GSE40367</v>
      </c>
      <c r="D4148" s="1" t="s">
        <v>45</v>
      </c>
      <c r="E4148" t="s">
        <v>270</v>
      </c>
      <c r="F4148" s="1">
        <v>1</v>
      </c>
      <c r="G4148" s="1" t="s">
        <v>31</v>
      </c>
      <c r="H4148" s="4" t="str">
        <f>HYPERLINK("https://www.ncbi.nlm.nih.gov/geo/query/acc.cgi?acc=GSM992313","GSM992313")</f>
        <v>GSM992313</v>
      </c>
      <c r="I4148" t="s">
        <v>177</v>
      </c>
      <c r="J4148" t="s">
        <v>178</v>
      </c>
      <c r="K4148" t="s">
        <v>19</v>
      </c>
      <c r="L4148" t="s">
        <v>44</v>
      </c>
      <c r="M4148" t="s">
        <v>34</v>
      </c>
      <c r="N4148" t="s">
        <v>29</v>
      </c>
    </row>
    <row r="4149" spans="1:14">
      <c r="A4149" s="4" t="str">
        <f t="shared" si="393"/>
        <v>EXP00134</v>
      </c>
      <c r="B4149" s="4" t="str">
        <f t="shared" si="390"/>
        <v>25552933</v>
      </c>
      <c r="C4149" s="4" t="str">
        <f t="shared" si="391"/>
        <v>GSE40367</v>
      </c>
      <c r="D4149" s="1" t="s">
        <v>45</v>
      </c>
      <c r="E4149" t="s">
        <v>270</v>
      </c>
      <c r="F4149" s="1">
        <v>1</v>
      </c>
      <c r="G4149" s="1" t="s">
        <v>31</v>
      </c>
      <c r="H4149" s="4" t="str">
        <f>HYPERLINK("https://www.ncbi.nlm.nih.gov/geo/query/acc.cgi?acc=GSM992315","GSM992315")</f>
        <v>GSM992315</v>
      </c>
      <c r="I4149" t="s">
        <v>177</v>
      </c>
      <c r="J4149" t="s">
        <v>178</v>
      </c>
      <c r="K4149" t="s">
        <v>19</v>
      </c>
      <c r="L4149" t="s">
        <v>44</v>
      </c>
      <c r="M4149" t="s">
        <v>34</v>
      </c>
      <c r="N4149" t="s">
        <v>29</v>
      </c>
    </row>
    <row r="4150" spans="1:14">
      <c r="A4150" s="4" t="str">
        <f t="shared" si="393"/>
        <v>EXP00134</v>
      </c>
      <c r="B4150" s="4" t="str">
        <f t="shared" si="390"/>
        <v>25552933</v>
      </c>
      <c r="C4150" s="4" t="str">
        <f t="shared" si="391"/>
        <v>GSE40367</v>
      </c>
      <c r="D4150" s="1" t="s">
        <v>45</v>
      </c>
      <c r="E4150" t="s">
        <v>270</v>
      </c>
      <c r="F4150" s="1">
        <v>1</v>
      </c>
      <c r="G4150" s="1" t="s">
        <v>31</v>
      </c>
      <c r="H4150" s="4" t="str">
        <f>HYPERLINK("https://www.ncbi.nlm.nih.gov/geo/query/acc.cgi?acc=GSM992317","GSM992317")</f>
        <v>GSM992317</v>
      </c>
      <c r="I4150" t="s">
        <v>177</v>
      </c>
      <c r="J4150" t="s">
        <v>178</v>
      </c>
      <c r="K4150" t="s">
        <v>19</v>
      </c>
      <c r="L4150" t="s">
        <v>44</v>
      </c>
      <c r="M4150" t="s">
        <v>34</v>
      </c>
      <c r="N4150" t="s">
        <v>29</v>
      </c>
    </row>
    <row r="4151" spans="1:14">
      <c r="A4151" s="4" t="str">
        <f t="shared" si="393"/>
        <v>EXP00134</v>
      </c>
      <c r="B4151" s="4" t="str">
        <f t="shared" si="390"/>
        <v>25552933</v>
      </c>
      <c r="C4151" s="4" t="str">
        <f t="shared" si="391"/>
        <v>GSE40367</v>
      </c>
      <c r="D4151" s="1" t="s">
        <v>45</v>
      </c>
      <c r="E4151" t="s">
        <v>270</v>
      </c>
      <c r="F4151" s="1">
        <v>1</v>
      </c>
      <c r="G4151" s="1" t="s">
        <v>31</v>
      </c>
      <c r="H4151" s="4" t="str">
        <f>HYPERLINK("https://www.ncbi.nlm.nih.gov/geo/query/acc.cgi?acc=GSM992318","GSM992318")</f>
        <v>GSM992318</v>
      </c>
      <c r="I4151" t="s">
        <v>177</v>
      </c>
      <c r="J4151" t="s">
        <v>248</v>
      </c>
      <c r="K4151" t="s">
        <v>19</v>
      </c>
      <c r="L4151" t="s">
        <v>44</v>
      </c>
      <c r="M4151" t="s">
        <v>41</v>
      </c>
      <c r="N4151" t="s">
        <v>29</v>
      </c>
    </row>
    <row r="4152" spans="1:14">
      <c r="A4152" s="4" t="str">
        <f t="shared" si="393"/>
        <v>EXP00134</v>
      </c>
      <c r="B4152" s="4" t="str">
        <f t="shared" si="390"/>
        <v>25552933</v>
      </c>
      <c r="C4152" s="4" t="str">
        <f t="shared" si="391"/>
        <v>GSE40367</v>
      </c>
      <c r="D4152" s="1" t="s">
        <v>45</v>
      </c>
      <c r="E4152" t="s">
        <v>270</v>
      </c>
      <c r="F4152" s="1">
        <v>1</v>
      </c>
      <c r="G4152" s="1" t="s">
        <v>31</v>
      </c>
      <c r="H4152" s="4" t="str">
        <f>HYPERLINK("https://www.ncbi.nlm.nih.gov/geo/query/acc.cgi?acc=GSM992320","GSM992320")</f>
        <v>GSM992320</v>
      </c>
      <c r="I4152" t="s">
        <v>177</v>
      </c>
      <c r="J4152" t="s">
        <v>178</v>
      </c>
      <c r="K4152" t="s">
        <v>19</v>
      </c>
      <c r="L4152" t="s">
        <v>44</v>
      </c>
      <c r="M4152" t="s">
        <v>41</v>
      </c>
      <c r="N4152" t="s">
        <v>29</v>
      </c>
    </row>
    <row r="4153" spans="1:14">
      <c r="A4153" s="4" t="str">
        <f t="shared" si="393"/>
        <v>EXP00134</v>
      </c>
      <c r="B4153" s="4" t="str">
        <f t="shared" si="390"/>
        <v>25552933</v>
      </c>
      <c r="C4153" s="4" t="str">
        <f t="shared" si="391"/>
        <v>GSE40367</v>
      </c>
      <c r="D4153" s="1" t="s">
        <v>45</v>
      </c>
      <c r="E4153" t="s">
        <v>270</v>
      </c>
      <c r="F4153" s="1">
        <v>1</v>
      </c>
      <c r="G4153" s="1" t="s">
        <v>31</v>
      </c>
      <c r="H4153" s="4" t="str">
        <f>HYPERLINK("https://www.ncbi.nlm.nih.gov/geo/query/acc.cgi?acc=GSM992322","GSM992322")</f>
        <v>GSM992322</v>
      </c>
      <c r="I4153" t="s">
        <v>177</v>
      </c>
      <c r="J4153" t="s">
        <v>178</v>
      </c>
      <c r="K4153" t="s">
        <v>19</v>
      </c>
      <c r="L4153" t="s">
        <v>44</v>
      </c>
      <c r="M4153" t="s">
        <v>41</v>
      </c>
      <c r="N4153" t="s">
        <v>29</v>
      </c>
    </row>
    <row r="4154" spans="1:14">
      <c r="A4154" s="4" t="str">
        <f t="shared" si="393"/>
        <v>EXP00134</v>
      </c>
      <c r="B4154" s="4" t="str">
        <f t="shared" si="390"/>
        <v>25552933</v>
      </c>
      <c r="C4154" s="4" t="str">
        <f t="shared" si="391"/>
        <v>GSE40367</v>
      </c>
      <c r="D4154" s="1" t="s">
        <v>45</v>
      </c>
      <c r="E4154" t="s">
        <v>270</v>
      </c>
      <c r="F4154" s="1">
        <v>2</v>
      </c>
      <c r="G4154" s="1" t="s">
        <v>32</v>
      </c>
      <c r="H4154" s="4" t="str">
        <f>HYPERLINK("https://www.ncbi.nlm.nih.gov/geo/query/acc.cgi?acc=GSM992292","GSM992292")</f>
        <v>GSM992292</v>
      </c>
      <c r="I4154" t="s">
        <v>177</v>
      </c>
      <c r="J4154" t="s">
        <v>178</v>
      </c>
      <c r="K4154" t="s">
        <v>33</v>
      </c>
      <c r="L4154" t="s">
        <v>44</v>
      </c>
      <c r="N4154" t="s">
        <v>29</v>
      </c>
    </row>
    <row r="4155" spans="1:14">
      <c r="A4155" s="4" t="str">
        <f t="shared" si="393"/>
        <v>EXP00134</v>
      </c>
      <c r="B4155" s="4" t="str">
        <f t="shared" si="390"/>
        <v>25552933</v>
      </c>
      <c r="C4155" s="4" t="str">
        <f t="shared" si="391"/>
        <v>GSE40367</v>
      </c>
      <c r="D4155" s="1" t="s">
        <v>45</v>
      </c>
      <c r="E4155" t="s">
        <v>270</v>
      </c>
      <c r="F4155" s="1">
        <v>2</v>
      </c>
      <c r="G4155" s="1" t="s">
        <v>32</v>
      </c>
      <c r="H4155" s="4" t="str">
        <f>HYPERLINK("https://www.ncbi.nlm.nih.gov/geo/query/acc.cgi?acc=GSM992293","GSM992293")</f>
        <v>GSM992293</v>
      </c>
      <c r="I4155" t="s">
        <v>177</v>
      </c>
      <c r="J4155" t="s">
        <v>178</v>
      </c>
      <c r="K4155" t="s">
        <v>33</v>
      </c>
      <c r="L4155" t="s">
        <v>44</v>
      </c>
      <c r="N4155" t="s">
        <v>29</v>
      </c>
    </row>
    <row r="4156" spans="1:14">
      <c r="A4156" s="4" t="str">
        <f t="shared" si="393"/>
        <v>EXP00134</v>
      </c>
      <c r="B4156" s="4" t="str">
        <f t="shared" si="390"/>
        <v>25552933</v>
      </c>
      <c r="C4156" s="4" t="str">
        <f t="shared" si="391"/>
        <v>GSE40367</v>
      </c>
      <c r="D4156" s="1" t="s">
        <v>45</v>
      </c>
      <c r="E4156" t="s">
        <v>270</v>
      </c>
      <c r="F4156" s="1">
        <v>2</v>
      </c>
      <c r="G4156" s="1" t="s">
        <v>32</v>
      </c>
      <c r="H4156" s="4" t="str">
        <f>HYPERLINK("https://www.ncbi.nlm.nih.gov/geo/query/acc.cgi?acc=GSM992294","GSM992294")</f>
        <v>GSM992294</v>
      </c>
      <c r="I4156" t="s">
        <v>177</v>
      </c>
      <c r="J4156" t="s">
        <v>178</v>
      </c>
      <c r="K4156" t="s">
        <v>33</v>
      </c>
      <c r="L4156" t="s">
        <v>44</v>
      </c>
      <c r="N4156" t="s">
        <v>29</v>
      </c>
    </row>
    <row r="4157" spans="1:14">
      <c r="A4157" s="4" t="str">
        <f t="shared" si="393"/>
        <v>EXP00134</v>
      </c>
      <c r="B4157" s="4" t="str">
        <f t="shared" si="390"/>
        <v>25552933</v>
      </c>
      <c r="C4157" s="4" t="str">
        <f t="shared" si="391"/>
        <v>GSE40367</v>
      </c>
      <c r="D4157" s="1" t="s">
        <v>45</v>
      </c>
      <c r="E4157" t="s">
        <v>270</v>
      </c>
      <c r="F4157" s="1">
        <v>2</v>
      </c>
      <c r="G4157" s="1" t="s">
        <v>32</v>
      </c>
      <c r="H4157" s="4" t="str">
        <f>HYPERLINK("https://www.ncbi.nlm.nih.gov/geo/query/acc.cgi?acc=GSM992295","GSM992295")</f>
        <v>GSM992295</v>
      </c>
      <c r="I4157" t="s">
        <v>177</v>
      </c>
      <c r="J4157" t="s">
        <v>178</v>
      </c>
      <c r="K4157" t="s">
        <v>33</v>
      </c>
      <c r="L4157" t="s">
        <v>44</v>
      </c>
      <c r="N4157" t="s">
        <v>29</v>
      </c>
    </row>
    <row r="4158" spans="1:14">
      <c r="A4158" s="4" t="str">
        <f t="shared" si="393"/>
        <v>EXP00134</v>
      </c>
      <c r="B4158" s="4" t="str">
        <f t="shared" si="390"/>
        <v>25552933</v>
      </c>
      <c r="C4158" s="4" t="str">
        <f t="shared" si="391"/>
        <v>GSE40367</v>
      </c>
      <c r="D4158" s="1" t="s">
        <v>45</v>
      </c>
      <c r="E4158" t="s">
        <v>270</v>
      </c>
      <c r="F4158" s="1">
        <v>2</v>
      </c>
      <c r="G4158" s="1" t="s">
        <v>32</v>
      </c>
      <c r="H4158" s="4" t="str">
        <f>HYPERLINK("https://www.ncbi.nlm.nih.gov/geo/query/acc.cgi?acc=GSM992296","GSM992296")</f>
        <v>GSM992296</v>
      </c>
      <c r="I4158" t="s">
        <v>177</v>
      </c>
      <c r="J4158" t="s">
        <v>178</v>
      </c>
      <c r="K4158" t="s">
        <v>33</v>
      </c>
      <c r="L4158" t="s">
        <v>44</v>
      </c>
      <c r="N4158" t="s">
        <v>29</v>
      </c>
    </row>
    <row r="4159" spans="1:14">
      <c r="A4159" s="4" t="str">
        <f t="shared" si="393"/>
        <v>EXP00134</v>
      </c>
      <c r="B4159" s="4" t="str">
        <f t="shared" si="390"/>
        <v>25552933</v>
      </c>
      <c r="C4159" s="4" t="str">
        <f t="shared" si="391"/>
        <v>GSE40367</v>
      </c>
      <c r="D4159" s="1" t="s">
        <v>45</v>
      </c>
      <c r="E4159" t="s">
        <v>270</v>
      </c>
      <c r="F4159" s="1">
        <v>2</v>
      </c>
      <c r="G4159" s="1" t="s">
        <v>32</v>
      </c>
      <c r="H4159" s="4" t="str">
        <f>HYPERLINK("https://www.ncbi.nlm.nih.gov/geo/query/acc.cgi?acc=GSM992297","GSM992297")</f>
        <v>GSM992297</v>
      </c>
      <c r="I4159" t="s">
        <v>177</v>
      </c>
      <c r="J4159" t="s">
        <v>178</v>
      </c>
      <c r="K4159" t="s">
        <v>33</v>
      </c>
      <c r="L4159" t="s">
        <v>44</v>
      </c>
      <c r="N4159" t="s">
        <v>29</v>
      </c>
    </row>
    <row r="4160" spans="1:14">
      <c r="A4160" s="4" t="str">
        <f t="shared" si="393"/>
        <v>EXP00134</v>
      </c>
      <c r="B4160" s="4" t="str">
        <f t="shared" si="390"/>
        <v>25552933</v>
      </c>
      <c r="C4160" s="4" t="str">
        <f t="shared" si="391"/>
        <v>GSE40367</v>
      </c>
      <c r="D4160" s="1" t="s">
        <v>45</v>
      </c>
      <c r="E4160" t="s">
        <v>270</v>
      </c>
      <c r="F4160" s="1">
        <v>2</v>
      </c>
      <c r="G4160" s="1" t="s">
        <v>32</v>
      </c>
      <c r="H4160" s="4" t="str">
        <f>HYPERLINK("https://www.ncbi.nlm.nih.gov/geo/query/acc.cgi?acc=GSM992298","GSM992298")</f>
        <v>GSM992298</v>
      </c>
      <c r="I4160" t="s">
        <v>177</v>
      </c>
      <c r="J4160" t="s">
        <v>178</v>
      </c>
      <c r="K4160" t="s">
        <v>33</v>
      </c>
      <c r="L4160" t="s">
        <v>44</v>
      </c>
      <c r="N4160" t="s">
        <v>29</v>
      </c>
    </row>
    <row r="4161" spans="1:14">
      <c r="A4161" s="4" t="str">
        <f t="shared" si="393"/>
        <v>EXP00134</v>
      </c>
      <c r="B4161" s="4" t="str">
        <f t="shared" si="390"/>
        <v>25552933</v>
      </c>
      <c r="C4161" s="4" t="str">
        <f t="shared" si="391"/>
        <v>GSE40367</v>
      </c>
      <c r="D4161" s="1" t="s">
        <v>45</v>
      </c>
      <c r="E4161" t="s">
        <v>270</v>
      </c>
      <c r="F4161" s="1">
        <v>2</v>
      </c>
      <c r="G4161" s="1" t="s">
        <v>32</v>
      </c>
      <c r="H4161" s="4" t="str">
        <f>HYPERLINK("https://www.ncbi.nlm.nih.gov/geo/query/acc.cgi?acc=GSM992299","GSM992299")</f>
        <v>GSM992299</v>
      </c>
      <c r="I4161" t="s">
        <v>177</v>
      </c>
      <c r="J4161" t="s">
        <v>178</v>
      </c>
      <c r="K4161" t="s">
        <v>33</v>
      </c>
      <c r="L4161" t="s">
        <v>44</v>
      </c>
      <c r="N4161" t="s">
        <v>29</v>
      </c>
    </row>
    <row r="4162" spans="1:14">
      <c r="A4162" s="4" t="str">
        <f t="shared" si="393"/>
        <v>EXP00134</v>
      </c>
      <c r="B4162" s="4" t="str">
        <f t="shared" si="390"/>
        <v>25552933</v>
      </c>
      <c r="C4162" s="4" t="str">
        <f t="shared" si="391"/>
        <v>GSE40367</v>
      </c>
      <c r="D4162" s="1" t="s">
        <v>45</v>
      </c>
      <c r="E4162" t="s">
        <v>270</v>
      </c>
      <c r="F4162" s="1">
        <v>2</v>
      </c>
      <c r="G4162" s="1" t="s">
        <v>32</v>
      </c>
      <c r="H4162" s="4" t="str">
        <f>HYPERLINK("https://www.ncbi.nlm.nih.gov/geo/query/acc.cgi?acc=GSM992300","GSM992300")</f>
        <v>GSM992300</v>
      </c>
      <c r="I4162" t="s">
        <v>177</v>
      </c>
      <c r="J4162" t="s">
        <v>178</v>
      </c>
      <c r="K4162" t="s">
        <v>33</v>
      </c>
      <c r="L4162" t="s">
        <v>44</v>
      </c>
      <c r="N4162" t="s">
        <v>29</v>
      </c>
    </row>
    <row r="4163" spans="1:14">
      <c r="A4163" s="4" t="str">
        <f t="shared" si="393"/>
        <v>EXP00134</v>
      </c>
      <c r="B4163" s="4" t="str">
        <f t="shared" si="390"/>
        <v>25552933</v>
      </c>
      <c r="C4163" s="4" t="str">
        <f t="shared" si="391"/>
        <v>GSE40367</v>
      </c>
      <c r="D4163" s="1" t="s">
        <v>45</v>
      </c>
      <c r="E4163" t="s">
        <v>270</v>
      </c>
      <c r="F4163" s="1">
        <v>2</v>
      </c>
      <c r="G4163" s="1" t="s">
        <v>32</v>
      </c>
      <c r="H4163" s="4" t="str">
        <f>HYPERLINK("https://www.ncbi.nlm.nih.gov/geo/query/acc.cgi?acc=GSM992301","GSM992301")</f>
        <v>GSM992301</v>
      </c>
      <c r="I4163" t="s">
        <v>177</v>
      </c>
      <c r="J4163" t="s">
        <v>178</v>
      </c>
      <c r="K4163" t="s">
        <v>33</v>
      </c>
      <c r="L4163" t="s">
        <v>44</v>
      </c>
      <c r="N4163" t="s">
        <v>29</v>
      </c>
    </row>
    <row r="4164" spans="1:14">
      <c r="A4164" s="4" t="str">
        <f t="shared" ref="A4164:A4169" si="394">HYPERLINK("http://hcmdb.i-sanger.com/experiment/details/experiment_id/EXP00135","EXP00135")</f>
        <v>EXP00135</v>
      </c>
      <c r="B4164" s="4" t="str">
        <f t="shared" si="390"/>
        <v>25552933</v>
      </c>
      <c r="C4164" s="4" t="str">
        <f t="shared" si="391"/>
        <v>GSE40367</v>
      </c>
      <c r="D4164" s="1" t="s">
        <v>45</v>
      </c>
      <c r="E4164" t="s">
        <v>271</v>
      </c>
      <c r="F4164" s="1">
        <v>1</v>
      </c>
      <c r="G4164" s="1" t="s">
        <v>26</v>
      </c>
      <c r="H4164" s="4" t="str">
        <f>HYPERLINK("https://www.ncbi.nlm.nih.gov/geo/query/acc.cgi?acc=GSM992302","GSM992302")</f>
        <v>GSM992302</v>
      </c>
      <c r="I4164" t="s">
        <v>177</v>
      </c>
      <c r="J4164" t="s">
        <v>248</v>
      </c>
      <c r="K4164" t="s">
        <v>19</v>
      </c>
      <c r="L4164" t="s">
        <v>44</v>
      </c>
      <c r="M4164" t="s">
        <v>24</v>
      </c>
      <c r="N4164" t="s">
        <v>22</v>
      </c>
    </row>
    <row r="4165" spans="1:14">
      <c r="A4165" s="4" t="str">
        <f t="shared" si="394"/>
        <v>EXP00135</v>
      </c>
      <c r="B4165" s="4" t="str">
        <f t="shared" si="390"/>
        <v>25552933</v>
      </c>
      <c r="C4165" s="4" t="str">
        <f t="shared" si="391"/>
        <v>GSE40367</v>
      </c>
      <c r="D4165" s="1" t="s">
        <v>45</v>
      </c>
      <c r="E4165" t="s">
        <v>271</v>
      </c>
      <c r="F4165" s="1">
        <v>1</v>
      </c>
      <c r="G4165" s="1" t="s">
        <v>26</v>
      </c>
      <c r="H4165" s="4" t="str">
        <f>HYPERLINK("https://www.ncbi.nlm.nih.gov/geo/query/acc.cgi?acc=GSM992304","GSM992304")</f>
        <v>GSM992304</v>
      </c>
      <c r="I4165" t="s">
        <v>177</v>
      </c>
      <c r="J4165" t="s">
        <v>248</v>
      </c>
      <c r="K4165" t="s">
        <v>19</v>
      </c>
      <c r="L4165" t="s">
        <v>44</v>
      </c>
      <c r="M4165" t="s">
        <v>24</v>
      </c>
      <c r="N4165" t="s">
        <v>22</v>
      </c>
    </row>
    <row r="4166" spans="1:14">
      <c r="A4166" s="4" t="str">
        <f t="shared" si="394"/>
        <v>EXP00135</v>
      </c>
      <c r="B4166" s="4" t="str">
        <f t="shared" si="390"/>
        <v>25552933</v>
      </c>
      <c r="C4166" s="4" t="str">
        <f t="shared" si="391"/>
        <v>GSE40367</v>
      </c>
      <c r="D4166" s="1" t="s">
        <v>45</v>
      </c>
      <c r="E4166" t="s">
        <v>271</v>
      </c>
      <c r="F4166" s="1">
        <v>1</v>
      </c>
      <c r="G4166" s="1" t="s">
        <v>26</v>
      </c>
      <c r="H4166" s="4" t="str">
        <f>HYPERLINK("https://www.ncbi.nlm.nih.gov/geo/query/acc.cgi?acc=GSM992310","GSM992310")</f>
        <v>GSM992310</v>
      </c>
      <c r="I4166" t="s">
        <v>177</v>
      </c>
      <c r="J4166" t="s">
        <v>248</v>
      </c>
      <c r="K4166" t="s">
        <v>19</v>
      </c>
      <c r="L4166" t="s">
        <v>44</v>
      </c>
      <c r="M4166" t="s">
        <v>24</v>
      </c>
      <c r="N4166" t="s">
        <v>22</v>
      </c>
    </row>
    <row r="4167" spans="1:14">
      <c r="A4167" s="4" t="str">
        <f t="shared" si="394"/>
        <v>EXP00135</v>
      </c>
      <c r="B4167" s="4" t="str">
        <f t="shared" si="390"/>
        <v>25552933</v>
      </c>
      <c r="C4167" s="4" t="str">
        <f t="shared" si="391"/>
        <v>GSE40367</v>
      </c>
      <c r="D4167" s="1" t="s">
        <v>45</v>
      </c>
      <c r="E4167" t="s">
        <v>271</v>
      </c>
      <c r="F4167" s="1">
        <v>2</v>
      </c>
      <c r="G4167" s="1" t="s">
        <v>28</v>
      </c>
      <c r="H4167" s="4" t="str">
        <f>HYPERLINK("https://www.ncbi.nlm.nih.gov/geo/query/acc.cgi?acc=GSM992303","GSM992303")</f>
        <v>GSM992303</v>
      </c>
      <c r="I4167" t="s">
        <v>177</v>
      </c>
      <c r="J4167" t="s">
        <v>248</v>
      </c>
      <c r="K4167" t="s">
        <v>19</v>
      </c>
      <c r="L4167" t="s">
        <v>44</v>
      </c>
      <c r="M4167" t="s">
        <v>24</v>
      </c>
      <c r="N4167" t="s">
        <v>29</v>
      </c>
    </row>
    <row r="4168" spans="1:14">
      <c r="A4168" s="4" t="str">
        <f t="shared" si="394"/>
        <v>EXP00135</v>
      </c>
      <c r="B4168" s="4" t="str">
        <f t="shared" si="390"/>
        <v>25552933</v>
      </c>
      <c r="C4168" s="4" t="str">
        <f t="shared" si="391"/>
        <v>GSE40367</v>
      </c>
      <c r="D4168" s="1" t="s">
        <v>45</v>
      </c>
      <c r="E4168" t="s">
        <v>271</v>
      </c>
      <c r="F4168" s="1">
        <v>2</v>
      </c>
      <c r="G4168" s="1" t="s">
        <v>28</v>
      </c>
      <c r="H4168" s="4" t="str">
        <f>HYPERLINK("https://www.ncbi.nlm.nih.gov/geo/query/acc.cgi?acc=GSM992305","GSM992305")</f>
        <v>GSM992305</v>
      </c>
      <c r="I4168" t="s">
        <v>177</v>
      </c>
      <c r="J4168" t="s">
        <v>248</v>
      </c>
      <c r="K4168" t="s">
        <v>19</v>
      </c>
      <c r="L4168" t="s">
        <v>44</v>
      </c>
      <c r="M4168" t="s">
        <v>24</v>
      </c>
      <c r="N4168" t="s">
        <v>29</v>
      </c>
    </row>
    <row r="4169" spans="1:14">
      <c r="A4169" s="4" t="str">
        <f t="shared" si="394"/>
        <v>EXP00135</v>
      </c>
      <c r="B4169" s="4" t="str">
        <f t="shared" si="390"/>
        <v>25552933</v>
      </c>
      <c r="C4169" s="4" t="str">
        <f t="shared" si="391"/>
        <v>GSE40367</v>
      </c>
      <c r="D4169" s="1" t="s">
        <v>45</v>
      </c>
      <c r="E4169" t="s">
        <v>271</v>
      </c>
      <c r="F4169" s="1">
        <v>2</v>
      </c>
      <c r="G4169" s="1" t="s">
        <v>28</v>
      </c>
      <c r="H4169" s="4" t="str">
        <f>HYPERLINK("https://www.ncbi.nlm.nih.gov/geo/query/acc.cgi?acc=GSM992311","GSM992311")</f>
        <v>GSM992311</v>
      </c>
      <c r="I4169" t="s">
        <v>177</v>
      </c>
      <c r="J4169" t="s">
        <v>248</v>
      </c>
      <c r="K4169" t="s">
        <v>19</v>
      </c>
      <c r="L4169" t="s">
        <v>44</v>
      </c>
      <c r="M4169" t="s">
        <v>24</v>
      </c>
      <c r="N4169" t="s">
        <v>29</v>
      </c>
    </row>
    <row r="4170" spans="1:14">
      <c r="A4170" s="4" t="str">
        <f t="shared" ref="A4170:A4184" si="395">HYPERLINK("http://hcmdb.i-sanger.com/experiment/details/experiment_id/EXP00136","EXP00136")</f>
        <v>EXP00136</v>
      </c>
      <c r="B4170" s="4" t="str">
        <f t="shared" si="390"/>
        <v>25552933</v>
      </c>
      <c r="C4170" s="4" t="str">
        <f t="shared" si="391"/>
        <v>GSE40367</v>
      </c>
      <c r="D4170" s="1" t="s">
        <v>45</v>
      </c>
      <c r="E4170" t="s">
        <v>272</v>
      </c>
      <c r="F4170" s="1">
        <v>1</v>
      </c>
      <c r="G4170" s="1" t="s">
        <v>26</v>
      </c>
      <c r="H4170" s="4" t="str">
        <f>HYPERLINK("https://www.ncbi.nlm.nih.gov/geo/query/acc.cgi?acc=GSM992272","GSM992272")</f>
        <v>GSM992272</v>
      </c>
      <c r="I4170" t="s">
        <v>69</v>
      </c>
      <c r="J4170" t="s">
        <v>245</v>
      </c>
      <c r="K4170" t="s">
        <v>19</v>
      </c>
      <c r="L4170" t="s">
        <v>70</v>
      </c>
      <c r="M4170" t="s">
        <v>44</v>
      </c>
      <c r="N4170" t="s">
        <v>22</v>
      </c>
    </row>
    <row r="4171" spans="1:14">
      <c r="A4171" s="4" t="str">
        <f t="shared" si="395"/>
        <v>EXP00136</v>
      </c>
      <c r="B4171" s="4" t="str">
        <f t="shared" si="390"/>
        <v>25552933</v>
      </c>
      <c r="C4171" s="4" t="str">
        <f t="shared" si="391"/>
        <v>GSE40367</v>
      </c>
      <c r="D4171" s="1" t="s">
        <v>45</v>
      </c>
      <c r="E4171" t="s">
        <v>272</v>
      </c>
      <c r="F4171" s="1">
        <v>1</v>
      </c>
      <c r="G4171" s="1" t="s">
        <v>26</v>
      </c>
      <c r="H4171" s="4" t="str">
        <f>HYPERLINK("https://www.ncbi.nlm.nih.gov/geo/query/acc.cgi?acc=GSM992274","GSM992274")</f>
        <v>GSM992274</v>
      </c>
      <c r="I4171" t="s">
        <v>69</v>
      </c>
      <c r="J4171" t="s">
        <v>245</v>
      </c>
      <c r="K4171" t="s">
        <v>19</v>
      </c>
      <c r="L4171" t="s">
        <v>70</v>
      </c>
      <c r="M4171" t="s">
        <v>44</v>
      </c>
      <c r="N4171" t="s">
        <v>22</v>
      </c>
    </row>
    <row r="4172" spans="1:14">
      <c r="A4172" s="4" t="str">
        <f t="shared" si="395"/>
        <v>EXP00136</v>
      </c>
      <c r="B4172" s="4" t="str">
        <f t="shared" si="390"/>
        <v>25552933</v>
      </c>
      <c r="C4172" s="4" t="str">
        <f t="shared" si="391"/>
        <v>GSE40367</v>
      </c>
      <c r="D4172" s="1" t="s">
        <v>45</v>
      </c>
      <c r="E4172" t="s">
        <v>272</v>
      </c>
      <c r="F4172" s="1">
        <v>1</v>
      </c>
      <c r="G4172" s="1" t="s">
        <v>26</v>
      </c>
      <c r="H4172" s="4" t="str">
        <f>HYPERLINK("https://www.ncbi.nlm.nih.gov/geo/query/acc.cgi?acc=GSM992276","GSM992276")</f>
        <v>GSM992276</v>
      </c>
      <c r="I4172" t="s">
        <v>69</v>
      </c>
      <c r="J4172" t="s">
        <v>245</v>
      </c>
      <c r="K4172" t="s">
        <v>19</v>
      </c>
      <c r="L4172" t="s">
        <v>70</v>
      </c>
      <c r="M4172" t="s">
        <v>44</v>
      </c>
      <c r="N4172" t="s">
        <v>22</v>
      </c>
    </row>
    <row r="4173" spans="1:14">
      <c r="A4173" s="4" t="str">
        <f t="shared" si="395"/>
        <v>EXP00136</v>
      </c>
      <c r="B4173" s="4" t="str">
        <f t="shared" si="390"/>
        <v>25552933</v>
      </c>
      <c r="C4173" s="4" t="str">
        <f t="shared" si="391"/>
        <v>GSE40367</v>
      </c>
      <c r="D4173" s="1" t="s">
        <v>45</v>
      </c>
      <c r="E4173" t="s">
        <v>272</v>
      </c>
      <c r="F4173" s="1">
        <v>1</v>
      </c>
      <c r="G4173" s="1" t="s">
        <v>26</v>
      </c>
      <c r="H4173" s="4" t="str">
        <f>HYPERLINK("https://www.ncbi.nlm.nih.gov/geo/query/acc.cgi?acc=GSM992278","GSM992278")</f>
        <v>GSM992278</v>
      </c>
      <c r="I4173" t="s">
        <v>69</v>
      </c>
      <c r="J4173" t="s">
        <v>245</v>
      </c>
      <c r="K4173" t="s">
        <v>19</v>
      </c>
      <c r="L4173" t="s">
        <v>70</v>
      </c>
      <c r="M4173" t="s">
        <v>44</v>
      </c>
      <c r="N4173" t="s">
        <v>22</v>
      </c>
    </row>
    <row r="4174" spans="1:14">
      <c r="A4174" s="4" t="str">
        <f t="shared" si="395"/>
        <v>EXP00136</v>
      </c>
      <c r="B4174" s="4" t="str">
        <f t="shared" si="390"/>
        <v>25552933</v>
      </c>
      <c r="C4174" s="4" t="str">
        <f t="shared" si="391"/>
        <v>GSE40367</v>
      </c>
      <c r="D4174" s="1" t="s">
        <v>45</v>
      </c>
      <c r="E4174" t="s">
        <v>272</v>
      </c>
      <c r="F4174" s="1">
        <v>1</v>
      </c>
      <c r="G4174" s="1" t="s">
        <v>26</v>
      </c>
      <c r="H4174" s="4" t="str">
        <f>HYPERLINK("https://www.ncbi.nlm.nih.gov/geo/query/acc.cgi?acc=GSM992281","GSM992281")</f>
        <v>GSM992281</v>
      </c>
      <c r="I4174" t="s">
        <v>69</v>
      </c>
      <c r="J4174" t="s">
        <v>245</v>
      </c>
      <c r="K4174" t="s">
        <v>19</v>
      </c>
      <c r="L4174" t="s">
        <v>70</v>
      </c>
      <c r="M4174" t="s">
        <v>44</v>
      </c>
      <c r="N4174" t="s">
        <v>22</v>
      </c>
    </row>
    <row r="4175" spans="1:14">
      <c r="A4175" s="4" t="str">
        <f t="shared" si="395"/>
        <v>EXP00136</v>
      </c>
      <c r="B4175" s="4" t="str">
        <f t="shared" si="390"/>
        <v>25552933</v>
      </c>
      <c r="C4175" s="4" t="str">
        <f t="shared" si="391"/>
        <v>GSE40367</v>
      </c>
      <c r="D4175" s="1" t="s">
        <v>45</v>
      </c>
      <c r="E4175" t="s">
        <v>272</v>
      </c>
      <c r="F4175" s="1">
        <v>1</v>
      </c>
      <c r="G4175" s="1" t="s">
        <v>26</v>
      </c>
      <c r="H4175" s="4" t="str">
        <f>HYPERLINK("https://www.ncbi.nlm.nih.gov/geo/query/acc.cgi?acc=GSM992283","GSM992283")</f>
        <v>GSM992283</v>
      </c>
      <c r="I4175" t="s">
        <v>69</v>
      </c>
      <c r="J4175" t="s">
        <v>245</v>
      </c>
      <c r="K4175" t="s">
        <v>19</v>
      </c>
      <c r="L4175" t="s">
        <v>70</v>
      </c>
      <c r="M4175" t="s">
        <v>44</v>
      </c>
      <c r="N4175" t="s">
        <v>22</v>
      </c>
    </row>
    <row r="4176" spans="1:14">
      <c r="A4176" s="4" t="str">
        <f t="shared" si="395"/>
        <v>EXP00136</v>
      </c>
      <c r="B4176" s="4" t="str">
        <f t="shared" ref="B4176:B4239" si="396">HYPERLINK("https://www.ncbi.nlm.nih.gov/pubmed/25552933","25552933")</f>
        <v>25552933</v>
      </c>
      <c r="C4176" s="4" t="str">
        <f t="shared" ref="C4176:C4239" si="397">HYPERLINK("https://www.ncbi.nlm.nih.gov/geo/query/acc.cgi?acc=GSE40367","GSE40367")</f>
        <v>GSE40367</v>
      </c>
      <c r="D4176" s="1" t="s">
        <v>45</v>
      </c>
      <c r="E4176" t="s">
        <v>272</v>
      </c>
      <c r="F4176" s="1">
        <v>1</v>
      </c>
      <c r="G4176" s="1" t="s">
        <v>26</v>
      </c>
      <c r="H4176" s="4" t="str">
        <f>HYPERLINK("https://www.ncbi.nlm.nih.gov/geo/query/acc.cgi?acc=GSM992285","GSM992285")</f>
        <v>GSM992285</v>
      </c>
      <c r="I4176" t="s">
        <v>69</v>
      </c>
      <c r="J4176" t="s">
        <v>245</v>
      </c>
      <c r="K4176" t="s">
        <v>19</v>
      </c>
      <c r="L4176" t="s">
        <v>70</v>
      </c>
      <c r="M4176" t="s">
        <v>44</v>
      </c>
      <c r="N4176" t="s">
        <v>22</v>
      </c>
    </row>
    <row r="4177" spans="1:14">
      <c r="A4177" s="4" t="str">
        <f t="shared" si="395"/>
        <v>EXP00136</v>
      </c>
      <c r="B4177" s="4" t="str">
        <f t="shared" si="396"/>
        <v>25552933</v>
      </c>
      <c r="C4177" s="4" t="str">
        <f t="shared" si="397"/>
        <v>GSE40367</v>
      </c>
      <c r="D4177" s="1" t="s">
        <v>45</v>
      </c>
      <c r="E4177" t="s">
        <v>272</v>
      </c>
      <c r="F4177" s="1">
        <v>2</v>
      </c>
      <c r="G4177" s="1" t="s">
        <v>28</v>
      </c>
      <c r="H4177" s="4" t="str">
        <f>HYPERLINK("https://www.ncbi.nlm.nih.gov/geo/query/acc.cgi?acc=GSM992273","GSM992273")</f>
        <v>GSM992273</v>
      </c>
      <c r="I4177" t="s">
        <v>69</v>
      </c>
      <c r="J4177" t="s">
        <v>245</v>
      </c>
      <c r="K4177" t="s">
        <v>19</v>
      </c>
      <c r="L4177" t="s">
        <v>70</v>
      </c>
      <c r="M4177" t="s">
        <v>44</v>
      </c>
      <c r="N4177" t="s">
        <v>29</v>
      </c>
    </row>
    <row r="4178" spans="1:14">
      <c r="A4178" s="4" t="str">
        <f t="shared" si="395"/>
        <v>EXP00136</v>
      </c>
      <c r="B4178" s="4" t="str">
        <f t="shared" si="396"/>
        <v>25552933</v>
      </c>
      <c r="C4178" s="4" t="str">
        <f t="shared" si="397"/>
        <v>GSE40367</v>
      </c>
      <c r="D4178" s="1" t="s">
        <v>45</v>
      </c>
      <c r="E4178" t="s">
        <v>272</v>
      </c>
      <c r="F4178" s="1">
        <v>2</v>
      </c>
      <c r="G4178" s="1" t="s">
        <v>28</v>
      </c>
      <c r="H4178" s="4" t="str">
        <f>HYPERLINK("https://www.ncbi.nlm.nih.gov/geo/query/acc.cgi?acc=GSM992275","GSM992275")</f>
        <v>GSM992275</v>
      </c>
      <c r="I4178" t="s">
        <v>69</v>
      </c>
      <c r="J4178" t="s">
        <v>245</v>
      </c>
      <c r="K4178" t="s">
        <v>19</v>
      </c>
      <c r="L4178" t="s">
        <v>70</v>
      </c>
      <c r="M4178" t="s">
        <v>44</v>
      </c>
      <c r="N4178" t="s">
        <v>29</v>
      </c>
    </row>
    <row r="4179" spans="1:14">
      <c r="A4179" s="4" t="str">
        <f t="shared" si="395"/>
        <v>EXP00136</v>
      </c>
      <c r="B4179" s="4" t="str">
        <f t="shared" si="396"/>
        <v>25552933</v>
      </c>
      <c r="C4179" s="4" t="str">
        <f t="shared" si="397"/>
        <v>GSE40367</v>
      </c>
      <c r="D4179" s="1" t="s">
        <v>45</v>
      </c>
      <c r="E4179" t="s">
        <v>272</v>
      </c>
      <c r="F4179" s="1">
        <v>2</v>
      </c>
      <c r="G4179" s="1" t="s">
        <v>28</v>
      </c>
      <c r="H4179" s="4" t="str">
        <f>HYPERLINK("https://www.ncbi.nlm.nih.gov/geo/query/acc.cgi?acc=GSM992277","GSM992277")</f>
        <v>GSM992277</v>
      </c>
      <c r="I4179" t="s">
        <v>69</v>
      </c>
      <c r="J4179" t="s">
        <v>245</v>
      </c>
      <c r="K4179" t="s">
        <v>19</v>
      </c>
      <c r="L4179" t="s">
        <v>70</v>
      </c>
      <c r="M4179" t="s">
        <v>44</v>
      </c>
      <c r="N4179" t="s">
        <v>29</v>
      </c>
    </row>
    <row r="4180" spans="1:14">
      <c r="A4180" s="4" t="str">
        <f t="shared" si="395"/>
        <v>EXP00136</v>
      </c>
      <c r="B4180" s="4" t="str">
        <f t="shared" si="396"/>
        <v>25552933</v>
      </c>
      <c r="C4180" s="4" t="str">
        <f t="shared" si="397"/>
        <v>GSE40367</v>
      </c>
      <c r="D4180" s="1" t="s">
        <v>45</v>
      </c>
      <c r="E4180" t="s">
        <v>272</v>
      </c>
      <c r="F4180" s="1">
        <v>2</v>
      </c>
      <c r="G4180" s="1" t="s">
        <v>28</v>
      </c>
      <c r="H4180" s="4" t="str">
        <f>HYPERLINK("https://www.ncbi.nlm.nih.gov/geo/query/acc.cgi?acc=GSM992279","GSM992279")</f>
        <v>GSM992279</v>
      </c>
      <c r="I4180" t="s">
        <v>69</v>
      </c>
      <c r="J4180" t="s">
        <v>245</v>
      </c>
      <c r="K4180" t="s">
        <v>19</v>
      </c>
      <c r="L4180" t="s">
        <v>70</v>
      </c>
      <c r="M4180" t="s">
        <v>44</v>
      </c>
      <c r="N4180" t="s">
        <v>29</v>
      </c>
    </row>
    <row r="4181" spans="1:14">
      <c r="A4181" s="4" t="str">
        <f t="shared" si="395"/>
        <v>EXP00136</v>
      </c>
      <c r="B4181" s="4" t="str">
        <f t="shared" si="396"/>
        <v>25552933</v>
      </c>
      <c r="C4181" s="4" t="str">
        <f t="shared" si="397"/>
        <v>GSE40367</v>
      </c>
      <c r="D4181" s="1" t="s">
        <v>45</v>
      </c>
      <c r="E4181" t="s">
        <v>272</v>
      </c>
      <c r="F4181" s="1">
        <v>2</v>
      </c>
      <c r="G4181" s="1" t="s">
        <v>28</v>
      </c>
      <c r="H4181" s="4" t="str">
        <f>HYPERLINK("https://www.ncbi.nlm.nih.gov/geo/query/acc.cgi?acc=GSM992280","GSM992280")</f>
        <v>GSM992280</v>
      </c>
      <c r="I4181" t="s">
        <v>69</v>
      </c>
      <c r="J4181" t="s">
        <v>245</v>
      </c>
      <c r="K4181" t="s">
        <v>19</v>
      </c>
      <c r="L4181" t="s">
        <v>246</v>
      </c>
      <c r="M4181" t="s">
        <v>44</v>
      </c>
      <c r="N4181" t="s">
        <v>29</v>
      </c>
    </row>
    <row r="4182" spans="1:14">
      <c r="A4182" s="4" t="str">
        <f t="shared" si="395"/>
        <v>EXP00136</v>
      </c>
      <c r="B4182" s="4" t="str">
        <f t="shared" si="396"/>
        <v>25552933</v>
      </c>
      <c r="C4182" s="4" t="str">
        <f t="shared" si="397"/>
        <v>GSE40367</v>
      </c>
      <c r="D4182" s="1" t="s">
        <v>45</v>
      </c>
      <c r="E4182" t="s">
        <v>272</v>
      </c>
      <c r="F4182" s="1">
        <v>2</v>
      </c>
      <c r="G4182" s="1" t="s">
        <v>28</v>
      </c>
      <c r="H4182" s="4" t="str">
        <f>HYPERLINK("https://www.ncbi.nlm.nih.gov/geo/query/acc.cgi?acc=GSM992282","GSM992282")</f>
        <v>GSM992282</v>
      </c>
      <c r="I4182" t="s">
        <v>69</v>
      </c>
      <c r="J4182" t="s">
        <v>245</v>
      </c>
      <c r="K4182" t="s">
        <v>19</v>
      </c>
      <c r="L4182" t="s">
        <v>70</v>
      </c>
      <c r="M4182" t="s">
        <v>44</v>
      </c>
      <c r="N4182" t="s">
        <v>29</v>
      </c>
    </row>
    <row r="4183" spans="1:14">
      <c r="A4183" s="4" t="str">
        <f t="shared" si="395"/>
        <v>EXP00136</v>
      </c>
      <c r="B4183" s="4" t="str">
        <f t="shared" si="396"/>
        <v>25552933</v>
      </c>
      <c r="C4183" s="4" t="str">
        <f t="shared" si="397"/>
        <v>GSE40367</v>
      </c>
      <c r="D4183" s="1" t="s">
        <v>45</v>
      </c>
      <c r="E4183" t="s">
        <v>272</v>
      </c>
      <c r="F4183" s="1">
        <v>2</v>
      </c>
      <c r="G4183" s="1" t="s">
        <v>28</v>
      </c>
      <c r="H4183" s="4" t="str">
        <f>HYPERLINK("https://www.ncbi.nlm.nih.gov/geo/query/acc.cgi?acc=GSM992284","GSM992284")</f>
        <v>GSM992284</v>
      </c>
      <c r="I4183" t="s">
        <v>69</v>
      </c>
      <c r="J4183" t="s">
        <v>245</v>
      </c>
      <c r="K4183" t="s">
        <v>19</v>
      </c>
      <c r="L4183" t="s">
        <v>70</v>
      </c>
      <c r="M4183" t="s">
        <v>44</v>
      </c>
      <c r="N4183" t="s">
        <v>29</v>
      </c>
    </row>
    <row r="4184" spans="1:14">
      <c r="A4184" s="4" t="str">
        <f t="shared" si="395"/>
        <v>EXP00136</v>
      </c>
      <c r="B4184" s="4" t="str">
        <f t="shared" si="396"/>
        <v>25552933</v>
      </c>
      <c r="C4184" s="4" t="str">
        <f t="shared" si="397"/>
        <v>GSE40367</v>
      </c>
      <c r="D4184" s="1" t="s">
        <v>45</v>
      </c>
      <c r="E4184" t="s">
        <v>272</v>
      </c>
      <c r="F4184" s="1">
        <v>2</v>
      </c>
      <c r="G4184" s="1" t="s">
        <v>28</v>
      </c>
      <c r="H4184" s="4" t="str">
        <f>HYPERLINK("https://www.ncbi.nlm.nih.gov/geo/query/acc.cgi?acc=GSM992286","GSM992286")</f>
        <v>GSM992286</v>
      </c>
      <c r="I4184" t="s">
        <v>69</v>
      </c>
      <c r="J4184" t="s">
        <v>245</v>
      </c>
      <c r="K4184" t="s">
        <v>19</v>
      </c>
      <c r="L4184" t="s">
        <v>70</v>
      </c>
      <c r="M4184" t="s">
        <v>44</v>
      </c>
      <c r="N4184" t="s">
        <v>29</v>
      </c>
    </row>
    <row r="4185" spans="1:14">
      <c r="A4185" s="4" t="str">
        <f t="shared" ref="A4185:A4190" si="398">HYPERLINK("http://hcmdb.i-sanger.com/experiment/details/experiment_id/EXP00137","EXP00137")</f>
        <v>EXP00137</v>
      </c>
      <c r="B4185" s="4" t="str">
        <f t="shared" si="396"/>
        <v>25552933</v>
      </c>
      <c r="C4185" s="4" t="str">
        <f t="shared" si="397"/>
        <v>GSE40367</v>
      </c>
      <c r="D4185" s="1" t="s">
        <v>45</v>
      </c>
      <c r="E4185" t="s">
        <v>273</v>
      </c>
      <c r="F4185" s="1">
        <v>1</v>
      </c>
      <c r="G4185" s="1" t="s">
        <v>26</v>
      </c>
      <c r="H4185" s="4" t="str">
        <f>HYPERLINK("https://www.ncbi.nlm.nih.gov/geo/query/acc.cgi?acc=GSM992312","GSM992312")</f>
        <v>GSM992312</v>
      </c>
      <c r="I4185" t="s">
        <v>177</v>
      </c>
      <c r="J4185" t="s">
        <v>178</v>
      </c>
      <c r="K4185" t="s">
        <v>19</v>
      </c>
      <c r="L4185" t="s">
        <v>44</v>
      </c>
      <c r="M4185" t="s">
        <v>34</v>
      </c>
      <c r="N4185" t="s">
        <v>22</v>
      </c>
    </row>
    <row r="4186" spans="1:14">
      <c r="A4186" s="4" t="str">
        <f t="shared" si="398"/>
        <v>EXP00137</v>
      </c>
      <c r="B4186" s="4" t="str">
        <f t="shared" si="396"/>
        <v>25552933</v>
      </c>
      <c r="C4186" s="4" t="str">
        <f t="shared" si="397"/>
        <v>GSE40367</v>
      </c>
      <c r="D4186" s="1" t="s">
        <v>45</v>
      </c>
      <c r="E4186" t="s">
        <v>273</v>
      </c>
      <c r="F4186" s="1">
        <v>1</v>
      </c>
      <c r="G4186" s="1" t="s">
        <v>26</v>
      </c>
      <c r="H4186" s="4" t="str">
        <f>HYPERLINK("https://www.ncbi.nlm.nih.gov/geo/query/acc.cgi?acc=GSM992314","GSM992314")</f>
        <v>GSM992314</v>
      </c>
      <c r="I4186" t="s">
        <v>177</v>
      </c>
      <c r="J4186" t="s">
        <v>178</v>
      </c>
      <c r="K4186" t="s">
        <v>19</v>
      </c>
      <c r="L4186" t="s">
        <v>44</v>
      </c>
      <c r="M4186" t="s">
        <v>34</v>
      </c>
      <c r="N4186" t="s">
        <v>22</v>
      </c>
    </row>
    <row r="4187" spans="1:14">
      <c r="A4187" s="4" t="str">
        <f t="shared" si="398"/>
        <v>EXP00137</v>
      </c>
      <c r="B4187" s="4" t="str">
        <f t="shared" si="396"/>
        <v>25552933</v>
      </c>
      <c r="C4187" s="4" t="str">
        <f t="shared" si="397"/>
        <v>GSE40367</v>
      </c>
      <c r="D4187" s="1" t="s">
        <v>45</v>
      </c>
      <c r="E4187" t="s">
        <v>273</v>
      </c>
      <c r="F4187" s="1">
        <v>1</v>
      </c>
      <c r="G4187" s="1" t="s">
        <v>26</v>
      </c>
      <c r="H4187" s="4" t="str">
        <f>HYPERLINK("https://www.ncbi.nlm.nih.gov/geo/query/acc.cgi?acc=GSM992316","GSM992316")</f>
        <v>GSM992316</v>
      </c>
      <c r="I4187" t="s">
        <v>177</v>
      </c>
      <c r="J4187" t="s">
        <v>178</v>
      </c>
      <c r="K4187" t="s">
        <v>19</v>
      </c>
      <c r="L4187" t="s">
        <v>44</v>
      </c>
      <c r="M4187" t="s">
        <v>34</v>
      </c>
      <c r="N4187" t="s">
        <v>22</v>
      </c>
    </row>
    <row r="4188" spans="1:14">
      <c r="A4188" s="4" t="str">
        <f t="shared" si="398"/>
        <v>EXP00137</v>
      </c>
      <c r="B4188" s="4" t="str">
        <f t="shared" si="396"/>
        <v>25552933</v>
      </c>
      <c r="C4188" s="4" t="str">
        <f t="shared" si="397"/>
        <v>GSE40367</v>
      </c>
      <c r="D4188" s="1" t="s">
        <v>45</v>
      </c>
      <c r="E4188" t="s">
        <v>273</v>
      </c>
      <c r="F4188" s="1">
        <v>2</v>
      </c>
      <c r="G4188" s="1" t="s">
        <v>28</v>
      </c>
      <c r="H4188" s="4" t="str">
        <f>HYPERLINK("https://www.ncbi.nlm.nih.gov/geo/query/acc.cgi?acc=GSM992313","GSM992313")</f>
        <v>GSM992313</v>
      </c>
      <c r="I4188" t="s">
        <v>177</v>
      </c>
      <c r="J4188" t="s">
        <v>178</v>
      </c>
      <c r="K4188" t="s">
        <v>19</v>
      </c>
      <c r="L4188" t="s">
        <v>44</v>
      </c>
      <c r="M4188" t="s">
        <v>34</v>
      </c>
      <c r="N4188" t="s">
        <v>29</v>
      </c>
    </row>
    <row r="4189" spans="1:14">
      <c r="A4189" s="4" t="str">
        <f t="shared" si="398"/>
        <v>EXP00137</v>
      </c>
      <c r="B4189" s="4" t="str">
        <f t="shared" si="396"/>
        <v>25552933</v>
      </c>
      <c r="C4189" s="4" t="str">
        <f t="shared" si="397"/>
        <v>GSE40367</v>
      </c>
      <c r="D4189" s="1" t="s">
        <v>45</v>
      </c>
      <c r="E4189" t="s">
        <v>273</v>
      </c>
      <c r="F4189" s="1">
        <v>2</v>
      </c>
      <c r="G4189" s="1" t="s">
        <v>28</v>
      </c>
      <c r="H4189" s="4" t="str">
        <f>HYPERLINK("https://www.ncbi.nlm.nih.gov/geo/query/acc.cgi?acc=GSM992315","GSM992315")</f>
        <v>GSM992315</v>
      </c>
      <c r="I4189" t="s">
        <v>177</v>
      </c>
      <c r="J4189" t="s">
        <v>178</v>
      </c>
      <c r="K4189" t="s">
        <v>19</v>
      </c>
      <c r="L4189" t="s">
        <v>44</v>
      </c>
      <c r="M4189" t="s">
        <v>34</v>
      </c>
      <c r="N4189" t="s">
        <v>29</v>
      </c>
    </row>
    <row r="4190" spans="1:14">
      <c r="A4190" s="4" t="str">
        <f t="shared" si="398"/>
        <v>EXP00137</v>
      </c>
      <c r="B4190" s="4" t="str">
        <f t="shared" si="396"/>
        <v>25552933</v>
      </c>
      <c r="C4190" s="4" t="str">
        <f t="shared" si="397"/>
        <v>GSE40367</v>
      </c>
      <c r="D4190" s="1" t="s">
        <v>45</v>
      </c>
      <c r="E4190" t="s">
        <v>273</v>
      </c>
      <c r="F4190" s="1">
        <v>2</v>
      </c>
      <c r="G4190" s="1" t="s">
        <v>28</v>
      </c>
      <c r="H4190" s="4" t="str">
        <f>HYPERLINK("https://www.ncbi.nlm.nih.gov/geo/query/acc.cgi?acc=GSM992317","GSM992317")</f>
        <v>GSM992317</v>
      </c>
      <c r="I4190" t="s">
        <v>177</v>
      </c>
      <c r="J4190" t="s">
        <v>178</v>
      </c>
      <c r="K4190" t="s">
        <v>19</v>
      </c>
      <c r="L4190" t="s">
        <v>44</v>
      </c>
      <c r="M4190" t="s">
        <v>34</v>
      </c>
      <c r="N4190" t="s">
        <v>29</v>
      </c>
    </row>
    <row r="4191" spans="1:14">
      <c r="A4191" s="4" t="str">
        <f t="shared" ref="A4191:A4204" si="399">HYPERLINK("http://hcmdb.i-sanger.com/experiment/details/experiment_id/EXP00138","EXP00138")</f>
        <v>EXP00138</v>
      </c>
      <c r="B4191" s="4" t="str">
        <f t="shared" si="396"/>
        <v>25552933</v>
      </c>
      <c r="C4191" s="4" t="str">
        <f t="shared" si="397"/>
        <v>GSE40367</v>
      </c>
      <c r="D4191" s="1" t="s">
        <v>45</v>
      </c>
      <c r="E4191" t="s">
        <v>274</v>
      </c>
      <c r="F4191" s="1">
        <v>1</v>
      </c>
      <c r="G4191" s="1" t="s">
        <v>26</v>
      </c>
      <c r="H4191" s="4" t="str">
        <f>HYPERLINK("https://www.ncbi.nlm.nih.gov/geo/query/acc.cgi?acc=GSM992319","GSM992319")</f>
        <v>GSM992319</v>
      </c>
      <c r="I4191" t="s">
        <v>177</v>
      </c>
      <c r="J4191" t="s">
        <v>178</v>
      </c>
      <c r="K4191" t="s">
        <v>19</v>
      </c>
      <c r="L4191" t="s">
        <v>44</v>
      </c>
      <c r="M4191" t="s">
        <v>41</v>
      </c>
      <c r="N4191" t="s">
        <v>22</v>
      </c>
    </row>
    <row r="4192" spans="1:14">
      <c r="A4192" s="4" t="str">
        <f t="shared" si="399"/>
        <v>EXP00138</v>
      </c>
      <c r="B4192" s="4" t="str">
        <f t="shared" si="396"/>
        <v>25552933</v>
      </c>
      <c r="C4192" s="4" t="str">
        <f t="shared" si="397"/>
        <v>GSE40367</v>
      </c>
      <c r="D4192" s="1" t="s">
        <v>45</v>
      </c>
      <c r="E4192" t="s">
        <v>274</v>
      </c>
      <c r="F4192" s="1">
        <v>1</v>
      </c>
      <c r="G4192" s="1" t="s">
        <v>26</v>
      </c>
      <c r="H4192" s="4" t="str">
        <f>HYPERLINK("https://www.ncbi.nlm.nih.gov/geo/query/acc.cgi?acc=GSM992321","GSM992321")</f>
        <v>GSM992321</v>
      </c>
      <c r="I4192" t="s">
        <v>177</v>
      </c>
      <c r="J4192" t="s">
        <v>178</v>
      </c>
      <c r="K4192" t="s">
        <v>19</v>
      </c>
      <c r="L4192" t="s">
        <v>44</v>
      </c>
      <c r="M4192" t="s">
        <v>41</v>
      </c>
      <c r="N4192" t="s">
        <v>22</v>
      </c>
    </row>
    <row r="4193" spans="1:14">
      <c r="A4193" s="4" t="str">
        <f t="shared" si="399"/>
        <v>EXP00138</v>
      </c>
      <c r="B4193" s="4" t="str">
        <f t="shared" si="396"/>
        <v>25552933</v>
      </c>
      <c r="C4193" s="4" t="str">
        <f t="shared" si="397"/>
        <v>GSE40367</v>
      </c>
      <c r="D4193" s="1" t="s">
        <v>45</v>
      </c>
      <c r="E4193" t="s">
        <v>274</v>
      </c>
      <c r="F4193" s="1">
        <v>1</v>
      </c>
      <c r="G4193" s="1" t="s">
        <v>26</v>
      </c>
      <c r="H4193" s="4" t="str">
        <f>HYPERLINK("https://www.ncbi.nlm.nih.gov/geo/query/acc.cgi?acc=GSM992323","GSM992323")</f>
        <v>GSM992323</v>
      </c>
      <c r="I4193" t="s">
        <v>177</v>
      </c>
      <c r="J4193" t="s">
        <v>178</v>
      </c>
      <c r="K4193" t="s">
        <v>19</v>
      </c>
      <c r="L4193" t="s">
        <v>44</v>
      </c>
      <c r="M4193" t="s">
        <v>41</v>
      </c>
      <c r="N4193" t="s">
        <v>22</v>
      </c>
    </row>
    <row r="4194" spans="1:14">
      <c r="A4194" s="4" t="str">
        <f t="shared" si="399"/>
        <v>EXP00138</v>
      </c>
      <c r="B4194" s="4" t="str">
        <f t="shared" si="396"/>
        <v>25552933</v>
      </c>
      <c r="C4194" s="4" t="str">
        <f t="shared" si="397"/>
        <v>GSE40367</v>
      </c>
      <c r="D4194" s="1" t="s">
        <v>45</v>
      </c>
      <c r="E4194" t="s">
        <v>274</v>
      </c>
      <c r="F4194" s="1">
        <v>1</v>
      </c>
      <c r="G4194" s="1" t="s">
        <v>26</v>
      </c>
      <c r="H4194" s="4" t="str">
        <f>HYPERLINK("https://www.ncbi.nlm.nih.gov/geo/query/acc.cgi?acc=GSM992324","GSM992324")</f>
        <v>GSM992324</v>
      </c>
      <c r="I4194" t="s">
        <v>177</v>
      </c>
      <c r="J4194" t="s">
        <v>178</v>
      </c>
      <c r="K4194" t="s">
        <v>19</v>
      </c>
      <c r="L4194" t="s">
        <v>44</v>
      </c>
      <c r="M4194" t="s">
        <v>41</v>
      </c>
      <c r="N4194" t="s">
        <v>22</v>
      </c>
    </row>
    <row r="4195" spans="1:14">
      <c r="A4195" s="4" t="str">
        <f t="shared" si="399"/>
        <v>EXP00138</v>
      </c>
      <c r="B4195" s="4" t="str">
        <f t="shared" si="396"/>
        <v>25552933</v>
      </c>
      <c r="C4195" s="4" t="str">
        <f t="shared" si="397"/>
        <v>GSE40367</v>
      </c>
      <c r="D4195" s="1" t="s">
        <v>45</v>
      </c>
      <c r="E4195" t="s">
        <v>274</v>
      </c>
      <c r="F4195" s="1">
        <v>1</v>
      </c>
      <c r="G4195" s="1" t="s">
        <v>26</v>
      </c>
      <c r="H4195" s="4" t="str">
        <f>HYPERLINK("https://www.ncbi.nlm.nih.gov/geo/query/acc.cgi?acc=GSM992325","GSM992325")</f>
        <v>GSM992325</v>
      </c>
      <c r="I4195" t="s">
        <v>177</v>
      </c>
      <c r="J4195" t="s">
        <v>178</v>
      </c>
      <c r="K4195" t="s">
        <v>19</v>
      </c>
      <c r="L4195" t="s">
        <v>44</v>
      </c>
      <c r="M4195" t="s">
        <v>41</v>
      </c>
      <c r="N4195" t="s">
        <v>22</v>
      </c>
    </row>
    <row r="4196" spans="1:14">
      <c r="A4196" s="4" t="str">
        <f t="shared" si="399"/>
        <v>EXP00138</v>
      </c>
      <c r="B4196" s="4" t="str">
        <f t="shared" si="396"/>
        <v>25552933</v>
      </c>
      <c r="C4196" s="4" t="str">
        <f t="shared" si="397"/>
        <v>GSE40367</v>
      </c>
      <c r="D4196" s="1" t="s">
        <v>45</v>
      </c>
      <c r="E4196" t="s">
        <v>274</v>
      </c>
      <c r="F4196" s="1">
        <v>1</v>
      </c>
      <c r="G4196" s="1" t="s">
        <v>26</v>
      </c>
      <c r="H4196" s="4" t="str">
        <f>HYPERLINK("https://www.ncbi.nlm.nih.gov/geo/query/acc.cgi?acc=GSM992326","GSM992326")</f>
        <v>GSM992326</v>
      </c>
      <c r="I4196" t="s">
        <v>177</v>
      </c>
      <c r="J4196" t="s">
        <v>178</v>
      </c>
      <c r="K4196" t="s">
        <v>19</v>
      </c>
      <c r="L4196" t="s">
        <v>44</v>
      </c>
      <c r="M4196" t="s">
        <v>41</v>
      </c>
      <c r="N4196" t="s">
        <v>22</v>
      </c>
    </row>
    <row r="4197" spans="1:14">
      <c r="A4197" s="4" t="str">
        <f t="shared" si="399"/>
        <v>EXP00138</v>
      </c>
      <c r="B4197" s="4" t="str">
        <f t="shared" si="396"/>
        <v>25552933</v>
      </c>
      <c r="C4197" s="4" t="str">
        <f t="shared" si="397"/>
        <v>GSE40367</v>
      </c>
      <c r="D4197" s="1" t="s">
        <v>45</v>
      </c>
      <c r="E4197" t="s">
        <v>274</v>
      </c>
      <c r="F4197" s="1">
        <v>1</v>
      </c>
      <c r="G4197" s="1" t="s">
        <v>26</v>
      </c>
      <c r="H4197" s="4" t="str">
        <f>HYPERLINK("https://www.ncbi.nlm.nih.gov/geo/query/acc.cgi?acc=GSM992327","GSM992327")</f>
        <v>GSM992327</v>
      </c>
      <c r="I4197" t="s">
        <v>177</v>
      </c>
      <c r="J4197" t="s">
        <v>178</v>
      </c>
      <c r="K4197" t="s">
        <v>19</v>
      </c>
      <c r="L4197" t="s">
        <v>44</v>
      </c>
      <c r="M4197" t="s">
        <v>41</v>
      </c>
      <c r="N4197" t="s">
        <v>22</v>
      </c>
    </row>
    <row r="4198" spans="1:14">
      <c r="A4198" s="4" t="str">
        <f t="shared" si="399"/>
        <v>EXP00138</v>
      </c>
      <c r="B4198" s="4" t="str">
        <f t="shared" si="396"/>
        <v>25552933</v>
      </c>
      <c r="C4198" s="4" t="str">
        <f t="shared" si="397"/>
        <v>GSE40367</v>
      </c>
      <c r="D4198" s="1" t="s">
        <v>45</v>
      </c>
      <c r="E4198" t="s">
        <v>274</v>
      </c>
      <c r="F4198" s="1">
        <v>1</v>
      </c>
      <c r="G4198" s="1" t="s">
        <v>26</v>
      </c>
      <c r="H4198" s="4" t="str">
        <f>HYPERLINK("https://www.ncbi.nlm.nih.gov/geo/query/acc.cgi?acc=GSM992328","GSM992328")</f>
        <v>GSM992328</v>
      </c>
      <c r="I4198" t="s">
        <v>177</v>
      </c>
      <c r="J4198" t="s">
        <v>178</v>
      </c>
      <c r="K4198" t="s">
        <v>19</v>
      </c>
      <c r="L4198" t="s">
        <v>44</v>
      </c>
      <c r="M4198" t="s">
        <v>41</v>
      </c>
      <c r="N4198" t="s">
        <v>22</v>
      </c>
    </row>
    <row r="4199" spans="1:14">
      <c r="A4199" s="4" t="str">
        <f t="shared" si="399"/>
        <v>EXP00138</v>
      </c>
      <c r="B4199" s="4" t="str">
        <f t="shared" si="396"/>
        <v>25552933</v>
      </c>
      <c r="C4199" s="4" t="str">
        <f t="shared" si="397"/>
        <v>GSE40367</v>
      </c>
      <c r="D4199" s="1" t="s">
        <v>45</v>
      </c>
      <c r="E4199" t="s">
        <v>274</v>
      </c>
      <c r="F4199" s="1">
        <v>1</v>
      </c>
      <c r="G4199" s="1" t="s">
        <v>26</v>
      </c>
      <c r="H4199" s="4" t="str">
        <f>HYPERLINK("https://www.ncbi.nlm.nih.gov/geo/query/acc.cgi?acc=GSM992329","GSM992329")</f>
        <v>GSM992329</v>
      </c>
      <c r="I4199" t="s">
        <v>177</v>
      </c>
      <c r="J4199" t="s">
        <v>178</v>
      </c>
      <c r="K4199" t="s">
        <v>19</v>
      </c>
      <c r="L4199" t="s">
        <v>44</v>
      </c>
      <c r="M4199" t="s">
        <v>41</v>
      </c>
      <c r="N4199" t="s">
        <v>22</v>
      </c>
    </row>
    <row r="4200" spans="1:14">
      <c r="A4200" s="4" t="str">
        <f t="shared" si="399"/>
        <v>EXP00138</v>
      </c>
      <c r="B4200" s="4" t="str">
        <f t="shared" si="396"/>
        <v>25552933</v>
      </c>
      <c r="C4200" s="4" t="str">
        <f t="shared" si="397"/>
        <v>GSE40367</v>
      </c>
      <c r="D4200" s="1" t="s">
        <v>45</v>
      </c>
      <c r="E4200" t="s">
        <v>274</v>
      </c>
      <c r="F4200" s="1">
        <v>1</v>
      </c>
      <c r="G4200" s="1" t="s">
        <v>26</v>
      </c>
      <c r="H4200" s="4" t="str">
        <f>HYPERLINK("https://www.ncbi.nlm.nih.gov/geo/query/acc.cgi?acc=GSM992330","GSM992330")</f>
        <v>GSM992330</v>
      </c>
      <c r="I4200" t="s">
        <v>177</v>
      </c>
      <c r="J4200" t="s">
        <v>178</v>
      </c>
      <c r="K4200" t="s">
        <v>19</v>
      </c>
      <c r="L4200" t="s">
        <v>44</v>
      </c>
      <c r="M4200" t="s">
        <v>41</v>
      </c>
      <c r="N4200" t="s">
        <v>22</v>
      </c>
    </row>
    <row r="4201" spans="1:14">
      <c r="A4201" s="4" t="str">
        <f t="shared" si="399"/>
        <v>EXP00138</v>
      </c>
      <c r="B4201" s="4" t="str">
        <f t="shared" si="396"/>
        <v>25552933</v>
      </c>
      <c r="C4201" s="4" t="str">
        <f t="shared" si="397"/>
        <v>GSE40367</v>
      </c>
      <c r="D4201" s="1" t="s">
        <v>45</v>
      </c>
      <c r="E4201" t="s">
        <v>274</v>
      </c>
      <c r="F4201" s="1">
        <v>1</v>
      </c>
      <c r="G4201" s="1" t="s">
        <v>26</v>
      </c>
      <c r="H4201" s="4" t="str">
        <f>HYPERLINK("https://www.ncbi.nlm.nih.gov/geo/query/acc.cgi?acc=GSM992331","GSM992331")</f>
        <v>GSM992331</v>
      </c>
      <c r="I4201" t="s">
        <v>177</v>
      </c>
      <c r="J4201" t="s">
        <v>178</v>
      </c>
      <c r="K4201" t="s">
        <v>19</v>
      </c>
      <c r="L4201" t="s">
        <v>44</v>
      </c>
      <c r="M4201" t="s">
        <v>41</v>
      </c>
      <c r="N4201" t="s">
        <v>22</v>
      </c>
    </row>
    <row r="4202" spans="1:14">
      <c r="A4202" s="4" t="str">
        <f t="shared" si="399"/>
        <v>EXP00138</v>
      </c>
      <c r="B4202" s="4" t="str">
        <f t="shared" si="396"/>
        <v>25552933</v>
      </c>
      <c r="C4202" s="4" t="str">
        <f t="shared" si="397"/>
        <v>GSE40367</v>
      </c>
      <c r="D4202" s="1" t="s">
        <v>45</v>
      </c>
      <c r="E4202" t="s">
        <v>274</v>
      </c>
      <c r="F4202" s="1">
        <v>1</v>
      </c>
      <c r="G4202" s="1" t="s">
        <v>26</v>
      </c>
      <c r="H4202" s="4" t="str">
        <f>HYPERLINK("https://www.ncbi.nlm.nih.gov/geo/query/acc.cgi?acc=GSM992332","GSM992332")</f>
        <v>GSM992332</v>
      </c>
      <c r="I4202" t="s">
        <v>177</v>
      </c>
      <c r="J4202" t="s">
        <v>178</v>
      </c>
      <c r="K4202" t="s">
        <v>19</v>
      </c>
      <c r="L4202" t="s">
        <v>44</v>
      </c>
      <c r="M4202" t="s">
        <v>41</v>
      </c>
      <c r="N4202" t="s">
        <v>22</v>
      </c>
    </row>
    <row r="4203" spans="1:14">
      <c r="A4203" s="4" t="str">
        <f t="shared" si="399"/>
        <v>EXP00138</v>
      </c>
      <c r="B4203" s="4" t="str">
        <f t="shared" si="396"/>
        <v>25552933</v>
      </c>
      <c r="C4203" s="4" t="str">
        <f t="shared" si="397"/>
        <v>GSE40367</v>
      </c>
      <c r="D4203" s="1" t="s">
        <v>45</v>
      </c>
      <c r="E4203" t="s">
        <v>274</v>
      </c>
      <c r="F4203" s="1">
        <v>2</v>
      </c>
      <c r="G4203" s="1" t="s">
        <v>28</v>
      </c>
      <c r="H4203" s="4" t="str">
        <f>HYPERLINK("https://www.ncbi.nlm.nih.gov/geo/query/acc.cgi?acc=GSM992320","GSM992320")</f>
        <v>GSM992320</v>
      </c>
      <c r="I4203" t="s">
        <v>177</v>
      </c>
      <c r="J4203" t="s">
        <v>178</v>
      </c>
      <c r="K4203" t="s">
        <v>19</v>
      </c>
      <c r="L4203" t="s">
        <v>44</v>
      </c>
      <c r="M4203" t="s">
        <v>41</v>
      </c>
      <c r="N4203" t="s">
        <v>29</v>
      </c>
    </row>
    <row r="4204" spans="1:14">
      <c r="A4204" s="4" t="str">
        <f t="shared" si="399"/>
        <v>EXP00138</v>
      </c>
      <c r="B4204" s="4" t="str">
        <f t="shared" si="396"/>
        <v>25552933</v>
      </c>
      <c r="C4204" s="4" t="str">
        <f t="shared" si="397"/>
        <v>GSE40367</v>
      </c>
      <c r="D4204" s="1" t="s">
        <v>45</v>
      </c>
      <c r="E4204" t="s">
        <v>274</v>
      </c>
      <c r="F4204" s="1">
        <v>2</v>
      </c>
      <c r="G4204" s="1" t="s">
        <v>28</v>
      </c>
      <c r="H4204" s="4" t="str">
        <f>HYPERLINK("https://www.ncbi.nlm.nih.gov/geo/query/acc.cgi?acc=GSM992322","GSM992322")</f>
        <v>GSM992322</v>
      </c>
      <c r="I4204" t="s">
        <v>177</v>
      </c>
      <c r="J4204" t="s">
        <v>178</v>
      </c>
      <c r="K4204" t="s">
        <v>19</v>
      </c>
      <c r="L4204" t="s">
        <v>44</v>
      </c>
      <c r="M4204" t="s">
        <v>41</v>
      </c>
      <c r="N4204" t="s">
        <v>29</v>
      </c>
    </row>
    <row r="4205" spans="1:14">
      <c r="A4205" s="4" t="str">
        <f t="shared" ref="A4205:A4209" si="400">HYPERLINK("http://hcmdb.i-sanger.com/experiment/details/experiment_id/EXP00139","EXP00139")</f>
        <v>EXP00139</v>
      </c>
      <c r="B4205" s="4" t="str">
        <f t="shared" si="396"/>
        <v>25552933</v>
      </c>
      <c r="C4205" s="4" t="str">
        <f t="shared" si="397"/>
        <v>GSE40367</v>
      </c>
      <c r="D4205" s="1" t="s">
        <v>45</v>
      </c>
      <c r="E4205" t="s">
        <v>275</v>
      </c>
      <c r="F4205" s="1">
        <v>1</v>
      </c>
      <c r="G4205" s="1" t="s">
        <v>276</v>
      </c>
      <c r="H4205" s="4" t="str">
        <f>HYPERLINK("https://www.ncbi.nlm.nih.gov/geo/query/acc.cgi?acc=GSM992313","GSM992313")</f>
        <v>GSM992313</v>
      </c>
      <c r="I4205" t="s">
        <v>177</v>
      </c>
      <c r="J4205" t="s">
        <v>178</v>
      </c>
      <c r="K4205" t="s">
        <v>19</v>
      </c>
      <c r="L4205" t="s">
        <v>44</v>
      </c>
      <c r="M4205" t="s">
        <v>34</v>
      </c>
      <c r="N4205" t="s">
        <v>29</v>
      </c>
    </row>
    <row r="4206" spans="1:14">
      <c r="A4206" s="4" t="str">
        <f t="shared" si="400"/>
        <v>EXP00139</v>
      </c>
      <c r="B4206" s="4" t="str">
        <f t="shared" si="396"/>
        <v>25552933</v>
      </c>
      <c r="C4206" s="4" t="str">
        <f t="shared" si="397"/>
        <v>GSE40367</v>
      </c>
      <c r="D4206" s="1" t="s">
        <v>45</v>
      </c>
      <c r="E4206" t="s">
        <v>275</v>
      </c>
      <c r="F4206" s="1">
        <v>1</v>
      </c>
      <c r="G4206" s="1" t="s">
        <v>276</v>
      </c>
      <c r="H4206" s="4" t="str">
        <f>HYPERLINK("https://www.ncbi.nlm.nih.gov/geo/query/acc.cgi?acc=GSM992315","GSM992315")</f>
        <v>GSM992315</v>
      </c>
      <c r="I4206" t="s">
        <v>177</v>
      </c>
      <c r="J4206" t="s">
        <v>178</v>
      </c>
      <c r="K4206" t="s">
        <v>19</v>
      </c>
      <c r="L4206" t="s">
        <v>44</v>
      </c>
      <c r="M4206" t="s">
        <v>34</v>
      </c>
      <c r="N4206" t="s">
        <v>29</v>
      </c>
    </row>
    <row r="4207" spans="1:14">
      <c r="A4207" s="4" t="str">
        <f t="shared" si="400"/>
        <v>EXP00139</v>
      </c>
      <c r="B4207" s="4" t="str">
        <f t="shared" si="396"/>
        <v>25552933</v>
      </c>
      <c r="C4207" s="4" t="str">
        <f t="shared" si="397"/>
        <v>GSE40367</v>
      </c>
      <c r="D4207" s="1" t="s">
        <v>45</v>
      </c>
      <c r="E4207" t="s">
        <v>275</v>
      </c>
      <c r="F4207" s="1">
        <v>1</v>
      </c>
      <c r="G4207" s="1" t="s">
        <v>276</v>
      </c>
      <c r="H4207" s="4" t="str">
        <f>HYPERLINK("https://www.ncbi.nlm.nih.gov/geo/query/acc.cgi?acc=GSM992317","GSM992317")</f>
        <v>GSM992317</v>
      </c>
      <c r="I4207" t="s">
        <v>177</v>
      </c>
      <c r="J4207" t="s">
        <v>178</v>
      </c>
      <c r="K4207" t="s">
        <v>19</v>
      </c>
      <c r="L4207" t="s">
        <v>44</v>
      </c>
      <c r="M4207" t="s">
        <v>34</v>
      </c>
      <c r="N4207" t="s">
        <v>29</v>
      </c>
    </row>
    <row r="4208" spans="1:14">
      <c r="A4208" s="4" t="str">
        <f t="shared" si="400"/>
        <v>EXP00139</v>
      </c>
      <c r="B4208" s="4" t="str">
        <f t="shared" si="396"/>
        <v>25552933</v>
      </c>
      <c r="C4208" s="4" t="str">
        <f t="shared" si="397"/>
        <v>GSE40367</v>
      </c>
      <c r="D4208" s="1" t="s">
        <v>45</v>
      </c>
      <c r="E4208" t="s">
        <v>275</v>
      </c>
      <c r="F4208" s="1">
        <v>2</v>
      </c>
      <c r="G4208" s="1" t="s">
        <v>277</v>
      </c>
      <c r="H4208" s="4" t="str">
        <f>HYPERLINK("https://www.ncbi.nlm.nih.gov/geo/query/acc.cgi?acc=GSM992320","GSM992320")</f>
        <v>GSM992320</v>
      </c>
      <c r="I4208" t="s">
        <v>177</v>
      </c>
      <c r="J4208" t="s">
        <v>178</v>
      </c>
      <c r="K4208" t="s">
        <v>19</v>
      </c>
      <c r="L4208" t="s">
        <v>44</v>
      </c>
      <c r="M4208" t="s">
        <v>41</v>
      </c>
      <c r="N4208" t="s">
        <v>29</v>
      </c>
    </row>
    <row r="4209" spans="1:14">
      <c r="A4209" s="4" t="str">
        <f t="shared" si="400"/>
        <v>EXP00139</v>
      </c>
      <c r="B4209" s="4" t="str">
        <f t="shared" si="396"/>
        <v>25552933</v>
      </c>
      <c r="C4209" s="4" t="str">
        <f t="shared" si="397"/>
        <v>GSE40367</v>
      </c>
      <c r="D4209" s="1" t="s">
        <v>45</v>
      </c>
      <c r="E4209" t="s">
        <v>275</v>
      </c>
      <c r="F4209" s="1">
        <v>2</v>
      </c>
      <c r="G4209" s="1" t="s">
        <v>277</v>
      </c>
      <c r="H4209" s="4" t="str">
        <f>HYPERLINK("https://www.ncbi.nlm.nih.gov/geo/query/acc.cgi?acc=GSM992322","GSM992322")</f>
        <v>GSM992322</v>
      </c>
      <c r="I4209" t="s">
        <v>177</v>
      </c>
      <c r="J4209" t="s">
        <v>178</v>
      </c>
      <c r="K4209" t="s">
        <v>19</v>
      </c>
      <c r="L4209" t="s">
        <v>44</v>
      </c>
      <c r="M4209" t="s">
        <v>41</v>
      </c>
      <c r="N4209" t="s">
        <v>29</v>
      </c>
    </row>
    <row r="4210" spans="1:14">
      <c r="A4210" s="4" t="str">
        <f t="shared" ref="A4210:A4224" si="401">HYPERLINK("http://hcmdb.i-sanger.com/experiment/details/experiment_id/EXP00140","EXP00140")</f>
        <v>EXP00140</v>
      </c>
      <c r="B4210" s="4" t="str">
        <f t="shared" si="396"/>
        <v>25552933</v>
      </c>
      <c r="C4210" s="4" t="str">
        <f t="shared" si="397"/>
        <v>GSE40367</v>
      </c>
      <c r="D4210" s="1" t="s">
        <v>45</v>
      </c>
      <c r="E4210" t="s">
        <v>278</v>
      </c>
      <c r="F4210" s="1">
        <v>1</v>
      </c>
      <c r="G4210" s="1" t="s">
        <v>279</v>
      </c>
      <c r="H4210" s="4" t="str">
        <f>HYPERLINK("https://www.ncbi.nlm.nih.gov/geo/query/acc.cgi?acc=GSM992312","GSM992312")</f>
        <v>GSM992312</v>
      </c>
      <c r="I4210" t="s">
        <v>177</v>
      </c>
      <c r="J4210" t="s">
        <v>178</v>
      </c>
      <c r="K4210" t="s">
        <v>19</v>
      </c>
      <c r="L4210" t="s">
        <v>44</v>
      </c>
      <c r="M4210" t="s">
        <v>34</v>
      </c>
      <c r="N4210" t="s">
        <v>22</v>
      </c>
    </row>
    <row r="4211" spans="1:14">
      <c r="A4211" s="4" t="str">
        <f t="shared" si="401"/>
        <v>EXP00140</v>
      </c>
      <c r="B4211" s="4" t="str">
        <f t="shared" si="396"/>
        <v>25552933</v>
      </c>
      <c r="C4211" s="4" t="str">
        <f t="shared" si="397"/>
        <v>GSE40367</v>
      </c>
      <c r="D4211" s="1" t="s">
        <v>45</v>
      </c>
      <c r="E4211" t="s">
        <v>278</v>
      </c>
      <c r="F4211" s="1">
        <v>1</v>
      </c>
      <c r="G4211" s="1" t="s">
        <v>279</v>
      </c>
      <c r="H4211" s="4" t="str">
        <f>HYPERLINK("https://www.ncbi.nlm.nih.gov/geo/query/acc.cgi?acc=GSM992314","GSM992314")</f>
        <v>GSM992314</v>
      </c>
      <c r="I4211" t="s">
        <v>177</v>
      </c>
      <c r="J4211" t="s">
        <v>178</v>
      </c>
      <c r="K4211" t="s">
        <v>19</v>
      </c>
      <c r="L4211" t="s">
        <v>44</v>
      </c>
      <c r="M4211" t="s">
        <v>34</v>
      </c>
      <c r="N4211" t="s">
        <v>22</v>
      </c>
    </row>
    <row r="4212" spans="1:14">
      <c r="A4212" s="4" t="str">
        <f t="shared" si="401"/>
        <v>EXP00140</v>
      </c>
      <c r="B4212" s="4" t="str">
        <f t="shared" si="396"/>
        <v>25552933</v>
      </c>
      <c r="C4212" s="4" t="str">
        <f t="shared" si="397"/>
        <v>GSE40367</v>
      </c>
      <c r="D4212" s="1" t="s">
        <v>45</v>
      </c>
      <c r="E4212" t="s">
        <v>278</v>
      </c>
      <c r="F4212" s="1">
        <v>1</v>
      </c>
      <c r="G4212" s="1" t="s">
        <v>279</v>
      </c>
      <c r="H4212" s="4" t="str">
        <f>HYPERLINK("https://www.ncbi.nlm.nih.gov/geo/query/acc.cgi?acc=GSM992316","GSM992316")</f>
        <v>GSM992316</v>
      </c>
      <c r="I4212" t="s">
        <v>177</v>
      </c>
      <c r="J4212" t="s">
        <v>178</v>
      </c>
      <c r="K4212" t="s">
        <v>19</v>
      </c>
      <c r="L4212" t="s">
        <v>44</v>
      </c>
      <c r="M4212" t="s">
        <v>34</v>
      </c>
      <c r="N4212" t="s">
        <v>22</v>
      </c>
    </row>
    <row r="4213" spans="1:14">
      <c r="A4213" s="4" t="str">
        <f t="shared" si="401"/>
        <v>EXP00140</v>
      </c>
      <c r="B4213" s="4" t="str">
        <f t="shared" si="396"/>
        <v>25552933</v>
      </c>
      <c r="C4213" s="4" t="str">
        <f t="shared" si="397"/>
        <v>GSE40367</v>
      </c>
      <c r="D4213" s="1" t="s">
        <v>45</v>
      </c>
      <c r="E4213" t="s">
        <v>278</v>
      </c>
      <c r="F4213" s="1">
        <v>2</v>
      </c>
      <c r="G4213" s="1" t="s">
        <v>280</v>
      </c>
      <c r="H4213" s="4" t="str">
        <f>HYPERLINK("https://www.ncbi.nlm.nih.gov/geo/query/acc.cgi?acc=GSM992319","GSM992319")</f>
        <v>GSM992319</v>
      </c>
      <c r="I4213" t="s">
        <v>177</v>
      </c>
      <c r="J4213" t="s">
        <v>178</v>
      </c>
      <c r="K4213" t="s">
        <v>19</v>
      </c>
      <c r="L4213" t="s">
        <v>44</v>
      </c>
      <c r="M4213" t="s">
        <v>41</v>
      </c>
      <c r="N4213" t="s">
        <v>22</v>
      </c>
    </row>
    <row r="4214" spans="1:14">
      <c r="A4214" s="4" t="str">
        <f t="shared" si="401"/>
        <v>EXP00140</v>
      </c>
      <c r="B4214" s="4" t="str">
        <f t="shared" si="396"/>
        <v>25552933</v>
      </c>
      <c r="C4214" s="4" t="str">
        <f t="shared" si="397"/>
        <v>GSE40367</v>
      </c>
      <c r="D4214" s="1" t="s">
        <v>45</v>
      </c>
      <c r="E4214" t="s">
        <v>278</v>
      </c>
      <c r="F4214" s="1">
        <v>2</v>
      </c>
      <c r="G4214" s="1" t="s">
        <v>280</v>
      </c>
      <c r="H4214" s="4" t="str">
        <f>HYPERLINK("https://www.ncbi.nlm.nih.gov/geo/query/acc.cgi?acc=GSM992321","GSM992321")</f>
        <v>GSM992321</v>
      </c>
      <c r="I4214" t="s">
        <v>177</v>
      </c>
      <c r="J4214" t="s">
        <v>178</v>
      </c>
      <c r="K4214" t="s">
        <v>19</v>
      </c>
      <c r="L4214" t="s">
        <v>44</v>
      </c>
      <c r="M4214" t="s">
        <v>41</v>
      </c>
      <c r="N4214" t="s">
        <v>22</v>
      </c>
    </row>
    <row r="4215" spans="1:14">
      <c r="A4215" s="4" t="str">
        <f t="shared" si="401"/>
        <v>EXP00140</v>
      </c>
      <c r="B4215" s="4" t="str">
        <f t="shared" si="396"/>
        <v>25552933</v>
      </c>
      <c r="C4215" s="4" t="str">
        <f t="shared" si="397"/>
        <v>GSE40367</v>
      </c>
      <c r="D4215" s="1" t="s">
        <v>45</v>
      </c>
      <c r="E4215" t="s">
        <v>278</v>
      </c>
      <c r="F4215" s="1">
        <v>2</v>
      </c>
      <c r="G4215" s="1" t="s">
        <v>280</v>
      </c>
      <c r="H4215" s="4" t="str">
        <f>HYPERLINK("https://www.ncbi.nlm.nih.gov/geo/query/acc.cgi?acc=GSM992323","GSM992323")</f>
        <v>GSM992323</v>
      </c>
      <c r="I4215" t="s">
        <v>177</v>
      </c>
      <c r="J4215" t="s">
        <v>178</v>
      </c>
      <c r="K4215" t="s">
        <v>19</v>
      </c>
      <c r="L4215" t="s">
        <v>44</v>
      </c>
      <c r="M4215" t="s">
        <v>41</v>
      </c>
      <c r="N4215" t="s">
        <v>22</v>
      </c>
    </row>
    <row r="4216" spans="1:14">
      <c r="A4216" s="4" t="str">
        <f t="shared" si="401"/>
        <v>EXP00140</v>
      </c>
      <c r="B4216" s="4" t="str">
        <f t="shared" si="396"/>
        <v>25552933</v>
      </c>
      <c r="C4216" s="4" t="str">
        <f t="shared" si="397"/>
        <v>GSE40367</v>
      </c>
      <c r="D4216" s="1" t="s">
        <v>45</v>
      </c>
      <c r="E4216" t="s">
        <v>278</v>
      </c>
      <c r="F4216" s="1">
        <v>2</v>
      </c>
      <c r="G4216" s="1" t="s">
        <v>280</v>
      </c>
      <c r="H4216" s="4" t="str">
        <f>HYPERLINK("https://www.ncbi.nlm.nih.gov/geo/query/acc.cgi?acc=GSM992324","GSM992324")</f>
        <v>GSM992324</v>
      </c>
      <c r="I4216" t="s">
        <v>177</v>
      </c>
      <c r="J4216" t="s">
        <v>178</v>
      </c>
      <c r="K4216" t="s">
        <v>19</v>
      </c>
      <c r="L4216" t="s">
        <v>44</v>
      </c>
      <c r="M4216" t="s">
        <v>41</v>
      </c>
      <c r="N4216" t="s">
        <v>22</v>
      </c>
    </row>
    <row r="4217" spans="1:14">
      <c r="A4217" s="4" t="str">
        <f t="shared" si="401"/>
        <v>EXP00140</v>
      </c>
      <c r="B4217" s="4" t="str">
        <f t="shared" si="396"/>
        <v>25552933</v>
      </c>
      <c r="C4217" s="4" t="str">
        <f t="shared" si="397"/>
        <v>GSE40367</v>
      </c>
      <c r="D4217" s="1" t="s">
        <v>45</v>
      </c>
      <c r="E4217" t="s">
        <v>278</v>
      </c>
      <c r="F4217" s="1">
        <v>2</v>
      </c>
      <c r="G4217" s="1" t="s">
        <v>280</v>
      </c>
      <c r="H4217" s="4" t="str">
        <f>HYPERLINK("https://www.ncbi.nlm.nih.gov/geo/query/acc.cgi?acc=GSM992325","GSM992325")</f>
        <v>GSM992325</v>
      </c>
      <c r="I4217" t="s">
        <v>177</v>
      </c>
      <c r="J4217" t="s">
        <v>178</v>
      </c>
      <c r="K4217" t="s">
        <v>19</v>
      </c>
      <c r="L4217" t="s">
        <v>44</v>
      </c>
      <c r="M4217" t="s">
        <v>41</v>
      </c>
      <c r="N4217" t="s">
        <v>22</v>
      </c>
    </row>
    <row r="4218" spans="1:14">
      <c r="A4218" s="4" t="str">
        <f t="shared" si="401"/>
        <v>EXP00140</v>
      </c>
      <c r="B4218" s="4" t="str">
        <f t="shared" si="396"/>
        <v>25552933</v>
      </c>
      <c r="C4218" s="4" t="str">
        <f t="shared" si="397"/>
        <v>GSE40367</v>
      </c>
      <c r="D4218" s="1" t="s">
        <v>45</v>
      </c>
      <c r="E4218" t="s">
        <v>278</v>
      </c>
      <c r="F4218" s="1">
        <v>2</v>
      </c>
      <c r="G4218" s="1" t="s">
        <v>280</v>
      </c>
      <c r="H4218" s="4" t="str">
        <f>HYPERLINK("https://www.ncbi.nlm.nih.gov/geo/query/acc.cgi?acc=GSM992326","GSM992326")</f>
        <v>GSM992326</v>
      </c>
      <c r="I4218" t="s">
        <v>177</v>
      </c>
      <c r="J4218" t="s">
        <v>178</v>
      </c>
      <c r="K4218" t="s">
        <v>19</v>
      </c>
      <c r="L4218" t="s">
        <v>44</v>
      </c>
      <c r="M4218" t="s">
        <v>41</v>
      </c>
      <c r="N4218" t="s">
        <v>22</v>
      </c>
    </row>
    <row r="4219" spans="1:14">
      <c r="A4219" s="4" t="str">
        <f t="shared" si="401"/>
        <v>EXP00140</v>
      </c>
      <c r="B4219" s="4" t="str">
        <f t="shared" si="396"/>
        <v>25552933</v>
      </c>
      <c r="C4219" s="4" t="str">
        <f t="shared" si="397"/>
        <v>GSE40367</v>
      </c>
      <c r="D4219" s="1" t="s">
        <v>45</v>
      </c>
      <c r="E4219" t="s">
        <v>278</v>
      </c>
      <c r="F4219" s="1">
        <v>2</v>
      </c>
      <c r="G4219" s="1" t="s">
        <v>280</v>
      </c>
      <c r="H4219" s="4" t="str">
        <f>HYPERLINK("https://www.ncbi.nlm.nih.gov/geo/query/acc.cgi?acc=GSM992327","GSM992327")</f>
        <v>GSM992327</v>
      </c>
      <c r="I4219" t="s">
        <v>177</v>
      </c>
      <c r="J4219" t="s">
        <v>178</v>
      </c>
      <c r="K4219" t="s">
        <v>19</v>
      </c>
      <c r="L4219" t="s">
        <v>44</v>
      </c>
      <c r="M4219" t="s">
        <v>41</v>
      </c>
      <c r="N4219" t="s">
        <v>22</v>
      </c>
    </row>
    <row r="4220" spans="1:14">
      <c r="A4220" s="4" t="str">
        <f t="shared" si="401"/>
        <v>EXP00140</v>
      </c>
      <c r="B4220" s="4" t="str">
        <f t="shared" si="396"/>
        <v>25552933</v>
      </c>
      <c r="C4220" s="4" t="str">
        <f t="shared" si="397"/>
        <v>GSE40367</v>
      </c>
      <c r="D4220" s="1" t="s">
        <v>45</v>
      </c>
      <c r="E4220" t="s">
        <v>278</v>
      </c>
      <c r="F4220" s="1">
        <v>2</v>
      </c>
      <c r="G4220" s="1" t="s">
        <v>280</v>
      </c>
      <c r="H4220" s="4" t="str">
        <f>HYPERLINK("https://www.ncbi.nlm.nih.gov/geo/query/acc.cgi?acc=GSM992328","GSM992328")</f>
        <v>GSM992328</v>
      </c>
      <c r="I4220" t="s">
        <v>177</v>
      </c>
      <c r="J4220" t="s">
        <v>178</v>
      </c>
      <c r="K4220" t="s">
        <v>19</v>
      </c>
      <c r="L4220" t="s">
        <v>44</v>
      </c>
      <c r="M4220" t="s">
        <v>41</v>
      </c>
      <c r="N4220" t="s">
        <v>22</v>
      </c>
    </row>
    <row r="4221" spans="1:14">
      <c r="A4221" s="4" t="str">
        <f t="shared" si="401"/>
        <v>EXP00140</v>
      </c>
      <c r="B4221" s="4" t="str">
        <f t="shared" si="396"/>
        <v>25552933</v>
      </c>
      <c r="C4221" s="4" t="str">
        <f t="shared" si="397"/>
        <v>GSE40367</v>
      </c>
      <c r="D4221" s="1" t="s">
        <v>45</v>
      </c>
      <c r="E4221" t="s">
        <v>278</v>
      </c>
      <c r="F4221" s="1">
        <v>2</v>
      </c>
      <c r="G4221" s="1" t="s">
        <v>280</v>
      </c>
      <c r="H4221" s="4" t="str">
        <f>HYPERLINK("https://www.ncbi.nlm.nih.gov/geo/query/acc.cgi?acc=GSM992329","GSM992329")</f>
        <v>GSM992329</v>
      </c>
      <c r="I4221" t="s">
        <v>177</v>
      </c>
      <c r="J4221" t="s">
        <v>178</v>
      </c>
      <c r="K4221" t="s">
        <v>19</v>
      </c>
      <c r="L4221" t="s">
        <v>44</v>
      </c>
      <c r="M4221" t="s">
        <v>41</v>
      </c>
      <c r="N4221" t="s">
        <v>22</v>
      </c>
    </row>
    <row r="4222" spans="1:14">
      <c r="A4222" s="4" t="str">
        <f t="shared" si="401"/>
        <v>EXP00140</v>
      </c>
      <c r="B4222" s="4" t="str">
        <f t="shared" si="396"/>
        <v>25552933</v>
      </c>
      <c r="C4222" s="4" t="str">
        <f t="shared" si="397"/>
        <v>GSE40367</v>
      </c>
      <c r="D4222" s="1" t="s">
        <v>45</v>
      </c>
      <c r="E4222" t="s">
        <v>278</v>
      </c>
      <c r="F4222" s="1">
        <v>2</v>
      </c>
      <c r="G4222" s="1" t="s">
        <v>280</v>
      </c>
      <c r="H4222" s="4" t="str">
        <f>HYPERLINK("https://www.ncbi.nlm.nih.gov/geo/query/acc.cgi?acc=GSM992330","GSM992330")</f>
        <v>GSM992330</v>
      </c>
      <c r="I4222" t="s">
        <v>177</v>
      </c>
      <c r="J4222" t="s">
        <v>178</v>
      </c>
      <c r="K4222" t="s">
        <v>19</v>
      </c>
      <c r="L4222" t="s">
        <v>44</v>
      </c>
      <c r="M4222" t="s">
        <v>41</v>
      </c>
      <c r="N4222" t="s">
        <v>22</v>
      </c>
    </row>
    <row r="4223" spans="1:14">
      <c r="A4223" s="4" t="str">
        <f t="shared" si="401"/>
        <v>EXP00140</v>
      </c>
      <c r="B4223" s="4" t="str">
        <f t="shared" si="396"/>
        <v>25552933</v>
      </c>
      <c r="C4223" s="4" t="str">
        <f t="shared" si="397"/>
        <v>GSE40367</v>
      </c>
      <c r="D4223" s="1" t="s">
        <v>45</v>
      </c>
      <c r="E4223" t="s">
        <v>278</v>
      </c>
      <c r="F4223" s="1">
        <v>2</v>
      </c>
      <c r="G4223" s="1" t="s">
        <v>280</v>
      </c>
      <c r="H4223" s="4" t="str">
        <f>HYPERLINK("https://www.ncbi.nlm.nih.gov/geo/query/acc.cgi?acc=GSM992331","GSM992331")</f>
        <v>GSM992331</v>
      </c>
      <c r="I4223" t="s">
        <v>177</v>
      </c>
      <c r="J4223" t="s">
        <v>178</v>
      </c>
      <c r="K4223" t="s">
        <v>19</v>
      </c>
      <c r="L4223" t="s">
        <v>44</v>
      </c>
      <c r="M4223" t="s">
        <v>41</v>
      </c>
      <c r="N4223" t="s">
        <v>22</v>
      </c>
    </row>
    <row r="4224" spans="1:14">
      <c r="A4224" s="4" t="str">
        <f t="shared" si="401"/>
        <v>EXP00140</v>
      </c>
      <c r="B4224" s="4" t="str">
        <f t="shared" si="396"/>
        <v>25552933</v>
      </c>
      <c r="C4224" s="4" t="str">
        <f t="shared" si="397"/>
        <v>GSE40367</v>
      </c>
      <c r="D4224" s="1" t="s">
        <v>45</v>
      </c>
      <c r="E4224" t="s">
        <v>278</v>
      </c>
      <c r="F4224" s="1">
        <v>2</v>
      </c>
      <c r="G4224" s="1" t="s">
        <v>280</v>
      </c>
      <c r="H4224" s="4" t="str">
        <f>HYPERLINK("https://www.ncbi.nlm.nih.gov/geo/query/acc.cgi?acc=GSM992332","GSM992332")</f>
        <v>GSM992332</v>
      </c>
      <c r="I4224" t="s">
        <v>177</v>
      </c>
      <c r="J4224" t="s">
        <v>178</v>
      </c>
      <c r="K4224" t="s">
        <v>19</v>
      </c>
      <c r="L4224" t="s">
        <v>44</v>
      </c>
      <c r="M4224" t="s">
        <v>41</v>
      </c>
      <c r="N4224" t="s">
        <v>22</v>
      </c>
    </row>
    <row r="4225" spans="1:14">
      <c r="A4225" s="4" t="str">
        <f t="shared" ref="A4225:A4231" si="402">HYPERLINK("http://hcmdb.i-sanger.com/experiment/details/experiment_id/EXP00141","EXP00141")</f>
        <v>EXP00141</v>
      </c>
      <c r="B4225" s="4" t="str">
        <f t="shared" si="396"/>
        <v>25552933</v>
      </c>
      <c r="C4225" s="4" t="str">
        <f t="shared" si="397"/>
        <v>GSE40367</v>
      </c>
      <c r="D4225" s="1" t="s">
        <v>45</v>
      </c>
      <c r="E4225" t="s">
        <v>281</v>
      </c>
      <c r="F4225" s="1">
        <v>1</v>
      </c>
      <c r="G4225" s="1" t="s">
        <v>26</v>
      </c>
      <c r="H4225" s="4" t="str">
        <f>HYPERLINK("https://www.ncbi.nlm.nih.gov/geo/query/acc.cgi?acc=GSM992302","GSM992302")</f>
        <v>GSM992302</v>
      </c>
      <c r="I4225" t="s">
        <v>177</v>
      </c>
      <c r="J4225" t="s">
        <v>248</v>
      </c>
      <c r="K4225" t="s">
        <v>19</v>
      </c>
      <c r="L4225" t="s">
        <v>44</v>
      </c>
      <c r="M4225" t="s">
        <v>24</v>
      </c>
      <c r="N4225" t="s">
        <v>22</v>
      </c>
    </row>
    <row r="4226" spans="1:14">
      <c r="A4226" s="4" t="str">
        <f t="shared" si="402"/>
        <v>EXP00141</v>
      </c>
      <c r="B4226" s="4" t="str">
        <f t="shared" si="396"/>
        <v>25552933</v>
      </c>
      <c r="C4226" s="4" t="str">
        <f t="shared" si="397"/>
        <v>GSE40367</v>
      </c>
      <c r="D4226" s="1" t="s">
        <v>45</v>
      </c>
      <c r="E4226" t="s">
        <v>281</v>
      </c>
      <c r="F4226" s="1">
        <v>1</v>
      </c>
      <c r="G4226" s="1" t="s">
        <v>26</v>
      </c>
      <c r="H4226" s="4" t="str">
        <f>HYPERLINK("https://www.ncbi.nlm.nih.gov/geo/query/acc.cgi?acc=GSM992304","GSM992304")</f>
        <v>GSM992304</v>
      </c>
      <c r="I4226" t="s">
        <v>177</v>
      </c>
      <c r="J4226" t="s">
        <v>248</v>
      </c>
      <c r="K4226" t="s">
        <v>19</v>
      </c>
      <c r="L4226" t="s">
        <v>44</v>
      </c>
      <c r="M4226" t="s">
        <v>24</v>
      </c>
      <c r="N4226" t="s">
        <v>22</v>
      </c>
    </row>
    <row r="4227" spans="1:14">
      <c r="A4227" s="4" t="str">
        <f t="shared" si="402"/>
        <v>EXP00141</v>
      </c>
      <c r="B4227" s="4" t="str">
        <f t="shared" si="396"/>
        <v>25552933</v>
      </c>
      <c r="C4227" s="4" t="str">
        <f t="shared" si="397"/>
        <v>GSE40367</v>
      </c>
      <c r="D4227" s="1" t="s">
        <v>45</v>
      </c>
      <c r="E4227" t="s">
        <v>281</v>
      </c>
      <c r="F4227" s="1">
        <v>1</v>
      </c>
      <c r="G4227" s="1" t="s">
        <v>26</v>
      </c>
      <c r="H4227" s="4" t="str">
        <f>HYPERLINK("https://www.ncbi.nlm.nih.gov/geo/query/acc.cgi?acc=GSM992310","GSM992310")</f>
        <v>GSM992310</v>
      </c>
      <c r="I4227" t="s">
        <v>177</v>
      </c>
      <c r="J4227" t="s">
        <v>248</v>
      </c>
      <c r="K4227" t="s">
        <v>19</v>
      </c>
      <c r="L4227" t="s">
        <v>44</v>
      </c>
      <c r="M4227" t="s">
        <v>24</v>
      </c>
      <c r="N4227" t="s">
        <v>22</v>
      </c>
    </row>
    <row r="4228" spans="1:14">
      <c r="A4228" s="4" t="str">
        <f t="shared" si="402"/>
        <v>EXP00141</v>
      </c>
      <c r="B4228" s="4" t="str">
        <f t="shared" si="396"/>
        <v>25552933</v>
      </c>
      <c r="C4228" s="4" t="str">
        <f t="shared" si="397"/>
        <v>GSE40367</v>
      </c>
      <c r="D4228" s="1" t="s">
        <v>45</v>
      </c>
      <c r="E4228" t="s">
        <v>281</v>
      </c>
      <c r="F4228" s="1">
        <v>2</v>
      </c>
      <c r="G4228" s="1" t="s">
        <v>28</v>
      </c>
      <c r="H4228" s="4" t="str">
        <f>HYPERLINK("https://www.ncbi.nlm.nih.gov/geo/query/acc.cgi?acc=GSM992303","GSM992303")</f>
        <v>GSM992303</v>
      </c>
      <c r="I4228" t="s">
        <v>177</v>
      </c>
      <c r="J4228" t="s">
        <v>248</v>
      </c>
      <c r="K4228" t="s">
        <v>19</v>
      </c>
      <c r="L4228" t="s">
        <v>44</v>
      </c>
      <c r="M4228" t="s">
        <v>24</v>
      </c>
      <c r="N4228" t="s">
        <v>29</v>
      </c>
    </row>
    <row r="4229" spans="1:14">
      <c r="A4229" s="4" t="str">
        <f t="shared" si="402"/>
        <v>EXP00141</v>
      </c>
      <c r="B4229" s="4" t="str">
        <f t="shared" si="396"/>
        <v>25552933</v>
      </c>
      <c r="C4229" s="4" t="str">
        <f t="shared" si="397"/>
        <v>GSE40367</v>
      </c>
      <c r="D4229" s="1" t="s">
        <v>45</v>
      </c>
      <c r="E4229" t="s">
        <v>281</v>
      </c>
      <c r="F4229" s="1">
        <v>2</v>
      </c>
      <c r="G4229" s="1" t="s">
        <v>28</v>
      </c>
      <c r="H4229" s="4" t="str">
        <f>HYPERLINK("https://www.ncbi.nlm.nih.gov/geo/query/acc.cgi?acc=GSM992305","GSM992305")</f>
        <v>GSM992305</v>
      </c>
      <c r="I4229" t="s">
        <v>177</v>
      </c>
      <c r="J4229" t="s">
        <v>248</v>
      </c>
      <c r="K4229" t="s">
        <v>19</v>
      </c>
      <c r="L4229" t="s">
        <v>44</v>
      </c>
      <c r="M4229" t="s">
        <v>24</v>
      </c>
      <c r="N4229" t="s">
        <v>29</v>
      </c>
    </row>
    <row r="4230" spans="1:14">
      <c r="A4230" s="4" t="str">
        <f t="shared" si="402"/>
        <v>EXP00141</v>
      </c>
      <c r="B4230" s="4" t="str">
        <f t="shared" si="396"/>
        <v>25552933</v>
      </c>
      <c r="C4230" s="4" t="str">
        <f t="shared" si="397"/>
        <v>GSE40367</v>
      </c>
      <c r="D4230" s="1" t="s">
        <v>45</v>
      </c>
      <c r="E4230" t="s">
        <v>281</v>
      </c>
      <c r="F4230" s="1">
        <v>2</v>
      </c>
      <c r="G4230" s="1" t="s">
        <v>28</v>
      </c>
      <c r="H4230" s="4" t="str">
        <f>HYPERLINK("https://www.ncbi.nlm.nih.gov/geo/query/acc.cgi?acc=GSM992311","GSM992311")</f>
        <v>GSM992311</v>
      </c>
      <c r="I4230" t="s">
        <v>177</v>
      </c>
      <c r="J4230" t="s">
        <v>248</v>
      </c>
      <c r="K4230" t="s">
        <v>19</v>
      </c>
      <c r="L4230" t="s">
        <v>44</v>
      </c>
      <c r="M4230" t="s">
        <v>24</v>
      </c>
      <c r="N4230" t="s">
        <v>29</v>
      </c>
    </row>
    <row r="4231" spans="1:14">
      <c r="A4231" s="4" t="str">
        <f t="shared" si="402"/>
        <v>EXP00141</v>
      </c>
      <c r="B4231" s="4" t="str">
        <f t="shared" si="396"/>
        <v>25552933</v>
      </c>
      <c r="C4231" s="4" t="str">
        <f t="shared" si="397"/>
        <v>GSE40367</v>
      </c>
      <c r="D4231" s="1" t="s">
        <v>45</v>
      </c>
      <c r="E4231" t="s">
        <v>281</v>
      </c>
      <c r="F4231" s="1">
        <v>2</v>
      </c>
      <c r="G4231" s="1" t="s">
        <v>28</v>
      </c>
      <c r="H4231" s="4" t="str">
        <f>HYPERLINK("https://www.ncbi.nlm.nih.gov/geo/query/acc.cgi?acc=GSM992318","GSM992318")</f>
        <v>GSM992318</v>
      </c>
      <c r="I4231" t="s">
        <v>177</v>
      </c>
      <c r="J4231" t="s">
        <v>248</v>
      </c>
      <c r="K4231" t="s">
        <v>19</v>
      </c>
      <c r="L4231" t="s">
        <v>44</v>
      </c>
      <c r="M4231" t="s">
        <v>41</v>
      </c>
      <c r="N4231" t="s">
        <v>29</v>
      </c>
    </row>
    <row r="4232" spans="1:14">
      <c r="A4232" s="4" t="str">
        <f t="shared" ref="A4232:A4253" si="403">HYPERLINK("http://hcmdb.i-sanger.com/experiment/details/experiment_id/EXP00142","EXP00142")</f>
        <v>EXP00142</v>
      </c>
      <c r="B4232" s="4" t="str">
        <f t="shared" si="396"/>
        <v>25552933</v>
      </c>
      <c r="C4232" s="4" t="str">
        <f t="shared" si="397"/>
        <v>GSE40367</v>
      </c>
      <c r="D4232" s="1" t="s">
        <v>45</v>
      </c>
      <c r="E4232" t="s">
        <v>282</v>
      </c>
      <c r="F4232" s="1">
        <v>1</v>
      </c>
      <c r="G4232" s="1" t="s">
        <v>26</v>
      </c>
      <c r="H4232" s="4" t="str">
        <f>HYPERLINK("https://www.ncbi.nlm.nih.gov/geo/query/acc.cgi?acc=GSM992308","GSM992308")</f>
        <v>GSM992308</v>
      </c>
      <c r="I4232" t="s">
        <v>177</v>
      </c>
      <c r="J4232" t="s">
        <v>178</v>
      </c>
      <c r="K4232" t="s">
        <v>19</v>
      </c>
      <c r="L4232" t="s">
        <v>44</v>
      </c>
      <c r="M4232" t="s">
        <v>24</v>
      </c>
      <c r="N4232" t="s">
        <v>22</v>
      </c>
    </row>
    <row r="4233" spans="1:14">
      <c r="A4233" s="4" t="str">
        <f t="shared" si="403"/>
        <v>EXP00142</v>
      </c>
      <c r="B4233" s="4" t="str">
        <f t="shared" si="396"/>
        <v>25552933</v>
      </c>
      <c r="C4233" s="4" t="str">
        <f t="shared" si="397"/>
        <v>GSE40367</v>
      </c>
      <c r="D4233" s="1" t="s">
        <v>45</v>
      </c>
      <c r="E4233" t="s">
        <v>282</v>
      </c>
      <c r="F4233" s="1">
        <v>1</v>
      </c>
      <c r="G4233" s="1" t="s">
        <v>26</v>
      </c>
      <c r="H4233" s="4" t="str">
        <f>HYPERLINK("https://www.ncbi.nlm.nih.gov/geo/query/acc.cgi?acc=GSM992312","GSM992312")</f>
        <v>GSM992312</v>
      </c>
      <c r="I4233" t="s">
        <v>177</v>
      </c>
      <c r="J4233" t="s">
        <v>178</v>
      </c>
      <c r="K4233" t="s">
        <v>19</v>
      </c>
      <c r="L4233" t="s">
        <v>44</v>
      </c>
      <c r="M4233" t="s">
        <v>34</v>
      </c>
      <c r="N4233" t="s">
        <v>22</v>
      </c>
    </row>
    <row r="4234" spans="1:14">
      <c r="A4234" s="4" t="str">
        <f t="shared" si="403"/>
        <v>EXP00142</v>
      </c>
      <c r="B4234" s="4" t="str">
        <f t="shared" si="396"/>
        <v>25552933</v>
      </c>
      <c r="C4234" s="4" t="str">
        <f t="shared" si="397"/>
        <v>GSE40367</v>
      </c>
      <c r="D4234" s="1" t="s">
        <v>45</v>
      </c>
      <c r="E4234" t="s">
        <v>282</v>
      </c>
      <c r="F4234" s="1">
        <v>1</v>
      </c>
      <c r="G4234" s="1" t="s">
        <v>26</v>
      </c>
      <c r="H4234" s="4" t="str">
        <f>HYPERLINK("https://www.ncbi.nlm.nih.gov/geo/query/acc.cgi?acc=GSM992314","GSM992314")</f>
        <v>GSM992314</v>
      </c>
      <c r="I4234" t="s">
        <v>177</v>
      </c>
      <c r="J4234" t="s">
        <v>178</v>
      </c>
      <c r="K4234" t="s">
        <v>19</v>
      </c>
      <c r="L4234" t="s">
        <v>44</v>
      </c>
      <c r="M4234" t="s">
        <v>34</v>
      </c>
      <c r="N4234" t="s">
        <v>22</v>
      </c>
    </row>
    <row r="4235" spans="1:14">
      <c r="A4235" s="4" t="str">
        <f t="shared" si="403"/>
        <v>EXP00142</v>
      </c>
      <c r="B4235" s="4" t="str">
        <f t="shared" si="396"/>
        <v>25552933</v>
      </c>
      <c r="C4235" s="4" t="str">
        <f t="shared" si="397"/>
        <v>GSE40367</v>
      </c>
      <c r="D4235" s="1" t="s">
        <v>45</v>
      </c>
      <c r="E4235" t="s">
        <v>282</v>
      </c>
      <c r="F4235" s="1">
        <v>1</v>
      </c>
      <c r="G4235" s="1" t="s">
        <v>26</v>
      </c>
      <c r="H4235" s="4" t="str">
        <f>HYPERLINK("https://www.ncbi.nlm.nih.gov/geo/query/acc.cgi?acc=GSM992316","GSM992316")</f>
        <v>GSM992316</v>
      </c>
      <c r="I4235" t="s">
        <v>177</v>
      </c>
      <c r="J4235" t="s">
        <v>178</v>
      </c>
      <c r="K4235" t="s">
        <v>19</v>
      </c>
      <c r="L4235" t="s">
        <v>44</v>
      </c>
      <c r="M4235" t="s">
        <v>34</v>
      </c>
      <c r="N4235" t="s">
        <v>22</v>
      </c>
    </row>
    <row r="4236" spans="1:14">
      <c r="A4236" s="4" t="str">
        <f t="shared" si="403"/>
        <v>EXP00142</v>
      </c>
      <c r="B4236" s="4" t="str">
        <f t="shared" si="396"/>
        <v>25552933</v>
      </c>
      <c r="C4236" s="4" t="str">
        <f t="shared" si="397"/>
        <v>GSE40367</v>
      </c>
      <c r="D4236" s="1" t="s">
        <v>45</v>
      </c>
      <c r="E4236" t="s">
        <v>282</v>
      </c>
      <c r="F4236" s="1">
        <v>1</v>
      </c>
      <c r="G4236" s="1" t="s">
        <v>26</v>
      </c>
      <c r="H4236" s="4" t="str">
        <f>HYPERLINK("https://www.ncbi.nlm.nih.gov/geo/query/acc.cgi?acc=GSM992319","GSM992319")</f>
        <v>GSM992319</v>
      </c>
      <c r="I4236" t="s">
        <v>177</v>
      </c>
      <c r="J4236" t="s">
        <v>178</v>
      </c>
      <c r="K4236" t="s">
        <v>19</v>
      </c>
      <c r="L4236" t="s">
        <v>44</v>
      </c>
      <c r="M4236" t="s">
        <v>41</v>
      </c>
      <c r="N4236" t="s">
        <v>22</v>
      </c>
    </row>
    <row r="4237" spans="1:14">
      <c r="A4237" s="4" t="str">
        <f t="shared" si="403"/>
        <v>EXP00142</v>
      </c>
      <c r="B4237" s="4" t="str">
        <f t="shared" si="396"/>
        <v>25552933</v>
      </c>
      <c r="C4237" s="4" t="str">
        <f t="shared" si="397"/>
        <v>GSE40367</v>
      </c>
      <c r="D4237" s="1" t="s">
        <v>45</v>
      </c>
      <c r="E4237" t="s">
        <v>282</v>
      </c>
      <c r="F4237" s="1">
        <v>1</v>
      </c>
      <c r="G4237" s="1" t="s">
        <v>26</v>
      </c>
      <c r="H4237" s="4" t="str">
        <f>HYPERLINK("https://www.ncbi.nlm.nih.gov/geo/query/acc.cgi?acc=GSM992321","GSM992321")</f>
        <v>GSM992321</v>
      </c>
      <c r="I4237" t="s">
        <v>177</v>
      </c>
      <c r="J4237" t="s">
        <v>178</v>
      </c>
      <c r="K4237" t="s">
        <v>19</v>
      </c>
      <c r="L4237" t="s">
        <v>44</v>
      </c>
      <c r="M4237" t="s">
        <v>41</v>
      </c>
      <c r="N4237" t="s">
        <v>22</v>
      </c>
    </row>
    <row r="4238" spans="1:14">
      <c r="A4238" s="4" t="str">
        <f t="shared" si="403"/>
        <v>EXP00142</v>
      </c>
      <c r="B4238" s="4" t="str">
        <f t="shared" si="396"/>
        <v>25552933</v>
      </c>
      <c r="C4238" s="4" t="str">
        <f t="shared" si="397"/>
        <v>GSE40367</v>
      </c>
      <c r="D4238" s="1" t="s">
        <v>45</v>
      </c>
      <c r="E4238" t="s">
        <v>282</v>
      </c>
      <c r="F4238" s="1">
        <v>1</v>
      </c>
      <c r="G4238" s="1" t="s">
        <v>26</v>
      </c>
      <c r="H4238" s="4" t="str">
        <f>HYPERLINK("https://www.ncbi.nlm.nih.gov/geo/query/acc.cgi?acc=GSM992323","GSM992323")</f>
        <v>GSM992323</v>
      </c>
      <c r="I4238" t="s">
        <v>177</v>
      </c>
      <c r="J4238" t="s">
        <v>178</v>
      </c>
      <c r="K4238" t="s">
        <v>19</v>
      </c>
      <c r="L4238" t="s">
        <v>44</v>
      </c>
      <c r="M4238" t="s">
        <v>41</v>
      </c>
      <c r="N4238" t="s">
        <v>22</v>
      </c>
    </row>
    <row r="4239" spans="1:14">
      <c r="A4239" s="4" t="str">
        <f t="shared" si="403"/>
        <v>EXP00142</v>
      </c>
      <c r="B4239" s="4" t="str">
        <f t="shared" si="396"/>
        <v>25552933</v>
      </c>
      <c r="C4239" s="4" t="str">
        <f t="shared" si="397"/>
        <v>GSE40367</v>
      </c>
      <c r="D4239" s="1" t="s">
        <v>45</v>
      </c>
      <c r="E4239" t="s">
        <v>282</v>
      </c>
      <c r="F4239" s="1">
        <v>1</v>
      </c>
      <c r="G4239" s="1" t="s">
        <v>26</v>
      </c>
      <c r="H4239" s="4" t="str">
        <f>HYPERLINK("https://www.ncbi.nlm.nih.gov/geo/query/acc.cgi?acc=GSM992324","GSM992324")</f>
        <v>GSM992324</v>
      </c>
      <c r="I4239" t="s">
        <v>177</v>
      </c>
      <c r="J4239" t="s">
        <v>178</v>
      </c>
      <c r="K4239" t="s">
        <v>19</v>
      </c>
      <c r="L4239" t="s">
        <v>44</v>
      </c>
      <c r="M4239" t="s">
        <v>41</v>
      </c>
      <c r="N4239" t="s">
        <v>22</v>
      </c>
    </row>
    <row r="4240" spans="1:14">
      <c r="A4240" s="4" t="str">
        <f t="shared" si="403"/>
        <v>EXP00142</v>
      </c>
      <c r="B4240" s="4" t="str">
        <f t="shared" ref="B4240:B4269" si="404">HYPERLINK("https://www.ncbi.nlm.nih.gov/pubmed/25552933","25552933")</f>
        <v>25552933</v>
      </c>
      <c r="C4240" s="4" t="str">
        <f t="shared" ref="C4240:C4269" si="405">HYPERLINK("https://www.ncbi.nlm.nih.gov/geo/query/acc.cgi?acc=GSE40367","GSE40367")</f>
        <v>GSE40367</v>
      </c>
      <c r="D4240" s="1" t="s">
        <v>45</v>
      </c>
      <c r="E4240" t="s">
        <v>282</v>
      </c>
      <c r="F4240" s="1">
        <v>1</v>
      </c>
      <c r="G4240" s="1" t="s">
        <v>26</v>
      </c>
      <c r="H4240" s="4" t="str">
        <f>HYPERLINK("https://www.ncbi.nlm.nih.gov/geo/query/acc.cgi?acc=GSM992325","GSM992325")</f>
        <v>GSM992325</v>
      </c>
      <c r="I4240" t="s">
        <v>177</v>
      </c>
      <c r="J4240" t="s">
        <v>178</v>
      </c>
      <c r="K4240" t="s">
        <v>19</v>
      </c>
      <c r="L4240" t="s">
        <v>44</v>
      </c>
      <c r="M4240" t="s">
        <v>41</v>
      </c>
      <c r="N4240" t="s">
        <v>22</v>
      </c>
    </row>
    <row r="4241" spans="1:14">
      <c r="A4241" s="4" t="str">
        <f t="shared" si="403"/>
        <v>EXP00142</v>
      </c>
      <c r="B4241" s="4" t="str">
        <f t="shared" si="404"/>
        <v>25552933</v>
      </c>
      <c r="C4241" s="4" t="str">
        <f t="shared" si="405"/>
        <v>GSE40367</v>
      </c>
      <c r="D4241" s="1" t="s">
        <v>45</v>
      </c>
      <c r="E4241" t="s">
        <v>282</v>
      </c>
      <c r="F4241" s="1">
        <v>1</v>
      </c>
      <c r="G4241" s="1" t="s">
        <v>26</v>
      </c>
      <c r="H4241" s="4" t="str">
        <f>HYPERLINK("https://www.ncbi.nlm.nih.gov/geo/query/acc.cgi?acc=GSM992326","GSM992326")</f>
        <v>GSM992326</v>
      </c>
      <c r="I4241" t="s">
        <v>177</v>
      </c>
      <c r="J4241" t="s">
        <v>178</v>
      </c>
      <c r="K4241" t="s">
        <v>19</v>
      </c>
      <c r="L4241" t="s">
        <v>44</v>
      </c>
      <c r="M4241" t="s">
        <v>41</v>
      </c>
      <c r="N4241" t="s">
        <v>22</v>
      </c>
    </row>
    <row r="4242" spans="1:14">
      <c r="A4242" s="4" t="str">
        <f t="shared" si="403"/>
        <v>EXP00142</v>
      </c>
      <c r="B4242" s="4" t="str">
        <f t="shared" si="404"/>
        <v>25552933</v>
      </c>
      <c r="C4242" s="4" t="str">
        <f t="shared" si="405"/>
        <v>GSE40367</v>
      </c>
      <c r="D4242" s="1" t="s">
        <v>45</v>
      </c>
      <c r="E4242" t="s">
        <v>282</v>
      </c>
      <c r="F4242" s="1">
        <v>1</v>
      </c>
      <c r="G4242" s="1" t="s">
        <v>26</v>
      </c>
      <c r="H4242" s="4" t="str">
        <f>HYPERLINK("https://www.ncbi.nlm.nih.gov/geo/query/acc.cgi?acc=GSM992327","GSM992327")</f>
        <v>GSM992327</v>
      </c>
      <c r="I4242" t="s">
        <v>177</v>
      </c>
      <c r="J4242" t="s">
        <v>178</v>
      </c>
      <c r="K4242" t="s">
        <v>19</v>
      </c>
      <c r="L4242" t="s">
        <v>44</v>
      </c>
      <c r="M4242" t="s">
        <v>41</v>
      </c>
      <c r="N4242" t="s">
        <v>22</v>
      </c>
    </row>
    <row r="4243" spans="1:14">
      <c r="A4243" s="4" t="str">
        <f t="shared" si="403"/>
        <v>EXP00142</v>
      </c>
      <c r="B4243" s="4" t="str">
        <f t="shared" si="404"/>
        <v>25552933</v>
      </c>
      <c r="C4243" s="4" t="str">
        <f t="shared" si="405"/>
        <v>GSE40367</v>
      </c>
      <c r="D4243" s="1" t="s">
        <v>45</v>
      </c>
      <c r="E4243" t="s">
        <v>282</v>
      </c>
      <c r="F4243" s="1">
        <v>1</v>
      </c>
      <c r="G4243" s="1" t="s">
        <v>26</v>
      </c>
      <c r="H4243" s="4" t="str">
        <f>HYPERLINK("https://www.ncbi.nlm.nih.gov/geo/query/acc.cgi?acc=GSM992328","GSM992328")</f>
        <v>GSM992328</v>
      </c>
      <c r="I4243" t="s">
        <v>177</v>
      </c>
      <c r="J4243" t="s">
        <v>178</v>
      </c>
      <c r="K4243" t="s">
        <v>19</v>
      </c>
      <c r="L4243" t="s">
        <v>44</v>
      </c>
      <c r="M4243" t="s">
        <v>41</v>
      </c>
      <c r="N4243" t="s">
        <v>22</v>
      </c>
    </row>
    <row r="4244" spans="1:14">
      <c r="A4244" s="4" t="str">
        <f t="shared" si="403"/>
        <v>EXP00142</v>
      </c>
      <c r="B4244" s="4" t="str">
        <f t="shared" si="404"/>
        <v>25552933</v>
      </c>
      <c r="C4244" s="4" t="str">
        <f t="shared" si="405"/>
        <v>GSE40367</v>
      </c>
      <c r="D4244" s="1" t="s">
        <v>45</v>
      </c>
      <c r="E4244" t="s">
        <v>282</v>
      </c>
      <c r="F4244" s="1">
        <v>1</v>
      </c>
      <c r="G4244" s="1" t="s">
        <v>26</v>
      </c>
      <c r="H4244" s="4" t="str">
        <f>HYPERLINK("https://www.ncbi.nlm.nih.gov/geo/query/acc.cgi?acc=GSM992329","GSM992329")</f>
        <v>GSM992329</v>
      </c>
      <c r="I4244" t="s">
        <v>177</v>
      </c>
      <c r="J4244" t="s">
        <v>178</v>
      </c>
      <c r="K4244" t="s">
        <v>19</v>
      </c>
      <c r="L4244" t="s">
        <v>44</v>
      </c>
      <c r="M4244" t="s">
        <v>41</v>
      </c>
      <c r="N4244" t="s">
        <v>22</v>
      </c>
    </row>
    <row r="4245" spans="1:14">
      <c r="A4245" s="4" t="str">
        <f t="shared" si="403"/>
        <v>EXP00142</v>
      </c>
      <c r="B4245" s="4" t="str">
        <f t="shared" si="404"/>
        <v>25552933</v>
      </c>
      <c r="C4245" s="4" t="str">
        <f t="shared" si="405"/>
        <v>GSE40367</v>
      </c>
      <c r="D4245" s="1" t="s">
        <v>45</v>
      </c>
      <c r="E4245" t="s">
        <v>282</v>
      </c>
      <c r="F4245" s="1">
        <v>1</v>
      </c>
      <c r="G4245" s="1" t="s">
        <v>26</v>
      </c>
      <c r="H4245" s="4" t="str">
        <f>HYPERLINK("https://www.ncbi.nlm.nih.gov/geo/query/acc.cgi?acc=GSM992330","GSM992330")</f>
        <v>GSM992330</v>
      </c>
      <c r="I4245" t="s">
        <v>177</v>
      </c>
      <c r="J4245" t="s">
        <v>178</v>
      </c>
      <c r="K4245" t="s">
        <v>19</v>
      </c>
      <c r="L4245" t="s">
        <v>44</v>
      </c>
      <c r="M4245" t="s">
        <v>41</v>
      </c>
      <c r="N4245" t="s">
        <v>22</v>
      </c>
    </row>
    <row r="4246" spans="1:14">
      <c r="A4246" s="4" t="str">
        <f t="shared" si="403"/>
        <v>EXP00142</v>
      </c>
      <c r="B4246" s="4" t="str">
        <f t="shared" si="404"/>
        <v>25552933</v>
      </c>
      <c r="C4246" s="4" t="str">
        <f t="shared" si="405"/>
        <v>GSE40367</v>
      </c>
      <c r="D4246" s="1" t="s">
        <v>45</v>
      </c>
      <c r="E4246" t="s">
        <v>282</v>
      </c>
      <c r="F4246" s="1">
        <v>1</v>
      </c>
      <c r="G4246" s="1" t="s">
        <v>26</v>
      </c>
      <c r="H4246" s="4" t="str">
        <f>HYPERLINK("https://www.ncbi.nlm.nih.gov/geo/query/acc.cgi?acc=GSM992331","GSM992331")</f>
        <v>GSM992331</v>
      </c>
      <c r="I4246" t="s">
        <v>177</v>
      </c>
      <c r="J4246" t="s">
        <v>178</v>
      </c>
      <c r="K4246" t="s">
        <v>19</v>
      </c>
      <c r="L4246" t="s">
        <v>44</v>
      </c>
      <c r="M4246" t="s">
        <v>41</v>
      </c>
      <c r="N4246" t="s">
        <v>22</v>
      </c>
    </row>
    <row r="4247" spans="1:14">
      <c r="A4247" s="4" t="str">
        <f t="shared" si="403"/>
        <v>EXP00142</v>
      </c>
      <c r="B4247" s="4" t="str">
        <f t="shared" si="404"/>
        <v>25552933</v>
      </c>
      <c r="C4247" s="4" t="str">
        <f t="shared" si="405"/>
        <v>GSE40367</v>
      </c>
      <c r="D4247" s="1" t="s">
        <v>45</v>
      </c>
      <c r="E4247" t="s">
        <v>282</v>
      </c>
      <c r="F4247" s="1">
        <v>1</v>
      </c>
      <c r="G4247" s="1" t="s">
        <v>26</v>
      </c>
      <c r="H4247" s="4" t="str">
        <f>HYPERLINK("https://www.ncbi.nlm.nih.gov/geo/query/acc.cgi?acc=GSM992332","GSM992332")</f>
        <v>GSM992332</v>
      </c>
      <c r="I4247" t="s">
        <v>177</v>
      </c>
      <c r="J4247" t="s">
        <v>178</v>
      </c>
      <c r="K4247" t="s">
        <v>19</v>
      </c>
      <c r="L4247" t="s">
        <v>44</v>
      </c>
      <c r="M4247" t="s">
        <v>41</v>
      </c>
      <c r="N4247" t="s">
        <v>22</v>
      </c>
    </row>
    <row r="4248" spans="1:14">
      <c r="A4248" s="4" t="str">
        <f t="shared" si="403"/>
        <v>EXP00142</v>
      </c>
      <c r="B4248" s="4" t="str">
        <f t="shared" si="404"/>
        <v>25552933</v>
      </c>
      <c r="C4248" s="4" t="str">
        <f t="shared" si="405"/>
        <v>GSE40367</v>
      </c>
      <c r="D4248" s="1" t="s">
        <v>45</v>
      </c>
      <c r="E4248" t="s">
        <v>282</v>
      </c>
      <c r="F4248" s="1">
        <v>2</v>
      </c>
      <c r="G4248" s="1" t="s">
        <v>28</v>
      </c>
      <c r="H4248" s="4" t="str">
        <f>HYPERLINK("https://www.ncbi.nlm.nih.gov/geo/query/acc.cgi?acc=GSM992309","GSM992309")</f>
        <v>GSM992309</v>
      </c>
      <c r="I4248" t="s">
        <v>177</v>
      </c>
      <c r="J4248" t="s">
        <v>178</v>
      </c>
      <c r="K4248" t="s">
        <v>19</v>
      </c>
      <c r="L4248" t="s">
        <v>44</v>
      </c>
      <c r="M4248" t="s">
        <v>24</v>
      </c>
      <c r="N4248" t="s">
        <v>29</v>
      </c>
    </row>
    <row r="4249" spans="1:14">
      <c r="A4249" s="4" t="str">
        <f t="shared" si="403"/>
        <v>EXP00142</v>
      </c>
      <c r="B4249" s="4" t="str">
        <f t="shared" si="404"/>
        <v>25552933</v>
      </c>
      <c r="C4249" s="4" t="str">
        <f t="shared" si="405"/>
        <v>GSE40367</v>
      </c>
      <c r="D4249" s="1" t="s">
        <v>45</v>
      </c>
      <c r="E4249" t="s">
        <v>282</v>
      </c>
      <c r="F4249" s="1">
        <v>2</v>
      </c>
      <c r="G4249" s="1" t="s">
        <v>28</v>
      </c>
      <c r="H4249" s="4" t="str">
        <f>HYPERLINK("https://www.ncbi.nlm.nih.gov/geo/query/acc.cgi?acc=GSM992313","GSM992313")</f>
        <v>GSM992313</v>
      </c>
      <c r="I4249" t="s">
        <v>177</v>
      </c>
      <c r="J4249" t="s">
        <v>178</v>
      </c>
      <c r="K4249" t="s">
        <v>19</v>
      </c>
      <c r="L4249" t="s">
        <v>44</v>
      </c>
      <c r="M4249" t="s">
        <v>34</v>
      </c>
      <c r="N4249" t="s">
        <v>29</v>
      </c>
    </row>
    <row r="4250" spans="1:14">
      <c r="A4250" s="4" t="str">
        <f t="shared" si="403"/>
        <v>EXP00142</v>
      </c>
      <c r="B4250" s="4" t="str">
        <f t="shared" si="404"/>
        <v>25552933</v>
      </c>
      <c r="C4250" s="4" t="str">
        <f t="shared" si="405"/>
        <v>GSE40367</v>
      </c>
      <c r="D4250" s="1" t="s">
        <v>45</v>
      </c>
      <c r="E4250" t="s">
        <v>282</v>
      </c>
      <c r="F4250" s="1">
        <v>2</v>
      </c>
      <c r="G4250" s="1" t="s">
        <v>28</v>
      </c>
      <c r="H4250" s="4" t="str">
        <f>HYPERLINK("https://www.ncbi.nlm.nih.gov/geo/query/acc.cgi?acc=GSM992315","GSM992315")</f>
        <v>GSM992315</v>
      </c>
      <c r="I4250" t="s">
        <v>177</v>
      </c>
      <c r="J4250" t="s">
        <v>178</v>
      </c>
      <c r="K4250" t="s">
        <v>19</v>
      </c>
      <c r="L4250" t="s">
        <v>44</v>
      </c>
      <c r="M4250" t="s">
        <v>34</v>
      </c>
      <c r="N4250" t="s">
        <v>29</v>
      </c>
    </row>
    <row r="4251" spans="1:14">
      <c r="A4251" s="4" t="str">
        <f t="shared" si="403"/>
        <v>EXP00142</v>
      </c>
      <c r="B4251" s="4" t="str">
        <f t="shared" si="404"/>
        <v>25552933</v>
      </c>
      <c r="C4251" s="4" t="str">
        <f t="shared" si="405"/>
        <v>GSE40367</v>
      </c>
      <c r="D4251" s="1" t="s">
        <v>45</v>
      </c>
      <c r="E4251" t="s">
        <v>282</v>
      </c>
      <c r="F4251" s="1">
        <v>2</v>
      </c>
      <c r="G4251" s="1" t="s">
        <v>28</v>
      </c>
      <c r="H4251" s="4" t="str">
        <f>HYPERLINK("https://www.ncbi.nlm.nih.gov/geo/query/acc.cgi?acc=GSM992317","GSM992317")</f>
        <v>GSM992317</v>
      </c>
      <c r="I4251" t="s">
        <v>177</v>
      </c>
      <c r="J4251" t="s">
        <v>178</v>
      </c>
      <c r="K4251" t="s">
        <v>19</v>
      </c>
      <c r="L4251" t="s">
        <v>44</v>
      </c>
      <c r="M4251" t="s">
        <v>34</v>
      </c>
      <c r="N4251" t="s">
        <v>29</v>
      </c>
    </row>
    <row r="4252" spans="1:14">
      <c r="A4252" s="4" t="str">
        <f t="shared" si="403"/>
        <v>EXP00142</v>
      </c>
      <c r="B4252" s="4" t="str">
        <f t="shared" si="404"/>
        <v>25552933</v>
      </c>
      <c r="C4252" s="4" t="str">
        <f t="shared" si="405"/>
        <v>GSE40367</v>
      </c>
      <c r="D4252" s="1" t="s">
        <v>45</v>
      </c>
      <c r="E4252" t="s">
        <v>282</v>
      </c>
      <c r="F4252" s="1">
        <v>2</v>
      </c>
      <c r="G4252" s="1" t="s">
        <v>28</v>
      </c>
      <c r="H4252" s="4" t="str">
        <f>HYPERLINK("https://www.ncbi.nlm.nih.gov/geo/query/acc.cgi?acc=GSM992320","GSM992320")</f>
        <v>GSM992320</v>
      </c>
      <c r="I4252" t="s">
        <v>177</v>
      </c>
      <c r="J4252" t="s">
        <v>178</v>
      </c>
      <c r="K4252" t="s">
        <v>19</v>
      </c>
      <c r="L4252" t="s">
        <v>44</v>
      </c>
      <c r="M4252" t="s">
        <v>41</v>
      </c>
      <c r="N4252" t="s">
        <v>29</v>
      </c>
    </row>
    <row r="4253" spans="1:14">
      <c r="A4253" s="4" t="str">
        <f t="shared" si="403"/>
        <v>EXP00142</v>
      </c>
      <c r="B4253" s="4" t="str">
        <f t="shared" si="404"/>
        <v>25552933</v>
      </c>
      <c r="C4253" s="4" t="str">
        <f t="shared" si="405"/>
        <v>GSE40367</v>
      </c>
      <c r="D4253" s="1" t="s">
        <v>45</v>
      </c>
      <c r="E4253" t="s">
        <v>282</v>
      </c>
      <c r="F4253" s="1">
        <v>2</v>
      </c>
      <c r="G4253" s="1" t="s">
        <v>28</v>
      </c>
      <c r="H4253" s="4" t="str">
        <f>HYPERLINK("https://www.ncbi.nlm.nih.gov/geo/query/acc.cgi?acc=GSM992322","GSM992322")</f>
        <v>GSM992322</v>
      </c>
      <c r="I4253" t="s">
        <v>177</v>
      </c>
      <c r="J4253" t="s">
        <v>178</v>
      </c>
      <c r="K4253" t="s">
        <v>19</v>
      </c>
      <c r="L4253" t="s">
        <v>44</v>
      </c>
      <c r="M4253" t="s">
        <v>41</v>
      </c>
      <c r="N4253" t="s">
        <v>29</v>
      </c>
    </row>
    <row r="4254" spans="1:14">
      <c r="A4254" s="4" t="str">
        <f t="shared" ref="A4254:A4269" si="406">HYPERLINK("http://hcmdb.i-sanger.com/experiment/details/experiment_id/EXP00143","EXP00143")</f>
        <v>EXP00143</v>
      </c>
      <c r="B4254" s="4" t="str">
        <f t="shared" si="404"/>
        <v>25552933</v>
      </c>
      <c r="C4254" s="4" t="str">
        <f t="shared" si="405"/>
        <v>GSE40367</v>
      </c>
      <c r="D4254" s="1" t="s">
        <v>45</v>
      </c>
      <c r="E4254" t="s">
        <v>179</v>
      </c>
      <c r="F4254" s="1">
        <v>1</v>
      </c>
      <c r="G4254" s="1" t="s">
        <v>31</v>
      </c>
      <c r="H4254" s="4" t="str">
        <f>HYPERLINK("https://www.ncbi.nlm.nih.gov/geo/query/acc.cgi?acc=GSM992309","GSM992309")</f>
        <v>GSM992309</v>
      </c>
      <c r="I4254" t="s">
        <v>177</v>
      </c>
      <c r="J4254" t="s">
        <v>178</v>
      </c>
      <c r="K4254" t="s">
        <v>19</v>
      </c>
      <c r="L4254" t="s">
        <v>44</v>
      </c>
      <c r="M4254" t="s">
        <v>24</v>
      </c>
      <c r="N4254" t="s">
        <v>29</v>
      </c>
    </row>
    <row r="4255" spans="1:14">
      <c r="A4255" s="4" t="str">
        <f t="shared" si="406"/>
        <v>EXP00143</v>
      </c>
      <c r="B4255" s="4" t="str">
        <f t="shared" si="404"/>
        <v>25552933</v>
      </c>
      <c r="C4255" s="4" t="str">
        <f t="shared" si="405"/>
        <v>GSE40367</v>
      </c>
      <c r="D4255" s="1" t="s">
        <v>45</v>
      </c>
      <c r="E4255" t="s">
        <v>179</v>
      </c>
      <c r="F4255" s="1">
        <v>1</v>
      </c>
      <c r="G4255" s="1" t="s">
        <v>31</v>
      </c>
      <c r="H4255" s="4" t="str">
        <f>HYPERLINK("https://www.ncbi.nlm.nih.gov/geo/query/acc.cgi?acc=GSM992313","GSM992313")</f>
        <v>GSM992313</v>
      </c>
      <c r="I4255" t="s">
        <v>177</v>
      </c>
      <c r="J4255" t="s">
        <v>178</v>
      </c>
      <c r="K4255" t="s">
        <v>19</v>
      </c>
      <c r="L4255" t="s">
        <v>44</v>
      </c>
      <c r="M4255" t="s">
        <v>34</v>
      </c>
      <c r="N4255" t="s">
        <v>29</v>
      </c>
    </row>
    <row r="4256" spans="1:14">
      <c r="A4256" s="4" t="str">
        <f t="shared" si="406"/>
        <v>EXP00143</v>
      </c>
      <c r="B4256" s="4" t="str">
        <f t="shared" si="404"/>
        <v>25552933</v>
      </c>
      <c r="C4256" s="4" t="str">
        <f t="shared" si="405"/>
        <v>GSE40367</v>
      </c>
      <c r="D4256" s="1" t="s">
        <v>45</v>
      </c>
      <c r="E4256" t="s">
        <v>179</v>
      </c>
      <c r="F4256" s="1">
        <v>1</v>
      </c>
      <c r="G4256" s="1" t="s">
        <v>31</v>
      </c>
      <c r="H4256" s="4" t="str">
        <f>HYPERLINK("https://www.ncbi.nlm.nih.gov/geo/query/acc.cgi?acc=GSM992315","GSM992315")</f>
        <v>GSM992315</v>
      </c>
      <c r="I4256" t="s">
        <v>177</v>
      </c>
      <c r="J4256" t="s">
        <v>178</v>
      </c>
      <c r="K4256" t="s">
        <v>19</v>
      </c>
      <c r="L4256" t="s">
        <v>44</v>
      </c>
      <c r="M4256" t="s">
        <v>34</v>
      </c>
      <c r="N4256" t="s">
        <v>29</v>
      </c>
    </row>
    <row r="4257" spans="1:14">
      <c r="A4257" s="4" t="str">
        <f t="shared" si="406"/>
        <v>EXP00143</v>
      </c>
      <c r="B4257" s="4" t="str">
        <f t="shared" si="404"/>
        <v>25552933</v>
      </c>
      <c r="C4257" s="4" t="str">
        <f t="shared" si="405"/>
        <v>GSE40367</v>
      </c>
      <c r="D4257" s="1" t="s">
        <v>45</v>
      </c>
      <c r="E4257" t="s">
        <v>179</v>
      </c>
      <c r="F4257" s="1">
        <v>1</v>
      </c>
      <c r="G4257" s="1" t="s">
        <v>31</v>
      </c>
      <c r="H4257" s="4" t="str">
        <f>HYPERLINK("https://www.ncbi.nlm.nih.gov/geo/query/acc.cgi?acc=GSM992317","GSM992317")</f>
        <v>GSM992317</v>
      </c>
      <c r="I4257" t="s">
        <v>177</v>
      </c>
      <c r="J4257" t="s">
        <v>178</v>
      </c>
      <c r="K4257" t="s">
        <v>19</v>
      </c>
      <c r="L4257" t="s">
        <v>44</v>
      </c>
      <c r="M4257" t="s">
        <v>34</v>
      </c>
      <c r="N4257" t="s">
        <v>29</v>
      </c>
    </row>
    <row r="4258" spans="1:14">
      <c r="A4258" s="4" t="str">
        <f t="shared" si="406"/>
        <v>EXP00143</v>
      </c>
      <c r="B4258" s="4" t="str">
        <f t="shared" si="404"/>
        <v>25552933</v>
      </c>
      <c r="C4258" s="4" t="str">
        <f t="shared" si="405"/>
        <v>GSE40367</v>
      </c>
      <c r="D4258" s="1" t="s">
        <v>45</v>
      </c>
      <c r="E4258" t="s">
        <v>179</v>
      </c>
      <c r="F4258" s="1">
        <v>1</v>
      </c>
      <c r="G4258" s="1" t="s">
        <v>31</v>
      </c>
      <c r="H4258" s="4" t="str">
        <f>HYPERLINK("https://www.ncbi.nlm.nih.gov/geo/query/acc.cgi?acc=GSM992320","GSM992320")</f>
        <v>GSM992320</v>
      </c>
      <c r="I4258" t="s">
        <v>177</v>
      </c>
      <c r="J4258" t="s">
        <v>178</v>
      </c>
      <c r="K4258" t="s">
        <v>19</v>
      </c>
      <c r="L4258" t="s">
        <v>44</v>
      </c>
      <c r="M4258" t="s">
        <v>41</v>
      </c>
      <c r="N4258" t="s">
        <v>29</v>
      </c>
    </row>
    <row r="4259" spans="1:14">
      <c r="A4259" s="4" t="str">
        <f t="shared" si="406"/>
        <v>EXP00143</v>
      </c>
      <c r="B4259" s="4" t="str">
        <f t="shared" si="404"/>
        <v>25552933</v>
      </c>
      <c r="C4259" s="4" t="str">
        <f t="shared" si="405"/>
        <v>GSE40367</v>
      </c>
      <c r="D4259" s="1" t="s">
        <v>45</v>
      </c>
      <c r="E4259" t="s">
        <v>179</v>
      </c>
      <c r="F4259" s="1">
        <v>1</v>
      </c>
      <c r="G4259" s="1" t="s">
        <v>31</v>
      </c>
      <c r="H4259" s="4" t="str">
        <f>HYPERLINK("https://www.ncbi.nlm.nih.gov/geo/query/acc.cgi?acc=GSM992322","GSM992322")</f>
        <v>GSM992322</v>
      </c>
      <c r="I4259" t="s">
        <v>177</v>
      </c>
      <c r="J4259" t="s">
        <v>178</v>
      </c>
      <c r="K4259" t="s">
        <v>19</v>
      </c>
      <c r="L4259" t="s">
        <v>44</v>
      </c>
      <c r="M4259" t="s">
        <v>41</v>
      </c>
      <c r="N4259" t="s">
        <v>29</v>
      </c>
    </row>
    <row r="4260" spans="1:14">
      <c r="A4260" s="4" t="str">
        <f t="shared" si="406"/>
        <v>EXP00143</v>
      </c>
      <c r="B4260" s="4" t="str">
        <f t="shared" si="404"/>
        <v>25552933</v>
      </c>
      <c r="C4260" s="4" t="str">
        <f t="shared" si="405"/>
        <v>GSE40367</v>
      </c>
      <c r="D4260" s="1" t="s">
        <v>45</v>
      </c>
      <c r="E4260" t="s">
        <v>179</v>
      </c>
      <c r="F4260" s="1">
        <v>2</v>
      </c>
      <c r="G4260" s="1" t="s">
        <v>32</v>
      </c>
      <c r="H4260" s="4" t="str">
        <f>HYPERLINK("https://www.ncbi.nlm.nih.gov/geo/query/acc.cgi?acc=GSM992292","GSM992292")</f>
        <v>GSM992292</v>
      </c>
      <c r="I4260" t="s">
        <v>177</v>
      </c>
      <c r="J4260" t="s">
        <v>178</v>
      </c>
      <c r="K4260" t="s">
        <v>33</v>
      </c>
      <c r="L4260" t="s">
        <v>44</v>
      </c>
      <c r="N4260" t="s">
        <v>29</v>
      </c>
    </row>
    <row r="4261" spans="1:14">
      <c r="A4261" s="4" t="str">
        <f t="shared" si="406"/>
        <v>EXP00143</v>
      </c>
      <c r="B4261" s="4" t="str">
        <f t="shared" si="404"/>
        <v>25552933</v>
      </c>
      <c r="C4261" s="4" t="str">
        <f t="shared" si="405"/>
        <v>GSE40367</v>
      </c>
      <c r="D4261" s="1" t="s">
        <v>45</v>
      </c>
      <c r="E4261" t="s">
        <v>179</v>
      </c>
      <c r="F4261" s="1">
        <v>2</v>
      </c>
      <c r="G4261" s="1" t="s">
        <v>32</v>
      </c>
      <c r="H4261" s="4" t="str">
        <f>HYPERLINK("https://www.ncbi.nlm.nih.gov/geo/query/acc.cgi?acc=GSM992293","GSM992293")</f>
        <v>GSM992293</v>
      </c>
      <c r="I4261" t="s">
        <v>177</v>
      </c>
      <c r="J4261" t="s">
        <v>178</v>
      </c>
      <c r="K4261" t="s">
        <v>33</v>
      </c>
      <c r="L4261" t="s">
        <v>44</v>
      </c>
      <c r="N4261" t="s">
        <v>29</v>
      </c>
    </row>
    <row r="4262" spans="1:14">
      <c r="A4262" s="4" t="str">
        <f t="shared" si="406"/>
        <v>EXP00143</v>
      </c>
      <c r="B4262" s="4" t="str">
        <f t="shared" si="404"/>
        <v>25552933</v>
      </c>
      <c r="C4262" s="4" t="str">
        <f t="shared" si="405"/>
        <v>GSE40367</v>
      </c>
      <c r="D4262" s="1" t="s">
        <v>45</v>
      </c>
      <c r="E4262" t="s">
        <v>179</v>
      </c>
      <c r="F4262" s="1">
        <v>2</v>
      </c>
      <c r="G4262" s="1" t="s">
        <v>32</v>
      </c>
      <c r="H4262" s="4" t="str">
        <f>HYPERLINK("https://www.ncbi.nlm.nih.gov/geo/query/acc.cgi?acc=GSM992294","GSM992294")</f>
        <v>GSM992294</v>
      </c>
      <c r="I4262" t="s">
        <v>177</v>
      </c>
      <c r="J4262" t="s">
        <v>178</v>
      </c>
      <c r="K4262" t="s">
        <v>33</v>
      </c>
      <c r="L4262" t="s">
        <v>44</v>
      </c>
      <c r="N4262" t="s">
        <v>29</v>
      </c>
    </row>
    <row r="4263" spans="1:14">
      <c r="A4263" s="4" t="str">
        <f t="shared" si="406"/>
        <v>EXP00143</v>
      </c>
      <c r="B4263" s="4" t="str">
        <f t="shared" si="404"/>
        <v>25552933</v>
      </c>
      <c r="C4263" s="4" t="str">
        <f t="shared" si="405"/>
        <v>GSE40367</v>
      </c>
      <c r="D4263" s="1" t="s">
        <v>45</v>
      </c>
      <c r="E4263" t="s">
        <v>179</v>
      </c>
      <c r="F4263" s="1">
        <v>2</v>
      </c>
      <c r="G4263" s="1" t="s">
        <v>32</v>
      </c>
      <c r="H4263" s="4" t="str">
        <f>HYPERLINK("https://www.ncbi.nlm.nih.gov/geo/query/acc.cgi?acc=GSM992295","GSM992295")</f>
        <v>GSM992295</v>
      </c>
      <c r="I4263" t="s">
        <v>177</v>
      </c>
      <c r="J4263" t="s">
        <v>178</v>
      </c>
      <c r="K4263" t="s">
        <v>33</v>
      </c>
      <c r="L4263" t="s">
        <v>44</v>
      </c>
      <c r="N4263" t="s">
        <v>29</v>
      </c>
    </row>
    <row r="4264" spans="1:14">
      <c r="A4264" s="4" t="str">
        <f t="shared" si="406"/>
        <v>EXP00143</v>
      </c>
      <c r="B4264" s="4" t="str">
        <f t="shared" si="404"/>
        <v>25552933</v>
      </c>
      <c r="C4264" s="4" t="str">
        <f t="shared" si="405"/>
        <v>GSE40367</v>
      </c>
      <c r="D4264" s="1" t="s">
        <v>45</v>
      </c>
      <c r="E4264" t="s">
        <v>179</v>
      </c>
      <c r="F4264" s="1">
        <v>2</v>
      </c>
      <c r="G4264" s="1" t="s">
        <v>32</v>
      </c>
      <c r="H4264" s="4" t="str">
        <f>HYPERLINK("https://www.ncbi.nlm.nih.gov/geo/query/acc.cgi?acc=GSM992296","GSM992296")</f>
        <v>GSM992296</v>
      </c>
      <c r="I4264" t="s">
        <v>177</v>
      </c>
      <c r="J4264" t="s">
        <v>178</v>
      </c>
      <c r="K4264" t="s">
        <v>33</v>
      </c>
      <c r="L4264" t="s">
        <v>44</v>
      </c>
      <c r="N4264" t="s">
        <v>29</v>
      </c>
    </row>
    <row r="4265" spans="1:14">
      <c r="A4265" s="4" t="str">
        <f t="shared" si="406"/>
        <v>EXP00143</v>
      </c>
      <c r="B4265" s="4" t="str">
        <f t="shared" si="404"/>
        <v>25552933</v>
      </c>
      <c r="C4265" s="4" t="str">
        <f t="shared" si="405"/>
        <v>GSE40367</v>
      </c>
      <c r="D4265" s="1" t="s">
        <v>45</v>
      </c>
      <c r="E4265" t="s">
        <v>179</v>
      </c>
      <c r="F4265" s="1">
        <v>2</v>
      </c>
      <c r="G4265" s="1" t="s">
        <v>32</v>
      </c>
      <c r="H4265" s="4" t="str">
        <f>HYPERLINK("https://www.ncbi.nlm.nih.gov/geo/query/acc.cgi?acc=GSM992297","GSM992297")</f>
        <v>GSM992297</v>
      </c>
      <c r="I4265" t="s">
        <v>177</v>
      </c>
      <c r="J4265" t="s">
        <v>178</v>
      </c>
      <c r="K4265" t="s">
        <v>33</v>
      </c>
      <c r="L4265" t="s">
        <v>44</v>
      </c>
      <c r="N4265" t="s">
        <v>29</v>
      </c>
    </row>
    <row r="4266" spans="1:14">
      <c r="A4266" s="4" t="str">
        <f t="shared" si="406"/>
        <v>EXP00143</v>
      </c>
      <c r="B4266" s="4" t="str">
        <f t="shared" si="404"/>
        <v>25552933</v>
      </c>
      <c r="C4266" s="4" t="str">
        <f t="shared" si="405"/>
        <v>GSE40367</v>
      </c>
      <c r="D4266" s="1" t="s">
        <v>45</v>
      </c>
      <c r="E4266" t="s">
        <v>179</v>
      </c>
      <c r="F4266" s="1">
        <v>2</v>
      </c>
      <c r="G4266" s="1" t="s">
        <v>32</v>
      </c>
      <c r="H4266" s="4" t="str">
        <f>HYPERLINK("https://www.ncbi.nlm.nih.gov/geo/query/acc.cgi?acc=GSM992298","GSM992298")</f>
        <v>GSM992298</v>
      </c>
      <c r="I4266" t="s">
        <v>177</v>
      </c>
      <c r="J4266" t="s">
        <v>178</v>
      </c>
      <c r="K4266" t="s">
        <v>33</v>
      </c>
      <c r="L4266" t="s">
        <v>44</v>
      </c>
      <c r="N4266" t="s">
        <v>29</v>
      </c>
    </row>
    <row r="4267" spans="1:14">
      <c r="A4267" s="4" t="str">
        <f t="shared" si="406"/>
        <v>EXP00143</v>
      </c>
      <c r="B4267" s="4" t="str">
        <f t="shared" si="404"/>
        <v>25552933</v>
      </c>
      <c r="C4267" s="4" t="str">
        <f t="shared" si="405"/>
        <v>GSE40367</v>
      </c>
      <c r="D4267" s="1" t="s">
        <v>45</v>
      </c>
      <c r="E4267" t="s">
        <v>179</v>
      </c>
      <c r="F4267" s="1">
        <v>2</v>
      </c>
      <c r="G4267" s="1" t="s">
        <v>32</v>
      </c>
      <c r="H4267" s="4" t="str">
        <f>HYPERLINK("https://www.ncbi.nlm.nih.gov/geo/query/acc.cgi?acc=GSM992299","GSM992299")</f>
        <v>GSM992299</v>
      </c>
      <c r="I4267" t="s">
        <v>177</v>
      </c>
      <c r="J4267" t="s">
        <v>178</v>
      </c>
      <c r="K4267" t="s">
        <v>33</v>
      </c>
      <c r="L4267" t="s">
        <v>44</v>
      </c>
      <c r="N4267" t="s">
        <v>29</v>
      </c>
    </row>
    <row r="4268" spans="1:14">
      <c r="A4268" s="4" t="str">
        <f t="shared" si="406"/>
        <v>EXP00143</v>
      </c>
      <c r="B4268" s="4" t="str">
        <f t="shared" si="404"/>
        <v>25552933</v>
      </c>
      <c r="C4268" s="4" t="str">
        <f t="shared" si="405"/>
        <v>GSE40367</v>
      </c>
      <c r="D4268" s="1" t="s">
        <v>45</v>
      </c>
      <c r="E4268" t="s">
        <v>179</v>
      </c>
      <c r="F4268" s="1">
        <v>2</v>
      </c>
      <c r="G4268" s="1" t="s">
        <v>32</v>
      </c>
      <c r="H4268" s="4" t="str">
        <f>HYPERLINK("https://www.ncbi.nlm.nih.gov/geo/query/acc.cgi?acc=GSM992300","GSM992300")</f>
        <v>GSM992300</v>
      </c>
      <c r="I4268" t="s">
        <v>177</v>
      </c>
      <c r="J4268" t="s">
        <v>178</v>
      </c>
      <c r="K4268" t="s">
        <v>33</v>
      </c>
      <c r="L4268" t="s">
        <v>44</v>
      </c>
      <c r="N4268" t="s">
        <v>29</v>
      </c>
    </row>
    <row r="4269" spans="1:14">
      <c r="A4269" s="4" t="str">
        <f t="shared" si="406"/>
        <v>EXP00143</v>
      </c>
      <c r="B4269" s="4" t="str">
        <f t="shared" si="404"/>
        <v>25552933</v>
      </c>
      <c r="C4269" s="4" t="str">
        <f t="shared" si="405"/>
        <v>GSE40367</v>
      </c>
      <c r="D4269" s="1" t="s">
        <v>45</v>
      </c>
      <c r="E4269" t="s">
        <v>179</v>
      </c>
      <c r="F4269" s="1">
        <v>2</v>
      </c>
      <c r="G4269" s="1" t="s">
        <v>32</v>
      </c>
      <c r="H4269" s="4" t="str">
        <f>HYPERLINK("https://www.ncbi.nlm.nih.gov/geo/query/acc.cgi?acc=GSM992301","GSM992301")</f>
        <v>GSM992301</v>
      </c>
      <c r="I4269" t="s">
        <v>177</v>
      </c>
      <c r="J4269" t="s">
        <v>178</v>
      </c>
      <c r="K4269" t="s">
        <v>33</v>
      </c>
      <c r="L4269" t="s">
        <v>44</v>
      </c>
      <c r="N4269" t="s">
        <v>29</v>
      </c>
    </row>
    <row r="4270" spans="1:14">
      <c r="A4270" s="4" t="str">
        <f t="shared" ref="A4270:A4273" si="407">HYPERLINK("http://hcmdb.i-sanger.com/experiment/details/experiment_id/EXP00144","EXP00144")</f>
        <v>EXP00144</v>
      </c>
      <c r="B4270" s="4" t="str">
        <f t="shared" ref="B4270:B4301" si="408">HYPERLINK("https://www.ncbi.nlm.nih.gov/pubmed/24238219","24238219")</f>
        <v>24238219</v>
      </c>
      <c r="C4270" s="4" t="str">
        <f t="shared" ref="C4270:C4301" si="409">HYPERLINK("https://www.ncbi.nlm.nih.gov/geo/query/acc.cgi?acc=GSE40911","GSE40911")</f>
        <v>GSE40911</v>
      </c>
      <c r="D4270" s="1" t="s">
        <v>283</v>
      </c>
      <c r="E4270" t="s">
        <v>284</v>
      </c>
      <c r="F4270" s="1">
        <v>1</v>
      </c>
      <c r="G4270" s="1" t="s">
        <v>36</v>
      </c>
      <c r="H4270" s="4" t="str">
        <f>HYPERLINK("https://www.ncbi.nlm.nih.gov/geo/query/acc.cgi?acc=GSM1004655","GSM1004655")</f>
        <v>GSM1004655</v>
      </c>
      <c r="I4270" t="s">
        <v>59</v>
      </c>
      <c r="J4270" t="s">
        <v>60</v>
      </c>
      <c r="K4270" t="s">
        <v>19</v>
      </c>
      <c r="L4270" t="s">
        <v>61</v>
      </c>
      <c r="M4270" t="s">
        <v>50</v>
      </c>
      <c r="N4270" t="s">
        <v>37</v>
      </c>
    </row>
    <row r="4271" spans="1:14">
      <c r="A4271" s="4" t="str">
        <f t="shared" si="407"/>
        <v>EXP00144</v>
      </c>
      <c r="B4271" s="4" t="str">
        <f t="shared" si="408"/>
        <v>24238219</v>
      </c>
      <c r="C4271" s="4" t="str">
        <f t="shared" si="409"/>
        <v>GSE40911</v>
      </c>
      <c r="D4271" s="1" t="s">
        <v>283</v>
      </c>
      <c r="E4271" t="s">
        <v>284</v>
      </c>
      <c r="F4271" s="1">
        <v>1</v>
      </c>
      <c r="G4271" s="1" t="s">
        <v>36</v>
      </c>
      <c r="H4271" s="4" t="str">
        <f>HYPERLINK("https://www.ncbi.nlm.nih.gov/geo/query/acc.cgi?acc=GSM1004656","GSM1004656")</f>
        <v>GSM1004656</v>
      </c>
      <c r="I4271" t="s">
        <v>59</v>
      </c>
      <c r="J4271" t="s">
        <v>60</v>
      </c>
      <c r="K4271" t="s">
        <v>19</v>
      </c>
      <c r="L4271" t="s">
        <v>61</v>
      </c>
      <c r="M4271" t="s">
        <v>50</v>
      </c>
      <c r="N4271" t="s">
        <v>37</v>
      </c>
    </row>
    <row r="4272" spans="1:14">
      <c r="A4272" s="4" t="str">
        <f t="shared" si="407"/>
        <v>EXP00144</v>
      </c>
      <c r="B4272" s="4" t="str">
        <f t="shared" si="408"/>
        <v>24238219</v>
      </c>
      <c r="C4272" s="4" t="str">
        <f t="shared" si="409"/>
        <v>GSE40911</v>
      </c>
      <c r="D4272" s="1" t="s">
        <v>283</v>
      </c>
      <c r="E4272" t="s">
        <v>284</v>
      </c>
      <c r="F4272" s="1">
        <v>2</v>
      </c>
      <c r="G4272" s="1" t="s">
        <v>28</v>
      </c>
      <c r="H4272" s="4" t="str">
        <f>HYPERLINK("https://www.ncbi.nlm.nih.gov/geo/query/acc.cgi?acc=GSM1004677","GSM1004677")</f>
        <v>GSM1004677</v>
      </c>
      <c r="I4272" t="s">
        <v>59</v>
      </c>
      <c r="J4272" t="s">
        <v>60</v>
      </c>
      <c r="K4272" t="s">
        <v>19</v>
      </c>
      <c r="L4272" t="s">
        <v>61</v>
      </c>
      <c r="M4272" t="s">
        <v>50</v>
      </c>
      <c r="N4272" t="s">
        <v>29</v>
      </c>
    </row>
    <row r="4273" spans="1:14">
      <c r="A4273" s="4" t="str">
        <f t="shared" si="407"/>
        <v>EXP00144</v>
      </c>
      <c r="B4273" s="4" t="str">
        <f t="shared" si="408"/>
        <v>24238219</v>
      </c>
      <c r="C4273" s="4" t="str">
        <f t="shared" si="409"/>
        <v>GSE40911</v>
      </c>
      <c r="D4273" s="1" t="s">
        <v>283</v>
      </c>
      <c r="E4273" t="s">
        <v>284</v>
      </c>
      <c r="F4273" s="1">
        <v>2</v>
      </c>
      <c r="G4273" s="1" t="s">
        <v>28</v>
      </c>
      <c r="H4273" s="4" t="str">
        <f>HYPERLINK("https://www.ncbi.nlm.nih.gov/geo/query/acc.cgi?acc=GSM1004678","GSM1004678")</f>
        <v>GSM1004678</v>
      </c>
      <c r="I4273" t="s">
        <v>59</v>
      </c>
      <c r="J4273" t="s">
        <v>60</v>
      </c>
      <c r="K4273" t="s">
        <v>19</v>
      </c>
      <c r="L4273" t="s">
        <v>61</v>
      </c>
      <c r="M4273" t="s">
        <v>50</v>
      </c>
      <c r="N4273" t="s">
        <v>29</v>
      </c>
    </row>
    <row r="4274" spans="1:14">
      <c r="A4274" s="4" t="str">
        <f t="shared" ref="A4274:A4277" si="410">HYPERLINK("http://hcmdb.i-sanger.com/experiment/details/experiment_id/EXP00145","EXP00145")</f>
        <v>EXP00145</v>
      </c>
      <c r="B4274" s="4" t="str">
        <f t="shared" si="408"/>
        <v>24238219</v>
      </c>
      <c r="C4274" s="4" t="str">
        <f t="shared" si="409"/>
        <v>GSE40911</v>
      </c>
      <c r="D4274" s="1" t="s">
        <v>283</v>
      </c>
      <c r="E4274" t="s">
        <v>285</v>
      </c>
      <c r="F4274" s="1">
        <v>1</v>
      </c>
      <c r="G4274" s="1" t="s">
        <v>36</v>
      </c>
      <c r="H4274" s="4" t="str">
        <f>HYPERLINK("https://www.ncbi.nlm.nih.gov/geo/query/acc.cgi?acc=GSM1004657","GSM1004657")</f>
        <v>GSM1004657</v>
      </c>
      <c r="I4274" t="s">
        <v>59</v>
      </c>
      <c r="J4274" t="s">
        <v>60</v>
      </c>
      <c r="K4274" t="s">
        <v>19</v>
      </c>
      <c r="L4274" t="s">
        <v>61</v>
      </c>
      <c r="M4274" t="s">
        <v>44</v>
      </c>
      <c r="N4274" t="s">
        <v>37</v>
      </c>
    </row>
    <row r="4275" spans="1:14">
      <c r="A4275" s="4" t="str">
        <f t="shared" si="410"/>
        <v>EXP00145</v>
      </c>
      <c r="B4275" s="4" t="str">
        <f t="shared" si="408"/>
        <v>24238219</v>
      </c>
      <c r="C4275" s="4" t="str">
        <f t="shared" si="409"/>
        <v>GSE40911</v>
      </c>
      <c r="D4275" s="1" t="s">
        <v>283</v>
      </c>
      <c r="E4275" t="s">
        <v>285</v>
      </c>
      <c r="F4275" s="1">
        <v>1</v>
      </c>
      <c r="G4275" s="1" t="s">
        <v>36</v>
      </c>
      <c r="H4275" s="4" t="str">
        <f>HYPERLINK("https://www.ncbi.nlm.nih.gov/geo/query/acc.cgi?acc=GSM1004658","GSM1004658")</f>
        <v>GSM1004658</v>
      </c>
      <c r="I4275" t="s">
        <v>59</v>
      </c>
      <c r="J4275" t="s">
        <v>60</v>
      </c>
      <c r="K4275" t="s">
        <v>19</v>
      </c>
      <c r="L4275" t="s">
        <v>61</v>
      </c>
      <c r="M4275" t="s">
        <v>44</v>
      </c>
      <c r="N4275" t="s">
        <v>37</v>
      </c>
    </row>
    <row r="4276" spans="1:14">
      <c r="A4276" s="4" t="str">
        <f t="shared" si="410"/>
        <v>EXP00145</v>
      </c>
      <c r="B4276" s="4" t="str">
        <f t="shared" si="408"/>
        <v>24238219</v>
      </c>
      <c r="C4276" s="4" t="str">
        <f t="shared" si="409"/>
        <v>GSE40911</v>
      </c>
      <c r="D4276" s="1" t="s">
        <v>283</v>
      </c>
      <c r="E4276" t="s">
        <v>285</v>
      </c>
      <c r="F4276" s="1">
        <v>2</v>
      </c>
      <c r="G4276" s="1" t="s">
        <v>28</v>
      </c>
      <c r="H4276" s="4" t="str">
        <f>HYPERLINK("https://www.ncbi.nlm.nih.gov/geo/query/acc.cgi?acc=GSM1004679","GSM1004679")</f>
        <v>GSM1004679</v>
      </c>
      <c r="I4276" t="s">
        <v>59</v>
      </c>
      <c r="J4276" t="s">
        <v>60</v>
      </c>
      <c r="K4276" t="s">
        <v>19</v>
      </c>
      <c r="L4276" t="s">
        <v>61</v>
      </c>
      <c r="M4276" t="s">
        <v>44</v>
      </c>
      <c r="N4276" t="s">
        <v>29</v>
      </c>
    </row>
    <row r="4277" spans="1:14">
      <c r="A4277" s="4" t="str">
        <f t="shared" si="410"/>
        <v>EXP00145</v>
      </c>
      <c r="B4277" s="4" t="str">
        <f t="shared" si="408"/>
        <v>24238219</v>
      </c>
      <c r="C4277" s="4" t="str">
        <f t="shared" si="409"/>
        <v>GSE40911</v>
      </c>
      <c r="D4277" s="1" t="s">
        <v>283</v>
      </c>
      <c r="E4277" t="s">
        <v>285</v>
      </c>
      <c r="F4277" s="1">
        <v>2</v>
      </c>
      <c r="G4277" s="1" t="s">
        <v>28</v>
      </c>
      <c r="H4277" s="4" t="str">
        <f>HYPERLINK("https://www.ncbi.nlm.nih.gov/geo/query/acc.cgi?acc=GSM1004680","GSM1004680")</f>
        <v>GSM1004680</v>
      </c>
      <c r="I4277" t="s">
        <v>59</v>
      </c>
      <c r="J4277" t="s">
        <v>60</v>
      </c>
      <c r="K4277" t="s">
        <v>19</v>
      </c>
      <c r="L4277" t="s">
        <v>61</v>
      </c>
      <c r="M4277" t="s">
        <v>44</v>
      </c>
      <c r="N4277" t="s">
        <v>29</v>
      </c>
    </row>
    <row r="4278" spans="1:14">
      <c r="A4278" s="4" t="str">
        <f t="shared" ref="A4278:A4281" si="411">HYPERLINK("http://hcmdb.i-sanger.com/experiment/details/experiment_id/EXP00146","EXP00146")</f>
        <v>EXP00146</v>
      </c>
      <c r="B4278" s="4" t="str">
        <f t="shared" si="408"/>
        <v>24238219</v>
      </c>
      <c r="C4278" s="4" t="str">
        <f t="shared" si="409"/>
        <v>GSE40911</v>
      </c>
      <c r="D4278" s="1" t="s">
        <v>283</v>
      </c>
      <c r="E4278" t="s">
        <v>286</v>
      </c>
      <c r="F4278" s="1">
        <v>1</v>
      </c>
      <c r="G4278" s="1" t="s">
        <v>36</v>
      </c>
      <c r="H4278" s="4" t="str">
        <f>HYPERLINK("https://www.ncbi.nlm.nih.gov/geo/query/acc.cgi?acc=GSM1004675","GSM1004675")</f>
        <v>GSM1004675</v>
      </c>
      <c r="I4278" t="s">
        <v>59</v>
      </c>
      <c r="J4278" t="s">
        <v>60</v>
      </c>
      <c r="K4278" t="s">
        <v>19</v>
      </c>
      <c r="L4278" t="s">
        <v>61</v>
      </c>
      <c r="M4278" t="s">
        <v>41</v>
      </c>
      <c r="N4278" t="s">
        <v>37</v>
      </c>
    </row>
    <row r="4279" spans="1:14">
      <c r="A4279" s="4" t="str">
        <f t="shared" si="411"/>
        <v>EXP00146</v>
      </c>
      <c r="B4279" s="4" t="str">
        <f t="shared" si="408"/>
        <v>24238219</v>
      </c>
      <c r="C4279" s="4" t="str">
        <f t="shared" si="409"/>
        <v>GSE40911</v>
      </c>
      <c r="D4279" s="1" t="s">
        <v>283</v>
      </c>
      <c r="E4279" t="s">
        <v>286</v>
      </c>
      <c r="F4279" s="1">
        <v>1</v>
      </c>
      <c r="G4279" s="1" t="s">
        <v>36</v>
      </c>
      <c r="H4279" s="4" t="str">
        <f>HYPERLINK("https://www.ncbi.nlm.nih.gov/geo/query/acc.cgi?acc=GSM1004676","GSM1004676")</f>
        <v>GSM1004676</v>
      </c>
      <c r="I4279" t="s">
        <v>59</v>
      </c>
      <c r="J4279" t="s">
        <v>60</v>
      </c>
      <c r="K4279" t="s">
        <v>19</v>
      </c>
      <c r="L4279" t="s">
        <v>61</v>
      </c>
      <c r="M4279" t="s">
        <v>41</v>
      </c>
      <c r="N4279" t="s">
        <v>37</v>
      </c>
    </row>
    <row r="4280" spans="1:14">
      <c r="A4280" s="4" t="str">
        <f t="shared" si="411"/>
        <v>EXP00146</v>
      </c>
      <c r="B4280" s="4" t="str">
        <f t="shared" si="408"/>
        <v>24238219</v>
      </c>
      <c r="C4280" s="4" t="str">
        <f t="shared" si="409"/>
        <v>GSE40911</v>
      </c>
      <c r="D4280" s="1" t="s">
        <v>283</v>
      </c>
      <c r="E4280" t="s">
        <v>286</v>
      </c>
      <c r="F4280" s="1">
        <v>2</v>
      </c>
      <c r="G4280" s="1" t="s">
        <v>28</v>
      </c>
      <c r="H4280" s="4" t="str">
        <f>HYPERLINK("https://www.ncbi.nlm.nih.gov/geo/query/acc.cgi?acc=GSM1004697","GSM1004697")</f>
        <v>GSM1004697</v>
      </c>
      <c r="I4280" t="s">
        <v>59</v>
      </c>
      <c r="J4280" t="s">
        <v>60</v>
      </c>
      <c r="K4280" t="s">
        <v>19</v>
      </c>
      <c r="L4280" t="s">
        <v>61</v>
      </c>
      <c r="M4280" t="s">
        <v>41</v>
      </c>
      <c r="N4280" t="s">
        <v>29</v>
      </c>
    </row>
    <row r="4281" spans="1:14">
      <c r="A4281" s="4" t="str">
        <f t="shared" si="411"/>
        <v>EXP00146</v>
      </c>
      <c r="B4281" s="4" t="str">
        <f t="shared" si="408"/>
        <v>24238219</v>
      </c>
      <c r="C4281" s="4" t="str">
        <f t="shared" si="409"/>
        <v>GSE40911</v>
      </c>
      <c r="D4281" s="1" t="s">
        <v>283</v>
      </c>
      <c r="E4281" t="s">
        <v>286</v>
      </c>
      <c r="F4281" s="1">
        <v>2</v>
      </c>
      <c r="G4281" s="1" t="s">
        <v>28</v>
      </c>
      <c r="H4281" s="4" t="str">
        <f>HYPERLINK("https://www.ncbi.nlm.nih.gov/geo/query/acc.cgi?acc=GSM1004698","GSM1004698")</f>
        <v>GSM1004698</v>
      </c>
      <c r="I4281" t="s">
        <v>59</v>
      </c>
      <c r="J4281" t="s">
        <v>60</v>
      </c>
      <c r="K4281" t="s">
        <v>19</v>
      </c>
      <c r="L4281" t="s">
        <v>61</v>
      </c>
      <c r="M4281" t="s">
        <v>41</v>
      </c>
      <c r="N4281" t="s">
        <v>29</v>
      </c>
    </row>
    <row r="4282" spans="1:14">
      <c r="A4282" s="4" t="str">
        <f t="shared" ref="A4282:A4287" si="412">HYPERLINK("http://hcmdb.i-sanger.com/experiment/details/experiment_id/EXP00147","EXP00147")</f>
        <v>EXP00147</v>
      </c>
      <c r="B4282" s="4" t="str">
        <f t="shared" si="408"/>
        <v>24238219</v>
      </c>
      <c r="C4282" s="4" t="str">
        <f t="shared" si="409"/>
        <v>GSE40911</v>
      </c>
      <c r="D4282" s="1" t="s">
        <v>283</v>
      </c>
      <c r="E4282" t="s">
        <v>126</v>
      </c>
      <c r="F4282" s="1">
        <v>1</v>
      </c>
      <c r="G4282" s="1" t="s">
        <v>287</v>
      </c>
      <c r="H4282" s="4" t="str">
        <f>HYPERLINK("https://www.ncbi.nlm.nih.gov/geo/query/acc.cgi?acc=GSM1004677","GSM1004677")</f>
        <v>GSM1004677</v>
      </c>
      <c r="I4282" t="s">
        <v>59</v>
      </c>
      <c r="J4282" t="s">
        <v>60</v>
      </c>
      <c r="K4282" t="s">
        <v>19</v>
      </c>
      <c r="L4282" t="s">
        <v>61</v>
      </c>
      <c r="M4282" t="s">
        <v>50</v>
      </c>
      <c r="N4282" t="s">
        <v>29</v>
      </c>
    </row>
    <row r="4283" spans="1:14">
      <c r="A4283" s="4" t="str">
        <f t="shared" si="412"/>
        <v>EXP00147</v>
      </c>
      <c r="B4283" s="4" t="str">
        <f t="shared" si="408"/>
        <v>24238219</v>
      </c>
      <c r="C4283" s="4" t="str">
        <f t="shared" si="409"/>
        <v>GSE40911</v>
      </c>
      <c r="D4283" s="1" t="s">
        <v>283</v>
      </c>
      <c r="E4283" t="s">
        <v>126</v>
      </c>
      <c r="F4283" s="1">
        <v>1</v>
      </c>
      <c r="G4283" s="1" t="s">
        <v>287</v>
      </c>
      <c r="H4283" s="4" t="str">
        <f>HYPERLINK("https://www.ncbi.nlm.nih.gov/geo/query/acc.cgi?acc=GSM1004678","GSM1004678")</f>
        <v>GSM1004678</v>
      </c>
      <c r="I4283" t="s">
        <v>59</v>
      </c>
      <c r="J4283" t="s">
        <v>60</v>
      </c>
      <c r="K4283" t="s">
        <v>19</v>
      </c>
      <c r="L4283" t="s">
        <v>61</v>
      </c>
      <c r="M4283" t="s">
        <v>50</v>
      </c>
      <c r="N4283" t="s">
        <v>29</v>
      </c>
    </row>
    <row r="4284" spans="1:14">
      <c r="A4284" s="4" t="str">
        <f t="shared" si="412"/>
        <v>EXP00147</v>
      </c>
      <c r="B4284" s="4" t="str">
        <f t="shared" si="408"/>
        <v>24238219</v>
      </c>
      <c r="C4284" s="4" t="str">
        <f t="shared" si="409"/>
        <v>GSE40911</v>
      </c>
      <c r="D4284" s="1" t="s">
        <v>283</v>
      </c>
      <c r="E4284" t="s">
        <v>126</v>
      </c>
      <c r="F4284" s="1">
        <v>2</v>
      </c>
      <c r="G4284" s="1" t="s">
        <v>288</v>
      </c>
      <c r="H4284" s="4" t="str">
        <f>HYPERLINK("https://www.ncbi.nlm.nih.gov/geo/query/acc.cgi?acc=GSM1004679","GSM1004679")</f>
        <v>GSM1004679</v>
      </c>
      <c r="I4284" t="s">
        <v>59</v>
      </c>
      <c r="J4284" t="s">
        <v>60</v>
      </c>
      <c r="K4284" t="s">
        <v>19</v>
      </c>
      <c r="L4284" t="s">
        <v>61</v>
      </c>
      <c r="M4284" t="s">
        <v>44</v>
      </c>
      <c r="N4284" t="s">
        <v>29</v>
      </c>
    </row>
    <row r="4285" spans="1:14">
      <c r="A4285" s="4" t="str">
        <f t="shared" si="412"/>
        <v>EXP00147</v>
      </c>
      <c r="B4285" s="4" t="str">
        <f t="shared" si="408"/>
        <v>24238219</v>
      </c>
      <c r="C4285" s="4" t="str">
        <f t="shared" si="409"/>
        <v>GSE40911</v>
      </c>
      <c r="D4285" s="1" t="s">
        <v>283</v>
      </c>
      <c r="E4285" t="s">
        <v>126</v>
      </c>
      <c r="F4285" s="1">
        <v>2</v>
      </c>
      <c r="G4285" s="1" t="s">
        <v>288</v>
      </c>
      <c r="H4285" s="4" t="str">
        <f>HYPERLINK("https://www.ncbi.nlm.nih.gov/geo/query/acc.cgi?acc=GSM1004680","GSM1004680")</f>
        <v>GSM1004680</v>
      </c>
      <c r="I4285" t="s">
        <v>59</v>
      </c>
      <c r="J4285" t="s">
        <v>60</v>
      </c>
      <c r="K4285" t="s">
        <v>19</v>
      </c>
      <c r="L4285" t="s">
        <v>61</v>
      </c>
      <c r="M4285" t="s">
        <v>44</v>
      </c>
      <c r="N4285" t="s">
        <v>29</v>
      </c>
    </row>
    <row r="4286" spans="1:14">
      <c r="A4286" s="4" t="str">
        <f t="shared" si="412"/>
        <v>EXP00147</v>
      </c>
      <c r="B4286" s="4" t="str">
        <f t="shared" si="408"/>
        <v>24238219</v>
      </c>
      <c r="C4286" s="4" t="str">
        <f t="shared" si="409"/>
        <v>GSE40911</v>
      </c>
      <c r="D4286" s="1" t="s">
        <v>283</v>
      </c>
      <c r="E4286" t="s">
        <v>126</v>
      </c>
      <c r="F4286" s="1">
        <v>3</v>
      </c>
      <c r="G4286" s="1" t="s">
        <v>127</v>
      </c>
      <c r="H4286" s="4" t="str">
        <f>HYPERLINK("https://www.ncbi.nlm.nih.gov/geo/query/acc.cgi?acc=GSM1004697","GSM1004697")</f>
        <v>GSM1004697</v>
      </c>
      <c r="I4286" t="s">
        <v>59</v>
      </c>
      <c r="J4286" t="s">
        <v>60</v>
      </c>
      <c r="K4286" t="s">
        <v>19</v>
      </c>
      <c r="L4286" t="s">
        <v>61</v>
      </c>
      <c r="M4286" t="s">
        <v>41</v>
      </c>
      <c r="N4286" t="s">
        <v>29</v>
      </c>
    </row>
    <row r="4287" spans="1:14">
      <c r="A4287" s="4" t="str">
        <f t="shared" si="412"/>
        <v>EXP00147</v>
      </c>
      <c r="B4287" s="4" t="str">
        <f t="shared" si="408"/>
        <v>24238219</v>
      </c>
      <c r="C4287" s="4" t="str">
        <f t="shared" si="409"/>
        <v>GSE40911</v>
      </c>
      <c r="D4287" s="1" t="s">
        <v>283</v>
      </c>
      <c r="E4287" t="s">
        <v>126</v>
      </c>
      <c r="F4287" s="1">
        <v>3</v>
      </c>
      <c r="G4287" s="1" t="s">
        <v>127</v>
      </c>
      <c r="H4287" s="4" t="str">
        <f>HYPERLINK("https://www.ncbi.nlm.nih.gov/geo/query/acc.cgi?acc=GSM1004698","GSM1004698")</f>
        <v>GSM1004698</v>
      </c>
      <c r="I4287" t="s">
        <v>59</v>
      </c>
      <c r="J4287" t="s">
        <v>60</v>
      </c>
      <c r="K4287" t="s">
        <v>19</v>
      </c>
      <c r="L4287" t="s">
        <v>61</v>
      </c>
      <c r="M4287" t="s">
        <v>41</v>
      </c>
      <c r="N4287" t="s">
        <v>29</v>
      </c>
    </row>
    <row r="4288" spans="1:14">
      <c r="A4288" s="4" t="str">
        <f t="shared" ref="A4288:A4299" si="413">HYPERLINK("http://hcmdb.i-sanger.com/experiment/details/experiment_id/EXP00148","EXP00148")</f>
        <v>EXP00148</v>
      </c>
      <c r="B4288" s="4" t="str">
        <f t="shared" si="408"/>
        <v>24238219</v>
      </c>
      <c r="C4288" s="4" t="str">
        <f t="shared" si="409"/>
        <v>GSE40911</v>
      </c>
      <c r="D4288" s="1" t="s">
        <v>283</v>
      </c>
      <c r="E4288" t="s">
        <v>289</v>
      </c>
      <c r="F4288" s="1">
        <v>1</v>
      </c>
      <c r="G4288" s="1" t="s">
        <v>36</v>
      </c>
      <c r="H4288" s="4" t="str">
        <f>HYPERLINK("https://www.ncbi.nlm.nih.gov/geo/query/acc.cgi?acc=GSM1004655","GSM1004655")</f>
        <v>GSM1004655</v>
      </c>
      <c r="I4288" t="s">
        <v>59</v>
      </c>
      <c r="J4288" t="s">
        <v>60</v>
      </c>
      <c r="K4288" t="s">
        <v>19</v>
      </c>
      <c r="L4288" t="s">
        <v>61</v>
      </c>
      <c r="M4288" t="s">
        <v>50</v>
      </c>
      <c r="N4288" t="s">
        <v>37</v>
      </c>
    </row>
    <row r="4289" spans="1:14">
      <c r="A4289" s="4" t="str">
        <f t="shared" si="413"/>
        <v>EXP00148</v>
      </c>
      <c r="B4289" s="4" t="str">
        <f t="shared" si="408"/>
        <v>24238219</v>
      </c>
      <c r="C4289" s="4" t="str">
        <f t="shared" si="409"/>
        <v>GSE40911</v>
      </c>
      <c r="D4289" s="1" t="s">
        <v>283</v>
      </c>
      <c r="E4289" t="s">
        <v>289</v>
      </c>
      <c r="F4289" s="1">
        <v>1</v>
      </c>
      <c r="G4289" s="1" t="s">
        <v>36</v>
      </c>
      <c r="H4289" s="4" t="str">
        <f>HYPERLINK("https://www.ncbi.nlm.nih.gov/geo/query/acc.cgi?acc=GSM1004656","GSM1004656")</f>
        <v>GSM1004656</v>
      </c>
      <c r="I4289" t="s">
        <v>59</v>
      </c>
      <c r="J4289" t="s">
        <v>60</v>
      </c>
      <c r="K4289" t="s">
        <v>19</v>
      </c>
      <c r="L4289" t="s">
        <v>61</v>
      </c>
      <c r="M4289" t="s">
        <v>50</v>
      </c>
      <c r="N4289" t="s">
        <v>37</v>
      </c>
    </row>
    <row r="4290" spans="1:14">
      <c r="A4290" s="4" t="str">
        <f t="shared" si="413"/>
        <v>EXP00148</v>
      </c>
      <c r="B4290" s="4" t="str">
        <f t="shared" si="408"/>
        <v>24238219</v>
      </c>
      <c r="C4290" s="4" t="str">
        <f t="shared" si="409"/>
        <v>GSE40911</v>
      </c>
      <c r="D4290" s="1" t="s">
        <v>283</v>
      </c>
      <c r="E4290" t="s">
        <v>289</v>
      </c>
      <c r="F4290" s="1">
        <v>1</v>
      </c>
      <c r="G4290" s="1" t="s">
        <v>36</v>
      </c>
      <c r="H4290" s="4" t="str">
        <f>HYPERLINK("https://www.ncbi.nlm.nih.gov/geo/query/acc.cgi?acc=GSM1004657","GSM1004657")</f>
        <v>GSM1004657</v>
      </c>
      <c r="I4290" t="s">
        <v>59</v>
      </c>
      <c r="J4290" t="s">
        <v>60</v>
      </c>
      <c r="K4290" t="s">
        <v>19</v>
      </c>
      <c r="L4290" t="s">
        <v>61</v>
      </c>
      <c r="M4290" t="s">
        <v>44</v>
      </c>
      <c r="N4290" t="s">
        <v>37</v>
      </c>
    </row>
    <row r="4291" spans="1:14">
      <c r="A4291" s="4" t="str">
        <f t="shared" si="413"/>
        <v>EXP00148</v>
      </c>
      <c r="B4291" s="4" t="str">
        <f t="shared" si="408"/>
        <v>24238219</v>
      </c>
      <c r="C4291" s="4" t="str">
        <f t="shared" si="409"/>
        <v>GSE40911</v>
      </c>
      <c r="D4291" s="1" t="s">
        <v>283</v>
      </c>
      <c r="E4291" t="s">
        <v>289</v>
      </c>
      <c r="F4291" s="1">
        <v>1</v>
      </c>
      <c r="G4291" s="1" t="s">
        <v>36</v>
      </c>
      <c r="H4291" s="4" t="str">
        <f>HYPERLINK("https://www.ncbi.nlm.nih.gov/geo/query/acc.cgi?acc=GSM1004658","GSM1004658")</f>
        <v>GSM1004658</v>
      </c>
      <c r="I4291" t="s">
        <v>59</v>
      </c>
      <c r="J4291" t="s">
        <v>60</v>
      </c>
      <c r="K4291" t="s">
        <v>19</v>
      </c>
      <c r="L4291" t="s">
        <v>61</v>
      </c>
      <c r="M4291" t="s">
        <v>44</v>
      </c>
      <c r="N4291" t="s">
        <v>37</v>
      </c>
    </row>
    <row r="4292" spans="1:14">
      <c r="A4292" s="4" t="str">
        <f t="shared" si="413"/>
        <v>EXP00148</v>
      </c>
      <c r="B4292" s="4" t="str">
        <f t="shared" si="408"/>
        <v>24238219</v>
      </c>
      <c r="C4292" s="4" t="str">
        <f t="shared" si="409"/>
        <v>GSE40911</v>
      </c>
      <c r="D4292" s="1" t="s">
        <v>283</v>
      </c>
      <c r="E4292" t="s">
        <v>289</v>
      </c>
      <c r="F4292" s="1">
        <v>1</v>
      </c>
      <c r="G4292" s="1" t="s">
        <v>36</v>
      </c>
      <c r="H4292" s="4" t="str">
        <f>HYPERLINK("https://www.ncbi.nlm.nih.gov/geo/query/acc.cgi?acc=GSM1004675","GSM1004675")</f>
        <v>GSM1004675</v>
      </c>
      <c r="I4292" t="s">
        <v>59</v>
      </c>
      <c r="J4292" t="s">
        <v>60</v>
      </c>
      <c r="K4292" t="s">
        <v>19</v>
      </c>
      <c r="L4292" t="s">
        <v>61</v>
      </c>
      <c r="M4292" t="s">
        <v>41</v>
      </c>
      <c r="N4292" t="s">
        <v>37</v>
      </c>
    </row>
    <row r="4293" spans="1:14">
      <c r="A4293" s="4" t="str">
        <f t="shared" si="413"/>
        <v>EXP00148</v>
      </c>
      <c r="B4293" s="4" t="str">
        <f t="shared" si="408"/>
        <v>24238219</v>
      </c>
      <c r="C4293" s="4" t="str">
        <f t="shared" si="409"/>
        <v>GSE40911</v>
      </c>
      <c r="D4293" s="1" t="s">
        <v>283</v>
      </c>
      <c r="E4293" t="s">
        <v>289</v>
      </c>
      <c r="F4293" s="1">
        <v>1</v>
      </c>
      <c r="G4293" s="1" t="s">
        <v>36</v>
      </c>
      <c r="H4293" s="4" t="str">
        <f>HYPERLINK("https://www.ncbi.nlm.nih.gov/geo/query/acc.cgi?acc=GSM1004676","GSM1004676")</f>
        <v>GSM1004676</v>
      </c>
      <c r="I4293" t="s">
        <v>59</v>
      </c>
      <c r="J4293" t="s">
        <v>60</v>
      </c>
      <c r="K4293" t="s">
        <v>19</v>
      </c>
      <c r="L4293" t="s">
        <v>61</v>
      </c>
      <c r="M4293" t="s">
        <v>41</v>
      </c>
      <c r="N4293" t="s">
        <v>37</v>
      </c>
    </row>
    <row r="4294" spans="1:14">
      <c r="A4294" s="4" t="str">
        <f t="shared" si="413"/>
        <v>EXP00148</v>
      </c>
      <c r="B4294" s="4" t="str">
        <f t="shared" si="408"/>
        <v>24238219</v>
      </c>
      <c r="C4294" s="4" t="str">
        <f t="shared" si="409"/>
        <v>GSE40911</v>
      </c>
      <c r="D4294" s="1" t="s">
        <v>283</v>
      </c>
      <c r="E4294" t="s">
        <v>289</v>
      </c>
      <c r="F4294" s="1">
        <v>2</v>
      </c>
      <c r="G4294" s="1" t="s">
        <v>28</v>
      </c>
      <c r="H4294" s="4" t="str">
        <f>HYPERLINK("https://www.ncbi.nlm.nih.gov/geo/query/acc.cgi?acc=GSM1004677","GSM1004677")</f>
        <v>GSM1004677</v>
      </c>
      <c r="I4294" t="s">
        <v>59</v>
      </c>
      <c r="J4294" t="s">
        <v>60</v>
      </c>
      <c r="K4294" t="s">
        <v>19</v>
      </c>
      <c r="L4294" t="s">
        <v>61</v>
      </c>
      <c r="M4294" t="s">
        <v>50</v>
      </c>
      <c r="N4294" t="s">
        <v>29</v>
      </c>
    </row>
    <row r="4295" spans="1:14">
      <c r="A4295" s="4" t="str">
        <f t="shared" si="413"/>
        <v>EXP00148</v>
      </c>
      <c r="B4295" s="4" t="str">
        <f t="shared" si="408"/>
        <v>24238219</v>
      </c>
      <c r="C4295" s="4" t="str">
        <f t="shared" si="409"/>
        <v>GSE40911</v>
      </c>
      <c r="D4295" s="1" t="s">
        <v>283</v>
      </c>
      <c r="E4295" t="s">
        <v>289</v>
      </c>
      <c r="F4295" s="1">
        <v>2</v>
      </c>
      <c r="G4295" s="1" t="s">
        <v>28</v>
      </c>
      <c r="H4295" s="4" t="str">
        <f>HYPERLINK("https://www.ncbi.nlm.nih.gov/geo/query/acc.cgi?acc=GSM1004678","GSM1004678")</f>
        <v>GSM1004678</v>
      </c>
      <c r="I4295" t="s">
        <v>59</v>
      </c>
      <c r="J4295" t="s">
        <v>60</v>
      </c>
      <c r="K4295" t="s">
        <v>19</v>
      </c>
      <c r="L4295" t="s">
        <v>61</v>
      </c>
      <c r="M4295" t="s">
        <v>50</v>
      </c>
      <c r="N4295" t="s">
        <v>29</v>
      </c>
    </row>
    <row r="4296" spans="1:14">
      <c r="A4296" s="4" t="str">
        <f t="shared" si="413"/>
        <v>EXP00148</v>
      </c>
      <c r="B4296" s="4" t="str">
        <f t="shared" si="408"/>
        <v>24238219</v>
      </c>
      <c r="C4296" s="4" t="str">
        <f t="shared" si="409"/>
        <v>GSE40911</v>
      </c>
      <c r="D4296" s="1" t="s">
        <v>283</v>
      </c>
      <c r="E4296" t="s">
        <v>289</v>
      </c>
      <c r="F4296" s="1">
        <v>2</v>
      </c>
      <c r="G4296" s="1" t="s">
        <v>28</v>
      </c>
      <c r="H4296" s="4" t="str">
        <f>HYPERLINK("https://www.ncbi.nlm.nih.gov/geo/query/acc.cgi?acc=GSM1004679","GSM1004679")</f>
        <v>GSM1004679</v>
      </c>
      <c r="I4296" t="s">
        <v>59</v>
      </c>
      <c r="J4296" t="s">
        <v>60</v>
      </c>
      <c r="K4296" t="s">
        <v>19</v>
      </c>
      <c r="L4296" t="s">
        <v>61</v>
      </c>
      <c r="M4296" t="s">
        <v>44</v>
      </c>
      <c r="N4296" t="s">
        <v>29</v>
      </c>
    </row>
    <row r="4297" spans="1:14">
      <c r="A4297" s="4" t="str">
        <f t="shared" si="413"/>
        <v>EXP00148</v>
      </c>
      <c r="B4297" s="4" t="str">
        <f t="shared" si="408"/>
        <v>24238219</v>
      </c>
      <c r="C4297" s="4" t="str">
        <f t="shared" si="409"/>
        <v>GSE40911</v>
      </c>
      <c r="D4297" s="1" t="s">
        <v>283</v>
      </c>
      <c r="E4297" t="s">
        <v>289</v>
      </c>
      <c r="F4297" s="1">
        <v>2</v>
      </c>
      <c r="G4297" s="1" t="s">
        <v>28</v>
      </c>
      <c r="H4297" s="4" t="str">
        <f>HYPERLINK("https://www.ncbi.nlm.nih.gov/geo/query/acc.cgi?acc=GSM1004680","GSM1004680")</f>
        <v>GSM1004680</v>
      </c>
      <c r="I4297" t="s">
        <v>59</v>
      </c>
      <c r="J4297" t="s">
        <v>60</v>
      </c>
      <c r="K4297" t="s">
        <v>19</v>
      </c>
      <c r="L4297" t="s">
        <v>61</v>
      </c>
      <c r="M4297" t="s">
        <v>44</v>
      </c>
      <c r="N4297" t="s">
        <v>29</v>
      </c>
    </row>
    <row r="4298" spans="1:14">
      <c r="A4298" s="4" t="str">
        <f t="shared" si="413"/>
        <v>EXP00148</v>
      </c>
      <c r="B4298" s="4" t="str">
        <f t="shared" si="408"/>
        <v>24238219</v>
      </c>
      <c r="C4298" s="4" t="str">
        <f t="shared" si="409"/>
        <v>GSE40911</v>
      </c>
      <c r="D4298" s="1" t="s">
        <v>283</v>
      </c>
      <c r="E4298" t="s">
        <v>289</v>
      </c>
      <c r="F4298" s="1">
        <v>2</v>
      </c>
      <c r="G4298" s="1" t="s">
        <v>28</v>
      </c>
      <c r="H4298" s="4" t="str">
        <f>HYPERLINK("https://www.ncbi.nlm.nih.gov/geo/query/acc.cgi?acc=GSM1004697","GSM1004697")</f>
        <v>GSM1004697</v>
      </c>
      <c r="I4298" t="s">
        <v>59</v>
      </c>
      <c r="J4298" t="s">
        <v>60</v>
      </c>
      <c r="K4298" t="s">
        <v>19</v>
      </c>
      <c r="L4298" t="s">
        <v>61</v>
      </c>
      <c r="M4298" t="s">
        <v>41</v>
      </c>
      <c r="N4298" t="s">
        <v>29</v>
      </c>
    </row>
    <row r="4299" spans="1:14">
      <c r="A4299" s="4" t="str">
        <f t="shared" si="413"/>
        <v>EXP00148</v>
      </c>
      <c r="B4299" s="4" t="str">
        <f t="shared" si="408"/>
        <v>24238219</v>
      </c>
      <c r="C4299" s="4" t="str">
        <f t="shared" si="409"/>
        <v>GSE40911</v>
      </c>
      <c r="D4299" s="1" t="s">
        <v>283</v>
      </c>
      <c r="E4299" t="s">
        <v>289</v>
      </c>
      <c r="F4299" s="1">
        <v>2</v>
      </c>
      <c r="G4299" s="1" t="s">
        <v>28</v>
      </c>
      <c r="H4299" s="4" t="str">
        <f>HYPERLINK("https://www.ncbi.nlm.nih.gov/geo/query/acc.cgi?acc=GSM1004698","GSM1004698")</f>
        <v>GSM1004698</v>
      </c>
      <c r="I4299" t="s">
        <v>59</v>
      </c>
      <c r="J4299" t="s">
        <v>60</v>
      </c>
      <c r="K4299" t="s">
        <v>19</v>
      </c>
      <c r="L4299" t="s">
        <v>61</v>
      </c>
      <c r="M4299" t="s">
        <v>41</v>
      </c>
      <c r="N4299" t="s">
        <v>29</v>
      </c>
    </row>
    <row r="4300" spans="1:14">
      <c r="A4300" s="4" t="str">
        <f t="shared" ref="A4300:A4321" si="414">HYPERLINK("http://hcmdb.i-sanger.com/experiment/details/experiment_id/EXP00149","EXP00149")</f>
        <v>EXP00149</v>
      </c>
      <c r="B4300" s="4" t="str">
        <f t="shared" si="408"/>
        <v>24238219</v>
      </c>
      <c r="C4300" s="4" t="str">
        <f t="shared" si="409"/>
        <v>GSE40911</v>
      </c>
      <c r="D4300" s="1" t="s">
        <v>283</v>
      </c>
      <c r="E4300" t="s">
        <v>290</v>
      </c>
      <c r="F4300" s="1">
        <v>1</v>
      </c>
      <c r="G4300" s="1" t="s">
        <v>31</v>
      </c>
      <c r="H4300" s="4" t="str">
        <f>HYPERLINK("https://www.ncbi.nlm.nih.gov/geo/query/acc.cgi?acc=GSM1004677","GSM1004677")</f>
        <v>GSM1004677</v>
      </c>
      <c r="I4300" t="s">
        <v>59</v>
      </c>
      <c r="J4300" t="s">
        <v>60</v>
      </c>
      <c r="K4300" t="s">
        <v>19</v>
      </c>
      <c r="L4300" t="s">
        <v>61</v>
      </c>
      <c r="M4300" t="s">
        <v>50</v>
      </c>
      <c r="N4300" t="s">
        <v>29</v>
      </c>
    </row>
    <row r="4301" spans="1:14">
      <c r="A4301" s="4" t="str">
        <f t="shared" si="414"/>
        <v>EXP00149</v>
      </c>
      <c r="B4301" s="4" t="str">
        <f t="shared" si="408"/>
        <v>24238219</v>
      </c>
      <c r="C4301" s="4" t="str">
        <f t="shared" si="409"/>
        <v>GSE40911</v>
      </c>
      <c r="D4301" s="1" t="s">
        <v>283</v>
      </c>
      <c r="E4301" t="s">
        <v>290</v>
      </c>
      <c r="F4301" s="1">
        <v>1</v>
      </c>
      <c r="G4301" s="1" t="s">
        <v>31</v>
      </c>
      <c r="H4301" s="4" t="str">
        <f>HYPERLINK("https://www.ncbi.nlm.nih.gov/geo/query/acc.cgi?acc=GSM1004678","GSM1004678")</f>
        <v>GSM1004678</v>
      </c>
      <c r="I4301" t="s">
        <v>59</v>
      </c>
      <c r="J4301" t="s">
        <v>60</v>
      </c>
      <c r="K4301" t="s">
        <v>19</v>
      </c>
      <c r="L4301" t="s">
        <v>61</v>
      </c>
      <c r="M4301" t="s">
        <v>50</v>
      </c>
      <c r="N4301" t="s">
        <v>29</v>
      </c>
    </row>
    <row r="4302" spans="1:14">
      <c r="A4302" s="4" t="str">
        <f t="shared" si="414"/>
        <v>EXP00149</v>
      </c>
      <c r="B4302" s="4" t="str">
        <f t="shared" ref="B4302:B4333" si="415">HYPERLINK("https://www.ncbi.nlm.nih.gov/pubmed/24238219","24238219")</f>
        <v>24238219</v>
      </c>
      <c r="C4302" s="4" t="str">
        <f t="shared" ref="C4302:C4333" si="416">HYPERLINK("https://www.ncbi.nlm.nih.gov/geo/query/acc.cgi?acc=GSE40911","GSE40911")</f>
        <v>GSE40911</v>
      </c>
      <c r="D4302" s="1" t="s">
        <v>283</v>
      </c>
      <c r="E4302" t="s">
        <v>290</v>
      </c>
      <c r="F4302" s="1">
        <v>1</v>
      </c>
      <c r="G4302" s="1" t="s">
        <v>31</v>
      </c>
      <c r="H4302" s="4" t="str">
        <f>HYPERLINK("https://www.ncbi.nlm.nih.gov/geo/query/acc.cgi?acc=GSM1004679","GSM1004679")</f>
        <v>GSM1004679</v>
      </c>
      <c r="I4302" t="s">
        <v>59</v>
      </c>
      <c r="J4302" t="s">
        <v>60</v>
      </c>
      <c r="K4302" t="s">
        <v>19</v>
      </c>
      <c r="L4302" t="s">
        <v>61</v>
      </c>
      <c r="M4302" t="s">
        <v>44</v>
      </c>
      <c r="N4302" t="s">
        <v>29</v>
      </c>
    </row>
    <row r="4303" spans="1:14">
      <c r="A4303" s="4" t="str">
        <f t="shared" si="414"/>
        <v>EXP00149</v>
      </c>
      <c r="B4303" s="4" t="str">
        <f t="shared" si="415"/>
        <v>24238219</v>
      </c>
      <c r="C4303" s="4" t="str">
        <f t="shared" si="416"/>
        <v>GSE40911</v>
      </c>
      <c r="D4303" s="1" t="s">
        <v>283</v>
      </c>
      <c r="E4303" t="s">
        <v>290</v>
      </c>
      <c r="F4303" s="1">
        <v>1</v>
      </c>
      <c r="G4303" s="1" t="s">
        <v>31</v>
      </c>
      <c r="H4303" s="4" t="str">
        <f>HYPERLINK("https://www.ncbi.nlm.nih.gov/geo/query/acc.cgi?acc=GSM1004680","GSM1004680")</f>
        <v>GSM1004680</v>
      </c>
      <c r="I4303" t="s">
        <v>59</v>
      </c>
      <c r="J4303" t="s">
        <v>60</v>
      </c>
      <c r="K4303" t="s">
        <v>19</v>
      </c>
      <c r="L4303" t="s">
        <v>61</v>
      </c>
      <c r="M4303" t="s">
        <v>44</v>
      </c>
      <c r="N4303" t="s">
        <v>29</v>
      </c>
    </row>
    <row r="4304" spans="1:14">
      <c r="A4304" s="4" t="str">
        <f t="shared" si="414"/>
        <v>EXP00149</v>
      </c>
      <c r="B4304" s="4" t="str">
        <f t="shared" si="415"/>
        <v>24238219</v>
      </c>
      <c r="C4304" s="4" t="str">
        <f t="shared" si="416"/>
        <v>GSE40911</v>
      </c>
      <c r="D4304" s="1" t="s">
        <v>283</v>
      </c>
      <c r="E4304" t="s">
        <v>290</v>
      </c>
      <c r="F4304" s="1">
        <v>1</v>
      </c>
      <c r="G4304" s="1" t="s">
        <v>31</v>
      </c>
      <c r="H4304" s="4" t="str">
        <f>HYPERLINK("https://www.ncbi.nlm.nih.gov/geo/query/acc.cgi?acc=GSM1004697","GSM1004697")</f>
        <v>GSM1004697</v>
      </c>
      <c r="I4304" t="s">
        <v>59</v>
      </c>
      <c r="J4304" t="s">
        <v>60</v>
      </c>
      <c r="K4304" t="s">
        <v>19</v>
      </c>
      <c r="L4304" t="s">
        <v>61</v>
      </c>
      <c r="M4304" t="s">
        <v>41</v>
      </c>
      <c r="N4304" t="s">
        <v>29</v>
      </c>
    </row>
    <row r="4305" spans="1:14">
      <c r="A4305" s="4" t="str">
        <f t="shared" si="414"/>
        <v>EXP00149</v>
      </c>
      <c r="B4305" s="4" t="str">
        <f t="shared" si="415"/>
        <v>24238219</v>
      </c>
      <c r="C4305" s="4" t="str">
        <f t="shared" si="416"/>
        <v>GSE40911</v>
      </c>
      <c r="D4305" s="1" t="s">
        <v>283</v>
      </c>
      <c r="E4305" t="s">
        <v>290</v>
      </c>
      <c r="F4305" s="1">
        <v>1</v>
      </c>
      <c r="G4305" s="1" t="s">
        <v>31</v>
      </c>
      <c r="H4305" s="4" t="str">
        <f>HYPERLINK("https://www.ncbi.nlm.nih.gov/geo/query/acc.cgi?acc=GSM1004698","GSM1004698")</f>
        <v>GSM1004698</v>
      </c>
      <c r="I4305" t="s">
        <v>59</v>
      </c>
      <c r="J4305" t="s">
        <v>60</v>
      </c>
      <c r="K4305" t="s">
        <v>19</v>
      </c>
      <c r="L4305" t="s">
        <v>61</v>
      </c>
      <c r="M4305" t="s">
        <v>41</v>
      </c>
      <c r="N4305" t="s">
        <v>29</v>
      </c>
    </row>
    <row r="4306" spans="1:14">
      <c r="A4306" s="4" t="str">
        <f t="shared" si="414"/>
        <v>EXP00149</v>
      </c>
      <c r="B4306" s="4" t="str">
        <f t="shared" si="415"/>
        <v>24238219</v>
      </c>
      <c r="C4306" s="4" t="str">
        <f t="shared" si="416"/>
        <v>GSE40911</v>
      </c>
      <c r="D4306" s="1" t="s">
        <v>283</v>
      </c>
      <c r="E4306" t="s">
        <v>290</v>
      </c>
      <c r="F4306" s="1">
        <v>2</v>
      </c>
      <c r="G4306" s="1" t="s">
        <v>32</v>
      </c>
      <c r="H4306" s="4" t="str">
        <f>HYPERLINK("https://www.ncbi.nlm.nih.gov/geo/query/acc.cgi?acc=GSM1004681","GSM1004681")</f>
        <v>GSM1004681</v>
      </c>
      <c r="I4306" t="s">
        <v>59</v>
      </c>
      <c r="J4306" t="s">
        <v>60</v>
      </c>
      <c r="K4306" t="s">
        <v>33</v>
      </c>
      <c r="L4306" t="s">
        <v>61</v>
      </c>
      <c r="N4306" t="s">
        <v>29</v>
      </c>
    </row>
    <row r="4307" spans="1:14">
      <c r="A4307" s="4" t="str">
        <f t="shared" si="414"/>
        <v>EXP00149</v>
      </c>
      <c r="B4307" s="4" t="str">
        <f t="shared" si="415"/>
        <v>24238219</v>
      </c>
      <c r="C4307" s="4" t="str">
        <f t="shared" si="416"/>
        <v>GSE40911</v>
      </c>
      <c r="D4307" s="1" t="s">
        <v>283</v>
      </c>
      <c r="E4307" t="s">
        <v>290</v>
      </c>
      <c r="F4307" s="1">
        <v>2</v>
      </c>
      <c r="G4307" s="1" t="s">
        <v>32</v>
      </c>
      <c r="H4307" s="4" t="str">
        <f>HYPERLINK("https://www.ncbi.nlm.nih.gov/geo/query/acc.cgi?acc=GSM1004682","GSM1004682")</f>
        <v>GSM1004682</v>
      </c>
      <c r="I4307" t="s">
        <v>59</v>
      </c>
      <c r="J4307" t="s">
        <v>60</v>
      </c>
      <c r="K4307" t="s">
        <v>33</v>
      </c>
      <c r="L4307" t="s">
        <v>61</v>
      </c>
      <c r="N4307" t="s">
        <v>29</v>
      </c>
    </row>
    <row r="4308" spans="1:14">
      <c r="A4308" s="4" t="str">
        <f t="shared" si="414"/>
        <v>EXP00149</v>
      </c>
      <c r="B4308" s="4" t="str">
        <f t="shared" si="415"/>
        <v>24238219</v>
      </c>
      <c r="C4308" s="4" t="str">
        <f t="shared" si="416"/>
        <v>GSE40911</v>
      </c>
      <c r="D4308" s="1" t="s">
        <v>283</v>
      </c>
      <c r="E4308" t="s">
        <v>290</v>
      </c>
      <c r="F4308" s="1">
        <v>2</v>
      </c>
      <c r="G4308" s="1" t="s">
        <v>32</v>
      </c>
      <c r="H4308" s="4" t="str">
        <f>HYPERLINK("https://www.ncbi.nlm.nih.gov/geo/query/acc.cgi?acc=GSM1004683","GSM1004683")</f>
        <v>GSM1004683</v>
      </c>
      <c r="I4308" t="s">
        <v>59</v>
      </c>
      <c r="J4308" t="s">
        <v>60</v>
      </c>
      <c r="K4308" t="s">
        <v>33</v>
      </c>
      <c r="L4308" t="s">
        <v>61</v>
      </c>
      <c r="N4308" t="s">
        <v>29</v>
      </c>
    </row>
    <row r="4309" spans="1:14">
      <c r="A4309" s="4" t="str">
        <f t="shared" si="414"/>
        <v>EXP00149</v>
      </c>
      <c r="B4309" s="4" t="str">
        <f t="shared" si="415"/>
        <v>24238219</v>
      </c>
      <c r="C4309" s="4" t="str">
        <f t="shared" si="416"/>
        <v>GSE40911</v>
      </c>
      <c r="D4309" s="1" t="s">
        <v>283</v>
      </c>
      <c r="E4309" t="s">
        <v>290</v>
      </c>
      <c r="F4309" s="1">
        <v>2</v>
      </c>
      <c r="G4309" s="1" t="s">
        <v>32</v>
      </c>
      <c r="H4309" s="4" t="str">
        <f>HYPERLINK("https://www.ncbi.nlm.nih.gov/geo/query/acc.cgi?acc=GSM1004684","GSM1004684")</f>
        <v>GSM1004684</v>
      </c>
      <c r="I4309" t="s">
        <v>59</v>
      </c>
      <c r="J4309" t="s">
        <v>60</v>
      </c>
      <c r="K4309" t="s">
        <v>33</v>
      </c>
      <c r="L4309" t="s">
        <v>61</v>
      </c>
      <c r="N4309" t="s">
        <v>29</v>
      </c>
    </row>
    <row r="4310" spans="1:14">
      <c r="A4310" s="4" t="str">
        <f t="shared" si="414"/>
        <v>EXP00149</v>
      </c>
      <c r="B4310" s="4" t="str">
        <f t="shared" si="415"/>
        <v>24238219</v>
      </c>
      <c r="C4310" s="4" t="str">
        <f t="shared" si="416"/>
        <v>GSE40911</v>
      </c>
      <c r="D4310" s="1" t="s">
        <v>283</v>
      </c>
      <c r="E4310" t="s">
        <v>290</v>
      </c>
      <c r="F4310" s="1">
        <v>2</v>
      </c>
      <c r="G4310" s="1" t="s">
        <v>32</v>
      </c>
      <c r="H4310" s="4" t="str">
        <f>HYPERLINK("https://www.ncbi.nlm.nih.gov/geo/query/acc.cgi?acc=GSM1004685","GSM1004685")</f>
        <v>GSM1004685</v>
      </c>
      <c r="I4310" t="s">
        <v>59</v>
      </c>
      <c r="J4310" t="s">
        <v>60</v>
      </c>
      <c r="K4310" t="s">
        <v>33</v>
      </c>
      <c r="L4310" t="s">
        <v>61</v>
      </c>
      <c r="N4310" t="s">
        <v>29</v>
      </c>
    </row>
    <row r="4311" spans="1:14">
      <c r="A4311" s="4" t="str">
        <f t="shared" si="414"/>
        <v>EXP00149</v>
      </c>
      <c r="B4311" s="4" t="str">
        <f t="shared" si="415"/>
        <v>24238219</v>
      </c>
      <c r="C4311" s="4" t="str">
        <f t="shared" si="416"/>
        <v>GSE40911</v>
      </c>
      <c r="D4311" s="1" t="s">
        <v>283</v>
      </c>
      <c r="E4311" t="s">
        <v>290</v>
      </c>
      <c r="F4311" s="1">
        <v>2</v>
      </c>
      <c r="G4311" s="1" t="s">
        <v>32</v>
      </c>
      <c r="H4311" s="4" t="str">
        <f>HYPERLINK("https://www.ncbi.nlm.nih.gov/geo/query/acc.cgi?acc=GSM1004686","GSM1004686")</f>
        <v>GSM1004686</v>
      </c>
      <c r="I4311" t="s">
        <v>59</v>
      </c>
      <c r="J4311" t="s">
        <v>60</v>
      </c>
      <c r="K4311" t="s">
        <v>33</v>
      </c>
      <c r="L4311" t="s">
        <v>61</v>
      </c>
      <c r="N4311" t="s">
        <v>29</v>
      </c>
    </row>
    <row r="4312" spans="1:14">
      <c r="A4312" s="4" t="str">
        <f t="shared" si="414"/>
        <v>EXP00149</v>
      </c>
      <c r="B4312" s="4" t="str">
        <f t="shared" si="415"/>
        <v>24238219</v>
      </c>
      <c r="C4312" s="4" t="str">
        <f t="shared" si="416"/>
        <v>GSE40911</v>
      </c>
      <c r="D4312" s="1" t="s">
        <v>283</v>
      </c>
      <c r="E4312" t="s">
        <v>290</v>
      </c>
      <c r="F4312" s="1">
        <v>2</v>
      </c>
      <c r="G4312" s="1" t="s">
        <v>32</v>
      </c>
      <c r="H4312" s="4" t="str">
        <f>HYPERLINK("https://www.ncbi.nlm.nih.gov/geo/query/acc.cgi?acc=GSM1004687","GSM1004687")</f>
        <v>GSM1004687</v>
      </c>
      <c r="I4312" t="s">
        <v>59</v>
      </c>
      <c r="J4312" t="s">
        <v>60</v>
      </c>
      <c r="K4312" t="s">
        <v>33</v>
      </c>
      <c r="L4312" t="s">
        <v>61</v>
      </c>
      <c r="N4312" t="s">
        <v>29</v>
      </c>
    </row>
    <row r="4313" spans="1:14">
      <c r="A4313" s="4" t="str">
        <f t="shared" si="414"/>
        <v>EXP00149</v>
      </c>
      <c r="B4313" s="4" t="str">
        <f t="shared" si="415"/>
        <v>24238219</v>
      </c>
      <c r="C4313" s="4" t="str">
        <f t="shared" si="416"/>
        <v>GSE40911</v>
      </c>
      <c r="D4313" s="1" t="s">
        <v>283</v>
      </c>
      <c r="E4313" t="s">
        <v>290</v>
      </c>
      <c r="F4313" s="1">
        <v>2</v>
      </c>
      <c r="G4313" s="1" t="s">
        <v>32</v>
      </c>
      <c r="H4313" s="4" t="str">
        <f>HYPERLINK("https://www.ncbi.nlm.nih.gov/geo/query/acc.cgi?acc=GSM1004688","GSM1004688")</f>
        <v>GSM1004688</v>
      </c>
      <c r="I4313" t="s">
        <v>59</v>
      </c>
      <c r="J4313" t="s">
        <v>60</v>
      </c>
      <c r="K4313" t="s">
        <v>33</v>
      </c>
      <c r="L4313" t="s">
        <v>61</v>
      </c>
      <c r="N4313" t="s">
        <v>29</v>
      </c>
    </row>
    <row r="4314" spans="1:14">
      <c r="A4314" s="4" t="str">
        <f t="shared" si="414"/>
        <v>EXP00149</v>
      </c>
      <c r="B4314" s="4" t="str">
        <f t="shared" si="415"/>
        <v>24238219</v>
      </c>
      <c r="C4314" s="4" t="str">
        <f t="shared" si="416"/>
        <v>GSE40911</v>
      </c>
      <c r="D4314" s="1" t="s">
        <v>283</v>
      </c>
      <c r="E4314" t="s">
        <v>290</v>
      </c>
      <c r="F4314" s="1">
        <v>2</v>
      </c>
      <c r="G4314" s="1" t="s">
        <v>32</v>
      </c>
      <c r="H4314" s="4" t="str">
        <f>HYPERLINK("https://www.ncbi.nlm.nih.gov/geo/query/acc.cgi?acc=GSM1004689","GSM1004689")</f>
        <v>GSM1004689</v>
      </c>
      <c r="I4314" t="s">
        <v>59</v>
      </c>
      <c r="J4314" t="s">
        <v>60</v>
      </c>
      <c r="K4314" t="s">
        <v>33</v>
      </c>
      <c r="L4314" t="s">
        <v>61</v>
      </c>
      <c r="N4314" t="s">
        <v>29</v>
      </c>
    </row>
    <row r="4315" spans="1:14">
      <c r="A4315" s="4" t="str">
        <f t="shared" si="414"/>
        <v>EXP00149</v>
      </c>
      <c r="B4315" s="4" t="str">
        <f t="shared" si="415"/>
        <v>24238219</v>
      </c>
      <c r="C4315" s="4" t="str">
        <f t="shared" si="416"/>
        <v>GSE40911</v>
      </c>
      <c r="D4315" s="1" t="s">
        <v>283</v>
      </c>
      <c r="E4315" t="s">
        <v>290</v>
      </c>
      <c r="F4315" s="1">
        <v>2</v>
      </c>
      <c r="G4315" s="1" t="s">
        <v>32</v>
      </c>
      <c r="H4315" s="4" t="str">
        <f>HYPERLINK("https://www.ncbi.nlm.nih.gov/geo/query/acc.cgi?acc=GSM1004690","GSM1004690")</f>
        <v>GSM1004690</v>
      </c>
      <c r="I4315" t="s">
        <v>59</v>
      </c>
      <c r="J4315" t="s">
        <v>60</v>
      </c>
      <c r="K4315" t="s">
        <v>33</v>
      </c>
      <c r="L4315" t="s">
        <v>61</v>
      </c>
      <c r="N4315" t="s">
        <v>29</v>
      </c>
    </row>
    <row r="4316" spans="1:14">
      <c r="A4316" s="4" t="str">
        <f t="shared" si="414"/>
        <v>EXP00149</v>
      </c>
      <c r="B4316" s="4" t="str">
        <f t="shared" si="415"/>
        <v>24238219</v>
      </c>
      <c r="C4316" s="4" t="str">
        <f t="shared" si="416"/>
        <v>GSE40911</v>
      </c>
      <c r="D4316" s="1" t="s">
        <v>283</v>
      </c>
      <c r="E4316" t="s">
        <v>290</v>
      </c>
      <c r="F4316" s="1">
        <v>2</v>
      </c>
      <c r="G4316" s="1" t="s">
        <v>32</v>
      </c>
      <c r="H4316" s="4" t="str">
        <f>HYPERLINK("https://www.ncbi.nlm.nih.gov/geo/query/acc.cgi?acc=GSM1004691","GSM1004691")</f>
        <v>GSM1004691</v>
      </c>
      <c r="I4316" t="s">
        <v>59</v>
      </c>
      <c r="J4316" t="s">
        <v>60</v>
      </c>
      <c r="K4316" t="s">
        <v>33</v>
      </c>
      <c r="L4316" t="s">
        <v>61</v>
      </c>
      <c r="N4316" t="s">
        <v>29</v>
      </c>
    </row>
    <row r="4317" spans="1:14">
      <c r="A4317" s="4" t="str">
        <f t="shared" si="414"/>
        <v>EXP00149</v>
      </c>
      <c r="B4317" s="4" t="str">
        <f t="shared" si="415"/>
        <v>24238219</v>
      </c>
      <c r="C4317" s="4" t="str">
        <f t="shared" si="416"/>
        <v>GSE40911</v>
      </c>
      <c r="D4317" s="1" t="s">
        <v>283</v>
      </c>
      <c r="E4317" t="s">
        <v>290</v>
      </c>
      <c r="F4317" s="1">
        <v>2</v>
      </c>
      <c r="G4317" s="1" t="s">
        <v>32</v>
      </c>
      <c r="H4317" s="4" t="str">
        <f>HYPERLINK("https://www.ncbi.nlm.nih.gov/geo/query/acc.cgi?acc=GSM1004692","GSM1004692")</f>
        <v>GSM1004692</v>
      </c>
      <c r="I4317" t="s">
        <v>59</v>
      </c>
      <c r="J4317" t="s">
        <v>60</v>
      </c>
      <c r="K4317" t="s">
        <v>33</v>
      </c>
      <c r="L4317" t="s">
        <v>61</v>
      </c>
      <c r="N4317" t="s">
        <v>29</v>
      </c>
    </row>
    <row r="4318" spans="1:14">
      <c r="A4318" s="4" t="str">
        <f t="shared" si="414"/>
        <v>EXP00149</v>
      </c>
      <c r="B4318" s="4" t="str">
        <f t="shared" si="415"/>
        <v>24238219</v>
      </c>
      <c r="C4318" s="4" t="str">
        <f t="shared" si="416"/>
        <v>GSE40911</v>
      </c>
      <c r="D4318" s="1" t="s">
        <v>283</v>
      </c>
      <c r="E4318" t="s">
        <v>290</v>
      </c>
      <c r="F4318" s="1">
        <v>2</v>
      </c>
      <c r="G4318" s="1" t="s">
        <v>32</v>
      </c>
      <c r="H4318" s="4" t="str">
        <f>HYPERLINK("https://www.ncbi.nlm.nih.gov/geo/query/acc.cgi?acc=GSM1004693","GSM1004693")</f>
        <v>GSM1004693</v>
      </c>
      <c r="I4318" t="s">
        <v>59</v>
      </c>
      <c r="J4318" t="s">
        <v>60</v>
      </c>
      <c r="K4318" t="s">
        <v>33</v>
      </c>
      <c r="L4318" t="s">
        <v>61</v>
      </c>
      <c r="N4318" t="s">
        <v>29</v>
      </c>
    </row>
    <row r="4319" spans="1:14">
      <c r="A4319" s="4" t="str">
        <f t="shared" si="414"/>
        <v>EXP00149</v>
      </c>
      <c r="B4319" s="4" t="str">
        <f t="shared" si="415"/>
        <v>24238219</v>
      </c>
      <c r="C4319" s="4" t="str">
        <f t="shared" si="416"/>
        <v>GSE40911</v>
      </c>
      <c r="D4319" s="1" t="s">
        <v>283</v>
      </c>
      <c r="E4319" t="s">
        <v>290</v>
      </c>
      <c r="F4319" s="1">
        <v>2</v>
      </c>
      <c r="G4319" s="1" t="s">
        <v>32</v>
      </c>
      <c r="H4319" s="4" t="str">
        <f>HYPERLINK("https://www.ncbi.nlm.nih.gov/geo/query/acc.cgi?acc=GSM1004694","GSM1004694")</f>
        <v>GSM1004694</v>
      </c>
      <c r="I4319" t="s">
        <v>59</v>
      </c>
      <c r="J4319" t="s">
        <v>60</v>
      </c>
      <c r="K4319" t="s">
        <v>33</v>
      </c>
      <c r="L4319" t="s">
        <v>61</v>
      </c>
      <c r="N4319" t="s">
        <v>29</v>
      </c>
    </row>
    <row r="4320" spans="1:14">
      <c r="A4320" s="4" t="str">
        <f t="shared" si="414"/>
        <v>EXP00149</v>
      </c>
      <c r="B4320" s="4" t="str">
        <f t="shared" si="415"/>
        <v>24238219</v>
      </c>
      <c r="C4320" s="4" t="str">
        <f t="shared" si="416"/>
        <v>GSE40911</v>
      </c>
      <c r="D4320" s="1" t="s">
        <v>283</v>
      </c>
      <c r="E4320" t="s">
        <v>290</v>
      </c>
      <c r="F4320" s="1">
        <v>2</v>
      </c>
      <c r="G4320" s="1" t="s">
        <v>32</v>
      </c>
      <c r="H4320" s="4" t="str">
        <f>HYPERLINK("https://www.ncbi.nlm.nih.gov/geo/query/acc.cgi?acc=GSM1004695","GSM1004695")</f>
        <v>GSM1004695</v>
      </c>
      <c r="I4320" t="s">
        <v>59</v>
      </c>
      <c r="J4320" t="s">
        <v>60</v>
      </c>
      <c r="K4320" t="s">
        <v>33</v>
      </c>
      <c r="L4320" t="s">
        <v>61</v>
      </c>
      <c r="N4320" t="s">
        <v>29</v>
      </c>
    </row>
    <row r="4321" spans="1:14">
      <c r="A4321" s="4" t="str">
        <f t="shared" si="414"/>
        <v>EXP00149</v>
      </c>
      <c r="B4321" s="4" t="str">
        <f t="shared" si="415"/>
        <v>24238219</v>
      </c>
      <c r="C4321" s="4" t="str">
        <f t="shared" si="416"/>
        <v>GSE40911</v>
      </c>
      <c r="D4321" s="1" t="s">
        <v>283</v>
      </c>
      <c r="E4321" t="s">
        <v>290</v>
      </c>
      <c r="F4321" s="1">
        <v>2</v>
      </c>
      <c r="G4321" s="1" t="s">
        <v>32</v>
      </c>
      <c r="H4321" s="4" t="str">
        <f>HYPERLINK("https://www.ncbi.nlm.nih.gov/geo/query/acc.cgi?acc=GSM1004696","GSM1004696")</f>
        <v>GSM1004696</v>
      </c>
      <c r="I4321" t="s">
        <v>59</v>
      </c>
      <c r="J4321" t="s">
        <v>60</v>
      </c>
      <c r="K4321" t="s">
        <v>33</v>
      </c>
      <c r="L4321" t="s">
        <v>61</v>
      </c>
      <c r="N4321" t="s">
        <v>29</v>
      </c>
    </row>
    <row r="4322" spans="1:14">
      <c r="A4322" s="4" t="str">
        <f t="shared" ref="A4322:A4353" si="417">HYPERLINK("http://hcmdb.i-sanger.com/experiment/details/experiment_id/EXP00150","EXP00150")</f>
        <v>EXP00150</v>
      </c>
      <c r="B4322" s="4" t="str">
        <f t="shared" si="415"/>
        <v>24238219</v>
      </c>
      <c r="C4322" s="4" t="str">
        <f t="shared" si="416"/>
        <v>GSE40911</v>
      </c>
      <c r="D4322" s="1" t="s">
        <v>283</v>
      </c>
      <c r="E4322" t="s">
        <v>58</v>
      </c>
      <c r="F4322" s="1">
        <v>1</v>
      </c>
      <c r="G4322" s="1" t="s">
        <v>36</v>
      </c>
      <c r="H4322" s="4" t="str">
        <f>HYPERLINK("https://www.ncbi.nlm.nih.gov/geo/query/acc.cgi?acc=GSM1004659","GSM1004659")</f>
        <v>GSM1004659</v>
      </c>
      <c r="I4322" t="s">
        <v>59</v>
      </c>
      <c r="J4322" t="s">
        <v>60</v>
      </c>
      <c r="K4322" t="s">
        <v>33</v>
      </c>
      <c r="L4322" t="s">
        <v>61</v>
      </c>
      <c r="N4322" t="s">
        <v>37</v>
      </c>
    </row>
    <row r="4323" spans="1:14">
      <c r="A4323" s="4" t="str">
        <f t="shared" si="417"/>
        <v>EXP00150</v>
      </c>
      <c r="B4323" s="4" t="str">
        <f t="shared" si="415"/>
        <v>24238219</v>
      </c>
      <c r="C4323" s="4" t="str">
        <f t="shared" si="416"/>
        <v>GSE40911</v>
      </c>
      <c r="D4323" s="1" t="s">
        <v>283</v>
      </c>
      <c r="E4323" t="s">
        <v>58</v>
      </c>
      <c r="F4323" s="1">
        <v>1</v>
      </c>
      <c r="G4323" s="1" t="s">
        <v>36</v>
      </c>
      <c r="H4323" s="4" t="str">
        <f>HYPERLINK("https://www.ncbi.nlm.nih.gov/geo/query/acc.cgi?acc=GSM1004660","GSM1004660")</f>
        <v>GSM1004660</v>
      </c>
      <c r="I4323" t="s">
        <v>59</v>
      </c>
      <c r="J4323" t="s">
        <v>60</v>
      </c>
      <c r="K4323" t="s">
        <v>33</v>
      </c>
      <c r="L4323" t="s">
        <v>61</v>
      </c>
      <c r="N4323" t="s">
        <v>37</v>
      </c>
    </row>
    <row r="4324" spans="1:14">
      <c r="A4324" s="4" t="str">
        <f t="shared" si="417"/>
        <v>EXP00150</v>
      </c>
      <c r="B4324" s="4" t="str">
        <f t="shared" si="415"/>
        <v>24238219</v>
      </c>
      <c r="C4324" s="4" t="str">
        <f t="shared" si="416"/>
        <v>GSE40911</v>
      </c>
      <c r="D4324" s="1" t="s">
        <v>283</v>
      </c>
      <c r="E4324" t="s">
        <v>58</v>
      </c>
      <c r="F4324" s="1">
        <v>1</v>
      </c>
      <c r="G4324" s="1" t="s">
        <v>36</v>
      </c>
      <c r="H4324" s="4" t="str">
        <f>HYPERLINK("https://www.ncbi.nlm.nih.gov/geo/query/acc.cgi?acc=GSM1004661","GSM1004661")</f>
        <v>GSM1004661</v>
      </c>
      <c r="I4324" t="s">
        <v>59</v>
      </c>
      <c r="J4324" t="s">
        <v>60</v>
      </c>
      <c r="K4324" t="s">
        <v>33</v>
      </c>
      <c r="L4324" t="s">
        <v>61</v>
      </c>
      <c r="N4324" t="s">
        <v>37</v>
      </c>
    </row>
    <row r="4325" spans="1:14">
      <c r="A4325" s="4" t="str">
        <f t="shared" si="417"/>
        <v>EXP00150</v>
      </c>
      <c r="B4325" s="4" t="str">
        <f t="shared" si="415"/>
        <v>24238219</v>
      </c>
      <c r="C4325" s="4" t="str">
        <f t="shared" si="416"/>
        <v>GSE40911</v>
      </c>
      <c r="D4325" s="1" t="s">
        <v>283</v>
      </c>
      <c r="E4325" t="s">
        <v>58</v>
      </c>
      <c r="F4325" s="1">
        <v>1</v>
      </c>
      <c r="G4325" s="1" t="s">
        <v>36</v>
      </c>
      <c r="H4325" s="4" t="str">
        <f>HYPERLINK("https://www.ncbi.nlm.nih.gov/geo/query/acc.cgi?acc=GSM1004662","GSM1004662")</f>
        <v>GSM1004662</v>
      </c>
      <c r="I4325" t="s">
        <v>59</v>
      </c>
      <c r="J4325" t="s">
        <v>60</v>
      </c>
      <c r="K4325" t="s">
        <v>33</v>
      </c>
      <c r="L4325" t="s">
        <v>61</v>
      </c>
      <c r="N4325" t="s">
        <v>37</v>
      </c>
    </row>
    <row r="4326" spans="1:14">
      <c r="A4326" s="4" t="str">
        <f t="shared" si="417"/>
        <v>EXP00150</v>
      </c>
      <c r="B4326" s="4" t="str">
        <f t="shared" si="415"/>
        <v>24238219</v>
      </c>
      <c r="C4326" s="4" t="str">
        <f t="shared" si="416"/>
        <v>GSE40911</v>
      </c>
      <c r="D4326" s="1" t="s">
        <v>283</v>
      </c>
      <c r="E4326" t="s">
        <v>58</v>
      </c>
      <c r="F4326" s="1">
        <v>1</v>
      </c>
      <c r="G4326" s="1" t="s">
        <v>36</v>
      </c>
      <c r="H4326" s="4" t="str">
        <f>HYPERLINK("https://www.ncbi.nlm.nih.gov/geo/query/acc.cgi?acc=GSM1004663","GSM1004663")</f>
        <v>GSM1004663</v>
      </c>
      <c r="I4326" t="s">
        <v>59</v>
      </c>
      <c r="J4326" t="s">
        <v>60</v>
      </c>
      <c r="K4326" t="s">
        <v>33</v>
      </c>
      <c r="L4326" t="s">
        <v>61</v>
      </c>
      <c r="N4326" t="s">
        <v>37</v>
      </c>
    </row>
    <row r="4327" spans="1:14">
      <c r="A4327" s="4" t="str">
        <f t="shared" si="417"/>
        <v>EXP00150</v>
      </c>
      <c r="B4327" s="4" t="str">
        <f t="shared" si="415"/>
        <v>24238219</v>
      </c>
      <c r="C4327" s="4" t="str">
        <f t="shared" si="416"/>
        <v>GSE40911</v>
      </c>
      <c r="D4327" s="1" t="s">
        <v>283</v>
      </c>
      <c r="E4327" t="s">
        <v>58</v>
      </c>
      <c r="F4327" s="1">
        <v>1</v>
      </c>
      <c r="G4327" s="1" t="s">
        <v>36</v>
      </c>
      <c r="H4327" s="4" t="str">
        <f>HYPERLINK("https://www.ncbi.nlm.nih.gov/geo/query/acc.cgi?acc=GSM1004664","GSM1004664")</f>
        <v>GSM1004664</v>
      </c>
      <c r="I4327" t="s">
        <v>59</v>
      </c>
      <c r="J4327" t="s">
        <v>60</v>
      </c>
      <c r="K4327" t="s">
        <v>33</v>
      </c>
      <c r="L4327" t="s">
        <v>61</v>
      </c>
      <c r="N4327" t="s">
        <v>37</v>
      </c>
    </row>
    <row r="4328" spans="1:14">
      <c r="A4328" s="4" t="str">
        <f t="shared" si="417"/>
        <v>EXP00150</v>
      </c>
      <c r="B4328" s="4" t="str">
        <f t="shared" si="415"/>
        <v>24238219</v>
      </c>
      <c r="C4328" s="4" t="str">
        <f t="shared" si="416"/>
        <v>GSE40911</v>
      </c>
      <c r="D4328" s="1" t="s">
        <v>283</v>
      </c>
      <c r="E4328" t="s">
        <v>58</v>
      </c>
      <c r="F4328" s="1">
        <v>1</v>
      </c>
      <c r="G4328" s="1" t="s">
        <v>36</v>
      </c>
      <c r="H4328" s="4" t="str">
        <f>HYPERLINK("https://www.ncbi.nlm.nih.gov/geo/query/acc.cgi?acc=GSM1004665","GSM1004665")</f>
        <v>GSM1004665</v>
      </c>
      <c r="I4328" t="s">
        <v>59</v>
      </c>
      <c r="J4328" t="s">
        <v>60</v>
      </c>
      <c r="K4328" t="s">
        <v>33</v>
      </c>
      <c r="L4328" t="s">
        <v>61</v>
      </c>
      <c r="N4328" t="s">
        <v>37</v>
      </c>
    </row>
    <row r="4329" spans="1:14">
      <c r="A4329" s="4" t="str">
        <f t="shared" si="417"/>
        <v>EXP00150</v>
      </c>
      <c r="B4329" s="4" t="str">
        <f t="shared" si="415"/>
        <v>24238219</v>
      </c>
      <c r="C4329" s="4" t="str">
        <f t="shared" si="416"/>
        <v>GSE40911</v>
      </c>
      <c r="D4329" s="1" t="s">
        <v>283</v>
      </c>
      <c r="E4329" t="s">
        <v>58</v>
      </c>
      <c r="F4329" s="1">
        <v>1</v>
      </c>
      <c r="G4329" s="1" t="s">
        <v>36</v>
      </c>
      <c r="H4329" s="4" t="str">
        <f>HYPERLINK("https://www.ncbi.nlm.nih.gov/geo/query/acc.cgi?acc=GSM1004666","GSM1004666")</f>
        <v>GSM1004666</v>
      </c>
      <c r="I4329" t="s">
        <v>59</v>
      </c>
      <c r="J4329" t="s">
        <v>60</v>
      </c>
      <c r="K4329" t="s">
        <v>33</v>
      </c>
      <c r="L4329" t="s">
        <v>61</v>
      </c>
      <c r="N4329" t="s">
        <v>37</v>
      </c>
    </row>
    <row r="4330" spans="1:14">
      <c r="A4330" s="4" t="str">
        <f t="shared" si="417"/>
        <v>EXP00150</v>
      </c>
      <c r="B4330" s="4" t="str">
        <f t="shared" si="415"/>
        <v>24238219</v>
      </c>
      <c r="C4330" s="4" t="str">
        <f t="shared" si="416"/>
        <v>GSE40911</v>
      </c>
      <c r="D4330" s="1" t="s">
        <v>283</v>
      </c>
      <c r="E4330" t="s">
        <v>58</v>
      </c>
      <c r="F4330" s="1">
        <v>1</v>
      </c>
      <c r="G4330" s="1" t="s">
        <v>36</v>
      </c>
      <c r="H4330" s="4" t="str">
        <f>HYPERLINK("https://www.ncbi.nlm.nih.gov/geo/query/acc.cgi?acc=GSM1004667","GSM1004667")</f>
        <v>GSM1004667</v>
      </c>
      <c r="I4330" t="s">
        <v>59</v>
      </c>
      <c r="J4330" t="s">
        <v>60</v>
      </c>
      <c r="K4330" t="s">
        <v>33</v>
      </c>
      <c r="L4330" t="s">
        <v>61</v>
      </c>
      <c r="N4330" t="s">
        <v>37</v>
      </c>
    </row>
    <row r="4331" spans="1:14">
      <c r="A4331" s="4" t="str">
        <f t="shared" si="417"/>
        <v>EXP00150</v>
      </c>
      <c r="B4331" s="4" t="str">
        <f t="shared" si="415"/>
        <v>24238219</v>
      </c>
      <c r="C4331" s="4" t="str">
        <f t="shared" si="416"/>
        <v>GSE40911</v>
      </c>
      <c r="D4331" s="1" t="s">
        <v>283</v>
      </c>
      <c r="E4331" t="s">
        <v>58</v>
      </c>
      <c r="F4331" s="1">
        <v>1</v>
      </c>
      <c r="G4331" s="1" t="s">
        <v>36</v>
      </c>
      <c r="H4331" s="4" t="str">
        <f>HYPERLINK("https://www.ncbi.nlm.nih.gov/geo/query/acc.cgi?acc=GSM1004668","GSM1004668")</f>
        <v>GSM1004668</v>
      </c>
      <c r="I4331" t="s">
        <v>59</v>
      </c>
      <c r="J4331" t="s">
        <v>60</v>
      </c>
      <c r="K4331" t="s">
        <v>33</v>
      </c>
      <c r="L4331" t="s">
        <v>61</v>
      </c>
      <c r="N4331" t="s">
        <v>37</v>
      </c>
    </row>
    <row r="4332" spans="1:14">
      <c r="A4332" s="4" t="str">
        <f t="shared" si="417"/>
        <v>EXP00150</v>
      </c>
      <c r="B4332" s="4" t="str">
        <f t="shared" si="415"/>
        <v>24238219</v>
      </c>
      <c r="C4332" s="4" t="str">
        <f t="shared" si="416"/>
        <v>GSE40911</v>
      </c>
      <c r="D4332" s="1" t="s">
        <v>283</v>
      </c>
      <c r="E4332" t="s">
        <v>58</v>
      </c>
      <c r="F4332" s="1">
        <v>1</v>
      </c>
      <c r="G4332" s="1" t="s">
        <v>36</v>
      </c>
      <c r="H4332" s="4" t="str">
        <f>HYPERLINK("https://www.ncbi.nlm.nih.gov/geo/query/acc.cgi?acc=GSM1004669","GSM1004669")</f>
        <v>GSM1004669</v>
      </c>
      <c r="I4332" t="s">
        <v>59</v>
      </c>
      <c r="J4332" t="s">
        <v>60</v>
      </c>
      <c r="K4332" t="s">
        <v>33</v>
      </c>
      <c r="L4332" t="s">
        <v>61</v>
      </c>
      <c r="N4332" t="s">
        <v>37</v>
      </c>
    </row>
    <row r="4333" spans="1:14">
      <c r="A4333" s="4" t="str">
        <f t="shared" si="417"/>
        <v>EXP00150</v>
      </c>
      <c r="B4333" s="4" t="str">
        <f t="shared" si="415"/>
        <v>24238219</v>
      </c>
      <c r="C4333" s="4" t="str">
        <f t="shared" si="416"/>
        <v>GSE40911</v>
      </c>
      <c r="D4333" s="1" t="s">
        <v>283</v>
      </c>
      <c r="E4333" t="s">
        <v>58</v>
      </c>
      <c r="F4333" s="1">
        <v>1</v>
      </c>
      <c r="G4333" s="1" t="s">
        <v>36</v>
      </c>
      <c r="H4333" s="4" t="str">
        <f>HYPERLINK("https://www.ncbi.nlm.nih.gov/geo/query/acc.cgi?acc=GSM1004670","GSM1004670")</f>
        <v>GSM1004670</v>
      </c>
      <c r="I4333" t="s">
        <v>59</v>
      </c>
      <c r="J4333" t="s">
        <v>60</v>
      </c>
      <c r="K4333" t="s">
        <v>33</v>
      </c>
      <c r="L4333" t="s">
        <v>61</v>
      </c>
      <c r="N4333" t="s">
        <v>37</v>
      </c>
    </row>
    <row r="4334" spans="1:14">
      <c r="A4334" s="4" t="str">
        <f t="shared" si="417"/>
        <v>EXP00150</v>
      </c>
      <c r="B4334" s="4" t="str">
        <f t="shared" ref="B4334:B4365" si="418">HYPERLINK("https://www.ncbi.nlm.nih.gov/pubmed/24238219","24238219")</f>
        <v>24238219</v>
      </c>
      <c r="C4334" s="4" t="str">
        <f t="shared" ref="C4334:C4353" si="419">HYPERLINK("https://www.ncbi.nlm.nih.gov/geo/query/acc.cgi?acc=GSE40911","GSE40911")</f>
        <v>GSE40911</v>
      </c>
      <c r="D4334" s="1" t="s">
        <v>283</v>
      </c>
      <c r="E4334" t="s">
        <v>58</v>
      </c>
      <c r="F4334" s="1">
        <v>1</v>
      </c>
      <c r="G4334" s="1" t="s">
        <v>36</v>
      </c>
      <c r="H4334" s="4" t="str">
        <f>HYPERLINK("https://www.ncbi.nlm.nih.gov/geo/query/acc.cgi?acc=GSM1004671","GSM1004671")</f>
        <v>GSM1004671</v>
      </c>
      <c r="I4334" t="s">
        <v>59</v>
      </c>
      <c r="J4334" t="s">
        <v>60</v>
      </c>
      <c r="K4334" t="s">
        <v>33</v>
      </c>
      <c r="L4334" t="s">
        <v>61</v>
      </c>
      <c r="N4334" t="s">
        <v>37</v>
      </c>
    </row>
    <row r="4335" spans="1:14">
      <c r="A4335" s="4" t="str">
        <f t="shared" si="417"/>
        <v>EXP00150</v>
      </c>
      <c r="B4335" s="4" t="str">
        <f t="shared" si="418"/>
        <v>24238219</v>
      </c>
      <c r="C4335" s="4" t="str">
        <f t="shared" si="419"/>
        <v>GSE40911</v>
      </c>
      <c r="D4335" s="1" t="s">
        <v>283</v>
      </c>
      <c r="E4335" t="s">
        <v>58</v>
      </c>
      <c r="F4335" s="1">
        <v>1</v>
      </c>
      <c r="G4335" s="1" t="s">
        <v>36</v>
      </c>
      <c r="H4335" s="4" t="str">
        <f>HYPERLINK("https://www.ncbi.nlm.nih.gov/geo/query/acc.cgi?acc=GSM1004672","GSM1004672")</f>
        <v>GSM1004672</v>
      </c>
      <c r="I4335" t="s">
        <v>59</v>
      </c>
      <c r="J4335" t="s">
        <v>60</v>
      </c>
      <c r="K4335" t="s">
        <v>33</v>
      </c>
      <c r="L4335" t="s">
        <v>61</v>
      </c>
      <c r="N4335" t="s">
        <v>37</v>
      </c>
    </row>
    <row r="4336" spans="1:14">
      <c r="A4336" s="4" t="str">
        <f t="shared" si="417"/>
        <v>EXP00150</v>
      </c>
      <c r="B4336" s="4" t="str">
        <f t="shared" si="418"/>
        <v>24238219</v>
      </c>
      <c r="C4336" s="4" t="str">
        <f t="shared" si="419"/>
        <v>GSE40911</v>
      </c>
      <c r="D4336" s="1" t="s">
        <v>283</v>
      </c>
      <c r="E4336" t="s">
        <v>58</v>
      </c>
      <c r="F4336" s="1">
        <v>1</v>
      </c>
      <c r="G4336" s="1" t="s">
        <v>36</v>
      </c>
      <c r="H4336" s="4" t="str">
        <f>HYPERLINK("https://www.ncbi.nlm.nih.gov/geo/query/acc.cgi?acc=GSM1004673","GSM1004673")</f>
        <v>GSM1004673</v>
      </c>
      <c r="I4336" t="s">
        <v>59</v>
      </c>
      <c r="J4336" t="s">
        <v>60</v>
      </c>
      <c r="K4336" t="s">
        <v>33</v>
      </c>
      <c r="L4336" t="s">
        <v>61</v>
      </c>
      <c r="N4336" t="s">
        <v>37</v>
      </c>
    </row>
    <row r="4337" spans="1:14">
      <c r="A4337" s="4" t="str">
        <f t="shared" si="417"/>
        <v>EXP00150</v>
      </c>
      <c r="B4337" s="4" t="str">
        <f t="shared" si="418"/>
        <v>24238219</v>
      </c>
      <c r="C4337" s="4" t="str">
        <f t="shared" si="419"/>
        <v>GSE40911</v>
      </c>
      <c r="D4337" s="1" t="s">
        <v>283</v>
      </c>
      <c r="E4337" t="s">
        <v>58</v>
      </c>
      <c r="F4337" s="1">
        <v>1</v>
      </c>
      <c r="G4337" s="1" t="s">
        <v>36</v>
      </c>
      <c r="H4337" s="4" t="str">
        <f>HYPERLINK("https://www.ncbi.nlm.nih.gov/geo/query/acc.cgi?acc=GSM1004674","GSM1004674")</f>
        <v>GSM1004674</v>
      </c>
      <c r="I4337" t="s">
        <v>59</v>
      </c>
      <c r="J4337" t="s">
        <v>60</v>
      </c>
      <c r="K4337" t="s">
        <v>33</v>
      </c>
      <c r="L4337" t="s">
        <v>61</v>
      </c>
      <c r="N4337" t="s">
        <v>37</v>
      </c>
    </row>
    <row r="4338" spans="1:14">
      <c r="A4338" s="4" t="str">
        <f t="shared" si="417"/>
        <v>EXP00150</v>
      </c>
      <c r="B4338" s="4" t="str">
        <f t="shared" si="418"/>
        <v>24238219</v>
      </c>
      <c r="C4338" s="4" t="str">
        <f t="shared" si="419"/>
        <v>GSE40911</v>
      </c>
      <c r="D4338" s="1" t="s">
        <v>283</v>
      </c>
      <c r="E4338" t="s">
        <v>58</v>
      </c>
      <c r="F4338" s="1">
        <v>2</v>
      </c>
      <c r="G4338" s="1" t="s">
        <v>28</v>
      </c>
      <c r="H4338" s="4" t="str">
        <f>HYPERLINK("https://www.ncbi.nlm.nih.gov/geo/query/acc.cgi?acc=GSM1004681","GSM1004681")</f>
        <v>GSM1004681</v>
      </c>
      <c r="I4338" t="s">
        <v>59</v>
      </c>
      <c r="J4338" t="s">
        <v>60</v>
      </c>
      <c r="K4338" t="s">
        <v>33</v>
      </c>
      <c r="L4338" t="s">
        <v>61</v>
      </c>
      <c r="N4338" t="s">
        <v>29</v>
      </c>
    </row>
    <row r="4339" spans="1:14">
      <c r="A4339" s="4" t="str">
        <f t="shared" si="417"/>
        <v>EXP00150</v>
      </c>
      <c r="B4339" s="4" t="str">
        <f t="shared" si="418"/>
        <v>24238219</v>
      </c>
      <c r="C4339" s="4" t="str">
        <f t="shared" si="419"/>
        <v>GSE40911</v>
      </c>
      <c r="D4339" s="1" t="s">
        <v>283</v>
      </c>
      <c r="E4339" t="s">
        <v>58</v>
      </c>
      <c r="F4339" s="1">
        <v>2</v>
      </c>
      <c r="G4339" s="1" t="s">
        <v>28</v>
      </c>
      <c r="H4339" s="4" t="str">
        <f>HYPERLINK("https://www.ncbi.nlm.nih.gov/geo/query/acc.cgi?acc=GSM1004682","GSM1004682")</f>
        <v>GSM1004682</v>
      </c>
      <c r="I4339" t="s">
        <v>59</v>
      </c>
      <c r="J4339" t="s">
        <v>60</v>
      </c>
      <c r="K4339" t="s">
        <v>33</v>
      </c>
      <c r="L4339" t="s">
        <v>61</v>
      </c>
      <c r="N4339" t="s">
        <v>29</v>
      </c>
    </row>
    <row r="4340" spans="1:14">
      <c r="A4340" s="4" t="str">
        <f t="shared" si="417"/>
        <v>EXP00150</v>
      </c>
      <c r="B4340" s="4" t="str">
        <f t="shared" si="418"/>
        <v>24238219</v>
      </c>
      <c r="C4340" s="4" t="str">
        <f t="shared" si="419"/>
        <v>GSE40911</v>
      </c>
      <c r="D4340" s="1" t="s">
        <v>283</v>
      </c>
      <c r="E4340" t="s">
        <v>58</v>
      </c>
      <c r="F4340" s="1">
        <v>2</v>
      </c>
      <c r="G4340" s="1" t="s">
        <v>28</v>
      </c>
      <c r="H4340" s="4" t="str">
        <f>HYPERLINK("https://www.ncbi.nlm.nih.gov/geo/query/acc.cgi?acc=GSM1004683","GSM1004683")</f>
        <v>GSM1004683</v>
      </c>
      <c r="I4340" t="s">
        <v>59</v>
      </c>
      <c r="J4340" t="s">
        <v>60</v>
      </c>
      <c r="K4340" t="s">
        <v>33</v>
      </c>
      <c r="L4340" t="s">
        <v>61</v>
      </c>
      <c r="N4340" t="s">
        <v>29</v>
      </c>
    </row>
    <row r="4341" spans="1:14">
      <c r="A4341" s="4" t="str">
        <f t="shared" si="417"/>
        <v>EXP00150</v>
      </c>
      <c r="B4341" s="4" t="str">
        <f t="shared" si="418"/>
        <v>24238219</v>
      </c>
      <c r="C4341" s="4" t="str">
        <f t="shared" si="419"/>
        <v>GSE40911</v>
      </c>
      <c r="D4341" s="1" t="s">
        <v>283</v>
      </c>
      <c r="E4341" t="s">
        <v>58</v>
      </c>
      <c r="F4341" s="1">
        <v>2</v>
      </c>
      <c r="G4341" s="1" t="s">
        <v>28</v>
      </c>
      <c r="H4341" s="4" t="str">
        <f>HYPERLINK("https://www.ncbi.nlm.nih.gov/geo/query/acc.cgi?acc=GSM1004684","GSM1004684")</f>
        <v>GSM1004684</v>
      </c>
      <c r="I4341" t="s">
        <v>59</v>
      </c>
      <c r="J4341" t="s">
        <v>60</v>
      </c>
      <c r="K4341" t="s">
        <v>33</v>
      </c>
      <c r="L4341" t="s">
        <v>61</v>
      </c>
      <c r="N4341" t="s">
        <v>29</v>
      </c>
    </row>
    <row r="4342" spans="1:14">
      <c r="A4342" s="4" t="str">
        <f t="shared" si="417"/>
        <v>EXP00150</v>
      </c>
      <c r="B4342" s="4" t="str">
        <f t="shared" si="418"/>
        <v>24238219</v>
      </c>
      <c r="C4342" s="4" t="str">
        <f t="shared" si="419"/>
        <v>GSE40911</v>
      </c>
      <c r="D4342" s="1" t="s">
        <v>283</v>
      </c>
      <c r="E4342" t="s">
        <v>58</v>
      </c>
      <c r="F4342" s="1">
        <v>2</v>
      </c>
      <c r="G4342" s="1" t="s">
        <v>28</v>
      </c>
      <c r="H4342" s="4" t="str">
        <f>HYPERLINK("https://www.ncbi.nlm.nih.gov/geo/query/acc.cgi?acc=GSM1004685","GSM1004685")</f>
        <v>GSM1004685</v>
      </c>
      <c r="I4342" t="s">
        <v>59</v>
      </c>
      <c r="J4342" t="s">
        <v>60</v>
      </c>
      <c r="K4342" t="s">
        <v>33</v>
      </c>
      <c r="L4342" t="s">
        <v>61</v>
      </c>
      <c r="N4342" t="s">
        <v>29</v>
      </c>
    </row>
    <row r="4343" spans="1:14">
      <c r="A4343" s="4" t="str">
        <f t="shared" si="417"/>
        <v>EXP00150</v>
      </c>
      <c r="B4343" s="4" t="str">
        <f t="shared" si="418"/>
        <v>24238219</v>
      </c>
      <c r="C4343" s="4" t="str">
        <f t="shared" si="419"/>
        <v>GSE40911</v>
      </c>
      <c r="D4343" s="1" t="s">
        <v>283</v>
      </c>
      <c r="E4343" t="s">
        <v>58</v>
      </c>
      <c r="F4343" s="1">
        <v>2</v>
      </c>
      <c r="G4343" s="1" t="s">
        <v>28</v>
      </c>
      <c r="H4343" s="4" t="str">
        <f>HYPERLINK("https://www.ncbi.nlm.nih.gov/geo/query/acc.cgi?acc=GSM1004686","GSM1004686")</f>
        <v>GSM1004686</v>
      </c>
      <c r="I4343" t="s">
        <v>59</v>
      </c>
      <c r="J4343" t="s">
        <v>60</v>
      </c>
      <c r="K4343" t="s">
        <v>33</v>
      </c>
      <c r="L4343" t="s">
        <v>61</v>
      </c>
      <c r="N4343" t="s">
        <v>29</v>
      </c>
    </row>
    <row r="4344" spans="1:14">
      <c r="A4344" s="4" t="str">
        <f t="shared" si="417"/>
        <v>EXP00150</v>
      </c>
      <c r="B4344" s="4" t="str">
        <f t="shared" si="418"/>
        <v>24238219</v>
      </c>
      <c r="C4344" s="4" t="str">
        <f t="shared" si="419"/>
        <v>GSE40911</v>
      </c>
      <c r="D4344" s="1" t="s">
        <v>283</v>
      </c>
      <c r="E4344" t="s">
        <v>58</v>
      </c>
      <c r="F4344" s="1">
        <v>2</v>
      </c>
      <c r="G4344" s="1" t="s">
        <v>28</v>
      </c>
      <c r="H4344" s="4" t="str">
        <f>HYPERLINK("https://www.ncbi.nlm.nih.gov/geo/query/acc.cgi?acc=GSM1004687","GSM1004687")</f>
        <v>GSM1004687</v>
      </c>
      <c r="I4344" t="s">
        <v>59</v>
      </c>
      <c r="J4344" t="s">
        <v>60</v>
      </c>
      <c r="K4344" t="s">
        <v>33</v>
      </c>
      <c r="L4344" t="s">
        <v>61</v>
      </c>
      <c r="N4344" t="s">
        <v>29</v>
      </c>
    </row>
    <row r="4345" spans="1:14">
      <c r="A4345" s="4" t="str">
        <f t="shared" si="417"/>
        <v>EXP00150</v>
      </c>
      <c r="B4345" s="4" t="str">
        <f t="shared" si="418"/>
        <v>24238219</v>
      </c>
      <c r="C4345" s="4" t="str">
        <f t="shared" si="419"/>
        <v>GSE40911</v>
      </c>
      <c r="D4345" s="1" t="s">
        <v>283</v>
      </c>
      <c r="E4345" t="s">
        <v>58</v>
      </c>
      <c r="F4345" s="1">
        <v>2</v>
      </c>
      <c r="G4345" s="1" t="s">
        <v>28</v>
      </c>
      <c r="H4345" s="4" t="str">
        <f>HYPERLINK("https://www.ncbi.nlm.nih.gov/geo/query/acc.cgi?acc=GSM1004688","GSM1004688")</f>
        <v>GSM1004688</v>
      </c>
      <c r="I4345" t="s">
        <v>59</v>
      </c>
      <c r="J4345" t="s">
        <v>60</v>
      </c>
      <c r="K4345" t="s">
        <v>33</v>
      </c>
      <c r="L4345" t="s">
        <v>61</v>
      </c>
      <c r="N4345" t="s">
        <v>29</v>
      </c>
    </row>
    <row r="4346" spans="1:14">
      <c r="A4346" s="4" t="str">
        <f t="shared" si="417"/>
        <v>EXP00150</v>
      </c>
      <c r="B4346" s="4" t="str">
        <f t="shared" si="418"/>
        <v>24238219</v>
      </c>
      <c r="C4346" s="4" t="str">
        <f t="shared" si="419"/>
        <v>GSE40911</v>
      </c>
      <c r="D4346" s="1" t="s">
        <v>283</v>
      </c>
      <c r="E4346" t="s">
        <v>58</v>
      </c>
      <c r="F4346" s="1">
        <v>2</v>
      </c>
      <c r="G4346" s="1" t="s">
        <v>28</v>
      </c>
      <c r="H4346" s="4" t="str">
        <f>HYPERLINK("https://www.ncbi.nlm.nih.gov/geo/query/acc.cgi?acc=GSM1004689","GSM1004689")</f>
        <v>GSM1004689</v>
      </c>
      <c r="I4346" t="s">
        <v>59</v>
      </c>
      <c r="J4346" t="s">
        <v>60</v>
      </c>
      <c r="K4346" t="s">
        <v>33</v>
      </c>
      <c r="L4346" t="s">
        <v>61</v>
      </c>
      <c r="N4346" t="s">
        <v>29</v>
      </c>
    </row>
    <row r="4347" spans="1:14">
      <c r="A4347" s="4" t="str">
        <f t="shared" si="417"/>
        <v>EXP00150</v>
      </c>
      <c r="B4347" s="4" t="str">
        <f t="shared" si="418"/>
        <v>24238219</v>
      </c>
      <c r="C4347" s="4" t="str">
        <f t="shared" si="419"/>
        <v>GSE40911</v>
      </c>
      <c r="D4347" s="1" t="s">
        <v>283</v>
      </c>
      <c r="E4347" t="s">
        <v>58</v>
      </c>
      <c r="F4347" s="1">
        <v>2</v>
      </c>
      <c r="G4347" s="1" t="s">
        <v>28</v>
      </c>
      <c r="H4347" s="4" t="str">
        <f>HYPERLINK("https://www.ncbi.nlm.nih.gov/geo/query/acc.cgi?acc=GSM1004690","GSM1004690")</f>
        <v>GSM1004690</v>
      </c>
      <c r="I4347" t="s">
        <v>59</v>
      </c>
      <c r="J4347" t="s">
        <v>60</v>
      </c>
      <c r="K4347" t="s">
        <v>33</v>
      </c>
      <c r="L4347" t="s">
        <v>61</v>
      </c>
      <c r="N4347" t="s">
        <v>29</v>
      </c>
    </row>
    <row r="4348" spans="1:14">
      <c r="A4348" s="4" t="str">
        <f t="shared" si="417"/>
        <v>EXP00150</v>
      </c>
      <c r="B4348" s="4" t="str">
        <f t="shared" si="418"/>
        <v>24238219</v>
      </c>
      <c r="C4348" s="4" t="str">
        <f t="shared" si="419"/>
        <v>GSE40911</v>
      </c>
      <c r="D4348" s="1" t="s">
        <v>283</v>
      </c>
      <c r="E4348" t="s">
        <v>58</v>
      </c>
      <c r="F4348" s="1">
        <v>2</v>
      </c>
      <c r="G4348" s="1" t="s">
        <v>28</v>
      </c>
      <c r="H4348" s="4" t="str">
        <f>HYPERLINK("https://www.ncbi.nlm.nih.gov/geo/query/acc.cgi?acc=GSM1004691","GSM1004691")</f>
        <v>GSM1004691</v>
      </c>
      <c r="I4348" t="s">
        <v>59</v>
      </c>
      <c r="J4348" t="s">
        <v>60</v>
      </c>
      <c r="K4348" t="s">
        <v>33</v>
      </c>
      <c r="L4348" t="s">
        <v>61</v>
      </c>
      <c r="N4348" t="s">
        <v>29</v>
      </c>
    </row>
    <row r="4349" spans="1:14">
      <c r="A4349" s="4" t="str">
        <f t="shared" si="417"/>
        <v>EXP00150</v>
      </c>
      <c r="B4349" s="4" t="str">
        <f t="shared" si="418"/>
        <v>24238219</v>
      </c>
      <c r="C4349" s="4" t="str">
        <f t="shared" si="419"/>
        <v>GSE40911</v>
      </c>
      <c r="D4349" s="1" t="s">
        <v>283</v>
      </c>
      <c r="E4349" t="s">
        <v>58</v>
      </c>
      <c r="F4349" s="1">
        <v>2</v>
      </c>
      <c r="G4349" s="1" t="s">
        <v>28</v>
      </c>
      <c r="H4349" s="4" t="str">
        <f>HYPERLINK("https://www.ncbi.nlm.nih.gov/geo/query/acc.cgi?acc=GSM1004692","GSM1004692")</f>
        <v>GSM1004692</v>
      </c>
      <c r="I4349" t="s">
        <v>59</v>
      </c>
      <c r="J4349" t="s">
        <v>60</v>
      </c>
      <c r="K4349" t="s">
        <v>33</v>
      </c>
      <c r="L4349" t="s">
        <v>61</v>
      </c>
      <c r="N4349" t="s">
        <v>29</v>
      </c>
    </row>
    <row r="4350" spans="1:14">
      <c r="A4350" s="4" t="str">
        <f t="shared" si="417"/>
        <v>EXP00150</v>
      </c>
      <c r="B4350" s="4" t="str">
        <f t="shared" si="418"/>
        <v>24238219</v>
      </c>
      <c r="C4350" s="4" t="str">
        <f t="shared" si="419"/>
        <v>GSE40911</v>
      </c>
      <c r="D4350" s="1" t="s">
        <v>283</v>
      </c>
      <c r="E4350" t="s">
        <v>58</v>
      </c>
      <c r="F4350" s="1">
        <v>2</v>
      </c>
      <c r="G4350" s="1" t="s">
        <v>28</v>
      </c>
      <c r="H4350" s="4" t="str">
        <f>HYPERLINK("https://www.ncbi.nlm.nih.gov/geo/query/acc.cgi?acc=GSM1004693","GSM1004693")</f>
        <v>GSM1004693</v>
      </c>
      <c r="I4350" t="s">
        <v>59</v>
      </c>
      <c r="J4350" t="s">
        <v>60</v>
      </c>
      <c r="K4350" t="s">
        <v>33</v>
      </c>
      <c r="L4350" t="s">
        <v>61</v>
      </c>
      <c r="N4350" t="s">
        <v>29</v>
      </c>
    </row>
    <row r="4351" spans="1:14">
      <c r="A4351" s="4" t="str">
        <f t="shared" si="417"/>
        <v>EXP00150</v>
      </c>
      <c r="B4351" s="4" t="str">
        <f t="shared" si="418"/>
        <v>24238219</v>
      </c>
      <c r="C4351" s="4" t="str">
        <f t="shared" si="419"/>
        <v>GSE40911</v>
      </c>
      <c r="D4351" s="1" t="s">
        <v>283</v>
      </c>
      <c r="E4351" t="s">
        <v>58</v>
      </c>
      <c r="F4351" s="1">
        <v>2</v>
      </c>
      <c r="G4351" s="1" t="s">
        <v>28</v>
      </c>
      <c r="H4351" s="4" t="str">
        <f>HYPERLINK("https://www.ncbi.nlm.nih.gov/geo/query/acc.cgi?acc=GSM1004694","GSM1004694")</f>
        <v>GSM1004694</v>
      </c>
      <c r="I4351" t="s">
        <v>59</v>
      </c>
      <c r="J4351" t="s">
        <v>60</v>
      </c>
      <c r="K4351" t="s">
        <v>33</v>
      </c>
      <c r="L4351" t="s">
        <v>61</v>
      </c>
      <c r="N4351" t="s">
        <v>29</v>
      </c>
    </row>
    <row r="4352" spans="1:14">
      <c r="A4352" s="4" t="str">
        <f t="shared" si="417"/>
        <v>EXP00150</v>
      </c>
      <c r="B4352" s="4" t="str">
        <f t="shared" si="418"/>
        <v>24238219</v>
      </c>
      <c r="C4352" s="4" t="str">
        <f t="shared" si="419"/>
        <v>GSE40911</v>
      </c>
      <c r="D4352" s="1" t="s">
        <v>283</v>
      </c>
      <c r="E4352" t="s">
        <v>58</v>
      </c>
      <c r="F4352" s="1">
        <v>2</v>
      </c>
      <c r="G4352" s="1" t="s">
        <v>28</v>
      </c>
      <c r="H4352" s="4" t="str">
        <f>HYPERLINK("https://www.ncbi.nlm.nih.gov/geo/query/acc.cgi?acc=GSM1004695","GSM1004695")</f>
        <v>GSM1004695</v>
      </c>
      <c r="I4352" t="s">
        <v>59</v>
      </c>
      <c r="J4352" t="s">
        <v>60</v>
      </c>
      <c r="K4352" t="s">
        <v>33</v>
      </c>
      <c r="L4352" t="s">
        <v>61</v>
      </c>
      <c r="N4352" t="s">
        <v>29</v>
      </c>
    </row>
    <row r="4353" spans="1:14">
      <c r="A4353" s="4" t="str">
        <f t="shared" si="417"/>
        <v>EXP00150</v>
      </c>
      <c r="B4353" s="4" t="str">
        <f t="shared" si="418"/>
        <v>24238219</v>
      </c>
      <c r="C4353" s="4" t="str">
        <f t="shared" si="419"/>
        <v>GSE40911</v>
      </c>
      <c r="D4353" s="1" t="s">
        <v>283</v>
      </c>
      <c r="E4353" t="s">
        <v>58</v>
      </c>
      <c r="F4353" s="1">
        <v>2</v>
      </c>
      <c r="G4353" s="1" t="s">
        <v>28</v>
      </c>
      <c r="H4353" s="4" t="str">
        <f>HYPERLINK("https://www.ncbi.nlm.nih.gov/geo/query/acc.cgi?acc=GSM1004696","GSM1004696")</f>
        <v>GSM1004696</v>
      </c>
      <c r="I4353" t="s">
        <v>59</v>
      </c>
      <c r="J4353" t="s">
        <v>60</v>
      </c>
      <c r="K4353" t="s">
        <v>33</v>
      </c>
      <c r="L4353" t="s">
        <v>61</v>
      </c>
      <c r="N4353" t="s">
        <v>29</v>
      </c>
    </row>
    <row r="4354" spans="1:14">
      <c r="A4354" s="4" t="str">
        <f t="shared" ref="A4354:A4361" si="420">HYPERLINK("http://hcmdb.i-sanger.com/experiment/details/experiment_id/EXP00151","EXP00151")</f>
        <v>EXP00151</v>
      </c>
      <c r="B4354" s="4" t="str">
        <f t="shared" si="418"/>
        <v>24238219</v>
      </c>
      <c r="C4354" s="4" t="str">
        <f t="shared" ref="C4354:C4393" si="421">HYPERLINK("https://www.ncbi.nlm.nih.gov/geo/query/acc.cgi?acc=GSE40912","GSE40912")</f>
        <v>GSE40912</v>
      </c>
      <c r="D4354" s="1" t="s">
        <v>283</v>
      </c>
      <c r="E4354" t="s">
        <v>126</v>
      </c>
      <c r="F4354" s="1">
        <v>1</v>
      </c>
      <c r="G4354" s="1" t="s">
        <v>287</v>
      </c>
      <c r="H4354" s="4" t="str">
        <f>HYPERLINK("https://www.ncbi.nlm.nih.gov/geo/query/acc.cgi?acc=GSM1004701","GSM1004701")</f>
        <v>GSM1004701</v>
      </c>
      <c r="I4354" t="s">
        <v>59</v>
      </c>
      <c r="J4354" t="s">
        <v>60</v>
      </c>
      <c r="K4354" t="s">
        <v>19</v>
      </c>
      <c r="L4354" t="s">
        <v>61</v>
      </c>
      <c r="M4354" t="s">
        <v>50</v>
      </c>
      <c r="N4354" t="s">
        <v>29</v>
      </c>
    </row>
    <row r="4355" spans="1:14">
      <c r="A4355" s="4" t="str">
        <f t="shared" si="420"/>
        <v>EXP00151</v>
      </c>
      <c r="B4355" s="4" t="str">
        <f t="shared" si="418"/>
        <v>24238219</v>
      </c>
      <c r="C4355" s="4" t="str">
        <f t="shared" si="421"/>
        <v>GSE40912</v>
      </c>
      <c r="D4355" s="1" t="s">
        <v>283</v>
      </c>
      <c r="E4355" t="s">
        <v>126</v>
      </c>
      <c r="F4355" s="1">
        <v>1</v>
      </c>
      <c r="G4355" s="1" t="s">
        <v>287</v>
      </c>
      <c r="H4355" s="4" t="str">
        <f>HYPERLINK("https://www.ncbi.nlm.nih.gov/geo/query/acc.cgi?acc=GSM1004702","GSM1004702")</f>
        <v>GSM1004702</v>
      </c>
      <c r="I4355" t="s">
        <v>59</v>
      </c>
      <c r="J4355" t="s">
        <v>60</v>
      </c>
      <c r="K4355" t="s">
        <v>19</v>
      </c>
      <c r="L4355" t="s">
        <v>61</v>
      </c>
      <c r="M4355" t="s">
        <v>50</v>
      </c>
      <c r="N4355" t="s">
        <v>29</v>
      </c>
    </row>
    <row r="4356" spans="1:14">
      <c r="A4356" s="4" t="str">
        <f t="shared" si="420"/>
        <v>EXP00151</v>
      </c>
      <c r="B4356" s="4" t="str">
        <f t="shared" si="418"/>
        <v>24238219</v>
      </c>
      <c r="C4356" s="4" t="str">
        <f t="shared" si="421"/>
        <v>GSE40912</v>
      </c>
      <c r="D4356" s="1" t="s">
        <v>283</v>
      </c>
      <c r="E4356" t="s">
        <v>126</v>
      </c>
      <c r="F4356" s="1">
        <v>2</v>
      </c>
      <c r="G4356" s="1" t="s">
        <v>288</v>
      </c>
      <c r="H4356" s="4" t="str">
        <f>HYPERLINK("https://www.ncbi.nlm.nih.gov/geo/query/acc.cgi?acc=GSM1004703","GSM1004703")</f>
        <v>GSM1004703</v>
      </c>
      <c r="I4356" t="s">
        <v>59</v>
      </c>
      <c r="J4356" t="s">
        <v>60</v>
      </c>
      <c r="K4356" t="s">
        <v>19</v>
      </c>
      <c r="L4356" t="s">
        <v>61</v>
      </c>
      <c r="M4356" t="s">
        <v>44</v>
      </c>
      <c r="N4356" t="s">
        <v>29</v>
      </c>
    </row>
    <row r="4357" spans="1:14">
      <c r="A4357" s="4" t="str">
        <f t="shared" si="420"/>
        <v>EXP00151</v>
      </c>
      <c r="B4357" s="4" t="str">
        <f t="shared" si="418"/>
        <v>24238219</v>
      </c>
      <c r="C4357" s="4" t="str">
        <f t="shared" si="421"/>
        <v>GSE40912</v>
      </c>
      <c r="D4357" s="1" t="s">
        <v>283</v>
      </c>
      <c r="E4357" t="s">
        <v>126</v>
      </c>
      <c r="F4357" s="1">
        <v>2</v>
      </c>
      <c r="G4357" s="1" t="s">
        <v>288</v>
      </c>
      <c r="H4357" s="4" t="str">
        <f>HYPERLINK("https://www.ncbi.nlm.nih.gov/geo/query/acc.cgi?acc=GSM1004704","GSM1004704")</f>
        <v>GSM1004704</v>
      </c>
      <c r="I4357" t="s">
        <v>59</v>
      </c>
      <c r="J4357" t="s">
        <v>60</v>
      </c>
      <c r="K4357" t="s">
        <v>19</v>
      </c>
      <c r="L4357" t="s">
        <v>61</v>
      </c>
      <c r="M4357" t="s">
        <v>44</v>
      </c>
      <c r="N4357" t="s">
        <v>29</v>
      </c>
    </row>
    <row r="4358" spans="1:14">
      <c r="A4358" s="4" t="str">
        <f t="shared" si="420"/>
        <v>EXP00151</v>
      </c>
      <c r="B4358" s="4" t="str">
        <f t="shared" si="418"/>
        <v>24238219</v>
      </c>
      <c r="C4358" s="4" t="str">
        <f t="shared" si="421"/>
        <v>GSE40912</v>
      </c>
      <c r="D4358" s="1" t="s">
        <v>283</v>
      </c>
      <c r="E4358" t="s">
        <v>126</v>
      </c>
      <c r="F4358" s="1">
        <v>3</v>
      </c>
      <c r="G4358" s="1" t="s">
        <v>127</v>
      </c>
      <c r="H4358" s="4" t="str">
        <f>HYPERLINK("https://www.ncbi.nlm.nih.gov/geo/query/acc.cgi?acc=GSM1004723","GSM1004723")</f>
        <v>GSM1004723</v>
      </c>
      <c r="I4358" t="s">
        <v>59</v>
      </c>
      <c r="J4358" t="s">
        <v>60</v>
      </c>
      <c r="K4358" t="s">
        <v>19</v>
      </c>
      <c r="L4358" t="s">
        <v>61</v>
      </c>
      <c r="M4358" t="s">
        <v>41</v>
      </c>
      <c r="N4358" t="s">
        <v>29</v>
      </c>
    </row>
    <row r="4359" spans="1:14">
      <c r="A4359" s="4" t="str">
        <f t="shared" si="420"/>
        <v>EXP00151</v>
      </c>
      <c r="B4359" s="4" t="str">
        <f t="shared" si="418"/>
        <v>24238219</v>
      </c>
      <c r="C4359" s="4" t="str">
        <f t="shared" si="421"/>
        <v>GSE40912</v>
      </c>
      <c r="D4359" s="1" t="s">
        <v>283</v>
      </c>
      <c r="E4359" t="s">
        <v>126</v>
      </c>
      <c r="F4359" s="1">
        <v>3</v>
      </c>
      <c r="G4359" s="1" t="s">
        <v>127</v>
      </c>
      <c r="H4359" s="4" t="str">
        <f>HYPERLINK("https://www.ncbi.nlm.nih.gov/geo/query/acc.cgi?acc=GSM1004724","GSM1004724")</f>
        <v>GSM1004724</v>
      </c>
      <c r="I4359" t="s">
        <v>59</v>
      </c>
      <c r="J4359" t="s">
        <v>60</v>
      </c>
      <c r="K4359" t="s">
        <v>19</v>
      </c>
      <c r="L4359" t="s">
        <v>61</v>
      </c>
      <c r="M4359" t="s">
        <v>41</v>
      </c>
      <c r="N4359" t="s">
        <v>29</v>
      </c>
    </row>
    <row r="4360" spans="1:14">
      <c r="A4360" s="4" t="str">
        <f t="shared" si="420"/>
        <v>EXP00151</v>
      </c>
      <c r="B4360" s="4" t="str">
        <f t="shared" si="418"/>
        <v>24238219</v>
      </c>
      <c r="C4360" s="4" t="str">
        <f t="shared" si="421"/>
        <v>GSE40912</v>
      </c>
      <c r="D4360" s="1" t="s">
        <v>283</v>
      </c>
      <c r="E4360" t="s">
        <v>126</v>
      </c>
      <c r="F4360" s="1">
        <v>4</v>
      </c>
      <c r="G4360" s="1" t="s">
        <v>291</v>
      </c>
      <c r="H4360" s="4" t="str">
        <f>HYPERLINK("https://www.ncbi.nlm.nih.gov/geo/query/acc.cgi?acc=GSM1004727","GSM1004727")</f>
        <v>GSM1004727</v>
      </c>
      <c r="I4360" t="s">
        <v>59</v>
      </c>
      <c r="J4360" t="s">
        <v>60</v>
      </c>
      <c r="K4360" t="s">
        <v>19</v>
      </c>
      <c r="L4360" t="s">
        <v>61</v>
      </c>
      <c r="M4360" t="s">
        <v>292</v>
      </c>
      <c r="N4360" t="s">
        <v>29</v>
      </c>
    </row>
    <row r="4361" spans="1:14">
      <c r="A4361" s="4" t="str">
        <f t="shared" si="420"/>
        <v>EXP00151</v>
      </c>
      <c r="B4361" s="4" t="str">
        <f t="shared" si="418"/>
        <v>24238219</v>
      </c>
      <c r="C4361" s="4" t="str">
        <f t="shared" si="421"/>
        <v>GSE40912</v>
      </c>
      <c r="D4361" s="1" t="s">
        <v>283</v>
      </c>
      <c r="E4361" t="s">
        <v>126</v>
      </c>
      <c r="F4361" s="1">
        <v>4</v>
      </c>
      <c r="G4361" s="1" t="s">
        <v>291</v>
      </c>
      <c r="H4361" s="4" t="str">
        <f>HYPERLINK("https://www.ncbi.nlm.nih.gov/geo/query/acc.cgi?acc=GSM1004728","GSM1004728")</f>
        <v>GSM1004728</v>
      </c>
      <c r="I4361" t="s">
        <v>59</v>
      </c>
      <c r="J4361" t="s">
        <v>60</v>
      </c>
      <c r="K4361" t="s">
        <v>19</v>
      </c>
      <c r="L4361" t="s">
        <v>61</v>
      </c>
      <c r="M4361" t="s">
        <v>292</v>
      </c>
      <c r="N4361" t="s">
        <v>29</v>
      </c>
    </row>
    <row r="4362" spans="1:14">
      <c r="A4362" s="4" t="str">
        <f t="shared" ref="A4362:A4393" si="422">HYPERLINK("http://hcmdb.i-sanger.com/experiment/details/experiment_id/EXP00152","EXP00152")</f>
        <v>EXP00152</v>
      </c>
      <c r="B4362" s="4" t="str">
        <f t="shared" si="418"/>
        <v>24238219</v>
      </c>
      <c r="C4362" s="4" t="str">
        <f t="shared" si="421"/>
        <v>GSE40912</v>
      </c>
      <c r="D4362" s="1" t="s">
        <v>283</v>
      </c>
      <c r="E4362" t="s">
        <v>290</v>
      </c>
      <c r="F4362" s="1">
        <v>1</v>
      </c>
      <c r="G4362" s="1" t="s">
        <v>31</v>
      </c>
      <c r="H4362" s="4" t="str">
        <f>HYPERLINK("https://www.ncbi.nlm.nih.gov/geo/query/acc.cgi?acc=GSM1004701","GSM1004701")</f>
        <v>GSM1004701</v>
      </c>
      <c r="I4362" t="s">
        <v>59</v>
      </c>
      <c r="J4362" t="s">
        <v>60</v>
      </c>
      <c r="K4362" t="s">
        <v>19</v>
      </c>
      <c r="L4362" t="s">
        <v>61</v>
      </c>
      <c r="M4362" t="s">
        <v>50</v>
      </c>
      <c r="N4362" t="s">
        <v>29</v>
      </c>
    </row>
    <row r="4363" spans="1:14">
      <c r="A4363" s="4" t="str">
        <f t="shared" si="422"/>
        <v>EXP00152</v>
      </c>
      <c r="B4363" s="4" t="str">
        <f t="shared" si="418"/>
        <v>24238219</v>
      </c>
      <c r="C4363" s="4" t="str">
        <f t="shared" si="421"/>
        <v>GSE40912</v>
      </c>
      <c r="D4363" s="1" t="s">
        <v>283</v>
      </c>
      <c r="E4363" t="s">
        <v>290</v>
      </c>
      <c r="F4363" s="1">
        <v>1</v>
      </c>
      <c r="G4363" s="1" t="s">
        <v>31</v>
      </c>
      <c r="H4363" s="4" t="str">
        <f>HYPERLINK("https://www.ncbi.nlm.nih.gov/geo/query/acc.cgi?acc=GSM1004702","GSM1004702")</f>
        <v>GSM1004702</v>
      </c>
      <c r="I4363" t="s">
        <v>59</v>
      </c>
      <c r="J4363" t="s">
        <v>60</v>
      </c>
      <c r="K4363" t="s">
        <v>19</v>
      </c>
      <c r="L4363" t="s">
        <v>61</v>
      </c>
      <c r="M4363" t="s">
        <v>50</v>
      </c>
      <c r="N4363" t="s">
        <v>29</v>
      </c>
    </row>
    <row r="4364" spans="1:14">
      <c r="A4364" s="4" t="str">
        <f t="shared" si="422"/>
        <v>EXP00152</v>
      </c>
      <c r="B4364" s="4" t="str">
        <f t="shared" si="418"/>
        <v>24238219</v>
      </c>
      <c r="C4364" s="4" t="str">
        <f t="shared" si="421"/>
        <v>GSE40912</v>
      </c>
      <c r="D4364" s="1" t="s">
        <v>283</v>
      </c>
      <c r="E4364" t="s">
        <v>290</v>
      </c>
      <c r="F4364" s="1">
        <v>1</v>
      </c>
      <c r="G4364" s="1" t="s">
        <v>31</v>
      </c>
      <c r="H4364" s="4" t="str">
        <f>HYPERLINK("https://www.ncbi.nlm.nih.gov/geo/query/acc.cgi?acc=GSM1004703","GSM1004703")</f>
        <v>GSM1004703</v>
      </c>
      <c r="I4364" t="s">
        <v>59</v>
      </c>
      <c r="J4364" t="s">
        <v>60</v>
      </c>
      <c r="K4364" t="s">
        <v>19</v>
      </c>
      <c r="L4364" t="s">
        <v>61</v>
      </c>
      <c r="M4364" t="s">
        <v>44</v>
      </c>
      <c r="N4364" t="s">
        <v>29</v>
      </c>
    </row>
    <row r="4365" spans="1:14">
      <c r="A4365" s="4" t="str">
        <f t="shared" si="422"/>
        <v>EXP00152</v>
      </c>
      <c r="B4365" s="4" t="str">
        <f t="shared" si="418"/>
        <v>24238219</v>
      </c>
      <c r="C4365" s="4" t="str">
        <f t="shared" si="421"/>
        <v>GSE40912</v>
      </c>
      <c r="D4365" s="1" t="s">
        <v>283</v>
      </c>
      <c r="E4365" t="s">
        <v>290</v>
      </c>
      <c r="F4365" s="1">
        <v>1</v>
      </c>
      <c r="G4365" s="1" t="s">
        <v>31</v>
      </c>
      <c r="H4365" s="4" t="str">
        <f>HYPERLINK("https://www.ncbi.nlm.nih.gov/geo/query/acc.cgi?acc=GSM1004704","GSM1004704")</f>
        <v>GSM1004704</v>
      </c>
      <c r="I4365" t="s">
        <v>59</v>
      </c>
      <c r="J4365" t="s">
        <v>60</v>
      </c>
      <c r="K4365" t="s">
        <v>19</v>
      </c>
      <c r="L4365" t="s">
        <v>61</v>
      </c>
      <c r="M4365" t="s">
        <v>44</v>
      </c>
      <c r="N4365" t="s">
        <v>29</v>
      </c>
    </row>
    <row r="4366" spans="1:14">
      <c r="A4366" s="4" t="str">
        <f t="shared" si="422"/>
        <v>EXP00152</v>
      </c>
      <c r="B4366" s="4" t="str">
        <f t="shared" ref="B4366:B4393" si="423">HYPERLINK("https://www.ncbi.nlm.nih.gov/pubmed/24238219","24238219")</f>
        <v>24238219</v>
      </c>
      <c r="C4366" s="4" t="str">
        <f t="shared" si="421"/>
        <v>GSE40912</v>
      </c>
      <c r="D4366" s="1" t="s">
        <v>283</v>
      </c>
      <c r="E4366" t="s">
        <v>290</v>
      </c>
      <c r="F4366" s="1">
        <v>1</v>
      </c>
      <c r="G4366" s="1" t="s">
        <v>31</v>
      </c>
      <c r="H4366" s="4" t="str">
        <f>HYPERLINK("https://www.ncbi.nlm.nih.gov/geo/query/acc.cgi?acc=GSM1004723","GSM1004723")</f>
        <v>GSM1004723</v>
      </c>
      <c r="I4366" t="s">
        <v>59</v>
      </c>
      <c r="J4366" t="s">
        <v>60</v>
      </c>
      <c r="K4366" t="s">
        <v>19</v>
      </c>
      <c r="L4366" t="s">
        <v>61</v>
      </c>
      <c r="M4366" t="s">
        <v>41</v>
      </c>
      <c r="N4366" t="s">
        <v>29</v>
      </c>
    </row>
    <row r="4367" spans="1:14">
      <c r="A4367" s="4" t="str">
        <f t="shared" si="422"/>
        <v>EXP00152</v>
      </c>
      <c r="B4367" s="4" t="str">
        <f t="shared" si="423"/>
        <v>24238219</v>
      </c>
      <c r="C4367" s="4" t="str">
        <f t="shared" si="421"/>
        <v>GSE40912</v>
      </c>
      <c r="D4367" s="1" t="s">
        <v>283</v>
      </c>
      <c r="E4367" t="s">
        <v>290</v>
      </c>
      <c r="F4367" s="1">
        <v>1</v>
      </c>
      <c r="G4367" s="1" t="s">
        <v>31</v>
      </c>
      <c r="H4367" s="4" t="str">
        <f>HYPERLINK("https://www.ncbi.nlm.nih.gov/geo/query/acc.cgi?acc=GSM1004724","GSM1004724")</f>
        <v>GSM1004724</v>
      </c>
      <c r="I4367" t="s">
        <v>59</v>
      </c>
      <c r="J4367" t="s">
        <v>60</v>
      </c>
      <c r="K4367" t="s">
        <v>19</v>
      </c>
      <c r="L4367" t="s">
        <v>61</v>
      </c>
      <c r="M4367" t="s">
        <v>41</v>
      </c>
      <c r="N4367" t="s">
        <v>29</v>
      </c>
    </row>
    <row r="4368" spans="1:14">
      <c r="A4368" s="4" t="str">
        <f t="shared" si="422"/>
        <v>EXP00152</v>
      </c>
      <c r="B4368" s="4" t="str">
        <f t="shared" si="423"/>
        <v>24238219</v>
      </c>
      <c r="C4368" s="4" t="str">
        <f t="shared" si="421"/>
        <v>GSE40912</v>
      </c>
      <c r="D4368" s="1" t="s">
        <v>283</v>
      </c>
      <c r="E4368" t="s">
        <v>290</v>
      </c>
      <c r="F4368" s="1">
        <v>1</v>
      </c>
      <c r="G4368" s="1" t="s">
        <v>31</v>
      </c>
      <c r="H4368" s="4" t="str">
        <f>HYPERLINK("https://www.ncbi.nlm.nih.gov/geo/query/acc.cgi?acc=GSM1004727","GSM1004727")</f>
        <v>GSM1004727</v>
      </c>
      <c r="I4368" t="s">
        <v>59</v>
      </c>
      <c r="J4368" t="s">
        <v>60</v>
      </c>
      <c r="K4368" t="s">
        <v>19</v>
      </c>
      <c r="L4368" t="s">
        <v>61</v>
      </c>
      <c r="M4368" t="s">
        <v>292</v>
      </c>
      <c r="N4368" t="s">
        <v>29</v>
      </c>
    </row>
    <row r="4369" spans="1:14">
      <c r="A4369" s="4" t="str">
        <f t="shared" si="422"/>
        <v>EXP00152</v>
      </c>
      <c r="B4369" s="4" t="str">
        <f t="shared" si="423"/>
        <v>24238219</v>
      </c>
      <c r="C4369" s="4" t="str">
        <f t="shared" si="421"/>
        <v>GSE40912</v>
      </c>
      <c r="D4369" s="1" t="s">
        <v>283</v>
      </c>
      <c r="E4369" t="s">
        <v>290</v>
      </c>
      <c r="F4369" s="1">
        <v>1</v>
      </c>
      <c r="G4369" s="1" t="s">
        <v>31</v>
      </c>
      <c r="H4369" s="4" t="str">
        <f>HYPERLINK("https://www.ncbi.nlm.nih.gov/geo/query/acc.cgi?acc=GSM1004728","GSM1004728")</f>
        <v>GSM1004728</v>
      </c>
      <c r="I4369" t="s">
        <v>59</v>
      </c>
      <c r="J4369" t="s">
        <v>60</v>
      </c>
      <c r="K4369" t="s">
        <v>19</v>
      </c>
      <c r="L4369" t="s">
        <v>61</v>
      </c>
      <c r="M4369" t="s">
        <v>292</v>
      </c>
      <c r="N4369" t="s">
        <v>29</v>
      </c>
    </row>
    <row r="4370" spans="1:14">
      <c r="A4370" s="4" t="str">
        <f t="shared" si="422"/>
        <v>EXP00152</v>
      </c>
      <c r="B4370" s="4" t="str">
        <f t="shared" si="423"/>
        <v>24238219</v>
      </c>
      <c r="C4370" s="4" t="str">
        <f t="shared" si="421"/>
        <v>GSE40912</v>
      </c>
      <c r="D4370" s="1" t="s">
        <v>283</v>
      </c>
      <c r="E4370" t="s">
        <v>290</v>
      </c>
      <c r="F4370" s="1">
        <v>2</v>
      </c>
      <c r="G4370" s="1" t="s">
        <v>32</v>
      </c>
      <c r="H4370" s="4" t="str">
        <f>HYPERLINK("https://www.ncbi.nlm.nih.gov/geo/query/acc.cgi?acc=GSM1004699","GSM1004699")</f>
        <v>GSM1004699</v>
      </c>
      <c r="I4370" t="s">
        <v>59</v>
      </c>
      <c r="J4370" t="s">
        <v>60</v>
      </c>
      <c r="K4370" t="s">
        <v>33</v>
      </c>
      <c r="L4370" t="s">
        <v>61</v>
      </c>
      <c r="N4370" t="s">
        <v>29</v>
      </c>
    </row>
    <row r="4371" spans="1:14">
      <c r="A4371" s="4" t="str">
        <f t="shared" si="422"/>
        <v>EXP00152</v>
      </c>
      <c r="B4371" s="4" t="str">
        <f t="shared" si="423"/>
        <v>24238219</v>
      </c>
      <c r="C4371" s="4" t="str">
        <f t="shared" si="421"/>
        <v>GSE40912</v>
      </c>
      <c r="D4371" s="1" t="s">
        <v>283</v>
      </c>
      <c r="E4371" t="s">
        <v>290</v>
      </c>
      <c r="F4371" s="1">
        <v>2</v>
      </c>
      <c r="G4371" s="1" t="s">
        <v>32</v>
      </c>
      <c r="H4371" s="4" t="str">
        <f>HYPERLINK("https://www.ncbi.nlm.nih.gov/geo/query/acc.cgi?acc=GSM1004700","GSM1004700")</f>
        <v>GSM1004700</v>
      </c>
      <c r="I4371" t="s">
        <v>59</v>
      </c>
      <c r="J4371" t="s">
        <v>60</v>
      </c>
      <c r="K4371" t="s">
        <v>33</v>
      </c>
      <c r="L4371" t="s">
        <v>61</v>
      </c>
      <c r="N4371" t="s">
        <v>29</v>
      </c>
    </row>
    <row r="4372" spans="1:14">
      <c r="A4372" s="4" t="str">
        <f t="shared" si="422"/>
        <v>EXP00152</v>
      </c>
      <c r="B4372" s="4" t="str">
        <f t="shared" si="423"/>
        <v>24238219</v>
      </c>
      <c r="C4372" s="4" t="str">
        <f t="shared" si="421"/>
        <v>GSE40912</v>
      </c>
      <c r="D4372" s="1" t="s">
        <v>283</v>
      </c>
      <c r="E4372" t="s">
        <v>290</v>
      </c>
      <c r="F4372" s="1">
        <v>2</v>
      </c>
      <c r="G4372" s="1" t="s">
        <v>32</v>
      </c>
      <c r="H4372" s="4" t="str">
        <f>HYPERLINK("https://www.ncbi.nlm.nih.gov/geo/query/acc.cgi?acc=GSM1004705","GSM1004705")</f>
        <v>GSM1004705</v>
      </c>
      <c r="I4372" t="s">
        <v>59</v>
      </c>
      <c r="J4372" t="s">
        <v>60</v>
      </c>
      <c r="K4372" t="s">
        <v>33</v>
      </c>
      <c r="L4372" t="s">
        <v>61</v>
      </c>
      <c r="N4372" t="s">
        <v>29</v>
      </c>
    </row>
    <row r="4373" spans="1:14">
      <c r="A4373" s="4" t="str">
        <f t="shared" si="422"/>
        <v>EXP00152</v>
      </c>
      <c r="B4373" s="4" t="str">
        <f t="shared" si="423"/>
        <v>24238219</v>
      </c>
      <c r="C4373" s="4" t="str">
        <f t="shared" si="421"/>
        <v>GSE40912</v>
      </c>
      <c r="D4373" s="1" t="s">
        <v>283</v>
      </c>
      <c r="E4373" t="s">
        <v>290</v>
      </c>
      <c r="F4373" s="1">
        <v>2</v>
      </c>
      <c r="G4373" s="1" t="s">
        <v>32</v>
      </c>
      <c r="H4373" s="4" t="str">
        <f>HYPERLINK("https://www.ncbi.nlm.nih.gov/geo/query/acc.cgi?acc=GSM1004706","GSM1004706")</f>
        <v>GSM1004706</v>
      </c>
      <c r="I4373" t="s">
        <v>59</v>
      </c>
      <c r="J4373" t="s">
        <v>60</v>
      </c>
      <c r="K4373" t="s">
        <v>33</v>
      </c>
      <c r="L4373" t="s">
        <v>61</v>
      </c>
      <c r="N4373" t="s">
        <v>29</v>
      </c>
    </row>
    <row r="4374" spans="1:14">
      <c r="A4374" s="4" t="str">
        <f t="shared" si="422"/>
        <v>EXP00152</v>
      </c>
      <c r="B4374" s="4" t="str">
        <f t="shared" si="423"/>
        <v>24238219</v>
      </c>
      <c r="C4374" s="4" t="str">
        <f t="shared" si="421"/>
        <v>GSE40912</v>
      </c>
      <c r="D4374" s="1" t="s">
        <v>283</v>
      </c>
      <c r="E4374" t="s">
        <v>290</v>
      </c>
      <c r="F4374" s="1">
        <v>2</v>
      </c>
      <c r="G4374" s="1" t="s">
        <v>32</v>
      </c>
      <c r="H4374" s="4" t="str">
        <f>HYPERLINK("https://www.ncbi.nlm.nih.gov/geo/query/acc.cgi?acc=GSM1004707","GSM1004707")</f>
        <v>GSM1004707</v>
      </c>
      <c r="I4374" t="s">
        <v>59</v>
      </c>
      <c r="J4374" t="s">
        <v>60</v>
      </c>
      <c r="K4374" t="s">
        <v>33</v>
      </c>
      <c r="L4374" t="s">
        <v>61</v>
      </c>
      <c r="N4374" t="s">
        <v>29</v>
      </c>
    </row>
    <row r="4375" spans="1:14">
      <c r="A4375" s="4" t="str">
        <f t="shared" si="422"/>
        <v>EXP00152</v>
      </c>
      <c r="B4375" s="4" t="str">
        <f t="shared" si="423"/>
        <v>24238219</v>
      </c>
      <c r="C4375" s="4" t="str">
        <f t="shared" si="421"/>
        <v>GSE40912</v>
      </c>
      <c r="D4375" s="1" t="s">
        <v>283</v>
      </c>
      <c r="E4375" t="s">
        <v>290</v>
      </c>
      <c r="F4375" s="1">
        <v>2</v>
      </c>
      <c r="G4375" s="1" t="s">
        <v>32</v>
      </c>
      <c r="H4375" s="4" t="str">
        <f>HYPERLINK("https://www.ncbi.nlm.nih.gov/geo/query/acc.cgi?acc=GSM1004708","GSM1004708")</f>
        <v>GSM1004708</v>
      </c>
      <c r="I4375" t="s">
        <v>59</v>
      </c>
      <c r="J4375" t="s">
        <v>60</v>
      </c>
      <c r="K4375" t="s">
        <v>33</v>
      </c>
      <c r="L4375" t="s">
        <v>61</v>
      </c>
      <c r="N4375" t="s">
        <v>29</v>
      </c>
    </row>
    <row r="4376" spans="1:14">
      <c r="A4376" s="4" t="str">
        <f t="shared" si="422"/>
        <v>EXP00152</v>
      </c>
      <c r="B4376" s="4" t="str">
        <f t="shared" si="423"/>
        <v>24238219</v>
      </c>
      <c r="C4376" s="4" t="str">
        <f t="shared" si="421"/>
        <v>GSE40912</v>
      </c>
      <c r="D4376" s="1" t="s">
        <v>283</v>
      </c>
      <c r="E4376" t="s">
        <v>290</v>
      </c>
      <c r="F4376" s="1">
        <v>2</v>
      </c>
      <c r="G4376" s="1" t="s">
        <v>32</v>
      </c>
      <c r="H4376" s="4" t="str">
        <f>HYPERLINK("https://www.ncbi.nlm.nih.gov/geo/query/acc.cgi?acc=GSM1004709","GSM1004709")</f>
        <v>GSM1004709</v>
      </c>
      <c r="I4376" t="s">
        <v>59</v>
      </c>
      <c r="J4376" t="s">
        <v>60</v>
      </c>
      <c r="K4376" t="s">
        <v>33</v>
      </c>
      <c r="L4376" t="s">
        <v>61</v>
      </c>
      <c r="N4376" t="s">
        <v>29</v>
      </c>
    </row>
    <row r="4377" spans="1:14">
      <c r="A4377" s="4" t="str">
        <f t="shared" si="422"/>
        <v>EXP00152</v>
      </c>
      <c r="B4377" s="4" t="str">
        <f t="shared" si="423"/>
        <v>24238219</v>
      </c>
      <c r="C4377" s="4" t="str">
        <f t="shared" si="421"/>
        <v>GSE40912</v>
      </c>
      <c r="D4377" s="1" t="s">
        <v>283</v>
      </c>
      <c r="E4377" t="s">
        <v>290</v>
      </c>
      <c r="F4377" s="1">
        <v>2</v>
      </c>
      <c r="G4377" s="1" t="s">
        <v>32</v>
      </c>
      <c r="H4377" s="4" t="str">
        <f>HYPERLINK("https://www.ncbi.nlm.nih.gov/geo/query/acc.cgi?acc=GSM1004710","GSM1004710")</f>
        <v>GSM1004710</v>
      </c>
      <c r="I4377" t="s">
        <v>59</v>
      </c>
      <c r="J4377" t="s">
        <v>60</v>
      </c>
      <c r="K4377" t="s">
        <v>33</v>
      </c>
      <c r="L4377" t="s">
        <v>61</v>
      </c>
      <c r="N4377" t="s">
        <v>29</v>
      </c>
    </row>
    <row r="4378" spans="1:14">
      <c r="A4378" s="4" t="str">
        <f t="shared" si="422"/>
        <v>EXP00152</v>
      </c>
      <c r="B4378" s="4" t="str">
        <f t="shared" si="423"/>
        <v>24238219</v>
      </c>
      <c r="C4378" s="4" t="str">
        <f t="shared" si="421"/>
        <v>GSE40912</v>
      </c>
      <c r="D4378" s="1" t="s">
        <v>283</v>
      </c>
      <c r="E4378" t="s">
        <v>290</v>
      </c>
      <c r="F4378" s="1">
        <v>2</v>
      </c>
      <c r="G4378" s="1" t="s">
        <v>32</v>
      </c>
      <c r="H4378" s="4" t="str">
        <f>HYPERLINK("https://www.ncbi.nlm.nih.gov/geo/query/acc.cgi?acc=GSM1004711","GSM1004711")</f>
        <v>GSM1004711</v>
      </c>
      <c r="I4378" t="s">
        <v>59</v>
      </c>
      <c r="J4378" t="s">
        <v>60</v>
      </c>
      <c r="K4378" t="s">
        <v>33</v>
      </c>
      <c r="L4378" t="s">
        <v>61</v>
      </c>
      <c r="N4378" t="s">
        <v>29</v>
      </c>
    </row>
    <row r="4379" spans="1:14">
      <c r="A4379" s="4" t="str">
        <f t="shared" si="422"/>
        <v>EXP00152</v>
      </c>
      <c r="B4379" s="4" t="str">
        <f t="shared" si="423"/>
        <v>24238219</v>
      </c>
      <c r="C4379" s="4" t="str">
        <f t="shared" si="421"/>
        <v>GSE40912</v>
      </c>
      <c r="D4379" s="1" t="s">
        <v>283</v>
      </c>
      <c r="E4379" t="s">
        <v>290</v>
      </c>
      <c r="F4379" s="1">
        <v>2</v>
      </c>
      <c r="G4379" s="1" t="s">
        <v>32</v>
      </c>
      <c r="H4379" s="4" t="str">
        <f>HYPERLINK("https://www.ncbi.nlm.nih.gov/geo/query/acc.cgi?acc=GSM1004712","GSM1004712")</f>
        <v>GSM1004712</v>
      </c>
      <c r="I4379" t="s">
        <v>59</v>
      </c>
      <c r="J4379" t="s">
        <v>60</v>
      </c>
      <c r="K4379" t="s">
        <v>33</v>
      </c>
      <c r="L4379" t="s">
        <v>61</v>
      </c>
      <c r="N4379" t="s">
        <v>29</v>
      </c>
    </row>
    <row r="4380" spans="1:14">
      <c r="A4380" s="4" t="str">
        <f t="shared" si="422"/>
        <v>EXP00152</v>
      </c>
      <c r="B4380" s="4" t="str">
        <f t="shared" si="423"/>
        <v>24238219</v>
      </c>
      <c r="C4380" s="4" t="str">
        <f t="shared" si="421"/>
        <v>GSE40912</v>
      </c>
      <c r="D4380" s="1" t="s">
        <v>283</v>
      </c>
      <c r="E4380" t="s">
        <v>290</v>
      </c>
      <c r="F4380" s="1">
        <v>2</v>
      </c>
      <c r="G4380" s="1" t="s">
        <v>32</v>
      </c>
      <c r="H4380" s="4" t="str">
        <f>HYPERLINK("https://www.ncbi.nlm.nih.gov/geo/query/acc.cgi?acc=GSM1004713","GSM1004713")</f>
        <v>GSM1004713</v>
      </c>
      <c r="I4380" t="s">
        <v>59</v>
      </c>
      <c r="J4380" t="s">
        <v>60</v>
      </c>
      <c r="K4380" t="s">
        <v>33</v>
      </c>
      <c r="L4380" t="s">
        <v>61</v>
      </c>
      <c r="N4380" t="s">
        <v>29</v>
      </c>
    </row>
    <row r="4381" spans="1:14">
      <c r="A4381" s="4" t="str">
        <f t="shared" si="422"/>
        <v>EXP00152</v>
      </c>
      <c r="B4381" s="4" t="str">
        <f t="shared" si="423"/>
        <v>24238219</v>
      </c>
      <c r="C4381" s="4" t="str">
        <f t="shared" si="421"/>
        <v>GSE40912</v>
      </c>
      <c r="D4381" s="1" t="s">
        <v>283</v>
      </c>
      <c r="E4381" t="s">
        <v>290</v>
      </c>
      <c r="F4381" s="1">
        <v>2</v>
      </c>
      <c r="G4381" s="1" t="s">
        <v>32</v>
      </c>
      <c r="H4381" s="4" t="str">
        <f>HYPERLINK("https://www.ncbi.nlm.nih.gov/geo/query/acc.cgi?acc=GSM1004714","GSM1004714")</f>
        <v>GSM1004714</v>
      </c>
      <c r="I4381" t="s">
        <v>59</v>
      </c>
      <c r="J4381" t="s">
        <v>60</v>
      </c>
      <c r="K4381" t="s">
        <v>33</v>
      </c>
      <c r="L4381" t="s">
        <v>61</v>
      </c>
      <c r="N4381" t="s">
        <v>29</v>
      </c>
    </row>
    <row r="4382" spans="1:14">
      <c r="A4382" s="4" t="str">
        <f t="shared" si="422"/>
        <v>EXP00152</v>
      </c>
      <c r="B4382" s="4" t="str">
        <f t="shared" si="423"/>
        <v>24238219</v>
      </c>
      <c r="C4382" s="4" t="str">
        <f t="shared" si="421"/>
        <v>GSE40912</v>
      </c>
      <c r="D4382" s="1" t="s">
        <v>283</v>
      </c>
      <c r="E4382" t="s">
        <v>290</v>
      </c>
      <c r="F4382" s="1">
        <v>2</v>
      </c>
      <c r="G4382" s="1" t="s">
        <v>32</v>
      </c>
      <c r="H4382" s="4" t="str">
        <f>HYPERLINK("https://www.ncbi.nlm.nih.gov/geo/query/acc.cgi?acc=GSM1004715","GSM1004715")</f>
        <v>GSM1004715</v>
      </c>
      <c r="I4382" t="s">
        <v>59</v>
      </c>
      <c r="J4382" t="s">
        <v>60</v>
      </c>
      <c r="K4382" t="s">
        <v>33</v>
      </c>
      <c r="L4382" t="s">
        <v>61</v>
      </c>
      <c r="N4382" t="s">
        <v>29</v>
      </c>
    </row>
    <row r="4383" spans="1:14">
      <c r="A4383" s="4" t="str">
        <f t="shared" si="422"/>
        <v>EXP00152</v>
      </c>
      <c r="B4383" s="4" t="str">
        <f t="shared" si="423"/>
        <v>24238219</v>
      </c>
      <c r="C4383" s="4" t="str">
        <f t="shared" si="421"/>
        <v>GSE40912</v>
      </c>
      <c r="D4383" s="1" t="s">
        <v>283</v>
      </c>
      <c r="E4383" t="s">
        <v>290</v>
      </c>
      <c r="F4383" s="1">
        <v>2</v>
      </c>
      <c r="G4383" s="1" t="s">
        <v>32</v>
      </c>
      <c r="H4383" s="4" t="str">
        <f>HYPERLINK("https://www.ncbi.nlm.nih.gov/geo/query/acc.cgi?acc=GSM1004716","GSM1004716")</f>
        <v>GSM1004716</v>
      </c>
      <c r="I4383" t="s">
        <v>59</v>
      </c>
      <c r="J4383" t="s">
        <v>60</v>
      </c>
      <c r="K4383" t="s">
        <v>33</v>
      </c>
      <c r="L4383" t="s">
        <v>61</v>
      </c>
      <c r="N4383" t="s">
        <v>29</v>
      </c>
    </row>
    <row r="4384" spans="1:14">
      <c r="A4384" s="4" t="str">
        <f t="shared" si="422"/>
        <v>EXP00152</v>
      </c>
      <c r="B4384" s="4" t="str">
        <f t="shared" si="423"/>
        <v>24238219</v>
      </c>
      <c r="C4384" s="4" t="str">
        <f t="shared" si="421"/>
        <v>GSE40912</v>
      </c>
      <c r="D4384" s="1" t="s">
        <v>283</v>
      </c>
      <c r="E4384" t="s">
        <v>290</v>
      </c>
      <c r="F4384" s="1">
        <v>2</v>
      </c>
      <c r="G4384" s="1" t="s">
        <v>32</v>
      </c>
      <c r="H4384" s="4" t="str">
        <f>HYPERLINK("https://www.ncbi.nlm.nih.gov/geo/query/acc.cgi?acc=GSM1004717","GSM1004717")</f>
        <v>GSM1004717</v>
      </c>
      <c r="I4384" t="s">
        <v>59</v>
      </c>
      <c r="J4384" t="s">
        <v>60</v>
      </c>
      <c r="K4384" t="s">
        <v>33</v>
      </c>
      <c r="L4384" t="s">
        <v>61</v>
      </c>
      <c r="N4384" t="s">
        <v>29</v>
      </c>
    </row>
    <row r="4385" spans="1:14">
      <c r="A4385" s="4" t="str">
        <f t="shared" si="422"/>
        <v>EXP00152</v>
      </c>
      <c r="B4385" s="4" t="str">
        <f t="shared" si="423"/>
        <v>24238219</v>
      </c>
      <c r="C4385" s="4" t="str">
        <f t="shared" si="421"/>
        <v>GSE40912</v>
      </c>
      <c r="D4385" s="1" t="s">
        <v>283</v>
      </c>
      <c r="E4385" t="s">
        <v>290</v>
      </c>
      <c r="F4385" s="1">
        <v>2</v>
      </c>
      <c r="G4385" s="1" t="s">
        <v>32</v>
      </c>
      <c r="H4385" s="4" t="str">
        <f>HYPERLINK("https://www.ncbi.nlm.nih.gov/geo/query/acc.cgi?acc=GSM1004718","GSM1004718")</f>
        <v>GSM1004718</v>
      </c>
      <c r="I4385" t="s">
        <v>59</v>
      </c>
      <c r="J4385" t="s">
        <v>60</v>
      </c>
      <c r="K4385" t="s">
        <v>33</v>
      </c>
      <c r="L4385" t="s">
        <v>61</v>
      </c>
      <c r="N4385" t="s">
        <v>29</v>
      </c>
    </row>
    <row r="4386" spans="1:14">
      <c r="A4386" s="4" t="str">
        <f t="shared" si="422"/>
        <v>EXP00152</v>
      </c>
      <c r="B4386" s="4" t="str">
        <f t="shared" si="423"/>
        <v>24238219</v>
      </c>
      <c r="C4386" s="4" t="str">
        <f t="shared" si="421"/>
        <v>GSE40912</v>
      </c>
      <c r="D4386" s="1" t="s">
        <v>283</v>
      </c>
      <c r="E4386" t="s">
        <v>290</v>
      </c>
      <c r="F4386" s="1">
        <v>2</v>
      </c>
      <c r="G4386" s="1" t="s">
        <v>32</v>
      </c>
      <c r="H4386" s="4" t="str">
        <f>HYPERLINK("https://www.ncbi.nlm.nih.gov/geo/query/acc.cgi?acc=GSM1004719","GSM1004719")</f>
        <v>GSM1004719</v>
      </c>
      <c r="I4386" t="s">
        <v>59</v>
      </c>
      <c r="J4386" t="s">
        <v>60</v>
      </c>
      <c r="K4386" t="s">
        <v>33</v>
      </c>
      <c r="L4386" t="s">
        <v>61</v>
      </c>
      <c r="N4386" t="s">
        <v>29</v>
      </c>
    </row>
    <row r="4387" spans="1:14">
      <c r="A4387" s="4" t="str">
        <f t="shared" si="422"/>
        <v>EXP00152</v>
      </c>
      <c r="B4387" s="4" t="str">
        <f t="shared" si="423"/>
        <v>24238219</v>
      </c>
      <c r="C4387" s="4" t="str">
        <f t="shared" si="421"/>
        <v>GSE40912</v>
      </c>
      <c r="D4387" s="1" t="s">
        <v>283</v>
      </c>
      <c r="E4387" t="s">
        <v>290</v>
      </c>
      <c r="F4387" s="1">
        <v>2</v>
      </c>
      <c r="G4387" s="1" t="s">
        <v>32</v>
      </c>
      <c r="H4387" s="4" t="str">
        <f>HYPERLINK("https://www.ncbi.nlm.nih.gov/geo/query/acc.cgi?acc=GSM1004720","GSM1004720")</f>
        <v>GSM1004720</v>
      </c>
      <c r="I4387" t="s">
        <v>59</v>
      </c>
      <c r="J4387" t="s">
        <v>60</v>
      </c>
      <c r="K4387" t="s">
        <v>33</v>
      </c>
      <c r="L4387" t="s">
        <v>61</v>
      </c>
      <c r="N4387" t="s">
        <v>29</v>
      </c>
    </row>
    <row r="4388" spans="1:14">
      <c r="A4388" s="4" t="str">
        <f t="shared" si="422"/>
        <v>EXP00152</v>
      </c>
      <c r="B4388" s="4" t="str">
        <f t="shared" si="423"/>
        <v>24238219</v>
      </c>
      <c r="C4388" s="4" t="str">
        <f t="shared" si="421"/>
        <v>GSE40912</v>
      </c>
      <c r="D4388" s="1" t="s">
        <v>283</v>
      </c>
      <c r="E4388" t="s">
        <v>290</v>
      </c>
      <c r="F4388" s="1">
        <v>2</v>
      </c>
      <c r="G4388" s="1" t="s">
        <v>32</v>
      </c>
      <c r="H4388" s="4" t="str">
        <f>HYPERLINK("https://www.ncbi.nlm.nih.gov/geo/query/acc.cgi?acc=GSM1004721","GSM1004721")</f>
        <v>GSM1004721</v>
      </c>
      <c r="I4388" t="s">
        <v>59</v>
      </c>
      <c r="J4388" t="s">
        <v>60</v>
      </c>
      <c r="K4388" t="s">
        <v>33</v>
      </c>
      <c r="L4388" t="s">
        <v>61</v>
      </c>
      <c r="N4388" t="s">
        <v>29</v>
      </c>
    </row>
    <row r="4389" spans="1:14">
      <c r="A4389" s="4" t="str">
        <f t="shared" si="422"/>
        <v>EXP00152</v>
      </c>
      <c r="B4389" s="4" t="str">
        <f t="shared" si="423"/>
        <v>24238219</v>
      </c>
      <c r="C4389" s="4" t="str">
        <f t="shared" si="421"/>
        <v>GSE40912</v>
      </c>
      <c r="D4389" s="1" t="s">
        <v>283</v>
      </c>
      <c r="E4389" t="s">
        <v>290</v>
      </c>
      <c r="F4389" s="1">
        <v>2</v>
      </c>
      <c r="G4389" s="1" t="s">
        <v>32</v>
      </c>
      <c r="H4389" s="4" t="str">
        <f>HYPERLINK("https://www.ncbi.nlm.nih.gov/geo/query/acc.cgi?acc=GSM1004722","GSM1004722")</f>
        <v>GSM1004722</v>
      </c>
      <c r="I4389" t="s">
        <v>59</v>
      </c>
      <c r="J4389" t="s">
        <v>60</v>
      </c>
      <c r="K4389" t="s">
        <v>33</v>
      </c>
      <c r="L4389" t="s">
        <v>61</v>
      </c>
      <c r="N4389" t="s">
        <v>29</v>
      </c>
    </row>
    <row r="4390" spans="1:14">
      <c r="A4390" s="4" t="str">
        <f t="shared" si="422"/>
        <v>EXP00152</v>
      </c>
      <c r="B4390" s="4" t="str">
        <f t="shared" si="423"/>
        <v>24238219</v>
      </c>
      <c r="C4390" s="4" t="str">
        <f t="shared" si="421"/>
        <v>GSE40912</v>
      </c>
      <c r="D4390" s="1" t="s">
        <v>283</v>
      </c>
      <c r="E4390" t="s">
        <v>290</v>
      </c>
      <c r="F4390" s="1">
        <v>2</v>
      </c>
      <c r="G4390" s="1" t="s">
        <v>32</v>
      </c>
      <c r="H4390" s="4" t="str">
        <f>HYPERLINK("https://www.ncbi.nlm.nih.gov/geo/query/acc.cgi?acc=GSM1004725","GSM1004725")</f>
        <v>GSM1004725</v>
      </c>
      <c r="I4390" t="s">
        <v>59</v>
      </c>
      <c r="J4390" t="s">
        <v>60</v>
      </c>
      <c r="K4390" t="s">
        <v>33</v>
      </c>
      <c r="L4390" t="s">
        <v>61</v>
      </c>
      <c r="N4390" t="s">
        <v>29</v>
      </c>
    </row>
    <row r="4391" spans="1:14">
      <c r="A4391" s="4" t="str">
        <f t="shared" si="422"/>
        <v>EXP00152</v>
      </c>
      <c r="B4391" s="4" t="str">
        <f t="shared" si="423"/>
        <v>24238219</v>
      </c>
      <c r="C4391" s="4" t="str">
        <f t="shared" si="421"/>
        <v>GSE40912</v>
      </c>
      <c r="D4391" s="1" t="s">
        <v>283</v>
      </c>
      <c r="E4391" t="s">
        <v>290</v>
      </c>
      <c r="F4391" s="1">
        <v>2</v>
      </c>
      <c r="G4391" s="1" t="s">
        <v>32</v>
      </c>
      <c r="H4391" s="4" t="str">
        <f>HYPERLINK("https://www.ncbi.nlm.nih.gov/geo/query/acc.cgi?acc=GSM1004726","GSM1004726")</f>
        <v>GSM1004726</v>
      </c>
      <c r="I4391" t="s">
        <v>59</v>
      </c>
      <c r="J4391" t="s">
        <v>60</v>
      </c>
      <c r="K4391" t="s">
        <v>33</v>
      </c>
      <c r="L4391" t="s">
        <v>61</v>
      </c>
      <c r="N4391" t="s">
        <v>29</v>
      </c>
    </row>
    <row r="4392" spans="1:14">
      <c r="A4392" s="4" t="str">
        <f t="shared" si="422"/>
        <v>EXP00152</v>
      </c>
      <c r="B4392" s="4" t="str">
        <f t="shared" si="423"/>
        <v>24238219</v>
      </c>
      <c r="C4392" s="4" t="str">
        <f t="shared" si="421"/>
        <v>GSE40912</v>
      </c>
      <c r="D4392" s="1" t="s">
        <v>283</v>
      </c>
      <c r="E4392" t="s">
        <v>290</v>
      </c>
      <c r="F4392" s="1">
        <v>2</v>
      </c>
      <c r="G4392" s="1" t="s">
        <v>32</v>
      </c>
      <c r="H4392" s="4" t="str">
        <f>HYPERLINK("https://www.ncbi.nlm.nih.gov/geo/query/acc.cgi?acc=GSM1004729","GSM1004729")</f>
        <v>GSM1004729</v>
      </c>
      <c r="I4392" t="s">
        <v>59</v>
      </c>
      <c r="J4392" t="s">
        <v>60</v>
      </c>
      <c r="K4392" t="s">
        <v>33</v>
      </c>
      <c r="L4392" t="s">
        <v>61</v>
      </c>
      <c r="N4392" t="s">
        <v>29</v>
      </c>
    </row>
    <row r="4393" spans="1:14">
      <c r="A4393" s="4" t="str">
        <f t="shared" si="422"/>
        <v>EXP00152</v>
      </c>
      <c r="B4393" s="4" t="str">
        <f t="shared" si="423"/>
        <v>24238219</v>
      </c>
      <c r="C4393" s="4" t="str">
        <f t="shared" si="421"/>
        <v>GSE40912</v>
      </c>
      <c r="D4393" s="1" t="s">
        <v>283</v>
      </c>
      <c r="E4393" t="s">
        <v>290</v>
      </c>
      <c r="F4393" s="1">
        <v>2</v>
      </c>
      <c r="G4393" s="1" t="s">
        <v>32</v>
      </c>
      <c r="H4393" s="4" t="str">
        <f>HYPERLINK("https://www.ncbi.nlm.nih.gov/geo/query/acc.cgi?acc=GSM1004730","GSM1004730")</f>
        <v>GSM1004730</v>
      </c>
      <c r="I4393" t="s">
        <v>59</v>
      </c>
      <c r="J4393" t="s">
        <v>60</v>
      </c>
      <c r="K4393" t="s">
        <v>33</v>
      </c>
      <c r="L4393" t="s">
        <v>61</v>
      </c>
      <c r="N4393" t="s">
        <v>29</v>
      </c>
    </row>
    <row r="4394" spans="1:14">
      <c r="A4394" s="4" t="str">
        <f t="shared" ref="A4394:A4399" si="424">HYPERLINK("http://hcmdb.i-sanger.com/experiment/details/experiment_id/EXP00153","EXP00153")</f>
        <v>EXP00153</v>
      </c>
      <c r="B4394" s="3" t="s">
        <v>66</v>
      </c>
      <c r="C4394" s="4" t="str">
        <f t="shared" ref="C4394:C4405" si="425">HYPERLINK("https://www.ncbi.nlm.nih.gov/geo/query/acc.cgi?acc=GSE41874","GSE41874")</f>
        <v>GSE41874</v>
      </c>
      <c r="D4394" s="1" t="s">
        <v>293</v>
      </c>
      <c r="E4394" t="s">
        <v>294</v>
      </c>
      <c r="F4394" s="1">
        <v>1</v>
      </c>
      <c r="G4394" s="1" t="s">
        <v>26</v>
      </c>
      <c r="H4394" s="4" t="str">
        <f>HYPERLINK("https://www.ncbi.nlm.nih.gov/geo/query/acc.cgi?acc=GSM1026849","GSM1026849")</f>
        <v>GSM1026849</v>
      </c>
      <c r="I4394" t="s">
        <v>177</v>
      </c>
      <c r="J4394" t="s">
        <v>178</v>
      </c>
      <c r="K4394" t="s">
        <v>19</v>
      </c>
      <c r="L4394" t="s">
        <v>44</v>
      </c>
      <c r="M4394" t="s">
        <v>44</v>
      </c>
      <c r="N4394" t="s">
        <v>22</v>
      </c>
    </row>
    <row r="4395" spans="1:14">
      <c r="A4395" s="4" t="str">
        <f t="shared" si="424"/>
        <v>EXP00153</v>
      </c>
      <c r="B4395" s="3" t="s">
        <v>66</v>
      </c>
      <c r="C4395" s="4" t="str">
        <f t="shared" si="425"/>
        <v>GSE41874</v>
      </c>
      <c r="D4395" s="1" t="s">
        <v>293</v>
      </c>
      <c r="E4395" t="s">
        <v>294</v>
      </c>
      <c r="F4395" s="1">
        <v>1</v>
      </c>
      <c r="G4395" s="1" t="s">
        <v>26</v>
      </c>
      <c r="H4395" s="4" t="str">
        <f>HYPERLINK("https://www.ncbi.nlm.nih.gov/geo/query/acc.cgi?acc=GSM1026852","GSM1026852")</f>
        <v>GSM1026852</v>
      </c>
      <c r="I4395" t="s">
        <v>177</v>
      </c>
      <c r="J4395" t="s">
        <v>178</v>
      </c>
      <c r="K4395" t="s">
        <v>19</v>
      </c>
      <c r="L4395" t="s">
        <v>44</v>
      </c>
      <c r="M4395" t="s">
        <v>44</v>
      </c>
      <c r="N4395" t="s">
        <v>22</v>
      </c>
    </row>
    <row r="4396" spans="1:14">
      <c r="A4396" s="4" t="str">
        <f t="shared" si="424"/>
        <v>EXP00153</v>
      </c>
      <c r="B4396" s="3" t="s">
        <v>66</v>
      </c>
      <c r="C4396" s="4" t="str">
        <f t="shared" si="425"/>
        <v>GSE41874</v>
      </c>
      <c r="D4396" s="1" t="s">
        <v>293</v>
      </c>
      <c r="E4396" t="s">
        <v>294</v>
      </c>
      <c r="F4396" s="1">
        <v>1</v>
      </c>
      <c r="G4396" s="1" t="s">
        <v>26</v>
      </c>
      <c r="H4396" s="4" t="str">
        <f>HYPERLINK("https://www.ncbi.nlm.nih.gov/geo/query/acc.cgi?acc=GSM1026855","GSM1026855")</f>
        <v>GSM1026855</v>
      </c>
      <c r="I4396" t="s">
        <v>177</v>
      </c>
      <c r="J4396" t="s">
        <v>178</v>
      </c>
      <c r="K4396" t="s">
        <v>19</v>
      </c>
      <c r="L4396" t="s">
        <v>44</v>
      </c>
      <c r="M4396" t="s">
        <v>44</v>
      </c>
      <c r="N4396" t="s">
        <v>22</v>
      </c>
    </row>
    <row r="4397" spans="1:14">
      <c r="A4397" s="4" t="str">
        <f t="shared" si="424"/>
        <v>EXP00153</v>
      </c>
      <c r="B4397" s="3" t="s">
        <v>66</v>
      </c>
      <c r="C4397" s="4" t="str">
        <f t="shared" si="425"/>
        <v>GSE41874</v>
      </c>
      <c r="D4397" s="1" t="s">
        <v>293</v>
      </c>
      <c r="E4397" t="s">
        <v>294</v>
      </c>
      <c r="F4397" s="1">
        <v>2</v>
      </c>
      <c r="G4397" s="1" t="s">
        <v>28</v>
      </c>
      <c r="H4397" s="4" t="str">
        <f>HYPERLINK("https://www.ncbi.nlm.nih.gov/geo/query/acc.cgi?acc=GSM1026847","GSM1026847")</f>
        <v>GSM1026847</v>
      </c>
      <c r="I4397" t="s">
        <v>177</v>
      </c>
      <c r="J4397" t="s">
        <v>178</v>
      </c>
      <c r="K4397" t="s">
        <v>19</v>
      </c>
      <c r="L4397" t="s">
        <v>44</v>
      </c>
      <c r="M4397" t="s">
        <v>44</v>
      </c>
      <c r="N4397" t="s">
        <v>29</v>
      </c>
    </row>
    <row r="4398" spans="1:14">
      <c r="A4398" s="4" t="str">
        <f t="shared" si="424"/>
        <v>EXP00153</v>
      </c>
      <c r="B4398" s="3" t="s">
        <v>66</v>
      </c>
      <c r="C4398" s="4" t="str">
        <f t="shared" si="425"/>
        <v>GSE41874</v>
      </c>
      <c r="D4398" s="1" t="s">
        <v>293</v>
      </c>
      <c r="E4398" t="s">
        <v>294</v>
      </c>
      <c r="F4398" s="1">
        <v>2</v>
      </c>
      <c r="G4398" s="1" t="s">
        <v>28</v>
      </c>
      <c r="H4398" s="4" t="str">
        <f>HYPERLINK("https://www.ncbi.nlm.nih.gov/geo/query/acc.cgi?acc=GSM1026850","GSM1026850")</f>
        <v>GSM1026850</v>
      </c>
      <c r="I4398" t="s">
        <v>177</v>
      </c>
      <c r="J4398" t="s">
        <v>178</v>
      </c>
      <c r="K4398" t="s">
        <v>19</v>
      </c>
      <c r="L4398" t="s">
        <v>44</v>
      </c>
      <c r="M4398" t="s">
        <v>44</v>
      </c>
      <c r="N4398" t="s">
        <v>29</v>
      </c>
    </row>
    <row r="4399" spans="1:14">
      <c r="A4399" s="4" t="str">
        <f t="shared" si="424"/>
        <v>EXP00153</v>
      </c>
      <c r="B4399" s="3" t="s">
        <v>66</v>
      </c>
      <c r="C4399" s="4" t="str">
        <f t="shared" si="425"/>
        <v>GSE41874</v>
      </c>
      <c r="D4399" s="1" t="s">
        <v>293</v>
      </c>
      <c r="E4399" t="s">
        <v>294</v>
      </c>
      <c r="F4399" s="1">
        <v>2</v>
      </c>
      <c r="G4399" s="1" t="s">
        <v>28</v>
      </c>
      <c r="H4399" s="4" t="str">
        <f>HYPERLINK("https://www.ncbi.nlm.nih.gov/geo/query/acc.cgi?acc=GSM1026853","GSM1026853")</f>
        <v>GSM1026853</v>
      </c>
      <c r="I4399" t="s">
        <v>177</v>
      </c>
      <c r="J4399" t="s">
        <v>178</v>
      </c>
      <c r="K4399" t="s">
        <v>19</v>
      </c>
      <c r="L4399" t="s">
        <v>44</v>
      </c>
      <c r="M4399" t="s">
        <v>44</v>
      </c>
      <c r="N4399" t="s">
        <v>29</v>
      </c>
    </row>
    <row r="4400" spans="1:14">
      <c r="A4400" s="4" t="str">
        <f t="shared" ref="A4400:A4405" si="426">HYPERLINK("http://hcmdb.i-sanger.com/experiment/details/experiment_id/EXP00154","EXP00154")</f>
        <v>EXP00154</v>
      </c>
      <c r="B4400" s="3" t="s">
        <v>66</v>
      </c>
      <c r="C4400" s="4" t="str">
        <f t="shared" si="425"/>
        <v>GSE41874</v>
      </c>
      <c r="D4400" s="1" t="s">
        <v>293</v>
      </c>
      <c r="E4400" t="s">
        <v>295</v>
      </c>
      <c r="F4400" s="1">
        <v>1</v>
      </c>
      <c r="G4400" s="1" t="s">
        <v>36</v>
      </c>
      <c r="H4400" s="4" t="str">
        <f>HYPERLINK("https://www.ncbi.nlm.nih.gov/geo/query/acc.cgi?acc=GSM1026848","GSM1026848")</f>
        <v>GSM1026848</v>
      </c>
      <c r="I4400" t="s">
        <v>177</v>
      </c>
      <c r="J4400" t="s">
        <v>178</v>
      </c>
      <c r="K4400" t="s">
        <v>19</v>
      </c>
      <c r="L4400" t="s">
        <v>44</v>
      </c>
      <c r="M4400" t="s">
        <v>44</v>
      </c>
      <c r="N4400" t="s">
        <v>37</v>
      </c>
    </row>
    <row r="4401" spans="1:14">
      <c r="A4401" s="4" t="str">
        <f t="shared" si="426"/>
        <v>EXP00154</v>
      </c>
      <c r="B4401" s="3" t="s">
        <v>66</v>
      </c>
      <c r="C4401" s="4" t="str">
        <f t="shared" si="425"/>
        <v>GSE41874</v>
      </c>
      <c r="D4401" s="1" t="s">
        <v>293</v>
      </c>
      <c r="E4401" t="s">
        <v>295</v>
      </c>
      <c r="F4401" s="1">
        <v>1</v>
      </c>
      <c r="G4401" s="1" t="s">
        <v>36</v>
      </c>
      <c r="H4401" s="4" t="str">
        <f>HYPERLINK("https://www.ncbi.nlm.nih.gov/geo/query/acc.cgi?acc=GSM1026851","GSM1026851")</f>
        <v>GSM1026851</v>
      </c>
      <c r="I4401" t="s">
        <v>177</v>
      </c>
      <c r="J4401" t="s">
        <v>178</v>
      </c>
      <c r="K4401" t="s">
        <v>19</v>
      </c>
      <c r="L4401" t="s">
        <v>44</v>
      </c>
      <c r="M4401" t="s">
        <v>44</v>
      </c>
      <c r="N4401" t="s">
        <v>37</v>
      </c>
    </row>
    <row r="4402" spans="1:14">
      <c r="A4402" s="4" t="str">
        <f t="shared" si="426"/>
        <v>EXP00154</v>
      </c>
      <c r="B4402" s="3" t="s">
        <v>66</v>
      </c>
      <c r="C4402" s="4" t="str">
        <f t="shared" si="425"/>
        <v>GSE41874</v>
      </c>
      <c r="D4402" s="1" t="s">
        <v>293</v>
      </c>
      <c r="E4402" t="s">
        <v>295</v>
      </c>
      <c r="F4402" s="1">
        <v>1</v>
      </c>
      <c r="G4402" s="1" t="s">
        <v>36</v>
      </c>
      <c r="H4402" s="4" t="str">
        <f>HYPERLINK("https://www.ncbi.nlm.nih.gov/geo/query/acc.cgi?acc=GSM1026854","GSM1026854")</f>
        <v>GSM1026854</v>
      </c>
      <c r="I4402" t="s">
        <v>177</v>
      </c>
      <c r="J4402" t="s">
        <v>178</v>
      </c>
      <c r="K4402" t="s">
        <v>19</v>
      </c>
      <c r="L4402" t="s">
        <v>44</v>
      </c>
      <c r="M4402" t="s">
        <v>44</v>
      </c>
      <c r="N4402" t="s">
        <v>37</v>
      </c>
    </row>
    <row r="4403" spans="1:14">
      <c r="A4403" s="4" t="str">
        <f t="shared" si="426"/>
        <v>EXP00154</v>
      </c>
      <c r="B4403" s="3" t="s">
        <v>66</v>
      </c>
      <c r="C4403" s="4" t="str">
        <f t="shared" si="425"/>
        <v>GSE41874</v>
      </c>
      <c r="D4403" s="1" t="s">
        <v>293</v>
      </c>
      <c r="E4403" t="s">
        <v>295</v>
      </c>
      <c r="F4403" s="1">
        <v>2</v>
      </c>
      <c r="G4403" s="1" t="s">
        <v>28</v>
      </c>
      <c r="H4403" s="4" t="str">
        <f>HYPERLINK("https://www.ncbi.nlm.nih.gov/geo/query/acc.cgi?acc=GSM1026847","GSM1026847")</f>
        <v>GSM1026847</v>
      </c>
      <c r="I4403" t="s">
        <v>177</v>
      </c>
      <c r="J4403" t="s">
        <v>178</v>
      </c>
      <c r="K4403" t="s">
        <v>19</v>
      </c>
      <c r="L4403" t="s">
        <v>44</v>
      </c>
      <c r="M4403" t="s">
        <v>44</v>
      </c>
      <c r="N4403" t="s">
        <v>29</v>
      </c>
    </row>
    <row r="4404" spans="1:14">
      <c r="A4404" s="4" t="str">
        <f t="shared" si="426"/>
        <v>EXP00154</v>
      </c>
      <c r="B4404" s="3" t="s">
        <v>66</v>
      </c>
      <c r="C4404" s="4" t="str">
        <f t="shared" si="425"/>
        <v>GSE41874</v>
      </c>
      <c r="D4404" s="1" t="s">
        <v>293</v>
      </c>
      <c r="E4404" t="s">
        <v>295</v>
      </c>
      <c r="F4404" s="1">
        <v>2</v>
      </c>
      <c r="G4404" s="1" t="s">
        <v>28</v>
      </c>
      <c r="H4404" s="4" t="str">
        <f>HYPERLINK("https://www.ncbi.nlm.nih.gov/geo/query/acc.cgi?acc=GSM1026850","GSM1026850")</f>
        <v>GSM1026850</v>
      </c>
      <c r="I4404" t="s">
        <v>177</v>
      </c>
      <c r="J4404" t="s">
        <v>178</v>
      </c>
      <c r="K4404" t="s">
        <v>19</v>
      </c>
      <c r="L4404" t="s">
        <v>44</v>
      </c>
      <c r="M4404" t="s">
        <v>44</v>
      </c>
      <c r="N4404" t="s">
        <v>29</v>
      </c>
    </row>
    <row r="4405" spans="1:14">
      <c r="A4405" s="4" t="str">
        <f t="shared" si="426"/>
        <v>EXP00154</v>
      </c>
      <c r="B4405" s="3" t="s">
        <v>66</v>
      </c>
      <c r="C4405" s="4" t="str">
        <f t="shared" si="425"/>
        <v>GSE41874</v>
      </c>
      <c r="D4405" s="1" t="s">
        <v>293</v>
      </c>
      <c r="E4405" t="s">
        <v>295</v>
      </c>
      <c r="F4405" s="1">
        <v>2</v>
      </c>
      <c r="G4405" s="1" t="s">
        <v>28</v>
      </c>
      <c r="H4405" s="4" t="str">
        <f>HYPERLINK("https://www.ncbi.nlm.nih.gov/geo/query/acc.cgi?acc=GSM1026853","GSM1026853")</f>
        <v>GSM1026853</v>
      </c>
      <c r="I4405" t="s">
        <v>177</v>
      </c>
      <c r="J4405" t="s">
        <v>178</v>
      </c>
      <c r="K4405" t="s">
        <v>19</v>
      </c>
      <c r="L4405" t="s">
        <v>44</v>
      </c>
      <c r="M4405" t="s">
        <v>44</v>
      </c>
      <c r="N4405" t="s">
        <v>29</v>
      </c>
    </row>
    <row r="4406" spans="1:14">
      <c r="A4406" s="4" t="str">
        <f t="shared" ref="A4406:A4432" si="427">HYPERLINK("http://hcmdb.i-sanger.com/experiment/details/experiment_id/EXP00155","EXP00155")</f>
        <v>EXP00155</v>
      </c>
      <c r="B4406" s="4" t="str">
        <f t="shared" ref="B4406:B4437" si="428">HYPERLINK("https://www.ncbi.nlm.nih.gov/pubmed/24564407","24564407")</f>
        <v>24564407</v>
      </c>
      <c r="C4406" s="4" t="str">
        <f t="shared" ref="C4406:C4437" si="429">HYPERLINK("https://www.ncbi.nlm.nih.gov/geo/query/acc.cgi?acc=GSE45114","GSE45114")</f>
        <v>GSE45114</v>
      </c>
      <c r="D4406" s="1" t="s">
        <v>296</v>
      </c>
      <c r="E4406" t="s">
        <v>297</v>
      </c>
      <c r="F4406" s="1">
        <v>1</v>
      </c>
      <c r="G4406" s="1" t="s">
        <v>36</v>
      </c>
      <c r="H4406" s="4" t="str">
        <f>HYPERLINK("https://www.ncbi.nlm.nih.gov/geo/query/acc.cgi?acc=GSM1097020","GSM1097020")</f>
        <v>GSM1097020</v>
      </c>
      <c r="I4406" t="s">
        <v>177</v>
      </c>
      <c r="J4406" t="s">
        <v>178</v>
      </c>
      <c r="K4406" t="s">
        <v>19</v>
      </c>
      <c r="L4406" t="s">
        <v>44</v>
      </c>
      <c r="M4406" t="s">
        <v>51</v>
      </c>
      <c r="N4406" t="s">
        <v>37</v>
      </c>
    </row>
    <row r="4407" spans="1:14">
      <c r="A4407" s="4" t="str">
        <f t="shared" si="427"/>
        <v>EXP00155</v>
      </c>
      <c r="B4407" s="4" t="str">
        <f t="shared" si="428"/>
        <v>24564407</v>
      </c>
      <c r="C4407" s="4" t="str">
        <f t="shared" si="429"/>
        <v>GSE45114</v>
      </c>
      <c r="D4407" s="1" t="s">
        <v>296</v>
      </c>
      <c r="E4407" t="s">
        <v>297</v>
      </c>
      <c r="F4407" s="1">
        <v>1</v>
      </c>
      <c r="G4407" s="1" t="s">
        <v>36</v>
      </c>
      <c r="H4407" s="4" t="str">
        <f>HYPERLINK("https://www.ncbi.nlm.nih.gov/geo/query/acc.cgi?acc=GSM1097024","GSM1097024")</f>
        <v>GSM1097024</v>
      </c>
      <c r="I4407" t="s">
        <v>177</v>
      </c>
      <c r="J4407" t="s">
        <v>178</v>
      </c>
      <c r="K4407" t="s">
        <v>19</v>
      </c>
      <c r="L4407" t="s">
        <v>44</v>
      </c>
      <c r="M4407" t="s">
        <v>51</v>
      </c>
      <c r="N4407" t="s">
        <v>37</v>
      </c>
    </row>
    <row r="4408" spans="1:14">
      <c r="A4408" s="4" t="str">
        <f t="shared" si="427"/>
        <v>EXP00155</v>
      </c>
      <c r="B4408" s="4" t="str">
        <f t="shared" si="428"/>
        <v>24564407</v>
      </c>
      <c r="C4408" s="4" t="str">
        <f t="shared" si="429"/>
        <v>GSE45114</v>
      </c>
      <c r="D4408" s="1" t="s">
        <v>296</v>
      </c>
      <c r="E4408" t="s">
        <v>297</v>
      </c>
      <c r="F4408" s="1">
        <v>1</v>
      </c>
      <c r="G4408" s="1" t="s">
        <v>36</v>
      </c>
      <c r="H4408" s="4" t="str">
        <f>HYPERLINK("https://www.ncbi.nlm.nih.gov/geo/query/acc.cgi?acc=GSM1097026","GSM1097026")</f>
        <v>GSM1097026</v>
      </c>
      <c r="I4408" t="s">
        <v>177</v>
      </c>
      <c r="J4408" t="s">
        <v>178</v>
      </c>
      <c r="K4408" t="s">
        <v>19</v>
      </c>
      <c r="L4408" t="s">
        <v>44</v>
      </c>
      <c r="M4408" t="s">
        <v>51</v>
      </c>
      <c r="N4408" t="s">
        <v>37</v>
      </c>
    </row>
    <row r="4409" spans="1:14">
      <c r="A4409" s="4" t="str">
        <f t="shared" si="427"/>
        <v>EXP00155</v>
      </c>
      <c r="B4409" s="4" t="str">
        <f t="shared" si="428"/>
        <v>24564407</v>
      </c>
      <c r="C4409" s="4" t="str">
        <f t="shared" si="429"/>
        <v>GSE45114</v>
      </c>
      <c r="D4409" s="1" t="s">
        <v>296</v>
      </c>
      <c r="E4409" t="s">
        <v>297</v>
      </c>
      <c r="F4409" s="1">
        <v>1</v>
      </c>
      <c r="G4409" s="1" t="s">
        <v>36</v>
      </c>
      <c r="H4409" s="4" t="str">
        <f>HYPERLINK("https://www.ncbi.nlm.nih.gov/geo/query/acc.cgi?acc=GSM1097028","GSM1097028")</f>
        <v>GSM1097028</v>
      </c>
      <c r="I4409" t="s">
        <v>177</v>
      </c>
      <c r="J4409" t="s">
        <v>178</v>
      </c>
      <c r="K4409" t="s">
        <v>19</v>
      </c>
      <c r="L4409" t="s">
        <v>44</v>
      </c>
      <c r="M4409" t="s">
        <v>51</v>
      </c>
      <c r="N4409" t="s">
        <v>37</v>
      </c>
    </row>
    <row r="4410" spans="1:14">
      <c r="A4410" s="4" t="str">
        <f t="shared" si="427"/>
        <v>EXP00155</v>
      </c>
      <c r="B4410" s="4" t="str">
        <f t="shared" si="428"/>
        <v>24564407</v>
      </c>
      <c r="C4410" s="4" t="str">
        <f t="shared" si="429"/>
        <v>GSE45114</v>
      </c>
      <c r="D4410" s="1" t="s">
        <v>296</v>
      </c>
      <c r="E4410" t="s">
        <v>297</v>
      </c>
      <c r="F4410" s="1">
        <v>1</v>
      </c>
      <c r="G4410" s="1" t="s">
        <v>36</v>
      </c>
      <c r="H4410" s="4" t="str">
        <f>HYPERLINK("https://www.ncbi.nlm.nih.gov/geo/query/acc.cgi?acc=GSM1097032","GSM1097032")</f>
        <v>GSM1097032</v>
      </c>
      <c r="I4410" t="s">
        <v>177</v>
      </c>
      <c r="J4410" t="s">
        <v>178</v>
      </c>
      <c r="K4410" t="s">
        <v>19</v>
      </c>
      <c r="L4410" t="s">
        <v>44</v>
      </c>
      <c r="M4410" t="s">
        <v>51</v>
      </c>
      <c r="N4410" t="s">
        <v>37</v>
      </c>
    </row>
    <row r="4411" spans="1:14">
      <c r="A4411" s="4" t="str">
        <f t="shared" si="427"/>
        <v>EXP00155</v>
      </c>
      <c r="B4411" s="4" t="str">
        <f t="shared" si="428"/>
        <v>24564407</v>
      </c>
      <c r="C4411" s="4" t="str">
        <f t="shared" si="429"/>
        <v>GSE45114</v>
      </c>
      <c r="D4411" s="1" t="s">
        <v>296</v>
      </c>
      <c r="E4411" t="s">
        <v>297</v>
      </c>
      <c r="F4411" s="1">
        <v>1</v>
      </c>
      <c r="G4411" s="1" t="s">
        <v>36</v>
      </c>
      <c r="H4411" s="4" t="str">
        <f>HYPERLINK("https://www.ncbi.nlm.nih.gov/geo/query/acc.cgi?acc=GSM1097034","GSM1097034")</f>
        <v>GSM1097034</v>
      </c>
      <c r="I4411" t="s">
        <v>177</v>
      </c>
      <c r="J4411" t="s">
        <v>178</v>
      </c>
      <c r="K4411" t="s">
        <v>19</v>
      </c>
      <c r="L4411" t="s">
        <v>44</v>
      </c>
      <c r="M4411" t="s">
        <v>51</v>
      </c>
      <c r="N4411" t="s">
        <v>37</v>
      </c>
    </row>
    <row r="4412" spans="1:14">
      <c r="A4412" s="4" t="str">
        <f t="shared" si="427"/>
        <v>EXP00155</v>
      </c>
      <c r="B4412" s="4" t="str">
        <f t="shared" si="428"/>
        <v>24564407</v>
      </c>
      <c r="C4412" s="4" t="str">
        <f t="shared" si="429"/>
        <v>GSE45114</v>
      </c>
      <c r="D4412" s="1" t="s">
        <v>296</v>
      </c>
      <c r="E4412" t="s">
        <v>297</v>
      </c>
      <c r="F4412" s="1">
        <v>1</v>
      </c>
      <c r="G4412" s="1" t="s">
        <v>36</v>
      </c>
      <c r="H4412" s="4" t="str">
        <f>HYPERLINK("https://www.ncbi.nlm.nih.gov/geo/query/acc.cgi?acc=GSM1097041","GSM1097041")</f>
        <v>GSM1097041</v>
      </c>
      <c r="I4412" t="s">
        <v>177</v>
      </c>
      <c r="J4412" t="s">
        <v>178</v>
      </c>
      <c r="K4412" t="s">
        <v>19</v>
      </c>
      <c r="L4412" t="s">
        <v>44</v>
      </c>
      <c r="M4412" t="s">
        <v>51</v>
      </c>
      <c r="N4412" t="s">
        <v>37</v>
      </c>
    </row>
    <row r="4413" spans="1:14">
      <c r="A4413" s="4" t="str">
        <f t="shared" si="427"/>
        <v>EXP00155</v>
      </c>
      <c r="B4413" s="4" t="str">
        <f t="shared" si="428"/>
        <v>24564407</v>
      </c>
      <c r="C4413" s="4" t="str">
        <f t="shared" si="429"/>
        <v>GSE45114</v>
      </c>
      <c r="D4413" s="1" t="s">
        <v>296</v>
      </c>
      <c r="E4413" t="s">
        <v>297</v>
      </c>
      <c r="F4413" s="1">
        <v>1</v>
      </c>
      <c r="G4413" s="1" t="s">
        <v>36</v>
      </c>
      <c r="H4413" s="4" t="str">
        <f>HYPERLINK("https://www.ncbi.nlm.nih.gov/geo/query/acc.cgi?acc=GSM1097043","GSM1097043")</f>
        <v>GSM1097043</v>
      </c>
      <c r="I4413" t="s">
        <v>177</v>
      </c>
      <c r="J4413" t="s">
        <v>178</v>
      </c>
      <c r="K4413" t="s">
        <v>19</v>
      </c>
      <c r="L4413" t="s">
        <v>44</v>
      </c>
      <c r="M4413" t="s">
        <v>51</v>
      </c>
      <c r="N4413" t="s">
        <v>37</v>
      </c>
    </row>
    <row r="4414" spans="1:14">
      <c r="A4414" s="4" t="str">
        <f t="shared" si="427"/>
        <v>EXP00155</v>
      </c>
      <c r="B4414" s="4" t="str">
        <f t="shared" si="428"/>
        <v>24564407</v>
      </c>
      <c r="C4414" s="4" t="str">
        <f t="shared" si="429"/>
        <v>GSE45114</v>
      </c>
      <c r="D4414" s="1" t="s">
        <v>296</v>
      </c>
      <c r="E4414" t="s">
        <v>297</v>
      </c>
      <c r="F4414" s="1">
        <v>1</v>
      </c>
      <c r="G4414" s="1" t="s">
        <v>36</v>
      </c>
      <c r="H4414" s="4" t="str">
        <f>HYPERLINK("https://www.ncbi.nlm.nih.gov/geo/query/acc.cgi?acc=GSM1097047","GSM1097047")</f>
        <v>GSM1097047</v>
      </c>
      <c r="I4414" t="s">
        <v>177</v>
      </c>
      <c r="J4414" t="s">
        <v>178</v>
      </c>
      <c r="K4414" t="s">
        <v>19</v>
      </c>
      <c r="L4414" t="s">
        <v>44</v>
      </c>
      <c r="M4414" t="s">
        <v>51</v>
      </c>
      <c r="N4414" t="s">
        <v>37</v>
      </c>
    </row>
    <row r="4415" spans="1:14">
      <c r="A4415" s="4" t="str">
        <f t="shared" si="427"/>
        <v>EXP00155</v>
      </c>
      <c r="B4415" s="4" t="str">
        <f t="shared" si="428"/>
        <v>24564407</v>
      </c>
      <c r="C4415" s="4" t="str">
        <f t="shared" si="429"/>
        <v>GSE45114</v>
      </c>
      <c r="D4415" s="1" t="s">
        <v>296</v>
      </c>
      <c r="E4415" t="s">
        <v>297</v>
      </c>
      <c r="F4415" s="1">
        <v>1</v>
      </c>
      <c r="G4415" s="1" t="s">
        <v>36</v>
      </c>
      <c r="H4415" s="4" t="str">
        <f>HYPERLINK("https://www.ncbi.nlm.nih.gov/geo/query/acc.cgi?acc=GSM1097049","GSM1097049")</f>
        <v>GSM1097049</v>
      </c>
      <c r="I4415" t="s">
        <v>177</v>
      </c>
      <c r="J4415" t="s">
        <v>178</v>
      </c>
      <c r="K4415" t="s">
        <v>19</v>
      </c>
      <c r="L4415" t="s">
        <v>44</v>
      </c>
      <c r="M4415" t="s">
        <v>51</v>
      </c>
      <c r="N4415" t="s">
        <v>37</v>
      </c>
    </row>
    <row r="4416" spans="1:14">
      <c r="A4416" s="4" t="str">
        <f t="shared" si="427"/>
        <v>EXP00155</v>
      </c>
      <c r="B4416" s="4" t="str">
        <f t="shared" si="428"/>
        <v>24564407</v>
      </c>
      <c r="C4416" s="4" t="str">
        <f t="shared" si="429"/>
        <v>GSE45114</v>
      </c>
      <c r="D4416" s="1" t="s">
        <v>296</v>
      </c>
      <c r="E4416" t="s">
        <v>297</v>
      </c>
      <c r="F4416" s="1">
        <v>1</v>
      </c>
      <c r="G4416" s="1" t="s">
        <v>36</v>
      </c>
      <c r="H4416" s="4" t="str">
        <f>HYPERLINK("https://www.ncbi.nlm.nih.gov/geo/query/acc.cgi?acc=GSM1097051","GSM1097051")</f>
        <v>GSM1097051</v>
      </c>
      <c r="I4416" t="s">
        <v>177</v>
      </c>
      <c r="J4416" t="s">
        <v>178</v>
      </c>
      <c r="K4416" t="s">
        <v>19</v>
      </c>
      <c r="L4416" t="s">
        <v>44</v>
      </c>
      <c r="M4416" t="s">
        <v>51</v>
      </c>
      <c r="N4416" t="s">
        <v>37</v>
      </c>
    </row>
    <row r="4417" spans="1:14">
      <c r="A4417" s="4" t="str">
        <f t="shared" si="427"/>
        <v>EXP00155</v>
      </c>
      <c r="B4417" s="4" t="str">
        <f t="shared" si="428"/>
        <v>24564407</v>
      </c>
      <c r="C4417" s="4" t="str">
        <f t="shared" si="429"/>
        <v>GSE45114</v>
      </c>
      <c r="D4417" s="1" t="s">
        <v>296</v>
      </c>
      <c r="E4417" t="s">
        <v>297</v>
      </c>
      <c r="F4417" s="1">
        <v>1</v>
      </c>
      <c r="G4417" s="1" t="s">
        <v>36</v>
      </c>
      <c r="H4417" s="4" t="str">
        <f>HYPERLINK("https://www.ncbi.nlm.nih.gov/geo/query/acc.cgi?acc=GSM1097054","GSM1097054")</f>
        <v>GSM1097054</v>
      </c>
      <c r="I4417" t="s">
        <v>177</v>
      </c>
      <c r="J4417" t="s">
        <v>178</v>
      </c>
      <c r="K4417" t="s">
        <v>19</v>
      </c>
      <c r="L4417" t="s">
        <v>44</v>
      </c>
      <c r="M4417" t="s">
        <v>51</v>
      </c>
      <c r="N4417" t="s">
        <v>37</v>
      </c>
    </row>
    <row r="4418" spans="1:14">
      <c r="A4418" s="4" t="str">
        <f t="shared" si="427"/>
        <v>EXP00155</v>
      </c>
      <c r="B4418" s="4" t="str">
        <f t="shared" si="428"/>
        <v>24564407</v>
      </c>
      <c r="C4418" s="4" t="str">
        <f t="shared" si="429"/>
        <v>GSE45114</v>
      </c>
      <c r="D4418" s="1" t="s">
        <v>296</v>
      </c>
      <c r="E4418" t="s">
        <v>297</v>
      </c>
      <c r="F4418" s="1">
        <v>1</v>
      </c>
      <c r="G4418" s="1" t="s">
        <v>36</v>
      </c>
      <c r="H4418" s="4" t="str">
        <f>HYPERLINK("https://www.ncbi.nlm.nih.gov/geo/query/acc.cgi?acc=GSM1097060","GSM1097060")</f>
        <v>GSM1097060</v>
      </c>
      <c r="I4418" t="s">
        <v>177</v>
      </c>
      <c r="J4418" t="s">
        <v>178</v>
      </c>
      <c r="K4418" t="s">
        <v>19</v>
      </c>
      <c r="L4418" t="s">
        <v>44</v>
      </c>
      <c r="M4418" t="s">
        <v>51</v>
      </c>
      <c r="N4418" t="s">
        <v>37</v>
      </c>
    </row>
    <row r="4419" spans="1:14">
      <c r="A4419" s="4" t="str">
        <f t="shared" si="427"/>
        <v>EXP00155</v>
      </c>
      <c r="B4419" s="4" t="str">
        <f t="shared" si="428"/>
        <v>24564407</v>
      </c>
      <c r="C4419" s="4" t="str">
        <f t="shared" si="429"/>
        <v>GSE45114</v>
      </c>
      <c r="D4419" s="1" t="s">
        <v>296</v>
      </c>
      <c r="E4419" t="s">
        <v>297</v>
      </c>
      <c r="F4419" s="1">
        <v>1</v>
      </c>
      <c r="G4419" s="1" t="s">
        <v>36</v>
      </c>
      <c r="H4419" s="4" t="str">
        <f>HYPERLINK("https://www.ncbi.nlm.nih.gov/geo/query/acc.cgi?acc=GSM1097062","GSM1097062")</f>
        <v>GSM1097062</v>
      </c>
      <c r="I4419" t="s">
        <v>177</v>
      </c>
      <c r="J4419" t="s">
        <v>178</v>
      </c>
      <c r="K4419" t="s">
        <v>19</v>
      </c>
      <c r="L4419" t="s">
        <v>44</v>
      </c>
      <c r="M4419" t="s">
        <v>51</v>
      </c>
      <c r="N4419" t="s">
        <v>37</v>
      </c>
    </row>
    <row r="4420" spans="1:14">
      <c r="A4420" s="4" t="str">
        <f t="shared" si="427"/>
        <v>EXP00155</v>
      </c>
      <c r="B4420" s="4" t="str">
        <f t="shared" si="428"/>
        <v>24564407</v>
      </c>
      <c r="C4420" s="4" t="str">
        <f t="shared" si="429"/>
        <v>GSE45114</v>
      </c>
      <c r="D4420" s="1" t="s">
        <v>296</v>
      </c>
      <c r="E4420" t="s">
        <v>297</v>
      </c>
      <c r="F4420" s="1">
        <v>2</v>
      </c>
      <c r="G4420" s="1" t="s">
        <v>28</v>
      </c>
      <c r="H4420" s="4" t="str">
        <f>HYPERLINK("https://www.ncbi.nlm.nih.gov/geo/query/acc.cgi?acc=GSM1097019","GSM1097019")</f>
        <v>GSM1097019</v>
      </c>
      <c r="I4420" t="s">
        <v>177</v>
      </c>
      <c r="J4420" t="s">
        <v>178</v>
      </c>
      <c r="K4420" t="s">
        <v>19</v>
      </c>
      <c r="L4420" t="s">
        <v>44</v>
      </c>
      <c r="M4420" t="s">
        <v>51</v>
      </c>
      <c r="N4420" t="s">
        <v>29</v>
      </c>
    </row>
    <row r="4421" spans="1:14">
      <c r="A4421" s="4" t="str">
        <f t="shared" si="427"/>
        <v>EXP00155</v>
      </c>
      <c r="B4421" s="4" t="str">
        <f t="shared" si="428"/>
        <v>24564407</v>
      </c>
      <c r="C4421" s="4" t="str">
        <f t="shared" si="429"/>
        <v>GSE45114</v>
      </c>
      <c r="D4421" s="1" t="s">
        <v>296</v>
      </c>
      <c r="E4421" t="s">
        <v>297</v>
      </c>
      <c r="F4421" s="1">
        <v>2</v>
      </c>
      <c r="G4421" s="1" t="s">
        <v>28</v>
      </c>
      <c r="H4421" s="4" t="str">
        <f>HYPERLINK("https://www.ncbi.nlm.nih.gov/geo/query/acc.cgi?acc=GSM1097023","GSM1097023")</f>
        <v>GSM1097023</v>
      </c>
      <c r="I4421" t="s">
        <v>177</v>
      </c>
      <c r="J4421" t="s">
        <v>178</v>
      </c>
      <c r="K4421" t="s">
        <v>19</v>
      </c>
      <c r="L4421" t="s">
        <v>44</v>
      </c>
      <c r="M4421" t="s">
        <v>51</v>
      </c>
      <c r="N4421" t="s">
        <v>29</v>
      </c>
    </row>
    <row r="4422" spans="1:14">
      <c r="A4422" s="4" t="str">
        <f t="shared" si="427"/>
        <v>EXP00155</v>
      </c>
      <c r="B4422" s="4" t="str">
        <f t="shared" si="428"/>
        <v>24564407</v>
      </c>
      <c r="C4422" s="4" t="str">
        <f t="shared" si="429"/>
        <v>GSE45114</v>
      </c>
      <c r="D4422" s="1" t="s">
        <v>296</v>
      </c>
      <c r="E4422" t="s">
        <v>297</v>
      </c>
      <c r="F4422" s="1">
        <v>2</v>
      </c>
      <c r="G4422" s="1" t="s">
        <v>28</v>
      </c>
      <c r="H4422" s="4" t="str">
        <f>HYPERLINK("https://www.ncbi.nlm.nih.gov/geo/query/acc.cgi?acc=GSM1097025","GSM1097025")</f>
        <v>GSM1097025</v>
      </c>
      <c r="I4422" t="s">
        <v>177</v>
      </c>
      <c r="J4422" t="s">
        <v>178</v>
      </c>
      <c r="K4422" t="s">
        <v>19</v>
      </c>
      <c r="L4422" t="s">
        <v>44</v>
      </c>
      <c r="M4422" t="s">
        <v>51</v>
      </c>
      <c r="N4422" t="s">
        <v>29</v>
      </c>
    </row>
    <row r="4423" spans="1:14">
      <c r="A4423" s="4" t="str">
        <f t="shared" si="427"/>
        <v>EXP00155</v>
      </c>
      <c r="B4423" s="4" t="str">
        <f t="shared" si="428"/>
        <v>24564407</v>
      </c>
      <c r="C4423" s="4" t="str">
        <f t="shared" si="429"/>
        <v>GSE45114</v>
      </c>
      <c r="D4423" s="1" t="s">
        <v>296</v>
      </c>
      <c r="E4423" t="s">
        <v>297</v>
      </c>
      <c r="F4423" s="1">
        <v>2</v>
      </c>
      <c r="G4423" s="1" t="s">
        <v>28</v>
      </c>
      <c r="H4423" s="4" t="str">
        <f>HYPERLINK("https://www.ncbi.nlm.nih.gov/geo/query/acc.cgi?acc=GSM1097027","GSM1097027")</f>
        <v>GSM1097027</v>
      </c>
      <c r="I4423" t="s">
        <v>177</v>
      </c>
      <c r="J4423" t="s">
        <v>178</v>
      </c>
      <c r="K4423" t="s">
        <v>19</v>
      </c>
      <c r="L4423" t="s">
        <v>44</v>
      </c>
      <c r="M4423" t="s">
        <v>51</v>
      </c>
      <c r="N4423" t="s">
        <v>29</v>
      </c>
    </row>
    <row r="4424" spans="1:14">
      <c r="A4424" s="4" t="str">
        <f t="shared" si="427"/>
        <v>EXP00155</v>
      </c>
      <c r="B4424" s="4" t="str">
        <f t="shared" si="428"/>
        <v>24564407</v>
      </c>
      <c r="C4424" s="4" t="str">
        <f t="shared" si="429"/>
        <v>GSE45114</v>
      </c>
      <c r="D4424" s="1" t="s">
        <v>296</v>
      </c>
      <c r="E4424" t="s">
        <v>297</v>
      </c>
      <c r="F4424" s="1">
        <v>2</v>
      </c>
      <c r="G4424" s="1" t="s">
        <v>28</v>
      </c>
      <c r="H4424" s="4" t="str">
        <f>HYPERLINK("https://www.ncbi.nlm.nih.gov/geo/query/acc.cgi?acc=GSM1097033","GSM1097033")</f>
        <v>GSM1097033</v>
      </c>
      <c r="I4424" t="s">
        <v>177</v>
      </c>
      <c r="J4424" t="s">
        <v>178</v>
      </c>
      <c r="K4424" t="s">
        <v>19</v>
      </c>
      <c r="L4424" t="s">
        <v>44</v>
      </c>
      <c r="M4424" t="s">
        <v>51</v>
      </c>
      <c r="N4424" t="s">
        <v>29</v>
      </c>
    </row>
    <row r="4425" spans="1:14">
      <c r="A4425" s="4" t="str">
        <f t="shared" si="427"/>
        <v>EXP00155</v>
      </c>
      <c r="B4425" s="4" t="str">
        <f t="shared" si="428"/>
        <v>24564407</v>
      </c>
      <c r="C4425" s="4" t="str">
        <f t="shared" si="429"/>
        <v>GSE45114</v>
      </c>
      <c r="D4425" s="1" t="s">
        <v>296</v>
      </c>
      <c r="E4425" t="s">
        <v>297</v>
      </c>
      <c r="F4425" s="1">
        <v>2</v>
      </c>
      <c r="G4425" s="1" t="s">
        <v>28</v>
      </c>
      <c r="H4425" s="4" t="str">
        <f>HYPERLINK("https://www.ncbi.nlm.nih.gov/geo/query/acc.cgi?acc=GSM1097040","GSM1097040")</f>
        <v>GSM1097040</v>
      </c>
      <c r="I4425" t="s">
        <v>177</v>
      </c>
      <c r="J4425" t="s">
        <v>178</v>
      </c>
      <c r="K4425" t="s">
        <v>19</v>
      </c>
      <c r="L4425" t="s">
        <v>44</v>
      </c>
      <c r="M4425" t="s">
        <v>51</v>
      </c>
      <c r="N4425" t="s">
        <v>29</v>
      </c>
    </row>
    <row r="4426" spans="1:14">
      <c r="A4426" s="4" t="str">
        <f t="shared" si="427"/>
        <v>EXP00155</v>
      </c>
      <c r="B4426" s="4" t="str">
        <f t="shared" si="428"/>
        <v>24564407</v>
      </c>
      <c r="C4426" s="4" t="str">
        <f t="shared" si="429"/>
        <v>GSE45114</v>
      </c>
      <c r="D4426" s="1" t="s">
        <v>296</v>
      </c>
      <c r="E4426" t="s">
        <v>297</v>
      </c>
      <c r="F4426" s="1">
        <v>2</v>
      </c>
      <c r="G4426" s="1" t="s">
        <v>28</v>
      </c>
      <c r="H4426" s="4" t="str">
        <f>HYPERLINK("https://www.ncbi.nlm.nih.gov/geo/query/acc.cgi?acc=GSM1097042","GSM1097042")</f>
        <v>GSM1097042</v>
      </c>
      <c r="I4426" t="s">
        <v>177</v>
      </c>
      <c r="J4426" t="s">
        <v>178</v>
      </c>
      <c r="K4426" t="s">
        <v>19</v>
      </c>
      <c r="L4426" t="s">
        <v>44</v>
      </c>
      <c r="M4426" t="s">
        <v>51</v>
      </c>
      <c r="N4426" t="s">
        <v>29</v>
      </c>
    </row>
    <row r="4427" spans="1:14">
      <c r="A4427" s="4" t="str">
        <f t="shared" si="427"/>
        <v>EXP00155</v>
      </c>
      <c r="B4427" s="4" t="str">
        <f t="shared" si="428"/>
        <v>24564407</v>
      </c>
      <c r="C4427" s="4" t="str">
        <f t="shared" si="429"/>
        <v>GSE45114</v>
      </c>
      <c r="D4427" s="1" t="s">
        <v>296</v>
      </c>
      <c r="E4427" t="s">
        <v>297</v>
      </c>
      <c r="F4427" s="1">
        <v>2</v>
      </c>
      <c r="G4427" s="1" t="s">
        <v>28</v>
      </c>
      <c r="H4427" s="4" t="str">
        <f>HYPERLINK("https://www.ncbi.nlm.nih.gov/geo/query/acc.cgi?acc=GSM1097046","GSM1097046")</f>
        <v>GSM1097046</v>
      </c>
      <c r="I4427" t="s">
        <v>177</v>
      </c>
      <c r="J4427" t="s">
        <v>178</v>
      </c>
      <c r="K4427" t="s">
        <v>19</v>
      </c>
      <c r="L4427" t="s">
        <v>44</v>
      </c>
      <c r="M4427" t="s">
        <v>51</v>
      </c>
      <c r="N4427" t="s">
        <v>29</v>
      </c>
    </row>
    <row r="4428" spans="1:14">
      <c r="A4428" s="4" t="str">
        <f t="shared" si="427"/>
        <v>EXP00155</v>
      </c>
      <c r="B4428" s="4" t="str">
        <f t="shared" si="428"/>
        <v>24564407</v>
      </c>
      <c r="C4428" s="4" t="str">
        <f t="shared" si="429"/>
        <v>GSE45114</v>
      </c>
      <c r="D4428" s="1" t="s">
        <v>296</v>
      </c>
      <c r="E4428" t="s">
        <v>297</v>
      </c>
      <c r="F4428" s="1">
        <v>2</v>
      </c>
      <c r="G4428" s="1" t="s">
        <v>28</v>
      </c>
      <c r="H4428" s="4" t="str">
        <f>HYPERLINK("https://www.ncbi.nlm.nih.gov/geo/query/acc.cgi?acc=GSM1097048","GSM1097048")</f>
        <v>GSM1097048</v>
      </c>
      <c r="I4428" t="s">
        <v>177</v>
      </c>
      <c r="J4428" t="s">
        <v>178</v>
      </c>
      <c r="K4428" t="s">
        <v>19</v>
      </c>
      <c r="L4428" t="s">
        <v>44</v>
      </c>
      <c r="M4428" t="s">
        <v>51</v>
      </c>
      <c r="N4428" t="s">
        <v>29</v>
      </c>
    </row>
    <row r="4429" spans="1:14">
      <c r="A4429" s="4" t="str">
        <f t="shared" si="427"/>
        <v>EXP00155</v>
      </c>
      <c r="B4429" s="4" t="str">
        <f t="shared" si="428"/>
        <v>24564407</v>
      </c>
      <c r="C4429" s="4" t="str">
        <f t="shared" si="429"/>
        <v>GSE45114</v>
      </c>
      <c r="D4429" s="1" t="s">
        <v>296</v>
      </c>
      <c r="E4429" t="s">
        <v>297</v>
      </c>
      <c r="F4429" s="1">
        <v>2</v>
      </c>
      <c r="G4429" s="1" t="s">
        <v>28</v>
      </c>
      <c r="H4429" s="4" t="str">
        <f>HYPERLINK("https://www.ncbi.nlm.nih.gov/geo/query/acc.cgi?acc=GSM1097050","GSM1097050")</f>
        <v>GSM1097050</v>
      </c>
      <c r="I4429" t="s">
        <v>177</v>
      </c>
      <c r="J4429" t="s">
        <v>178</v>
      </c>
      <c r="K4429" t="s">
        <v>19</v>
      </c>
      <c r="L4429" t="s">
        <v>44</v>
      </c>
      <c r="M4429" t="s">
        <v>51</v>
      </c>
      <c r="N4429" t="s">
        <v>29</v>
      </c>
    </row>
    <row r="4430" spans="1:14">
      <c r="A4430" s="4" t="str">
        <f t="shared" si="427"/>
        <v>EXP00155</v>
      </c>
      <c r="B4430" s="4" t="str">
        <f t="shared" si="428"/>
        <v>24564407</v>
      </c>
      <c r="C4430" s="4" t="str">
        <f t="shared" si="429"/>
        <v>GSE45114</v>
      </c>
      <c r="D4430" s="1" t="s">
        <v>296</v>
      </c>
      <c r="E4430" t="s">
        <v>297</v>
      </c>
      <c r="F4430" s="1">
        <v>2</v>
      </c>
      <c r="G4430" s="1" t="s">
        <v>28</v>
      </c>
      <c r="H4430" s="4" t="str">
        <f>HYPERLINK("https://www.ncbi.nlm.nih.gov/geo/query/acc.cgi?acc=GSM1097052","GSM1097052")</f>
        <v>GSM1097052</v>
      </c>
      <c r="I4430" t="s">
        <v>177</v>
      </c>
      <c r="J4430" t="s">
        <v>178</v>
      </c>
      <c r="K4430" t="s">
        <v>19</v>
      </c>
      <c r="L4430" t="s">
        <v>44</v>
      </c>
      <c r="M4430" t="s">
        <v>51</v>
      </c>
      <c r="N4430" t="s">
        <v>29</v>
      </c>
    </row>
    <row r="4431" spans="1:14">
      <c r="A4431" s="4" t="str">
        <f t="shared" si="427"/>
        <v>EXP00155</v>
      </c>
      <c r="B4431" s="4" t="str">
        <f t="shared" si="428"/>
        <v>24564407</v>
      </c>
      <c r="C4431" s="4" t="str">
        <f t="shared" si="429"/>
        <v>GSE45114</v>
      </c>
      <c r="D4431" s="1" t="s">
        <v>296</v>
      </c>
      <c r="E4431" t="s">
        <v>297</v>
      </c>
      <c r="F4431" s="1">
        <v>2</v>
      </c>
      <c r="G4431" s="1" t="s">
        <v>28</v>
      </c>
      <c r="H4431" s="4" t="str">
        <f>HYPERLINK("https://www.ncbi.nlm.nih.gov/geo/query/acc.cgi?acc=GSM1097059","GSM1097059")</f>
        <v>GSM1097059</v>
      </c>
      <c r="I4431" t="s">
        <v>177</v>
      </c>
      <c r="J4431" t="s">
        <v>178</v>
      </c>
      <c r="K4431" t="s">
        <v>19</v>
      </c>
      <c r="L4431" t="s">
        <v>44</v>
      </c>
      <c r="M4431" t="s">
        <v>51</v>
      </c>
      <c r="N4431" t="s">
        <v>29</v>
      </c>
    </row>
    <row r="4432" spans="1:14">
      <c r="A4432" s="4" t="str">
        <f t="shared" si="427"/>
        <v>EXP00155</v>
      </c>
      <c r="B4432" s="4" t="str">
        <f t="shared" si="428"/>
        <v>24564407</v>
      </c>
      <c r="C4432" s="4" t="str">
        <f t="shared" si="429"/>
        <v>GSE45114</v>
      </c>
      <c r="D4432" s="1" t="s">
        <v>296</v>
      </c>
      <c r="E4432" t="s">
        <v>297</v>
      </c>
      <c r="F4432" s="1">
        <v>2</v>
      </c>
      <c r="G4432" s="1" t="s">
        <v>28</v>
      </c>
      <c r="H4432" s="4" t="str">
        <f>HYPERLINK("https://www.ncbi.nlm.nih.gov/geo/query/acc.cgi?acc=GSM1097061","GSM1097061")</f>
        <v>GSM1097061</v>
      </c>
      <c r="I4432" t="s">
        <v>177</v>
      </c>
      <c r="J4432" t="s">
        <v>178</v>
      </c>
      <c r="K4432" t="s">
        <v>19</v>
      </c>
      <c r="L4432" t="s">
        <v>44</v>
      </c>
      <c r="M4432" t="s">
        <v>51</v>
      </c>
      <c r="N4432" t="s">
        <v>29</v>
      </c>
    </row>
    <row r="4433" spans="1:14">
      <c r="A4433" s="4" t="str">
        <f t="shared" ref="A4433:A4456" si="430">HYPERLINK("http://hcmdb.i-sanger.com/experiment/details/experiment_id/EXP00156","EXP00156")</f>
        <v>EXP00156</v>
      </c>
      <c r="B4433" s="4" t="str">
        <f t="shared" si="428"/>
        <v>24564407</v>
      </c>
      <c r="C4433" s="4" t="str">
        <f t="shared" si="429"/>
        <v>GSE45114</v>
      </c>
      <c r="D4433" s="1" t="s">
        <v>296</v>
      </c>
      <c r="E4433" t="s">
        <v>179</v>
      </c>
      <c r="F4433" s="1">
        <v>1</v>
      </c>
      <c r="G4433" s="1" t="s">
        <v>31</v>
      </c>
      <c r="H4433" s="4" t="str">
        <f>HYPERLINK("https://www.ncbi.nlm.nih.gov/geo/query/acc.cgi?acc=GSM1097019","GSM1097019")</f>
        <v>GSM1097019</v>
      </c>
      <c r="I4433" t="s">
        <v>177</v>
      </c>
      <c r="J4433" t="s">
        <v>178</v>
      </c>
      <c r="K4433" t="s">
        <v>19</v>
      </c>
      <c r="L4433" t="s">
        <v>44</v>
      </c>
      <c r="M4433" t="s">
        <v>51</v>
      </c>
      <c r="N4433" t="s">
        <v>29</v>
      </c>
    </row>
    <row r="4434" spans="1:14">
      <c r="A4434" s="4" t="str">
        <f t="shared" si="430"/>
        <v>EXP00156</v>
      </c>
      <c r="B4434" s="4" t="str">
        <f t="shared" si="428"/>
        <v>24564407</v>
      </c>
      <c r="C4434" s="4" t="str">
        <f t="shared" si="429"/>
        <v>GSE45114</v>
      </c>
      <c r="D4434" s="1" t="s">
        <v>296</v>
      </c>
      <c r="E4434" t="s">
        <v>179</v>
      </c>
      <c r="F4434" s="1">
        <v>1</v>
      </c>
      <c r="G4434" s="1" t="s">
        <v>31</v>
      </c>
      <c r="H4434" s="4" t="str">
        <f>HYPERLINK("https://www.ncbi.nlm.nih.gov/geo/query/acc.cgi?acc=GSM1097023","GSM1097023")</f>
        <v>GSM1097023</v>
      </c>
      <c r="I4434" t="s">
        <v>177</v>
      </c>
      <c r="J4434" t="s">
        <v>178</v>
      </c>
      <c r="K4434" t="s">
        <v>19</v>
      </c>
      <c r="L4434" t="s">
        <v>44</v>
      </c>
      <c r="M4434" t="s">
        <v>51</v>
      </c>
      <c r="N4434" t="s">
        <v>29</v>
      </c>
    </row>
    <row r="4435" spans="1:14">
      <c r="A4435" s="4" t="str">
        <f t="shared" si="430"/>
        <v>EXP00156</v>
      </c>
      <c r="B4435" s="4" t="str">
        <f t="shared" si="428"/>
        <v>24564407</v>
      </c>
      <c r="C4435" s="4" t="str">
        <f t="shared" si="429"/>
        <v>GSE45114</v>
      </c>
      <c r="D4435" s="1" t="s">
        <v>296</v>
      </c>
      <c r="E4435" t="s">
        <v>179</v>
      </c>
      <c r="F4435" s="1">
        <v>1</v>
      </c>
      <c r="G4435" s="1" t="s">
        <v>31</v>
      </c>
      <c r="H4435" s="4" t="str">
        <f>HYPERLINK("https://www.ncbi.nlm.nih.gov/geo/query/acc.cgi?acc=GSM1097025","GSM1097025")</f>
        <v>GSM1097025</v>
      </c>
      <c r="I4435" t="s">
        <v>177</v>
      </c>
      <c r="J4435" t="s">
        <v>178</v>
      </c>
      <c r="K4435" t="s">
        <v>19</v>
      </c>
      <c r="L4435" t="s">
        <v>44</v>
      </c>
      <c r="M4435" t="s">
        <v>51</v>
      </c>
      <c r="N4435" t="s">
        <v>29</v>
      </c>
    </row>
    <row r="4436" spans="1:14">
      <c r="A4436" s="4" t="str">
        <f t="shared" si="430"/>
        <v>EXP00156</v>
      </c>
      <c r="B4436" s="4" t="str">
        <f t="shared" si="428"/>
        <v>24564407</v>
      </c>
      <c r="C4436" s="4" t="str">
        <f t="shared" si="429"/>
        <v>GSE45114</v>
      </c>
      <c r="D4436" s="1" t="s">
        <v>296</v>
      </c>
      <c r="E4436" t="s">
        <v>179</v>
      </c>
      <c r="F4436" s="1">
        <v>1</v>
      </c>
      <c r="G4436" s="1" t="s">
        <v>31</v>
      </c>
      <c r="H4436" s="4" t="str">
        <f>HYPERLINK("https://www.ncbi.nlm.nih.gov/geo/query/acc.cgi?acc=GSM1097027","GSM1097027")</f>
        <v>GSM1097027</v>
      </c>
      <c r="I4436" t="s">
        <v>177</v>
      </c>
      <c r="J4436" t="s">
        <v>178</v>
      </c>
      <c r="K4436" t="s">
        <v>19</v>
      </c>
      <c r="L4436" t="s">
        <v>44</v>
      </c>
      <c r="M4436" t="s">
        <v>51</v>
      </c>
      <c r="N4436" t="s">
        <v>29</v>
      </c>
    </row>
    <row r="4437" spans="1:14">
      <c r="A4437" s="4" t="str">
        <f t="shared" si="430"/>
        <v>EXP00156</v>
      </c>
      <c r="B4437" s="4" t="str">
        <f t="shared" si="428"/>
        <v>24564407</v>
      </c>
      <c r="C4437" s="4" t="str">
        <f t="shared" si="429"/>
        <v>GSE45114</v>
      </c>
      <c r="D4437" s="1" t="s">
        <v>296</v>
      </c>
      <c r="E4437" t="s">
        <v>179</v>
      </c>
      <c r="F4437" s="1">
        <v>1</v>
      </c>
      <c r="G4437" s="1" t="s">
        <v>31</v>
      </c>
      <c r="H4437" s="4" t="str">
        <f>HYPERLINK("https://www.ncbi.nlm.nih.gov/geo/query/acc.cgi?acc=GSM1097033","GSM1097033")</f>
        <v>GSM1097033</v>
      </c>
      <c r="I4437" t="s">
        <v>177</v>
      </c>
      <c r="J4437" t="s">
        <v>178</v>
      </c>
      <c r="K4437" t="s">
        <v>19</v>
      </c>
      <c r="L4437" t="s">
        <v>44</v>
      </c>
      <c r="M4437" t="s">
        <v>51</v>
      </c>
      <c r="N4437" t="s">
        <v>29</v>
      </c>
    </row>
    <row r="4438" spans="1:14">
      <c r="A4438" s="4" t="str">
        <f t="shared" si="430"/>
        <v>EXP00156</v>
      </c>
      <c r="B4438" s="4" t="str">
        <f t="shared" ref="B4438:B4469" si="431">HYPERLINK("https://www.ncbi.nlm.nih.gov/pubmed/24564407","24564407")</f>
        <v>24564407</v>
      </c>
      <c r="C4438" s="4" t="str">
        <f t="shared" ref="C4438:C4469" si="432">HYPERLINK("https://www.ncbi.nlm.nih.gov/geo/query/acc.cgi?acc=GSE45114","GSE45114")</f>
        <v>GSE45114</v>
      </c>
      <c r="D4438" s="1" t="s">
        <v>296</v>
      </c>
      <c r="E4438" t="s">
        <v>179</v>
      </c>
      <c r="F4438" s="1">
        <v>1</v>
      </c>
      <c r="G4438" s="1" t="s">
        <v>31</v>
      </c>
      <c r="H4438" s="4" t="str">
        <f>HYPERLINK("https://www.ncbi.nlm.nih.gov/geo/query/acc.cgi?acc=GSM1097040","GSM1097040")</f>
        <v>GSM1097040</v>
      </c>
      <c r="I4438" t="s">
        <v>177</v>
      </c>
      <c r="J4438" t="s">
        <v>178</v>
      </c>
      <c r="K4438" t="s">
        <v>19</v>
      </c>
      <c r="L4438" t="s">
        <v>44</v>
      </c>
      <c r="M4438" t="s">
        <v>51</v>
      </c>
      <c r="N4438" t="s">
        <v>29</v>
      </c>
    </row>
    <row r="4439" spans="1:14">
      <c r="A4439" s="4" t="str">
        <f t="shared" si="430"/>
        <v>EXP00156</v>
      </c>
      <c r="B4439" s="4" t="str">
        <f t="shared" si="431"/>
        <v>24564407</v>
      </c>
      <c r="C4439" s="4" t="str">
        <f t="shared" si="432"/>
        <v>GSE45114</v>
      </c>
      <c r="D4439" s="1" t="s">
        <v>296</v>
      </c>
      <c r="E4439" t="s">
        <v>179</v>
      </c>
      <c r="F4439" s="1">
        <v>1</v>
      </c>
      <c r="G4439" s="1" t="s">
        <v>31</v>
      </c>
      <c r="H4439" s="4" t="str">
        <f>HYPERLINK("https://www.ncbi.nlm.nih.gov/geo/query/acc.cgi?acc=GSM1097042","GSM1097042")</f>
        <v>GSM1097042</v>
      </c>
      <c r="I4439" t="s">
        <v>177</v>
      </c>
      <c r="J4439" t="s">
        <v>178</v>
      </c>
      <c r="K4439" t="s">
        <v>19</v>
      </c>
      <c r="L4439" t="s">
        <v>44</v>
      </c>
      <c r="M4439" t="s">
        <v>51</v>
      </c>
      <c r="N4439" t="s">
        <v>29</v>
      </c>
    </row>
    <row r="4440" spans="1:14">
      <c r="A4440" s="4" t="str">
        <f t="shared" si="430"/>
        <v>EXP00156</v>
      </c>
      <c r="B4440" s="4" t="str">
        <f t="shared" si="431"/>
        <v>24564407</v>
      </c>
      <c r="C4440" s="4" t="str">
        <f t="shared" si="432"/>
        <v>GSE45114</v>
      </c>
      <c r="D4440" s="1" t="s">
        <v>296</v>
      </c>
      <c r="E4440" t="s">
        <v>179</v>
      </c>
      <c r="F4440" s="1">
        <v>1</v>
      </c>
      <c r="G4440" s="1" t="s">
        <v>31</v>
      </c>
      <c r="H4440" s="4" t="str">
        <f>HYPERLINK("https://www.ncbi.nlm.nih.gov/geo/query/acc.cgi?acc=GSM1097046","GSM1097046")</f>
        <v>GSM1097046</v>
      </c>
      <c r="I4440" t="s">
        <v>177</v>
      </c>
      <c r="J4440" t="s">
        <v>178</v>
      </c>
      <c r="K4440" t="s">
        <v>19</v>
      </c>
      <c r="L4440" t="s">
        <v>44</v>
      </c>
      <c r="M4440" t="s">
        <v>51</v>
      </c>
      <c r="N4440" t="s">
        <v>29</v>
      </c>
    </row>
    <row r="4441" spans="1:14">
      <c r="A4441" s="4" t="str">
        <f t="shared" si="430"/>
        <v>EXP00156</v>
      </c>
      <c r="B4441" s="4" t="str">
        <f t="shared" si="431"/>
        <v>24564407</v>
      </c>
      <c r="C4441" s="4" t="str">
        <f t="shared" si="432"/>
        <v>GSE45114</v>
      </c>
      <c r="D4441" s="1" t="s">
        <v>296</v>
      </c>
      <c r="E4441" t="s">
        <v>179</v>
      </c>
      <c r="F4441" s="1">
        <v>1</v>
      </c>
      <c r="G4441" s="1" t="s">
        <v>31</v>
      </c>
      <c r="H4441" s="4" t="str">
        <f>HYPERLINK("https://www.ncbi.nlm.nih.gov/geo/query/acc.cgi?acc=GSM1097048","GSM1097048")</f>
        <v>GSM1097048</v>
      </c>
      <c r="I4441" t="s">
        <v>177</v>
      </c>
      <c r="J4441" t="s">
        <v>178</v>
      </c>
      <c r="K4441" t="s">
        <v>19</v>
      </c>
      <c r="L4441" t="s">
        <v>44</v>
      </c>
      <c r="M4441" t="s">
        <v>51</v>
      </c>
      <c r="N4441" t="s">
        <v>29</v>
      </c>
    </row>
    <row r="4442" spans="1:14">
      <c r="A4442" s="4" t="str">
        <f t="shared" si="430"/>
        <v>EXP00156</v>
      </c>
      <c r="B4442" s="4" t="str">
        <f t="shared" si="431"/>
        <v>24564407</v>
      </c>
      <c r="C4442" s="4" t="str">
        <f t="shared" si="432"/>
        <v>GSE45114</v>
      </c>
      <c r="D4442" s="1" t="s">
        <v>296</v>
      </c>
      <c r="E4442" t="s">
        <v>179</v>
      </c>
      <c r="F4442" s="1">
        <v>1</v>
      </c>
      <c r="G4442" s="1" t="s">
        <v>31</v>
      </c>
      <c r="H4442" s="4" t="str">
        <f>HYPERLINK("https://www.ncbi.nlm.nih.gov/geo/query/acc.cgi?acc=GSM1097050","GSM1097050")</f>
        <v>GSM1097050</v>
      </c>
      <c r="I4442" t="s">
        <v>177</v>
      </c>
      <c r="J4442" t="s">
        <v>178</v>
      </c>
      <c r="K4442" t="s">
        <v>19</v>
      </c>
      <c r="L4442" t="s">
        <v>44</v>
      </c>
      <c r="M4442" t="s">
        <v>51</v>
      </c>
      <c r="N4442" t="s">
        <v>29</v>
      </c>
    </row>
    <row r="4443" spans="1:14">
      <c r="A4443" s="4" t="str">
        <f t="shared" si="430"/>
        <v>EXP00156</v>
      </c>
      <c r="B4443" s="4" t="str">
        <f t="shared" si="431"/>
        <v>24564407</v>
      </c>
      <c r="C4443" s="4" t="str">
        <f t="shared" si="432"/>
        <v>GSE45114</v>
      </c>
      <c r="D4443" s="1" t="s">
        <v>296</v>
      </c>
      <c r="E4443" t="s">
        <v>179</v>
      </c>
      <c r="F4443" s="1">
        <v>1</v>
      </c>
      <c r="G4443" s="1" t="s">
        <v>31</v>
      </c>
      <c r="H4443" s="4" t="str">
        <f>HYPERLINK("https://www.ncbi.nlm.nih.gov/geo/query/acc.cgi?acc=GSM1097052","GSM1097052")</f>
        <v>GSM1097052</v>
      </c>
      <c r="I4443" t="s">
        <v>177</v>
      </c>
      <c r="J4443" t="s">
        <v>178</v>
      </c>
      <c r="K4443" t="s">
        <v>19</v>
      </c>
      <c r="L4443" t="s">
        <v>44</v>
      </c>
      <c r="M4443" t="s">
        <v>51</v>
      </c>
      <c r="N4443" t="s">
        <v>29</v>
      </c>
    </row>
    <row r="4444" spans="1:14">
      <c r="A4444" s="4" t="str">
        <f t="shared" si="430"/>
        <v>EXP00156</v>
      </c>
      <c r="B4444" s="4" t="str">
        <f t="shared" si="431"/>
        <v>24564407</v>
      </c>
      <c r="C4444" s="4" t="str">
        <f t="shared" si="432"/>
        <v>GSE45114</v>
      </c>
      <c r="D4444" s="1" t="s">
        <v>296</v>
      </c>
      <c r="E4444" t="s">
        <v>179</v>
      </c>
      <c r="F4444" s="1">
        <v>1</v>
      </c>
      <c r="G4444" s="1" t="s">
        <v>31</v>
      </c>
      <c r="H4444" s="4" t="str">
        <f>HYPERLINK("https://www.ncbi.nlm.nih.gov/geo/query/acc.cgi?acc=GSM1097059","GSM1097059")</f>
        <v>GSM1097059</v>
      </c>
      <c r="I4444" t="s">
        <v>177</v>
      </c>
      <c r="J4444" t="s">
        <v>178</v>
      </c>
      <c r="K4444" t="s">
        <v>19</v>
      </c>
      <c r="L4444" t="s">
        <v>44</v>
      </c>
      <c r="M4444" t="s">
        <v>51</v>
      </c>
      <c r="N4444" t="s">
        <v>29</v>
      </c>
    </row>
    <row r="4445" spans="1:14">
      <c r="A4445" s="4" t="str">
        <f t="shared" si="430"/>
        <v>EXP00156</v>
      </c>
      <c r="B4445" s="4" t="str">
        <f t="shared" si="431"/>
        <v>24564407</v>
      </c>
      <c r="C4445" s="4" t="str">
        <f t="shared" si="432"/>
        <v>GSE45114</v>
      </c>
      <c r="D4445" s="1" t="s">
        <v>296</v>
      </c>
      <c r="E4445" t="s">
        <v>179</v>
      </c>
      <c r="F4445" s="1">
        <v>1</v>
      </c>
      <c r="G4445" s="1" t="s">
        <v>31</v>
      </c>
      <c r="H4445" s="4" t="str">
        <f>HYPERLINK("https://www.ncbi.nlm.nih.gov/geo/query/acc.cgi?acc=GSM1097061","GSM1097061")</f>
        <v>GSM1097061</v>
      </c>
      <c r="I4445" t="s">
        <v>177</v>
      </c>
      <c r="J4445" t="s">
        <v>178</v>
      </c>
      <c r="K4445" t="s">
        <v>19</v>
      </c>
      <c r="L4445" t="s">
        <v>44</v>
      </c>
      <c r="M4445" t="s">
        <v>51</v>
      </c>
      <c r="N4445" t="s">
        <v>29</v>
      </c>
    </row>
    <row r="4446" spans="1:14">
      <c r="A4446" s="4" t="str">
        <f t="shared" si="430"/>
        <v>EXP00156</v>
      </c>
      <c r="B4446" s="4" t="str">
        <f t="shared" si="431"/>
        <v>24564407</v>
      </c>
      <c r="C4446" s="4" t="str">
        <f t="shared" si="432"/>
        <v>GSE45114</v>
      </c>
      <c r="D4446" s="1" t="s">
        <v>296</v>
      </c>
      <c r="E4446" t="s">
        <v>179</v>
      </c>
      <c r="F4446" s="1">
        <v>2</v>
      </c>
      <c r="G4446" s="1" t="s">
        <v>32</v>
      </c>
      <c r="H4446" s="4" t="str">
        <f>HYPERLINK("https://www.ncbi.nlm.nih.gov/geo/query/acc.cgi?acc=GSM1097015","GSM1097015")</f>
        <v>GSM1097015</v>
      </c>
      <c r="I4446" t="s">
        <v>177</v>
      </c>
      <c r="J4446" t="s">
        <v>178</v>
      </c>
      <c r="K4446" t="s">
        <v>33</v>
      </c>
      <c r="L4446" t="s">
        <v>44</v>
      </c>
      <c r="N4446" t="s">
        <v>29</v>
      </c>
    </row>
    <row r="4447" spans="1:14">
      <c r="A4447" s="4" t="str">
        <f t="shared" si="430"/>
        <v>EXP00156</v>
      </c>
      <c r="B4447" s="4" t="str">
        <f t="shared" si="431"/>
        <v>24564407</v>
      </c>
      <c r="C4447" s="4" t="str">
        <f t="shared" si="432"/>
        <v>GSE45114</v>
      </c>
      <c r="D4447" s="1" t="s">
        <v>296</v>
      </c>
      <c r="E4447" t="s">
        <v>179</v>
      </c>
      <c r="F4447" s="1">
        <v>2</v>
      </c>
      <c r="G4447" s="1" t="s">
        <v>32</v>
      </c>
      <c r="H4447" s="4" t="str">
        <f>HYPERLINK("https://www.ncbi.nlm.nih.gov/geo/query/acc.cgi?acc=GSM1097017","GSM1097017")</f>
        <v>GSM1097017</v>
      </c>
      <c r="I4447" t="s">
        <v>177</v>
      </c>
      <c r="J4447" t="s">
        <v>178</v>
      </c>
      <c r="K4447" t="s">
        <v>33</v>
      </c>
      <c r="L4447" t="s">
        <v>44</v>
      </c>
      <c r="N4447" t="s">
        <v>29</v>
      </c>
    </row>
    <row r="4448" spans="1:14">
      <c r="A4448" s="4" t="str">
        <f t="shared" si="430"/>
        <v>EXP00156</v>
      </c>
      <c r="B4448" s="4" t="str">
        <f t="shared" si="431"/>
        <v>24564407</v>
      </c>
      <c r="C4448" s="4" t="str">
        <f t="shared" si="432"/>
        <v>GSE45114</v>
      </c>
      <c r="D4448" s="1" t="s">
        <v>296</v>
      </c>
      <c r="E4448" t="s">
        <v>179</v>
      </c>
      <c r="F4448" s="1">
        <v>2</v>
      </c>
      <c r="G4448" s="1" t="s">
        <v>32</v>
      </c>
      <c r="H4448" s="4" t="str">
        <f>HYPERLINK("https://www.ncbi.nlm.nih.gov/geo/query/acc.cgi?acc=GSM1097021","GSM1097021")</f>
        <v>GSM1097021</v>
      </c>
      <c r="I4448" t="s">
        <v>177</v>
      </c>
      <c r="J4448" t="s">
        <v>178</v>
      </c>
      <c r="K4448" t="s">
        <v>33</v>
      </c>
      <c r="L4448" t="s">
        <v>44</v>
      </c>
      <c r="N4448" t="s">
        <v>29</v>
      </c>
    </row>
    <row r="4449" spans="1:14">
      <c r="A4449" s="4" t="str">
        <f t="shared" si="430"/>
        <v>EXP00156</v>
      </c>
      <c r="B4449" s="4" t="str">
        <f t="shared" si="431"/>
        <v>24564407</v>
      </c>
      <c r="C4449" s="4" t="str">
        <f t="shared" si="432"/>
        <v>GSE45114</v>
      </c>
      <c r="D4449" s="1" t="s">
        <v>296</v>
      </c>
      <c r="E4449" t="s">
        <v>179</v>
      </c>
      <c r="F4449" s="1">
        <v>2</v>
      </c>
      <c r="G4449" s="1" t="s">
        <v>32</v>
      </c>
      <c r="H4449" s="4" t="str">
        <f>HYPERLINK("https://www.ncbi.nlm.nih.gov/geo/query/acc.cgi?acc=GSM1097029","GSM1097029")</f>
        <v>GSM1097029</v>
      </c>
      <c r="I4449" t="s">
        <v>177</v>
      </c>
      <c r="J4449" t="s">
        <v>178</v>
      </c>
      <c r="K4449" t="s">
        <v>33</v>
      </c>
      <c r="L4449" t="s">
        <v>44</v>
      </c>
      <c r="N4449" t="s">
        <v>29</v>
      </c>
    </row>
    <row r="4450" spans="1:14">
      <c r="A4450" s="4" t="str">
        <f t="shared" si="430"/>
        <v>EXP00156</v>
      </c>
      <c r="B4450" s="4" t="str">
        <f t="shared" si="431"/>
        <v>24564407</v>
      </c>
      <c r="C4450" s="4" t="str">
        <f t="shared" si="432"/>
        <v>GSE45114</v>
      </c>
      <c r="D4450" s="1" t="s">
        <v>296</v>
      </c>
      <c r="E4450" t="s">
        <v>179</v>
      </c>
      <c r="F4450" s="1">
        <v>2</v>
      </c>
      <c r="G4450" s="1" t="s">
        <v>32</v>
      </c>
      <c r="H4450" s="4" t="str">
        <f>HYPERLINK("https://www.ncbi.nlm.nih.gov/geo/query/acc.cgi?acc=GSM1097035","GSM1097035")</f>
        <v>GSM1097035</v>
      </c>
      <c r="I4450" t="s">
        <v>177</v>
      </c>
      <c r="J4450" t="s">
        <v>178</v>
      </c>
      <c r="K4450" t="s">
        <v>33</v>
      </c>
      <c r="L4450" t="s">
        <v>44</v>
      </c>
      <c r="N4450" t="s">
        <v>29</v>
      </c>
    </row>
    <row r="4451" spans="1:14">
      <c r="A4451" s="4" t="str">
        <f t="shared" si="430"/>
        <v>EXP00156</v>
      </c>
      <c r="B4451" s="4" t="str">
        <f t="shared" si="431"/>
        <v>24564407</v>
      </c>
      <c r="C4451" s="4" t="str">
        <f t="shared" si="432"/>
        <v>GSE45114</v>
      </c>
      <c r="D4451" s="1" t="s">
        <v>296</v>
      </c>
      <c r="E4451" t="s">
        <v>179</v>
      </c>
      <c r="F4451" s="1">
        <v>2</v>
      </c>
      <c r="G4451" s="1" t="s">
        <v>32</v>
      </c>
      <c r="H4451" s="4" t="str">
        <f>HYPERLINK("https://www.ncbi.nlm.nih.gov/geo/query/acc.cgi?acc=GSM1097037","GSM1097037")</f>
        <v>GSM1097037</v>
      </c>
      <c r="I4451" t="s">
        <v>177</v>
      </c>
      <c r="J4451" t="s">
        <v>178</v>
      </c>
      <c r="K4451" t="s">
        <v>33</v>
      </c>
      <c r="L4451" t="s">
        <v>44</v>
      </c>
      <c r="N4451" t="s">
        <v>29</v>
      </c>
    </row>
    <row r="4452" spans="1:14">
      <c r="A4452" s="4" t="str">
        <f t="shared" si="430"/>
        <v>EXP00156</v>
      </c>
      <c r="B4452" s="4" t="str">
        <f t="shared" si="431"/>
        <v>24564407</v>
      </c>
      <c r="C4452" s="4" t="str">
        <f t="shared" si="432"/>
        <v>GSE45114</v>
      </c>
      <c r="D4452" s="1" t="s">
        <v>296</v>
      </c>
      <c r="E4452" t="s">
        <v>179</v>
      </c>
      <c r="F4452" s="1">
        <v>2</v>
      </c>
      <c r="G4452" s="1" t="s">
        <v>32</v>
      </c>
      <c r="H4452" s="4" t="str">
        <f>HYPERLINK("https://www.ncbi.nlm.nih.gov/geo/query/acc.cgi?acc=GSM1097039","GSM1097039")</f>
        <v>GSM1097039</v>
      </c>
      <c r="I4452" t="s">
        <v>177</v>
      </c>
      <c r="J4452" t="s">
        <v>178</v>
      </c>
      <c r="K4452" t="s">
        <v>33</v>
      </c>
      <c r="L4452" t="s">
        <v>44</v>
      </c>
      <c r="N4452" t="s">
        <v>29</v>
      </c>
    </row>
    <row r="4453" spans="1:14">
      <c r="A4453" s="4" t="str">
        <f t="shared" si="430"/>
        <v>EXP00156</v>
      </c>
      <c r="B4453" s="4" t="str">
        <f t="shared" si="431"/>
        <v>24564407</v>
      </c>
      <c r="C4453" s="4" t="str">
        <f t="shared" si="432"/>
        <v>GSE45114</v>
      </c>
      <c r="D4453" s="1" t="s">
        <v>296</v>
      </c>
      <c r="E4453" t="s">
        <v>179</v>
      </c>
      <c r="F4453" s="1">
        <v>2</v>
      </c>
      <c r="G4453" s="1" t="s">
        <v>32</v>
      </c>
      <c r="H4453" s="4" t="str">
        <f>HYPERLINK("https://www.ncbi.nlm.nih.gov/geo/query/acc.cgi?acc=GSM1097044","GSM1097044")</f>
        <v>GSM1097044</v>
      </c>
      <c r="I4453" t="s">
        <v>177</v>
      </c>
      <c r="J4453" t="s">
        <v>178</v>
      </c>
      <c r="K4453" t="s">
        <v>33</v>
      </c>
      <c r="L4453" t="s">
        <v>44</v>
      </c>
      <c r="N4453" t="s">
        <v>29</v>
      </c>
    </row>
    <row r="4454" spans="1:14">
      <c r="A4454" s="4" t="str">
        <f t="shared" si="430"/>
        <v>EXP00156</v>
      </c>
      <c r="B4454" s="4" t="str">
        <f t="shared" si="431"/>
        <v>24564407</v>
      </c>
      <c r="C4454" s="4" t="str">
        <f t="shared" si="432"/>
        <v>GSE45114</v>
      </c>
      <c r="D4454" s="1" t="s">
        <v>296</v>
      </c>
      <c r="E4454" t="s">
        <v>179</v>
      </c>
      <c r="F4454" s="1">
        <v>2</v>
      </c>
      <c r="G4454" s="1" t="s">
        <v>32</v>
      </c>
      <c r="H4454" s="4" t="str">
        <f>HYPERLINK("https://www.ncbi.nlm.nih.gov/geo/query/acc.cgi?acc=GSM1097055","GSM1097055")</f>
        <v>GSM1097055</v>
      </c>
      <c r="I4454" t="s">
        <v>177</v>
      </c>
      <c r="J4454" t="s">
        <v>178</v>
      </c>
      <c r="K4454" t="s">
        <v>33</v>
      </c>
      <c r="L4454" t="s">
        <v>44</v>
      </c>
      <c r="N4454" t="s">
        <v>29</v>
      </c>
    </row>
    <row r="4455" spans="1:14">
      <c r="A4455" s="4" t="str">
        <f t="shared" si="430"/>
        <v>EXP00156</v>
      </c>
      <c r="B4455" s="4" t="str">
        <f t="shared" si="431"/>
        <v>24564407</v>
      </c>
      <c r="C4455" s="4" t="str">
        <f t="shared" si="432"/>
        <v>GSE45114</v>
      </c>
      <c r="D4455" s="1" t="s">
        <v>296</v>
      </c>
      <c r="E4455" t="s">
        <v>179</v>
      </c>
      <c r="F4455" s="1">
        <v>2</v>
      </c>
      <c r="G4455" s="1" t="s">
        <v>32</v>
      </c>
      <c r="H4455" s="4" t="str">
        <f>HYPERLINK("https://www.ncbi.nlm.nih.gov/geo/query/acc.cgi?acc=GSM1097057","GSM1097057")</f>
        <v>GSM1097057</v>
      </c>
      <c r="I4455" t="s">
        <v>177</v>
      </c>
      <c r="J4455" t="s">
        <v>178</v>
      </c>
      <c r="K4455" t="s">
        <v>33</v>
      </c>
      <c r="L4455" t="s">
        <v>44</v>
      </c>
      <c r="N4455" t="s">
        <v>29</v>
      </c>
    </row>
    <row r="4456" spans="1:14">
      <c r="A4456" s="4" t="str">
        <f t="shared" si="430"/>
        <v>EXP00156</v>
      </c>
      <c r="B4456" s="4" t="str">
        <f t="shared" si="431"/>
        <v>24564407</v>
      </c>
      <c r="C4456" s="4" t="str">
        <f t="shared" si="432"/>
        <v>GSE45114</v>
      </c>
      <c r="D4456" s="1" t="s">
        <v>296</v>
      </c>
      <c r="E4456" t="s">
        <v>179</v>
      </c>
      <c r="F4456" s="1">
        <v>2</v>
      </c>
      <c r="G4456" s="1" t="s">
        <v>32</v>
      </c>
      <c r="H4456" s="4" t="str">
        <f>HYPERLINK("https://www.ncbi.nlm.nih.gov/geo/query/acc.cgi?acc=GSM1097063","GSM1097063")</f>
        <v>GSM1097063</v>
      </c>
      <c r="I4456" t="s">
        <v>177</v>
      </c>
      <c r="J4456" t="s">
        <v>178</v>
      </c>
      <c r="K4456" t="s">
        <v>33</v>
      </c>
      <c r="L4456" t="s">
        <v>44</v>
      </c>
      <c r="N4456" t="s">
        <v>29</v>
      </c>
    </row>
    <row r="4457" spans="1:14">
      <c r="A4457" s="4" t="str">
        <f t="shared" ref="A4457:A4478" si="433">HYPERLINK("http://hcmdb.i-sanger.com/experiment/details/experiment_id/EXP00157","EXP00157")</f>
        <v>EXP00157</v>
      </c>
      <c r="B4457" s="4" t="str">
        <f t="shared" si="431"/>
        <v>24564407</v>
      </c>
      <c r="C4457" s="4" t="str">
        <f t="shared" si="432"/>
        <v>GSE45114</v>
      </c>
      <c r="D4457" s="1" t="s">
        <v>296</v>
      </c>
      <c r="E4457" t="s">
        <v>180</v>
      </c>
      <c r="F4457" s="1">
        <v>1</v>
      </c>
      <c r="G4457" s="1" t="s">
        <v>36</v>
      </c>
      <c r="H4457" s="4" t="str">
        <f>HYPERLINK("https://www.ncbi.nlm.nih.gov/geo/query/acc.cgi?acc=GSM1097016","GSM1097016")</f>
        <v>GSM1097016</v>
      </c>
      <c r="I4457" t="s">
        <v>177</v>
      </c>
      <c r="J4457" t="s">
        <v>178</v>
      </c>
      <c r="K4457" t="s">
        <v>33</v>
      </c>
      <c r="L4457" t="s">
        <v>44</v>
      </c>
      <c r="N4457" t="s">
        <v>37</v>
      </c>
    </row>
    <row r="4458" spans="1:14">
      <c r="A4458" s="4" t="str">
        <f t="shared" si="433"/>
        <v>EXP00157</v>
      </c>
      <c r="B4458" s="4" t="str">
        <f t="shared" si="431"/>
        <v>24564407</v>
      </c>
      <c r="C4458" s="4" t="str">
        <f t="shared" si="432"/>
        <v>GSE45114</v>
      </c>
      <c r="D4458" s="1" t="s">
        <v>296</v>
      </c>
      <c r="E4458" t="s">
        <v>180</v>
      </c>
      <c r="F4458" s="1">
        <v>1</v>
      </c>
      <c r="G4458" s="1" t="s">
        <v>36</v>
      </c>
      <c r="H4458" s="4" t="str">
        <f>HYPERLINK("https://www.ncbi.nlm.nih.gov/geo/query/acc.cgi?acc=GSM1097018","GSM1097018")</f>
        <v>GSM1097018</v>
      </c>
      <c r="I4458" t="s">
        <v>177</v>
      </c>
      <c r="J4458" t="s">
        <v>178</v>
      </c>
      <c r="K4458" t="s">
        <v>33</v>
      </c>
      <c r="L4458" t="s">
        <v>44</v>
      </c>
      <c r="N4458" t="s">
        <v>37</v>
      </c>
    </row>
    <row r="4459" spans="1:14">
      <c r="A4459" s="4" t="str">
        <f t="shared" si="433"/>
        <v>EXP00157</v>
      </c>
      <c r="B4459" s="4" t="str">
        <f t="shared" si="431"/>
        <v>24564407</v>
      </c>
      <c r="C4459" s="4" t="str">
        <f t="shared" si="432"/>
        <v>GSE45114</v>
      </c>
      <c r="D4459" s="1" t="s">
        <v>296</v>
      </c>
      <c r="E4459" t="s">
        <v>180</v>
      </c>
      <c r="F4459" s="1">
        <v>1</v>
      </c>
      <c r="G4459" s="1" t="s">
        <v>36</v>
      </c>
      <c r="H4459" s="4" t="str">
        <f>HYPERLINK("https://www.ncbi.nlm.nih.gov/geo/query/acc.cgi?acc=GSM1097022","GSM1097022")</f>
        <v>GSM1097022</v>
      </c>
      <c r="I4459" t="s">
        <v>177</v>
      </c>
      <c r="J4459" t="s">
        <v>178</v>
      </c>
      <c r="K4459" t="s">
        <v>33</v>
      </c>
      <c r="L4459" t="s">
        <v>44</v>
      </c>
      <c r="N4459" t="s">
        <v>37</v>
      </c>
    </row>
    <row r="4460" spans="1:14">
      <c r="A4460" s="4" t="str">
        <f t="shared" si="433"/>
        <v>EXP00157</v>
      </c>
      <c r="B4460" s="4" t="str">
        <f t="shared" si="431"/>
        <v>24564407</v>
      </c>
      <c r="C4460" s="4" t="str">
        <f t="shared" si="432"/>
        <v>GSE45114</v>
      </c>
      <c r="D4460" s="1" t="s">
        <v>296</v>
      </c>
      <c r="E4460" t="s">
        <v>180</v>
      </c>
      <c r="F4460" s="1">
        <v>1</v>
      </c>
      <c r="G4460" s="1" t="s">
        <v>36</v>
      </c>
      <c r="H4460" s="4" t="str">
        <f>HYPERLINK("https://www.ncbi.nlm.nih.gov/geo/query/acc.cgi?acc=GSM1097030","GSM1097030")</f>
        <v>GSM1097030</v>
      </c>
      <c r="I4460" t="s">
        <v>177</v>
      </c>
      <c r="J4460" t="s">
        <v>178</v>
      </c>
      <c r="K4460" t="s">
        <v>33</v>
      </c>
      <c r="L4460" t="s">
        <v>44</v>
      </c>
      <c r="N4460" t="s">
        <v>37</v>
      </c>
    </row>
    <row r="4461" spans="1:14">
      <c r="A4461" s="4" t="str">
        <f t="shared" si="433"/>
        <v>EXP00157</v>
      </c>
      <c r="B4461" s="4" t="str">
        <f t="shared" si="431"/>
        <v>24564407</v>
      </c>
      <c r="C4461" s="4" t="str">
        <f t="shared" si="432"/>
        <v>GSE45114</v>
      </c>
      <c r="D4461" s="1" t="s">
        <v>296</v>
      </c>
      <c r="E4461" t="s">
        <v>180</v>
      </c>
      <c r="F4461" s="1">
        <v>1</v>
      </c>
      <c r="G4461" s="1" t="s">
        <v>36</v>
      </c>
      <c r="H4461" s="4" t="str">
        <f>HYPERLINK("https://www.ncbi.nlm.nih.gov/geo/query/acc.cgi?acc=GSM1097031","GSM1097031")</f>
        <v>GSM1097031</v>
      </c>
      <c r="I4461" t="s">
        <v>177</v>
      </c>
      <c r="J4461" t="s">
        <v>178</v>
      </c>
      <c r="K4461" t="s">
        <v>33</v>
      </c>
      <c r="L4461" t="s">
        <v>44</v>
      </c>
      <c r="N4461" t="s">
        <v>37</v>
      </c>
    </row>
    <row r="4462" spans="1:14">
      <c r="A4462" s="4" t="str">
        <f t="shared" si="433"/>
        <v>EXP00157</v>
      </c>
      <c r="B4462" s="4" t="str">
        <f t="shared" si="431"/>
        <v>24564407</v>
      </c>
      <c r="C4462" s="4" t="str">
        <f t="shared" si="432"/>
        <v>GSE45114</v>
      </c>
      <c r="D4462" s="1" t="s">
        <v>296</v>
      </c>
      <c r="E4462" t="s">
        <v>180</v>
      </c>
      <c r="F4462" s="1">
        <v>1</v>
      </c>
      <c r="G4462" s="1" t="s">
        <v>36</v>
      </c>
      <c r="H4462" s="4" t="str">
        <f>HYPERLINK("https://www.ncbi.nlm.nih.gov/geo/query/acc.cgi?acc=GSM1097036","GSM1097036")</f>
        <v>GSM1097036</v>
      </c>
      <c r="I4462" t="s">
        <v>177</v>
      </c>
      <c r="J4462" t="s">
        <v>178</v>
      </c>
      <c r="K4462" t="s">
        <v>33</v>
      </c>
      <c r="L4462" t="s">
        <v>44</v>
      </c>
      <c r="N4462" t="s">
        <v>37</v>
      </c>
    </row>
    <row r="4463" spans="1:14">
      <c r="A4463" s="4" t="str">
        <f t="shared" si="433"/>
        <v>EXP00157</v>
      </c>
      <c r="B4463" s="4" t="str">
        <f t="shared" si="431"/>
        <v>24564407</v>
      </c>
      <c r="C4463" s="4" t="str">
        <f t="shared" si="432"/>
        <v>GSE45114</v>
      </c>
      <c r="D4463" s="1" t="s">
        <v>296</v>
      </c>
      <c r="E4463" t="s">
        <v>180</v>
      </c>
      <c r="F4463" s="1">
        <v>1</v>
      </c>
      <c r="G4463" s="1" t="s">
        <v>36</v>
      </c>
      <c r="H4463" s="4" t="str">
        <f>HYPERLINK("https://www.ncbi.nlm.nih.gov/geo/query/acc.cgi?acc=GSM1097038","GSM1097038")</f>
        <v>GSM1097038</v>
      </c>
      <c r="I4463" t="s">
        <v>177</v>
      </c>
      <c r="J4463" t="s">
        <v>178</v>
      </c>
      <c r="K4463" t="s">
        <v>33</v>
      </c>
      <c r="L4463" t="s">
        <v>44</v>
      </c>
      <c r="N4463" t="s">
        <v>37</v>
      </c>
    </row>
    <row r="4464" spans="1:14">
      <c r="A4464" s="4" t="str">
        <f t="shared" si="433"/>
        <v>EXP00157</v>
      </c>
      <c r="B4464" s="4" t="str">
        <f t="shared" si="431"/>
        <v>24564407</v>
      </c>
      <c r="C4464" s="4" t="str">
        <f t="shared" si="432"/>
        <v>GSE45114</v>
      </c>
      <c r="D4464" s="1" t="s">
        <v>296</v>
      </c>
      <c r="E4464" t="s">
        <v>180</v>
      </c>
      <c r="F4464" s="1">
        <v>1</v>
      </c>
      <c r="G4464" s="1" t="s">
        <v>36</v>
      </c>
      <c r="H4464" s="4" t="str">
        <f>HYPERLINK("https://www.ncbi.nlm.nih.gov/geo/query/acc.cgi?acc=GSM1097045","GSM1097045")</f>
        <v>GSM1097045</v>
      </c>
      <c r="I4464" t="s">
        <v>177</v>
      </c>
      <c r="J4464" t="s">
        <v>178</v>
      </c>
      <c r="K4464" t="s">
        <v>33</v>
      </c>
      <c r="L4464" t="s">
        <v>44</v>
      </c>
      <c r="N4464" t="s">
        <v>37</v>
      </c>
    </row>
    <row r="4465" spans="1:14">
      <c r="A4465" s="4" t="str">
        <f t="shared" si="433"/>
        <v>EXP00157</v>
      </c>
      <c r="B4465" s="4" t="str">
        <f t="shared" si="431"/>
        <v>24564407</v>
      </c>
      <c r="C4465" s="4" t="str">
        <f t="shared" si="432"/>
        <v>GSE45114</v>
      </c>
      <c r="D4465" s="1" t="s">
        <v>296</v>
      </c>
      <c r="E4465" t="s">
        <v>180</v>
      </c>
      <c r="F4465" s="1">
        <v>1</v>
      </c>
      <c r="G4465" s="1" t="s">
        <v>36</v>
      </c>
      <c r="H4465" s="4" t="str">
        <f>HYPERLINK("https://www.ncbi.nlm.nih.gov/geo/query/acc.cgi?acc=GSM1097056","GSM1097056")</f>
        <v>GSM1097056</v>
      </c>
      <c r="I4465" t="s">
        <v>177</v>
      </c>
      <c r="J4465" t="s">
        <v>178</v>
      </c>
      <c r="K4465" t="s">
        <v>33</v>
      </c>
      <c r="L4465" t="s">
        <v>44</v>
      </c>
      <c r="N4465" t="s">
        <v>37</v>
      </c>
    </row>
    <row r="4466" spans="1:14">
      <c r="A4466" s="4" t="str">
        <f t="shared" si="433"/>
        <v>EXP00157</v>
      </c>
      <c r="B4466" s="4" t="str">
        <f t="shared" si="431"/>
        <v>24564407</v>
      </c>
      <c r="C4466" s="4" t="str">
        <f t="shared" si="432"/>
        <v>GSE45114</v>
      </c>
      <c r="D4466" s="1" t="s">
        <v>296</v>
      </c>
      <c r="E4466" t="s">
        <v>180</v>
      </c>
      <c r="F4466" s="1">
        <v>1</v>
      </c>
      <c r="G4466" s="1" t="s">
        <v>36</v>
      </c>
      <c r="H4466" s="4" t="str">
        <f>HYPERLINK("https://www.ncbi.nlm.nih.gov/geo/query/acc.cgi?acc=GSM1097058","GSM1097058")</f>
        <v>GSM1097058</v>
      </c>
      <c r="I4466" t="s">
        <v>177</v>
      </c>
      <c r="J4466" t="s">
        <v>178</v>
      </c>
      <c r="K4466" t="s">
        <v>33</v>
      </c>
      <c r="L4466" t="s">
        <v>44</v>
      </c>
      <c r="N4466" t="s">
        <v>37</v>
      </c>
    </row>
    <row r="4467" spans="1:14">
      <c r="A4467" s="4" t="str">
        <f t="shared" si="433"/>
        <v>EXP00157</v>
      </c>
      <c r="B4467" s="4" t="str">
        <f t="shared" si="431"/>
        <v>24564407</v>
      </c>
      <c r="C4467" s="4" t="str">
        <f t="shared" si="432"/>
        <v>GSE45114</v>
      </c>
      <c r="D4467" s="1" t="s">
        <v>296</v>
      </c>
      <c r="E4467" t="s">
        <v>180</v>
      </c>
      <c r="F4467" s="1">
        <v>1</v>
      </c>
      <c r="G4467" s="1" t="s">
        <v>36</v>
      </c>
      <c r="H4467" s="4" t="str">
        <f>HYPERLINK("https://www.ncbi.nlm.nih.gov/geo/query/acc.cgi?acc=GSM1097064","GSM1097064")</f>
        <v>GSM1097064</v>
      </c>
      <c r="I4467" t="s">
        <v>177</v>
      </c>
      <c r="J4467" t="s">
        <v>178</v>
      </c>
      <c r="K4467" t="s">
        <v>33</v>
      </c>
      <c r="L4467" t="s">
        <v>44</v>
      </c>
      <c r="N4467" t="s">
        <v>37</v>
      </c>
    </row>
    <row r="4468" spans="1:14">
      <c r="A4468" s="4" t="str">
        <f t="shared" si="433"/>
        <v>EXP00157</v>
      </c>
      <c r="B4468" s="4" t="str">
        <f t="shared" si="431"/>
        <v>24564407</v>
      </c>
      <c r="C4468" s="4" t="str">
        <f t="shared" si="432"/>
        <v>GSE45114</v>
      </c>
      <c r="D4468" s="1" t="s">
        <v>296</v>
      </c>
      <c r="E4468" t="s">
        <v>180</v>
      </c>
      <c r="F4468" s="1">
        <v>2</v>
      </c>
      <c r="G4468" s="1" t="s">
        <v>28</v>
      </c>
      <c r="H4468" s="4" t="str">
        <f>HYPERLINK("https://www.ncbi.nlm.nih.gov/geo/query/acc.cgi?acc=GSM1097015","GSM1097015")</f>
        <v>GSM1097015</v>
      </c>
      <c r="I4468" t="s">
        <v>177</v>
      </c>
      <c r="J4468" t="s">
        <v>178</v>
      </c>
      <c r="K4468" t="s">
        <v>33</v>
      </c>
      <c r="L4468" t="s">
        <v>44</v>
      </c>
      <c r="N4468" t="s">
        <v>29</v>
      </c>
    </row>
    <row r="4469" spans="1:14">
      <c r="A4469" s="4" t="str">
        <f t="shared" si="433"/>
        <v>EXP00157</v>
      </c>
      <c r="B4469" s="4" t="str">
        <f t="shared" si="431"/>
        <v>24564407</v>
      </c>
      <c r="C4469" s="4" t="str">
        <f t="shared" si="432"/>
        <v>GSE45114</v>
      </c>
      <c r="D4469" s="1" t="s">
        <v>296</v>
      </c>
      <c r="E4469" t="s">
        <v>180</v>
      </c>
      <c r="F4469" s="1">
        <v>2</v>
      </c>
      <c r="G4469" s="1" t="s">
        <v>28</v>
      </c>
      <c r="H4469" s="4" t="str">
        <f>HYPERLINK("https://www.ncbi.nlm.nih.gov/geo/query/acc.cgi?acc=GSM1097017","GSM1097017")</f>
        <v>GSM1097017</v>
      </c>
      <c r="I4469" t="s">
        <v>177</v>
      </c>
      <c r="J4469" t="s">
        <v>178</v>
      </c>
      <c r="K4469" t="s">
        <v>33</v>
      </c>
      <c r="L4469" t="s">
        <v>44</v>
      </c>
      <c r="N4469" t="s">
        <v>29</v>
      </c>
    </row>
    <row r="4470" spans="1:14">
      <c r="A4470" s="4" t="str">
        <f t="shared" si="433"/>
        <v>EXP00157</v>
      </c>
      <c r="B4470" s="4" t="str">
        <f t="shared" ref="B4470:B4478" si="434">HYPERLINK("https://www.ncbi.nlm.nih.gov/pubmed/24564407","24564407")</f>
        <v>24564407</v>
      </c>
      <c r="C4470" s="4" t="str">
        <f t="shared" ref="C4470:C4478" si="435">HYPERLINK("https://www.ncbi.nlm.nih.gov/geo/query/acc.cgi?acc=GSE45114","GSE45114")</f>
        <v>GSE45114</v>
      </c>
      <c r="D4470" s="1" t="s">
        <v>296</v>
      </c>
      <c r="E4470" t="s">
        <v>180</v>
      </c>
      <c r="F4470" s="1">
        <v>2</v>
      </c>
      <c r="G4470" s="1" t="s">
        <v>28</v>
      </c>
      <c r="H4470" s="4" t="str">
        <f>HYPERLINK("https://www.ncbi.nlm.nih.gov/geo/query/acc.cgi?acc=GSM1097021","GSM1097021")</f>
        <v>GSM1097021</v>
      </c>
      <c r="I4470" t="s">
        <v>177</v>
      </c>
      <c r="J4470" t="s">
        <v>178</v>
      </c>
      <c r="K4470" t="s">
        <v>33</v>
      </c>
      <c r="L4470" t="s">
        <v>44</v>
      </c>
      <c r="N4470" t="s">
        <v>29</v>
      </c>
    </row>
    <row r="4471" spans="1:14">
      <c r="A4471" s="4" t="str">
        <f t="shared" si="433"/>
        <v>EXP00157</v>
      </c>
      <c r="B4471" s="4" t="str">
        <f t="shared" si="434"/>
        <v>24564407</v>
      </c>
      <c r="C4471" s="4" t="str">
        <f t="shared" si="435"/>
        <v>GSE45114</v>
      </c>
      <c r="D4471" s="1" t="s">
        <v>296</v>
      </c>
      <c r="E4471" t="s">
        <v>180</v>
      </c>
      <c r="F4471" s="1">
        <v>2</v>
      </c>
      <c r="G4471" s="1" t="s">
        <v>28</v>
      </c>
      <c r="H4471" s="4" t="str">
        <f>HYPERLINK("https://www.ncbi.nlm.nih.gov/geo/query/acc.cgi?acc=GSM1097029","GSM1097029")</f>
        <v>GSM1097029</v>
      </c>
      <c r="I4471" t="s">
        <v>177</v>
      </c>
      <c r="J4471" t="s">
        <v>178</v>
      </c>
      <c r="K4471" t="s">
        <v>33</v>
      </c>
      <c r="L4471" t="s">
        <v>44</v>
      </c>
      <c r="N4471" t="s">
        <v>29</v>
      </c>
    </row>
    <row r="4472" spans="1:14">
      <c r="A4472" s="4" t="str">
        <f t="shared" si="433"/>
        <v>EXP00157</v>
      </c>
      <c r="B4472" s="4" t="str">
        <f t="shared" si="434"/>
        <v>24564407</v>
      </c>
      <c r="C4472" s="4" t="str">
        <f t="shared" si="435"/>
        <v>GSE45114</v>
      </c>
      <c r="D4472" s="1" t="s">
        <v>296</v>
      </c>
      <c r="E4472" t="s">
        <v>180</v>
      </c>
      <c r="F4472" s="1">
        <v>2</v>
      </c>
      <c r="G4472" s="1" t="s">
        <v>28</v>
      </c>
      <c r="H4472" s="4" t="str">
        <f>HYPERLINK("https://www.ncbi.nlm.nih.gov/geo/query/acc.cgi?acc=GSM1097035","GSM1097035")</f>
        <v>GSM1097035</v>
      </c>
      <c r="I4472" t="s">
        <v>177</v>
      </c>
      <c r="J4472" t="s">
        <v>178</v>
      </c>
      <c r="K4472" t="s">
        <v>33</v>
      </c>
      <c r="L4472" t="s">
        <v>44</v>
      </c>
      <c r="N4472" t="s">
        <v>29</v>
      </c>
    </row>
    <row r="4473" spans="1:14">
      <c r="A4473" s="4" t="str">
        <f t="shared" si="433"/>
        <v>EXP00157</v>
      </c>
      <c r="B4473" s="4" t="str">
        <f t="shared" si="434"/>
        <v>24564407</v>
      </c>
      <c r="C4473" s="4" t="str">
        <f t="shared" si="435"/>
        <v>GSE45114</v>
      </c>
      <c r="D4473" s="1" t="s">
        <v>296</v>
      </c>
      <c r="E4473" t="s">
        <v>180</v>
      </c>
      <c r="F4473" s="1">
        <v>2</v>
      </c>
      <c r="G4473" s="1" t="s">
        <v>28</v>
      </c>
      <c r="H4473" s="4" t="str">
        <f>HYPERLINK("https://www.ncbi.nlm.nih.gov/geo/query/acc.cgi?acc=GSM1097037","GSM1097037")</f>
        <v>GSM1097037</v>
      </c>
      <c r="I4473" t="s">
        <v>177</v>
      </c>
      <c r="J4473" t="s">
        <v>178</v>
      </c>
      <c r="K4473" t="s">
        <v>33</v>
      </c>
      <c r="L4473" t="s">
        <v>44</v>
      </c>
      <c r="N4473" t="s">
        <v>29</v>
      </c>
    </row>
    <row r="4474" spans="1:14">
      <c r="A4474" s="4" t="str">
        <f t="shared" si="433"/>
        <v>EXP00157</v>
      </c>
      <c r="B4474" s="4" t="str">
        <f t="shared" si="434"/>
        <v>24564407</v>
      </c>
      <c r="C4474" s="4" t="str">
        <f t="shared" si="435"/>
        <v>GSE45114</v>
      </c>
      <c r="D4474" s="1" t="s">
        <v>296</v>
      </c>
      <c r="E4474" t="s">
        <v>180</v>
      </c>
      <c r="F4474" s="1">
        <v>2</v>
      </c>
      <c r="G4474" s="1" t="s">
        <v>28</v>
      </c>
      <c r="H4474" s="4" t="str">
        <f>HYPERLINK("https://www.ncbi.nlm.nih.gov/geo/query/acc.cgi?acc=GSM1097039","GSM1097039")</f>
        <v>GSM1097039</v>
      </c>
      <c r="I4474" t="s">
        <v>177</v>
      </c>
      <c r="J4474" t="s">
        <v>178</v>
      </c>
      <c r="K4474" t="s">
        <v>33</v>
      </c>
      <c r="L4474" t="s">
        <v>44</v>
      </c>
      <c r="N4474" t="s">
        <v>29</v>
      </c>
    </row>
    <row r="4475" spans="1:14">
      <c r="A4475" s="4" t="str">
        <f t="shared" si="433"/>
        <v>EXP00157</v>
      </c>
      <c r="B4475" s="4" t="str">
        <f t="shared" si="434"/>
        <v>24564407</v>
      </c>
      <c r="C4475" s="4" t="str">
        <f t="shared" si="435"/>
        <v>GSE45114</v>
      </c>
      <c r="D4475" s="1" t="s">
        <v>296</v>
      </c>
      <c r="E4475" t="s">
        <v>180</v>
      </c>
      <c r="F4475" s="1">
        <v>2</v>
      </c>
      <c r="G4475" s="1" t="s">
        <v>28</v>
      </c>
      <c r="H4475" s="4" t="str">
        <f>HYPERLINK("https://www.ncbi.nlm.nih.gov/geo/query/acc.cgi?acc=GSM1097044","GSM1097044")</f>
        <v>GSM1097044</v>
      </c>
      <c r="I4475" t="s">
        <v>177</v>
      </c>
      <c r="J4475" t="s">
        <v>178</v>
      </c>
      <c r="K4475" t="s">
        <v>33</v>
      </c>
      <c r="L4475" t="s">
        <v>44</v>
      </c>
      <c r="N4475" t="s">
        <v>29</v>
      </c>
    </row>
    <row r="4476" spans="1:14">
      <c r="A4476" s="4" t="str">
        <f t="shared" si="433"/>
        <v>EXP00157</v>
      </c>
      <c r="B4476" s="4" t="str">
        <f t="shared" si="434"/>
        <v>24564407</v>
      </c>
      <c r="C4476" s="4" t="str">
        <f t="shared" si="435"/>
        <v>GSE45114</v>
      </c>
      <c r="D4476" s="1" t="s">
        <v>296</v>
      </c>
      <c r="E4476" t="s">
        <v>180</v>
      </c>
      <c r="F4476" s="1">
        <v>2</v>
      </c>
      <c r="G4476" s="1" t="s">
        <v>28</v>
      </c>
      <c r="H4476" s="4" t="str">
        <f>HYPERLINK("https://www.ncbi.nlm.nih.gov/geo/query/acc.cgi?acc=GSM1097055","GSM1097055")</f>
        <v>GSM1097055</v>
      </c>
      <c r="I4476" t="s">
        <v>177</v>
      </c>
      <c r="J4476" t="s">
        <v>178</v>
      </c>
      <c r="K4476" t="s">
        <v>33</v>
      </c>
      <c r="L4476" t="s">
        <v>44</v>
      </c>
      <c r="N4476" t="s">
        <v>29</v>
      </c>
    </row>
    <row r="4477" spans="1:14">
      <c r="A4477" s="4" t="str">
        <f t="shared" si="433"/>
        <v>EXP00157</v>
      </c>
      <c r="B4477" s="4" t="str">
        <f t="shared" si="434"/>
        <v>24564407</v>
      </c>
      <c r="C4477" s="4" t="str">
        <f t="shared" si="435"/>
        <v>GSE45114</v>
      </c>
      <c r="D4477" s="1" t="s">
        <v>296</v>
      </c>
      <c r="E4477" t="s">
        <v>180</v>
      </c>
      <c r="F4477" s="1">
        <v>2</v>
      </c>
      <c r="G4477" s="1" t="s">
        <v>28</v>
      </c>
      <c r="H4477" s="4" t="str">
        <f>HYPERLINK("https://www.ncbi.nlm.nih.gov/geo/query/acc.cgi?acc=GSM1097057","GSM1097057")</f>
        <v>GSM1097057</v>
      </c>
      <c r="I4477" t="s">
        <v>177</v>
      </c>
      <c r="J4477" t="s">
        <v>178</v>
      </c>
      <c r="K4477" t="s">
        <v>33</v>
      </c>
      <c r="L4477" t="s">
        <v>44</v>
      </c>
      <c r="N4477" t="s">
        <v>29</v>
      </c>
    </row>
    <row r="4478" spans="1:14">
      <c r="A4478" s="4" t="str">
        <f t="shared" si="433"/>
        <v>EXP00157</v>
      </c>
      <c r="B4478" s="4" t="str">
        <f t="shared" si="434"/>
        <v>24564407</v>
      </c>
      <c r="C4478" s="4" t="str">
        <f t="shared" si="435"/>
        <v>GSE45114</v>
      </c>
      <c r="D4478" s="1" t="s">
        <v>296</v>
      </c>
      <c r="E4478" t="s">
        <v>180</v>
      </c>
      <c r="F4478" s="1">
        <v>2</v>
      </c>
      <c r="G4478" s="1" t="s">
        <v>28</v>
      </c>
      <c r="H4478" s="4" t="str">
        <f>HYPERLINK("https://www.ncbi.nlm.nih.gov/geo/query/acc.cgi?acc=GSM1097063","GSM1097063")</f>
        <v>GSM1097063</v>
      </c>
      <c r="I4478" t="s">
        <v>177</v>
      </c>
      <c r="J4478" t="s">
        <v>178</v>
      </c>
      <c r="K4478" t="s">
        <v>33</v>
      </c>
      <c r="L4478" t="s">
        <v>44</v>
      </c>
      <c r="N4478" t="s">
        <v>29</v>
      </c>
    </row>
    <row r="4479" spans="1:14">
      <c r="A4479" s="4" t="str">
        <f t="shared" ref="A4479:A4494" si="436">HYPERLINK("http://hcmdb.i-sanger.com/experiment/details/experiment_id/EXP00158","EXP00158")</f>
        <v>EXP00158</v>
      </c>
      <c r="B4479" s="4" t="str">
        <f t="shared" ref="B4479:B4542" si="437">HYPERLINK("https://www.ncbi.nlm.nih.gov/pubmed/24287398","24287398")</f>
        <v>24287398</v>
      </c>
      <c r="C4479" s="4" t="str">
        <f t="shared" ref="C4479:C4542" si="438">HYPERLINK("https://www.ncbi.nlm.nih.gov/geo/query/acc.cgi?acc=GSE46141","GSE46141")</f>
        <v>GSE46141</v>
      </c>
      <c r="D4479" s="1" t="s">
        <v>298</v>
      </c>
      <c r="E4479" t="s">
        <v>15</v>
      </c>
      <c r="F4479" s="1">
        <v>1</v>
      </c>
      <c r="G4479" s="1" t="s">
        <v>67</v>
      </c>
      <c r="H4479" s="4" t="str">
        <f>HYPERLINK("https://www.ncbi.nlm.nih.gov/geo/query/acc.cgi?acc=GSM1124888","GSM1124888")</f>
        <v>GSM1124888</v>
      </c>
      <c r="I4479" t="s">
        <v>17</v>
      </c>
      <c r="J4479" t="s">
        <v>18</v>
      </c>
      <c r="K4479" t="s">
        <v>19</v>
      </c>
      <c r="L4479" t="s">
        <v>20</v>
      </c>
      <c r="M4479" t="s">
        <v>50</v>
      </c>
      <c r="N4479" t="s">
        <v>22</v>
      </c>
    </row>
    <row r="4480" spans="1:14">
      <c r="A4480" s="4" t="str">
        <f t="shared" si="436"/>
        <v>EXP00158</v>
      </c>
      <c r="B4480" s="4" t="str">
        <f t="shared" si="437"/>
        <v>24287398</v>
      </c>
      <c r="C4480" s="4" t="str">
        <f t="shared" si="438"/>
        <v>GSE46141</v>
      </c>
      <c r="D4480" s="1" t="s">
        <v>298</v>
      </c>
      <c r="E4480" t="s">
        <v>15</v>
      </c>
      <c r="F4480" s="1">
        <v>1</v>
      </c>
      <c r="G4480" s="1" t="s">
        <v>67</v>
      </c>
      <c r="H4480" s="4" t="str">
        <f>HYPERLINK("https://www.ncbi.nlm.nih.gov/geo/query/acc.cgi?acc=GSM1124890","GSM1124890")</f>
        <v>GSM1124890</v>
      </c>
      <c r="I4480" t="s">
        <v>17</v>
      </c>
      <c r="J4480" t="s">
        <v>18</v>
      </c>
      <c r="K4480" t="s">
        <v>19</v>
      </c>
      <c r="L4480" t="s">
        <v>20</v>
      </c>
      <c r="M4480" t="s">
        <v>50</v>
      </c>
      <c r="N4480" t="s">
        <v>22</v>
      </c>
    </row>
    <row r="4481" spans="1:14">
      <c r="A4481" s="4" t="str">
        <f t="shared" si="436"/>
        <v>EXP00158</v>
      </c>
      <c r="B4481" s="4" t="str">
        <f t="shared" si="437"/>
        <v>24287398</v>
      </c>
      <c r="C4481" s="4" t="str">
        <f t="shared" si="438"/>
        <v>GSE46141</v>
      </c>
      <c r="D4481" s="1" t="s">
        <v>298</v>
      </c>
      <c r="E4481" t="s">
        <v>15</v>
      </c>
      <c r="F4481" s="1">
        <v>1</v>
      </c>
      <c r="G4481" s="1" t="s">
        <v>67</v>
      </c>
      <c r="H4481" s="4" t="str">
        <f>HYPERLINK("https://www.ncbi.nlm.nih.gov/geo/query/acc.cgi?acc=GSM1124904","GSM1124904")</f>
        <v>GSM1124904</v>
      </c>
      <c r="I4481" t="s">
        <v>17</v>
      </c>
      <c r="J4481" t="s">
        <v>18</v>
      </c>
      <c r="K4481" t="s">
        <v>19</v>
      </c>
      <c r="L4481" t="s">
        <v>20</v>
      </c>
      <c r="M4481" t="s">
        <v>50</v>
      </c>
      <c r="N4481" t="s">
        <v>22</v>
      </c>
    </row>
    <row r="4482" spans="1:14">
      <c r="A4482" s="4" t="str">
        <f t="shared" si="436"/>
        <v>EXP00158</v>
      </c>
      <c r="B4482" s="4" t="str">
        <f t="shared" si="437"/>
        <v>24287398</v>
      </c>
      <c r="C4482" s="4" t="str">
        <f t="shared" si="438"/>
        <v>GSE46141</v>
      </c>
      <c r="D4482" s="1" t="s">
        <v>298</v>
      </c>
      <c r="E4482" t="s">
        <v>15</v>
      </c>
      <c r="F4482" s="1">
        <v>1</v>
      </c>
      <c r="G4482" s="1" t="s">
        <v>67</v>
      </c>
      <c r="H4482" s="4" t="str">
        <f>HYPERLINK("https://www.ncbi.nlm.nih.gov/geo/query/acc.cgi?acc=GSM1124927","GSM1124927")</f>
        <v>GSM1124927</v>
      </c>
      <c r="I4482" t="s">
        <v>17</v>
      </c>
      <c r="J4482" t="s">
        <v>18</v>
      </c>
      <c r="K4482" t="s">
        <v>19</v>
      </c>
      <c r="L4482" t="s">
        <v>20</v>
      </c>
      <c r="M4482" t="s">
        <v>50</v>
      </c>
      <c r="N4482" t="s">
        <v>22</v>
      </c>
    </row>
    <row r="4483" spans="1:14">
      <c r="A4483" s="4" t="str">
        <f t="shared" si="436"/>
        <v>EXP00158</v>
      </c>
      <c r="B4483" s="4" t="str">
        <f t="shared" si="437"/>
        <v>24287398</v>
      </c>
      <c r="C4483" s="4" t="str">
        <f t="shared" si="438"/>
        <v>GSE46141</v>
      </c>
      <c r="D4483" s="1" t="s">
        <v>298</v>
      </c>
      <c r="E4483" t="s">
        <v>15</v>
      </c>
      <c r="F4483" s="1">
        <v>1</v>
      </c>
      <c r="G4483" s="1" t="s">
        <v>67</v>
      </c>
      <c r="H4483" s="4" t="str">
        <f>HYPERLINK("https://www.ncbi.nlm.nih.gov/geo/query/acc.cgi?acc=GSM1124953","GSM1124953")</f>
        <v>GSM1124953</v>
      </c>
      <c r="I4483" t="s">
        <v>17</v>
      </c>
      <c r="J4483" t="s">
        <v>18</v>
      </c>
      <c r="K4483" t="s">
        <v>19</v>
      </c>
      <c r="L4483" t="s">
        <v>20</v>
      </c>
      <c r="M4483" t="s">
        <v>50</v>
      </c>
      <c r="N4483" t="s">
        <v>22</v>
      </c>
    </row>
    <row r="4484" spans="1:14">
      <c r="A4484" s="4" t="str">
        <f t="shared" si="436"/>
        <v>EXP00158</v>
      </c>
      <c r="B4484" s="4" t="str">
        <f t="shared" si="437"/>
        <v>24287398</v>
      </c>
      <c r="C4484" s="4" t="str">
        <f t="shared" si="438"/>
        <v>GSE46141</v>
      </c>
      <c r="D4484" s="1" t="s">
        <v>298</v>
      </c>
      <c r="E4484" t="s">
        <v>15</v>
      </c>
      <c r="F4484" s="1">
        <v>2</v>
      </c>
      <c r="G4484" s="1" t="s">
        <v>299</v>
      </c>
      <c r="H4484" s="4" t="str">
        <f>HYPERLINK("https://www.ncbi.nlm.nih.gov/geo/query/acc.cgi?acc=GSM1124869","GSM1124869")</f>
        <v>GSM1124869</v>
      </c>
      <c r="I4484" t="s">
        <v>17</v>
      </c>
      <c r="J4484" t="s">
        <v>18</v>
      </c>
      <c r="K4484" t="s">
        <v>19</v>
      </c>
      <c r="L4484" t="s">
        <v>20</v>
      </c>
      <c r="M4484" t="s">
        <v>20</v>
      </c>
      <c r="N4484" t="s">
        <v>22</v>
      </c>
    </row>
    <row r="4485" spans="1:14">
      <c r="A4485" s="4" t="str">
        <f t="shared" si="436"/>
        <v>EXP00158</v>
      </c>
      <c r="B4485" s="4" t="str">
        <f t="shared" si="437"/>
        <v>24287398</v>
      </c>
      <c r="C4485" s="4" t="str">
        <f t="shared" si="438"/>
        <v>GSE46141</v>
      </c>
      <c r="D4485" s="1" t="s">
        <v>298</v>
      </c>
      <c r="E4485" t="s">
        <v>15</v>
      </c>
      <c r="F4485" s="1">
        <v>2</v>
      </c>
      <c r="G4485" s="1" t="s">
        <v>299</v>
      </c>
      <c r="H4485" s="4" t="str">
        <f>HYPERLINK("https://www.ncbi.nlm.nih.gov/geo/query/acc.cgi?acc=GSM1124870","GSM1124870")</f>
        <v>GSM1124870</v>
      </c>
      <c r="I4485" t="s">
        <v>17</v>
      </c>
      <c r="J4485" t="s">
        <v>18</v>
      </c>
      <c r="K4485" t="s">
        <v>19</v>
      </c>
      <c r="L4485" t="s">
        <v>20</v>
      </c>
      <c r="M4485" t="s">
        <v>20</v>
      </c>
      <c r="N4485" t="s">
        <v>22</v>
      </c>
    </row>
    <row r="4486" spans="1:14">
      <c r="A4486" s="4" t="str">
        <f t="shared" si="436"/>
        <v>EXP00158</v>
      </c>
      <c r="B4486" s="4" t="str">
        <f t="shared" si="437"/>
        <v>24287398</v>
      </c>
      <c r="C4486" s="4" t="str">
        <f t="shared" si="438"/>
        <v>GSE46141</v>
      </c>
      <c r="D4486" s="1" t="s">
        <v>298</v>
      </c>
      <c r="E4486" t="s">
        <v>15</v>
      </c>
      <c r="F4486" s="1">
        <v>2</v>
      </c>
      <c r="G4486" s="1" t="s">
        <v>299</v>
      </c>
      <c r="H4486" s="4" t="str">
        <f>HYPERLINK("https://www.ncbi.nlm.nih.gov/geo/query/acc.cgi?acc=GSM1124882","GSM1124882")</f>
        <v>GSM1124882</v>
      </c>
      <c r="I4486" t="s">
        <v>17</v>
      </c>
      <c r="J4486" t="s">
        <v>18</v>
      </c>
      <c r="K4486" t="s">
        <v>19</v>
      </c>
      <c r="L4486" t="s">
        <v>20</v>
      </c>
      <c r="M4486" t="s">
        <v>20</v>
      </c>
      <c r="N4486" t="s">
        <v>22</v>
      </c>
    </row>
    <row r="4487" spans="1:14">
      <c r="A4487" s="4" t="str">
        <f t="shared" si="436"/>
        <v>EXP00158</v>
      </c>
      <c r="B4487" s="4" t="str">
        <f t="shared" si="437"/>
        <v>24287398</v>
      </c>
      <c r="C4487" s="4" t="str">
        <f t="shared" si="438"/>
        <v>GSE46141</v>
      </c>
      <c r="D4487" s="1" t="s">
        <v>298</v>
      </c>
      <c r="E4487" t="s">
        <v>15</v>
      </c>
      <c r="F4487" s="1">
        <v>2</v>
      </c>
      <c r="G4487" s="1" t="s">
        <v>299</v>
      </c>
      <c r="H4487" s="4" t="str">
        <f>HYPERLINK("https://www.ncbi.nlm.nih.gov/geo/query/acc.cgi?acc=GSM1124884","GSM1124884")</f>
        <v>GSM1124884</v>
      </c>
      <c r="I4487" t="s">
        <v>17</v>
      </c>
      <c r="J4487" t="s">
        <v>18</v>
      </c>
      <c r="K4487" t="s">
        <v>19</v>
      </c>
      <c r="L4487" t="s">
        <v>20</v>
      </c>
      <c r="M4487" t="s">
        <v>20</v>
      </c>
      <c r="N4487" t="s">
        <v>22</v>
      </c>
    </row>
    <row r="4488" spans="1:14">
      <c r="A4488" s="4" t="str">
        <f t="shared" si="436"/>
        <v>EXP00158</v>
      </c>
      <c r="B4488" s="4" t="str">
        <f t="shared" si="437"/>
        <v>24287398</v>
      </c>
      <c r="C4488" s="4" t="str">
        <f t="shared" si="438"/>
        <v>GSE46141</v>
      </c>
      <c r="D4488" s="1" t="s">
        <v>298</v>
      </c>
      <c r="E4488" t="s">
        <v>15</v>
      </c>
      <c r="F4488" s="1">
        <v>2</v>
      </c>
      <c r="G4488" s="1" t="s">
        <v>299</v>
      </c>
      <c r="H4488" s="4" t="str">
        <f>HYPERLINK("https://www.ncbi.nlm.nih.gov/geo/query/acc.cgi?acc=GSM1124898","GSM1124898")</f>
        <v>GSM1124898</v>
      </c>
      <c r="I4488" t="s">
        <v>17</v>
      </c>
      <c r="J4488" t="s">
        <v>18</v>
      </c>
      <c r="K4488" t="s">
        <v>19</v>
      </c>
      <c r="L4488" t="s">
        <v>20</v>
      </c>
      <c r="M4488" t="s">
        <v>20</v>
      </c>
      <c r="N4488" t="s">
        <v>22</v>
      </c>
    </row>
    <row r="4489" spans="1:14">
      <c r="A4489" s="4" t="str">
        <f t="shared" si="436"/>
        <v>EXP00158</v>
      </c>
      <c r="B4489" s="4" t="str">
        <f t="shared" si="437"/>
        <v>24287398</v>
      </c>
      <c r="C4489" s="4" t="str">
        <f t="shared" si="438"/>
        <v>GSE46141</v>
      </c>
      <c r="D4489" s="1" t="s">
        <v>298</v>
      </c>
      <c r="E4489" t="s">
        <v>15</v>
      </c>
      <c r="F4489" s="1">
        <v>2</v>
      </c>
      <c r="G4489" s="1" t="s">
        <v>299</v>
      </c>
      <c r="H4489" s="4" t="str">
        <f>HYPERLINK("https://www.ncbi.nlm.nih.gov/geo/query/acc.cgi?acc=GSM1124903","GSM1124903")</f>
        <v>GSM1124903</v>
      </c>
      <c r="I4489" t="s">
        <v>17</v>
      </c>
      <c r="J4489" t="s">
        <v>18</v>
      </c>
      <c r="K4489" t="s">
        <v>19</v>
      </c>
      <c r="L4489" t="s">
        <v>20</v>
      </c>
      <c r="M4489" t="s">
        <v>20</v>
      </c>
      <c r="N4489" t="s">
        <v>22</v>
      </c>
    </row>
    <row r="4490" spans="1:14">
      <c r="A4490" s="4" t="str">
        <f t="shared" si="436"/>
        <v>EXP00158</v>
      </c>
      <c r="B4490" s="4" t="str">
        <f t="shared" si="437"/>
        <v>24287398</v>
      </c>
      <c r="C4490" s="4" t="str">
        <f t="shared" si="438"/>
        <v>GSE46141</v>
      </c>
      <c r="D4490" s="1" t="s">
        <v>298</v>
      </c>
      <c r="E4490" t="s">
        <v>15</v>
      </c>
      <c r="F4490" s="1">
        <v>2</v>
      </c>
      <c r="G4490" s="1" t="s">
        <v>299</v>
      </c>
      <c r="H4490" s="4" t="str">
        <f>HYPERLINK("https://www.ncbi.nlm.nih.gov/geo/query/acc.cgi?acc=GSM1124905","GSM1124905")</f>
        <v>GSM1124905</v>
      </c>
      <c r="I4490" t="s">
        <v>17</v>
      </c>
      <c r="J4490" t="s">
        <v>18</v>
      </c>
      <c r="K4490" t="s">
        <v>19</v>
      </c>
      <c r="L4490" t="s">
        <v>20</v>
      </c>
      <c r="M4490" t="s">
        <v>20</v>
      </c>
      <c r="N4490" t="s">
        <v>22</v>
      </c>
    </row>
    <row r="4491" spans="1:14">
      <c r="A4491" s="4" t="str">
        <f t="shared" si="436"/>
        <v>EXP00158</v>
      </c>
      <c r="B4491" s="4" t="str">
        <f t="shared" si="437"/>
        <v>24287398</v>
      </c>
      <c r="C4491" s="4" t="str">
        <f t="shared" si="438"/>
        <v>GSE46141</v>
      </c>
      <c r="D4491" s="1" t="s">
        <v>298</v>
      </c>
      <c r="E4491" t="s">
        <v>15</v>
      </c>
      <c r="F4491" s="1">
        <v>2</v>
      </c>
      <c r="G4491" s="1" t="s">
        <v>299</v>
      </c>
      <c r="H4491" s="4" t="str">
        <f>HYPERLINK("https://www.ncbi.nlm.nih.gov/geo/query/acc.cgi?acc=GSM1124910","GSM1124910")</f>
        <v>GSM1124910</v>
      </c>
      <c r="I4491" t="s">
        <v>17</v>
      </c>
      <c r="J4491" t="s">
        <v>18</v>
      </c>
      <c r="K4491" t="s">
        <v>19</v>
      </c>
      <c r="L4491" t="s">
        <v>20</v>
      </c>
      <c r="M4491" t="s">
        <v>20</v>
      </c>
      <c r="N4491" t="s">
        <v>22</v>
      </c>
    </row>
    <row r="4492" spans="1:14">
      <c r="A4492" s="4" t="str">
        <f t="shared" si="436"/>
        <v>EXP00158</v>
      </c>
      <c r="B4492" s="4" t="str">
        <f t="shared" si="437"/>
        <v>24287398</v>
      </c>
      <c r="C4492" s="4" t="str">
        <f t="shared" si="438"/>
        <v>GSE46141</v>
      </c>
      <c r="D4492" s="1" t="s">
        <v>298</v>
      </c>
      <c r="E4492" t="s">
        <v>15</v>
      </c>
      <c r="F4492" s="1">
        <v>2</v>
      </c>
      <c r="G4492" s="1" t="s">
        <v>299</v>
      </c>
      <c r="H4492" s="4" t="str">
        <f>HYPERLINK("https://www.ncbi.nlm.nih.gov/geo/query/acc.cgi?acc=GSM1124919","GSM1124919")</f>
        <v>GSM1124919</v>
      </c>
      <c r="I4492" t="s">
        <v>17</v>
      </c>
      <c r="J4492" t="s">
        <v>18</v>
      </c>
      <c r="K4492" t="s">
        <v>19</v>
      </c>
      <c r="L4492" t="s">
        <v>20</v>
      </c>
      <c r="M4492" t="s">
        <v>20</v>
      </c>
      <c r="N4492" t="s">
        <v>22</v>
      </c>
    </row>
    <row r="4493" spans="1:14">
      <c r="A4493" s="4" t="str">
        <f t="shared" si="436"/>
        <v>EXP00158</v>
      </c>
      <c r="B4493" s="4" t="str">
        <f t="shared" si="437"/>
        <v>24287398</v>
      </c>
      <c r="C4493" s="4" t="str">
        <f t="shared" si="438"/>
        <v>GSE46141</v>
      </c>
      <c r="D4493" s="1" t="s">
        <v>298</v>
      </c>
      <c r="E4493" t="s">
        <v>15</v>
      </c>
      <c r="F4493" s="1">
        <v>2</v>
      </c>
      <c r="G4493" s="1" t="s">
        <v>299</v>
      </c>
      <c r="H4493" s="4" t="str">
        <f>HYPERLINK("https://www.ncbi.nlm.nih.gov/geo/query/acc.cgi?acc=GSM1124932","GSM1124932")</f>
        <v>GSM1124932</v>
      </c>
      <c r="I4493" t="s">
        <v>17</v>
      </c>
      <c r="J4493" t="s">
        <v>18</v>
      </c>
      <c r="K4493" t="s">
        <v>19</v>
      </c>
      <c r="L4493" t="s">
        <v>20</v>
      </c>
      <c r="M4493" t="s">
        <v>20</v>
      </c>
      <c r="N4493" t="s">
        <v>22</v>
      </c>
    </row>
    <row r="4494" spans="1:14">
      <c r="A4494" s="4" t="str">
        <f t="shared" si="436"/>
        <v>EXP00158</v>
      </c>
      <c r="B4494" s="4" t="str">
        <f t="shared" si="437"/>
        <v>24287398</v>
      </c>
      <c r="C4494" s="4" t="str">
        <f t="shared" si="438"/>
        <v>GSE46141</v>
      </c>
      <c r="D4494" s="1" t="s">
        <v>298</v>
      </c>
      <c r="E4494" t="s">
        <v>15</v>
      </c>
      <c r="F4494" s="1">
        <v>2</v>
      </c>
      <c r="G4494" s="1" t="s">
        <v>299</v>
      </c>
      <c r="H4494" s="4" t="str">
        <f>HYPERLINK("https://www.ncbi.nlm.nih.gov/geo/query/acc.cgi?acc=GSM1124933","GSM1124933")</f>
        <v>GSM1124933</v>
      </c>
      <c r="I4494" t="s">
        <v>17</v>
      </c>
      <c r="J4494" t="s">
        <v>18</v>
      </c>
      <c r="K4494" t="s">
        <v>19</v>
      </c>
      <c r="L4494" t="s">
        <v>20</v>
      </c>
      <c r="M4494" t="s">
        <v>20</v>
      </c>
      <c r="N4494" t="s">
        <v>22</v>
      </c>
    </row>
    <row r="4495" spans="1:14">
      <c r="A4495" s="4" t="str">
        <f t="shared" ref="A4495:A4515" si="439">HYPERLINK("http://hcmdb.i-sanger.com/experiment/details/experiment_id/EXP00159","EXP00159")</f>
        <v>EXP00159</v>
      </c>
      <c r="B4495" s="4" t="str">
        <f t="shared" si="437"/>
        <v>24287398</v>
      </c>
      <c r="C4495" s="4" t="str">
        <f t="shared" si="438"/>
        <v>GSE46141</v>
      </c>
      <c r="D4495" s="1" t="s">
        <v>298</v>
      </c>
      <c r="E4495" t="s">
        <v>15</v>
      </c>
      <c r="F4495" s="1">
        <v>1</v>
      </c>
      <c r="G4495" s="1" t="s">
        <v>67</v>
      </c>
      <c r="H4495" s="4" t="str">
        <f>HYPERLINK("https://www.ncbi.nlm.nih.gov/geo/query/acc.cgi?acc=GSM1124888","GSM1124888")</f>
        <v>GSM1124888</v>
      </c>
      <c r="I4495" t="s">
        <v>17</v>
      </c>
      <c r="J4495" t="s">
        <v>18</v>
      </c>
      <c r="K4495" t="s">
        <v>19</v>
      </c>
      <c r="L4495" t="s">
        <v>20</v>
      </c>
      <c r="M4495" t="s">
        <v>50</v>
      </c>
      <c r="N4495" t="s">
        <v>22</v>
      </c>
    </row>
    <row r="4496" spans="1:14">
      <c r="A4496" s="4" t="str">
        <f t="shared" si="439"/>
        <v>EXP00159</v>
      </c>
      <c r="B4496" s="4" t="str">
        <f t="shared" si="437"/>
        <v>24287398</v>
      </c>
      <c r="C4496" s="4" t="str">
        <f t="shared" si="438"/>
        <v>GSE46141</v>
      </c>
      <c r="D4496" s="1" t="s">
        <v>298</v>
      </c>
      <c r="E4496" t="s">
        <v>15</v>
      </c>
      <c r="F4496" s="1">
        <v>1</v>
      </c>
      <c r="G4496" s="1" t="s">
        <v>67</v>
      </c>
      <c r="H4496" s="4" t="str">
        <f>HYPERLINK("https://www.ncbi.nlm.nih.gov/geo/query/acc.cgi?acc=GSM1124890","GSM1124890")</f>
        <v>GSM1124890</v>
      </c>
      <c r="I4496" t="s">
        <v>17</v>
      </c>
      <c r="J4496" t="s">
        <v>18</v>
      </c>
      <c r="K4496" t="s">
        <v>19</v>
      </c>
      <c r="L4496" t="s">
        <v>20</v>
      </c>
      <c r="M4496" t="s">
        <v>50</v>
      </c>
      <c r="N4496" t="s">
        <v>22</v>
      </c>
    </row>
    <row r="4497" spans="1:14">
      <c r="A4497" s="4" t="str">
        <f t="shared" si="439"/>
        <v>EXP00159</v>
      </c>
      <c r="B4497" s="4" t="str">
        <f t="shared" si="437"/>
        <v>24287398</v>
      </c>
      <c r="C4497" s="4" t="str">
        <f t="shared" si="438"/>
        <v>GSE46141</v>
      </c>
      <c r="D4497" s="1" t="s">
        <v>298</v>
      </c>
      <c r="E4497" t="s">
        <v>15</v>
      </c>
      <c r="F4497" s="1">
        <v>1</v>
      </c>
      <c r="G4497" s="1" t="s">
        <v>67</v>
      </c>
      <c r="H4497" s="4" t="str">
        <f>HYPERLINK("https://www.ncbi.nlm.nih.gov/geo/query/acc.cgi?acc=GSM1124904","GSM1124904")</f>
        <v>GSM1124904</v>
      </c>
      <c r="I4497" t="s">
        <v>17</v>
      </c>
      <c r="J4497" t="s">
        <v>18</v>
      </c>
      <c r="K4497" t="s">
        <v>19</v>
      </c>
      <c r="L4497" t="s">
        <v>20</v>
      </c>
      <c r="M4497" t="s">
        <v>50</v>
      </c>
      <c r="N4497" t="s">
        <v>22</v>
      </c>
    </row>
    <row r="4498" spans="1:14">
      <c r="A4498" s="4" t="str">
        <f t="shared" si="439"/>
        <v>EXP00159</v>
      </c>
      <c r="B4498" s="4" t="str">
        <f t="shared" si="437"/>
        <v>24287398</v>
      </c>
      <c r="C4498" s="4" t="str">
        <f t="shared" si="438"/>
        <v>GSE46141</v>
      </c>
      <c r="D4498" s="1" t="s">
        <v>298</v>
      </c>
      <c r="E4498" t="s">
        <v>15</v>
      </c>
      <c r="F4498" s="1">
        <v>1</v>
      </c>
      <c r="G4498" s="1" t="s">
        <v>67</v>
      </c>
      <c r="H4498" s="4" t="str">
        <f>HYPERLINK("https://www.ncbi.nlm.nih.gov/geo/query/acc.cgi?acc=GSM1124927","GSM1124927")</f>
        <v>GSM1124927</v>
      </c>
      <c r="I4498" t="s">
        <v>17</v>
      </c>
      <c r="J4498" t="s">
        <v>18</v>
      </c>
      <c r="K4498" t="s">
        <v>19</v>
      </c>
      <c r="L4498" t="s">
        <v>20</v>
      </c>
      <c r="M4498" t="s">
        <v>50</v>
      </c>
      <c r="N4498" t="s">
        <v>22</v>
      </c>
    </row>
    <row r="4499" spans="1:14">
      <c r="A4499" s="4" t="str">
        <f t="shared" si="439"/>
        <v>EXP00159</v>
      </c>
      <c r="B4499" s="4" t="str">
        <f t="shared" si="437"/>
        <v>24287398</v>
      </c>
      <c r="C4499" s="4" t="str">
        <f t="shared" si="438"/>
        <v>GSE46141</v>
      </c>
      <c r="D4499" s="1" t="s">
        <v>298</v>
      </c>
      <c r="E4499" t="s">
        <v>15</v>
      </c>
      <c r="F4499" s="1">
        <v>1</v>
      </c>
      <c r="G4499" s="1" t="s">
        <v>67</v>
      </c>
      <c r="H4499" s="4" t="str">
        <f>HYPERLINK("https://www.ncbi.nlm.nih.gov/geo/query/acc.cgi?acc=GSM1124953","GSM1124953")</f>
        <v>GSM1124953</v>
      </c>
      <c r="I4499" t="s">
        <v>17</v>
      </c>
      <c r="J4499" t="s">
        <v>18</v>
      </c>
      <c r="K4499" t="s">
        <v>19</v>
      </c>
      <c r="L4499" t="s">
        <v>20</v>
      </c>
      <c r="M4499" t="s">
        <v>50</v>
      </c>
      <c r="N4499" t="s">
        <v>22</v>
      </c>
    </row>
    <row r="4500" spans="1:14">
      <c r="A4500" s="4" t="str">
        <f t="shared" si="439"/>
        <v>EXP00159</v>
      </c>
      <c r="B4500" s="4" t="str">
        <f t="shared" si="437"/>
        <v>24287398</v>
      </c>
      <c r="C4500" s="4" t="str">
        <f t="shared" si="438"/>
        <v>GSE46141</v>
      </c>
      <c r="D4500" s="1" t="s">
        <v>298</v>
      </c>
      <c r="E4500" t="s">
        <v>15</v>
      </c>
      <c r="F4500" s="1">
        <v>2</v>
      </c>
      <c r="G4500" s="1" t="s">
        <v>63</v>
      </c>
      <c r="H4500" s="4" t="str">
        <f>HYPERLINK("https://www.ncbi.nlm.nih.gov/geo/query/acc.cgi?acc=GSM1124867","GSM1124867")</f>
        <v>GSM1124867</v>
      </c>
      <c r="I4500" t="s">
        <v>17</v>
      </c>
      <c r="J4500" t="s">
        <v>18</v>
      </c>
      <c r="K4500" t="s">
        <v>19</v>
      </c>
      <c r="L4500" t="s">
        <v>20</v>
      </c>
      <c r="M4500" t="s">
        <v>44</v>
      </c>
      <c r="N4500" t="s">
        <v>22</v>
      </c>
    </row>
    <row r="4501" spans="1:14">
      <c r="A4501" s="4" t="str">
        <f t="shared" si="439"/>
        <v>EXP00159</v>
      </c>
      <c r="B4501" s="4" t="str">
        <f t="shared" si="437"/>
        <v>24287398</v>
      </c>
      <c r="C4501" s="4" t="str">
        <f t="shared" si="438"/>
        <v>GSE46141</v>
      </c>
      <c r="D4501" s="1" t="s">
        <v>298</v>
      </c>
      <c r="E4501" t="s">
        <v>15</v>
      </c>
      <c r="F4501" s="1">
        <v>2</v>
      </c>
      <c r="G4501" s="1" t="s">
        <v>63</v>
      </c>
      <c r="H4501" s="4" t="str">
        <f>HYPERLINK("https://www.ncbi.nlm.nih.gov/geo/query/acc.cgi?acc=GSM1124868","GSM1124868")</f>
        <v>GSM1124868</v>
      </c>
      <c r="I4501" t="s">
        <v>17</v>
      </c>
      <c r="J4501" t="s">
        <v>18</v>
      </c>
      <c r="K4501" t="s">
        <v>19</v>
      </c>
      <c r="L4501" t="s">
        <v>20</v>
      </c>
      <c r="M4501" t="s">
        <v>44</v>
      </c>
      <c r="N4501" t="s">
        <v>22</v>
      </c>
    </row>
    <row r="4502" spans="1:14">
      <c r="A4502" s="4" t="str">
        <f t="shared" si="439"/>
        <v>EXP00159</v>
      </c>
      <c r="B4502" s="4" t="str">
        <f t="shared" si="437"/>
        <v>24287398</v>
      </c>
      <c r="C4502" s="4" t="str">
        <f t="shared" si="438"/>
        <v>GSE46141</v>
      </c>
      <c r="D4502" s="1" t="s">
        <v>298</v>
      </c>
      <c r="E4502" t="s">
        <v>15</v>
      </c>
      <c r="F4502" s="1">
        <v>2</v>
      </c>
      <c r="G4502" s="1" t="s">
        <v>63</v>
      </c>
      <c r="H4502" s="4" t="str">
        <f>HYPERLINK("https://www.ncbi.nlm.nih.gov/geo/query/acc.cgi?acc=GSM1124878","GSM1124878")</f>
        <v>GSM1124878</v>
      </c>
      <c r="I4502" t="s">
        <v>17</v>
      </c>
      <c r="J4502" t="s">
        <v>18</v>
      </c>
      <c r="K4502" t="s">
        <v>19</v>
      </c>
      <c r="L4502" t="s">
        <v>20</v>
      </c>
      <c r="M4502" t="s">
        <v>44</v>
      </c>
      <c r="N4502" t="s">
        <v>22</v>
      </c>
    </row>
    <row r="4503" spans="1:14">
      <c r="A4503" s="4" t="str">
        <f t="shared" si="439"/>
        <v>EXP00159</v>
      </c>
      <c r="B4503" s="4" t="str">
        <f t="shared" si="437"/>
        <v>24287398</v>
      </c>
      <c r="C4503" s="4" t="str">
        <f t="shared" si="438"/>
        <v>GSE46141</v>
      </c>
      <c r="D4503" s="1" t="s">
        <v>298</v>
      </c>
      <c r="E4503" t="s">
        <v>15</v>
      </c>
      <c r="F4503" s="1">
        <v>2</v>
      </c>
      <c r="G4503" s="1" t="s">
        <v>63</v>
      </c>
      <c r="H4503" s="4" t="str">
        <f>HYPERLINK("https://www.ncbi.nlm.nih.gov/geo/query/acc.cgi?acc=GSM1124895","GSM1124895")</f>
        <v>GSM1124895</v>
      </c>
      <c r="I4503" t="s">
        <v>17</v>
      </c>
      <c r="J4503" t="s">
        <v>18</v>
      </c>
      <c r="K4503" t="s">
        <v>19</v>
      </c>
      <c r="L4503" t="s">
        <v>20</v>
      </c>
      <c r="M4503" t="s">
        <v>44</v>
      </c>
      <c r="N4503" t="s">
        <v>22</v>
      </c>
    </row>
    <row r="4504" spans="1:14">
      <c r="A4504" s="4" t="str">
        <f t="shared" si="439"/>
        <v>EXP00159</v>
      </c>
      <c r="B4504" s="4" t="str">
        <f t="shared" si="437"/>
        <v>24287398</v>
      </c>
      <c r="C4504" s="4" t="str">
        <f t="shared" si="438"/>
        <v>GSE46141</v>
      </c>
      <c r="D4504" s="1" t="s">
        <v>298</v>
      </c>
      <c r="E4504" t="s">
        <v>15</v>
      </c>
      <c r="F4504" s="1">
        <v>2</v>
      </c>
      <c r="G4504" s="1" t="s">
        <v>63</v>
      </c>
      <c r="H4504" s="4" t="str">
        <f>HYPERLINK("https://www.ncbi.nlm.nih.gov/geo/query/acc.cgi?acc=GSM1124897","GSM1124897")</f>
        <v>GSM1124897</v>
      </c>
      <c r="I4504" t="s">
        <v>17</v>
      </c>
      <c r="J4504" t="s">
        <v>18</v>
      </c>
      <c r="K4504" t="s">
        <v>19</v>
      </c>
      <c r="L4504" t="s">
        <v>20</v>
      </c>
      <c r="M4504" t="s">
        <v>44</v>
      </c>
      <c r="N4504" t="s">
        <v>22</v>
      </c>
    </row>
    <row r="4505" spans="1:14">
      <c r="A4505" s="4" t="str">
        <f t="shared" si="439"/>
        <v>EXP00159</v>
      </c>
      <c r="B4505" s="4" t="str">
        <f t="shared" si="437"/>
        <v>24287398</v>
      </c>
      <c r="C4505" s="4" t="str">
        <f t="shared" si="438"/>
        <v>GSE46141</v>
      </c>
      <c r="D4505" s="1" t="s">
        <v>298</v>
      </c>
      <c r="E4505" t="s">
        <v>15</v>
      </c>
      <c r="F4505" s="1">
        <v>2</v>
      </c>
      <c r="G4505" s="1" t="s">
        <v>63</v>
      </c>
      <c r="H4505" s="4" t="str">
        <f>HYPERLINK("https://www.ncbi.nlm.nih.gov/geo/query/acc.cgi?acc=GSM1124902","GSM1124902")</f>
        <v>GSM1124902</v>
      </c>
      <c r="I4505" t="s">
        <v>17</v>
      </c>
      <c r="J4505" t="s">
        <v>18</v>
      </c>
      <c r="K4505" t="s">
        <v>19</v>
      </c>
      <c r="L4505" t="s">
        <v>20</v>
      </c>
      <c r="M4505" t="s">
        <v>44</v>
      </c>
      <c r="N4505" t="s">
        <v>22</v>
      </c>
    </row>
    <row r="4506" spans="1:14">
      <c r="A4506" s="4" t="str">
        <f t="shared" si="439"/>
        <v>EXP00159</v>
      </c>
      <c r="B4506" s="4" t="str">
        <f t="shared" si="437"/>
        <v>24287398</v>
      </c>
      <c r="C4506" s="4" t="str">
        <f t="shared" si="438"/>
        <v>GSE46141</v>
      </c>
      <c r="D4506" s="1" t="s">
        <v>298</v>
      </c>
      <c r="E4506" t="s">
        <v>15</v>
      </c>
      <c r="F4506" s="1">
        <v>2</v>
      </c>
      <c r="G4506" s="1" t="s">
        <v>63</v>
      </c>
      <c r="H4506" s="4" t="str">
        <f>HYPERLINK("https://www.ncbi.nlm.nih.gov/geo/query/acc.cgi?acc=GSM1124908","GSM1124908")</f>
        <v>GSM1124908</v>
      </c>
      <c r="I4506" t="s">
        <v>17</v>
      </c>
      <c r="J4506" t="s">
        <v>18</v>
      </c>
      <c r="K4506" t="s">
        <v>19</v>
      </c>
      <c r="L4506" t="s">
        <v>20</v>
      </c>
      <c r="M4506" t="s">
        <v>44</v>
      </c>
      <c r="N4506" t="s">
        <v>22</v>
      </c>
    </row>
    <row r="4507" spans="1:14">
      <c r="A4507" s="4" t="str">
        <f t="shared" si="439"/>
        <v>EXP00159</v>
      </c>
      <c r="B4507" s="4" t="str">
        <f t="shared" si="437"/>
        <v>24287398</v>
      </c>
      <c r="C4507" s="4" t="str">
        <f t="shared" si="438"/>
        <v>GSE46141</v>
      </c>
      <c r="D4507" s="1" t="s">
        <v>298</v>
      </c>
      <c r="E4507" t="s">
        <v>15</v>
      </c>
      <c r="F4507" s="1">
        <v>2</v>
      </c>
      <c r="G4507" s="1" t="s">
        <v>63</v>
      </c>
      <c r="H4507" s="4" t="str">
        <f>HYPERLINK("https://www.ncbi.nlm.nih.gov/geo/query/acc.cgi?acc=GSM1124921","GSM1124921")</f>
        <v>GSM1124921</v>
      </c>
      <c r="I4507" t="s">
        <v>17</v>
      </c>
      <c r="J4507" t="s">
        <v>18</v>
      </c>
      <c r="K4507" t="s">
        <v>19</v>
      </c>
      <c r="L4507" t="s">
        <v>20</v>
      </c>
      <c r="M4507" t="s">
        <v>44</v>
      </c>
      <c r="N4507" t="s">
        <v>22</v>
      </c>
    </row>
    <row r="4508" spans="1:14">
      <c r="A4508" s="4" t="str">
        <f t="shared" si="439"/>
        <v>EXP00159</v>
      </c>
      <c r="B4508" s="4" t="str">
        <f t="shared" si="437"/>
        <v>24287398</v>
      </c>
      <c r="C4508" s="4" t="str">
        <f t="shared" si="438"/>
        <v>GSE46141</v>
      </c>
      <c r="D4508" s="1" t="s">
        <v>298</v>
      </c>
      <c r="E4508" t="s">
        <v>15</v>
      </c>
      <c r="F4508" s="1">
        <v>2</v>
      </c>
      <c r="G4508" s="1" t="s">
        <v>63</v>
      </c>
      <c r="H4508" s="4" t="str">
        <f>HYPERLINK("https://www.ncbi.nlm.nih.gov/geo/query/acc.cgi?acc=GSM1124939","GSM1124939")</f>
        <v>GSM1124939</v>
      </c>
      <c r="I4508" t="s">
        <v>17</v>
      </c>
      <c r="J4508" t="s">
        <v>18</v>
      </c>
      <c r="K4508" t="s">
        <v>19</v>
      </c>
      <c r="L4508" t="s">
        <v>20</v>
      </c>
      <c r="M4508" t="s">
        <v>44</v>
      </c>
      <c r="N4508" t="s">
        <v>22</v>
      </c>
    </row>
    <row r="4509" spans="1:14">
      <c r="A4509" s="4" t="str">
        <f t="shared" si="439"/>
        <v>EXP00159</v>
      </c>
      <c r="B4509" s="4" t="str">
        <f t="shared" si="437"/>
        <v>24287398</v>
      </c>
      <c r="C4509" s="4" t="str">
        <f t="shared" si="438"/>
        <v>GSE46141</v>
      </c>
      <c r="D4509" s="1" t="s">
        <v>298</v>
      </c>
      <c r="E4509" t="s">
        <v>15</v>
      </c>
      <c r="F4509" s="1">
        <v>2</v>
      </c>
      <c r="G4509" s="1" t="s">
        <v>63</v>
      </c>
      <c r="H4509" s="4" t="str">
        <f>HYPERLINK("https://www.ncbi.nlm.nih.gov/geo/query/acc.cgi?acc=GSM1124944","GSM1124944")</f>
        <v>GSM1124944</v>
      </c>
      <c r="I4509" t="s">
        <v>17</v>
      </c>
      <c r="J4509" t="s">
        <v>18</v>
      </c>
      <c r="K4509" t="s">
        <v>19</v>
      </c>
      <c r="L4509" t="s">
        <v>20</v>
      </c>
      <c r="M4509" t="s">
        <v>44</v>
      </c>
      <c r="N4509" t="s">
        <v>22</v>
      </c>
    </row>
    <row r="4510" spans="1:14">
      <c r="A4510" s="4" t="str">
        <f t="shared" si="439"/>
        <v>EXP00159</v>
      </c>
      <c r="B4510" s="4" t="str">
        <f t="shared" si="437"/>
        <v>24287398</v>
      </c>
      <c r="C4510" s="4" t="str">
        <f t="shared" si="438"/>
        <v>GSE46141</v>
      </c>
      <c r="D4510" s="1" t="s">
        <v>298</v>
      </c>
      <c r="E4510" t="s">
        <v>15</v>
      </c>
      <c r="F4510" s="1">
        <v>2</v>
      </c>
      <c r="G4510" s="1" t="s">
        <v>63</v>
      </c>
      <c r="H4510" s="4" t="str">
        <f>HYPERLINK("https://www.ncbi.nlm.nih.gov/geo/query/acc.cgi?acc=GSM1124945","GSM1124945")</f>
        <v>GSM1124945</v>
      </c>
      <c r="I4510" t="s">
        <v>17</v>
      </c>
      <c r="J4510" t="s">
        <v>18</v>
      </c>
      <c r="K4510" t="s">
        <v>19</v>
      </c>
      <c r="L4510" t="s">
        <v>20</v>
      </c>
      <c r="M4510" t="s">
        <v>44</v>
      </c>
      <c r="N4510" t="s">
        <v>22</v>
      </c>
    </row>
    <row r="4511" spans="1:14">
      <c r="A4511" s="4" t="str">
        <f t="shared" si="439"/>
        <v>EXP00159</v>
      </c>
      <c r="B4511" s="4" t="str">
        <f t="shared" si="437"/>
        <v>24287398</v>
      </c>
      <c r="C4511" s="4" t="str">
        <f t="shared" si="438"/>
        <v>GSE46141</v>
      </c>
      <c r="D4511" s="1" t="s">
        <v>298</v>
      </c>
      <c r="E4511" t="s">
        <v>15</v>
      </c>
      <c r="F4511" s="1">
        <v>2</v>
      </c>
      <c r="G4511" s="1" t="s">
        <v>63</v>
      </c>
      <c r="H4511" s="4" t="str">
        <f>HYPERLINK("https://www.ncbi.nlm.nih.gov/geo/query/acc.cgi?acc=GSM1124946","GSM1124946")</f>
        <v>GSM1124946</v>
      </c>
      <c r="I4511" t="s">
        <v>17</v>
      </c>
      <c r="J4511" t="s">
        <v>18</v>
      </c>
      <c r="K4511" t="s">
        <v>19</v>
      </c>
      <c r="L4511" t="s">
        <v>20</v>
      </c>
      <c r="M4511" t="s">
        <v>44</v>
      </c>
      <c r="N4511" t="s">
        <v>22</v>
      </c>
    </row>
    <row r="4512" spans="1:14">
      <c r="A4512" s="4" t="str">
        <f t="shared" si="439"/>
        <v>EXP00159</v>
      </c>
      <c r="B4512" s="4" t="str">
        <f t="shared" si="437"/>
        <v>24287398</v>
      </c>
      <c r="C4512" s="4" t="str">
        <f t="shared" si="438"/>
        <v>GSE46141</v>
      </c>
      <c r="D4512" s="1" t="s">
        <v>298</v>
      </c>
      <c r="E4512" t="s">
        <v>15</v>
      </c>
      <c r="F4512" s="1">
        <v>2</v>
      </c>
      <c r="G4512" s="1" t="s">
        <v>63</v>
      </c>
      <c r="H4512" s="4" t="str">
        <f>HYPERLINK("https://www.ncbi.nlm.nih.gov/geo/query/acc.cgi?acc=GSM1124947","GSM1124947")</f>
        <v>GSM1124947</v>
      </c>
      <c r="I4512" t="s">
        <v>17</v>
      </c>
      <c r="J4512" t="s">
        <v>18</v>
      </c>
      <c r="K4512" t="s">
        <v>19</v>
      </c>
      <c r="L4512" t="s">
        <v>20</v>
      </c>
      <c r="M4512" t="s">
        <v>44</v>
      </c>
      <c r="N4512" t="s">
        <v>22</v>
      </c>
    </row>
    <row r="4513" spans="1:14">
      <c r="A4513" s="4" t="str">
        <f t="shared" si="439"/>
        <v>EXP00159</v>
      </c>
      <c r="B4513" s="4" t="str">
        <f t="shared" si="437"/>
        <v>24287398</v>
      </c>
      <c r="C4513" s="4" t="str">
        <f t="shared" si="438"/>
        <v>GSE46141</v>
      </c>
      <c r="D4513" s="1" t="s">
        <v>298</v>
      </c>
      <c r="E4513" t="s">
        <v>15</v>
      </c>
      <c r="F4513" s="1">
        <v>2</v>
      </c>
      <c r="G4513" s="1" t="s">
        <v>63</v>
      </c>
      <c r="H4513" s="4" t="str">
        <f>HYPERLINK("https://www.ncbi.nlm.nih.gov/geo/query/acc.cgi?acc=GSM1124951","GSM1124951")</f>
        <v>GSM1124951</v>
      </c>
      <c r="I4513" t="s">
        <v>17</v>
      </c>
      <c r="J4513" t="s">
        <v>18</v>
      </c>
      <c r="K4513" t="s">
        <v>19</v>
      </c>
      <c r="L4513" t="s">
        <v>20</v>
      </c>
      <c r="M4513" t="s">
        <v>44</v>
      </c>
      <c r="N4513" t="s">
        <v>22</v>
      </c>
    </row>
    <row r="4514" spans="1:14">
      <c r="A4514" s="4" t="str">
        <f t="shared" si="439"/>
        <v>EXP00159</v>
      </c>
      <c r="B4514" s="4" t="str">
        <f t="shared" si="437"/>
        <v>24287398</v>
      </c>
      <c r="C4514" s="4" t="str">
        <f t="shared" si="438"/>
        <v>GSE46141</v>
      </c>
      <c r="D4514" s="1" t="s">
        <v>298</v>
      </c>
      <c r="E4514" t="s">
        <v>15</v>
      </c>
      <c r="F4514" s="1">
        <v>2</v>
      </c>
      <c r="G4514" s="1" t="s">
        <v>63</v>
      </c>
      <c r="H4514" s="4" t="str">
        <f>HYPERLINK("https://www.ncbi.nlm.nih.gov/geo/query/acc.cgi?acc=GSM1124952","GSM1124952")</f>
        <v>GSM1124952</v>
      </c>
      <c r="I4514" t="s">
        <v>17</v>
      </c>
      <c r="J4514" t="s">
        <v>18</v>
      </c>
      <c r="K4514" t="s">
        <v>19</v>
      </c>
      <c r="L4514" t="s">
        <v>20</v>
      </c>
      <c r="M4514" t="s">
        <v>44</v>
      </c>
      <c r="N4514" t="s">
        <v>22</v>
      </c>
    </row>
    <row r="4515" spans="1:14">
      <c r="A4515" s="4" t="str">
        <f t="shared" si="439"/>
        <v>EXP00159</v>
      </c>
      <c r="B4515" s="4" t="str">
        <f t="shared" si="437"/>
        <v>24287398</v>
      </c>
      <c r="C4515" s="4" t="str">
        <f t="shared" si="438"/>
        <v>GSE46141</v>
      </c>
      <c r="D4515" s="1" t="s">
        <v>298</v>
      </c>
      <c r="E4515" t="s">
        <v>15</v>
      </c>
      <c r="F4515" s="1">
        <v>2</v>
      </c>
      <c r="G4515" s="1" t="s">
        <v>63</v>
      </c>
      <c r="H4515" s="4" t="str">
        <f>HYPERLINK("https://www.ncbi.nlm.nih.gov/geo/query/acc.cgi?acc=GSM1124957","GSM1124957")</f>
        <v>GSM1124957</v>
      </c>
      <c r="I4515" t="s">
        <v>17</v>
      </c>
      <c r="J4515" t="s">
        <v>18</v>
      </c>
      <c r="K4515" t="s">
        <v>19</v>
      </c>
      <c r="L4515" t="s">
        <v>20</v>
      </c>
      <c r="M4515" t="s">
        <v>44</v>
      </c>
      <c r="N4515" t="s">
        <v>22</v>
      </c>
    </row>
    <row r="4516" spans="1:14">
      <c r="A4516" s="4" t="str">
        <f t="shared" ref="A4516:A4522" si="440">HYPERLINK("http://hcmdb.i-sanger.com/experiment/details/experiment_id/EXP00160","EXP00160")</f>
        <v>EXP00160</v>
      </c>
      <c r="B4516" s="4" t="str">
        <f t="shared" si="437"/>
        <v>24287398</v>
      </c>
      <c r="C4516" s="4" t="str">
        <f t="shared" si="438"/>
        <v>GSE46141</v>
      </c>
      <c r="D4516" s="1" t="s">
        <v>298</v>
      </c>
      <c r="E4516" t="s">
        <v>15</v>
      </c>
      <c r="F4516" s="1">
        <v>1</v>
      </c>
      <c r="G4516" s="1" t="s">
        <v>67</v>
      </c>
      <c r="H4516" s="4" t="str">
        <f>HYPERLINK("https://www.ncbi.nlm.nih.gov/geo/query/acc.cgi?acc=GSM1124888","GSM1124888")</f>
        <v>GSM1124888</v>
      </c>
      <c r="I4516" t="s">
        <v>17</v>
      </c>
      <c r="J4516" t="s">
        <v>18</v>
      </c>
      <c r="K4516" t="s">
        <v>19</v>
      </c>
      <c r="L4516" t="s">
        <v>20</v>
      </c>
      <c r="M4516" t="s">
        <v>50</v>
      </c>
      <c r="N4516" t="s">
        <v>22</v>
      </c>
    </row>
    <row r="4517" spans="1:14">
      <c r="A4517" s="4" t="str">
        <f t="shared" si="440"/>
        <v>EXP00160</v>
      </c>
      <c r="B4517" s="4" t="str">
        <f t="shared" si="437"/>
        <v>24287398</v>
      </c>
      <c r="C4517" s="4" t="str">
        <f t="shared" si="438"/>
        <v>GSE46141</v>
      </c>
      <c r="D4517" s="1" t="s">
        <v>298</v>
      </c>
      <c r="E4517" t="s">
        <v>15</v>
      </c>
      <c r="F4517" s="1">
        <v>1</v>
      </c>
      <c r="G4517" s="1" t="s">
        <v>67</v>
      </c>
      <c r="H4517" s="4" t="str">
        <f>HYPERLINK("https://www.ncbi.nlm.nih.gov/geo/query/acc.cgi?acc=GSM1124890","GSM1124890")</f>
        <v>GSM1124890</v>
      </c>
      <c r="I4517" t="s">
        <v>17</v>
      </c>
      <c r="J4517" t="s">
        <v>18</v>
      </c>
      <c r="K4517" t="s">
        <v>19</v>
      </c>
      <c r="L4517" t="s">
        <v>20</v>
      </c>
      <c r="M4517" t="s">
        <v>50</v>
      </c>
      <c r="N4517" t="s">
        <v>22</v>
      </c>
    </row>
    <row r="4518" spans="1:14">
      <c r="A4518" s="4" t="str">
        <f t="shared" si="440"/>
        <v>EXP00160</v>
      </c>
      <c r="B4518" s="4" t="str">
        <f t="shared" si="437"/>
        <v>24287398</v>
      </c>
      <c r="C4518" s="4" t="str">
        <f t="shared" si="438"/>
        <v>GSE46141</v>
      </c>
      <c r="D4518" s="1" t="s">
        <v>298</v>
      </c>
      <c r="E4518" t="s">
        <v>15</v>
      </c>
      <c r="F4518" s="1">
        <v>1</v>
      </c>
      <c r="G4518" s="1" t="s">
        <v>67</v>
      </c>
      <c r="H4518" s="4" t="str">
        <f>HYPERLINK("https://www.ncbi.nlm.nih.gov/geo/query/acc.cgi?acc=GSM1124904","GSM1124904")</f>
        <v>GSM1124904</v>
      </c>
      <c r="I4518" t="s">
        <v>17</v>
      </c>
      <c r="J4518" t="s">
        <v>18</v>
      </c>
      <c r="K4518" t="s">
        <v>19</v>
      </c>
      <c r="L4518" t="s">
        <v>20</v>
      </c>
      <c r="M4518" t="s">
        <v>50</v>
      </c>
      <c r="N4518" t="s">
        <v>22</v>
      </c>
    </row>
    <row r="4519" spans="1:14">
      <c r="A4519" s="4" t="str">
        <f t="shared" si="440"/>
        <v>EXP00160</v>
      </c>
      <c r="B4519" s="4" t="str">
        <f t="shared" si="437"/>
        <v>24287398</v>
      </c>
      <c r="C4519" s="4" t="str">
        <f t="shared" si="438"/>
        <v>GSE46141</v>
      </c>
      <c r="D4519" s="1" t="s">
        <v>298</v>
      </c>
      <c r="E4519" t="s">
        <v>15</v>
      </c>
      <c r="F4519" s="1">
        <v>1</v>
      </c>
      <c r="G4519" s="1" t="s">
        <v>67</v>
      </c>
      <c r="H4519" s="4" t="str">
        <f>HYPERLINK("https://www.ncbi.nlm.nih.gov/geo/query/acc.cgi?acc=GSM1124927","GSM1124927")</f>
        <v>GSM1124927</v>
      </c>
      <c r="I4519" t="s">
        <v>17</v>
      </c>
      <c r="J4519" t="s">
        <v>18</v>
      </c>
      <c r="K4519" t="s">
        <v>19</v>
      </c>
      <c r="L4519" t="s">
        <v>20</v>
      </c>
      <c r="M4519" t="s">
        <v>50</v>
      </c>
      <c r="N4519" t="s">
        <v>22</v>
      </c>
    </row>
    <row r="4520" spans="1:14">
      <c r="A4520" s="4" t="str">
        <f t="shared" si="440"/>
        <v>EXP00160</v>
      </c>
      <c r="B4520" s="4" t="str">
        <f t="shared" si="437"/>
        <v>24287398</v>
      </c>
      <c r="C4520" s="4" t="str">
        <f t="shared" si="438"/>
        <v>GSE46141</v>
      </c>
      <c r="D4520" s="1" t="s">
        <v>298</v>
      </c>
      <c r="E4520" t="s">
        <v>15</v>
      </c>
      <c r="F4520" s="1">
        <v>1</v>
      </c>
      <c r="G4520" s="1" t="s">
        <v>67</v>
      </c>
      <c r="H4520" s="4" t="str">
        <f>HYPERLINK("https://www.ncbi.nlm.nih.gov/geo/query/acc.cgi?acc=GSM1124953","GSM1124953")</f>
        <v>GSM1124953</v>
      </c>
      <c r="I4520" t="s">
        <v>17</v>
      </c>
      <c r="J4520" t="s">
        <v>18</v>
      </c>
      <c r="K4520" t="s">
        <v>19</v>
      </c>
      <c r="L4520" t="s">
        <v>20</v>
      </c>
      <c r="M4520" t="s">
        <v>50</v>
      </c>
      <c r="N4520" t="s">
        <v>22</v>
      </c>
    </row>
    <row r="4521" spans="1:14">
      <c r="A4521" s="4" t="str">
        <f t="shared" si="440"/>
        <v>EXP00160</v>
      </c>
      <c r="B4521" s="4" t="str">
        <f t="shared" si="437"/>
        <v>24287398</v>
      </c>
      <c r="C4521" s="4" t="str">
        <f t="shared" si="438"/>
        <v>GSE46141</v>
      </c>
      <c r="D4521" s="1" t="s">
        <v>298</v>
      </c>
      <c r="E4521" t="s">
        <v>15</v>
      </c>
      <c r="F4521" s="1">
        <v>2</v>
      </c>
      <c r="G4521" s="1" t="s">
        <v>40</v>
      </c>
      <c r="H4521" s="4" t="str">
        <f>HYPERLINK("https://www.ncbi.nlm.nih.gov/geo/query/acc.cgi?acc=GSM1124900","GSM1124900")</f>
        <v>GSM1124900</v>
      </c>
      <c r="I4521" t="s">
        <v>17</v>
      </c>
      <c r="J4521" t="s">
        <v>18</v>
      </c>
      <c r="K4521" t="s">
        <v>19</v>
      </c>
      <c r="L4521" t="s">
        <v>20</v>
      </c>
      <c r="M4521" t="s">
        <v>41</v>
      </c>
      <c r="N4521" t="s">
        <v>22</v>
      </c>
    </row>
    <row r="4522" spans="1:14">
      <c r="A4522" s="4" t="str">
        <f t="shared" si="440"/>
        <v>EXP00160</v>
      </c>
      <c r="B4522" s="4" t="str">
        <f t="shared" si="437"/>
        <v>24287398</v>
      </c>
      <c r="C4522" s="4" t="str">
        <f t="shared" si="438"/>
        <v>GSE46141</v>
      </c>
      <c r="D4522" s="1" t="s">
        <v>298</v>
      </c>
      <c r="E4522" t="s">
        <v>15</v>
      </c>
      <c r="F4522" s="1">
        <v>2</v>
      </c>
      <c r="G4522" s="1" t="s">
        <v>40</v>
      </c>
      <c r="H4522" s="4" t="str">
        <f>HYPERLINK("https://www.ncbi.nlm.nih.gov/geo/query/acc.cgi?acc=GSM1124914","GSM1124914")</f>
        <v>GSM1124914</v>
      </c>
      <c r="I4522" t="s">
        <v>17</v>
      </c>
      <c r="J4522" t="s">
        <v>18</v>
      </c>
      <c r="K4522" t="s">
        <v>19</v>
      </c>
      <c r="L4522" t="s">
        <v>20</v>
      </c>
      <c r="M4522" t="s">
        <v>41</v>
      </c>
      <c r="N4522" t="s">
        <v>22</v>
      </c>
    </row>
    <row r="4523" spans="1:14">
      <c r="A4523" s="4" t="str">
        <f t="shared" ref="A4523:A4566" si="441">HYPERLINK("http://hcmdb.i-sanger.com/experiment/details/experiment_id/EXP00161","EXP00161")</f>
        <v>EXP00161</v>
      </c>
      <c r="B4523" s="4" t="str">
        <f t="shared" si="437"/>
        <v>24287398</v>
      </c>
      <c r="C4523" s="4" t="str">
        <f t="shared" si="438"/>
        <v>GSE46141</v>
      </c>
      <c r="D4523" s="1" t="s">
        <v>298</v>
      </c>
      <c r="E4523" t="s">
        <v>15</v>
      </c>
      <c r="F4523" s="1">
        <v>1</v>
      </c>
      <c r="G4523" s="1" t="s">
        <v>67</v>
      </c>
      <c r="H4523" s="4" t="str">
        <f>HYPERLINK("https://www.ncbi.nlm.nih.gov/geo/query/acc.cgi?acc=GSM1124888","GSM1124888")</f>
        <v>GSM1124888</v>
      </c>
      <c r="I4523" t="s">
        <v>17</v>
      </c>
      <c r="J4523" t="s">
        <v>18</v>
      </c>
      <c r="K4523" t="s">
        <v>19</v>
      </c>
      <c r="L4523" t="s">
        <v>20</v>
      </c>
      <c r="M4523" t="s">
        <v>50</v>
      </c>
      <c r="N4523" t="s">
        <v>22</v>
      </c>
    </row>
    <row r="4524" spans="1:14">
      <c r="A4524" s="4" t="str">
        <f t="shared" si="441"/>
        <v>EXP00161</v>
      </c>
      <c r="B4524" s="4" t="str">
        <f t="shared" si="437"/>
        <v>24287398</v>
      </c>
      <c r="C4524" s="4" t="str">
        <f t="shared" si="438"/>
        <v>GSE46141</v>
      </c>
      <c r="D4524" s="1" t="s">
        <v>298</v>
      </c>
      <c r="E4524" t="s">
        <v>15</v>
      </c>
      <c r="F4524" s="1">
        <v>1</v>
      </c>
      <c r="G4524" s="1" t="s">
        <v>67</v>
      </c>
      <c r="H4524" s="4" t="str">
        <f>HYPERLINK("https://www.ncbi.nlm.nih.gov/geo/query/acc.cgi?acc=GSM1124890","GSM1124890")</f>
        <v>GSM1124890</v>
      </c>
      <c r="I4524" t="s">
        <v>17</v>
      </c>
      <c r="J4524" t="s">
        <v>18</v>
      </c>
      <c r="K4524" t="s">
        <v>19</v>
      </c>
      <c r="L4524" t="s">
        <v>20</v>
      </c>
      <c r="M4524" t="s">
        <v>50</v>
      </c>
      <c r="N4524" t="s">
        <v>22</v>
      </c>
    </row>
    <row r="4525" spans="1:14">
      <c r="A4525" s="4" t="str">
        <f t="shared" si="441"/>
        <v>EXP00161</v>
      </c>
      <c r="B4525" s="4" t="str">
        <f t="shared" si="437"/>
        <v>24287398</v>
      </c>
      <c r="C4525" s="4" t="str">
        <f t="shared" si="438"/>
        <v>GSE46141</v>
      </c>
      <c r="D4525" s="1" t="s">
        <v>298</v>
      </c>
      <c r="E4525" t="s">
        <v>15</v>
      </c>
      <c r="F4525" s="1">
        <v>1</v>
      </c>
      <c r="G4525" s="1" t="s">
        <v>67</v>
      </c>
      <c r="H4525" s="4" t="str">
        <f>HYPERLINK("https://www.ncbi.nlm.nih.gov/geo/query/acc.cgi?acc=GSM1124904","GSM1124904")</f>
        <v>GSM1124904</v>
      </c>
      <c r="I4525" t="s">
        <v>17</v>
      </c>
      <c r="J4525" t="s">
        <v>18</v>
      </c>
      <c r="K4525" t="s">
        <v>19</v>
      </c>
      <c r="L4525" t="s">
        <v>20</v>
      </c>
      <c r="M4525" t="s">
        <v>50</v>
      </c>
      <c r="N4525" t="s">
        <v>22</v>
      </c>
    </row>
    <row r="4526" spans="1:14">
      <c r="A4526" s="4" t="str">
        <f t="shared" si="441"/>
        <v>EXP00161</v>
      </c>
      <c r="B4526" s="4" t="str">
        <f t="shared" si="437"/>
        <v>24287398</v>
      </c>
      <c r="C4526" s="4" t="str">
        <f t="shared" si="438"/>
        <v>GSE46141</v>
      </c>
      <c r="D4526" s="1" t="s">
        <v>298</v>
      </c>
      <c r="E4526" t="s">
        <v>15</v>
      </c>
      <c r="F4526" s="1">
        <v>1</v>
      </c>
      <c r="G4526" s="1" t="s">
        <v>67</v>
      </c>
      <c r="H4526" s="4" t="str">
        <f>HYPERLINK("https://www.ncbi.nlm.nih.gov/geo/query/acc.cgi?acc=GSM1124927","GSM1124927")</f>
        <v>GSM1124927</v>
      </c>
      <c r="I4526" t="s">
        <v>17</v>
      </c>
      <c r="J4526" t="s">
        <v>18</v>
      </c>
      <c r="K4526" t="s">
        <v>19</v>
      </c>
      <c r="L4526" t="s">
        <v>20</v>
      </c>
      <c r="M4526" t="s">
        <v>50</v>
      </c>
      <c r="N4526" t="s">
        <v>22</v>
      </c>
    </row>
    <row r="4527" spans="1:14">
      <c r="A4527" s="4" t="str">
        <f t="shared" si="441"/>
        <v>EXP00161</v>
      </c>
      <c r="B4527" s="4" t="str">
        <f t="shared" si="437"/>
        <v>24287398</v>
      </c>
      <c r="C4527" s="4" t="str">
        <f t="shared" si="438"/>
        <v>GSE46141</v>
      </c>
      <c r="D4527" s="1" t="s">
        <v>298</v>
      </c>
      <c r="E4527" t="s">
        <v>15</v>
      </c>
      <c r="F4527" s="1">
        <v>1</v>
      </c>
      <c r="G4527" s="1" t="s">
        <v>67</v>
      </c>
      <c r="H4527" s="4" t="str">
        <f>HYPERLINK("https://www.ncbi.nlm.nih.gov/geo/query/acc.cgi?acc=GSM1124953","GSM1124953")</f>
        <v>GSM1124953</v>
      </c>
      <c r="I4527" t="s">
        <v>17</v>
      </c>
      <c r="J4527" t="s">
        <v>18</v>
      </c>
      <c r="K4527" t="s">
        <v>19</v>
      </c>
      <c r="L4527" t="s">
        <v>20</v>
      </c>
      <c r="M4527" t="s">
        <v>50</v>
      </c>
      <c r="N4527" t="s">
        <v>22</v>
      </c>
    </row>
    <row r="4528" spans="1:14">
      <c r="A4528" s="4" t="str">
        <f t="shared" si="441"/>
        <v>EXP00161</v>
      </c>
      <c r="B4528" s="4" t="str">
        <f t="shared" si="437"/>
        <v>24287398</v>
      </c>
      <c r="C4528" s="4" t="str">
        <f t="shared" si="438"/>
        <v>GSE46141</v>
      </c>
      <c r="D4528" s="1" t="s">
        <v>298</v>
      </c>
      <c r="E4528" t="s">
        <v>15</v>
      </c>
      <c r="F4528" s="1">
        <v>2</v>
      </c>
      <c r="G4528" s="1" t="s">
        <v>23</v>
      </c>
      <c r="H4528" s="4" t="str">
        <f>HYPERLINK("https://www.ncbi.nlm.nih.gov/geo/query/acc.cgi?acc=GSM1124871","GSM1124871")</f>
        <v>GSM1124871</v>
      </c>
      <c r="I4528" t="s">
        <v>17</v>
      </c>
      <c r="J4528" t="s">
        <v>18</v>
      </c>
      <c r="K4528" t="s">
        <v>19</v>
      </c>
      <c r="L4528" t="s">
        <v>20</v>
      </c>
      <c r="M4528" t="s">
        <v>24</v>
      </c>
      <c r="N4528" t="s">
        <v>22</v>
      </c>
    </row>
    <row r="4529" spans="1:14">
      <c r="A4529" s="4" t="str">
        <f t="shared" si="441"/>
        <v>EXP00161</v>
      </c>
      <c r="B4529" s="4" t="str">
        <f t="shared" si="437"/>
        <v>24287398</v>
      </c>
      <c r="C4529" s="4" t="str">
        <f t="shared" si="438"/>
        <v>GSE46141</v>
      </c>
      <c r="D4529" s="1" t="s">
        <v>298</v>
      </c>
      <c r="E4529" t="s">
        <v>15</v>
      </c>
      <c r="F4529" s="1">
        <v>2</v>
      </c>
      <c r="G4529" s="1" t="s">
        <v>23</v>
      </c>
      <c r="H4529" s="4" t="str">
        <f>HYPERLINK("https://www.ncbi.nlm.nih.gov/geo/query/acc.cgi?acc=GSM1124874","GSM1124874")</f>
        <v>GSM1124874</v>
      </c>
      <c r="I4529" t="s">
        <v>17</v>
      </c>
      <c r="J4529" t="s">
        <v>18</v>
      </c>
      <c r="K4529" t="s">
        <v>19</v>
      </c>
      <c r="L4529" t="s">
        <v>20</v>
      </c>
      <c r="M4529" t="s">
        <v>24</v>
      </c>
      <c r="N4529" t="s">
        <v>22</v>
      </c>
    </row>
    <row r="4530" spans="1:14">
      <c r="A4530" s="4" t="str">
        <f t="shared" si="441"/>
        <v>EXP00161</v>
      </c>
      <c r="B4530" s="4" t="str">
        <f t="shared" si="437"/>
        <v>24287398</v>
      </c>
      <c r="C4530" s="4" t="str">
        <f t="shared" si="438"/>
        <v>GSE46141</v>
      </c>
      <c r="D4530" s="1" t="s">
        <v>298</v>
      </c>
      <c r="E4530" t="s">
        <v>15</v>
      </c>
      <c r="F4530" s="1">
        <v>2</v>
      </c>
      <c r="G4530" s="1" t="s">
        <v>23</v>
      </c>
      <c r="H4530" s="4" t="str">
        <f>HYPERLINK("https://www.ncbi.nlm.nih.gov/geo/query/acc.cgi?acc=GSM1124875","GSM1124875")</f>
        <v>GSM1124875</v>
      </c>
      <c r="I4530" t="s">
        <v>17</v>
      </c>
      <c r="J4530" t="s">
        <v>18</v>
      </c>
      <c r="K4530" t="s">
        <v>19</v>
      </c>
      <c r="L4530" t="s">
        <v>20</v>
      </c>
      <c r="M4530" t="s">
        <v>24</v>
      </c>
      <c r="N4530" t="s">
        <v>22</v>
      </c>
    </row>
    <row r="4531" spans="1:14">
      <c r="A4531" s="4" t="str">
        <f t="shared" si="441"/>
        <v>EXP00161</v>
      </c>
      <c r="B4531" s="4" t="str">
        <f t="shared" si="437"/>
        <v>24287398</v>
      </c>
      <c r="C4531" s="4" t="str">
        <f t="shared" si="438"/>
        <v>GSE46141</v>
      </c>
      <c r="D4531" s="1" t="s">
        <v>298</v>
      </c>
      <c r="E4531" t="s">
        <v>15</v>
      </c>
      <c r="F4531" s="1">
        <v>2</v>
      </c>
      <c r="G4531" s="1" t="s">
        <v>23</v>
      </c>
      <c r="H4531" s="4" t="str">
        <f>HYPERLINK("https://www.ncbi.nlm.nih.gov/geo/query/acc.cgi?acc=GSM1124880","GSM1124880")</f>
        <v>GSM1124880</v>
      </c>
      <c r="I4531" t="s">
        <v>17</v>
      </c>
      <c r="J4531" t="s">
        <v>18</v>
      </c>
      <c r="K4531" t="s">
        <v>19</v>
      </c>
      <c r="L4531" t="s">
        <v>20</v>
      </c>
      <c r="M4531" t="s">
        <v>24</v>
      </c>
      <c r="N4531" t="s">
        <v>22</v>
      </c>
    </row>
    <row r="4532" spans="1:14">
      <c r="A4532" s="4" t="str">
        <f t="shared" si="441"/>
        <v>EXP00161</v>
      </c>
      <c r="B4532" s="4" t="str">
        <f t="shared" si="437"/>
        <v>24287398</v>
      </c>
      <c r="C4532" s="4" t="str">
        <f t="shared" si="438"/>
        <v>GSE46141</v>
      </c>
      <c r="D4532" s="1" t="s">
        <v>298</v>
      </c>
      <c r="E4532" t="s">
        <v>15</v>
      </c>
      <c r="F4532" s="1">
        <v>2</v>
      </c>
      <c r="G4532" s="1" t="s">
        <v>23</v>
      </c>
      <c r="H4532" s="4" t="str">
        <f>HYPERLINK("https://www.ncbi.nlm.nih.gov/geo/query/acc.cgi?acc=GSM1124881","GSM1124881")</f>
        <v>GSM1124881</v>
      </c>
      <c r="I4532" t="s">
        <v>17</v>
      </c>
      <c r="J4532" t="s">
        <v>18</v>
      </c>
      <c r="K4532" t="s">
        <v>19</v>
      </c>
      <c r="L4532" t="s">
        <v>20</v>
      </c>
      <c r="M4532" t="s">
        <v>24</v>
      </c>
      <c r="N4532" t="s">
        <v>22</v>
      </c>
    </row>
    <row r="4533" spans="1:14">
      <c r="A4533" s="4" t="str">
        <f t="shared" si="441"/>
        <v>EXP00161</v>
      </c>
      <c r="B4533" s="4" t="str">
        <f t="shared" si="437"/>
        <v>24287398</v>
      </c>
      <c r="C4533" s="4" t="str">
        <f t="shared" si="438"/>
        <v>GSE46141</v>
      </c>
      <c r="D4533" s="1" t="s">
        <v>298</v>
      </c>
      <c r="E4533" t="s">
        <v>15</v>
      </c>
      <c r="F4533" s="1">
        <v>2</v>
      </c>
      <c r="G4533" s="1" t="s">
        <v>23</v>
      </c>
      <c r="H4533" s="4" t="str">
        <f>HYPERLINK("https://www.ncbi.nlm.nih.gov/geo/query/acc.cgi?acc=GSM1124885","GSM1124885")</f>
        <v>GSM1124885</v>
      </c>
      <c r="I4533" t="s">
        <v>17</v>
      </c>
      <c r="J4533" t="s">
        <v>18</v>
      </c>
      <c r="K4533" t="s">
        <v>19</v>
      </c>
      <c r="L4533" t="s">
        <v>20</v>
      </c>
      <c r="M4533" t="s">
        <v>24</v>
      </c>
      <c r="N4533" t="s">
        <v>22</v>
      </c>
    </row>
    <row r="4534" spans="1:14">
      <c r="A4534" s="4" t="str">
        <f t="shared" si="441"/>
        <v>EXP00161</v>
      </c>
      <c r="B4534" s="4" t="str">
        <f t="shared" si="437"/>
        <v>24287398</v>
      </c>
      <c r="C4534" s="4" t="str">
        <f t="shared" si="438"/>
        <v>GSE46141</v>
      </c>
      <c r="D4534" s="1" t="s">
        <v>298</v>
      </c>
      <c r="E4534" t="s">
        <v>15</v>
      </c>
      <c r="F4534" s="1">
        <v>2</v>
      </c>
      <c r="G4534" s="1" t="s">
        <v>23</v>
      </c>
      <c r="H4534" s="4" t="str">
        <f>HYPERLINK("https://www.ncbi.nlm.nih.gov/geo/query/acc.cgi?acc=GSM1124886","GSM1124886")</f>
        <v>GSM1124886</v>
      </c>
      <c r="I4534" t="s">
        <v>17</v>
      </c>
      <c r="J4534" t="s">
        <v>18</v>
      </c>
      <c r="K4534" t="s">
        <v>19</v>
      </c>
      <c r="L4534" t="s">
        <v>20</v>
      </c>
      <c r="M4534" t="s">
        <v>24</v>
      </c>
      <c r="N4534" t="s">
        <v>22</v>
      </c>
    </row>
    <row r="4535" spans="1:14">
      <c r="A4535" s="4" t="str">
        <f t="shared" si="441"/>
        <v>EXP00161</v>
      </c>
      <c r="B4535" s="4" t="str">
        <f t="shared" si="437"/>
        <v>24287398</v>
      </c>
      <c r="C4535" s="4" t="str">
        <f t="shared" si="438"/>
        <v>GSE46141</v>
      </c>
      <c r="D4535" s="1" t="s">
        <v>298</v>
      </c>
      <c r="E4535" t="s">
        <v>15</v>
      </c>
      <c r="F4535" s="1">
        <v>2</v>
      </c>
      <c r="G4535" s="1" t="s">
        <v>23</v>
      </c>
      <c r="H4535" s="4" t="str">
        <f>HYPERLINK("https://www.ncbi.nlm.nih.gov/geo/query/acc.cgi?acc=GSM1124887","GSM1124887")</f>
        <v>GSM1124887</v>
      </c>
      <c r="I4535" t="s">
        <v>17</v>
      </c>
      <c r="J4535" t="s">
        <v>18</v>
      </c>
      <c r="K4535" t="s">
        <v>19</v>
      </c>
      <c r="L4535" t="s">
        <v>20</v>
      </c>
      <c r="M4535" t="s">
        <v>24</v>
      </c>
      <c r="N4535" t="s">
        <v>22</v>
      </c>
    </row>
    <row r="4536" spans="1:14">
      <c r="A4536" s="4" t="str">
        <f t="shared" si="441"/>
        <v>EXP00161</v>
      </c>
      <c r="B4536" s="4" t="str">
        <f t="shared" si="437"/>
        <v>24287398</v>
      </c>
      <c r="C4536" s="4" t="str">
        <f t="shared" si="438"/>
        <v>GSE46141</v>
      </c>
      <c r="D4536" s="1" t="s">
        <v>298</v>
      </c>
      <c r="E4536" t="s">
        <v>15</v>
      </c>
      <c r="F4536" s="1">
        <v>2</v>
      </c>
      <c r="G4536" s="1" t="s">
        <v>23</v>
      </c>
      <c r="H4536" s="4" t="str">
        <f>HYPERLINK("https://www.ncbi.nlm.nih.gov/geo/query/acc.cgi?acc=GSM1124894","GSM1124894")</f>
        <v>GSM1124894</v>
      </c>
      <c r="I4536" t="s">
        <v>17</v>
      </c>
      <c r="J4536" t="s">
        <v>18</v>
      </c>
      <c r="K4536" t="s">
        <v>19</v>
      </c>
      <c r="L4536" t="s">
        <v>20</v>
      </c>
      <c r="M4536" t="s">
        <v>24</v>
      </c>
      <c r="N4536" t="s">
        <v>22</v>
      </c>
    </row>
    <row r="4537" spans="1:14">
      <c r="A4537" s="4" t="str">
        <f t="shared" si="441"/>
        <v>EXP00161</v>
      </c>
      <c r="B4537" s="4" t="str">
        <f t="shared" si="437"/>
        <v>24287398</v>
      </c>
      <c r="C4537" s="4" t="str">
        <f t="shared" si="438"/>
        <v>GSE46141</v>
      </c>
      <c r="D4537" s="1" t="s">
        <v>298</v>
      </c>
      <c r="E4537" t="s">
        <v>15</v>
      </c>
      <c r="F4537" s="1">
        <v>2</v>
      </c>
      <c r="G4537" s="1" t="s">
        <v>23</v>
      </c>
      <c r="H4537" s="4" t="str">
        <f>HYPERLINK("https://www.ncbi.nlm.nih.gov/geo/query/acc.cgi?acc=GSM1124896","GSM1124896")</f>
        <v>GSM1124896</v>
      </c>
      <c r="I4537" t="s">
        <v>17</v>
      </c>
      <c r="J4537" t="s">
        <v>18</v>
      </c>
      <c r="K4537" t="s">
        <v>19</v>
      </c>
      <c r="L4537" t="s">
        <v>20</v>
      </c>
      <c r="M4537" t="s">
        <v>24</v>
      </c>
      <c r="N4537" t="s">
        <v>22</v>
      </c>
    </row>
    <row r="4538" spans="1:14">
      <c r="A4538" s="4" t="str">
        <f t="shared" si="441"/>
        <v>EXP00161</v>
      </c>
      <c r="B4538" s="4" t="str">
        <f t="shared" si="437"/>
        <v>24287398</v>
      </c>
      <c r="C4538" s="4" t="str">
        <f t="shared" si="438"/>
        <v>GSE46141</v>
      </c>
      <c r="D4538" s="1" t="s">
        <v>298</v>
      </c>
      <c r="E4538" t="s">
        <v>15</v>
      </c>
      <c r="F4538" s="1">
        <v>2</v>
      </c>
      <c r="G4538" s="1" t="s">
        <v>23</v>
      </c>
      <c r="H4538" s="4" t="str">
        <f>HYPERLINK("https://www.ncbi.nlm.nih.gov/geo/query/acc.cgi?acc=GSM1124899","GSM1124899")</f>
        <v>GSM1124899</v>
      </c>
      <c r="I4538" t="s">
        <v>17</v>
      </c>
      <c r="J4538" t="s">
        <v>18</v>
      </c>
      <c r="K4538" t="s">
        <v>19</v>
      </c>
      <c r="L4538" t="s">
        <v>20</v>
      </c>
      <c r="M4538" t="s">
        <v>24</v>
      </c>
      <c r="N4538" t="s">
        <v>22</v>
      </c>
    </row>
    <row r="4539" spans="1:14">
      <c r="A4539" s="4" t="str">
        <f t="shared" si="441"/>
        <v>EXP00161</v>
      </c>
      <c r="B4539" s="4" t="str">
        <f t="shared" si="437"/>
        <v>24287398</v>
      </c>
      <c r="C4539" s="4" t="str">
        <f t="shared" si="438"/>
        <v>GSE46141</v>
      </c>
      <c r="D4539" s="1" t="s">
        <v>298</v>
      </c>
      <c r="E4539" t="s">
        <v>15</v>
      </c>
      <c r="F4539" s="1">
        <v>2</v>
      </c>
      <c r="G4539" s="1" t="s">
        <v>23</v>
      </c>
      <c r="H4539" s="4" t="str">
        <f>HYPERLINK("https://www.ncbi.nlm.nih.gov/geo/query/acc.cgi?acc=GSM1124901","GSM1124901")</f>
        <v>GSM1124901</v>
      </c>
      <c r="I4539" t="s">
        <v>17</v>
      </c>
      <c r="J4539" t="s">
        <v>18</v>
      </c>
      <c r="K4539" t="s">
        <v>19</v>
      </c>
      <c r="L4539" t="s">
        <v>20</v>
      </c>
      <c r="M4539" t="s">
        <v>24</v>
      </c>
      <c r="N4539" t="s">
        <v>22</v>
      </c>
    </row>
    <row r="4540" spans="1:14">
      <c r="A4540" s="4" t="str">
        <f t="shared" si="441"/>
        <v>EXP00161</v>
      </c>
      <c r="B4540" s="4" t="str">
        <f t="shared" si="437"/>
        <v>24287398</v>
      </c>
      <c r="C4540" s="4" t="str">
        <f t="shared" si="438"/>
        <v>GSE46141</v>
      </c>
      <c r="D4540" s="1" t="s">
        <v>298</v>
      </c>
      <c r="E4540" t="s">
        <v>15</v>
      </c>
      <c r="F4540" s="1">
        <v>2</v>
      </c>
      <c r="G4540" s="1" t="s">
        <v>23</v>
      </c>
      <c r="H4540" s="4" t="str">
        <f>HYPERLINK("https://www.ncbi.nlm.nih.gov/geo/query/acc.cgi?acc=GSM1124906","GSM1124906")</f>
        <v>GSM1124906</v>
      </c>
      <c r="I4540" t="s">
        <v>17</v>
      </c>
      <c r="J4540" t="s">
        <v>18</v>
      </c>
      <c r="K4540" t="s">
        <v>19</v>
      </c>
      <c r="L4540" t="s">
        <v>20</v>
      </c>
      <c r="M4540" t="s">
        <v>24</v>
      </c>
      <c r="N4540" t="s">
        <v>22</v>
      </c>
    </row>
    <row r="4541" spans="1:14">
      <c r="A4541" s="4" t="str">
        <f t="shared" si="441"/>
        <v>EXP00161</v>
      </c>
      <c r="B4541" s="4" t="str">
        <f t="shared" si="437"/>
        <v>24287398</v>
      </c>
      <c r="C4541" s="4" t="str">
        <f t="shared" si="438"/>
        <v>GSE46141</v>
      </c>
      <c r="D4541" s="1" t="s">
        <v>298</v>
      </c>
      <c r="E4541" t="s">
        <v>15</v>
      </c>
      <c r="F4541" s="1">
        <v>2</v>
      </c>
      <c r="G4541" s="1" t="s">
        <v>23</v>
      </c>
      <c r="H4541" s="4" t="str">
        <f>HYPERLINK("https://www.ncbi.nlm.nih.gov/geo/query/acc.cgi?acc=GSM1124907","GSM1124907")</f>
        <v>GSM1124907</v>
      </c>
      <c r="I4541" t="s">
        <v>17</v>
      </c>
      <c r="J4541" t="s">
        <v>18</v>
      </c>
      <c r="K4541" t="s">
        <v>19</v>
      </c>
      <c r="L4541" t="s">
        <v>20</v>
      </c>
      <c r="M4541" t="s">
        <v>24</v>
      </c>
      <c r="N4541" t="s">
        <v>22</v>
      </c>
    </row>
    <row r="4542" spans="1:14">
      <c r="A4542" s="4" t="str">
        <f t="shared" si="441"/>
        <v>EXP00161</v>
      </c>
      <c r="B4542" s="4" t="str">
        <f t="shared" si="437"/>
        <v>24287398</v>
      </c>
      <c r="C4542" s="4" t="str">
        <f t="shared" si="438"/>
        <v>GSE46141</v>
      </c>
      <c r="D4542" s="1" t="s">
        <v>298</v>
      </c>
      <c r="E4542" t="s">
        <v>15</v>
      </c>
      <c r="F4542" s="1">
        <v>2</v>
      </c>
      <c r="G4542" s="1" t="s">
        <v>23</v>
      </c>
      <c r="H4542" s="4" t="str">
        <f>HYPERLINK("https://www.ncbi.nlm.nih.gov/geo/query/acc.cgi?acc=GSM1124911","GSM1124911")</f>
        <v>GSM1124911</v>
      </c>
      <c r="I4542" t="s">
        <v>17</v>
      </c>
      <c r="J4542" t="s">
        <v>18</v>
      </c>
      <c r="K4542" t="s">
        <v>19</v>
      </c>
      <c r="L4542" t="s">
        <v>20</v>
      </c>
      <c r="M4542" t="s">
        <v>24</v>
      </c>
      <c r="N4542" t="s">
        <v>22</v>
      </c>
    </row>
    <row r="4543" spans="1:14">
      <c r="A4543" s="4" t="str">
        <f t="shared" si="441"/>
        <v>EXP00161</v>
      </c>
      <c r="B4543" s="4" t="str">
        <f t="shared" ref="B4543:B4606" si="442">HYPERLINK("https://www.ncbi.nlm.nih.gov/pubmed/24287398","24287398")</f>
        <v>24287398</v>
      </c>
      <c r="C4543" s="4" t="str">
        <f t="shared" ref="C4543:C4606" si="443">HYPERLINK("https://www.ncbi.nlm.nih.gov/geo/query/acc.cgi?acc=GSE46141","GSE46141")</f>
        <v>GSE46141</v>
      </c>
      <c r="D4543" s="1" t="s">
        <v>298</v>
      </c>
      <c r="E4543" t="s">
        <v>15</v>
      </c>
      <c r="F4543" s="1">
        <v>2</v>
      </c>
      <c r="G4543" s="1" t="s">
        <v>23</v>
      </c>
      <c r="H4543" s="4" t="str">
        <f>HYPERLINK("https://www.ncbi.nlm.nih.gov/geo/query/acc.cgi?acc=GSM1124912","GSM1124912")</f>
        <v>GSM1124912</v>
      </c>
      <c r="I4543" t="s">
        <v>17</v>
      </c>
      <c r="J4543" t="s">
        <v>18</v>
      </c>
      <c r="K4543" t="s">
        <v>19</v>
      </c>
      <c r="L4543" t="s">
        <v>20</v>
      </c>
      <c r="M4543" t="s">
        <v>24</v>
      </c>
      <c r="N4543" t="s">
        <v>22</v>
      </c>
    </row>
    <row r="4544" spans="1:14">
      <c r="A4544" s="4" t="str">
        <f t="shared" si="441"/>
        <v>EXP00161</v>
      </c>
      <c r="B4544" s="4" t="str">
        <f t="shared" si="442"/>
        <v>24287398</v>
      </c>
      <c r="C4544" s="4" t="str">
        <f t="shared" si="443"/>
        <v>GSE46141</v>
      </c>
      <c r="D4544" s="1" t="s">
        <v>298</v>
      </c>
      <c r="E4544" t="s">
        <v>15</v>
      </c>
      <c r="F4544" s="1">
        <v>2</v>
      </c>
      <c r="G4544" s="1" t="s">
        <v>23</v>
      </c>
      <c r="H4544" s="4" t="str">
        <f>HYPERLINK("https://www.ncbi.nlm.nih.gov/geo/query/acc.cgi?acc=GSM1124915","GSM1124915")</f>
        <v>GSM1124915</v>
      </c>
      <c r="I4544" t="s">
        <v>17</v>
      </c>
      <c r="J4544" t="s">
        <v>18</v>
      </c>
      <c r="K4544" t="s">
        <v>19</v>
      </c>
      <c r="L4544" t="s">
        <v>20</v>
      </c>
      <c r="M4544" t="s">
        <v>24</v>
      </c>
      <c r="N4544" t="s">
        <v>22</v>
      </c>
    </row>
    <row r="4545" spans="1:14">
      <c r="A4545" s="4" t="str">
        <f t="shared" si="441"/>
        <v>EXP00161</v>
      </c>
      <c r="B4545" s="4" t="str">
        <f t="shared" si="442"/>
        <v>24287398</v>
      </c>
      <c r="C4545" s="4" t="str">
        <f t="shared" si="443"/>
        <v>GSE46141</v>
      </c>
      <c r="D4545" s="1" t="s">
        <v>298</v>
      </c>
      <c r="E4545" t="s">
        <v>15</v>
      </c>
      <c r="F4545" s="1">
        <v>2</v>
      </c>
      <c r="G4545" s="1" t="s">
        <v>23</v>
      </c>
      <c r="H4545" s="4" t="str">
        <f>HYPERLINK("https://www.ncbi.nlm.nih.gov/geo/query/acc.cgi?acc=GSM1124917","GSM1124917")</f>
        <v>GSM1124917</v>
      </c>
      <c r="I4545" t="s">
        <v>17</v>
      </c>
      <c r="J4545" t="s">
        <v>18</v>
      </c>
      <c r="K4545" t="s">
        <v>19</v>
      </c>
      <c r="L4545" t="s">
        <v>20</v>
      </c>
      <c r="M4545" t="s">
        <v>24</v>
      </c>
      <c r="N4545" t="s">
        <v>22</v>
      </c>
    </row>
    <row r="4546" spans="1:14">
      <c r="A4546" s="4" t="str">
        <f t="shared" si="441"/>
        <v>EXP00161</v>
      </c>
      <c r="B4546" s="4" t="str">
        <f t="shared" si="442"/>
        <v>24287398</v>
      </c>
      <c r="C4546" s="4" t="str">
        <f t="shared" si="443"/>
        <v>GSE46141</v>
      </c>
      <c r="D4546" s="1" t="s">
        <v>298</v>
      </c>
      <c r="E4546" t="s">
        <v>15</v>
      </c>
      <c r="F4546" s="1">
        <v>2</v>
      </c>
      <c r="G4546" s="1" t="s">
        <v>23</v>
      </c>
      <c r="H4546" s="4" t="str">
        <f>HYPERLINK("https://www.ncbi.nlm.nih.gov/geo/query/acc.cgi?acc=GSM1124918","GSM1124918")</f>
        <v>GSM1124918</v>
      </c>
      <c r="I4546" t="s">
        <v>17</v>
      </c>
      <c r="J4546" t="s">
        <v>18</v>
      </c>
      <c r="K4546" t="s">
        <v>19</v>
      </c>
      <c r="L4546" t="s">
        <v>20</v>
      </c>
      <c r="M4546" t="s">
        <v>24</v>
      </c>
      <c r="N4546" t="s">
        <v>22</v>
      </c>
    </row>
    <row r="4547" spans="1:14">
      <c r="A4547" s="4" t="str">
        <f t="shared" si="441"/>
        <v>EXP00161</v>
      </c>
      <c r="B4547" s="4" t="str">
        <f t="shared" si="442"/>
        <v>24287398</v>
      </c>
      <c r="C4547" s="4" t="str">
        <f t="shared" si="443"/>
        <v>GSE46141</v>
      </c>
      <c r="D4547" s="1" t="s">
        <v>298</v>
      </c>
      <c r="E4547" t="s">
        <v>15</v>
      </c>
      <c r="F4547" s="1">
        <v>2</v>
      </c>
      <c r="G4547" s="1" t="s">
        <v>23</v>
      </c>
      <c r="H4547" s="4" t="str">
        <f>HYPERLINK("https://www.ncbi.nlm.nih.gov/geo/query/acc.cgi?acc=GSM1124920","GSM1124920")</f>
        <v>GSM1124920</v>
      </c>
      <c r="I4547" t="s">
        <v>17</v>
      </c>
      <c r="J4547" t="s">
        <v>18</v>
      </c>
      <c r="K4547" t="s">
        <v>19</v>
      </c>
      <c r="L4547" t="s">
        <v>20</v>
      </c>
      <c r="M4547" t="s">
        <v>24</v>
      </c>
      <c r="N4547" t="s">
        <v>22</v>
      </c>
    </row>
    <row r="4548" spans="1:14">
      <c r="A4548" s="4" t="str">
        <f t="shared" si="441"/>
        <v>EXP00161</v>
      </c>
      <c r="B4548" s="4" t="str">
        <f t="shared" si="442"/>
        <v>24287398</v>
      </c>
      <c r="C4548" s="4" t="str">
        <f t="shared" si="443"/>
        <v>GSE46141</v>
      </c>
      <c r="D4548" s="1" t="s">
        <v>298</v>
      </c>
      <c r="E4548" t="s">
        <v>15</v>
      </c>
      <c r="F4548" s="1">
        <v>2</v>
      </c>
      <c r="G4548" s="1" t="s">
        <v>23</v>
      </c>
      <c r="H4548" s="4" t="str">
        <f>HYPERLINK("https://www.ncbi.nlm.nih.gov/geo/query/acc.cgi?acc=GSM1124922","GSM1124922")</f>
        <v>GSM1124922</v>
      </c>
      <c r="I4548" t="s">
        <v>17</v>
      </c>
      <c r="J4548" t="s">
        <v>18</v>
      </c>
      <c r="K4548" t="s">
        <v>19</v>
      </c>
      <c r="L4548" t="s">
        <v>20</v>
      </c>
      <c r="M4548" t="s">
        <v>24</v>
      </c>
      <c r="N4548" t="s">
        <v>22</v>
      </c>
    </row>
    <row r="4549" spans="1:14">
      <c r="A4549" s="4" t="str">
        <f t="shared" si="441"/>
        <v>EXP00161</v>
      </c>
      <c r="B4549" s="4" t="str">
        <f t="shared" si="442"/>
        <v>24287398</v>
      </c>
      <c r="C4549" s="4" t="str">
        <f t="shared" si="443"/>
        <v>GSE46141</v>
      </c>
      <c r="D4549" s="1" t="s">
        <v>298</v>
      </c>
      <c r="E4549" t="s">
        <v>15</v>
      </c>
      <c r="F4549" s="1">
        <v>2</v>
      </c>
      <c r="G4549" s="1" t="s">
        <v>23</v>
      </c>
      <c r="H4549" s="4" t="str">
        <f>HYPERLINK("https://www.ncbi.nlm.nih.gov/geo/query/acc.cgi?acc=GSM1124924","GSM1124924")</f>
        <v>GSM1124924</v>
      </c>
      <c r="I4549" t="s">
        <v>17</v>
      </c>
      <c r="J4549" t="s">
        <v>18</v>
      </c>
      <c r="K4549" t="s">
        <v>19</v>
      </c>
      <c r="L4549" t="s">
        <v>20</v>
      </c>
      <c r="M4549" t="s">
        <v>24</v>
      </c>
      <c r="N4549" t="s">
        <v>22</v>
      </c>
    </row>
    <row r="4550" spans="1:14">
      <c r="A4550" s="4" t="str">
        <f t="shared" si="441"/>
        <v>EXP00161</v>
      </c>
      <c r="B4550" s="4" t="str">
        <f t="shared" si="442"/>
        <v>24287398</v>
      </c>
      <c r="C4550" s="4" t="str">
        <f t="shared" si="443"/>
        <v>GSE46141</v>
      </c>
      <c r="D4550" s="1" t="s">
        <v>298</v>
      </c>
      <c r="E4550" t="s">
        <v>15</v>
      </c>
      <c r="F4550" s="1">
        <v>2</v>
      </c>
      <c r="G4550" s="1" t="s">
        <v>23</v>
      </c>
      <c r="H4550" s="4" t="str">
        <f>HYPERLINK("https://www.ncbi.nlm.nih.gov/geo/query/acc.cgi?acc=GSM1124926","GSM1124926")</f>
        <v>GSM1124926</v>
      </c>
      <c r="I4550" t="s">
        <v>17</v>
      </c>
      <c r="J4550" t="s">
        <v>18</v>
      </c>
      <c r="K4550" t="s">
        <v>19</v>
      </c>
      <c r="L4550" t="s">
        <v>20</v>
      </c>
      <c r="M4550" t="s">
        <v>24</v>
      </c>
      <c r="N4550" t="s">
        <v>22</v>
      </c>
    </row>
    <row r="4551" spans="1:14">
      <c r="A4551" s="4" t="str">
        <f t="shared" si="441"/>
        <v>EXP00161</v>
      </c>
      <c r="B4551" s="4" t="str">
        <f t="shared" si="442"/>
        <v>24287398</v>
      </c>
      <c r="C4551" s="4" t="str">
        <f t="shared" si="443"/>
        <v>GSE46141</v>
      </c>
      <c r="D4551" s="1" t="s">
        <v>298</v>
      </c>
      <c r="E4551" t="s">
        <v>15</v>
      </c>
      <c r="F4551" s="1">
        <v>2</v>
      </c>
      <c r="G4551" s="1" t="s">
        <v>23</v>
      </c>
      <c r="H4551" s="4" t="str">
        <f>HYPERLINK("https://www.ncbi.nlm.nih.gov/geo/query/acc.cgi?acc=GSM1124928","GSM1124928")</f>
        <v>GSM1124928</v>
      </c>
      <c r="I4551" t="s">
        <v>17</v>
      </c>
      <c r="J4551" t="s">
        <v>18</v>
      </c>
      <c r="K4551" t="s">
        <v>19</v>
      </c>
      <c r="L4551" t="s">
        <v>20</v>
      </c>
      <c r="M4551" t="s">
        <v>24</v>
      </c>
      <c r="N4551" t="s">
        <v>22</v>
      </c>
    </row>
    <row r="4552" spans="1:14">
      <c r="A4552" s="4" t="str">
        <f t="shared" si="441"/>
        <v>EXP00161</v>
      </c>
      <c r="B4552" s="4" t="str">
        <f t="shared" si="442"/>
        <v>24287398</v>
      </c>
      <c r="C4552" s="4" t="str">
        <f t="shared" si="443"/>
        <v>GSE46141</v>
      </c>
      <c r="D4552" s="1" t="s">
        <v>298</v>
      </c>
      <c r="E4552" t="s">
        <v>15</v>
      </c>
      <c r="F4552" s="1">
        <v>2</v>
      </c>
      <c r="G4552" s="1" t="s">
        <v>23</v>
      </c>
      <c r="H4552" s="4" t="str">
        <f>HYPERLINK("https://www.ncbi.nlm.nih.gov/geo/query/acc.cgi?acc=GSM1124930","GSM1124930")</f>
        <v>GSM1124930</v>
      </c>
      <c r="I4552" t="s">
        <v>17</v>
      </c>
      <c r="J4552" t="s">
        <v>18</v>
      </c>
      <c r="K4552" t="s">
        <v>19</v>
      </c>
      <c r="L4552" t="s">
        <v>20</v>
      </c>
      <c r="M4552" t="s">
        <v>24</v>
      </c>
      <c r="N4552" t="s">
        <v>22</v>
      </c>
    </row>
    <row r="4553" spans="1:14">
      <c r="A4553" s="4" t="str">
        <f t="shared" si="441"/>
        <v>EXP00161</v>
      </c>
      <c r="B4553" s="4" t="str">
        <f t="shared" si="442"/>
        <v>24287398</v>
      </c>
      <c r="C4553" s="4" t="str">
        <f t="shared" si="443"/>
        <v>GSE46141</v>
      </c>
      <c r="D4553" s="1" t="s">
        <v>298</v>
      </c>
      <c r="E4553" t="s">
        <v>15</v>
      </c>
      <c r="F4553" s="1">
        <v>2</v>
      </c>
      <c r="G4553" s="1" t="s">
        <v>23</v>
      </c>
      <c r="H4553" s="4" t="str">
        <f>HYPERLINK("https://www.ncbi.nlm.nih.gov/geo/query/acc.cgi?acc=GSM1124931","GSM1124931")</f>
        <v>GSM1124931</v>
      </c>
      <c r="I4553" t="s">
        <v>17</v>
      </c>
      <c r="J4553" t="s">
        <v>18</v>
      </c>
      <c r="K4553" t="s">
        <v>19</v>
      </c>
      <c r="L4553" t="s">
        <v>20</v>
      </c>
      <c r="M4553" t="s">
        <v>24</v>
      </c>
      <c r="N4553" t="s">
        <v>22</v>
      </c>
    </row>
    <row r="4554" spans="1:14">
      <c r="A4554" s="4" t="str">
        <f t="shared" si="441"/>
        <v>EXP00161</v>
      </c>
      <c r="B4554" s="4" t="str">
        <f t="shared" si="442"/>
        <v>24287398</v>
      </c>
      <c r="C4554" s="4" t="str">
        <f t="shared" si="443"/>
        <v>GSE46141</v>
      </c>
      <c r="D4554" s="1" t="s">
        <v>298</v>
      </c>
      <c r="E4554" t="s">
        <v>15</v>
      </c>
      <c r="F4554" s="1">
        <v>2</v>
      </c>
      <c r="G4554" s="1" t="s">
        <v>23</v>
      </c>
      <c r="H4554" s="4" t="str">
        <f>HYPERLINK("https://www.ncbi.nlm.nih.gov/geo/query/acc.cgi?acc=GSM1124935","GSM1124935")</f>
        <v>GSM1124935</v>
      </c>
      <c r="I4554" t="s">
        <v>17</v>
      </c>
      <c r="J4554" t="s">
        <v>18</v>
      </c>
      <c r="K4554" t="s">
        <v>19</v>
      </c>
      <c r="L4554" t="s">
        <v>20</v>
      </c>
      <c r="M4554" t="s">
        <v>24</v>
      </c>
      <c r="N4554" t="s">
        <v>22</v>
      </c>
    </row>
    <row r="4555" spans="1:14">
      <c r="A4555" s="4" t="str">
        <f t="shared" si="441"/>
        <v>EXP00161</v>
      </c>
      <c r="B4555" s="4" t="str">
        <f t="shared" si="442"/>
        <v>24287398</v>
      </c>
      <c r="C4555" s="4" t="str">
        <f t="shared" si="443"/>
        <v>GSE46141</v>
      </c>
      <c r="D4555" s="1" t="s">
        <v>298</v>
      </c>
      <c r="E4555" t="s">
        <v>15</v>
      </c>
      <c r="F4555" s="1">
        <v>2</v>
      </c>
      <c r="G4555" s="1" t="s">
        <v>23</v>
      </c>
      <c r="H4555" s="4" t="str">
        <f>HYPERLINK("https://www.ncbi.nlm.nih.gov/geo/query/acc.cgi?acc=GSM1124936","GSM1124936")</f>
        <v>GSM1124936</v>
      </c>
      <c r="I4555" t="s">
        <v>17</v>
      </c>
      <c r="J4555" t="s">
        <v>18</v>
      </c>
      <c r="K4555" t="s">
        <v>19</v>
      </c>
      <c r="L4555" t="s">
        <v>20</v>
      </c>
      <c r="M4555" t="s">
        <v>24</v>
      </c>
      <c r="N4555" t="s">
        <v>22</v>
      </c>
    </row>
    <row r="4556" spans="1:14">
      <c r="A4556" s="4" t="str">
        <f t="shared" si="441"/>
        <v>EXP00161</v>
      </c>
      <c r="B4556" s="4" t="str">
        <f t="shared" si="442"/>
        <v>24287398</v>
      </c>
      <c r="C4556" s="4" t="str">
        <f t="shared" si="443"/>
        <v>GSE46141</v>
      </c>
      <c r="D4556" s="1" t="s">
        <v>298</v>
      </c>
      <c r="E4556" t="s">
        <v>15</v>
      </c>
      <c r="F4556" s="1">
        <v>2</v>
      </c>
      <c r="G4556" s="1" t="s">
        <v>23</v>
      </c>
      <c r="H4556" s="4" t="str">
        <f>HYPERLINK("https://www.ncbi.nlm.nih.gov/geo/query/acc.cgi?acc=GSM1124938","GSM1124938")</f>
        <v>GSM1124938</v>
      </c>
      <c r="I4556" t="s">
        <v>17</v>
      </c>
      <c r="J4556" t="s">
        <v>18</v>
      </c>
      <c r="K4556" t="s">
        <v>19</v>
      </c>
      <c r="L4556" t="s">
        <v>20</v>
      </c>
      <c r="M4556" t="s">
        <v>24</v>
      </c>
      <c r="N4556" t="s">
        <v>22</v>
      </c>
    </row>
    <row r="4557" spans="1:14">
      <c r="A4557" s="4" t="str">
        <f t="shared" si="441"/>
        <v>EXP00161</v>
      </c>
      <c r="B4557" s="4" t="str">
        <f t="shared" si="442"/>
        <v>24287398</v>
      </c>
      <c r="C4557" s="4" t="str">
        <f t="shared" si="443"/>
        <v>GSE46141</v>
      </c>
      <c r="D4557" s="1" t="s">
        <v>298</v>
      </c>
      <c r="E4557" t="s">
        <v>15</v>
      </c>
      <c r="F4557" s="1">
        <v>2</v>
      </c>
      <c r="G4557" s="1" t="s">
        <v>23</v>
      </c>
      <c r="H4557" s="4" t="str">
        <f>HYPERLINK("https://www.ncbi.nlm.nih.gov/geo/query/acc.cgi?acc=GSM1124940","GSM1124940")</f>
        <v>GSM1124940</v>
      </c>
      <c r="I4557" t="s">
        <v>17</v>
      </c>
      <c r="J4557" t="s">
        <v>18</v>
      </c>
      <c r="K4557" t="s">
        <v>19</v>
      </c>
      <c r="L4557" t="s">
        <v>20</v>
      </c>
      <c r="M4557" t="s">
        <v>24</v>
      </c>
      <c r="N4557" t="s">
        <v>22</v>
      </c>
    </row>
    <row r="4558" spans="1:14">
      <c r="A4558" s="4" t="str">
        <f t="shared" si="441"/>
        <v>EXP00161</v>
      </c>
      <c r="B4558" s="4" t="str">
        <f t="shared" si="442"/>
        <v>24287398</v>
      </c>
      <c r="C4558" s="4" t="str">
        <f t="shared" si="443"/>
        <v>GSE46141</v>
      </c>
      <c r="D4558" s="1" t="s">
        <v>298</v>
      </c>
      <c r="E4558" t="s">
        <v>15</v>
      </c>
      <c r="F4558" s="1">
        <v>2</v>
      </c>
      <c r="G4558" s="1" t="s">
        <v>23</v>
      </c>
      <c r="H4558" s="4" t="str">
        <f>HYPERLINK("https://www.ncbi.nlm.nih.gov/geo/query/acc.cgi?acc=GSM1124941","GSM1124941")</f>
        <v>GSM1124941</v>
      </c>
      <c r="I4558" t="s">
        <v>17</v>
      </c>
      <c r="J4558" t="s">
        <v>18</v>
      </c>
      <c r="K4558" t="s">
        <v>19</v>
      </c>
      <c r="L4558" t="s">
        <v>20</v>
      </c>
      <c r="M4558" t="s">
        <v>24</v>
      </c>
      <c r="N4558" t="s">
        <v>22</v>
      </c>
    </row>
    <row r="4559" spans="1:14">
      <c r="A4559" s="4" t="str">
        <f t="shared" si="441"/>
        <v>EXP00161</v>
      </c>
      <c r="B4559" s="4" t="str">
        <f t="shared" si="442"/>
        <v>24287398</v>
      </c>
      <c r="C4559" s="4" t="str">
        <f t="shared" si="443"/>
        <v>GSE46141</v>
      </c>
      <c r="D4559" s="1" t="s">
        <v>298</v>
      </c>
      <c r="E4559" t="s">
        <v>15</v>
      </c>
      <c r="F4559" s="1">
        <v>2</v>
      </c>
      <c r="G4559" s="1" t="s">
        <v>23</v>
      </c>
      <c r="H4559" s="4" t="str">
        <f>HYPERLINK("https://www.ncbi.nlm.nih.gov/geo/query/acc.cgi?acc=GSM1124942","GSM1124942")</f>
        <v>GSM1124942</v>
      </c>
      <c r="I4559" t="s">
        <v>17</v>
      </c>
      <c r="J4559" t="s">
        <v>18</v>
      </c>
      <c r="K4559" t="s">
        <v>19</v>
      </c>
      <c r="L4559" t="s">
        <v>20</v>
      </c>
      <c r="M4559" t="s">
        <v>24</v>
      </c>
      <c r="N4559" t="s">
        <v>22</v>
      </c>
    </row>
    <row r="4560" spans="1:14">
      <c r="A4560" s="4" t="str">
        <f t="shared" si="441"/>
        <v>EXP00161</v>
      </c>
      <c r="B4560" s="4" t="str">
        <f t="shared" si="442"/>
        <v>24287398</v>
      </c>
      <c r="C4560" s="4" t="str">
        <f t="shared" si="443"/>
        <v>GSE46141</v>
      </c>
      <c r="D4560" s="1" t="s">
        <v>298</v>
      </c>
      <c r="E4560" t="s">
        <v>15</v>
      </c>
      <c r="F4560" s="1">
        <v>2</v>
      </c>
      <c r="G4560" s="1" t="s">
        <v>23</v>
      </c>
      <c r="H4560" s="4" t="str">
        <f>HYPERLINK("https://www.ncbi.nlm.nih.gov/geo/query/acc.cgi?acc=GSM1124943","GSM1124943")</f>
        <v>GSM1124943</v>
      </c>
      <c r="I4560" t="s">
        <v>17</v>
      </c>
      <c r="J4560" t="s">
        <v>18</v>
      </c>
      <c r="K4560" t="s">
        <v>19</v>
      </c>
      <c r="L4560" t="s">
        <v>20</v>
      </c>
      <c r="M4560" t="s">
        <v>24</v>
      </c>
      <c r="N4560" t="s">
        <v>22</v>
      </c>
    </row>
    <row r="4561" spans="1:14">
      <c r="A4561" s="4" t="str">
        <f t="shared" si="441"/>
        <v>EXP00161</v>
      </c>
      <c r="B4561" s="4" t="str">
        <f t="shared" si="442"/>
        <v>24287398</v>
      </c>
      <c r="C4561" s="4" t="str">
        <f t="shared" si="443"/>
        <v>GSE46141</v>
      </c>
      <c r="D4561" s="1" t="s">
        <v>298</v>
      </c>
      <c r="E4561" t="s">
        <v>15</v>
      </c>
      <c r="F4561" s="1">
        <v>2</v>
      </c>
      <c r="G4561" s="1" t="s">
        <v>23</v>
      </c>
      <c r="H4561" s="4" t="str">
        <f>HYPERLINK("https://www.ncbi.nlm.nih.gov/geo/query/acc.cgi?acc=GSM1124948","GSM1124948")</f>
        <v>GSM1124948</v>
      </c>
      <c r="I4561" t="s">
        <v>17</v>
      </c>
      <c r="J4561" t="s">
        <v>18</v>
      </c>
      <c r="K4561" t="s">
        <v>19</v>
      </c>
      <c r="L4561" t="s">
        <v>20</v>
      </c>
      <c r="M4561" t="s">
        <v>24</v>
      </c>
      <c r="N4561" t="s">
        <v>22</v>
      </c>
    </row>
    <row r="4562" spans="1:14">
      <c r="A4562" s="4" t="str">
        <f t="shared" si="441"/>
        <v>EXP00161</v>
      </c>
      <c r="B4562" s="4" t="str">
        <f t="shared" si="442"/>
        <v>24287398</v>
      </c>
      <c r="C4562" s="4" t="str">
        <f t="shared" si="443"/>
        <v>GSE46141</v>
      </c>
      <c r="D4562" s="1" t="s">
        <v>298</v>
      </c>
      <c r="E4562" t="s">
        <v>15</v>
      </c>
      <c r="F4562" s="1">
        <v>2</v>
      </c>
      <c r="G4562" s="1" t="s">
        <v>23</v>
      </c>
      <c r="H4562" s="4" t="str">
        <f>HYPERLINK("https://www.ncbi.nlm.nih.gov/geo/query/acc.cgi?acc=GSM1124949","GSM1124949")</f>
        <v>GSM1124949</v>
      </c>
      <c r="I4562" t="s">
        <v>17</v>
      </c>
      <c r="J4562" t="s">
        <v>18</v>
      </c>
      <c r="K4562" t="s">
        <v>19</v>
      </c>
      <c r="L4562" t="s">
        <v>20</v>
      </c>
      <c r="M4562" t="s">
        <v>24</v>
      </c>
      <c r="N4562" t="s">
        <v>22</v>
      </c>
    </row>
    <row r="4563" spans="1:14">
      <c r="A4563" s="4" t="str">
        <f t="shared" si="441"/>
        <v>EXP00161</v>
      </c>
      <c r="B4563" s="4" t="str">
        <f t="shared" si="442"/>
        <v>24287398</v>
      </c>
      <c r="C4563" s="4" t="str">
        <f t="shared" si="443"/>
        <v>GSE46141</v>
      </c>
      <c r="D4563" s="1" t="s">
        <v>298</v>
      </c>
      <c r="E4563" t="s">
        <v>15</v>
      </c>
      <c r="F4563" s="1">
        <v>2</v>
      </c>
      <c r="G4563" s="1" t="s">
        <v>23</v>
      </c>
      <c r="H4563" s="4" t="str">
        <f>HYPERLINK("https://www.ncbi.nlm.nih.gov/geo/query/acc.cgi?acc=GSM1124950","GSM1124950")</f>
        <v>GSM1124950</v>
      </c>
      <c r="I4563" t="s">
        <v>17</v>
      </c>
      <c r="J4563" t="s">
        <v>18</v>
      </c>
      <c r="K4563" t="s">
        <v>19</v>
      </c>
      <c r="L4563" t="s">
        <v>20</v>
      </c>
      <c r="M4563" t="s">
        <v>24</v>
      </c>
      <c r="N4563" t="s">
        <v>22</v>
      </c>
    </row>
    <row r="4564" spans="1:14">
      <c r="A4564" s="4" t="str">
        <f t="shared" si="441"/>
        <v>EXP00161</v>
      </c>
      <c r="B4564" s="4" t="str">
        <f t="shared" si="442"/>
        <v>24287398</v>
      </c>
      <c r="C4564" s="4" t="str">
        <f t="shared" si="443"/>
        <v>GSE46141</v>
      </c>
      <c r="D4564" s="1" t="s">
        <v>298</v>
      </c>
      <c r="E4564" t="s">
        <v>15</v>
      </c>
      <c r="F4564" s="1">
        <v>2</v>
      </c>
      <c r="G4564" s="1" t="s">
        <v>23</v>
      </c>
      <c r="H4564" s="4" t="str">
        <f>HYPERLINK("https://www.ncbi.nlm.nih.gov/geo/query/acc.cgi?acc=GSM1124954","GSM1124954")</f>
        <v>GSM1124954</v>
      </c>
      <c r="I4564" t="s">
        <v>17</v>
      </c>
      <c r="J4564" t="s">
        <v>18</v>
      </c>
      <c r="K4564" t="s">
        <v>19</v>
      </c>
      <c r="L4564" t="s">
        <v>20</v>
      </c>
      <c r="M4564" t="s">
        <v>24</v>
      </c>
      <c r="N4564" t="s">
        <v>22</v>
      </c>
    </row>
    <row r="4565" spans="1:14">
      <c r="A4565" s="4" t="str">
        <f t="shared" si="441"/>
        <v>EXP00161</v>
      </c>
      <c r="B4565" s="4" t="str">
        <f t="shared" si="442"/>
        <v>24287398</v>
      </c>
      <c r="C4565" s="4" t="str">
        <f t="shared" si="443"/>
        <v>GSE46141</v>
      </c>
      <c r="D4565" s="1" t="s">
        <v>298</v>
      </c>
      <c r="E4565" t="s">
        <v>15</v>
      </c>
      <c r="F4565" s="1">
        <v>2</v>
      </c>
      <c r="G4565" s="1" t="s">
        <v>23</v>
      </c>
      <c r="H4565" s="4" t="str">
        <f>HYPERLINK("https://www.ncbi.nlm.nih.gov/geo/query/acc.cgi?acc=GSM1124955","GSM1124955")</f>
        <v>GSM1124955</v>
      </c>
      <c r="I4565" t="s">
        <v>17</v>
      </c>
      <c r="J4565" t="s">
        <v>18</v>
      </c>
      <c r="K4565" t="s">
        <v>19</v>
      </c>
      <c r="L4565" t="s">
        <v>20</v>
      </c>
      <c r="M4565" t="s">
        <v>24</v>
      </c>
      <c r="N4565" t="s">
        <v>22</v>
      </c>
    </row>
    <row r="4566" spans="1:14">
      <c r="A4566" s="4" t="str">
        <f t="shared" si="441"/>
        <v>EXP00161</v>
      </c>
      <c r="B4566" s="4" t="str">
        <f t="shared" si="442"/>
        <v>24287398</v>
      </c>
      <c r="C4566" s="4" t="str">
        <f t="shared" si="443"/>
        <v>GSE46141</v>
      </c>
      <c r="D4566" s="1" t="s">
        <v>298</v>
      </c>
      <c r="E4566" t="s">
        <v>15</v>
      </c>
      <c r="F4566" s="1">
        <v>2</v>
      </c>
      <c r="G4566" s="1" t="s">
        <v>23</v>
      </c>
      <c r="H4566" s="4" t="str">
        <f>HYPERLINK("https://www.ncbi.nlm.nih.gov/geo/query/acc.cgi?acc=GSM1124956","GSM1124956")</f>
        <v>GSM1124956</v>
      </c>
      <c r="I4566" t="s">
        <v>17</v>
      </c>
      <c r="J4566" t="s">
        <v>18</v>
      </c>
      <c r="K4566" t="s">
        <v>19</v>
      </c>
      <c r="L4566" t="s">
        <v>20</v>
      </c>
      <c r="M4566" t="s">
        <v>24</v>
      </c>
      <c r="N4566" t="s">
        <v>22</v>
      </c>
    </row>
    <row r="4567" spans="1:14">
      <c r="A4567" s="4" t="str">
        <f t="shared" ref="A4567:A4588" si="444">HYPERLINK("http://hcmdb.i-sanger.com/experiment/details/experiment_id/EXP00162","EXP00162")</f>
        <v>EXP00162</v>
      </c>
      <c r="B4567" s="4" t="str">
        <f t="shared" si="442"/>
        <v>24287398</v>
      </c>
      <c r="C4567" s="4" t="str">
        <f t="shared" si="443"/>
        <v>GSE46141</v>
      </c>
      <c r="D4567" s="1" t="s">
        <v>298</v>
      </c>
      <c r="E4567" t="s">
        <v>15</v>
      </c>
      <c r="F4567" s="1">
        <v>1</v>
      </c>
      <c r="G4567" s="1" t="s">
        <v>67</v>
      </c>
      <c r="H4567" s="4" t="str">
        <f>HYPERLINK("https://www.ncbi.nlm.nih.gov/geo/query/acc.cgi?acc=GSM1124888","GSM1124888")</f>
        <v>GSM1124888</v>
      </c>
      <c r="I4567" t="s">
        <v>17</v>
      </c>
      <c r="J4567" t="s">
        <v>18</v>
      </c>
      <c r="K4567" t="s">
        <v>19</v>
      </c>
      <c r="L4567" t="s">
        <v>20</v>
      </c>
      <c r="M4567" t="s">
        <v>50</v>
      </c>
      <c r="N4567" t="s">
        <v>22</v>
      </c>
    </row>
    <row r="4568" spans="1:14">
      <c r="A4568" s="4" t="str">
        <f t="shared" si="444"/>
        <v>EXP00162</v>
      </c>
      <c r="B4568" s="4" t="str">
        <f t="shared" si="442"/>
        <v>24287398</v>
      </c>
      <c r="C4568" s="4" t="str">
        <f t="shared" si="443"/>
        <v>GSE46141</v>
      </c>
      <c r="D4568" s="1" t="s">
        <v>298</v>
      </c>
      <c r="E4568" t="s">
        <v>15</v>
      </c>
      <c r="F4568" s="1">
        <v>1</v>
      </c>
      <c r="G4568" s="1" t="s">
        <v>67</v>
      </c>
      <c r="H4568" s="4" t="str">
        <f>HYPERLINK("https://www.ncbi.nlm.nih.gov/geo/query/acc.cgi?acc=GSM1124890","GSM1124890")</f>
        <v>GSM1124890</v>
      </c>
      <c r="I4568" t="s">
        <v>17</v>
      </c>
      <c r="J4568" t="s">
        <v>18</v>
      </c>
      <c r="K4568" t="s">
        <v>19</v>
      </c>
      <c r="L4568" t="s">
        <v>20</v>
      </c>
      <c r="M4568" t="s">
        <v>50</v>
      </c>
      <c r="N4568" t="s">
        <v>22</v>
      </c>
    </row>
    <row r="4569" spans="1:14">
      <c r="A4569" s="4" t="str">
        <f t="shared" si="444"/>
        <v>EXP00162</v>
      </c>
      <c r="B4569" s="4" t="str">
        <f t="shared" si="442"/>
        <v>24287398</v>
      </c>
      <c r="C4569" s="4" t="str">
        <f t="shared" si="443"/>
        <v>GSE46141</v>
      </c>
      <c r="D4569" s="1" t="s">
        <v>298</v>
      </c>
      <c r="E4569" t="s">
        <v>15</v>
      </c>
      <c r="F4569" s="1">
        <v>1</v>
      </c>
      <c r="G4569" s="1" t="s">
        <v>67</v>
      </c>
      <c r="H4569" s="4" t="str">
        <f>HYPERLINK("https://www.ncbi.nlm.nih.gov/geo/query/acc.cgi?acc=GSM1124904","GSM1124904")</f>
        <v>GSM1124904</v>
      </c>
      <c r="I4569" t="s">
        <v>17</v>
      </c>
      <c r="J4569" t="s">
        <v>18</v>
      </c>
      <c r="K4569" t="s">
        <v>19</v>
      </c>
      <c r="L4569" t="s">
        <v>20</v>
      </c>
      <c r="M4569" t="s">
        <v>50</v>
      </c>
      <c r="N4569" t="s">
        <v>22</v>
      </c>
    </row>
    <row r="4570" spans="1:14">
      <c r="A4570" s="4" t="str">
        <f t="shared" si="444"/>
        <v>EXP00162</v>
      </c>
      <c r="B4570" s="4" t="str">
        <f t="shared" si="442"/>
        <v>24287398</v>
      </c>
      <c r="C4570" s="4" t="str">
        <f t="shared" si="443"/>
        <v>GSE46141</v>
      </c>
      <c r="D4570" s="1" t="s">
        <v>298</v>
      </c>
      <c r="E4570" t="s">
        <v>15</v>
      </c>
      <c r="F4570" s="1">
        <v>1</v>
      </c>
      <c r="G4570" s="1" t="s">
        <v>67</v>
      </c>
      <c r="H4570" s="4" t="str">
        <f>HYPERLINK("https://www.ncbi.nlm.nih.gov/geo/query/acc.cgi?acc=GSM1124927","GSM1124927")</f>
        <v>GSM1124927</v>
      </c>
      <c r="I4570" t="s">
        <v>17</v>
      </c>
      <c r="J4570" t="s">
        <v>18</v>
      </c>
      <c r="K4570" t="s">
        <v>19</v>
      </c>
      <c r="L4570" t="s">
        <v>20</v>
      </c>
      <c r="M4570" t="s">
        <v>50</v>
      </c>
      <c r="N4570" t="s">
        <v>22</v>
      </c>
    </row>
    <row r="4571" spans="1:14">
      <c r="A4571" s="4" t="str">
        <f t="shared" si="444"/>
        <v>EXP00162</v>
      </c>
      <c r="B4571" s="4" t="str">
        <f t="shared" si="442"/>
        <v>24287398</v>
      </c>
      <c r="C4571" s="4" t="str">
        <f t="shared" si="443"/>
        <v>GSE46141</v>
      </c>
      <c r="D4571" s="1" t="s">
        <v>298</v>
      </c>
      <c r="E4571" t="s">
        <v>15</v>
      </c>
      <c r="F4571" s="1">
        <v>1</v>
      </c>
      <c r="G4571" s="1" t="s">
        <v>67</v>
      </c>
      <c r="H4571" s="4" t="str">
        <f>HYPERLINK("https://www.ncbi.nlm.nih.gov/geo/query/acc.cgi?acc=GSM1124953","GSM1124953")</f>
        <v>GSM1124953</v>
      </c>
      <c r="I4571" t="s">
        <v>17</v>
      </c>
      <c r="J4571" t="s">
        <v>18</v>
      </c>
      <c r="K4571" t="s">
        <v>19</v>
      </c>
      <c r="L4571" t="s">
        <v>20</v>
      </c>
      <c r="M4571" t="s">
        <v>50</v>
      </c>
      <c r="N4571" t="s">
        <v>22</v>
      </c>
    </row>
    <row r="4572" spans="1:14">
      <c r="A4572" s="4" t="str">
        <f t="shared" si="444"/>
        <v>EXP00162</v>
      </c>
      <c r="B4572" s="4" t="str">
        <f t="shared" si="442"/>
        <v>24287398</v>
      </c>
      <c r="C4572" s="4" t="str">
        <f t="shared" si="443"/>
        <v>GSE46141</v>
      </c>
      <c r="D4572" s="1" t="s">
        <v>298</v>
      </c>
      <c r="E4572" t="s">
        <v>15</v>
      </c>
      <c r="F4572" s="1">
        <v>2</v>
      </c>
      <c r="G4572" s="1" t="s">
        <v>224</v>
      </c>
      <c r="H4572" s="4" t="str">
        <f>HYPERLINK("https://www.ncbi.nlm.nih.gov/geo/query/acc.cgi?acc=GSM1124872","GSM1124872")</f>
        <v>GSM1124872</v>
      </c>
      <c r="I4572" t="s">
        <v>17</v>
      </c>
      <c r="J4572" t="s">
        <v>18</v>
      </c>
      <c r="K4572" t="s">
        <v>19</v>
      </c>
      <c r="L4572" t="s">
        <v>20</v>
      </c>
      <c r="M4572" t="s">
        <v>27</v>
      </c>
      <c r="N4572" t="s">
        <v>22</v>
      </c>
    </row>
    <row r="4573" spans="1:14">
      <c r="A4573" s="4" t="str">
        <f t="shared" si="444"/>
        <v>EXP00162</v>
      </c>
      <c r="B4573" s="4" t="str">
        <f t="shared" si="442"/>
        <v>24287398</v>
      </c>
      <c r="C4573" s="4" t="str">
        <f t="shared" si="443"/>
        <v>GSE46141</v>
      </c>
      <c r="D4573" s="1" t="s">
        <v>298</v>
      </c>
      <c r="E4573" t="s">
        <v>15</v>
      </c>
      <c r="F4573" s="1">
        <v>2</v>
      </c>
      <c r="G4573" s="1" t="s">
        <v>224</v>
      </c>
      <c r="H4573" s="4" t="str">
        <f>HYPERLINK("https://www.ncbi.nlm.nih.gov/geo/query/acc.cgi?acc=GSM1124873","GSM1124873")</f>
        <v>GSM1124873</v>
      </c>
      <c r="I4573" t="s">
        <v>17</v>
      </c>
      <c r="J4573" t="s">
        <v>18</v>
      </c>
      <c r="K4573" t="s">
        <v>19</v>
      </c>
      <c r="L4573" t="s">
        <v>20</v>
      </c>
      <c r="M4573" t="s">
        <v>27</v>
      </c>
      <c r="N4573" t="s">
        <v>22</v>
      </c>
    </row>
    <row r="4574" spans="1:14">
      <c r="A4574" s="4" t="str">
        <f t="shared" si="444"/>
        <v>EXP00162</v>
      </c>
      <c r="B4574" s="4" t="str">
        <f t="shared" si="442"/>
        <v>24287398</v>
      </c>
      <c r="C4574" s="4" t="str">
        <f t="shared" si="443"/>
        <v>GSE46141</v>
      </c>
      <c r="D4574" s="1" t="s">
        <v>298</v>
      </c>
      <c r="E4574" t="s">
        <v>15</v>
      </c>
      <c r="F4574" s="1">
        <v>2</v>
      </c>
      <c r="G4574" s="1" t="s">
        <v>224</v>
      </c>
      <c r="H4574" s="4" t="str">
        <f>HYPERLINK("https://www.ncbi.nlm.nih.gov/geo/query/acc.cgi?acc=GSM1124876","GSM1124876")</f>
        <v>GSM1124876</v>
      </c>
      <c r="I4574" t="s">
        <v>17</v>
      </c>
      <c r="J4574" t="s">
        <v>18</v>
      </c>
      <c r="K4574" t="s">
        <v>19</v>
      </c>
      <c r="L4574" t="s">
        <v>20</v>
      </c>
      <c r="M4574" t="s">
        <v>27</v>
      </c>
      <c r="N4574" t="s">
        <v>22</v>
      </c>
    </row>
    <row r="4575" spans="1:14">
      <c r="A4575" s="4" t="str">
        <f t="shared" si="444"/>
        <v>EXP00162</v>
      </c>
      <c r="B4575" s="4" t="str">
        <f t="shared" si="442"/>
        <v>24287398</v>
      </c>
      <c r="C4575" s="4" t="str">
        <f t="shared" si="443"/>
        <v>GSE46141</v>
      </c>
      <c r="D4575" s="1" t="s">
        <v>298</v>
      </c>
      <c r="E4575" t="s">
        <v>15</v>
      </c>
      <c r="F4575" s="1">
        <v>2</v>
      </c>
      <c r="G4575" s="1" t="s">
        <v>224</v>
      </c>
      <c r="H4575" s="4" t="str">
        <f>HYPERLINK("https://www.ncbi.nlm.nih.gov/geo/query/acc.cgi?acc=GSM1124877","GSM1124877")</f>
        <v>GSM1124877</v>
      </c>
      <c r="I4575" t="s">
        <v>17</v>
      </c>
      <c r="J4575" t="s">
        <v>18</v>
      </c>
      <c r="K4575" t="s">
        <v>19</v>
      </c>
      <c r="L4575" t="s">
        <v>20</v>
      </c>
      <c r="M4575" t="s">
        <v>27</v>
      </c>
      <c r="N4575" t="s">
        <v>22</v>
      </c>
    </row>
    <row r="4576" spans="1:14">
      <c r="A4576" s="4" t="str">
        <f t="shared" si="444"/>
        <v>EXP00162</v>
      </c>
      <c r="B4576" s="4" t="str">
        <f t="shared" si="442"/>
        <v>24287398</v>
      </c>
      <c r="C4576" s="4" t="str">
        <f t="shared" si="443"/>
        <v>GSE46141</v>
      </c>
      <c r="D4576" s="1" t="s">
        <v>298</v>
      </c>
      <c r="E4576" t="s">
        <v>15</v>
      </c>
      <c r="F4576" s="1">
        <v>2</v>
      </c>
      <c r="G4576" s="1" t="s">
        <v>224</v>
      </c>
      <c r="H4576" s="4" t="str">
        <f>HYPERLINK("https://www.ncbi.nlm.nih.gov/geo/query/acc.cgi?acc=GSM1124879","GSM1124879")</f>
        <v>GSM1124879</v>
      </c>
      <c r="I4576" t="s">
        <v>17</v>
      </c>
      <c r="J4576" t="s">
        <v>18</v>
      </c>
      <c r="K4576" t="s">
        <v>19</v>
      </c>
      <c r="L4576" t="s">
        <v>20</v>
      </c>
      <c r="M4576" t="s">
        <v>27</v>
      </c>
      <c r="N4576" t="s">
        <v>22</v>
      </c>
    </row>
    <row r="4577" spans="1:14">
      <c r="A4577" s="4" t="str">
        <f t="shared" si="444"/>
        <v>EXP00162</v>
      </c>
      <c r="B4577" s="4" t="str">
        <f t="shared" si="442"/>
        <v>24287398</v>
      </c>
      <c r="C4577" s="4" t="str">
        <f t="shared" si="443"/>
        <v>GSE46141</v>
      </c>
      <c r="D4577" s="1" t="s">
        <v>298</v>
      </c>
      <c r="E4577" t="s">
        <v>15</v>
      </c>
      <c r="F4577" s="1">
        <v>2</v>
      </c>
      <c r="G4577" s="1" t="s">
        <v>224</v>
      </c>
      <c r="H4577" s="4" t="str">
        <f>HYPERLINK("https://www.ncbi.nlm.nih.gov/geo/query/acc.cgi?acc=GSM1124883","GSM1124883")</f>
        <v>GSM1124883</v>
      </c>
      <c r="I4577" t="s">
        <v>17</v>
      </c>
      <c r="J4577" t="s">
        <v>18</v>
      </c>
      <c r="K4577" t="s">
        <v>19</v>
      </c>
      <c r="L4577" t="s">
        <v>20</v>
      </c>
      <c r="M4577" t="s">
        <v>27</v>
      </c>
      <c r="N4577" t="s">
        <v>22</v>
      </c>
    </row>
    <row r="4578" spans="1:14">
      <c r="A4578" s="4" t="str">
        <f t="shared" si="444"/>
        <v>EXP00162</v>
      </c>
      <c r="B4578" s="4" t="str">
        <f t="shared" si="442"/>
        <v>24287398</v>
      </c>
      <c r="C4578" s="4" t="str">
        <f t="shared" si="443"/>
        <v>GSE46141</v>
      </c>
      <c r="D4578" s="1" t="s">
        <v>298</v>
      </c>
      <c r="E4578" t="s">
        <v>15</v>
      </c>
      <c r="F4578" s="1">
        <v>2</v>
      </c>
      <c r="G4578" s="1" t="s">
        <v>224</v>
      </c>
      <c r="H4578" s="4" t="str">
        <f>HYPERLINK("https://www.ncbi.nlm.nih.gov/geo/query/acc.cgi?acc=GSM1124889","GSM1124889")</f>
        <v>GSM1124889</v>
      </c>
      <c r="I4578" t="s">
        <v>17</v>
      </c>
      <c r="J4578" t="s">
        <v>18</v>
      </c>
      <c r="K4578" t="s">
        <v>19</v>
      </c>
      <c r="L4578" t="s">
        <v>20</v>
      </c>
      <c r="M4578" t="s">
        <v>27</v>
      </c>
      <c r="N4578" t="s">
        <v>22</v>
      </c>
    </row>
    <row r="4579" spans="1:14">
      <c r="A4579" s="4" t="str">
        <f t="shared" si="444"/>
        <v>EXP00162</v>
      </c>
      <c r="B4579" s="4" t="str">
        <f t="shared" si="442"/>
        <v>24287398</v>
      </c>
      <c r="C4579" s="4" t="str">
        <f t="shared" si="443"/>
        <v>GSE46141</v>
      </c>
      <c r="D4579" s="1" t="s">
        <v>298</v>
      </c>
      <c r="E4579" t="s">
        <v>15</v>
      </c>
      <c r="F4579" s="1">
        <v>2</v>
      </c>
      <c r="G4579" s="1" t="s">
        <v>224</v>
      </c>
      <c r="H4579" s="4" t="str">
        <f>HYPERLINK("https://www.ncbi.nlm.nih.gov/geo/query/acc.cgi?acc=GSM1124892","GSM1124892")</f>
        <v>GSM1124892</v>
      </c>
      <c r="I4579" t="s">
        <v>17</v>
      </c>
      <c r="J4579" t="s">
        <v>18</v>
      </c>
      <c r="K4579" t="s">
        <v>19</v>
      </c>
      <c r="L4579" t="s">
        <v>20</v>
      </c>
      <c r="M4579" t="s">
        <v>27</v>
      </c>
      <c r="N4579" t="s">
        <v>22</v>
      </c>
    </row>
    <row r="4580" spans="1:14">
      <c r="A4580" s="4" t="str">
        <f t="shared" si="444"/>
        <v>EXP00162</v>
      </c>
      <c r="B4580" s="4" t="str">
        <f t="shared" si="442"/>
        <v>24287398</v>
      </c>
      <c r="C4580" s="4" t="str">
        <f t="shared" si="443"/>
        <v>GSE46141</v>
      </c>
      <c r="D4580" s="1" t="s">
        <v>298</v>
      </c>
      <c r="E4580" t="s">
        <v>15</v>
      </c>
      <c r="F4580" s="1">
        <v>2</v>
      </c>
      <c r="G4580" s="1" t="s">
        <v>224</v>
      </c>
      <c r="H4580" s="4" t="str">
        <f>HYPERLINK("https://www.ncbi.nlm.nih.gov/geo/query/acc.cgi?acc=GSM1124893","GSM1124893")</f>
        <v>GSM1124893</v>
      </c>
      <c r="I4580" t="s">
        <v>17</v>
      </c>
      <c r="J4580" t="s">
        <v>18</v>
      </c>
      <c r="K4580" t="s">
        <v>19</v>
      </c>
      <c r="L4580" t="s">
        <v>20</v>
      </c>
      <c r="M4580" t="s">
        <v>27</v>
      </c>
      <c r="N4580" t="s">
        <v>22</v>
      </c>
    </row>
    <row r="4581" spans="1:14">
      <c r="A4581" s="4" t="str">
        <f t="shared" si="444"/>
        <v>EXP00162</v>
      </c>
      <c r="B4581" s="4" t="str">
        <f t="shared" si="442"/>
        <v>24287398</v>
      </c>
      <c r="C4581" s="4" t="str">
        <f t="shared" si="443"/>
        <v>GSE46141</v>
      </c>
      <c r="D4581" s="1" t="s">
        <v>298</v>
      </c>
      <c r="E4581" t="s">
        <v>15</v>
      </c>
      <c r="F4581" s="1">
        <v>2</v>
      </c>
      <c r="G4581" s="1" t="s">
        <v>224</v>
      </c>
      <c r="H4581" s="4" t="str">
        <f>HYPERLINK("https://www.ncbi.nlm.nih.gov/geo/query/acc.cgi?acc=GSM1124909","GSM1124909")</f>
        <v>GSM1124909</v>
      </c>
      <c r="I4581" t="s">
        <v>17</v>
      </c>
      <c r="J4581" t="s">
        <v>18</v>
      </c>
      <c r="K4581" t="s">
        <v>19</v>
      </c>
      <c r="L4581" t="s">
        <v>20</v>
      </c>
      <c r="M4581" t="s">
        <v>27</v>
      </c>
      <c r="N4581" t="s">
        <v>22</v>
      </c>
    </row>
    <row r="4582" spans="1:14">
      <c r="A4582" s="4" t="str">
        <f t="shared" si="444"/>
        <v>EXP00162</v>
      </c>
      <c r="B4582" s="4" t="str">
        <f t="shared" si="442"/>
        <v>24287398</v>
      </c>
      <c r="C4582" s="4" t="str">
        <f t="shared" si="443"/>
        <v>GSE46141</v>
      </c>
      <c r="D4582" s="1" t="s">
        <v>298</v>
      </c>
      <c r="E4582" t="s">
        <v>15</v>
      </c>
      <c r="F4582" s="1">
        <v>2</v>
      </c>
      <c r="G4582" s="1" t="s">
        <v>224</v>
      </c>
      <c r="H4582" s="4" t="str">
        <f>HYPERLINK("https://www.ncbi.nlm.nih.gov/geo/query/acc.cgi?acc=GSM1124913","GSM1124913")</f>
        <v>GSM1124913</v>
      </c>
      <c r="I4582" t="s">
        <v>17</v>
      </c>
      <c r="J4582" t="s">
        <v>18</v>
      </c>
      <c r="K4582" t="s">
        <v>19</v>
      </c>
      <c r="L4582" t="s">
        <v>20</v>
      </c>
      <c r="M4582" t="s">
        <v>27</v>
      </c>
      <c r="N4582" t="s">
        <v>22</v>
      </c>
    </row>
    <row r="4583" spans="1:14">
      <c r="A4583" s="4" t="str">
        <f t="shared" si="444"/>
        <v>EXP00162</v>
      </c>
      <c r="B4583" s="4" t="str">
        <f t="shared" si="442"/>
        <v>24287398</v>
      </c>
      <c r="C4583" s="4" t="str">
        <f t="shared" si="443"/>
        <v>GSE46141</v>
      </c>
      <c r="D4583" s="1" t="s">
        <v>298</v>
      </c>
      <c r="E4583" t="s">
        <v>15</v>
      </c>
      <c r="F4583" s="1">
        <v>2</v>
      </c>
      <c r="G4583" s="1" t="s">
        <v>224</v>
      </c>
      <c r="H4583" s="4" t="str">
        <f>HYPERLINK("https://www.ncbi.nlm.nih.gov/geo/query/acc.cgi?acc=GSM1124916","GSM1124916")</f>
        <v>GSM1124916</v>
      </c>
      <c r="I4583" t="s">
        <v>17</v>
      </c>
      <c r="J4583" t="s">
        <v>18</v>
      </c>
      <c r="K4583" t="s">
        <v>19</v>
      </c>
      <c r="L4583" t="s">
        <v>20</v>
      </c>
      <c r="M4583" t="s">
        <v>27</v>
      </c>
      <c r="N4583" t="s">
        <v>22</v>
      </c>
    </row>
    <row r="4584" spans="1:14">
      <c r="A4584" s="4" t="str">
        <f t="shared" si="444"/>
        <v>EXP00162</v>
      </c>
      <c r="B4584" s="4" t="str">
        <f t="shared" si="442"/>
        <v>24287398</v>
      </c>
      <c r="C4584" s="4" t="str">
        <f t="shared" si="443"/>
        <v>GSE46141</v>
      </c>
      <c r="D4584" s="1" t="s">
        <v>298</v>
      </c>
      <c r="E4584" t="s">
        <v>15</v>
      </c>
      <c r="F4584" s="1">
        <v>2</v>
      </c>
      <c r="G4584" s="1" t="s">
        <v>224</v>
      </c>
      <c r="H4584" s="4" t="str">
        <f>HYPERLINK("https://www.ncbi.nlm.nih.gov/geo/query/acc.cgi?acc=GSM1124923","GSM1124923")</f>
        <v>GSM1124923</v>
      </c>
      <c r="I4584" t="s">
        <v>17</v>
      </c>
      <c r="J4584" t="s">
        <v>18</v>
      </c>
      <c r="K4584" t="s">
        <v>19</v>
      </c>
      <c r="L4584" t="s">
        <v>20</v>
      </c>
      <c r="M4584" t="s">
        <v>27</v>
      </c>
      <c r="N4584" t="s">
        <v>22</v>
      </c>
    </row>
    <row r="4585" spans="1:14">
      <c r="A4585" s="4" t="str">
        <f t="shared" si="444"/>
        <v>EXP00162</v>
      </c>
      <c r="B4585" s="4" t="str">
        <f t="shared" si="442"/>
        <v>24287398</v>
      </c>
      <c r="C4585" s="4" t="str">
        <f t="shared" si="443"/>
        <v>GSE46141</v>
      </c>
      <c r="D4585" s="1" t="s">
        <v>298</v>
      </c>
      <c r="E4585" t="s">
        <v>15</v>
      </c>
      <c r="F4585" s="1">
        <v>2</v>
      </c>
      <c r="G4585" s="1" t="s">
        <v>224</v>
      </c>
      <c r="H4585" s="4" t="str">
        <f>HYPERLINK("https://www.ncbi.nlm.nih.gov/geo/query/acc.cgi?acc=GSM1124925","GSM1124925")</f>
        <v>GSM1124925</v>
      </c>
      <c r="I4585" t="s">
        <v>17</v>
      </c>
      <c r="J4585" t="s">
        <v>18</v>
      </c>
      <c r="K4585" t="s">
        <v>19</v>
      </c>
      <c r="L4585" t="s">
        <v>20</v>
      </c>
      <c r="M4585" t="s">
        <v>27</v>
      </c>
      <c r="N4585" t="s">
        <v>22</v>
      </c>
    </row>
    <row r="4586" spans="1:14">
      <c r="A4586" s="4" t="str">
        <f t="shared" si="444"/>
        <v>EXP00162</v>
      </c>
      <c r="B4586" s="4" t="str">
        <f t="shared" si="442"/>
        <v>24287398</v>
      </c>
      <c r="C4586" s="4" t="str">
        <f t="shared" si="443"/>
        <v>GSE46141</v>
      </c>
      <c r="D4586" s="1" t="s">
        <v>298</v>
      </c>
      <c r="E4586" t="s">
        <v>15</v>
      </c>
      <c r="F4586" s="1">
        <v>2</v>
      </c>
      <c r="G4586" s="1" t="s">
        <v>224</v>
      </c>
      <c r="H4586" s="4" t="str">
        <f>HYPERLINK("https://www.ncbi.nlm.nih.gov/geo/query/acc.cgi?acc=GSM1124929","GSM1124929")</f>
        <v>GSM1124929</v>
      </c>
      <c r="I4586" t="s">
        <v>17</v>
      </c>
      <c r="J4586" t="s">
        <v>18</v>
      </c>
      <c r="K4586" t="s">
        <v>19</v>
      </c>
      <c r="L4586" t="s">
        <v>20</v>
      </c>
      <c r="M4586" t="s">
        <v>27</v>
      </c>
      <c r="N4586" t="s">
        <v>22</v>
      </c>
    </row>
    <row r="4587" spans="1:14">
      <c r="A4587" s="4" t="str">
        <f t="shared" si="444"/>
        <v>EXP00162</v>
      </c>
      <c r="B4587" s="4" t="str">
        <f t="shared" si="442"/>
        <v>24287398</v>
      </c>
      <c r="C4587" s="4" t="str">
        <f t="shared" si="443"/>
        <v>GSE46141</v>
      </c>
      <c r="D4587" s="1" t="s">
        <v>298</v>
      </c>
      <c r="E4587" t="s">
        <v>15</v>
      </c>
      <c r="F4587" s="1">
        <v>2</v>
      </c>
      <c r="G4587" s="1" t="s">
        <v>224</v>
      </c>
      <c r="H4587" s="4" t="str">
        <f>HYPERLINK("https://www.ncbi.nlm.nih.gov/geo/query/acc.cgi?acc=GSM1124934","GSM1124934")</f>
        <v>GSM1124934</v>
      </c>
      <c r="I4587" t="s">
        <v>17</v>
      </c>
      <c r="J4587" t="s">
        <v>18</v>
      </c>
      <c r="K4587" t="s">
        <v>19</v>
      </c>
      <c r="L4587" t="s">
        <v>20</v>
      </c>
      <c r="M4587" t="s">
        <v>27</v>
      </c>
      <c r="N4587" t="s">
        <v>22</v>
      </c>
    </row>
    <row r="4588" spans="1:14">
      <c r="A4588" s="4" t="str">
        <f t="shared" si="444"/>
        <v>EXP00162</v>
      </c>
      <c r="B4588" s="4" t="str">
        <f t="shared" si="442"/>
        <v>24287398</v>
      </c>
      <c r="C4588" s="4" t="str">
        <f t="shared" si="443"/>
        <v>GSE46141</v>
      </c>
      <c r="D4588" s="1" t="s">
        <v>298</v>
      </c>
      <c r="E4588" t="s">
        <v>15</v>
      </c>
      <c r="F4588" s="1">
        <v>2</v>
      </c>
      <c r="G4588" s="1" t="s">
        <v>224</v>
      </c>
      <c r="H4588" s="4" t="str">
        <f>HYPERLINK("https://www.ncbi.nlm.nih.gov/geo/query/acc.cgi?acc=GSM1124937","GSM1124937")</f>
        <v>GSM1124937</v>
      </c>
      <c r="I4588" t="s">
        <v>17</v>
      </c>
      <c r="J4588" t="s">
        <v>18</v>
      </c>
      <c r="K4588" t="s">
        <v>19</v>
      </c>
      <c r="L4588" t="s">
        <v>20</v>
      </c>
      <c r="M4588" t="s">
        <v>27</v>
      </c>
      <c r="N4588" t="s">
        <v>22</v>
      </c>
    </row>
    <row r="4589" spans="1:14">
      <c r="A4589" s="4" t="str">
        <f t="shared" ref="A4589:A4615" si="445">HYPERLINK("http://hcmdb.i-sanger.com/experiment/details/experiment_id/EXP00163","EXP00163")</f>
        <v>EXP00163</v>
      </c>
      <c r="B4589" s="4" t="str">
        <f t="shared" si="442"/>
        <v>24287398</v>
      </c>
      <c r="C4589" s="4" t="str">
        <f t="shared" si="443"/>
        <v>GSE46141</v>
      </c>
      <c r="D4589" s="1" t="s">
        <v>298</v>
      </c>
      <c r="E4589" t="s">
        <v>15</v>
      </c>
      <c r="F4589" s="1">
        <v>1</v>
      </c>
      <c r="G4589" s="1" t="s">
        <v>299</v>
      </c>
      <c r="H4589" s="4" t="str">
        <f>HYPERLINK("https://www.ncbi.nlm.nih.gov/geo/query/acc.cgi?acc=GSM1124869","GSM1124869")</f>
        <v>GSM1124869</v>
      </c>
      <c r="I4589" t="s">
        <v>17</v>
      </c>
      <c r="J4589" t="s">
        <v>18</v>
      </c>
      <c r="K4589" t="s">
        <v>19</v>
      </c>
      <c r="L4589" t="s">
        <v>20</v>
      </c>
      <c r="M4589" t="s">
        <v>20</v>
      </c>
      <c r="N4589" t="s">
        <v>22</v>
      </c>
    </row>
    <row r="4590" spans="1:14">
      <c r="A4590" s="4" t="str">
        <f t="shared" si="445"/>
        <v>EXP00163</v>
      </c>
      <c r="B4590" s="4" t="str">
        <f t="shared" si="442"/>
        <v>24287398</v>
      </c>
      <c r="C4590" s="4" t="str">
        <f t="shared" si="443"/>
        <v>GSE46141</v>
      </c>
      <c r="D4590" s="1" t="s">
        <v>298</v>
      </c>
      <c r="E4590" t="s">
        <v>15</v>
      </c>
      <c r="F4590" s="1">
        <v>1</v>
      </c>
      <c r="G4590" s="1" t="s">
        <v>299</v>
      </c>
      <c r="H4590" s="4" t="str">
        <f>HYPERLINK("https://www.ncbi.nlm.nih.gov/geo/query/acc.cgi?acc=GSM1124870","GSM1124870")</f>
        <v>GSM1124870</v>
      </c>
      <c r="I4590" t="s">
        <v>17</v>
      </c>
      <c r="J4590" t="s">
        <v>18</v>
      </c>
      <c r="K4590" t="s">
        <v>19</v>
      </c>
      <c r="L4590" t="s">
        <v>20</v>
      </c>
      <c r="M4590" t="s">
        <v>20</v>
      </c>
      <c r="N4590" t="s">
        <v>22</v>
      </c>
    </row>
    <row r="4591" spans="1:14">
      <c r="A4591" s="4" t="str">
        <f t="shared" si="445"/>
        <v>EXP00163</v>
      </c>
      <c r="B4591" s="4" t="str">
        <f t="shared" si="442"/>
        <v>24287398</v>
      </c>
      <c r="C4591" s="4" t="str">
        <f t="shared" si="443"/>
        <v>GSE46141</v>
      </c>
      <c r="D4591" s="1" t="s">
        <v>298</v>
      </c>
      <c r="E4591" t="s">
        <v>15</v>
      </c>
      <c r="F4591" s="1">
        <v>1</v>
      </c>
      <c r="G4591" s="1" t="s">
        <v>299</v>
      </c>
      <c r="H4591" s="4" t="str">
        <f>HYPERLINK("https://www.ncbi.nlm.nih.gov/geo/query/acc.cgi?acc=GSM1124882","GSM1124882")</f>
        <v>GSM1124882</v>
      </c>
      <c r="I4591" t="s">
        <v>17</v>
      </c>
      <c r="J4591" t="s">
        <v>18</v>
      </c>
      <c r="K4591" t="s">
        <v>19</v>
      </c>
      <c r="L4591" t="s">
        <v>20</v>
      </c>
      <c r="M4591" t="s">
        <v>20</v>
      </c>
      <c r="N4591" t="s">
        <v>22</v>
      </c>
    </row>
    <row r="4592" spans="1:14">
      <c r="A4592" s="4" t="str">
        <f t="shared" si="445"/>
        <v>EXP00163</v>
      </c>
      <c r="B4592" s="4" t="str">
        <f t="shared" si="442"/>
        <v>24287398</v>
      </c>
      <c r="C4592" s="4" t="str">
        <f t="shared" si="443"/>
        <v>GSE46141</v>
      </c>
      <c r="D4592" s="1" t="s">
        <v>298</v>
      </c>
      <c r="E4592" t="s">
        <v>15</v>
      </c>
      <c r="F4592" s="1">
        <v>1</v>
      </c>
      <c r="G4592" s="1" t="s">
        <v>299</v>
      </c>
      <c r="H4592" s="4" t="str">
        <f>HYPERLINK("https://www.ncbi.nlm.nih.gov/geo/query/acc.cgi?acc=GSM1124884","GSM1124884")</f>
        <v>GSM1124884</v>
      </c>
      <c r="I4592" t="s">
        <v>17</v>
      </c>
      <c r="J4592" t="s">
        <v>18</v>
      </c>
      <c r="K4592" t="s">
        <v>19</v>
      </c>
      <c r="L4592" t="s">
        <v>20</v>
      </c>
      <c r="M4592" t="s">
        <v>20</v>
      </c>
      <c r="N4592" t="s">
        <v>22</v>
      </c>
    </row>
    <row r="4593" spans="1:14">
      <c r="A4593" s="4" t="str">
        <f t="shared" si="445"/>
        <v>EXP00163</v>
      </c>
      <c r="B4593" s="4" t="str">
        <f t="shared" si="442"/>
        <v>24287398</v>
      </c>
      <c r="C4593" s="4" t="str">
        <f t="shared" si="443"/>
        <v>GSE46141</v>
      </c>
      <c r="D4593" s="1" t="s">
        <v>298</v>
      </c>
      <c r="E4593" t="s">
        <v>15</v>
      </c>
      <c r="F4593" s="1">
        <v>1</v>
      </c>
      <c r="G4593" s="1" t="s">
        <v>299</v>
      </c>
      <c r="H4593" s="4" t="str">
        <f>HYPERLINK("https://www.ncbi.nlm.nih.gov/geo/query/acc.cgi?acc=GSM1124898","GSM1124898")</f>
        <v>GSM1124898</v>
      </c>
      <c r="I4593" t="s">
        <v>17</v>
      </c>
      <c r="J4593" t="s">
        <v>18</v>
      </c>
      <c r="K4593" t="s">
        <v>19</v>
      </c>
      <c r="L4593" t="s">
        <v>20</v>
      </c>
      <c r="M4593" t="s">
        <v>20</v>
      </c>
      <c r="N4593" t="s">
        <v>22</v>
      </c>
    </row>
    <row r="4594" spans="1:14">
      <c r="A4594" s="4" t="str">
        <f t="shared" si="445"/>
        <v>EXP00163</v>
      </c>
      <c r="B4594" s="4" t="str">
        <f t="shared" si="442"/>
        <v>24287398</v>
      </c>
      <c r="C4594" s="4" t="str">
        <f t="shared" si="443"/>
        <v>GSE46141</v>
      </c>
      <c r="D4594" s="1" t="s">
        <v>298</v>
      </c>
      <c r="E4594" t="s">
        <v>15</v>
      </c>
      <c r="F4594" s="1">
        <v>1</v>
      </c>
      <c r="G4594" s="1" t="s">
        <v>299</v>
      </c>
      <c r="H4594" s="4" t="str">
        <f>HYPERLINK("https://www.ncbi.nlm.nih.gov/geo/query/acc.cgi?acc=GSM1124903","GSM1124903")</f>
        <v>GSM1124903</v>
      </c>
      <c r="I4594" t="s">
        <v>17</v>
      </c>
      <c r="J4594" t="s">
        <v>18</v>
      </c>
      <c r="K4594" t="s">
        <v>19</v>
      </c>
      <c r="L4594" t="s">
        <v>20</v>
      </c>
      <c r="M4594" t="s">
        <v>20</v>
      </c>
      <c r="N4594" t="s">
        <v>22</v>
      </c>
    </row>
    <row r="4595" spans="1:14">
      <c r="A4595" s="4" t="str">
        <f t="shared" si="445"/>
        <v>EXP00163</v>
      </c>
      <c r="B4595" s="4" t="str">
        <f t="shared" si="442"/>
        <v>24287398</v>
      </c>
      <c r="C4595" s="4" t="str">
        <f t="shared" si="443"/>
        <v>GSE46141</v>
      </c>
      <c r="D4595" s="1" t="s">
        <v>298</v>
      </c>
      <c r="E4595" t="s">
        <v>15</v>
      </c>
      <c r="F4595" s="1">
        <v>1</v>
      </c>
      <c r="G4595" s="1" t="s">
        <v>299</v>
      </c>
      <c r="H4595" s="4" t="str">
        <f>HYPERLINK("https://www.ncbi.nlm.nih.gov/geo/query/acc.cgi?acc=GSM1124905","GSM1124905")</f>
        <v>GSM1124905</v>
      </c>
      <c r="I4595" t="s">
        <v>17</v>
      </c>
      <c r="J4595" t="s">
        <v>18</v>
      </c>
      <c r="K4595" t="s">
        <v>19</v>
      </c>
      <c r="L4595" t="s">
        <v>20</v>
      </c>
      <c r="M4595" t="s">
        <v>20</v>
      </c>
      <c r="N4595" t="s">
        <v>22</v>
      </c>
    </row>
    <row r="4596" spans="1:14">
      <c r="A4596" s="4" t="str">
        <f t="shared" si="445"/>
        <v>EXP00163</v>
      </c>
      <c r="B4596" s="4" t="str">
        <f t="shared" si="442"/>
        <v>24287398</v>
      </c>
      <c r="C4596" s="4" t="str">
        <f t="shared" si="443"/>
        <v>GSE46141</v>
      </c>
      <c r="D4596" s="1" t="s">
        <v>298</v>
      </c>
      <c r="E4596" t="s">
        <v>15</v>
      </c>
      <c r="F4596" s="1">
        <v>1</v>
      </c>
      <c r="G4596" s="1" t="s">
        <v>299</v>
      </c>
      <c r="H4596" s="4" t="str">
        <f>HYPERLINK("https://www.ncbi.nlm.nih.gov/geo/query/acc.cgi?acc=GSM1124910","GSM1124910")</f>
        <v>GSM1124910</v>
      </c>
      <c r="I4596" t="s">
        <v>17</v>
      </c>
      <c r="J4596" t="s">
        <v>18</v>
      </c>
      <c r="K4596" t="s">
        <v>19</v>
      </c>
      <c r="L4596" t="s">
        <v>20</v>
      </c>
      <c r="M4596" t="s">
        <v>20</v>
      </c>
      <c r="N4596" t="s">
        <v>22</v>
      </c>
    </row>
    <row r="4597" spans="1:14">
      <c r="A4597" s="4" t="str">
        <f t="shared" si="445"/>
        <v>EXP00163</v>
      </c>
      <c r="B4597" s="4" t="str">
        <f t="shared" si="442"/>
        <v>24287398</v>
      </c>
      <c r="C4597" s="4" t="str">
        <f t="shared" si="443"/>
        <v>GSE46141</v>
      </c>
      <c r="D4597" s="1" t="s">
        <v>298</v>
      </c>
      <c r="E4597" t="s">
        <v>15</v>
      </c>
      <c r="F4597" s="1">
        <v>1</v>
      </c>
      <c r="G4597" s="1" t="s">
        <v>299</v>
      </c>
      <c r="H4597" s="4" t="str">
        <f>HYPERLINK("https://www.ncbi.nlm.nih.gov/geo/query/acc.cgi?acc=GSM1124919","GSM1124919")</f>
        <v>GSM1124919</v>
      </c>
      <c r="I4597" t="s">
        <v>17</v>
      </c>
      <c r="J4597" t="s">
        <v>18</v>
      </c>
      <c r="K4597" t="s">
        <v>19</v>
      </c>
      <c r="L4597" t="s">
        <v>20</v>
      </c>
      <c r="M4597" t="s">
        <v>20</v>
      </c>
      <c r="N4597" t="s">
        <v>22</v>
      </c>
    </row>
    <row r="4598" spans="1:14">
      <c r="A4598" s="4" t="str">
        <f t="shared" si="445"/>
        <v>EXP00163</v>
      </c>
      <c r="B4598" s="4" t="str">
        <f t="shared" si="442"/>
        <v>24287398</v>
      </c>
      <c r="C4598" s="4" t="str">
        <f t="shared" si="443"/>
        <v>GSE46141</v>
      </c>
      <c r="D4598" s="1" t="s">
        <v>298</v>
      </c>
      <c r="E4598" t="s">
        <v>15</v>
      </c>
      <c r="F4598" s="1">
        <v>1</v>
      </c>
      <c r="G4598" s="1" t="s">
        <v>299</v>
      </c>
      <c r="H4598" s="4" t="str">
        <f>HYPERLINK("https://www.ncbi.nlm.nih.gov/geo/query/acc.cgi?acc=GSM1124932","GSM1124932")</f>
        <v>GSM1124932</v>
      </c>
      <c r="I4598" t="s">
        <v>17</v>
      </c>
      <c r="J4598" t="s">
        <v>18</v>
      </c>
      <c r="K4598" t="s">
        <v>19</v>
      </c>
      <c r="L4598" t="s">
        <v>20</v>
      </c>
      <c r="M4598" t="s">
        <v>20</v>
      </c>
      <c r="N4598" t="s">
        <v>22</v>
      </c>
    </row>
    <row r="4599" spans="1:14">
      <c r="A4599" s="4" t="str">
        <f t="shared" si="445"/>
        <v>EXP00163</v>
      </c>
      <c r="B4599" s="4" t="str">
        <f t="shared" si="442"/>
        <v>24287398</v>
      </c>
      <c r="C4599" s="4" t="str">
        <f t="shared" si="443"/>
        <v>GSE46141</v>
      </c>
      <c r="D4599" s="1" t="s">
        <v>298</v>
      </c>
      <c r="E4599" t="s">
        <v>15</v>
      </c>
      <c r="F4599" s="1">
        <v>1</v>
      </c>
      <c r="G4599" s="1" t="s">
        <v>299</v>
      </c>
      <c r="H4599" s="4" t="str">
        <f>HYPERLINK("https://www.ncbi.nlm.nih.gov/geo/query/acc.cgi?acc=GSM1124933","GSM1124933")</f>
        <v>GSM1124933</v>
      </c>
      <c r="I4599" t="s">
        <v>17</v>
      </c>
      <c r="J4599" t="s">
        <v>18</v>
      </c>
      <c r="K4599" t="s">
        <v>19</v>
      </c>
      <c r="L4599" t="s">
        <v>20</v>
      </c>
      <c r="M4599" t="s">
        <v>20</v>
      </c>
      <c r="N4599" t="s">
        <v>22</v>
      </c>
    </row>
    <row r="4600" spans="1:14">
      <c r="A4600" s="4" t="str">
        <f t="shared" si="445"/>
        <v>EXP00163</v>
      </c>
      <c r="B4600" s="4" t="str">
        <f t="shared" si="442"/>
        <v>24287398</v>
      </c>
      <c r="C4600" s="4" t="str">
        <f t="shared" si="443"/>
        <v>GSE46141</v>
      </c>
      <c r="D4600" s="1" t="s">
        <v>298</v>
      </c>
      <c r="E4600" t="s">
        <v>15</v>
      </c>
      <c r="F4600" s="1">
        <v>2</v>
      </c>
      <c r="G4600" s="1" t="s">
        <v>63</v>
      </c>
      <c r="H4600" s="4" t="str">
        <f>HYPERLINK("https://www.ncbi.nlm.nih.gov/geo/query/acc.cgi?acc=GSM1124867","GSM1124867")</f>
        <v>GSM1124867</v>
      </c>
      <c r="I4600" t="s">
        <v>17</v>
      </c>
      <c r="J4600" t="s">
        <v>18</v>
      </c>
      <c r="K4600" t="s">
        <v>19</v>
      </c>
      <c r="L4600" t="s">
        <v>20</v>
      </c>
      <c r="M4600" t="s">
        <v>44</v>
      </c>
      <c r="N4600" t="s">
        <v>22</v>
      </c>
    </row>
    <row r="4601" spans="1:14">
      <c r="A4601" s="4" t="str">
        <f t="shared" si="445"/>
        <v>EXP00163</v>
      </c>
      <c r="B4601" s="4" t="str">
        <f t="shared" si="442"/>
        <v>24287398</v>
      </c>
      <c r="C4601" s="4" t="str">
        <f t="shared" si="443"/>
        <v>GSE46141</v>
      </c>
      <c r="D4601" s="1" t="s">
        <v>298</v>
      </c>
      <c r="E4601" t="s">
        <v>15</v>
      </c>
      <c r="F4601" s="1">
        <v>2</v>
      </c>
      <c r="G4601" s="1" t="s">
        <v>63</v>
      </c>
      <c r="H4601" s="4" t="str">
        <f>HYPERLINK("https://www.ncbi.nlm.nih.gov/geo/query/acc.cgi?acc=GSM1124868","GSM1124868")</f>
        <v>GSM1124868</v>
      </c>
      <c r="I4601" t="s">
        <v>17</v>
      </c>
      <c r="J4601" t="s">
        <v>18</v>
      </c>
      <c r="K4601" t="s">
        <v>19</v>
      </c>
      <c r="L4601" t="s">
        <v>20</v>
      </c>
      <c r="M4601" t="s">
        <v>44</v>
      </c>
      <c r="N4601" t="s">
        <v>22</v>
      </c>
    </row>
    <row r="4602" spans="1:14">
      <c r="A4602" s="4" t="str">
        <f t="shared" si="445"/>
        <v>EXP00163</v>
      </c>
      <c r="B4602" s="4" t="str">
        <f t="shared" si="442"/>
        <v>24287398</v>
      </c>
      <c r="C4602" s="4" t="str">
        <f t="shared" si="443"/>
        <v>GSE46141</v>
      </c>
      <c r="D4602" s="1" t="s">
        <v>298</v>
      </c>
      <c r="E4602" t="s">
        <v>15</v>
      </c>
      <c r="F4602" s="1">
        <v>2</v>
      </c>
      <c r="G4602" s="1" t="s">
        <v>63</v>
      </c>
      <c r="H4602" s="4" t="str">
        <f>HYPERLINK("https://www.ncbi.nlm.nih.gov/geo/query/acc.cgi?acc=GSM1124878","GSM1124878")</f>
        <v>GSM1124878</v>
      </c>
      <c r="I4602" t="s">
        <v>17</v>
      </c>
      <c r="J4602" t="s">
        <v>18</v>
      </c>
      <c r="K4602" t="s">
        <v>19</v>
      </c>
      <c r="L4602" t="s">
        <v>20</v>
      </c>
      <c r="M4602" t="s">
        <v>44</v>
      </c>
      <c r="N4602" t="s">
        <v>22</v>
      </c>
    </row>
    <row r="4603" spans="1:14">
      <c r="A4603" s="4" t="str">
        <f t="shared" si="445"/>
        <v>EXP00163</v>
      </c>
      <c r="B4603" s="4" t="str">
        <f t="shared" si="442"/>
        <v>24287398</v>
      </c>
      <c r="C4603" s="4" t="str">
        <f t="shared" si="443"/>
        <v>GSE46141</v>
      </c>
      <c r="D4603" s="1" t="s">
        <v>298</v>
      </c>
      <c r="E4603" t="s">
        <v>15</v>
      </c>
      <c r="F4603" s="1">
        <v>2</v>
      </c>
      <c r="G4603" s="1" t="s">
        <v>63</v>
      </c>
      <c r="H4603" s="4" t="str">
        <f>HYPERLINK("https://www.ncbi.nlm.nih.gov/geo/query/acc.cgi?acc=GSM1124895","GSM1124895")</f>
        <v>GSM1124895</v>
      </c>
      <c r="I4603" t="s">
        <v>17</v>
      </c>
      <c r="J4603" t="s">
        <v>18</v>
      </c>
      <c r="K4603" t="s">
        <v>19</v>
      </c>
      <c r="L4603" t="s">
        <v>20</v>
      </c>
      <c r="M4603" t="s">
        <v>44</v>
      </c>
      <c r="N4603" t="s">
        <v>22</v>
      </c>
    </row>
    <row r="4604" spans="1:14">
      <c r="A4604" s="4" t="str">
        <f t="shared" si="445"/>
        <v>EXP00163</v>
      </c>
      <c r="B4604" s="4" t="str">
        <f t="shared" si="442"/>
        <v>24287398</v>
      </c>
      <c r="C4604" s="4" t="str">
        <f t="shared" si="443"/>
        <v>GSE46141</v>
      </c>
      <c r="D4604" s="1" t="s">
        <v>298</v>
      </c>
      <c r="E4604" t="s">
        <v>15</v>
      </c>
      <c r="F4604" s="1">
        <v>2</v>
      </c>
      <c r="G4604" s="1" t="s">
        <v>63</v>
      </c>
      <c r="H4604" s="4" t="str">
        <f>HYPERLINK("https://www.ncbi.nlm.nih.gov/geo/query/acc.cgi?acc=GSM1124897","GSM1124897")</f>
        <v>GSM1124897</v>
      </c>
      <c r="I4604" t="s">
        <v>17</v>
      </c>
      <c r="J4604" t="s">
        <v>18</v>
      </c>
      <c r="K4604" t="s">
        <v>19</v>
      </c>
      <c r="L4604" t="s">
        <v>20</v>
      </c>
      <c r="M4604" t="s">
        <v>44</v>
      </c>
      <c r="N4604" t="s">
        <v>22</v>
      </c>
    </row>
    <row r="4605" spans="1:14">
      <c r="A4605" s="4" t="str">
        <f t="shared" si="445"/>
        <v>EXP00163</v>
      </c>
      <c r="B4605" s="4" t="str">
        <f t="shared" si="442"/>
        <v>24287398</v>
      </c>
      <c r="C4605" s="4" t="str">
        <f t="shared" si="443"/>
        <v>GSE46141</v>
      </c>
      <c r="D4605" s="1" t="s">
        <v>298</v>
      </c>
      <c r="E4605" t="s">
        <v>15</v>
      </c>
      <c r="F4605" s="1">
        <v>2</v>
      </c>
      <c r="G4605" s="1" t="s">
        <v>63</v>
      </c>
      <c r="H4605" s="4" t="str">
        <f>HYPERLINK("https://www.ncbi.nlm.nih.gov/geo/query/acc.cgi?acc=GSM1124902","GSM1124902")</f>
        <v>GSM1124902</v>
      </c>
      <c r="I4605" t="s">
        <v>17</v>
      </c>
      <c r="J4605" t="s">
        <v>18</v>
      </c>
      <c r="K4605" t="s">
        <v>19</v>
      </c>
      <c r="L4605" t="s">
        <v>20</v>
      </c>
      <c r="M4605" t="s">
        <v>44</v>
      </c>
      <c r="N4605" t="s">
        <v>22</v>
      </c>
    </row>
    <row r="4606" spans="1:14">
      <c r="A4606" s="4" t="str">
        <f t="shared" si="445"/>
        <v>EXP00163</v>
      </c>
      <c r="B4606" s="4" t="str">
        <f t="shared" si="442"/>
        <v>24287398</v>
      </c>
      <c r="C4606" s="4" t="str">
        <f t="shared" si="443"/>
        <v>GSE46141</v>
      </c>
      <c r="D4606" s="1" t="s">
        <v>298</v>
      </c>
      <c r="E4606" t="s">
        <v>15</v>
      </c>
      <c r="F4606" s="1">
        <v>2</v>
      </c>
      <c r="G4606" s="1" t="s">
        <v>63</v>
      </c>
      <c r="H4606" s="4" t="str">
        <f>HYPERLINK("https://www.ncbi.nlm.nih.gov/geo/query/acc.cgi?acc=GSM1124908","GSM1124908")</f>
        <v>GSM1124908</v>
      </c>
      <c r="I4606" t="s">
        <v>17</v>
      </c>
      <c r="J4606" t="s">
        <v>18</v>
      </c>
      <c r="K4606" t="s">
        <v>19</v>
      </c>
      <c r="L4606" t="s">
        <v>20</v>
      </c>
      <c r="M4606" t="s">
        <v>44</v>
      </c>
      <c r="N4606" t="s">
        <v>22</v>
      </c>
    </row>
    <row r="4607" spans="1:14">
      <c r="A4607" s="4" t="str">
        <f t="shared" si="445"/>
        <v>EXP00163</v>
      </c>
      <c r="B4607" s="4" t="str">
        <f t="shared" ref="B4607:B4670" si="446">HYPERLINK("https://www.ncbi.nlm.nih.gov/pubmed/24287398","24287398")</f>
        <v>24287398</v>
      </c>
      <c r="C4607" s="4" t="str">
        <f t="shared" ref="C4607:C4670" si="447">HYPERLINK("https://www.ncbi.nlm.nih.gov/geo/query/acc.cgi?acc=GSE46141","GSE46141")</f>
        <v>GSE46141</v>
      </c>
      <c r="D4607" s="1" t="s">
        <v>298</v>
      </c>
      <c r="E4607" t="s">
        <v>15</v>
      </c>
      <c r="F4607" s="1">
        <v>2</v>
      </c>
      <c r="G4607" s="1" t="s">
        <v>63</v>
      </c>
      <c r="H4607" s="4" t="str">
        <f>HYPERLINK("https://www.ncbi.nlm.nih.gov/geo/query/acc.cgi?acc=GSM1124921","GSM1124921")</f>
        <v>GSM1124921</v>
      </c>
      <c r="I4607" t="s">
        <v>17</v>
      </c>
      <c r="J4607" t="s">
        <v>18</v>
      </c>
      <c r="K4607" t="s">
        <v>19</v>
      </c>
      <c r="L4607" t="s">
        <v>20</v>
      </c>
      <c r="M4607" t="s">
        <v>44</v>
      </c>
      <c r="N4607" t="s">
        <v>22</v>
      </c>
    </row>
    <row r="4608" spans="1:14">
      <c r="A4608" s="4" t="str">
        <f t="shared" si="445"/>
        <v>EXP00163</v>
      </c>
      <c r="B4608" s="4" t="str">
        <f t="shared" si="446"/>
        <v>24287398</v>
      </c>
      <c r="C4608" s="4" t="str">
        <f t="shared" si="447"/>
        <v>GSE46141</v>
      </c>
      <c r="D4608" s="1" t="s">
        <v>298</v>
      </c>
      <c r="E4608" t="s">
        <v>15</v>
      </c>
      <c r="F4608" s="1">
        <v>2</v>
      </c>
      <c r="G4608" s="1" t="s">
        <v>63</v>
      </c>
      <c r="H4608" s="4" t="str">
        <f>HYPERLINK("https://www.ncbi.nlm.nih.gov/geo/query/acc.cgi?acc=GSM1124939","GSM1124939")</f>
        <v>GSM1124939</v>
      </c>
      <c r="I4608" t="s">
        <v>17</v>
      </c>
      <c r="J4608" t="s">
        <v>18</v>
      </c>
      <c r="K4608" t="s">
        <v>19</v>
      </c>
      <c r="L4608" t="s">
        <v>20</v>
      </c>
      <c r="M4608" t="s">
        <v>44</v>
      </c>
      <c r="N4608" t="s">
        <v>22</v>
      </c>
    </row>
    <row r="4609" spans="1:14">
      <c r="A4609" s="4" t="str">
        <f t="shared" si="445"/>
        <v>EXP00163</v>
      </c>
      <c r="B4609" s="4" t="str">
        <f t="shared" si="446"/>
        <v>24287398</v>
      </c>
      <c r="C4609" s="4" t="str">
        <f t="shared" si="447"/>
        <v>GSE46141</v>
      </c>
      <c r="D4609" s="1" t="s">
        <v>298</v>
      </c>
      <c r="E4609" t="s">
        <v>15</v>
      </c>
      <c r="F4609" s="1">
        <v>2</v>
      </c>
      <c r="G4609" s="1" t="s">
        <v>63</v>
      </c>
      <c r="H4609" s="4" t="str">
        <f>HYPERLINK("https://www.ncbi.nlm.nih.gov/geo/query/acc.cgi?acc=GSM1124944","GSM1124944")</f>
        <v>GSM1124944</v>
      </c>
      <c r="I4609" t="s">
        <v>17</v>
      </c>
      <c r="J4609" t="s">
        <v>18</v>
      </c>
      <c r="K4609" t="s">
        <v>19</v>
      </c>
      <c r="L4609" t="s">
        <v>20</v>
      </c>
      <c r="M4609" t="s">
        <v>44</v>
      </c>
      <c r="N4609" t="s">
        <v>22</v>
      </c>
    </row>
    <row r="4610" spans="1:14">
      <c r="A4610" s="4" t="str">
        <f t="shared" si="445"/>
        <v>EXP00163</v>
      </c>
      <c r="B4610" s="4" t="str">
        <f t="shared" si="446"/>
        <v>24287398</v>
      </c>
      <c r="C4610" s="4" t="str">
        <f t="shared" si="447"/>
        <v>GSE46141</v>
      </c>
      <c r="D4610" s="1" t="s">
        <v>298</v>
      </c>
      <c r="E4610" t="s">
        <v>15</v>
      </c>
      <c r="F4610" s="1">
        <v>2</v>
      </c>
      <c r="G4610" s="1" t="s">
        <v>63</v>
      </c>
      <c r="H4610" s="4" t="str">
        <f>HYPERLINK("https://www.ncbi.nlm.nih.gov/geo/query/acc.cgi?acc=GSM1124945","GSM1124945")</f>
        <v>GSM1124945</v>
      </c>
      <c r="I4610" t="s">
        <v>17</v>
      </c>
      <c r="J4610" t="s">
        <v>18</v>
      </c>
      <c r="K4610" t="s">
        <v>19</v>
      </c>
      <c r="L4610" t="s">
        <v>20</v>
      </c>
      <c r="M4610" t="s">
        <v>44</v>
      </c>
      <c r="N4610" t="s">
        <v>22</v>
      </c>
    </row>
    <row r="4611" spans="1:14">
      <c r="A4611" s="4" t="str">
        <f t="shared" si="445"/>
        <v>EXP00163</v>
      </c>
      <c r="B4611" s="4" t="str">
        <f t="shared" si="446"/>
        <v>24287398</v>
      </c>
      <c r="C4611" s="4" t="str">
        <f t="shared" si="447"/>
        <v>GSE46141</v>
      </c>
      <c r="D4611" s="1" t="s">
        <v>298</v>
      </c>
      <c r="E4611" t="s">
        <v>15</v>
      </c>
      <c r="F4611" s="1">
        <v>2</v>
      </c>
      <c r="G4611" s="1" t="s">
        <v>63</v>
      </c>
      <c r="H4611" s="4" t="str">
        <f>HYPERLINK("https://www.ncbi.nlm.nih.gov/geo/query/acc.cgi?acc=GSM1124946","GSM1124946")</f>
        <v>GSM1124946</v>
      </c>
      <c r="I4611" t="s">
        <v>17</v>
      </c>
      <c r="J4611" t="s">
        <v>18</v>
      </c>
      <c r="K4611" t="s">
        <v>19</v>
      </c>
      <c r="L4611" t="s">
        <v>20</v>
      </c>
      <c r="M4611" t="s">
        <v>44</v>
      </c>
      <c r="N4611" t="s">
        <v>22</v>
      </c>
    </row>
    <row r="4612" spans="1:14">
      <c r="A4612" s="4" t="str">
        <f t="shared" si="445"/>
        <v>EXP00163</v>
      </c>
      <c r="B4612" s="4" t="str">
        <f t="shared" si="446"/>
        <v>24287398</v>
      </c>
      <c r="C4612" s="4" t="str">
        <f t="shared" si="447"/>
        <v>GSE46141</v>
      </c>
      <c r="D4612" s="1" t="s">
        <v>298</v>
      </c>
      <c r="E4612" t="s">
        <v>15</v>
      </c>
      <c r="F4612" s="1">
        <v>2</v>
      </c>
      <c r="G4612" s="1" t="s">
        <v>63</v>
      </c>
      <c r="H4612" s="4" t="str">
        <f>HYPERLINK("https://www.ncbi.nlm.nih.gov/geo/query/acc.cgi?acc=GSM1124947","GSM1124947")</f>
        <v>GSM1124947</v>
      </c>
      <c r="I4612" t="s">
        <v>17</v>
      </c>
      <c r="J4612" t="s">
        <v>18</v>
      </c>
      <c r="K4612" t="s">
        <v>19</v>
      </c>
      <c r="L4612" t="s">
        <v>20</v>
      </c>
      <c r="M4612" t="s">
        <v>44</v>
      </c>
      <c r="N4612" t="s">
        <v>22</v>
      </c>
    </row>
    <row r="4613" spans="1:14">
      <c r="A4613" s="4" t="str">
        <f t="shared" si="445"/>
        <v>EXP00163</v>
      </c>
      <c r="B4613" s="4" t="str">
        <f t="shared" si="446"/>
        <v>24287398</v>
      </c>
      <c r="C4613" s="4" t="str">
        <f t="shared" si="447"/>
        <v>GSE46141</v>
      </c>
      <c r="D4613" s="1" t="s">
        <v>298</v>
      </c>
      <c r="E4613" t="s">
        <v>15</v>
      </c>
      <c r="F4613" s="1">
        <v>2</v>
      </c>
      <c r="G4613" s="1" t="s">
        <v>63</v>
      </c>
      <c r="H4613" s="4" t="str">
        <f>HYPERLINK("https://www.ncbi.nlm.nih.gov/geo/query/acc.cgi?acc=GSM1124951","GSM1124951")</f>
        <v>GSM1124951</v>
      </c>
      <c r="I4613" t="s">
        <v>17</v>
      </c>
      <c r="J4613" t="s">
        <v>18</v>
      </c>
      <c r="K4613" t="s">
        <v>19</v>
      </c>
      <c r="L4613" t="s">
        <v>20</v>
      </c>
      <c r="M4613" t="s">
        <v>44</v>
      </c>
      <c r="N4613" t="s">
        <v>22</v>
      </c>
    </row>
    <row r="4614" spans="1:14">
      <c r="A4614" s="4" t="str">
        <f t="shared" si="445"/>
        <v>EXP00163</v>
      </c>
      <c r="B4614" s="4" t="str">
        <f t="shared" si="446"/>
        <v>24287398</v>
      </c>
      <c r="C4614" s="4" t="str">
        <f t="shared" si="447"/>
        <v>GSE46141</v>
      </c>
      <c r="D4614" s="1" t="s">
        <v>298</v>
      </c>
      <c r="E4614" t="s">
        <v>15</v>
      </c>
      <c r="F4614" s="1">
        <v>2</v>
      </c>
      <c r="G4614" s="1" t="s">
        <v>63</v>
      </c>
      <c r="H4614" s="4" t="str">
        <f>HYPERLINK("https://www.ncbi.nlm.nih.gov/geo/query/acc.cgi?acc=GSM1124952","GSM1124952")</f>
        <v>GSM1124952</v>
      </c>
      <c r="I4614" t="s">
        <v>17</v>
      </c>
      <c r="J4614" t="s">
        <v>18</v>
      </c>
      <c r="K4614" t="s">
        <v>19</v>
      </c>
      <c r="L4614" t="s">
        <v>20</v>
      </c>
      <c r="M4614" t="s">
        <v>44</v>
      </c>
      <c r="N4614" t="s">
        <v>22</v>
      </c>
    </row>
    <row r="4615" spans="1:14">
      <c r="A4615" s="4" t="str">
        <f t="shared" si="445"/>
        <v>EXP00163</v>
      </c>
      <c r="B4615" s="4" t="str">
        <f t="shared" si="446"/>
        <v>24287398</v>
      </c>
      <c r="C4615" s="4" t="str">
        <f t="shared" si="447"/>
        <v>GSE46141</v>
      </c>
      <c r="D4615" s="1" t="s">
        <v>298</v>
      </c>
      <c r="E4615" t="s">
        <v>15</v>
      </c>
      <c r="F4615" s="1">
        <v>2</v>
      </c>
      <c r="G4615" s="1" t="s">
        <v>63</v>
      </c>
      <c r="H4615" s="4" t="str">
        <f>HYPERLINK("https://www.ncbi.nlm.nih.gov/geo/query/acc.cgi?acc=GSM1124957","GSM1124957")</f>
        <v>GSM1124957</v>
      </c>
      <c r="I4615" t="s">
        <v>17</v>
      </c>
      <c r="J4615" t="s">
        <v>18</v>
      </c>
      <c r="K4615" t="s">
        <v>19</v>
      </c>
      <c r="L4615" t="s">
        <v>20</v>
      </c>
      <c r="M4615" t="s">
        <v>44</v>
      </c>
      <c r="N4615" t="s">
        <v>22</v>
      </c>
    </row>
    <row r="4616" spans="1:14">
      <c r="A4616" s="4" t="str">
        <f t="shared" ref="A4616:A4628" si="448">HYPERLINK("http://hcmdb.i-sanger.com/experiment/details/experiment_id/EXP00164","EXP00164")</f>
        <v>EXP00164</v>
      </c>
      <c r="B4616" s="4" t="str">
        <f t="shared" si="446"/>
        <v>24287398</v>
      </c>
      <c r="C4616" s="4" t="str">
        <f t="shared" si="447"/>
        <v>GSE46141</v>
      </c>
      <c r="D4616" s="1" t="s">
        <v>298</v>
      </c>
      <c r="E4616" t="s">
        <v>15</v>
      </c>
      <c r="F4616" s="1">
        <v>1</v>
      </c>
      <c r="G4616" s="1" t="s">
        <v>299</v>
      </c>
      <c r="H4616" s="4" t="str">
        <f>HYPERLINK("https://www.ncbi.nlm.nih.gov/geo/query/acc.cgi?acc=GSM1124869","GSM1124869")</f>
        <v>GSM1124869</v>
      </c>
      <c r="I4616" t="s">
        <v>17</v>
      </c>
      <c r="J4616" t="s">
        <v>18</v>
      </c>
      <c r="K4616" t="s">
        <v>19</v>
      </c>
      <c r="L4616" t="s">
        <v>20</v>
      </c>
      <c r="M4616" t="s">
        <v>20</v>
      </c>
      <c r="N4616" t="s">
        <v>22</v>
      </c>
    </row>
    <row r="4617" spans="1:14">
      <c r="A4617" s="4" t="str">
        <f t="shared" si="448"/>
        <v>EXP00164</v>
      </c>
      <c r="B4617" s="4" t="str">
        <f t="shared" si="446"/>
        <v>24287398</v>
      </c>
      <c r="C4617" s="4" t="str">
        <f t="shared" si="447"/>
        <v>GSE46141</v>
      </c>
      <c r="D4617" s="1" t="s">
        <v>298</v>
      </c>
      <c r="E4617" t="s">
        <v>15</v>
      </c>
      <c r="F4617" s="1">
        <v>1</v>
      </c>
      <c r="G4617" s="1" t="s">
        <v>299</v>
      </c>
      <c r="H4617" s="4" t="str">
        <f>HYPERLINK("https://www.ncbi.nlm.nih.gov/geo/query/acc.cgi?acc=GSM1124870","GSM1124870")</f>
        <v>GSM1124870</v>
      </c>
      <c r="I4617" t="s">
        <v>17</v>
      </c>
      <c r="J4617" t="s">
        <v>18</v>
      </c>
      <c r="K4617" t="s">
        <v>19</v>
      </c>
      <c r="L4617" t="s">
        <v>20</v>
      </c>
      <c r="M4617" t="s">
        <v>20</v>
      </c>
      <c r="N4617" t="s">
        <v>22</v>
      </c>
    </row>
    <row r="4618" spans="1:14">
      <c r="A4618" s="4" t="str">
        <f t="shared" si="448"/>
        <v>EXP00164</v>
      </c>
      <c r="B4618" s="4" t="str">
        <f t="shared" si="446"/>
        <v>24287398</v>
      </c>
      <c r="C4618" s="4" t="str">
        <f t="shared" si="447"/>
        <v>GSE46141</v>
      </c>
      <c r="D4618" s="1" t="s">
        <v>298</v>
      </c>
      <c r="E4618" t="s">
        <v>15</v>
      </c>
      <c r="F4618" s="1">
        <v>1</v>
      </c>
      <c r="G4618" s="1" t="s">
        <v>299</v>
      </c>
      <c r="H4618" s="4" t="str">
        <f>HYPERLINK("https://www.ncbi.nlm.nih.gov/geo/query/acc.cgi?acc=GSM1124882","GSM1124882")</f>
        <v>GSM1124882</v>
      </c>
      <c r="I4618" t="s">
        <v>17</v>
      </c>
      <c r="J4618" t="s">
        <v>18</v>
      </c>
      <c r="K4618" t="s">
        <v>19</v>
      </c>
      <c r="L4618" t="s">
        <v>20</v>
      </c>
      <c r="M4618" t="s">
        <v>20</v>
      </c>
      <c r="N4618" t="s">
        <v>22</v>
      </c>
    </row>
    <row r="4619" spans="1:14">
      <c r="A4619" s="4" t="str">
        <f t="shared" si="448"/>
        <v>EXP00164</v>
      </c>
      <c r="B4619" s="4" t="str">
        <f t="shared" si="446"/>
        <v>24287398</v>
      </c>
      <c r="C4619" s="4" t="str">
        <f t="shared" si="447"/>
        <v>GSE46141</v>
      </c>
      <c r="D4619" s="1" t="s">
        <v>298</v>
      </c>
      <c r="E4619" t="s">
        <v>15</v>
      </c>
      <c r="F4619" s="1">
        <v>1</v>
      </c>
      <c r="G4619" s="1" t="s">
        <v>299</v>
      </c>
      <c r="H4619" s="4" t="str">
        <f>HYPERLINK("https://www.ncbi.nlm.nih.gov/geo/query/acc.cgi?acc=GSM1124884","GSM1124884")</f>
        <v>GSM1124884</v>
      </c>
      <c r="I4619" t="s">
        <v>17</v>
      </c>
      <c r="J4619" t="s">
        <v>18</v>
      </c>
      <c r="K4619" t="s">
        <v>19</v>
      </c>
      <c r="L4619" t="s">
        <v>20</v>
      </c>
      <c r="M4619" t="s">
        <v>20</v>
      </c>
      <c r="N4619" t="s">
        <v>22</v>
      </c>
    </row>
    <row r="4620" spans="1:14">
      <c r="A4620" s="4" t="str">
        <f t="shared" si="448"/>
        <v>EXP00164</v>
      </c>
      <c r="B4620" s="4" t="str">
        <f t="shared" si="446"/>
        <v>24287398</v>
      </c>
      <c r="C4620" s="4" t="str">
        <f t="shared" si="447"/>
        <v>GSE46141</v>
      </c>
      <c r="D4620" s="1" t="s">
        <v>298</v>
      </c>
      <c r="E4620" t="s">
        <v>15</v>
      </c>
      <c r="F4620" s="1">
        <v>1</v>
      </c>
      <c r="G4620" s="1" t="s">
        <v>299</v>
      </c>
      <c r="H4620" s="4" t="str">
        <f>HYPERLINK("https://www.ncbi.nlm.nih.gov/geo/query/acc.cgi?acc=GSM1124898","GSM1124898")</f>
        <v>GSM1124898</v>
      </c>
      <c r="I4620" t="s">
        <v>17</v>
      </c>
      <c r="J4620" t="s">
        <v>18</v>
      </c>
      <c r="K4620" t="s">
        <v>19</v>
      </c>
      <c r="L4620" t="s">
        <v>20</v>
      </c>
      <c r="M4620" t="s">
        <v>20</v>
      </c>
      <c r="N4620" t="s">
        <v>22</v>
      </c>
    </row>
    <row r="4621" spans="1:14">
      <c r="A4621" s="4" t="str">
        <f t="shared" si="448"/>
        <v>EXP00164</v>
      </c>
      <c r="B4621" s="4" t="str">
        <f t="shared" si="446"/>
        <v>24287398</v>
      </c>
      <c r="C4621" s="4" t="str">
        <f t="shared" si="447"/>
        <v>GSE46141</v>
      </c>
      <c r="D4621" s="1" t="s">
        <v>298</v>
      </c>
      <c r="E4621" t="s">
        <v>15</v>
      </c>
      <c r="F4621" s="1">
        <v>1</v>
      </c>
      <c r="G4621" s="1" t="s">
        <v>299</v>
      </c>
      <c r="H4621" s="4" t="str">
        <f>HYPERLINK("https://www.ncbi.nlm.nih.gov/geo/query/acc.cgi?acc=GSM1124903","GSM1124903")</f>
        <v>GSM1124903</v>
      </c>
      <c r="I4621" t="s">
        <v>17</v>
      </c>
      <c r="J4621" t="s">
        <v>18</v>
      </c>
      <c r="K4621" t="s">
        <v>19</v>
      </c>
      <c r="L4621" t="s">
        <v>20</v>
      </c>
      <c r="M4621" t="s">
        <v>20</v>
      </c>
      <c r="N4621" t="s">
        <v>22</v>
      </c>
    </row>
    <row r="4622" spans="1:14">
      <c r="A4622" s="4" t="str">
        <f t="shared" si="448"/>
        <v>EXP00164</v>
      </c>
      <c r="B4622" s="4" t="str">
        <f t="shared" si="446"/>
        <v>24287398</v>
      </c>
      <c r="C4622" s="4" t="str">
        <f t="shared" si="447"/>
        <v>GSE46141</v>
      </c>
      <c r="D4622" s="1" t="s">
        <v>298</v>
      </c>
      <c r="E4622" t="s">
        <v>15</v>
      </c>
      <c r="F4622" s="1">
        <v>1</v>
      </c>
      <c r="G4622" s="1" t="s">
        <v>299</v>
      </c>
      <c r="H4622" s="4" t="str">
        <f>HYPERLINK("https://www.ncbi.nlm.nih.gov/geo/query/acc.cgi?acc=GSM1124905","GSM1124905")</f>
        <v>GSM1124905</v>
      </c>
      <c r="I4622" t="s">
        <v>17</v>
      </c>
      <c r="J4622" t="s">
        <v>18</v>
      </c>
      <c r="K4622" t="s">
        <v>19</v>
      </c>
      <c r="L4622" t="s">
        <v>20</v>
      </c>
      <c r="M4622" t="s">
        <v>20</v>
      </c>
      <c r="N4622" t="s">
        <v>22</v>
      </c>
    </row>
    <row r="4623" spans="1:14">
      <c r="A4623" s="4" t="str">
        <f t="shared" si="448"/>
        <v>EXP00164</v>
      </c>
      <c r="B4623" s="4" t="str">
        <f t="shared" si="446"/>
        <v>24287398</v>
      </c>
      <c r="C4623" s="4" t="str">
        <f t="shared" si="447"/>
        <v>GSE46141</v>
      </c>
      <c r="D4623" s="1" t="s">
        <v>298</v>
      </c>
      <c r="E4623" t="s">
        <v>15</v>
      </c>
      <c r="F4623" s="1">
        <v>1</v>
      </c>
      <c r="G4623" s="1" t="s">
        <v>299</v>
      </c>
      <c r="H4623" s="4" t="str">
        <f>HYPERLINK("https://www.ncbi.nlm.nih.gov/geo/query/acc.cgi?acc=GSM1124910","GSM1124910")</f>
        <v>GSM1124910</v>
      </c>
      <c r="I4623" t="s">
        <v>17</v>
      </c>
      <c r="J4623" t="s">
        <v>18</v>
      </c>
      <c r="K4623" t="s">
        <v>19</v>
      </c>
      <c r="L4623" t="s">
        <v>20</v>
      </c>
      <c r="M4623" t="s">
        <v>20</v>
      </c>
      <c r="N4623" t="s">
        <v>22</v>
      </c>
    </row>
    <row r="4624" spans="1:14">
      <c r="A4624" s="4" t="str">
        <f t="shared" si="448"/>
        <v>EXP00164</v>
      </c>
      <c r="B4624" s="4" t="str">
        <f t="shared" si="446"/>
        <v>24287398</v>
      </c>
      <c r="C4624" s="4" t="str">
        <f t="shared" si="447"/>
        <v>GSE46141</v>
      </c>
      <c r="D4624" s="1" t="s">
        <v>298</v>
      </c>
      <c r="E4624" t="s">
        <v>15</v>
      </c>
      <c r="F4624" s="1">
        <v>1</v>
      </c>
      <c r="G4624" s="1" t="s">
        <v>299</v>
      </c>
      <c r="H4624" s="4" t="str">
        <f>HYPERLINK("https://www.ncbi.nlm.nih.gov/geo/query/acc.cgi?acc=GSM1124919","GSM1124919")</f>
        <v>GSM1124919</v>
      </c>
      <c r="I4624" t="s">
        <v>17</v>
      </c>
      <c r="J4624" t="s">
        <v>18</v>
      </c>
      <c r="K4624" t="s">
        <v>19</v>
      </c>
      <c r="L4624" t="s">
        <v>20</v>
      </c>
      <c r="M4624" t="s">
        <v>20</v>
      </c>
      <c r="N4624" t="s">
        <v>22</v>
      </c>
    </row>
    <row r="4625" spans="1:14">
      <c r="A4625" s="4" t="str">
        <f t="shared" si="448"/>
        <v>EXP00164</v>
      </c>
      <c r="B4625" s="4" t="str">
        <f t="shared" si="446"/>
        <v>24287398</v>
      </c>
      <c r="C4625" s="4" t="str">
        <f t="shared" si="447"/>
        <v>GSE46141</v>
      </c>
      <c r="D4625" s="1" t="s">
        <v>298</v>
      </c>
      <c r="E4625" t="s">
        <v>15</v>
      </c>
      <c r="F4625" s="1">
        <v>1</v>
      </c>
      <c r="G4625" s="1" t="s">
        <v>299</v>
      </c>
      <c r="H4625" s="4" t="str">
        <f>HYPERLINK("https://www.ncbi.nlm.nih.gov/geo/query/acc.cgi?acc=GSM1124932","GSM1124932")</f>
        <v>GSM1124932</v>
      </c>
      <c r="I4625" t="s">
        <v>17</v>
      </c>
      <c r="J4625" t="s">
        <v>18</v>
      </c>
      <c r="K4625" t="s">
        <v>19</v>
      </c>
      <c r="L4625" t="s">
        <v>20</v>
      </c>
      <c r="M4625" t="s">
        <v>20</v>
      </c>
      <c r="N4625" t="s">
        <v>22</v>
      </c>
    </row>
    <row r="4626" spans="1:14">
      <c r="A4626" s="4" t="str">
        <f t="shared" si="448"/>
        <v>EXP00164</v>
      </c>
      <c r="B4626" s="4" t="str">
        <f t="shared" si="446"/>
        <v>24287398</v>
      </c>
      <c r="C4626" s="4" t="str">
        <f t="shared" si="447"/>
        <v>GSE46141</v>
      </c>
      <c r="D4626" s="1" t="s">
        <v>298</v>
      </c>
      <c r="E4626" t="s">
        <v>15</v>
      </c>
      <c r="F4626" s="1">
        <v>1</v>
      </c>
      <c r="G4626" s="1" t="s">
        <v>299</v>
      </c>
      <c r="H4626" s="4" t="str">
        <f>HYPERLINK("https://www.ncbi.nlm.nih.gov/geo/query/acc.cgi?acc=GSM1124933","GSM1124933")</f>
        <v>GSM1124933</v>
      </c>
      <c r="I4626" t="s">
        <v>17</v>
      </c>
      <c r="J4626" t="s">
        <v>18</v>
      </c>
      <c r="K4626" t="s">
        <v>19</v>
      </c>
      <c r="L4626" t="s">
        <v>20</v>
      </c>
      <c r="M4626" t="s">
        <v>20</v>
      </c>
      <c r="N4626" t="s">
        <v>22</v>
      </c>
    </row>
    <row r="4627" spans="1:14">
      <c r="A4627" s="4" t="str">
        <f t="shared" si="448"/>
        <v>EXP00164</v>
      </c>
      <c r="B4627" s="4" t="str">
        <f t="shared" si="446"/>
        <v>24287398</v>
      </c>
      <c r="C4627" s="4" t="str">
        <f t="shared" si="447"/>
        <v>GSE46141</v>
      </c>
      <c r="D4627" s="1" t="s">
        <v>298</v>
      </c>
      <c r="E4627" t="s">
        <v>15</v>
      </c>
      <c r="F4627" s="1">
        <v>2</v>
      </c>
      <c r="G4627" s="1" t="s">
        <v>40</v>
      </c>
      <c r="H4627" s="4" t="str">
        <f>HYPERLINK("https://www.ncbi.nlm.nih.gov/geo/query/acc.cgi?acc=GSM1124900","GSM1124900")</f>
        <v>GSM1124900</v>
      </c>
      <c r="I4627" t="s">
        <v>17</v>
      </c>
      <c r="J4627" t="s">
        <v>18</v>
      </c>
      <c r="K4627" t="s">
        <v>19</v>
      </c>
      <c r="L4627" t="s">
        <v>20</v>
      </c>
      <c r="M4627" t="s">
        <v>41</v>
      </c>
      <c r="N4627" t="s">
        <v>22</v>
      </c>
    </row>
    <row r="4628" spans="1:14">
      <c r="A4628" s="4" t="str">
        <f t="shared" si="448"/>
        <v>EXP00164</v>
      </c>
      <c r="B4628" s="4" t="str">
        <f t="shared" si="446"/>
        <v>24287398</v>
      </c>
      <c r="C4628" s="4" t="str">
        <f t="shared" si="447"/>
        <v>GSE46141</v>
      </c>
      <c r="D4628" s="1" t="s">
        <v>298</v>
      </c>
      <c r="E4628" t="s">
        <v>15</v>
      </c>
      <c r="F4628" s="1">
        <v>2</v>
      </c>
      <c r="G4628" s="1" t="s">
        <v>40</v>
      </c>
      <c r="H4628" s="4" t="str">
        <f>HYPERLINK("https://www.ncbi.nlm.nih.gov/geo/query/acc.cgi?acc=GSM1124914","GSM1124914")</f>
        <v>GSM1124914</v>
      </c>
      <c r="I4628" t="s">
        <v>17</v>
      </c>
      <c r="J4628" t="s">
        <v>18</v>
      </c>
      <c r="K4628" t="s">
        <v>19</v>
      </c>
      <c r="L4628" t="s">
        <v>20</v>
      </c>
      <c r="M4628" t="s">
        <v>41</v>
      </c>
      <c r="N4628" t="s">
        <v>22</v>
      </c>
    </row>
    <row r="4629" spans="1:14">
      <c r="A4629" s="4" t="str">
        <f t="shared" ref="A4629:A4660" si="449">HYPERLINK("http://hcmdb.i-sanger.com/experiment/details/experiment_id/EXP00165","EXP00165")</f>
        <v>EXP00165</v>
      </c>
      <c r="B4629" s="4" t="str">
        <f t="shared" si="446"/>
        <v>24287398</v>
      </c>
      <c r="C4629" s="4" t="str">
        <f t="shared" si="447"/>
        <v>GSE46141</v>
      </c>
      <c r="D4629" s="1" t="s">
        <v>298</v>
      </c>
      <c r="E4629" t="s">
        <v>15</v>
      </c>
      <c r="F4629" s="1">
        <v>1</v>
      </c>
      <c r="G4629" s="1" t="s">
        <v>299</v>
      </c>
      <c r="H4629" s="4" t="str">
        <f>HYPERLINK("https://www.ncbi.nlm.nih.gov/geo/query/acc.cgi?acc=GSM1124869","GSM1124869")</f>
        <v>GSM1124869</v>
      </c>
      <c r="I4629" t="s">
        <v>17</v>
      </c>
      <c r="J4629" t="s">
        <v>18</v>
      </c>
      <c r="K4629" t="s">
        <v>19</v>
      </c>
      <c r="L4629" t="s">
        <v>20</v>
      </c>
      <c r="M4629" t="s">
        <v>20</v>
      </c>
      <c r="N4629" t="s">
        <v>22</v>
      </c>
    </row>
    <row r="4630" spans="1:14">
      <c r="A4630" s="4" t="str">
        <f t="shared" si="449"/>
        <v>EXP00165</v>
      </c>
      <c r="B4630" s="4" t="str">
        <f t="shared" si="446"/>
        <v>24287398</v>
      </c>
      <c r="C4630" s="4" t="str">
        <f t="shared" si="447"/>
        <v>GSE46141</v>
      </c>
      <c r="D4630" s="1" t="s">
        <v>298</v>
      </c>
      <c r="E4630" t="s">
        <v>15</v>
      </c>
      <c r="F4630" s="1">
        <v>1</v>
      </c>
      <c r="G4630" s="1" t="s">
        <v>299</v>
      </c>
      <c r="H4630" s="4" t="str">
        <f>HYPERLINK("https://www.ncbi.nlm.nih.gov/geo/query/acc.cgi?acc=GSM1124870","GSM1124870")</f>
        <v>GSM1124870</v>
      </c>
      <c r="I4630" t="s">
        <v>17</v>
      </c>
      <c r="J4630" t="s">
        <v>18</v>
      </c>
      <c r="K4630" t="s">
        <v>19</v>
      </c>
      <c r="L4630" t="s">
        <v>20</v>
      </c>
      <c r="M4630" t="s">
        <v>20</v>
      </c>
      <c r="N4630" t="s">
        <v>22</v>
      </c>
    </row>
    <row r="4631" spans="1:14">
      <c r="A4631" s="4" t="str">
        <f t="shared" si="449"/>
        <v>EXP00165</v>
      </c>
      <c r="B4631" s="4" t="str">
        <f t="shared" si="446"/>
        <v>24287398</v>
      </c>
      <c r="C4631" s="4" t="str">
        <f t="shared" si="447"/>
        <v>GSE46141</v>
      </c>
      <c r="D4631" s="1" t="s">
        <v>298</v>
      </c>
      <c r="E4631" t="s">
        <v>15</v>
      </c>
      <c r="F4631" s="1">
        <v>1</v>
      </c>
      <c r="G4631" s="1" t="s">
        <v>299</v>
      </c>
      <c r="H4631" s="4" t="str">
        <f>HYPERLINK("https://www.ncbi.nlm.nih.gov/geo/query/acc.cgi?acc=GSM1124882","GSM1124882")</f>
        <v>GSM1124882</v>
      </c>
      <c r="I4631" t="s">
        <v>17</v>
      </c>
      <c r="J4631" t="s">
        <v>18</v>
      </c>
      <c r="K4631" t="s">
        <v>19</v>
      </c>
      <c r="L4631" t="s">
        <v>20</v>
      </c>
      <c r="M4631" t="s">
        <v>20</v>
      </c>
      <c r="N4631" t="s">
        <v>22</v>
      </c>
    </row>
    <row r="4632" spans="1:14">
      <c r="A4632" s="4" t="str">
        <f t="shared" si="449"/>
        <v>EXP00165</v>
      </c>
      <c r="B4632" s="4" t="str">
        <f t="shared" si="446"/>
        <v>24287398</v>
      </c>
      <c r="C4632" s="4" t="str">
        <f t="shared" si="447"/>
        <v>GSE46141</v>
      </c>
      <c r="D4632" s="1" t="s">
        <v>298</v>
      </c>
      <c r="E4632" t="s">
        <v>15</v>
      </c>
      <c r="F4632" s="1">
        <v>1</v>
      </c>
      <c r="G4632" s="1" t="s">
        <v>299</v>
      </c>
      <c r="H4632" s="4" t="str">
        <f>HYPERLINK("https://www.ncbi.nlm.nih.gov/geo/query/acc.cgi?acc=GSM1124884","GSM1124884")</f>
        <v>GSM1124884</v>
      </c>
      <c r="I4632" t="s">
        <v>17</v>
      </c>
      <c r="J4632" t="s">
        <v>18</v>
      </c>
      <c r="K4632" t="s">
        <v>19</v>
      </c>
      <c r="L4632" t="s">
        <v>20</v>
      </c>
      <c r="M4632" t="s">
        <v>20</v>
      </c>
      <c r="N4632" t="s">
        <v>22</v>
      </c>
    </row>
    <row r="4633" spans="1:14">
      <c r="A4633" s="4" t="str">
        <f t="shared" si="449"/>
        <v>EXP00165</v>
      </c>
      <c r="B4633" s="4" t="str">
        <f t="shared" si="446"/>
        <v>24287398</v>
      </c>
      <c r="C4633" s="4" t="str">
        <f t="shared" si="447"/>
        <v>GSE46141</v>
      </c>
      <c r="D4633" s="1" t="s">
        <v>298</v>
      </c>
      <c r="E4633" t="s">
        <v>15</v>
      </c>
      <c r="F4633" s="1">
        <v>1</v>
      </c>
      <c r="G4633" s="1" t="s">
        <v>299</v>
      </c>
      <c r="H4633" s="4" t="str">
        <f>HYPERLINK("https://www.ncbi.nlm.nih.gov/geo/query/acc.cgi?acc=GSM1124898","GSM1124898")</f>
        <v>GSM1124898</v>
      </c>
      <c r="I4633" t="s">
        <v>17</v>
      </c>
      <c r="J4633" t="s">
        <v>18</v>
      </c>
      <c r="K4633" t="s">
        <v>19</v>
      </c>
      <c r="L4633" t="s">
        <v>20</v>
      </c>
      <c r="M4633" t="s">
        <v>20</v>
      </c>
      <c r="N4633" t="s">
        <v>22</v>
      </c>
    </row>
    <row r="4634" spans="1:14">
      <c r="A4634" s="4" t="str">
        <f t="shared" si="449"/>
        <v>EXP00165</v>
      </c>
      <c r="B4634" s="4" t="str">
        <f t="shared" si="446"/>
        <v>24287398</v>
      </c>
      <c r="C4634" s="4" t="str">
        <f t="shared" si="447"/>
        <v>GSE46141</v>
      </c>
      <c r="D4634" s="1" t="s">
        <v>298</v>
      </c>
      <c r="E4634" t="s">
        <v>15</v>
      </c>
      <c r="F4634" s="1">
        <v>1</v>
      </c>
      <c r="G4634" s="1" t="s">
        <v>299</v>
      </c>
      <c r="H4634" s="4" t="str">
        <f>HYPERLINK("https://www.ncbi.nlm.nih.gov/geo/query/acc.cgi?acc=GSM1124903","GSM1124903")</f>
        <v>GSM1124903</v>
      </c>
      <c r="I4634" t="s">
        <v>17</v>
      </c>
      <c r="J4634" t="s">
        <v>18</v>
      </c>
      <c r="K4634" t="s">
        <v>19</v>
      </c>
      <c r="L4634" t="s">
        <v>20</v>
      </c>
      <c r="M4634" t="s">
        <v>20</v>
      </c>
      <c r="N4634" t="s">
        <v>22</v>
      </c>
    </row>
    <row r="4635" spans="1:14">
      <c r="A4635" s="4" t="str">
        <f t="shared" si="449"/>
        <v>EXP00165</v>
      </c>
      <c r="B4635" s="4" t="str">
        <f t="shared" si="446"/>
        <v>24287398</v>
      </c>
      <c r="C4635" s="4" t="str">
        <f t="shared" si="447"/>
        <v>GSE46141</v>
      </c>
      <c r="D4635" s="1" t="s">
        <v>298</v>
      </c>
      <c r="E4635" t="s">
        <v>15</v>
      </c>
      <c r="F4635" s="1">
        <v>1</v>
      </c>
      <c r="G4635" s="1" t="s">
        <v>299</v>
      </c>
      <c r="H4635" s="4" t="str">
        <f>HYPERLINK("https://www.ncbi.nlm.nih.gov/geo/query/acc.cgi?acc=GSM1124905","GSM1124905")</f>
        <v>GSM1124905</v>
      </c>
      <c r="I4635" t="s">
        <v>17</v>
      </c>
      <c r="J4635" t="s">
        <v>18</v>
      </c>
      <c r="K4635" t="s">
        <v>19</v>
      </c>
      <c r="L4635" t="s">
        <v>20</v>
      </c>
      <c r="M4635" t="s">
        <v>20</v>
      </c>
      <c r="N4635" t="s">
        <v>22</v>
      </c>
    </row>
    <row r="4636" spans="1:14">
      <c r="A4636" s="4" t="str">
        <f t="shared" si="449"/>
        <v>EXP00165</v>
      </c>
      <c r="B4636" s="4" t="str">
        <f t="shared" si="446"/>
        <v>24287398</v>
      </c>
      <c r="C4636" s="4" t="str">
        <f t="shared" si="447"/>
        <v>GSE46141</v>
      </c>
      <c r="D4636" s="1" t="s">
        <v>298</v>
      </c>
      <c r="E4636" t="s">
        <v>15</v>
      </c>
      <c r="F4636" s="1">
        <v>1</v>
      </c>
      <c r="G4636" s="1" t="s">
        <v>299</v>
      </c>
      <c r="H4636" s="4" t="str">
        <f>HYPERLINK("https://www.ncbi.nlm.nih.gov/geo/query/acc.cgi?acc=GSM1124910","GSM1124910")</f>
        <v>GSM1124910</v>
      </c>
      <c r="I4636" t="s">
        <v>17</v>
      </c>
      <c r="J4636" t="s">
        <v>18</v>
      </c>
      <c r="K4636" t="s">
        <v>19</v>
      </c>
      <c r="L4636" t="s">
        <v>20</v>
      </c>
      <c r="M4636" t="s">
        <v>20</v>
      </c>
      <c r="N4636" t="s">
        <v>22</v>
      </c>
    </row>
    <row r="4637" spans="1:14">
      <c r="A4637" s="4" t="str">
        <f t="shared" si="449"/>
        <v>EXP00165</v>
      </c>
      <c r="B4637" s="4" t="str">
        <f t="shared" si="446"/>
        <v>24287398</v>
      </c>
      <c r="C4637" s="4" t="str">
        <f t="shared" si="447"/>
        <v>GSE46141</v>
      </c>
      <c r="D4637" s="1" t="s">
        <v>298</v>
      </c>
      <c r="E4637" t="s">
        <v>15</v>
      </c>
      <c r="F4637" s="1">
        <v>1</v>
      </c>
      <c r="G4637" s="1" t="s">
        <v>299</v>
      </c>
      <c r="H4637" s="4" t="str">
        <f>HYPERLINK("https://www.ncbi.nlm.nih.gov/geo/query/acc.cgi?acc=GSM1124919","GSM1124919")</f>
        <v>GSM1124919</v>
      </c>
      <c r="I4637" t="s">
        <v>17</v>
      </c>
      <c r="J4637" t="s">
        <v>18</v>
      </c>
      <c r="K4637" t="s">
        <v>19</v>
      </c>
      <c r="L4637" t="s">
        <v>20</v>
      </c>
      <c r="M4637" t="s">
        <v>20</v>
      </c>
      <c r="N4637" t="s">
        <v>22</v>
      </c>
    </row>
    <row r="4638" spans="1:14">
      <c r="A4638" s="4" t="str">
        <f t="shared" si="449"/>
        <v>EXP00165</v>
      </c>
      <c r="B4638" s="4" t="str">
        <f t="shared" si="446"/>
        <v>24287398</v>
      </c>
      <c r="C4638" s="4" t="str">
        <f t="shared" si="447"/>
        <v>GSE46141</v>
      </c>
      <c r="D4638" s="1" t="s">
        <v>298</v>
      </c>
      <c r="E4638" t="s">
        <v>15</v>
      </c>
      <c r="F4638" s="1">
        <v>1</v>
      </c>
      <c r="G4638" s="1" t="s">
        <v>299</v>
      </c>
      <c r="H4638" s="4" t="str">
        <f>HYPERLINK("https://www.ncbi.nlm.nih.gov/geo/query/acc.cgi?acc=GSM1124932","GSM1124932")</f>
        <v>GSM1124932</v>
      </c>
      <c r="I4638" t="s">
        <v>17</v>
      </c>
      <c r="J4638" t="s">
        <v>18</v>
      </c>
      <c r="K4638" t="s">
        <v>19</v>
      </c>
      <c r="L4638" t="s">
        <v>20</v>
      </c>
      <c r="M4638" t="s">
        <v>20</v>
      </c>
      <c r="N4638" t="s">
        <v>22</v>
      </c>
    </row>
    <row r="4639" spans="1:14">
      <c r="A4639" s="4" t="str">
        <f t="shared" si="449"/>
        <v>EXP00165</v>
      </c>
      <c r="B4639" s="4" t="str">
        <f t="shared" si="446"/>
        <v>24287398</v>
      </c>
      <c r="C4639" s="4" t="str">
        <f t="shared" si="447"/>
        <v>GSE46141</v>
      </c>
      <c r="D4639" s="1" t="s">
        <v>298</v>
      </c>
      <c r="E4639" t="s">
        <v>15</v>
      </c>
      <c r="F4639" s="1">
        <v>1</v>
      </c>
      <c r="G4639" s="1" t="s">
        <v>299</v>
      </c>
      <c r="H4639" s="4" t="str">
        <f>HYPERLINK("https://www.ncbi.nlm.nih.gov/geo/query/acc.cgi?acc=GSM1124933","GSM1124933")</f>
        <v>GSM1124933</v>
      </c>
      <c r="I4639" t="s">
        <v>17</v>
      </c>
      <c r="J4639" t="s">
        <v>18</v>
      </c>
      <c r="K4639" t="s">
        <v>19</v>
      </c>
      <c r="L4639" t="s">
        <v>20</v>
      </c>
      <c r="M4639" t="s">
        <v>20</v>
      </c>
      <c r="N4639" t="s">
        <v>22</v>
      </c>
    </row>
    <row r="4640" spans="1:14">
      <c r="A4640" s="4" t="str">
        <f t="shared" si="449"/>
        <v>EXP00165</v>
      </c>
      <c r="B4640" s="4" t="str">
        <f t="shared" si="446"/>
        <v>24287398</v>
      </c>
      <c r="C4640" s="4" t="str">
        <f t="shared" si="447"/>
        <v>GSE46141</v>
      </c>
      <c r="D4640" s="1" t="s">
        <v>298</v>
      </c>
      <c r="E4640" t="s">
        <v>15</v>
      </c>
      <c r="F4640" s="1">
        <v>2</v>
      </c>
      <c r="G4640" s="1" t="s">
        <v>23</v>
      </c>
      <c r="H4640" s="4" t="str">
        <f>HYPERLINK("https://www.ncbi.nlm.nih.gov/geo/query/acc.cgi?acc=GSM1124871","GSM1124871")</f>
        <v>GSM1124871</v>
      </c>
      <c r="I4640" t="s">
        <v>17</v>
      </c>
      <c r="J4640" t="s">
        <v>18</v>
      </c>
      <c r="K4640" t="s">
        <v>19</v>
      </c>
      <c r="L4640" t="s">
        <v>20</v>
      </c>
      <c r="M4640" t="s">
        <v>24</v>
      </c>
      <c r="N4640" t="s">
        <v>22</v>
      </c>
    </row>
    <row r="4641" spans="1:14">
      <c r="A4641" s="4" t="str">
        <f t="shared" si="449"/>
        <v>EXP00165</v>
      </c>
      <c r="B4641" s="4" t="str">
        <f t="shared" si="446"/>
        <v>24287398</v>
      </c>
      <c r="C4641" s="4" t="str">
        <f t="shared" si="447"/>
        <v>GSE46141</v>
      </c>
      <c r="D4641" s="1" t="s">
        <v>298</v>
      </c>
      <c r="E4641" t="s">
        <v>15</v>
      </c>
      <c r="F4641" s="1">
        <v>2</v>
      </c>
      <c r="G4641" s="1" t="s">
        <v>23</v>
      </c>
      <c r="H4641" s="4" t="str">
        <f>HYPERLINK("https://www.ncbi.nlm.nih.gov/geo/query/acc.cgi?acc=GSM1124874","GSM1124874")</f>
        <v>GSM1124874</v>
      </c>
      <c r="I4641" t="s">
        <v>17</v>
      </c>
      <c r="J4641" t="s">
        <v>18</v>
      </c>
      <c r="K4641" t="s">
        <v>19</v>
      </c>
      <c r="L4641" t="s">
        <v>20</v>
      </c>
      <c r="M4641" t="s">
        <v>24</v>
      </c>
      <c r="N4641" t="s">
        <v>22</v>
      </c>
    </row>
    <row r="4642" spans="1:14">
      <c r="A4642" s="4" t="str">
        <f t="shared" si="449"/>
        <v>EXP00165</v>
      </c>
      <c r="B4642" s="4" t="str">
        <f t="shared" si="446"/>
        <v>24287398</v>
      </c>
      <c r="C4642" s="4" t="str">
        <f t="shared" si="447"/>
        <v>GSE46141</v>
      </c>
      <c r="D4642" s="1" t="s">
        <v>298</v>
      </c>
      <c r="E4642" t="s">
        <v>15</v>
      </c>
      <c r="F4642" s="1">
        <v>2</v>
      </c>
      <c r="G4642" s="1" t="s">
        <v>23</v>
      </c>
      <c r="H4642" s="4" t="str">
        <f>HYPERLINK("https://www.ncbi.nlm.nih.gov/geo/query/acc.cgi?acc=GSM1124875","GSM1124875")</f>
        <v>GSM1124875</v>
      </c>
      <c r="I4642" t="s">
        <v>17</v>
      </c>
      <c r="J4642" t="s">
        <v>18</v>
      </c>
      <c r="K4642" t="s">
        <v>19</v>
      </c>
      <c r="L4642" t="s">
        <v>20</v>
      </c>
      <c r="M4642" t="s">
        <v>24</v>
      </c>
      <c r="N4642" t="s">
        <v>22</v>
      </c>
    </row>
    <row r="4643" spans="1:14">
      <c r="A4643" s="4" t="str">
        <f t="shared" si="449"/>
        <v>EXP00165</v>
      </c>
      <c r="B4643" s="4" t="str">
        <f t="shared" si="446"/>
        <v>24287398</v>
      </c>
      <c r="C4643" s="4" t="str">
        <f t="shared" si="447"/>
        <v>GSE46141</v>
      </c>
      <c r="D4643" s="1" t="s">
        <v>298</v>
      </c>
      <c r="E4643" t="s">
        <v>15</v>
      </c>
      <c r="F4643" s="1">
        <v>2</v>
      </c>
      <c r="G4643" s="1" t="s">
        <v>23</v>
      </c>
      <c r="H4643" s="4" t="str">
        <f>HYPERLINK("https://www.ncbi.nlm.nih.gov/geo/query/acc.cgi?acc=GSM1124880","GSM1124880")</f>
        <v>GSM1124880</v>
      </c>
      <c r="I4643" t="s">
        <v>17</v>
      </c>
      <c r="J4643" t="s">
        <v>18</v>
      </c>
      <c r="K4643" t="s">
        <v>19</v>
      </c>
      <c r="L4643" t="s">
        <v>20</v>
      </c>
      <c r="M4643" t="s">
        <v>24</v>
      </c>
      <c r="N4643" t="s">
        <v>22</v>
      </c>
    </row>
    <row r="4644" spans="1:14">
      <c r="A4644" s="4" t="str">
        <f t="shared" si="449"/>
        <v>EXP00165</v>
      </c>
      <c r="B4644" s="4" t="str">
        <f t="shared" si="446"/>
        <v>24287398</v>
      </c>
      <c r="C4644" s="4" t="str">
        <f t="shared" si="447"/>
        <v>GSE46141</v>
      </c>
      <c r="D4644" s="1" t="s">
        <v>298</v>
      </c>
      <c r="E4644" t="s">
        <v>15</v>
      </c>
      <c r="F4644" s="1">
        <v>2</v>
      </c>
      <c r="G4644" s="1" t="s">
        <v>23</v>
      </c>
      <c r="H4644" s="4" t="str">
        <f>HYPERLINK("https://www.ncbi.nlm.nih.gov/geo/query/acc.cgi?acc=GSM1124881","GSM1124881")</f>
        <v>GSM1124881</v>
      </c>
      <c r="I4644" t="s">
        <v>17</v>
      </c>
      <c r="J4644" t="s">
        <v>18</v>
      </c>
      <c r="K4644" t="s">
        <v>19</v>
      </c>
      <c r="L4644" t="s">
        <v>20</v>
      </c>
      <c r="M4644" t="s">
        <v>24</v>
      </c>
      <c r="N4644" t="s">
        <v>22</v>
      </c>
    </row>
    <row r="4645" spans="1:14">
      <c r="A4645" s="4" t="str">
        <f t="shared" si="449"/>
        <v>EXP00165</v>
      </c>
      <c r="B4645" s="4" t="str">
        <f t="shared" si="446"/>
        <v>24287398</v>
      </c>
      <c r="C4645" s="4" t="str">
        <f t="shared" si="447"/>
        <v>GSE46141</v>
      </c>
      <c r="D4645" s="1" t="s">
        <v>298</v>
      </c>
      <c r="E4645" t="s">
        <v>15</v>
      </c>
      <c r="F4645" s="1">
        <v>2</v>
      </c>
      <c r="G4645" s="1" t="s">
        <v>23</v>
      </c>
      <c r="H4645" s="4" t="str">
        <f>HYPERLINK("https://www.ncbi.nlm.nih.gov/geo/query/acc.cgi?acc=GSM1124885","GSM1124885")</f>
        <v>GSM1124885</v>
      </c>
      <c r="I4645" t="s">
        <v>17</v>
      </c>
      <c r="J4645" t="s">
        <v>18</v>
      </c>
      <c r="K4645" t="s">
        <v>19</v>
      </c>
      <c r="L4645" t="s">
        <v>20</v>
      </c>
      <c r="M4645" t="s">
        <v>24</v>
      </c>
      <c r="N4645" t="s">
        <v>22</v>
      </c>
    </row>
    <row r="4646" spans="1:14">
      <c r="A4646" s="4" t="str">
        <f t="shared" si="449"/>
        <v>EXP00165</v>
      </c>
      <c r="B4646" s="4" t="str">
        <f t="shared" si="446"/>
        <v>24287398</v>
      </c>
      <c r="C4646" s="4" t="str">
        <f t="shared" si="447"/>
        <v>GSE46141</v>
      </c>
      <c r="D4646" s="1" t="s">
        <v>298</v>
      </c>
      <c r="E4646" t="s">
        <v>15</v>
      </c>
      <c r="F4646" s="1">
        <v>2</v>
      </c>
      <c r="G4646" s="1" t="s">
        <v>23</v>
      </c>
      <c r="H4646" s="4" t="str">
        <f>HYPERLINK("https://www.ncbi.nlm.nih.gov/geo/query/acc.cgi?acc=GSM1124886","GSM1124886")</f>
        <v>GSM1124886</v>
      </c>
      <c r="I4646" t="s">
        <v>17</v>
      </c>
      <c r="J4646" t="s">
        <v>18</v>
      </c>
      <c r="K4646" t="s">
        <v>19</v>
      </c>
      <c r="L4646" t="s">
        <v>20</v>
      </c>
      <c r="M4646" t="s">
        <v>24</v>
      </c>
      <c r="N4646" t="s">
        <v>22</v>
      </c>
    </row>
    <row r="4647" spans="1:14">
      <c r="A4647" s="4" t="str">
        <f t="shared" si="449"/>
        <v>EXP00165</v>
      </c>
      <c r="B4647" s="4" t="str">
        <f t="shared" si="446"/>
        <v>24287398</v>
      </c>
      <c r="C4647" s="4" t="str">
        <f t="shared" si="447"/>
        <v>GSE46141</v>
      </c>
      <c r="D4647" s="1" t="s">
        <v>298</v>
      </c>
      <c r="E4647" t="s">
        <v>15</v>
      </c>
      <c r="F4647" s="1">
        <v>2</v>
      </c>
      <c r="G4647" s="1" t="s">
        <v>23</v>
      </c>
      <c r="H4647" s="4" t="str">
        <f>HYPERLINK("https://www.ncbi.nlm.nih.gov/geo/query/acc.cgi?acc=GSM1124887","GSM1124887")</f>
        <v>GSM1124887</v>
      </c>
      <c r="I4647" t="s">
        <v>17</v>
      </c>
      <c r="J4647" t="s">
        <v>18</v>
      </c>
      <c r="K4647" t="s">
        <v>19</v>
      </c>
      <c r="L4647" t="s">
        <v>20</v>
      </c>
      <c r="M4647" t="s">
        <v>24</v>
      </c>
      <c r="N4647" t="s">
        <v>22</v>
      </c>
    </row>
    <row r="4648" spans="1:14">
      <c r="A4648" s="4" t="str">
        <f t="shared" si="449"/>
        <v>EXP00165</v>
      </c>
      <c r="B4648" s="4" t="str">
        <f t="shared" si="446"/>
        <v>24287398</v>
      </c>
      <c r="C4648" s="4" t="str">
        <f t="shared" si="447"/>
        <v>GSE46141</v>
      </c>
      <c r="D4648" s="1" t="s">
        <v>298</v>
      </c>
      <c r="E4648" t="s">
        <v>15</v>
      </c>
      <c r="F4648" s="1">
        <v>2</v>
      </c>
      <c r="G4648" s="1" t="s">
        <v>23</v>
      </c>
      <c r="H4648" s="4" t="str">
        <f>HYPERLINK("https://www.ncbi.nlm.nih.gov/geo/query/acc.cgi?acc=GSM1124894","GSM1124894")</f>
        <v>GSM1124894</v>
      </c>
      <c r="I4648" t="s">
        <v>17</v>
      </c>
      <c r="J4648" t="s">
        <v>18</v>
      </c>
      <c r="K4648" t="s">
        <v>19</v>
      </c>
      <c r="L4648" t="s">
        <v>20</v>
      </c>
      <c r="M4648" t="s">
        <v>24</v>
      </c>
      <c r="N4648" t="s">
        <v>22</v>
      </c>
    </row>
    <row r="4649" spans="1:14">
      <c r="A4649" s="4" t="str">
        <f t="shared" si="449"/>
        <v>EXP00165</v>
      </c>
      <c r="B4649" s="4" t="str">
        <f t="shared" si="446"/>
        <v>24287398</v>
      </c>
      <c r="C4649" s="4" t="str">
        <f t="shared" si="447"/>
        <v>GSE46141</v>
      </c>
      <c r="D4649" s="1" t="s">
        <v>298</v>
      </c>
      <c r="E4649" t="s">
        <v>15</v>
      </c>
      <c r="F4649" s="1">
        <v>2</v>
      </c>
      <c r="G4649" s="1" t="s">
        <v>23</v>
      </c>
      <c r="H4649" s="4" t="str">
        <f>HYPERLINK("https://www.ncbi.nlm.nih.gov/geo/query/acc.cgi?acc=GSM1124896","GSM1124896")</f>
        <v>GSM1124896</v>
      </c>
      <c r="I4649" t="s">
        <v>17</v>
      </c>
      <c r="J4649" t="s">
        <v>18</v>
      </c>
      <c r="K4649" t="s">
        <v>19</v>
      </c>
      <c r="L4649" t="s">
        <v>20</v>
      </c>
      <c r="M4649" t="s">
        <v>24</v>
      </c>
      <c r="N4649" t="s">
        <v>22</v>
      </c>
    </row>
    <row r="4650" spans="1:14">
      <c r="A4650" s="4" t="str">
        <f t="shared" si="449"/>
        <v>EXP00165</v>
      </c>
      <c r="B4650" s="4" t="str">
        <f t="shared" si="446"/>
        <v>24287398</v>
      </c>
      <c r="C4650" s="4" t="str">
        <f t="shared" si="447"/>
        <v>GSE46141</v>
      </c>
      <c r="D4650" s="1" t="s">
        <v>298</v>
      </c>
      <c r="E4650" t="s">
        <v>15</v>
      </c>
      <c r="F4650" s="1">
        <v>2</v>
      </c>
      <c r="G4650" s="1" t="s">
        <v>23</v>
      </c>
      <c r="H4650" s="4" t="str">
        <f>HYPERLINK("https://www.ncbi.nlm.nih.gov/geo/query/acc.cgi?acc=GSM1124899","GSM1124899")</f>
        <v>GSM1124899</v>
      </c>
      <c r="I4650" t="s">
        <v>17</v>
      </c>
      <c r="J4650" t="s">
        <v>18</v>
      </c>
      <c r="K4650" t="s">
        <v>19</v>
      </c>
      <c r="L4650" t="s">
        <v>20</v>
      </c>
      <c r="M4650" t="s">
        <v>24</v>
      </c>
      <c r="N4650" t="s">
        <v>22</v>
      </c>
    </row>
    <row r="4651" spans="1:14">
      <c r="A4651" s="4" t="str">
        <f t="shared" si="449"/>
        <v>EXP00165</v>
      </c>
      <c r="B4651" s="4" t="str">
        <f t="shared" si="446"/>
        <v>24287398</v>
      </c>
      <c r="C4651" s="4" t="str">
        <f t="shared" si="447"/>
        <v>GSE46141</v>
      </c>
      <c r="D4651" s="1" t="s">
        <v>298</v>
      </c>
      <c r="E4651" t="s">
        <v>15</v>
      </c>
      <c r="F4651" s="1">
        <v>2</v>
      </c>
      <c r="G4651" s="1" t="s">
        <v>23</v>
      </c>
      <c r="H4651" s="4" t="str">
        <f>HYPERLINK("https://www.ncbi.nlm.nih.gov/geo/query/acc.cgi?acc=GSM1124901","GSM1124901")</f>
        <v>GSM1124901</v>
      </c>
      <c r="I4651" t="s">
        <v>17</v>
      </c>
      <c r="J4651" t="s">
        <v>18</v>
      </c>
      <c r="K4651" t="s">
        <v>19</v>
      </c>
      <c r="L4651" t="s">
        <v>20</v>
      </c>
      <c r="M4651" t="s">
        <v>24</v>
      </c>
      <c r="N4651" t="s">
        <v>22</v>
      </c>
    </row>
    <row r="4652" spans="1:14">
      <c r="A4652" s="4" t="str">
        <f t="shared" si="449"/>
        <v>EXP00165</v>
      </c>
      <c r="B4652" s="4" t="str">
        <f t="shared" si="446"/>
        <v>24287398</v>
      </c>
      <c r="C4652" s="4" t="str">
        <f t="shared" si="447"/>
        <v>GSE46141</v>
      </c>
      <c r="D4652" s="1" t="s">
        <v>298</v>
      </c>
      <c r="E4652" t="s">
        <v>15</v>
      </c>
      <c r="F4652" s="1">
        <v>2</v>
      </c>
      <c r="G4652" s="1" t="s">
        <v>23</v>
      </c>
      <c r="H4652" s="4" t="str">
        <f>HYPERLINK("https://www.ncbi.nlm.nih.gov/geo/query/acc.cgi?acc=GSM1124906","GSM1124906")</f>
        <v>GSM1124906</v>
      </c>
      <c r="I4652" t="s">
        <v>17</v>
      </c>
      <c r="J4652" t="s">
        <v>18</v>
      </c>
      <c r="K4652" t="s">
        <v>19</v>
      </c>
      <c r="L4652" t="s">
        <v>20</v>
      </c>
      <c r="M4652" t="s">
        <v>24</v>
      </c>
      <c r="N4652" t="s">
        <v>22</v>
      </c>
    </row>
    <row r="4653" spans="1:14">
      <c r="A4653" s="4" t="str">
        <f t="shared" si="449"/>
        <v>EXP00165</v>
      </c>
      <c r="B4653" s="4" t="str">
        <f t="shared" si="446"/>
        <v>24287398</v>
      </c>
      <c r="C4653" s="4" t="str">
        <f t="shared" si="447"/>
        <v>GSE46141</v>
      </c>
      <c r="D4653" s="1" t="s">
        <v>298</v>
      </c>
      <c r="E4653" t="s">
        <v>15</v>
      </c>
      <c r="F4653" s="1">
        <v>2</v>
      </c>
      <c r="G4653" s="1" t="s">
        <v>23</v>
      </c>
      <c r="H4653" s="4" t="str">
        <f>HYPERLINK("https://www.ncbi.nlm.nih.gov/geo/query/acc.cgi?acc=GSM1124907","GSM1124907")</f>
        <v>GSM1124907</v>
      </c>
      <c r="I4653" t="s">
        <v>17</v>
      </c>
      <c r="J4653" t="s">
        <v>18</v>
      </c>
      <c r="K4653" t="s">
        <v>19</v>
      </c>
      <c r="L4653" t="s">
        <v>20</v>
      </c>
      <c r="M4653" t="s">
        <v>24</v>
      </c>
      <c r="N4653" t="s">
        <v>22</v>
      </c>
    </row>
    <row r="4654" spans="1:14">
      <c r="A4654" s="4" t="str">
        <f t="shared" si="449"/>
        <v>EXP00165</v>
      </c>
      <c r="B4654" s="4" t="str">
        <f t="shared" si="446"/>
        <v>24287398</v>
      </c>
      <c r="C4654" s="4" t="str">
        <f t="shared" si="447"/>
        <v>GSE46141</v>
      </c>
      <c r="D4654" s="1" t="s">
        <v>298</v>
      </c>
      <c r="E4654" t="s">
        <v>15</v>
      </c>
      <c r="F4654" s="1">
        <v>2</v>
      </c>
      <c r="G4654" s="1" t="s">
        <v>23</v>
      </c>
      <c r="H4654" s="4" t="str">
        <f>HYPERLINK("https://www.ncbi.nlm.nih.gov/geo/query/acc.cgi?acc=GSM1124911","GSM1124911")</f>
        <v>GSM1124911</v>
      </c>
      <c r="I4654" t="s">
        <v>17</v>
      </c>
      <c r="J4654" t="s">
        <v>18</v>
      </c>
      <c r="K4654" t="s">
        <v>19</v>
      </c>
      <c r="L4654" t="s">
        <v>20</v>
      </c>
      <c r="M4654" t="s">
        <v>24</v>
      </c>
      <c r="N4654" t="s">
        <v>22</v>
      </c>
    </row>
    <row r="4655" spans="1:14">
      <c r="A4655" s="4" t="str">
        <f t="shared" si="449"/>
        <v>EXP00165</v>
      </c>
      <c r="B4655" s="4" t="str">
        <f t="shared" si="446"/>
        <v>24287398</v>
      </c>
      <c r="C4655" s="4" t="str">
        <f t="shared" si="447"/>
        <v>GSE46141</v>
      </c>
      <c r="D4655" s="1" t="s">
        <v>298</v>
      </c>
      <c r="E4655" t="s">
        <v>15</v>
      </c>
      <c r="F4655" s="1">
        <v>2</v>
      </c>
      <c r="G4655" s="1" t="s">
        <v>23</v>
      </c>
      <c r="H4655" s="4" t="str">
        <f>HYPERLINK("https://www.ncbi.nlm.nih.gov/geo/query/acc.cgi?acc=GSM1124912","GSM1124912")</f>
        <v>GSM1124912</v>
      </c>
      <c r="I4655" t="s">
        <v>17</v>
      </c>
      <c r="J4655" t="s">
        <v>18</v>
      </c>
      <c r="K4655" t="s">
        <v>19</v>
      </c>
      <c r="L4655" t="s">
        <v>20</v>
      </c>
      <c r="M4655" t="s">
        <v>24</v>
      </c>
      <c r="N4655" t="s">
        <v>22</v>
      </c>
    </row>
    <row r="4656" spans="1:14">
      <c r="A4656" s="4" t="str">
        <f t="shared" si="449"/>
        <v>EXP00165</v>
      </c>
      <c r="B4656" s="4" t="str">
        <f t="shared" si="446"/>
        <v>24287398</v>
      </c>
      <c r="C4656" s="4" t="str">
        <f t="shared" si="447"/>
        <v>GSE46141</v>
      </c>
      <c r="D4656" s="1" t="s">
        <v>298</v>
      </c>
      <c r="E4656" t="s">
        <v>15</v>
      </c>
      <c r="F4656" s="1">
        <v>2</v>
      </c>
      <c r="G4656" s="1" t="s">
        <v>23</v>
      </c>
      <c r="H4656" s="4" t="str">
        <f>HYPERLINK("https://www.ncbi.nlm.nih.gov/geo/query/acc.cgi?acc=GSM1124915","GSM1124915")</f>
        <v>GSM1124915</v>
      </c>
      <c r="I4656" t="s">
        <v>17</v>
      </c>
      <c r="J4656" t="s">
        <v>18</v>
      </c>
      <c r="K4656" t="s">
        <v>19</v>
      </c>
      <c r="L4656" t="s">
        <v>20</v>
      </c>
      <c r="M4656" t="s">
        <v>24</v>
      </c>
      <c r="N4656" t="s">
        <v>22</v>
      </c>
    </row>
    <row r="4657" spans="1:14">
      <c r="A4657" s="4" t="str">
        <f t="shared" si="449"/>
        <v>EXP00165</v>
      </c>
      <c r="B4657" s="4" t="str">
        <f t="shared" si="446"/>
        <v>24287398</v>
      </c>
      <c r="C4657" s="4" t="str">
        <f t="shared" si="447"/>
        <v>GSE46141</v>
      </c>
      <c r="D4657" s="1" t="s">
        <v>298</v>
      </c>
      <c r="E4657" t="s">
        <v>15</v>
      </c>
      <c r="F4657" s="1">
        <v>2</v>
      </c>
      <c r="G4657" s="1" t="s">
        <v>23</v>
      </c>
      <c r="H4657" s="4" t="str">
        <f>HYPERLINK("https://www.ncbi.nlm.nih.gov/geo/query/acc.cgi?acc=GSM1124917","GSM1124917")</f>
        <v>GSM1124917</v>
      </c>
      <c r="I4657" t="s">
        <v>17</v>
      </c>
      <c r="J4657" t="s">
        <v>18</v>
      </c>
      <c r="K4657" t="s">
        <v>19</v>
      </c>
      <c r="L4657" t="s">
        <v>20</v>
      </c>
      <c r="M4657" t="s">
        <v>24</v>
      </c>
      <c r="N4657" t="s">
        <v>22</v>
      </c>
    </row>
    <row r="4658" spans="1:14">
      <c r="A4658" s="4" t="str">
        <f t="shared" si="449"/>
        <v>EXP00165</v>
      </c>
      <c r="B4658" s="4" t="str">
        <f t="shared" si="446"/>
        <v>24287398</v>
      </c>
      <c r="C4658" s="4" t="str">
        <f t="shared" si="447"/>
        <v>GSE46141</v>
      </c>
      <c r="D4658" s="1" t="s">
        <v>298</v>
      </c>
      <c r="E4658" t="s">
        <v>15</v>
      </c>
      <c r="F4658" s="1">
        <v>2</v>
      </c>
      <c r="G4658" s="1" t="s">
        <v>23</v>
      </c>
      <c r="H4658" s="4" t="str">
        <f>HYPERLINK("https://www.ncbi.nlm.nih.gov/geo/query/acc.cgi?acc=GSM1124918","GSM1124918")</f>
        <v>GSM1124918</v>
      </c>
      <c r="I4658" t="s">
        <v>17</v>
      </c>
      <c r="J4658" t="s">
        <v>18</v>
      </c>
      <c r="K4658" t="s">
        <v>19</v>
      </c>
      <c r="L4658" t="s">
        <v>20</v>
      </c>
      <c r="M4658" t="s">
        <v>24</v>
      </c>
      <c r="N4658" t="s">
        <v>22</v>
      </c>
    </row>
    <row r="4659" spans="1:14">
      <c r="A4659" s="4" t="str">
        <f t="shared" si="449"/>
        <v>EXP00165</v>
      </c>
      <c r="B4659" s="4" t="str">
        <f t="shared" si="446"/>
        <v>24287398</v>
      </c>
      <c r="C4659" s="4" t="str">
        <f t="shared" si="447"/>
        <v>GSE46141</v>
      </c>
      <c r="D4659" s="1" t="s">
        <v>298</v>
      </c>
      <c r="E4659" t="s">
        <v>15</v>
      </c>
      <c r="F4659" s="1">
        <v>2</v>
      </c>
      <c r="G4659" s="1" t="s">
        <v>23</v>
      </c>
      <c r="H4659" s="4" t="str">
        <f>HYPERLINK("https://www.ncbi.nlm.nih.gov/geo/query/acc.cgi?acc=GSM1124920","GSM1124920")</f>
        <v>GSM1124920</v>
      </c>
      <c r="I4659" t="s">
        <v>17</v>
      </c>
      <c r="J4659" t="s">
        <v>18</v>
      </c>
      <c r="K4659" t="s">
        <v>19</v>
      </c>
      <c r="L4659" t="s">
        <v>20</v>
      </c>
      <c r="M4659" t="s">
        <v>24</v>
      </c>
      <c r="N4659" t="s">
        <v>22</v>
      </c>
    </row>
    <row r="4660" spans="1:14">
      <c r="A4660" s="4" t="str">
        <f t="shared" si="449"/>
        <v>EXP00165</v>
      </c>
      <c r="B4660" s="4" t="str">
        <f t="shared" si="446"/>
        <v>24287398</v>
      </c>
      <c r="C4660" s="4" t="str">
        <f t="shared" si="447"/>
        <v>GSE46141</v>
      </c>
      <c r="D4660" s="1" t="s">
        <v>298</v>
      </c>
      <c r="E4660" t="s">
        <v>15</v>
      </c>
      <c r="F4660" s="1">
        <v>2</v>
      </c>
      <c r="G4660" s="1" t="s">
        <v>23</v>
      </c>
      <c r="H4660" s="4" t="str">
        <f>HYPERLINK("https://www.ncbi.nlm.nih.gov/geo/query/acc.cgi?acc=GSM1124922","GSM1124922")</f>
        <v>GSM1124922</v>
      </c>
      <c r="I4660" t="s">
        <v>17</v>
      </c>
      <c r="J4660" t="s">
        <v>18</v>
      </c>
      <c r="K4660" t="s">
        <v>19</v>
      </c>
      <c r="L4660" t="s">
        <v>20</v>
      </c>
      <c r="M4660" t="s">
        <v>24</v>
      </c>
      <c r="N4660" t="s">
        <v>22</v>
      </c>
    </row>
    <row r="4661" spans="1:14">
      <c r="A4661" s="4" t="str">
        <f t="shared" ref="A4661:A4678" si="450">HYPERLINK("http://hcmdb.i-sanger.com/experiment/details/experiment_id/EXP00165","EXP00165")</f>
        <v>EXP00165</v>
      </c>
      <c r="B4661" s="4" t="str">
        <f t="shared" si="446"/>
        <v>24287398</v>
      </c>
      <c r="C4661" s="4" t="str">
        <f t="shared" si="447"/>
        <v>GSE46141</v>
      </c>
      <c r="D4661" s="1" t="s">
        <v>298</v>
      </c>
      <c r="E4661" t="s">
        <v>15</v>
      </c>
      <c r="F4661" s="1">
        <v>2</v>
      </c>
      <c r="G4661" s="1" t="s">
        <v>23</v>
      </c>
      <c r="H4661" s="4" t="str">
        <f>HYPERLINK("https://www.ncbi.nlm.nih.gov/geo/query/acc.cgi?acc=GSM1124924","GSM1124924")</f>
        <v>GSM1124924</v>
      </c>
      <c r="I4661" t="s">
        <v>17</v>
      </c>
      <c r="J4661" t="s">
        <v>18</v>
      </c>
      <c r="K4661" t="s">
        <v>19</v>
      </c>
      <c r="L4661" t="s">
        <v>20</v>
      </c>
      <c r="M4661" t="s">
        <v>24</v>
      </c>
      <c r="N4661" t="s">
        <v>22</v>
      </c>
    </row>
    <row r="4662" spans="1:14">
      <c r="A4662" s="4" t="str">
        <f t="shared" si="450"/>
        <v>EXP00165</v>
      </c>
      <c r="B4662" s="4" t="str">
        <f t="shared" si="446"/>
        <v>24287398</v>
      </c>
      <c r="C4662" s="4" t="str">
        <f t="shared" si="447"/>
        <v>GSE46141</v>
      </c>
      <c r="D4662" s="1" t="s">
        <v>298</v>
      </c>
      <c r="E4662" t="s">
        <v>15</v>
      </c>
      <c r="F4662" s="1">
        <v>2</v>
      </c>
      <c r="G4662" s="1" t="s">
        <v>23</v>
      </c>
      <c r="H4662" s="4" t="str">
        <f>HYPERLINK("https://www.ncbi.nlm.nih.gov/geo/query/acc.cgi?acc=GSM1124926","GSM1124926")</f>
        <v>GSM1124926</v>
      </c>
      <c r="I4662" t="s">
        <v>17</v>
      </c>
      <c r="J4662" t="s">
        <v>18</v>
      </c>
      <c r="K4662" t="s">
        <v>19</v>
      </c>
      <c r="L4662" t="s">
        <v>20</v>
      </c>
      <c r="M4662" t="s">
        <v>24</v>
      </c>
      <c r="N4662" t="s">
        <v>22</v>
      </c>
    </row>
    <row r="4663" spans="1:14">
      <c r="A4663" s="4" t="str">
        <f t="shared" si="450"/>
        <v>EXP00165</v>
      </c>
      <c r="B4663" s="4" t="str">
        <f t="shared" si="446"/>
        <v>24287398</v>
      </c>
      <c r="C4663" s="4" t="str">
        <f t="shared" si="447"/>
        <v>GSE46141</v>
      </c>
      <c r="D4663" s="1" t="s">
        <v>298</v>
      </c>
      <c r="E4663" t="s">
        <v>15</v>
      </c>
      <c r="F4663" s="1">
        <v>2</v>
      </c>
      <c r="G4663" s="1" t="s">
        <v>23</v>
      </c>
      <c r="H4663" s="4" t="str">
        <f>HYPERLINK("https://www.ncbi.nlm.nih.gov/geo/query/acc.cgi?acc=GSM1124928","GSM1124928")</f>
        <v>GSM1124928</v>
      </c>
      <c r="I4663" t="s">
        <v>17</v>
      </c>
      <c r="J4663" t="s">
        <v>18</v>
      </c>
      <c r="K4663" t="s">
        <v>19</v>
      </c>
      <c r="L4663" t="s">
        <v>20</v>
      </c>
      <c r="M4663" t="s">
        <v>24</v>
      </c>
      <c r="N4663" t="s">
        <v>22</v>
      </c>
    </row>
    <row r="4664" spans="1:14">
      <c r="A4664" s="4" t="str">
        <f t="shared" si="450"/>
        <v>EXP00165</v>
      </c>
      <c r="B4664" s="4" t="str">
        <f t="shared" si="446"/>
        <v>24287398</v>
      </c>
      <c r="C4664" s="4" t="str">
        <f t="shared" si="447"/>
        <v>GSE46141</v>
      </c>
      <c r="D4664" s="1" t="s">
        <v>298</v>
      </c>
      <c r="E4664" t="s">
        <v>15</v>
      </c>
      <c r="F4664" s="1">
        <v>2</v>
      </c>
      <c r="G4664" s="1" t="s">
        <v>23</v>
      </c>
      <c r="H4664" s="4" t="str">
        <f>HYPERLINK("https://www.ncbi.nlm.nih.gov/geo/query/acc.cgi?acc=GSM1124930","GSM1124930")</f>
        <v>GSM1124930</v>
      </c>
      <c r="I4664" t="s">
        <v>17</v>
      </c>
      <c r="J4664" t="s">
        <v>18</v>
      </c>
      <c r="K4664" t="s">
        <v>19</v>
      </c>
      <c r="L4664" t="s">
        <v>20</v>
      </c>
      <c r="M4664" t="s">
        <v>24</v>
      </c>
      <c r="N4664" t="s">
        <v>22</v>
      </c>
    </row>
    <row r="4665" spans="1:14">
      <c r="A4665" s="4" t="str">
        <f t="shared" si="450"/>
        <v>EXP00165</v>
      </c>
      <c r="B4665" s="4" t="str">
        <f t="shared" si="446"/>
        <v>24287398</v>
      </c>
      <c r="C4665" s="4" t="str">
        <f t="shared" si="447"/>
        <v>GSE46141</v>
      </c>
      <c r="D4665" s="1" t="s">
        <v>298</v>
      </c>
      <c r="E4665" t="s">
        <v>15</v>
      </c>
      <c r="F4665" s="1">
        <v>2</v>
      </c>
      <c r="G4665" s="1" t="s">
        <v>23</v>
      </c>
      <c r="H4665" s="4" t="str">
        <f>HYPERLINK("https://www.ncbi.nlm.nih.gov/geo/query/acc.cgi?acc=GSM1124931","GSM1124931")</f>
        <v>GSM1124931</v>
      </c>
      <c r="I4665" t="s">
        <v>17</v>
      </c>
      <c r="J4665" t="s">
        <v>18</v>
      </c>
      <c r="K4665" t="s">
        <v>19</v>
      </c>
      <c r="L4665" t="s">
        <v>20</v>
      </c>
      <c r="M4665" t="s">
        <v>24</v>
      </c>
      <c r="N4665" t="s">
        <v>22</v>
      </c>
    </row>
    <row r="4666" spans="1:14">
      <c r="A4666" s="4" t="str">
        <f t="shared" si="450"/>
        <v>EXP00165</v>
      </c>
      <c r="B4666" s="4" t="str">
        <f t="shared" si="446"/>
        <v>24287398</v>
      </c>
      <c r="C4666" s="4" t="str">
        <f t="shared" si="447"/>
        <v>GSE46141</v>
      </c>
      <c r="D4666" s="1" t="s">
        <v>298</v>
      </c>
      <c r="E4666" t="s">
        <v>15</v>
      </c>
      <c r="F4666" s="1">
        <v>2</v>
      </c>
      <c r="G4666" s="1" t="s">
        <v>23</v>
      </c>
      <c r="H4666" s="4" t="str">
        <f>HYPERLINK("https://www.ncbi.nlm.nih.gov/geo/query/acc.cgi?acc=GSM1124935","GSM1124935")</f>
        <v>GSM1124935</v>
      </c>
      <c r="I4666" t="s">
        <v>17</v>
      </c>
      <c r="J4666" t="s">
        <v>18</v>
      </c>
      <c r="K4666" t="s">
        <v>19</v>
      </c>
      <c r="L4666" t="s">
        <v>20</v>
      </c>
      <c r="M4666" t="s">
        <v>24</v>
      </c>
      <c r="N4666" t="s">
        <v>22</v>
      </c>
    </row>
    <row r="4667" spans="1:14">
      <c r="A4667" s="4" t="str">
        <f t="shared" si="450"/>
        <v>EXP00165</v>
      </c>
      <c r="B4667" s="4" t="str">
        <f t="shared" si="446"/>
        <v>24287398</v>
      </c>
      <c r="C4667" s="4" t="str">
        <f t="shared" si="447"/>
        <v>GSE46141</v>
      </c>
      <c r="D4667" s="1" t="s">
        <v>298</v>
      </c>
      <c r="E4667" t="s">
        <v>15</v>
      </c>
      <c r="F4667" s="1">
        <v>2</v>
      </c>
      <c r="G4667" s="1" t="s">
        <v>23</v>
      </c>
      <c r="H4667" s="4" t="str">
        <f>HYPERLINK("https://www.ncbi.nlm.nih.gov/geo/query/acc.cgi?acc=GSM1124936","GSM1124936")</f>
        <v>GSM1124936</v>
      </c>
      <c r="I4667" t="s">
        <v>17</v>
      </c>
      <c r="J4667" t="s">
        <v>18</v>
      </c>
      <c r="K4667" t="s">
        <v>19</v>
      </c>
      <c r="L4667" t="s">
        <v>20</v>
      </c>
      <c r="M4667" t="s">
        <v>24</v>
      </c>
      <c r="N4667" t="s">
        <v>22</v>
      </c>
    </row>
    <row r="4668" spans="1:14">
      <c r="A4668" s="4" t="str">
        <f t="shared" si="450"/>
        <v>EXP00165</v>
      </c>
      <c r="B4668" s="4" t="str">
        <f t="shared" si="446"/>
        <v>24287398</v>
      </c>
      <c r="C4668" s="4" t="str">
        <f t="shared" si="447"/>
        <v>GSE46141</v>
      </c>
      <c r="D4668" s="1" t="s">
        <v>298</v>
      </c>
      <c r="E4668" t="s">
        <v>15</v>
      </c>
      <c r="F4668" s="1">
        <v>2</v>
      </c>
      <c r="G4668" s="1" t="s">
        <v>23</v>
      </c>
      <c r="H4668" s="4" t="str">
        <f>HYPERLINK("https://www.ncbi.nlm.nih.gov/geo/query/acc.cgi?acc=GSM1124938","GSM1124938")</f>
        <v>GSM1124938</v>
      </c>
      <c r="I4668" t="s">
        <v>17</v>
      </c>
      <c r="J4668" t="s">
        <v>18</v>
      </c>
      <c r="K4668" t="s">
        <v>19</v>
      </c>
      <c r="L4668" t="s">
        <v>20</v>
      </c>
      <c r="M4668" t="s">
        <v>24</v>
      </c>
      <c r="N4668" t="s">
        <v>22</v>
      </c>
    </row>
    <row r="4669" spans="1:14">
      <c r="A4669" s="4" t="str">
        <f t="shared" si="450"/>
        <v>EXP00165</v>
      </c>
      <c r="B4669" s="4" t="str">
        <f t="shared" si="446"/>
        <v>24287398</v>
      </c>
      <c r="C4669" s="4" t="str">
        <f t="shared" si="447"/>
        <v>GSE46141</v>
      </c>
      <c r="D4669" s="1" t="s">
        <v>298</v>
      </c>
      <c r="E4669" t="s">
        <v>15</v>
      </c>
      <c r="F4669" s="1">
        <v>2</v>
      </c>
      <c r="G4669" s="1" t="s">
        <v>23</v>
      </c>
      <c r="H4669" s="4" t="str">
        <f>HYPERLINK("https://www.ncbi.nlm.nih.gov/geo/query/acc.cgi?acc=GSM1124940","GSM1124940")</f>
        <v>GSM1124940</v>
      </c>
      <c r="I4669" t="s">
        <v>17</v>
      </c>
      <c r="J4669" t="s">
        <v>18</v>
      </c>
      <c r="K4669" t="s">
        <v>19</v>
      </c>
      <c r="L4669" t="s">
        <v>20</v>
      </c>
      <c r="M4669" t="s">
        <v>24</v>
      </c>
      <c r="N4669" t="s">
        <v>22</v>
      </c>
    </row>
    <row r="4670" spans="1:14">
      <c r="A4670" s="4" t="str">
        <f t="shared" si="450"/>
        <v>EXP00165</v>
      </c>
      <c r="B4670" s="4" t="str">
        <f t="shared" si="446"/>
        <v>24287398</v>
      </c>
      <c r="C4670" s="4" t="str">
        <f t="shared" si="447"/>
        <v>GSE46141</v>
      </c>
      <c r="D4670" s="1" t="s">
        <v>298</v>
      </c>
      <c r="E4670" t="s">
        <v>15</v>
      </c>
      <c r="F4670" s="1">
        <v>2</v>
      </c>
      <c r="G4670" s="1" t="s">
        <v>23</v>
      </c>
      <c r="H4670" s="4" t="str">
        <f>HYPERLINK("https://www.ncbi.nlm.nih.gov/geo/query/acc.cgi?acc=GSM1124941","GSM1124941")</f>
        <v>GSM1124941</v>
      </c>
      <c r="I4670" t="s">
        <v>17</v>
      </c>
      <c r="J4670" t="s">
        <v>18</v>
      </c>
      <c r="K4670" t="s">
        <v>19</v>
      </c>
      <c r="L4670" t="s">
        <v>20</v>
      </c>
      <c r="M4670" t="s">
        <v>24</v>
      </c>
      <c r="N4670" t="s">
        <v>22</v>
      </c>
    </row>
    <row r="4671" spans="1:14">
      <c r="A4671" s="4" t="str">
        <f t="shared" si="450"/>
        <v>EXP00165</v>
      </c>
      <c r="B4671" s="4" t="str">
        <f t="shared" ref="B4671:B4734" si="451">HYPERLINK("https://www.ncbi.nlm.nih.gov/pubmed/24287398","24287398")</f>
        <v>24287398</v>
      </c>
      <c r="C4671" s="4" t="str">
        <f t="shared" ref="C4671:C4734" si="452">HYPERLINK("https://www.ncbi.nlm.nih.gov/geo/query/acc.cgi?acc=GSE46141","GSE46141")</f>
        <v>GSE46141</v>
      </c>
      <c r="D4671" s="1" t="s">
        <v>298</v>
      </c>
      <c r="E4671" t="s">
        <v>15</v>
      </c>
      <c r="F4671" s="1">
        <v>2</v>
      </c>
      <c r="G4671" s="1" t="s">
        <v>23</v>
      </c>
      <c r="H4671" s="4" t="str">
        <f>HYPERLINK("https://www.ncbi.nlm.nih.gov/geo/query/acc.cgi?acc=GSM1124942","GSM1124942")</f>
        <v>GSM1124942</v>
      </c>
      <c r="I4671" t="s">
        <v>17</v>
      </c>
      <c r="J4671" t="s">
        <v>18</v>
      </c>
      <c r="K4671" t="s">
        <v>19</v>
      </c>
      <c r="L4671" t="s">
        <v>20</v>
      </c>
      <c r="M4671" t="s">
        <v>24</v>
      </c>
      <c r="N4671" t="s">
        <v>22</v>
      </c>
    </row>
    <row r="4672" spans="1:14">
      <c r="A4672" s="4" t="str">
        <f t="shared" si="450"/>
        <v>EXP00165</v>
      </c>
      <c r="B4672" s="4" t="str">
        <f t="shared" si="451"/>
        <v>24287398</v>
      </c>
      <c r="C4672" s="4" t="str">
        <f t="shared" si="452"/>
        <v>GSE46141</v>
      </c>
      <c r="D4672" s="1" t="s">
        <v>298</v>
      </c>
      <c r="E4672" t="s">
        <v>15</v>
      </c>
      <c r="F4672" s="1">
        <v>2</v>
      </c>
      <c r="G4672" s="1" t="s">
        <v>23</v>
      </c>
      <c r="H4672" s="4" t="str">
        <f>HYPERLINK("https://www.ncbi.nlm.nih.gov/geo/query/acc.cgi?acc=GSM1124943","GSM1124943")</f>
        <v>GSM1124943</v>
      </c>
      <c r="I4672" t="s">
        <v>17</v>
      </c>
      <c r="J4672" t="s">
        <v>18</v>
      </c>
      <c r="K4672" t="s">
        <v>19</v>
      </c>
      <c r="L4672" t="s">
        <v>20</v>
      </c>
      <c r="M4672" t="s">
        <v>24</v>
      </c>
      <c r="N4672" t="s">
        <v>22</v>
      </c>
    </row>
    <row r="4673" spans="1:14">
      <c r="A4673" s="4" t="str">
        <f t="shared" si="450"/>
        <v>EXP00165</v>
      </c>
      <c r="B4673" s="4" t="str">
        <f t="shared" si="451"/>
        <v>24287398</v>
      </c>
      <c r="C4673" s="4" t="str">
        <f t="shared" si="452"/>
        <v>GSE46141</v>
      </c>
      <c r="D4673" s="1" t="s">
        <v>298</v>
      </c>
      <c r="E4673" t="s">
        <v>15</v>
      </c>
      <c r="F4673" s="1">
        <v>2</v>
      </c>
      <c r="G4673" s="1" t="s">
        <v>23</v>
      </c>
      <c r="H4673" s="4" t="str">
        <f>HYPERLINK("https://www.ncbi.nlm.nih.gov/geo/query/acc.cgi?acc=GSM1124948","GSM1124948")</f>
        <v>GSM1124948</v>
      </c>
      <c r="I4673" t="s">
        <v>17</v>
      </c>
      <c r="J4673" t="s">
        <v>18</v>
      </c>
      <c r="K4673" t="s">
        <v>19</v>
      </c>
      <c r="L4673" t="s">
        <v>20</v>
      </c>
      <c r="M4673" t="s">
        <v>24</v>
      </c>
      <c r="N4673" t="s">
        <v>22</v>
      </c>
    </row>
    <row r="4674" spans="1:14">
      <c r="A4674" s="4" t="str">
        <f t="shared" si="450"/>
        <v>EXP00165</v>
      </c>
      <c r="B4674" s="4" t="str">
        <f t="shared" si="451"/>
        <v>24287398</v>
      </c>
      <c r="C4674" s="4" t="str">
        <f t="shared" si="452"/>
        <v>GSE46141</v>
      </c>
      <c r="D4674" s="1" t="s">
        <v>298</v>
      </c>
      <c r="E4674" t="s">
        <v>15</v>
      </c>
      <c r="F4674" s="1">
        <v>2</v>
      </c>
      <c r="G4674" s="1" t="s">
        <v>23</v>
      </c>
      <c r="H4674" s="4" t="str">
        <f>HYPERLINK("https://www.ncbi.nlm.nih.gov/geo/query/acc.cgi?acc=GSM1124949","GSM1124949")</f>
        <v>GSM1124949</v>
      </c>
      <c r="I4674" t="s">
        <v>17</v>
      </c>
      <c r="J4674" t="s">
        <v>18</v>
      </c>
      <c r="K4674" t="s">
        <v>19</v>
      </c>
      <c r="L4674" t="s">
        <v>20</v>
      </c>
      <c r="M4674" t="s">
        <v>24</v>
      </c>
      <c r="N4674" t="s">
        <v>22</v>
      </c>
    </row>
    <row r="4675" spans="1:14">
      <c r="A4675" s="4" t="str">
        <f t="shared" si="450"/>
        <v>EXP00165</v>
      </c>
      <c r="B4675" s="4" t="str">
        <f t="shared" si="451"/>
        <v>24287398</v>
      </c>
      <c r="C4675" s="4" t="str">
        <f t="shared" si="452"/>
        <v>GSE46141</v>
      </c>
      <c r="D4675" s="1" t="s">
        <v>298</v>
      </c>
      <c r="E4675" t="s">
        <v>15</v>
      </c>
      <c r="F4675" s="1">
        <v>2</v>
      </c>
      <c r="G4675" s="1" t="s">
        <v>23</v>
      </c>
      <c r="H4675" s="4" t="str">
        <f>HYPERLINK("https://www.ncbi.nlm.nih.gov/geo/query/acc.cgi?acc=GSM1124950","GSM1124950")</f>
        <v>GSM1124950</v>
      </c>
      <c r="I4675" t="s">
        <v>17</v>
      </c>
      <c r="J4675" t="s">
        <v>18</v>
      </c>
      <c r="K4675" t="s">
        <v>19</v>
      </c>
      <c r="L4675" t="s">
        <v>20</v>
      </c>
      <c r="M4675" t="s">
        <v>24</v>
      </c>
      <c r="N4675" t="s">
        <v>22</v>
      </c>
    </row>
    <row r="4676" spans="1:14">
      <c r="A4676" s="4" t="str">
        <f t="shared" si="450"/>
        <v>EXP00165</v>
      </c>
      <c r="B4676" s="4" t="str">
        <f t="shared" si="451"/>
        <v>24287398</v>
      </c>
      <c r="C4676" s="4" t="str">
        <f t="shared" si="452"/>
        <v>GSE46141</v>
      </c>
      <c r="D4676" s="1" t="s">
        <v>298</v>
      </c>
      <c r="E4676" t="s">
        <v>15</v>
      </c>
      <c r="F4676" s="1">
        <v>2</v>
      </c>
      <c r="G4676" s="1" t="s">
        <v>23</v>
      </c>
      <c r="H4676" s="4" t="str">
        <f>HYPERLINK("https://www.ncbi.nlm.nih.gov/geo/query/acc.cgi?acc=GSM1124954","GSM1124954")</f>
        <v>GSM1124954</v>
      </c>
      <c r="I4676" t="s">
        <v>17</v>
      </c>
      <c r="J4676" t="s">
        <v>18</v>
      </c>
      <c r="K4676" t="s">
        <v>19</v>
      </c>
      <c r="L4676" t="s">
        <v>20</v>
      </c>
      <c r="M4676" t="s">
        <v>24</v>
      </c>
      <c r="N4676" t="s">
        <v>22</v>
      </c>
    </row>
    <row r="4677" spans="1:14">
      <c r="A4677" s="4" t="str">
        <f t="shared" si="450"/>
        <v>EXP00165</v>
      </c>
      <c r="B4677" s="4" t="str">
        <f t="shared" si="451"/>
        <v>24287398</v>
      </c>
      <c r="C4677" s="4" t="str">
        <f t="shared" si="452"/>
        <v>GSE46141</v>
      </c>
      <c r="D4677" s="1" t="s">
        <v>298</v>
      </c>
      <c r="E4677" t="s">
        <v>15</v>
      </c>
      <c r="F4677" s="1">
        <v>2</v>
      </c>
      <c r="G4677" s="1" t="s">
        <v>23</v>
      </c>
      <c r="H4677" s="4" t="str">
        <f>HYPERLINK("https://www.ncbi.nlm.nih.gov/geo/query/acc.cgi?acc=GSM1124955","GSM1124955")</f>
        <v>GSM1124955</v>
      </c>
      <c r="I4677" t="s">
        <v>17</v>
      </c>
      <c r="J4677" t="s">
        <v>18</v>
      </c>
      <c r="K4677" t="s">
        <v>19</v>
      </c>
      <c r="L4677" t="s">
        <v>20</v>
      </c>
      <c r="M4677" t="s">
        <v>24</v>
      </c>
      <c r="N4677" t="s">
        <v>22</v>
      </c>
    </row>
    <row r="4678" spans="1:14">
      <c r="A4678" s="4" t="str">
        <f t="shared" si="450"/>
        <v>EXP00165</v>
      </c>
      <c r="B4678" s="4" t="str">
        <f t="shared" si="451"/>
        <v>24287398</v>
      </c>
      <c r="C4678" s="4" t="str">
        <f t="shared" si="452"/>
        <v>GSE46141</v>
      </c>
      <c r="D4678" s="1" t="s">
        <v>298</v>
      </c>
      <c r="E4678" t="s">
        <v>15</v>
      </c>
      <c r="F4678" s="1">
        <v>2</v>
      </c>
      <c r="G4678" s="1" t="s">
        <v>23</v>
      </c>
      <c r="H4678" s="4" t="str">
        <f>HYPERLINK("https://www.ncbi.nlm.nih.gov/geo/query/acc.cgi?acc=GSM1124956","GSM1124956")</f>
        <v>GSM1124956</v>
      </c>
      <c r="I4678" t="s">
        <v>17</v>
      </c>
      <c r="J4678" t="s">
        <v>18</v>
      </c>
      <c r="K4678" t="s">
        <v>19</v>
      </c>
      <c r="L4678" t="s">
        <v>20</v>
      </c>
      <c r="M4678" t="s">
        <v>24</v>
      </c>
      <c r="N4678" t="s">
        <v>22</v>
      </c>
    </row>
    <row r="4679" spans="1:14">
      <c r="A4679" s="4" t="str">
        <f t="shared" ref="A4679:A4706" si="453">HYPERLINK("http://hcmdb.i-sanger.com/experiment/details/experiment_id/EXP00166","EXP00166")</f>
        <v>EXP00166</v>
      </c>
      <c r="B4679" s="4" t="str">
        <f t="shared" si="451"/>
        <v>24287398</v>
      </c>
      <c r="C4679" s="4" t="str">
        <f t="shared" si="452"/>
        <v>GSE46141</v>
      </c>
      <c r="D4679" s="1" t="s">
        <v>298</v>
      </c>
      <c r="E4679" t="s">
        <v>15</v>
      </c>
      <c r="F4679" s="1">
        <v>1</v>
      </c>
      <c r="G4679" s="1" t="s">
        <v>299</v>
      </c>
      <c r="H4679" s="4" t="str">
        <f>HYPERLINK("https://www.ncbi.nlm.nih.gov/geo/query/acc.cgi?acc=GSM1124869","GSM1124869")</f>
        <v>GSM1124869</v>
      </c>
      <c r="I4679" t="s">
        <v>17</v>
      </c>
      <c r="J4679" t="s">
        <v>18</v>
      </c>
      <c r="K4679" t="s">
        <v>19</v>
      </c>
      <c r="L4679" t="s">
        <v>20</v>
      </c>
      <c r="M4679" t="s">
        <v>20</v>
      </c>
      <c r="N4679" t="s">
        <v>22</v>
      </c>
    </row>
    <row r="4680" spans="1:14">
      <c r="A4680" s="4" t="str">
        <f t="shared" si="453"/>
        <v>EXP00166</v>
      </c>
      <c r="B4680" s="4" t="str">
        <f t="shared" si="451"/>
        <v>24287398</v>
      </c>
      <c r="C4680" s="4" t="str">
        <f t="shared" si="452"/>
        <v>GSE46141</v>
      </c>
      <c r="D4680" s="1" t="s">
        <v>298</v>
      </c>
      <c r="E4680" t="s">
        <v>15</v>
      </c>
      <c r="F4680" s="1">
        <v>1</v>
      </c>
      <c r="G4680" s="1" t="s">
        <v>299</v>
      </c>
      <c r="H4680" s="4" t="str">
        <f>HYPERLINK("https://www.ncbi.nlm.nih.gov/geo/query/acc.cgi?acc=GSM1124870","GSM1124870")</f>
        <v>GSM1124870</v>
      </c>
      <c r="I4680" t="s">
        <v>17</v>
      </c>
      <c r="J4680" t="s">
        <v>18</v>
      </c>
      <c r="K4680" t="s">
        <v>19</v>
      </c>
      <c r="L4680" t="s">
        <v>20</v>
      </c>
      <c r="M4680" t="s">
        <v>20</v>
      </c>
      <c r="N4680" t="s">
        <v>22</v>
      </c>
    </row>
    <row r="4681" spans="1:14">
      <c r="A4681" s="4" t="str">
        <f t="shared" si="453"/>
        <v>EXP00166</v>
      </c>
      <c r="B4681" s="4" t="str">
        <f t="shared" si="451"/>
        <v>24287398</v>
      </c>
      <c r="C4681" s="4" t="str">
        <f t="shared" si="452"/>
        <v>GSE46141</v>
      </c>
      <c r="D4681" s="1" t="s">
        <v>298</v>
      </c>
      <c r="E4681" t="s">
        <v>15</v>
      </c>
      <c r="F4681" s="1">
        <v>1</v>
      </c>
      <c r="G4681" s="1" t="s">
        <v>299</v>
      </c>
      <c r="H4681" s="4" t="str">
        <f>HYPERLINK("https://www.ncbi.nlm.nih.gov/geo/query/acc.cgi?acc=GSM1124882","GSM1124882")</f>
        <v>GSM1124882</v>
      </c>
      <c r="I4681" t="s">
        <v>17</v>
      </c>
      <c r="J4681" t="s">
        <v>18</v>
      </c>
      <c r="K4681" t="s">
        <v>19</v>
      </c>
      <c r="L4681" t="s">
        <v>20</v>
      </c>
      <c r="M4681" t="s">
        <v>20</v>
      </c>
      <c r="N4681" t="s">
        <v>22</v>
      </c>
    </row>
    <row r="4682" spans="1:14">
      <c r="A4682" s="4" t="str">
        <f t="shared" si="453"/>
        <v>EXP00166</v>
      </c>
      <c r="B4682" s="4" t="str">
        <f t="shared" si="451"/>
        <v>24287398</v>
      </c>
      <c r="C4682" s="4" t="str">
        <f t="shared" si="452"/>
        <v>GSE46141</v>
      </c>
      <c r="D4682" s="1" t="s">
        <v>298</v>
      </c>
      <c r="E4682" t="s">
        <v>15</v>
      </c>
      <c r="F4682" s="1">
        <v>1</v>
      </c>
      <c r="G4682" s="1" t="s">
        <v>299</v>
      </c>
      <c r="H4682" s="4" t="str">
        <f>HYPERLINK("https://www.ncbi.nlm.nih.gov/geo/query/acc.cgi?acc=GSM1124884","GSM1124884")</f>
        <v>GSM1124884</v>
      </c>
      <c r="I4682" t="s">
        <v>17</v>
      </c>
      <c r="J4682" t="s">
        <v>18</v>
      </c>
      <c r="K4682" t="s">
        <v>19</v>
      </c>
      <c r="L4682" t="s">
        <v>20</v>
      </c>
      <c r="M4682" t="s">
        <v>20</v>
      </c>
      <c r="N4682" t="s">
        <v>22</v>
      </c>
    </row>
    <row r="4683" spans="1:14">
      <c r="A4683" s="4" t="str">
        <f t="shared" si="453"/>
        <v>EXP00166</v>
      </c>
      <c r="B4683" s="4" t="str">
        <f t="shared" si="451"/>
        <v>24287398</v>
      </c>
      <c r="C4683" s="4" t="str">
        <f t="shared" si="452"/>
        <v>GSE46141</v>
      </c>
      <c r="D4683" s="1" t="s">
        <v>298</v>
      </c>
      <c r="E4683" t="s">
        <v>15</v>
      </c>
      <c r="F4683" s="1">
        <v>1</v>
      </c>
      <c r="G4683" s="1" t="s">
        <v>299</v>
      </c>
      <c r="H4683" s="4" t="str">
        <f>HYPERLINK("https://www.ncbi.nlm.nih.gov/geo/query/acc.cgi?acc=GSM1124898","GSM1124898")</f>
        <v>GSM1124898</v>
      </c>
      <c r="I4683" t="s">
        <v>17</v>
      </c>
      <c r="J4683" t="s">
        <v>18</v>
      </c>
      <c r="K4683" t="s">
        <v>19</v>
      </c>
      <c r="L4683" t="s">
        <v>20</v>
      </c>
      <c r="M4683" t="s">
        <v>20</v>
      </c>
      <c r="N4683" t="s">
        <v>22</v>
      </c>
    </row>
    <row r="4684" spans="1:14">
      <c r="A4684" s="4" t="str">
        <f t="shared" si="453"/>
        <v>EXP00166</v>
      </c>
      <c r="B4684" s="4" t="str">
        <f t="shared" si="451"/>
        <v>24287398</v>
      </c>
      <c r="C4684" s="4" t="str">
        <f t="shared" si="452"/>
        <v>GSE46141</v>
      </c>
      <c r="D4684" s="1" t="s">
        <v>298</v>
      </c>
      <c r="E4684" t="s">
        <v>15</v>
      </c>
      <c r="F4684" s="1">
        <v>1</v>
      </c>
      <c r="G4684" s="1" t="s">
        <v>299</v>
      </c>
      <c r="H4684" s="4" t="str">
        <f>HYPERLINK("https://www.ncbi.nlm.nih.gov/geo/query/acc.cgi?acc=GSM1124903","GSM1124903")</f>
        <v>GSM1124903</v>
      </c>
      <c r="I4684" t="s">
        <v>17</v>
      </c>
      <c r="J4684" t="s">
        <v>18</v>
      </c>
      <c r="K4684" t="s">
        <v>19</v>
      </c>
      <c r="L4684" t="s">
        <v>20</v>
      </c>
      <c r="M4684" t="s">
        <v>20</v>
      </c>
      <c r="N4684" t="s">
        <v>22</v>
      </c>
    </row>
    <row r="4685" spans="1:14">
      <c r="A4685" s="4" t="str">
        <f t="shared" si="453"/>
        <v>EXP00166</v>
      </c>
      <c r="B4685" s="4" t="str">
        <f t="shared" si="451"/>
        <v>24287398</v>
      </c>
      <c r="C4685" s="4" t="str">
        <f t="shared" si="452"/>
        <v>GSE46141</v>
      </c>
      <c r="D4685" s="1" t="s">
        <v>298</v>
      </c>
      <c r="E4685" t="s">
        <v>15</v>
      </c>
      <c r="F4685" s="1">
        <v>1</v>
      </c>
      <c r="G4685" s="1" t="s">
        <v>299</v>
      </c>
      <c r="H4685" s="4" t="str">
        <f>HYPERLINK("https://www.ncbi.nlm.nih.gov/geo/query/acc.cgi?acc=GSM1124905","GSM1124905")</f>
        <v>GSM1124905</v>
      </c>
      <c r="I4685" t="s">
        <v>17</v>
      </c>
      <c r="J4685" t="s">
        <v>18</v>
      </c>
      <c r="K4685" t="s">
        <v>19</v>
      </c>
      <c r="L4685" t="s">
        <v>20</v>
      </c>
      <c r="M4685" t="s">
        <v>20</v>
      </c>
      <c r="N4685" t="s">
        <v>22</v>
      </c>
    </row>
    <row r="4686" spans="1:14">
      <c r="A4686" s="4" t="str">
        <f t="shared" si="453"/>
        <v>EXP00166</v>
      </c>
      <c r="B4686" s="4" t="str">
        <f t="shared" si="451"/>
        <v>24287398</v>
      </c>
      <c r="C4686" s="4" t="str">
        <f t="shared" si="452"/>
        <v>GSE46141</v>
      </c>
      <c r="D4686" s="1" t="s">
        <v>298</v>
      </c>
      <c r="E4686" t="s">
        <v>15</v>
      </c>
      <c r="F4686" s="1">
        <v>1</v>
      </c>
      <c r="G4686" s="1" t="s">
        <v>299</v>
      </c>
      <c r="H4686" s="4" t="str">
        <f>HYPERLINK("https://www.ncbi.nlm.nih.gov/geo/query/acc.cgi?acc=GSM1124910","GSM1124910")</f>
        <v>GSM1124910</v>
      </c>
      <c r="I4686" t="s">
        <v>17</v>
      </c>
      <c r="J4686" t="s">
        <v>18</v>
      </c>
      <c r="K4686" t="s">
        <v>19</v>
      </c>
      <c r="L4686" t="s">
        <v>20</v>
      </c>
      <c r="M4686" t="s">
        <v>20</v>
      </c>
      <c r="N4686" t="s">
        <v>22</v>
      </c>
    </row>
    <row r="4687" spans="1:14">
      <c r="A4687" s="4" t="str">
        <f t="shared" si="453"/>
        <v>EXP00166</v>
      </c>
      <c r="B4687" s="4" t="str">
        <f t="shared" si="451"/>
        <v>24287398</v>
      </c>
      <c r="C4687" s="4" t="str">
        <f t="shared" si="452"/>
        <v>GSE46141</v>
      </c>
      <c r="D4687" s="1" t="s">
        <v>298</v>
      </c>
      <c r="E4687" t="s">
        <v>15</v>
      </c>
      <c r="F4687" s="1">
        <v>1</v>
      </c>
      <c r="G4687" s="1" t="s">
        <v>299</v>
      </c>
      <c r="H4687" s="4" t="str">
        <f>HYPERLINK("https://www.ncbi.nlm.nih.gov/geo/query/acc.cgi?acc=GSM1124919","GSM1124919")</f>
        <v>GSM1124919</v>
      </c>
      <c r="I4687" t="s">
        <v>17</v>
      </c>
      <c r="J4687" t="s">
        <v>18</v>
      </c>
      <c r="K4687" t="s">
        <v>19</v>
      </c>
      <c r="L4687" t="s">
        <v>20</v>
      </c>
      <c r="M4687" t="s">
        <v>20</v>
      </c>
      <c r="N4687" t="s">
        <v>22</v>
      </c>
    </row>
    <row r="4688" spans="1:14">
      <c r="A4688" s="4" t="str">
        <f t="shared" si="453"/>
        <v>EXP00166</v>
      </c>
      <c r="B4688" s="4" t="str">
        <f t="shared" si="451"/>
        <v>24287398</v>
      </c>
      <c r="C4688" s="4" t="str">
        <f t="shared" si="452"/>
        <v>GSE46141</v>
      </c>
      <c r="D4688" s="1" t="s">
        <v>298</v>
      </c>
      <c r="E4688" t="s">
        <v>15</v>
      </c>
      <c r="F4688" s="1">
        <v>1</v>
      </c>
      <c r="G4688" s="1" t="s">
        <v>299</v>
      </c>
      <c r="H4688" s="4" t="str">
        <f>HYPERLINK("https://www.ncbi.nlm.nih.gov/geo/query/acc.cgi?acc=GSM1124932","GSM1124932")</f>
        <v>GSM1124932</v>
      </c>
      <c r="I4688" t="s">
        <v>17</v>
      </c>
      <c r="J4688" t="s">
        <v>18</v>
      </c>
      <c r="K4688" t="s">
        <v>19</v>
      </c>
      <c r="L4688" t="s">
        <v>20</v>
      </c>
      <c r="M4688" t="s">
        <v>20</v>
      </c>
      <c r="N4688" t="s">
        <v>22</v>
      </c>
    </row>
    <row r="4689" spans="1:14">
      <c r="A4689" s="4" t="str">
        <f t="shared" si="453"/>
        <v>EXP00166</v>
      </c>
      <c r="B4689" s="4" t="str">
        <f t="shared" si="451"/>
        <v>24287398</v>
      </c>
      <c r="C4689" s="4" t="str">
        <f t="shared" si="452"/>
        <v>GSE46141</v>
      </c>
      <c r="D4689" s="1" t="s">
        <v>298</v>
      </c>
      <c r="E4689" t="s">
        <v>15</v>
      </c>
      <c r="F4689" s="1">
        <v>1</v>
      </c>
      <c r="G4689" s="1" t="s">
        <v>299</v>
      </c>
      <c r="H4689" s="4" t="str">
        <f>HYPERLINK("https://www.ncbi.nlm.nih.gov/geo/query/acc.cgi?acc=GSM1124933","GSM1124933")</f>
        <v>GSM1124933</v>
      </c>
      <c r="I4689" t="s">
        <v>17</v>
      </c>
      <c r="J4689" t="s">
        <v>18</v>
      </c>
      <c r="K4689" t="s">
        <v>19</v>
      </c>
      <c r="L4689" t="s">
        <v>20</v>
      </c>
      <c r="M4689" t="s">
        <v>20</v>
      </c>
      <c r="N4689" t="s">
        <v>22</v>
      </c>
    </row>
    <row r="4690" spans="1:14">
      <c r="A4690" s="4" t="str">
        <f t="shared" si="453"/>
        <v>EXP00166</v>
      </c>
      <c r="B4690" s="4" t="str">
        <f t="shared" si="451"/>
        <v>24287398</v>
      </c>
      <c r="C4690" s="4" t="str">
        <f t="shared" si="452"/>
        <v>GSE46141</v>
      </c>
      <c r="D4690" s="1" t="s">
        <v>298</v>
      </c>
      <c r="E4690" t="s">
        <v>15</v>
      </c>
      <c r="F4690" s="1">
        <v>2</v>
      </c>
      <c r="G4690" s="1" t="s">
        <v>224</v>
      </c>
      <c r="H4690" s="4" t="str">
        <f>HYPERLINK("https://www.ncbi.nlm.nih.gov/geo/query/acc.cgi?acc=GSM1124872","GSM1124872")</f>
        <v>GSM1124872</v>
      </c>
      <c r="I4690" t="s">
        <v>17</v>
      </c>
      <c r="J4690" t="s">
        <v>18</v>
      </c>
      <c r="K4690" t="s">
        <v>19</v>
      </c>
      <c r="L4690" t="s">
        <v>20</v>
      </c>
      <c r="M4690" t="s">
        <v>27</v>
      </c>
      <c r="N4690" t="s">
        <v>22</v>
      </c>
    </row>
    <row r="4691" spans="1:14">
      <c r="A4691" s="4" t="str">
        <f t="shared" si="453"/>
        <v>EXP00166</v>
      </c>
      <c r="B4691" s="4" t="str">
        <f t="shared" si="451"/>
        <v>24287398</v>
      </c>
      <c r="C4691" s="4" t="str">
        <f t="shared" si="452"/>
        <v>GSE46141</v>
      </c>
      <c r="D4691" s="1" t="s">
        <v>298</v>
      </c>
      <c r="E4691" t="s">
        <v>15</v>
      </c>
      <c r="F4691" s="1">
        <v>2</v>
      </c>
      <c r="G4691" s="1" t="s">
        <v>224</v>
      </c>
      <c r="H4691" s="4" t="str">
        <f>HYPERLINK("https://www.ncbi.nlm.nih.gov/geo/query/acc.cgi?acc=GSM1124873","GSM1124873")</f>
        <v>GSM1124873</v>
      </c>
      <c r="I4691" t="s">
        <v>17</v>
      </c>
      <c r="J4691" t="s">
        <v>18</v>
      </c>
      <c r="K4691" t="s">
        <v>19</v>
      </c>
      <c r="L4691" t="s">
        <v>20</v>
      </c>
      <c r="M4691" t="s">
        <v>27</v>
      </c>
      <c r="N4691" t="s">
        <v>22</v>
      </c>
    </row>
    <row r="4692" spans="1:14">
      <c r="A4692" s="4" t="str">
        <f t="shared" si="453"/>
        <v>EXP00166</v>
      </c>
      <c r="B4692" s="4" t="str">
        <f t="shared" si="451"/>
        <v>24287398</v>
      </c>
      <c r="C4692" s="4" t="str">
        <f t="shared" si="452"/>
        <v>GSE46141</v>
      </c>
      <c r="D4692" s="1" t="s">
        <v>298</v>
      </c>
      <c r="E4692" t="s">
        <v>15</v>
      </c>
      <c r="F4692" s="1">
        <v>2</v>
      </c>
      <c r="G4692" s="1" t="s">
        <v>224</v>
      </c>
      <c r="H4692" s="4" t="str">
        <f>HYPERLINK("https://www.ncbi.nlm.nih.gov/geo/query/acc.cgi?acc=GSM1124876","GSM1124876")</f>
        <v>GSM1124876</v>
      </c>
      <c r="I4692" t="s">
        <v>17</v>
      </c>
      <c r="J4692" t="s">
        <v>18</v>
      </c>
      <c r="K4692" t="s">
        <v>19</v>
      </c>
      <c r="L4692" t="s">
        <v>20</v>
      </c>
      <c r="M4692" t="s">
        <v>27</v>
      </c>
      <c r="N4692" t="s">
        <v>22</v>
      </c>
    </row>
    <row r="4693" spans="1:14">
      <c r="A4693" s="4" t="str">
        <f t="shared" si="453"/>
        <v>EXP00166</v>
      </c>
      <c r="B4693" s="4" t="str">
        <f t="shared" si="451"/>
        <v>24287398</v>
      </c>
      <c r="C4693" s="4" t="str">
        <f t="shared" si="452"/>
        <v>GSE46141</v>
      </c>
      <c r="D4693" s="1" t="s">
        <v>298</v>
      </c>
      <c r="E4693" t="s">
        <v>15</v>
      </c>
      <c r="F4693" s="1">
        <v>2</v>
      </c>
      <c r="G4693" s="1" t="s">
        <v>224</v>
      </c>
      <c r="H4693" s="4" t="str">
        <f>HYPERLINK("https://www.ncbi.nlm.nih.gov/geo/query/acc.cgi?acc=GSM1124877","GSM1124877")</f>
        <v>GSM1124877</v>
      </c>
      <c r="I4693" t="s">
        <v>17</v>
      </c>
      <c r="J4693" t="s">
        <v>18</v>
      </c>
      <c r="K4693" t="s">
        <v>19</v>
      </c>
      <c r="L4693" t="s">
        <v>20</v>
      </c>
      <c r="M4693" t="s">
        <v>27</v>
      </c>
      <c r="N4693" t="s">
        <v>22</v>
      </c>
    </row>
    <row r="4694" spans="1:14">
      <c r="A4694" s="4" t="str">
        <f t="shared" si="453"/>
        <v>EXP00166</v>
      </c>
      <c r="B4694" s="4" t="str">
        <f t="shared" si="451"/>
        <v>24287398</v>
      </c>
      <c r="C4694" s="4" t="str">
        <f t="shared" si="452"/>
        <v>GSE46141</v>
      </c>
      <c r="D4694" s="1" t="s">
        <v>298</v>
      </c>
      <c r="E4694" t="s">
        <v>15</v>
      </c>
      <c r="F4694" s="1">
        <v>2</v>
      </c>
      <c r="G4694" s="1" t="s">
        <v>224</v>
      </c>
      <c r="H4694" s="4" t="str">
        <f>HYPERLINK("https://www.ncbi.nlm.nih.gov/geo/query/acc.cgi?acc=GSM1124879","GSM1124879")</f>
        <v>GSM1124879</v>
      </c>
      <c r="I4694" t="s">
        <v>17</v>
      </c>
      <c r="J4694" t="s">
        <v>18</v>
      </c>
      <c r="K4694" t="s">
        <v>19</v>
      </c>
      <c r="L4694" t="s">
        <v>20</v>
      </c>
      <c r="M4694" t="s">
        <v>27</v>
      </c>
      <c r="N4694" t="s">
        <v>22</v>
      </c>
    </row>
    <row r="4695" spans="1:14">
      <c r="A4695" s="4" t="str">
        <f t="shared" si="453"/>
        <v>EXP00166</v>
      </c>
      <c r="B4695" s="4" t="str">
        <f t="shared" si="451"/>
        <v>24287398</v>
      </c>
      <c r="C4695" s="4" t="str">
        <f t="shared" si="452"/>
        <v>GSE46141</v>
      </c>
      <c r="D4695" s="1" t="s">
        <v>298</v>
      </c>
      <c r="E4695" t="s">
        <v>15</v>
      </c>
      <c r="F4695" s="1">
        <v>2</v>
      </c>
      <c r="G4695" s="1" t="s">
        <v>224</v>
      </c>
      <c r="H4695" s="4" t="str">
        <f>HYPERLINK("https://www.ncbi.nlm.nih.gov/geo/query/acc.cgi?acc=GSM1124883","GSM1124883")</f>
        <v>GSM1124883</v>
      </c>
      <c r="I4695" t="s">
        <v>17</v>
      </c>
      <c r="J4695" t="s">
        <v>18</v>
      </c>
      <c r="K4695" t="s">
        <v>19</v>
      </c>
      <c r="L4695" t="s">
        <v>20</v>
      </c>
      <c r="M4695" t="s">
        <v>27</v>
      </c>
      <c r="N4695" t="s">
        <v>22</v>
      </c>
    </row>
    <row r="4696" spans="1:14">
      <c r="A4696" s="4" t="str">
        <f t="shared" si="453"/>
        <v>EXP00166</v>
      </c>
      <c r="B4696" s="4" t="str">
        <f t="shared" si="451"/>
        <v>24287398</v>
      </c>
      <c r="C4696" s="4" t="str">
        <f t="shared" si="452"/>
        <v>GSE46141</v>
      </c>
      <c r="D4696" s="1" t="s">
        <v>298</v>
      </c>
      <c r="E4696" t="s">
        <v>15</v>
      </c>
      <c r="F4696" s="1">
        <v>2</v>
      </c>
      <c r="G4696" s="1" t="s">
        <v>224</v>
      </c>
      <c r="H4696" s="4" t="str">
        <f>HYPERLINK("https://www.ncbi.nlm.nih.gov/geo/query/acc.cgi?acc=GSM1124889","GSM1124889")</f>
        <v>GSM1124889</v>
      </c>
      <c r="I4696" t="s">
        <v>17</v>
      </c>
      <c r="J4696" t="s">
        <v>18</v>
      </c>
      <c r="K4696" t="s">
        <v>19</v>
      </c>
      <c r="L4696" t="s">
        <v>20</v>
      </c>
      <c r="M4696" t="s">
        <v>27</v>
      </c>
      <c r="N4696" t="s">
        <v>22</v>
      </c>
    </row>
    <row r="4697" spans="1:14">
      <c r="A4697" s="4" t="str">
        <f t="shared" si="453"/>
        <v>EXP00166</v>
      </c>
      <c r="B4697" s="4" t="str">
        <f t="shared" si="451"/>
        <v>24287398</v>
      </c>
      <c r="C4697" s="4" t="str">
        <f t="shared" si="452"/>
        <v>GSE46141</v>
      </c>
      <c r="D4697" s="1" t="s">
        <v>298</v>
      </c>
      <c r="E4697" t="s">
        <v>15</v>
      </c>
      <c r="F4697" s="1">
        <v>2</v>
      </c>
      <c r="G4697" s="1" t="s">
        <v>224</v>
      </c>
      <c r="H4697" s="4" t="str">
        <f>HYPERLINK("https://www.ncbi.nlm.nih.gov/geo/query/acc.cgi?acc=GSM1124892","GSM1124892")</f>
        <v>GSM1124892</v>
      </c>
      <c r="I4697" t="s">
        <v>17</v>
      </c>
      <c r="J4697" t="s">
        <v>18</v>
      </c>
      <c r="K4697" t="s">
        <v>19</v>
      </c>
      <c r="L4697" t="s">
        <v>20</v>
      </c>
      <c r="M4697" t="s">
        <v>27</v>
      </c>
      <c r="N4697" t="s">
        <v>22</v>
      </c>
    </row>
    <row r="4698" spans="1:14">
      <c r="A4698" s="4" t="str">
        <f t="shared" si="453"/>
        <v>EXP00166</v>
      </c>
      <c r="B4698" s="4" t="str">
        <f t="shared" si="451"/>
        <v>24287398</v>
      </c>
      <c r="C4698" s="4" t="str">
        <f t="shared" si="452"/>
        <v>GSE46141</v>
      </c>
      <c r="D4698" s="1" t="s">
        <v>298</v>
      </c>
      <c r="E4698" t="s">
        <v>15</v>
      </c>
      <c r="F4698" s="1">
        <v>2</v>
      </c>
      <c r="G4698" s="1" t="s">
        <v>224</v>
      </c>
      <c r="H4698" s="4" t="str">
        <f>HYPERLINK("https://www.ncbi.nlm.nih.gov/geo/query/acc.cgi?acc=GSM1124893","GSM1124893")</f>
        <v>GSM1124893</v>
      </c>
      <c r="I4698" t="s">
        <v>17</v>
      </c>
      <c r="J4698" t="s">
        <v>18</v>
      </c>
      <c r="K4698" t="s">
        <v>19</v>
      </c>
      <c r="L4698" t="s">
        <v>20</v>
      </c>
      <c r="M4698" t="s">
        <v>27</v>
      </c>
      <c r="N4698" t="s">
        <v>22</v>
      </c>
    </row>
    <row r="4699" spans="1:14">
      <c r="A4699" s="4" t="str">
        <f t="shared" si="453"/>
        <v>EXP00166</v>
      </c>
      <c r="B4699" s="4" t="str">
        <f t="shared" si="451"/>
        <v>24287398</v>
      </c>
      <c r="C4699" s="4" t="str">
        <f t="shared" si="452"/>
        <v>GSE46141</v>
      </c>
      <c r="D4699" s="1" t="s">
        <v>298</v>
      </c>
      <c r="E4699" t="s">
        <v>15</v>
      </c>
      <c r="F4699" s="1">
        <v>2</v>
      </c>
      <c r="G4699" s="1" t="s">
        <v>224</v>
      </c>
      <c r="H4699" s="4" t="str">
        <f>HYPERLINK("https://www.ncbi.nlm.nih.gov/geo/query/acc.cgi?acc=GSM1124909","GSM1124909")</f>
        <v>GSM1124909</v>
      </c>
      <c r="I4699" t="s">
        <v>17</v>
      </c>
      <c r="J4699" t="s">
        <v>18</v>
      </c>
      <c r="K4699" t="s">
        <v>19</v>
      </c>
      <c r="L4699" t="s">
        <v>20</v>
      </c>
      <c r="M4699" t="s">
        <v>27</v>
      </c>
      <c r="N4699" t="s">
        <v>22</v>
      </c>
    </row>
    <row r="4700" spans="1:14">
      <c r="A4700" s="4" t="str">
        <f t="shared" si="453"/>
        <v>EXP00166</v>
      </c>
      <c r="B4700" s="4" t="str">
        <f t="shared" si="451"/>
        <v>24287398</v>
      </c>
      <c r="C4700" s="4" t="str">
        <f t="shared" si="452"/>
        <v>GSE46141</v>
      </c>
      <c r="D4700" s="1" t="s">
        <v>298</v>
      </c>
      <c r="E4700" t="s">
        <v>15</v>
      </c>
      <c r="F4700" s="1">
        <v>2</v>
      </c>
      <c r="G4700" s="1" t="s">
        <v>224</v>
      </c>
      <c r="H4700" s="4" t="str">
        <f>HYPERLINK("https://www.ncbi.nlm.nih.gov/geo/query/acc.cgi?acc=GSM1124913","GSM1124913")</f>
        <v>GSM1124913</v>
      </c>
      <c r="I4700" t="s">
        <v>17</v>
      </c>
      <c r="J4700" t="s">
        <v>18</v>
      </c>
      <c r="K4700" t="s">
        <v>19</v>
      </c>
      <c r="L4700" t="s">
        <v>20</v>
      </c>
      <c r="M4700" t="s">
        <v>27</v>
      </c>
      <c r="N4700" t="s">
        <v>22</v>
      </c>
    </row>
    <row r="4701" spans="1:14">
      <c r="A4701" s="4" t="str">
        <f t="shared" si="453"/>
        <v>EXP00166</v>
      </c>
      <c r="B4701" s="4" t="str">
        <f t="shared" si="451"/>
        <v>24287398</v>
      </c>
      <c r="C4701" s="4" t="str">
        <f t="shared" si="452"/>
        <v>GSE46141</v>
      </c>
      <c r="D4701" s="1" t="s">
        <v>298</v>
      </c>
      <c r="E4701" t="s">
        <v>15</v>
      </c>
      <c r="F4701" s="1">
        <v>2</v>
      </c>
      <c r="G4701" s="1" t="s">
        <v>224</v>
      </c>
      <c r="H4701" s="4" t="str">
        <f>HYPERLINK("https://www.ncbi.nlm.nih.gov/geo/query/acc.cgi?acc=GSM1124916","GSM1124916")</f>
        <v>GSM1124916</v>
      </c>
      <c r="I4701" t="s">
        <v>17</v>
      </c>
      <c r="J4701" t="s">
        <v>18</v>
      </c>
      <c r="K4701" t="s">
        <v>19</v>
      </c>
      <c r="L4701" t="s">
        <v>20</v>
      </c>
      <c r="M4701" t="s">
        <v>27</v>
      </c>
      <c r="N4701" t="s">
        <v>22</v>
      </c>
    </row>
    <row r="4702" spans="1:14">
      <c r="A4702" s="4" t="str">
        <f t="shared" si="453"/>
        <v>EXP00166</v>
      </c>
      <c r="B4702" s="4" t="str">
        <f t="shared" si="451"/>
        <v>24287398</v>
      </c>
      <c r="C4702" s="4" t="str">
        <f t="shared" si="452"/>
        <v>GSE46141</v>
      </c>
      <c r="D4702" s="1" t="s">
        <v>298</v>
      </c>
      <c r="E4702" t="s">
        <v>15</v>
      </c>
      <c r="F4702" s="1">
        <v>2</v>
      </c>
      <c r="G4702" s="1" t="s">
        <v>224</v>
      </c>
      <c r="H4702" s="4" t="str">
        <f>HYPERLINK("https://www.ncbi.nlm.nih.gov/geo/query/acc.cgi?acc=GSM1124923","GSM1124923")</f>
        <v>GSM1124923</v>
      </c>
      <c r="I4702" t="s">
        <v>17</v>
      </c>
      <c r="J4702" t="s">
        <v>18</v>
      </c>
      <c r="K4702" t="s">
        <v>19</v>
      </c>
      <c r="L4702" t="s">
        <v>20</v>
      </c>
      <c r="M4702" t="s">
        <v>27</v>
      </c>
      <c r="N4702" t="s">
        <v>22</v>
      </c>
    </row>
    <row r="4703" spans="1:14">
      <c r="A4703" s="4" t="str">
        <f t="shared" si="453"/>
        <v>EXP00166</v>
      </c>
      <c r="B4703" s="4" t="str">
        <f t="shared" si="451"/>
        <v>24287398</v>
      </c>
      <c r="C4703" s="4" t="str">
        <f t="shared" si="452"/>
        <v>GSE46141</v>
      </c>
      <c r="D4703" s="1" t="s">
        <v>298</v>
      </c>
      <c r="E4703" t="s">
        <v>15</v>
      </c>
      <c r="F4703" s="1">
        <v>2</v>
      </c>
      <c r="G4703" s="1" t="s">
        <v>224</v>
      </c>
      <c r="H4703" s="4" t="str">
        <f>HYPERLINK("https://www.ncbi.nlm.nih.gov/geo/query/acc.cgi?acc=GSM1124925","GSM1124925")</f>
        <v>GSM1124925</v>
      </c>
      <c r="I4703" t="s">
        <v>17</v>
      </c>
      <c r="J4703" t="s">
        <v>18</v>
      </c>
      <c r="K4703" t="s">
        <v>19</v>
      </c>
      <c r="L4703" t="s">
        <v>20</v>
      </c>
      <c r="M4703" t="s">
        <v>27</v>
      </c>
      <c r="N4703" t="s">
        <v>22</v>
      </c>
    </row>
    <row r="4704" spans="1:14">
      <c r="A4704" s="4" t="str">
        <f t="shared" si="453"/>
        <v>EXP00166</v>
      </c>
      <c r="B4704" s="4" t="str">
        <f t="shared" si="451"/>
        <v>24287398</v>
      </c>
      <c r="C4704" s="4" t="str">
        <f t="shared" si="452"/>
        <v>GSE46141</v>
      </c>
      <c r="D4704" s="1" t="s">
        <v>298</v>
      </c>
      <c r="E4704" t="s">
        <v>15</v>
      </c>
      <c r="F4704" s="1">
        <v>2</v>
      </c>
      <c r="G4704" s="1" t="s">
        <v>224</v>
      </c>
      <c r="H4704" s="4" t="str">
        <f>HYPERLINK("https://www.ncbi.nlm.nih.gov/geo/query/acc.cgi?acc=GSM1124929","GSM1124929")</f>
        <v>GSM1124929</v>
      </c>
      <c r="I4704" t="s">
        <v>17</v>
      </c>
      <c r="J4704" t="s">
        <v>18</v>
      </c>
      <c r="K4704" t="s">
        <v>19</v>
      </c>
      <c r="L4704" t="s">
        <v>20</v>
      </c>
      <c r="M4704" t="s">
        <v>27</v>
      </c>
      <c r="N4704" t="s">
        <v>22</v>
      </c>
    </row>
    <row r="4705" spans="1:14">
      <c r="A4705" s="4" t="str">
        <f t="shared" si="453"/>
        <v>EXP00166</v>
      </c>
      <c r="B4705" s="4" t="str">
        <f t="shared" si="451"/>
        <v>24287398</v>
      </c>
      <c r="C4705" s="4" t="str">
        <f t="shared" si="452"/>
        <v>GSE46141</v>
      </c>
      <c r="D4705" s="1" t="s">
        <v>298</v>
      </c>
      <c r="E4705" t="s">
        <v>15</v>
      </c>
      <c r="F4705" s="1">
        <v>2</v>
      </c>
      <c r="G4705" s="1" t="s">
        <v>224</v>
      </c>
      <c r="H4705" s="4" t="str">
        <f>HYPERLINK("https://www.ncbi.nlm.nih.gov/geo/query/acc.cgi?acc=GSM1124934","GSM1124934")</f>
        <v>GSM1124934</v>
      </c>
      <c r="I4705" t="s">
        <v>17</v>
      </c>
      <c r="J4705" t="s">
        <v>18</v>
      </c>
      <c r="K4705" t="s">
        <v>19</v>
      </c>
      <c r="L4705" t="s">
        <v>20</v>
      </c>
      <c r="M4705" t="s">
        <v>27</v>
      </c>
      <c r="N4705" t="s">
        <v>22</v>
      </c>
    </row>
    <row r="4706" spans="1:14">
      <c r="A4706" s="4" t="str">
        <f t="shared" si="453"/>
        <v>EXP00166</v>
      </c>
      <c r="B4706" s="4" t="str">
        <f t="shared" si="451"/>
        <v>24287398</v>
      </c>
      <c r="C4706" s="4" t="str">
        <f t="shared" si="452"/>
        <v>GSE46141</v>
      </c>
      <c r="D4706" s="1" t="s">
        <v>298</v>
      </c>
      <c r="E4706" t="s">
        <v>15</v>
      </c>
      <c r="F4706" s="1">
        <v>2</v>
      </c>
      <c r="G4706" s="1" t="s">
        <v>224</v>
      </c>
      <c r="H4706" s="4" t="str">
        <f>HYPERLINK("https://www.ncbi.nlm.nih.gov/geo/query/acc.cgi?acc=GSM1124937","GSM1124937")</f>
        <v>GSM1124937</v>
      </c>
      <c r="I4706" t="s">
        <v>17</v>
      </c>
      <c r="J4706" t="s">
        <v>18</v>
      </c>
      <c r="K4706" t="s">
        <v>19</v>
      </c>
      <c r="L4706" t="s">
        <v>20</v>
      </c>
      <c r="M4706" t="s">
        <v>27</v>
      </c>
      <c r="N4706" t="s">
        <v>22</v>
      </c>
    </row>
    <row r="4707" spans="1:14">
      <c r="A4707" s="4" t="str">
        <f t="shared" ref="A4707:A4724" si="454">HYPERLINK("http://hcmdb.i-sanger.com/experiment/details/experiment_id/EXP00167","EXP00167")</f>
        <v>EXP00167</v>
      </c>
      <c r="B4707" s="4" t="str">
        <f t="shared" si="451"/>
        <v>24287398</v>
      </c>
      <c r="C4707" s="4" t="str">
        <f t="shared" si="452"/>
        <v>GSE46141</v>
      </c>
      <c r="D4707" s="1" t="s">
        <v>298</v>
      </c>
      <c r="E4707" t="s">
        <v>15</v>
      </c>
      <c r="F4707" s="1">
        <v>1</v>
      </c>
      <c r="G4707" s="1" t="s">
        <v>63</v>
      </c>
      <c r="H4707" s="4" t="str">
        <f>HYPERLINK("https://www.ncbi.nlm.nih.gov/geo/query/acc.cgi?acc=GSM1124867","GSM1124867")</f>
        <v>GSM1124867</v>
      </c>
      <c r="I4707" t="s">
        <v>17</v>
      </c>
      <c r="J4707" t="s">
        <v>18</v>
      </c>
      <c r="K4707" t="s">
        <v>19</v>
      </c>
      <c r="L4707" t="s">
        <v>20</v>
      </c>
      <c r="M4707" t="s">
        <v>44</v>
      </c>
      <c r="N4707" t="s">
        <v>22</v>
      </c>
    </row>
    <row r="4708" spans="1:14">
      <c r="A4708" s="4" t="str">
        <f t="shared" si="454"/>
        <v>EXP00167</v>
      </c>
      <c r="B4708" s="4" t="str">
        <f t="shared" si="451"/>
        <v>24287398</v>
      </c>
      <c r="C4708" s="4" t="str">
        <f t="shared" si="452"/>
        <v>GSE46141</v>
      </c>
      <c r="D4708" s="1" t="s">
        <v>298</v>
      </c>
      <c r="E4708" t="s">
        <v>15</v>
      </c>
      <c r="F4708" s="1">
        <v>1</v>
      </c>
      <c r="G4708" s="1" t="s">
        <v>63</v>
      </c>
      <c r="H4708" s="4" t="str">
        <f>HYPERLINK("https://www.ncbi.nlm.nih.gov/geo/query/acc.cgi?acc=GSM1124868","GSM1124868")</f>
        <v>GSM1124868</v>
      </c>
      <c r="I4708" t="s">
        <v>17</v>
      </c>
      <c r="J4708" t="s">
        <v>18</v>
      </c>
      <c r="K4708" t="s">
        <v>19</v>
      </c>
      <c r="L4708" t="s">
        <v>20</v>
      </c>
      <c r="M4708" t="s">
        <v>44</v>
      </c>
      <c r="N4708" t="s">
        <v>22</v>
      </c>
    </row>
    <row r="4709" spans="1:14">
      <c r="A4709" s="4" t="str">
        <f t="shared" si="454"/>
        <v>EXP00167</v>
      </c>
      <c r="B4709" s="4" t="str">
        <f t="shared" si="451"/>
        <v>24287398</v>
      </c>
      <c r="C4709" s="4" t="str">
        <f t="shared" si="452"/>
        <v>GSE46141</v>
      </c>
      <c r="D4709" s="1" t="s">
        <v>298</v>
      </c>
      <c r="E4709" t="s">
        <v>15</v>
      </c>
      <c r="F4709" s="1">
        <v>1</v>
      </c>
      <c r="G4709" s="1" t="s">
        <v>63</v>
      </c>
      <c r="H4709" s="4" t="str">
        <f>HYPERLINK("https://www.ncbi.nlm.nih.gov/geo/query/acc.cgi?acc=GSM1124878","GSM1124878")</f>
        <v>GSM1124878</v>
      </c>
      <c r="I4709" t="s">
        <v>17</v>
      </c>
      <c r="J4709" t="s">
        <v>18</v>
      </c>
      <c r="K4709" t="s">
        <v>19</v>
      </c>
      <c r="L4709" t="s">
        <v>20</v>
      </c>
      <c r="M4709" t="s">
        <v>44</v>
      </c>
      <c r="N4709" t="s">
        <v>22</v>
      </c>
    </row>
    <row r="4710" spans="1:14">
      <c r="A4710" s="4" t="str">
        <f t="shared" si="454"/>
        <v>EXP00167</v>
      </c>
      <c r="B4710" s="4" t="str">
        <f t="shared" si="451"/>
        <v>24287398</v>
      </c>
      <c r="C4710" s="4" t="str">
        <f t="shared" si="452"/>
        <v>GSE46141</v>
      </c>
      <c r="D4710" s="1" t="s">
        <v>298</v>
      </c>
      <c r="E4710" t="s">
        <v>15</v>
      </c>
      <c r="F4710" s="1">
        <v>1</v>
      </c>
      <c r="G4710" s="1" t="s">
        <v>63</v>
      </c>
      <c r="H4710" s="4" t="str">
        <f>HYPERLINK("https://www.ncbi.nlm.nih.gov/geo/query/acc.cgi?acc=GSM1124895","GSM1124895")</f>
        <v>GSM1124895</v>
      </c>
      <c r="I4710" t="s">
        <v>17</v>
      </c>
      <c r="J4710" t="s">
        <v>18</v>
      </c>
      <c r="K4710" t="s">
        <v>19</v>
      </c>
      <c r="L4710" t="s">
        <v>20</v>
      </c>
      <c r="M4710" t="s">
        <v>44</v>
      </c>
      <c r="N4710" t="s">
        <v>22</v>
      </c>
    </row>
    <row r="4711" spans="1:14">
      <c r="A4711" s="4" t="str">
        <f t="shared" si="454"/>
        <v>EXP00167</v>
      </c>
      <c r="B4711" s="4" t="str">
        <f t="shared" si="451"/>
        <v>24287398</v>
      </c>
      <c r="C4711" s="4" t="str">
        <f t="shared" si="452"/>
        <v>GSE46141</v>
      </c>
      <c r="D4711" s="1" t="s">
        <v>298</v>
      </c>
      <c r="E4711" t="s">
        <v>15</v>
      </c>
      <c r="F4711" s="1">
        <v>1</v>
      </c>
      <c r="G4711" s="1" t="s">
        <v>63</v>
      </c>
      <c r="H4711" s="4" t="str">
        <f>HYPERLINK("https://www.ncbi.nlm.nih.gov/geo/query/acc.cgi?acc=GSM1124897","GSM1124897")</f>
        <v>GSM1124897</v>
      </c>
      <c r="I4711" t="s">
        <v>17</v>
      </c>
      <c r="J4711" t="s">
        <v>18</v>
      </c>
      <c r="K4711" t="s">
        <v>19</v>
      </c>
      <c r="L4711" t="s">
        <v>20</v>
      </c>
      <c r="M4711" t="s">
        <v>44</v>
      </c>
      <c r="N4711" t="s">
        <v>22</v>
      </c>
    </row>
    <row r="4712" spans="1:14">
      <c r="A4712" s="4" t="str">
        <f t="shared" si="454"/>
        <v>EXP00167</v>
      </c>
      <c r="B4712" s="4" t="str">
        <f t="shared" si="451"/>
        <v>24287398</v>
      </c>
      <c r="C4712" s="4" t="str">
        <f t="shared" si="452"/>
        <v>GSE46141</v>
      </c>
      <c r="D4712" s="1" t="s">
        <v>298</v>
      </c>
      <c r="E4712" t="s">
        <v>15</v>
      </c>
      <c r="F4712" s="1">
        <v>1</v>
      </c>
      <c r="G4712" s="1" t="s">
        <v>63</v>
      </c>
      <c r="H4712" s="4" t="str">
        <f>HYPERLINK("https://www.ncbi.nlm.nih.gov/geo/query/acc.cgi?acc=GSM1124902","GSM1124902")</f>
        <v>GSM1124902</v>
      </c>
      <c r="I4712" t="s">
        <v>17</v>
      </c>
      <c r="J4712" t="s">
        <v>18</v>
      </c>
      <c r="K4712" t="s">
        <v>19</v>
      </c>
      <c r="L4712" t="s">
        <v>20</v>
      </c>
      <c r="M4712" t="s">
        <v>44</v>
      </c>
      <c r="N4712" t="s">
        <v>22</v>
      </c>
    </row>
    <row r="4713" spans="1:14">
      <c r="A4713" s="4" t="str">
        <f t="shared" si="454"/>
        <v>EXP00167</v>
      </c>
      <c r="B4713" s="4" t="str">
        <f t="shared" si="451"/>
        <v>24287398</v>
      </c>
      <c r="C4713" s="4" t="str">
        <f t="shared" si="452"/>
        <v>GSE46141</v>
      </c>
      <c r="D4713" s="1" t="s">
        <v>298</v>
      </c>
      <c r="E4713" t="s">
        <v>15</v>
      </c>
      <c r="F4713" s="1">
        <v>1</v>
      </c>
      <c r="G4713" s="1" t="s">
        <v>63</v>
      </c>
      <c r="H4713" s="4" t="str">
        <f>HYPERLINK("https://www.ncbi.nlm.nih.gov/geo/query/acc.cgi?acc=GSM1124908","GSM1124908")</f>
        <v>GSM1124908</v>
      </c>
      <c r="I4713" t="s">
        <v>17</v>
      </c>
      <c r="J4713" t="s">
        <v>18</v>
      </c>
      <c r="K4713" t="s">
        <v>19</v>
      </c>
      <c r="L4713" t="s">
        <v>20</v>
      </c>
      <c r="M4713" t="s">
        <v>44</v>
      </c>
      <c r="N4713" t="s">
        <v>22</v>
      </c>
    </row>
    <row r="4714" spans="1:14">
      <c r="A4714" s="4" t="str">
        <f t="shared" si="454"/>
        <v>EXP00167</v>
      </c>
      <c r="B4714" s="4" t="str">
        <f t="shared" si="451"/>
        <v>24287398</v>
      </c>
      <c r="C4714" s="4" t="str">
        <f t="shared" si="452"/>
        <v>GSE46141</v>
      </c>
      <c r="D4714" s="1" t="s">
        <v>298</v>
      </c>
      <c r="E4714" t="s">
        <v>15</v>
      </c>
      <c r="F4714" s="1">
        <v>1</v>
      </c>
      <c r="G4714" s="1" t="s">
        <v>63</v>
      </c>
      <c r="H4714" s="4" t="str">
        <f>HYPERLINK("https://www.ncbi.nlm.nih.gov/geo/query/acc.cgi?acc=GSM1124921","GSM1124921")</f>
        <v>GSM1124921</v>
      </c>
      <c r="I4714" t="s">
        <v>17</v>
      </c>
      <c r="J4714" t="s">
        <v>18</v>
      </c>
      <c r="K4714" t="s">
        <v>19</v>
      </c>
      <c r="L4714" t="s">
        <v>20</v>
      </c>
      <c r="M4714" t="s">
        <v>44</v>
      </c>
      <c r="N4714" t="s">
        <v>22</v>
      </c>
    </row>
    <row r="4715" spans="1:14">
      <c r="A4715" s="4" t="str">
        <f t="shared" si="454"/>
        <v>EXP00167</v>
      </c>
      <c r="B4715" s="4" t="str">
        <f t="shared" si="451"/>
        <v>24287398</v>
      </c>
      <c r="C4715" s="4" t="str">
        <f t="shared" si="452"/>
        <v>GSE46141</v>
      </c>
      <c r="D4715" s="1" t="s">
        <v>298</v>
      </c>
      <c r="E4715" t="s">
        <v>15</v>
      </c>
      <c r="F4715" s="1">
        <v>1</v>
      </c>
      <c r="G4715" s="1" t="s">
        <v>63</v>
      </c>
      <c r="H4715" s="4" t="str">
        <f>HYPERLINK("https://www.ncbi.nlm.nih.gov/geo/query/acc.cgi?acc=GSM1124939","GSM1124939")</f>
        <v>GSM1124939</v>
      </c>
      <c r="I4715" t="s">
        <v>17</v>
      </c>
      <c r="J4715" t="s">
        <v>18</v>
      </c>
      <c r="K4715" t="s">
        <v>19</v>
      </c>
      <c r="L4715" t="s">
        <v>20</v>
      </c>
      <c r="M4715" t="s">
        <v>44</v>
      </c>
      <c r="N4715" t="s">
        <v>22</v>
      </c>
    </row>
    <row r="4716" spans="1:14">
      <c r="A4716" s="4" t="str">
        <f t="shared" si="454"/>
        <v>EXP00167</v>
      </c>
      <c r="B4716" s="4" t="str">
        <f t="shared" si="451"/>
        <v>24287398</v>
      </c>
      <c r="C4716" s="4" t="str">
        <f t="shared" si="452"/>
        <v>GSE46141</v>
      </c>
      <c r="D4716" s="1" t="s">
        <v>298</v>
      </c>
      <c r="E4716" t="s">
        <v>15</v>
      </c>
      <c r="F4716" s="1">
        <v>1</v>
      </c>
      <c r="G4716" s="1" t="s">
        <v>63</v>
      </c>
      <c r="H4716" s="4" t="str">
        <f>HYPERLINK("https://www.ncbi.nlm.nih.gov/geo/query/acc.cgi?acc=GSM1124944","GSM1124944")</f>
        <v>GSM1124944</v>
      </c>
      <c r="I4716" t="s">
        <v>17</v>
      </c>
      <c r="J4716" t="s">
        <v>18</v>
      </c>
      <c r="K4716" t="s">
        <v>19</v>
      </c>
      <c r="L4716" t="s">
        <v>20</v>
      </c>
      <c r="M4716" t="s">
        <v>44</v>
      </c>
      <c r="N4716" t="s">
        <v>22</v>
      </c>
    </row>
    <row r="4717" spans="1:14">
      <c r="A4717" s="4" t="str">
        <f t="shared" si="454"/>
        <v>EXP00167</v>
      </c>
      <c r="B4717" s="4" t="str">
        <f t="shared" si="451"/>
        <v>24287398</v>
      </c>
      <c r="C4717" s="4" t="str">
        <f t="shared" si="452"/>
        <v>GSE46141</v>
      </c>
      <c r="D4717" s="1" t="s">
        <v>298</v>
      </c>
      <c r="E4717" t="s">
        <v>15</v>
      </c>
      <c r="F4717" s="1">
        <v>1</v>
      </c>
      <c r="G4717" s="1" t="s">
        <v>63</v>
      </c>
      <c r="H4717" s="4" t="str">
        <f>HYPERLINK("https://www.ncbi.nlm.nih.gov/geo/query/acc.cgi?acc=GSM1124945","GSM1124945")</f>
        <v>GSM1124945</v>
      </c>
      <c r="I4717" t="s">
        <v>17</v>
      </c>
      <c r="J4717" t="s">
        <v>18</v>
      </c>
      <c r="K4717" t="s">
        <v>19</v>
      </c>
      <c r="L4717" t="s">
        <v>20</v>
      </c>
      <c r="M4717" t="s">
        <v>44</v>
      </c>
      <c r="N4717" t="s">
        <v>22</v>
      </c>
    </row>
    <row r="4718" spans="1:14">
      <c r="A4718" s="4" t="str">
        <f t="shared" si="454"/>
        <v>EXP00167</v>
      </c>
      <c r="B4718" s="4" t="str">
        <f t="shared" si="451"/>
        <v>24287398</v>
      </c>
      <c r="C4718" s="4" t="str">
        <f t="shared" si="452"/>
        <v>GSE46141</v>
      </c>
      <c r="D4718" s="1" t="s">
        <v>298</v>
      </c>
      <c r="E4718" t="s">
        <v>15</v>
      </c>
      <c r="F4718" s="1">
        <v>1</v>
      </c>
      <c r="G4718" s="1" t="s">
        <v>63</v>
      </c>
      <c r="H4718" s="4" t="str">
        <f>HYPERLINK("https://www.ncbi.nlm.nih.gov/geo/query/acc.cgi?acc=GSM1124946","GSM1124946")</f>
        <v>GSM1124946</v>
      </c>
      <c r="I4718" t="s">
        <v>17</v>
      </c>
      <c r="J4718" t="s">
        <v>18</v>
      </c>
      <c r="K4718" t="s">
        <v>19</v>
      </c>
      <c r="L4718" t="s">
        <v>20</v>
      </c>
      <c r="M4718" t="s">
        <v>44</v>
      </c>
      <c r="N4718" t="s">
        <v>22</v>
      </c>
    </row>
    <row r="4719" spans="1:14">
      <c r="A4719" s="4" t="str">
        <f t="shared" si="454"/>
        <v>EXP00167</v>
      </c>
      <c r="B4719" s="4" t="str">
        <f t="shared" si="451"/>
        <v>24287398</v>
      </c>
      <c r="C4719" s="4" t="str">
        <f t="shared" si="452"/>
        <v>GSE46141</v>
      </c>
      <c r="D4719" s="1" t="s">
        <v>298</v>
      </c>
      <c r="E4719" t="s">
        <v>15</v>
      </c>
      <c r="F4719" s="1">
        <v>1</v>
      </c>
      <c r="G4719" s="1" t="s">
        <v>63</v>
      </c>
      <c r="H4719" s="4" t="str">
        <f>HYPERLINK("https://www.ncbi.nlm.nih.gov/geo/query/acc.cgi?acc=GSM1124947","GSM1124947")</f>
        <v>GSM1124947</v>
      </c>
      <c r="I4719" t="s">
        <v>17</v>
      </c>
      <c r="J4719" t="s">
        <v>18</v>
      </c>
      <c r="K4719" t="s">
        <v>19</v>
      </c>
      <c r="L4719" t="s">
        <v>20</v>
      </c>
      <c r="M4719" t="s">
        <v>44</v>
      </c>
      <c r="N4719" t="s">
        <v>22</v>
      </c>
    </row>
    <row r="4720" spans="1:14">
      <c r="A4720" s="4" t="str">
        <f t="shared" si="454"/>
        <v>EXP00167</v>
      </c>
      <c r="B4720" s="4" t="str">
        <f t="shared" si="451"/>
        <v>24287398</v>
      </c>
      <c r="C4720" s="4" t="str">
        <f t="shared" si="452"/>
        <v>GSE46141</v>
      </c>
      <c r="D4720" s="1" t="s">
        <v>298</v>
      </c>
      <c r="E4720" t="s">
        <v>15</v>
      </c>
      <c r="F4720" s="1">
        <v>1</v>
      </c>
      <c r="G4720" s="1" t="s">
        <v>63</v>
      </c>
      <c r="H4720" s="4" t="str">
        <f>HYPERLINK("https://www.ncbi.nlm.nih.gov/geo/query/acc.cgi?acc=GSM1124951","GSM1124951")</f>
        <v>GSM1124951</v>
      </c>
      <c r="I4720" t="s">
        <v>17</v>
      </c>
      <c r="J4720" t="s">
        <v>18</v>
      </c>
      <c r="K4720" t="s">
        <v>19</v>
      </c>
      <c r="L4720" t="s">
        <v>20</v>
      </c>
      <c r="M4720" t="s">
        <v>44</v>
      </c>
      <c r="N4720" t="s">
        <v>22</v>
      </c>
    </row>
    <row r="4721" spans="1:14">
      <c r="A4721" s="4" t="str">
        <f t="shared" si="454"/>
        <v>EXP00167</v>
      </c>
      <c r="B4721" s="4" t="str">
        <f t="shared" si="451"/>
        <v>24287398</v>
      </c>
      <c r="C4721" s="4" t="str">
        <f t="shared" si="452"/>
        <v>GSE46141</v>
      </c>
      <c r="D4721" s="1" t="s">
        <v>298</v>
      </c>
      <c r="E4721" t="s">
        <v>15</v>
      </c>
      <c r="F4721" s="1">
        <v>1</v>
      </c>
      <c r="G4721" s="1" t="s">
        <v>63</v>
      </c>
      <c r="H4721" s="4" t="str">
        <f>HYPERLINK("https://www.ncbi.nlm.nih.gov/geo/query/acc.cgi?acc=GSM1124952","GSM1124952")</f>
        <v>GSM1124952</v>
      </c>
      <c r="I4721" t="s">
        <v>17</v>
      </c>
      <c r="J4721" t="s">
        <v>18</v>
      </c>
      <c r="K4721" t="s">
        <v>19</v>
      </c>
      <c r="L4721" t="s">
        <v>20</v>
      </c>
      <c r="M4721" t="s">
        <v>44</v>
      </c>
      <c r="N4721" t="s">
        <v>22</v>
      </c>
    </row>
    <row r="4722" spans="1:14">
      <c r="A4722" s="4" t="str">
        <f t="shared" si="454"/>
        <v>EXP00167</v>
      </c>
      <c r="B4722" s="4" t="str">
        <f t="shared" si="451"/>
        <v>24287398</v>
      </c>
      <c r="C4722" s="4" t="str">
        <f t="shared" si="452"/>
        <v>GSE46141</v>
      </c>
      <c r="D4722" s="1" t="s">
        <v>298</v>
      </c>
      <c r="E4722" t="s">
        <v>15</v>
      </c>
      <c r="F4722" s="1">
        <v>1</v>
      </c>
      <c r="G4722" s="1" t="s">
        <v>63</v>
      </c>
      <c r="H4722" s="4" t="str">
        <f>HYPERLINK("https://www.ncbi.nlm.nih.gov/geo/query/acc.cgi?acc=GSM1124957","GSM1124957")</f>
        <v>GSM1124957</v>
      </c>
      <c r="I4722" t="s">
        <v>17</v>
      </c>
      <c r="J4722" t="s">
        <v>18</v>
      </c>
      <c r="K4722" t="s">
        <v>19</v>
      </c>
      <c r="L4722" t="s">
        <v>20</v>
      </c>
      <c r="M4722" t="s">
        <v>44</v>
      </c>
      <c r="N4722" t="s">
        <v>22</v>
      </c>
    </row>
    <row r="4723" spans="1:14">
      <c r="A4723" s="4" t="str">
        <f t="shared" si="454"/>
        <v>EXP00167</v>
      </c>
      <c r="B4723" s="4" t="str">
        <f t="shared" si="451"/>
        <v>24287398</v>
      </c>
      <c r="C4723" s="4" t="str">
        <f t="shared" si="452"/>
        <v>GSE46141</v>
      </c>
      <c r="D4723" s="1" t="s">
        <v>298</v>
      </c>
      <c r="E4723" t="s">
        <v>15</v>
      </c>
      <c r="F4723" s="1">
        <v>2</v>
      </c>
      <c r="G4723" s="1" t="s">
        <v>40</v>
      </c>
      <c r="H4723" s="4" t="str">
        <f>HYPERLINK("https://www.ncbi.nlm.nih.gov/geo/query/acc.cgi?acc=GSM1124900","GSM1124900")</f>
        <v>GSM1124900</v>
      </c>
      <c r="I4723" t="s">
        <v>17</v>
      </c>
      <c r="J4723" t="s">
        <v>18</v>
      </c>
      <c r="K4723" t="s">
        <v>19</v>
      </c>
      <c r="L4723" t="s">
        <v>20</v>
      </c>
      <c r="M4723" t="s">
        <v>41</v>
      </c>
      <c r="N4723" t="s">
        <v>22</v>
      </c>
    </row>
    <row r="4724" spans="1:14">
      <c r="A4724" s="4" t="str">
        <f t="shared" si="454"/>
        <v>EXP00167</v>
      </c>
      <c r="B4724" s="4" t="str">
        <f t="shared" si="451"/>
        <v>24287398</v>
      </c>
      <c r="C4724" s="4" t="str">
        <f t="shared" si="452"/>
        <v>GSE46141</v>
      </c>
      <c r="D4724" s="1" t="s">
        <v>298</v>
      </c>
      <c r="E4724" t="s">
        <v>15</v>
      </c>
      <c r="F4724" s="1">
        <v>2</v>
      </c>
      <c r="G4724" s="1" t="s">
        <v>40</v>
      </c>
      <c r="H4724" s="4" t="str">
        <f>HYPERLINK("https://www.ncbi.nlm.nih.gov/geo/query/acc.cgi?acc=GSM1124914","GSM1124914")</f>
        <v>GSM1124914</v>
      </c>
      <c r="I4724" t="s">
        <v>17</v>
      </c>
      <c r="J4724" t="s">
        <v>18</v>
      </c>
      <c r="K4724" t="s">
        <v>19</v>
      </c>
      <c r="L4724" t="s">
        <v>20</v>
      </c>
      <c r="M4724" t="s">
        <v>41</v>
      </c>
      <c r="N4724" t="s">
        <v>22</v>
      </c>
    </row>
    <row r="4725" spans="1:14">
      <c r="A4725" s="4" t="str">
        <f t="shared" ref="A4725:A4756" si="455">HYPERLINK("http://hcmdb.i-sanger.com/experiment/details/experiment_id/EXP00168","EXP00168")</f>
        <v>EXP00168</v>
      </c>
      <c r="B4725" s="4" t="str">
        <f t="shared" si="451"/>
        <v>24287398</v>
      </c>
      <c r="C4725" s="4" t="str">
        <f t="shared" si="452"/>
        <v>GSE46141</v>
      </c>
      <c r="D4725" s="1" t="s">
        <v>298</v>
      </c>
      <c r="E4725" t="s">
        <v>15</v>
      </c>
      <c r="F4725" s="1">
        <v>1</v>
      </c>
      <c r="G4725" s="1" t="s">
        <v>63</v>
      </c>
      <c r="H4725" s="4" t="str">
        <f>HYPERLINK("https://www.ncbi.nlm.nih.gov/geo/query/acc.cgi?acc=GSM1124867","GSM1124867")</f>
        <v>GSM1124867</v>
      </c>
      <c r="I4725" t="s">
        <v>17</v>
      </c>
      <c r="J4725" t="s">
        <v>18</v>
      </c>
      <c r="K4725" t="s">
        <v>19</v>
      </c>
      <c r="L4725" t="s">
        <v>20</v>
      </c>
      <c r="M4725" t="s">
        <v>44</v>
      </c>
      <c r="N4725" t="s">
        <v>22</v>
      </c>
    </row>
    <row r="4726" spans="1:14">
      <c r="A4726" s="4" t="str">
        <f t="shared" si="455"/>
        <v>EXP00168</v>
      </c>
      <c r="B4726" s="4" t="str">
        <f t="shared" si="451"/>
        <v>24287398</v>
      </c>
      <c r="C4726" s="4" t="str">
        <f t="shared" si="452"/>
        <v>GSE46141</v>
      </c>
      <c r="D4726" s="1" t="s">
        <v>298</v>
      </c>
      <c r="E4726" t="s">
        <v>15</v>
      </c>
      <c r="F4726" s="1">
        <v>1</v>
      </c>
      <c r="G4726" s="1" t="s">
        <v>63</v>
      </c>
      <c r="H4726" s="4" t="str">
        <f>HYPERLINK("https://www.ncbi.nlm.nih.gov/geo/query/acc.cgi?acc=GSM1124868","GSM1124868")</f>
        <v>GSM1124868</v>
      </c>
      <c r="I4726" t="s">
        <v>17</v>
      </c>
      <c r="J4726" t="s">
        <v>18</v>
      </c>
      <c r="K4726" t="s">
        <v>19</v>
      </c>
      <c r="L4726" t="s">
        <v>20</v>
      </c>
      <c r="M4726" t="s">
        <v>44</v>
      </c>
      <c r="N4726" t="s">
        <v>22</v>
      </c>
    </row>
    <row r="4727" spans="1:14">
      <c r="A4727" s="4" t="str">
        <f t="shared" si="455"/>
        <v>EXP00168</v>
      </c>
      <c r="B4727" s="4" t="str">
        <f t="shared" si="451"/>
        <v>24287398</v>
      </c>
      <c r="C4727" s="4" t="str">
        <f t="shared" si="452"/>
        <v>GSE46141</v>
      </c>
      <c r="D4727" s="1" t="s">
        <v>298</v>
      </c>
      <c r="E4727" t="s">
        <v>15</v>
      </c>
      <c r="F4727" s="1">
        <v>1</v>
      </c>
      <c r="G4727" s="1" t="s">
        <v>63</v>
      </c>
      <c r="H4727" s="4" t="str">
        <f>HYPERLINK("https://www.ncbi.nlm.nih.gov/geo/query/acc.cgi?acc=GSM1124878","GSM1124878")</f>
        <v>GSM1124878</v>
      </c>
      <c r="I4727" t="s">
        <v>17</v>
      </c>
      <c r="J4727" t="s">
        <v>18</v>
      </c>
      <c r="K4727" t="s">
        <v>19</v>
      </c>
      <c r="L4727" t="s">
        <v>20</v>
      </c>
      <c r="M4727" t="s">
        <v>44</v>
      </c>
      <c r="N4727" t="s">
        <v>22</v>
      </c>
    </row>
    <row r="4728" spans="1:14">
      <c r="A4728" s="4" t="str">
        <f t="shared" si="455"/>
        <v>EXP00168</v>
      </c>
      <c r="B4728" s="4" t="str">
        <f t="shared" si="451"/>
        <v>24287398</v>
      </c>
      <c r="C4728" s="4" t="str">
        <f t="shared" si="452"/>
        <v>GSE46141</v>
      </c>
      <c r="D4728" s="1" t="s">
        <v>298</v>
      </c>
      <c r="E4728" t="s">
        <v>15</v>
      </c>
      <c r="F4728" s="1">
        <v>1</v>
      </c>
      <c r="G4728" s="1" t="s">
        <v>63</v>
      </c>
      <c r="H4728" s="4" t="str">
        <f>HYPERLINK("https://www.ncbi.nlm.nih.gov/geo/query/acc.cgi?acc=GSM1124895","GSM1124895")</f>
        <v>GSM1124895</v>
      </c>
      <c r="I4728" t="s">
        <v>17</v>
      </c>
      <c r="J4728" t="s">
        <v>18</v>
      </c>
      <c r="K4728" t="s">
        <v>19</v>
      </c>
      <c r="L4728" t="s">
        <v>20</v>
      </c>
      <c r="M4728" t="s">
        <v>44</v>
      </c>
      <c r="N4728" t="s">
        <v>22</v>
      </c>
    </row>
    <row r="4729" spans="1:14">
      <c r="A4729" s="4" t="str">
        <f t="shared" si="455"/>
        <v>EXP00168</v>
      </c>
      <c r="B4729" s="4" t="str">
        <f t="shared" si="451"/>
        <v>24287398</v>
      </c>
      <c r="C4729" s="4" t="str">
        <f t="shared" si="452"/>
        <v>GSE46141</v>
      </c>
      <c r="D4729" s="1" t="s">
        <v>298</v>
      </c>
      <c r="E4729" t="s">
        <v>15</v>
      </c>
      <c r="F4729" s="1">
        <v>1</v>
      </c>
      <c r="G4729" s="1" t="s">
        <v>63</v>
      </c>
      <c r="H4729" s="4" t="str">
        <f>HYPERLINK("https://www.ncbi.nlm.nih.gov/geo/query/acc.cgi?acc=GSM1124897","GSM1124897")</f>
        <v>GSM1124897</v>
      </c>
      <c r="I4729" t="s">
        <v>17</v>
      </c>
      <c r="J4729" t="s">
        <v>18</v>
      </c>
      <c r="K4729" t="s">
        <v>19</v>
      </c>
      <c r="L4729" t="s">
        <v>20</v>
      </c>
      <c r="M4729" t="s">
        <v>44</v>
      </c>
      <c r="N4729" t="s">
        <v>22</v>
      </c>
    </row>
    <row r="4730" spans="1:14">
      <c r="A4730" s="4" t="str">
        <f t="shared" si="455"/>
        <v>EXP00168</v>
      </c>
      <c r="B4730" s="4" t="str">
        <f t="shared" si="451"/>
        <v>24287398</v>
      </c>
      <c r="C4730" s="4" t="str">
        <f t="shared" si="452"/>
        <v>GSE46141</v>
      </c>
      <c r="D4730" s="1" t="s">
        <v>298</v>
      </c>
      <c r="E4730" t="s">
        <v>15</v>
      </c>
      <c r="F4730" s="1">
        <v>1</v>
      </c>
      <c r="G4730" s="1" t="s">
        <v>63</v>
      </c>
      <c r="H4730" s="4" t="str">
        <f>HYPERLINK("https://www.ncbi.nlm.nih.gov/geo/query/acc.cgi?acc=GSM1124902","GSM1124902")</f>
        <v>GSM1124902</v>
      </c>
      <c r="I4730" t="s">
        <v>17</v>
      </c>
      <c r="J4730" t="s">
        <v>18</v>
      </c>
      <c r="K4730" t="s">
        <v>19</v>
      </c>
      <c r="L4730" t="s">
        <v>20</v>
      </c>
      <c r="M4730" t="s">
        <v>44</v>
      </c>
      <c r="N4730" t="s">
        <v>22</v>
      </c>
    </row>
    <row r="4731" spans="1:14">
      <c r="A4731" s="4" t="str">
        <f t="shared" si="455"/>
        <v>EXP00168</v>
      </c>
      <c r="B4731" s="4" t="str">
        <f t="shared" si="451"/>
        <v>24287398</v>
      </c>
      <c r="C4731" s="4" t="str">
        <f t="shared" si="452"/>
        <v>GSE46141</v>
      </c>
      <c r="D4731" s="1" t="s">
        <v>298</v>
      </c>
      <c r="E4731" t="s">
        <v>15</v>
      </c>
      <c r="F4731" s="1">
        <v>1</v>
      </c>
      <c r="G4731" s="1" t="s">
        <v>63</v>
      </c>
      <c r="H4731" s="4" t="str">
        <f>HYPERLINK("https://www.ncbi.nlm.nih.gov/geo/query/acc.cgi?acc=GSM1124908","GSM1124908")</f>
        <v>GSM1124908</v>
      </c>
      <c r="I4731" t="s">
        <v>17</v>
      </c>
      <c r="J4731" t="s">
        <v>18</v>
      </c>
      <c r="K4731" t="s">
        <v>19</v>
      </c>
      <c r="L4731" t="s">
        <v>20</v>
      </c>
      <c r="M4731" t="s">
        <v>44</v>
      </c>
      <c r="N4731" t="s">
        <v>22</v>
      </c>
    </row>
    <row r="4732" spans="1:14">
      <c r="A4732" s="4" t="str">
        <f t="shared" si="455"/>
        <v>EXP00168</v>
      </c>
      <c r="B4732" s="4" t="str">
        <f t="shared" si="451"/>
        <v>24287398</v>
      </c>
      <c r="C4732" s="4" t="str">
        <f t="shared" si="452"/>
        <v>GSE46141</v>
      </c>
      <c r="D4732" s="1" t="s">
        <v>298</v>
      </c>
      <c r="E4732" t="s">
        <v>15</v>
      </c>
      <c r="F4732" s="1">
        <v>1</v>
      </c>
      <c r="G4732" s="1" t="s">
        <v>63</v>
      </c>
      <c r="H4732" s="4" t="str">
        <f>HYPERLINK("https://www.ncbi.nlm.nih.gov/geo/query/acc.cgi?acc=GSM1124921","GSM1124921")</f>
        <v>GSM1124921</v>
      </c>
      <c r="I4732" t="s">
        <v>17</v>
      </c>
      <c r="J4732" t="s">
        <v>18</v>
      </c>
      <c r="K4732" t="s">
        <v>19</v>
      </c>
      <c r="L4732" t="s">
        <v>20</v>
      </c>
      <c r="M4732" t="s">
        <v>44</v>
      </c>
      <c r="N4732" t="s">
        <v>22</v>
      </c>
    </row>
    <row r="4733" spans="1:14">
      <c r="A4733" s="4" t="str">
        <f t="shared" si="455"/>
        <v>EXP00168</v>
      </c>
      <c r="B4733" s="4" t="str">
        <f t="shared" si="451"/>
        <v>24287398</v>
      </c>
      <c r="C4733" s="4" t="str">
        <f t="shared" si="452"/>
        <v>GSE46141</v>
      </c>
      <c r="D4733" s="1" t="s">
        <v>298</v>
      </c>
      <c r="E4733" t="s">
        <v>15</v>
      </c>
      <c r="F4733" s="1">
        <v>1</v>
      </c>
      <c r="G4733" s="1" t="s">
        <v>63</v>
      </c>
      <c r="H4733" s="4" t="str">
        <f>HYPERLINK("https://www.ncbi.nlm.nih.gov/geo/query/acc.cgi?acc=GSM1124939","GSM1124939")</f>
        <v>GSM1124939</v>
      </c>
      <c r="I4733" t="s">
        <v>17</v>
      </c>
      <c r="J4733" t="s">
        <v>18</v>
      </c>
      <c r="K4733" t="s">
        <v>19</v>
      </c>
      <c r="L4733" t="s">
        <v>20</v>
      </c>
      <c r="M4733" t="s">
        <v>44</v>
      </c>
      <c r="N4733" t="s">
        <v>22</v>
      </c>
    </row>
    <row r="4734" spans="1:14">
      <c r="A4734" s="4" t="str">
        <f t="shared" si="455"/>
        <v>EXP00168</v>
      </c>
      <c r="B4734" s="4" t="str">
        <f t="shared" si="451"/>
        <v>24287398</v>
      </c>
      <c r="C4734" s="4" t="str">
        <f t="shared" si="452"/>
        <v>GSE46141</v>
      </c>
      <c r="D4734" s="1" t="s">
        <v>298</v>
      </c>
      <c r="E4734" t="s">
        <v>15</v>
      </c>
      <c r="F4734" s="1">
        <v>1</v>
      </c>
      <c r="G4734" s="1" t="s">
        <v>63</v>
      </c>
      <c r="H4734" s="4" t="str">
        <f>HYPERLINK("https://www.ncbi.nlm.nih.gov/geo/query/acc.cgi?acc=GSM1124944","GSM1124944")</f>
        <v>GSM1124944</v>
      </c>
      <c r="I4734" t="s">
        <v>17</v>
      </c>
      <c r="J4734" t="s">
        <v>18</v>
      </c>
      <c r="K4734" t="s">
        <v>19</v>
      </c>
      <c r="L4734" t="s">
        <v>20</v>
      </c>
      <c r="M4734" t="s">
        <v>44</v>
      </c>
      <c r="N4734" t="s">
        <v>22</v>
      </c>
    </row>
    <row r="4735" spans="1:14">
      <c r="A4735" s="4" t="str">
        <f t="shared" si="455"/>
        <v>EXP00168</v>
      </c>
      <c r="B4735" s="4" t="str">
        <f t="shared" ref="B4735:B4798" si="456">HYPERLINK("https://www.ncbi.nlm.nih.gov/pubmed/24287398","24287398")</f>
        <v>24287398</v>
      </c>
      <c r="C4735" s="4" t="str">
        <f t="shared" ref="C4735:C4798" si="457">HYPERLINK("https://www.ncbi.nlm.nih.gov/geo/query/acc.cgi?acc=GSE46141","GSE46141")</f>
        <v>GSE46141</v>
      </c>
      <c r="D4735" s="1" t="s">
        <v>298</v>
      </c>
      <c r="E4735" t="s">
        <v>15</v>
      </c>
      <c r="F4735" s="1">
        <v>1</v>
      </c>
      <c r="G4735" s="1" t="s">
        <v>63</v>
      </c>
      <c r="H4735" s="4" t="str">
        <f>HYPERLINK("https://www.ncbi.nlm.nih.gov/geo/query/acc.cgi?acc=GSM1124945","GSM1124945")</f>
        <v>GSM1124945</v>
      </c>
      <c r="I4735" t="s">
        <v>17</v>
      </c>
      <c r="J4735" t="s">
        <v>18</v>
      </c>
      <c r="K4735" t="s">
        <v>19</v>
      </c>
      <c r="L4735" t="s">
        <v>20</v>
      </c>
      <c r="M4735" t="s">
        <v>44</v>
      </c>
      <c r="N4735" t="s">
        <v>22</v>
      </c>
    </row>
    <row r="4736" spans="1:14">
      <c r="A4736" s="4" t="str">
        <f t="shared" si="455"/>
        <v>EXP00168</v>
      </c>
      <c r="B4736" s="4" t="str">
        <f t="shared" si="456"/>
        <v>24287398</v>
      </c>
      <c r="C4736" s="4" t="str">
        <f t="shared" si="457"/>
        <v>GSE46141</v>
      </c>
      <c r="D4736" s="1" t="s">
        <v>298</v>
      </c>
      <c r="E4736" t="s">
        <v>15</v>
      </c>
      <c r="F4736" s="1">
        <v>1</v>
      </c>
      <c r="G4736" s="1" t="s">
        <v>63</v>
      </c>
      <c r="H4736" s="4" t="str">
        <f>HYPERLINK("https://www.ncbi.nlm.nih.gov/geo/query/acc.cgi?acc=GSM1124946","GSM1124946")</f>
        <v>GSM1124946</v>
      </c>
      <c r="I4736" t="s">
        <v>17</v>
      </c>
      <c r="J4736" t="s">
        <v>18</v>
      </c>
      <c r="K4736" t="s">
        <v>19</v>
      </c>
      <c r="L4736" t="s">
        <v>20</v>
      </c>
      <c r="M4736" t="s">
        <v>44</v>
      </c>
      <c r="N4736" t="s">
        <v>22</v>
      </c>
    </row>
    <row r="4737" spans="1:14">
      <c r="A4737" s="4" t="str">
        <f t="shared" si="455"/>
        <v>EXP00168</v>
      </c>
      <c r="B4737" s="4" t="str">
        <f t="shared" si="456"/>
        <v>24287398</v>
      </c>
      <c r="C4737" s="4" t="str">
        <f t="shared" si="457"/>
        <v>GSE46141</v>
      </c>
      <c r="D4737" s="1" t="s">
        <v>298</v>
      </c>
      <c r="E4737" t="s">
        <v>15</v>
      </c>
      <c r="F4737" s="1">
        <v>1</v>
      </c>
      <c r="G4737" s="1" t="s">
        <v>63</v>
      </c>
      <c r="H4737" s="4" t="str">
        <f>HYPERLINK("https://www.ncbi.nlm.nih.gov/geo/query/acc.cgi?acc=GSM1124947","GSM1124947")</f>
        <v>GSM1124947</v>
      </c>
      <c r="I4737" t="s">
        <v>17</v>
      </c>
      <c r="J4737" t="s">
        <v>18</v>
      </c>
      <c r="K4737" t="s">
        <v>19</v>
      </c>
      <c r="L4737" t="s">
        <v>20</v>
      </c>
      <c r="M4737" t="s">
        <v>44</v>
      </c>
      <c r="N4737" t="s">
        <v>22</v>
      </c>
    </row>
    <row r="4738" spans="1:14">
      <c r="A4738" s="4" t="str">
        <f t="shared" si="455"/>
        <v>EXP00168</v>
      </c>
      <c r="B4738" s="4" t="str">
        <f t="shared" si="456"/>
        <v>24287398</v>
      </c>
      <c r="C4738" s="4" t="str">
        <f t="shared" si="457"/>
        <v>GSE46141</v>
      </c>
      <c r="D4738" s="1" t="s">
        <v>298</v>
      </c>
      <c r="E4738" t="s">
        <v>15</v>
      </c>
      <c r="F4738" s="1">
        <v>1</v>
      </c>
      <c r="G4738" s="1" t="s">
        <v>63</v>
      </c>
      <c r="H4738" s="4" t="str">
        <f>HYPERLINK("https://www.ncbi.nlm.nih.gov/geo/query/acc.cgi?acc=GSM1124951","GSM1124951")</f>
        <v>GSM1124951</v>
      </c>
      <c r="I4738" t="s">
        <v>17</v>
      </c>
      <c r="J4738" t="s">
        <v>18</v>
      </c>
      <c r="K4738" t="s">
        <v>19</v>
      </c>
      <c r="L4738" t="s">
        <v>20</v>
      </c>
      <c r="M4738" t="s">
        <v>44</v>
      </c>
      <c r="N4738" t="s">
        <v>22</v>
      </c>
    </row>
    <row r="4739" spans="1:14">
      <c r="A4739" s="4" t="str">
        <f t="shared" si="455"/>
        <v>EXP00168</v>
      </c>
      <c r="B4739" s="4" t="str">
        <f t="shared" si="456"/>
        <v>24287398</v>
      </c>
      <c r="C4739" s="4" t="str">
        <f t="shared" si="457"/>
        <v>GSE46141</v>
      </c>
      <c r="D4739" s="1" t="s">
        <v>298</v>
      </c>
      <c r="E4739" t="s">
        <v>15</v>
      </c>
      <c r="F4739" s="1">
        <v>1</v>
      </c>
      <c r="G4739" s="1" t="s">
        <v>63</v>
      </c>
      <c r="H4739" s="4" t="str">
        <f>HYPERLINK("https://www.ncbi.nlm.nih.gov/geo/query/acc.cgi?acc=GSM1124952","GSM1124952")</f>
        <v>GSM1124952</v>
      </c>
      <c r="I4739" t="s">
        <v>17</v>
      </c>
      <c r="J4739" t="s">
        <v>18</v>
      </c>
      <c r="K4739" t="s">
        <v>19</v>
      </c>
      <c r="L4739" t="s">
        <v>20</v>
      </c>
      <c r="M4739" t="s">
        <v>44</v>
      </c>
      <c r="N4739" t="s">
        <v>22</v>
      </c>
    </row>
    <row r="4740" spans="1:14">
      <c r="A4740" s="4" t="str">
        <f t="shared" si="455"/>
        <v>EXP00168</v>
      </c>
      <c r="B4740" s="4" t="str">
        <f t="shared" si="456"/>
        <v>24287398</v>
      </c>
      <c r="C4740" s="4" t="str">
        <f t="shared" si="457"/>
        <v>GSE46141</v>
      </c>
      <c r="D4740" s="1" t="s">
        <v>298</v>
      </c>
      <c r="E4740" t="s">
        <v>15</v>
      </c>
      <c r="F4740" s="1">
        <v>1</v>
      </c>
      <c r="G4740" s="1" t="s">
        <v>63</v>
      </c>
      <c r="H4740" s="4" t="str">
        <f>HYPERLINK("https://www.ncbi.nlm.nih.gov/geo/query/acc.cgi?acc=GSM1124957","GSM1124957")</f>
        <v>GSM1124957</v>
      </c>
      <c r="I4740" t="s">
        <v>17</v>
      </c>
      <c r="J4740" t="s">
        <v>18</v>
      </c>
      <c r="K4740" t="s">
        <v>19</v>
      </c>
      <c r="L4740" t="s">
        <v>20</v>
      </c>
      <c r="M4740" t="s">
        <v>44</v>
      </c>
      <c r="N4740" t="s">
        <v>22</v>
      </c>
    </row>
    <row r="4741" spans="1:14">
      <c r="A4741" s="4" t="str">
        <f t="shared" si="455"/>
        <v>EXP00168</v>
      </c>
      <c r="B4741" s="4" t="str">
        <f t="shared" si="456"/>
        <v>24287398</v>
      </c>
      <c r="C4741" s="4" t="str">
        <f t="shared" si="457"/>
        <v>GSE46141</v>
      </c>
      <c r="D4741" s="1" t="s">
        <v>298</v>
      </c>
      <c r="E4741" t="s">
        <v>15</v>
      </c>
      <c r="F4741" s="1">
        <v>2</v>
      </c>
      <c r="G4741" s="1" t="s">
        <v>23</v>
      </c>
      <c r="H4741" s="4" t="str">
        <f>HYPERLINK("https://www.ncbi.nlm.nih.gov/geo/query/acc.cgi?acc=GSM1124871","GSM1124871")</f>
        <v>GSM1124871</v>
      </c>
      <c r="I4741" t="s">
        <v>17</v>
      </c>
      <c r="J4741" t="s">
        <v>18</v>
      </c>
      <c r="K4741" t="s">
        <v>19</v>
      </c>
      <c r="L4741" t="s">
        <v>20</v>
      </c>
      <c r="M4741" t="s">
        <v>24</v>
      </c>
      <c r="N4741" t="s">
        <v>22</v>
      </c>
    </row>
    <row r="4742" spans="1:14">
      <c r="A4742" s="4" t="str">
        <f t="shared" si="455"/>
        <v>EXP00168</v>
      </c>
      <c r="B4742" s="4" t="str">
        <f t="shared" si="456"/>
        <v>24287398</v>
      </c>
      <c r="C4742" s="4" t="str">
        <f t="shared" si="457"/>
        <v>GSE46141</v>
      </c>
      <c r="D4742" s="1" t="s">
        <v>298</v>
      </c>
      <c r="E4742" t="s">
        <v>15</v>
      </c>
      <c r="F4742" s="1">
        <v>2</v>
      </c>
      <c r="G4742" s="1" t="s">
        <v>23</v>
      </c>
      <c r="H4742" s="4" t="str">
        <f>HYPERLINK("https://www.ncbi.nlm.nih.gov/geo/query/acc.cgi?acc=GSM1124874","GSM1124874")</f>
        <v>GSM1124874</v>
      </c>
      <c r="I4742" t="s">
        <v>17</v>
      </c>
      <c r="J4742" t="s">
        <v>18</v>
      </c>
      <c r="K4742" t="s">
        <v>19</v>
      </c>
      <c r="L4742" t="s">
        <v>20</v>
      </c>
      <c r="M4742" t="s">
        <v>24</v>
      </c>
      <c r="N4742" t="s">
        <v>22</v>
      </c>
    </row>
    <row r="4743" spans="1:14">
      <c r="A4743" s="4" t="str">
        <f t="shared" si="455"/>
        <v>EXP00168</v>
      </c>
      <c r="B4743" s="4" t="str">
        <f t="shared" si="456"/>
        <v>24287398</v>
      </c>
      <c r="C4743" s="4" t="str">
        <f t="shared" si="457"/>
        <v>GSE46141</v>
      </c>
      <c r="D4743" s="1" t="s">
        <v>298</v>
      </c>
      <c r="E4743" t="s">
        <v>15</v>
      </c>
      <c r="F4743" s="1">
        <v>2</v>
      </c>
      <c r="G4743" s="1" t="s">
        <v>23</v>
      </c>
      <c r="H4743" s="4" t="str">
        <f>HYPERLINK("https://www.ncbi.nlm.nih.gov/geo/query/acc.cgi?acc=GSM1124875","GSM1124875")</f>
        <v>GSM1124875</v>
      </c>
      <c r="I4743" t="s">
        <v>17</v>
      </c>
      <c r="J4743" t="s">
        <v>18</v>
      </c>
      <c r="K4743" t="s">
        <v>19</v>
      </c>
      <c r="L4743" t="s">
        <v>20</v>
      </c>
      <c r="M4743" t="s">
        <v>24</v>
      </c>
      <c r="N4743" t="s">
        <v>22</v>
      </c>
    </row>
    <row r="4744" spans="1:14">
      <c r="A4744" s="4" t="str">
        <f t="shared" si="455"/>
        <v>EXP00168</v>
      </c>
      <c r="B4744" s="4" t="str">
        <f t="shared" si="456"/>
        <v>24287398</v>
      </c>
      <c r="C4744" s="4" t="str">
        <f t="shared" si="457"/>
        <v>GSE46141</v>
      </c>
      <c r="D4744" s="1" t="s">
        <v>298</v>
      </c>
      <c r="E4744" t="s">
        <v>15</v>
      </c>
      <c r="F4744" s="1">
        <v>2</v>
      </c>
      <c r="G4744" s="1" t="s">
        <v>23</v>
      </c>
      <c r="H4744" s="4" t="str">
        <f>HYPERLINK("https://www.ncbi.nlm.nih.gov/geo/query/acc.cgi?acc=GSM1124880","GSM1124880")</f>
        <v>GSM1124880</v>
      </c>
      <c r="I4744" t="s">
        <v>17</v>
      </c>
      <c r="J4744" t="s">
        <v>18</v>
      </c>
      <c r="K4744" t="s">
        <v>19</v>
      </c>
      <c r="L4744" t="s">
        <v>20</v>
      </c>
      <c r="M4744" t="s">
        <v>24</v>
      </c>
      <c r="N4744" t="s">
        <v>22</v>
      </c>
    </row>
    <row r="4745" spans="1:14">
      <c r="A4745" s="4" t="str">
        <f t="shared" si="455"/>
        <v>EXP00168</v>
      </c>
      <c r="B4745" s="4" t="str">
        <f t="shared" si="456"/>
        <v>24287398</v>
      </c>
      <c r="C4745" s="4" t="str">
        <f t="shared" si="457"/>
        <v>GSE46141</v>
      </c>
      <c r="D4745" s="1" t="s">
        <v>298</v>
      </c>
      <c r="E4745" t="s">
        <v>15</v>
      </c>
      <c r="F4745" s="1">
        <v>2</v>
      </c>
      <c r="G4745" s="1" t="s">
        <v>23</v>
      </c>
      <c r="H4745" s="4" t="str">
        <f>HYPERLINK("https://www.ncbi.nlm.nih.gov/geo/query/acc.cgi?acc=GSM1124881","GSM1124881")</f>
        <v>GSM1124881</v>
      </c>
      <c r="I4745" t="s">
        <v>17</v>
      </c>
      <c r="J4745" t="s">
        <v>18</v>
      </c>
      <c r="K4745" t="s">
        <v>19</v>
      </c>
      <c r="L4745" t="s">
        <v>20</v>
      </c>
      <c r="M4745" t="s">
        <v>24</v>
      </c>
      <c r="N4745" t="s">
        <v>22</v>
      </c>
    </row>
    <row r="4746" spans="1:14">
      <c r="A4746" s="4" t="str">
        <f t="shared" si="455"/>
        <v>EXP00168</v>
      </c>
      <c r="B4746" s="4" t="str">
        <f t="shared" si="456"/>
        <v>24287398</v>
      </c>
      <c r="C4746" s="4" t="str">
        <f t="shared" si="457"/>
        <v>GSE46141</v>
      </c>
      <c r="D4746" s="1" t="s">
        <v>298</v>
      </c>
      <c r="E4746" t="s">
        <v>15</v>
      </c>
      <c r="F4746" s="1">
        <v>2</v>
      </c>
      <c r="G4746" s="1" t="s">
        <v>23</v>
      </c>
      <c r="H4746" s="4" t="str">
        <f>HYPERLINK("https://www.ncbi.nlm.nih.gov/geo/query/acc.cgi?acc=GSM1124885","GSM1124885")</f>
        <v>GSM1124885</v>
      </c>
      <c r="I4746" t="s">
        <v>17</v>
      </c>
      <c r="J4746" t="s">
        <v>18</v>
      </c>
      <c r="K4746" t="s">
        <v>19</v>
      </c>
      <c r="L4746" t="s">
        <v>20</v>
      </c>
      <c r="M4746" t="s">
        <v>24</v>
      </c>
      <c r="N4746" t="s">
        <v>22</v>
      </c>
    </row>
    <row r="4747" spans="1:14">
      <c r="A4747" s="4" t="str">
        <f t="shared" si="455"/>
        <v>EXP00168</v>
      </c>
      <c r="B4747" s="4" t="str">
        <f t="shared" si="456"/>
        <v>24287398</v>
      </c>
      <c r="C4747" s="4" t="str">
        <f t="shared" si="457"/>
        <v>GSE46141</v>
      </c>
      <c r="D4747" s="1" t="s">
        <v>298</v>
      </c>
      <c r="E4747" t="s">
        <v>15</v>
      </c>
      <c r="F4747" s="1">
        <v>2</v>
      </c>
      <c r="G4747" s="1" t="s">
        <v>23</v>
      </c>
      <c r="H4747" s="4" t="str">
        <f>HYPERLINK("https://www.ncbi.nlm.nih.gov/geo/query/acc.cgi?acc=GSM1124886","GSM1124886")</f>
        <v>GSM1124886</v>
      </c>
      <c r="I4747" t="s">
        <v>17</v>
      </c>
      <c r="J4747" t="s">
        <v>18</v>
      </c>
      <c r="K4747" t="s">
        <v>19</v>
      </c>
      <c r="L4747" t="s">
        <v>20</v>
      </c>
      <c r="M4747" t="s">
        <v>24</v>
      </c>
      <c r="N4747" t="s">
        <v>22</v>
      </c>
    </row>
    <row r="4748" spans="1:14">
      <c r="A4748" s="4" t="str">
        <f t="shared" si="455"/>
        <v>EXP00168</v>
      </c>
      <c r="B4748" s="4" t="str">
        <f t="shared" si="456"/>
        <v>24287398</v>
      </c>
      <c r="C4748" s="4" t="str">
        <f t="shared" si="457"/>
        <v>GSE46141</v>
      </c>
      <c r="D4748" s="1" t="s">
        <v>298</v>
      </c>
      <c r="E4748" t="s">
        <v>15</v>
      </c>
      <c r="F4748" s="1">
        <v>2</v>
      </c>
      <c r="G4748" s="1" t="s">
        <v>23</v>
      </c>
      <c r="H4748" s="4" t="str">
        <f>HYPERLINK("https://www.ncbi.nlm.nih.gov/geo/query/acc.cgi?acc=GSM1124887","GSM1124887")</f>
        <v>GSM1124887</v>
      </c>
      <c r="I4748" t="s">
        <v>17</v>
      </c>
      <c r="J4748" t="s">
        <v>18</v>
      </c>
      <c r="K4748" t="s">
        <v>19</v>
      </c>
      <c r="L4748" t="s">
        <v>20</v>
      </c>
      <c r="M4748" t="s">
        <v>24</v>
      </c>
      <c r="N4748" t="s">
        <v>22</v>
      </c>
    </row>
    <row r="4749" spans="1:14">
      <c r="A4749" s="4" t="str">
        <f t="shared" si="455"/>
        <v>EXP00168</v>
      </c>
      <c r="B4749" s="4" t="str">
        <f t="shared" si="456"/>
        <v>24287398</v>
      </c>
      <c r="C4749" s="4" t="str">
        <f t="shared" si="457"/>
        <v>GSE46141</v>
      </c>
      <c r="D4749" s="1" t="s">
        <v>298</v>
      </c>
      <c r="E4749" t="s">
        <v>15</v>
      </c>
      <c r="F4749" s="1">
        <v>2</v>
      </c>
      <c r="G4749" s="1" t="s">
        <v>23</v>
      </c>
      <c r="H4749" s="4" t="str">
        <f>HYPERLINK("https://www.ncbi.nlm.nih.gov/geo/query/acc.cgi?acc=GSM1124894","GSM1124894")</f>
        <v>GSM1124894</v>
      </c>
      <c r="I4749" t="s">
        <v>17</v>
      </c>
      <c r="J4749" t="s">
        <v>18</v>
      </c>
      <c r="K4749" t="s">
        <v>19</v>
      </c>
      <c r="L4749" t="s">
        <v>20</v>
      </c>
      <c r="M4749" t="s">
        <v>24</v>
      </c>
      <c r="N4749" t="s">
        <v>22</v>
      </c>
    </row>
    <row r="4750" spans="1:14">
      <c r="A4750" s="4" t="str">
        <f t="shared" si="455"/>
        <v>EXP00168</v>
      </c>
      <c r="B4750" s="4" t="str">
        <f t="shared" si="456"/>
        <v>24287398</v>
      </c>
      <c r="C4750" s="4" t="str">
        <f t="shared" si="457"/>
        <v>GSE46141</v>
      </c>
      <c r="D4750" s="1" t="s">
        <v>298</v>
      </c>
      <c r="E4750" t="s">
        <v>15</v>
      </c>
      <c r="F4750" s="1">
        <v>2</v>
      </c>
      <c r="G4750" s="1" t="s">
        <v>23</v>
      </c>
      <c r="H4750" s="4" t="str">
        <f>HYPERLINK("https://www.ncbi.nlm.nih.gov/geo/query/acc.cgi?acc=GSM1124896","GSM1124896")</f>
        <v>GSM1124896</v>
      </c>
      <c r="I4750" t="s">
        <v>17</v>
      </c>
      <c r="J4750" t="s">
        <v>18</v>
      </c>
      <c r="K4750" t="s">
        <v>19</v>
      </c>
      <c r="L4750" t="s">
        <v>20</v>
      </c>
      <c r="M4750" t="s">
        <v>24</v>
      </c>
      <c r="N4750" t="s">
        <v>22</v>
      </c>
    </row>
    <row r="4751" spans="1:14">
      <c r="A4751" s="4" t="str">
        <f t="shared" si="455"/>
        <v>EXP00168</v>
      </c>
      <c r="B4751" s="4" t="str">
        <f t="shared" si="456"/>
        <v>24287398</v>
      </c>
      <c r="C4751" s="4" t="str">
        <f t="shared" si="457"/>
        <v>GSE46141</v>
      </c>
      <c r="D4751" s="1" t="s">
        <v>298</v>
      </c>
      <c r="E4751" t="s">
        <v>15</v>
      </c>
      <c r="F4751" s="1">
        <v>2</v>
      </c>
      <c r="G4751" s="1" t="s">
        <v>23</v>
      </c>
      <c r="H4751" s="4" t="str">
        <f>HYPERLINK("https://www.ncbi.nlm.nih.gov/geo/query/acc.cgi?acc=GSM1124899","GSM1124899")</f>
        <v>GSM1124899</v>
      </c>
      <c r="I4751" t="s">
        <v>17</v>
      </c>
      <c r="J4751" t="s">
        <v>18</v>
      </c>
      <c r="K4751" t="s">
        <v>19</v>
      </c>
      <c r="L4751" t="s">
        <v>20</v>
      </c>
      <c r="M4751" t="s">
        <v>24</v>
      </c>
      <c r="N4751" t="s">
        <v>22</v>
      </c>
    </row>
    <row r="4752" spans="1:14">
      <c r="A4752" s="4" t="str">
        <f t="shared" si="455"/>
        <v>EXP00168</v>
      </c>
      <c r="B4752" s="4" t="str">
        <f t="shared" si="456"/>
        <v>24287398</v>
      </c>
      <c r="C4752" s="4" t="str">
        <f t="shared" si="457"/>
        <v>GSE46141</v>
      </c>
      <c r="D4752" s="1" t="s">
        <v>298</v>
      </c>
      <c r="E4752" t="s">
        <v>15</v>
      </c>
      <c r="F4752" s="1">
        <v>2</v>
      </c>
      <c r="G4752" s="1" t="s">
        <v>23</v>
      </c>
      <c r="H4752" s="4" t="str">
        <f>HYPERLINK("https://www.ncbi.nlm.nih.gov/geo/query/acc.cgi?acc=GSM1124901","GSM1124901")</f>
        <v>GSM1124901</v>
      </c>
      <c r="I4752" t="s">
        <v>17</v>
      </c>
      <c r="J4752" t="s">
        <v>18</v>
      </c>
      <c r="K4752" t="s">
        <v>19</v>
      </c>
      <c r="L4752" t="s">
        <v>20</v>
      </c>
      <c r="M4752" t="s">
        <v>24</v>
      </c>
      <c r="N4752" t="s">
        <v>22</v>
      </c>
    </row>
    <row r="4753" spans="1:14">
      <c r="A4753" s="4" t="str">
        <f t="shared" si="455"/>
        <v>EXP00168</v>
      </c>
      <c r="B4753" s="4" t="str">
        <f t="shared" si="456"/>
        <v>24287398</v>
      </c>
      <c r="C4753" s="4" t="str">
        <f t="shared" si="457"/>
        <v>GSE46141</v>
      </c>
      <c r="D4753" s="1" t="s">
        <v>298</v>
      </c>
      <c r="E4753" t="s">
        <v>15</v>
      </c>
      <c r="F4753" s="1">
        <v>2</v>
      </c>
      <c r="G4753" s="1" t="s">
        <v>23</v>
      </c>
      <c r="H4753" s="4" t="str">
        <f>HYPERLINK("https://www.ncbi.nlm.nih.gov/geo/query/acc.cgi?acc=GSM1124906","GSM1124906")</f>
        <v>GSM1124906</v>
      </c>
      <c r="I4753" t="s">
        <v>17</v>
      </c>
      <c r="J4753" t="s">
        <v>18</v>
      </c>
      <c r="K4753" t="s">
        <v>19</v>
      </c>
      <c r="L4753" t="s">
        <v>20</v>
      </c>
      <c r="M4753" t="s">
        <v>24</v>
      </c>
      <c r="N4753" t="s">
        <v>22</v>
      </c>
    </row>
    <row r="4754" spans="1:14">
      <c r="A4754" s="4" t="str">
        <f t="shared" si="455"/>
        <v>EXP00168</v>
      </c>
      <c r="B4754" s="4" t="str">
        <f t="shared" si="456"/>
        <v>24287398</v>
      </c>
      <c r="C4754" s="4" t="str">
        <f t="shared" si="457"/>
        <v>GSE46141</v>
      </c>
      <c r="D4754" s="1" t="s">
        <v>298</v>
      </c>
      <c r="E4754" t="s">
        <v>15</v>
      </c>
      <c r="F4754" s="1">
        <v>2</v>
      </c>
      <c r="G4754" s="1" t="s">
        <v>23</v>
      </c>
      <c r="H4754" s="4" t="str">
        <f>HYPERLINK("https://www.ncbi.nlm.nih.gov/geo/query/acc.cgi?acc=GSM1124907","GSM1124907")</f>
        <v>GSM1124907</v>
      </c>
      <c r="I4754" t="s">
        <v>17</v>
      </c>
      <c r="J4754" t="s">
        <v>18</v>
      </c>
      <c r="K4754" t="s">
        <v>19</v>
      </c>
      <c r="L4754" t="s">
        <v>20</v>
      </c>
      <c r="M4754" t="s">
        <v>24</v>
      </c>
      <c r="N4754" t="s">
        <v>22</v>
      </c>
    </row>
    <row r="4755" spans="1:14">
      <c r="A4755" s="4" t="str">
        <f t="shared" si="455"/>
        <v>EXP00168</v>
      </c>
      <c r="B4755" s="4" t="str">
        <f t="shared" si="456"/>
        <v>24287398</v>
      </c>
      <c r="C4755" s="4" t="str">
        <f t="shared" si="457"/>
        <v>GSE46141</v>
      </c>
      <c r="D4755" s="1" t="s">
        <v>298</v>
      </c>
      <c r="E4755" t="s">
        <v>15</v>
      </c>
      <c r="F4755" s="1">
        <v>2</v>
      </c>
      <c r="G4755" s="1" t="s">
        <v>23</v>
      </c>
      <c r="H4755" s="4" t="str">
        <f>HYPERLINK("https://www.ncbi.nlm.nih.gov/geo/query/acc.cgi?acc=GSM1124911","GSM1124911")</f>
        <v>GSM1124911</v>
      </c>
      <c r="I4755" t="s">
        <v>17</v>
      </c>
      <c r="J4755" t="s">
        <v>18</v>
      </c>
      <c r="K4755" t="s">
        <v>19</v>
      </c>
      <c r="L4755" t="s">
        <v>20</v>
      </c>
      <c r="M4755" t="s">
        <v>24</v>
      </c>
      <c r="N4755" t="s">
        <v>22</v>
      </c>
    </row>
    <row r="4756" spans="1:14">
      <c r="A4756" s="4" t="str">
        <f t="shared" si="455"/>
        <v>EXP00168</v>
      </c>
      <c r="B4756" s="4" t="str">
        <f t="shared" si="456"/>
        <v>24287398</v>
      </c>
      <c r="C4756" s="4" t="str">
        <f t="shared" si="457"/>
        <v>GSE46141</v>
      </c>
      <c r="D4756" s="1" t="s">
        <v>298</v>
      </c>
      <c r="E4756" t="s">
        <v>15</v>
      </c>
      <c r="F4756" s="1">
        <v>2</v>
      </c>
      <c r="G4756" s="1" t="s">
        <v>23</v>
      </c>
      <c r="H4756" s="4" t="str">
        <f>HYPERLINK("https://www.ncbi.nlm.nih.gov/geo/query/acc.cgi?acc=GSM1124912","GSM1124912")</f>
        <v>GSM1124912</v>
      </c>
      <c r="I4756" t="s">
        <v>17</v>
      </c>
      <c r="J4756" t="s">
        <v>18</v>
      </c>
      <c r="K4756" t="s">
        <v>19</v>
      </c>
      <c r="L4756" t="s">
        <v>20</v>
      </c>
      <c r="M4756" t="s">
        <v>24</v>
      </c>
      <c r="N4756" t="s">
        <v>22</v>
      </c>
    </row>
    <row r="4757" spans="1:14">
      <c r="A4757" s="4" t="str">
        <f t="shared" ref="A4757:A4779" si="458">HYPERLINK("http://hcmdb.i-sanger.com/experiment/details/experiment_id/EXP00168","EXP00168")</f>
        <v>EXP00168</v>
      </c>
      <c r="B4757" s="4" t="str">
        <f t="shared" si="456"/>
        <v>24287398</v>
      </c>
      <c r="C4757" s="4" t="str">
        <f t="shared" si="457"/>
        <v>GSE46141</v>
      </c>
      <c r="D4757" s="1" t="s">
        <v>298</v>
      </c>
      <c r="E4757" t="s">
        <v>15</v>
      </c>
      <c r="F4757" s="1">
        <v>2</v>
      </c>
      <c r="G4757" s="1" t="s">
        <v>23</v>
      </c>
      <c r="H4757" s="4" t="str">
        <f>HYPERLINK("https://www.ncbi.nlm.nih.gov/geo/query/acc.cgi?acc=GSM1124915","GSM1124915")</f>
        <v>GSM1124915</v>
      </c>
      <c r="I4757" t="s">
        <v>17</v>
      </c>
      <c r="J4757" t="s">
        <v>18</v>
      </c>
      <c r="K4757" t="s">
        <v>19</v>
      </c>
      <c r="L4757" t="s">
        <v>20</v>
      </c>
      <c r="M4757" t="s">
        <v>24</v>
      </c>
      <c r="N4757" t="s">
        <v>22</v>
      </c>
    </row>
    <row r="4758" spans="1:14">
      <c r="A4758" s="4" t="str">
        <f t="shared" si="458"/>
        <v>EXP00168</v>
      </c>
      <c r="B4758" s="4" t="str">
        <f t="shared" si="456"/>
        <v>24287398</v>
      </c>
      <c r="C4758" s="4" t="str">
        <f t="shared" si="457"/>
        <v>GSE46141</v>
      </c>
      <c r="D4758" s="1" t="s">
        <v>298</v>
      </c>
      <c r="E4758" t="s">
        <v>15</v>
      </c>
      <c r="F4758" s="1">
        <v>2</v>
      </c>
      <c r="G4758" s="1" t="s">
        <v>23</v>
      </c>
      <c r="H4758" s="4" t="str">
        <f>HYPERLINK("https://www.ncbi.nlm.nih.gov/geo/query/acc.cgi?acc=GSM1124917","GSM1124917")</f>
        <v>GSM1124917</v>
      </c>
      <c r="I4758" t="s">
        <v>17</v>
      </c>
      <c r="J4758" t="s">
        <v>18</v>
      </c>
      <c r="K4758" t="s">
        <v>19</v>
      </c>
      <c r="L4758" t="s">
        <v>20</v>
      </c>
      <c r="M4758" t="s">
        <v>24</v>
      </c>
      <c r="N4758" t="s">
        <v>22</v>
      </c>
    </row>
    <row r="4759" spans="1:14">
      <c r="A4759" s="4" t="str">
        <f t="shared" si="458"/>
        <v>EXP00168</v>
      </c>
      <c r="B4759" s="4" t="str">
        <f t="shared" si="456"/>
        <v>24287398</v>
      </c>
      <c r="C4759" s="4" t="str">
        <f t="shared" si="457"/>
        <v>GSE46141</v>
      </c>
      <c r="D4759" s="1" t="s">
        <v>298</v>
      </c>
      <c r="E4759" t="s">
        <v>15</v>
      </c>
      <c r="F4759" s="1">
        <v>2</v>
      </c>
      <c r="G4759" s="1" t="s">
        <v>23</v>
      </c>
      <c r="H4759" s="4" t="str">
        <f>HYPERLINK("https://www.ncbi.nlm.nih.gov/geo/query/acc.cgi?acc=GSM1124918","GSM1124918")</f>
        <v>GSM1124918</v>
      </c>
      <c r="I4759" t="s">
        <v>17</v>
      </c>
      <c r="J4759" t="s">
        <v>18</v>
      </c>
      <c r="K4759" t="s">
        <v>19</v>
      </c>
      <c r="L4759" t="s">
        <v>20</v>
      </c>
      <c r="M4759" t="s">
        <v>24</v>
      </c>
      <c r="N4759" t="s">
        <v>22</v>
      </c>
    </row>
    <row r="4760" spans="1:14">
      <c r="A4760" s="4" t="str">
        <f t="shared" si="458"/>
        <v>EXP00168</v>
      </c>
      <c r="B4760" s="4" t="str">
        <f t="shared" si="456"/>
        <v>24287398</v>
      </c>
      <c r="C4760" s="4" t="str">
        <f t="shared" si="457"/>
        <v>GSE46141</v>
      </c>
      <c r="D4760" s="1" t="s">
        <v>298</v>
      </c>
      <c r="E4760" t="s">
        <v>15</v>
      </c>
      <c r="F4760" s="1">
        <v>2</v>
      </c>
      <c r="G4760" s="1" t="s">
        <v>23</v>
      </c>
      <c r="H4760" s="4" t="str">
        <f>HYPERLINK("https://www.ncbi.nlm.nih.gov/geo/query/acc.cgi?acc=GSM1124920","GSM1124920")</f>
        <v>GSM1124920</v>
      </c>
      <c r="I4760" t="s">
        <v>17</v>
      </c>
      <c r="J4760" t="s">
        <v>18</v>
      </c>
      <c r="K4760" t="s">
        <v>19</v>
      </c>
      <c r="L4760" t="s">
        <v>20</v>
      </c>
      <c r="M4760" t="s">
        <v>24</v>
      </c>
      <c r="N4760" t="s">
        <v>22</v>
      </c>
    </row>
    <row r="4761" spans="1:14">
      <c r="A4761" s="4" t="str">
        <f t="shared" si="458"/>
        <v>EXP00168</v>
      </c>
      <c r="B4761" s="4" t="str">
        <f t="shared" si="456"/>
        <v>24287398</v>
      </c>
      <c r="C4761" s="4" t="str">
        <f t="shared" si="457"/>
        <v>GSE46141</v>
      </c>
      <c r="D4761" s="1" t="s">
        <v>298</v>
      </c>
      <c r="E4761" t="s">
        <v>15</v>
      </c>
      <c r="F4761" s="1">
        <v>2</v>
      </c>
      <c r="G4761" s="1" t="s">
        <v>23</v>
      </c>
      <c r="H4761" s="4" t="str">
        <f>HYPERLINK("https://www.ncbi.nlm.nih.gov/geo/query/acc.cgi?acc=GSM1124922","GSM1124922")</f>
        <v>GSM1124922</v>
      </c>
      <c r="I4761" t="s">
        <v>17</v>
      </c>
      <c r="J4761" t="s">
        <v>18</v>
      </c>
      <c r="K4761" t="s">
        <v>19</v>
      </c>
      <c r="L4761" t="s">
        <v>20</v>
      </c>
      <c r="M4761" t="s">
        <v>24</v>
      </c>
      <c r="N4761" t="s">
        <v>22</v>
      </c>
    </row>
    <row r="4762" spans="1:14">
      <c r="A4762" s="4" t="str">
        <f t="shared" si="458"/>
        <v>EXP00168</v>
      </c>
      <c r="B4762" s="4" t="str">
        <f t="shared" si="456"/>
        <v>24287398</v>
      </c>
      <c r="C4762" s="4" t="str">
        <f t="shared" si="457"/>
        <v>GSE46141</v>
      </c>
      <c r="D4762" s="1" t="s">
        <v>298</v>
      </c>
      <c r="E4762" t="s">
        <v>15</v>
      </c>
      <c r="F4762" s="1">
        <v>2</v>
      </c>
      <c r="G4762" s="1" t="s">
        <v>23</v>
      </c>
      <c r="H4762" s="4" t="str">
        <f>HYPERLINK("https://www.ncbi.nlm.nih.gov/geo/query/acc.cgi?acc=GSM1124924","GSM1124924")</f>
        <v>GSM1124924</v>
      </c>
      <c r="I4762" t="s">
        <v>17</v>
      </c>
      <c r="J4762" t="s">
        <v>18</v>
      </c>
      <c r="K4762" t="s">
        <v>19</v>
      </c>
      <c r="L4762" t="s">
        <v>20</v>
      </c>
      <c r="M4762" t="s">
        <v>24</v>
      </c>
      <c r="N4762" t="s">
        <v>22</v>
      </c>
    </row>
    <row r="4763" spans="1:14">
      <c r="A4763" s="4" t="str">
        <f t="shared" si="458"/>
        <v>EXP00168</v>
      </c>
      <c r="B4763" s="4" t="str">
        <f t="shared" si="456"/>
        <v>24287398</v>
      </c>
      <c r="C4763" s="4" t="str">
        <f t="shared" si="457"/>
        <v>GSE46141</v>
      </c>
      <c r="D4763" s="1" t="s">
        <v>298</v>
      </c>
      <c r="E4763" t="s">
        <v>15</v>
      </c>
      <c r="F4763" s="1">
        <v>2</v>
      </c>
      <c r="G4763" s="1" t="s">
        <v>23</v>
      </c>
      <c r="H4763" s="4" t="str">
        <f>HYPERLINK("https://www.ncbi.nlm.nih.gov/geo/query/acc.cgi?acc=GSM1124926","GSM1124926")</f>
        <v>GSM1124926</v>
      </c>
      <c r="I4763" t="s">
        <v>17</v>
      </c>
      <c r="J4763" t="s">
        <v>18</v>
      </c>
      <c r="K4763" t="s">
        <v>19</v>
      </c>
      <c r="L4763" t="s">
        <v>20</v>
      </c>
      <c r="M4763" t="s">
        <v>24</v>
      </c>
      <c r="N4763" t="s">
        <v>22</v>
      </c>
    </row>
    <row r="4764" spans="1:14">
      <c r="A4764" s="4" t="str">
        <f t="shared" si="458"/>
        <v>EXP00168</v>
      </c>
      <c r="B4764" s="4" t="str">
        <f t="shared" si="456"/>
        <v>24287398</v>
      </c>
      <c r="C4764" s="4" t="str">
        <f t="shared" si="457"/>
        <v>GSE46141</v>
      </c>
      <c r="D4764" s="1" t="s">
        <v>298</v>
      </c>
      <c r="E4764" t="s">
        <v>15</v>
      </c>
      <c r="F4764" s="1">
        <v>2</v>
      </c>
      <c r="G4764" s="1" t="s">
        <v>23</v>
      </c>
      <c r="H4764" s="4" t="str">
        <f>HYPERLINK("https://www.ncbi.nlm.nih.gov/geo/query/acc.cgi?acc=GSM1124928","GSM1124928")</f>
        <v>GSM1124928</v>
      </c>
      <c r="I4764" t="s">
        <v>17</v>
      </c>
      <c r="J4764" t="s">
        <v>18</v>
      </c>
      <c r="K4764" t="s">
        <v>19</v>
      </c>
      <c r="L4764" t="s">
        <v>20</v>
      </c>
      <c r="M4764" t="s">
        <v>24</v>
      </c>
      <c r="N4764" t="s">
        <v>22</v>
      </c>
    </row>
    <row r="4765" spans="1:14">
      <c r="A4765" s="4" t="str">
        <f t="shared" si="458"/>
        <v>EXP00168</v>
      </c>
      <c r="B4765" s="4" t="str">
        <f t="shared" si="456"/>
        <v>24287398</v>
      </c>
      <c r="C4765" s="4" t="str">
        <f t="shared" si="457"/>
        <v>GSE46141</v>
      </c>
      <c r="D4765" s="1" t="s">
        <v>298</v>
      </c>
      <c r="E4765" t="s">
        <v>15</v>
      </c>
      <c r="F4765" s="1">
        <v>2</v>
      </c>
      <c r="G4765" s="1" t="s">
        <v>23</v>
      </c>
      <c r="H4765" s="4" t="str">
        <f>HYPERLINK("https://www.ncbi.nlm.nih.gov/geo/query/acc.cgi?acc=GSM1124930","GSM1124930")</f>
        <v>GSM1124930</v>
      </c>
      <c r="I4765" t="s">
        <v>17</v>
      </c>
      <c r="J4765" t="s">
        <v>18</v>
      </c>
      <c r="K4765" t="s">
        <v>19</v>
      </c>
      <c r="L4765" t="s">
        <v>20</v>
      </c>
      <c r="M4765" t="s">
        <v>24</v>
      </c>
      <c r="N4765" t="s">
        <v>22</v>
      </c>
    </row>
    <row r="4766" spans="1:14">
      <c r="A4766" s="4" t="str">
        <f t="shared" si="458"/>
        <v>EXP00168</v>
      </c>
      <c r="B4766" s="4" t="str">
        <f t="shared" si="456"/>
        <v>24287398</v>
      </c>
      <c r="C4766" s="4" t="str">
        <f t="shared" si="457"/>
        <v>GSE46141</v>
      </c>
      <c r="D4766" s="1" t="s">
        <v>298</v>
      </c>
      <c r="E4766" t="s">
        <v>15</v>
      </c>
      <c r="F4766" s="1">
        <v>2</v>
      </c>
      <c r="G4766" s="1" t="s">
        <v>23</v>
      </c>
      <c r="H4766" s="4" t="str">
        <f>HYPERLINK("https://www.ncbi.nlm.nih.gov/geo/query/acc.cgi?acc=GSM1124931","GSM1124931")</f>
        <v>GSM1124931</v>
      </c>
      <c r="I4766" t="s">
        <v>17</v>
      </c>
      <c r="J4766" t="s">
        <v>18</v>
      </c>
      <c r="K4766" t="s">
        <v>19</v>
      </c>
      <c r="L4766" t="s">
        <v>20</v>
      </c>
      <c r="M4766" t="s">
        <v>24</v>
      </c>
      <c r="N4766" t="s">
        <v>22</v>
      </c>
    </row>
    <row r="4767" spans="1:14">
      <c r="A4767" s="4" t="str">
        <f t="shared" si="458"/>
        <v>EXP00168</v>
      </c>
      <c r="B4767" s="4" t="str">
        <f t="shared" si="456"/>
        <v>24287398</v>
      </c>
      <c r="C4767" s="4" t="str">
        <f t="shared" si="457"/>
        <v>GSE46141</v>
      </c>
      <c r="D4767" s="1" t="s">
        <v>298</v>
      </c>
      <c r="E4767" t="s">
        <v>15</v>
      </c>
      <c r="F4767" s="1">
        <v>2</v>
      </c>
      <c r="G4767" s="1" t="s">
        <v>23</v>
      </c>
      <c r="H4767" s="4" t="str">
        <f>HYPERLINK("https://www.ncbi.nlm.nih.gov/geo/query/acc.cgi?acc=GSM1124935","GSM1124935")</f>
        <v>GSM1124935</v>
      </c>
      <c r="I4767" t="s">
        <v>17</v>
      </c>
      <c r="J4767" t="s">
        <v>18</v>
      </c>
      <c r="K4767" t="s">
        <v>19</v>
      </c>
      <c r="L4767" t="s">
        <v>20</v>
      </c>
      <c r="M4767" t="s">
        <v>24</v>
      </c>
      <c r="N4767" t="s">
        <v>22</v>
      </c>
    </row>
    <row r="4768" spans="1:14">
      <c r="A4768" s="4" t="str">
        <f t="shared" si="458"/>
        <v>EXP00168</v>
      </c>
      <c r="B4768" s="4" t="str">
        <f t="shared" si="456"/>
        <v>24287398</v>
      </c>
      <c r="C4768" s="4" t="str">
        <f t="shared" si="457"/>
        <v>GSE46141</v>
      </c>
      <c r="D4768" s="1" t="s">
        <v>298</v>
      </c>
      <c r="E4768" t="s">
        <v>15</v>
      </c>
      <c r="F4768" s="1">
        <v>2</v>
      </c>
      <c r="G4768" s="1" t="s">
        <v>23</v>
      </c>
      <c r="H4768" s="4" t="str">
        <f>HYPERLINK("https://www.ncbi.nlm.nih.gov/geo/query/acc.cgi?acc=GSM1124936","GSM1124936")</f>
        <v>GSM1124936</v>
      </c>
      <c r="I4768" t="s">
        <v>17</v>
      </c>
      <c r="J4768" t="s">
        <v>18</v>
      </c>
      <c r="K4768" t="s">
        <v>19</v>
      </c>
      <c r="L4768" t="s">
        <v>20</v>
      </c>
      <c r="M4768" t="s">
        <v>24</v>
      </c>
      <c r="N4768" t="s">
        <v>22</v>
      </c>
    </row>
    <row r="4769" spans="1:14">
      <c r="A4769" s="4" t="str">
        <f t="shared" si="458"/>
        <v>EXP00168</v>
      </c>
      <c r="B4769" s="4" t="str">
        <f t="shared" si="456"/>
        <v>24287398</v>
      </c>
      <c r="C4769" s="4" t="str">
        <f t="shared" si="457"/>
        <v>GSE46141</v>
      </c>
      <c r="D4769" s="1" t="s">
        <v>298</v>
      </c>
      <c r="E4769" t="s">
        <v>15</v>
      </c>
      <c r="F4769" s="1">
        <v>2</v>
      </c>
      <c r="G4769" s="1" t="s">
        <v>23</v>
      </c>
      <c r="H4769" s="4" t="str">
        <f>HYPERLINK("https://www.ncbi.nlm.nih.gov/geo/query/acc.cgi?acc=GSM1124938","GSM1124938")</f>
        <v>GSM1124938</v>
      </c>
      <c r="I4769" t="s">
        <v>17</v>
      </c>
      <c r="J4769" t="s">
        <v>18</v>
      </c>
      <c r="K4769" t="s">
        <v>19</v>
      </c>
      <c r="L4769" t="s">
        <v>20</v>
      </c>
      <c r="M4769" t="s">
        <v>24</v>
      </c>
      <c r="N4769" t="s">
        <v>22</v>
      </c>
    </row>
    <row r="4770" spans="1:14">
      <c r="A4770" s="4" t="str">
        <f t="shared" si="458"/>
        <v>EXP00168</v>
      </c>
      <c r="B4770" s="4" t="str">
        <f t="shared" si="456"/>
        <v>24287398</v>
      </c>
      <c r="C4770" s="4" t="str">
        <f t="shared" si="457"/>
        <v>GSE46141</v>
      </c>
      <c r="D4770" s="1" t="s">
        <v>298</v>
      </c>
      <c r="E4770" t="s">
        <v>15</v>
      </c>
      <c r="F4770" s="1">
        <v>2</v>
      </c>
      <c r="G4770" s="1" t="s">
        <v>23</v>
      </c>
      <c r="H4770" s="4" t="str">
        <f>HYPERLINK("https://www.ncbi.nlm.nih.gov/geo/query/acc.cgi?acc=GSM1124940","GSM1124940")</f>
        <v>GSM1124940</v>
      </c>
      <c r="I4770" t="s">
        <v>17</v>
      </c>
      <c r="J4770" t="s">
        <v>18</v>
      </c>
      <c r="K4770" t="s">
        <v>19</v>
      </c>
      <c r="L4770" t="s">
        <v>20</v>
      </c>
      <c r="M4770" t="s">
        <v>24</v>
      </c>
      <c r="N4770" t="s">
        <v>22</v>
      </c>
    </row>
    <row r="4771" spans="1:14">
      <c r="A4771" s="4" t="str">
        <f t="shared" si="458"/>
        <v>EXP00168</v>
      </c>
      <c r="B4771" s="4" t="str">
        <f t="shared" si="456"/>
        <v>24287398</v>
      </c>
      <c r="C4771" s="4" t="str">
        <f t="shared" si="457"/>
        <v>GSE46141</v>
      </c>
      <c r="D4771" s="1" t="s">
        <v>298</v>
      </c>
      <c r="E4771" t="s">
        <v>15</v>
      </c>
      <c r="F4771" s="1">
        <v>2</v>
      </c>
      <c r="G4771" s="1" t="s">
        <v>23</v>
      </c>
      <c r="H4771" s="4" t="str">
        <f>HYPERLINK("https://www.ncbi.nlm.nih.gov/geo/query/acc.cgi?acc=GSM1124941","GSM1124941")</f>
        <v>GSM1124941</v>
      </c>
      <c r="I4771" t="s">
        <v>17</v>
      </c>
      <c r="J4771" t="s">
        <v>18</v>
      </c>
      <c r="K4771" t="s">
        <v>19</v>
      </c>
      <c r="L4771" t="s">
        <v>20</v>
      </c>
      <c r="M4771" t="s">
        <v>24</v>
      </c>
      <c r="N4771" t="s">
        <v>22</v>
      </c>
    </row>
    <row r="4772" spans="1:14">
      <c r="A4772" s="4" t="str">
        <f t="shared" si="458"/>
        <v>EXP00168</v>
      </c>
      <c r="B4772" s="4" t="str">
        <f t="shared" si="456"/>
        <v>24287398</v>
      </c>
      <c r="C4772" s="4" t="str">
        <f t="shared" si="457"/>
        <v>GSE46141</v>
      </c>
      <c r="D4772" s="1" t="s">
        <v>298</v>
      </c>
      <c r="E4772" t="s">
        <v>15</v>
      </c>
      <c r="F4772" s="1">
        <v>2</v>
      </c>
      <c r="G4772" s="1" t="s">
        <v>23</v>
      </c>
      <c r="H4772" s="4" t="str">
        <f>HYPERLINK("https://www.ncbi.nlm.nih.gov/geo/query/acc.cgi?acc=GSM1124942","GSM1124942")</f>
        <v>GSM1124942</v>
      </c>
      <c r="I4772" t="s">
        <v>17</v>
      </c>
      <c r="J4772" t="s">
        <v>18</v>
      </c>
      <c r="K4772" t="s">
        <v>19</v>
      </c>
      <c r="L4772" t="s">
        <v>20</v>
      </c>
      <c r="M4772" t="s">
        <v>24</v>
      </c>
      <c r="N4772" t="s">
        <v>22</v>
      </c>
    </row>
    <row r="4773" spans="1:14">
      <c r="A4773" s="4" t="str">
        <f t="shared" si="458"/>
        <v>EXP00168</v>
      </c>
      <c r="B4773" s="4" t="str">
        <f t="shared" si="456"/>
        <v>24287398</v>
      </c>
      <c r="C4773" s="4" t="str">
        <f t="shared" si="457"/>
        <v>GSE46141</v>
      </c>
      <c r="D4773" s="1" t="s">
        <v>298</v>
      </c>
      <c r="E4773" t="s">
        <v>15</v>
      </c>
      <c r="F4773" s="1">
        <v>2</v>
      </c>
      <c r="G4773" s="1" t="s">
        <v>23</v>
      </c>
      <c r="H4773" s="4" t="str">
        <f>HYPERLINK("https://www.ncbi.nlm.nih.gov/geo/query/acc.cgi?acc=GSM1124943","GSM1124943")</f>
        <v>GSM1124943</v>
      </c>
      <c r="I4773" t="s">
        <v>17</v>
      </c>
      <c r="J4773" t="s">
        <v>18</v>
      </c>
      <c r="K4773" t="s">
        <v>19</v>
      </c>
      <c r="L4773" t="s">
        <v>20</v>
      </c>
      <c r="M4773" t="s">
        <v>24</v>
      </c>
      <c r="N4773" t="s">
        <v>22</v>
      </c>
    </row>
    <row r="4774" spans="1:14">
      <c r="A4774" s="4" t="str">
        <f t="shared" si="458"/>
        <v>EXP00168</v>
      </c>
      <c r="B4774" s="4" t="str">
        <f t="shared" si="456"/>
        <v>24287398</v>
      </c>
      <c r="C4774" s="4" t="str">
        <f t="shared" si="457"/>
        <v>GSE46141</v>
      </c>
      <c r="D4774" s="1" t="s">
        <v>298</v>
      </c>
      <c r="E4774" t="s">
        <v>15</v>
      </c>
      <c r="F4774" s="1">
        <v>2</v>
      </c>
      <c r="G4774" s="1" t="s">
        <v>23</v>
      </c>
      <c r="H4774" s="4" t="str">
        <f>HYPERLINK("https://www.ncbi.nlm.nih.gov/geo/query/acc.cgi?acc=GSM1124948","GSM1124948")</f>
        <v>GSM1124948</v>
      </c>
      <c r="I4774" t="s">
        <v>17</v>
      </c>
      <c r="J4774" t="s">
        <v>18</v>
      </c>
      <c r="K4774" t="s">
        <v>19</v>
      </c>
      <c r="L4774" t="s">
        <v>20</v>
      </c>
      <c r="M4774" t="s">
        <v>24</v>
      </c>
      <c r="N4774" t="s">
        <v>22</v>
      </c>
    </row>
    <row r="4775" spans="1:14">
      <c r="A4775" s="4" t="str">
        <f t="shared" si="458"/>
        <v>EXP00168</v>
      </c>
      <c r="B4775" s="4" t="str">
        <f t="shared" si="456"/>
        <v>24287398</v>
      </c>
      <c r="C4775" s="4" t="str">
        <f t="shared" si="457"/>
        <v>GSE46141</v>
      </c>
      <c r="D4775" s="1" t="s">
        <v>298</v>
      </c>
      <c r="E4775" t="s">
        <v>15</v>
      </c>
      <c r="F4775" s="1">
        <v>2</v>
      </c>
      <c r="G4775" s="1" t="s">
        <v>23</v>
      </c>
      <c r="H4775" s="4" t="str">
        <f>HYPERLINK("https://www.ncbi.nlm.nih.gov/geo/query/acc.cgi?acc=GSM1124949","GSM1124949")</f>
        <v>GSM1124949</v>
      </c>
      <c r="I4775" t="s">
        <v>17</v>
      </c>
      <c r="J4775" t="s">
        <v>18</v>
      </c>
      <c r="K4775" t="s">
        <v>19</v>
      </c>
      <c r="L4775" t="s">
        <v>20</v>
      </c>
      <c r="M4775" t="s">
        <v>24</v>
      </c>
      <c r="N4775" t="s">
        <v>22</v>
      </c>
    </row>
    <row r="4776" spans="1:14">
      <c r="A4776" s="4" t="str">
        <f t="shared" si="458"/>
        <v>EXP00168</v>
      </c>
      <c r="B4776" s="4" t="str">
        <f t="shared" si="456"/>
        <v>24287398</v>
      </c>
      <c r="C4776" s="4" t="str">
        <f t="shared" si="457"/>
        <v>GSE46141</v>
      </c>
      <c r="D4776" s="1" t="s">
        <v>298</v>
      </c>
      <c r="E4776" t="s">
        <v>15</v>
      </c>
      <c r="F4776" s="1">
        <v>2</v>
      </c>
      <c r="G4776" s="1" t="s">
        <v>23</v>
      </c>
      <c r="H4776" s="4" t="str">
        <f>HYPERLINK("https://www.ncbi.nlm.nih.gov/geo/query/acc.cgi?acc=GSM1124950","GSM1124950")</f>
        <v>GSM1124950</v>
      </c>
      <c r="I4776" t="s">
        <v>17</v>
      </c>
      <c r="J4776" t="s">
        <v>18</v>
      </c>
      <c r="K4776" t="s">
        <v>19</v>
      </c>
      <c r="L4776" t="s">
        <v>20</v>
      </c>
      <c r="M4776" t="s">
        <v>24</v>
      </c>
      <c r="N4776" t="s">
        <v>22</v>
      </c>
    </row>
    <row r="4777" spans="1:14">
      <c r="A4777" s="4" t="str">
        <f t="shared" si="458"/>
        <v>EXP00168</v>
      </c>
      <c r="B4777" s="4" t="str">
        <f t="shared" si="456"/>
        <v>24287398</v>
      </c>
      <c r="C4777" s="4" t="str">
        <f t="shared" si="457"/>
        <v>GSE46141</v>
      </c>
      <c r="D4777" s="1" t="s">
        <v>298</v>
      </c>
      <c r="E4777" t="s">
        <v>15</v>
      </c>
      <c r="F4777" s="1">
        <v>2</v>
      </c>
      <c r="G4777" s="1" t="s">
        <v>23</v>
      </c>
      <c r="H4777" s="4" t="str">
        <f>HYPERLINK("https://www.ncbi.nlm.nih.gov/geo/query/acc.cgi?acc=GSM1124954","GSM1124954")</f>
        <v>GSM1124954</v>
      </c>
      <c r="I4777" t="s">
        <v>17</v>
      </c>
      <c r="J4777" t="s">
        <v>18</v>
      </c>
      <c r="K4777" t="s">
        <v>19</v>
      </c>
      <c r="L4777" t="s">
        <v>20</v>
      </c>
      <c r="M4777" t="s">
        <v>24</v>
      </c>
      <c r="N4777" t="s">
        <v>22</v>
      </c>
    </row>
    <row r="4778" spans="1:14">
      <c r="A4778" s="4" t="str">
        <f t="shared" si="458"/>
        <v>EXP00168</v>
      </c>
      <c r="B4778" s="4" t="str">
        <f t="shared" si="456"/>
        <v>24287398</v>
      </c>
      <c r="C4778" s="4" t="str">
        <f t="shared" si="457"/>
        <v>GSE46141</v>
      </c>
      <c r="D4778" s="1" t="s">
        <v>298</v>
      </c>
      <c r="E4778" t="s">
        <v>15</v>
      </c>
      <c r="F4778" s="1">
        <v>2</v>
      </c>
      <c r="G4778" s="1" t="s">
        <v>23</v>
      </c>
      <c r="H4778" s="4" t="str">
        <f>HYPERLINK("https://www.ncbi.nlm.nih.gov/geo/query/acc.cgi?acc=GSM1124955","GSM1124955")</f>
        <v>GSM1124955</v>
      </c>
      <c r="I4778" t="s">
        <v>17</v>
      </c>
      <c r="J4778" t="s">
        <v>18</v>
      </c>
      <c r="K4778" t="s">
        <v>19</v>
      </c>
      <c r="L4778" t="s">
        <v>20</v>
      </c>
      <c r="M4778" t="s">
        <v>24</v>
      </c>
      <c r="N4778" t="s">
        <v>22</v>
      </c>
    </row>
    <row r="4779" spans="1:14">
      <c r="A4779" s="4" t="str">
        <f t="shared" si="458"/>
        <v>EXP00168</v>
      </c>
      <c r="B4779" s="4" t="str">
        <f t="shared" si="456"/>
        <v>24287398</v>
      </c>
      <c r="C4779" s="4" t="str">
        <f t="shared" si="457"/>
        <v>GSE46141</v>
      </c>
      <c r="D4779" s="1" t="s">
        <v>298</v>
      </c>
      <c r="E4779" t="s">
        <v>15</v>
      </c>
      <c r="F4779" s="1">
        <v>2</v>
      </c>
      <c r="G4779" s="1" t="s">
        <v>23</v>
      </c>
      <c r="H4779" s="4" t="str">
        <f>HYPERLINK("https://www.ncbi.nlm.nih.gov/geo/query/acc.cgi?acc=GSM1124956","GSM1124956")</f>
        <v>GSM1124956</v>
      </c>
      <c r="I4779" t="s">
        <v>17</v>
      </c>
      <c r="J4779" t="s">
        <v>18</v>
      </c>
      <c r="K4779" t="s">
        <v>19</v>
      </c>
      <c r="L4779" t="s">
        <v>20</v>
      </c>
      <c r="M4779" t="s">
        <v>24</v>
      </c>
      <c r="N4779" t="s">
        <v>22</v>
      </c>
    </row>
    <row r="4780" spans="1:14">
      <c r="A4780" s="4" t="str">
        <f t="shared" ref="A4780:A4812" si="459">HYPERLINK("http://hcmdb.i-sanger.com/experiment/details/experiment_id/EXP00169","EXP00169")</f>
        <v>EXP00169</v>
      </c>
      <c r="B4780" s="4" t="str">
        <f t="shared" si="456"/>
        <v>24287398</v>
      </c>
      <c r="C4780" s="4" t="str">
        <f t="shared" si="457"/>
        <v>GSE46141</v>
      </c>
      <c r="D4780" s="1" t="s">
        <v>298</v>
      </c>
      <c r="E4780" t="s">
        <v>15</v>
      </c>
      <c r="F4780" s="1">
        <v>1</v>
      </c>
      <c r="G4780" s="1" t="s">
        <v>63</v>
      </c>
      <c r="H4780" s="4" t="str">
        <f>HYPERLINK("https://www.ncbi.nlm.nih.gov/geo/query/acc.cgi?acc=GSM1124867","GSM1124867")</f>
        <v>GSM1124867</v>
      </c>
      <c r="I4780" t="s">
        <v>17</v>
      </c>
      <c r="J4780" t="s">
        <v>18</v>
      </c>
      <c r="K4780" t="s">
        <v>19</v>
      </c>
      <c r="L4780" t="s">
        <v>20</v>
      </c>
      <c r="M4780" t="s">
        <v>44</v>
      </c>
      <c r="N4780" t="s">
        <v>22</v>
      </c>
    </row>
    <row r="4781" spans="1:14">
      <c r="A4781" s="4" t="str">
        <f t="shared" si="459"/>
        <v>EXP00169</v>
      </c>
      <c r="B4781" s="4" t="str">
        <f t="shared" si="456"/>
        <v>24287398</v>
      </c>
      <c r="C4781" s="4" t="str">
        <f t="shared" si="457"/>
        <v>GSE46141</v>
      </c>
      <c r="D4781" s="1" t="s">
        <v>298</v>
      </c>
      <c r="E4781" t="s">
        <v>15</v>
      </c>
      <c r="F4781" s="1">
        <v>1</v>
      </c>
      <c r="G4781" s="1" t="s">
        <v>63</v>
      </c>
      <c r="H4781" s="4" t="str">
        <f>HYPERLINK("https://www.ncbi.nlm.nih.gov/geo/query/acc.cgi?acc=GSM1124868","GSM1124868")</f>
        <v>GSM1124868</v>
      </c>
      <c r="I4781" t="s">
        <v>17</v>
      </c>
      <c r="J4781" t="s">
        <v>18</v>
      </c>
      <c r="K4781" t="s">
        <v>19</v>
      </c>
      <c r="L4781" t="s">
        <v>20</v>
      </c>
      <c r="M4781" t="s">
        <v>44</v>
      </c>
      <c r="N4781" t="s">
        <v>22</v>
      </c>
    </row>
    <row r="4782" spans="1:14">
      <c r="A4782" s="4" t="str">
        <f t="shared" si="459"/>
        <v>EXP00169</v>
      </c>
      <c r="B4782" s="4" t="str">
        <f t="shared" si="456"/>
        <v>24287398</v>
      </c>
      <c r="C4782" s="4" t="str">
        <f t="shared" si="457"/>
        <v>GSE46141</v>
      </c>
      <c r="D4782" s="1" t="s">
        <v>298</v>
      </c>
      <c r="E4782" t="s">
        <v>15</v>
      </c>
      <c r="F4782" s="1">
        <v>1</v>
      </c>
      <c r="G4782" s="1" t="s">
        <v>63</v>
      </c>
      <c r="H4782" s="4" t="str">
        <f>HYPERLINK("https://www.ncbi.nlm.nih.gov/geo/query/acc.cgi?acc=GSM1124878","GSM1124878")</f>
        <v>GSM1124878</v>
      </c>
      <c r="I4782" t="s">
        <v>17</v>
      </c>
      <c r="J4782" t="s">
        <v>18</v>
      </c>
      <c r="K4782" t="s">
        <v>19</v>
      </c>
      <c r="L4782" t="s">
        <v>20</v>
      </c>
      <c r="M4782" t="s">
        <v>44</v>
      </c>
      <c r="N4782" t="s">
        <v>22</v>
      </c>
    </row>
    <row r="4783" spans="1:14">
      <c r="A4783" s="4" t="str">
        <f t="shared" si="459"/>
        <v>EXP00169</v>
      </c>
      <c r="B4783" s="4" t="str">
        <f t="shared" si="456"/>
        <v>24287398</v>
      </c>
      <c r="C4783" s="4" t="str">
        <f t="shared" si="457"/>
        <v>GSE46141</v>
      </c>
      <c r="D4783" s="1" t="s">
        <v>298</v>
      </c>
      <c r="E4783" t="s">
        <v>15</v>
      </c>
      <c r="F4783" s="1">
        <v>1</v>
      </c>
      <c r="G4783" s="1" t="s">
        <v>63</v>
      </c>
      <c r="H4783" s="4" t="str">
        <f>HYPERLINK("https://www.ncbi.nlm.nih.gov/geo/query/acc.cgi?acc=GSM1124895","GSM1124895")</f>
        <v>GSM1124895</v>
      </c>
      <c r="I4783" t="s">
        <v>17</v>
      </c>
      <c r="J4783" t="s">
        <v>18</v>
      </c>
      <c r="K4783" t="s">
        <v>19</v>
      </c>
      <c r="L4783" t="s">
        <v>20</v>
      </c>
      <c r="M4783" t="s">
        <v>44</v>
      </c>
      <c r="N4783" t="s">
        <v>22</v>
      </c>
    </row>
    <row r="4784" spans="1:14">
      <c r="A4784" s="4" t="str">
        <f t="shared" si="459"/>
        <v>EXP00169</v>
      </c>
      <c r="B4784" s="4" t="str">
        <f t="shared" si="456"/>
        <v>24287398</v>
      </c>
      <c r="C4784" s="4" t="str">
        <f t="shared" si="457"/>
        <v>GSE46141</v>
      </c>
      <c r="D4784" s="1" t="s">
        <v>298</v>
      </c>
      <c r="E4784" t="s">
        <v>15</v>
      </c>
      <c r="F4784" s="1">
        <v>1</v>
      </c>
      <c r="G4784" s="1" t="s">
        <v>63</v>
      </c>
      <c r="H4784" s="4" t="str">
        <f>HYPERLINK("https://www.ncbi.nlm.nih.gov/geo/query/acc.cgi?acc=GSM1124897","GSM1124897")</f>
        <v>GSM1124897</v>
      </c>
      <c r="I4784" t="s">
        <v>17</v>
      </c>
      <c r="J4784" t="s">
        <v>18</v>
      </c>
      <c r="K4784" t="s">
        <v>19</v>
      </c>
      <c r="L4784" t="s">
        <v>20</v>
      </c>
      <c r="M4784" t="s">
        <v>44</v>
      </c>
      <c r="N4784" t="s">
        <v>22</v>
      </c>
    </row>
    <row r="4785" spans="1:14">
      <c r="A4785" s="4" t="str">
        <f t="shared" si="459"/>
        <v>EXP00169</v>
      </c>
      <c r="B4785" s="4" t="str">
        <f t="shared" si="456"/>
        <v>24287398</v>
      </c>
      <c r="C4785" s="4" t="str">
        <f t="shared" si="457"/>
        <v>GSE46141</v>
      </c>
      <c r="D4785" s="1" t="s">
        <v>298</v>
      </c>
      <c r="E4785" t="s">
        <v>15</v>
      </c>
      <c r="F4785" s="1">
        <v>1</v>
      </c>
      <c r="G4785" s="1" t="s">
        <v>63</v>
      </c>
      <c r="H4785" s="4" t="str">
        <f>HYPERLINK("https://www.ncbi.nlm.nih.gov/geo/query/acc.cgi?acc=GSM1124902","GSM1124902")</f>
        <v>GSM1124902</v>
      </c>
      <c r="I4785" t="s">
        <v>17</v>
      </c>
      <c r="J4785" t="s">
        <v>18</v>
      </c>
      <c r="K4785" t="s">
        <v>19</v>
      </c>
      <c r="L4785" t="s">
        <v>20</v>
      </c>
      <c r="M4785" t="s">
        <v>44</v>
      </c>
      <c r="N4785" t="s">
        <v>22</v>
      </c>
    </row>
    <row r="4786" spans="1:14">
      <c r="A4786" s="4" t="str">
        <f t="shared" si="459"/>
        <v>EXP00169</v>
      </c>
      <c r="B4786" s="4" t="str">
        <f t="shared" si="456"/>
        <v>24287398</v>
      </c>
      <c r="C4786" s="4" t="str">
        <f t="shared" si="457"/>
        <v>GSE46141</v>
      </c>
      <c r="D4786" s="1" t="s">
        <v>298</v>
      </c>
      <c r="E4786" t="s">
        <v>15</v>
      </c>
      <c r="F4786" s="1">
        <v>1</v>
      </c>
      <c r="G4786" s="1" t="s">
        <v>63</v>
      </c>
      <c r="H4786" s="4" t="str">
        <f>HYPERLINK("https://www.ncbi.nlm.nih.gov/geo/query/acc.cgi?acc=GSM1124908","GSM1124908")</f>
        <v>GSM1124908</v>
      </c>
      <c r="I4786" t="s">
        <v>17</v>
      </c>
      <c r="J4786" t="s">
        <v>18</v>
      </c>
      <c r="K4786" t="s">
        <v>19</v>
      </c>
      <c r="L4786" t="s">
        <v>20</v>
      </c>
      <c r="M4786" t="s">
        <v>44</v>
      </c>
      <c r="N4786" t="s">
        <v>22</v>
      </c>
    </row>
    <row r="4787" spans="1:14">
      <c r="A4787" s="4" t="str">
        <f t="shared" si="459"/>
        <v>EXP00169</v>
      </c>
      <c r="B4787" s="4" t="str">
        <f t="shared" si="456"/>
        <v>24287398</v>
      </c>
      <c r="C4787" s="4" t="str">
        <f t="shared" si="457"/>
        <v>GSE46141</v>
      </c>
      <c r="D4787" s="1" t="s">
        <v>298</v>
      </c>
      <c r="E4787" t="s">
        <v>15</v>
      </c>
      <c r="F4787" s="1">
        <v>1</v>
      </c>
      <c r="G4787" s="1" t="s">
        <v>63</v>
      </c>
      <c r="H4787" s="4" t="str">
        <f>HYPERLINK("https://www.ncbi.nlm.nih.gov/geo/query/acc.cgi?acc=GSM1124921","GSM1124921")</f>
        <v>GSM1124921</v>
      </c>
      <c r="I4787" t="s">
        <v>17</v>
      </c>
      <c r="J4787" t="s">
        <v>18</v>
      </c>
      <c r="K4787" t="s">
        <v>19</v>
      </c>
      <c r="L4787" t="s">
        <v>20</v>
      </c>
      <c r="M4787" t="s">
        <v>44</v>
      </c>
      <c r="N4787" t="s">
        <v>22</v>
      </c>
    </row>
    <row r="4788" spans="1:14">
      <c r="A4788" s="4" t="str">
        <f t="shared" si="459"/>
        <v>EXP00169</v>
      </c>
      <c r="B4788" s="4" t="str">
        <f t="shared" si="456"/>
        <v>24287398</v>
      </c>
      <c r="C4788" s="4" t="str">
        <f t="shared" si="457"/>
        <v>GSE46141</v>
      </c>
      <c r="D4788" s="1" t="s">
        <v>298</v>
      </c>
      <c r="E4788" t="s">
        <v>15</v>
      </c>
      <c r="F4788" s="1">
        <v>1</v>
      </c>
      <c r="G4788" s="1" t="s">
        <v>63</v>
      </c>
      <c r="H4788" s="4" t="str">
        <f>HYPERLINK("https://www.ncbi.nlm.nih.gov/geo/query/acc.cgi?acc=GSM1124939","GSM1124939")</f>
        <v>GSM1124939</v>
      </c>
      <c r="I4788" t="s">
        <v>17</v>
      </c>
      <c r="J4788" t="s">
        <v>18</v>
      </c>
      <c r="K4788" t="s">
        <v>19</v>
      </c>
      <c r="L4788" t="s">
        <v>20</v>
      </c>
      <c r="M4788" t="s">
        <v>44</v>
      </c>
      <c r="N4788" t="s">
        <v>22</v>
      </c>
    </row>
    <row r="4789" spans="1:14">
      <c r="A4789" s="4" t="str">
        <f t="shared" si="459"/>
        <v>EXP00169</v>
      </c>
      <c r="B4789" s="4" t="str">
        <f t="shared" si="456"/>
        <v>24287398</v>
      </c>
      <c r="C4789" s="4" t="str">
        <f t="shared" si="457"/>
        <v>GSE46141</v>
      </c>
      <c r="D4789" s="1" t="s">
        <v>298</v>
      </c>
      <c r="E4789" t="s">
        <v>15</v>
      </c>
      <c r="F4789" s="1">
        <v>1</v>
      </c>
      <c r="G4789" s="1" t="s">
        <v>63</v>
      </c>
      <c r="H4789" s="4" t="str">
        <f>HYPERLINK("https://www.ncbi.nlm.nih.gov/geo/query/acc.cgi?acc=GSM1124944","GSM1124944")</f>
        <v>GSM1124944</v>
      </c>
      <c r="I4789" t="s">
        <v>17</v>
      </c>
      <c r="J4789" t="s">
        <v>18</v>
      </c>
      <c r="K4789" t="s">
        <v>19</v>
      </c>
      <c r="L4789" t="s">
        <v>20</v>
      </c>
      <c r="M4789" t="s">
        <v>44</v>
      </c>
      <c r="N4789" t="s">
        <v>22</v>
      </c>
    </row>
    <row r="4790" spans="1:14">
      <c r="A4790" s="4" t="str">
        <f t="shared" si="459"/>
        <v>EXP00169</v>
      </c>
      <c r="B4790" s="4" t="str">
        <f t="shared" si="456"/>
        <v>24287398</v>
      </c>
      <c r="C4790" s="4" t="str">
        <f t="shared" si="457"/>
        <v>GSE46141</v>
      </c>
      <c r="D4790" s="1" t="s">
        <v>298</v>
      </c>
      <c r="E4790" t="s">
        <v>15</v>
      </c>
      <c r="F4790" s="1">
        <v>1</v>
      </c>
      <c r="G4790" s="1" t="s">
        <v>63</v>
      </c>
      <c r="H4790" s="4" t="str">
        <f>HYPERLINK("https://www.ncbi.nlm.nih.gov/geo/query/acc.cgi?acc=GSM1124945","GSM1124945")</f>
        <v>GSM1124945</v>
      </c>
      <c r="I4790" t="s">
        <v>17</v>
      </c>
      <c r="J4790" t="s">
        <v>18</v>
      </c>
      <c r="K4790" t="s">
        <v>19</v>
      </c>
      <c r="L4790" t="s">
        <v>20</v>
      </c>
      <c r="M4790" t="s">
        <v>44</v>
      </c>
      <c r="N4790" t="s">
        <v>22</v>
      </c>
    </row>
    <row r="4791" spans="1:14">
      <c r="A4791" s="4" t="str">
        <f t="shared" si="459"/>
        <v>EXP00169</v>
      </c>
      <c r="B4791" s="4" t="str">
        <f t="shared" si="456"/>
        <v>24287398</v>
      </c>
      <c r="C4791" s="4" t="str">
        <f t="shared" si="457"/>
        <v>GSE46141</v>
      </c>
      <c r="D4791" s="1" t="s">
        <v>298</v>
      </c>
      <c r="E4791" t="s">
        <v>15</v>
      </c>
      <c r="F4791" s="1">
        <v>1</v>
      </c>
      <c r="G4791" s="1" t="s">
        <v>63</v>
      </c>
      <c r="H4791" s="4" t="str">
        <f>HYPERLINK("https://www.ncbi.nlm.nih.gov/geo/query/acc.cgi?acc=GSM1124946","GSM1124946")</f>
        <v>GSM1124946</v>
      </c>
      <c r="I4791" t="s">
        <v>17</v>
      </c>
      <c r="J4791" t="s">
        <v>18</v>
      </c>
      <c r="K4791" t="s">
        <v>19</v>
      </c>
      <c r="L4791" t="s">
        <v>20</v>
      </c>
      <c r="M4791" t="s">
        <v>44</v>
      </c>
      <c r="N4791" t="s">
        <v>22</v>
      </c>
    </row>
    <row r="4792" spans="1:14">
      <c r="A4792" s="4" t="str">
        <f t="shared" si="459"/>
        <v>EXP00169</v>
      </c>
      <c r="B4792" s="4" t="str">
        <f t="shared" si="456"/>
        <v>24287398</v>
      </c>
      <c r="C4792" s="4" t="str">
        <f t="shared" si="457"/>
        <v>GSE46141</v>
      </c>
      <c r="D4792" s="1" t="s">
        <v>298</v>
      </c>
      <c r="E4792" t="s">
        <v>15</v>
      </c>
      <c r="F4792" s="1">
        <v>1</v>
      </c>
      <c r="G4792" s="1" t="s">
        <v>63</v>
      </c>
      <c r="H4792" s="4" t="str">
        <f>HYPERLINK("https://www.ncbi.nlm.nih.gov/geo/query/acc.cgi?acc=GSM1124947","GSM1124947")</f>
        <v>GSM1124947</v>
      </c>
      <c r="I4792" t="s">
        <v>17</v>
      </c>
      <c r="J4792" t="s">
        <v>18</v>
      </c>
      <c r="K4792" t="s">
        <v>19</v>
      </c>
      <c r="L4792" t="s">
        <v>20</v>
      </c>
      <c r="M4792" t="s">
        <v>44</v>
      </c>
      <c r="N4792" t="s">
        <v>22</v>
      </c>
    </row>
    <row r="4793" spans="1:14">
      <c r="A4793" s="4" t="str">
        <f t="shared" si="459"/>
        <v>EXP00169</v>
      </c>
      <c r="B4793" s="4" t="str">
        <f t="shared" si="456"/>
        <v>24287398</v>
      </c>
      <c r="C4793" s="4" t="str">
        <f t="shared" si="457"/>
        <v>GSE46141</v>
      </c>
      <c r="D4793" s="1" t="s">
        <v>298</v>
      </c>
      <c r="E4793" t="s">
        <v>15</v>
      </c>
      <c r="F4793" s="1">
        <v>1</v>
      </c>
      <c r="G4793" s="1" t="s">
        <v>63</v>
      </c>
      <c r="H4793" s="4" t="str">
        <f>HYPERLINK("https://www.ncbi.nlm.nih.gov/geo/query/acc.cgi?acc=GSM1124951","GSM1124951")</f>
        <v>GSM1124951</v>
      </c>
      <c r="I4793" t="s">
        <v>17</v>
      </c>
      <c r="J4793" t="s">
        <v>18</v>
      </c>
      <c r="K4793" t="s">
        <v>19</v>
      </c>
      <c r="L4793" t="s">
        <v>20</v>
      </c>
      <c r="M4793" t="s">
        <v>44</v>
      </c>
      <c r="N4793" t="s">
        <v>22</v>
      </c>
    </row>
    <row r="4794" spans="1:14">
      <c r="A4794" s="4" t="str">
        <f t="shared" si="459"/>
        <v>EXP00169</v>
      </c>
      <c r="B4794" s="4" t="str">
        <f t="shared" si="456"/>
        <v>24287398</v>
      </c>
      <c r="C4794" s="4" t="str">
        <f t="shared" si="457"/>
        <v>GSE46141</v>
      </c>
      <c r="D4794" s="1" t="s">
        <v>298</v>
      </c>
      <c r="E4794" t="s">
        <v>15</v>
      </c>
      <c r="F4794" s="1">
        <v>1</v>
      </c>
      <c r="G4794" s="1" t="s">
        <v>63</v>
      </c>
      <c r="H4794" s="4" t="str">
        <f>HYPERLINK("https://www.ncbi.nlm.nih.gov/geo/query/acc.cgi?acc=GSM1124952","GSM1124952")</f>
        <v>GSM1124952</v>
      </c>
      <c r="I4794" t="s">
        <v>17</v>
      </c>
      <c r="J4794" t="s">
        <v>18</v>
      </c>
      <c r="K4794" t="s">
        <v>19</v>
      </c>
      <c r="L4794" t="s">
        <v>20</v>
      </c>
      <c r="M4794" t="s">
        <v>44</v>
      </c>
      <c r="N4794" t="s">
        <v>22</v>
      </c>
    </row>
    <row r="4795" spans="1:14">
      <c r="A4795" s="4" t="str">
        <f t="shared" si="459"/>
        <v>EXP00169</v>
      </c>
      <c r="B4795" s="4" t="str">
        <f t="shared" si="456"/>
        <v>24287398</v>
      </c>
      <c r="C4795" s="4" t="str">
        <f t="shared" si="457"/>
        <v>GSE46141</v>
      </c>
      <c r="D4795" s="1" t="s">
        <v>298</v>
      </c>
      <c r="E4795" t="s">
        <v>15</v>
      </c>
      <c r="F4795" s="1">
        <v>1</v>
      </c>
      <c r="G4795" s="1" t="s">
        <v>63</v>
      </c>
      <c r="H4795" s="4" t="str">
        <f>HYPERLINK("https://www.ncbi.nlm.nih.gov/geo/query/acc.cgi?acc=GSM1124957","GSM1124957")</f>
        <v>GSM1124957</v>
      </c>
      <c r="I4795" t="s">
        <v>17</v>
      </c>
      <c r="J4795" t="s">
        <v>18</v>
      </c>
      <c r="K4795" t="s">
        <v>19</v>
      </c>
      <c r="L4795" t="s">
        <v>20</v>
      </c>
      <c r="M4795" t="s">
        <v>44</v>
      </c>
      <c r="N4795" t="s">
        <v>22</v>
      </c>
    </row>
    <row r="4796" spans="1:14">
      <c r="A4796" s="4" t="str">
        <f t="shared" si="459"/>
        <v>EXP00169</v>
      </c>
      <c r="B4796" s="4" t="str">
        <f t="shared" si="456"/>
        <v>24287398</v>
      </c>
      <c r="C4796" s="4" t="str">
        <f t="shared" si="457"/>
        <v>GSE46141</v>
      </c>
      <c r="D4796" s="1" t="s">
        <v>298</v>
      </c>
      <c r="E4796" t="s">
        <v>15</v>
      </c>
      <c r="F4796" s="1">
        <v>2</v>
      </c>
      <c r="G4796" s="1" t="s">
        <v>224</v>
      </c>
      <c r="H4796" s="4" t="str">
        <f>HYPERLINK("https://www.ncbi.nlm.nih.gov/geo/query/acc.cgi?acc=GSM1124872","GSM1124872")</f>
        <v>GSM1124872</v>
      </c>
      <c r="I4796" t="s">
        <v>17</v>
      </c>
      <c r="J4796" t="s">
        <v>18</v>
      </c>
      <c r="K4796" t="s">
        <v>19</v>
      </c>
      <c r="L4796" t="s">
        <v>20</v>
      </c>
      <c r="M4796" t="s">
        <v>27</v>
      </c>
      <c r="N4796" t="s">
        <v>22</v>
      </c>
    </row>
    <row r="4797" spans="1:14">
      <c r="A4797" s="4" t="str">
        <f t="shared" si="459"/>
        <v>EXP00169</v>
      </c>
      <c r="B4797" s="4" t="str">
        <f t="shared" si="456"/>
        <v>24287398</v>
      </c>
      <c r="C4797" s="4" t="str">
        <f t="shared" si="457"/>
        <v>GSE46141</v>
      </c>
      <c r="D4797" s="1" t="s">
        <v>298</v>
      </c>
      <c r="E4797" t="s">
        <v>15</v>
      </c>
      <c r="F4797" s="1">
        <v>2</v>
      </c>
      <c r="G4797" s="1" t="s">
        <v>224</v>
      </c>
      <c r="H4797" s="4" t="str">
        <f>HYPERLINK("https://www.ncbi.nlm.nih.gov/geo/query/acc.cgi?acc=GSM1124873","GSM1124873")</f>
        <v>GSM1124873</v>
      </c>
      <c r="I4797" t="s">
        <v>17</v>
      </c>
      <c r="J4797" t="s">
        <v>18</v>
      </c>
      <c r="K4797" t="s">
        <v>19</v>
      </c>
      <c r="L4797" t="s">
        <v>20</v>
      </c>
      <c r="M4797" t="s">
        <v>27</v>
      </c>
      <c r="N4797" t="s">
        <v>22</v>
      </c>
    </row>
    <row r="4798" spans="1:14">
      <c r="A4798" s="4" t="str">
        <f t="shared" si="459"/>
        <v>EXP00169</v>
      </c>
      <c r="B4798" s="4" t="str">
        <f t="shared" si="456"/>
        <v>24287398</v>
      </c>
      <c r="C4798" s="4" t="str">
        <f t="shared" si="457"/>
        <v>GSE46141</v>
      </c>
      <c r="D4798" s="1" t="s">
        <v>298</v>
      </c>
      <c r="E4798" t="s">
        <v>15</v>
      </c>
      <c r="F4798" s="1">
        <v>2</v>
      </c>
      <c r="G4798" s="1" t="s">
        <v>224</v>
      </c>
      <c r="H4798" s="4" t="str">
        <f>HYPERLINK("https://www.ncbi.nlm.nih.gov/geo/query/acc.cgi?acc=GSM1124876","GSM1124876")</f>
        <v>GSM1124876</v>
      </c>
      <c r="I4798" t="s">
        <v>17</v>
      </c>
      <c r="J4798" t="s">
        <v>18</v>
      </c>
      <c r="K4798" t="s">
        <v>19</v>
      </c>
      <c r="L4798" t="s">
        <v>20</v>
      </c>
      <c r="M4798" t="s">
        <v>27</v>
      </c>
      <c r="N4798" t="s">
        <v>22</v>
      </c>
    </row>
    <row r="4799" spans="1:14">
      <c r="A4799" s="4" t="str">
        <f t="shared" si="459"/>
        <v>EXP00169</v>
      </c>
      <c r="B4799" s="4" t="str">
        <f t="shared" ref="B4799:B4862" si="460">HYPERLINK("https://www.ncbi.nlm.nih.gov/pubmed/24287398","24287398")</f>
        <v>24287398</v>
      </c>
      <c r="C4799" s="4" t="str">
        <f t="shared" ref="C4799:C4862" si="461">HYPERLINK("https://www.ncbi.nlm.nih.gov/geo/query/acc.cgi?acc=GSE46141","GSE46141")</f>
        <v>GSE46141</v>
      </c>
      <c r="D4799" s="1" t="s">
        <v>298</v>
      </c>
      <c r="E4799" t="s">
        <v>15</v>
      </c>
      <c r="F4799" s="1">
        <v>2</v>
      </c>
      <c r="G4799" s="1" t="s">
        <v>224</v>
      </c>
      <c r="H4799" s="4" t="str">
        <f>HYPERLINK("https://www.ncbi.nlm.nih.gov/geo/query/acc.cgi?acc=GSM1124877","GSM1124877")</f>
        <v>GSM1124877</v>
      </c>
      <c r="I4799" t="s">
        <v>17</v>
      </c>
      <c r="J4799" t="s">
        <v>18</v>
      </c>
      <c r="K4799" t="s">
        <v>19</v>
      </c>
      <c r="L4799" t="s">
        <v>20</v>
      </c>
      <c r="M4799" t="s">
        <v>27</v>
      </c>
      <c r="N4799" t="s">
        <v>22</v>
      </c>
    </row>
    <row r="4800" spans="1:14">
      <c r="A4800" s="4" t="str">
        <f t="shared" si="459"/>
        <v>EXP00169</v>
      </c>
      <c r="B4800" s="4" t="str">
        <f t="shared" si="460"/>
        <v>24287398</v>
      </c>
      <c r="C4800" s="4" t="str">
        <f t="shared" si="461"/>
        <v>GSE46141</v>
      </c>
      <c r="D4800" s="1" t="s">
        <v>298</v>
      </c>
      <c r="E4800" t="s">
        <v>15</v>
      </c>
      <c r="F4800" s="1">
        <v>2</v>
      </c>
      <c r="G4800" s="1" t="s">
        <v>224</v>
      </c>
      <c r="H4800" s="4" t="str">
        <f>HYPERLINK("https://www.ncbi.nlm.nih.gov/geo/query/acc.cgi?acc=GSM1124879","GSM1124879")</f>
        <v>GSM1124879</v>
      </c>
      <c r="I4800" t="s">
        <v>17</v>
      </c>
      <c r="J4800" t="s">
        <v>18</v>
      </c>
      <c r="K4800" t="s">
        <v>19</v>
      </c>
      <c r="L4800" t="s">
        <v>20</v>
      </c>
      <c r="M4800" t="s">
        <v>27</v>
      </c>
      <c r="N4800" t="s">
        <v>22</v>
      </c>
    </row>
    <row r="4801" spans="1:14">
      <c r="A4801" s="4" t="str">
        <f t="shared" si="459"/>
        <v>EXP00169</v>
      </c>
      <c r="B4801" s="4" t="str">
        <f t="shared" si="460"/>
        <v>24287398</v>
      </c>
      <c r="C4801" s="4" t="str">
        <f t="shared" si="461"/>
        <v>GSE46141</v>
      </c>
      <c r="D4801" s="1" t="s">
        <v>298</v>
      </c>
      <c r="E4801" t="s">
        <v>15</v>
      </c>
      <c r="F4801" s="1">
        <v>2</v>
      </c>
      <c r="G4801" s="1" t="s">
        <v>224</v>
      </c>
      <c r="H4801" s="4" t="str">
        <f>HYPERLINK("https://www.ncbi.nlm.nih.gov/geo/query/acc.cgi?acc=GSM1124883","GSM1124883")</f>
        <v>GSM1124883</v>
      </c>
      <c r="I4801" t="s">
        <v>17</v>
      </c>
      <c r="J4801" t="s">
        <v>18</v>
      </c>
      <c r="K4801" t="s">
        <v>19</v>
      </c>
      <c r="L4801" t="s">
        <v>20</v>
      </c>
      <c r="M4801" t="s">
        <v>27</v>
      </c>
      <c r="N4801" t="s">
        <v>22</v>
      </c>
    </row>
    <row r="4802" spans="1:14">
      <c r="A4802" s="4" t="str">
        <f t="shared" si="459"/>
        <v>EXP00169</v>
      </c>
      <c r="B4802" s="4" t="str">
        <f t="shared" si="460"/>
        <v>24287398</v>
      </c>
      <c r="C4802" s="4" t="str">
        <f t="shared" si="461"/>
        <v>GSE46141</v>
      </c>
      <c r="D4802" s="1" t="s">
        <v>298</v>
      </c>
      <c r="E4802" t="s">
        <v>15</v>
      </c>
      <c r="F4802" s="1">
        <v>2</v>
      </c>
      <c r="G4802" s="1" t="s">
        <v>224</v>
      </c>
      <c r="H4802" s="4" t="str">
        <f>HYPERLINK("https://www.ncbi.nlm.nih.gov/geo/query/acc.cgi?acc=GSM1124889","GSM1124889")</f>
        <v>GSM1124889</v>
      </c>
      <c r="I4802" t="s">
        <v>17</v>
      </c>
      <c r="J4802" t="s">
        <v>18</v>
      </c>
      <c r="K4802" t="s">
        <v>19</v>
      </c>
      <c r="L4802" t="s">
        <v>20</v>
      </c>
      <c r="M4802" t="s">
        <v>27</v>
      </c>
      <c r="N4802" t="s">
        <v>22</v>
      </c>
    </row>
    <row r="4803" spans="1:14">
      <c r="A4803" s="4" t="str">
        <f t="shared" si="459"/>
        <v>EXP00169</v>
      </c>
      <c r="B4803" s="4" t="str">
        <f t="shared" si="460"/>
        <v>24287398</v>
      </c>
      <c r="C4803" s="4" t="str">
        <f t="shared" si="461"/>
        <v>GSE46141</v>
      </c>
      <c r="D4803" s="1" t="s">
        <v>298</v>
      </c>
      <c r="E4803" t="s">
        <v>15</v>
      </c>
      <c r="F4803" s="1">
        <v>2</v>
      </c>
      <c r="G4803" s="1" t="s">
        <v>224</v>
      </c>
      <c r="H4803" s="4" t="str">
        <f>HYPERLINK("https://www.ncbi.nlm.nih.gov/geo/query/acc.cgi?acc=GSM1124892","GSM1124892")</f>
        <v>GSM1124892</v>
      </c>
      <c r="I4803" t="s">
        <v>17</v>
      </c>
      <c r="J4803" t="s">
        <v>18</v>
      </c>
      <c r="K4803" t="s">
        <v>19</v>
      </c>
      <c r="L4803" t="s">
        <v>20</v>
      </c>
      <c r="M4803" t="s">
        <v>27</v>
      </c>
      <c r="N4803" t="s">
        <v>22</v>
      </c>
    </row>
    <row r="4804" spans="1:14">
      <c r="A4804" s="4" t="str">
        <f t="shared" si="459"/>
        <v>EXP00169</v>
      </c>
      <c r="B4804" s="4" t="str">
        <f t="shared" si="460"/>
        <v>24287398</v>
      </c>
      <c r="C4804" s="4" t="str">
        <f t="shared" si="461"/>
        <v>GSE46141</v>
      </c>
      <c r="D4804" s="1" t="s">
        <v>298</v>
      </c>
      <c r="E4804" t="s">
        <v>15</v>
      </c>
      <c r="F4804" s="1">
        <v>2</v>
      </c>
      <c r="G4804" s="1" t="s">
        <v>224</v>
      </c>
      <c r="H4804" s="4" t="str">
        <f>HYPERLINK("https://www.ncbi.nlm.nih.gov/geo/query/acc.cgi?acc=GSM1124893","GSM1124893")</f>
        <v>GSM1124893</v>
      </c>
      <c r="I4804" t="s">
        <v>17</v>
      </c>
      <c r="J4804" t="s">
        <v>18</v>
      </c>
      <c r="K4804" t="s">
        <v>19</v>
      </c>
      <c r="L4804" t="s">
        <v>20</v>
      </c>
      <c r="M4804" t="s">
        <v>27</v>
      </c>
      <c r="N4804" t="s">
        <v>22</v>
      </c>
    </row>
    <row r="4805" spans="1:14">
      <c r="A4805" s="4" t="str">
        <f t="shared" si="459"/>
        <v>EXP00169</v>
      </c>
      <c r="B4805" s="4" t="str">
        <f t="shared" si="460"/>
        <v>24287398</v>
      </c>
      <c r="C4805" s="4" t="str">
        <f t="shared" si="461"/>
        <v>GSE46141</v>
      </c>
      <c r="D4805" s="1" t="s">
        <v>298</v>
      </c>
      <c r="E4805" t="s">
        <v>15</v>
      </c>
      <c r="F4805" s="1">
        <v>2</v>
      </c>
      <c r="G4805" s="1" t="s">
        <v>224</v>
      </c>
      <c r="H4805" s="4" t="str">
        <f>HYPERLINK("https://www.ncbi.nlm.nih.gov/geo/query/acc.cgi?acc=GSM1124909","GSM1124909")</f>
        <v>GSM1124909</v>
      </c>
      <c r="I4805" t="s">
        <v>17</v>
      </c>
      <c r="J4805" t="s">
        <v>18</v>
      </c>
      <c r="K4805" t="s">
        <v>19</v>
      </c>
      <c r="L4805" t="s">
        <v>20</v>
      </c>
      <c r="M4805" t="s">
        <v>27</v>
      </c>
      <c r="N4805" t="s">
        <v>22</v>
      </c>
    </row>
    <row r="4806" spans="1:14">
      <c r="A4806" s="4" t="str">
        <f t="shared" si="459"/>
        <v>EXP00169</v>
      </c>
      <c r="B4806" s="4" t="str">
        <f t="shared" si="460"/>
        <v>24287398</v>
      </c>
      <c r="C4806" s="4" t="str">
        <f t="shared" si="461"/>
        <v>GSE46141</v>
      </c>
      <c r="D4806" s="1" t="s">
        <v>298</v>
      </c>
      <c r="E4806" t="s">
        <v>15</v>
      </c>
      <c r="F4806" s="1">
        <v>2</v>
      </c>
      <c r="G4806" s="1" t="s">
        <v>224</v>
      </c>
      <c r="H4806" s="4" t="str">
        <f>HYPERLINK("https://www.ncbi.nlm.nih.gov/geo/query/acc.cgi?acc=GSM1124913","GSM1124913")</f>
        <v>GSM1124913</v>
      </c>
      <c r="I4806" t="s">
        <v>17</v>
      </c>
      <c r="J4806" t="s">
        <v>18</v>
      </c>
      <c r="K4806" t="s">
        <v>19</v>
      </c>
      <c r="L4806" t="s">
        <v>20</v>
      </c>
      <c r="M4806" t="s">
        <v>27</v>
      </c>
      <c r="N4806" t="s">
        <v>22</v>
      </c>
    </row>
    <row r="4807" spans="1:14">
      <c r="A4807" s="4" t="str">
        <f t="shared" si="459"/>
        <v>EXP00169</v>
      </c>
      <c r="B4807" s="4" t="str">
        <f t="shared" si="460"/>
        <v>24287398</v>
      </c>
      <c r="C4807" s="4" t="str">
        <f t="shared" si="461"/>
        <v>GSE46141</v>
      </c>
      <c r="D4807" s="1" t="s">
        <v>298</v>
      </c>
      <c r="E4807" t="s">
        <v>15</v>
      </c>
      <c r="F4807" s="1">
        <v>2</v>
      </c>
      <c r="G4807" s="1" t="s">
        <v>224</v>
      </c>
      <c r="H4807" s="4" t="str">
        <f>HYPERLINK("https://www.ncbi.nlm.nih.gov/geo/query/acc.cgi?acc=GSM1124916","GSM1124916")</f>
        <v>GSM1124916</v>
      </c>
      <c r="I4807" t="s">
        <v>17</v>
      </c>
      <c r="J4807" t="s">
        <v>18</v>
      </c>
      <c r="K4807" t="s">
        <v>19</v>
      </c>
      <c r="L4807" t="s">
        <v>20</v>
      </c>
      <c r="M4807" t="s">
        <v>27</v>
      </c>
      <c r="N4807" t="s">
        <v>22</v>
      </c>
    </row>
    <row r="4808" spans="1:14">
      <c r="A4808" s="4" t="str">
        <f t="shared" si="459"/>
        <v>EXP00169</v>
      </c>
      <c r="B4808" s="4" t="str">
        <f t="shared" si="460"/>
        <v>24287398</v>
      </c>
      <c r="C4808" s="4" t="str">
        <f t="shared" si="461"/>
        <v>GSE46141</v>
      </c>
      <c r="D4808" s="1" t="s">
        <v>298</v>
      </c>
      <c r="E4808" t="s">
        <v>15</v>
      </c>
      <c r="F4808" s="1">
        <v>2</v>
      </c>
      <c r="G4808" s="1" t="s">
        <v>224</v>
      </c>
      <c r="H4808" s="4" t="str">
        <f>HYPERLINK("https://www.ncbi.nlm.nih.gov/geo/query/acc.cgi?acc=GSM1124923","GSM1124923")</f>
        <v>GSM1124923</v>
      </c>
      <c r="I4808" t="s">
        <v>17</v>
      </c>
      <c r="J4808" t="s">
        <v>18</v>
      </c>
      <c r="K4808" t="s">
        <v>19</v>
      </c>
      <c r="L4808" t="s">
        <v>20</v>
      </c>
      <c r="M4808" t="s">
        <v>27</v>
      </c>
      <c r="N4808" t="s">
        <v>22</v>
      </c>
    </row>
    <row r="4809" spans="1:14">
      <c r="A4809" s="4" t="str">
        <f t="shared" si="459"/>
        <v>EXP00169</v>
      </c>
      <c r="B4809" s="4" t="str">
        <f t="shared" si="460"/>
        <v>24287398</v>
      </c>
      <c r="C4809" s="4" t="str">
        <f t="shared" si="461"/>
        <v>GSE46141</v>
      </c>
      <c r="D4809" s="1" t="s">
        <v>298</v>
      </c>
      <c r="E4809" t="s">
        <v>15</v>
      </c>
      <c r="F4809" s="1">
        <v>2</v>
      </c>
      <c r="G4809" s="1" t="s">
        <v>224</v>
      </c>
      <c r="H4809" s="4" t="str">
        <f>HYPERLINK("https://www.ncbi.nlm.nih.gov/geo/query/acc.cgi?acc=GSM1124925","GSM1124925")</f>
        <v>GSM1124925</v>
      </c>
      <c r="I4809" t="s">
        <v>17</v>
      </c>
      <c r="J4809" t="s">
        <v>18</v>
      </c>
      <c r="K4809" t="s">
        <v>19</v>
      </c>
      <c r="L4809" t="s">
        <v>20</v>
      </c>
      <c r="M4809" t="s">
        <v>27</v>
      </c>
      <c r="N4809" t="s">
        <v>22</v>
      </c>
    </row>
    <row r="4810" spans="1:14">
      <c r="A4810" s="4" t="str">
        <f t="shared" si="459"/>
        <v>EXP00169</v>
      </c>
      <c r="B4810" s="4" t="str">
        <f t="shared" si="460"/>
        <v>24287398</v>
      </c>
      <c r="C4810" s="4" t="str">
        <f t="shared" si="461"/>
        <v>GSE46141</v>
      </c>
      <c r="D4810" s="1" t="s">
        <v>298</v>
      </c>
      <c r="E4810" t="s">
        <v>15</v>
      </c>
      <c r="F4810" s="1">
        <v>2</v>
      </c>
      <c r="G4810" s="1" t="s">
        <v>224</v>
      </c>
      <c r="H4810" s="4" t="str">
        <f>HYPERLINK("https://www.ncbi.nlm.nih.gov/geo/query/acc.cgi?acc=GSM1124929","GSM1124929")</f>
        <v>GSM1124929</v>
      </c>
      <c r="I4810" t="s">
        <v>17</v>
      </c>
      <c r="J4810" t="s">
        <v>18</v>
      </c>
      <c r="K4810" t="s">
        <v>19</v>
      </c>
      <c r="L4810" t="s">
        <v>20</v>
      </c>
      <c r="M4810" t="s">
        <v>27</v>
      </c>
      <c r="N4810" t="s">
        <v>22</v>
      </c>
    </row>
    <row r="4811" spans="1:14">
      <c r="A4811" s="4" t="str">
        <f t="shared" si="459"/>
        <v>EXP00169</v>
      </c>
      <c r="B4811" s="4" t="str">
        <f t="shared" si="460"/>
        <v>24287398</v>
      </c>
      <c r="C4811" s="4" t="str">
        <f t="shared" si="461"/>
        <v>GSE46141</v>
      </c>
      <c r="D4811" s="1" t="s">
        <v>298</v>
      </c>
      <c r="E4811" t="s">
        <v>15</v>
      </c>
      <c r="F4811" s="1">
        <v>2</v>
      </c>
      <c r="G4811" s="1" t="s">
        <v>224</v>
      </c>
      <c r="H4811" s="4" t="str">
        <f>HYPERLINK("https://www.ncbi.nlm.nih.gov/geo/query/acc.cgi?acc=GSM1124934","GSM1124934")</f>
        <v>GSM1124934</v>
      </c>
      <c r="I4811" t="s">
        <v>17</v>
      </c>
      <c r="J4811" t="s">
        <v>18</v>
      </c>
      <c r="K4811" t="s">
        <v>19</v>
      </c>
      <c r="L4811" t="s">
        <v>20</v>
      </c>
      <c r="M4811" t="s">
        <v>27</v>
      </c>
      <c r="N4811" t="s">
        <v>22</v>
      </c>
    </row>
    <row r="4812" spans="1:14">
      <c r="A4812" s="4" t="str">
        <f t="shared" si="459"/>
        <v>EXP00169</v>
      </c>
      <c r="B4812" s="4" t="str">
        <f t="shared" si="460"/>
        <v>24287398</v>
      </c>
      <c r="C4812" s="4" t="str">
        <f t="shared" si="461"/>
        <v>GSE46141</v>
      </c>
      <c r="D4812" s="1" t="s">
        <v>298</v>
      </c>
      <c r="E4812" t="s">
        <v>15</v>
      </c>
      <c r="F4812" s="1">
        <v>2</v>
      </c>
      <c r="G4812" s="1" t="s">
        <v>224</v>
      </c>
      <c r="H4812" s="4" t="str">
        <f>HYPERLINK("https://www.ncbi.nlm.nih.gov/geo/query/acc.cgi?acc=GSM1124937","GSM1124937")</f>
        <v>GSM1124937</v>
      </c>
      <c r="I4812" t="s">
        <v>17</v>
      </c>
      <c r="J4812" t="s">
        <v>18</v>
      </c>
      <c r="K4812" t="s">
        <v>19</v>
      </c>
      <c r="L4812" t="s">
        <v>20</v>
      </c>
      <c r="M4812" t="s">
        <v>27</v>
      </c>
      <c r="N4812" t="s">
        <v>22</v>
      </c>
    </row>
    <row r="4813" spans="1:14">
      <c r="A4813" s="4" t="str">
        <f t="shared" ref="A4813:A4853" si="462">HYPERLINK("http://hcmdb.i-sanger.com/experiment/details/experiment_id/EXP00170","EXP00170")</f>
        <v>EXP00170</v>
      </c>
      <c r="B4813" s="4" t="str">
        <f t="shared" si="460"/>
        <v>24287398</v>
      </c>
      <c r="C4813" s="4" t="str">
        <f t="shared" si="461"/>
        <v>GSE46141</v>
      </c>
      <c r="D4813" s="1" t="s">
        <v>298</v>
      </c>
      <c r="E4813" t="s">
        <v>15</v>
      </c>
      <c r="F4813" s="1">
        <v>1</v>
      </c>
      <c r="G4813" s="1" t="s">
        <v>40</v>
      </c>
      <c r="H4813" s="4" t="str">
        <f>HYPERLINK("https://www.ncbi.nlm.nih.gov/geo/query/acc.cgi?acc=GSM1124900","GSM1124900")</f>
        <v>GSM1124900</v>
      </c>
      <c r="I4813" t="s">
        <v>17</v>
      </c>
      <c r="J4813" t="s">
        <v>18</v>
      </c>
      <c r="K4813" t="s">
        <v>19</v>
      </c>
      <c r="L4813" t="s">
        <v>20</v>
      </c>
      <c r="M4813" t="s">
        <v>41</v>
      </c>
      <c r="N4813" t="s">
        <v>22</v>
      </c>
    </row>
    <row r="4814" spans="1:14">
      <c r="A4814" s="4" t="str">
        <f t="shared" si="462"/>
        <v>EXP00170</v>
      </c>
      <c r="B4814" s="4" t="str">
        <f t="shared" si="460"/>
        <v>24287398</v>
      </c>
      <c r="C4814" s="4" t="str">
        <f t="shared" si="461"/>
        <v>GSE46141</v>
      </c>
      <c r="D4814" s="1" t="s">
        <v>298</v>
      </c>
      <c r="E4814" t="s">
        <v>15</v>
      </c>
      <c r="F4814" s="1">
        <v>1</v>
      </c>
      <c r="G4814" s="1" t="s">
        <v>40</v>
      </c>
      <c r="H4814" s="4" t="str">
        <f>HYPERLINK("https://www.ncbi.nlm.nih.gov/geo/query/acc.cgi?acc=GSM1124914","GSM1124914")</f>
        <v>GSM1124914</v>
      </c>
      <c r="I4814" t="s">
        <v>17</v>
      </c>
      <c r="J4814" t="s">
        <v>18</v>
      </c>
      <c r="K4814" t="s">
        <v>19</v>
      </c>
      <c r="L4814" t="s">
        <v>20</v>
      </c>
      <c r="M4814" t="s">
        <v>41</v>
      </c>
      <c r="N4814" t="s">
        <v>22</v>
      </c>
    </row>
    <row r="4815" spans="1:14">
      <c r="A4815" s="4" t="str">
        <f t="shared" si="462"/>
        <v>EXP00170</v>
      </c>
      <c r="B4815" s="4" t="str">
        <f t="shared" si="460"/>
        <v>24287398</v>
      </c>
      <c r="C4815" s="4" t="str">
        <f t="shared" si="461"/>
        <v>GSE46141</v>
      </c>
      <c r="D4815" s="1" t="s">
        <v>298</v>
      </c>
      <c r="E4815" t="s">
        <v>15</v>
      </c>
      <c r="F4815" s="1">
        <v>2</v>
      </c>
      <c r="G4815" s="1" t="s">
        <v>23</v>
      </c>
      <c r="H4815" s="4" t="str">
        <f>HYPERLINK("https://www.ncbi.nlm.nih.gov/geo/query/acc.cgi?acc=GSM1124871","GSM1124871")</f>
        <v>GSM1124871</v>
      </c>
      <c r="I4815" t="s">
        <v>17</v>
      </c>
      <c r="J4815" t="s">
        <v>18</v>
      </c>
      <c r="K4815" t="s">
        <v>19</v>
      </c>
      <c r="L4815" t="s">
        <v>20</v>
      </c>
      <c r="M4815" t="s">
        <v>24</v>
      </c>
      <c r="N4815" t="s">
        <v>22</v>
      </c>
    </row>
    <row r="4816" spans="1:14">
      <c r="A4816" s="4" t="str">
        <f t="shared" si="462"/>
        <v>EXP00170</v>
      </c>
      <c r="B4816" s="4" t="str">
        <f t="shared" si="460"/>
        <v>24287398</v>
      </c>
      <c r="C4816" s="4" t="str">
        <f t="shared" si="461"/>
        <v>GSE46141</v>
      </c>
      <c r="D4816" s="1" t="s">
        <v>298</v>
      </c>
      <c r="E4816" t="s">
        <v>15</v>
      </c>
      <c r="F4816" s="1">
        <v>2</v>
      </c>
      <c r="G4816" s="1" t="s">
        <v>23</v>
      </c>
      <c r="H4816" s="4" t="str">
        <f>HYPERLINK("https://www.ncbi.nlm.nih.gov/geo/query/acc.cgi?acc=GSM1124874","GSM1124874")</f>
        <v>GSM1124874</v>
      </c>
      <c r="I4816" t="s">
        <v>17</v>
      </c>
      <c r="J4816" t="s">
        <v>18</v>
      </c>
      <c r="K4816" t="s">
        <v>19</v>
      </c>
      <c r="L4816" t="s">
        <v>20</v>
      </c>
      <c r="M4816" t="s">
        <v>24</v>
      </c>
      <c r="N4816" t="s">
        <v>22</v>
      </c>
    </row>
    <row r="4817" spans="1:14">
      <c r="A4817" s="4" t="str">
        <f t="shared" si="462"/>
        <v>EXP00170</v>
      </c>
      <c r="B4817" s="4" t="str">
        <f t="shared" si="460"/>
        <v>24287398</v>
      </c>
      <c r="C4817" s="4" t="str">
        <f t="shared" si="461"/>
        <v>GSE46141</v>
      </c>
      <c r="D4817" s="1" t="s">
        <v>298</v>
      </c>
      <c r="E4817" t="s">
        <v>15</v>
      </c>
      <c r="F4817" s="1">
        <v>2</v>
      </c>
      <c r="G4817" s="1" t="s">
        <v>23</v>
      </c>
      <c r="H4817" s="4" t="str">
        <f>HYPERLINK("https://www.ncbi.nlm.nih.gov/geo/query/acc.cgi?acc=GSM1124875","GSM1124875")</f>
        <v>GSM1124875</v>
      </c>
      <c r="I4817" t="s">
        <v>17</v>
      </c>
      <c r="J4817" t="s">
        <v>18</v>
      </c>
      <c r="K4817" t="s">
        <v>19</v>
      </c>
      <c r="L4817" t="s">
        <v>20</v>
      </c>
      <c r="M4817" t="s">
        <v>24</v>
      </c>
      <c r="N4817" t="s">
        <v>22</v>
      </c>
    </row>
    <row r="4818" spans="1:14">
      <c r="A4818" s="4" t="str">
        <f t="shared" si="462"/>
        <v>EXP00170</v>
      </c>
      <c r="B4818" s="4" t="str">
        <f t="shared" si="460"/>
        <v>24287398</v>
      </c>
      <c r="C4818" s="4" t="str">
        <f t="shared" si="461"/>
        <v>GSE46141</v>
      </c>
      <c r="D4818" s="1" t="s">
        <v>298</v>
      </c>
      <c r="E4818" t="s">
        <v>15</v>
      </c>
      <c r="F4818" s="1">
        <v>2</v>
      </c>
      <c r="G4818" s="1" t="s">
        <v>23</v>
      </c>
      <c r="H4818" s="4" t="str">
        <f>HYPERLINK("https://www.ncbi.nlm.nih.gov/geo/query/acc.cgi?acc=GSM1124880","GSM1124880")</f>
        <v>GSM1124880</v>
      </c>
      <c r="I4818" t="s">
        <v>17</v>
      </c>
      <c r="J4818" t="s">
        <v>18</v>
      </c>
      <c r="K4818" t="s">
        <v>19</v>
      </c>
      <c r="L4818" t="s">
        <v>20</v>
      </c>
      <c r="M4818" t="s">
        <v>24</v>
      </c>
      <c r="N4818" t="s">
        <v>22</v>
      </c>
    </row>
    <row r="4819" spans="1:14">
      <c r="A4819" s="4" t="str">
        <f t="shared" si="462"/>
        <v>EXP00170</v>
      </c>
      <c r="B4819" s="4" t="str">
        <f t="shared" si="460"/>
        <v>24287398</v>
      </c>
      <c r="C4819" s="4" t="str">
        <f t="shared" si="461"/>
        <v>GSE46141</v>
      </c>
      <c r="D4819" s="1" t="s">
        <v>298</v>
      </c>
      <c r="E4819" t="s">
        <v>15</v>
      </c>
      <c r="F4819" s="1">
        <v>2</v>
      </c>
      <c r="G4819" s="1" t="s">
        <v>23</v>
      </c>
      <c r="H4819" s="4" t="str">
        <f>HYPERLINK("https://www.ncbi.nlm.nih.gov/geo/query/acc.cgi?acc=GSM1124881","GSM1124881")</f>
        <v>GSM1124881</v>
      </c>
      <c r="I4819" t="s">
        <v>17</v>
      </c>
      <c r="J4819" t="s">
        <v>18</v>
      </c>
      <c r="K4819" t="s">
        <v>19</v>
      </c>
      <c r="L4819" t="s">
        <v>20</v>
      </c>
      <c r="M4819" t="s">
        <v>24</v>
      </c>
      <c r="N4819" t="s">
        <v>22</v>
      </c>
    </row>
    <row r="4820" spans="1:14">
      <c r="A4820" s="4" t="str">
        <f t="shared" si="462"/>
        <v>EXP00170</v>
      </c>
      <c r="B4820" s="4" t="str">
        <f t="shared" si="460"/>
        <v>24287398</v>
      </c>
      <c r="C4820" s="4" t="str">
        <f t="shared" si="461"/>
        <v>GSE46141</v>
      </c>
      <c r="D4820" s="1" t="s">
        <v>298</v>
      </c>
      <c r="E4820" t="s">
        <v>15</v>
      </c>
      <c r="F4820" s="1">
        <v>2</v>
      </c>
      <c r="G4820" s="1" t="s">
        <v>23</v>
      </c>
      <c r="H4820" s="4" t="str">
        <f>HYPERLINK("https://www.ncbi.nlm.nih.gov/geo/query/acc.cgi?acc=GSM1124885","GSM1124885")</f>
        <v>GSM1124885</v>
      </c>
      <c r="I4820" t="s">
        <v>17</v>
      </c>
      <c r="J4820" t="s">
        <v>18</v>
      </c>
      <c r="K4820" t="s">
        <v>19</v>
      </c>
      <c r="L4820" t="s">
        <v>20</v>
      </c>
      <c r="M4820" t="s">
        <v>24</v>
      </c>
      <c r="N4820" t="s">
        <v>22</v>
      </c>
    </row>
    <row r="4821" spans="1:14">
      <c r="A4821" s="4" t="str">
        <f t="shared" si="462"/>
        <v>EXP00170</v>
      </c>
      <c r="B4821" s="4" t="str">
        <f t="shared" si="460"/>
        <v>24287398</v>
      </c>
      <c r="C4821" s="4" t="str">
        <f t="shared" si="461"/>
        <v>GSE46141</v>
      </c>
      <c r="D4821" s="1" t="s">
        <v>298</v>
      </c>
      <c r="E4821" t="s">
        <v>15</v>
      </c>
      <c r="F4821" s="1">
        <v>2</v>
      </c>
      <c r="G4821" s="1" t="s">
        <v>23</v>
      </c>
      <c r="H4821" s="4" t="str">
        <f>HYPERLINK("https://www.ncbi.nlm.nih.gov/geo/query/acc.cgi?acc=GSM1124886","GSM1124886")</f>
        <v>GSM1124886</v>
      </c>
      <c r="I4821" t="s">
        <v>17</v>
      </c>
      <c r="J4821" t="s">
        <v>18</v>
      </c>
      <c r="K4821" t="s">
        <v>19</v>
      </c>
      <c r="L4821" t="s">
        <v>20</v>
      </c>
      <c r="M4821" t="s">
        <v>24</v>
      </c>
      <c r="N4821" t="s">
        <v>22</v>
      </c>
    </row>
    <row r="4822" spans="1:14">
      <c r="A4822" s="4" t="str">
        <f t="shared" si="462"/>
        <v>EXP00170</v>
      </c>
      <c r="B4822" s="4" t="str">
        <f t="shared" si="460"/>
        <v>24287398</v>
      </c>
      <c r="C4822" s="4" t="str">
        <f t="shared" si="461"/>
        <v>GSE46141</v>
      </c>
      <c r="D4822" s="1" t="s">
        <v>298</v>
      </c>
      <c r="E4822" t="s">
        <v>15</v>
      </c>
      <c r="F4822" s="1">
        <v>2</v>
      </c>
      <c r="G4822" s="1" t="s">
        <v>23</v>
      </c>
      <c r="H4822" s="4" t="str">
        <f>HYPERLINK("https://www.ncbi.nlm.nih.gov/geo/query/acc.cgi?acc=GSM1124887","GSM1124887")</f>
        <v>GSM1124887</v>
      </c>
      <c r="I4822" t="s">
        <v>17</v>
      </c>
      <c r="J4822" t="s">
        <v>18</v>
      </c>
      <c r="K4822" t="s">
        <v>19</v>
      </c>
      <c r="L4822" t="s">
        <v>20</v>
      </c>
      <c r="M4822" t="s">
        <v>24</v>
      </c>
      <c r="N4822" t="s">
        <v>22</v>
      </c>
    </row>
    <row r="4823" spans="1:14">
      <c r="A4823" s="4" t="str">
        <f t="shared" si="462"/>
        <v>EXP00170</v>
      </c>
      <c r="B4823" s="4" t="str">
        <f t="shared" si="460"/>
        <v>24287398</v>
      </c>
      <c r="C4823" s="4" t="str">
        <f t="shared" si="461"/>
        <v>GSE46141</v>
      </c>
      <c r="D4823" s="1" t="s">
        <v>298</v>
      </c>
      <c r="E4823" t="s">
        <v>15</v>
      </c>
      <c r="F4823" s="1">
        <v>2</v>
      </c>
      <c r="G4823" s="1" t="s">
        <v>23</v>
      </c>
      <c r="H4823" s="4" t="str">
        <f>HYPERLINK("https://www.ncbi.nlm.nih.gov/geo/query/acc.cgi?acc=GSM1124894","GSM1124894")</f>
        <v>GSM1124894</v>
      </c>
      <c r="I4823" t="s">
        <v>17</v>
      </c>
      <c r="J4823" t="s">
        <v>18</v>
      </c>
      <c r="K4823" t="s">
        <v>19</v>
      </c>
      <c r="L4823" t="s">
        <v>20</v>
      </c>
      <c r="M4823" t="s">
        <v>24</v>
      </c>
      <c r="N4823" t="s">
        <v>22</v>
      </c>
    </row>
    <row r="4824" spans="1:14">
      <c r="A4824" s="4" t="str">
        <f t="shared" si="462"/>
        <v>EXP00170</v>
      </c>
      <c r="B4824" s="4" t="str">
        <f t="shared" si="460"/>
        <v>24287398</v>
      </c>
      <c r="C4824" s="4" t="str">
        <f t="shared" si="461"/>
        <v>GSE46141</v>
      </c>
      <c r="D4824" s="1" t="s">
        <v>298</v>
      </c>
      <c r="E4824" t="s">
        <v>15</v>
      </c>
      <c r="F4824" s="1">
        <v>2</v>
      </c>
      <c r="G4824" s="1" t="s">
        <v>23</v>
      </c>
      <c r="H4824" s="4" t="str">
        <f>HYPERLINK("https://www.ncbi.nlm.nih.gov/geo/query/acc.cgi?acc=GSM1124896","GSM1124896")</f>
        <v>GSM1124896</v>
      </c>
      <c r="I4824" t="s">
        <v>17</v>
      </c>
      <c r="J4824" t="s">
        <v>18</v>
      </c>
      <c r="K4824" t="s">
        <v>19</v>
      </c>
      <c r="L4824" t="s">
        <v>20</v>
      </c>
      <c r="M4824" t="s">
        <v>24</v>
      </c>
      <c r="N4824" t="s">
        <v>22</v>
      </c>
    </row>
    <row r="4825" spans="1:14">
      <c r="A4825" s="4" t="str">
        <f t="shared" si="462"/>
        <v>EXP00170</v>
      </c>
      <c r="B4825" s="4" t="str">
        <f t="shared" si="460"/>
        <v>24287398</v>
      </c>
      <c r="C4825" s="4" t="str">
        <f t="shared" si="461"/>
        <v>GSE46141</v>
      </c>
      <c r="D4825" s="1" t="s">
        <v>298</v>
      </c>
      <c r="E4825" t="s">
        <v>15</v>
      </c>
      <c r="F4825" s="1">
        <v>2</v>
      </c>
      <c r="G4825" s="1" t="s">
        <v>23</v>
      </c>
      <c r="H4825" s="4" t="str">
        <f>HYPERLINK("https://www.ncbi.nlm.nih.gov/geo/query/acc.cgi?acc=GSM1124899","GSM1124899")</f>
        <v>GSM1124899</v>
      </c>
      <c r="I4825" t="s">
        <v>17</v>
      </c>
      <c r="J4825" t="s">
        <v>18</v>
      </c>
      <c r="K4825" t="s">
        <v>19</v>
      </c>
      <c r="L4825" t="s">
        <v>20</v>
      </c>
      <c r="M4825" t="s">
        <v>24</v>
      </c>
      <c r="N4825" t="s">
        <v>22</v>
      </c>
    </row>
    <row r="4826" spans="1:14">
      <c r="A4826" s="4" t="str">
        <f t="shared" si="462"/>
        <v>EXP00170</v>
      </c>
      <c r="B4826" s="4" t="str">
        <f t="shared" si="460"/>
        <v>24287398</v>
      </c>
      <c r="C4826" s="4" t="str">
        <f t="shared" si="461"/>
        <v>GSE46141</v>
      </c>
      <c r="D4826" s="1" t="s">
        <v>298</v>
      </c>
      <c r="E4826" t="s">
        <v>15</v>
      </c>
      <c r="F4826" s="1">
        <v>2</v>
      </c>
      <c r="G4826" s="1" t="s">
        <v>23</v>
      </c>
      <c r="H4826" s="4" t="str">
        <f>HYPERLINK("https://www.ncbi.nlm.nih.gov/geo/query/acc.cgi?acc=GSM1124901","GSM1124901")</f>
        <v>GSM1124901</v>
      </c>
      <c r="I4826" t="s">
        <v>17</v>
      </c>
      <c r="J4826" t="s">
        <v>18</v>
      </c>
      <c r="K4826" t="s">
        <v>19</v>
      </c>
      <c r="L4826" t="s">
        <v>20</v>
      </c>
      <c r="M4826" t="s">
        <v>24</v>
      </c>
      <c r="N4826" t="s">
        <v>22</v>
      </c>
    </row>
    <row r="4827" spans="1:14">
      <c r="A4827" s="4" t="str">
        <f t="shared" si="462"/>
        <v>EXP00170</v>
      </c>
      <c r="B4827" s="4" t="str">
        <f t="shared" si="460"/>
        <v>24287398</v>
      </c>
      <c r="C4827" s="4" t="str">
        <f t="shared" si="461"/>
        <v>GSE46141</v>
      </c>
      <c r="D4827" s="1" t="s">
        <v>298</v>
      </c>
      <c r="E4827" t="s">
        <v>15</v>
      </c>
      <c r="F4827" s="1">
        <v>2</v>
      </c>
      <c r="G4827" s="1" t="s">
        <v>23</v>
      </c>
      <c r="H4827" s="4" t="str">
        <f>HYPERLINK("https://www.ncbi.nlm.nih.gov/geo/query/acc.cgi?acc=GSM1124906","GSM1124906")</f>
        <v>GSM1124906</v>
      </c>
      <c r="I4827" t="s">
        <v>17</v>
      </c>
      <c r="J4827" t="s">
        <v>18</v>
      </c>
      <c r="K4827" t="s">
        <v>19</v>
      </c>
      <c r="L4827" t="s">
        <v>20</v>
      </c>
      <c r="M4827" t="s">
        <v>24</v>
      </c>
      <c r="N4827" t="s">
        <v>22</v>
      </c>
    </row>
    <row r="4828" spans="1:14">
      <c r="A4828" s="4" t="str">
        <f t="shared" si="462"/>
        <v>EXP00170</v>
      </c>
      <c r="B4828" s="4" t="str">
        <f t="shared" si="460"/>
        <v>24287398</v>
      </c>
      <c r="C4828" s="4" t="str">
        <f t="shared" si="461"/>
        <v>GSE46141</v>
      </c>
      <c r="D4828" s="1" t="s">
        <v>298</v>
      </c>
      <c r="E4828" t="s">
        <v>15</v>
      </c>
      <c r="F4828" s="1">
        <v>2</v>
      </c>
      <c r="G4828" s="1" t="s">
        <v>23</v>
      </c>
      <c r="H4828" s="4" t="str">
        <f>HYPERLINK("https://www.ncbi.nlm.nih.gov/geo/query/acc.cgi?acc=GSM1124907","GSM1124907")</f>
        <v>GSM1124907</v>
      </c>
      <c r="I4828" t="s">
        <v>17</v>
      </c>
      <c r="J4828" t="s">
        <v>18</v>
      </c>
      <c r="K4828" t="s">
        <v>19</v>
      </c>
      <c r="L4828" t="s">
        <v>20</v>
      </c>
      <c r="M4828" t="s">
        <v>24</v>
      </c>
      <c r="N4828" t="s">
        <v>22</v>
      </c>
    </row>
    <row r="4829" spans="1:14">
      <c r="A4829" s="4" t="str">
        <f t="shared" si="462"/>
        <v>EXP00170</v>
      </c>
      <c r="B4829" s="4" t="str">
        <f t="shared" si="460"/>
        <v>24287398</v>
      </c>
      <c r="C4829" s="4" t="str">
        <f t="shared" si="461"/>
        <v>GSE46141</v>
      </c>
      <c r="D4829" s="1" t="s">
        <v>298</v>
      </c>
      <c r="E4829" t="s">
        <v>15</v>
      </c>
      <c r="F4829" s="1">
        <v>2</v>
      </c>
      <c r="G4829" s="1" t="s">
        <v>23</v>
      </c>
      <c r="H4829" s="4" t="str">
        <f>HYPERLINK("https://www.ncbi.nlm.nih.gov/geo/query/acc.cgi?acc=GSM1124911","GSM1124911")</f>
        <v>GSM1124911</v>
      </c>
      <c r="I4829" t="s">
        <v>17</v>
      </c>
      <c r="J4829" t="s">
        <v>18</v>
      </c>
      <c r="K4829" t="s">
        <v>19</v>
      </c>
      <c r="L4829" t="s">
        <v>20</v>
      </c>
      <c r="M4829" t="s">
        <v>24</v>
      </c>
      <c r="N4829" t="s">
        <v>22</v>
      </c>
    </row>
    <row r="4830" spans="1:14">
      <c r="A4830" s="4" t="str">
        <f t="shared" si="462"/>
        <v>EXP00170</v>
      </c>
      <c r="B4830" s="4" t="str">
        <f t="shared" si="460"/>
        <v>24287398</v>
      </c>
      <c r="C4830" s="4" t="str">
        <f t="shared" si="461"/>
        <v>GSE46141</v>
      </c>
      <c r="D4830" s="1" t="s">
        <v>298</v>
      </c>
      <c r="E4830" t="s">
        <v>15</v>
      </c>
      <c r="F4830" s="1">
        <v>2</v>
      </c>
      <c r="G4830" s="1" t="s">
        <v>23</v>
      </c>
      <c r="H4830" s="4" t="str">
        <f>HYPERLINK("https://www.ncbi.nlm.nih.gov/geo/query/acc.cgi?acc=GSM1124912","GSM1124912")</f>
        <v>GSM1124912</v>
      </c>
      <c r="I4830" t="s">
        <v>17</v>
      </c>
      <c r="J4830" t="s">
        <v>18</v>
      </c>
      <c r="K4830" t="s">
        <v>19</v>
      </c>
      <c r="L4830" t="s">
        <v>20</v>
      </c>
      <c r="M4830" t="s">
        <v>24</v>
      </c>
      <c r="N4830" t="s">
        <v>22</v>
      </c>
    </row>
    <row r="4831" spans="1:14">
      <c r="A4831" s="4" t="str">
        <f t="shared" si="462"/>
        <v>EXP00170</v>
      </c>
      <c r="B4831" s="4" t="str">
        <f t="shared" si="460"/>
        <v>24287398</v>
      </c>
      <c r="C4831" s="4" t="str">
        <f t="shared" si="461"/>
        <v>GSE46141</v>
      </c>
      <c r="D4831" s="1" t="s">
        <v>298</v>
      </c>
      <c r="E4831" t="s">
        <v>15</v>
      </c>
      <c r="F4831" s="1">
        <v>2</v>
      </c>
      <c r="G4831" s="1" t="s">
        <v>23</v>
      </c>
      <c r="H4831" s="4" t="str">
        <f>HYPERLINK("https://www.ncbi.nlm.nih.gov/geo/query/acc.cgi?acc=GSM1124915","GSM1124915")</f>
        <v>GSM1124915</v>
      </c>
      <c r="I4831" t="s">
        <v>17</v>
      </c>
      <c r="J4831" t="s">
        <v>18</v>
      </c>
      <c r="K4831" t="s">
        <v>19</v>
      </c>
      <c r="L4831" t="s">
        <v>20</v>
      </c>
      <c r="M4831" t="s">
        <v>24</v>
      </c>
      <c r="N4831" t="s">
        <v>22</v>
      </c>
    </row>
    <row r="4832" spans="1:14">
      <c r="A4832" s="4" t="str">
        <f t="shared" si="462"/>
        <v>EXP00170</v>
      </c>
      <c r="B4832" s="4" t="str">
        <f t="shared" si="460"/>
        <v>24287398</v>
      </c>
      <c r="C4832" s="4" t="str">
        <f t="shared" si="461"/>
        <v>GSE46141</v>
      </c>
      <c r="D4832" s="1" t="s">
        <v>298</v>
      </c>
      <c r="E4832" t="s">
        <v>15</v>
      </c>
      <c r="F4832" s="1">
        <v>2</v>
      </c>
      <c r="G4832" s="1" t="s">
        <v>23</v>
      </c>
      <c r="H4832" s="4" t="str">
        <f>HYPERLINK("https://www.ncbi.nlm.nih.gov/geo/query/acc.cgi?acc=GSM1124917","GSM1124917")</f>
        <v>GSM1124917</v>
      </c>
      <c r="I4832" t="s">
        <v>17</v>
      </c>
      <c r="J4832" t="s">
        <v>18</v>
      </c>
      <c r="K4832" t="s">
        <v>19</v>
      </c>
      <c r="L4832" t="s">
        <v>20</v>
      </c>
      <c r="M4832" t="s">
        <v>24</v>
      </c>
      <c r="N4832" t="s">
        <v>22</v>
      </c>
    </row>
    <row r="4833" spans="1:14">
      <c r="A4833" s="4" t="str">
        <f t="shared" si="462"/>
        <v>EXP00170</v>
      </c>
      <c r="B4833" s="4" t="str">
        <f t="shared" si="460"/>
        <v>24287398</v>
      </c>
      <c r="C4833" s="4" t="str">
        <f t="shared" si="461"/>
        <v>GSE46141</v>
      </c>
      <c r="D4833" s="1" t="s">
        <v>298</v>
      </c>
      <c r="E4833" t="s">
        <v>15</v>
      </c>
      <c r="F4833" s="1">
        <v>2</v>
      </c>
      <c r="G4833" s="1" t="s">
        <v>23</v>
      </c>
      <c r="H4833" s="4" t="str">
        <f>HYPERLINK("https://www.ncbi.nlm.nih.gov/geo/query/acc.cgi?acc=GSM1124918","GSM1124918")</f>
        <v>GSM1124918</v>
      </c>
      <c r="I4833" t="s">
        <v>17</v>
      </c>
      <c r="J4833" t="s">
        <v>18</v>
      </c>
      <c r="K4833" t="s">
        <v>19</v>
      </c>
      <c r="L4833" t="s">
        <v>20</v>
      </c>
      <c r="M4833" t="s">
        <v>24</v>
      </c>
      <c r="N4833" t="s">
        <v>22</v>
      </c>
    </row>
    <row r="4834" spans="1:14">
      <c r="A4834" s="4" t="str">
        <f t="shared" si="462"/>
        <v>EXP00170</v>
      </c>
      <c r="B4834" s="4" t="str">
        <f t="shared" si="460"/>
        <v>24287398</v>
      </c>
      <c r="C4834" s="4" t="str">
        <f t="shared" si="461"/>
        <v>GSE46141</v>
      </c>
      <c r="D4834" s="1" t="s">
        <v>298</v>
      </c>
      <c r="E4834" t="s">
        <v>15</v>
      </c>
      <c r="F4834" s="1">
        <v>2</v>
      </c>
      <c r="G4834" s="1" t="s">
        <v>23</v>
      </c>
      <c r="H4834" s="4" t="str">
        <f>HYPERLINK("https://www.ncbi.nlm.nih.gov/geo/query/acc.cgi?acc=GSM1124920","GSM1124920")</f>
        <v>GSM1124920</v>
      </c>
      <c r="I4834" t="s">
        <v>17</v>
      </c>
      <c r="J4834" t="s">
        <v>18</v>
      </c>
      <c r="K4834" t="s">
        <v>19</v>
      </c>
      <c r="L4834" t="s">
        <v>20</v>
      </c>
      <c r="M4834" t="s">
        <v>24</v>
      </c>
      <c r="N4834" t="s">
        <v>22</v>
      </c>
    </row>
    <row r="4835" spans="1:14">
      <c r="A4835" s="4" t="str">
        <f t="shared" si="462"/>
        <v>EXP00170</v>
      </c>
      <c r="B4835" s="4" t="str">
        <f t="shared" si="460"/>
        <v>24287398</v>
      </c>
      <c r="C4835" s="4" t="str">
        <f t="shared" si="461"/>
        <v>GSE46141</v>
      </c>
      <c r="D4835" s="1" t="s">
        <v>298</v>
      </c>
      <c r="E4835" t="s">
        <v>15</v>
      </c>
      <c r="F4835" s="1">
        <v>2</v>
      </c>
      <c r="G4835" s="1" t="s">
        <v>23</v>
      </c>
      <c r="H4835" s="4" t="str">
        <f>HYPERLINK("https://www.ncbi.nlm.nih.gov/geo/query/acc.cgi?acc=GSM1124922","GSM1124922")</f>
        <v>GSM1124922</v>
      </c>
      <c r="I4835" t="s">
        <v>17</v>
      </c>
      <c r="J4835" t="s">
        <v>18</v>
      </c>
      <c r="K4835" t="s">
        <v>19</v>
      </c>
      <c r="L4835" t="s">
        <v>20</v>
      </c>
      <c r="M4835" t="s">
        <v>24</v>
      </c>
      <c r="N4835" t="s">
        <v>22</v>
      </c>
    </row>
    <row r="4836" spans="1:14">
      <c r="A4836" s="4" t="str">
        <f t="shared" si="462"/>
        <v>EXP00170</v>
      </c>
      <c r="B4836" s="4" t="str">
        <f t="shared" si="460"/>
        <v>24287398</v>
      </c>
      <c r="C4836" s="4" t="str">
        <f t="shared" si="461"/>
        <v>GSE46141</v>
      </c>
      <c r="D4836" s="1" t="s">
        <v>298</v>
      </c>
      <c r="E4836" t="s">
        <v>15</v>
      </c>
      <c r="F4836" s="1">
        <v>2</v>
      </c>
      <c r="G4836" s="1" t="s">
        <v>23</v>
      </c>
      <c r="H4836" s="4" t="str">
        <f>HYPERLINK("https://www.ncbi.nlm.nih.gov/geo/query/acc.cgi?acc=GSM1124924","GSM1124924")</f>
        <v>GSM1124924</v>
      </c>
      <c r="I4836" t="s">
        <v>17</v>
      </c>
      <c r="J4836" t="s">
        <v>18</v>
      </c>
      <c r="K4836" t="s">
        <v>19</v>
      </c>
      <c r="L4836" t="s">
        <v>20</v>
      </c>
      <c r="M4836" t="s">
        <v>24</v>
      </c>
      <c r="N4836" t="s">
        <v>22</v>
      </c>
    </row>
    <row r="4837" spans="1:14">
      <c r="A4837" s="4" t="str">
        <f t="shared" si="462"/>
        <v>EXP00170</v>
      </c>
      <c r="B4837" s="4" t="str">
        <f t="shared" si="460"/>
        <v>24287398</v>
      </c>
      <c r="C4837" s="4" t="str">
        <f t="shared" si="461"/>
        <v>GSE46141</v>
      </c>
      <c r="D4837" s="1" t="s">
        <v>298</v>
      </c>
      <c r="E4837" t="s">
        <v>15</v>
      </c>
      <c r="F4837" s="1">
        <v>2</v>
      </c>
      <c r="G4837" s="1" t="s">
        <v>23</v>
      </c>
      <c r="H4837" s="4" t="str">
        <f>HYPERLINK("https://www.ncbi.nlm.nih.gov/geo/query/acc.cgi?acc=GSM1124926","GSM1124926")</f>
        <v>GSM1124926</v>
      </c>
      <c r="I4837" t="s">
        <v>17</v>
      </c>
      <c r="J4837" t="s">
        <v>18</v>
      </c>
      <c r="K4837" t="s">
        <v>19</v>
      </c>
      <c r="L4837" t="s">
        <v>20</v>
      </c>
      <c r="M4837" t="s">
        <v>24</v>
      </c>
      <c r="N4837" t="s">
        <v>22</v>
      </c>
    </row>
    <row r="4838" spans="1:14">
      <c r="A4838" s="4" t="str">
        <f t="shared" si="462"/>
        <v>EXP00170</v>
      </c>
      <c r="B4838" s="4" t="str">
        <f t="shared" si="460"/>
        <v>24287398</v>
      </c>
      <c r="C4838" s="4" t="str">
        <f t="shared" si="461"/>
        <v>GSE46141</v>
      </c>
      <c r="D4838" s="1" t="s">
        <v>298</v>
      </c>
      <c r="E4838" t="s">
        <v>15</v>
      </c>
      <c r="F4838" s="1">
        <v>2</v>
      </c>
      <c r="G4838" s="1" t="s">
        <v>23</v>
      </c>
      <c r="H4838" s="4" t="str">
        <f>HYPERLINK("https://www.ncbi.nlm.nih.gov/geo/query/acc.cgi?acc=GSM1124928","GSM1124928")</f>
        <v>GSM1124928</v>
      </c>
      <c r="I4838" t="s">
        <v>17</v>
      </c>
      <c r="J4838" t="s">
        <v>18</v>
      </c>
      <c r="K4838" t="s">
        <v>19</v>
      </c>
      <c r="L4838" t="s">
        <v>20</v>
      </c>
      <c r="M4838" t="s">
        <v>24</v>
      </c>
      <c r="N4838" t="s">
        <v>22</v>
      </c>
    </row>
    <row r="4839" spans="1:14">
      <c r="A4839" s="4" t="str">
        <f t="shared" si="462"/>
        <v>EXP00170</v>
      </c>
      <c r="B4839" s="4" t="str">
        <f t="shared" si="460"/>
        <v>24287398</v>
      </c>
      <c r="C4839" s="4" t="str">
        <f t="shared" si="461"/>
        <v>GSE46141</v>
      </c>
      <c r="D4839" s="1" t="s">
        <v>298</v>
      </c>
      <c r="E4839" t="s">
        <v>15</v>
      </c>
      <c r="F4839" s="1">
        <v>2</v>
      </c>
      <c r="G4839" s="1" t="s">
        <v>23</v>
      </c>
      <c r="H4839" s="4" t="str">
        <f>HYPERLINK("https://www.ncbi.nlm.nih.gov/geo/query/acc.cgi?acc=GSM1124930","GSM1124930")</f>
        <v>GSM1124930</v>
      </c>
      <c r="I4839" t="s">
        <v>17</v>
      </c>
      <c r="J4839" t="s">
        <v>18</v>
      </c>
      <c r="K4839" t="s">
        <v>19</v>
      </c>
      <c r="L4839" t="s">
        <v>20</v>
      </c>
      <c r="M4839" t="s">
        <v>24</v>
      </c>
      <c r="N4839" t="s">
        <v>22</v>
      </c>
    </row>
    <row r="4840" spans="1:14">
      <c r="A4840" s="4" t="str">
        <f t="shared" si="462"/>
        <v>EXP00170</v>
      </c>
      <c r="B4840" s="4" t="str">
        <f t="shared" si="460"/>
        <v>24287398</v>
      </c>
      <c r="C4840" s="4" t="str">
        <f t="shared" si="461"/>
        <v>GSE46141</v>
      </c>
      <c r="D4840" s="1" t="s">
        <v>298</v>
      </c>
      <c r="E4840" t="s">
        <v>15</v>
      </c>
      <c r="F4840" s="1">
        <v>2</v>
      </c>
      <c r="G4840" s="1" t="s">
        <v>23</v>
      </c>
      <c r="H4840" s="4" t="str">
        <f>HYPERLINK("https://www.ncbi.nlm.nih.gov/geo/query/acc.cgi?acc=GSM1124931","GSM1124931")</f>
        <v>GSM1124931</v>
      </c>
      <c r="I4840" t="s">
        <v>17</v>
      </c>
      <c r="J4840" t="s">
        <v>18</v>
      </c>
      <c r="K4840" t="s">
        <v>19</v>
      </c>
      <c r="L4840" t="s">
        <v>20</v>
      </c>
      <c r="M4840" t="s">
        <v>24</v>
      </c>
      <c r="N4840" t="s">
        <v>22</v>
      </c>
    </row>
    <row r="4841" spans="1:14">
      <c r="A4841" s="4" t="str">
        <f t="shared" si="462"/>
        <v>EXP00170</v>
      </c>
      <c r="B4841" s="4" t="str">
        <f t="shared" si="460"/>
        <v>24287398</v>
      </c>
      <c r="C4841" s="4" t="str">
        <f t="shared" si="461"/>
        <v>GSE46141</v>
      </c>
      <c r="D4841" s="1" t="s">
        <v>298</v>
      </c>
      <c r="E4841" t="s">
        <v>15</v>
      </c>
      <c r="F4841" s="1">
        <v>2</v>
      </c>
      <c r="G4841" s="1" t="s">
        <v>23</v>
      </c>
      <c r="H4841" s="4" t="str">
        <f>HYPERLINK("https://www.ncbi.nlm.nih.gov/geo/query/acc.cgi?acc=GSM1124935","GSM1124935")</f>
        <v>GSM1124935</v>
      </c>
      <c r="I4841" t="s">
        <v>17</v>
      </c>
      <c r="J4841" t="s">
        <v>18</v>
      </c>
      <c r="K4841" t="s">
        <v>19</v>
      </c>
      <c r="L4841" t="s">
        <v>20</v>
      </c>
      <c r="M4841" t="s">
        <v>24</v>
      </c>
      <c r="N4841" t="s">
        <v>22</v>
      </c>
    </row>
    <row r="4842" spans="1:14">
      <c r="A4842" s="4" t="str">
        <f t="shared" si="462"/>
        <v>EXP00170</v>
      </c>
      <c r="B4842" s="4" t="str">
        <f t="shared" si="460"/>
        <v>24287398</v>
      </c>
      <c r="C4842" s="4" t="str">
        <f t="shared" si="461"/>
        <v>GSE46141</v>
      </c>
      <c r="D4842" s="1" t="s">
        <v>298</v>
      </c>
      <c r="E4842" t="s">
        <v>15</v>
      </c>
      <c r="F4842" s="1">
        <v>2</v>
      </c>
      <c r="G4842" s="1" t="s">
        <v>23</v>
      </c>
      <c r="H4842" s="4" t="str">
        <f>HYPERLINK("https://www.ncbi.nlm.nih.gov/geo/query/acc.cgi?acc=GSM1124936","GSM1124936")</f>
        <v>GSM1124936</v>
      </c>
      <c r="I4842" t="s">
        <v>17</v>
      </c>
      <c r="J4842" t="s">
        <v>18</v>
      </c>
      <c r="K4842" t="s">
        <v>19</v>
      </c>
      <c r="L4842" t="s">
        <v>20</v>
      </c>
      <c r="M4842" t="s">
        <v>24</v>
      </c>
      <c r="N4842" t="s">
        <v>22</v>
      </c>
    </row>
    <row r="4843" spans="1:14">
      <c r="A4843" s="4" t="str">
        <f t="shared" si="462"/>
        <v>EXP00170</v>
      </c>
      <c r="B4843" s="4" t="str">
        <f t="shared" si="460"/>
        <v>24287398</v>
      </c>
      <c r="C4843" s="4" t="str">
        <f t="shared" si="461"/>
        <v>GSE46141</v>
      </c>
      <c r="D4843" s="1" t="s">
        <v>298</v>
      </c>
      <c r="E4843" t="s">
        <v>15</v>
      </c>
      <c r="F4843" s="1">
        <v>2</v>
      </c>
      <c r="G4843" s="1" t="s">
        <v>23</v>
      </c>
      <c r="H4843" s="4" t="str">
        <f>HYPERLINK("https://www.ncbi.nlm.nih.gov/geo/query/acc.cgi?acc=GSM1124938","GSM1124938")</f>
        <v>GSM1124938</v>
      </c>
      <c r="I4843" t="s">
        <v>17</v>
      </c>
      <c r="J4843" t="s">
        <v>18</v>
      </c>
      <c r="K4843" t="s">
        <v>19</v>
      </c>
      <c r="L4843" t="s">
        <v>20</v>
      </c>
      <c r="M4843" t="s">
        <v>24</v>
      </c>
      <c r="N4843" t="s">
        <v>22</v>
      </c>
    </row>
    <row r="4844" spans="1:14">
      <c r="A4844" s="4" t="str">
        <f t="shared" si="462"/>
        <v>EXP00170</v>
      </c>
      <c r="B4844" s="4" t="str">
        <f t="shared" si="460"/>
        <v>24287398</v>
      </c>
      <c r="C4844" s="4" t="str">
        <f t="shared" si="461"/>
        <v>GSE46141</v>
      </c>
      <c r="D4844" s="1" t="s">
        <v>298</v>
      </c>
      <c r="E4844" t="s">
        <v>15</v>
      </c>
      <c r="F4844" s="1">
        <v>2</v>
      </c>
      <c r="G4844" s="1" t="s">
        <v>23</v>
      </c>
      <c r="H4844" s="4" t="str">
        <f>HYPERLINK("https://www.ncbi.nlm.nih.gov/geo/query/acc.cgi?acc=GSM1124940","GSM1124940")</f>
        <v>GSM1124940</v>
      </c>
      <c r="I4844" t="s">
        <v>17</v>
      </c>
      <c r="J4844" t="s">
        <v>18</v>
      </c>
      <c r="K4844" t="s">
        <v>19</v>
      </c>
      <c r="L4844" t="s">
        <v>20</v>
      </c>
      <c r="M4844" t="s">
        <v>24</v>
      </c>
      <c r="N4844" t="s">
        <v>22</v>
      </c>
    </row>
    <row r="4845" spans="1:14">
      <c r="A4845" s="4" t="str">
        <f t="shared" si="462"/>
        <v>EXP00170</v>
      </c>
      <c r="B4845" s="4" t="str">
        <f t="shared" si="460"/>
        <v>24287398</v>
      </c>
      <c r="C4845" s="4" t="str">
        <f t="shared" si="461"/>
        <v>GSE46141</v>
      </c>
      <c r="D4845" s="1" t="s">
        <v>298</v>
      </c>
      <c r="E4845" t="s">
        <v>15</v>
      </c>
      <c r="F4845" s="1">
        <v>2</v>
      </c>
      <c r="G4845" s="1" t="s">
        <v>23</v>
      </c>
      <c r="H4845" s="4" t="str">
        <f>HYPERLINK("https://www.ncbi.nlm.nih.gov/geo/query/acc.cgi?acc=GSM1124941","GSM1124941")</f>
        <v>GSM1124941</v>
      </c>
      <c r="I4845" t="s">
        <v>17</v>
      </c>
      <c r="J4845" t="s">
        <v>18</v>
      </c>
      <c r="K4845" t="s">
        <v>19</v>
      </c>
      <c r="L4845" t="s">
        <v>20</v>
      </c>
      <c r="M4845" t="s">
        <v>24</v>
      </c>
      <c r="N4845" t="s">
        <v>22</v>
      </c>
    </row>
    <row r="4846" spans="1:14">
      <c r="A4846" s="4" t="str">
        <f t="shared" si="462"/>
        <v>EXP00170</v>
      </c>
      <c r="B4846" s="4" t="str">
        <f t="shared" si="460"/>
        <v>24287398</v>
      </c>
      <c r="C4846" s="4" t="str">
        <f t="shared" si="461"/>
        <v>GSE46141</v>
      </c>
      <c r="D4846" s="1" t="s">
        <v>298</v>
      </c>
      <c r="E4846" t="s">
        <v>15</v>
      </c>
      <c r="F4846" s="1">
        <v>2</v>
      </c>
      <c r="G4846" s="1" t="s">
        <v>23</v>
      </c>
      <c r="H4846" s="4" t="str">
        <f>HYPERLINK("https://www.ncbi.nlm.nih.gov/geo/query/acc.cgi?acc=GSM1124942","GSM1124942")</f>
        <v>GSM1124942</v>
      </c>
      <c r="I4846" t="s">
        <v>17</v>
      </c>
      <c r="J4846" t="s">
        <v>18</v>
      </c>
      <c r="K4846" t="s">
        <v>19</v>
      </c>
      <c r="L4846" t="s">
        <v>20</v>
      </c>
      <c r="M4846" t="s">
        <v>24</v>
      </c>
      <c r="N4846" t="s">
        <v>22</v>
      </c>
    </row>
    <row r="4847" spans="1:14">
      <c r="A4847" s="4" t="str">
        <f t="shared" si="462"/>
        <v>EXP00170</v>
      </c>
      <c r="B4847" s="4" t="str">
        <f t="shared" si="460"/>
        <v>24287398</v>
      </c>
      <c r="C4847" s="4" t="str">
        <f t="shared" si="461"/>
        <v>GSE46141</v>
      </c>
      <c r="D4847" s="1" t="s">
        <v>298</v>
      </c>
      <c r="E4847" t="s">
        <v>15</v>
      </c>
      <c r="F4847" s="1">
        <v>2</v>
      </c>
      <c r="G4847" s="1" t="s">
        <v>23</v>
      </c>
      <c r="H4847" s="4" t="str">
        <f>HYPERLINK("https://www.ncbi.nlm.nih.gov/geo/query/acc.cgi?acc=GSM1124943","GSM1124943")</f>
        <v>GSM1124943</v>
      </c>
      <c r="I4847" t="s">
        <v>17</v>
      </c>
      <c r="J4847" t="s">
        <v>18</v>
      </c>
      <c r="K4847" t="s">
        <v>19</v>
      </c>
      <c r="L4847" t="s">
        <v>20</v>
      </c>
      <c r="M4847" t="s">
        <v>24</v>
      </c>
      <c r="N4847" t="s">
        <v>22</v>
      </c>
    </row>
    <row r="4848" spans="1:14">
      <c r="A4848" s="4" t="str">
        <f t="shared" si="462"/>
        <v>EXP00170</v>
      </c>
      <c r="B4848" s="4" t="str">
        <f t="shared" si="460"/>
        <v>24287398</v>
      </c>
      <c r="C4848" s="4" t="str">
        <f t="shared" si="461"/>
        <v>GSE46141</v>
      </c>
      <c r="D4848" s="1" t="s">
        <v>298</v>
      </c>
      <c r="E4848" t="s">
        <v>15</v>
      </c>
      <c r="F4848" s="1">
        <v>2</v>
      </c>
      <c r="G4848" s="1" t="s">
        <v>23</v>
      </c>
      <c r="H4848" s="4" t="str">
        <f>HYPERLINK("https://www.ncbi.nlm.nih.gov/geo/query/acc.cgi?acc=GSM1124948","GSM1124948")</f>
        <v>GSM1124948</v>
      </c>
      <c r="I4848" t="s">
        <v>17</v>
      </c>
      <c r="J4848" t="s">
        <v>18</v>
      </c>
      <c r="K4848" t="s">
        <v>19</v>
      </c>
      <c r="L4848" t="s">
        <v>20</v>
      </c>
      <c r="M4848" t="s">
        <v>24</v>
      </c>
      <c r="N4848" t="s">
        <v>22</v>
      </c>
    </row>
    <row r="4849" spans="1:14">
      <c r="A4849" s="4" t="str">
        <f t="shared" si="462"/>
        <v>EXP00170</v>
      </c>
      <c r="B4849" s="4" t="str">
        <f t="shared" si="460"/>
        <v>24287398</v>
      </c>
      <c r="C4849" s="4" t="str">
        <f t="shared" si="461"/>
        <v>GSE46141</v>
      </c>
      <c r="D4849" s="1" t="s">
        <v>298</v>
      </c>
      <c r="E4849" t="s">
        <v>15</v>
      </c>
      <c r="F4849" s="1">
        <v>2</v>
      </c>
      <c r="G4849" s="1" t="s">
        <v>23</v>
      </c>
      <c r="H4849" s="4" t="str">
        <f>HYPERLINK("https://www.ncbi.nlm.nih.gov/geo/query/acc.cgi?acc=GSM1124949","GSM1124949")</f>
        <v>GSM1124949</v>
      </c>
      <c r="I4849" t="s">
        <v>17</v>
      </c>
      <c r="J4849" t="s">
        <v>18</v>
      </c>
      <c r="K4849" t="s">
        <v>19</v>
      </c>
      <c r="L4849" t="s">
        <v>20</v>
      </c>
      <c r="M4849" t="s">
        <v>24</v>
      </c>
      <c r="N4849" t="s">
        <v>22</v>
      </c>
    </row>
    <row r="4850" spans="1:14">
      <c r="A4850" s="4" t="str">
        <f t="shared" si="462"/>
        <v>EXP00170</v>
      </c>
      <c r="B4850" s="4" t="str">
        <f t="shared" si="460"/>
        <v>24287398</v>
      </c>
      <c r="C4850" s="4" t="str">
        <f t="shared" si="461"/>
        <v>GSE46141</v>
      </c>
      <c r="D4850" s="1" t="s">
        <v>298</v>
      </c>
      <c r="E4850" t="s">
        <v>15</v>
      </c>
      <c r="F4850" s="1">
        <v>2</v>
      </c>
      <c r="G4850" s="1" t="s">
        <v>23</v>
      </c>
      <c r="H4850" s="4" t="str">
        <f>HYPERLINK("https://www.ncbi.nlm.nih.gov/geo/query/acc.cgi?acc=GSM1124950","GSM1124950")</f>
        <v>GSM1124950</v>
      </c>
      <c r="I4850" t="s">
        <v>17</v>
      </c>
      <c r="J4850" t="s">
        <v>18</v>
      </c>
      <c r="K4850" t="s">
        <v>19</v>
      </c>
      <c r="L4850" t="s">
        <v>20</v>
      </c>
      <c r="M4850" t="s">
        <v>24</v>
      </c>
      <c r="N4850" t="s">
        <v>22</v>
      </c>
    </row>
    <row r="4851" spans="1:14">
      <c r="A4851" s="4" t="str">
        <f t="shared" si="462"/>
        <v>EXP00170</v>
      </c>
      <c r="B4851" s="4" t="str">
        <f t="shared" si="460"/>
        <v>24287398</v>
      </c>
      <c r="C4851" s="4" t="str">
        <f t="shared" si="461"/>
        <v>GSE46141</v>
      </c>
      <c r="D4851" s="1" t="s">
        <v>298</v>
      </c>
      <c r="E4851" t="s">
        <v>15</v>
      </c>
      <c r="F4851" s="1">
        <v>2</v>
      </c>
      <c r="G4851" s="1" t="s">
        <v>23</v>
      </c>
      <c r="H4851" s="4" t="str">
        <f>HYPERLINK("https://www.ncbi.nlm.nih.gov/geo/query/acc.cgi?acc=GSM1124954","GSM1124954")</f>
        <v>GSM1124954</v>
      </c>
      <c r="I4851" t="s">
        <v>17</v>
      </c>
      <c r="J4851" t="s">
        <v>18</v>
      </c>
      <c r="K4851" t="s">
        <v>19</v>
      </c>
      <c r="L4851" t="s">
        <v>20</v>
      </c>
      <c r="M4851" t="s">
        <v>24</v>
      </c>
      <c r="N4851" t="s">
        <v>22</v>
      </c>
    </row>
    <row r="4852" spans="1:14">
      <c r="A4852" s="4" t="str">
        <f t="shared" si="462"/>
        <v>EXP00170</v>
      </c>
      <c r="B4852" s="4" t="str">
        <f t="shared" si="460"/>
        <v>24287398</v>
      </c>
      <c r="C4852" s="4" t="str">
        <f t="shared" si="461"/>
        <v>GSE46141</v>
      </c>
      <c r="D4852" s="1" t="s">
        <v>298</v>
      </c>
      <c r="E4852" t="s">
        <v>15</v>
      </c>
      <c r="F4852" s="1">
        <v>2</v>
      </c>
      <c r="G4852" s="1" t="s">
        <v>23</v>
      </c>
      <c r="H4852" s="4" t="str">
        <f>HYPERLINK("https://www.ncbi.nlm.nih.gov/geo/query/acc.cgi?acc=GSM1124955","GSM1124955")</f>
        <v>GSM1124955</v>
      </c>
      <c r="I4852" t="s">
        <v>17</v>
      </c>
      <c r="J4852" t="s">
        <v>18</v>
      </c>
      <c r="K4852" t="s">
        <v>19</v>
      </c>
      <c r="L4852" t="s">
        <v>20</v>
      </c>
      <c r="M4852" t="s">
        <v>24</v>
      </c>
      <c r="N4852" t="s">
        <v>22</v>
      </c>
    </row>
    <row r="4853" spans="1:14">
      <c r="A4853" s="4" t="str">
        <f t="shared" si="462"/>
        <v>EXP00170</v>
      </c>
      <c r="B4853" s="4" t="str">
        <f t="shared" si="460"/>
        <v>24287398</v>
      </c>
      <c r="C4853" s="4" t="str">
        <f t="shared" si="461"/>
        <v>GSE46141</v>
      </c>
      <c r="D4853" s="1" t="s">
        <v>298</v>
      </c>
      <c r="E4853" t="s">
        <v>15</v>
      </c>
      <c r="F4853" s="1">
        <v>2</v>
      </c>
      <c r="G4853" s="1" t="s">
        <v>23</v>
      </c>
      <c r="H4853" s="4" t="str">
        <f>HYPERLINK("https://www.ncbi.nlm.nih.gov/geo/query/acc.cgi?acc=GSM1124956","GSM1124956")</f>
        <v>GSM1124956</v>
      </c>
      <c r="I4853" t="s">
        <v>17</v>
      </c>
      <c r="J4853" t="s">
        <v>18</v>
      </c>
      <c r="K4853" t="s">
        <v>19</v>
      </c>
      <c r="L4853" t="s">
        <v>20</v>
      </c>
      <c r="M4853" t="s">
        <v>24</v>
      </c>
      <c r="N4853" t="s">
        <v>22</v>
      </c>
    </row>
    <row r="4854" spans="1:14">
      <c r="A4854" s="4" t="str">
        <f t="shared" ref="A4854:A4872" si="463">HYPERLINK("http://hcmdb.i-sanger.com/experiment/details/experiment_id/EXP00171","EXP00171")</f>
        <v>EXP00171</v>
      </c>
      <c r="B4854" s="4" t="str">
        <f t="shared" si="460"/>
        <v>24287398</v>
      </c>
      <c r="C4854" s="4" t="str">
        <f t="shared" si="461"/>
        <v>GSE46141</v>
      </c>
      <c r="D4854" s="1" t="s">
        <v>298</v>
      </c>
      <c r="E4854" t="s">
        <v>15</v>
      </c>
      <c r="F4854" s="1">
        <v>1</v>
      </c>
      <c r="G4854" s="1" t="s">
        <v>40</v>
      </c>
      <c r="H4854" s="4" t="str">
        <f>HYPERLINK("https://www.ncbi.nlm.nih.gov/geo/query/acc.cgi?acc=GSM1124900","GSM1124900")</f>
        <v>GSM1124900</v>
      </c>
      <c r="I4854" t="s">
        <v>17</v>
      </c>
      <c r="J4854" t="s">
        <v>18</v>
      </c>
      <c r="K4854" t="s">
        <v>19</v>
      </c>
      <c r="L4854" t="s">
        <v>20</v>
      </c>
      <c r="M4854" t="s">
        <v>41</v>
      </c>
      <c r="N4854" t="s">
        <v>22</v>
      </c>
    </row>
    <row r="4855" spans="1:14">
      <c r="A4855" s="4" t="str">
        <f t="shared" si="463"/>
        <v>EXP00171</v>
      </c>
      <c r="B4855" s="4" t="str">
        <f t="shared" si="460"/>
        <v>24287398</v>
      </c>
      <c r="C4855" s="4" t="str">
        <f t="shared" si="461"/>
        <v>GSE46141</v>
      </c>
      <c r="D4855" s="1" t="s">
        <v>298</v>
      </c>
      <c r="E4855" t="s">
        <v>15</v>
      </c>
      <c r="F4855" s="1">
        <v>1</v>
      </c>
      <c r="G4855" s="1" t="s">
        <v>40</v>
      </c>
      <c r="H4855" s="4" t="str">
        <f>HYPERLINK("https://www.ncbi.nlm.nih.gov/geo/query/acc.cgi?acc=GSM1124914","GSM1124914")</f>
        <v>GSM1124914</v>
      </c>
      <c r="I4855" t="s">
        <v>17</v>
      </c>
      <c r="J4855" t="s">
        <v>18</v>
      </c>
      <c r="K4855" t="s">
        <v>19</v>
      </c>
      <c r="L4855" t="s">
        <v>20</v>
      </c>
      <c r="M4855" t="s">
        <v>41</v>
      </c>
      <c r="N4855" t="s">
        <v>22</v>
      </c>
    </row>
    <row r="4856" spans="1:14">
      <c r="A4856" s="4" t="str">
        <f t="shared" si="463"/>
        <v>EXP00171</v>
      </c>
      <c r="B4856" s="4" t="str">
        <f t="shared" si="460"/>
        <v>24287398</v>
      </c>
      <c r="C4856" s="4" t="str">
        <f t="shared" si="461"/>
        <v>GSE46141</v>
      </c>
      <c r="D4856" s="1" t="s">
        <v>298</v>
      </c>
      <c r="E4856" t="s">
        <v>15</v>
      </c>
      <c r="F4856" s="1">
        <v>2</v>
      </c>
      <c r="G4856" s="1" t="s">
        <v>224</v>
      </c>
      <c r="H4856" s="4" t="str">
        <f>HYPERLINK("https://www.ncbi.nlm.nih.gov/geo/query/acc.cgi?acc=GSM1124872","GSM1124872")</f>
        <v>GSM1124872</v>
      </c>
      <c r="I4856" t="s">
        <v>17</v>
      </c>
      <c r="J4856" t="s">
        <v>18</v>
      </c>
      <c r="K4856" t="s">
        <v>19</v>
      </c>
      <c r="L4856" t="s">
        <v>20</v>
      </c>
      <c r="M4856" t="s">
        <v>27</v>
      </c>
      <c r="N4856" t="s">
        <v>22</v>
      </c>
    </row>
    <row r="4857" spans="1:14">
      <c r="A4857" s="4" t="str">
        <f t="shared" si="463"/>
        <v>EXP00171</v>
      </c>
      <c r="B4857" s="4" t="str">
        <f t="shared" si="460"/>
        <v>24287398</v>
      </c>
      <c r="C4857" s="4" t="str">
        <f t="shared" si="461"/>
        <v>GSE46141</v>
      </c>
      <c r="D4857" s="1" t="s">
        <v>298</v>
      </c>
      <c r="E4857" t="s">
        <v>15</v>
      </c>
      <c r="F4857" s="1">
        <v>2</v>
      </c>
      <c r="G4857" s="1" t="s">
        <v>224</v>
      </c>
      <c r="H4857" s="4" t="str">
        <f>HYPERLINK("https://www.ncbi.nlm.nih.gov/geo/query/acc.cgi?acc=GSM1124873","GSM1124873")</f>
        <v>GSM1124873</v>
      </c>
      <c r="I4857" t="s">
        <v>17</v>
      </c>
      <c r="J4857" t="s">
        <v>18</v>
      </c>
      <c r="K4857" t="s">
        <v>19</v>
      </c>
      <c r="L4857" t="s">
        <v>20</v>
      </c>
      <c r="M4857" t="s">
        <v>27</v>
      </c>
      <c r="N4857" t="s">
        <v>22</v>
      </c>
    </row>
    <row r="4858" spans="1:14">
      <c r="A4858" s="4" t="str">
        <f t="shared" si="463"/>
        <v>EXP00171</v>
      </c>
      <c r="B4858" s="4" t="str">
        <f t="shared" si="460"/>
        <v>24287398</v>
      </c>
      <c r="C4858" s="4" t="str">
        <f t="shared" si="461"/>
        <v>GSE46141</v>
      </c>
      <c r="D4858" s="1" t="s">
        <v>298</v>
      </c>
      <c r="E4858" t="s">
        <v>15</v>
      </c>
      <c r="F4858" s="1">
        <v>2</v>
      </c>
      <c r="G4858" s="1" t="s">
        <v>224</v>
      </c>
      <c r="H4858" s="4" t="str">
        <f>HYPERLINK("https://www.ncbi.nlm.nih.gov/geo/query/acc.cgi?acc=GSM1124876","GSM1124876")</f>
        <v>GSM1124876</v>
      </c>
      <c r="I4858" t="s">
        <v>17</v>
      </c>
      <c r="J4858" t="s">
        <v>18</v>
      </c>
      <c r="K4858" t="s">
        <v>19</v>
      </c>
      <c r="L4858" t="s">
        <v>20</v>
      </c>
      <c r="M4858" t="s">
        <v>27</v>
      </c>
      <c r="N4858" t="s">
        <v>22</v>
      </c>
    </row>
    <row r="4859" spans="1:14">
      <c r="A4859" s="4" t="str">
        <f t="shared" si="463"/>
        <v>EXP00171</v>
      </c>
      <c r="B4859" s="4" t="str">
        <f t="shared" si="460"/>
        <v>24287398</v>
      </c>
      <c r="C4859" s="4" t="str">
        <f t="shared" si="461"/>
        <v>GSE46141</v>
      </c>
      <c r="D4859" s="1" t="s">
        <v>298</v>
      </c>
      <c r="E4859" t="s">
        <v>15</v>
      </c>
      <c r="F4859" s="1">
        <v>2</v>
      </c>
      <c r="G4859" s="1" t="s">
        <v>224</v>
      </c>
      <c r="H4859" s="4" t="str">
        <f>HYPERLINK("https://www.ncbi.nlm.nih.gov/geo/query/acc.cgi?acc=GSM1124877","GSM1124877")</f>
        <v>GSM1124877</v>
      </c>
      <c r="I4859" t="s">
        <v>17</v>
      </c>
      <c r="J4859" t="s">
        <v>18</v>
      </c>
      <c r="K4859" t="s">
        <v>19</v>
      </c>
      <c r="L4859" t="s">
        <v>20</v>
      </c>
      <c r="M4859" t="s">
        <v>27</v>
      </c>
      <c r="N4859" t="s">
        <v>22</v>
      </c>
    </row>
    <row r="4860" spans="1:14">
      <c r="A4860" s="4" t="str">
        <f t="shared" si="463"/>
        <v>EXP00171</v>
      </c>
      <c r="B4860" s="4" t="str">
        <f t="shared" si="460"/>
        <v>24287398</v>
      </c>
      <c r="C4860" s="4" t="str">
        <f t="shared" si="461"/>
        <v>GSE46141</v>
      </c>
      <c r="D4860" s="1" t="s">
        <v>298</v>
      </c>
      <c r="E4860" t="s">
        <v>15</v>
      </c>
      <c r="F4860" s="1">
        <v>2</v>
      </c>
      <c r="G4860" s="1" t="s">
        <v>224</v>
      </c>
      <c r="H4860" s="4" t="str">
        <f>HYPERLINK("https://www.ncbi.nlm.nih.gov/geo/query/acc.cgi?acc=GSM1124879","GSM1124879")</f>
        <v>GSM1124879</v>
      </c>
      <c r="I4860" t="s">
        <v>17</v>
      </c>
      <c r="J4860" t="s">
        <v>18</v>
      </c>
      <c r="K4860" t="s">
        <v>19</v>
      </c>
      <c r="L4860" t="s">
        <v>20</v>
      </c>
      <c r="M4860" t="s">
        <v>27</v>
      </c>
      <c r="N4860" t="s">
        <v>22</v>
      </c>
    </row>
    <row r="4861" spans="1:14">
      <c r="A4861" s="4" t="str">
        <f t="shared" si="463"/>
        <v>EXP00171</v>
      </c>
      <c r="B4861" s="4" t="str">
        <f t="shared" si="460"/>
        <v>24287398</v>
      </c>
      <c r="C4861" s="4" t="str">
        <f t="shared" si="461"/>
        <v>GSE46141</v>
      </c>
      <c r="D4861" s="1" t="s">
        <v>298</v>
      </c>
      <c r="E4861" t="s">
        <v>15</v>
      </c>
      <c r="F4861" s="1">
        <v>2</v>
      </c>
      <c r="G4861" s="1" t="s">
        <v>224</v>
      </c>
      <c r="H4861" s="4" t="str">
        <f>HYPERLINK("https://www.ncbi.nlm.nih.gov/geo/query/acc.cgi?acc=GSM1124883","GSM1124883")</f>
        <v>GSM1124883</v>
      </c>
      <c r="I4861" t="s">
        <v>17</v>
      </c>
      <c r="J4861" t="s">
        <v>18</v>
      </c>
      <c r="K4861" t="s">
        <v>19</v>
      </c>
      <c r="L4861" t="s">
        <v>20</v>
      </c>
      <c r="M4861" t="s">
        <v>27</v>
      </c>
      <c r="N4861" t="s">
        <v>22</v>
      </c>
    </row>
    <row r="4862" spans="1:14">
      <c r="A4862" s="4" t="str">
        <f t="shared" si="463"/>
        <v>EXP00171</v>
      </c>
      <c r="B4862" s="4" t="str">
        <f t="shared" si="460"/>
        <v>24287398</v>
      </c>
      <c r="C4862" s="4" t="str">
        <f t="shared" si="461"/>
        <v>GSE46141</v>
      </c>
      <c r="D4862" s="1" t="s">
        <v>298</v>
      </c>
      <c r="E4862" t="s">
        <v>15</v>
      </c>
      <c r="F4862" s="1">
        <v>2</v>
      </c>
      <c r="G4862" s="1" t="s">
        <v>224</v>
      </c>
      <c r="H4862" s="4" t="str">
        <f>HYPERLINK("https://www.ncbi.nlm.nih.gov/geo/query/acc.cgi?acc=GSM1124889","GSM1124889")</f>
        <v>GSM1124889</v>
      </c>
      <c r="I4862" t="s">
        <v>17</v>
      </c>
      <c r="J4862" t="s">
        <v>18</v>
      </c>
      <c r="K4862" t="s">
        <v>19</v>
      </c>
      <c r="L4862" t="s">
        <v>20</v>
      </c>
      <c r="M4862" t="s">
        <v>27</v>
      </c>
      <c r="N4862" t="s">
        <v>22</v>
      </c>
    </row>
    <row r="4863" spans="1:14">
      <c r="A4863" s="4" t="str">
        <f t="shared" si="463"/>
        <v>EXP00171</v>
      </c>
      <c r="B4863" s="4" t="str">
        <f t="shared" ref="B4863:B4928" si="464">HYPERLINK("https://www.ncbi.nlm.nih.gov/pubmed/24287398","24287398")</f>
        <v>24287398</v>
      </c>
      <c r="C4863" s="4" t="str">
        <f t="shared" ref="C4863:C4928" si="465">HYPERLINK("https://www.ncbi.nlm.nih.gov/geo/query/acc.cgi?acc=GSE46141","GSE46141")</f>
        <v>GSE46141</v>
      </c>
      <c r="D4863" s="1" t="s">
        <v>298</v>
      </c>
      <c r="E4863" t="s">
        <v>15</v>
      </c>
      <c r="F4863" s="1">
        <v>2</v>
      </c>
      <c r="G4863" s="1" t="s">
        <v>224</v>
      </c>
      <c r="H4863" s="4" t="str">
        <f>HYPERLINK("https://www.ncbi.nlm.nih.gov/geo/query/acc.cgi?acc=GSM1124892","GSM1124892")</f>
        <v>GSM1124892</v>
      </c>
      <c r="I4863" t="s">
        <v>17</v>
      </c>
      <c r="J4863" t="s">
        <v>18</v>
      </c>
      <c r="K4863" t="s">
        <v>19</v>
      </c>
      <c r="L4863" t="s">
        <v>20</v>
      </c>
      <c r="M4863" t="s">
        <v>27</v>
      </c>
      <c r="N4863" t="s">
        <v>22</v>
      </c>
    </row>
    <row r="4864" spans="1:14">
      <c r="A4864" s="4" t="str">
        <f t="shared" si="463"/>
        <v>EXP00171</v>
      </c>
      <c r="B4864" s="4" t="str">
        <f t="shared" si="464"/>
        <v>24287398</v>
      </c>
      <c r="C4864" s="4" t="str">
        <f t="shared" si="465"/>
        <v>GSE46141</v>
      </c>
      <c r="D4864" s="1" t="s">
        <v>298</v>
      </c>
      <c r="E4864" t="s">
        <v>15</v>
      </c>
      <c r="F4864" s="1">
        <v>2</v>
      </c>
      <c r="G4864" s="1" t="s">
        <v>224</v>
      </c>
      <c r="H4864" s="4" t="str">
        <f>HYPERLINK("https://www.ncbi.nlm.nih.gov/geo/query/acc.cgi?acc=GSM1124893","GSM1124893")</f>
        <v>GSM1124893</v>
      </c>
      <c r="I4864" t="s">
        <v>17</v>
      </c>
      <c r="J4864" t="s">
        <v>18</v>
      </c>
      <c r="K4864" t="s">
        <v>19</v>
      </c>
      <c r="L4864" t="s">
        <v>20</v>
      </c>
      <c r="M4864" t="s">
        <v>27</v>
      </c>
      <c r="N4864" t="s">
        <v>22</v>
      </c>
    </row>
    <row r="4865" spans="1:14">
      <c r="A4865" s="4" t="str">
        <f t="shared" si="463"/>
        <v>EXP00171</v>
      </c>
      <c r="B4865" s="4" t="str">
        <f t="shared" si="464"/>
        <v>24287398</v>
      </c>
      <c r="C4865" s="4" t="str">
        <f t="shared" si="465"/>
        <v>GSE46141</v>
      </c>
      <c r="D4865" s="1" t="s">
        <v>298</v>
      </c>
      <c r="E4865" t="s">
        <v>15</v>
      </c>
      <c r="F4865" s="1">
        <v>2</v>
      </c>
      <c r="G4865" s="1" t="s">
        <v>224</v>
      </c>
      <c r="H4865" s="4" t="str">
        <f>HYPERLINK("https://www.ncbi.nlm.nih.gov/geo/query/acc.cgi?acc=GSM1124909","GSM1124909")</f>
        <v>GSM1124909</v>
      </c>
      <c r="I4865" t="s">
        <v>17</v>
      </c>
      <c r="J4865" t="s">
        <v>18</v>
      </c>
      <c r="K4865" t="s">
        <v>19</v>
      </c>
      <c r="L4865" t="s">
        <v>20</v>
      </c>
      <c r="M4865" t="s">
        <v>27</v>
      </c>
      <c r="N4865" t="s">
        <v>22</v>
      </c>
    </row>
    <row r="4866" spans="1:14">
      <c r="A4866" s="4" t="str">
        <f t="shared" si="463"/>
        <v>EXP00171</v>
      </c>
      <c r="B4866" s="4" t="str">
        <f t="shared" si="464"/>
        <v>24287398</v>
      </c>
      <c r="C4866" s="4" t="str">
        <f t="shared" si="465"/>
        <v>GSE46141</v>
      </c>
      <c r="D4866" s="1" t="s">
        <v>298</v>
      </c>
      <c r="E4866" t="s">
        <v>15</v>
      </c>
      <c r="F4866" s="1">
        <v>2</v>
      </c>
      <c r="G4866" s="1" t="s">
        <v>224</v>
      </c>
      <c r="H4866" s="4" t="str">
        <f>HYPERLINK("https://www.ncbi.nlm.nih.gov/geo/query/acc.cgi?acc=GSM1124913","GSM1124913")</f>
        <v>GSM1124913</v>
      </c>
      <c r="I4866" t="s">
        <v>17</v>
      </c>
      <c r="J4866" t="s">
        <v>18</v>
      </c>
      <c r="K4866" t="s">
        <v>19</v>
      </c>
      <c r="L4866" t="s">
        <v>20</v>
      </c>
      <c r="M4866" t="s">
        <v>27</v>
      </c>
      <c r="N4866" t="s">
        <v>22</v>
      </c>
    </row>
    <row r="4867" spans="1:14">
      <c r="A4867" s="4" t="str">
        <f t="shared" si="463"/>
        <v>EXP00171</v>
      </c>
      <c r="B4867" s="4" t="str">
        <f t="shared" si="464"/>
        <v>24287398</v>
      </c>
      <c r="C4867" s="4" t="str">
        <f t="shared" si="465"/>
        <v>GSE46141</v>
      </c>
      <c r="D4867" s="1" t="s">
        <v>298</v>
      </c>
      <c r="E4867" t="s">
        <v>15</v>
      </c>
      <c r="F4867" s="1">
        <v>2</v>
      </c>
      <c r="G4867" s="1" t="s">
        <v>224</v>
      </c>
      <c r="H4867" s="4" t="str">
        <f>HYPERLINK("https://www.ncbi.nlm.nih.gov/geo/query/acc.cgi?acc=GSM1124916","GSM1124916")</f>
        <v>GSM1124916</v>
      </c>
      <c r="I4867" t="s">
        <v>17</v>
      </c>
      <c r="J4867" t="s">
        <v>18</v>
      </c>
      <c r="K4867" t="s">
        <v>19</v>
      </c>
      <c r="L4867" t="s">
        <v>20</v>
      </c>
      <c r="M4867" t="s">
        <v>27</v>
      </c>
      <c r="N4867" t="s">
        <v>22</v>
      </c>
    </row>
    <row r="4868" spans="1:14">
      <c r="A4868" s="4" t="str">
        <f t="shared" si="463"/>
        <v>EXP00171</v>
      </c>
      <c r="B4868" s="4" t="str">
        <f t="shared" si="464"/>
        <v>24287398</v>
      </c>
      <c r="C4868" s="4" t="str">
        <f t="shared" si="465"/>
        <v>GSE46141</v>
      </c>
      <c r="D4868" s="1" t="s">
        <v>298</v>
      </c>
      <c r="E4868" t="s">
        <v>15</v>
      </c>
      <c r="F4868" s="1">
        <v>2</v>
      </c>
      <c r="G4868" s="1" t="s">
        <v>224</v>
      </c>
      <c r="H4868" s="4" t="str">
        <f>HYPERLINK("https://www.ncbi.nlm.nih.gov/geo/query/acc.cgi?acc=GSM1124923","GSM1124923")</f>
        <v>GSM1124923</v>
      </c>
      <c r="I4868" t="s">
        <v>17</v>
      </c>
      <c r="J4868" t="s">
        <v>18</v>
      </c>
      <c r="K4868" t="s">
        <v>19</v>
      </c>
      <c r="L4868" t="s">
        <v>20</v>
      </c>
      <c r="M4868" t="s">
        <v>27</v>
      </c>
      <c r="N4868" t="s">
        <v>22</v>
      </c>
    </row>
    <row r="4869" spans="1:14">
      <c r="A4869" s="4" t="str">
        <f t="shared" si="463"/>
        <v>EXP00171</v>
      </c>
      <c r="B4869" s="4" t="str">
        <f t="shared" si="464"/>
        <v>24287398</v>
      </c>
      <c r="C4869" s="4" t="str">
        <f t="shared" si="465"/>
        <v>GSE46141</v>
      </c>
      <c r="D4869" s="1" t="s">
        <v>298</v>
      </c>
      <c r="E4869" t="s">
        <v>15</v>
      </c>
      <c r="F4869" s="1">
        <v>2</v>
      </c>
      <c r="G4869" s="1" t="s">
        <v>224</v>
      </c>
      <c r="H4869" s="4" t="str">
        <f>HYPERLINK("https://www.ncbi.nlm.nih.gov/geo/query/acc.cgi?acc=GSM1124925","GSM1124925")</f>
        <v>GSM1124925</v>
      </c>
      <c r="I4869" t="s">
        <v>17</v>
      </c>
      <c r="J4869" t="s">
        <v>18</v>
      </c>
      <c r="K4869" t="s">
        <v>19</v>
      </c>
      <c r="L4869" t="s">
        <v>20</v>
      </c>
      <c r="M4869" t="s">
        <v>27</v>
      </c>
      <c r="N4869" t="s">
        <v>22</v>
      </c>
    </row>
    <row r="4870" spans="1:14">
      <c r="A4870" s="4" t="str">
        <f t="shared" si="463"/>
        <v>EXP00171</v>
      </c>
      <c r="B4870" s="4" t="str">
        <f t="shared" si="464"/>
        <v>24287398</v>
      </c>
      <c r="C4870" s="4" t="str">
        <f t="shared" si="465"/>
        <v>GSE46141</v>
      </c>
      <c r="D4870" s="1" t="s">
        <v>298</v>
      </c>
      <c r="E4870" t="s">
        <v>15</v>
      </c>
      <c r="F4870" s="1">
        <v>2</v>
      </c>
      <c r="G4870" s="1" t="s">
        <v>224</v>
      </c>
      <c r="H4870" s="4" t="str">
        <f>HYPERLINK("https://www.ncbi.nlm.nih.gov/geo/query/acc.cgi?acc=GSM1124929","GSM1124929")</f>
        <v>GSM1124929</v>
      </c>
      <c r="I4870" t="s">
        <v>17</v>
      </c>
      <c r="J4870" t="s">
        <v>18</v>
      </c>
      <c r="K4870" t="s">
        <v>19</v>
      </c>
      <c r="L4870" t="s">
        <v>20</v>
      </c>
      <c r="M4870" t="s">
        <v>27</v>
      </c>
      <c r="N4870" t="s">
        <v>22</v>
      </c>
    </row>
    <row r="4871" spans="1:14">
      <c r="A4871" s="4" t="str">
        <f t="shared" si="463"/>
        <v>EXP00171</v>
      </c>
      <c r="B4871" s="4" t="str">
        <f t="shared" si="464"/>
        <v>24287398</v>
      </c>
      <c r="C4871" s="4" t="str">
        <f t="shared" si="465"/>
        <v>GSE46141</v>
      </c>
      <c r="D4871" s="1" t="s">
        <v>298</v>
      </c>
      <c r="E4871" t="s">
        <v>15</v>
      </c>
      <c r="F4871" s="1">
        <v>2</v>
      </c>
      <c r="G4871" s="1" t="s">
        <v>224</v>
      </c>
      <c r="H4871" s="4" t="str">
        <f>HYPERLINK("https://www.ncbi.nlm.nih.gov/geo/query/acc.cgi?acc=GSM1124934","GSM1124934")</f>
        <v>GSM1124934</v>
      </c>
      <c r="I4871" t="s">
        <v>17</v>
      </c>
      <c r="J4871" t="s">
        <v>18</v>
      </c>
      <c r="K4871" t="s">
        <v>19</v>
      </c>
      <c r="L4871" t="s">
        <v>20</v>
      </c>
      <c r="M4871" t="s">
        <v>27</v>
      </c>
      <c r="N4871" t="s">
        <v>22</v>
      </c>
    </row>
    <row r="4872" spans="1:14">
      <c r="A4872" s="4" t="str">
        <f t="shared" si="463"/>
        <v>EXP00171</v>
      </c>
      <c r="B4872" s="4" t="str">
        <f t="shared" si="464"/>
        <v>24287398</v>
      </c>
      <c r="C4872" s="4" t="str">
        <f t="shared" si="465"/>
        <v>GSE46141</v>
      </c>
      <c r="D4872" s="1" t="s">
        <v>298</v>
      </c>
      <c r="E4872" t="s">
        <v>15</v>
      </c>
      <c r="F4872" s="1">
        <v>2</v>
      </c>
      <c r="G4872" s="1" t="s">
        <v>224</v>
      </c>
      <c r="H4872" s="4" t="str">
        <f>HYPERLINK("https://www.ncbi.nlm.nih.gov/geo/query/acc.cgi?acc=GSM1124937","GSM1124937")</f>
        <v>GSM1124937</v>
      </c>
      <c r="I4872" t="s">
        <v>17</v>
      </c>
      <c r="J4872" t="s">
        <v>18</v>
      </c>
      <c r="K4872" t="s">
        <v>19</v>
      </c>
      <c r="L4872" t="s">
        <v>20</v>
      </c>
      <c r="M4872" t="s">
        <v>27</v>
      </c>
      <c r="N4872" t="s">
        <v>22</v>
      </c>
    </row>
    <row r="4873" spans="1:14">
      <c r="A4873" s="4" t="str">
        <f t="shared" ref="A4873:A4904" si="466">HYPERLINK("http://hcmdb.i-sanger.com/experiment/details/experiment_id/EXP00172","EXP00172")</f>
        <v>EXP00172</v>
      </c>
      <c r="B4873" s="4" t="str">
        <f t="shared" si="464"/>
        <v>24287398</v>
      </c>
      <c r="C4873" s="4" t="str">
        <f t="shared" si="465"/>
        <v>GSE46141</v>
      </c>
      <c r="D4873" s="1" t="s">
        <v>298</v>
      </c>
      <c r="E4873" t="s">
        <v>15</v>
      </c>
      <c r="F4873" s="1">
        <v>1</v>
      </c>
      <c r="G4873" s="1" t="s">
        <v>23</v>
      </c>
      <c r="H4873" s="4" t="str">
        <f>HYPERLINK("https://www.ncbi.nlm.nih.gov/geo/query/acc.cgi?acc=GSM1124871","GSM1124871")</f>
        <v>GSM1124871</v>
      </c>
      <c r="I4873" t="s">
        <v>17</v>
      </c>
      <c r="J4873" t="s">
        <v>18</v>
      </c>
      <c r="K4873" t="s">
        <v>19</v>
      </c>
      <c r="L4873" t="s">
        <v>20</v>
      </c>
      <c r="M4873" t="s">
        <v>24</v>
      </c>
      <c r="N4873" t="s">
        <v>22</v>
      </c>
    </row>
    <row r="4874" spans="1:14">
      <c r="A4874" s="4" t="str">
        <f t="shared" si="466"/>
        <v>EXP00172</v>
      </c>
      <c r="B4874" s="4" t="str">
        <f t="shared" si="464"/>
        <v>24287398</v>
      </c>
      <c r="C4874" s="4" t="str">
        <f t="shared" si="465"/>
        <v>GSE46141</v>
      </c>
      <c r="D4874" s="1" t="s">
        <v>298</v>
      </c>
      <c r="E4874" t="s">
        <v>15</v>
      </c>
      <c r="F4874" s="1">
        <v>1</v>
      </c>
      <c r="G4874" s="1" t="s">
        <v>23</v>
      </c>
      <c r="H4874" s="4" t="str">
        <f>HYPERLINK("https://www.ncbi.nlm.nih.gov/geo/query/acc.cgi?acc=GSM1124874","GSM1124874")</f>
        <v>GSM1124874</v>
      </c>
      <c r="I4874" t="s">
        <v>17</v>
      </c>
      <c r="J4874" t="s">
        <v>18</v>
      </c>
      <c r="K4874" t="s">
        <v>19</v>
      </c>
      <c r="L4874" t="s">
        <v>20</v>
      </c>
      <c r="M4874" t="s">
        <v>24</v>
      </c>
      <c r="N4874" t="s">
        <v>22</v>
      </c>
    </row>
    <row r="4875" spans="1:14">
      <c r="A4875" s="4" t="str">
        <f t="shared" si="466"/>
        <v>EXP00172</v>
      </c>
      <c r="B4875" s="4" t="str">
        <f t="shared" si="464"/>
        <v>24287398</v>
      </c>
      <c r="C4875" s="4" t="str">
        <f t="shared" si="465"/>
        <v>GSE46141</v>
      </c>
      <c r="D4875" s="1" t="s">
        <v>298</v>
      </c>
      <c r="E4875" t="s">
        <v>15</v>
      </c>
      <c r="F4875" s="1">
        <v>1</v>
      </c>
      <c r="G4875" s="1" t="s">
        <v>23</v>
      </c>
      <c r="H4875" s="4" t="str">
        <f>HYPERLINK("https://www.ncbi.nlm.nih.gov/geo/query/acc.cgi?acc=GSM1124875","GSM1124875")</f>
        <v>GSM1124875</v>
      </c>
      <c r="I4875" t="s">
        <v>17</v>
      </c>
      <c r="J4875" t="s">
        <v>18</v>
      </c>
      <c r="K4875" t="s">
        <v>19</v>
      </c>
      <c r="L4875" t="s">
        <v>20</v>
      </c>
      <c r="M4875" t="s">
        <v>24</v>
      </c>
      <c r="N4875" t="s">
        <v>22</v>
      </c>
    </row>
    <row r="4876" spans="1:14">
      <c r="A4876" s="4" t="str">
        <f t="shared" si="466"/>
        <v>EXP00172</v>
      </c>
      <c r="B4876" s="4" t="str">
        <f t="shared" si="464"/>
        <v>24287398</v>
      </c>
      <c r="C4876" s="4" t="str">
        <f t="shared" si="465"/>
        <v>GSE46141</v>
      </c>
      <c r="D4876" s="1" t="s">
        <v>298</v>
      </c>
      <c r="E4876" t="s">
        <v>15</v>
      </c>
      <c r="F4876" s="1">
        <v>1</v>
      </c>
      <c r="G4876" s="1" t="s">
        <v>23</v>
      </c>
      <c r="H4876" s="4" t="str">
        <f>HYPERLINK("https://www.ncbi.nlm.nih.gov/geo/query/acc.cgi?acc=GSM1124880","GSM1124880")</f>
        <v>GSM1124880</v>
      </c>
      <c r="I4876" t="s">
        <v>17</v>
      </c>
      <c r="J4876" t="s">
        <v>18</v>
      </c>
      <c r="K4876" t="s">
        <v>19</v>
      </c>
      <c r="L4876" t="s">
        <v>20</v>
      </c>
      <c r="M4876" t="s">
        <v>24</v>
      </c>
      <c r="N4876" t="s">
        <v>22</v>
      </c>
    </row>
    <row r="4877" spans="1:14">
      <c r="A4877" s="4" t="str">
        <f t="shared" si="466"/>
        <v>EXP00172</v>
      </c>
      <c r="B4877" s="4" t="str">
        <f t="shared" si="464"/>
        <v>24287398</v>
      </c>
      <c r="C4877" s="4" t="str">
        <f t="shared" si="465"/>
        <v>GSE46141</v>
      </c>
      <c r="D4877" s="1" t="s">
        <v>298</v>
      </c>
      <c r="E4877" t="s">
        <v>15</v>
      </c>
      <c r="F4877" s="1">
        <v>1</v>
      </c>
      <c r="G4877" s="1" t="s">
        <v>23</v>
      </c>
      <c r="H4877" s="4" t="str">
        <f>HYPERLINK("https://www.ncbi.nlm.nih.gov/geo/query/acc.cgi?acc=GSM1124881","GSM1124881")</f>
        <v>GSM1124881</v>
      </c>
      <c r="I4877" t="s">
        <v>17</v>
      </c>
      <c r="J4877" t="s">
        <v>18</v>
      </c>
      <c r="K4877" t="s">
        <v>19</v>
      </c>
      <c r="L4877" t="s">
        <v>20</v>
      </c>
      <c r="M4877" t="s">
        <v>24</v>
      </c>
      <c r="N4877" t="s">
        <v>22</v>
      </c>
    </row>
    <row r="4878" spans="1:14">
      <c r="A4878" s="4" t="str">
        <f t="shared" si="466"/>
        <v>EXP00172</v>
      </c>
      <c r="B4878" s="4" t="str">
        <f t="shared" si="464"/>
        <v>24287398</v>
      </c>
      <c r="C4878" s="4" t="str">
        <f t="shared" si="465"/>
        <v>GSE46141</v>
      </c>
      <c r="D4878" s="1" t="s">
        <v>298</v>
      </c>
      <c r="E4878" t="s">
        <v>15</v>
      </c>
      <c r="F4878" s="1">
        <v>1</v>
      </c>
      <c r="G4878" s="1" t="s">
        <v>23</v>
      </c>
      <c r="H4878" s="4" t="str">
        <f>HYPERLINK("https://www.ncbi.nlm.nih.gov/geo/query/acc.cgi?acc=GSM1124885","GSM1124885")</f>
        <v>GSM1124885</v>
      </c>
      <c r="I4878" t="s">
        <v>17</v>
      </c>
      <c r="J4878" t="s">
        <v>18</v>
      </c>
      <c r="K4878" t="s">
        <v>19</v>
      </c>
      <c r="L4878" t="s">
        <v>20</v>
      </c>
      <c r="M4878" t="s">
        <v>24</v>
      </c>
      <c r="N4878" t="s">
        <v>22</v>
      </c>
    </row>
    <row r="4879" spans="1:14">
      <c r="A4879" s="4" t="str">
        <f t="shared" si="466"/>
        <v>EXP00172</v>
      </c>
      <c r="B4879" s="4" t="str">
        <f t="shared" si="464"/>
        <v>24287398</v>
      </c>
      <c r="C4879" s="4" t="str">
        <f t="shared" si="465"/>
        <v>GSE46141</v>
      </c>
      <c r="D4879" s="1" t="s">
        <v>298</v>
      </c>
      <c r="E4879" t="s">
        <v>15</v>
      </c>
      <c r="F4879" s="1">
        <v>1</v>
      </c>
      <c r="G4879" s="1" t="s">
        <v>23</v>
      </c>
      <c r="H4879" s="4" t="str">
        <f>HYPERLINK("https://www.ncbi.nlm.nih.gov/geo/query/acc.cgi?acc=GSM1124886","GSM1124886")</f>
        <v>GSM1124886</v>
      </c>
      <c r="I4879" t="s">
        <v>17</v>
      </c>
      <c r="J4879" t="s">
        <v>18</v>
      </c>
      <c r="K4879" t="s">
        <v>19</v>
      </c>
      <c r="L4879" t="s">
        <v>20</v>
      </c>
      <c r="M4879" t="s">
        <v>24</v>
      </c>
      <c r="N4879" t="s">
        <v>22</v>
      </c>
    </row>
    <row r="4880" spans="1:14">
      <c r="A4880" s="4" t="str">
        <f t="shared" si="466"/>
        <v>EXP00172</v>
      </c>
      <c r="B4880" s="4" t="str">
        <f t="shared" si="464"/>
        <v>24287398</v>
      </c>
      <c r="C4880" s="4" t="str">
        <f t="shared" si="465"/>
        <v>GSE46141</v>
      </c>
      <c r="D4880" s="1" t="s">
        <v>298</v>
      </c>
      <c r="E4880" t="s">
        <v>15</v>
      </c>
      <c r="F4880" s="1">
        <v>1</v>
      </c>
      <c r="G4880" s="1" t="s">
        <v>23</v>
      </c>
      <c r="H4880" s="4" t="str">
        <f>HYPERLINK("https://www.ncbi.nlm.nih.gov/geo/query/acc.cgi?acc=GSM1124887","GSM1124887")</f>
        <v>GSM1124887</v>
      </c>
      <c r="I4880" t="s">
        <v>17</v>
      </c>
      <c r="J4880" t="s">
        <v>18</v>
      </c>
      <c r="K4880" t="s">
        <v>19</v>
      </c>
      <c r="L4880" t="s">
        <v>20</v>
      </c>
      <c r="M4880" t="s">
        <v>24</v>
      </c>
      <c r="N4880" t="s">
        <v>22</v>
      </c>
    </row>
    <row r="4881" spans="1:14">
      <c r="A4881" s="4" t="str">
        <f t="shared" si="466"/>
        <v>EXP00172</v>
      </c>
      <c r="B4881" s="4" t="str">
        <f t="shared" si="464"/>
        <v>24287398</v>
      </c>
      <c r="C4881" s="4" t="str">
        <f t="shared" si="465"/>
        <v>GSE46141</v>
      </c>
      <c r="D4881" s="1" t="s">
        <v>298</v>
      </c>
      <c r="E4881" t="s">
        <v>15</v>
      </c>
      <c r="F4881" s="1">
        <v>1</v>
      </c>
      <c r="G4881" s="1" t="s">
        <v>23</v>
      </c>
      <c r="H4881" s="4" t="str">
        <f>HYPERLINK("https://www.ncbi.nlm.nih.gov/geo/query/acc.cgi?acc=GSM1124894","GSM1124894")</f>
        <v>GSM1124894</v>
      </c>
      <c r="I4881" t="s">
        <v>17</v>
      </c>
      <c r="J4881" t="s">
        <v>18</v>
      </c>
      <c r="K4881" t="s">
        <v>19</v>
      </c>
      <c r="L4881" t="s">
        <v>20</v>
      </c>
      <c r="M4881" t="s">
        <v>24</v>
      </c>
      <c r="N4881" t="s">
        <v>22</v>
      </c>
    </row>
    <row r="4882" spans="1:14">
      <c r="A4882" s="4" t="str">
        <f t="shared" si="466"/>
        <v>EXP00172</v>
      </c>
      <c r="B4882" s="4" t="str">
        <f t="shared" si="464"/>
        <v>24287398</v>
      </c>
      <c r="C4882" s="4" t="str">
        <f t="shared" si="465"/>
        <v>GSE46141</v>
      </c>
      <c r="D4882" s="1" t="s">
        <v>298</v>
      </c>
      <c r="E4882" t="s">
        <v>15</v>
      </c>
      <c r="F4882" s="1">
        <v>1</v>
      </c>
      <c r="G4882" s="1" t="s">
        <v>23</v>
      </c>
      <c r="H4882" s="4" t="str">
        <f>HYPERLINK("https://www.ncbi.nlm.nih.gov/geo/query/acc.cgi?acc=GSM1124896","GSM1124896")</f>
        <v>GSM1124896</v>
      </c>
      <c r="I4882" t="s">
        <v>17</v>
      </c>
      <c r="J4882" t="s">
        <v>18</v>
      </c>
      <c r="K4882" t="s">
        <v>19</v>
      </c>
      <c r="L4882" t="s">
        <v>20</v>
      </c>
      <c r="M4882" t="s">
        <v>24</v>
      </c>
      <c r="N4882" t="s">
        <v>22</v>
      </c>
    </row>
    <row r="4883" spans="1:14">
      <c r="A4883" s="4" t="str">
        <f t="shared" si="466"/>
        <v>EXP00172</v>
      </c>
      <c r="B4883" s="4" t="str">
        <f t="shared" si="464"/>
        <v>24287398</v>
      </c>
      <c r="C4883" s="4" t="str">
        <f t="shared" si="465"/>
        <v>GSE46141</v>
      </c>
      <c r="D4883" s="1" t="s">
        <v>298</v>
      </c>
      <c r="E4883" t="s">
        <v>15</v>
      </c>
      <c r="F4883" s="1">
        <v>1</v>
      </c>
      <c r="G4883" s="1" t="s">
        <v>23</v>
      </c>
      <c r="H4883" s="4" t="str">
        <f>HYPERLINK("https://www.ncbi.nlm.nih.gov/geo/query/acc.cgi?acc=GSM1124899","GSM1124899")</f>
        <v>GSM1124899</v>
      </c>
      <c r="I4883" t="s">
        <v>17</v>
      </c>
      <c r="J4883" t="s">
        <v>18</v>
      </c>
      <c r="K4883" t="s">
        <v>19</v>
      </c>
      <c r="L4883" t="s">
        <v>20</v>
      </c>
      <c r="M4883" t="s">
        <v>24</v>
      </c>
      <c r="N4883" t="s">
        <v>22</v>
      </c>
    </row>
    <row r="4884" spans="1:14">
      <c r="A4884" s="4" t="str">
        <f t="shared" si="466"/>
        <v>EXP00172</v>
      </c>
      <c r="B4884" s="4" t="str">
        <f t="shared" si="464"/>
        <v>24287398</v>
      </c>
      <c r="C4884" s="4" t="str">
        <f t="shared" si="465"/>
        <v>GSE46141</v>
      </c>
      <c r="D4884" s="1" t="s">
        <v>298</v>
      </c>
      <c r="E4884" t="s">
        <v>15</v>
      </c>
      <c r="F4884" s="1">
        <v>1</v>
      </c>
      <c r="G4884" s="1" t="s">
        <v>23</v>
      </c>
      <c r="H4884" s="4" t="str">
        <f>HYPERLINK("https://www.ncbi.nlm.nih.gov/geo/query/acc.cgi?acc=GSM1124901","GSM1124901")</f>
        <v>GSM1124901</v>
      </c>
      <c r="I4884" t="s">
        <v>17</v>
      </c>
      <c r="J4884" t="s">
        <v>18</v>
      </c>
      <c r="K4884" t="s">
        <v>19</v>
      </c>
      <c r="L4884" t="s">
        <v>20</v>
      </c>
      <c r="M4884" t="s">
        <v>24</v>
      </c>
      <c r="N4884" t="s">
        <v>22</v>
      </c>
    </row>
    <row r="4885" spans="1:14">
      <c r="A4885" s="4" t="str">
        <f t="shared" si="466"/>
        <v>EXP00172</v>
      </c>
      <c r="B4885" s="4" t="str">
        <f t="shared" si="464"/>
        <v>24287398</v>
      </c>
      <c r="C4885" s="4" t="str">
        <f t="shared" si="465"/>
        <v>GSE46141</v>
      </c>
      <c r="D4885" s="1" t="s">
        <v>298</v>
      </c>
      <c r="E4885" t="s">
        <v>15</v>
      </c>
      <c r="F4885" s="1">
        <v>1</v>
      </c>
      <c r="G4885" s="1" t="s">
        <v>23</v>
      </c>
      <c r="H4885" s="4" t="str">
        <f>HYPERLINK("https://www.ncbi.nlm.nih.gov/geo/query/acc.cgi?acc=GSM1124906","GSM1124906")</f>
        <v>GSM1124906</v>
      </c>
      <c r="I4885" t="s">
        <v>17</v>
      </c>
      <c r="J4885" t="s">
        <v>18</v>
      </c>
      <c r="K4885" t="s">
        <v>19</v>
      </c>
      <c r="L4885" t="s">
        <v>20</v>
      </c>
      <c r="M4885" t="s">
        <v>24</v>
      </c>
      <c r="N4885" t="s">
        <v>22</v>
      </c>
    </row>
    <row r="4886" spans="1:14">
      <c r="A4886" s="4" t="str">
        <f t="shared" si="466"/>
        <v>EXP00172</v>
      </c>
      <c r="B4886" s="4" t="str">
        <f t="shared" si="464"/>
        <v>24287398</v>
      </c>
      <c r="C4886" s="4" t="str">
        <f t="shared" si="465"/>
        <v>GSE46141</v>
      </c>
      <c r="D4886" s="1" t="s">
        <v>298</v>
      </c>
      <c r="E4886" t="s">
        <v>15</v>
      </c>
      <c r="F4886" s="1">
        <v>1</v>
      </c>
      <c r="G4886" s="1" t="s">
        <v>23</v>
      </c>
      <c r="H4886" s="4" t="str">
        <f>HYPERLINK("https://www.ncbi.nlm.nih.gov/geo/query/acc.cgi?acc=GSM1124907","GSM1124907")</f>
        <v>GSM1124907</v>
      </c>
      <c r="I4886" t="s">
        <v>17</v>
      </c>
      <c r="J4886" t="s">
        <v>18</v>
      </c>
      <c r="K4886" t="s">
        <v>19</v>
      </c>
      <c r="L4886" t="s">
        <v>20</v>
      </c>
      <c r="M4886" t="s">
        <v>24</v>
      </c>
      <c r="N4886" t="s">
        <v>22</v>
      </c>
    </row>
    <row r="4887" spans="1:14">
      <c r="A4887" s="4" t="str">
        <f t="shared" si="466"/>
        <v>EXP00172</v>
      </c>
      <c r="B4887" s="4" t="str">
        <f t="shared" si="464"/>
        <v>24287398</v>
      </c>
      <c r="C4887" s="4" t="str">
        <f t="shared" si="465"/>
        <v>GSE46141</v>
      </c>
      <c r="D4887" s="1" t="s">
        <v>298</v>
      </c>
      <c r="E4887" t="s">
        <v>15</v>
      </c>
      <c r="F4887" s="1">
        <v>1</v>
      </c>
      <c r="G4887" s="1" t="s">
        <v>23</v>
      </c>
      <c r="H4887" s="4" t="str">
        <f>HYPERLINK("https://www.ncbi.nlm.nih.gov/geo/query/acc.cgi?acc=GSM1124911","GSM1124911")</f>
        <v>GSM1124911</v>
      </c>
      <c r="I4887" t="s">
        <v>17</v>
      </c>
      <c r="J4887" t="s">
        <v>18</v>
      </c>
      <c r="K4887" t="s">
        <v>19</v>
      </c>
      <c r="L4887" t="s">
        <v>20</v>
      </c>
      <c r="M4887" t="s">
        <v>24</v>
      </c>
      <c r="N4887" t="s">
        <v>22</v>
      </c>
    </row>
    <row r="4888" spans="1:14">
      <c r="A4888" s="4" t="str">
        <f t="shared" si="466"/>
        <v>EXP00172</v>
      </c>
      <c r="B4888" s="4" t="str">
        <f t="shared" si="464"/>
        <v>24287398</v>
      </c>
      <c r="C4888" s="4" t="str">
        <f t="shared" si="465"/>
        <v>GSE46141</v>
      </c>
      <c r="D4888" s="1" t="s">
        <v>298</v>
      </c>
      <c r="E4888" t="s">
        <v>15</v>
      </c>
      <c r="F4888" s="1">
        <v>1</v>
      </c>
      <c r="G4888" s="1" t="s">
        <v>23</v>
      </c>
      <c r="H4888" s="4" t="str">
        <f>HYPERLINK("https://www.ncbi.nlm.nih.gov/geo/query/acc.cgi?acc=GSM1124912","GSM1124912")</f>
        <v>GSM1124912</v>
      </c>
      <c r="I4888" t="s">
        <v>17</v>
      </c>
      <c r="J4888" t="s">
        <v>18</v>
      </c>
      <c r="K4888" t="s">
        <v>19</v>
      </c>
      <c r="L4888" t="s">
        <v>20</v>
      </c>
      <c r="M4888" t="s">
        <v>24</v>
      </c>
      <c r="N4888" t="s">
        <v>22</v>
      </c>
    </row>
    <row r="4889" spans="1:14">
      <c r="A4889" s="4" t="str">
        <f t="shared" si="466"/>
        <v>EXP00172</v>
      </c>
      <c r="B4889" s="4" t="str">
        <f t="shared" si="464"/>
        <v>24287398</v>
      </c>
      <c r="C4889" s="4" t="str">
        <f t="shared" si="465"/>
        <v>GSE46141</v>
      </c>
      <c r="D4889" s="1" t="s">
        <v>298</v>
      </c>
      <c r="E4889" t="s">
        <v>15</v>
      </c>
      <c r="F4889" s="1">
        <v>1</v>
      </c>
      <c r="G4889" s="1" t="s">
        <v>23</v>
      </c>
      <c r="H4889" s="4" t="str">
        <f>HYPERLINK("https://www.ncbi.nlm.nih.gov/geo/query/acc.cgi?acc=GSM1124915","GSM1124915")</f>
        <v>GSM1124915</v>
      </c>
      <c r="I4889" t="s">
        <v>17</v>
      </c>
      <c r="J4889" t="s">
        <v>18</v>
      </c>
      <c r="K4889" t="s">
        <v>19</v>
      </c>
      <c r="L4889" t="s">
        <v>20</v>
      </c>
      <c r="M4889" t="s">
        <v>24</v>
      </c>
      <c r="N4889" t="s">
        <v>22</v>
      </c>
    </row>
    <row r="4890" spans="1:14">
      <c r="A4890" s="4" t="str">
        <f t="shared" si="466"/>
        <v>EXP00172</v>
      </c>
      <c r="B4890" s="4" t="str">
        <f t="shared" si="464"/>
        <v>24287398</v>
      </c>
      <c r="C4890" s="4" t="str">
        <f t="shared" si="465"/>
        <v>GSE46141</v>
      </c>
      <c r="D4890" s="1" t="s">
        <v>298</v>
      </c>
      <c r="E4890" t="s">
        <v>15</v>
      </c>
      <c r="F4890" s="1">
        <v>1</v>
      </c>
      <c r="G4890" s="1" t="s">
        <v>23</v>
      </c>
      <c r="H4890" s="4" t="str">
        <f>HYPERLINK("https://www.ncbi.nlm.nih.gov/geo/query/acc.cgi?acc=GSM1124917","GSM1124917")</f>
        <v>GSM1124917</v>
      </c>
      <c r="I4890" t="s">
        <v>17</v>
      </c>
      <c r="J4890" t="s">
        <v>18</v>
      </c>
      <c r="K4890" t="s">
        <v>19</v>
      </c>
      <c r="L4890" t="s">
        <v>20</v>
      </c>
      <c r="M4890" t="s">
        <v>24</v>
      </c>
      <c r="N4890" t="s">
        <v>22</v>
      </c>
    </row>
    <row r="4891" spans="1:14">
      <c r="A4891" s="4" t="str">
        <f t="shared" si="466"/>
        <v>EXP00172</v>
      </c>
      <c r="B4891" s="4" t="str">
        <f t="shared" si="464"/>
        <v>24287398</v>
      </c>
      <c r="C4891" s="4" t="str">
        <f t="shared" si="465"/>
        <v>GSE46141</v>
      </c>
      <c r="D4891" s="1" t="s">
        <v>298</v>
      </c>
      <c r="E4891" t="s">
        <v>15</v>
      </c>
      <c r="F4891" s="1">
        <v>1</v>
      </c>
      <c r="G4891" s="1" t="s">
        <v>23</v>
      </c>
      <c r="H4891" s="4" t="str">
        <f>HYPERLINK("https://www.ncbi.nlm.nih.gov/geo/query/acc.cgi?acc=GSM1124918","GSM1124918")</f>
        <v>GSM1124918</v>
      </c>
      <c r="I4891" t="s">
        <v>17</v>
      </c>
      <c r="J4891" t="s">
        <v>18</v>
      </c>
      <c r="K4891" t="s">
        <v>19</v>
      </c>
      <c r="L4891" t="s">
        <v>20</v>
      </c>
      <c r="M4891" t="s">
        <v>24</v>
      </c>
      <c r="N4891" t="s">
        <v>22</v>
      </c>
    </row>
    <row r="4892" spans="1:14">
      <c r="A4892" s="4" t="str">
        <f t="shared" si="466"/>
        <v>EXP00172</v>
      </c>
      <c r="B4892" s="4" t="str">
        <f t="shared" si="464"/>
        <v>24287398</v>
      </c>
      <c r="C4892" s="4" t="str">
        <f t="shared" si="465"/>
        <v>GSE46141</v>
      </c>
      <c r="D4892" s="1" t="s">
        <v>298</v>
      </c>
      <c r="E4892" t="s">
        <v>15</v>
      </c>
      <c r="F4892" s="1">
        <v>1</v>
      </c>
      <c r="G4892" s="1" t="s">
        <v>23</v>
      </c>
      <c r="H4892" s="4" t="str">
        <f>HYPERLINK("https://www.ncbi.nlm.nih.gov/geo/query/acc.cgi?acc=GSM1124920","GSM1124920")</f>
        <v>GSM1124920</v>
      </c>
      <c r="I4892" t="s">
        <v>17</v>
      </c>
      <c r="J4892" t="s">
        <v>18</v>
      </c>
      <c r="K4892" t="s">
        <v>19</v>
      </c>
      <c r="L4892" t="s">
        <v>20</v>
      </c>
      <c r="M4892" t="s">
        <v>24</v>
      </c>
      <c r="N4892" t="s">
        <v>22</v>
      </c>
    </row>
    <row r="4893" spans="1:14">
      <c r="A4893" s="4" t="str">
        <f t="shared" si="466"/>
        <v>EXP00172</v>
      </c>
      <c r="B4893" s="4" t="str">
        <f t="shared" si="464"/>
        <v>24287398</v>
      </c>
      <c r="C4893" s="4" t="str">
        <f t="shared" si="465"/>
        <v>GSE46141</v>
      </c>
      <c r="D4893" s="1" t="s">
        <v>298</v>
      </c>
      <c r="E4893" t="s">
        <v>15</v>
      </c>
      <c r="F4893" s="1">
        <v>1</v>
      </c>
      <c r="G4893" s="1" t="s">
        <v>23</v>
      </c>
      <c r="H4893" s="4" t="str">
        <f>HYPERLINK("https://www.ncbi.nlm.nih.gov/geo/query/acc.cgi?acc=GSM1124922","GSM1124922")</f>
        <v>GSM1124922</v>
      </c>
      <c r="I4893" t="s">
        <v>17</v>
      </c>
      <c r="J4893" t="s">
        <v>18</v>
      </c>
      <c r="K4893" t="s">
        <v>19</v>
      </c>
      <c r="L4893" t="s">
        <v>20</v>
      </c>
      <c r="M4893" t="s">
        <v>24</v>
      </c>
      <c r="N4893" t="s">
        <v>22</v>
      </c>
    </row>
    <row r="4894" spans="1:14">
      <c r="A4894" s="4" t="str">
        <f t="shared" si="466"/>
        <v>EXP00172</v>
      </c>
      <c r="B4894" s="4" t="str">
        <f t="shared" si="464"/>
        <v>24287398</v>
      </c>
      <c r="C4894" s="4" t="str">
        <f t="shared" si="465"/>
        <v>GSE46141</v>
      </c>
      <c r="D4894" s="1" t="s">
        <v>298</v>
      </c>
      <c r="E4894" t="s">
        <v>15</v>
      </c>
      <c r="F4894" s="1">
        <v>1</v>
      </c>
      <c r="G4894" s="1" t="s">
        <v>23</v>
      </c>
      <c r="H4894" s="4" t="str">
        <f>HYPERLINK("https://www.ncbi.nlm.nih.gov/geo/query/acc.cgi?acc=GSM1124924","GSM1124924")</f>
        <v>GSM1124924</v>
      </c>
      <c r="I4894" t="s">
        <v>17</v>
      </c>
      <c r="J4894" t="s">
        <v>18</v>
      </c>
      <c r="K4894" t="s">
        <v>19</v>
      </c>
      <c r="L4894" t="s">
        <v>20</v>
      </c>
      <c r="M4894" t="s">
        <v>24</v>
      </c>
      <c r="N4894" t="s">
        <v>22</v>
      </c>
    </row>
    <row r="4895" spans="1:14">
      <c r="A4895" s="4" t="str">
        <f t="shared" si="466"/>
        <v>EXP00172</v>
      </c>
      <c r="B4895" s="4" t="str">
        <f t="shared" si="464"/>
        <v>24287398</v>
      </c>
      <c r="C4895" s="4" t="str">
        <f t="shared" si="465"/>
        <v>GSE46141</v>
      </c>
      <c r="D4895" s="1" t="s">
        <v>298</v>
      </c>
      <c r="E4895" t="s">
        <v>15</v>
      </c>
      <c r="F4895" s="1">
        <v>1</v>
      </c>
      <c r="G4895" s="1" t="s">
        <v>23</v>
      </c>
      <c r="H4895" s="4" t="str">
        <f>HYPERLINK("https://www.ncbi.nlm.nih.gov/geo/query/acc.cgi?acc=GSM1124926","GSM1124926")</f>
        <v>GSM1124926</v>
      </c>
      <c r="I4895" t="s">
        <v>17</v>
      </c>
      <c r="J4895" t="s">
        <v>18</v>
      </c>
      <c r="K4895" t="s">
        <v>19</v>
      </c>
      <c r="L4895" t="s">
        <v>20</v>
      </c>
      <c r="M4895" t="s">
        <v>24</v>
      </c>
      <c r="N4895" t="s">
        <v>22</v>
      </c>
    </row>
    <row r="4896" spans="1:14">
      <c r="A4896" s="4" t="str">
        <f t="shared" si="466"/>
        <v>EXP00172</v>
      </c>
      <c r="B4896" s="4" t="str">
        <f t="shared" si="464"/>
        <v>24287398</v>
      </c>
      <c r="C4896" s="4" t="str">
        <f t="shared" si="465"/>
        <v>GSE46141</v>
      </c>
      <c r="D4896" s="1" t="s">
        <v>298</v>
      </c>
      <c r="E4896" t="s">
        <v>15</v>
      </c>
      <c r="F4896" s="1">
        <v>1</v>
      </c>
      <c r="G4896" s="1" t="s">
        <v>23</v>
      </c>
      <c r="H4896" s="4" t="str">
        <f>HYPERLINK("https://www.ncbi.nlm.nih.gov/geo/query/acc.cgi?acc=GSM1124928","GSM1124928")</f>
        <v>GSM1124928</v>
      </c>
      <c r="I4896" t="s">
        <v>17</v>
      </c>
      <c r="J4896" t="s">
        <v>18</v>
      </c>
      <c r="K4896" t="s">
        <v>19</v>
      </c>
      <c r="L4896" t="s">
        <v>20</v>
      </c>
      <c r="M4896" t="s">
        <v>24</v>
      </c>
      <c r="N4896" t="s">
        <v>22</v>
      </c>
    </row>
    <row r="4897" spans="1:14">
      <c r="A4897" s="4" t="str">
        <f t="shared" si="466"/>
        <v>EXP00172</v>
      </c>
      <c r="B4897" s="4" t="str">
        <f t="shared" si="464"/>
        <v>24287398</v>
      </c>
      <c r="C4897" s="4" t="str">
        <f t="shared" si="465"/>
        <v>GSE46141</v>
      </c>
      <c r="D4897" s="1" t="s">
        <v>298</v>
      </c>
      <c r="E4897" t="s">
        <v>15</v>
      </c>
      <c r="F4897" s="1">
        <v>1</v>
      </c>
      <c r="G4897" s="1" t="s">
        <v>23</v>
      </c>
      <c r="H4897" s="4" t="str">
        <f>HYPERLINK("https://www.ncbi.nlm.nih.gov/geo/query/acc.cgi?acc=GSM1124930","GSM1124930")</f>
        <v>GSM1124930</v>
      </c>
      <c r="I4897" t="s">
        <v>17</v>
      </c>
      <c r="J4897" t="s">
        <v>18</v>
      </c>
      <c r="K4897" t="s">
        <v>19</v>
      </c>
      <c r="L4897" t="s">
        <v>20</v>
      </c>
      <c r="M4897" t="s">
        <v>24</v>
      </c>
      <c r="N4897" t="s">
        <v>22</v>
      </c>
    </row>
    <row r="4898" spans="1:14">
      <c r="A4898" s="4" t="str">
        <f t="shared" si="466"/>
        <v>EXP00172</v>
      </c>
      <c r="B4898" s="4" t="str">
        <f t="shared" si="464"/>
        <v>24287398</v>
      </c>
      <c r="C4898" s="4" t="str">
        <f t="shared" si="465"/>
        <v>GSE46141</v>
      </c>
      <c r="D4898" s="1" t="s">
        <v>298</v>
      </c>
      <c r="E4898" t="s">
        <v>15</v>
      </c>
      <c r="F4898" s="1">
        <v>1</v>
      </c>
      <c r="G4898" s="1" t="s">
        <v>23</v>
      </c>
      <c r="H4898" s="4" t="str">
        <f>HYPERLINK("https://www.ncbi.nlm.nih.gov/geo/query/acc.cgi?acc=GSM1124931","GSM1124931")</f>
        <v>GSM1124931</v>
      </c>
      <c r="I4898" t="s">
        <v>17</v>
      </c>
      <c r="J4898" t="s">
        <v>18</v>
      </c>
      <c r="K4898" t="s">
        <v>19</v>
      </c>
      <c r="L4898" t="s">
        <v>20</v>
      </c>
      <c r="M4898" t="s">
        <v>24</v>
      </c>
      <c r="N4898" t="s">
        <v>22</v>
      </c>
    </row>
    <row r="4899" spans="1:14">
      <c r="A4899" s="4" t="str">
        <f t="shared" si="466"/>
        <v>EXP00172</v>
      </c>
      <c r="B4899" s="4" t="str">
        <f t="shared" si="464"/>
        <v>24287398</v>
      </c>
      <c r="C4899" s="4" t="str">
        <f t="shared" si="465"/>
        <v>GSE46141</v>
      </c>
      <c r="D4899" s="1" t="s">
        <v>298</v>
      </c>
      <c r="E4899" t="s">
        <v>15</v>
      </c>
      <c r="F4899" s="1">
        <v>1</v>
      </c>
      <c r="G4899" s="1" t="s">
        <v>23</v>
      </c>
      <c r="H4899" s="4" t="str">
        <f>HYPERLINK("https://www.ncbi.nlm.nih.gov/geo/query/acc.cgi?acc=GSM1124935","GSM1124935")</f>
        <v>GSM1124935</v>
      </c>
      <c r="I4899" t="s">
        <v>17</v>
      </c>
      <c r="J4899" t="s">
        <v>18</v>
      </c>
      <c r="K4899" t="s">
        <v>19</v>
      </c>
      <c r="L4899" t="s">
        <v>20</v>
      </c>
      <c r="M4899" t="s">
        <v>24</v>
      </c>
      <c r="N4899" t="s">
        <v>22</v>
      </c>
    </row>
    <row r="4900" spans="1:14">
      <c r="A4900" s="4" t="str">
        <f t="shared" si="466"/>
        <v>EXP00172</v>
      </c>
      <c r="B4900" s="4" t="str">
        <f t="shared" si="464"/>
        <v>24287398</v>
      </c>
      <c r="C4900" s="4" t="str">
        <f t="shared" si="465"/>
        <v>GSE46141</v>
      </c>
      <c r="D4900" s="1" t="s">
        <v>298</v>
      </c>
      <c r="E4900" t="s">
        <v>15</v>
      </c>
      <c r="F4900" s="1">
        <v>1</v>
      </c>
      <c r="G4900" s="1" t="s">
        <v>23</v>
      </c>
      <c r="H4900" s="4" t="str">
        <f>HYPERLINK("https://www.ncbi.nlm.nih.gov/geo/query/acc.cgi?acc=GSM1124936","GSM1124936")</f>
        <v>GSM1124936</v>
      </c>
      <c r="I4900" t="s">
        <v>17</v>
      </c>
      <c r="J4900" t="s">
        <v>18</v>
      </c>
      <c r="K4900" t="s">
        <v>19</v>
      </c>
      <c r="L4900" t="s">
        <v>20</v>
      </c>
      <c r="M4900" t="s">
        <v>24</v>
      </c>
      <c r="N4900" t="s">
        <v>22</v>
      </c>
    </row>
    <row r="4901" spans="1:14">
      <c r="A4901" s="4" t="str">
        <f t="shared" si="466"/>
        <v>EXP00172</v>
      </c>
      <c r="B4901" s="4" t="str">
        <f t="shared" si="464"/>
        <v>24287398</v>
      </c>
      <c r="C4901" s="4" t="str">
        <f t="shared" si="465"/>
        <v>GSE46141</v>
      </c>
      <c r="D4901" s="1" t="s">
        <v>298</v>
      </c>
      <c r="E4901" t="s">
        <v>15</v>
      </c>
      <c r="F4901" s="1">
        <v>1</v>
      </c>
      <c r="G4901" s="1" t="s">
        <v>23</v>
      </c>
      <c r="H4901" s="4" t="str">
        <f>HYPERLINK("https://www.ncbi.nlm.nih.gov/geo/query/acc.cgi?acc=GSM1124938","GSM1124938")</f>
        <v>GSM1124938</v>
      </c>
      <c r="I4901" t="s">
        <v>17</v>
      </c>
      <c r="J4901" t="s">
        <v>18</v>
      </c>
      <c r="K4901" t="s">
        <v>19</v>
      </c>
      <c r="L4901" t="s">
        <v>20</v>
      </c>
      <c r="M4901" t="s">
        <v>24</v>
      </c>
      <c r="N4901" t="s">
        <v>22</v>
      </c>
    </row>
    <row r="4902" spans="1:14">
      <c r="A4902" s="4" t="str">
        <f t="shared" si="466"/>
        <v>EXP00172</v>
      </c>
      <c r="B4902" s="4" t="str">
        <f t="shared" si="464"/>
        <v>24287398</v>
      </c>
      <c r="C4902" s="4" t="str">
        <f t="shared" si="465"/>
        <v>GSE46141</v>
      </c>
      <c r="D4902" s="1" t="s">
        <v>298</v>
      </c>
      <c r="E4902" t="s">
        <v>15</v>
      </c>
      <c r="F4902" s="1">
        <v>1</v>
      </c>
      <c r="G4902" s="1" t="s">
        <v>23</v>
      </c>
      <c r="H4902" s="4" t="str">
        <f>HYPERLINK("https://www.ncbi.nlm.nih.gov/geo/query/acc.cgi?acc=GSM1124940","GSM1124940")</f>
        <v>GSM1124940</v>
      </c>
      <c r="I4902" t="s">
        <v>17</v>
      </c>
      <c r="J4902" t="s">
        <v>18</v>
      </c>
      <c r="K4902" t="s">
        <v>19</v>
      </c>
      <c r="L4902" t="s">
        <v>20</v>
      </c>
      <c r="M4902" t="s">
        <v>24</v>
      </c>
      <c r="N4902" t="s">
        <v>22</v>
      </c>
    </row>
    <row r="4903" spans="1:14">
      <c r="A4903" s="4" t="str">
        <f t="shared" si="466"/>
        <v>EXP00172</v>
      </c>
      <c r="B4903" s="4" t="str">
        <f t="shared" si="464"/>
        <v>24287398</v>
      </c>
      <c r="C4903" s="4" t="str">
        <f t="shared" si="465"/>
        <v>GSE46141</v>
      </c>
      <c r="D4903" s="1" t="s">
        <v>298</v>
      </c>
      <c r="E4903" t="s">
        <v>15</v>
      </c>
      <c r="F4903" s="1">
        <v>1</v>
      </c>
      <c r="G4903" s="1" t="s">
        <v>23</v>
      </c>
      <c r="H4903" s="4" t="str">
        <f>HYPERLINK("https://www.ncbi.nlm.nih.gov/geo/query/acc.cgi?acc=GSM1124941","GSM1124941")</f>
        <v>GSM1124941</v>
      </c>
      <c r="I4903" t="s">
        <v>17</v>
      </c>
      <c r="J4903" t="s">
        <v>18</v>
      </c>
      <c r="K4903" t="s">
        <v>19</v>
      </c>
      <c r="L4903" t="s">
        <v>20</v>
      </c>
      <c r="M4903" t="s">
        <v>24</v>
      </c>
      <c r="N4903" t="s">
        <v>22</v>
      </c>
    </row>
    <row r="4904" spans="1:14">
      <c r="A4904" s="4" t="str">
        <f t="shared" si="466"/>
        <v>EXP00172</v>
      </c>
      <c r="B4904" s="4" t="str">
        <f t="shared" si="464"/>
        <v>24287398</v>
      </c>
      <c r="C4904" s="4" t="str">
        <f t="shared" si="465"/>
        <v>GSE46141</v>
      </c>
      <c r="D4904" s="1" t="s">
        <v>298</v>
      </c>
      <c r="E4904" t="s">
        <v>15</v>
      </c>
      <c r="F4904" s="1">
        <v>1</v>
      </c>
      <c r="G4904" s="1" t="s">
        <v>23</v>
      </c>
      <c r="H4904" s="4" t="str">
        <f>HYPERLINK("https://www.ncbi.nlm.nih.gov/geo/query/acc.cgi?acc=GSM1124942","GSM1124942")</f>
        <v>GSM1124942</v>
      </c>
      <c r="I4904" t="s">
        <v>17</v>
      </c>
      <c r="J4904" t="s">
        <v>18</v>
      </c>
      <c r="K4904" t="s">
        <v>19</v>
      </c>
      <c r="L4904" t="s">
        <v>20</v>
      </c>
      <c r="M4904" t="s">
        <v>24</v>
      </c>
      <c r="N4904" t="s">
        <v>22</v>
      </c>
    </row>
    <row r="4905" spans="1:14">
      <c r="A4905" s="4" t="str">
        <f t="shared" ref="A4905:A4928" si="467">HYPERLINK("http://hcmdb.i-sanger.com/experiment/details/experiment_id/EXP00172","EXP00172")</f>
        <v>EXP00172</v>
      </c>
      <c r="B4905" s="4" t="str">
        <f t="shared" si="464"/>
        <v>24287398</v>
      </c>
      <c r="C4905" s="4" t="str">
        <f t="shared" si="465"/>
        <v>GSE46141</v>
      </c>
      <c r="D4905" s="1" t="s">
        <v>298</v>
      </c>
      <c r="E4905" t="s">
        <v>15</v>
      </c>
      <c r="F4905" s="1">
        <v>1</v>
      </c>
      <c r="G4905" s="1" t="s">
        <v>23</v>
      </c>
      <c r="H4905" s="4" t="str">
        <f>HYPERLINK("https://www.ncbi.nlm.nih.gov/geo/query/acc.cgi?acc=GSM1124943","GSM1124943")</f>
        <v>GSM1124943</v>
      </c>
      <c r="I4905" t="s">
        <v>17</v>
      </c>
      <c r="J4905" t="s">
        <v>18</v>
      </c>
      <c r="K4905" t="s">
        <v>19</v>
      </c>
      <c r="L4905" t="s">
        <v>20</v>
      </c>
      <c r="M4905" t="s">
        <v>24</v>
      </c>
      <c r="N4905" t="s">
        <v>22</v>
      </c>
    </row>
    <row r="4906" spans="1:14">
      <c r="A4906" s="4" t="str">
        <f t="shared" si="467"/>
        <v>EXP00172</v>
      </c>
      <c r="B4906" s="4" t="str">
        <f t="shared" si="464"/>
        <v>24287398</v>
      </c>
      <c r="C4906" s="4" t="str">
        <f t="shared" si="465"/>
        <v>GSE46141</v>
      </c>
      <c r="D4906" s="1" t="s">
        <v>298</v>
      </c>
      <c r="E4906" t="s">
        <v>15</v>
      </c>
      <c r="F4906" s="1">
        <v>1</v>
      </c>
      <c r="G4906" s="1" t="s">
        <v>23</v>
      </c>
      <c r="H4906" s="4" t="str">
        <f>HYPERLINK("https://www.ncbi.nlm.nih.gov/geo/query/acc.cgi?acc=GSM1124948","GSM1124948")</f>
        <v>GSM1124948</v>
      </c>
      <c r="I4906" t="s">
        <v>17</v>
      </c>
      <c r="J4906" t="s">
        <v>18</v>
      </c>
      <c r="K4906" t="s">
        <v>19</v>
      </c>
      <c r="L4906" t="s">
        <v>20</v>
      </c>
      <c r="M4906" t="s">
        <v>24</v>
      </c>
      <c r="N4906" t="s">
        <v>22</v>
      </c>
    </row>
    <row r="4907" spans="1:14">
      <c r="A4907" s="4" t="str">
        <f t="shared" si="467"/>
        <v>EXP00172</v>
      </c>
      <c r="B4907" s="4" t="str">
        <f t="shared" si="464"/>
        <v>24287398</v>
      </c>
      <c r="C4907" s="4" t="str">
        <f t="shared" si="465"/>
        <v>GSE46141</v>
      </c>
      <c r="D4907" s="1" t="s">
        <v>298</v>
      </c>
      <c r="E4907" t="s">
        <v>15</v>
      </c>
      <c r="F4907" s="1">
        <v>1</v>
      </c>
      <c r="G4907" s="1" t="s">
        <v>23</v>
      </c>
      <c r="H4907" s="4" t="str">
        <f>HYPERLINK("https://www.ncbi.nlm.nih.gov/geo/query/acc.cgi?acc=GSM1124949","GSM1124949")</f>
        <v>GSM1124949</v>
      </c>
      <c r="I4907" t="s">
        <v>17</v>
      </c>
      <c r="J4907" t="s">
        <v>18</v>
      </c>
      <c r="K4907" t="s">
        <v>19</v>
      </c>
      <c r="L4907" t="s">
        <v>20</v>
      </c>
      <c r="M4907" t="s">
        <v>24</v>
      </c>
      <c r="N4907" t="s">
        <v>22</v>
      </c>
    </row>
    <row r="4908" spans="1:14">
      <c r="A4908" s="4" t="str">
        <f t="shared" si="467"/>
        <v>EXP00172</v>
      </c>
      <c r="B4908" s="4" t="str">
        <f t="shared" si="464"/>
        <v>24287398</v>
      </c>
      <c r="C4908" s="4" t="str">
        <f t="shared" si="465"/>
        <v>GSE46141</v>
      </c>
      <c r="D4908" s="1" t="s">
        <v>298</v>
      </c>
      <c r="E4908" t="s">
        <v>15</v>
      </c>
      <c r="F4908" s="1">
        <v>1</v>
      </c>
      <c r="G4908" s="1" t="s">
        <v>23</v>
      </c>
      <c r="H4908" s="4" t="str">
        <f>HYPERLINK("https://www.ncbi.nlm.nih.gov/geo/query/acc.cgi?acc=GSM1124950","GSM1124950")</f>
        <v>GSM1124950</v>
      </c>
      <c r="I4908" t="s">
        <v>17</v>
      </c>
      <c r="J4908" t="s">
        <v>18</v>
      </c>
      <c r="K4908" t="s">
        <v>19</v>
      </c>
      <c r="L4908" t="s">
        <v>20</v>
      </c>
      <c r="M4908" t="s">
        <v>24</v>
      </c>
      <c r="N4908" t="s">
        <v>22</v>
      </c>
    </row>
    <row r="4909" spans="1:14">
      <c r="A4909" s="4" t="str">
        <f t="shared" si="467"/>
        <v>EXP00172</v>
      </c>
      <c r="B4909" s="4" t="str">
        <f t="shared" si="464"/>
        <v>24287398</v>
      </c>
      <c r="C4909" s="4" t="str">
        <f t="shared" si="465"/>
        <v>GSE46141</v>
      </c>
      <c r="D4909" s="1" t="s">
        <v>298</v>
      </c>
      <c r="E4909" t="s">
        <v>15</v>
      </c>
      <c r="F4909" s="1">
        <v>1</v>
      </c>
      <c r="G4909" s="1" t="s">
        <v>23</v>
      </c>
      <c r="H4909" s="4" t="str">
        <f>HYPERLINK("https://www.ncbi.nlm.nih.gov/geo/query/acc.cgi?acc=GSM1124954","GSM1124954")</f>
        <v>GSM1124954</v>
      </c>
      <c r="I4909" t="s">
        <v>17</v>
      </c>
      <c r="J4909" t="s">
        <v>18</v>
      </c>
      <c r="K4909" t="s">
        <v>19</v>
      </c>
      <c r="L4909" t="s">
        <v>20</v>
      </c>
      <c r="M4909" t="s">
        <v>24</v>
      </c>
      <c r="N4909" t="s">
        <v>22</v>
      </c>
    </row>
    <row r="4910" spans="1:14">
      <c r="A4910" s="4" t="str">
        <f t="shared" si="467"/>
        <v>EXP00172</v>
      </c>
      <c r="B4910" s="4" t="str">
        <f t="shared" si="464"/>
        <v>24287398</v>
      </c>
      <c r="C4910" s="4" t="str">
        <f t="shared" si="465"/>
        <v>GSE46141</v>
      </c>
      <c r="D4910" s="1" t="s">
        <v>298</v>
      </c>
      <c r="E4910" t="s">
        <v>15</v>
      </c>
      <c r="F4910" s="1">
        <v>1</v>
      </c>
      <c r="G4910" s="1" t="s">
        <v>23</v>
      </c>
      <c r="H4910" s="4" t="str">
        <f>HYPERLINK("https://www.ncbi.nlm.nih.gov/geo/query/acc.cgi?acc=GSM1124955","GSM1124955")</f>
        <v>GSM1124955</v>
      </c>
      <c r="I4910" t="s">
        <v>17</v>
      </c>
      <c r="J4910" t="s">
        <v>18</v>
      </c>
      <c r="K4910" t="s">
        <v>19</v>
      </c>
      <c r="L4910" t="s">
        <v>20</v>
      </c>
      <c r="M4910" t="s">
        <v>24</v>
      </c>
      <c r="N4910" t="s">
        <v>22</v>
      </c>
    </row>
    <row r="4911" spans="1:14">
      <c r="A4911" s="4" t="str">
        <f t="shared" si="467"/>
        <v>EXP00172</v>
      </c>
      <c r="B4911" s="4" t="str">
        <f t="shared" si="464"/>
        <v>24287398</v>
      </c>
      <c r="C4911" s="4" t="str">
        <f t="shared" si="465"/>
        <v>GSE46141</v>
      </c>
      <c r="D4911" s="1" t="s">
        <v>298</v>
      </c>
      <c r="E4911" t="s">
        <v>15</v>
      </c>
      <c r="F4911" s="1">
        <v>1</v>
      </c>
      <c r="G4911" s="1" t="s">
        <v>23</v>
      </c>
      <c r="H4911" s="4" t="str">
        <f>HYPERLINK("https://www.ncbi.nlm.nih.gov/geo/query/acc.cgi?acc=GSM1124956","GSM1124956")</f>
        <v>GSM1124956</v>
      </c>
      <c r="I4911" t="s">
        <v>17</v>
      </c>
      <c r="J4911" t="s">
        <v>18</v>
      </c>
      <c r="K4911" t="s">
        <v>19</v>
      </c>
      <c r="L4911" t="s">
        <v>20</v>
      </c>
      <c r="M4911" t="s">
        <v>24</v>
      </c>
      <c r="N4911" t="s">
        <v>22</v>
      </c>
    </row>
    <row r="4912" spans="1:14">
      <c r="A4912" s="4" t="str">
        <f t="shared" si="467"/>
        <v>EXP00172</v>
      </c>
      <c r="B4912" s="4" t="str">
        <f t="shared" si="464"/>
        <v>24287398</v>
      </c>
      <c r="C4912" s="4" t="str">
        <f t="shared" si="465"/>
        <v>GSE46141</v>
      </c>
      <c r="D4912" s="1" t="s">
        <v>298</v>
      </c>
      <c r="E4912" t="s">
        <v>15</v>
      </c>
      <c r="F4912" s="1">
        <v>2</v>
      </c>
      <c r="G4912" s="1" t="s">
        <v>224</v>
      </c>
      <c r="H4912" s="4" t="str">
        <f>HYPERLINK("https://www.ncbi.nlm.nih.gov/geo/query/acc.cgi?acc=GSM1124872","GSM1124872")</f>
        <v>GSM1124872</v>
      </c>
      <c r="I4912" t="s">
        <v>17</v>
      </c>
      <c r="J4912" t="s">
        <v>18</v>
      </c>
      <c r="K4912" t="s">
        <v>19</v>
      </c>
      <c r="L4912" t="s">
        <v>20</v>
      </c>
      <c r="M4912" t="s">
        <v>27</v>
      </c>
      <c r="N4912" t="s">
        <v>22</v>
      </c>
    </row>
    <row r="4913" spans="1:14">
      <c r="A4913" s="4" t="str">
        <f t="shared" si="467"/>
        <v>EXP00172</v>
      </c>
      <c r="B4913" s="4" t="str">
        <f t="shared" si="464"/>
        <v>24287398</v>
      </c>
      <c r="C4913" s="4" t="str">
        <f t="shared" si="465"/>
        <v>GSE46141</v>
      </c>
      <c r="D4913" s="1" t="s">
        <v>298</v>
      </c>
      <c r="E4913" t="s">
        <v>15</v>
      </c>
      <c r="F4913" s="1">
        <v>2</v>
      </c>
      <c r="G4913" s="1" t="s">
        <v>224</v>
      </c>
      <c r="H4913" s="4" t="str">
        <f>HYPERLINK("https://www.ncbi.nlm.nih.gov/geo/query/acc.cgi?acc=GSM1124873","GSM1124873")</f>
        <v>GSM1124873</v>
      </c>
      <c r="I4913" t="s">
        <v>17</v>
      </c>
      <c r="J4913" t="s">
        <v>18</v>
      </c>
      <c r="K4913" t="s">
        <v>19</v>
      </c>
      <c r="L4913" t="s">
        <v>20</v>
      </c>
      <c r="M4913" t="s">
        <v>27</v>
      </c>
      <c r="N4913" t="s">
        <v>22</v>
      </c>
    </row>
    <row r="4914" spans="1:14">
      <c r="A4914" s="4" t="str">
        <f t="shared" si="467"/>
        <v>EXP00172</v>
      </c>
      <c r="B4914" s="4" t="str">
        <f t="shared" si="464"/>
        <v>24287398</v>
      </c>
      <c r="C4914" s="4" t="str">
        <f t="shared" si="465"/>
        <v>GSE46141</v>
      </c>
      <c r="D4914" s="1" t="s">
        <v>298</v>
      </c>
      <c r="E4914" t="s">
        <v>15</v>
      </c>
      <c r="F4914" s="1">
        <v>2</v>
      </c>
      <c r="G4914" s="1" t="s">
        <v>224</v>
      </c>
      <c r="H4914" s="4" t="str">
        <f>HYPERLINK("https://www.ncbi.nlm.nih.gov/geo/query/acc.cgi?acc=GSM1124876","GSM1124876")</f>
        <v>GSM1124876</v>
      </c>
      <c r="I4914" t="s">
        <v>17</v>
      </c>
      <c r="J4914" t="s">
        <v>18</v>
      </c>
      <c r="K4914" t="s">
        <v>19</v>
      </c>
      <c r="L4914" t="s">
        <v>20</v>
      </c>
      <c r="M4914" t="s">
        <v>27</v>
      </c>
      <c r="N4914" t="s">
        <v>22</v>
      </c>
    </row>
    <row r="4915" spans="1:14">
      <c r="A4915" s="4" t="str">
        <f t="shared" si="467"/>
        <v>EXP00172</v>
      </c>
      <c r="B4915" s="4" t="str">
        <f t="shared" si="464"/>
        <v>24287398</v>
      </c>
      <c r="C4915" s="4" t="str">
        <f t="shared" si="465"/>
        <v>GSE46141</v>
      </c>
      <c r="D4915" s="1" t="s">
        <v>298</v>
      </c>
      <c r="E4915" t="s">
        <v>15</v>
      </c>
      <c r="F4915" s="1">
        <v>2</v>
      </c>
      <c r="G4915" s="1" t="s">
        <v>224</v>
      </c>
      <c r="H4915" s="4" t="str">
        <f>HYPERLINK("https://www.ncbi.nlm.nih.gov/geo/query/acc.cgi?acc=GSM1124877","GSM1124877")</f>
        <v>GSM1124877</v>
      </c>
      <c r="I4915" t="s">
        <v>17</v>
      </c>
      <c r="J4915" t="s">
        <v>18</v>
      </c>
      <c r="K4915" t="s">
        <v>19</v>
      </c>
      <c r="L4915" t="s">
        <v>20</v>
      </c>
      <c r="M4915" t="s">
        <v>27</v>
      </c>
      <c r="N4915" t="s">
        <v>22</v>
      </c>
    </row>
    <row r="4916" spans="1:14">
      <c r="A4916" s="4" t="str">
        <f t="shared" si="467"/>
        <v>EXP00172</v>
      </c>
      <c r="B4916" s="4" t="str">
        <f t="shared" si="464"/>
        <v>24287398</v>
      </c>
      <c r="C4916" s="4" t="str">
        <f t="shared" si="465"/>
        <v>GSE46141</v>
      </c>
      <c r="D4916" s="1" t="s">
        <v>298</v>
      </c>
      <c r="E4916" t="s">
        <v>15</v>
      </c>
      <c r="F4916" s="1">
        <v>2</v>
      </c>
      <c r="G4916" s="1" t="s">
        <v>224</v>
      </c>
      <c r="H4916" s="4" t="str">
        <f>HYPERLINK("https://www.ncbi.nlm.nih.gov/geo/query/acc.cgi?acc=GSM1124879","GSM1124879")</f>
        <v>GSM1124879</v>
      </c>
      <c r="I4916" t="s">
        <v>17</v>
      </c>
      <c r="J4916" t="s">
        <v>18</v>
      </c>
      <c r="K4916" t="s">
        <v>19</v>
      </c>
      <c r="L4916" t="s">
        <v>20</v>
      </c>
      <c r="M4916" t="s">
        <v>27</v>
      </c>
      <c r="N4916" t="s">
        <v>22</v>
      </c>
    </row>
    <row r="4917" spans="1:14">
      <c r="A4917" s="4" t="str">
        <f t="shared" si="467"/>
        <v>EXP00172</v>
      </c>
      <c r="B4917" s="4" t="str">
        <f t="shared" si="464"/>
        <v>24287398</v>
      </c>
      <c r="C4917" s="4" t="str">
        <f t="shared" si="465"/>
        <v>GSE46141</v>
      </c>
      <c r="D4917" s="1" t="s">
        <v>298</v>
      </c>
      <c r="E4917" t="s">
        <v>15</v>
      </c>
      <c r="F4917" s="1">
        <v>2</v>
      </c>
      <c r="G4917" s="1" t="s">
        <v>224</v>
      </c>
      <c r="H4917" s="4" t="str">
        <f>HYPERLINK("https://www.ncbi.nlm.nih.gov/geo/query/acc.cgi?acc=GSM1124883","GSM1124883")</f>
        <v>GSM1124883</v>
      </c>
      <c r="I4917" t="s">
        <v>17</v>
      </c>
      <c r="J4917" t="s">
        <v>18</v>
      </c>
      <c r="K4917" t="s">
        <v>19</v>
      </c>
      <c r="L4917" t="s">
        <v>20</v>
      </c>
      <c r="M4917" t="s">
        <v>27</v>
      </c>
      <c r="N4917" t="s">
        <v>22</v>
      </c>
    </row>
    <row r="4918" spans="1:14">
      <c r="A4918" s="4" t="str">
        <f t="shared" si="467"/>
        <v>EXP00172</v>
      </c>
      <c r="B4918" s="4" t="str">
        <f t="shared" si="464"/>
        <v>24287398</v>
      </c>
      <c r="C4918" s="4" t="str">
        <f t="shared" si="465"/>
        <v>GSE46141</v>
      </c>
      <c r="D4918" s="1" t="s">
        <v>298</v>
      </c>
      <c r="E4918" t="s">
        <v>15</v>
      </c>
      <c r="F4918" s="1">
        <v>2</v>
      </c>
      <c r="G4918" s="1" t="s">
        <v>224</v>
      </c>
      <c r="H4918" s="4" t="str">
        <f>HYPERLINK("https://www.ncbi.nlm.nih.gov/geo/query/acc.cgi?acc=GSM1124889","GSM1124889")</f>
        <v>GSM1124889</v>
      </c>
      <c r="I4918" t="s">
        <v>17</v>
      </c>
      <c r="J4918" t="s">
        <v>18</v>
      </c>
      <c r="K4918" t="s">
        <v>19</v>
      </c>
      <c r="L4918" t="s">
        <v>20</v>
      </c>
      <c r="M4918" t="s">
        <v>27</v>
      </c>
      <c r="N4918" t="s">
        <v>22</v>
      </c>
    </row>
    <row r="4919" spans="1:14">
      <c r="A4919" s="4" t="str">
        <f t="shared" si="467"/>
        <v>EXP00172</v>
      </c>
      <c r="B4919" s="4" t="str">
        <f t="shared" si="464"/>
        <v>24287398</v>
      </c>
      <c r="C4919" s="4" t="str">
        <f t="shared" si="465"/>
        <v>GSE46141</v>
      </c>
      <c r="D4919" s="1" t="s">
        <v>298</v>
      </c>
      <c r="E4919" t="s">
        <v>15</v>
      </c>
      <c r="F4919" s="1">
        <v>2</v>
      </c>
      <c r="G4919" s="1" t="s">
        <v>224</v>
      </c>
      <c r="H4919" s="4" t="str">
        <f>HYPERLINK("https://www.ncbi.nlm.nih.gov/geo/query/acc.cgi?acc=GSM1124892","GSM1124892")</f>
        <v>GSM1124892</v>
      </c>
      <c r="I4919" t="s">
        <v>17</v>
      </c>
      <c r="J4919" t="s">
        <v>18</v>
      </c>
      <c r="K4919" t="s">
        <v>19</v>
      </c>
      <c r="L4919" t="s">
        <v>20</v>
      </c>
      <c r="M4919" t="s">
        <v>27</v>
      </c>
      <c r="N4919" t="s">
        <v>22</v>
      </c>
    </row>
    <row r="4920" spans="1:14">
      <c r="A4920" s="4" t="str">
        <f t="shared" si="467"/>
        <v>EXP00172</v>
      </c>
      <c r="B4920" s="4" t="str">
        <f t="shared" si="464"/>
        <v>24287398</v>
      </c>
      <c r="C4920" s="4" t="str">
        <f t="shared" si="465"/>
        <v>GSE46141</v>
      </c>
      <c r="D4920" s="1" t="s">
        <v>298</v>
      </c>
      <c r="E4920" t="s">
        <v>15</v>
      </c>
      <c r="F4920" s="1">
        <v>2</v>
      </c>
      <c r="G4920" s="1" t="s">
        <v>224</v>
      </c>
      <c r="H4920" s="4" t="str">
        <f>HYPERLINK("https://www.ncbi.nlm.nih.gov/geo/query/acc.cgi?acc=GSM1124893","GSM1124893")</f>
        <v>GSM1124893</v>
      </c>
      <c r="I4920" t="s">
        <v>17</v>
      </c>
      <c r="J4920" t="s">
        <v>18</v>
      </c>
      <c r="K4920" t="s">
        <v>19</v>
      </c>
      <c r="L4920" t="s">
        <v>20</v>
      </c>
      <c r="M4920" t="s">
        <v>27</v>
      </c>
      <c r="N4920" t="s">
        <v>22</v>
      </c>
    </row>
    <row r="4921" spans="1:14">
      <c r="A4921" s="4" t="str">
        <f t="shared" si="467"/>
        <v>EXP00172</v>
      </c>
      <c r="B4921" s="4" t="str">
        <f t="shared" si="464"/>
        <v>24287398</v>
      </c>
      <c r="C4921" s="4" t="str">
        <f t="shared" si="465"/>
        <v>GSE46141</v>
      </c>
      <c r="D4921" s="1" t="s">
        <v>298</v>
      </c>
      <c r="E4921" t="s">
        <v>15</v>
      </c>
      <c r="F4921" s="1">
        <v>2</v>
      </c>
      <c r="G4921" s="1" t="s">
        <v>224</v>
      </c>
      <c r="H4921" s="4" t="str">
        <f>HYPERLINK("https://www.ncbi.nlm.nih.gov/geo/query/acc.cgi?acc=GSM1124909","GSM1124909")</f>
        <v>GSM1124909</v>
      </c>
      <c r="I4921" t="s">
        <v>17</v>
      </c>
      <c r="J4921" t="s">
        <v>18</v>
      </c>
      <c r="K4921" t="s">
        <v>19</v>
      </c>
      <c r="L4921" t="s">
        <v>20</v>
      </c>
      <c r="M4921" t="s">
        <v>27</v>
      </c>
      <c r="N4921" t="s">
        <v>22</v>
      </c>
    </row>
    <row r="4922" spans="1:14">
      <c r="A4922" s="4" t="str">
        <f t="shared" si="467"/>
        <v>EXP00172</v>
      </c>
      <c r="B4922" s="4" t="str">
        <f t="shared" si="464"/>
        <v>24287398</v>
      </c>
      <c r="C4922" s="4" t="str">
        <f t="shared" si="465"/>
        <v>GSE46141</v>
      </c>
      <c r="D4922" s="1" t="s">
        <v>298</v>
      </c>
      <c r="E4922" t="s">
        <v>15</v>
      </c>
      <c r="F4922" s="1">
        <v>2</v>
      </c>
      <c r="G4922" s="1" t="s">
        <v>224</v>
      </c>
      <c r="H4922" s="4" t="str">
        <f>HYPERLINK("https://www.ncbi.nlm.nih.gov/geo/query/acc.cgi?acc=GSM1124913","GSM1124913")</f>
        <v>GSM1124913</v>
      </c>
      <c r="I4922" t="s">
        <v>17</v>
      </c>
      <c r="J4922" t="s">
        <v>18</v>
      </c>
      <c r="K4922" t="s">
        <v>19</v>
      </c>
      <c r="L4922" t="s">
        <v>20</v>
      </c>
      <c r="M4922" t="s">
        <v>27</v>
      </c>
      <c r="N4922" t="s">
        <v>22</v>
      </c>
    </row>
    <row r="4923" spans="1:14">
      <c r="A4923" s="4" t="str">
        <f t="shared" si="467"/>
        <v>EXP00172</v>
      </c>
      <c r="B4923" s="4" t="str">
        <f t="shared" si="464"/>
        <v>24287398</v>
      </c>
      <c r="C4923" s="4" t="str">
        <f t="shared" si="465"/>
        <v>GSE46141</v>
      </c>
      <c r="D4923" s="1" t="s">
        <v>298</v>
      </c>
      <c r="E4923" t="s">
        <v>15</v>
      </c>
      <c r="F4923" s="1">
        <v>2</v>
      </c>
      <c r="G4923" s="1" t="s">
        <v>224</v>
      </c>
      <c r="H4923" s="4" t="str">
        <f>HYPERLINK("https://www.ncbi.nlm.nih.gov/geo/query/acc.cgi?acc=GSM1124916","GSM1124916")</f>
        <v>GSM1124916</v>
      </c>
      <c r="I4923" t="s">
        <v>17</v>
      </c>
      <c r="J4923" t="s">
        <v>18</v>
      </c>
      <c r="K4923" t="s">
        <v>19</v>
      </c>
      <c r="L4923" t="s">
        <v>20</v>
      </c>
      <c r="M4923" t="s">
        <v>27</v>
      </c>
      <c r="N4923" t="s">
        <v>22</v>
      </c>
    </row>
    <row r="4924" spans="1:14">
      <c r="A4924" s="4" t="str">
        <f t="shared" si="467"/>
        <v>EXP00172</v>
      </c>
      <c r="B4924" s="4" t="str">
        <f t="shared" si="464"/>
        <v>24287398</v>
      </c>
      <c r="C4924" s="4" t="str">
        <f t="shared" si="465"/>
        <v>GSE46141</v>
      </c>
      <c r="D4924" s="1" t="s">
        <v>298</v>
      </c>
      <c r="E4924" t="s">
        <v>15</v>
      </c>
      <c r="F4924" s="1">
        <v>2</v>
      </c>
      <c r="G4924" s="1" t="s">
        <v>224</v>
      </c>
      <c r="H4924" s="4" t="str">
        <f>HYPERLINK("https://www.ncbi.nlm.nih.gov/geo/query/acc.cgi?acc=GSM1124923","GSM1124923")</f>
        <v>GSM1124923</v>
      </c>
      <c r="I4924" t="s">
        <v>17</v>
      </c>
      <c r="J4924" t="s">
        <v>18</v>
      </c>
      <c r="K4924" t="s">
        <v>19</v>
      </c>
      <c r="L4924" t="s">
        <v>20</v>
      </c>
      <c r="M4924" t="s">
        <v>27</v>
      </c>
      <c r="N4924" t="s">
        <v>22</v>
      </c>
    </row>
    <row r="4925" spans="1:14">
      <c r="A4925" s="4" t="str">
        <f t="shared" si="467"/>
        <v>EXP00172</v>
      </c>
      <c r="B4925" s="4" t="str">
        <f t="shared" si="464"/>
        <v>24287398</v>
      </c>
      <c r="C4925" s="4" t="str">
        <f t="shared" si="465"/>
        <v>GSE46141</v>
      </c>
      <c r="D4925" s="1" t="s">
        <v>298</v>
      </c>
      <c r="E4925" t="s">
        <v>15</v>
      </c>
      <c r="F4925" s="1">
        <v>2</v>
      </c>
      <c r="G4925" s="1" t="s">
        <v>224</v>
      </c>
      <c r="H4925" s="4" t="str">
        <f>HYPERLINK("https://www.ncbi.nlm.nih.gov/geo/query/acc.cgi?acc=GSM1124925","GSM1124925")</f>
        <v>GSM1124925</v>
      </c>
      <c r="I4925" t="s">
        <v>17</v>
      </c>
      <c r="J4925" t="s">
        <v>18</v>
      </c>
      <c r="K4925" t="s">
        <v>19</v>
      </c>
      <c r="L4925" t="s">
        <v>20</v>
      </c>
      <c r="M4925" t="s">
        <v>27</v>
      </c>
      <c r="N4925" t="s">
        <v>22</v>
      </c>
    </row>
    <row r="4926" spans="1:14">
      <c r="A4926" s="4" t="str">
        <f t="shared" si="467"/>
        <v>EXP00172</v>
      </c>
      <c r="B4926" s="4" t="str">
        <f t="shared" si="464"/>
        <v>24287398</v>
      </c>
      <c r="C4926" s="4" t="str">
        <f t="shared" si="465"/>
        <v>GSE46141</v>
      </c>
      <c r="D4926" s="1" t="s">
        <v>298</v>
      </c>
      <c r="E4926" t="s">
        <v>15</v>
      </c>
      <c r="F4926" s="1">
        <v>2</v>
      </c>
      <c r="G4926" s="1" t="s">
        <v>224</v>
      </c>
      <c r="H4926" s="4" t="str">
        <f>HYPERLINK("https://www.ncbi.nlm.nih.gov/geo/query/acc.cgi?acc=GSM1124929","GSM1124929")</f>
        <v>GSM1124929</v>
      </c>
      <c r="I4926" t="s">
        <v>17</v>
      </c>
      <c r="J4926" t="s">
        <v>18</v>
      </c>
      <c r="K4926" t="s">
        <v>19</v>
      </c>
      <c r="L4926" t="s">
        <v>20</v>
      </c>
      <c r="M4926" t="s">
        <v>27</v>
      </c>
      <c r="N4926" t="s">
        <v>22</v>
      </c>
    </row>
    <row r="4927" spans="1:14">
      <c r="A4927" s="4" t="str">
        <f t="shared" si="467"/>
        <v>EXP00172</v>
      </c>
      <c r="B4927" s="4" t="str">
        <f t="shared" si="464"/>
        <v>24287398</v>
      </c>
      <c r="C4927" s="4" t="str">
        <f t="shared" si="465"/>
        <v>GSE46141</v>
      </c>
      <c r="D4927" s="1" t="s">
        <v>298</v>
      </c>
      <c r="E4927" t="s">
        <v>15</v>
      </c>
      <c r="F4927" s="1">
        <v>2</v>
      </c>
      <c r="G4927" s="1" t="s">
        <v>224</v>
      </c>
      <c r="H4927" s="4" t="str">
        <f>HYPERLINK("https://www.ncbi.nlm.nih.gov/geo/query/acc.cgi?acc=GSM1124934","GSM1124934")</f>
        <v>GSM1124934</v>
      </c>
      <c r="I4927" t="s">
        <v>17</v>
      </c>
      <c r="J4927" t="s">
        <v>18</v>
      </c>
      <c r="K4927" t="s">
        <v>19</v>
      </c>
      <c r="L4927" t="s">
        <v>20</v>
      </c>
      <c r="M4927" t="s">
        <v>27</v>
      </c>
      <c r="N4927" t="s">
        <v>22</v>
      </c>
    </row>
    <row r="4928" spans="1:14">
      <c r="A4928" s="4" t="str">
        <f t="shared" si="467"/>
        <v>EXP00172</v>
      </c>
      <c r="B4928" s="4" t="str">
        <f t="shared" si="464"/>
        <v>24287398</v>
      </c>
      <c r="C4928" s="4" t="str">
        <f t="shared" si="465"/>
        <v>GSE46141</v>
      </c>
      <c r="D4928" s="1" t="s">
        <v>298</v>
      </c>
      <c r="E4928" t="s">
        <v>15</v>
      </c>
      <c r="F4928" s="1">
        <v>2</v>
      </c>
      <c r="G4928" s="1" t="s">
        <v>224</v>
      </c>
      <c r="H4928" s="4" t="str">
        <f>HYPERLINK("https://www.ncbi.nlm.nih.gov/geo/query/acc.cgi?acc=GSM1124937","GSM1124937")</f>
        <v>GSM1124937</v>
      </c>
      <c r="I4928" t="s">
        <v>17</v>
      </c>
      <c r="J4928" t="s">
        <v>18</v>
      </c>
      <c r="K4928" t="s">
        <v>19</v>
      </c>
      <c r="L4928" t="s">
        <v>20</v>
      </c>
      <c r="M4928" t="s">
        <v>27</v>
      </c>
      <c r="N4928" t="s">
        <v>22</v>
      </c>
    </row>
    <row r="4929" spans="1:14">
      <c r="A4929" s="4" t="str">
        <f t="shared" ref="A4929:A4960" si="468">HYPERLINK("http://hcmdb.i-sanger.com/experiment/details/experiment_id/EXP00173","EXP00173")</f>
        <v>EXP00173</v>
      </c>
      <c r="B4929" s="4" t="str">
        <f t="shared" ref="B4929:B4960" si="469">HYPERLINK("https://www.ncbi.nlm.nih.gov/pubmed/24599057","24599057")</f>
        <v>24599057</v>
      </c>
      <c r="C4929" s="4" t="str">
        <f t="shared" ref="C4929:C4960" si="470">HYPERLINK("https://www.ncbi.nlm.nih.gov/geo/query/acc.cgi?acc=GSE46563","GSE46563")</f>
        <v>GSE46563</v>
      </c>
      <c r="D4929" s="1" t="s">
        <v>300</v>
      </c>
      <c r="E4929" t="s">
        <v>301</v>
      </c>
      <c r="F4929" s="1">
        <v>1</v>
      </c>
      <c r="G4929" s="1" t="s">
        <v>31</v>
      </c>
      <c r="H4929" s="4" t="str">
        <f>HYPERLINK("https://www.ncbi.nlm.nih.gov/geo/query/acc.cgi?acc=GSM1132429","GSM1132429")</f>
        <v>GSM1132429</v>
      </c>
      <c r="I4929" t="s">
        <v>17</v>
      </c>
      <c r="J4929" t="s">
        <v>302</v>
      </c>
      <c r="K4929" t="s">
        <v>19</v>
      </c>
      <c r="L4929" t="s">
        <v>20</v>
      </c>
      <c r="M4929" t="s">
        <v>51</v>
      </c>
      <c r="N4929" t="s">
        <v>29</v>
      </c>
    </row>
    <row r="4930" spans="1:14">
      <c r="A4930" s="4" t="str">
        <f t="shared" si="468"/>
        <v>EXP00173</v>
      </c>
      <c r="B4930" s="4" t="str">
        <f t="shared" si="469"/>
        <v>24599057</v>
      </c>
      <c r="C4930" s="4" t="str">
        <f t="shared" si="470"/>
        <v>GSE46563</v>
      </c>
      <c r="D4930" s="1" t="s">
        <v>300</v>
      </c>
      <c r="E4930" t="s">
        <v>301</v>
      </c>
      <c r="F4930" s="1">
        <v>1</v>
      </c>
      <c r="G4930" s="1" t="s">
        <v>31</v>
      </c>
      <c r="H4930" s="4" t="str">
        <f>HYPERLINK("https://www.ncbi.nlm.nih.gov/geo/query/acc.cgi?acc=GSM1132439","GSM1132439")</f>
        <v>GSM1132439</v>
      </c>
      <c r="I4930" t="s">
        <v>17</v>
      </c>
      <c r="J4930" t="s">
        <v>302</v>
      </c>
      <c r="K4930" t="s">
        <v>19</v>
      </c>
      <c r="L4930" t="s">
        <v>20</v>
      </c>
      <c r="M4930" t="s">
        <v>51</v>
      </c>
      <c r="N4930" t="s">
        <v>29</v>
      </c>
    </row>
    <row r="4931" spans="1:14">
      <c r="A4931" s="4" t="str">
        <f t="shared" si="468"/>
        <v>EXP00173</v>
      </c>
      <c r="B4931" s="4" t="str">
        <f t="shared" si="469"/>
        <v>24599057</v>
      </c>
      <c r="C4931" s="4" t="str">
        <f t="shared" si="470"/>
        <v>GSE46563</v>
      </c>
      <c r="D4931" s="1" t="s">
        <v>300</v>
      </c>
      <c r="E4931" t="s">
        <v>301</v>
      </c>
      <c r="F4931" s="1">
        <v>1</v>
      </c>
      <c r="G4931" s="1" t="s">
        <v>31</v>
      </c>
      <c r="H4931" s="4" t="str">
        <f>HYPERLINK("https://www.ncbi.nlm.nih.gov/geo/query/acc.cgi?acc=GSM1132447","GSM1132447")</f>
        <v>GSM1132447</v>
      </c>
      <c r="I4931" t="s">
        <v>17</v>
      </c>
      <c r="J4931" t="s">
        <v>302</v>
      </c>
      <c r="K4931" t="s">
        <v>19</v>
      </c>
      <c r="L4931" t="s">
        <v>20</v>
      </c>
      <c r="M4931" t="s">
        <v>51</v>
      </c>
      <c r="N4931" t="s">
        <v>29</v>
      </c>
    </row>
    <row r="4932" spans="1:14">
      <c r="A4932" s="4" t="str">
        <f t="shared" si="468"/>
        <v>EXP00173</v>
      </c>
      <c r="B4932" s="4" t="str">
        <f t="shared" si="469"/>
        <v>24599057</v>
      </c>
      <c r="C4932" s="4" t="str">
        <f t="shared" si="470"/>
        <v>GSE46563</v>
      </c>
      <c r="D4932" s="1" t="s">
        <v>300</v>
      </c>
      <c r="E4932" t="s">
        <v>301</v>
      </c>
      <c r="F4932" s="1">
        <v>1</v>
      </c>
      <c r="G4932" s="1" t="s">
        <v>31</v>
      </c>
      <c r="H4932" s="4" t="str">
        <f>HYPERLINK("https://www.ncbi.nlm.nih.gov/geo/query/acc.cgi?acc=GSM1132449","GSM1132449")</f>
        <v>GSM1132449</v>
      </c>
      <c r="I4932" t="s">
        <v>17</v>
      </c>
      <c r="J4932" t="s">
        <v>302</v>
      </c>
      <c r="K4932" t="s">
        <v>19</v>
      </c>
      <c r="L4932" t="s">
        <v>20</v>
      </c>
      <c r="M4932" t="s">
        <v>51</v>
      </c>
      <c r="N4932" t="s">
        <v>29</v>
      </c>
    </row>
    <row r="4933" spans="1:14">
      <c r="A4933" s="4" t="str">
        <f t="shared" si="468"/>
        <v>EXP00173</v>
      </c>
      <c r="B4933" s="4" t="str">
        <f t="shared" si="469"/>
        <v>24599057</v>
      </c>
      <c r="C4933" s="4" t="str">
        <f t="shared" si="470"/>
        <v>GSE46563</v>
      </c>
      <c r="D4933" s="1" t="s">
        <v>300</v>
      </c>
      <c r="E4933" t="s">
        <v>301</v>
      </c>
      <c r="F4933" s="1">
        <v>1</v>
      </c>
      <c r="G4933" s="1" t="s">
        <v>31</v>
      </c>
      <c r="H4933" s="4" t="str">
        <f>HYPERLINK("https://www.ncbi.nlm.nih.gov/geo/query/acc.cgi?acc=GSM1132450","GSM1132450")</f>
        <v>GSM1132450</v>
      </c>
      <c r="I4933" t="s">
        <v>17</v>
      </c>
      <c r="J4933" t="s">
        <v>302</v>
      </c>
      <c r="K4933" t="s">
        <v>19</v>
      </c>
      <c r="L4933" t="s">
        <v>20</v>
      </c>
      <c r="M4933" t="s">
        <v>51</v>
      </c>
      <c r="N4933" t="s">
        <v>29</v>
      </c>
    </row>
    <row r="4934" spans="1:14">
      <c r="A4934" s="4" t="str">
        <f t="shared" si="468"/>
        <v>EXP00173</v>
      </c>
      <c r="B4934" s="4" t="str">
        <f t="shared" si="469"/>
        <v>24599057</v>
      </c>
      <c r="C4934" s="4" t="str">
        <f t="shared" si="470"/>
        <v>GSE46563</v>
      </c>
      <c r="D4934" s="1" t="s">
        <v>300</v>
      </c>
      <c r="E4934" t="s">
        <v>301</v>
      </c>
      <c r="F4934" s="1">
        <v>1</v>
      </c>
      <c r="G4934" s="1" t="s">
        <v>31</v>
      </c>
      <c r="H4934" s="4" t="str">
        <f>HYPERLINK("https://www.ncbi.nlm.nih.gov/geo/query/acc.cgi?acc=GSM1132461","GSM1132461")</f>
        <v>GSM1132461</v>
      </c>
      <c r="I4934" t="s">
        <v>17</v>
      </c>
      <c r="J4934" t="s">
        <v>302</v>
      </c>
      <c r="K4934" t="s">
        <v>19</v>
      </c>
      <c r="L4934" t="s">
        <v>20</v>
      </c>
      <c r="M4934" t="s">
        <v>51</v>
      </c>
      <c r="N4934" t="s">
        <v>29</v>
      </c>
    </row>
    <row r="4935" spans="1:14">
      <c r="A4935" s="4" t="str">
        <f t="shared" si="468"/>
        <v>EXP00173</v>
      </c>
      <c r="B4935" s="4" t="str">
        <f t="shared" si="469"/>
        <v>24599057</v>
      </c>
      <c r="C4935" s="4" t="str">
        <f t="shared" si="470"/>
        <v>GSE46563</v>
      </c>
      <c r="D4935" s="1" t="s">
        <v>300</v>
      </c>
      <c r="E4935" t="s">
        <v>301</v>
      </c>
      <c r="F4935" s="1">
        <v>1</v>
      </c>
      <c r="G4935" s="1" t="s">
        <v>31</v>
      </c>
      <c r="H4935" s="4" t="str">
        <f>HYPERLINK("https://www.ncbi.nlm.nih.gov/geo/query/acc.cgi?acc=GSM1132464","GSM1132464")</f>
        <v>GSM1132464</v>
      </c>
      <c r="I4935" t="s">
        <v>17</v>
      </c>
      <c r="J4935" t="s">
        <v>302</v>
      </c>
      <c r="K4935" t="s">
        <v>19</v>
      </c>
      <c r="L4935" t="s">
        <v>20</v>
      </c>
      <c r="M4935" t="s">
        <v>51</v>
      </c>
      <c r="N4935" t="s">
        <v>29</v>
      </c>
    </row>
    <row r="4936" spans="1:14">
      <c r="A4936" s="4" t="str">
        <f t="shared" si="468"/>
        <v>EXP00173</v>
      </c>
      <c r="B4936" s="4" t="str">
        <f t="shared" si="469"/>
        <v>24599057</v>
      </c>
      <c r="C4936" s="4" t="str">
        <f t="shared" si="470"/>
        <v>GSE46563</v>
      </c>
      <c r="D4936" s="1" t="s">
        <v>300</v>
      </c>
      <c r="E4936" t="s">
        <v>301</v>
      </c>
      <c r="F4936" s="1">
        <v>1</v>
      </c>
      <c r="G4936" s="1" t="s">
        <v>31</v>
      </c>
      <c r="H4936" s="4" t="str">
        <f>HYPERLINK("https://www.ncbi.nlm.nih.gov/geo/query/acc.cgi?acc=GSM1132474","GSM1132474")</f>
        <v>GSM1132474</v>
      </c>
      <c r="I4936" t="s">
        <v>17</v>
      </c>
      <c r="J4936" t="s">
        <v>302</v>
      </c>
      <c r="K4936" t="s">
        <v>19</v>
      </c>
      <c r="L4936" t="s">
        <v>20</v>
      </c>
      <c r="M4936" t="s">
        <v>51</v>
      </c>
      <c r="N4936" t="s">
        <v>29</v>
      </c>
    </row>
    <row r="4937" spans="1:14">
      <c r="A4937" s="4" t="str">
        <f t="shared" si="468"/>
        <v>EXP00173</v>
      </c>
      <c r="B4937" s="4" t="str">
        <f t="shared" si="469"/>
        <v>24599057</v>
      </c>
      <c r="C4937" s="4" t="str">
        <f t="shared" si="470"/>
        <v>GSE46563</v>
      </c>
      <c r="D4937" s="1" t="s">
        <v>300</v>
      </c>
      <c r="E4937" t="s">
        <v>301</v>
      </c>
      <c r="F4937" s="1">
        <v>1</v>
      </c>
      <c r="G4937" s="1" t="s">
        <v>31</v>
      </c>
      <c r="H4937" s="4" t="str">
        <f>HYPERLINK("https://www.ncbi.nlm.nih.gov/geo/query/acc.cgi?acc=GSM1132483","GSM1132483")</f>
        <v>GSM1132483</v>
      </c>
      <c r="I4937" t="s">
        <v>17</v>
      </c>
      <c r="J4937" t="s">
        <v>302</v>
      </c>
      <c r="K4937" t="s">
        <v>19</v>
      </c>
      <c r="L4937" t="s">
        <v>20</v>
      </c>
      <c r="M4937" t="s">
        <v>51</v>
      </c>
      <c r="N4937" t="s">
        <v>29</v>
      </c>
    </row>
    <row r="4938" spans="1:14">
      <c r="A4938" s="4" t="str">
        <f t="shared" si="468"/>
        <v>EXP00173</v>
      </c>
      <c r="B4938" s="4" t="str">
        <f t="shared" si="469"/>
        <v>24599057</v>
      </c>
      <c r="C4938" s="4" t="str">
        <f t="shared" si="470"/>
        <v>GSE46563</v>
      </c>
      <c r="D4938" s="1" t="s">
        <v>300</v>
      </c>
      <c r="E4938" t="s">
        <v>301</v>
      </c>
      <c r="F4938" s="1">
        <v>1</v>
      </c>
      <c r="G4938" s="1" t="s">
        <v>31</v>
      </c>
      <c r="H4938" s="4" t="str">
        <f>HYPERLINK("https://www.ncbi.nlm.nih.gov/geo/query/acc.cgi?acc=GSM1132489","GSM1132489")</f>
        <v>GSM1132489</v>
      </c>
      <c r="I4938" t="s">
        <v>17</v>
      </c>
      <c r="J4938" t="s">
        <v>302</v>
      </c>
      <c r="K4938" t="s">
        <v>19</v>
      </c>
      <c r="L4938" t="s">
        <v>20</v>
      </c>
      <c r="M4938" t="s">
        <v>51</v>
      </c>
      <c r="N4938" t="s">
        <v>29</v>
      </c>
    </row>
    <row r="4939" spans="1:14">
      <c r="A4939" s="4" t="str">
        <f t="shared" si="468"/>
        <v>EXP00173</v>
      </c>
      <c r="B4939" s="4" t="str">
        <f t="shared" si="469"/>
        <v>24599057</v>
      </c>
      <c r="C4939" s="4" t="str">
        <f t="shared" si="470"/>
        <v>GSE46563</v>
      </c>
      <c r="D4939" s="1" t="s">
        <v>300</v>
      </c>
      <c r="E4939" t="s">
        <v>301</v>
      </c>
      <c r="F4939" s="1">
        <v>1</v>
      </c>
      <c r="G4939" s="1" t="s">
        <v>31</v>
      </c>
      <c r="H4939" s="4" t="str">
        <f>HYPERLINK("https://www.ncbi.nlm.nih.gov/geo/query/acc.cgi?acc=GSM1132490","GSM1132490")</f>
        <v>GSM1132490</v>
      </c>
      <c r="I4939" t="s">
        <v>17</v>
      </c>
      <c r="J4939" t="s">
        <v>302</v>
      </c>
      <c r="K4939" t="s">
        <v>19</v>
      </c>
      <c r="L4939" t="s">
        <v>20</v>
      </c>
      <c r="M4939" t="s">
        <v>51</v>
      </c>
      <c r="N4939" t="s">
        <v>29</v>
      </c>
    </row>
    <row r="4940" spans="1:14">
      <c r="A4940" s="4" t="str">
        <f t="shared" si="468"/>
        <v>EXP00173</v>
      </c>
      <c r="B4940" s="4" t="str">
        <f t="shared" si="469"/>
        <v>24599057</v>
      </c>
      <c r="C4940" s="4" t="str">
        <f t="shared" si="470"/>
        <v>GSE46563</v>
      </c>
      <c r="D4940" s="1" t="s">
        <v>300</v>
      </c>
      <c r="E4940" t="s">
        <v>301</v>
      </c>
      <c r="F4940" s="1">
        <v>1</v>
      </c>
      <c r="G4940" s="1" t="s">
        <v>31</v>
      </c>
      <c r="H4940" s="4" t="str">
        <f>HYPERLINK("https://www.ncbi.nlm.nih.gov/geo/query/acc.cgi?acc=GSM1132491","GSM1132491")</f>
        <v>GSM1132491</v>
      </c>
      <c r="I4940" t="s">
        <v>17</v>
      </c>
      <c r="J4940" t="s">
        <v>302</v>
      </c>
      <c r="K4940" t="s">
        <v>19</v>
      </c>
      <c r="L4940" t="s">
        <v>20</v>
      </c>
      <c r="M4940" t="s">
        <v>51</v>
      </c>
      <c r="N4940" t="s">
        <v>29</v>
      </c>
    </row>
    <row r="4941" spans="1:14">
      <c r="A4941" s="4" t="str">
        <f t="shared" si="468"/>
        <v>EXP00173</v>
      </c>
      <c r="B4941" s="4" t="str">
        <f t="shared" si="469"/>
        <v>24599057</v>
      </c>
      <c r="C4941" s="4" t="str">
        <f t="shared" si="470"/>
        <v>GSE46563</v>
      </c>
      <c r="D4941" s="1" t="s">
        <v>300</v>
      </c>
      <c r="E4941" t="s">
        <v>301</v>
      </c>
      <c r="F4941" s="1">
        <v>1</v>
      </c>
      <c r="G4941" s="1" t="s">
        <v>31</v>
      </c>
      <c r="H4941" s="4" t="str">
        <f>HYPERLINK("https://www.ncbi.nlm.nih.gov/geo/query/acc.cgi?acc=GSM1132495","GSM1132495")</f>
        <v>GSM1132495</v>
      </c>
      <c r="I4941" t="s">
        <v>17</v>
      </c>
      <c r="J4941" t="s">
        <v>302</v>
      </c>
      <c r="K4941" t="s">
        <v>19</v>
      </c>
      <c r="L4941" t="s">
        <v>20</v>
      </c>
      <c r="M4941" t="s">
        <v>51</v>
      </c>
      <c r="N4941" t="s">
        <v>29</v>
      </c>
    </row>
    <row r="4942" spans="1:14">
      <c r="A4942" s="4" t="str">
        <f t="shared" si="468"/>
        <v>EXP00173</v>
      </c>
      <c r="B4942" s="4" t="str">
        <f t="shared" si="469"/>
        <v>24599057</v>
      </c>
      <c r="C4942" s="4" t="str">
        <f t="shared" si="470"/>
        <v>GSE46563</v>
      </c>
      <c r="D4942" s="1" t="s">
        <v>300</v>
      </c>
      <c r="E4942" t="s">
        <v>301</v>
      </c>
      <c r="F4942" s="1">
        <v>1</v>
      </c>
      <c r="G4942" s="1" t="s">
        <v>31</v>
      </c>
      <c r="H4942" s="4" t="str">
        <f>HYPERLINK("https://www.ncbi.nlm.nih.gov/geo/query/acc.cgi?acc=GSM1132496","GSM1132496")</f>
        <v>GSM1132496</v>
      </c>
      <c r="I4942" t="s">
        <v>17</v>
      </c>
      <c r="J4942" t="s">
        <v>302</v>
      </c>
      <c r="K4942" t="s">
        <v>19</v>
      </c>
      <c r="L4942" t="s">
        <v>20</v>
      </c>
      <c r="M4942" t="s">
        <v>51</v>
      </c>
      <c r="N4942" t="s">
        <v>29</v>
      </c>
    </row>
    <row r="4943" spans="1:14">
      <c r="A4943" s="4" t="str">
        <f t="shared" si="468"/>
        <v>EXP00173</v>
      </c>
      <c r="B4943" s="4" t="str">
        <f t="shared" si="469"/>
        <v>24599057</v>
      </c>
      <c r="C4943" s="4" t="str">
        <f t="shared" si="470"/>
        <v>GSE46563</v>
      </c>
      <c r="D4943" s="1" t="s">
        <v>300</v>
      </c>
      <c r="E4943" t="s">
        <v>301</v>
      </c>
      <c r="F4943" s="1">
        <v>1</v>
      </c>
      <c r="G4943" s="1" t="s">
        <v>31</v>
      </c>
      <c r="H4943" s="4" t="str">
        <f>HYPERLINK("https://www.ncbi.nlm.nih.gov/geo/query/acc.cgi?acc=GSM1132497","GSM1132497")</f>
        <v>GSM1132497</v>
      </c>
      <c r="I4943" t="s">
        <v>17</v>
      </c>
      <c r="J4943" t="s">
        <v>302</v>
      </c>
      <c r="K4943" t="s">
        <v>19</v>
      </c>
      <c r="L4943" t="s">
        <v>20</v>
      </c>
      <c r="M4943" t="s">
        <v>51</v>
      </c>
      <c r="N4943" t="s">
        <v>29</v>
      </c>
    </row>
    <row r="4944" spans="1:14">
      <c r="A4944" s="4" t="str">
        <f t="shared" si="468"/>
        <v>EXP00173</v>
      </c>
      <c r="B4944" s="4" t="str">
        <f t="shared" si="469"/>
        <v>24599057</v>
      </c>
      <c r="C4944" s="4" t="str">
        <f t="shared" si="470"/>
        <v>GSE46563</v>
      </c>
      <c r="D4944" s="1" t="s">
        <v>300</v>
      </c>
      <c r="E4944" t="s">
        <v>301</v>
      </c>
      <c r="F4944" s="1">
        <v>1</v>
      </c>
      <c r="G4944" s="1" t="s">
        <v>31</v>
      </c>
      <c r="H4944" s="4" t="str">
        <f>HYPERLINK("https://www.ncbi.nlm.nih.gov/geo/query/acc.cgi?acc=GSM1132501","GSM1132501")</f>
        <v>GSM1132501</v>
      </c>
      <c r="I4944" t="s">
        <v>17</v>
      </c>
      <c r="J4944" t="s">
        <v>302</v>
      </c>
      <c r="K4944" t="s">
        <v>19</v>
      </c>
      <c r="L4944" t="s">
        <v>20</v>
      </c>
      <c r="M4944" t="s">
        <v>51</v>
      </c>
      <c r="N4944" t="s">
        <v>29</v>
      </c>
    </row>
    <row r="4945" spans="1:14">
      <c r="A4945" s="4" t="str">
        <f t="shared" si="468"/>
        <v>EXP00173</v>
      </c>
      <c r="B4945" s="4" t="str">
        <f t="shared" si="469"/>
        <v>24599057</v>
      </c>
      <c r="C4945" s="4" t="str">
        <f t="shared" si="470"/>
        <v>GSE46563</v>
      </c>
      <c r="D4945" s="1" t="s">
        <v>300</v>
      </c>
      <c r="E4945" t="s">
        <v>301</v>
      </c>
      <c r="F4945" s="1">
        <v>1</v>
      </c>
      <c r="G4945" s="1" t="s">
        <v>31</v>
      </c>
      <c r="H4945" s="4" t="str">
        <f>HYPERLINK("https://www.ncbi.nlm.nih.gov/geo/query/acc.cgi?acc=GSM1132502","GSM1132502")</f>
        <v>GSM1132502</v>
      </c>
      <c r="I4945" t="s">
        <v>17</v>
      </c>
      <c r="J4945" t="s">
        <v>302</v>
      </c>
      <c r="K4945" t="s">
        <v>19</v>
      </c>
      <c r="L4945" t="s">
        <v>20</v>
      </c>
      <c r="M4945" t="s">
        <v>51</v>
      </c>
      <c r="N4945" t="s">
        <v>29</v>
      </c>
    </row>
    <row r="4946" spans="1:14">
      <c r="A4946" s="4" t="str">
        <f t="shared" si="468"/>
        <v>EXP00173</v>
      </c>
      <c r="B4946" s="4" t="str">
        <f t="shared" si="469"/>
        <v>24599057</v>
      </c>
      <c r="C4946" s="4" t="str">
        <f t="shared" si="470"/>
        <v>GSE46563</v>
      </c>
      <c r="D4946" s="1" t="s">
        <v>300</v>
      </c>
      <c r="E4946" t="s">
        <v>301</v>
      </c>
      <c r="F4946" s="1">
        <v>1</v>
      </c>
      <c r="G4946" s="1" t="s">
        <v>31</v>
      </c>
      <c r="H4946" s="4" t="str">
        <f>HYPERLINK("https://www.ncbi.nlm.nih.gov/geo/query/acc.cgi?acc=GSM1132503","GSM1132503")</f>
        <v>GSM1132503</v>
      </c>
      <c r="I4946" t="s">
        <v>17</v>
      </c>
      <c r="J4946" t="s">
        <v>302</v>
      </c>
      <c r="K4946" t="s">
        <v>19</v>
      </c>
      <c r="L4946" t="s">
        <v>20</v>
      </c>
      <c r="M4946" t="s">
        <v>51</v>
      </c>
      <c r="N4946" t="s">
        <v>29</v>
      </c>
    </row>
    <row r="4947" spans="1:14">
      <c r="A4947" s="4" t="str">
        <f t="shared" si="468"/>
        <v>EXP00173</v>
      </c>
      <c r="B4947" s="4" t="str">
        <f t="shared" si="469"/>
        <v>24599057</v>
      </c>
      <c r="C4947" s="4" t="str">
        <f t="shared" si="470"/>
        <v>GSE46563</v>
      </c>
      <c r="D4947" s="1" t="s">
        <v>300</v>
      </c>
      <c r="E4947" t="s">
        <v>301</v>
      </c>
      <c r="F4947" s="1">
        <v>1</v>
      </c>
      <c r="G4947" s="1" t="s">
        <v>31</v>
      </c>
      <c r="H4947" s="4" t="str">
        <f>HYPERLINK("https://www.ncbi.nlm.nih.gov/geo/query/acc.cgi?acc=GSM1132504","GSM1132504")</f>
        <v>GSM1132504</v>
      </c>
      <c r="I4947" t="s">
        <v>17</v>
      </c>
      <c r="J4947" t="s">
        <v>302</v>
      </c>
      <c r="K4947" t="s">
        <v>19</v>
      </c>
      <c r="L4947" t="s">
        <v>20</v>
      </c>
      <c r="M4947" t="s">
        <v>51</v>
      </c>
      <c r="N4947" t="s">
        <v>29</v>
      </c>
    </row>
    <row r="4948" spans="1:14">
      <c r="A4948" s="4" t="str">
        <f t="shared" si="468"/>
        <v>EXP00173</v>
      </c>
      <c r="B4948" s="4" t="str">
        <f t="shared" si="469"/>
        <v>24599057</v>
      </c>
      <c r="C4948" s="4" t="str">
        <f t="shared" si="470"/>
        <v>GSE46563</v>
      </c>
      <c r="D4948" s="1" t="s">
        <v>300</v>
      </c>
      <c r="E4948" t="s">
        <v>301</v>
      </c>
      <c r="F4948" s="1">
        <v>1</v>
      </c>
      <c r="G4948" s="1" t="s">
        <v>31</v>
      </c>
      <c r="H4948" s="4" t="str">
        <f>HYPERLINK("https://www.ncbi.nlm.nih.gov/geo/query/acc.cgi?acc=GSM1132512","GSM1132512")</f>
        <v>GSM1132512</v>
      </c>
      <c r="I4948" t="s">
        <v>17</v>
      </c>
      <c r="J4948" t="s">
        <v>302</v>
      </c>
      <c r="K4948" t="s">
        <v>19</v>
      </c>
      <c r="L4948" t="s">
        <v>20</v>
      </c>
      <c r="M4948" t="s">
        <v>51</v>
      </c>
      <c r="N4948" t="s">
        <v>29</v>
      </c>
    </row>
    <row r="4949" spans="1:14">
      <c r="A4949" s="4" t="str">
        <f t="shared" si="468"/>
        <v>EXP00173</v>
      </c>
      <c r="B4949" s="4" t="str">
        <f t="shared" si="469"/>
        <v>24599057</v>
      </c>
      <c r="C4949" s="4" t="str">
        <f t="shared" si="470"/>
        <v>GSE46563</v>
      </c>
      <c r="D4949" s="1" t="s">
        <v>300</v>
      </c>
      <c r="E4949" t="s">
        <v>301</v>
      </c>
      <c r="F4949" s="1">
        <v>1</v>
      </c>
      <c r="G4949" s="1" t="s">
        <v>31</v>
      </c>
      <c r="H4949" s="4" t="str">
        <f>HYPERLINK("https://www.ncbi.nlm.nih.gov/geo/query/acc.cgi?acc=GSM1132514","GSM1132514")</f>
        <v>GSM1132514</v>
      </c>
      <c r="I4949" t="s">
        <v>17</v>
      </c>
      <c r="J4949" t="s">
        <v>302</v>
      </c>
      <c r="K4949" t="s">
        <v>19</v>
      </c>
      <c r="L4949" t="s">
        <v>20</v>
      </c>
      <c r="M4949" t="s">
        <v>51</v>
      </c>
      <c r="N4949" t="s">
        <v>29</v>
      </c>
    </row>
    <row r="4950" spans="1:14">
      <c r="A4950" s="4" t="str">
        <f t="shared" si="468"/>
        <v>EXP00173</v>
      </c>
      <c r="B4950" s="4" t="str">
        <f t="shared" si="469"/>
        <v>24599057</v>
      </c>
      <c r="C4950" s="4" t="str">
        <f t="shared" si="470"/>
        <v>GSE46563</v>
      </c>
      <c r="D4950" s="1" t="s">
        <v>300</v>
      </c>
      <c r="E4950" t="s">
        <v>301</v>
      </c>
      <c r="F4950" s="1">
        <v>1</v>
      </c>
      <c r="G4950" s="1" t="s">
        <v>31</v>
      </c>
      <c r="H4950" s="4" t="str">
        <f>HYPERLINK("https://www.ncbi.nlm.nih.gov/geo/query/acc.cgi?acc=GSM1132519","GSM1132519")</f>
        <v>GSM1132519</v>
      </c>
      <c r="I4950" t="s">
        <v>17</v>
      </c>
      <c r="J4950" t="s">
        <v>302</v>
      </c>
      <c r="K4950" t="s">
        <v>19</v>
      </c>
      <c r="L4950" t="s">
        <v>20</v>
      </c>
      <c r="M4950" t="s">
        <v>51</v>
      </c>
      <c r="N4950" t="s">
        <v>29</v>
      </c>
    </row>
    <row r="4951" spans="1:14">
      <c r="A4951" s="4" t="str">
        <f t="shared" si="468"/>
        <v>EXP00173</v>
      </c>
      <c r="B4951" s="4" t="str">
        <f t="shared" si="469"/>
        <v>24599057</v>
      </c>
      <c r="C4951" s="4" t="str">
        <f t="shared" si="470"/>
        <v>GSE46563</v>
      </c>
      <c r="D4951" s="1" t="s">
        <v>300</v>
      </c>
      <c r="E4951" t="s">
        <v>301</v>
      </c>
      <c r="F4951" s="1">
        <v>1</v>
      </c>
      <c r="G4951" s="1" t="s">
        <v>31</v>
      </c>
      <c r="H4951" s="4" t="str">
        <f>HYPERLINK("https://www.ncbi.nlm.nih.gov/geo/query/acc.cgi?acc=GSM1132521","GSM1132521")</f>
        <v>GSM1132521</v>
      </c>
      <c r="I4951" t="s">
        <v>17</v>
      </c>
      <c r="J4951" t="s">
        <v>302</v>
      </c>
      <c r="K4951" t="s">
        <v>19</v>
      </c>
      <c r="L4951" t="s">
        <v>20</v>
      </c>
      <c r="M4951" t="s">
        <v>51</v>
      </c>
      <c r="N4951" t="s">
        <v>29</v>
      </c>
    </row>
    <row r="4952" spans="1:14">
      <c r="A4952" s="4" t="str">
        <f t="shared" si="468"/>
        <v>EXP00173</v>
      </c>
      <c r="B4952" s="4" t="str">
        <f t="shared" si="469"/>
        <v>24599057</v>
      </c>
      <c r="C4952" s="4" t="str">
        <f t="shared" si="470"/>
        <v>GSE46563</v>
      </c>
      <c r="D4952" s="1" t="s">
        <v>300</v>
      </c>
      <c r="E4952" t="s">
        <v>301</v>
      </c>
      <c r="F4952" s="1">
        <v>2</v>
      </c>
      <c r="G4952" s="1" t="s">
        <v>32</v>
      </c>
      <c r="H4952" s="4" t="str">
        <f>HYPERLINK("https://www.ncbi.nlm.nih.gov/geo/query/acc.cgi?acc=GSM1132430","GSM1132430")</f>
        <v>GSM1132430</v>
      </c>
      <c r="I4952" t="s">
        <v>17</v>
      </c>
      <c r="J4952" t="s">
        <v>302</v>
      </c>
      <c r="K4952" t="s">
        <v>33</v>
      </c>
      <c r="L4952" t="s">
        <v>20</v>
      </c>
      <c r="N4952" t="s">
        <v>29</v>
      </c>
    </row>
    <row r="4953" spans="1:14">
      <c r="A4953" s="4" t="str">
        <f t="shared" si="468"/>
        <v>EXP00173</v>
      </c>
      <c r="B4953" s="4" t="str">
        <f t="shared" si="469"/>
        <v>24599057</v>
      </c>
      <c r="C4953" s="4" t="str">
        <f t="shared" si="470"/>
        <v>GSE46563</v>
      </c>
      <c r="D4953" s="1" t="s">
        <v>300</v>
      </c>
      <c r="E4953" t="s">
        <v>301</v>
      </c>
      <c r="F4953" s="1">
        <v>2</v>
      </c>
      <c r="G4953" s="1" t="s">
        <v>32</v>
      </c>
      <c r="H4953" s="4" t="str">
        <f>HYPERLINK("https://www.ncbi.nlm.nih.gov/geo/query/acc.cgi?acc=GSM1132431","GSM1132431")</f>
        <v>GSM1132431</v>
      </c>
      <c r="I4953" t="s">
        <v>17</v>
      </c>
      <c r="J4953" t="s">
        <v>302</v>
      </c>
      <c r="K4953" t="s">
        <v>33</v>
      </c>
      <c r="L4953" t="s">
        <v>20</v>
      </c>
      <c r="N4953" t="s">
        <v>29</v>
      </c>
    </row>
    <row r="4954" spans="1:14">
      <c r="A4954" s="4" t="str">
        <f t="shared" si="468"/>
        <v>EXP00173</v>
      </c>
      <c r="B4954" s="4" t="str">
        <f t="shared" si="469"/>
        <v>24599057</v>
      </c>
      <c r="C4954" s="4" t="str">
        <f t="shared" si="470"/>
        <v>GSE46563</v>
      </c>
      <c r="D4954" s="1" t="s">
        <v>300</v>
      </c>
      <c r="E4954" t="s">
        <v>301</v>
      </c>
      <c r="F4954" s="1">
        <v>2</v>
      </c>
      <c r="G4954" s="1" t="s">
        <v>32</v>
      </c>
      <c r="H4954" s="4" t="str">
        <f>HYPERLINK("https://www.ncbi.nlm.nih.gov/geo/query/acc.cgi?acc=GSM1132432","GSM1132432")</f>
        <v>GSM1132432</v>
      </c>
      <c r="I4954" t="s">
        <v>17</v>
      </c>
      <c r="J4954" t="s">
        <v>302</v>
      </c>
      <c r="K4954" t="s">
        <v>33</v>
      </c>
      <c r="L4954" t="s">
        <v>20</v>
      </c>
      <c r="N4954" t="s">
        <v>29</v>
      </c>
    </row>
    <row r="4955" spans="1:14">
      <c r="A4955" s="4" t="str">
        <f t="shared" si="468"/>
        <v>EXP00173</v>
      </c>
      <c r="B4955" s="4" t="str">
        <f t="shared" si="469"/>
        <v>24599057</v>
      </c>
      <c r="C4955" s="4" t="str">
        <f t="shared" si="470"/>
        <v>GSE46563</v>
      </c>
      <c r="D4955" s="1" t="s">
        <v>300</v>
      </c>
      <c r="E4955" t="s">
        <v>301</v>
      </c>
      <c r="F4955" s="1">
        <v>2</v>
      </c>
      <c r="G4955" s="1" t="s">
        <v>32</v>
      </c>
      <c r="H4955" s="4" t="str">
        <f>HYPERLINK("https://www.ncbi.nlm.nih.gov/geo/query/acc.cgi?acc=GSM1132433","GSM1132433")</f>
        <v>GSM1132433</v>
      </c>
      <c r="I4955" t="s">
        <v>17</v>
      </c>
      <c r="J4955" t="s">
        <v>302</v>
      </c>
      <c r="K4955" t="s">
        <v>33</v>
      </c>
      <c r="L4955" t="s">
        <v>20</v>
      </c>
      <c r="N4955" t="s">
        <v>29</v>
      </c>
    </row>
    <row r="4956" spans="1:14">
      <c r="A4956" s="4" t="str">
        <f t="shared" si="468"/>
        <v>EXP00173</v>
      </c>
      <c r="B4956" s="4" t="str">
        <f t="shared" si="469"/>
        <v>24599057</v>
      </c>
      <c r="C4956" s="4" t="str">
        <f t="shared" si="470"/>
        <v>GSE46563</v>
      </c>
      <c r="D4956" s="1" t="s">
        <v>300</v>
      </c>
      <c r="E4956" t="s">
        <v>301</v>
      </c>
      <c r="F4956" s="1">
        <v>2</v>
      </c>
      <c r="G4956" s="1" t="s">
        <v>32</v>
      </c>
      <c r="H4956" s="4" t="str">
        <f>HYPERLINK("https://www.ncbi.nlm.nih.gov/geo/query/acc.cgi?acc=GSM1132434","GSM1132434")</f>
        <v>GSM1132434</v>
      </c>
      <c r="I4956" t="s">
        <v>17</v>
      </c>
      <c r="J4956" t="s">
        <v>302</v>
      </c>
      <c r="K4956" t="s">
        <v>33</v>
      </c>
      <c r="L4956" t="s">
        <v>20</v>
      </c>
      <c r="N4956" t="s">
        <v>29</v>
      </c>
    </row>
    <row r="4957" spans="1:14">
      <c r="A4957" s="4" t="str">
        <f t="shared" si="468"/>
        <v>EXP00173</v>
      </c>
      <c r="B4957" s="4" t="str">
        <f t="shared" si="469"/>
        <v>24599057</v>
      </c>
      <c r="C4957" s="4" t="str">
        <f t="shared" si="470"/>
        <v>GSE46563</v>
      </c>
      <c r="D4957" s="1" t="s">
        <v>300</v>
      </c>
      <c r="E4957" t="s">
        <v>301</v>
      </c>
      <c r="F4957" s="1">
        <v>2</v>
      </c>
      <c r="G4957" s="1" t="s">
        <v>32</v>
      </c>
      <c r="H4957" s="4" t="str">
        <f>HYPERLINK("https://www.ncbi.nlm.nih.gov/geo/query/acc.cgi?acc=GSM1132435","GSM1132435")</f>
        <v>GSM1132435</v>
      </c>
      <c r="I4957" t="s">
        <v>17</v>
      </c>
      <c r="J4957" t="s">
        <v>302</v>
      </c>
      <c r="K4957" t="s">
        <v>33</v>
      </c>
      <c r="L4957" t="s">
        <v>20</v>
      </c>
      <c r="N4957" t="s">
        <v>29</v>
      </c>
    </row>
    <row r="4958" spans="1:14">
      <c r="A4958" s="4" t="str">
        <f t="shared" si="468"/>
        <v>EXP00173</v>
      </c>
      <c r="B4958" s="4" t="str">
        <f t="shared" si="469"/>
        <v>24599057</v>
      </c>
      <c r="C4958" s="4" t="str">
        <f t="shared" si="470"/>
        <v>GSE46563</v>
      </c>
      <c r="D4958" s="1" t="s">
        <v>300</v>
      </c>
      <c r="E4958" t="s">
        <v>301</v>
      </c>
      <c r="F4958" s="1">
        <v>2</v>
      </c>
      <c r="G4958" s="1" t="s">
        <v>32</v>
      </c>
      <c r="H4958" s="4" t="str">
        <f>HYPERLINK("https://www.ncbi.nlm.nih.gov/geo/query/acc.cgi?acc=GSM1132436","GSM1132436")</f>
        <v>GSM1132436</v>
      </c>
      <c r="I4958" t="s">
        <v>17</v>
      </c>
      <c r="J4958" t="s">
        <v>302</v>
      </c>
      <c r="K4958" t="s">
        <v>33</v>
      </c>
      <c r="L4958" t="s">
        <v>20</v>
      </c>
      <c r="N4958" t="s">
        <v>29</v>
      </c>
    </row>
    <row r="4959" spans="1:14">
      <c r="A4959" s="4" t="str">
        <f t="shared" si="468"/>
        <v>EXP00173</v>
      </c>
      <c r="B4959" s="4" t="str">
        <f t="shared" si="469"/>
        <v>24599057</v>
      </c>
      <c r="C4959" s="4" t="str">
        <f t="shared" si="470"/>
        <v>GSE46563</v>
      </c>
      <c r="D4959" s="1" t="s">
        <v>300</v>
      </c>
      <c r="E4959" t="s">
        <v>301</v>
      </c>
      <c r="F4959" s="1">
        <v>2</v>
      </c>
      <c r="G4959" s="1" t="s">
        <v>32</v>
      </c>
      <c r="H4959" s="4" t="str">
        <f>HYPERLINK("https://www.ncbi.nlm.nih.gov/geo/query/acc.cgi?acc=GSM1132437","GSM1132437")</f>
        <v>GSM1132437</v>
      </c>
      <c r="I4959" t="s">
        <v>17</v>
      </c>
      <c r="J4959" t="s">
        <v>302</v>
      </c>
      <c r="K4959" t="s">
        <v>33</v>
      </c>
      <c r="L4959" t="s">
        <v>20</v>
      </c>
      <c r="N4959" t="s">
        <v>29</v>
      </c>
    </row>
    <row r="4960" spans="1:14">
      <c r="A4960" s="4" t="str">
        <f t="shared" si="468"/>
        <v>EXP00173</v>
      </c>
      <c r="B4960" s="4" t="str">
        <f t="shared" si="469"/>
        <v>24599057</v>
      </c>
      <c r="C4960" s="4" t="str">
        <f t="shared" si="470"/>
        <v>GSE46563</v>
      </c>
      <c r="D4960" s="1" t="s">
        <v>300</v>
      </c>
      <c r="E4960" t="s">
        <v>301</v>
      </c>
      <c r="F4960" s="1">
        <v>2</v>
      </c>
      <c r="G4960" s="1" t="s">
        <v>32</v>
      </c>
      <c r="H4960" s="4" t="str">
        <f>HYPERLINK("https://www.ncbi.nlm.nih.gov/geo/query/acc.cgi?acc=GSM1132438","GSM1132438")</f>
        <v>GSM1132438</v>
      </c>
      <c r="I4960" t="s">
        <v>17</v>
      </c>
      <c r="J4960" t="s">
        <v>302</v>
      </c>
      <c r="K4960" t="s">
        <v>33</v>
      </c>
      <c r="L4960" t="s">
        <v>20</v>
      </c>
      <c r="N4960" t="s">
        <v>29</v>
      </c>
    </row>
    <row r="4961" spans="1:14">
      <c r="A4961" s="4" t="str">
        <f t="shared" ref="A4961:A4992" si="471">HYPERLINK("http://hcmdb.i-sanger.com/experiment/details/experiment_id/EXP00173","EXP00173")</f>
        <v>EXP00173</v>
      </c>
      <c r="B4961" s="4" t="str">
        <f t="shared" ref="B4961:B4992" si="472">HYPERLINK("https://www.ncbi.nlm.nih.gov/pubmed/24599057","24599057")</f>
        <v>24599057</v>
      </c>
      <c r="C4961" s="4" t="str">
        <f t="shared" ref="C4961:C4992" si="473">HYPERLINK("https://www.ncbi.nlm.nih.gov/geo/query/acc.cgi?acc=GSE46563","GSE46563")</f>
        <v>GSE46563</v>
      </c>
      <c r="D4961" s="1" t="s">
        <v>300</v>
      </c>
      <c r="E4961" t="s">
        <v>301</v>
      </c>
      <c r="F4961" s="1">
        <v>2</v>
      </c>
      <c r="G4961" s="1" t="s">
        <v>32</v>
      </c>
      <c r="H4961" s="4" t="str">
        <f>HYPERLINK("https://www.ncbi.nlm.nih.gov/geo/query/acc.cgi?acc=GSM1132440","GSM1132440")</f>
        <v>GSM1132440</v>
      </c>
      <c r="I4961" t="s">
        <v>17</v>
      </c>
      <c r="J4961" t="s">
        <v>302</v>
      </c>
      <c r="K4961" t="s">
        <v>33</v>
      </c>
      <c r="L4961" t="s">
        <v>20</v>
      </c>
      <c r="N4961" t="s">
        <v>29</v>
      </c>
    </row>
    <row r="4962" spans="1:14">
      <c r="A4962" s="4" t="str">
        <f t="shared" si="471"/>
        <v>EXP00173</v>
      </c>
      <c r="B4962" s="4" t="str">
        <f t="shared" si="472"/>
        <v>24599057</v>
      </c>
      <c r="C4962" s="4" t="str">
        <f t="shared" si="473"/>
        <v>GSE46563</v>
      </c>
      <c r="D4962" s="1" t="s">
        <v>300</v>
      </c>
      <c r="E4962" t="s">
        <v>301</v>
      </c>
      <c r="F4962" s="1">
        <v>2</v>
      </c>
      <c r="G4962" s="1" t="s">
        <v>32</v>
      </c>
      <c r="H4962" s="4" t="str">
        <f>HYPERLINK("https://www.ncbi.nlm.nih.gov/geo/query/acc.cgi?acc=GSM1132441","GSM1132441")</f>
        <v>GSM1132441</v>
      </c>
      <c r="I4962" t="s">
        <v>17</v>
      </c>
      <c r="J4962" t="s">
        <v>302</v>
      </c>
      <c r="K4962" t="s">
        <v>33</v>
      </c>
      <c r="L4962" t="s">
        <v>20</v>
      </c>
      <c r="N4962" t="s">
        <v>29</v>
      </c>
    </row>
    <row r="4963" spans="1:14">
      <c r="A4963" s="4" t="str">
        <f t="shared" si="471"/>
        <v>EXP00173</v>
      </c>
      <c r="B4963" s="4" t="str">
        <f t="shared" si="472"/>
        <v>24599057</v>
      </c>
      <c r="C4963" s="4" t="str">
        <f t="shared" si="473"/>
        <v>GSE46563</v>
      </c>
      <c r="D4963" s="1" t="s">
        <v>300</v>
      </c>
      <c r="E4963" t="s">
        <v>301</v>
      </c>
      <c r="F4963" s="1">
        <v>2</v>
      </c>
      <c r="G4963" s="1" t="s">
        <v>32</v>
      </c>
      <c r="H4963" s="4" t="str">
        <f>HYPERLINK("https://www.ncbi.nlm.nih.gov/geo/query/acc.cgi?acc=GSM1132442","GSM1132442")</f>
        <v>GSM1132442</v>
      </c>
      <c r="I4963" t="s">
        <v>17</v>
      </c>
      <c r="J4963" t="s">
        <v>302</v>
      </c>
      <c r="K4963" t="s">
        <v>33</v>
      </c>
      <c r="L4963" t="s">
        <v>20</v>
      </c>
      <c r="N4963" t="s">
        <v>29</v>
      </c>
    </row>
    <row r="4964" spans="1:14">
      <c r="A4964" s="4" t="str">
        <f t="shared" si="471"/>
        <v>EXP00173</v>
      </c>
      <c r="B4964" s="4" t="str">
        <f t="shared" si="472"/>
        <v>24599057</v>
      </c>
      <c r="C4964" s="4" t="str">
        <f t="shared" si="473"/>
        <v>GSE46563</v>
      </c>
      <c r="D4964" s="1" t="s">
        <v>300</v>
      </c>
      <c r="E4964" t="s">
        <v>301</v>
      </c>
      <c r="F4964" s="1">
        <v>2</v>
      </c>
      <c r="G4964" s="1" t="s">
        <v>32</v>
      </c>
      <c r="H4964" s="4" t="str">
        <f>HYPERLINK("https://www.ncbi.nlm.nih.gov/geo/query/acc.cgi?acc=GSM1132443","GSM1132443")</f>
        <v>GSM1132443</v>
      </c>
      <c r="I4964" t="s">
        <v>17</v>
      </c>
      <c r="J4964" t="s">
        <v>302</v>
      </c>
      <c r="K4964" t="s">
        <v>33</v>
      </c>
      <c r="L4964" t="s">
        <v>20</v>
      </c>
      <c r="N4964" t="s">
        <v>29</v>
      </c>
    </row>
    <row r="4965" spans="1:14">
      <c r="A4965" s="4" t="str">
        <f t="shared" si="471"/>
        <v>EXP00173</v>
      </c>
      <c r="B4965" s="4" t="str">
        <f t="shared" si="472"/>
        <v>24599057</v>
      </c>
      <c r="C4965" s="4" t="str">
        <f t="shared" si="473"/>
        <v>GSE46563</v>
      </c>
      <c r="D4965" s="1" t="s">
        <v>300</v>
      </c>
      <c r="E4965" t="s">
        <v>301</v>
      </c>
      <c r="F4965" s="1">
        <v>2</v>
      </c>
      <c r="G4965" s="1" t="s">
        <v>32</v>
      </c>
      <c r="H4965" s="4" t="str">
        <f>HYPERLINK("https://www.ncbi.nlm.nih.gov/geo/query/acc.cgi?acc=GSM1132444","GSM1132444")</f>
        <v>GSM1132444</v>
      </c>
      <c r="I4965" t="s">
        <v>17</v>
      </c>
      <c r="J4965" t="s">
        <v>302</v>
      </c>
      <c r="K4965" t="s">
        <v>33</v>
      </c>
      <c r="L4965" t="s">
        <v>20</v>
      </c>
      <c r="N4965" t="s">
        <v>29</v>
      </c>
    </row>
    <row r="4966" spans="1:14">
      <c r="A4966" s="4" t="str">
        <f t="shared" si="471"/>
        <v>EXP00173</v>
      </c>
      <c r="B4966" s="4" t="str">
        <f t="shared" si="472"/>
        <v>24599057</v>
      </c>
      <c r="C4966" s="4" t="str">
        <f t="shared" si="473"/>
        <v>GSE46563</v>
      </c>
      <c r="D4966" s="1" t="s">
        <v>300</v>
      </c>
      <c r="E4966" t="s">
        <v>301</v>
      </c>
      <c r="F4966" s="1">
        <v>2</v>
      </c>
      <c r="G4966" s="1" t="s">
        <v>32</v>
      </c>
      <c r="H4966" s="4" t="str">
        <f>HYPERLINK("https://www.ncbi.nlm.nih.gov/geo/query/acc.cgi?acc=GSM1132445","GSM1132445")</f>
        <v>GSM1132445</v>
      </c>
      <c r="I4966" t="s">
        <v>17</v>
      </c>
      <c r="J4966" t="s">
        <v>302</v>
      </c>
      <c r="K4966" t="s">
        <v>33</v>
      </c>
      <c r="L4966" t="s">
        <v>20</v>
      </c>
      <c r="N4966" t="s">
        <v>29</v>
      </c>
    </row>
    <row r="4967" spans="1:14">
      <c r="A4967" s="4" t="str">
        <f t="shared" si="471"/>
        <v>EXP00173</v>
      </c>
      <c r="B4967" s="4" t="str">
        <f t="shared" si="472"/>
        <v>24599057</v>
      </c>
      <c r="C4967" s="4" t="str">
        <f t="shared" si="473"/>
        <v>GSE46563</v>
      </c>
      <c r="D4967" s="1" t="s">
        <v>300</v>
      </c>
      <c r="E4967" t="s">
        <v>301</v>
      </c>
      <c r="F4967" s="1">
        <v>2</v>
      </c>
      <c r="G4967" s="1" t="s">
        <v>32</v>
      </c>
      <c r="H4967" s="4" t="str">
        <f>HYPERLINK("https://www.ncbi.nlm.nih.gov/geo/query/acc.cgi?acc=GSM1132446","GSM1132446")</f>
        <v>GSM1132446</v>
      </c>
      <c r="I4967" t="s">
        <v>17</v>
      </c>
      <c r="J4967" t="s">
        <v>302</v>
      </c>
      <c r="K4967" t="s">
        <v>33</v>
      </c>
      <c r="L4967" t="s">
        <v>20</v>
      </c>
      <c r="N4967" t="s">
        <v>29</v>
      </c>
    </row>
    <row r="4968" spans="1:14">
      <c r="A4968" s="4" t="str">
        <f t="shared" si="471"/>
        <v>EXP00173</v>
      </c>
      <c r="B4968" s="4" t="str">
        <f t="shared" si="472"/>
        <v>24599057</v>
      </c>
      <c r="C4968" s="4" t="str">
        <f t="shared" si="473"/>
        <v>GSE46563</v>
      </c>
      <c r="D4968" s="1" t="s">
        <v>300</v>
      </c>
      <c r="E4968" t="s">
        <v>301</v>
      </c>
      <c r="F4968" s="1">
        <v>2</v>
      </c>
      <c r="G4968" s="1" t="s">
        <v>32</v>
      </c>
      <c r="H4968" s="4" t="str">
        <f>HYPERLINK("https://www.ncbi.nlm.nih.gov/geo/query/acc.cgi?acc=GSM1132448","GSM1132448")</f>
        <v>GSM1132448</v>
      </c>
      <c r="I4968" t="s">
        <v>17</v>
      </c>
      <c r="J4968" t="s">
        <v>302</v>
      </c>
      <c r="K4968" t="s">
        <v>33</v>
      </c>
      <c r="L4968" t="s">
        <v>20</v>
      </c>
      <c r="N4968" t="s">
        <v>29</v>
      </c>
    </row>
    <row r="4969" spans="1:14">
      <c r="A4969" s="4" t="str">
        <f t="shared" si="471"/>
        <v>EXP00173</v>
      </c>
      <c r="B4969" s="4" t="str">
        <f t="shared" si="472"/>
        <v>24599057</v>
      </c>
      <c r="C4969" s="4" t="str">
        <f t="shared" si="473"/>
        <v>GSE46563</v>
      </c>
      <c r="D4969" s="1" t="s">
        <v>300</v>
      </c>
      <c r="E4969" t="s">
        <v>301</v>
      </c>
      <c r="F4969" s="1">
        <v>2</v>
      </c>
      <c r="G4969" s="1" t="s">
        <v>32</v>
      </c>
      <c r="H4969" s="4" t="str">
        <f>HYPERLINK("https://www.ncbi.nlm.nih.gov/geo/query/acc.cgi?acc=GSM1132451","GSM1132451")</f>
        <v>GSM1132451</v>
      </c>
      <c r="I4969" t="s">
        <v>17</v>
      </c>
      <c r="J4969" t="s">
        <v>302</v>
      </c>
      <c r="K4969" t="s">
        <v>33</v>
      </c>
      <c r="L4969" t="s">
        <v>20</v>
      </c>
      <c r="N4969" t="s">
        <v>29</v>
      </c>
    </row>
    <row r="4970" spans="1:14">
      <c r="A4970" s="4" t="str">
        <f t="shared" si="471"/>
        <v>EXP00173</v>
      </c>
      <c r="B4970" s="4" t="str">
        <f t="shared" si="472"/>
        <v>24599057</v>
      </c>
      <c r="C4970" s="4" t="str">
        <f t="shared" si="473"/>
        <v>GSE46563</v>
      </c>
      <c r="D4970" s="1" t="s">
        <v>300</v>
      </c>
      <c r="E4970" t="s">
        <v>301</v>
      </c>
      <c r="F4970" s="1">
        <v>2</v>
      </c>
      <c r="G4970" s="1" t="s">
        <v>32</v>
      </c>
      <c r="H4970" s="4" t="str">
        <f>HYPERLINK("https://www.ncbi.nlm.nih.gov/geo/query/acc.cgi?acc=GSM1132452","GSM1132452")</f>
        <v>GSM1132452</v>
      </c>
      <c r="I4970" t="s">
        <v>17</v>
      </c>
      <c r="J4970" t="s">
        <v>302</v>
      </c>
      <c r="K4970" t="s">
        <v>33</v>
      </c>
      <c r="L4970" t="s">
        <v>20</v>
      </c>
      <c r="N4970" t="s">
        <v>29</v>
      </c>
    </row>
    <row r="4971" spans="1:14">
      <c r="A4971" s="4" t="str">
        <f t="shared" si="471"/>
        <v>EXP00173</v>
      </c>
      <c r="B4971" s="4" t="str">
        <f t="shared" si="472"/>
        <v>24599057</v>
      </c>
      <c r="C4971" s="4" t="str">
        <f t="shared" si="473"/>
        <v>GSE46563</v>
      </c>
      <c r="D4971" s="1" t="s">
        <v>300</v>
      </c>
      <c r="E4971" t="s">
        <v>301</v>
      </c>
      <c r="F4971" s="1">
        <v>2</v>
      </c>
      <c r="G4971" s="1" t="s">
        <v>32</v>
      </c>
      <c r="H4971" s="4" t="str">
        <f>HYPERLINK("https://www.ncbi.nlm.nih.gov/geo/query/acc.cgi?acc=GSM1132453","GSM1132453")</f>
        <v>GSM1132453</v>
      </c>
      <c r="I4971" t="s">
        <v>17</v>
      </c>
      <c r="J4971" t="s">
        <v>302</v>
      </c>
      <c r="K4971" t="s">
        <v>33</v>
      </c>
      <c r="L4971" t="s">
        <v>20</v>
      </c>
      <c r="N4971" t="s">
        <v>29</v>
      </c>
    </row>
    <row r="4972" spans="1:14">
      <c r="A4972" s="4" t="str">
        <f t="shared" si="471"/>
        <v>EXP00173</v>
      </c>
      <c r="B4972" s="4" t="str">
        <f t="shared" si="472"/>
        <v>24599057</v>
      </c>
      <c r="C4972" s="4" t="str">
        <f t="shared" si="473"/>
        <v>GSE46563</v>
      </c>
      <c r="D4972" s="1" t="s">
        <v>300</v>
      </c>
      <c r="E4972" t="s">
        <v>301</v>
      </c>
      <c r="F4972" s="1">
        <v>2</v>
      </c>
      <c r="G4972" s="1" t="s">
        <v>32</v>
      </c>
      <c r="H4972" s="4" t="str">
        <f>HYPERLINK("https://www.ncbi.nlm.nih.gov/geo/query/acc.cgi?acc=GSM1132454","GSM1132454")</f>
        <v>GSM1132454</v>
      </c>
      <c r="I4972" t="s">
        <v>17</v>
      </c>
      <c r="J4972" t="s">
        <v>302</v>
      </c>
      <c r="K4972" t="s">
        <v>33</v>
      </c>
      <c r="L4972" t="s">
        <v>20</v>
      </c>
      <c r="N4972" t="s">
        <v>29</v>
      </c>
    </row>
    <row r="4973" spans="1:14">
      <c r="A4973" s="4" t="str">
        <f t="shared" si="471"/>
        <v>EXP00173</v>
      </c>
      <c r="B4973" s="4" t="str">
        <f t="shared" si="472"/>
        <v>24599057</v>
      </c>
      <c r="C4973" s="4" t="str">
        <f t="shared" si="473"/>
        <v>GSE46563</v>
      </c>
      <c r="D4973" s="1" t="s">
        <v>300</v>
      </c>
      <c r="E4973" t="s">
        <v>301</v>
      </c>
      <c r="F4973" s="1">
        <v>2</v>
      </c>
      <c r="G4973" s="1" t="s">
        <v>32</v>
      </c>
      <c r="H4973" s="4" t="str">
        <f>HYPERLINK("https://www.ncbi.nlm.nih.gov/geo/query/acc.cgi?acc=GSM1132455","GSM1132455")</f>
        <v>GSM1132455</v>
      </c>
      <c r="I4973" t="s">
        <v>17</v>
      </c>
      <c r="J4973" t="s">
        <v>302</v>
      </c>
      <c r="K4973" t="s">
        <v>33</v>
      </c>
      <c r="L4973" t="s">
        <v>20</v>
      </c>
      <c r="N4973" t="s">
        <v>29</v>
      </c>
    </row>
    <row r="4974" spans="1:14">
      <c r="A4974" s="4" t="str">
        <f t="shared" si="471"/>
        <v>EXP00173</v>
      </c>
      <c r="B4974" s="4" t="str">
        <f t="shared" si="472"/>
        <v>24599057</v>
      </c>
      <c r="C4974" s="4" t="str">
        <f t="shared" si="473"/>
        <v>GSE46563</v>
      </c>
      <c r="D4974" s="1" t="s">
        <v>300</v>
      </c>
      <c r="E4974" t="s">
        <v>301</v>
      </c>
      <c r="F4974" s="1">
        <v>2</v>
      </c>
      <c r="G4974" s="1" t="s">
        <v>32</v>
      </c>
      <c r="H4974" s="4" t="str">
        <f>HYPERLINK("https://www.ncbi.nlm.nih.gov/geo/query/acc.cgi?acc=GSM1132456","GSM1132456")</f>
        <v>GSM1132456</v>
      </c>
      <c r="I4974" t="s">
        <v>17</v>
      </c>
      <c r="J4974" t="s">
        <v>302</v>
      </c>
      <c r="K4974" t="s">
        <v>33</v>
      </c>
      <c r="L4974" t="s">
        <v>20</v>
      </c>
      <c r="N4974" t="s">
        <v>29</v>
      </c>
    </row>
    <row r="4975" spans="1:14">
      <c r="A4975" s="4" t="str">
        <f t="shared" si="471"/>
        <v>EXP00173</v>
      </c>
      <c r="B4975" s="4" t="str">
        <f t="shared" si="472"/>
        <v>24599057</v>
      </c>
      <c r="C4975" s="4" t="str">
        <f t="shared" si="473"/>
        <v>GSE46563</v>
      </c>
      <c r="D4975" s="1" t="s">
        <v>300</v>
      </c>
      <c r="E4975" t="s">
        <v>301</v>
      </c>
      <c r="F4975" s="1">
        <v>2</v>
      </c>
      <c r="G4975" s="1" t="s">
        <v>32</v>
      </c>
      <c r="H4975" s="4" t="str">
        <f>HYPERLINK("https://www.ncbi.nlm.nih.gov/geo/query/acc.cgi?acc=GSM1132457","GSM1132457")</f>
        <v>GSM1132457</v>
      </c>
      <c r="I4975" t="s">
        <v>17</v>
      </c>
      <c r="J4975" t="s">
        <v>302</v>
      </c>
      <c r="K4975" t="s">
        <v>33</v>
      </c>
      <c r="L4975" t="s">
        <v>20</v>
      </c>
      <c r="N4975" t="s">
        <v>29</v>
      </c>
    </row>
    <row r="4976" spans="1:14">
      <c r="A4976" s="4" t="str">
        <f t="shared" si="471"/>
        <v>EXP00173</v>
      </c>
      <c r="B4976" s="4" t="str">
        <f t="shared" si="472"/>
        <v>24599057</v>
      </c>
      <c r="C4976" s="4" t="str">
        <f t="shared" si="473"/>
        <v>GSE46563</v>
      </c>
      <c r="D4976" s="1" t="s">
        <v>300</v>
      </c>
      <c r="E4976" t="s">
        <v>301</v>
      </c>
      <c r="F4976" s="1">
        <v>2</v>
      </c>
      <c r="G4976" s="1" t="s">
        <v>32</v>
      </c>
      <c r="H4976" s="4" t="str">
        <f>HYPERLINK("https://www.ncbi.nlm.nih.gov/geo/query/acc.cgi?acc=GSM1132458","GSM1132458")</f>
        <v>GSM1132458</v>
      </c>
      <c r="I4976" t="s">
        <v>17</v>
      </c>
      <c r="J4976" t="s">
        <v>302</v>
      </c>
      <c r="K4976" t="s">
        <v>33</v>
      </c>
      <c r="L4976" t="s">
        <v>20</v>
      </c>
      <c r="N4976" t="s">
        <v>29</v>
      </c>
    </row>
    <row r="4977" spans="1:14">
      <c r="A4977" s="4" t="str">
        <f t="shared" si="471"/>
        <v>EXP00173</v>
      </c>
      <c r="B4977" s="4" t="str">
        <f t="shared" si="472"/>
        <v>24599057</v>
      </c>
      <c r="C4977" s="4" t="str">
        <f t="shared" si="473"/>
        <v>GSE46563</v>
      </c>
      <c r="D4977" s="1" t="s">
        <v>300</v>
      </c>
      <c r="E4977" t="s">
        <v>301</v>
      </c>
      <c r="F4977" s="1">
        <v>2</v>
      </c>
      <c r="G4977" s="1" t="s">
        <v>32</v>
      </c>
      <c r="H4977" s="4" t="str">
        <f>HYPERLINK("https://www.ncbi.nlm.nih.gov/geo/query/acc.cgi?acc=GSM1132459","GSM1132459")</f>
        <v>GSM1132459</v>
      </c>
      <c r="I4977" t="s">
        <v>17</v>
      </c>
      <c r="J4977" t="s">
        <v>302</v>
      </c>
      <c r="K4977" t="s">
        <v>33</v>
      </c>
      <c r="L4977" t="s">
        <v>20</v>
      </c>
      <c r="N4977" t="s">
        <v>29</v>
      </c>
    </row>
    <row r="4978" spans="1:14">
      <c r="A4978" s="4" t="str">
        <f t="shared" si="471"/>
        <v>EXP00173</v>
      </c>
      <c r="B4978" s="4" t="str">
        <f t="shared" si="472"/>
        <v>24599057</v>
      </c>
      <c r="C4978" s="4" t="str">
        <f t="shared" si="473"/>
        <v>GSE46563</v>
      </c>
      <c r="D4978" s="1" t="s">
        <v>300</v>
      </c>
      <c r="E4978" t="s">
        <v>301</v>
      </c>
      <c r="F4978" s="1">
        <v>2</v>
      </c>
      <c r="G4978" s="1" t="s">
        <v>32</v>
      </c>
      <c r="H4978" s="4" t="str">
        <f>HYPERLINK("https://www.ncbi.nlm.nih.gov/geo/query/acc.cgi?acc=GSM1132460","GSM1132460")</f>
        <v>GSM1132460</v>
      </c>
      <c r="I4978" t="s">
        <v>17</v>
      </c>
      <c r="J4978" t="s">
        <v>302</v>
      </c>
      <c r="K4978" t="s">
        <v>33</v>
      </c>
      <c r="L4978" t="s">
        <v>20</v>
      </c>
      <c r="N4978" t="s">
        <v>29</v>
      </c>
    </row>
    <row r="4979" spans="1:14">
      <c r="A4979" s="4" t="str">
        <f t="shared" si="471"/>
        <v>EXP00173</v>
      </c>
      <c r="B4979" s="4" t="str">
        <f t="shared" si="472"/>
        <v>24599057</v>
      </c>
      <c r="C4979" s="4" t="str">
        <f t="shared" si="473"/>
        <v>GSE46563</v>
      </c>
      <c r="D4979" s="1" t="s">
        <v>300</v>
      </c>
      <c r="E4979" t="s">
        <v>301</v>
      </c>
      <c r="F4979" s="1">
        <v>2</v>
      </c>
      <c r="G4979" s="1" t="s">
        <v>32</v>
      </c>
      <c r="H4979" s="4" t="str">
        <f>HYPERLINK("https://www.ncbi.nlm.nih.gov/geo/query/acc.cgi?acc=GSM1132462","GSM1132462")</f>
        <v>GSM1132462</v>
      </c>
      <c r="I4979" t="s">
        <v>17</v>
      </c>
      <c r="J4979" t="s">
        <v>302</v>
      </c>
      <c r="K4979" t="s">
        <v>33</v>
      </c>
      <c r="L4979" t="s">
        <v>20</v>
      </c>
      <c r="N4979" t="s">
        <v>29</v>
      </c>
    </row>
    <row r="4980" spans="1:14">
      <c r="A4980" s="4" t="str">
        <f t="shared" si="471"/>
        <v>EXP00173</v>
      </c>
      <c r="B4980" s="4" t="str">
        <f t="shared" si="472"/>
        <v>24599057</v>
      </c>
      <c r="C4980" s="4" t="str">
        <f t="shared" si="473"/>
        <v>GSE46563</v>
      </c>
      <c r="D4980" s="1" t="s">
        <v>300</v>
      </c>
      <c r="E4980" t="s">
        <v>301</v>
      </c>
      <c r="F4980" s="1">
        <v>2</v>
      </c>
      <c r="G4980" s="1" t="s">
        <v>32</v>
      </c>
      <c r="H4980" s="4" t="str">
        <f>HYPERLINK("https://www.ncbi.nlm.nih.gov/geo/query/acc.cgi?acc=GSM1132463","GSM1132463")</f>
        <v>GSM1132463</v>
      </c>
      <c r="I4980" t="s">
        <v>17</v>
      </c>
      <c r="J4980" t="s">
        <v>302</v>
      </c>
      <c r="K4980" t="s">
        <v>33</v>
      </c>
      <c r="L4980" t="s">
        <v>20</v>
      </c>
      <c r="N4980" t="s">
        <v>29</v>
      </c>
    </row>
    <row r="4981" spans="1:14">
      <c r="A4981" s="4" t="str">
        <f t="shared" si="471"/>
        <v>EXP00173</v>
      </c>
      <c r="B4981" s="4" t="str">
        <f t="shared" si="472"/>
        <v>24599057</v>
      </c>
      <c r="C4981" s="4" t="str">
        <f t="shared" si="473"/>
        <v>GSE46563</v>
      </c>
      <c r="D4981" s="1" t="s">
        <v>300</v>
      </c>
      <c r="E4981" t="s">
        <v>301</v>
      </c>
      <c r="F4981" s="1">
        <v>2</v>
      </c>
      <c r="G4981" s="1" t="s">
        <v>32</v>
      </c>
      <c r="H4981" s="4" t="str">
        <f>HYPERLINK("https://www.ncbi.nlm.nih.gov/geo/query/acc.cgi?acc=GSM1132465","GSM1132465")</f>
        <v>GSM1132465</v>
      </c>
      <c r="I4981" t="s">
        <v>17</v>
      </c>
      <c r="J4981" t="s">
        <v>302</v>
      </c>
      <c r="K4981" t="s">
        <v>33</v>
      </c>
      <c r="L4981" t="s">
        <v>20</v>
      </c>
      <c r="N4981" t="s">
        <v>29</v>
      </c>
    </row>
    <row r="4982" spans="1:14">
      <c r="A4982" s="4" t="str">
        <f t="shared" si="471"/>
        <v>EXP00173</v>
      </c>
      <c r="B4982" s="4" t="str">
        <f t="shared" si="472"/>
        <v>24599057</v>
      </c>
      <c r="C4982" s="4" t="str">
        <f t="shared" si="473"/>
        <v>GSE46563</v>
      </c>
      <c r="D4982" s="1" t="s">
        <v>300</v>
      </c>
      <c r="E4982" t="s">
        <v>301</v>
      </c>
      <c r="F4982" s="1">
        <v>2</v>
      </c>
      <c r="G4982" s="1" t="s">
        <v>32</v>
      </c>
      <c r="H4982" s="4" t="str">
        <f>HYPERLINK("https://www.ncbi.nlm.nih.gov/geo/query/acc.cgi?acc=GSM1132466","GSM1132466")</f>
        <v>GSM1132466</v>
      </c>
      <c r="I4982" t="s">
        <v>17</v>
      </c>
      <c r="J4982" t="s">
        <v>302</v>
      </c>
      <c r="K4982" t="s">
        <v>33</v>
      </c>
      <c r="L4982" t="s">
        <v>20</v>
      </c>
      <c r="N4982" t="s">
        <v>29</v>
      </c>
    </row>
    <row r="4983" spans="1:14">
      <c r="A4983" s="4" t="str">
        <f t="shared" si="471"/>
        <v>EXP00173</v>
      </c>
      <c r="B4983" s="4" t="str">
        <f t="shared" si="472"/>
        <v>24599057</v>
      </c>
      <c r="C4983" s="4" t="str">
        <f t="shared" si="473"/>
        <v>GSE46563</v>
      </c>
      <c r="D4983" s="1" t="s">
        <v>300</v>
      </c>
      <c r="E4983" t="s">
        <v>301</v>
      </c>
      <c r="F4983" s="1">
        <v>2</v>
      </c>
      <c r="G4983" s="1" t="s">
        <v>32</v>
      </c>
      <c r="H4983" s="4" t="str">
        <f>HYPERLINK("https://www.ncbi.nlm.nih.gov/geo/query/acc.cgi?acc=GSM1132467","GSM1132467")</f>
        <v>GSM1132467</v>
      </c>
      <c r="I4983" t="s">
        <v>17</v>
      </c>
      <c r="J4983" t="s">
        <v>302</v>
      </c>
      <c r="K4983" t="s">
        <v>33</v>
      </c>
      <c r="L4983" t="s">
        <v>20</v>
      </c>
      <c r="N4983" t="s">
        <v>29</v>
      </c>
    </row>
    <row r="4984" spans="1:14">
      <c r="A4984" s="4" t="str">
        <f t="shared" si="471"/>
        <v>EXP00173</v>
      </c>
      <c r="B4984" s="4" t="str">
        <f t="shared" si="472"/>
        <v>24599057</v>
      </c>
      <c r="C4984" s="4" t="str">
        <f t="shared" si="473"/>
        <v>GSE46563</v>
      </c>
      <c r="D4984" s="1" t="s">
        <v>300</v>
      </c>
      <c r="E4984" t="s">
        <v>301</v>
      </c>
      <c r="F4984" s="1">
        <v>2</v>
      </c>
      <c r="G4984" s="1" t="s">
        <v>32</v>
      </c>
      <c r="H4984" s="4" t="str">
        <f>HYPERLINK("https://www.ncbi.nlm.nih.gov/geo/query/acc.cgi?acc=GSM1132468","GSM1132468")</f>
        <v>GSM1132468</v>
      </c>
      <c r="I4984" t="s">
        <v>17</v>
      </c>
      <c r="J4984" t="s">
        <v>302</v>
      </c>
      <c r="K4984" t="s">
        <v>33</v>
      </c>
      <c r="L4984" t="s">
        <v>20</v>
      </c>
      <c r="N4984" t="s">
        <v>29</v>
      </c>
    </row>
    <row r="4985" spans="1:14">
      <c r="A4985" s="4" t="str">
        <f t="shared" si="471"/>
        <v>EXP00173</v>
      </c>
      <c r="B4985" s="4" t="str">
        <f t="shared" si="472"/>
        <v>24599057</v>
      </c>
      <c r="C4985" s="4" t="str">
        <f t="shared" si="473"/>
        <v>GSE46563</v>
      </c>
      <c r="D4985" s="1" t="s">
        <v>300</v>
      </c>
      <c r="E4985" t="s">
        <v>301</v>
      </c>
      <c r="F4985" s="1">
        <v>2</v>
      </c>
      <c r="G4985" s="1" t="s">
        <v>32</v>
      </c>
      <c r="H4985" s="4" t="str">
        <f>HYPERLINK("https://www.ncbi.nlm.nih.gov/geo/query/acc.cgi?acc=GSM1132469","GSM1132469")</f>
        <v>GSM1132469</v>
      </c>
      <c r="I4985" t="s">
        <v>17</v>
      </c>
      <c r="J4985" t="s">
        <v>302</v>
      </c>
      <c r="K4985" t="s">
        <v>33</v>
      </c>
      <c r="L4985" t="s">
        <v>20</v>
      </c>
      <c r="N4985" t="s">
        <v>29</v>
      </c>
    </row>
    <row r="4986" spans="1:14">
      <c r="A4986" s="4" t="str">
        <f t="shared" si="471"/>
        <v>EXP00173</v>
      </c>
      <c r="B4986" s="4" t="str">
        <f t="shared" si="472"/>
        <v>24599057</v>
      </c>
      <c r="C4986" s="4" t="str">
        <f t="shared" si="473"/>
        <v>GSE46563</v>
      </c>
      <c r="D4986" s="1" t="s">
        <v>300</v>
      </c>
      <c r="E4986" t="s">
        <v>301</v>
      </c>
      <c r="F4986" s="1">
        <v>2</v>
      </c>
      <c r="G4986" s="1" t="s">
        <v>32</v>
      </c>
      <c r="H4986" s="4" t="str">
        <f>HYPERLINK("https://www.ncbi.nlm.nih.gov/geo/query/acc.cgi?acc=GSM1132470","GSM1132470")</f>
        <v>GSM1132470</v>
      </c>
      <c r="I4986" t="s">
        <v>17</v>
      </c>
      <c r="J4986" t="s">
        <v>302</v>
      </c>
      <c r="K4986" t="s">
        <v>33</v>
      </c>
      <c r="L4986" t="s">
        <v>20</v>
      </c>
      <c r="N4986" t="s">
        <v>29</v>
      </c>
    </row>
    <row r="4987" spans="1:14">
      <c r="A4987" s="4" t="str">
        <f t="shared" si="471"/>
        <v>EXP00173</v>
      </c>
      <c r="B4987" s="4" t="str">
        <f t="shared" si="472"/>
        <v>24599057</v>
      </c>
      <c r="C4987" s="4" t="str">
        <f t="shared" si="473"/>
        <v>GSE46563</v>
      </c>
      <c r="D4987" s="1" t="s">
        <v>300</v>
      </c>
      <c r="E4987" t="s">
        <v>301</v>
      </c>
      <c r="F4987" s="1">
        <v>2</v>
      </c>
      <c r="G4987" s="1" t="s">
        <v>32</v>
      </c>
      <c r="H4987" s="4" t="str">
        <f>HYPERLINK("https://www.ncbi.nlm.nih.gov/geo/query/acc.cgi?acc=GSM1132471","GSM1132471")</f>
        <v>GSM1132471</v>
      </c>
      <c r="I4987" t="s">
        <v>17</v>
      </c>
      <c r="J4987" t="s">
        <v>302</v>
      </c>
      <c r="K4987" t="s">
        <v>33</v>
      </c>
      <c r="L4987" t="s">
        <v>20</v>
      </c>
      <c r="N4987" t="s">
        <v>29</v>
      </c>
    </row>
    <row r="4988" spans="1:14">
      <c r="A4988" s="4" t="str">
        <f t="shared" si="471"/>
        <v>EXP00173</v>
      </c>
      <c r="B4988" s="4" t="str">
        <f t="shared" si="472"/>
        <v>24599057</v>
      </c>
      <c r="C4988" s="4" t="str">
        <f t="shared" si="473"/>
        <v>GSE46563</v>
      </c>
      <c r="D4988" s="1" t="s">
        <v>300</v>
      </c>
      <c r="E4988" t="s">
        <v>301</v>
      </c>
      <c r="F4988" s="1">
        <v>2</v>
      </c>
      <c r="G4988" s="1" t="s">
        <v>32</v>
      </c>
      <c r="H4988" s="4" t="str">
        <f>HYPERLINK("https://www.ncbi.nlm.nih.gov/geo/query/acc.cgi?acc=GSM1132472","GSM1132472")</f>
        <v>GSM1132472</v>
      </c>
      <c r="I4988" t="s">
        <v>17</v>
      </c>
      <c r="J4988" t="s">
        <v>302</v>
      </c>
      <c r="K4988" t="s">
        <v>33</v>
      </c>
      <c r="L4988" t="s">
        <v>20</v>
      </c>
      <c r="N4988" t="s">
        <v>29</v>
      </c>
    </row>
    <row r="4989" spans="1:14">
      <c r="A4989" s="4" t="str">
        <f t="shared" si="471"/>
        <v>EXP00173</v>
      </c>
      <c r="B4989" s="4" t="str">
        <f t="shared" si="472"/>
        <v>24599057</v>
      </c>
      <c r="C4989" s="4" t="str">
        <f t="shared" si="473"/>
        <v>GSE46563</v>
      </c>
      <c r="D4989" s="1" t="s">
        <v>300</v>
      </c>
      <c r="E4989" t="s">
        <v>301</v>
      </c>
      <c r="F4989" s="1">
        <v>2</v>
      </c>
      <c r="G4989" s="1" t="s">
        <v>32</v>
      </c>
      <c r="H4989" s="4" t="str">
        <f>HYPERLINK("https://www.ncbi.nlm.nih.gov/geo/query/acc.cgi?acc=GSM1132473","GSM1132473")</f>
        <v>GSM1132473</v>
      </c>
      <c r="I4989" t="s">
        <v>17</v>
      </c>
      <c r="J4989" t="s">
        <v>302</v>
      </c>
      <c r="K4989" t="s">
        <v>33</v>
      </c>
      <c r="L4989" t="s">
        <v>20</v>
      </c>
      <c r="N4989" t="s">
        <v>29</v>
      </c>
    </row>
    <row r="4990" spans="1:14">
      <c r="A4990" s="4" t="str">
        <f t="shared" si="471"/>
        <v>EXP00173</v>
      </c>
      <c r="B4990" s="4" t="str">
        <f t="shared" si="472"/>
        <v>24599057</v>
      </c>
      <c r="C4990" s="4" t="str">
        <f t="shared" si="473"/>
        <v>GSE46563</v>
      </c>
      <c r="D4990" s="1" t="s">
        <v>300</v>
      </c>
      <c r="E4990" t="s">
        <v>301</v>
      </c>
      <c r="F4990" s="1">
        <v>2</v>
      </c>
      <c r="G4990" s="1" t="s">
        <v>32</v>
      </c>
      <c r="H4990" s="4" t="str">
        <f>HYPERLINK("https://www.ncbi.nlm.nih.gov/geo/query/acc.cgi?acc=GSM1132475","GSM1132475")</f>
        <v>GSM1132475</v>
      </c>
      <c r="I4990" t="s">
        <v>17</v>
      </c>
      <c r="J4990" t="s">
        <v>302</v>
      </c>
      <c r="K4990" t="s">
        <v>33</v>
      </c>
      <c r="L4990" t="s">
        <v>20</v>
      </c>
      <c r="N4990" t="s">
        <v>29</v>
      </c>
    </row>
    <row r="4991" spans="1:14">
      <c r="A4991" s="4" t="str">
        <f t="shared" si="471"/>
        <v>EXP00173</v>
      </c>
      <c r="B4991" s="4" t="str">
        <f t="shared" si="472"/>
        <v>24599057</v>
      </c>
      <c r="C4991" s="4" t="str">
        <f t="shared" si="473"/>
        <v>GSE46563</v>
      </c>
      <c r="D4991" s="1" t="s">
        <v>300</v>
      </c>
      <c r="E4991" t="s">
        <v>301</v>
      </c>
      <c r="F4991" s="1">
        <v>2</v>
      </c>
      <c r="G4991" s="1" t="s">
        <v>32</v>
      </c>
      <c r="H4991" s="4" t="str">
        <f>HYPERLINK("https://www.ncbi.nlm.nih.gov/geo/query/acc.cgi?acc=GSM1132476","GSM1132476")</f>
        <v>GSM1132476</v>
      </c>
      <c r="I4991" t="s">
        <v>17</v>
      </c>
      <c r="J4991" t="s">
        <v>302</v>
      </c>
      <c r="K4991" t="s">
        <v>33</v>
      </c>
      <c r="L4991" t="s">
        <v>20</v>
      </c>
      <c r="N4991" t="s">
        <v>29</v>
      </c>
    </row>
    <row r="4992" spans="1:14">
      <c r="A4992" s="4" t="str">
        <f t="shared" si="471"/>
        <v>EXP00173</v>
      </c>
      <c r="B4992" s="4" t="str">
        <f t="shared" si="472"/>
        <v>24599057</v>
      </c>
      <c r="C4992" s="4" t="str">
        <f t="shared" si="473"/>
        <v>GSE46563</v>
      </c>
      <c r="D4992" s="1" t="s">
        <v>300</v>
      </c>
      <c r="E4992" t="s">
        <v>301</v>
      </c>
      <c r="F4992" s="1">
        <v>2</v>
      </c>
      <c r="G4992" s="1" t="s">
        <v>32</v>
      </c>
      <c r="H4992" s="4" t="str">
        <f>HYPERLINK("https://www.ncbi.nlm.nih.gov/geo/query/acc.cgi?acc=GSM1132477","GSM1132477")</f>
        <v>GSM1132477</v>
      </c>
      <c r="I4992" t="s">
        <v>17</v>
      </c>
      <c r="J4992" t="s">
        <v>302</v>
      </c>
      <c r="K4992" t="s">
        <v>33</v>
      </c>
      <c r="L4992" t="s">
        <v>20</v>
      </c>
      <c r="N4992" t="s">
        <v>29</v>
      </c>
    </row>
    <row r="4993" spans="1:14">
      <c r="A4993" s="4" t="str">
        <f t="shared" ref="A4993:A5022" si="474">HYPERLINK("http://hcmdb.i-sanger.com/experiment/details/experiment_id/EXP00173","EXP00173")</f>
        <v>EXP00173</v>
      </c>
      <c r="B4993" s="4" t="str">
        <f t="shared" ref="B4993:B5022" si="475">HYPERLINK("https://www.ncbi.nlm.nih.gov/pubmed/24599057","24599057")</f>
        <v>24599057</v>
      </c>
      <c r="C4993" s="4" t="str">
        <f t="shared" ref="C4993:C5022" si="476">HYPERLINK("https://www.ncbi.nlm.nih.gov/geo/query/acc.cgi?acc=GSE46563","GSE46563")</f>
        <v>GSE46563</v>
      </c>
      <c r="D4993" s="1" t="s">
        <v>300</v>
      </c>
      <c r="E4993" t="s">
        <v>301</v>
      </c>
      <c r="F4993" s="1">
        <v>2</v>
      </c>
      <c r="G4993" s="1" t="s">
        <v>32</v>
      </c>
      <c r="H4993" s="4" t="str">
        <f>HYPERLINK("https://www.ncbi.nlm.nih.gov/geo/query/acc.cgi?acc=GSM1132478","GSM1132478")</f>
        <v>GSM1132478</v>
      </c>
      <c r="I4993" t="s">
        <v>17</v>
      </c>
      <c r="J4993" t="s">
        <v>302</v>
      </c>
      <c r="K4993" t="s">
        <v>33</v>
      </c>
      <c r="L4993" t="s">
        <v>20</v>
      </c>
      <c r="N4993" t="s">
        <v>29</v>
      </c>
    </row>
    <row r="4994" spans="1:14">
      <c r="A4994" s="4" t="str">
        <f t="shared" si="474"/>
        <v>EXP00173</v>
      </c>
      <c r="B4994" s="4" t="str">
        <f t="shared" si="475"/>
        <v>24599057</v>
      </c>
      <c r="C4994" s="4" t="str">
        <f t="shared" si="476"/>
        <v>GSE46563</v>
      </c>
      <c r="D4994" s="1" t="s">
        <v>300</v>
      </c>
      <c r="E4994" t="s">
        <v>301</v>
      </c>
      <c r="F4994" s="1">
        <v>2</v>
      </c>
      <c r="G4994" s="1" t="s">
        <v>32</v>
      </c>
      <c r="H4994" s="4" t="str">
        <f>HYPERLINK("https://www.ncbi.nlm.nih.gov/geo/query/acc.cgi?acc=GSM1132479","GSM1132479")</f>
        <v>GSM1132479</v>
      </c>
      <c r="I4994" t="s">
        <v>17</v>
      </c>
      <c r="J4994" t="s">
        <v>302</v>
      </c>
      <c r="K4994" t="s">
        <v>33</v>
      </c>
      <c r="L4994" t="s">
        <v>20</v>
      </c>
      <c r="N4994" t="s">
        <v>29</v>
      </c>
    </row>
    <row r="4995" spans="1:14">
      <c r="A4995" s="4" t="str">
        <f t="shared" si="474"/>
        <v>EXP00173</v>
      </c>
      <c r="B4995" s="4" t="str">
        <f t="shared" si="475"/>
        <v>24599057</v>
      </c>
      <c r="C4995" s="4" t="str">
        <f t="shared" si="476"/>
        <v>GSE46563</v>
      </c>
      <c r="D4995" s="1" t="s">
        <v>300</v>
      </c>
      <c r="E4995" t="s">
        <v>301</v>
      </c>
      <c r="F4995" s="1">
        <v>2</v>
      </c>
      <c r="G4995" s="1" t="s">
        <v>32</v>
      </c>
      <c r="H4995" s="4" t="str">
        <f>HYPERLINK("https://www.ncbi.nlm.nih.gov/geo/query/acc.cgi?acc=GSM1132480","GSM1132480")</f>
        <v>GSM1132480</v>
      </c>
      <c r="I4995" t="s">
        <v>17</v>
      </c>
      <c r="J4995" t="s">
        <v>302</v>
      </c>
      <c r="K4995" t="s">
        <v>33</v>
      </c>
      <c r="L4995" t="s">
        <v>20</v>
      </c>
      <c r="N4995" t="s">
        <v>29</v>
      </c>
    </row>
    <row r="4996" spans="1:14">
      <c r="A4996" s="4" t="str">
        <f t="shared" si="474"/>
        <v>EXP00173</v>
      </c>
      <c r="B4996" s="4" t="str">
        <f t="shared" si="475"/>
        <v>24599057</v>
      </c>
      <c r="C4996" s="4" t="str">
        <f t="shared" si="476"/>
        <v>GSE46563</v>
      </c>
      <c r="D4996" s="1" t="s">
        <v>300</v>
      </c>
      <c r="E4996" t="s">
        <v>301</v>
      </c>
      <c r="F4996" s="1">
        <v>2</v>
      </c>
      <c r="G4996" s="1" t="s">
        <v>32</v>
      </c>
      <c r="H4996" s="4" t="str">
        <f>HYPERLINK("https://www.ncbi.nlm.nih.gov/geo/query/acc.cgi?acc=GSM1132481","GSM1132481")</f>
        <v>GSM1132481</v>
      </c>
      <c r="I4996" t="s">
        <v>17</v>
      </c>
      <c r="J4996" t="s">
        <v>302</v>
      </c>
      <c r="K4996" t="s">
        <v>33</v>
      </c>
      <c r="L4996" t="s">
        <v>20</v>
      </c>
      <c r="N4996" t="s">
        <v>29</v>
      </c>
    </row>
    <row r="4997" spans="1:14">
      <c r="A4997" s="4" t="str">
        <f t="shared" si="474"/>
        <v>EXP00173</v>
      </c>
      <c r="B4997" s="4" t="str">
        <f t="shared" si="475"/>
        <v>24599057</v>
      </c>
      <c r="C4997" s="4" t="str">
        <f t="shared" si="476"/>
        <v>GSE46563</v>
      </c>
      <c r="D4997" s="1" t="s">
        <v>300</v>
      </c>
      <c r="E4997" t="s">
        <v>301</v>
      </c>
      <c r="F4997" s="1">
        <v>2</v>
      </c>
      <c r="G4997" s="1" t="s">
        <v>32</v>
      </c>
      <c r="H4997" s="4" t="str">
        <f>HYPERLINK("https://www.ncbi.nlm.nih.gov/geo/query/acc.cgi?acc=GSM1132482","GSM1132482")</f>
        <v>GSM1132482</v>
      </c>
      <c r="I4997" t="s">
        <v>17</v>
      </c>
      <c r="J4997" t="s">
        <v>302</v>
      </c>
      <c r="K4997" t="s">
        <v>33</v>
      </c>
      <c r="L4997" t="s">
        <v>20</v>
      </c>
      <c r="N4997" t="s">
        <v>29</v>
      </c>
    </row>
    <row r="4998" spans="1:14">
      <c r="A4998" s="4" t="str">
        <f t="shared" si="474"/>
        <v>EXP00173</v>
      </c>
      <c r="B4998" s="4" t="str">
        <f t="shared" si="475"/>
        <v>24599057</v>
      </c>
      <c r="C4998" s="4" t="str">
        <f t="shared" si="476"/>
        <v>GSE46563</v>
      </c>
      <c r="D4998" s="1" t="s">
        <v>300</v>
      </c>
      <c r="E4998" t="s">
        <v>301</v>
      </c>
      <c r="F4998" s="1">
        <v>2</v>
      </c>
      <c r="G4998" s="1" t="s">
        <v>32</v>
      </c>
      <c r="H4998" s="4" t="str">
        <f>HYPERLINK("https://www.ncbi.nlm.nih.gov/geo/query/acc.cgi?acc=GSM1132484","GSM1132484")</f>
        <v>GSM1132484</v>
      </c>
      <c r="I4998" t="s">
        <v>17</v>
      </c>
      <c r="J4998" t="s">
        <v>302</v>
      </c>
      <c r="K4998" t="s">
        <v>33</v>
      </c>
      <c r="L4998" t="s">
        <v>20</v>
      </c>
      <c r="N4998" t="s">
        <v>29</v>
      </c>
    </row>
    <row r="4999" spans="1:14">
      <c r="A4999" s="4" t="str">
        <f t="shared" si="474"/>
        <v>EXP00173</v>
      </c>
      <c r="B4999" s="4" t="str">
        <f t="shared" si="475"/>
        <v>24599057</v>
      </c>
      <c r="C4999" s="4" t="str">
        <f t="shared" si="476"/>
        <v>GSE46563</v>
      </c>
      <c r="D4999" s="1" t="s">
        <v>300</v>
      </c>
      <c r="E4999" t="s">
        <v>301</v>
      </c>
      <c r="F4999" s="1">
        <v>2</v>
      </c>
      <c r="G4999" s="1" t="s">
        <v>32</v>
      </c>
      <c r="H4999" s="4" t="str">
        <f>HYPERLINK("https://www.ncbi.nlm.nih.gov/geo/query/acc.cgi?acc=GSM1132485","GSM1132485")</f>
        <v>GSM1132485</v>
      </c>
      <c r="I4999" t="s">
        <v>17</v>
      </c>
      <c r="J4999" t="s">
        <v>302</v>
      </c>
      <c r="K4999" t="s">
        <v>33</v>
      </c>
      <c r="L4999" t="s">
        <v>20</v>
      </c>
      <c r="N4999" t="s">
        <v>29</v>
      </c>
    </row>
    <row r="5000" spans="1:14">
      <c r="A5000" s="4" t="str">
        <f t="shared" si="474"/>
        <v>EXP00173</v>
      </c>
      <c r="B5000" s="4" t="str">
        <f t="shared" si="475"/>
        <v>24599057</v>
      </c>
      <c r="C5000" s="4" t="str">
        <f t="shared" si="476"/>
        <v>GSE46563</v>
      </c>
      <c r="D5000" s="1" t="s">
        <v>300</v>
      </c>
      <c r="E5000" t="s">
        <v>301</v>
      </c>
      <c r="F5000" s="1">
        <v>2</v>
      </c>
      <c r="G5000" s="1" t="s">
        <v>32</v>
      </c>
      <c r="H5000" s="4" t="str">
        <f>HYPERLINK("https://www.ncbi.nlm.nih.gov/geo/query/acc.cgi?acc=GSM1132486","GSM1132486")</f>
        <v>GSM1132486</v>
      </c>
      <c r="I5000" t="s">
        <v>17</v>
      </c>
      <c r="J5000" t="s">
        <v>302</v>
      </c>
      <c r="K5000" t="s">
        <v>33</v>
      </c>
      <c r="L5000" t="s">
        <v>20</v>
      </c>
      <c r="N5000" t="s">
        <v>29</v>
      </c>
    </row>
    <row r="5001" spans="1:14">
      <c r="A5001" s="4" t="str">
        <f t="shared" si="474"/>
        <v>EXP00173</v>
      </c>
      <c r="B5001" s="4" t="str">
        <f t="shared" si="475"/>
        <v>24599057</v>
      </c>
      <c r="C5001" s="4" t="str">
        <f t="shared" si="476"/>
        <v>GSE46563</v>
      </c>
      <c r="D5001" s="1" t="s">
        <v>300</v>
      </c>
      <c r="E5001" t="s">
        <v>301</v>
      </c>
      <c r="F5001" s="1">
        <v>2</v>
      </c>
      <c r="G5001" s="1" t="s">
        <v>32</v>
      </c>
      <c r="H5001" s="4" t="str">
        <f>HYPERLINK("https://www.ncbi.nlm.nih.gov/geo/query/acc.cgi?acc=GSM1132487","GSM1132487")</f>
        <v>GSM1132487</v>
      </c>
      <c r="I5001" t="s">
        <v>17</v>
      </c>
      <c r="J5001" t="s">
        <v>302</v>
      </c>
      <c r="K5001" t="s">
        <v>33</v>
      </c>
      <c r="L5001" t="s">
        <v>20</v>
      </c>
      <c r="N5001" t="s">
        <v>29</v>
      </c>
    </row>
    <row r="5002" spans="1:14">
      <c r="A5002" s="4" t="str">
        <f t="shared" si="474"/>
        <v>EXP00173</v>
      </c>
      <c r="B5002" s="4" t="str">
        <f t="shared" si="475"/>
        <v>24599057</v>
      </c>
      <c r="C5002" s="4" t="str">
        <f t="shared" si="476"/>
        <v>GSE46563</v>
      </c>
      <c r="D5002" s="1" t="s">
        <v>300</v>
      </c>
      <c r="E5002" t="s">
        <v>301</v>
      </c>
      <c r="F5002" s="1">
        <v>2</v>
      </c>
      <c r="G5002" s="1" t="s">
        <v>32</v>
      </c>
      <c r="H5002" s="4" t="str">
        <f>HYPERLINK("https://www.ncbi.nlm.nih.gov/geo/query/acc.cgi?acc=GSM1132488","GSM1132488")</f>
        <v>GSM1132488</v>
      </c>
      <c r="I5002" t="s">
        <v>17</v>
      </c>
      <c r="J5002" t="s">
        <v>302</v>
      </c>
      <c r="K5002" t="s">
        <v>33</v>
      </c>
      <c r="L5002" t="s">
        <v>20</v>
      </c>
      <c r="N5002" t="s">
        <v>29</v>
      </c>
    </row>
    <row r="5003" spans="1:14">
      <c r="A5003" s="4" t="str">
        <f t="shared" si="474"/>
        <v>EXP00173</v>
      </c>
      <c r="B5003" s="4" t="str">
        <f t="shared" si="475"/>
        <v>24599057</v>
      </c>
      <c r="C5003" s="4" t="str">
        <f t="shared" si="476"/>
        <v>GSE46563</v>
      </c>
      <c r="D5003" s="1" t="s">
        <v>300</v>
      </c>
      <c r="E5003" t="s">
        <v>301</v>
      </c>
      <c r="F5003" s="1">
        <v>2</v>
      </c>
      <c r="G5003" s="1" t="s">
        <v>32</v>
      </c>
      <c r="H5003" s="4" t="str">
        <f>HYPERLINK("https://www.ncbi.nlm.nih.gov/geo/query/acc.cgi?acc=GSM1132492","GSM1132492")</f>
        <v>GSM1132492</v>
      </c>
      <c r="I5003" t="s">
        <v>17</v>
      </c>
      <c r="J5003" t="s">
        <v>302</v>
      </c>
      <c r="K5003" t="s">
        <v>33</v>
      </c>
      <c r="L5003" t="s">
        <v>20</v>
      </c>
      <c r="N5003" t="s">
        <v>29</v>
      </c>
    </row>
    <row r="5004" spans="1:14">
      <c r="A5004" s="4" t="str">
        <f t="shared" si="474"/>
        <v>EXP00173</v>
      </c>
      <c r="B5004" s="4" t="str">
        <f t="shared" si="475"/>
        <v>24599057</v>
      </c>
      <c r="C5004" s="4" t="str">
        <f t="shared" si="476"/>
        <v>GSE46563</v>
      </c>
      <c r="D5004" s="1" t="s">
        <v>300</v>
      </c>
      <c r="E5004" t="s">
        <v>301</v>
      </c>
      <c r="F5004" s="1">
        <v>2</v>
      </c>
      <c r="G5004" s="1" t="s">
        <v>32</v>
      </c>
      <c r="H5004" s="4" t="str">
        <f>HYPERLINK("https://www.ncbi.nlm.nih.gov/geo/query/acc.cgi?acc=GSM1132493","GSM1132493")</f>
        <v>GSM1132493</v>
      </c>
      <c r="I5004" t="s">
        <v>17</v>
      </c>
      <c r="J5004" t="s">
        <v>302</v>
      </c>
      <c r="K5004" t="s">
        <v>33</v>
      </c>
      <c r="L5004" t="s">
        <v>20</v>
      </c>
      <c r="N5004" t="s">
        <v>29</v>
      </c>
    </row>
    <row r="5005" spans="1:14">
      <c r="A5005" s="4" t="str">
        <f t="shared" si="474"/>
        <v>EXP00173</v>
      </c>
      <c r="B5005" s="4" t="str">
        <f t="shared" si="475"/>
        <v>24599057</v>
      </c>
      <c r="C5005" s="4" t="str">
        <f t="shared" si="476"/>
        <v>GSE46563</v>
      </c>
      <c r="D5005" s="1" t="s">
        <v>300</v>
      </c>
      <c r="E5005" t="s">
        <v>301</v>
      </c>
      <c r="F5005" s="1">
        <v>2</v>
      </c>
      <c r="G5005" s="1" t="s">
        <v>32</v>
      </c>
      <c r="H5005" s="4" t="str">
        <f>HYPERLINK("https://www.ncbi.nlm.nih.gov/geo/query/acc.cgi?acc=GSM1132494","GSM1132494")</f>
        <v>GSM1132494</v>
      </c>
      <c r="I5005" t="s">
        <v>17</v>
      </c>
      <c r="J5005" t="s">
        <v>302</v>
      </c>
      <c r="K5005" t="s">
        <v>33</v>
      </c>
      <c r="L5005" t="s">
        <v>20</v>
      </c>
      <c r="N5005" t="s">
        <v>29</v>
      </c>
    </row>
    <row r="5006" spans="1:14">
      <c r="A5006" s="4" t="str">
        <f t="shared" si="474"/>
        <v>EXP00173</v>
      </c>
      <c r="B5006" s="4" t="str">
        <f t="shared" si="475"/>
        <v>24599057</v>
      </c>
      <c r="C5006" s="4" t="str">
        <f t="shared" si="476"/>
        <v>GSE46563</v>
      </c>
      <c r="D5006" s="1" t="s">
        <v>300</v>
      </c>
      <c r="E5006" t="s">
        <v>301</v>
      </c>
      <c r="F5006" s="1">
        <v>2</v>
      </c>
      <c r="G5006" s="1" t="s">
        <v>32</v>
      </c>
      <c r="H5006" s="4" t="str">
        <f>HYPERLINK("https://www.ncbi.nlm.nih.gov/geo/query/acc.cgi?acc=GSM1132498","GSM1132498")</f>
        <v>GSM1132498</v>
      </c>
      <c r="I5006" t="s">
        <v>17</v>
      </c>
      <c r="J5006" t="s">
        <v>302</v>
      </c>
      <c r="K5006" t="s">
        <v>33</v>
      </c>
      <c r="L5006" t="s">
        <v>20</v>
      </c>
      <c r="N5006" t="s">
        <v>29</v>
      </c>
    </row>
    <row r="5007" spans="1:14">
      <c r="A5007" s="4" t="str">
        <f t="shared" si="474"/>
        <v>EXP00173</v>
      </c>
      <c r="B5007" s="4" t="str">
        <f t="shared" si="475"/>
        <v>24599057</v>
      </c>
      <c r="C5007" s="4" t="str">
        <f t="shared" si="476"/>
        <v>GSE46563</v>
      </c>
      <c r="D5007" s="1" t="s">
        <v>300</v>
      </c>
      <c r="E5007" t="s">
        <v>301</v>
      </c>
      <c r="F5007" s="1">
        <v>2</v>
      </c>
      <c r="G5007" s="1" t="s">
        <v>32</v>
      </c>
      <c r="H5007" s="4" t="str">
        <f>HYPERLINK("https://www.ncbi.nlm.nih.gov/geo/query/acc.cgi?acc=GSM1132499","GSM1132499")</f>
        <v>GSM1132499</v>
      </c>
      <c r="I5007" t="s">
        <v>17</v>
      </c>
      <c r="J5007" t="s">
        <v>302</v>
      </c>
      <c r="K5007" t="s">
        <v>33</v>
      </c>
      <c r="L5007" t="s">
        <v>20</v>
      </c>
      <c r="N5007" t="s">
        <v>29</v>
      </c>
    </row>
    <row r="5008" spans="1:14">
      <c r="A5008" s="4" t="str">
        <f t="shared" si="474"/>
        <v>EXP00173</v>
      </c>
      <c r="B5008" s="4" t="str">
        <f t="shared" si="475"/>
        <v>24599057</v>
      </c>
      <c r="C5008" s="4" t="str">
        <f t="shared" si="476"/>
        <v>GSE46563</v>
      </c>
      <c r="D5008" s="1" t="s">
        <v>300</v>
      </c>
      <c r="E5008" t="s">
        <v>301</v>
      </c>
      <c r="F5008" s="1">
        <v>2</v>
      </c>
      <c r="G5008" s="1" t="s">
        <v>32</v>
      </c>
      <c r="H5008" s="4" t="str">
        <f>HYPERLINK("https://www.ncbi.nlm.nih.gov/geo/query/acc.cgi?acc=GSM1132500","GSM1132500")</f>
        <v>GSM1132500</v>
      </c>
      <c r="I5008" t="s">
        <v>17</v>
      </c>
      <c r="J5008" t="s">
        <v>302</v>
      </c>
      <c r="K5008" t="s">
        <v>33</v>
      </c>
      <c r="L5008" t="s">
        <v>20</v>
      </c>
      <c r="N5008" t="s">
        <v>29</v>
      </c>
    </row>
    <row r="5009" spans="1:14">
      <c r="A5009" s="4" t="str">
        <f t="shared" si="474"/>
        <v>EXP00173</v>
      </c>
      <c r="B5009" s="4" t="str">
        <f t="shared" si="475"/>
        <v>24599057</v>
      </c>
      <c r="C5009" s="4" t="str">
        <f t="shared" si="476"/>
        <v>GSE46563</v>
      </c>
      <c r="D5009" s="1" t="s">
        <v>300</v>
      </c>
      <c r="E5009" t="s">
        <v>301</v>
      </c>
      <c r="F5009" s="1">
        <v>2</v>
      </c>
      <c r="G5009" s="1" t="s">
        <v>32</v>
      </c>
      <c r="H5009" s="4" t="str">
        <f>HYPERLINK("https://www.ncbi.nlm.nih.gov/geo/query/acc.cgi?acc=GSM1132505","GSM1132505")</f>
        <v>GSM1132505</v>
      </c>
      <c r="I5009" t="s">
        <v>17</v>
      </c>
      <c r="J5009" t="s">
        <v>302</v>
      </c>
      <c r="K5009" t="s">
        <v>33</v>
      </c>
      <c r="L5009" t="s">
        <v>20</v>
      </c>
      <c r="N5009" t="s">
        <v>29</v>
      </c>
    </row>
    <row r="5010" spans="1:14">
      <c r="A5010" s="4" t="str">
        <f t="shared" si="474"/>
        <v>EXP00173</v>
      </c>
      <c r="B5010" s="4" t="str">
        <f t="shared" si="475"/>
        <v>24599057</v>
      </c>
      <c r="C5010" s="4" t="str">
        <f t="shared" si="476"/>
        <v>GSE46563</v>
      </c>
      <c r="D5010" s="1" t="s">
        <v>300</v>
      </c>
      <c r="E5010" t="s">
        <v>301</v>
      </c>
      <c r="F5010" s="1">
        <v>2</v>
      </c>
      <c r="G5010" s="1" t="s">
        <v>32</v>
      </c>
      <c r="H5010" s="4" t="str">
        <f>HYPERLINK("https://www.ncbi.nlm.nih.gov/geo/query/acc.cgi?acc=GSM1132506","GSM1132506")</f>
        <v>GSM1132506</v>
      </c>
      <c r="I5010" t="s">
        <v>17</v>
      </c>
      <c r="J5010" t="s">
        <v>302</v>
      </c>
      <c r="K5010" t="s">
        <v>33</v>
      </c>
      <c r="L5010" t="s">
        <v>20</v>
      </c>
      <c r="N5010" t="s">
        <v>29</v>
      </c>
    </row>
    <row r="5011" spans="1:14">
      <c r="A5011" s="4" t="str">
        <f t="shared" si="474"/>
        <v>EXP00173</v>
      </c>
      <c r="B5011" s="4" t="str">
        <f t="shared" si="475"/>
        <v>24599057</v>
      </c>
      <c r="C5011" s="4" t="str">
        <f t="shared" si="476"/>
        <v>GSE46563</v>
      </c>
      <c r="D5011" s="1" t="s">
        <v>300</v>
      </c>
      <c r="E5011" t="s">
        <v>301</v>
      </c>
      <c r="F5011" s="1">
        <v>2</v>
      </c>
      <c r="G5011" s="1" t="s">
        <v>32</v>
      </c>
      <c r="H5011" s="4" t="str">
        <f>HYPERLINK("https://www.ncbi.nlm.nih.gov/geo/query/acc.cgi?acc=GSM1132507","GSM1132507")</f>
        <v>GSM1132507</v>
      </c>
      <c r="I5011" t="s">
        <v>17</v>
      </c>
      <c r="J5011" t="s">
        <v>302</v>
      </c>
      <c r="K5011" t="s">
        <v>33</v>
      </c>
      <c r="L5011" t="s">
        <v>20</v>
      </c>
      <c r="N5011" t="s">
        <v>29</v>
      </c>
    </row>
    <row r="5012" spans="1:14">
      <c r="A5012" s="4" t="str">
        <f t="shared" si="474"/>
        <v>EXP00173</v>
      </c>
      <c r="B5012" s="4" t="str">
        <f t="shared" si="475"/>
        <v>24599057</v>
      </c>
      <c r="C5012" s="4" t="str">
        <f t="shared" si="476"/>
        <v>GSE46563</v>
      </c>
      <c r="D5012" s="1" t="s">
        <v>300</v>
      </c>
      <c r="E5012" t="s">
        <v>301</v>
      </c>
      <c r="F5012" s="1">
        <v>2</v>
      </c>
      <c r="G5012" s="1" t="s">
        <v>32</v>
      </c>
      <c r="H5012" s="4" t="str">
        <f>HYPERLINK("https://www.ncbi.nlm.nih.gov/geo/query/acc.cgi?acc=GSM1132508","GSM1132508")</f>
        <v>GSM1132508</v>
      </c>
      <c r="I5012" t="s">
        <v>17</v>
      </c>
      <c r="J5012" t="s">
        <v>302</v>
      </c>
      <c r="K5012" t="s">
        <v>33</v>
      </c>
      <c r="L5012" t="s">
        <v>20</v>
      </c>
      <c r="N5012" t="s">
        <v>29</v>
      </c>
    </row>
    <row r="5013" spans="1:14">
      <c r="A5013" s="4" t="str">
        <f t="shared" si="474"/>
        <v>EXP00173</v>
      </c>
      <c r="B5013" s="4" t="str">
        <f t="shared" si="475"/>
        <v>24599057</v>
      </c>
      <c r="C5013" s="4" t="str">
        <f t="shared" si="476"/>
        <v>GSE46563</v>
      </c>
      <c r="D5013" s="1" t="s">
        <v>300</v>
      </c>
      <c r="E5013" t="s">
        <v>301</v>
      </c>
      <c r="F5013" s="1">
        <v>2</v>
      </c>
      <c r="G5013" s="1" t="s">
        <v>32</v>
      </c>
      <c r="H5013" s="4" t="str">
        <f>HYPERLINK("https://www.ncbi.nlm.nih.gov/geo/query/acc.cgi?acc=GSM1132509","GSM1132509")</f>
        <v>GSM1132509</v>
      </c>
      <c r="I5013" t="s">
        <v>17</v>
      </c>
      <c r="J5013" t="s">
        <v>302</v>
      </c>
      <c r="K5013" t="s">
        <v>33</v>
      </c>
      <c r="L5013" t="s">
        <v>20</v>
      </c>
      <c r="N5013" t="s">
        <v>29</v>
      </c>
    </row>
    <row r="5014" spans="1:14">
      <c r="A5014" s="4" t="str">
        <f t="shared" si="474"/>
        <v>EXP00173</v>
      </c>
      <c r="B5014" s="4" t="str">
        <f t="shared" si="475"/>
        <v>24599057</v>
      </c>
      <c r="C5014" s="4" t="str">
        <f t="shared" si="476"/>
        <v>GSE46563</v>
      </c>
      <c r="D5014" s="1" t="s">
        <v>300</v>
      </c>
      <c r="E5014" t="s">
        <v>301</v>
      </c>
      <c r="F5014" s="1">
        <v>2</v>
      </c>
      <c r="G5014" s="1" t="s">
        <v>32</v>
      </c>
      <c r="H5014" s="4" t="str">
        <f>HYPERLINK("https://www.ncbi.nlm.nih.gov/geo/query/acc.cgi?acc=GSM1132510","GSM1132510")</f>
        <v>GSM1132510</v>
      </c>
      <c r="I5014" t="s">
        <v>17</v>
      </c>
      <c r="J5014" t="s">
        <v>302</v>
      </c>
      <c r="K5014" t="s">
        <v>33</v>
      </c>
      <c r="L5014" t="s">
        <v>20</v>
      </c>
      <c r="N5014" t="s">
        <v>29</v>
      </c>
    </row>
    <row r="5015" spans="1:14">
      <c r="A5015" s="4" t="str">
        <f t="shared" si="474"/>
        <v>EXP00173</v>
      </c>
      <c r="B5015" s="4" t="str">
        <f t="shared" si="475"/>
        <v>24599057</v>
      </c>
      <c r="C5015" s="4" t="str">
        <f t="shared" si="476"/>
        <v>GSE46563</v>
      </c>
      <c r="D5015" s="1" t="s">
        <v>300</v>
      </c>
      <c r="E5015" t="s">
        <v>301</v>
      </c>
      <c r="F5015" s="1">
        <v>2</v>
      </c>
      <c r="G5015" s="1" t="s">
        <v>32</v>
      </c>
      <c r="H5015" s="4" t="str">
        <f>HYPERLINK("https://www.ncbi.nlm.nih.gov/geo/query/acc.cgi?acc=GSM1132511","GSM1132511")</f>
        <v>GSM1132511</v>
      </c>
      <c r="I5015" t="s">
        <v>17</v>
      </c>
      <c r="J5015" t="s">
        <v>302</v>
      </c>
      <c r="K5015" t="s">
        <v>33</v>
      </c>
      <c r="L5015" t="s">
        <v>20</v>
      </c>
      <c r="N5015" t="s">
        <v>29</v>
      </c>
    </row>
    <row r="5016" spans="1:14">
      <c r="A5016" s="4" t="str">
        <f t="shared" si="474"/>
        <v>EXP00173</v>
      </c>
      <c r="B5016" s="4" t="str">
        <f t="shared" si="475"/>
        <v>24599057</v>
      </c>
      <c r="C5016" s="4" t="str">
        <f t="shared" si="476"/>
        <v>GSE46563</v>
      </c>
      <c r="D5016" s="1" t="s">
        <v>300</v>
      </c>
      <c r="E5016" t="s">
        <v>301</v>
      </c>
      <c r="F5016" s="1">
        <v>2</v>
      </c>
      <c r="G5016" s="1" t="s">
        <v>32</v>
      </c>
      <c r="H5016" s="4" t="str">
        <f>HYPERLINK("https://www.ncbi.nlm.nih.gov/geo/query/acc.cgi?acc=GSM1132513","GSM1132513")</f>
        <v>GSM1132513</v>
      </c>
      <c r="I5016" t="s">
        <v>17</v>
      </c>
      <c r="J5016" t="s">
        <v>302</v>
      </c>
      <c r="K5016" t="s">
        <v>33</v>
      </c>
      <c r="L5016" t="s">
        <v>20</v>
      </c>
      <c r="N5016" t="s">
        <v>29</v>
      </c>
    </row>
    <row r="5017" spans="1:14">
      <c r="A5017" s="4" t="str">
        <f t="shared" si="474"/>
        <v>EXP00173</v>
      </c>
      <c r="B5017" s="4" t="str">
        <f t="shared" si="475"/>
        <v>24599057</v>
      </c>
      <c r="C5017" s="4" t="str">
        <f t="shared" si="476"/>
        <v>GSE46563</v>
      </c>
      <c r="D5017" s="1" t="s">
        <v>300</v>
      </c>
      <c r="E5017" t="s">
        <v>301</v>
      </c>
      <c r="F5017" s="1">
        <v>2</v>
      </c>
      <c r="G5017" s="1" t="s">
        <v>32</v>
      </c>
      <c r="H5017" s="4" t="str">
        <f>HYPERLINK("https://www.ncbi.nlm.nih.gov/geo/query/acc.cgi?acc=GSM1132515","GSM1132515")</f>
        <v>GSM1132515</v>
      </c>
      <c r="I5017" t="s">
        <v>17</v>
      </c>
      <c r="J5017" t="s">
        <v>302</v>
      </c>
      <c r="K5017" t="s">
        <v>33</v>
      </c>
      <c r="L5017" t="s">
        <v>20</v>
      </c>
      <c r="N5017" t="s">
        <v>29</v>
      </c>
    </row>
    <row r="5018" spans="1:14">
      <c r="A5018" s="4" t="str">
        <f t="shared" si="474"/>
        <v>EXP00173</v>
      </c>
      <c r="B5018" s="4" t="str">
        <f t="shared" si="475"/>
        <v>24599057</v>
      </c>
      <c r="C5018" s="4" t="str">
        <f t="shared" si="476"/>
        <v>GSE46563</v>
      </c>
      <c r="D5018" s="1" t="s">
        <v>300</v>
      </c>
      <c r="E5018" t="s">
        <v>301</v>
      </c>
      <c r="F5018" s="1">
        <v>2</v>
      </c>
      <c r="G5018" s="1" t="s">
        <v>32</v>
      </c>
      <c r="H5018" s="4" t="str">
        <f>HYPERLINK("https://www.ncbi.nlm.nih.gov/geo/query/acc.cgi?acc=GSM1132516","GSM1132516")</f>
        <v>GSM1132516</v>
      </c>
      <c r="I5018" t="s">
        <v>17</v>
      </c>
      <c r="J5018" t="s">
        <v>302</v>
      </c>
      <c r="K5018" t="s">
        <v>33</v>
      </c>
      <c r="L5018" t="s">
        <v>20</v>
      </c>
      <c r="N5018" t="s">
        <v>29</v>
      </c>
    </row>
    <row r="5019" spans="1:14">
      <c r="A5019" s="4" t="str">
        <f t="shared" si="474"/>
        <v>EXP00173</v>
      </c>
      <c r="B5019" s="4" t="str">
        <f t="shared" si="475"/>
        <v>24599057</v>
      </c>
      <c r="C5019" s="4" t="str">
        <f t="shared" si="476"/>
        <v>GSE46563</v>
      </c>
      <c r="D5019" s="1" t="s">
        <v>300</v>
      </c>
      <c r="E5019" t="s">
        <v>301</v>
      </c>
      <c r="F5019" s="1">
        <v>2</v>
      </c>
      <c r="G5019" s="1" t="s">
        <v>32</v>
      </c>
      <c r="H5019" s="4" t="str">
        <f>HYPERLINK("https://www.ncbi.nlm.nih.gov/geo/query/acc.cgi?acc=GSM1132517","GSM1132517")</f>
        <v>GSM1132517</v>
      </c>
      <c r="I5019" t="s">
        <v>17</v>
      </c>
      <c r="J5019" t="s">
        <v>302</v>
      </c>
      <c r="K5019" t="s">
        <v>33</v>
      </c>
      <c r="L5019" t="s">
        <v>20</v>
      </c>
      <c r="N5019" t="s">
        <v>29</v>
      </c>
    </row>
    <row r="5020" spans="1:14">
      <c r="A5020" s="4" t="str">
        <f t="shared" si="474"/>
        <v>EXP00173</v>
      </c>
      <c r="B5020" s="4" t="str">
        <f t="shared" si="475"/>
        <v>24599057</v>
      </c>
      <c r="C5020" s="4" t="str">
        <f t="shared" si="476"/>
        <v>GSE46563</v>
      </c>
      <c r="D5020" s="1" t="s">
        <v>300</v>
      </c>
      <c r="E5020" t="s">
        <v>301</v>
      </c>
      <c r="F5020" s="1">
        <v>2</v>
      </c>
      <c r="G5020" s="1" t="s">
        <v>32</v>
      </c>
      <c r="H5020" s="4" t="str">
        <f>HYPERLINK("https://www.ncbi.nlm.nih.gov/geo/query/acc.cgi?acc=GSM1132518","GSM1132518")</f>
        <v>GSM1132518</v>
      </c>
      <c r="I5020" t="s">
        <v>17</v>
      </c>
      <c r="J5020" t="s">
        <v>302</v>
      </c>
      <c r="K5020" t="s">
        <v>33</v>
      </c>
      <c r="L5020" t="s">
        <v>20</v>
      </c>
      <c r="N5020" t="s">
        <v>29</v>
      </c>
    </row>
    <row r="5021" spans="1:14">
      <c r="A5021" s="4" t="str">
        <f t="shared" si="474"/>
        <v>EXP00173</v>
      </c>
      <c r="B5021" s="4" t="str">
        <f t="shared" si="475"/>
        <v>24599057</v>
      </c>
      <c r="C5021" s="4" t="str">
        <f t="shared" si="476"/>
        <v>GSE46563</v>
      </c>
      <c r="D5021" s="1" t="s">
        <v>300</v>
      </c>
      <c r="E5021" t="s">
        <v>301</v>
      </c>
      <c r="F5021" s="1">
        <v>2</v>
      </c>
      <c r="G5021" s="1" t="s">
        <v>32</v>
      </c>
      <c r="H5021" s="4" t="str">
        <f>HYPERLINK("https://www.ncbi.nlm.nih.gov/geo/query/acc.cgi?acc=GSM1132520","GSM1132520")</f>
        <v>GSM1132520</v>
      </c>
      <c r="I5021" t="s">
        <v>17</v>
      </c>
      <c r="J5021" t="s">
        <v>302</v>
      </c>
      <c r="K5021" t="s">
        <v>33</v>
      </c>
      <c r="L5021" t="s">
        <v>20</v>
      </c>
      <c r="N5021" t="s">
        <v>29</v>
      </c>
    </row>
    <row r="5022" spans="1:14">
      <c r="A5022" s="4" t="str">
        <f t="shared" si="474"/>
        <v>EXP00173</v>
      </c>
      <c r="B5022" s="4" t="str">
        <f t="shared" si="475"/>
        <v>24599057</v>
      </c>
      <c r="C5022" s="4" t="str">
        <f t="shared" si="476"/>
        <v>GSE46563</v>
      </c>
      <c r="D5022" s="1" t="s">
        <v>300</v>
      </c>
      <c r="E5022" t="s">
        <v>301</v>
      </c>
      <c r="F5022" s="1">
        <v>2</v>
      </c>
      <c r="G5022" s="1" t="s">
        <v>32</v>
      </c>
      <c r="H5022" s="4" t="str">
        <f>HYPERLINK("https://www.ncbi.nlm.nih.gov/geo/query/acc.cgi?acc=GSM1132522","GSM1132522")</f>
        <v>GSM1132522</v>
      </c>
      <c r="I5022" t="s">
        <v>17</v>
      </c>
      <c r="J5022" t="s">
        <v>302</v>
      </c>
      <c r="K5022" t="s">
        <v>33</v>
      </c>
      <c r="L5022" t="s">
        <v>20</v>
      </c>
      <c r="N5022" t="s">
        <v>29</v>
      </c>
    </row>
    <row r="5023" spans="1:14">
      <c r="A5023" s="4" t="str">
        <f t="shared" ref="A5023:A5054" si="477">HYPERLINK("http://hcmdb.i-sanger.com/experiment/details/experiment_id/EXP00174","EXP00174")</f>
        <v>EXP00174</v>
      </c>
      <c r="B5023" s="4" t="str">
        <f t="shared" ref="B5023:B5054" si="478">HYPERLINK("https://www.ncbi.nlm.nih.gov/pubmed/24097821","24097821")</f>
        <v>24097821</v>
      </c>
      <c r="C5023" s="4" t="str">
        <f t="shared" ref="C5023:C5054" si="479">HYPERLINK("https://www.ncbi.nlm.nih.gov/geo/query/acc.cgi?acc=GSE46928","GSE46928")</f>
        <v>GSE46928</v>
      </c>
      <c r="D5023" s="1" t="s">
        <v>62</v>
      </c>
      <c r="E5023" t="s">
        <v>30</v>
      </c>
      <c r="F5023" s="1">
        <v>1</v>
      </c>
      <c r="G5023" s="1" t="s">
        <v>31</v>
      </c>
      <c r="H5023" s="4" t="str">
        <f>HYPERLINK("https://www.ncbi.nlm.nih.gov/geo/query/acc.cgi?acc=GSM1141273","GSM1141273")</f>
        <v>GSM1141273</v>
      </c>
      <c r="I5023" t="s">
        <v>17</v>
      </c>
      <c r="J5023" t="s">
        <v>18</v>
      </c>
      <c r="K5023" t="s">
        <v>19</v>
      </c>
      <c r="L5023" t="s">
        <v>20</v>
      </c>
      <c r="M5023" t="s">
        <v>21</v>
      </c>
      <c r="N5023" t="s">
        <v>29</v>
      </c>
    </row>
    <row r="5024" spans="1:14">
      <c r="A5024" s="4" t="str">
        <f t="shared" si="477"/>
        <v>EXP00174</v>
      </c>
      <c r="B5024" s="4" t="str">
        <f t="shared" si="478"/>
        <v>24097821</v>
      </c>
      <c r="C5024" s="4" t="str">
        <f t="shared" si="479"/>
        <v>GSE46928</v>
      </c>
      <c r="D5024" s="1" t="s">
        <v>62</v>
      </c>
      <c r="E5024" t="s">
        <v>30</v>
      </c>
      <c r="F5024" s="1">
        <v>1</v>
      </c>
      <c r="G5024" s="1" t="s">
        <v>31</v>
      </c>
      <c r="H5024" s="4" t="str">
        <f>HYPERLINK("https://www.ncbi.nlm.nih.gov/geo/query/acc.cgi?acc=GSM1141276","GSM1141276")</f>
        <v>GSM1141276</v>
      </c>
      <c r="I5024" t="s">
        <v>17</v>
      </c>
      <c r="J5024" t="s">
        <v>18</v>
      </c>
      <c r="K5024" t="s">
        <v>19</v>
      </c>
      <c r="L5024" t="s">
        <v>20</v>
      </c>
      <c r="M5024" t="s">
        <v>21</v>
      </c>
      <c r="N5024" t="s">
        <v>29</v>
      </c>
    </row>
    <row r="5025" spans="1:14">
      <c r="A5025" s="4" t="str">
        <f t="shared" si="477"/>
        <v>EXP00174</v>
      </c>
      <c r="B5025" s="4" t="str">
        <f t="shared" si="478"/>
        <v>24097821</v>
      </c>
      <c r="C5025" s="4" t="str">
        <f t="shared" si="479"/>
        <v>GSE46928</v>
      </c>
      <c r="D5025" s="1" t="s">
        <v>62</v>
      </c>
      <c r="E5025" t="s">
        <v>30</v>
      </c>
      <c r="F5025" s="1">
        <v>1</v>
      </c>
      <c r="G5025" s="1" t="s">
        <v>31</v>
      </c>
      <c r="H5025" s="4" t="str">
        <f>HYPERLINK("https://www.ncbi.nlm.nih.gov/geo/query/acc.cgi?acc=GSM1141281","GSM1141281")</f>
        <v>GSM1141281</v>
      </c>
      <c r="I5025" t="s">
        <v>17</v>
      </c>
      <c r="J5025" t="s">
        <v>18</v>
      </c>
      <c r="K5025" t="s">
        <v>19</v>
      </c>
      <c r="L5025" t="s">
        <v>20</v>
      </c>
      <c r="M5025" t="s">
        <v>21</v>
      </c>
      <c r="N5025" t="s">
        <v>29</v>
      </c>
    </row>
    <row r="5026" spans="1:14">
      <c r="A5026" s="4" t="str">
        <f t="shared" si="477"/>
        <v>EXP00174</v>
      </c>
      <c r="B5026" s="4" t="str">
        <f t="shared" si="478"/>
        <v>24097821</v>
      </c>
      <c r="C5026" s="4" t="str">
        <f t="shared" si="479"/>
        <v>GSE46928</v>
      </c>
      <c r="D5026" s="1" t="s">
        <v>62</v>
      </c>
      <c r="E5026" t="s">
        <v>30</v>
      </c>
      <c r="F5026" s="1">
        <v>1</v>
      </c>
      <c r="G5026" s="1" t="s">
        <v>31</v>
      </c>
      <c r="H5026" s="4" t="str">
        <f>HYPERLINK("https://www.ncbi.nlm.nih.gov/geo/query/acc.cgi?acc=GSM1141283","GSM1141283")</f>
        <v>GSM1141283</v>
      </c>
      <c r="I5026" t="s">
        <v>17</v>
      </c>
      <c r="J5026" t="s">
        <v>18</v>
      </c>
      <c r="K5026" t="s">
        <v>19</v>
      </c>
      <c r="L5026" t="s">
        <v>20</v>
      </c>
      <c r="M5026" t="s">
        <v>21</v>
      </c>
      <c r="N5026" t="s">
        <v>29</v>
      </c>
    </row>
    <row r="5027" spans="1:14">
      <c r="A5027" s="4" t="str">
        <f t="shared" si="477"/>
        <v>EXP00174</v>
      </c>
      <c r="B5027" s="4" t="str">
        <f t="shared" si="478"/>
        <v>24097821</v>
      </c>
      <c r="C5027" s="4" t="str">
        <f t="shared" si="479"/>
        <v>GSE46928</v>
      </c>
      <c r="D5027" s="1" t="s">
        <v>62</v>
      </c>
      <c r="E5027" t="s">
        <v>30</v>
      </c>
      <c r="F5027" s="1">
        <v>1</v>
      </c>
      <c r="G5027" s="1" t="s">
        <v>31</v>
      </c>
      <c r="H5027" s="4" t="str">
        <f>HYPERLINK("https://www.ncbi.nlm.nih.gov/geo/query/acc.cgi?acc=GSM1141298","GSM1141298")</f>
        <v>GSM1141298</v>
      </c>
      <c r="I5027" t="s">
        <v>17</v>
      </c>
      <c r="J5027" t="s">
        <v>18</v>
      </c>
      <c r="K5027" t="s">
        <v>19</v>
      </c>
      <c r="L5027" t="s">
        <v>20</v>
      </c>
      <c r="M5027" t="s">
        <v>21</v>
      </c>
      <c r="N5027" t="s">
        <v>29</v>
      </c>
    </row>
    <row r="5028" spans="1:14">
      <c r="A5028" s="4" t="str">
        <f t="shared" si="477"/>
        <v>EXP00174</v>
      </c>
      <c r="B5028" s="4" t="str">
        <f t="shared" si="478"/>
        <v>24097821</v>
      </c>
      <c r="C5028" s="4" t="str">
        <f t="shared" si="479"/>
        <v>GSE46928</v>
      </c>
      <c r="D5028" s="1" t="s">
        <v>62</v>
      </c>
      <c r="E5028" t="s">
        <v>30</v>
      </c>
      <c r="F5028" s="1">
        <v>1</v>
      </c>
      <c r="G5028" s="1" t="s">
        <v>31</v>
      </c>
      <c r="H5028" s="4" t="str">
        <f>HYPERLINK("https://www.ncbi.nlm.nih.gov/geo/query/acc.cgi?acc=GSM1141305","GSM1141305")</f>
        <v>GSM1141305</v>
      </c>
      <c r="I5028" t="s">
        <v>17</v>
      </c>
      <c r="J5028" t="s">
        <v>18</v>
      </c>
      <c r="K5028" t="s">
        <v>19</v>
      </c>
      <c r="L5028" t="s">
        <v>20</v>
      </c>
      <c r="M5028" t="s">
        <v>21</v>
      </c>
      <c r="N5028" t="s">
        <v>29</v>
      </c>
    </row>
    <row r="5029" spans="1:14">
      <c r="A5029" s="4" t="str">
        <f t="shared" si="477"/>
        <v>EXP00174</v>
      </c>
      <c r="B5029" s="4" t="str">
        <f t="shared" si="478"/>
        <v>24097821</v>
      </c>
      <c r="C5029" s="4" t="str">
        <f t="shared" si="479"/>
        <v>GSE46928</v>
      </c>
      <c r="D5029" s="1" t="s">
        <v>62</v>
      </c>
      <c r="E5029" t="s">
        <v>30</v>
      </c>
      <c r="F5029" s="1">
        <v>1</v>
      </c>
      <c r="G5029" s="1" t="s">
        <v>31</v>
      </c>
      <c r="H5029" s="4" t="str">
        <f>HYPERLINK("https://www.ncbi.nlm.nih.gov/geo/query/acc.cgi?acc=GSM1141309","GSM1141309")</f>
        <v>GSM1141309</v>
      </c>
      <c r="I5029" t="s">
        <v>17</v>
      </c>
      <c r="J5029" t="s">
        <v>18</v>
      </c>
      <c r="K5029" t="s">
        <v>19</v>
      </c>
      <c r="L5029" t="s">
        <v>20</v>
      </c>
      <c r="M5029" t="s">
        <v>21</v>
      </c>
      <c r="N5029" t="s">
        <v>29</v>
      </c>
    </row>
    <row r="5030" spans="1:14">
      <c r="A5030" s="4" t="str">
        <f t="shared" si="477"/>
        <v>EXP00174</v>
      </c>
      <c r="B5030" s="4" t="str">
        <f t="shared" si="478"/>
        <v>24097821</v>
      </c>
      <c r="C5030" s="4" t="str">
        <f t="shared" si="479"/>
        <v>GSE46928</v>
      </c>
      <c r="D5030" s="1" t="s">
        <v>62</v>
      </c>
      <c r="E5030" t="s">
        <v>30</v>
      </c>
      <c r="F5030" s="1">
        <v>1</v>
      </c>
      <c r="G5030" s="1" t="s">
        <v>31</v>
      </c>
      <c r="H5030" s="4" t="str">
        <f>HYPERLINK("https://www.ncbi.nlm.nih.gov/geo/query/acc.cgi?acc=GSM1141310","GSM1141310")</f>
        <v>GSM1141310</v>
      </c>
      <c r="I5030" t="s">
        <v>17</v>
      </c>
      <c r="J5030" t="s">
        <v>18</v>
      </c>
      <c r="K5030" t="s">
        <v>19</v>
      </c>
      <c r="L5030" t="s">
        <v>20</v>
      </c>
      <c r="M5030" t="s">
        <v>21</v>
      </c>
      <c r="N5030" t="s">
        <v>29</v>
      </c>
    </row>
    <row r="5031" spans="1:14">
      <c r="A5031" s="4" t="str">
        <f t="shared" si="477"/>
        <v>EXP00174</v>
      </c>
      <c r="B5031" s="4" t="str">
        <f t="shared" si="478"/>
        <v>24097821</v>
      </c>
      <c r="C5031" s="4" t="str">
        <f t="shared" si="479"/>
        <v>GSE46928</v>
      </c>
      <c r="D5031" s="1" t="s">
        <v>62</v>
      </c>
      <c r="E5031" t="s">
        <v>30</v>
      </c>
      <c r="F5031" s="1">
        <v>1</v>
      </c>
      <c r="G5031" s="1" t="s">
        <v>31</v>
      </c>
      <c r="H5031" s="4" t="str">
        <f>HYPERLINK("https://www.ncbi.nlm.nih.gov/geo/query/acc.cgi?acc=GSM1141313","GSM1141313")</f>
        <v>GSM1141313</v>
      </c>
      <c r="I5031" t="s">
        <v>17</v>
      </c>
      <c r="J5031" t="s">
        <v>18</v>
      </c>
      <c r="K5031" t="s">
        <v>19</v>
      </c>
      <c r="L5031" t="s">
        <v>20</v>
      </c>
      <c r="M5031" t="s">
        <v>21</v>
      </c>
      <c r="N5031" t="s">
        <v>29</v>
      </c>
    </row>
    <row r="5032" spans="1:14">
      <c r="A5032" s="4" t="str">
        <f t="shared" si="477"/>
        <v>EXP00174</v>
      </c>
      <c r="B5032" s="4" t="str">
        <f t="shared" si="478"/>
        <v>24097821</v>
      </c>
      <c r="C5032" s="4" t="str">
        <f t="shared" si="479"/>
        <v>GSE46928</v>
      </c>
      <c r="D5032" s="1" t="s">
        <v>62</v>
      </c>
      <c r="E5032" t="s">
        <v>30</v>
      </c>
      <c r="F5032" s="1">
        <v>1</v>
      </c>
      <c r="G5032" s="1" t="s">
        <v>31</v>
      </c>
      <c r="H5032" s="4" t="str">
        <f>HYPERLINK("https://www.ncbi.nlm.nih.gov/geo/query/acc.cgi?acc=GSM1141315","GSM1141315")</f>
        <v>GSM1141315</v>
      </c>
      <c r="I5032" t="s">
        <v>17</v>
      </c>
      <c r="J5032" t="s">
        <v>18</v>
      </c>
      <c r="K5032" t="s">
        <v>19</v>
      </c>
      <c r="L5032" t="s">
        <v>20</v>
      </c>
      <c r="M5032" t="s">
        <v>21</v>
      </c>
      <c r="N5032" t="s">
        <v>29</v>
      </c>
    </row>
    <row r="5033" spans="1:14">
      <c r="A5033" s="4" t="str">
        <f t="shared" si="477"/>
        <v>EXP00174</v>
      </c>
      <c r="B5033" s="4" t="str">
        <f t="shared" si="478"/>
        <v>24097821</v>
      </c>
      <c r="C5033" s="4" t="str">
        <f t="shared" si="479"/>
        <v>GSE46928</v>
      </c>
      <c r="D5033" s="1" t="s">
        <v>62</v>
      </c>
      <c r="E5033" t="s">
        <v>30</v>
      </c>
      <c r="F5033" s="1">
        <v>1</v>
      </c>
      <c r="G5033" s="1" t="s">
        <v>31</v>
      </c>
      <c r="H5033" s="4" t="str">
        <f>HYPERLINK("https://www.ncbi.nlm.nih.gov/geo/query/acc.cgi?acc=GSM1141320","GSM1141320")</f>
        <v>GSM1141320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29</v>
      </c>
    </row>
    <row r="5034" spans="1:14">
      <c r="A5034" s="4" t="str">
        <f t="shared" si="477"/>
        <v>EXP00174</v>
      </c>
      <c r="B5034" s="4" t="str">
        <f t="shared" si="478"/>
        <v>24097821</v>
      </c>
      <c r="C5034" s="4" t="str">
        <f t="shared" si="479"/>
        <v>GSE46928</v>
      </c>
      <c r="D5034" s="1" t="s">
        <v>62</v>
      </c>
      <c r="E5034" t="s">
        <v>30</v>
      </c>
      <c r="F5034" s="1">
        <v>2</v>
      </c>
      <c r="G5034" s="1" t="s">
        <v>32</v>
      </c>
      <c r="H5034" s="4" t="str">
        <f>HYPERLINK("https://www.ncbi.nlm.nih.gov/geo/query/acc.cgi?acc=GSM1141269","GSM1141269")</f>
        <v>GSM1141269</v>
      </c>
      <c r="I5034" t="s">
        <v>17</v>
      </c>
      <c r="J5034" t="s">
        <v>18</v>
      </c>
      <c r="K5034" t="s">
        <v>33</v>
      </c>
      <c r="L5034" t="s">
        <v>20</v>
      </c>
      <c r="N5034" t="s">
        <v>29</v>
      </c>
    </row>
    <row r="5035" spans="1:14">
      <c r="A5035" s="4" t="str">
        <f t="shared" si="477"/>
        <v>EXP00174</v>
      </c>
      <c r="B5035" s="4" t="str">
        <f t="shared" si="478"/>
        <v>24097821</v>
      </c>
      <c r="C5035" s="4" t="str">
        <f t="shared" si="479"/>
        <v>GSE46928</v>
      </c>
      <c r="D5035" s="1" t="s">
        <v>62</v>
      </c>
      <c r="E5035" t="s">
        <v>30</v>
      </c>
      <c r="F5035" s="1">
        <v>2</v>
      </c>
      <c r="G5035" s="1" t="s">
        <v>32</v>
      </c>
      <c r="H5035" s="4" t="str">
        <f>HYPERLINK("https://www.ncbi.nlm.nih.gov/geo/query/acc.cgi?acc=GSM1141270","GSM1141270")</f>
        <v>GSM1141270</v>
      </c>
      <c r="I5035" t="s">
        <v>17</v>
      </c>
      <c r="J5035" t="s">
        <v>18</v>
      </c>
      <c r="K5035" t="s">
        <v>33</v>
      </c>
      <c r="L5035" t="s">
        <v>20</v>
      </c>
      <c r="N5035" t="s">
        <v>29</v>
      </c>
    </row>
    <row r="5036" spans="1:14">
      <c r="A5036" s="4" t="str">
        <f t="shared" si="477"/>
        <v>EXP00174</v>
      </c>
      <c r="B5036" s="4" t="str">
        <f t="shared" si="478"/>
        <v>24097821</v>
      </c>
      <c r="C5036" s="4" t="str">
        <f t="shared" si="479"/>
        <v>GSE46928</v>
      </c>
      <c r="D5036" s="1" t="s">
        <v>62</v>
      </c>
      <c r="E5036" t="s">
        <v>30</v>
      </c>
      <c r="F5036" s="1">
        <v>2</v>
      </c>
      <c r="G5036" s="1" t="s">
        <v>32</v>
      </c>
      <c r="H5036" s="4" t="str">
        <f>HYPERLINK("https://www.ncbi.nlm.nih.gov/geo/query/acc.cgi?acc=GSM1141271","GSM1141271")</f>
        <v>GSM1141271</v>
      </c>
      <c r="I5036" t="s">
        <v>17</v>
      </c>
      <c r="J5036" t="s">
        <v>18</v>
      </c>
      <c r="K5036" t="s">
        <v>33</v>
      </c>
      <c r="L5036" t="s">
        <v>20</v>
      </c>
      <c r="N5036" t="s">
        <v>29</v>
      </c>
    </row>
    <row r="5037" spans="1:14">
      <c r="A5037" s="4" t="str">
        <f t="shared" si="477"/>
        <v>EXP00174</v>
      </c>
      <c r="B5037" s="4" t="str">
        <f t="shared" si="478"/>
        <v>24097821</v>
      </c>
      <c r="C5037" s="4" t="str">
        <f t="shared" si="479"/>
        <v>GSE46928</v>
      </c>
      <c r="D5037" s="1" t="s">
        <v>62</v>
      </c>
      <c r="E5037" t="s">
        <v>30</v>
      </c>
      <c r="F5037" s="1">
        <v>2</v>
      </c>
      <c r="G5037" s="1" t="s">
        <v>32</v>
      </c>
      <c r="H5037" s="4" t="str">
        <f>HYPERLINK("https://www.ncbi.nlm.nih.gov/geo/query/acc.cgi?acc=GSM1141272","GSM1141272")</f>
        <v>GSM1141272</v>
      </c>
      <c r="I5037" t="s">
        <v>17</v>
      </c>
      <c r="J5037" t="s">
        <v>18</v>
      </c>
      <c r="K5037" t="s">
        <v>33</v>
      </c>
      <c r="L5037" t="s">
        <v>20</v>
      </c>
      <c r="N5037" t="s">
        <v>29</v>
      </c>
    </row>
    <row r="5038" spans="1:14">
      <c r="A5038" s="4" t="str">
        <f t="shared" si="477"/>
        <v>EXP00174</v>
      </c>
      <c r="B5038" s="4" t="str">
        <f t="shared" si="478"/>
        <v>24097821</v>
      </c>
      <c r="C5038" s="4" t="str">
        <f t="shared" si="479"/>
        <v>GSE46928</v>
      </c>
      <c r="D5038" s="1" t="s">
        <v>62</v>
      </c>
      <c r="E5038" t="s">
        <v>30</v>
      </c>
      <c r="F5038" s="1">
        <v>2</v>
      </c>
      <c r="G5038" s="1" t="s">
        <v>32</v>
      </c>
      <c r="H5038" s="4" t="str">
        <f>HYPERLINK("https://www.ncbi.nlm.nih.gov/geo/query/acc.cgi?acc=GSM1141274","GSM1141274")</f>
        <v>GSM1141274</v>
      </c>
      <c r="I5038" t="s">
        <v>17</v>
      </c>
      <c r="J5038" t="s">
        <v>18</v>
      </c>
      <c r="K5038" t="s">
        <v>33</v>
      </c>
      <c r="L5038" t="s">
        <v>20</v>
      </c>
      <c r="N5038" t="s">
        <v>29</v>
      </c>
    </row>
    <row r="5039" spans="1:14">
      <c r="A5039" s="4" t="str">
        <f t="shared" si="477"/>
        <v>EXP00174</v>
      </c>
      <c r="B5039" s="4" t="str">
        <f t="shared" si="478"/>
        <v>24097821</v>
      </c>
      <c r="C5039" s="4" t="str">
        <f t="shared" si="479"/>
        <v>GSE46928</v>
      </c>
      <c r="D5039" s="1" t="s">
        <v>62</v>
      </c>
      <c r="E5039" t="s">
        <v>30</v>
      </c>
      <c r="F5039" s="1">
        <v>2</v>
      </c>
      <c r="G5039" s="1" t="s">
        <v>32</v>
      </c>
      <c r="H5039" s="4" t="str">
        <f>HYPERLINK("https://www.ncbi.nlm.nih.gov/geo/query/acc.cgi?acc=GSM1141275","GSM1141275")</f>
        <v>GSM1141275</v>
      </c>
      <c r="I5039" t="s">
        <v>17</v>
      </c>
      <c r="J5039" t="s">
        <v>18</v>
      </c>
      <c r="K5039" t="s">
        <v>33</v>
      </c>
      <c r="L5039" t="s">
        <v>20</v>
      </c>
      <c r="N5039" t="s">
        <v>29</v>
      </c>
    </row>
    <row r="5040" spans="1:14">
      <c r="A5040" s="4" t="str">
        <f t="shared" si="477"/>
        <v>EXP00174</v>
      </c>
      <c r="B5040" s="4" t="str">
        <f t="shared" si="478"/>
        <v>24097821</v>
      </c>
      <c r="C5040" s="4" t="str">
        <f t="shared" si="479"/>
        <v>GSE46928</v>
      </c>
      <c r="D5040" s="1" t="s">
        <v>62</v>
      </c>
      <c r="E5040" t="s">
        <v>30</v>
      </c>
      <c r="F5040" s="1">
        <v>2</v>
      </c>
      <c r="G5040" s="1" t="s">
        <v>32</v>
      </c>
      <c r="H5040" s="4" t="str">
        <f>HYPERLINK("https://www.ncbi.nlm.nih.gov/geo/query/acc.cgi?acc=GSM1141277","GSM1141277")</f>
        <v>GSM1141277</v>
      </c>
      <c r="I5040" t="s">
        <v>17</v>
      </c>
      <c r="J5040" t="s">
        <v>18</v>
      </c>
      <c r="K5040" t="s">
        <v>33</v>
      </c>
      <c r="L5040" t="s">
        <v>20</v>
      </c>
      <c r="N5040" t="s">
        <v>29</v>
      </c>
    </row>
    <row r="5041" spans="1:14">
      <c r="A5041" s="4" t="str">
        <f t="shared" si="477"/>
        <v>EXP00174</v>
      </c>
      <c r="B5041" s="4" t="str">
        <f t="shared" si="478"/>
        <v>24097821</v>
      </c>
      <c r="C5041" s="4" t="str">
        <f t="shared" si="479"/>
        <v>GSE46928</v>
      </c>
      <c r="D5041" s="1" t="s">
        <v>62</v>
      </c>
      <c r="E5041" t="s">
        <v>30</v>
      </c>
      <c r="F5041" s="1">
        <v>2</v>
      </c>
      <c r="G5041" s="1" t="s">
        <v>32</v>
      </c>
      <c r="H5041" s="4" t="str">
        <f>HYPERLINK("https://www.ncbi.nlm.nih.gov/geo/query/acc.cgi?acc=GSM1141278","GSM1141278")</f>
        <v>GSM1141278</v>
      </c>
      <c r="I5041" t="s">
        <v>17</v>
      </c>
      <c r="J5041" t="s">
        <v>18</v>
      </c>
      <c r="K5041" t="s">
        <v>33</v>
      </c>
      <c r="L5041" t="s">
        <v>20</v>
      </c>
      <c r="N5041" t="s">
        <v>29</v>
      </c>
    </row>
    <row r="5042" spans="1:14">
      <c r="A5042" s="4" t="str">
        <f t="shared" si="477"/>
        <v>EXP00174</v>
      </c>
      <c r="B5042" s="4" t="str">
        <f t="shared" si="478"/>
        <v>24097821</v>
      </c>
      <c r="C5042" s="4" t="str">
        <f t="shared" si="479"/>
        <v>GSE46928</v>
      </c>
      <c r="D5042" s="1" t="s">
        <v>62</v>
      </c>
      <c r="E5042" t="s">
        <v>30</v>
      </c>
      <c r="F5042" s="1">
        <v>2</v>
      </c>
      <c r="G5042" s="1" t="s">
        <v>32</v>
      </c>
      <c r="H5042" s="4" t="str">
        <f>HYPERLINK("https://www.ncbi.nlm.nih.gov/geo/query/acc.cgi?acc=GSM1141279","GSM1141279")</f>
        <v>GSM1141279</v>
      </c>
      <c r="I5042" t="s">
        <v>17</v>
      </c>
      <c r="J5042" t="s">
        <v>18</v>
      </c>
      <c r="K5042" t="s">
        <v>33</v>
      </c>
      <c r="L5042" t="s">
        <v>20</v>
      </c>
      <c r="N5042" t="s">
        <v>29</v>
      </c>
    </row>
    <row r="5043" spans="1:14">
      <c r="A5043" s="4" t="str">
        <f t="shared" si="477"/>
        <v>EXP00174</v>
      </c>
      <c r="B5043" s="4" t="str">
        <f t="shared" si="478"/>
        <v>24097821</v>
      </c>
      <c r="C5043" s="4" t="str">
        <f t="shared" si="479"/>
        <v>GSE46928</v>
      </c>
      <c r="D5043" s="1" t="s">
        <v>62</v>
      </c>
      <c r="E5043" t="s">
        <v>30</v>
      </c>
      <c r="F5043" s="1">
        <v>2</v>
      </c>
      <c r="G5043" s="1" t="s">
        <v>32</v>
      </c>
      <c r="H5043" s="4" t="str">
        <f>HYPERLINK("https://www.ncbi.nlm.nih.gov/geo/query/acc.cgi?acc=GSM1141280","GSM1141280")</f>
        <v>GSM1141280</v>
      </c>
      <c r="I5043" t="s">
        <v>17</v>
      </c>
      <c r="J5043" t="s">
        <v>18</v>
      </c>
      <c r="K5043" t="s">
        <v>33</v>
      </c>
      <c r="L5043" t="s">
        <v>20</v>
      </c>
      <c r="N5043" t="s">
        <v>29</v>
      </c>
    </row>
    <row r="5044" spans="1:14">
      <c r="A5044" s="4" t="str">
        <f t="shared" si="477"/>
        <v>EXP00174</v>
      </c>
      <c r="B5044" s="4" t="str">
        <f t="shared" si="478"/>
        <v>24097821</v>
      </c>
      <c r="C5044" s="4" t="str">
        <f t="shared" si="479"/>
        <v>GSE46928</v>
      </c>
      <c r="D5044" s="1" t="s">
        <v>62</v>
      </c>
      <c r="E5044" t="s">
        <v>30</v>
      </c>
      <c r="F5044" s="1">
        <v>2</v>
      </c>
      <c r="G5044" s="1" t="s">
        <v>32</v>
      </c>
      <c r="H5044" s="4" t="str">
        <f>HYPERLINK("https://www.ncbi.nlm.nih.gov/geo/query/acc.cgi?acc=GSM1141282","GSM1141282")</f>
        <v>GSM1141282</v>
      </c>
      <c r="I5044" t="s">
        <v>17</v>
      </c>
      <c r="J5044" t="s">
        <v>18</v>
      </c>
      <c r="K5044" t="s">
        <v>33</v>
      </c>
      <c r="L5044" t="s">
        <v>20</v>
      </c>
      <c r="N5044" t="s">
        <v>29</v>
      </c>
    </row>
    <row r="5045" spans="1:14">
      <c r="A5045" s="4" t="str">
        <f t="shared" si="477"/>
        <v>EXP00174</v>
      </c>
      <c r="B5045" s="4" t="str">
        <f t="shared" si="478"/>
        <v>24097821</v>
      </c>
      <c r="C5045" s="4" t="str">
        <f t="shared" si="479"/>
        <v>GSE46928</v>
      </c>
      <c r="D5045" s="1" t="s">
        <v>62</v>
      </c>
      <c r="E5045" t="s">
        <v>30</v>
      </c>
      <c r="F5045" s="1">
        <v>2</v>
      </c>
      <c r="G5045" s="1" t="s">
        <v>32</v>
      </c>
      <c r="H5045" s="4" t="str">
        <f>HYPERLINK("https://www.ncbi.nlm.nih.gov/geo/query/acc.cgi?acc=GSM1141284","GSM1141284")</f>
        <v>GSM1141284</v>
      </c>
      <c r="I5045" t="s">
        <v>17</v>
      </c>
      <c r="J5045" t="s">
        <v>18</v>
      </c>
      <c r="K5045" t="s">
        <v>33</v>
      </c>
      <c r="L5045" t="s">
        <v>20</v>
      </c>
      <c r="N5045" t="s">
        <v>29</v>
      </c>
    </row>
    <row r="5046" spans="1:14">
      <c r="A5046" s="4" t="str">
        <f t="shared" si="477"/>
        <v>EXP00174</v>
      </c>
      <c r="B5046" s="4" t="str">
        <f t="shared" si="478"/>
        <v>24097821</v>
      </c>
      <c r="C5046" s="4" t="str">
        <f t="shared" si="479"/>
        <v>GSE46928</v>
      </c>
      <c r="D5046" s="1" t="s">
        <v>62</v>
      </c>
      <c r="E5046" t="s">
        <v>30</v>
      </c>
      <c r="F5046" s="1">
        <v>2</v>
      </c>
      <c r="G5046" s="1" t="s">
        <v>32</v>
      </c>
      <c r="H5046" s="4" t="str">
        <f>HYPERLINK("https://www.ncbi.nlm.nih.gov/geo/query/acc.cgi?acc=GSM1141285","GSM1141285")</f>
        <v>GSM1141285</v>
      </c>
      <c r="I5046" t="s">
        <v>17</v>
      </c>
      <c r="J5046" t="s">
        <v>18</v>
      </c>
      <c r="K5046" t="s">
        <v>33</v>
      </c>
      <c r="L5046" t="s">
        <v>20</v>
      </c>
      <c r="N5046" t="s">
        <v>29</v>
      </c>
    </row>
    <row r="5047" spans="1:14">
      <c r="A5047" s="4" t="str">
        <f t="shared" si="477"/>
        <v>EXP00174</v>
      </c>
      <c r="B5047" s="4" t="str">
        <f t="shared" si="478"/>
        <v>24097821</v>
      </c>
      <c r="C5047" s="4" t="str">
        <f t="shared" si="479"/>
        <v>GSE46928</v>
      </c>
      <c r="D5047" s="1" t="s">
        <v>62</v>
      </c>
      <c r="E5047" t="s">
        <v>30</v>
      </c>
      <c r="F5047" s="1">
        <v>2</v>
      </c>
      <c r="G5047" s="1" t="s">
        <v>32</v>
      </c>
      <c r="H5047" s="4" t="str">
        <f>HYPERLINK("https://www.ncbi.nlm.nih.gov/geo/query/acc.cgi?acc=GSM1141286","GSM1141286")</f>
        <v>GSM1141286</v>
      </c>
      <c r="I5047" t="s">
        <v>17</v>
      </c>
      <c r="J5047" t="s">
        <v>18</v>
      </c>
      <c r="K5047" t="s">
        <v>33</v>
      </c>
      <c r="L5047" t="s">
        <v>20</v>
      </c>
      <c r="N5047" t="s">
        <v>29</v>
      </c>
    </row>
    <row r="5048" spans="1:14">
      <c r="A5048" s="4" t="str">
        <f t="shared" si="477"/>
        <v>EXP00174</v>
      </c>
      <c r="B5048" s="4" t="str">
        <f t="shared" si="478"/>
        <v>24097821</v>
      </c>
      <c r="C5048" s="4" t="str">
        <f t="shared" si="479"/>
        <v>GSE46928</v>
      </c>
      <c r="D5048" s="1" t="s">
        <v>62</v>
      </c>
      <c r="E5048" t="s">
        <v>30</v>
      </c>
      <c r="F5048" s="1">
        <v>2</v>
      </c>
      <c r="G5048" s="1" t="s">
        <v>32</v>
      </c>
      <c r="H5048" s="4" t="str">
        <f>HYPERLINK("https://www.ncbi.nlm.nih.gov/geo/query/acc.cgi?acc=GSM1141287","GSM1141287")</f>
        <v>GSM1141287</v>
      </c>
      <c r="I5048" t="s">
        <v>17</v>
      </c>
      <c r="J5048" t="s">
        <v>18</v>
      </c>
      <c r="K5048" t="s">
        <v>33</v>
      </c>
      <c r="L5048" t="s">
        <v>20</v>
      </c>
      <c r="N5048" t="s">
        <v>29</v>
      </c>
    </row>
    <row r="5049" spans="1:14">
      <c r="A5049" s="4" t="str">
        <f t="shared" si="477"/>
        <v>EXP00174</v>
      </c>
      <c r="B5049" s="4" t="str">
        <f t="shared" si="478"/>
        <v>24097821</v>
      </c>
      <c r="C5049" s="4" t="str">
        <f t="shared" si="479"/>
        <v>GSE46928</v>
      </c>
      <c r="D5049" s="1" t="s">
        <v>62</v>
      </c>
      <c r="E5049" t="s">
        <v>30</v>
      </c>
      <c r="F5049" s="1">
        <v>2</v>
      </c>
      <c r="G5049" s="1" t="s">
        <v>32</v>
      </c>
      <c r="H5049" s="4" t="str">
        <f>HYPERLINK("https://www.ncbi.nlm.nih.gov/geo/query/acc.cgi?acc=GSM1141288","GSM1141288")</f>
        <v>GSM1141288</v>
      </c>
      <c r="I5049" t="s">
        <v>17</v>
      </c>
      <c r="J5049" t="s">
        <v>18</v>
      </c>
      <c r="K5049" t="s">
        <v>33</v>
      </c>
      <c r="L5049" t="s">
        <v>20</v>
      </c>
      <c r="N5049" t="s">
        <v>29</v>
      </c>
    </row>
    <row r="5050" spans="1:14">
      <c r="A5050" s="4" t="str">
        <f t="shared" si="477"/>
        <v>EXP00174</v>
      </c>
      <c r="B5050" s="4" t="str">
        <f t="shared" si="478"/>
        <v>24097821</v>
      </c>
      <c r="C5050" s="4" t="str">
        <f t="shared" si="479"/>
        <v>GSE46928</v>
      </c>
      <c r="D5050" s="1" t="s">
        <v>62</v>
      </c>
      <c r="E5050" t="s">
        <v>30</v>
      </c>
      <c r="F5050" s="1">
        <v>2</v>
      </c>
      <c r="G5050" s="1" t="s">
        <v>32</v>
      </c>
      <c r="H5050" s="4" t="str">
        <f>HYPERLINK("https://www.ncbi.nlm.nih.gov/geo/query/acc.cgi?acc=GSM1141289","GSM1141289")</f>
        <v>GSM1141289</v>
      </c>
      <c r="I5050" t="s">
        <v>17</v>
      </c>
      <c r="J5050" t="s">
        <v>18</v>
      </c>
      <c r="K5050" t="s">
        <v>33</v>
      </c>
      <c r="L5050" t="s">
        <v>20</v>
      </c>
      <c r="N5050" t="s">
        <v>29</v>
      </c>
    </row>
    <row r="5051" spans="1:14">
      <c r="A5051" s="4" t="str">
        <f t="shared" si="477"/>
        <v>EXP00174</v>
      </c>
      <c r="B5051" s="4" t="str">
        <f t="shared" si="478"/>
        <v>24097821</v>
      </c>
      <c r="C5051" s="4" t="str">
        <f t="shared" si="479"/>
        <v>GSE46928</v>
      </c>
      <c r="D5051" s="1" t="s">
        <v>62</v>
      </c>
      <c r="E5051" t="s">
        <v>30</v>
      </c>
      <c r="F5051" s="1">
        <v>2</v>
      </c>
      <c r="G5051" s="1" t="s">
        <v>32</v>
      </c>
      <c r="H5051" s="4" t="str">
        <f>HYPERLINK("https://www.ncbi.nlm.nih.gov/geo/query/acc.cgi?acc=GSM1141290","GSM1141290")</f>
        <v>GSM1141290</v>
      </c>
      <c r="I5051" t="s">
        <v>17</v>
      </c>
      <c r="J5051" t="s">
        <v>18</v>
      </c>
      <c r="K5051" t="s">
        <v>33</v>
      </c>
      <c r="L5051" t="s">
        <v>20</v>
      </c>
      <c r="N5051" t="s">
        <v>29</v>
      </c>
    </row>
    <row r="5052" spans="1:14">
      <c r="A5052" s="4" t="str">
        <f t="shared" si="477"/>
        <v>EXP00174</v>
      </c>
      <c r="B5052" s="4" t="str">
        <f t="shared" si="478"/>
        <v>24097821</v>
      </c>
      <c r="C5052" s="4" t="str">
        <f t="shared" si="479"/>
        <v>GSE46928</v>
      </c>
      <c r="D5052" s="1" t="s">
        <v>62</v>
      </c>
      <c r="E5052" t="s">
        <v>30</v>
      </c>
      <c r="F5052" s="1">
        <v>2</v>
      </c>
      <c r="G5052" s="1" t="s">
        <v>32</v>
      </c>
      <c r="H5052" s="4" t="str">
        <f>HYPERLINK("https://www.ncbi.nlm.nih.gov/geo/query/acc.cgi?acc=GSM1141291","GSM1141291")</f>
        <v>GSM1141291</v>
      </c>
      <c r="I5052" t="s">
        <v>17</v>
      </c>
      <c r="J5052" t="s">
        <v>18</v>
      </c>
      <c r="K5052" t="s">
        <v>33</v>
      </c>
      <c r="L5052" t="s">
        <v>20</v>
      </c>
      <c r="N5052" t="s">
        <v>29</v>
      </c>
    </row>
    <row r="5053" spans="1:14">
      <c r="A5053" s="4" t="str">
        <f t="shared" si="477"/>
        <v>EXP00174</v>
      </c>
      <c r="B5053" s="4" t="str">
        <f t="shared" si="478"/>
        <v>24097821</v>
      </c>
      <c r="C5053" s="4" t="str">
        <f t="shared" si="479"/>
        <v>GSE46928</v>
      </c>
      <c r="D5053" s="1" t="s">
        <v>62</v>
      </c>
      <c r="E5053" t="s">
        <v>30</v>
      </c>
      <c r="F5053" s="1">
        <v>2</v>
      </c>
      <c r="G5053" s="1" t="s">
        <v>32</v>
      </c>
      <c r="H5053" s="4" t="str">
        <f>HYPERLINK("https://www.ncbi.nlm.nih.gov/geo/query/acc.cgi?acc=GSM1141292","GSM1141292")</f>
        <v>GSM1141292</v>
      </c>
      <c r="I5053" t="s">
        <v>17</v>
      </c>
      <c r="J5053" t="s">
        <v>18</v>
      </c>
      <c r="K5053" t="s">
        <v>33</v>
      </c>
      <c r="L5053" t="s">
        <v>20</v>
      </c>
      <c r="N5053" t="s">
        <v>29</v>
      </c>
    </row>
    <row r="5054" spans="1:14">
      <c r="A5054" s="4" t="str">
        <f t="shared" si="477"/>
        <v>EXP00174</v>
      </c>
      <c r="B5054" s="4" t="str">
        <f t="shared" si="478"/>
        <v>24097821</v>
      </c>
      <c r="C5054" s="4" t="str">
        <f t="shared" si="479"/>
        <v>GSE46928</v>
      </c>
      <c r="D5054" s="1" t="s">
        <v>62</v>
      </c>
      <c r="E5054" t="s">
        <v>30</v>
      </c>
      <c r="F5054" s="1">
        <v>2</v>
      </c>
      <c r="G5054" s="1" t="s">
        <v>32</v>
      </c>
      <c r="H5054" s="4" t="str">
        <f>HYPERLINK("https://www.ncbi.nlm.nih.gov/geo/query/acc.cgi?acc=GSM1141293","GSM1141293")</f>
        <v>GSM1141293</v>
      </c>
      <c r="I5054" t="s">
        <v>17</v>
      </c>
      <c r="J5054" t="s">
        <v>18</v>
      </c>
      <c r="K5054" t="s">
        <v>33</v>
      </c>
      <c r="L5054" t="s">
        <v>20</v>
      </c>
      <c r="N5054" t="s">
        <v>29</v>
      </c>
    </row>
    <row r="5055" spans="1:14">
      <c r="A5055" s="4" t="str">
        <f t="shared" ref="A5055:A5074" si="480">HYPERLINK("http://hcmdb.i-sanger.com/experiment/details/experiment_id/EXP00174","EXP00174")</f>
        <v>EXP00174</v>
      </c>
      <c r="B5055" s="4" t="str">
        <f t="shared" ref="B5055:B5074" si="481">HYPERLINK("https://www.ncbi.nlm.nih.gov/pubmed/24097821","24097821")</f>
        <v>24097821</v>
      </c>
      <c r="C5055" s="4" t="str">
        <f t="shared" ref="C5055:C5074" si="482">HYPERLINK("https://www.ncbi.nlm.nih.gov/geo/query/acc.cgi?acc=GSE46928","GSE46928")</f>
        <v>GSE46928</v>
      </c>
      <c r="D5055" s="1" t="s">
        <v>62</v>
      </c>
      <c r="E5055" t="s">
        <v>30</v>
      </c>
      <c r="F5055" s="1">
        <v>2</v>
      </c>
      <c r="G5055" s="1" t="s">
        <v>32</v>
      </c>
      <c r="H5055" s="4" t="str">
        <f>HYPERLINK("https://www.ncbi.nlm.nih.gov/geo/query/acc.cgi?acc=GSM1141294","GSM1141294")</f>
        <v>GSM1141294</v>
      </c>
      <c r="I5055" t="s">
        <v>17</v>
      </c>
      <c r="J5055" t="s">
        <v>18</v>
      </c>
      <c r="K5055" t="s">
        <v>33</v>
      </c>
      <c r="L5055" t="s">
        <v>20</v>
      </c>
      <c r="N5055" t="s">
        <v>29</v>
      </c>
    </row>
    <row r="5056" spans="1:14">
      <c r="A5056" s="4" t="str">
        <f t="shared" si="480"/>
        <v>EXP00174</v>
      </c>
      <c r="B5056" s="4" t="str">
        <f t="shared" si="481"/>
        <v>24097821</v>
      </c>
      <c r="C5056" s="4" t="str">
        <f t="shared" si="482"/>
        <v>GSE46928</v>
      </c>
      <c r="D5056" s="1" t="s">
        <v>62</v>
      </c>
      <c r="E5056" t="s">
        <v>30</v>
      </c>
      <c r="F5056" s="1">
        <v>2</v>
      </c>
      <c r="G5056" s="1" t="s">
        <v>32</v>
      </c>
      <c r="H5056" s="4" t="str">
        <f>HYPERLINK("https://www.ncbi.nlm.nih.gov/geo/query/acc.cgi?acc=GSM1141295","GSM1141295")</f>
        <v>GSM1141295</v>
      </c>
      <c r="I5056" t="s">
        <v>17</v>
      </c>
      <c r="J5056" t="s">
        <v>18</v>
      </c>
      <c r="K5056" t="s">
        <v>33</v>
      </c>
      <c r="L5056" t="s">
        <v>20</v>
      </c>
      <c r="N5056" t="s">
        <v>29</v>
      </c>
    </row>
    <row r="5057" spans="1:14">
      <c r="A5057" s="4" t="str">
        <f t="shared" si="480"/>
        <v>EXP00174</v>
      </c>
      <c r="B5057" s="4" t="str">
        <f t="shared" si="481"/>
        <v>24097821</v>
      </c>
      <c r="C5057" s="4" t="str">
        <f t="shared" si="482"/>
        <v>GSE46928</v>
      </c>
      <c r="D5057" s="1" t="s">
        <v>62</v>
      </c>
      <c r="E5057" t="s">
        <v>30</v>
      </c>
      <c r="F5057" s="1">
        <v>2</v>
      </c>
      <c r="G5057" s="1" t="s">
        <v>32</v>
      </c>
      <c r="H5057" s="4" t="str">
        <f>HYPERLINK("https://www.ncbi.nlm.nih.gov/geo/query/acc.cgi?acc=GSM1141296","GSM1141296")</f>
        <v>GSM1141296</v>
      </c>
      <c r="I5057" t="s">
        <v>17</v>
      </c>
      <c r="J5057" t="s">
        <v>18</v>
      </c>
      <c r="K5057" t="s">
        <v>33</v>
      </c>
      <c r="L5057" t="s">
        <v>20</v>
      </c>
      <c r="N5057" t="s">
        <v>29</v>
      </c>
    </row>
    <row r="5058" spans="1:14">
      <c r="A5058" s="4" t="str">
        <f t="shared" si="480"/>
        <v>EXP00174</v>
      </c>
      <c r="B5058" s="4" t="str">
        <f t="shared" si="481"/>
        <v>24097821</v>
      </c>
      <c r="C5058" s="4" t="str">
        <f t="shared" si="482"/>
        <v>GSE46928</v>
      </c>
      <c r="D5058" s="1" t="s">
        <v>62</v>
      </c>
      <c r="E5058" t="s">
        <v>30</v>
      </c>
      <c r="F5058" s="1">
        <v>2</v>
      </c>
      <c r="G5058" s="1" t="s">
        <v>32</v>
      </c>
      <c r="H5058" s="4" t="str">
        <f>HYPERLINK("https://www.ncbi.nlm.nih.gov/geo/query/acc.cgi?acc=GSM1141297","GSM1141297")</f>
        <v>GSM1141297</v>
      </c>
      <c r="I5058" t="s">
        <v>17</v>
      </c>
      <c r="J5058" t="s">
        <v>18</v>
      </c>
      <c r="K5058" t="s">
        <v>33</v>
      </c>
      <c r="L5058" t="s">
        <v>20</v>
      </c>
      <c r="N5058" t="s">
        <v>29</v>
      </c>
    </row>
    <row r="5059" spans="1:14">
      <c r="A5059" s="4" t="str">
        <f t="shared" si="480"/>
        <v>EXP00174</v>
      </c>
      <c r="B5059" s="4" t="str">
        <f t="shared" si="481"/>
        <v>24097821</v>
      </c>
      <c r="C5059" s="4" t="str">
        <f t="shared" si="482"/>
        <v>GSE46928</v>
      </c>
      <c r="D5059" s="1" t="s">
        <v>62</v>
      </c>
      <c r="E5059" t="s">
        <v>30</v>
      </c>
      <c r="F5059" s="1">
        <v>2</v>
      </c>
      <c r="G5059" s="1" t="s">
        <v>32</v>
      </c>
      <c r="H5059" s="4" t="str">
        <f>HYPERLINK("https://www.ncbi.nlm.nih.gov/geo/query/acc.cgi?acc=GSM1141299","GSM1141299")</f>
        <v>GSM1141299</v>
      </c>
      <c r="I5059" t="s">
        <v>17</v>
      </c>
      <c r="J5059" t="s">
        <v>18</v>
      </c>
      <c r="K5059" t="s">
        <v>33</v>
      </c>
      <c r="L5059" t="s">
        <v>20</v>
      </c>
      <c r="N5059" t="s">
        <v>29</v>
      </c>
    </row>
    <row r="5060" spans="1:14">
      <c r="A5060" s="4" t="str">
        <f t="shared" si="480"/>
        <v>EXP00174</v>
      </c>
      <c r="B5060" s="4" t="str">
        <f t="shared" si="481"/>
        <v>24097821</v>
      </c>
      <c r="C5060" s="4" t="str">
        <f t="shared" si="482"/>
        <v>GSE46928</v>
      </c>
      <c r="D5060" s="1" t="s">
        <v>62</v>
      </c>
      <c r="E5060" t="s">
        <v>30</v>
      </c>
      <c r="F5060" s="1">
        <v>2</v>
      </c>
      <c r="G5060" s="1" t="s">
        <v>32</v>
      </c>
      <c r="H5060" s="4" t="str">
        <f>HYPERLINK("https://www.ncbi.nlm.nih.gov/geo/query/acc.cgi?acc=GSM1141300","GSM1141300")</f>
        <v>GSM1141300</v>
      </c>
      <c r="I5060" t="s">
        <v>17</v>
      </c>
      <c r="J5060" t="s">
        <v>18</v>
      </c>
      <c r="K5060" t="s">
        <v>33</v>
      </c>
      <c r="L5060" t="s">
        <v>20</v>
      </c>
      <c r="N5060" t="s">
        <v>29</v>
      </c>
    </row>
    <row r="5061" spans="1:14">
      <c r="A5061" s="4" t="str">
        <f t="shared" si="480"/>
        <v>EXP00174</v>
      </c>
      <c r="B5061" s="4" t="str">
        <f t="shared" si="481"/>
        <v>24097821</v>
      </c>
      <c r="C5061" s="4" t="str">
        <f t="shared" si="482"/>
        <v>GSE46928</v>
      </c>
      <c r="D5061" s="1" t="s">
        <v>62</v>
      </c>
      <c r="E5061" t="s">
        <v>30</v>
      </c>
      <c r="F5061" s="1">
        <v>2</v>
      </c>
      <c r="G5061" s="1" t="s">
        <v>32</v>
      </c>
      <c r="H5061" s="4" t="str">
        <f>HYPERLINK("https://www.ncbi.nlm.nih.gov/geo/query/acc.cgi?acc=GSM1141301","GSM1141301")</f>
        <v>GSM1141301</v>
      </c>
      <c r="I5061" t="s">
        <v>17</v>
      </c>
      <c r="J5061" t="s">
        <v>18</v>
      </c>
      <c r="K5061" t="s">
        <v>33</v>
      </c>
      <c r="L5061" t="s">
        <v>20</v>
      </c>
      <c r="N5061" t="s">
        <v>29</v>
      </c>
    </row>
    <row r="5062" spans="1:14">
      <c r="A5062" s="4" t="str">
        <f t="shared" si="480"/>
        <v>EXP00174</v>
      </c>
      <c r="B5062" s="4" t="str">
        <f t="shared" si="481"/>
        <v>24097821</v>
      </c>
      <c r="C5062" s="4" t="str">
        <f t="shared" si="482"/>
        <v>GSE46928</v>
      </c>
      <c r="D5062" s="1" t="s">
        <v>62</v>
      </c>
      <c r="E5062" t="s">
        <v>30</v>
      </c>
      <c r="F5062" s="1">
        <v>2</v>
      </c>
      <c r="G5062" s="1" t="s">
        <v>32</v>
      </c>
      <c r="H5062" s="4" t="str">
        <f>HYPERLINK("https://www.ncbi.nlm.nih.gov/geo/query/acc.cgi?acc=GSM1141302","GSM1141302")</f>
        <v>GSM1141302</v>
      </c>
      <c r="I5062" t="s">
        <v>17</v>
      </c>
      <c r="J5062" t="s">
        <v>18</v>
      </c>
      <c r="K5062" t="s">
        <v>33</v>
      </c>
      <c r="L5062" t="s">
        <v>20</v>
      </c>
      <c r="N5062" t="s">
        <v>29</v>
      </c>
    </row>
    <row r="5063" spans="1:14">
      <c r="A5063" s="4" t="str">
        <f t="shared" si="480"/>
        <v>EXP00174</v>
      </c>
      <c r="B5063" s="4" t="str">
        <f t="shared" si="481"/>
        <v>24097821</v>
      </c>
      <c r="C5063" s="4" t="str">
        <f t="shared" si="482"/>
        <v>GSE46928</v>
      </c>
      <c r="D5063" s="1" t="s">
        <v>62</v>
      </c>
      <c r="E5063" t="s">
        <v>30</v>
      </c>
      <c r="F5063" s="1">
        <v>2</v>
      </c>
      <c r="G5063" s="1" t="s">
        <v>32</v>
      </c>
      <c r="H5063" s="4" t="str">
        <f>HYPERLINK("https://www.ncbi.nlm.nih.gov/geo/query/acc.cgi?acc=GSM1141303","GSM1141303")</f>
        <v>GSM1141303</v>
      </c>
      <c r="I5063" t="s">
        <v>17</v>
      </c>
      <c r="J5063" t="s">
        <v>18</v>
      </c>
      <c r="K5063" t="s">
        <v>33</v>
      </c>
      <c r="L5063" t="s">
        <v>20</v>
      </c>
      <c r="N5063" t="s">
        <v>29</v>
      </c>
    </row>
    <row r="5064" spans="1:14">
      <c r="A5064" s="4" t="str">
        <f t="shared" si="480"/>
        <v>EXP00174</v>
      </c>
      <c r="B5064" s="4" t="str">
        <f t="shared" si="481"/>
        <v>24097821</v>
      </c>
      <c r="C5064" s="4" t="str">
        <f t="shared" si="482"/>
        <v>GSE46928</v>
      </c>
      <c r="D5064" s="1" t="s">
        <v>62</v>
      </c>
      <c r="E5064" t="s">
        <v>30</v>
      </c>
      <c r="F5064" s="1">
        <v>2</v>
      </c>
      <c r="G5064" s="1" t="s">
        <v>32</v>
      </c>
      <c r="H5064" s="4" t="str">
        <f>HYPERLINK("https://www.ncbi.nlm.nih.gov/geo/query/acc.cgi?acc=GSM1141304","GSM1141304")</f>
        <v>GSM1141304</v>
      </c>
      <c r="I5064" t="s">
        <v>17</v>
      </c>
      <c r="J5064" t="s">
        <v>18</v>
      </c>
      <c r="K5064" t="s">
        <v>33</v>
      </c>
      <c r="L5064" t="s">
        <v>20</v>
      </c>
      <c r="N5064" t="s">
        <v>29</v>
      </c>
    </row>
    <row r="5065" spans="1:14">
      <c r="A5065" s="4" t="str">
        <f t="shared" si="480"/>
        <v>EXP00174</v>
      </c>
      <c r="B5065" s="4" t="str">
        <f t="shared" si="481"/>
        <v>24097821</v>
      </c>
      <c r="C5065" s="4" t="str">
        <f t="shared" si="482"/>
        <v>GSE46928</v>
      </c>
      <c r="D5065" s="1" t="s">
        <v>62</v>
      </c>
      <c r="E5065" t="s">
        <v>30</v>
      </c>
      <c r="F5065" s="1">
        <v>2</v>
      </c>
      <c r="G5065" s="1" t="s">
        <v>32</v>
      </c>
      <c r="H5065" s="4" t="str">
        <f>HYPERLINK("https://www.ncbi.nlm.nih.gov/geo/query/acc.cgi?acc=GSM1141306","GSM1141306")</f>
        <v>GSM1141306</v>
      </c>
      <c r="I5065" t="s">
        <v>17</v>
      </c>
      <c r="J5065" t="s">
        <v>18</v>
      </c>
      <c r="K5065" t="s">
        <v>33</v>
      </c>
      <c r="L5065" t="s">
        <v>20</v>
      </c>
      <c r="N5065" t="s">
        <v>29</v>
      </c>
    </row>
    <row r="5066" spans="1:14">
      <c r="A5066" s="4" t="str">
        <f t="shared" si="480"/>
        <v>EXP00174</v>
      </c>
      <c r="B5066" s="4" t="str">
        <f t="shared" si="481"/>
        <v>24097821</v>
      </c>
      <c r="C5066" s="4" t="str">
        <f t="shared" si="482"/>
        <v>GSE46928</v>
      </c>
      <c r="D5066" s="1" t="s">
        <v>62</v>
      </c>
      <c r="E5066" t="s">
        <v>30</v>
      </c>
      <c r="F5066" s="1">
        <v>2</v>
      </c>
      <c r="G5066" s="1" t="s">
        <v>32</v>
      </c>
      <c r="H5066" s="4" t="str">
        <f>HYPERLINK("https://www.ncbi.nlm.nih.gov/geo/query/acc.cgi?acc=GSM1141307","GSM1141307")</f>
        <v>GSM1141307</v>
      </c>
      <c r="I5066" t="s">
        <v>17</v>
      </c>
      <c r="J5066" t="s">
        <v>18</v>
      </c>
      <c r="K5066" t="s">
        <v>33</v>
      </c>
      <c r="L5066" t="s">
        <v>20</v>
      </c>
      <c r="N5066" t="s">
        <v>29</v>
      </c>
    </row>
    <row r="5067" spans="1:14">
      <c r="A5067" s="4" t="str">
        <f t="shared" si="480"/>
        <v>EXP00174</v>
      </c>
      <c r="B5067" s="4" t="str">
        <f t="shared" si="481"/>
        <v>24097821</v>
      </c>
      <c r="C5067" s="4" t="str">
        <f t="shared" si="482"/>
        <v>GSE46928</v>
      </c>
      <c r="D5067" s="1" t="s">
        <v>62</v>
      </c>
      <c r="E5067" t="s">
        <v>30</v>
      </c>
      <c r="F5067" s="1">
        <v>2</v>
      </c>
      <c r="G5067" s="1" t="s">
        <v>32</v>
      </c>
      <c r="H5067" s="4" t="str">
        <f>HYPERLINK("https://www.ncbi.nlm.nih.gov/geo/query/acc.cgi?acc=GSM1141308","GSM1141308")</f>
        <v>GSM1141308</v>
      </c>
      <c r="I5067" t="s">
        <v>17</v>
      </c>
      <c r="J5067" t="s">
        <v>18</v>
      </c>
      <c r="K5067" t="s">
        <v>33</v>
      </c>
      <c r="L5067" t="s">
        <v>20</v>
      </c>
      <c r="N5067" t="s">
        <v>29</v>
      </c>
    </row>
    <row r="5068" spans="1:14">
      <c r="A5068" s="4" t="str">
        <f t="shared" si="480"/>
        <v>EXP00174</v>
      </c>
      <c r="B5068" s="4" t="str">
        <f t="shared" si="481"/>
        <v>24097821</v>
      </c>
      <c r="C5068" s="4" t="str">
        <f t="shared" si="482"/>
        <v>GSE46928</v>
      </c>
      <c r="D5068" s="1" t="s">
        <v>62</v>
      </c>
      <c r="E5068" t="s">
        <v>30</v>
      </c>
      <c r="F5068" s="1">
        <v>2</v>
      </c>
      <c r="G5068" s="1" t="s">
        <v>32</v>
      </c>
      <c r="H5068" s="4" t="str">
        <f>HYPERLINK("https://www.ncbi.nlm.nih.gov/geo/query/acc.cgi?acc=GSM1141311","GSM1141311")</f>
        <v>GSM1141311</v>
      </c>
      <c r="I5068" t="s">
        <v>17</v>
      </c>
      <c r="J5068" t="s">
        <v>18</v>
      </c>
      <c r="K5068" t="s">
        <v>33</v>
      </c>
      <c r="L5068" t="s">
        <v>20</v>
      </c>
      <c r="N5068" t="s">
        <v>29</v>
      </c>
    </row>
    <row r="5069" spans="1:14">
      <c r="A5069" s="4" t="str">
        <f t="shared" si="480"/>
        <v>EXP00174</v>
      </c>
      <c r="B5069" s="4" t="str">
        <f t="shared" si="481"/>
        <v>24097821</v>
      </c>
      <c r="C5069" s="4" t="str">
        <f t="shared" si="482"/>
        <v>GSE46928</v>
      </c>
      <c r="D5069" s="1" t="s">
        <v>62</v>
      </c>
      <c r="E5069" t="s">
        <v>30</v>
      </c>
      <c r="F5069" s="1">
        <v>2</v>
      </c>
      <c r="G5069" s="1" t="s">
        <v>32</v>
      </c>
      <c r="H5069" s="4" t="str">
        <f>HYPERLINK("https://www.ncbi.nlm.nih.gov/geo/query/acc.cgi?acc=GSM1141312","GSM1141312")</f>
        <v>GSM1141312</v>
      </c>
      <c r="I5069" t="s">
        <v>17</v>
      </c>
      <c r="J5069" t="s">
        <v>18</v>
      </c>
      <c r="K5069" t="s">
        <v>33</v>
      </c>
      <c r="L5069" t="s">
        <v>20</v>
      </c>
      <c r="N5069" t="s">
        <v>29</v>
      </c>
    </row>
    <row r="5070" spans="1:14">
      <c r="A5070" s="4" t="str">
        <f t="shared" si="480"/>
        <v>EXP00174</v>
      </c>
      <c r="B5070" s="4" t="str">
        <f t="shared" si="481"/>
        <v>24097821</v>
      </c>
      <c r="C5070" s="4" t="str">
        <f t="shared" si="482"/>
        <v>GSE46928</v>
      </c>
      <c r="D5070" s="1" t="s">
        <v>62</v>
      </c>
      <c r="E5070" t="s">
        <v>30</v>
      </c>
      <c r="F5070" s="1">
        <v>2</v>
      </c>
      <c r="G5070" s="1" t="s">
        <v>32</v>
      </c>
      <c r="H5070" s="4" t="str">
        <f>HYPERLINK("https://www.ncbi.nlm.nih.gov/geo/query/acc.cgi?acc=GSM1141314","GSM1141314")</f>
        <v>GSM1141314</v>
      </c>
      <c r="I5070" t="s">
        <v>17</v>
      </c>
      <c r="J5070" t="s">
        <v>18</v>
      </c>
      <c r="K5070" t="s">
        <v>33</v>
      </c>
      <c r="L5070" t="s">
        <v>20</v>
      </c>
      <c r="N5070" t="s">
        <v>29</v>
      </c>
    </row>
    <row r="5071" spans="1:14">
      <c r="A5071" s="4" t="str">
        <f t="shared" si="480"/>
        <v>EXP00174</v>
      </c>
      <c r="B5071" s="4" t="str">
        <f t="shared" si="481"/>
        <v>24097821</v>
      </c>
      <c r="C5071" s="4" t="str">
        <f t="shared" si="482"/>
        <v>GSE46928</v>
      </c>
      <c r="D5071" s="1" t="s">
        <v>62</v>
      </c>
      <c r="E5071" t="s">
        <v>30</v>
      </c>
      <c r="F5071" s="1">
        <v>2</v>
      </c>
      <c r="G5071" s="1" t="s">
        <v>32</v>
      </c>
      <c r="H5071" s="4" t="str">
        <f>HYPERLINK("https://www.ncbi.nlm.nih.gov/geo/query/acc.cgi?acc=GSM1141316","GSM1141316")</f>
        <v>GSM1141316</v>
      </c>
      <c r="I5071" t="s">
        <v>17</v>
      </c>
      <c r="J5071" t="s">
        <v>18</v>
      </c>
      <c r="K5071" t="s">
        <v>33</v>
      </c>
      <c r="L5071" t="s">
        <v>20</v>
      </c>
      <c r="N5071" t="s">
        <v>29</v>
      </c>
    </row>
    <row r="5072" spans="1:14">
      <c r="A5072" s="4" t="str">
        <f t="shared" si="480"/>
        <v>EXP00174</v>
      </c>
      <c r="B5072" s="4" t="str">
        <f t="shared" si="481"/>
        <v>24097821</v>
      </c>
      <c r="C5072" s="4" t="str">
        <f t="shared" si="482"/>
        <v>GSE46928</v>
      </c>
      <c r="D5072" s="1" t="s">
        <v>62</v>
      </c>
      <c r="E5072" t="s">
        <v>30</v>
      </c>
      <c r="F5072" s="1">
        <v>2</v>
      </c>
      <c r="G5072" s="1" t="s">
        <v>32</v>
      </c>
      <c r="H5072" s="4" t="str">
        <f>HYPERLINK("https://www.ncbi.nlm.nih.gov/geo/query/acc.cgi?acc=GSM1141317","GSM1141317")</f>
        <v>GSM1141317</v>
      </c>
      <c r="I5072" t="s">
        <v>17</v>
      </c>
      <c r="J5072" t="s">
        <v>18</v>
      </c>
      <c r="K5072" t="s">
        <v>33</v>
      </c>
      <c r="L5072" t="s">
        <v>20</v>
      </c>
      <c r="N5072" t="s">
        <v>29</v>
      </c>
    </row>
    <row r="5073" spans="1:14">
      <c r="A5073" s="4" t="str">
        <f t="shared" si="480"/>
        <v>EXP00174</v>
      </c>
      <c r="B5073" s="4" t="str">
        <f t="shared" si="481"/>
        <v>24097821</v>
      </c>
      <c r="C5073" s="4" t="str">
        <f t="shared" si="482"/>
        <v>GSE46928</v>
      </c>
      <c r="D5073" s="1" t="s">
        <v>62</v>
      </c>
      <c r="E5073" t="s">
        <v>30</v>
      </c>
      <c r="F5073" s="1">
        <v>2</v>
      </c>
      <c r="G5073" s="1" t="s">
        <v>32</v>
      </c>
      <c r="H5073" s="4" t="str">
        <f>HYPERLINK("https://www.ncbi.nlm.nih.gov/geo/query/acc.cgi?acc=GSM1141318","GSM1141318")</f>
        <v>GSM1141318</v>
      </c>
      <c r="I5073" t="s">
        <v>17</v>
      </c>
      <c r="J5073" t="s">
        <v>18</v>
      </c>
      <c r="K5073" t="s">
        <v>33</v>
      </c>
      <c r="L5073" t="s">
        <v>20</v>
      </c>
      <c r="N5073" t="s">
        <v>29</v>
      </c>
    </row>
    <row r="5074" spans="1:14">
      <c r="A5074" s="4" t="str">
        <f t="shared" si="480"/>
        <v>EXP00174</v>
      </c>
      <c r="B5074" s="4" t="str">
        <f t="shared" si="481"/>
        <v>24097821</v>
      </c>
      <c r="C5074" s="4" t="str">
        <f t="shared" si="482"/>
        <v>GSE46928</v>
      </c>
      <c r="D5074" s="1" t="s">
        <v>62</v>
      </c>
      <c r="E5074" t="s">
        <v>30</v>
      </c>
      <c r="F5074" s="1">
        <v>2</v>
      </c>
      <c r="G5074" s="1" t="s">
        <v>32</v>
      </c>
      <c r="H5074" s="4" t="str">
        <f>HYPERLINK("https://www.ncbi.nlm.nih.gov/geo/query/acc.cgi?acc=GSM1141319","GSM1141319")</f>
        <v>GSM1141319</v>
      </c>
      <c r="I5074" t="s">
        <v>17</v>
      </c>
      <c r="J5074" t="s">
        <v>18</v>
      </c>
      <c r="K5074" t="s">
        <v>33</v>
      </c>
      <c r="L5074" t="s">
        <v>20</v>
      </c>
      <c r="N5074" t="s">
        <v>29</v>
      </c>
    </row>
    <row r="5075" spans="1:14">
      <c r="A5075" s="4" t="str">
        <f t="shared" ref="A5075:A5083" si="483">HYPERLINK("http://hcmdb.i-sanger.com/experiment/details/experiment_id/EXP00175","EXP00175")</f>
        <v>EXP00175</v>
      </c>
      <c r="B5075" s="4" t="str">
        <f t="shared" ref="B5075:B5083" si="484">HYPERLINK("https://www.ncbi.nlm.nih.gov/pubmed/24486593","24486593")</f>
        <v>24486593</v>
      </c>
      <c r="C5075" s="4" t="str">
        <f t="shared" ref="C5075:C5083" si="485">HYPERLINK("https://www.ncbi.nlm.nih.gov/geo/query/acc.cgi?acc=GSE47352","GSE47352")</f>
        <v>GSE47352</v>
      </c>
      <c r="D5075" s="1" t="s">
        <v>45</v>
      </c>
      <c r="E5075" t="s">
        <v>290</v>
      </c>
      <c r="F5075" s="1">
        <v>1</v>
      </c>
      <c r="G5075" s="1" t="s">
        <v>31</v>
      </c>
      <c r="H5075" s="4" t="str">
        <f>HYPERLINK("https://www.ncbi.nlm.nih.gov/geo/query/acc.cgi?acc=GSM1147749","GSM1147749")</f>
        <v>GSM1147749</v>
      </c>
      <c r="I5075" t="s">
        <v>59</v>
      </c>
      <c r="J5075" t="s">
        <v>60</v>
      </c>
      <c r="K5075" t="s">
        <v>19</v>
      </c>
      <c r="L5075" t="s">
        <v>61</v>
      </c>
      <c r="M5075" t="s">
        <v>51</v>
      </c>
      <c r="N5075" t="s">
        <v>29</v>
      </c>
    </row>
    <row r="5076" spans="1:14">
      <c r="A5076" s="4" t="str">
        <f t="shared" si="483"/>
        <v>EXP00175</v>
      </c>
      <c r="B5076" s="4" t="str">
        <f t="shared" si="484"/>
        <v>24486593</v>
      </c>
      <c r="C5076" s="4" t="str">
        <f t="shared" si="485"/>
        <v>GSE47352</v>
      </c>
      <c r="D5076" s="1" t="s">
        <v>45</v>
      </c>
      <c r="E5076" t="s">
        <v>290</v>
      </c>
      <c r="F5076" s="1">
        <v>1</v>
      </c>
      <c r="G5076" s="1" t="s">
        <v>31</v>
      </c>
      <c r="H5076" s="4" t="str">
        <f>HYPERLINK("https://www.ncbi.nlm.nih.gov/geo/query/acc.cgi?acc=GSM1147750","GSM1147750")</f>
        <v>GSM1147750</v>
      </c>
      <c r="I5076" t="s">
        <v>59</v>
      </c>
      <c r="J5076" t="s">
        <v>60</v>
      </c>
      <c r="K5076" t="s">
        <v>19</v>
      </c>
      <c r="L5076" t="s">
        <v>61</v>
      </c>
      <c r="M5076" t="s">
        <v>51</v>
      </c>
      <c r="N5076" t="s">
        <v>29</v>
      </c>
    </row>
    <row r="5077" spans="1:14">
      <c r="A5077" s="4" t="str">
        <f t="shared" si="483"/>
        <v>EXP00175</v>
      </c>
      <c r="B5077" s="4" t="str">
        <f t="shared" si="484"/>
        <v>24486593</v>
      </c>
      <c r="C5077" s="4" t="str">
        <f t="shared" si="485"/>
        <v>GSE47352</v>
      </c>
      <c r="D5077" s="1" t="s">
        <v>45</v>
      </c>
      <c r="E5077" t="s">
        <v>290</v>
      </c>
      <c r="F5077" s="1">
        <v>1</v>
      </c>
      <c r="G5077" s="1" t="s">
        <v>31</v>
      </c>
      <c r="H5077" s="4" t="str">
        <f>HYPERLINK("https://www.ncbi.nlm.nih.gov/geo/query/acc.cgi?acc=GSM1147751","GSM1147751")</f>
        <v>GSM1147751</v>
      </c>
      <c r="I5077" t="s">
        <v>59</v>
      </c>
      <c r="J5077" t="s">
        <v>60</v>
      </c>
      <c r="K5077" t="s">
        <v>19</v>
      </c>
      <c r="L5077" t="s">
        <v>61</v>
      </c>
      <c r="M5077" t="s">
        <v>51</v>
      </c>
      <c r="N5077" t="s">
        <v>29</v>
      </c>
    </row>
    <row r="5078" spans="1:14">
      <c r="A5078" s="4" t="str">
        <f t="shared" si="483"/>
        <v>EXP00175</v>
      </c>
      <c r="B5078" s="4" t="str">
        <f t="shared" si="484"/>
        <v>24486593</v>
      </c>
      <c r="C5078" s="4" t="str">
        <f t="shared" si="485"/>
        <v>GSE47352</v>
      </c>
      <c r="D5078" s="1" t="s">
        <v>45</v>
      </c>
      <c r="E5078" t="s">
        <v>290</v>
      </c>
      <c r="F5078" s="1">
        <v>1</v>
      </c>
      <c r="G5078" s="1" t="s">
        <v>31</v>
      </c>
      <c r="H5078" s="4" t="str">
        <f>HYPERLINK("https://www.ncbi.nlm.nih.gov/geo/query/acc.cgi?acc=GSM1147752","GSM1147752")</f>
        <v>GSM1147752</v>
      </c>
      <c r="I5078" t="s">
        <v>59</v>
      </c>
      <c r="J5078" t="s">
        <v>60</v>
      </c>
      <c r="K5078" t="s">
        <v>19</v>
      </c>
      <c r="L5078" t="s">
        <v>61</v>
      </c>
      <c r="M5078" t="s">
        <v>51</v>
      </c>
      <c r="N5078" t="s">
        <v>29</v>
      </c>
    </row>
    <row r="5079" spans="1:14">
      <c r="A5079" s="4" t="str">
        <f t="shared" si="483"/>
        <v>EXP00175</v>
      </c>
      <c r="B5079" s="4" t="str">
        <f t="shared" si="484"/>
        <v>24486593</v>
      </c>
      <c r="C5079" s="4" t="str">
        <f t="shared" si="485"/>
        <v>GSE47352</v>
      </c>
      <c r="D5079" s="1" t="s">
        <v>45</v>
      </c>
      <c r="E5079" t="s">
        <v>290</v>
      </c>
      <c r="F5079" s="1">
        <v>2</v>
      </c>
      <c r="G5079" s="1" t="s">
        <v>32</v>
      </c>
      <c r="H5079" s="4" t="str">
        <f>HYPERLINK("https://www.ncbi.nlm.nih.gov/geo/query/acc.cgi?acc=GSM1147753","GSM1147753")</f>
        <v>GSM1147753</v>
      </c>
      <c r="I5079" t="s">
        <v>59</v>
      </c>
      <c r="J5079" t="s">
        <v>60</v>
      </c>
      <c r="K5079" t="s">
        <v>33</v>
      </c>
      <c r="L5079" t="s">
        <v>61</v>
      </c>
      <c r="N5079" t="s">
        <v>29</v>
      </c>
    </row>
    <row r="5080" spans="1:14">
      <c r="A5080" s="4" t="str">
        <f t="shared" si="483"/>
        <v>EXP00175</v>
      </c>
      <c r="B5080" s="4" t="str">
        <f t="shared" si="484"/>
        <v>24486593</v>
      </c>
      <c r="C5080" s="4" t="str">
        <f t="shared" si="485"/>
        <v>GSE47352</v>
      </c>
      <c r="D5080" s="1" t="s">
        <v>45</v>
      </c>
      <c r="E5080" t="s">
        <v>290</v>
      </c>
      <c r="F5080" s="1">
        <v>2</v>
      </c>
      <c r="G5080" s="1" t="s">
        <v>32</v>
      </c>
      <c r="H5080" s="4" t="str">
        <f>HYPERLINK("https://www.ncbi.nlm.nih.gov/geo/query/acc.cgi?acc=GSM1147754","GSM1147754")</f>
        <v>GSM1147754</v>
      </c>
      <c r="I5080" t="s">
        <v>59</v>
      </c>
      <c r="J5080" t="s">
        <v>60</v>
      </c>
      <c r="K5080" t="s">
        <v>33</v>
      </c>
      <c r="L5080" t="s">
        <v>61</v>
      </c>
      <c r="N5080" t="s">
        <v>29</v>
      </c>
    </row>
    <row r="5081" spans="1:14">
      <c r="A5081" s="4" t="str">
        <f t="shared" si="483"/>
        <v>EXP00175</v>
      </c>
      <c r="B5081" s="4" t="str">
        <f t="shared" si="484"/>
        <v>24486593</v>
      </c>
      <c r="C5081" s="4" t="str">
        <f t="shared" si="485"/>
        <v>GSE47352</v>
      </c>
      <c r="D5081" s="1" t="s">
        <v>45</v>
      </c>
      <c r="E5081" t="s">
        <v>290</v>
      </c>
      <c r="F5081" s="1">
        <v>2</v>
      </c>
      <c r="G5081" s="1" t="s">
        <v>32</v>
      </c>
      <c r="H5081" s="4" t="str">
        <f>HYPERLINK("https://www.ncbi.nlm.nih.gov/geo/query/acc.cgi?acc=GSM1147755","GSM1147755")</f>
        <v>GSM1147755</v>
      </c>
      <c r="I5081" t="s">
        <v>59</v>
      </c>
      <c r="J5081" t="s">
        <v>60</v>
      </c>
      <c r="K5081" t="s">
        <v>33</v>
      </c>
      <c r="L5081" t="s">
        <v>61</v>
      </c>
      <c r="N5081" t="s">
        <v>29</v>
      </c>
    </row>
    <row r="5082" spans="1:14">
      <c r="A5082" s="4" t="str">
        <f t="shared" si="483"/>
        <v>EXP00175</v>
      </c>
      <c r="B5082" s="4" t="str">
        <f t="shared" si="484"/>
        <v>24486593</v>
      </c>
      <c r="C5082" s="4" t="str">
        <f t="shared" si="485"/>
        <v>GSE47352</v>
      </c>
      <c r="D5082" s="1" t="s">
        <v>45</v>
      </c>
      <c r="E5082" t="s">
        <v>290</v>
      </c>
      <c r="F5082" s="1">
        <v>2</v>
      </c>
      <c r="G5082" s="1" t="s">
        <v>32</v>
      </c>
      <c r="H5082" s="4" t="str">
        <f>HYPERLINK("https://www.ncbi.nlm.nih.gov/geo/query/acc.cgi?acc=GSM1147756","GSM1147756")</f>
        <v>GSM1147756</v>
      </c>
      <c r="I5082" t="s">
        <v>59</v>
      </c>
      <c r="J5082" t="s">
        <v>60</v>
      </c>
      <c r="K5082" t="s">
        <v>33</v>
      </c>
      <c r="L5082" t="s">
        <v>61</v>
      </c>
      <c r="N5082" t="s">
        <v>29</v>
      </c>
    </row>
    <row r="5083" spans="1:14">
      <c r="A5083" s="4" t="str">
        <f t="shared" si="483"/>
        <v>EXP00175</v>
      </c>
      <c r="B5083" s="4" t="str">
        <f t="shared" si="484"/>
        <v>24486593</v>
      </c>
      <c r="C5083" s="4" t="str">
        <f t="shared" si="485"/>
        <v>GSE47352</v>
      </c>
      <c r="D5083" s="1" t="s">
        <v>45</v>
      </c>
      <c r="E5083" t="s">
        <v>290</v>
      </c>
      <c r="F5083" s="1">
        <v>2</v>
      </c>
      <c r="G5083" s="1" t="s">
        <v>32</v>
      </c>
      <c r="H5083" s="4" t="str">
        <f>HYPERLINK("https://www.ncbi.nlm.nih.gov/geo/query/acc.cgi?acc=GSM1147757","GSM1147757")</f>
        <v>GSM1147757</v>
      </c>
      <c r="I5083" t="s">
        <v>59</v>
      </c>
      <c r="J5083" t="s">
        <v>60</v>
      </c>
      <c r="K5083" t="s">
        <v>33</v>
      </c>
      <c r="L5083" t="s">
        <v>61</v>
      </c>
      <c r="N5083" t="s">
        <v>29</v>
      </c>
    </row>
    <row r="5084" spans="1:14">
      <c r="A5084" s="4" t="str">
        <f t="shared" ref="A5084:A5122" si="486">HYPERLINK("http://hcmdb.i-sanger.com/experiment/details/experiment_id/EXP00176","EXP00176")</f>
        <v>EXP00176</v>
      </c>
      <c r="B5084" s="3" t="s">
        <v>66</v>
      </c>
      <c r="C5084" s="4" t="str">
        <f t="shared" ref="C5084:C5115" si="487">HYPERLINK("https://www.ncbi.nlm.nih.gov/geo/query/acc.cgi?acc=GSE49355","GSE49355")</f>
        <v>GSE49355</v>
      </c>
      <c r="D5084" s="1" t="s">
        <v>62</v>
      </c>
      <c r="E5084" t="s">
        <v>72</v>
      </c>
      <c r="F5084" s="1">
        <v>1</v>
      </c>
      <c r="G5084" s="1" t="s">
        <v>26</v>
      </c>
      <c r="H5084" s="4" t="str">
        <f>HYPERLINK("https://www.ncbi.nlm.nih.gov/geo/query/acc.cgi?acc=GSM1197998","GSM1197998")</f>
        <v>GSM1197998</v>
      </c>
      <c r="I5084" t="s">
        <v>69</v>
      </c>
      <c r="J5084" t="s">
        <v>18</v>
      </c>
      <c r="K5084" t="s">
        <v>19</v>
      </c>
      <c r="L5084" t="s">
        <v>70</v>
      </c>
      <c r="M5084" t="s">
        <v>44</v>
      </c>
      <c r="N5084" t="s">
        <v>22</v>
      </c>
    </row>
    <row r="5085" spans="1:14">
      <c r="A5085" s="4" t="str">
        <f t="shared" si="486"/>
        <v>EXP00176</v>
      </c>
      <c r="B5085" s="3" t="s">
        <v>66</v>
      </c>
      <c r="C5085" s="4" t="str">
        <f t="shared" si="487"/>
        <v>GSE49355</v>
      </c>
      <c r="D5085" s="1" t="s">
        <v>62</v>
      </c>
      <c r="E5085" t="s">
        <v>72</v>
      </c>
      <c r="F5085" s="1">
        <v>1</v>
      </c>
      <c r="G5085" s="1" t="s">
        <v>26</v>
      </c>
      <c r="H5085" s="4" t="str">
        <f>HYPERLINK("https://www.ncbi.nlm.nih.gov/geo/query/acc.cgi?acc=GSM1197999","GSM1197999")</f>
        <v>GSM1197999</v>
      </c>
      <c r="I5085" t="s">
        <v>69</v>
      </c>
      <c r="J5085" t="s">
        <v>18</v>
      </c>
      <c r="K5085" t="s">
        <v>19</v>
      </c>
      <c r="L5085" t="s">
        <v>70</v>
      </c>
      <c r="M5085" t="s">
        <v>44</v>
      </c>
      <c r="N5085" t="s">
        <v>22</v>
      </c>
    </row>
    <row r="5086" spans="1:14">
      <c r="A5086" s="4" t="str">
        <f t="shared" si="486"/>
        <v>EXP00176</v>
      </c>
      <c r="B5086" s="3" t="s">
        <v>66</v>
      </c>
      <c r="C5086" s="4" t="str">
        <f t="shared" si="487"/>
        <v>GSE49355</v>
      </c>
      <c r="D5086" s="1" t="s">
        <v>62</v>
      </c>
      <c r="E5086" t="s">
        <v>72</v>
      </c>
      <c r="F5086" s="1">
        <v>1</v>
      </c>
      <c r="G5086" s="1" t="s">
        <v>26</v>
      </c>
      <c r="H5086" s="4" t="str">
        <f>HYPERLINK("https://www.ncbi.nlm.nih.gov/geo/query/acc.cgi?acc=GSM1198000","GSM1198000")</f>
        <v>GSM1198000</v>
      </c>
      <c r="I5086" t="s">
        <v>69</v>
      </c>
      <c r="J5086" t="s">
        <v>18</v>
      </c>
      <c r="K5086" t="s">
        <v>19</v>
      </c>
      <c r="L5086" t="s">
        <v>70</v>
      </c>
      <c r="M5086" t="s">
        <v>44</v>
      </c>
      <c r="N5086" t="s">
        <v>22</v>
      </c>
    </row>
    <row r="5087" spans="1:14">
      <c r="A5087" s="4" t="str">
        <f t="shared" si="486"/>
        <v>EXP00176</v>
      </c>
      <c r="B5087" s="3" t="s">
        <v>66</v>
      </c>
      <c r="C5087" s="4" t="str">
        <f t="shared" si="487"/>
        <v>GSE49355</v>
      </c>
      <c r="D5087" s="1" t="s">
        <v>62</v>
      </c>
      <c r="E5087" t="s">
        <v>72</v>
      </c>
      <c r="F5087" s="1">
        <v>1</v>
      </c>
      <c r="G5087" s="1" t="s">
        <v>26</v>
      </c>
      <c r="H5087" s="4" t="str">
        <f>HYPERLINK("https://www.ncbi.nlm.nih.gov/geo/query/acc.cgi?acc=GSM1198004","GSM1198004")</f>
        <v>GSM1198004</v>
      </c>
      <c r="I5087" t="s">
        <v>69</v>
      </c>
      <c r="J5087" t="s">
        <v>18</v>
      </c>
      <c r="K5087" t="s">
        <v>19</v>
      </c>
      <c r="L5087" t="s">
        <v>70</v>
      </c>
      <c r="M5087" t="s">
        <v>44</v>
      </c>
      <c r="N5087" t="s">
        <v>22</v>
      </c>
    </row>
    <row r="5088" spans="1:14">
      <c r="A5088" s="4" t="str">
        <f t="shared" si="486"/>
        <v>EXP00176</v>
      </c>
      <c r="B5088" s="3" t="s">
        <v>66</v>
      </c>
      <c r="C5088" s="4" t="str">
        <f t="shared" si="487"/>
        <v>GSE49355</v>
      </c>
      <c r="D5088" s="1" t="s">
        <v>62</v>
      </c>
      <c r="E5088" t="s">
        <v>72</v>
      </c>
      <c r="F5088" s="1">
        <v>1</v>
      </c>
      <c r="G5088" s="1" t="s">
        <v>26</v>
      </c>
      <c r="H5088" s="4" t="str">
        <f>HYPERLINK("https://www.ncbi.nlm.nih.gov/geo/query/acc.cgi?acc=GSM1198008","GSM1198008")</f>
        <v>GSM1198008</v>
      </c>
      <c r="I5088" t="s">
        <v>69</v>
      </c>
      <c r="J5088" t="s">
        <v>18</v>
      </c>
      <c r="K5088" t="s">
        <v>19</v>
      </c>
      <c r="L5088" t="s">
        <v>70</v>
      </c>
      <c r="M5088" t="s">
        <v>44</v>
      </c>
      <c r="N5088" t="s">
        <v>22</v>
      </c>
    </row>
    <row r="5089" spans="1:14">
      <c r="A5089" s="4" t="str">
        <f t="shared" si="486"/>
        <v>EXP00176</v>
      </c>
      <c r="B5089" s="3" t="s">
        <v>66</v>
      </c>
      <c r="C5089" s="4" t="str">
        <f t="shared" si="487"/>
        <v>GSE49355</v>
      </c>
      <c r="D5089" s="1" t="s">
        <v>62</v>
      </c>
      <c r="E5089" t="s">
        <v>72</v>
      </c>
      <c r="F5089" s="1">
        <v>1</v>
      </c>
      <c r="G5089" s="1" t="s">
        <v>26</v>
      </c>
      <c r="H5089" s="4" t="str">
        <f>HYPERLINK("https://www.ncbi.nlm.nih.gov/geo/query/acc.cgi?acc=GSM1198009","GSM1198009")</f>
        <v>GSM1198009</v>
      </c>
      <c r="I5089" t="s">
        <v>69</v>
      </c>
      <c r="J5089" t="s">
        <v>18</v>
      </c>
      <c r="K5089" t="s">
        <v>19</v>
      </c>
      <c r="L5089" t="s">
        <v>70</v>
      </c>
      <c r="M5089" t="s">
        <v>44</v>
      </c>
      <c r="N5089" t="s">
        <v>22</v>
      </c>
    </row>
    <row r="5090" spans="1:14">
      <c r="A5090" s="4" t="str">
        <f t="shared" si="486"/>
        <v>EXP00176</v>
      </c>
      <c r="B5090" s="3" t="s">
        <v>66</v>
      </c>
      <c r="C5090" s="4" t="str">
        <f t="shared" si="487"/>
        <v>GSE49355</v>
      </c>
      <c r="D5090" s="1" t="s">
        <v>62</v>
      </c>
      <c r="E5090" t="s">
        <v>72</v>
      </c>
      <c r="F5090" s="1">
        <v>1</v>
      </c>
      <c r="G5090" s="1" t="s">
        <v>26</v>
      </c>
      <c r="H5090" s="4" t="str">
        <f>HYPERLINK("https://www.ncbi.nlm.nih.gov/geo/query/acc.cgi?acc=GSM1198011","GSM1198011")</f>
        <v>GSM1198011</v>
      </c>
      <c r="I5090" t="s">
        <v>69</v>
      </c>
      <c r="J5090" t="s">
        <v>18</v>
      </c>
      <c r="K5090" t="s">
        <v>19</v>
      </c>
      <c r="L5090" t="s">
        <v>70</v>
      </c>
      <c r="M5090" t="s">
        <v>44</v>
      </c>
      <c r="N5090" t="s">
        <v>22</v>
      </c>
    </row>
    <row r="5091" spans="1:14">
      <c r="A5091" s="4" t="str">
        <f t="shared" si="486"/>
        <v>EXP00176</v>
      </c>
      <c r="B5091" s="3" t="s">
        <v>66</v>
      </c>
      <c r="C5091" s="4" t="str">
        <f t="shared" si="487"/>
        <v>GSE49355</v>
      </c>
      <c r="D5091" s="1" t="s">
        <v>62</v>
      </c>
      <c r="E5091" t="s">
        <v>72</v>
      </c>
      <c r="F5091" s="1">
        <v>1</v>
      </c>
      <c r="G5091" s="1" t="s">
        <v>26</v>
      </c>
      <c r="H5091" s="4" t="str">
        <f>HYPERLINK("https://www.ncbi.nlm.nih.gov/geo/query/acc.cgi?acc=GSM1198017","GSM1198017")</f>
        <v>GSM1198017</v>
      </c>
      <c r="I5091" t="s">
        <v>69</v>
      </c>
      <c r="J5091" t="s">
        <v>18</v>
      </c>
      <c r="K5091" t="s">
        <v>19</v>
      </c>
      <c r="L5091" t="s">
        <v>70</v>
      </c>
      <c r="M5091" t="s">
        <v>44</v>
      </c>
      <c r="N5091" t="s">
        <v>22</v>
      </c>
    </row>
    <row r="5092" spans="1:14">
      <c r="A5092" s="4" t="str">
        <f t="shared" si="486"/>
        <v>EXP00176</v>
      </c>
      <c r="B5092" s="3" t="s">
        <v>66</v>
      </c>
      <c r="C5092" s="4" t="str">
        <f t="shared" si="487"/>
        <v>GSE49355</v>
      </c>
      <c r="D5092" s="1" t="s">
        <v>62</v>
      </c>
      <c r="E5092" t="s">
        <v>72</v>
      </c>
      <c r="F5092" s="1">
        <v>1</v>
      </c>
      <c r="G5092" s="1" t="s">
        <v>26</v>
      </c>
      <c r="H5092" s="4" t="str">
        <f>HYPERLINK("https://www.ncbi.nlm.nih.gov/geo/query/acc.cgi?acc=GSM1198019","GSM1198019")</f>
        <v>GSM1198019</v>
      </c>
      <c r="I5092" t="s">
        <v>69</v>
      </c>
      <c r="J5092" t="s">
        <v>18</v>
      </c>
      <c r="K5092" t="s">
        <v>19</v>
      </c>
      <c r="L5092" t="s">
        <v>70</v>
      </c>
      <c r="M5092" t="s">
        <v>44</v>
      </c>
      <c r="N5092" t="s">
        <v>22</v>
      </c>
    </row>
    <row r="5093" spans="1:14">
      <c r="A5093" s="4" t="str">
        <f t="shared" si="486"/>
        <v>EXP00176</v>
      </c>
      <c r="B5093" s="3" t="s">
        <v>66</v>
      </c>
      <c r="C5093" s="4" t="str">
        <f t="shared" si="487"/>
        <v>GSE49355</v>
      </c>
      <c r="D5093" s="1" t="s">
        <v>62</v>
      </c>
      <c r="E5093" t="s">
        <v>72</v>
      </c>
      <c r="F5093" s="1">
        <v>1</v>
      </c>
      <c r="G5093" s="1" t="s">
        <v>26</v>
      </c>
      <c r="H5093" s="4" t="str">
        <f>HYPERLINK("https://www.ncbi.nlm.nih.gov/geo/query/acc.cgi?acc=GSM1198022","GSM1198022")</f>
        <v>GSM1198022</v>
      </c>
      <c r="I5093" t="s">
        <v>69</v>
      </c>
      <c r="J5093" t="s">
        <v>18</v>
      </c>
      <c r="K5093" t="s">
        <v>19</v>
      </c>
      <c r="L5093" t="s">
        <v>70</v>
      </c>
      <c r="M5093" t="s">
        <v>44</v>
      </c>
      <c r="N5093" t="s">
        <v>22</v>
      </c>
    </row>
    <row r="5094" spans="1:14">
      <c r="A5094" s="4" t="str">
        <f t="shared" si="486"/>
        <v>EXP00176</v>
      </c>
      <c r="B5094" s="3" t="s">
        <v>66</v>
      </c>
      <c r="C5094" s="4" t="str">
        <f t="shared" si="487"/>
        <v>GSE49355</v>
      </c>
      <c r="D5094" s="1" t="s">
        <v>62</v>
      </c>
      <c r="E5094" t="s">
        <v>72</v>
      </c>
      <c r="F5094" s="1">
        <v>1</v>
      </c>
      <c r="G5094" s="1" t="s">
        <v>26</v>
      </c>
      <c r="H5094" s="4" t="str">
        <f>HYPERLINK("https://www.ncbi.nlm.nih.gov/geo/query/acc.cgi?acc=GSM1198023","GSM1198023")</f>
        <v>GSM1198023</v>
      </c>
      <c r="I5094" t="s">
        <v>69</v>
      </c>
      <c r="J5094" t="s">
        <v>18</v>
      </c>
      <c r="K5094" t="s">
        <v>19</v>
      </c>
      <c r="L5094" t="s">
        <v>70</v>
      </c>
      <c r="M5094" t="s">
        <v>44</v>
      </c>
      <c r="N5094" t="s">
        <v>22</v>
      </c>
    </row>
    <row r="5095" spans="1:14">
      <c r="A5095" s="4" t="str">
        <f t="shared" si="486"/>
        <v>EXP00176</v>
      </c>
      <c r="B5095" s="3" t="s">
        <v>66</v>
      </c>
      <c r="C5095" s="4" t="str">
        <f t="shared" si="487"/>
        <v>GSE49355</v>
      </c>
      <c r="D5095" s="1" t="s">
        <v>62</v>
      </c>
      <c r="E5095" t="s">
        <v>72</v>
      </c>
      <c r="F5095" s="1">
        <v>1</v>
      </c>
      <c r="G5095" s="1" t="s">
        <v>26</v>
      </c>
      <c r="H5095" s="4" t="str">
        <f>HYPERLINK("https://www.ncbi.nlm.nih.gov/geo/query/acc.cgi?acc=GSM1198025","GSM1198025")</f>
        <v>GSM1198025</v>
      </c>
      <c r="I5095" t="s">
        <v>69</v>
      </c>
      <c r="J5095" t="s">
        <v>18</v>
      </c>
      <c r="K5095" t="s">
        <v>19</v>
      </c>
      <c r="L5095" t="s">
        <v>70</v>
      </c>
      <c r="M5095" t="s">
        <v>44</v>
      </c>
      <c r="N5095" t="s">
        <v>22</v>
      </c>
    </row>
    <row r="5096" spans="1:14">
      <c r="A5096" s="4" t="str">
        <f t="shared" si="486"/>
        <v>EXP00176</v>
      </c>
      <c r="B5096" s="3" t="s">
        <v>66</v>
      </c>
      <c r="C5096" s="4" t="str">
        <f t="shared" si="487"/>
        <v>GSE49355</v>
      </c>
      <c r="D5096" s="1" t="s">
        <v>62</v>
      </c>
      <c r="E5096" t="s">
        <v>72</v>
      </c>
      <c r="F5096" s="1">
        <v>1</v>
      </c>
      <c r="G5096" s="1" t="s">
        <v>26</v>
      </c>
      <c r="H5096" s="4" t="str">
        <f>HYPERLINK("https://www.ncbi.nlm.nih.gov/geo/query/acc.cgi?acc=GSM1198031","GSM1198031")</f>
        <v>GSM1198031</v>
      </c>
      <c r="I5096" t="s">
        <v>69</v>
      </c>
      <c r="J5096" t="s">
        <v>18</v>
      </c>
      <c r="K5096" t="s">
        <v>19</v>
      </c>
      <c r="L5096" t="s">
        <v>70</v>
      </c>
      <c r="M5096" t="s">
        <v>44</v>
      </c>
      <c r="N5096" t="s">
        <v>22</v>
      </c>
    </row>
    <row r="5097" spans="1:14">
      <c r="A5097" s="4" t="str">
        <f t="shared" si="486"/>
        <v>EXP00176</v>
      </c>
      <c r="B5097" s="3" t="s">
        <v>66</v>
      </c>
      <c r="C5097" s="4" t="str">
        <f t="shared" si="487"/>
        <v>GSE49355</v>
      </c>
      <c r="D5097" s="1" t="s">
        <v>62</v>
      </c>
      <c r="E5097" t="s">
        <v>72</v>
      </c>
      <c r="F5097" s="1">
        <v>1</v>
      </c>
      <c r="G5097" s="1" t="s">
        <v>26</v>
      </c>
      <c r="H5097" s="4" t="str">
        <f>HYPERLINK("https://www.ncbi.nlm.nih.gov/geo/query/acc.cgi?acc=GSM1198033","GSM1198033")</f>
        <v>GSM1198033</v>
      </c>
      <c r="I5097" t="s">
        <v>69</v>
      </c>
      <c r="J5097" t="s">
        <v>18</v>
      </c>
      <c r="K5097" t="s">
        <v>19</v>
      </c>
      <c r="L5097" t="s">
        <v>70</v>
      </c>
      <c r="M5097" t="s">
        <v>44</v>
      </c>
      <c r="N5097" t="s">
        <v>22</v>
      </c>
    </row>
    <row r="5098" spans="1:14">
      <c r="A5098" s="4" t="str">
        <f t="shared" si="486"/>
        <v>EXP00176</v>
      </c>
      <c r="B5098" s="3" t="s">
        <v>66</v>
      </c>
      <c r="C5098" s="4" t="str">
        <f t="shared" si="487"/>
        <v>GSE49355</v>
      </c>
      <c r="D5098" s="1" t="s">
        <v>62</v>
      </c>
      <c r="E5098" t="s">
        <v>72</v>
      </c>
      <c r="F5098" s="1">
        <v>1</v>
      </c>
      <c r="G5098" s="1" t="s">
        <v>26</v>
      </c>
      <c r="H5098" s="4" t="str">
        <f>HYPERLINK("https://www.ncbi.nlm.nih.gov/geo/query/acc.cgi?acc=GSM1198036","GSM1198036")</f>
        <v>GSM1198036</v>
      </c>
      <c r="I5098" t="s">
        <v>69</v>
      </c>
      <c r="J5098" t="s">
        <v>18</v>
      </c>
      <c r="K5098" t="s">
        <v>19</v>
      </c>
      <c r="L5098" t="s">
        <v>70</v>
      </c>
      <c r="M5098" t="s">
        <v>44</v>
      </c>
      <c r="N5098" t="s">
        <v>22</v>
      </c>
    </row>
    <row r="5099" spans="1:14">
      <c r="A5099" s="4" t="str">
        <f t="shared" si="486"/>
        <v>EXP00176</v>
      </c>
      <c r="B5099" s="3" t="s">
        <v>66</v>
      </c>
      <c r="C5099" s="4" t="str">
        <f t="shared" si="487"/>
        <v>GSE49355</v>
      </c>
      <c r="D5099" s="1" t="s">
        <v>62</v>
      </c>
      <c r="E5099" t="s">
        <v>72</v>
      </c>
      <c r="F5099" s="1">
        <v>1</v>
      </c>
      <c r="G5099" s="1" t="s">
        <v>26</v>
      </c>
      <c r="H5099" s="4" t="str">
        <f>HYPERLINK("https://www.ncbi.nlm.nih.gov/geo/query/acc.cgi?acc=GSM1198039","GSM1198039")</f>
        <v>GSM1198039</v>
      </c>
      <c r="I5099" t="s">
        <v>69</v>
      </c>
      <c r="J5099" t="s">
        <v>18</v>
      </c>
      <c r="K5099" t="s">
        <v>19</v>
      </c>
      <c r="L5099" t="s">
        <v>70</v>
      </c>
      <c r="M5099" t="s">
        <v>44</v>
      </c>
      <c r="N5099" t="s">
        <v>22</v>
      </c>
    </row>
    <row r="5100" spans="1:14">
      <c r="A5100" s="4" t="str">
        <f t="shared" si="486"/>
        <v>EXP00176</v>
      </c>
      <c r="B5100" s="3" t="s">
        <v>66</v>
      </c>
      <c r="C5100" s="4" t="str">
        <f t="shared" si="487"/>
        <v>GSE49355</v>
      </c>
      <c r="D5100" s="1" t="s">
        <v>62</v>
      </c>
      <c r="E5100" t="s">
        <v>72</v>
      </c>
      <c r="F5100" s="1">
        <v>1</v>
      </c>
      <c r="G5100" s="1" t="s">
        <v>26</v>
      </c>
      <c r="H5100" s="4" t="str">
        <f>HYPERLINK("https://www.ncbi.nlm.nih.gov/geo/query/acc.cgi?acc=GSM1198042","GSM1198042")</f>
        <v>GSM1198042</v>
      </c>
      <c r="I5100" t="s">
        <v>69</v>
      </c>
      <c r="J5100" t="s">
        <v>18</v>
      </c>
      <c r="K5100" t="s">
        <v>19</v>
      </c>
      <c r="L5100" t="s">
        <v>70</v>
      </c>
      <c r="M5100" t="s">
        <v>44</v>
      </c>
      <c r="N5100" t="s">
        <v>22</v>
      </c>
    </row>
    <row r="5101" spans="1:14">
      <c r="A5101" s="4" t="str">
        <f t="shared" si="486"/>
        <v>EXP00176</v>
      </c>
      <c r="B5101" s="3" t="s">
        <v>66</v>
      </c>
      <c r="C5101" s="4" t="str">
        <f t="shared" si="487"/>
        <v>GSE49355</v>
      </c>
      <c r="D5101" s="1" t="s">
        <v>62</v>
      </c>
      <c r="E5101" t="s">
        <v>72</v>
      </c>
      <c r="F5101" s="1">
        <v>1</v>
      </c>
      <c r="G5101" s="1" t="s">
        <v>26</v>
      </c>
      <c r="H5101" s="4" t="str">
        <f>HYPERLINK("https://www.ncbi.nlm.nih.gov/geo/query/acc.cgi?acc=GSM1198049","GSM1198049")</f>
        <v>GSM1198049</v>
      </c>
      <c r="I5101" t="s">
        <v>69</v>
      </c>
      <c r="J5101" t="s">
        <v>18</v>
      </c>
      <c r="K5101" t="s">
        <v>19</v>
      </c>
      <c r="L5101" t="s">
        <v>70</v>
      </c>
      <c r="M5101" t="s">
        <v>44</v>
      </c>
      <c r="N5101" t="s">
        <v>22</v>
      </c>
    </row>
    <row r="5102" spans="1:14">
      <c r="A5102" s="4" t="str">
        <f t="shared" si="486"/>
        <v>EXP00176</v>
      </c>
      <c r="B5102" s="3" t="s">
        <v>66</v>
      </c>
      <c r="C5102" s="4" t="str">
        <f t="shared" si="487"/>
        <v>GSE49355</v>
      </c>
      <c r="D5102" s="1" t="s">
        <v>62</v>
      </c>
      <c r="E5102" t="s">
        <v>72</v>
      </c>
      <c r="F5102" s="1">
        <v>1</v>
      </c>
      <c r="G5102" s="1" t="s">
        <v>26</v>
      </c>
      <c r="H5102" s="4" t="str">
        <f>HYPERLINK("https://www.ncbi.nlm.nih.gov/geo/query/acc.cgi?acc=GSM1198052","GSM1198052")</f>
        <v>GSM1198052</v>
      </c>
      <c r="I5102" t="s">
        <v>69</v>
      </c>
      <c r="J5102" t="s">
        <v>18</v>
      </c>
      <c r="K5102" t="s">
        <v>19</v>
      </c>
      <c r="L5102" t="s">
        <v>70</v>
      </c>
      <c r="M5102" t="s">
        <v>44</v>
      </c>
      <c r="N5102" t="s">
        <v>22</v>
      </c>
    </row>
    <row r="5103" spans="1:14">
      <c r="A5103" s="4" t="str">
        <f t="shared" si="486"/>
        <v>EXP00176</v>
      </c>
      <c r="B5103" s="3" t="s">
        <v>66</v>
      </c>
      <c r="C5103" s="4" t="str">
        <f t="shared" si="487"/>
        <v>GSE49355</v>
      </c>
      <c r="D5103" s="1" t="s">
        <v>62</v>
      </c>
      <c r="E5103" t="s">
        <v>72</v>
      </c>
      <c r="F5103" s="1">
        <v>2</v>
      </c>
      <c r="G5103" s="1" t="s">
        <v>28</v>
      </c>
      <c r="H5103" s="4" t="str">
        <f>HYPERLINK("https://www.ncbi.nlm.nih.gov/geo/query/acc.cgi?acc=GSM1197996","GSM1197996")</f>
        <v>GSM1197996</v>
      </c>
      <c r="I5103" t="s">
        <v>69</v>
      </c>
      <c r="J5103" t="s">
        <v>18</v>
      </c>
      <c r="K5103" t="s">
        <v>19</v>
      </c>
      <c r="L5103" t="s">
        <v>70</v>
      </c>
      <c r="M5103" t="s">
        <v>44</v>
      </c>
      <c r="N5103" t="s">
        <v>29</v>
      </c>
    </row>
    <row r="5104" spans="1:14">
      <c r="A5104" s="4" t="str">
        <f t="shared" si="486"/>
        <v>EXP00176</v>
      </c>
      <c r="B5104" s="3" t="s">
        <v>66</v>
      </c>
      <c r="C5104" s="4" t="str">
        <f t="shared" si="487"/>
        <v>GSE49355</v>
      </c>
      <c r="D5104" s="1" t="s">
        <v>62</v>
      </c>
      <c r="E5104" t="s">
        <v>72</v>
      </c>
      <c r="F5104" s="1">
        <v>2</v>
      </c>
      <c r="G5104" s="1" t="s">
        <v>28</v>
      </c>
      <c r="H5104" s="4" t="str">
        <f>HYPERLINK("https://www.ncbi.nlm.nih.gov/geo/query/acc.cgi?acc=GSM1198001","GSM1198001")</f>
        <v>GSM1198001</v>
      </c>
      <c r="I5104" t="s">
        <v>69</v>
      </c>
      <c r="J5104" t="s">
        <v>18</v>
      </c>
      <c r="K5104" t="s">
        <v>19</v>
      </c>
      <c r="L5104" t="s">
        <v>70</v>
      </c>
      <c r="M5104" t="s">
        <v>44</v>
      </c>
      <c r="N5104" t="s">
        <v>29</v>
      </c>
    </row>
    <row r="5105" spans="1:14">
      <c r="A5105" s="4" t="str">
        <f t="shared" si="486"/>
        <v>EXP00176</v>
      </c>
      <c r="B5105" s="3" t="s">
        <v>66</v>
      </c>
      <c r="C5105" s="4" t="str">
        <f t="shared" si="487"/>
        <v>GSE49355</v>
      </c>
      <c r="D5105" s="1" t="s">
        <v>62</v>
      </c>
      <c r="E5105" t="s">
        <v>72</v>
      </c>
      <c r="F5105" s="1">
        <v>2</v>
      </c>
      <c r="G5105" s="1" t="s">
        <v>28</v>
      </c>
      <c r="H5105" s="4" t="str">
        <f>HYPERLINK("https://www.ncbi.nlm.nih.gov/geo/query/acc.cgi?acc=GSM1198006","GSM1198006")</f>
        <v>GSM1198006</v>
      </c>
      <c r="I5105" t="s">
        <v>69</v>
      </c>
      <c r="J5105" t="s">
        <v>18</v>
      </c>
      <c r="K5105" t="s">
        <v>19</v>
      </c>
      <c r="L5105" t="s">
        <v>70</v>
      </c>
      <c r="M5105" t="s">
        <v>44</v>
      </c>
      <c r="N5105" t="s">
        <v>29</v>
      </c>
    </row>
    <row r="5106" spans="1:14">
      <c r="A5106" s="4" t="str">
        <f t="shared" si="486"/>
        <v>EXP00176</v>
      </c>
      <c r="B5106" s="3" t="s">
        <v>66</v>
      </c>
      <c r="C5106" s="4" t="str">
        <f t="shared" si="487"/>
        <v>GSE49355</v>
      </c>
      <c r="D5106" s="1" t="s">
        <v>62</v>
      </c>
      <c r="E5106" t="s">
        <v>72</v>
      </c>
      <c r="F5106" s="1">
        <v>2</v>
      </c>
      <c r="G5106" s="1" t="s">
        <v>28</v>
      </c>
      <c r="H5106" s="4" t="str">
        <f>HYPERLINK("https://www.ncbi.nlm.nih.gov/geo/query/acc.cgi?acc=GSM1198007","GSM1198007")</f>
        <v>GSM1198007</v>
      </c>
      <c r="I5106" t="s">
        <v>69</v>
      </c>
      <c r="J5106" t="s">
        <v>18</v>
      </c>
      <c r="K5106" t="s">
        <v>19</v>
      </c>
      <c r="L5106" t="s">
        <v>70</v>
      </c>
      <c r="M5106" t="s">
        <v>44</v>
      </c>
      <c r="N5106" t="s">
        <v>29</v>
      </c>
    </row>
    <row r="5107" spans="1:14">
      <c r="A5107" s="4" t="str">
        <f t="shared" si="486"/>
        <v>EXP00176</v>
      </c>
      <c r="B5107" s="3" t="s">
        <v>66</v>
      </c>
      <c r="C5107" s="4" t="str">
        <f t="shared" si="487"/>
        <v>GSE49355</v>
      </c>
      <c r="D5107" s="1" t="s">
        <v>62</v>
      </c>
      <c r="E5107" t="s">
        <v>72</v>
      </c>
      <c r="F5107" s="1">
        <v>2</v>
      </c>
      <c r="G5107" s="1" t="s">
        <v>28</v>
      </c>
      <c r="H5107" s="4" t="str">
        <f>HYPERLINK("https://www.ncbi.nlm.nih.gov/geo/query/acc.cgi?acc=GSM1198010","GSM1198010")</f>
        <v>GSM1198010</v>
      </c>
      <c r="I5107" t="s">
        <v>69</v>
      </c>
      <c r="J5107" t="s">
        <v>18</v>
      </c>
      <c r="K5107" t="s">
        <v>19</v>
      </c>
      <c r="L5107" t="s">
        <v>70</v>
      </c>
      <c r="M5107" t="s">
        <v>44</v>
      </c>
      <c r="N5107" t="s">
        <v>29</v>
      </c>
    </row>
    <row r="5108" spans="1:14">
      <c r="A5108" s="4" t="str">
        <f t="shared" si="486"/>
        <v>EXP00176</v>
      </c>
      <c r="B5108" s="3" t="s">
        <v>66</v>
      </c>
      <c r="C5108" s="4" t="str">
        <f t="shared" si="487"/>
        <v>GSE49355</v>
      </c>
      <c r="D5108" s="1" t="s">
        <v>62</v>
      </c>
      <c r="E5108" t="s">
        <v>72</v>
      </c>
      <c r="F5108" s="1">
        <v>2</v>
      </c>
      <c r="G5108" s="1" t="s">
        <v>28</v>
      </c>
      <c r="H5108" s="4" t="str">
        <f>HYPERLINK("https://www.ncbi.nlm.nih.gov/geo/query/acc.cgi?acc=GSM1198012","GSM1198012")</f>
        <v>GSM1198012</v>
      </c>
      <c r="I5108" t="s">
        <v>69</v>
      </c>
      <c r="J5108" t="s">
        <v>18</v>
      </c>
      <c r="K5108" t="s">
        <v>19</v>
      </c>
      <c r="L5108" t="s">
        <v>70</v>
      </c>
      <c r="M5108" t="s">
        <v>44</v>
      </c>
      <c r="N5108" t="s">
        <v>29</v>
      </c>
    </row>
    <row r="5109" spans="1:14">
      <c r="A5109" s="4" t="str">
        <f t="shared" si="486"/>
        <v>EXP00176</v>
      </c>
      <c r="B5109" s="3" t="s">
        <v>66</v>
      </c>
      <c r="C5109" s="4" t="str">
        <f t="shared" si="487"/>
        <v>GSE49355</v>
      </c>
      <c r="D5109" s="1" t="s">
        <v>62</v>
      </c>
      <c r="E5109" t="s">
        <v>72</v>
      </c>
      <c r="F5109" s="1">
        <v>2</v>
      </c>
      <c r="G5109" s="1" t="s">
        <v>28</v>
      </c>
      <c r="H5109" s="4" t="str">
        <f>HYPERLINK("https://www.ncbi.nlm.nih.gov/geo/query/acc.cgi?acc=GSM1198014","GSM1198014")</f>
        <v>GSM1198014</v>
      </c>
      <c r="I5109" t="s">
        <v>69</v>
      </c>
      <c r="J5109" t="s">
        <v>18</v>
      </c>
      <c r="K5109" t="s">
        <v>19</v>
      </c>
      <c r="L5109" t="s">
        <v>70</v>
      </c>
      <c r="M5109" t="s">
        <v>44</v>
      </c>
      <c r="N5109" t="s">
        <v>29</v>
      </c>
    </row>
    <row r="5110" spans="1:14">
      <c r="A5110" s="4" t="str">
        <f t="shared" si="486"/>
        <v>EXP00176</v>
      </c>
      <c r="B5110" s="3" t="s">
        <v>66</v>
      </c>
      <c r="C5110" s="4" t="str">
        <f t="shared" si="487"/>
        <v>GSE49355</v>
      </c>
      <c r="D5110" s="1" t="s">
        <v>62</v>
      </c>
      <c r="E5110" t="s">
        <v>72</v>
      </c>
      <c r="F5110" s="1">
        <v>2</v>
      </c>
      <c r="G5110" s="1" t="s">
        <v>28</v>
      </c>
      <c r="H5110" s="4" t="str">
        <f>HYPERLINK("https://www.ncbi.nlm.nih.gov/geo/query/acc.cgi?acc=GSM1198018","GSM1198018")</f>
        <v>GSM1198018</v>
      </c>
      <c r="I5110" t="s">
        <v>69</v>
      </c>
      <c r="J5110" t="s">
        <v>18</v>
      </c>
      <c r="K5110" t="s">
        <v>19</v>
      </c>
      <c r="L5110" t="s">
        <v>70</v>
      </c>
      <c r="M5110" t="s">
        <v>44</v>
      </c>
      <c r="N5110" t="s">
        <v>29</v>
      </c>
    </row>
    <row r="5111" spans="1:14">
      <c r="A5111" s="4" t="str">
        <f t="shared" si="486"/>
        <v>EXP00176</v>
      </c>
      <c r="B5111" s="3" t="s">
        <v>66</v>
      </c>
      <c r="C5111" s="4" t="str">
        <f t="shared" si="487"/>
        <v>GSE49355</v>
      </c>
      <c r="D5111" s="1" t="s">
        <v>62</v>
      </c>
      <c r="E5111" t="s">
        <v>72</v>
      </c>
      <c r="F5111" s="1">
        <v>2</v>
      </c>
      <c r="G5111" s="1" t="s">
        <v>28</v>
      </c>
      <c r="H5111" s="4" t="str">
        <f>HYPERLINK("https://www.ncbi.nlm.nih.gov/geo/query/acc.cgi?acc=GSM1198020","GSM1198020")</f>
        <v>GSM1198020</v>
      </c>
      <c r="I5111" t="s">
        <v>69</v>
      </c>
      <c r="J5111" t="s">
        <v>18</v>
      </c>
      <c r="K5111" t="s">
        <v>19</v>
      </c>
      <c r="L5111" t="s">
        <v>70</v>
      </c>
      <c r="M5111" t="s">
        <v>44</v>
      </c>
      <c r="N5111" t="s">
        <v>29</v>
      </c>
    </row>
    <row r="5112" spans="1:14">
      <c r="A5112" s="4" t="str">
        <f t="shared" si="486"/>
        <v>EXP00176</v>
      </c>
      <c r="B5112" s="3" t="s">
        <v>66</v>
      </c>
      <c r="C5112" s="4" t="str">
        <f t="shared" si="487"/>
        <v>GSE49355</v>
      </c>
      <c r="D5112" s="1" t="s">
        <v>62</v>
      </c>
      <c r="E5112" t="s">
        <v>72</v>
      </c>
      <c r="F5112" s="1">
        <v>2</v>
      </c>
      <c r="G5112" s="1" t="s">
        <v>28</v>
      </c>
      <c r="H5112" s="4" t="str">
        <f>HYPERLINK("https://www.ncbi.nlm.nih.gov/geo/query/acc.cgi?acc=GSM1198026","GSM1198026")</f>
        <v>GSM1198026</v>
      </c>
      <c r="I5112" t="s">
        <v>69</v>
      </c>
      <c r="J5112" t="s">
        <v>18</v>
      </c>
      <c r="K5112" t="s">
        <v>19</v>
      </c>
      <c r="L5112" t="s">
        <v>70</v>
      </c>
      <c r="M5112" t="s">
        <v>44</v>
      </c>
      <c r="N5112" t="s">
        <v>29</v>
      </c>
    </row>
    <row r="5113" spans="1:14">
      <c r="A5113" s="4" t="str">
        <f t="shared" si="486"/>
        <v>EXP00176</v>
      </c>
      <c r="B5113" s="3" t="s">
        <v>66</v>
      </c>
      <c r="C5113" s="4" t="str">
        <f t="shared" si="487"/>
        <v>GSE49355</v>
      </c>
      <c r="D5113" s="1" t="s">
        <v>62</v>
      </c>
      <c r="E5113" t="s">
        <v>72</v>
      </c>
      <c r="F5113" s="1">
        <v>2</v>
      </c>
      <c r="G5113" s="1" t="s">
        <v>28</v>
      </c>
      <c r="H5113" s="4" t="str">
        <f>HYPERLINK("https://www.ncbi.nlm.nih.gov/geo/query/acc.cgi?acc=GSM1198028","GSM1198028")</f>
        <v>GSM1198028</v>
      </c>
      <c r="I5113" t="s">
        <v>69</v>
      </c>
      <c r="J5113" t="s">
        <v>18</v>
      </c>
      <c r="K5113" t="s">
        <v>19</v>
      </c>
      <c r="L5113" t="s">
        <v>70</v>
      </c>
      <c r="M5113" t="s">
        <v>44</v>
      </c>
      <c r="N5113" t="s">
        <v>29</v>
      </c>
    </row>
    <row r="5114" spans="1:14">
      <c r="A5114" s="4" t="str">
        <f t="shared" si="486"/>
        <v>EXP00176</v>
      </c>
      <c r="B5114" s="3" t="s">
        <v>66</v>
      </c>
      <c r="C5114" s="4" t="str">
        <f t="shared" si="487"/>
        <v>GSE49355</v>
      </c>
      <c r="D5114" s="1" t="s">
        <v>62</v>
      </c>
      <c r="E5114" t="s">
        <v>72</v>
      </c>
      <c r="F5114" s="1">
        <v>2</v>
      </c>
      <c r="G5114" s="1" t="s">
        <v>28</v>
      </c>
      <c r="H5114" s="4" t="str">
        <f>HYPERLINK("https://www.ncbi.nlm.nih.gov/geo/query/acc.cgi?acc=GSM1198029","GSM1198029")</f>
        <v>GSM1198029</v>
      </c>
      <c r="I5114" t="s">
        <v>69</v>
      </c>
      <c r="J5114" t="s">
        <v>18</v>
      </c>
      <c r="K5114" t="s">
        <v>19</v>
      </c>
      <c r="L5114" t="s">
        <v>70</v>
      </c>
      <c r="M5114" t="s">
        <v>44</v>
      </c>
      <c r="N5114" t="s">
        <v>29</v>
      </c>
    </row>
    <row r="5115" spans="1:14">
      <c r="A5115" s="4" t="str">
        <f t="shared" si="486"/>
        <v>EXP00176</v>
      </c>
      <c r="B5115" s="3" t="s">
        <v>66</v>
      </c>
      <c r="C5115" s="4" t="str">
        <f t="shared" si="487"/>
        <v>GSE49355</v>
      </c>
      <c r="D5115" s="1" t="s">
        <v>62</v>
      </c>
      <c r="E5115" t="s">
        <v>72</v>
      </c>
      <c r="F5115" s="1">
        <v>2</v>
      </c>
      <c r="G5115" s="1" t="s">
        <v>28</v>
      </c>
      <c r="H5115" s="4" t="str">
        <f>HYPERLINK("https://www.ncbi.nlm.nih.gov/geo/query/acc.cgi?acc=GSM1198030","GSM1198030")</f>
        <v>GSM1198030</v>
      </c>
      <c r="I5115" t="s">
        <v>69</v>
      </c>
      <c r="J5115" t="s">
        <v>18</v>
      </c>
      <c r="K5115" t="s">
        <v>19</v>
      </c>
      <c r="L5115" t="s">
        <v>70</v>
      </c>
      <c r="M5115" t="s">
        <v>44</v>
      </c>
      <c r="N5115" t="s">
        <v>29</v>
      </c>
    </row>
    <row r="5116" spans="1:14">
      <c r="A5116" s="4" t="str">
        <f t="shared" si="486"/>
        <v>EXP00176</v>
      </c>
      <c r="B5116" s="3" t="s">
        <v>66</v>
      </c>
      <c r="C5116" s="4" t="str">
        <f t="shared" ref="C5116:C5147" si="488">HYPERLINK("https://www.ncbi.nlm.nih.gov/geo/query/acc.cgi?acc=GSE49355","GSE49355")</f>
        <v>GSE49355</v>
      </c>
      <c r="D5116" s="1" t="s">
        <v>62</v>
      </c>
      <c r="E5116" t="s">
        <v>72</v>
      </c>
      <c r="F5116" s="1">
        <v>2</v>
      </c>
      <c r="G5116" s="1" t="s">
        <v>28</v>
      </c>
      <c r="H5116" s="4" t="str">
        <f>HYPERLINK("https://www.ncbi.nlm.nih.gov/geo/query/acc.cgi?acc=GSM1198035","GSM1198035")</f>
        <v>GSM1198035</v>
      </c>
      <c r="I5116" t="s">
        <v>69</v>
      </c>
      <c r="J5116" t="s">
        <v>18</v>
      </c>
      <c r="K5116" t="s">
        <v>19</v>
      </c>
      <c r="L5116" t="s">
        <v>70</v>
      </c>
      <c r="M5116" t="s">
        <v>44</v>
      </c>
      <c r="N5116" t="s">
        <v>29</v>
      </c>
    </row>
    <row r="5117" spans="1:14">
      <c r="A5117" s="4" t="str">
        <f t="shared" si="486"/>
        <v>EXP00176</v>
      </c>
      <c r="B5117" s="3" t="s">
        <v>66</v>
      </c>
      <c r="C5117" s="4" t="str">
        <f t="shared" si="488"/>
        <v>GSE49355</v>
      </c>
      <c r="D5117" s="1" t="s">
        <v>62</v>
      </c>
      <c r="E5117" t="s">
        <v>72</v>
      </c>
      <c r="F5117" s="1">
        <v>2</v>
      </c>
      <c r="G5117" s="1" t="s">
        <v>28</v>
      </c>
      <c r="H5117" s="4" t="str">
        <f>HYPERLINK("https://www.ncbi.nlm.nih.gov/geo/query/acc.cgi?acc=GSM1198037","GSM1198037")</f>
        <v>GSM1198037</v>
      </c>
      <c r="I5117" t="s">
        <v>69</v>
      </c>
      <c r="J5117" t="s">
        <v>18</v>
      </c>
      <c r="K5117" t="s">
        <v>19</v>
      </c>
      <c r="L5117" t="s">
        <v>70</v>
      </c>
      <c r="M5117" t="s">
        <v>44</v>
      </c>
      <c r="N5117" t="s">
        <v>29</v>
      </c>
    </row>
    <row r="5118" spans="1:14">
      <c r="A5118" s="4" t="str">
        <f t="shared" si="486"/>
        <v>EXP00176</v>
      </c>
      <c r="B5118" s="3" t="s">
        <v>66</v>
      </c>
      <c r="C5118" s="4" t="str">
        <f t="shared" si="488"/>
        <v>GSE49355</v>
      </c>
      <c r="D5118" s="1" t="s">
        <v>62</v>
      </c>
      <c r="E5118" t="s">
        <v>72</v>
      </c>
      <c r="F5118" s="1">
        <v>2</v>
      </c>
      <c r="G5118" s="1" t="s">
        <v>28</v>
      </c>
      <c r="H5118" s="4" t="str">
        <f>HYPERLINK("https://www.ncbi.nlm.nih.gov/geo/query/acc.cgi?acc=GSM1198041","GSM1198041")</f>
        <v>GSM1198041</v>
      </c>
      <c r="I5118" t="s">
        <v>69</v>
      </c>
      <c r="J5118" t="s">
        <v>18</v>
      </c>
      <c r="K5118" t="s">
        <v>19</v>
      </c>
      <c r="L5118" t="s">
        <v>70</v>
      </c>
      <c r="M5118" t="s">
        <v>44</v>
      </c>
      <c r="N5118" t="s">
        <v>29</v>
      </c>
    </row>
    <row r="5119" spans="1:14">
      <c r="A5119" s="4" t="str">
        <f t="shared" si="486"/>
        <v>EXP00176</v>
      </c>
      <c r="B5119" s="3" t="s">
        <v>66</v>
      </c>
      <c r="C5119" s="4" t="str">
        <f t="shared" si="488"/>
        <v>GSE49355</v>
      </c>
      <c r="D5119" s="1" t="s">
        <v>62</v>
      </c>
      <c r="E5119" t="s">
        <v>72</v>
      </c>
      <c r="F5119" s="1">
        <v>2</v>
      </c>
      <c r="G5119" s="1" t="s">
        <v>28</v>
      </c>
      <c r="H5119" s="4" t="str">
        <f>HYPERLINK("https://www.ncbi.nlm.nih.gov/geo/query/acc.cgi?acc=GSM1198043","GSM1198043")</f>
        <v>GSM1198043</v>
      </c>
      <c r="I5119" t="s">
        <v>69</v>
      </c>
      <c r="J5119" t="s">
        <v>18</v>
      </c>
      <c r="K5119" t="s">
        <v>19</v>
      </c>
      <c r="L5119" t="s">
        <v>70</v>
      </c>
      <c r="M5119" t="s">
        <v>44</v>
      </c>
      <c r="N5119" t="s">
        <v>29</v>
      </c>
    </row>
    <row r="5120" spans="1:14">
      <c r="A5120" s="4" t="str">
        <f t="shared" si="486"/>
        <v>EXP00176</v>
      </c>
      <c r="B5120" s="3" t="s">
        <v>66</v>
      </c>
      <c r="C5120" s="4" t="str">
        <f t="shared" si="488"/>
        <v>GSE49355</v>
      </c>
      <c r="D5120" s="1" t="s">
        <v>62</v>
      </c>
      <c r="E5120" t="s">
        <v>72</v>
      </c>
      <c r="F5120" s="1">
        <v>2</v>
      </c>
      <c r="G5120" s="1" t="s">
        <v>28</v>
      </c>
      <c r="H5120" s="4" t="str">
        <f>HYPERLINK("https://www.ncbi.nlm.nih.gov/geo/query/acc.cgi?acc=GSM1198046","GSM1198046")</f>
        <v>GSM1198046</v>
      </c>
      <c r="I5120" t="s">
        <v>69</v>
      </c>
      <c r="J5120" t="s">
        <v>18</v>
      </c>
      <c r="K5120" t="s">
        <v>19</v>
      </c>
      <c r="L5120" t="s">
        <v>70</v>
      </c>
      <c r="M5120" t="s">
        <v>44</v>
      </c>
      <c r="N5120" t="s">
        <v>29</v>
      </c>
    </row>
    <row r="5121" spans="1:14">
      <c r="A5121" s="4" t="str">
        <f t="shared" si="486"/>
        <v>EXP00176</v>
      </c>
      <c r="B5121" s="3" t="s">
        <v>66</v>
      </c>
      <c r="C5121" s="4" t="str">
        <f t="shared" si="488"/>
        <v>GSE49355</v>
      </c>
      <c r="D5121" s="1" t="s">
        <v>62</v>
      </c>
      <c r="E5121" t="s">
        <v>72</v>
      </c>
      <c r="F5121" s="1">
        <v>2</v>
      </c>
      <c r="G5121" s="1" t="s">
        <v>28</v>
      </c>
      <c r="H5121" s="4" t="str">
        <f>HYPERLINK("https://www.ncbi.nlm.nih.gov/geo/query/acc.cgi?acc=GSM1198048","GSM1198048")</f>
        <v>GSM1198048</v>
      </c>
      <c r="I5121" t="s">
        <v>69</v>
      </c>
      <c r="J5121" t="s">
        <v>18</v>
      </c>
      <c r="K5121" t="s">
        <v>19</v>
      </c>
      <c r="L5121" t="s">
        <v>70</v>
      </c>
      <c r="M5121" t="s">
        <v>44</v>
      </c>
      <c r="N5121" t="s">
        <v>29</v>
      </c>
    </row>
    <row r="5122" spans="1:14">
      <c r="A5122" s="4" t="str">
        <f t="shared" si="486"/>
        <v>EXP00176</v>
      </c>
      <c r="B5122" s="3" t="s">
        <v>66</v>
      </c>
      <c r="C5122" s="4" t="str">
        <f t="shared" si="488"/>
        <v>GSE49355</v>
      </c>
      <c r="D5122" s="1" t="s">
        <v>62</v>
      </c>
      <c r="E5122" t="s">
        <v>72</v>
      </c>
      <c r="F5122" s="1">
        <v>2</v>
      </c>
      <c r="G5122" s="1" t="s">
        <v>28</v>
      </c>
      <c r="H5122" s="4" t="str">
        <f>HYPERLINK("https://www.ncbi.nlm.nih.gov/geo/query/acc.cgi?acc=GSM1198051","GSM1198051")</f>
        <v>GSM1198051</v>
      </c>
      <c r="I5122" t="s">
        <v>69</v>
      </c>
      <c r="J5122" t="s">
        <v>18</v>
      </c>
      <c r="K5122" t="s">
        <v>19</v>
      </c>
      <c r="L5122" t="s">
        <v>70</v>
      </c>
      <c r="M5122" t="s">
        <v>44</v>
      </c>
      <c r="N5122" t="s">
        <v>29</v>
      </c>
    </row>
    <row r="5123" spans="1:14">
      <c r="A5123" s="4" t="str">
        <f t="shared" ref="A5123:A5160" si="489">HYPERLINK("http://hcmdb.i-sanger.com/experiment/details/experiment_id/EXP00177","EXP00177")</f>
        <v>EXP00177</v>
      </c>
      <c r="B5123" s="3" t="s">
        <v>66</v>
      </c>
      <c r="C5123" s="4" t="str">
        <f t="shared" si="488"/>
        <v>GSE49355</v>
      </c>
      <c r="D5123" s="1" t="s">
        <v>62</v>
      </c>
      <c r="E5123" t="s">
        <v>73</v>
      </c>
      <c r="F5123" s="1">
        <v>1</v>
      </c>
      <c r="G5123" s="1" t="s">
        <v>36</v>
      </c>
      <c r="H5123" s="4" t="str">
        <f>HYPERLINK("https://www.ncbi.nlm.nih.gov/geo/query/acc.cgi?acc=GSM1197997","GSM1197997")</f>
        <v>GSM1197997</v>
      </c>
      <c r="I5123" t="s">
        <v>69</v>
      </c>
      <c r="J5123" t="s">
        <v>18</v>
      </c>
      <c r="K5123" t="s">
        <v>19</v>
      </c>
      <c r="L5123" t="s">
        <v>70</v>
      </c>
      <c r="M5123" t="s">
        <v>44</v>
      </c>
      <c r="N5123" t="s">
        <v>37</v>
      </c>
    </row>
    <row r="5124" spans="1:14">
      <c r="A5124" s="4" t="str">
        <f t="shared" si="489"/>
        <v>EXP00177</v>
      </c>
      <c r="B5124" s="3" t="s">
        <v>66</v>
      </c>
      <c r="C5124" s="4" t="str">
        <f t="shared" si="488"/>
        <v>GSE49355</v>
      </c>
      <c r="D5124" s="1" t="s">
        <v>62</v>
      </c>
      <c r="E5124" t="s">
        <v>73</v>
      </c>
      <c r="F5124" s="1">
        <v>1</v>
      </c>
      <c r="G5124" s="1" t="s">
        <v>36</v>
      </c>
      <c r="H5124" s="4" t="str">
        <f>HYPERLINK("https://www.ncbi.nlm.nih.gov/geo/query/acc.cgi?acc=GSM1198002","GSM1198002")</f>
        <v>GSM1198002</v>
      </c>
      <c r="I5124" t="s">
        <v>69</v>
      </c>
      <c r="J5124" t="s">
        <v>18</v>
      </c>
      <c r="K5124" t="s">
        <v>19</v>
      </c>
      <c r="L5124" t="s">
        <v>70</v>
      </c>
      <c r="M5124" t="s">
        <v>44</v>
      </c>
      <c r="N5124" t="s">
        <v>37</v>
      </c>
    </row>
    <row r="5125" spans="1:14">
      <c r="A5125" s="4" t="str">
        <f t="shared" si="489"/>
        <v>EXP00177</v>
      </c>
      <c r="B5125" s="3" t="s">
        <v>66</v>
      </c>
      <c r="C5125" s="4" t="str">
        <f t="shared" si="488"/>
        <v>GSE49355</v>
      </c>
      <c r="D5125" s="1" t="s">
        <v>62</v>
      </c>
      <c r="E5125" t="s">
        <v>73</v>
      </c>
      <c r="F5125" s="1">
        <v>1</v>
      </c>
      <c r="G5125" s="1" t="s">
        <v>36</v>
      </c>
      <c r="H5125" s="4" t="str">
        <f>HYPERLINK("https://www.ncbi.nlm.nih.gov/geo/query/acc.cgi?acc=GSM1198003","GSM1198003")</f>
        <v>GSM1198003</v>
      </c>
      <c r="I5125" t="s">
        <v>69</v>
      </c>
      <c r="J5125" t="s">
        <v>18</v>
      </c>
      <c r="K5125" t="s">
        <v>19</v>
      </c>
      <c r="L5125" t="s">
        <v>70</v>
      </c>
      <c r="M5125" t="s">
        <v>44</v>
      </c>
      <c r="N5125" t="s">
        <v>37</v>
      </c>
    </row>
    <row r="5126" spans="1:14">
      <c r="A5126" s="4" t="str">
        <f t="shared" si="489"/>
        <v>EXP00177</v>
      </c>
      <c r="B5126" s="3" t="s">
        <v>66</v>
      </c>
      <c r="C5126" s="4" t="str">
        <f t="shared" si="488"/>
        <v>GSE49355</v>
      </c>
      <c r="D5126" s="1" t="s">
        <v>62</v>
      </c>
      <c r="E5126" t="s">
        <v>73</v>
      </c>
      <c r="F5126" s="1">
        <v>1</v>
      </c>
      <c r="G5126" s="1" t="s">
        <v>36</v>
      </c>
      <c r="H5126" s="4" t="str">
        <f>HYPERLINK("https://www.ncbi.nlm.nih.gov/geo/query/acc.cgi?acc=GSM1198005","GSM1198005")</f>
        <v>GSM1198005</v>
      </c>
      <c r="I5126" t="s">
        <v>69</v>
      </c>
      <c r="J5126" t="s">
        <v>18</v>
      </c>
      <c r="K5126" t="s">
        <v>19</v>
      </c>
      <c r="L5126" t="s">
        <v>70</v>
      </c>
      <c r="M5126" t="s">
        <v>44</v>
      </c>
      <c r="N5126" t="s">
        <v>37</v>
      </c>
    </row>
    <row r="5127" spans="1:14">
      <c r="A5127" s="4" t="str">
        <f t="shared" si="489"/>
        <v>EXP00177</v>
      </c>
      <c r="B5127" s="3" t="s">
        <v>66</v>
      </c>
      <c r="C5127" s="4" t="str">
        <f t="shared" si="488"/>
        <v>GSE49355</v>
      </c>
      <c r="D5127" s="1" t="s">
        <v>62</v>
      </c>
      <c r="E5127" t="s">
        <v>73</v>
      </c>
      <c r="F5127" s="1">
        <v>1</v>
      </c>
      <c r="G5127" s="1" t="s">
        <v>36</v>
      </c>
      <c r="H5127" s="4" t="str">
        <f>HYPERLINK("https://www.ncbi.nlm.nih.gov/geo/query/acc.cgi?acc=GSM1198013","GSM1198013")</f>
        <v>GSM1198013</v>
      </c>
      <c r="I5127" t="s">
        <v>69</v>
      </c>
      <c r="J5127" t="s">
        <v>18</v>
      </c>
      <c r="K5127" t="s">
        <v>19</v>
      </c>
      <c r="L5127" t="s">
        <v>70</v>
      </c>
      <c r="M5127" t="s">
        <v>44</v>
      </c>
      <c r="N5127" t="s">
        <v>37</v>
      </c>
    </row>
    <row r="5128" spans="1:14">
      <c r="A5128" s="4" t="str">
        <f t="shared" si="489"/>
        <v>EXP00177</v>
      </c>
      <c r="B5128" s="3" t="s">
        <v>66</v>
      </c>
      <c r="C5128" s="4" t="str">
        <f t="shared" si="488"/>
        <v>GSE49355</v>
      </c>
      <c r="D5128" s="1" t="s">
        <v>62</v>
      </c>
      <c r="E5128" t="s">
        <v>73</v>
      </c>
      <c r="F5128" s="1">
        <v>1</v>
      </c>
      <c r="G5128" s="1" t="s">
        <v>36</v>
      </c>
      <c r="H5128" s="4" t="str">
        <f>HYPERLINK("https://www.ncbi.nlm.nih.gov/geo/query/acc.cgi?acc=GSM1198015","GSM1198015")</f>
        <v>GSM1198015</v>
      </c>
      <c r="I5128" t="s">
        <v>69</v>
      </c>
      <c r="J5128" t="s">
        <v>18</v>
      </c>
      <c r="K5128" t="s">
        <v>19</v>
      </c>
      <c r="L5128" t="s">
        <v>70</v>
      </c>
      <c r="M5128" t="s">
        <v>44</v>
      </c>
      <c r="N5128" t="s">
        <v>37</v>
      </c>
    </row>
    <row r="5129" spans="1:14">
      <c r="A5129" s="4" t="str">
        <f t="shared" si="489"/>
        <v>EXP00177</v>
      </c>
      <c r="B5129" s="3" t="s">
        <v>66</v>
      </c>
      <c r="C5129" s="4" t="str">
        <f t="shared" si="488"/>
        <v>GSE49355</v>
      </c>
      <c r="D5129" s="1" t="s">
        <v>62</v>
      </c>
      <c r="E5129" t="s">
        <v>73</v>
      </c>
      <c r="F5129" s="1">
        <v>1</v>
      </c>
      <c r="G5129" s="1" t="s">
        <v>36</v>
      </c>
      <c r="H5129" s="4" t="str">
        <f>HYPERLINK("https://www.ncbi.nlm.nih.gov/geo/query/acc.cgi?acc=GSM1198016","GSM1198016")</f>
        <v>GSM1198016</v>
      </c>
      <c r="I5129" t="s">
        <v>69</v>
      </c>
      <c r="J5129" t="s">
        <v>18</v>
      </c>
      <c r="K5129" t="s">
        <v>19</v>
      </c>
      <c r="L5129" t="s">
        <v>70</v>
      </c>
      <c r="M5129" t="s">
        <v>44</v>
      </c>
      <c r="N5129" t="s">
        <v>37</v>
      </c>
    </row>
    <row r="5130" spans="1:14">
      <c r="A5130" s="4" t="str">
        <f t="shared" si="489"/>
        <v>EXP00177</v>
      </c>
      <c r="B5130" s="3" t="s">
        <v>66</v>
      </c>
      <c r="C5130" s="4" t="str">
        <f t="shared" si="488"/>
        <v>GSE49355</v>
      </c>
      <c r="D5130" s="1" t="s">
        <v>62</v>
      </c>
      <c r="E5130" t="s">
        <v>73</v>
      </c>
      <c r="F5130" s="1">
        <v>1</v>
      </c>
      <c r="G5130" s="1" t="s">
        <v>36</v>
      </c>
      <c r="H5130" s="4" t="str">
        <f>HYPERLINK("https://www.ncbi.nlm.nih.gov/geo/query/acc.cgi?acc=GSM1198021","GSM1198021")</f>
        <v>GSM1198021</v>
      </c>
      <c r="I5130" t="s">
        <v>69</v>
      </c>
      <c r="J5130" t="s">
        <v>18</v>
      </c>
      <c r="K5130" t="s">
        <v>19</v>
      </c>
      <c r="L5130" t="s">
        <v>70</v>
      </c>
      <c r="M5130" t="s">
        <v>44</v>
      </c>
      <c r="N5130" t="s">
        <v>37</v>
      </c>
    </row>
    <row r="5131" spans="1:14">
      <c r="A5131" s="4" t="str">
        <f t="shared" si="489"/>
        <v>EXP00177</v>
      </c>
      <c r="B5131" s="3" t="s">
        <v>66</v>
      </c>
      <c r="C5131" s="4" t="str">
        <f t="shared" si="488"/>
        <v>GSE49355</v>
      </c>
      <c r="D5131" s="1" t="s">
        <v>62</v>
      </c>
      <c r="E5131" t="s">
        <v>73</v>
      </c>
      <c r="F5131" s="1">
        <v>1</v>
      </c>
      <c r="G5131" s="1" t="s">
        <v>36</v>
      </c>
      <c r="H5131" s="4" t="str">
        <f>HYPERLINK("https://www.ncbi.nlm.nih.gov/geo/query/acc.cgi?acc=GSM1198024","GSM1198024")</f>
        <v>GSM1198024</v>
      </c>
      <c r="I5131" t="s">
        <v>69</v>
      </c>
      <c r="J5131" t="s">
        <v>18</v>
      </c>
      <c r="K5131" t="s">
        <v>19</v>
      </c>
      <c r="L5131" t="s">
        <v>70</v>
      </c>
      <c r="M5131" t="s">
        <v>44</v>
      </c>
      <c r="N5131" t="s">
        <v>37</v>
      </c>
    </row>
    <row r="5132" spans="1:14">
      <c r="A5132" s="4" t="str">
        <f t="shared" si="489"/>
        <v>EXP00177</v>
      </c>
      <c r="B5132" s="3" t="s">
        <v>66</v>
      </c>
      <c r="C5132" s="4" t="str">
        <f t="shared" si="488"/>
        <v>GSE49355</v>
      </c>
      <c r="D5132" s="1" t="s">
        <v>62</v>
      </c>
      <c r="E5132" t="s">
        <v>73</v>
      </c>
      <c r="F5132" s="1">
        <v>1</v>
      </c>
      <c r="G5132" s="1" t="s">
        <v>36</v>
      </c>
      <c r="H5132" s="4" t="str">
        <f>HYPERLINK("https://www.ncbi.nlm.nih.gov/geo/query/acc.cgi?acc=GSM1198027","GSM1198027")</f>
        <v>GSM1198027</v>
      </c>
      <c r="I5132" t="s">
        <v>69</v>
      </c>
      <c r="J5132" t="s">
        <v>18</v>
      </c>
      <c r="K5132" t="s">
        <v>19</v>
      </c>
      <c r="L5132" t="s">
        <v>70</v>
      </c>
      <c r="M5132" t="s">
        <v>44</v>
      </c>
      <c r="N5132" t="s">
        <v>37</v>
      </c>
    </row>
    <row r="5133" spans="1:14">
      <c r="A5133" s="4" t="str">
        <f t="shared" si="489"/>
        <v>EXP00177</v>
      </c>
      <c r="B5133" s="3" t="s">
        <v>66</v>
      </c>
      <c r="C5133" s="4" t="str">
        <f t="shared" si="488"/>
        <v>GSE49355</v>
      </c>
      <c r="D5133" s="1" t="s">
        <v>62</v>
      </c>
      <c r="E5133" t="s">
        <v>73</v>
      </c>
      <c r="F5133" s="1">
        <v>1</v>
      </c>
      <c r="G5133" s="1" t="s">
        <v>36</v>
      </c>
      <c r="H5133" s="4" t="str">
        <f>HYPERLINK("https://www.ncbi.nlm.nih.gov/geo/query/acc.cgi?acc=GSM1198032","GSM1198032")</f>
        <v>GSM1198032</v>
      </c>
      <c r="I5133" t="s">
        <v>69</v>
      </c>
      <c r="J5133" t="s">
        <v>18</v>
      </c>
      <c r="K5133" t="s">
        <v>19</v>
      </c>
      <c r="L5133" t="s">
        <v>70</v>
      </c>
      <c r="M5133" t="s">
        <v>44</v>
      </c>
      <c r="N5133" t="s">
        <v>37</v>
      </c>
    </row>
    <row r="5134" spans="1:14">
      <c r="A5134" s="4" t="str">
        <f t="shared" si="489"/>
        <v>EXP00177</v>
      </c>
      <c r="B5134" s="3" t="s">
        <v>66</v>
      </c>
      <c r="C5134" s="4" t="str">
        <f t="shared" si="488"/>
        <v>GSE49355</v>
      </c>
      <c r="D5134" s="1" t="s">
        <v>62</v>
      </c>
      <c r="E5134" t="s">
        <v>73</v>
      </c>
      <c r="F5134" s="1">
        <v>1</v>
      </c>
      <c r="G5134" s="1" t="s">
        <v>36</v>
      </c>
      <c r="H5134" s="4" t="str">
        <f>HYPERLINK("https://www.ncbi.nlm.nih.gov/geo/query/acc.cgi?acc=GSM1198034","GSM1198034")</f>
        <v>GSM1198034</v>
      </c>
      <c r="I5134" t="s">
        <v>69</v>
      </c>
      <c r="J5134" t="s">
        <v>18</v>
      </c>
      <c r="K5134" t="s">
        <v>19</v>
      </c>
      <c r="L5134" t="s">
        <v>70</v>
      </c>
      <c r="M5134" t="s">
        <v>44</v>
      </c>
      <c r="N5134" t="s">
        <v>37</v>
      </c>
    </row>
    <row r="5135" spans="1:14">
      <c r="A5135" s="4" t="str">
        <f t="shared" si="489"/>
        <v>EXP00177</v>
      </c>
      <c r="B5135" s="3" t="s">
        <v>66</v>
      </c>
      <c r="C5135" s="4" t="str">
        <f t="shared" si="488"/>
        <v>GSE49355</v>
      </c>
      <c r="D5135" s="1" t="s">
        <v>62</v>
      </c>
      <c r="E5135" t="s">
        <v>73</v>
      </c>
      <c r="F5135" s="1">
        <v>1</v>
      </c>
      <c r="G5135" s="1" t="s">
        <v>36</v>
      </c>
      <c r="H5135" s="4" t="str">
        <f>HYPERLINK("https://www.ncbi.nlm.nih.gov/geo/query/acc.cgi?acc=GSM1198038","GSM1198038")</f>
        <v>GSM1198038</v>
      </c>
      <c r="I5135" t="s">
        <v>69</v>
      </c>
      <c r="J5135" t="s">
        <v>18</v>
      </c>
      <c r="K5135" t="s">
        <v>19</v>
      </c>
      <c r="L5135" t="s">
        <v>70</v>
      </c>
      <c r="M5135" t="s">
        <v>44</v>
      </c>
      <c r="N5135" t="s">
        <v>37</v>
      </c>
    </row>
    <row r="5136" spans="1:14">
      <c r="A5136" s="4" t="str">
        <f t="shared" si="489"/>
        <v>EXP00177</v>
      </c>
      <c r="B5136" s="3" t="s">
        <v>66</v>
      </c>
      <c r="C5136" s="4" t="str">
        <f t="shared" si="488"/>
        <v>GSE49355</v>
      </c>
      <c r="D5136" s="1" t="s">
        <v>62</v>
      </c>
      <c r="E5136" t="s">
        <v>73</v>
      </c>
      <c r="F5136" s="1">
        <v>1</v>
      </c>
      <c r="G5136" s="1" t="s">
        <v>36</v>
      </c>
      <c r="H5136" s="4" t="str">
        <f>HYPERLINK("https://www.ncbi.nlm.nih.gov/geo/query/acc.cgi?acc=GSM1198040","GSM1198040")</f>
        <v>GSM1198040</v>
      </c>
      <c r="I5136" t="s">
        <v>69</v>
      </c>
      <c r="J5136" t="s">
        <v>18</v>
      </c>
      <c r="K5136" t="s">
        <v>19</v>
      </c>
      <c r="L5136" t="s">
        <v>70</v>
      </c>
      <c r="M5136" t="s">
        <v>44</v>
      </c>
      <c r="N5136" t="s">
        <v>37</v>
      </c>
    </row>
    <row r="5137" spans="1:14">
      <c r="A5137" s="4" t="str">
        <f t="shared" si="489"/>
        <v>EXP00177</v>
      </c>
      <c r="B5137" s="3" t="s">
        <v>66</v>
      </c>
      <c r="C5137" s="4" t="str">
        <f t="shared" si="488"/>
        <v>GSE49355</v>
      </c>
      <c r="D5137" s="1" t="s">
        <v>62</v>
      </c>
      <c r="E5137" t="s">
        <v>73</v>
      </c>
      <c r="F5137" s="1">
        <v>1</v>
      </c>
      <c r="G5137" s="1" t="s">
        <v>36</v>
      </c>
      <c r="H5137" s="4" t="str">
        <f>HYPERLINK("https://www.ncbi.nlm.nih.gov/geo/query/acc.cgi?acc=GSM1198044","GSM1198044")</f>
        <v>GSM1198044</v>
      </c>
      <c r="I5137" t="s">
        <v>69</v>
      </c>
      <c r="J5137" t="s">
        <v>18</v>
      </c>
      <c r="K5137" t="s">
        <v>19</v>
      </c>
      <c r="L5137" t="s">
        <v>70</v>
      </c>
      <c r="M5137" t="s">
        <v>44</v>
      </c>
      <c r="N5137" t="s">
        <v>37</v>
      </c>
    </row>
    <row r="5138" spans="1:14">
      <c r="A5138" s="4" t="str">
        <f t="shared" si="489"/>
        <v>EXP00177</v>
      </c>
      <c r="B5138" s="3" t="s">
        <v>66</v>
      </c>
      <c r="C5138" s="4" t="str">
        <f t="shared" si="488"/>
        <v>GSE49355</v>
      </c>
      <c r="D5138" s="1" t="s">
        <v>62</v>
      </c>
      <c r="E5138" t="s">
        <v>73</v>
      </c>
      <c r="F5138" s="1">
        <v>1</v>
      </c>
      <c r="G5138" s="1" t="s">
        <v>36</v>
      </c>
      <c r="H5138" s="4" t="str">
        <f>HYPERLINK("https://www.ncbi.nlm.nih.gov/geo/query/acc.cgi?acc=GSM1198045","GSM1198045")</f>
        <v>GSM1198045</v>
      </c>
      <c r="I5138" t="s">
        <v>69</v>
      </c>
      <c r="J5138" t="s">
        <v>18</v>
      </c>
      <c r="K5138" t="s">
        <v>19</v>
      </c>
      <c r="L5138" t="s">
        <v>70</v>
      </c>
      <c r="M5138" t="s">
        <v>44</v>
      </c>
      <c r="N5138" t="s">
        <v>37</v>
      </c>
    </row>
    <row r="5139" spans="1:14">
      <c r="A5139" s="4" t="str">
        <f t="shared" si="489"/>
        <v>EXP00177</v>
      </c>
      <c r="B5139" s="3" t="s">
        <v>66</v>
      </c>
      <c r="C5139" s="4" t="str">
        <f t="shared" si="488"/>
        <v>GSE49355</v>
      </c>
      <c r="D5139" s="1" t="s">
        <v>62</v>
      </c>
      <c r="E5139" t="s">
        <v>73</v>
      </c>
      <c r="F5139" s="1">
        <v>1</v>
      </c>
      <c r="G5139" s="1" t="s">
        <v>36</v>
      </c>
      <c r="H5139" s="4" t="str">
        <f>HYPERLINK("https://www.ncbi.nlm.nih.gov/geo/query/acc.cgi?acc=GSM1198047","GSM1198047")</f>
        <v>GSM1198047</v>
      </c>
      <c r="I5139" t="s">
        <v>69</v>
      </c>
      <c r="J5139" t="s">
        <v>18</v>
      </c>
      <c r="K5139" t="s">
        <v>19</v>
      </c>
      <c r="L5139" t="s">
        <v>70</v>
      </c>
      <c r="M5139" t="s">
        <v>44</v>
      </c>
      <c r="N5139" t="s">
        <v>37</v>
      </c>
    </row>
    <row r="5140" spans="1:14">
      <c r="A5140" s="4" t="str">
        <f t="shared" si="489"/>
        <v>EXP00177</v>
      </c>
      <c r="B5140" s="3" t="s">
        <v>66</v>
      </c>
      <c r="C5140" s="4" t="str">
        <f t="shared" si="488"/>
        <v>GSE49355</v>
      </c>
      <c r="D5140" s="1" t="s">
        <v>62</v>
      </c>
      <c r="E5140" t="s">
        <v>73</v>
      </c>
      <c r="F5140" s="1">
        <v>1</v>
      </c>
      <c r="G5140" s="1" t="s">
        <v>36</v>
      </c>
      <c r="H5140" s="4" t="str">
        <f>HYPERLINK("https://www.ncbi.nlm.nih.gov/geo/query/acc.cgi?acc=GSM1198050","GSM1198050")</f>
        <v>GSM1198050</v>
      </c>
      <c r="I5140" t="s">
        <v>69</v>
      </c>
      <c r="J5140" t="s">
        <v>18</v>
      </c>
      <c r="K5140" t="s">
        <v>19</v>
      </c>
      <c r="L5140" t="s">
        <v>70</v>
      </c>
      <c r="M5140" t="s">
        <v>44</v>
      </c>
      <c r="N5140" t="s">
        <v>37</v>
      </c>
    </row>
    <row r="5141" spans="1:14">
      <c r="A5141" s="4" t="str">
        <f t="shared" si="489"/>
        <v>EXP00177</v>
      </c>
      <c r="B5141" s="3" t="s">
        <v>66</v>
      </c>
      <c r="C5141" s="4" t="str">
        <f t="shared" si="488"/>
        <v>GSE49355</v>
      </c>
      <c r="D5141" s="1" t="s">
        <v>62</v>
      </c>
      <c r="E5141" t="s">
        <v>73</v>
      </c>
      <c r="F5141" s="1">
        <v>2</v>
      </c>
      <c r="G5141" s="1" t="s">
        <v>28</v>
      </c>
      <c r="H5141" s="4" t="str">
        <f>HYPERLINK("https://www.ncbi.nlm.nih.gov/geo/query/acc.cgi?acc=GSM1197996","GSM1197996")</f>
        <v>GSM1197996</v>
      </c>
      <c r="I5141" t="s">
        <v>69</v>
      </c>
      <c r="J5141" t="s">
        <v>18</v>
      </c>
      <c r="K5141" t="s">
        <v>19</v>
      </c>
      <c r="L5141" t="s">
        <v>70</v>
      </c>
      <c r="M5141" t="s">
        <v>44</v>
      </c>
      <c r="N5141" t="s">
        <v>29</v>
      </c>
    </row>
    <row r="5142" spans="1:14">
      <c r="A5142" s="4" t="str">
        <f t="shared" si="489"/>
        <v>EXP00177</v>
      </c>
      <c r="B5142" s="3" t="s">
        <v>66</v>
      </c>
      <c r="C5142" s="4" t="str">
        <f t="shared" si="488"/>
        <v>GSE49355</v>
      </c>
      <c r="D5142" s="1" t="s">
        <v>62</v>
      </c>
      <c r="E5142" t="s">
        <v>73</v>
      </c>
      <c r="F5142" s="1">
        <v>2</v>
      </c>
      <c r="G5142" s="1" t="s">
        <v>28</v>
      </c>
      <c r="H5142" s="4" t="str">
        <f>HYPERLINK("https://www.ncbi.nlm.nih.gov/geo/query/acc.cgi?acc=GSM1198001","GSM1198001")</f>
        <v>GSM1198001</v>
      </c>
      <c r="I5142" t="s">
        <v>69</v>
      </c>
      <c r="J5142" t="s">
        <v>18</v>
      </c>
      <c r="K5142" t="s">
        <v>19</v>
      </c>
      <c r="L5142" t="s">
        <v>70</v>
      </c>
      <c r="M5142" t="s">
        <v>44</v>
      </c>
      <c r="N5142" t="s">
        <v>29</v>
      </c>
    </row>
    <row r="5143" spans="1:14">
      <c r="A5143" s="4" t="str">
        <f t="shared" si="489"/>
        <v>EXP00177</v>
      </c>
      <c r="B5143" s="3" t="s">
        <v>66</v>
      </c>
      <c r="C5143" s="4" t="str">
        <f t="shared" si="488"/>
        <v>GSE49355</v>
      </c>
      <c r="D5143" s="1" t="s">
        <v>62</v>
      </c>
      <c r="E5143" t="s">
        <v>73</v>
      </c>
      <c r="F5143" s="1">
        <v>2</v>
      </c>
      <c r="G5143" s="1" t="s">
        <v>28</v>
      </c>
      <c r="H5143" s="4" t="str">
        <f>HYPERLINK("https://www.ncbi.nlm.nih.gov/geo/query/acc.cgi?acc=GSM1198006","GSM1198006")</f>
        <v>GSM1198006</v>
      </c>
      <c r="I5143" t="s">
        <v>69</v>
      </c>
      <c r="J5143" t="s">
        <v>18</v>
      </c>
      <c r="K5143" t="s">
        <v>19</v>
      </c>
      <c r="L5143" t="s">
        <v>70</v>
      </c>
      <c r="M5143" t="s">
        <v>44</v>
      </c>
      <c r="N5143" t="s">
        <v>29</v>
      </c>
    </row>
    <row r="5144" spans="1:14">
      <c r="A5144" s="4" t="str">
        <f t="shared" si="489"/>
        <v>EXP00177</v>
      </c>
      <c r="B5144" s="3" t="s">
        <v>66</v>
      </c>
      <c r="C5144" s="4" t="str">
        <f t="shared" si="488"/>
        <v>GSE49355</v>
      </c>
      <c r="D5144" s="1" t="s">
        <v>62</v>
      </c>
      <c r="E5144" t="s">
        <v>73</v>
      </c>
      <c r="F5144" s="1">
        <v>2</v>
      </c>
      <c r="G5144" s="1" t="s">
        <v>28</v>
      </c>
      <c r="H5144" s="4" t="str">
        <f>HYPERLINK("https://www.ncbi.nlm.nih.gov/geo/query/acc.cgi?acc=GSM1198007","GSM1198007")</f>
        <v>GSM1198007</v>
      </c>
      <c r="I5144" t="s">
        <v>69</v>
      </c>
      <c r="J5144" t="s">
        <v>18</v>
      </c>
      <c r="K5144" t="s">
        <v>19</v>
      </c>
      <c r="L5144" t="s">
        <v>70</v>
      </c>
      <c r="M5144" t="s">
        <v>44</v>
      </c>
      <c r="N5144" t="s">
        <v>29</v>
      </c>
    </row>
    <row r="5145" spans="1:14">
      <c r="A5145" s="4" t="str">
        <f t="shared" si="489"/>
        <v>EXP00177</v>
      </c>
      <c r="B5145" s="3" t="s">
        <v>66</v>
      </c>
      <c r="C5145" s="4" t="str">
        <f t="shared" si="488"/>
        <v>GSE49355</v>
      </c>
      <c r="D5145" s="1" t="s">
        <v>62</v>
      </c>
      <c r="E5145" t="s">
        <v>73</v>
      </c>
      <c r="F5145" s="1">
        <v>2</v>
      </c>
      <c r="G5145" s="1" t="s">
        <v>28</v>
      </c>
      <c r="H5145" s="4" t="str">
        <f>HYPERLINK("https://www.ncbi.nlm.nih.gov/geo/query/acc.cgi?acc=GSM1198010","GSM1198010")</f>
        <v>GSM1198010</v>
      </c>
      <c r="I5145" t="s">
        <v>69</v>
      </c>
      <c r="J5145" t="s">
        <v>18</v>
      </c>
      <c r="K5145" t="s">
        <v>19</v>
      </c>
      <c r="L5145" t="s">
        <v>70</v>
      </c>
      <c r="M5145" t="s">
        <v>44</v>
      </c>
      <c r="N5145" t="s">
        <v>29</v>
      </c>
    </row>
    <row r="5146" spans="1:14">
      <c r="A5146" s="4" t="str">
        <f t="shared" si="489"/>
        <v>EXP00177</v>
      </c>
      <c r="B5146" s="3" t="s">
        <v>66</v>
      </c>
      <c r="C5146" s="4" t="str">
        <f t="shared" si="488"/>
        <v>GSE49355</v>
      </c>
      <c r="D5146" s="1" t="s">
        <v>62</v>
      </c>
      <c r="E5146" t="s">
        <v>73</v>
      </c>
      <c r="F5146" s="1">
        <v>2</v>
      </c>
      <c r="G5146" s="1" t="s">
        <v>28</v>
      </c>
      <c r="H5146" s="4" t="str">
        <f>HYPERLINK("https://www.ncbi.nlm.nih.gov/geo/query/acc.cgi?acc=GSM1198012","GSM1198012")</f>
        <v>GSM1198012</v>
      </c>
      <c r="I5146" t="s">
        <v>69</v>
      </c>
      <c r="J5146" t="s">
        <v>18</v>
      </c>
      <c r="K5146" t="s">
        <v>19</v>
      </c>
      <c r="L5146" t="s">
        <v>70</v>
      </c>
      <c r="M5146" t="s">
        <v>44</v>
      </c>
      <c r="N5146" t="s">
        <v>29</v>
      </c>
    </row>
    <row r="5147" spans="1:14">
      <c r="A5147" s="4" t="str">
        <f t="shared" si="489"/>
        <v>EXP00177</v>
      </c>
      <c r="B5147" s="3" t="s">
        <v>66</v>
      </c>
      <c r="C5147" s="4" t="str">
        <f t="shared" si="488"/>
        <v>GSE49355</v>
      </c>
      <c r="D5147" s="1" t="s">
        <v>62</v>
      </c>
      <c r="E5147" t="s">
        <v>73</v>
      </c>
      <c r="F5147" s="1">
        <v>2</v>
      </c>
      <c r="G5147" s="1" t="s">
        <v>28</v>
      </c>
      <c r="H5147" s="4" t="str">
        <f>HYPERLINK("https://www.ncbi.nlm.nih.gov/geo/query/acc.cgi?acc=GSM1198014","GSM1198014")</f>
        <v>GSM1198014</v>
      </c>
      <c r="I5147" t="s">
        <v>69</v>
      </c>
      <c r="J5147" t="s">
        <v>18</v>
      </c>
      <c r="K5147" t="s">
        <v>19</v>
      </c>
      <c r="L5147" t="s">
        <v>70</v>
      </c>
      <c r="M5147" t="s">
        <v>44</v>
      </c>
      <c r="N5147" t="s">
        <v>29</v>
      </c>
    </row>
    <row r="5148" spans="1:14">
      <c r="A5148" s="4" t="str">
        <f t="shared" si="489"/>
        <v>EXP00177</v>
      </c>
      <c r="B5148" s="3" t="s">
        <v>66</v>
      </c>
      <c r="C5148" s="4" t="str">
        <f t="shared" ref="C5148:C5160" si="490">HYPERLINK("https://www.ncbi.nlm.nih.gov/geo/query/acc.cgi?acc=GSE49355","GSE49355")</f>
        <v>GSE49355</v>
      </c>
      <c r="D5148" s="1" t="s">
        <v>62</v>
      </c>
      <c r="E5148" t="s">
        <v>73</v>
      </c>
      <c r="F5148" s="1">
        <v>2</v>
      </c>
      <c r="G5148" s="1" t="s">
        <v>28</v>
      </c>
      <c r="H5148" s="4" t="str">
        <f>HYPERLINK("https://www.ncbi.nlm.nih.gov/geo/query/acc.cgi?acc=GSM1198018","GSM1198018")</f>
        <v>GSM1198018</v>
      </c>
      <c r="I5148" t="s">
        <v>69</v>
      </c>
      <c r="J5148" t="s">
        <v>18</v>
      </c>
      <c r="K5148" t="s">
        <v>19</v>
      </c>
      <c r="L5148" t="s">
        <v>70</v>
      </c>
      <c r="M5148" t="s">
        <v>44</v>
      </c>
      <c r="N5148" t="s">
        <v>29</v>
      </c>
    </row>
    <row r="5149" spans="1:14">
      <c r="A5149" s="4" t="str">
        <f t="shared" si="489"/>
        <v>EXP00177</v>
      </c>
      <c r="B5149" s="3" t="s">
        <v>66</v>
      </c>
      <c r="C5149" s="4" t="str">
        <f t="shared" si="490"/>
        <v>GSE49355</v>
      </c>
      <c r="D5149" s="1" t="s">
        <v>62</v>
      </c>
      <c r="E5149" t="s">
        <v>73</v>
      </c>
      <c r="F5149" s="1">
        <v>2</v>
      </c>
      <c r="G5149" s="1" t="s">
        <v>28</v>
      </c>
      <c r="H5149" s="4" t="str">
        <f>HYPERLINK("https://www.ncbi.nlm.nih.gov/geo/query/acc.cgi?acc=GSM1198020","GSM1198020")</f>
        <v>GSM1198020</v>
      </c>
      <c r="I5149" t="s">
        <v>69</v>
      </c>
      <c r="J5149" t="s">
        <v>18</v>
      </c>
      <c r="K5149" t="s">
        <v>19</v>
      </c>
      <c r="L5149" t="s">
        <v>70</v>
      </c>
      <c r="M5149" t="s">
        <v>44</v>
      </c>
      <c r="N5149" t="s">
        <v>29</v>
      </c>
    </row>
    <row r="5150" spans="1:14">
      <c r="A5150" s="4" t="str">
        <f t="shared" si="489"/>
        <v>EXP00177</v>
      </c>
      <c r="B5150" s="3" t="s">
        <v>66</v>
      </c>
      <c r="C5150" s="4" t="str">
        <f t="shared" si="490"/>
        <v>GSE49355</v>
      </c>
      <c r="D5150" s="1" t="s">
        <v>62</v>
      </c>
      <c r="E5150" t="s">
        <v>73</v>
      </c>
      <c r="F5150" s="1">
        <v>2</v>
      </c>
      <c r="G5150" s="1" t="s">
        <v>28</v>
      </c>
      <c r="H5150" s="4" t="str">
        <f>HYPERLINK("https://www.ncbi.nlm.nih.gov/geo/query/acc.cgi?acc=GSM1198026","GSM1198026")</f>
        <v>GSM1198026</v>
      </c>
      <c r="I5150" t="s">
        <v>69</v>
      </c>
      <c r="J5150" t="s">
        <v>18</v>
      </c>
      <c r="K5150" t="s">
        <v>19</v>
      </c>
      <c r="L5150" t="s">
        <v>70</v>
      </c>
      <c r="M5150" t="s">
        <v>44</v>
      </c>
      <c r="N5150" t="s">
        <v>29</v>
      </c>
    </row>
    <row r="5151" spans="1:14">
      <c r="A5151" s="4" t="str">
        <f t="shared" si="489"/>
        <v>EXP00177</v>
      </c>
      <c r="B5151" s="3" t="s">
        <v>66</v>
      </c>
      <c r="C5151" s="4" t="str">
        <f t="shared" si="490"/>
        <v>GSE49355</v>
      </c>
      <c r="D5151" s="1" t="s">
        <v>62</v>
      </c>
      <c r="E5151" t="s">
        <v>73</v>
      </c>
      <c r="F5151" s="1">
        <v>2</v>
      </c>
      <c r="G5151" s="1" t="s">
        <v>28</v>
      </c>
      <c r="H5151" s="4" t="str">
        <f>HYPERLINK("https://www.ncbi.nlm.nih.gov/geo/query/acc.cgi?acc=GSM1198028","GSM1198028")</f>
        <v>GSM1198028</v>
      </c>
      <c r="I5151" t="s">
        <v>69</v>
      </c>
      <c r="J5151" t="s">
        <v>18</v>
      </c>
      <c r="K5151" t="s">
        <v>19</v>
      </c>
      <c r="L5151" t="s">
        <v>70</v>
      </c>
      <c r="M5151" t="s">
        <v>44</v>
      </c>
      <c r="N5151" t="s">
        <v>29</v>
      </c>
    </row>
    <row r="5152" spans="1:14">
      <c r="A5152" s="4" t="str">
        <f t="shared" si="489"/>
        <v>EXP00177</v>
      </c>
      <c r="B5152" s="3" t="s">
        <v>66</v>
      </c>
      <c r="C5152" s="4" t="str">
        <f t="shared" si="490"/>
        <v>GSE49355</v>
      </c>
      <c r="D5152" s="1" t="s">
        <v>62</v>
      </c>
      <c r="E5152" t="s">
        <v>73</v>
      </c>
      <c r="F5152" s="1">
        <v>2</v>
      </c>
      <c r="G5152" s="1" t="s">
        <v>28</v>
      </c>
      <c r="H5152" s="4" t="str">
        <f>HYPERLINK("https://www.ncbi.nlm.nih.gov/geo/query/acc.cgi?acc=GSM1198029","GSM1198029")</f>
        <v>GSM1198029</v>
      </c>
      <c r="I5152" t="s">
        <v>69</v>
      </c>
      <c r="J5152" t="s">
        <v>18</v>
      </c>
      <c r="K5152" t="s">
        <v>19</v>
      </c>
      <c r="L5152" t="s">
        <v>70</v>
      </c>
      <c r="M5152" t="s">
        <v>44</v>
      </c>
      <c r="N5152" t="s">
        <v>29</v>
      </c>
    </row>
    <row r="5153" spans="1:14">
      <c r="A5153" s="4" t="str">
        <f t="shared" si="489"/>
        <v>EXP00177</v>
      </c>
      <c r="B5153" s="3" t="s">
        <v>66</v>
      </c>
      <c r="C5153" s="4" t="str">
        <f t="shared" si="490"/>
        <v>GSE49355</v>
      </c>
      <c r="D5153" s="1" t="s">
        <v>62</v>
      </c>
      <c r="E5153" t="s">
        <v>73</v>
      </c>
      <c r="F5153" s="1">
        <v>2</v>
      </c>
      <c r="G5153" s="1" t="s">
        <v>28</v>
      </c>
      <c r="H5153" s="4" t="str">
        <f>HYPERLINK("https://www.ncbi.nlm.nih.gov/geo/query/acc.cgi?acc=GSM1198030","GSM1198030")</f>
        <v>GSM1198030</v>
      </c>
      <c r="I5153" t="s">
        <v>69</v>
      </c>
      <c r="J5153" t="s">
        <v>18</v>
      </c>
      <c r="K5153" t="s">
        <v>19</v>
      </c>
      <c r="L5153" t="s">
        <v>70</v>
      </c>
      <c r="M5153" t="s">
        <v>44</v>
      </c>
      <c r="N5153" t="s">
        <v>29</v>
      </c>
    </row>
    <row r="5154" spans="1:14">
      <c r="A5154" s="4" t="str">
        <f t="shared" si="489"/>
        <v>EXP00177</v>
      </c>
      <c r="B5154" s="3" t="s">
        <v>66</v>
      </c>
      <c r="C5154" s="4" t="str">
        <f t="shared" si="490"/>
        <v>GSE49355</v>
      </c>
      <c r="D5154" s="1" t="s">
        <v>62</v>
      </c>
      <c r="E5154" t="s">
        <v>73</v>
      </c>
      <c r="F5154" s="1">
        <v>2</v>
      </c>
      <c r="G5154" s="1" t="s">
        <v>28</v>
      </c>
      <c r="H5154" s="4" t="str">
        <f>HYPERLINK("https://www.ncbi.nlm.nih.gov/geo/query/acc.cgi?acc=GSM1198035","GSM1198035")</f>
        <v>GSM1198035</v>
      </c>
      <c r="I5154" t="s">
        <v>69</v>
      </c>
      <c r="J5154" t="s">
        <v>18</v>
      </c>
      <c r="K5154" t="s">
        <v>19</v>
      </c>
      <c r="L5154" t="s">
        <v>70</v>
      </c>
      <c r="M5154" t="s">
        <v>44</v>
      </c>
      <c r="N5154" t="s">
        <v>29</v>
      </c>
    </row>
    <row r="5155" spans="1:14">
      <c r="A5155" s="4" t="str">
        <f t="shared" si="489"/>
        <v>EXP00177</v>
      </c>
      <c r="B5155" s="3" t="s">
        <v>66</v>
      </c>
      <c r="C5155" s="4" t="str">
        <f t="shared" si="490"/>
        <v>GSE49355</v>
      </c>
      <c r="D5155" s="1" t="s">
        <v>62</v>
      </c>
      <c r="E5155" t="s">
        <v>73</v>
      </c>
      <c r="F5155" s="1">
        <v>2</v>
      </c>
      <c r="G5155" s="1" t="s">
        <v>28</v>
      </c>
      <c r="H5155" s="4" t="str">
        <f>HYPERLINK("https://www.ncbi.nlm.nih.gov/geo/query/acc.cgi?acc=GSM1198037","GSM1198037")</f>
        <v>GSM1198037</v>
      </c>
      <c r="I5155" t="s">
        <v>69</v>
      </c>
      <c r="J5155" t="s">
        <v>18</v>
      </c>
      <c r="K5155" t="s">
        <v>19</v>
      </c>
      <c r="L5155" t="s">
        <v>70</v>
      </c>
      <c r="M5155" t="s">
        <v>44</v>
      </c>
      <c r="N5155" t="s">
        <v>29</v>
      </c>
    </row>
    <row r="5156" spans="1:14">
      <c r="A5156" s="4" t="str">
        <f t="shared" si="489"/>
        <v>EXP00177</v>
      </c>
      <c r="B5156" s="3" t="s">
        <v>66</v>
      </c>
      <c r="C5156" s="4" t="str">
        <f t="shared" si="490"/>
        <v>GSE49355</v>
      </c>
      <c r="D5156" s="1" t="s">
        <v>62</v>
      </c>
      <c r="E5156" t="s">
        <v>73</v>
      </c>
      <c r="F5156" s="1">
        <v>2</v>
      </c>
      <c r="G5156" s="1" t="s">
        <v>28</v>
      </c>
      <c r="H5156" s="4" t="str">
        <f>HYPERLINK("https://www.ncbi.nlm.nih.gov/geo/query/acc.cgi?acc=GSM1198041","GSM1198041")</f>
        <v>GSM1198041</v>
      </c>
      <c r="I5156" t="s">
        <v>69</v>
      </c>
      <c r="J5156" t="s">
        <v>18</v>
      </c>
      <c r="K5156" t="s">
        <v>19</v>
      </c>
      <c r="L5156" t="s">
        <v>70</v>
      </c>
      <c r="M5156" t="s">
        <v>44</v>
      </c>
      <c r="N5156" t="s">
        <v>29</v>
      </c>
    </row>
    <row r="5157" spans="1:14">
      <c r="A5157" s="4" t="str">
        <f t="shared" si="489"/>
        <v>EXP00177</v>
      </c>
      <c r="B5157" s="3" t="s">
        <v>66</v>
      </c>
      <c r="C5157" s="4" t="str">
        <f t="shared" si="490"/>
        <v>GSE49355</v>
      </c>
      <c r="D5157" s="1" t="s">
        <v>62</v>
      </c>
      <c r="E5157" t="s">
        <v>73</v>
      </c>
      <c r="F5157" s="1">
        <v>2</v>
      </c>
      <c r="G5157" s="1" t="s">
        <v>28</v>
      </c>
      <c r="H5157" s="4" t="str">
        <f>HYPERLINK("https://www.ncbi.nlm.nih.gov/geo/query/acc.cgi?acc=GSM1198043","GSM1198043")</f>
        <v>GSM1198043</v>
      </c>
      <c r="I5157" t="s">
        <v>69</v>
      </c>
      <c r="J5157" t="s">
        <v>18</v>
      </c>
      <c r="K5157" t="s">
        <v>19</v>
      </c>
      <c r="L5157" t="s">
        <v>70</v>
      </c>
      <c r="M5157" t="s">
        <v>44</v>
      </c>
      <c r="N5157" t="s">
        <v>29</v>
      </c>
    </row>
    <row r="5158" spans="1:14">
      <c r="A5158" s="4" t="str">
        <f t="shared" si="489"/>
        <v>EXP00177</v>
      </c>
      <c r="B5158" s="3" t="s">
        <v>66</v>
      </c>
      <c r="C5158" s="4" t="str">
        <f t="shared" si="490"/>
        <v>GSE49355</v>
      </c>
      <c r="D5158" s="1" t="s">
        <v>62</v>
      </c>
      <c r="E5158" t="s">
        <v>73</v>
      </c>
      <c r="F5158" s="1">
        <v>2</v>
      </c>
      <c r="G5158" s="1" t="s">
        <v>28</v>
      </c>
      <c r="H5158" s="4" t="str">
        <f>HYPERLINK("https://www.ncbi.nlm.nih.gov/geo/query/acc.cgi?acc=GSM1198046","GSM1198046")</f>
        <v>GSM1198046</v>
      </c>
      <c r="I5158" t="s">
        <v>69</v>
      </c>
      <c r="J5158" t="s">
        <v>18</v>
      </c>
      <c r="K5158" t="s">
        <v>19</v>
      </c>
      <c r="L5158" t="s">
        <v>70</v>
      </c>
      <c r="M5158" t="s">
        <v>44</v>
      </c>
      <c r="N5158" t="s">
        <v>29</v>
      </c>
    </row>
    <row r="5159" spans="1:14">
      <c r="A5159" s="4" t="str">
        <f t="shared" si="489"/>
        <v>EXP00177</v>
      </c>
      <c r="B5159" s="3" t="s">
        <v>66</v>
      </c>
      <c r="C5159" s="4" t="str">
        <f t="shared" si="490"/>
        <v>GSE49355</v>
      </c>
      <c r="D5159" s="1" t="s">
        <v>62</v>
      </c>
      <c r="E5159" t="s">
        <v>73</v>
      </c>
      <c r="F5159" s="1">
        <v>2</v>
      </c>
      <c r="G5159" s="1" t="s">
        <v>28</v>
      </c>
      <c r="H5159" s="4" t="str">
        <f>HYPERLINK("https://www.ncbi.nlm.nih.gov/geo/query/acc.cgi?acc=GSM1198048","GSM1198048")</f>
        <v>GSM1198048</v>
      </c>
      <c r="I5159" t="s">
        <v>69</v>
      </c>
      <c r="J5159" t="s">
        <v>18</v>
      </c>
      <c r="K5159" t="s">
        <v>19</v>
      </c>
      <c r="L5159" t="s">
        <v>70</v>
      </c>
      <c r="M5159" t="s">
        <v>44</v>
      </c>
      <c r="N5159" t="s">
        <v>29</v>
      </c>
    </row>
    <row r="5160" spans="1:14">
      <c r="A5160" s="4" t="str">
        <f t="shared" si="489"/>
        <v>EXP00177</v>
      </c>
      <c r="B5160" s="3" t="s">
        <v>66</v>
      </c>
      <c r="C5160" s="4" t="str">
        <f t="shared" si="490"/>
        <v>GSE49355</v>
      </c>
      <c r="D5160" s="1" t="s">
        <v>62</v>
      </c>
      <c r="E5160" t="s">
        <v>73</v>
      </c>
      <c r="F5160" s="1">
        <v>2</v>
      </c>
      <c r="G5160" s="1" t="s">
        <v>28</v>
      </c>
      <c r="H5160" s="4" t="str">
        <f>HYPERLINK("https://www.ncbi.nlm.nih.gov/geo/query/acc.cgi?acc=GSM1198051","GSM1198051")</f>
        <v>GSM1198051</v>
      </c>
      <c r="I5160" t="s">
        <v>69</v>
      </c>
      <c r="J5160" t="s">
        <v>18</v>
      </c>
      <c r="K5160" t="s">
        <v>19</v>
      </c>
      <c r="L5160" t="s">
        <v>70</v>
      </c>
      <c r="M5160" t="s">
        <v>44</v>
      </c>
      <c r="N5160" t="s">
        <v>29</v>
      </c>
    </row>
    <row r="5161" spans="1:14">
      <c r="A5161" s="4" t="str">
        <f t="shared" ref="A5161:A5192" si="491">HYPERLINK("http://hcmdb.i-sanger.com/experiment/details/experiment_id/EXP00178","EXP00178")</f>
        <v>EXP00178</v>
      </c>
      <c r="B5161" s="4" t="str">
        <f t="shared" ref="B5161:B5224" si="492">HYPERLINK("https://www.ncbi.nlm.nih.gov/pubmed/24803579","24803579")</f>
        <v>24803579</v>
      </c>
      <c r="C5161" s="4" t="str">
        <f t="shared" ref="C5161:C5224" si="493">HYPERLINK("https://www.ncbi.nlm.nih.gov/geo/query/acc.cgi?acc=GSE50493","GSE50493")</f>
        <v>GSE50493</v>
      </c>
      <c r="D5161" s="1" t="s">
        <v>303</v>
      </c>
      <c r="E5161" t="s">
        <v>84</v>
      </c>
      <c r="F5161" s="1">
        <v>1</v>
      </c>
      <c r="G5161" s="1" t="s">
        <v>304</v>
      </c>
      <c r="H5161" s="4" t="str">
        <f>HYPERLINK("https://www.ncbi.nlm.nih.gov/geo/query/acc.cgi?acc=GSM1220097","GSM1220097")</f>
        <v>GSM1220097</v>
      </c>
      <c r="I5161" t="s">
        <v>82</v>
      </c>
      <c r="J5161" t="s">
        <v>83</v>
      </c>
      <c r="K5161" t="s">
        <v>19</v>
      </c>
      <c r="L5161" t="s">
        <v>27</v>
      </c>
      <c r="M5161" t="s">
        <v>50</v>
      </c>
      <c r="N5161" t="s">
        <v>22</v>
      </c>
    </row>
    <row r="5162" spans="1:14">
      <c r="A5162" s="4" t="str">
        <f t="shared" si="491"/>
        <v>EXP00178</v>
      </c>
      <c r="B5162" s="4" t="str">
        <f t="shared" si="492"/>
        <v>24803579</v>
      </c>
      <c r="C5162" s="4" t="str">
        <f t="shared" si="493"/>
        <v>GSE50493</v>
      </c>
      <c r="D5162" s="1" t="s">
        <v>303</v>
      </c>
      <c r="E5162" t="s">
        <v>84</v>
      </c>
      <c r="F5162" s="1">
        <v>1</v>
      </c>
      <c r="G5162" s="1" t="s">
        <v>304</v>
      </c>
      <c r="H5162" s="4" t="str">
        <f>HYPERLINK("https://www.ncbi.nlm.nih.gov/geo/query/acc.cgi?acc=GSM1220098","GSM1220098")</f>
        <v>GSM1220098</v>
      </c>
      <c r="I5162" t="s">
        <v>82</v>
      </c>
      <c r="J5162" t="s">
        <v>83</v>
      </c>
      <c r="K5162" t="s">
        <v>19</v>
      </c>
      <c r="L5162" t="s">
        <v>27</v>
      </c>
      <c r="M5162" t="s">
        <v>50</v>
      </c>
      <c r="N5162" t="s">
        <v>22</v>
      </c>
    </row>
    <row r="5163" spans="1:14">
      <c r="A5163" s="4" t="str">
        <f t="shared" si="491"/>
        <v>EXP00178</v>
      </c>
      <c r="B5163" s="4" t="str">
        <f t="shared" si="492"/>
        <v>24803579</v>
      </c>
      <c r="C5163" s="4" t="str">
        <f t="shared" si="493"/>
        <v>GSE50493</v>
      </c>
      <c r="D5163" s="1" t="s">
        <v>303</v>
      </c>
      <c r="E5163" t="s">
        <v>84</v>
      </c>
      <c r="F5163" s="1">
        <v>1</v>
      </c>
      <c r="G5163" s="1" t="s">
        <v>304</v>
      </c>
      <c r="H5163" s="4" t="str">
        <f>HYPERLINK("https://www.ncbi.nlm.nih.gov/geo/query/acc.cgi?acc=GSM1220099","GSM1220099")</f>
        <v>GSM1220099</v>
      </c>
      <c r="I5163" t="s">
        <v>82</v>
      </c>
      <c r="J5163" t="s">
        <v>83</v>
      </c>
      <c r="K5163" t="s">
        <v>19</v>
      </c>
      <c r="L5163" t="s">
        <v>27</v>
      </c>
      <c r="M5163" t="s">
        <v>50</v>
      </c>
      <c r="N5163" t="s">
        <v>22</v>
      </c>
    </row>
    <row r="5164" spans="1:14">
      <c r="A5164" s="4" t="str">
        <f t="shared" si="491"/>
        <v>EXP00178</v>
      </c>
      <c r="B5164" s="4" t="str">
        <f t="shared" si="492"/>
        <v>24803579</v>
      </c>
      <c r="C5164" s="4" t="str">
        <f t="shared" si="493"/>
        <v>GSE50493</v>
      </c>
      <c r="D5164" s="1" t="s">
        <v>303</v>
      </c>
      <c r="E5164" t="s">
        <v>84</v>
      </c>
      <c r="F5164" s="1">
        <v>2</v>
      </c>
      <c r="G5164" s="1" t="s">
        <v>305</v>
      </c>
      <c r="H5164" s="4" t="str">
        <f>HYPERLINK("https://www.ncbi.nlm.nih.gov/geo/query/acc.cgi?acc=GSM1220035","GSM1220035")</f>
        <v>GSM1220035</v>
      </c>
      <c r="I5164" t="s">
        <v>82</v>
      </c>
      <c r="J5164" t="s">
        <v>83</v>
      </c>
      <c r="K5164" t="s">
        <v>19</v>
      </c>
      <c r="L5164" t="s">
        <v>27</v>
      </c>
      <c r="M5164" t="s">
        <v>21</v>
      </c>
      <c r="N5164" t="s">
        <v>22</v>
      </c>
    </row>
    <row r="5165" spans="1:14">
      <c r="A5165" s="4" t="str">
        <f t="shared" si="491"/>
        <v>EXP00178</v>
      </c>
      <c r="B5165" s="4" t="str">
        <f t="shared" si="492"/>
        <v>24803579</v>
      </c>
      <c r="C5165" s="4" t="str">
        <f t="shared" si="493"/>
        <v>GSE50493</v>
      </c>
      <c r="D5165" s="1" t="s">
        <v>303</v>
      </c>
      <c r="E5165" t="s">
        <v>84</v>
      </c>
      <c r="F5165" s="1">
        <v>2</v>
      </c>
      <c r="G5165" s="1" t="s">
        <v>305</v>
      </c>
      <c r="H5165" s="4" t="str">
        <f>HYPERLINK("https://www.ncbi.nlm.nih.gov/geo/query/acc.cgi?acc=GSM1220036","GSM1220036")</f>
        <v>GSM1220036</v>
      </c>
      <c r="I5165" t="s">
        <v>82</v>
      </c>
      <c r="J5165" t="s">
        <v>83</v>
      </c>
      <c r="K5165" t="s">
        <v>19</v>
      </c>
      <c r="L5165" t="s">
        <v>27</v>
      </c>
      <c r="M5165" t="s">
        <v>21</v>
      </c>
      <c r="N5165" t="s">
        <v>22</v>
      </c>
    </row>
    <row r="5166" spans="1:14">
      <c r="A5166" s="4" t="str">
        <f t="shared" si="491"/>
        <v>EXP00178</v>
      </c>
      <c r="B5166" s="4" t="str">
        <f t="shared" si="492"/>
        <v>24803579</v>
      </c>
      <c r="C5166" s="4" t="str">
        <f t="shared" si="493"/>
        <v>GSE50493</v>
      </c>
      <c r="D5166" s="1" t="s">
        <v>303</v>
      </c>
      <c r="E5166" t="s">
        <v>84</v>
      </c>
      <c r="F5166" s="1">
        <v>2</v>
      </c>
      <c r="G5166" s="1" t="s">
        <v>305</v>
      </c>
      <c r="H5166" s="4" t="str">
        <f>HYPERLINK("https://www.ncbi.nlm.nih.gov/geo/query/acc.cgi?acc=GSM1220037","GSM1220037")</f>
        <v>GSM1220037</v>
      </c>
      <c r="I5166" t="s">
        <v>82</v>
      </c>
      <c r="J5166" t="s">
        <v>83</v>
      </c>
      <c r="K5166" t="s">
        <v>19</v>
      </c>
      <c r="L5166" t="s">
        <v>27</v>
      </c>
      <c r="M5166" t="s">
        <v>21</v>
      </c>
      <c r="N5166" t="s">
        <v>22</v>
      </c>
    </row>
    <row r="5167" spans="1:14">
      <c r="A5167" s="4" t="str">
        <f t="shared" si="491"/>
        <v>EXP00178</v>
      </c>
      <c r="B5167" s="4" t="str">
        <f t="shared" si="492"/>
        <v>24803579</v>
      </c>
      <c r="C5167" s="4" t="str">
        <f t="shared" si="493"/>
        <v>GSE50493</v>
      </c>
      <c r="D5167" s="1" t="s">
        <v>303</v>
      </c>
      <c r="E5167" t="s">
        <v>84</v>
      </c>
      <c r="F5167" s="1">
        <v>2</v>
      </c>
      <c r="G5167" s="1" t="s">
        <v>305</v>
      </c>
      <c r="H5167" s="4" t="str">
        <f>HYPERLINK("https://www.ncbi.nlm.nih.gov/geo/query/acc.cgi?acc=GSM1220038","GSM1220038")</f>
        <v>GSM1220038</v>
      </c>
      <c r="I5167" t="s">
        <v>82</v>
      </c>
      <c r="J5167" t="s">
        <v>83</v>
      </c>
      <c r="K5167" t="s">
        <v>19</v>
      </c>
      <c r="L5167" t="s">
        <v>27</v>
      </c>
      <c r="M5167" t="s">
        <v>21</v>
      </c>
      <c r="N5167" t="s">
        <v>22</v>
      </c>
    </row>
    <row r="5168" spans="1:14">
      <c r="A5168" s="4" t="str">
        <f t="shared" si="491"/>
        <v>EXP00178</v>
      </c>
      <c r="B5168" s="4" t="str">
        <f t="shared" si="492"/>
        <v>24803579</v>
      </c>
      <c r="C5168" s="4" t="str">
        <f t="shared" si="493"/>
        <v>GSE50493</v>
      </c>
      <c r="D5168" s="1" t="s">
        <v>303</v>
      </c>
      <c r="E5168" t="s">
        <v>84</v>
      </c>
      <c r="F5168" s="1">
        <v>2</v>
      </c>
      <c r="G5168" s="1" t="s">
        <v>305</v>
      </c>
      <c r="H5168" s="4" t="str">
        <f>HYPERLINK("https://www.ncbi.nlm.nih.gov/geo/query/acc.cgi?acc=GSM1220039","GSM1220039")</f>
        <v>GSM1220039</v>
      </c>
      <c r="I5168" t="s">
        <v>82</v>
      </c>
      <c r="J5168" t="s">
        <v>83</v>
      </c>
      <c r="K5168" t="s">
        <v>19</v>
      </c>
      <c r="L5168" t="s">
        <v>27</v>
      </c>
      <c r="M5168" t="s">
        <v>21</v>
      </c>
      <c r="N5168" t="s">
        <v>22</v>
      </c>
    </row>
    <row r="5169" spans="1:14">
      <c r="A5169" s="4" t="str">
        <f t="shared" si="491"/>
        <v>EXP00178</v>
      </c>
      <c r="B5169" s="4" t="str">
        <f t="shared" si="492"/>
        <v>24803579</v>
      </c>
      <c r="C5169" s="4" t="str">
        <f t="shared" si="493"/>
        <v>GSE50493</v>
      </c>
      <c r="D5169" s="1" t="s">
        <v>303</v>
      </c>
      <c r="E5169" t="s">
        <v>84</v>
      </c>
      <c r="F5169" s="1">
        <v>2</v>
      </c>
      <c r="G5169" s="1" t="s">
        <v>305</v>
      </c>
      <c r="H5169" s="4" t="str">
        <f>HYPERLINK("https://www.ncbi.nlm.nih.gov/geo/query/acc.cgi?acc=GSM1220040","GSM1220040")</f>
        <v>GSM1220040</v>
      </c>
      <c r="I5169" t="s">
        <v>82</v>
      </c>
      <c r="J5169" t="s">
        <v>83</v>
      </c>
      <c r="K5169" t="s">
        <v>19</v>
      </c>
      <c r="L5169" t="s">
        <v>27</v>
      </c>
      <c r="M5169" t="s">
        <v>21</v>
      </c>
      <c r="N5169" t="s">
        <v>22</v>
      </c>
    </row>
    <row r="5170" spans="1:14">
      <c r="A5170" s="4" t="str">
        <f t="shared" si="491"/>
        <v>EXP00178</v>
      </c>
      <c r="B5170" s="4" t="str">
        <f t="shared" si="492"/>
        <v>24803579</v>
      </c>
      <c r="C5170" s="4" t="str">
        <f t="shared" si="493"/>
        <v>GSE50493</v>
      </c>
      <c r="D5170" s="1" t="s">
        <v>303</v>
      </c>
      <c r="E5170" t="s">
        <v>84</v>
      </c>
      <c r="F5170" s="1">
        <v>2</v>
      </c>
      <c r="G5170" s="1" t="s">
        <v>305</v>
      </c>
      <c r="H5170" s="4" t="str">
        <f>HYPERLINK("https://www.ncbi.nlm.nih.gov/geo/query/acc.cgi?acc=GSM1220041","GSM1220041")</f>
        <v>GSM1220041</v>
      </c>
      <c r="I5170" t="s">
        <v>82</v>
      </c>
      <c r="J5170" t="s">
        <v>83</v>
      </c>
      <c r="K5170" t="s">
        <v>19</v>
      </c>
      <c r="L5170" t="s">
        <v>27</v>
      </c>
      <c r="M5170" t="s">
        <v>21</v>
      </c>
      <c r="N5170" t="s">
        <v>22</v>
      </c>
    </row>
    <row r="5171" spans="1:14">
      <c r="A5171" s="4" t="str">
        <f t="shared" si="491"/>
        <v>EXP00178</v>
      </c>
      <c r="B5171" s="4" t="str">
        <f t="shared" si="492"/>
        <v>24803579</v>
      </c>
      <c r="C5171" s="4" t="str">
        <f t="shared" si="493"/>
        <v>GSE50493</v>
      </c>
      <c r="D5171" s="1" t="s">
        <v>303</v>
      </c>
      <c r="E5171" t="s">
        <v>84</v>
      </c>
      <c r="F5171" s="1">
        <v>2</v>
      </c>
      <c r="G5171" s="1" t="s">
        <v>305</v>
      </c>
      <c r="H5171" s="4" t="str">
        <f>HYPERLINK("https://www.ncbi.nlm.nih.gov/geo/query/acc.cgi?acc=GSM1220042","GSM1220042")</f>
        <v>GSM1220042</v>
      </c>
      <c r="I5171" t="s">
        <v>82</v>
      </c>
      <c r="J5171" t="s">
        <v>83</v>
      </c>
      <c r="K5171" t="s">
        <v>19</v>
      </c>
      <c r="L5171" t="s">
        <v>27</v>
      </c>
      <c r="M5171" t="s">
        <v>21</v>
      </c>
      <c r="N5171" t="s">
        <v>22</v>
      </c>
    </row>
    <row r="5172" spans="1:14">
      <c r="A5172" s="4" t="str">
        <f t="shared" si="491"/>
        <v>EXP00178</v>
      </c>
      <c r="B5172" s="4" t="str">
        <f t="shared" si="492"/>
        <v>24803579</v>
      </c>
      <c r="C5172" s="4" t="str">
        <f t="shared" si="493"/>
        <v>GSE50493</v>
      </c>
      <c r="D5172" s="1" t="s">
        <v>303</v>
      </c>
      <c r="E5172" t="s">
        <v>84</v>
      </c>
      <c r="F5172" s="1">
        <v>2</v>
      </c>
      <c r="G5172" s="1" t="s">
        <v>305</v>
      </c>
      <c r="H5172" s="4" t="str">
        <f>HYPERLINK("https://www.ncbi.nlm.nih.gov/geo/query/acc.cgi?acc=GSM1220043","GSM1220043")</f>
        <v>GSM1220043</v>
      </c>
      <c r="I5172" t="s">
        <v>82</v>
      </c>
      <c r="J5172" t="s">
        <v>83</v>
      </c>
      <c r="K5172" t="s">
        <v>19</v>
      </c>
      <c r="L5172" t="s">
        <v>27</v>
      </c>
      <c r="M5172" t="s">
        <v>21</v>
      </c>
      <c r="N5172" t="s">
        <v>22</v>
      </c>
    </row>
    <row r="5173" spans="1:14">
      <c r="A5173" s="4" t="str">
        <f t="shared" si="491"/>
        <v>EXP00178</v>
      </c>
      <c r="B5173" s="4" t="str">
        <f t="shared" si="492"/>
        <v>24803579</v>
      </c>
      <c r="C5173" s="4" t="str">
        <f t="shared" si="493"/>
        <v>GSE50493</v>
      </c>
      <c r="D5173" s="1" t="s">
        <v>303</v>
      </c>
      <c r="E5173" t="s">
        <v>84</v>
      </c>
      <c r="F5173" s="1">
        <v>2</v>
      </c>
      <c r="G5173" s="1" t="s">
        <v>305</v>
      </c>
      <c r="H5173" s="4" t="str">
        <f>HYPERLINK("https://www.ncbi.nlm.nih.gov/geo/query/acc.cgi?acc=GSM1220044","GSM1220044")</f>
        <v>GSM1220044</v>
      </c>
      <c r="I5173" t="s">
        <v>82</v>
      </c>
      <c r="J5173" t="s">
        <v>83</v>
      </c>
      <c r="K5173" t="s">
        <v>19</v>
      </c>
      <c r="L5173" t="s">
        <v>27</v>
      </c>
      <c r="M5173" t="s">
        <v>21</v>
      </c>
      <c r="N5173" t="s">
        <v>22</v>
      </c>
    </row>
    <row r="5174" spans="1:14">
      <c r="A5174" s="4" t="str">
        <f t="shared" si="491"/>
        <v>EXP00178</v>
      </c>
      <c r="B5174" s="4" t="str">
        <f t="shared" si="492"/>
        <v>24803579</v>
      </c>
      <c r="C5174" s="4" t="str">
        <f t="shared" si="493"/>
        <v>GSE50493</v>
      </c>
      <c r="D5174" s="1" t="s">
        <v>303</v>
      </c>
      <c r="E5174" t="s">
        <v>84</v>
      </c>
      <c r="F5174" s="1">
        <v>2</v>
      </c>
      <c r="G5174" s="1" t="s">
        <v>305</v>
      </c>
      <c r="H5174" s="4" t="str">
        <f>HYPERLINK("https://www.ncbi.nlm.nih.gov/geo/query/acc.cgi?acc=GSM1220045","GSM1220045")</f>
        <v>GSM1220045</v>
      </c>
      <c r="I5174" t="s">
        <v>82</v>
      </c>
      <c r="J5174" t="s">
        <v>83</v>
      </c>
      <c r="K5174" t="s">
        <v>19</v>
      </c>
      <c r="L5174" t="s">
        <v>27</v>
      </c>
      <c r="M5174" t="s">
        <v>21</v>
      </c>
      <c r="N5174" t="s">
        <v>22</v>
      </c>
    </row>
    <row r="5175" spans="1:14">
      <c r="A5175" s="4" t="str">
        <f t="shared" si="491"/>
        <v>EXP00178</v>
      </c>
      <c r="B5175" s="4" t="str">
        <f t="shared" si="492"/>
        <v>24803579</v>
      </c>
      <c r="C5175" s="4" t="str">
        <f t="shared" si="493"/>
        <v>GSE50493</v>
      </c>
      <c r="D5175" s="1" t="s">
        <v>303</v>
      </c>
      <c r="E5175" t="s">
        <v>84</v>
      </c>
      <c r="F5175" s="1">
        <v>2</v>
      </c>
      <c r="G5175" s="1" t="s">
        <v>305</v>
      </c>
      <c r="H5175" s="4" t="str">
        <f>HYPERLINK("https://www.ncbi.nlm.nih.gov/geo/query/acc.cgi?acc=GSM1220046","GSM1220046")</f>
        <v>GSM1220046</v>
      </c>
      <c r="I5175" t="s">
        <v>82</v>
      </c>
      <c r="J5175" t="s">
        <v>83</v>
      </c>
      <c r="K5175" t="s">
        <v>19</v>
      </c>
      <c r="L5175" t="s">
        <v>27</v>
      </c>
      <c r="M5175" t="s">
        <v>21</v>
      </c>
      <c r="N5175" t="s">
        <v>22</v>
      </c>
    </row>
    <row r="5176" spans="1:14">
      <c r="A5176" s="4" t="str">
        <f t="shared" si="491"/>
        <v>EXP00178</v>
      </c>
      <c r="B5176" s="4" t="str">
        <f t="shared" si="492"/>
        <v>24803579</v>
      </c>
      <c r="C5176" s="4" t="str">
        <f t="shared" si="493"/>
        <v>GSE50493</v>
      </c>
      <c r="D5176" s="1" t="s">
        <v>303</v>
      </c>
      <c r="E5176" t="s">
        <v>84</v>
      </c>
      <c r="F5176" s="1">
        <v>2</v>
      </c>
      <c r="G5176" s="1" t="s">
        <v>305</v>
      </c>
      <c r="H5176" s="4" t="str">
        <f>HYPERLINK("https://www.ncbi.nlm.nih.gov/geo/query/acc.cgi?acc=GSM1220047","GSM1220047")</f>
        <v>GSM1220047</v>
      </c>
      <c r="I5176" t="s">
        <v>82</v>
      </c>
      <c r="J5176" t="s">
        <v>83</v>
      </c>
      <c r="K5176" t="s">
        <v>19</v>
      </c>
      <c r="L5176" t="s">
        <v>27</v>
      </c>
      <c r="M5176" t="s">
        <v>21</v>
      </c>
      <c r="N5176" t="s">
        <v>22</v>
      </c>
    </row>
    <row r="5177" spans="1:14">
      <c r="A5177" s="4" t="str">
        <f t="shared" si="491"/>
        <v>EXP00178</v>
      </c>
      <c r="B5177" s="4" t="str">
        <f t="shared" si="492"/>
        <v>24803579</v>
      </c>
      <c r="C5177" s="4" t="str">
        <f t="shared" si="493"/>
        <v>GSE50493</v>
      </c>
      <c r="D5177" s="1" t="s">
        <v>303</v>
      </c>
      <c r="E5177" t="s">
        <v>84</v>
      </c>
      <c r="F5177" s="1">
        <v>2</v>
      </c>
      <c r="G5177" s="1" t="s">
        <v>305</v>
      </c>
      <c r="H5177" s="4" t="str">
        <f>HYPERLINK("https://www.ncbi.nlm.nih.gov/geo/query/acc.cgi?acc=GSM1220048","GSM1220048")</f>
        <v>GSM1220048</v>
      </c>
      <c r="I5177" t="s">
        <v>82</v>
      </c>
      <c r="J5177" t="s">
        <v>83</v>
      </c>
      <c r="K5177" t="s">
        <v>19</v>
      </c>
      <c r="L5177" t="s">
        <v>27</v>
      </c>
      <c r="M5177" t="s">
        <v>21</v>
      </c>
      <c r="N5177" t="s">
        <v>22</v>
      </c>
    </row>
    <row r="5178" spans="1:14">
      <c r="A5178" s="4" t="str">
        <f t="shared" si="491"/>
        <v>EXP00178</v>
      </c>
      <c r="B5178" s="4" t="str">
        <f t="shared" si="492"/>
        <v>24803579</v>
      </c>
      <c r="C5178" s="4" t="str">
        <f t="shared" si="493"/>
        <v>GSE50493</v>
      </c>
      <c r="D5178" s="1" t="s">
        <v>303</v>
      </c>
      <c r="E5178" t="s">
        <v>84</v>
      </c>
      <c r="F5178" s="1">
        <v>2</v>
      </c>
      <c r="G5178" s="1" t="s">
        <v>305</v>
      </c>
      <c r="H5178" s="4" t="str">
        <f>HYPERLINK("https://www.ncbi.nlm.nih.gov/geo/query/acc.cgi?acc=GSM1220049","GSM1220049")</f>
        <v>GSM1220049</v>
      </c>
      <c r="I5178" t="s">
        <v>82</v>
      </c>
      <c r="J5178" t="s">
        <v>83</v>
      </c>
      <c r="K5178" t="s">
        <v>19</v>
      </c>
      <c r="L5178" t="s">
        <v>27</v>
      </c>
      <c r="M5178" t="s">
        <v>21</v>
      </c>
      <c r="N5178" t="s">
        <v>22</v>
      </c>
    </row>
    <row r="5179" spans="1:14">
      <c r="A5179" s="4" t="str">
        <f t="shared" si="491"/>
        <v>EXP00178</v>
      </c>
      <c r="B5179" s="4" t="str">
        <f t="shared" si="492"/>
        <v>24803579</v>
      </c>
      <c r="C5179" s="4" t="str">
        <f t="shared" si="493"/>
        <v>GSE50493</v>
      </c>
      <c r="D5179" s="1" t="s">
        <v>303</v>
      </c>
      <c r="E5179" t="s">
        <v>84</v>
      </c>
      <c r="F5179" s="1">
        <v>2</v>
      </c>
      <c r="G5179" s="1" t="s">
        <v>305</v>
      </c>
      <c r="H5179" s="4" t="str">
        <f>HYPERLINK("https://www.ncbi.nlm.nih.gov/geo/query/acc.cgi?acc=GSM1220050","GSM1220050")</f>
        <v>GSM1220050</v>
      </c>
      <c r="I5179" t="s">
        <v>82</v>
      </c>
      <c r="J5179" t="s">
        <v>83</v>
      </c>
      <c r="K5179" t="s">
        <v>19</v>
      </c>
      <c r="L5179" t="s">
        <v>27</v>
      </c>
      <c r="M5179" t="s">
        <v>21</v>
      </c>
      <c r="N5179" t="s">
        <v>22</v>
      </c>
    </row>
    <row r="5180" spans="1:14">
      <c r="A5180" s="4" t="str">
        <f t="shared" si="491"/>
        <v>EXP00178</v>
      </c>
      <c r="B5180" s="4" t="str">
        <f t="shared" si="492"/>
        <v>24803579</v>
      </c>
      <c r="C5180" s="4" t="str">
        <f t="shared" si="493"/>
        <v>GSE50493</v>
      </c>
      <c r="D5180" s="1" t="s">
        <v>303</v>
      </c>
      <c r="E5180" t="s">
        <v>84</v>
      </c>
      <c r="F5180" s="1">
        <v>2</v>
      </c>
      <c r="G5180" s="1" t="s">
        <v>305</v>
      </c>
      <c r="H5180" s="4" t="str">
        <f>HYPERLINK("https://www.ncbi.nlm.nih.gov/geo/query/acc.cgi?acc=GSM1220051","GSM1220051")</f>
        <v>GSM1220051</v>
      </c>
      <c r="I5180" t="s">
        <v>82</v>
      </c>
      <c r="J5180" t="s">
        <v>83</v>
      </c>
      <c r="K5180" t="s">
        <v>19</v>
      </c>
      <c r="L5180" t="s">
        <v>27</v>
      </c>
      <c r="M5180" t="s">
        <v>21</v>
      </c>
      <c r="N5180" t="s">
        <v>22</v>
      </c>
    </row>
    <row r="5181" spans="1:14">
      <c r="A5181" s="4" t="str">
        <f t="shared" si="491"/>
        <v>EXP00178</v>
      </c>
      <c r="B5181" s="4" t="str">
        <f t="shared" si="492"/>
        <v>24803579</v>
      </c>
      <c r="C5181" s="4" t="str">
        <f t="shared" si="493"/>
        <v>GSE50493</v>
      </c>
      <c r="D5181" s="1" t="s">
        <v>303</v>
      </c>
      <c r="E5181" t="s">
        <v>84</v>
      </c>
      <c r="F5181" s="1">
        <v>2</v>
      </c>
      <c r="G5181" s="1" t="s">
        <v>305</v>
      </c>
      <c r="H5181" s="4" t="str">
        <f>HYPERLINK("https://www.ncbi.nlm.nih.gov/geo/query/acc.cgi?acc=GSM1220052","GSM1220052")</f>
        <v>GSM1220052</v>
      </c>
      <c r="I5181" t="s">
        <v>82</v>
      </c>
      <c r="J5181" t="s">
        <v>83</v>
      </c>
      <c r="K5181" t="s">
        <v>19</v>
      </c>
      <c r="L5181" t="s">
        <v>27</v>
      </c>
      <c r="M5181" t="s">
        <v>21</v>
      </c>
      <c r="N5181" t="s">
        <v>22</v>
      </c>
    </row>
    <row r="5182" spans="1:14">
      <c r="A5182" s="4" t="str">
        <f t="shared" si="491"/>
        <v>EXP00178</v>
      </c>
      <c r="B5182" s="4" t="str">
        <f t="shared" si="492"/>
        <v>24803579</v>
      </c>
      <c r="C5182" s="4" t="str">
        <f t="shared" si="493"/>
        <v>GSE50493</v>
      </c>
      <c r="D5182" s="1" t="s">
        <v>303</v>
      </c>
      <c r="E5182" t="s">
        <v>84</v>
      </c>
      <c r="F5182" s="1">
        <v>2</v>
      </c>
      <c r="G5182" s="1" t="s">
        <v>305</v>
      </c>
      <c r="H5182" s="4" t="str">
        <f>HYPERLINK("https://www.ncbi.nlm.nih.gov/geo/query/acc.cgi?acc=GSM1220053","GSM1220053")</f>
        <v>GSM1220053</v>
      </c>
      <c r="I5182" t="s">
        <v>82</v>
      </c>
      <c r="J5182" t="s">
        <v>83</v>
      </c>
      <c r="K5182" t="s">
        <v>19</v>
      </c>
      <c r="L5182" t="s">
        <v>27</v>
      </c>
      <c r="M5182" t="s">
        <v>21</v>
      </c>
      <c r="N5182" t="s">
        <v>22</v>
      </c>
    </row>
    <row r="5183" spans="1:14">
      <c r="A5183" s="4" t="str">
        <f t="shared" si="491"/>
        <v>EXP00178</v>
      </c>
      <c r="B5183" s="4" t="str">
        <f t="shared" si="492"/>
        <v>24803579</v>
      </c>
      <c r="C5183" s="4" t="str">
        <f t="shared" si="493"/>
        <v>GSE50493</v>
      </c>
      <c r="D5183" s="1" t="s">
        <v>303</v>
      </c>
      <c r="E5183" t="s">
        <v>84</v>
      </c>
      <c r="F5183" s="1">
        <v>2</v>
      </c>
      <c r="G5183" s="1" t="s">
        <v>305</v>
      </c>
      <c r="H5183" s="4" t="str">
        <f>HYPERLINK("https://www.ncbi.nlm.nih.gov/geo/query/acc.cgi?acc=GSM1220054","GSM1220054")</f>
        <v>GSM1220054</v>
      </c>
      <c r="I5183" t="s">
        <v>82</v>
      </c>
      <c r="J5183" t="s">
        <v>83</v>
      </c>
      <c r="K5183" t="s">
        <v>19</v>
      </c>
      <c r="L5183" t="s">
        <v>27</v>
      </c>
      <c r="M5183" t="s">
        <v>21</v>
      </c>
      <c r="N5183" t="s">
        <v>22</v>
      </c>
    </row>
    <row r="5184" spans="1:14">
      <c r="A5184" s="4" t="str">
        <f t="shared" si="491"/>
        <v>EXP00178</v>
      </c>
      <c r="B5184" s="4" t="str">
        <f t="shared" si="492"/>
        <v>24803579</v>
      </c>
      <c r="C5184" s="4" t="str">
        <f t="shared" si="493"/>
        <v>GSE50493</v>
      </c>
      <c r="D5184" s="1" t="s">
        <v>303</v>
      </c>
      <c r="E5184" t="s">
        <v>84</v>
      </c>
      <c r="F5184" s="1">
        <v>2</v>
      </c>
      <c r="G5184" s="1" t="s">
        <v>305</v>
      </c>
      <c r="H5184" s="4" t="str">
        <f>HYPERLINK("https://www.ncbi.nlm.nih.gov/geo/query/acc.cgi?acc=GSM1220055","GSM1220055")</f>
        <v>GSM1220055</v>
      </c>
      <c r="I5184" t="s">
        <v>82</v>
      </c>
      <c r="J5184" t="s">
        <v>83</v>
      </c>
      <c r="K5184" t="s">
        <v>19</v>
      </c>
      <c r="L5184" t="s">
        <v>27</v>
      </c>
      <c r="M5184" t="s">
        <v>21</v>
      </c>
      <c r="N5184" t="s">
        <v>22</v>
      </c>
    </row>
    <row r="5185" spans="1:14">
      <c r="A5185" s="4" t="str">
        <f t="shared" si="491"/>
        <v>EXP00178</v>
      </c>
      <c r="B5185" s="4" t="str">
        <f t="shared" si="492"/>
        <v>24803579</v>
      </c>
      <c r="C5185" s="4" t="str">
        <f t="shared" si="493"/>
        <v>GSE50493</v>
      </c>
      <c r="D5185" s="1" t="s">
        <v>303</v>
      </c>
      <c r="E5185" t="s">
        <v>84</v>
      </c>
      <c r="F5185" s="1">
        <v>2</v>
      </c>
      <c r="G5185" s="1" t="s">
        <v>305</v>
      </c>
      <c r="H5185" s="4" t="str">
        <f>HYPERLINK("https://www.ncbi.nlm.nih.gov/geo/query/acc.cgi?acc=GSM1220056","GSM1220056")</f>
        <v>GSM1220056</v>
      </c>
      <c r="I5185" t="s">
        <v>82</v>
      </c>
      <c r="J5185" t="s">
        <v>83</v>
      </c>
      <c r="K5185" t="s">
        <v>19</v>
      </c>
      <c r="L5185" t="s">
        <v>27</v>
      </c>
      <c r="M5185" t="s">
        <v>21</v>
      </c>
      <c r="N5185" t="s">
        <v>22</v>
      </c>
    </row>
    <row r="5186" spans="1:14">
      <c r="A5186" s="4" t="str">
        <f t="shared" si="491"/>
        <v>EXP00178</v>
      </c>
      <c r="B5186" s="4" t="str">
        <f t="shared" si="492"/>
        <v>24803579</v>
      </c>
      <c r="C5186" s="4" t="str">
        <f t="shared" si="493"/>
        <v>GSE50493</v>
      </c>
      <c r="D5186" s="1" t="s">
        <v>303</v>
      </c>
      <c r="E5186" t="s">
        <v>84</v>
      </c>
      <c r="F5186" s="1">
        <v>2</v>
      </c>
      <c r="G5186" s="1" t="s">
        <v>305</v>
      </c>
      <c r="H5186" s="4" t="str">
        <f>HYPERLINK("https://www.ncbi.nlm.nih.gov/geo/query/acc.cgi?acc=GSM1220057","GSM1220057")</f>
        <v>GSM1220057</v>
      </c>
      <c r="I5186" t="s">
        <v>82</v>
      </c>
      <c r="J5186" t="s">
        <v>83</v>
      </c>
      <c r="K5186" t="s">
        <v>19</v>
      </c>
      <c r="L5186" t="s">
        <v>27</v>
      </c>
      <c r="M5186" t="s">
        <v>21</v>
      </c>
      <c r="N5186" t="s">
        <v>22</v>
      </c>
    </row>
    <row r="5187" spans="1:14">
      <c r="A5187" s="4" t="str">
        <f t="shared" si="491"/>
        <v>EXP00178</v>
      </c>
      <c r="B5187" s="4" t="str">
        <f t="shared" si="492"/>
        <v>24803579</v>
      </c>
      <c r="C5187" s="4" t="str">
        <f t="shared" si="493"/>
        <v>GSE50493</v>
      </c>
      <c r="D5187" s="1" t="s">
        <v>303</v>
      </c>
      <c r="E5187" t="s">
        <v>84</v>
      </c>
      <c r="F5187" s="1">
        <v>2</v>
      </c>
      <c r="G5187" s="1" t="s">
        <v>305</v>
      </c>
      <c r="H5187" s="4" t="str">
        <f>HYPERLINK("https://www.ncbi.nlm.nih.gov/geo/query/acc.cgi?acc=GSM1220058","GSM1220058")</f>
        <v>GSM1220058</v>
      </c>
      <c r="I5187" t="s">
        <v>82</v>
      </c>
      <c r="J5187" t="s">
        <v>83</v>
      </c>
      <c r="K5187" t="s">
        <v>19</v>
      </c>
      <c r="L5187" t="s">
        <v>27</v>
      </c>
      <c r="M5187" t="s">
        <v>21</v>
      </c>
      <c r="N5187" t="s">
        <v>22</v>
      </c>
    </row>
    <row r="5188" spans="1:14">
      <c r="A5188" s="4" t="str">
        <f t="shared" si="491"/>
        <v>EXP00178</v>
      </c>
      <c r="B5188" s="4" t="str">
        <f t="shared" si="492"/>
        <v>24803579</v>
      </c>
      <c r="C5188" s="4" t="str">
        <f t="shared" si="493"/>
        <v>GSE50493</v>
      </c>
      <c r="D5188" s="1" t="s">
        <v>303</v>
      </c>
      <c r="E5188" t="s">
        <v>84</v>
      </c>
      <c r="F5188" s="1">
        <v>2</v>
      </c>
      <c r="G5188" s="1" t="s">
        <v>305</v>
      </c>
      <c r="H5188" s="4" t="str">
        <f>HYPERLINK("https://www.ncbi.nlm.nih.gov/geo/query/acc.cgi?acc=GSM1220059","GSM1220059")</f>
        <v>GSM1220059</v>
      </c>
      <c r="I5188" t="s">
        <v>82</v>
      </c>
      <c r="J5188" t="s">
        <v>83</v>
      </c>
      <c r="K5188" t="s">
        <v>19</v>
      </c>
      <c r="L5188" t="s">
        <v>27</v>
      </c>
      <c r="M5188" t="s">
        <v>21</v>
      </c>
      <c r="N5188" t="s">
        <v>22</v>
      </c>
    </row>
    <row r="5189" spans="1:14">
      <c r="A5189" s="4" t="str">
        <f t="shared" si="491"/>
        <v>EXP00178</v>
      </c>
      <c r="B5189" s="4" t="str">
        <f t="shared" si="492"/>
        <v>24803579</v>
      </c>
      <c r="C5189" s="4" t="str">
        <f t="shared" si="493"/>
        <v>GSE50493</v>
      </c>
      <c r="D5189" s="1" t="s">
        <v>303</v>
      </c>
      <c r="E5189" t="s">
        <v>84</v>
      </c>
      <c r="F5189" s="1">
        <v>2</v>
      </c>
      <c r="G5189" s="1" t="s">
        <v>305</v>
      </c>
      <c r="H5189" s="4" t="str">
        <f>HYPERLINK("https://www.ncbi.nlm.nih.gov/geo/query/acc.cgi?acc=GSM1220060","GSM1220060")</f>
        <v>GSM1220060</v>
      </c>
      <c r="I5189" t="s">
        <v>82</v>
      </c>
      <c r="J5189" t="s">
        <v>83</v>
      </c>
      <c r="K5189" t="s">
        <v>19</v>
      </c>
      <c r="L5189" t="s">
        <v>27</v>
      </c>
      <c r="M5189" t="s">
        <v>21</v>
      </c>
      <c r="N5189" t="s">
        <v>22</v>
      </c>
    </row>
    <row r="5190" spans="1:14">
      <c r="A5190" s="4" t="str">
        <f t="shared" si="491"/>
        <v>EXP00178</v>
      </c>
      <c r="B5190" s="4" t="str">
        <f t="shared" si="492"/>
        <v>24803579</v>
      </c>
      <c r="C5190" s="4" t="str">
        <f t="shared" si="493"/>
        <v>GSE50493</v>
      </c>
      <c r="D5190" s="1" t="s">
        <v>303</v>
      </c>
      <c r="E5190" t="s">
        <v>84</v>
      </c>
      <c r="F5190" s="1">
        <v>2</v>
      </c>
      <c r="G5190" s="1" t="s">
        <v>305</v>
      </c>
      <c r="H5190" s="4" t="str">
        <f>HYPERLINK("https://www.ncbi.nlm.nih.gov/geo/query/acc.cgi?acc=GSM1220061","GSM1220061")</f>
        <v>GSM1220061</v>
      </c>
      <c r="I5190" t="s">
        <v>82</v>
      </c>
      <c r="J5190" t="s">
        <v>83</v>
      </c>
      <c r="K5190" t="s">
        <v>19</v>
      </c>
      <c r="L5190" t="s">
        <v>27</v>
      </c>
      <c r="M5190" t="s">
        <v>21</v>
      </c>
      <c r="N5190" t="s">
        <v>22</v>
      </c>
    </row>
    <row r="5191" spans="1:14">
      <c r="A5191" s="4" t="str">
        <f t="shared" si="491"/>
        <v>EXP00178</v>
      </c>
      <c r="B5191" s="4" t="str">
        <f t="shared" si="492"/>
        <v>24803579</v>
      </c>
      <c r="C5191" s="4" t="str">
        <f t="shared" si="493"/>
        <v>GSE50493</v>
      </c>
      <c r="D5191" s="1" t="s">
        <v>303</v>
      </c>
      <c r="E5191" t="s">
        <v>84</v>
      </c>
      <c r="F5191" s="1">
        <v>2</v>
      </c>
      <c r="G5191" s="1" t="s">
        <v>305</v>
      </c>
      <c r="H5191" s="4" t="str">
        <f>HYPERLINK("https://www.ncbi.nlm.nih.gov/geo/query/acc.cgi?acc=GSM1220062","GSM1220062")</f>
        <v>GSM1220062</v>
      </c>
      <c r="I5191" t="s">
        <v>82</v>
      </c>
      <c r="J5191" t="s">
        <v>83</v>
      </c>
      <c r="K5191" t="s">
        <v>19</v>
      </c>
      <c r="L5191" t="s">
        <v>27</v>
      </c>
      <c r="M5191" t="s">
        <v>21</v>
      </c>
      <c r="N5191" t="s">
        <v>22</v>
      </c>
    </row>
    <row r="5192" spans="1:14">
      <c r="A5192" s="4" t="str">
        <f t="shared" si="491"/>
        <v>EXP00178</v>
      </c>
      <c r="B5192" s="4" t="str">
        <f t="shared" si="492"/>
        <v>24803579</v>
      </c>
      <c r="C5192" s="4" t="str">
        <f t="shared" si="493"/>
        <v>GSE50493</v>
      </c>
      <c r="D5192" s="1" t="s">
        <v>303</v>
      </c>
      <c r="E5192" t="s">
        <v>84</v>
      </c>
      <c r="F5192" s="1">
        <v>2</v>
      </c>
      <c r="G5192" s="1" t="s">
        <v>305</v>
      </c>
      <c r="H5192" s="4" t="str">
        <f>HYPERLINK("https://www.ncbi.nlm.nih.gov/geo/query/acc.cgi?acc=GSM1220063","GSM1220063")</f>
        <v>GSM1220063</v>
      </c>
      <c r="I5192" t="s">
        <v>82</v>
      </c>
      <c r="J5192" t="s">
        <v>83</v>
      </c>
      <c r="K5192" t="s">
        <v>19</v>
      </c>
      <c r="L5192" t="s">
        <v>27</v>
      </c>
      <c r="M5192" t="s">
        <v>21</v>
      </c>
      <c r="N5192" t="s">
        <v>22</v>
      </c>
    </row>
    <row r="5193" spans="1:14">
      <c r="A5193" s="4" t="str">
        <f t="shared" ref="A5193:A5201" si="494">HYPERLINK("http://hcmdb.i-sanger.com/experiment/details/experiment_id/EXP00179","EXP00179")</f>
        <v>EXP00179</v>
      </c>
      <c r="B5193" s="4" t="str">
        <f t="shared" si="492"/>
        <v>24803579</v>
      </c>
      <c r="C5193" s="4" t="str">
        <f t="shared" si="493"/>
        <v>GSE50493</v>
      </c>
      <c r="D5193" s="1" t="s">
        <v>303</v>
      </c>
      <c r="E5193" t="s">
        <v>84</v>
      </c>
      <c r="F5193" s="1">
        <v>1</v>
      </c>
      <c r="G5193" s="1" t="s">
        <v>304</v>
      </c>
      <c r="H5193" s="4" t="str">
        <f>HYPERLINK("https://www.ncbi.nlm.nih.gov/geo/query/acc.cgi?acc=GSM1220097","GSM1220097")</f>
        <v>GSM1220097</v>
      </c>
      <c r="I5193" t="s">
        <v>82</v>
      </c>
      <c r="J5193" t="s">
        <v>83</v>
      </c>
      <c r="K5193" t="s">
        <v>19</v>
      </c>
      <c r="L5193" t="s">
        <v>27</v>
      </c>
      <c r="M5193" t="s">
        <v>50</v>
      </c>
      <c r="N5193" t="s">
        <v>22</v>
      </c>
    </row>
    <row r="5194" spans="1:14">
      <c r="A5194" s="4" t="str">
        <f t="shared" si="494"/>
        <v>EXP00179</v>
      </c>
      <c r="B5194" s="4" t="str">
        <f t="shared" si="492"/>
        <v>24803579</v>
      </c>
      <c r="C5194" s="4" t="str">
        <f t="shared" si="493"/>
        <v>GSE50493</v>
      </c>
      <c r="D5194" s="1" t="s">
        <v>303</v>
      </c>
      <c r="E5194" t="s">
        <v>84</v>
      </c>
      <c r="F5194" s="1">
        <v>1</v>
      </c>
      <c r="G5194" s="1" t="s">
        <v>304</v>
      </c>
      <c r="H5194" s="4" t="str">
        <f>HYPERLINK("https://www.ncbi.nlm.nih.gov/geo/query/acc.cgi?acc=GSM1220098","GSM1220098")</f>
        <v>GSM1220098</v>
      </c>
      <c r="I5194" t="s">
        <v>82</v>
      </c>
      <c r="J5194" t="s">
        <v>83</v>
      </c>
      <c r="K5194" t="s">
        <v>19</v>
      </c>
      <c r="L5194" t="s">
        <v>27</v>
      </c>
      <c r="M5194" t="s">
        <v>50</v>
      </c>
      <c r="N5194" t="s">
        <v>22</v>
      </c>
    </row>
    <row r="5195" spans="1:14">
      <c r="A5195" s="4" t="str">
        <f t="shared" si="494"/>
        <v>EXP00179</v>
      </c>
      <c r="B5195" s="4" t="str">
        <f t="shared" si="492"/>
        <v>24803579</v>
      </c>
      <c r="C5195" s="4" t="str">
        <f t="shared" si="493"/>
        <v>GSE50493</v>
      </c>
      <c r="D5195" s="1" t="s">
        <v>303</v>
      </c>
      <c r="E5195" t="s">
        <v>84</v>
      </c>
      <c r="F5195" s="1">
        <v>1</v>
      </c>
      <c r="G5195" s="1" t="s">
        <v>304</v>
      </c>
      <c r="H5195" s="4" t="str">
        <f>HYPERLINK("https://www.ncbi.nlm.nih.gov/geo/query/acc.cgi?acc=GSM1220099","GSM1220099")</f>
        <v>GSM1220099</v>
      </c>
      <c r="I5195" t="s">
        <v>82</v>
      </c>
      <c r="J5195" t="s">
        <v>83</v>
      </c>
      <c r="K5195" t="s">
        <v>19</v>
      </c>
      <c r="L5195" t="s">
        <v>27</v>
      </c>
      <c r="M5195" t="s">
        <v>50</v>
      </c>
      <c r="N5195" t="s">
        <v>22</v>
      </c>
    </row>
    <row r="5196" spans="1:14">
      <c r="A5196" s="4" t="str">
        <f t="shared" si="494"/>
        <v>EXP00179</v>
      </c>
      <c r="B5196" s="4" t="str">
        <f t="shared" si="492"/>
        <v>24803579</v>
      </c>
      <c r="C5196" s="4" t="str">
        <f t="shared" si="493"/>
        <v>GSE50493</v>
      </c>
      <c r="D5196" s="1" t="s">
        <v>303</v>
      </c>
      <c r="E5196" t="s">
        <v>84</v>
      </c>
      <c r="F5196" s="1">
        <v>2</v>
      </c>
      <c r="G5196" s="1" t="s">
        <v>306</v>
      </c>
      <c r="H5196" s="4" t="str">
        <f>HYPERLINK("https://www.ncbi.nlm.nih.gov/geo/query/acc.cgi?acc=GSM1220074","GSM1220074")</f>
        <v>GSM1220074</v>
      </c>
      <c r="I5196" t="s">
        <v>82</v>
      </c>
      <c r="J5196" t="s">
        <v>83</v>
      </c>
      <c r="K5196" t="s">
        <v>19</v>
      </c>
      <c r="L5196" t="s">
        <v>27</v>
      </c>
      <c r="M5196" t="s">
        <v>41</v>
      </c>
      <c r="N5196" t="s">
        <v>22</v>
      </c>
    </row>
    <row r="5197" spans="1:14">
      <c r="A5197" s="4" t="str">
        <f t="shared" si="494"/>
        <v>EXP00179</v>
      </c>
      <c r="B5197" s="4" t="str">
        <f t="shared" si="492"/>
        <v>24803579</v>
      </c>
      <c r="C5197" s="4" t="str">
        <f t="shared" si="493"/>
        <v>GSE50493</v>
      </c>
      <c r="D5197" s="1" t="s">
        <v>303</v>
      </c>
      <c r="E5197" t="s">
        <v>84</v>
      </c>
      <c r="F5197" s="1">
        <v>2</v>
      </c>
      <c r="G5197" s="1" t="s">
        <v>306</v>
      </c>
      <c r="H5197" s="4" t="str">
        <f>HYPERLINK("https://www.ncbi.nlm.nih.gov/geo/query/acc.cgi?acc=GSM1220075","GSM1220075")</f>
        <v>GSM1220075</v>
      </c>
      <c r="I5197" t="s">
        <v>82</v>
      </c>
      <c r="J5197" t="s">
        <v>83</v>
      </c>
      <c r="K5197" t="s">
        <v>19</v>
      </c>
      <c r="L5197" t="s">
        <v>27</v>
      </c>
      <c r="M5197" t="s">
        <v>41</v>
      </c>
      <c r="N5197" t="s">
        <v>22</v>
      </c>
    </row>
    <row r="5198" spans="1:14">
      <c r="A5198" s="4" t="str">
        <f t="shared" si="494"/>
        <v>EXP00179</v>
      </c>
      <c r="B5198" s="4" t="str">
        <f t="shared" si="492"/>
        <v>24803579</v>
      </c>
      <c r="C5198" s="4" t="str">
        <f t="shared" si="493"/>
        <v>GSE50493</v>
      </c>
      <c r="D5198" s="1" t="s">
        <v>303</v>
      </c>
      <c r="E5198" t="s">
        <v>84</v>
      </c>
      <c r="F5198" s="1">
        <v>2</v>
      </c>
      <c r="G5198" s="1" t="s">
        <v>306</v>
      </c>
      <c r="H5198" s="4" t="str">
        <f>HYPERLINK("https://www.ncbi.nlm.nih.gov/geo/query/acc.cgi?acc=GSM1220076","GSM1220076")</f>
        <v>GSM1220076</v>
      </c>
      <c r="I5198" t="s">
        <v>82</v>
      </c>
      <c r="J5198" t="s">
        <v>83</v>
      </c>
      <c r="K5198" t="s">
        <v>19</v>
      </c>
      <c r="L5198" t="s">
        <v>27</v>
      </c>
      <c r="M5198" t="s">
        <v>41</v>
      </c>
      <c r="N5198" t="s">
        <v>22</v>
      </c>
    </row>
    <row r="5199" spans="1:14">
      <c r="A5199" s="4" t="str">
        <f t="shared" si="494"/>
        <v>EXP00179</v>
      </c>
      <c r="B5199" s="4" t="str">
        <f t="shared" si="492"/>
        <v>24803579</v>
      </c>
      <c r="C5199" s="4" t="str">
        <f t="shared" si="493"/>
        <v>GSE50493</v>
      </c>
      <c r="D5199" s="1" t="s">
        <v>303</v>
      </c>
      <c r="E5199" t="s">
        <v>84</v>
      </c>
      <c r="F5199" s="1">
        <v>2</v>
      </c>
      <c r="G5199" s="1" t="s">
        <v>306</v>
      </c>
      <c r="H5199" s="4" t="str">
        <f>HYPERLINK("https://www.ncbi.nlm.nih.gov/geo/query/acc.cgi?acc=GSM1220083","GSM1220083")</f>
        <v>GSM1220083</v>
      </c>
      <c r="I5199" t="s">
        <v>82</v>
      </c>
      <c r="J5199" t="s">
        <v>83</v>
      </c>
      <c r="K5199" t="s">
        <v>19</v>
      </c>
      <c r="L5199" t="s">
        <v>27</v>
      </c>
      <c r="M5199" t="s">
        <v>41</v>
      </c>
      <c r="N5199" t="s">
        <v>22</v>
      </c>
    </row>
    <row r="5200" spans="1:14">
      <c r="A5200" s="4" t="str">
        <f t="shared" si="494"/>
        <v>EXP00179</v>
      </c>
      <c r="B5200" s="4" t="str">
        <f t="shared" si="492"/>
        <v>24803579</v>
      </c>
      <c r="C5200" s="4" t="str">
        <f t="shared" si="493"/>
        <v>GSE50493</v>
      </c>
      <c r="D5200" s="1" t="s">
        <v>303</v>
      </c>
      <c r="E5200" t="s">
        <v>84</v>
      </c>
      <c r="F5200" s="1">
        <v>2</v>
      </c>
      <c r="G5200" s="1" t="s">
        <v>306</v>
      </c>
      <c r="H5200" s="4" t="str">
        <f>HYPERLINK("https://www.ncbi.nlm.nih.gov/geo/query/acc.cgi?acc=GSM1220103","GSM1220103")</f>
        <v>GSM1220103</v>
      </c>
      <c r="I5200" t="s">
        <v>82</v>
      </c>
      <c r="J5200" t="s">
        <v>83</v>
      </c>
      <c r="K5200" t="s">
        <v>19</v>
      </c>
      <c r="L5200" t="s">
        <v>27</v>
      </c>
      <c r="M5200" t="s">
        <v>41</v>
      </c>
      <c r="N5200" t="s">
        <v>22</v>
      </c>
    </row>
    <row r="5201" spans="1:14">
      <c r="A5201" s="4" t="str">
        <f t="shared" si="494"/>
        <v>EXP00179</v>
      </c>
      <c r="B5201" s="4" t="str">
        <f t="shared" si="492"/>
        <v>24803579</v>
      </c>
      <c r="C5201" s="4" t="str">
        <f t="shared" si="493"/>
        <v>GSE50493</v>
      </c>
      <c r="D5201" s="1" t="s">
        <v>303</v>
      </c>
      <c r="E5201" t="s">
        <v>84</v>
      </c>
      <c r="F5201" s="1">
        <v>2</v>
      </c>
      <c r="G5201" s="1" t="s">
        <v>306</v>
      </c>
      <c r="H5201" s="4" t="str">
        <f>HYPERLINK("https://www.ncbi.nlm.nih.gov/geo/query/acc.cgi?acc=GSM1220105","GSM1220105")</f>
        <v>GSM1220105</v>
      </c>
      <c r="I5201" t="s">
        <v>82</v>
      </c>
      <c r="J5201" t="s">
        <v>83</v>
      </c>
      <c r="K5201" t="s">
        <v>19</v>
      </c>
      <c r="L5201" t="s">
        <v>27</v>
      </c>
      <c r="M5201" t="s">
        <v>41</v>
      </c>
      <c r="N5201" t="s">
        <v>22</v>
      </c>
    </row>
    <row r="5202" spans="1:14">
      <c r="A5202" s="4" t="str">
        <f t="shared" ref="A5202:A5218" si="495">HYPERLINK("http://hcmdb.i-sanger.com/experiment/details/experiment_id/EXP00180","EXP00180")</f>
        <v>EXP00180</v>
      </c>
      <c r="B5202" s="4" t="str">
        <f t="shared" si="492"/>
        <v>24803579</v>
      </c>
      <c r="C5202" s="4" t="str">
        <f t="shared" si="493"/>
        <v>GSE50493</v>
      </c>
      <c r="D5202" s="1" t="s">
        <v>303</v>
      </c>
      <c r="E5202" t="s">
        <v>84</v>
      </c>
      <c r="F5202" s="1">
        <v>1</v>
      </c>
      <c r="G5202" s="1" t="s">
        <v>304</v>
      </c>
      <c r="H5202" s="4" t="str">
        <f>HYPERLINK("https://www.ncbi.nlm.nih.gov/geo/query/acc.cgi?acc=GSM1220097","GSM1220097")</f>
        <v>GSM1220097</v>
      </c>
      <c r="I5202" t="s">
        <v>82</v>
      </c>
      <c r="J5202" t="s">
        <v>83</v>
      </c>
      <c r="K5202" t="s">
        <v>19</v>
      </c>
      <c r="L5202" t="s">
        <v>27</v>
      </c>
      <c r="M5202" t="s">
        <v>50</v>
      </c>
      <c r="N5202" t="s">
        <v>22</v>
      </c>
    </row>
    <row r="5203" spans="1:14">
      <c r="A5203" s="4" t="str">
        <f t="shared" si="495"/>
        <v>EXP00180</v>
      </c>
      <c r="B5203" s="4" t="str">
        <f t="shared" si="492"/>
        <v>24803579</v>
      </c>
      <c r="C5203" s="4" t="str">
        <f t="shared" si="493"/>
        <v>GSE50493</v>
      </c>
      <c r="D5203" s="1" t="s">
        <v>303</v>
      </c>
      <c r="E5203" t="s">
        <v>84</v>
      </c>
      <c r="F5203" s="1">
        <v>1</v>
      </c>
      <c r="G5203" s="1" t="s">
        <v>304</v>
      </c>
      <c r="H5203" s="4" t="str">
        <f>HYPERLINK("https://www.ncbi.nlm.nih.gov/geo/query/acc.cgi?acc=GSM1220098","GSM1220098")</f>
        <v>GSM1220098</v>
      </c>
      <c r="I5203" t="s">
        <v>82</v>
      </c>
      <c r="J5203" t="s">
        <v>83</v>
      </c>
      <c r="K5203" t="s">
        <v>19</v>
      </c>
      <c r="L5203" t="s">
        <v>27</v>
      </c>
      <c r="M5203" t="s">
        <v>50</v>
      </c>
      <c r="N5203" t="s">
        <v>22</v>
      </c>
    </row>
    <row r="5204" spans="1:14">
      <c r="A5204" s="4" t="str">
        <f t="shared" si="495"/>
        <v>EXP00180</v>
      </c>
      <c r="B5204" s="4" t="str">
        <f t="shared" si="492"/>
        <v>24803579</v>
      </c>
      <c r="C5204" s="4" t="str">
        <f t="shared" si="493"/>
        <v>GSE50493</v>
      </c>
      <c r="D5204" s="1" t="s">
        <v>303</v>
      </c>
      <c r="E5204" t="s">
        <v>84</v>
      </c>
      <c r="F5204" s="1">
        <v>1</v>
      </c>
      <c r="G5204" s="1" t="s">
        <v>304</v>
      </c>
      <c r="H5204" s="4" t="str">
        <f>HYPERLINK("https://www.ncbi.nlm.nih.gov/geo/query/acc.cgi?acc=GSM1220099","GSM1220099")</f>
        <v>GSM1220099</v>
      </c>
      <c r="I5204" t="s">
        <v>82</v>
      </c>
      <c r="J5204" t="s">
        <v>83</v>
      </c>
      <c r="K5204" t="s">
        <v>19</v>
      </c>
      <c r="L5204" t="s">
        <v>27</v>
      </c>
      <c r="M5204" t="s">
        <v>50</v>
      </c>
      <c r="N5204" t="s">
        <v>22</v>
      </c>
    </row>
    <row r="5205" spans="1:14">
      <c r="A5205" s="4" t="str">
        <f t="shared" si="495"/>
        <v>EXP00180</v>
      </c>
      <c r="B5205" s="4" t="str">
        <f t="shared" si="492"/>
        <v>24803579</v>
      </c>
      <c r="C5205" s="4" t="str">
        <f t="shared" si="493"/>
        <v>GSE50493</v>
      </c>
      <c r="D5205" s="1" t="s">
        <v>303</v>
      </c>
      <c r="E5205" t="s">
        <v>84</v>
      </c>
      <c r="F5205" s="1">
        <v>2</v>
      </c>
      <c r="G5205" s="1" t="s">
        <v>85</v>
      </c>
      <c r="H5205" s="4" t="str">
        <f>HYPERLINK("https://www.ncbi.nlm.nih.gov/geo/query/acc.cgi?acc=GSM1220064","GSM1220064")</f>
        <v>GSM1220064</v>
      </c>
      <c r="I5205" t="s">
        <v>82</v>
      </c>
      <c r="J5205" t="s">
        <v>83</v>
      </c>
      <c r="K5205" t="s">
        <v>19</v>
      </c>
      <c r="L5205" t="s">
        <v>27</v>
      </c>
      <c r="M5205" t="s">
        <v>24</v>
      </c>
      <c r="N5205" t="s">
        <v>22</v>
      </c>
    </row>
    <row r="5206" spans="1:14">
      <c r="A5206" s="4" t="str">
        <f t="shared" si="495"/>
        <v>EXP00180</v>
      </c>
      <c r="B5206" s="4" t="str">
        <f t="shared" si="492"/>
        <v>24803579</v>
      </c>
      <c r="C5206" s="4" t="str">
        <f t="shared" si="493"/>
        <v>GSE50493</v>
      </c>
      <c r="D5206" s="1" t="s">
        <v>303</v>
      </c>
      <c r="E5206" t="s">
        <v>84</v>
      </c>
      <c r="F5206" s="1">
        <v>2</v>
      </c>
      <c r="G5206" s="1" t="s">
        <v>85</v>
      </c>
      <c r="H5206" s="4" t="str">
        <f>HYPERLINK("https://www.ncbi.nlm.nih.gov/geo/query/acc.cgi?acc=GSM1220065","GSM1220065")</f>
        <v>GSM1220065</v>
      </c>
      <c r="I5206" t="s">
        <v>82</v>
      </c>
      <c r="J5206" t="s">
        <v>83</v>
      </c>
      <c r="K5206" t="s">
        <v>19</v>
      </c>
      <c r="L5206" t="s">
        <v>27</v>
      </c>
      <c r="M5206" t="s">
        <v>24</v>
      </c>
      <c r="N5206" t="s">
        <v>22</v>
      </c>
    </row>
    <row r="5207" spans="1:14">
      <c r="A5207" s="4" t="str">
        <f t="shared" si="495"/>
        <v>EXP00180</v>
      </c>
      <c r="B5207" s="4" t="str">
        <f t="shared" si="492"/>
        <v>24803579</v>
      </c>
      <c r="C5207" s="4" t="str">
        <f t="shared" si="493"/>
        <v>GSE50493</v>
      </c>
      <c r="D5207" s="1" t="s">
        <v>303</v>
      </c>
      <c r="E5207" t="s">
        <v>84</v>
      </c>
      <c r="F5207" s="1">
        <v>2</v>
      </c>
      <c r="G5207" s="1" t="s">
        <v>85</v>
      </c>
      <c r="H5207" s="4" t="str">
        <f>HYPERLINK("https://www.ncbi.nlm.nih.gov/geo/query/acc.cgi?acc=GSM1220071","GSM1220071")</f>
        <v>GSM1220071</v>
      </c>
      <c r="I5207" t="s">
        <v>82</v>
      </c>
      <c r="J5207" t="s">
        <v>83</v>
      </c>
      <c r="K5207" t="s">
        <v>19</v>
      </c>
      <c r="L5207" t="s">
        <v>27</v>
      </c>
      <c r="M5207" t="s">
        <v>24</v>
      </c>
      <c r="N5207" t="s">
        <v>22</v>
      </c>
    </row>
    <row r="5208" spans="1:14">
      <c r="A5208" s="4" t="str">
        <f t="shared" si="495"/>
        <v>EXP00180</v>
      </c>
      <c r="B5208" s="4" t="str">
        <f t="shared" si="492"/>
        <v>24803579</v>
      </c>
      <c r="C5208" s="4" t="str">
        <f t="shared" si="493"/>
        <v>GSE50493</v>
      </c>
      <c r="D5208" s="1" t="s">
        <v>303</v>
      </c>
      <c r="E5208" t="s">
        <v>84</v>
      </c>
      <c r="F5208" s="1">
        <v>2</v>
      </c>
      <c r="G5208" s="1" t="s">
        <v>85</v>
      </c>
      <c r="H5208" s="4" t="str">
        <f>HYPERLINK("https://www.ncbi.nlm.nih.gov/geo/query/acc.cgi?acc=GSM1220077","GSM1220077")</f>
        <v>GSM1220077</v>
      </c>
      <c r="I5208" t="s">
        <v>82</v>
      </c>
      <c r="J5208" t="s">
        <v>83</v>
      </c>
      <c r="K5208" t="s">
        <v>19</v>
      </c>
      <c r="L5208" t="s">
        <v>27</v>
      </c>
      <c r="M5208" t="s">
        <v>24</v>
      </c>
      <c r="N5208" t="s">
        <v>22</v>
      </c>
    </row>
    <row r="5209" spans="1:14">
      <c r="A5209" s="4" t="str">
        <f t="shared" si="495"/>
        <v>EXP00180</v>
      </c>
      <c r="B5209" s="4" t="str">
        <f t="shared" si="492"/>
        <v>24803579</v>
      </c>
      <c r="C5209" s="4" t="str">
        <f t="shared" si="493"/>
        <v>GSE50493</v>
      </c>
      <c r="D5209" s="1" t="s">
        <v>303</v>
      </c>
      <c r="E5209" t="s">
        <v>84</v>
      </c>
      <c r="F5209" s="1">
        <v>2</v>
      </c>
      <c r="G5209" s="1" t="s">
        <v>85</v>
      </c>
      <c r="H5209" s="4" t="str">
        <f>HYPERLINK("https://www.ncbi.nlm.nih.gov/geo/query/acc.cgi?acc=GSM1220078","GSM1220078")</f>
        <v>GSM1220078</v>
      </c>
      <c r="I5209" t="s">
        <v>82</v>
      </c>
      <c r="J5209" t="s">
        <v>83</v>
      </c>
      <c r="K5209" t="s">
        <v>19</v>
      </c>
      <c r="L5209" t="s">
        <v>27</v>
      </c>
      <c r="M5209" t="s">
        <v>24</v>
      </c>
      <c r="N5209" t="s">
        <v>22</v>
      </c>
    </row>
    <row r="5210" spans="1:14">
      <c r="A5210" s="4" t="str">
        <f t="shared" si="495"/>
        <v>EXP00180</v>
      </c>
      <c r="B5210" s="4" t="str">
        <f t="shared" si="492"/>
        <v>24803579</v>
      </c>
      <c r="C5210" s="4" t="str">
        <f t="shared" si="493"/>
        <v>GSE50493</v>
      </c>
      <c r="D5210" s="1" t="s">
        <v>303</v>
      </c>
      <c r="E5210" t="s">
        <v>84</v>
      </c>
      <c r="F5210" s="1">
        <v>2</v>
      </c>
      <c r="G5210" s="1" t="s">
        <v>85</v>
      </c>
      <c r="H5210" s="4" t="str">
        <f>HYPERLINK("https://www.ncbi.nlm.nih.gov/geo/query/acc.cgi?acc=GSM1220080","GSM1220080")</f>
        <v>GSM1220080</v>
      </c>
      <c r="I5210" t="s">
        <v>82</v>
      </c>
      <c r="J5210" t="s">
        <v>83</v>
      </c>
      <c r="K5210" t="s">
        <v>19</v>
      </c>
      <c r="L5210" t="s">
        <v>27</v>
      </c>
      <c r="M5210" t="s">
        <v>24</v>
      </c>
      <c r="N5210" t="s">
        <v>22</v>
      </c>
    </row>
    <row r="5211" spans="1:14">
      <c r="A5211" s="4" t="str">
        <f t="shared" si="495"/>
        <v>EXP00180</v>
      </c>
      <c r="B5211" s="4" t="str">
        <f t="shared" si="492"/>
        <v>24803579</v>
      </c>
      <c r="C5211" s="4" t="str">
        <f t="shared" si="493"/>
        <v>GSE50493</v>
      </c>
      <c r="D5211" s="1" t="s">
        <v>303</v>
      </c>
      <c r="E5211" t="s">
        <v>84</v>
      </c>
      <c r="F5211" s="1">
        <v>2</v>
      </c>
      <c r="G5211" s="1" t="s">
        <v>85</v>
      </c>
      <c r="H5211" s="4" t="str">
        <f>HYPERLINK("https://www.ncbi.nlm.nih.gov/geo/query/acc.cgi?acc=GSM1220081","GSM1220081")</f>
        <v>GSM1220081</v>
      </c>
      <c r="I5211" t="s">
        <v>82</v>
      </c>
      <c r="J5211" t="s">
        <v>83</v>
      </c>
      <c r="K5211" t="s">
        <v>19</v>
      </c>
      <c r="L5211" t="s">
        <v>27</v>
      </c>
      <c r="M5211" t="s">
        <v>24</v>
      </c>
      <c r="N5211" t="s">
        <v>22</v>
      </c>
    </row>
    <row r="5212" spans="1:14">
      <c r="A5212" s="4" t="str">
        <f t="shared" si="495"/>
        <v>EXP00180</v>
      </c>
      <c r="B5212" s="4" t="str">
        <f t="shared" si="492"/>
        <v>24803579</v>
      </c>
      <c r="C5212" s="4" t="str">
        <f t="shared" si="493"/>
        <v>GSE50493</v>
      </c>
      <c r="D5212" s="1" t="s">
        <v>303</v>
      </c>
      <c r="E5212" t="s">
        <v>84</v>
      </c>
      <c r="F5212" s="1">
        <v>2</v>
      </c>
      <c r="G5212" s="1" t="s">
        <v>85</v>
      </c>
      <c r="H5212" s="4" t="str">
        <f>HYPERLINK("https://www.ncbi.nlm.nih.gov/geo/query/acc.cgi?acc=GSM1220089","GSM1220089")</f>
        <v>GSM1220089</v>
      </c>
      <c r="I5212" t="s">
        <v>82</v>
      </c>
      <c r="J5212" t="s">
        <v>83</v>
      </c>
      <c r="K5212" t="s">
        <v>19</v>
      </c>
      <c r="L5212" t="s">
        <v>27</v>
      </c>
      <c r="M5212" t="s">
        <v>24</v>
      </c>
      <c r="N5212" t="s">
        <v>22</v>
      </c>
    </row>
    <row r="5213" spans="1:14">
      <c r="A5213" s="4" t="str">
        <f t="shared" si="495"/>
        <v>EXP00180</v>
      </c>
      <c r="B5213" s="4" t="str">
        <f t="shared" si="492"/>
        <v>24803579</v>
      </c>
      <c r="C5213" s="4" t="str">
        <f t="shared" si="493"/>
        <v>GSE50493</v>
      </c>
      <c r="D5213" s="1" t="s">
        <v>303</v>
      </c>
      <c r="E5213" t="s">
        <v>84</v>
      </c>
      <c r="F5213" s="1">
        <v>2</v>
      </c>
      <c r="G5213" s="1" t="s">
        <v>85</v>
      </c>
      <c r="H5213" s="4" t="str">
        <f>HYPERLINK("https://www.ncbi.nlm.nih.gov/geo/query/acc.cgi?acc=GSM1220090","GSM1220090")</f>
        <v>GSM1220090</v>
      </c>
      <c r="I5213" t="s">
        <v>82</v>
      </c>
      <c r="J5213" t="s">
        <v>83</v>
      </c>
      <c r="K5213" t="s">
        <v>19</v>
      </c>
      <c r="L5213" t="s">
        <v>27</v>
      </c>
      <c r="M5213" t="s">
        <v>24</v>
      </c>
      <c r="N5213" t="s">
        <v>22</v>
      </c>
    </row>
    <row r="5214" spans="1:14">
      <c r="A5214" s="4" t="str">
        <f t="shared" si="495"/>
        <v>EXP00180</v>
      </c>
      <c r="B5214" s="4" t="str">
        <f t="shared" si="492"/>
        <v>24803579</v>
      </c>
      <c r="C5214" s="4" t="str">
        <f t="shared" si="493"/>
        <v>GSE50493</v>
      </c>
      <c r="D5214" s="1" t="s">
        <v>303</v>
      </c>
      <c r="E5214" t="s">
        <v>84</v>
      </c>
      <c r="F5214" s="1">
        <v>2</v>
      </c>
      <c r="G5214" s="1" t="s">
        <v>85</v>
      </c>
      <c r="H5214" s="4" t="str">
        <f>HYPERLINK("https://www.ncbi.nlm.nih.gov/geo/query/acc.cgi?acc=GSM1220091","GSM1220091")</f>
        <v>GSM1220091</v>
      </c>
      <c r="I5214" t="s">
        <v>82</v>
      </c>
      <c r="J5214" t="s">
        <v>83</v>
      </c>
      <c r="K5214" t="s">
        <v>19</v>
      </c>
      <c r="L5214" t="s">
        <v>27</v>
      </c>
      <c r="M5214" t="s">
        <v>24</v>
      </c>
      <c r="N5214" t="s">
        <v>22</v>
      </c>
    </row>
    <row r="5215" spans="1:14">
      <c r="A5215" s="4" t="str">
        <f t="shared" si="495"/>
        <v>EXP00180</v>
      </c>
      <c r="B5215" s="4" t="str">
        <f t="shared" si="492"/>
        <v>24803579</v>
      </c>
      <c r="C5215" s="4" t="str">
        <f t="shared" si="493"/>
        <v>GSE50493</v>
      </c>
      <c r="D5215" s="1" t="s">
        <v>303</v>
      </c>
      <c r="E5215" t="s">
        <v>84</v>
      </c>
      <c r="F5215" s="1">
        <v>2</v>
      </c>
      <c r="G5215" s="1" t="s">
        <v>85</v>
      </c>
      <c r="H5215" s="4" t="str">
        <f>HYPERLINK("https://www.ncbi.nlm.nih.gov/geo/query/acc.cgi?acc=GSM1220092","GSM1220092")</f>
        <v>GSM1220092</v>
      </c>
      <c r="I5215" t="s">
        <v>82</v>
      </c>
      <c r="J5215" t="s">
        <v>83</v>
      </c>
      <c r="K5215" t="s">
        <v>19</v>
      </c>
      <c r="L5215" t="s">
        <v>27</v>
      </c>
      <c r="M5215" t="s">
        <v>24</v>
      </c>
      <c r="N5215" t="s">
        <v>22</v>
      </c>
    </row>
    <row r="5216" spans="1:14">
      <c r="A5216" s="4" t="str">
        <f t="shared" si="495"/>
        <v>EXP00180</v>
      </c>
      <c r="B5216" s="4" t="str">
        <f t="shared" si="492"/>
        <v>24803579</v>
      </c>
      <c r="C5216" s="4" t="str">
        <f t="shared" si="493"/>
        <v>GSE50493</v>
      </c>
      <c r="D5216" s="1" t="s">
        <v>303</v>
      </c>
      <c r="E5216" t="s">
        <v>84</v>
      </c>
      <c r="F5216" s="1">
        <v>2</v>
      </c>
      <c r="G5216" s="1" t="s">
        <v>85</v>
      </c>
      <c r="H5216" s="4" t="str">
        <f>HYPERLINK("https://www.ncbi.nlm.nih.gov/geo/query/acc.cgi?acc=GSM1220100","GSM1220100")</f>
        <v>GSM1220100</v>
      </c>
      <c r="I5216" t="s">
        <v>82</v>
      </c>
      <c r="J5216" t="s">
        <v>83</v>
      </c>
      <c r="K5216" t="s">
        <v>19</v>
      </c>
      <c r="L5216" t="s">
        <v>27</v>
      </c>
      <c r="M5216" t="s">
        <v>24</v>
      </c>
      <c r="N5216" t="s">
        <v>22</v>
      </c>
    </row>
    <row r="5217" spans="1:14">
      <c r="A5217" s="4" t="str">
        <f t="shared" si="495"/>
        <v>EXP00180</v>
      </c>
      <c r="B5217" s="4" t="str">
        <f t="shared" si="492"/>
        <v>24803579</v>
      </c>
      <c r="C5217" s="4" t="str">
        <f t="shared" si="493"/>
        <v>GSE50493</v>
      </c>
      <c r="D5217" s="1" t="s">
        <v>303</v>
      </c>
      <c r="E5217" t="s">
        <v>84</v>
      </c>
      <c r="F5217" s="1">
        <v>2</v>
      </c>
      <c r="G5217" s="1" t="s">
        <v>85</v>
      </c>
      <c r="H5217" s="4" t="str">
        <f>HYPERLINK("https://www.ncbi.nlm.nih.gov/geo/query/acc.cgi?acc=GSM1220101","GSM1220101")</f>
        <v>GSM1220101</v>
      </c>
      <c r="I5217" t="s">
        <v>82</v>
      </c>
      <c r="J5217" t="s">
        <v>83</v>
      </c>
      <c r="K5217" t="s">
        <v>19</v>
      </c>
      <c r="L5217" t="s">
        <v>27</v>
      </c>
      <c r="M5217" t="s">
        <v>24</v>
      </c>
      <c r="N5217" t="s">
        <v>22</v>
      </c>
    </row>
    <row r="5218" spans="1:14">
      <c r="A5218" s="4" t="str">
        <f t="shared" si="495"/>
        <v>EXP00180</v>
      </c>
      <c r="B5218" s="4" t="str">
        <f t="shared" si="492"/>
        <v>24803579</v>
      </c>
      <c r="C5218" s="4" t="str">
        <f t="shared" si="493"/>
        <v>GSE50493</v>
      </c>
      <c r="D5218" s="1" t="s">
        <v>303</v>
      </c>
      <c r="E5218" t="s">
        <v>84</v>
      </c>
      <c r="F5218" s="1">
        <v>2</v>
      </c>
      <c r="G5218" s="1" t="s">
        <v>85</v>
      </c>
      <c r="H5218" s="4" t="str">
        <f>HYPERLINK("https://www.ncbi.nlm.nih.gov/geo/query/acc.cgi?acc=GSM1220102","GSM1220102")</f>
        <v>GSM1220102</v>
      </c>
      <c r="I5218" t="s">
        <v>82</v>
      </c>
      <c r="J5218" t="s">
        <v>83</v>
      </c>
      <c r="K5218" t="s">
        <v>19</v>
      </c>
      <c r="L5218" t="s">
        <v>27</v>
      </c>
      <c r="M5218" t="s">
        <v>24</v>
      </c>
      <c r="N5218" t="s">
        <v>22</v>
      </c>
    </row>
    <row r="5219" spans="1:14">
      <c r="A5219" s="4" t="str">
        <f t="shared" ref="A5219:A5225" si="496">HYPERLINK("http://hcmdb.i-sanger.com/experiment/details/experiment_id/EXP00181","EXP00181")</f>
        <v>EXP00181</v>
      </c>
      <c r="B5219" s="4" t="str">
        <f t="shared" si="492"/>
        <v>24803579</v>
      </c>
      <c r="C5219" s="4" t="str">
        <f t="shared" si="493"/>
        <v>GSE50493</v>
      </c>
      <c r="D5219" s="1" t="s">
        <v>303</v>
      </c>
      <c r="E5219" t="s">
        <v>84</v>
      </c>
      <c r="F5219" s="1">
        <v>1</v>
      </c>
      <c r="G5219" s="1" t="s">
        <v>304</v>
      </c>
      <c r="H5219" s="4" t="str">
        <f>HYPERLINK("https://www.ncbi.nlm.nih.gov/geo/query/acc.cgi?acc=GSM1220097","GSM1220097")</f>
        <v>GSM1220097</v>
      </c>
      <c r="I5219" t="s">
        <v>82</v>
      </c>
      <c r="J5219" t="s">
        <v>83</v>
      </c>
      <c r="K5219" t="s">
        <v>19</v>
      </c>
      <c r="L5219" t="s">
        <v>27</v>
      </c>
      <c r="M5219" t="s">
        <v>50</v>
      </c>
      <c r="N5219" t="s">
        <v>22</v>
      </c>
    </row>
    <row r="5220" spans="1:14">
      <c r="A5220" s="4" t="str">
        <f t="shared" si="496"/>
        <v>EXP00181</v>
      </c>
      <c r="B5220" s="4" t="str">
        <f t="shared" si="492"/>
        <v>24803579</v>
      </c>
      <c r="C5220" s="4" t="str">
        <f t="shared" si="493"/>
        <v>GSE50493</v>
      </c>
      <c r="D5220" s="1" t="s">
        <v>303</v>
      </c>
      <c r="E5220" t="s">
        <v>84</v>
      </c>
      <c r="F5220" s="1">
        <v>1</v>
      </c>
      <c r="G5220" s="1" t="s">
        <v>304</v>
      </c>
      <c r="H5220" s="4" t="str">
        <f>HYPERLINK("https://www.ncbi.nlm.nih.gov/geo/query/acc.cgi?acc=GSM1220098","GSM1220098")</f>
        <v>GSM1220098</v>
      </c>
      <c r="I5220" t="s">
        <v>82</v>
      </c>
      <c r="J5220" t="s">
        <v>83</v>
      </c>
      <c r="K5220" t="s">
        <v>19</v>
      </c>
      <c r="L5220" t="s">
        <v>27</v>
      </c>
      <c r="M5220" t="s">
        <v>50</v>
      </c>
      <c r="N5220" t="s">
        <v>22</v>
      </c>
    </row>
    <row r="5221" spans="1:14">
      <c r="A5221" s="4" t="str">
        <f t="shared" si="496"/>
        <v>EXP00181</v>
      </c>
      <c r="B5221" s="4" t="str">
        <f t="shared" si="492"/>
        <v>24803579</v>
      </c>
      <c r="C5221" s="4" t="str">
        <f t="shared" si="493"/>
        <v>GSE50493</v>
      </c>
      <c r="D5221" s="1" t="s">
        <v>303</v>
      </c>
      <c r="E5221" t="s">
        <v>84</v>
      </c>
      <c r="F5221" s="1">
        <v>1</v>
      </c>
      <c r="G5221" s="1" t="s">
        <v>304</v>
      </c>
      <c r="H5221" s="4" t="str">
        <f>HYPERLINK("https://www.ncbi.nlm.nih.gov/geo/query/acc.cgi?acc=GSM1220099","GSM1220099")</f>
        <v>GSM1220099</v>
      </c>
      <c r="I5221" t="s">
        <v>82</v>
      </c>
      <c r="J5221" t="s">
        <v>83</v>
      </c>
      <c r="K5221" t="s">
        <v>19</v>
      </c>
      <c r="L5221" t="s">
        <v>27</v>
      </c>
      <c r="M5221" t="s">
        <v>50</v>
      </c>
      <c r="N5221" t="s">
        <v>22</v>
      </c>
    </row>
    <row r="5222" spans="1:14">
      <c r="A5222" s="4" t="str">
        <f t="shared" si="496"/>
        <v>EXP00181</v>
      </c>
      <c r="B5222" s="4" t="str">
        <f t="shared" si="492"/>
        <v>24803579</v>
      </c>
      <c r="C5222" s="4" t="str">
        <f t="shared" si="493"/>
        <v>GSE50493</v>
      </c>
      <c r="D5222" s="1" t="s">
        <v>303</v>
      </c>
      <c r="E5222" t="s">
        <v>84</v>
      </c>
      <c r="F5222" s="1">
        <v>2</v>
      </c>
      <c r="G5222" s="1" t="s">
        <v>307</v>
      </c>
      <c r="H5222" s="4" t="str">
        <f>HYPERLINK("https://www.ncbi.nlm.nih.gov/geo/query/acc.cgi?acc=GSM1220069","GSM1220069")</f>
        <v>GSM1220069</v>
      </c>
      <c r="I5222" t="s">
        <v>82</v>
      </c>
      <c r="J5222" t="s">
        <v>83</v>
      </c>
      <c r="K5222" t="s">
        <v>19</v>
      </c>
      <c r="L5222" t="s">
        <v>27</v>
      </c>
      <c r="M5222" t="s">
        <v>308</v>
      </c>
      <c r="N5222" t="s">
        <v>22</v>
      </c>
    </row>
    <row r="5223" spans="1:14">
      <c r="A5223" s="4" t="str">
        <f t="shared" si="496"/>
        <v>EXP00181</v>
      </c>
      <c r="B5223" s="4" t="str">
        <f t="shared" si="492"/>
        <v>24803579</v>
      </c>
      <c r="C5223" s="4" t="str">
        <f t="shared" si="493"/>
        <v>GSE50493</v>
      </c>
      <c r="D5223" s="1" t="s">
        <v>303</v>
      </c>
      <c r="E5223" t="s">
        <v>84</v>
      </c>
      <c r="F5223" s="1">
        <v>2</v>
      </c>
      <c r="G5223" s="1" t="s">
        <v>307</v>
      </c>
      <c r="H5223" s="4" t="str">
        <f>HYPERLINK("https://www.ncbi.nlm.nih.gov/geo/query/acc.cgi?acc=GSM1220070","GSM1220070")</f>
        <v>GSM1220070</v>
      </c>
      <c r="I5223" t="s">
        <v>82</v>
      </c>
      <c r="J5223" t="s">
        <v>83</v>
      </c>
      <c r="K5223" t="s">
        <v>19</v>
      </c>
      <c r="L5223" t="s">
        <v>27</v>
      </c>
      <c r="M5223" t="s">
        <v>308</v>
      </c>
      <c r="N5223" t="s">
        <v>22</v>
      </c>
    </row>
    <row r="5224" spans="1:14">
      <c r="A5224" s="4" t="str">
        <f t="shared" si="496"/>
        <v>EXP00181</v>
      </c>
      <c r="B5224" s="4" t="str">
        <f t="shared" si="492"/>
        <v>24803579</v>
      </c>
      <c r="C5224" s="4" t="str">
        <f t="shared" si="493"/>
        <v>GSE50493</v>
      </c>
      <c r="D5224" s="1" t="s">
        <v>303</v>
      </c>
      <c r="E5224" t="s">
        <v>84</v>
      </c>
      <c r="F5224" s="1">
        <v>2</v>
      </c>
      <c r="G5224" s="1" t="s">
        <v>307</v>
      </c>
      <c r="H5224" s="4" t="str">
        <f>HYPERLINK("https://www.ncbi.nlm.nih.gov/geo/query/acc.cgi?acc=GSM1220072","GSM1220072")</f>
        <v>GSM1220072</v>
      </c>
      <c r="I5224" t="s">
        <v>82</v>
      </c>
      <c r="J5224" t="s">
        <v>83</v>
      </c>
      <c r="K5224" t="s">
        <v>19</v>
      </c>
      <c r="L5224" t="s">
        <v>27</v>
      </c>
      <c r="M5224" t="s">
        <v>308</v>
      </c>
      <c r="N5224" t="s">
        <v>22</v>
      </c>
    </row>
    <row r="5225" spans="1:14">
      <c r="A5225" s="4" t="str">
        <f t="shared" si="496"/>
        <v>EXP00181</v>
      </c>
      <c r="B5225" s="4" t="str">
        <f t="shared" ref="B5225:B5288" si="497">HYPERLINK("https://www.ncbi.nlm.nih.gov/pubmed/24803579","24803579")</f>
        <v>24803579</v>
      </c>
      <c r="C5225" s="4" t="str">
        <f t="shared" ref="C5225:C5288" si="498">HYPERLINK("https://www.ncbi.nlm.nih.gov/geo/query/acc.cgi?acc=GSE50493","GSE50493")</f>
        <v>GSE50493</v>
      </c>
      <c r="D5225" s="1" t="s">
        <v>303</v>
      </c>
      <c r="E5225" t="s">
        <v>84</v>
      </c>
      <c r="F5225" s="1">
        <v>2</v>
      </c>
      <c r="G5225" s="1" t="s">
        <v>307</v>
      </c>
      <c r="H5225" s="4" t="str">
        <f>HYPERLINK("https://www.ncbi.nlm.nih.gov/geo/query/acc.cgi?acc=GSM1220073","GSM1220073")</f>
        <v>GSM1220073</v>
      </c>
      <c r="I5225" t="s">
        <v>82</v>
      </c>
      <c r="J5225" t="s">
        <v>83</v>
      </c>
      <c r="K5225" t="s">
        <v>19</v>
      </c>
      <c r="L5225" t="s">
        <v>27</v>
      </c>
      <c r="M5225" t="s">
        <v>308</v>
      </c>
      <c r="N5225" t="s">
        <v>22</v>
      </c>
    </row>
    <row r="5226" spans="1:14">
      <c r="A5226" s="4" t="str">
        <f t="shared" ref="A5226:A5236" si="499">HYPERLINK("http://hcmdb.i-sanger.com/experiment/details/experiment_id/EXP00182","EXP00182")</f>
        <v>EXP00182</v>
      </c>
      <c r="B5226" s="4" t="str">
        <f t="shared" si="497"/>
        <v>24803579</v>
      </c>
      <c r="C5226" s="4" t="str">
        <f t="shared" si="498"/>
        <v>GSE50493</v>
      </c>
      <c r="D5226" s="1" t="s">
        <v>303</v>
      </c>
      <c r="E5226" t="s">
        <v>84</v>
      </c>
      <c r="F5226" s="1">
        <v>1</v>
      </c>
      <c r="G5226" s="1" t="s">
        <v>304</v>
      </c>
      <c r="H5226" s="4" t="str">
        <f>HYPERLINK("https://www.ncbi.nlm.nih.gov/geo/query/acc.cgi?acc=GSM1220097","GSM1220097")</f>
        <v>GSM1220097</v>
      </c>
      <c r="I5226" t="s">
        <v>82</v>
      </c>
      <c r="J5226" t="s">
        <v>83</v>
      </c>
      <c r="K5226" t="s">
        <v>19</v>
      </c>
      <c r="L5226" t="s">
        <v>27</v>
      </c>
      <c r="M5226" t="s">
        <v>50</v>
      </c>
      <c r="N5226" t="s">
        <v>22</v>
      </c>
    </row>
    <row r="5227" spans="1:14">
      <c r="A5227" s="4" t="str">
        <f t="shared" si="499"/>
        <v>EXP00182</v>
      </c>
      <c r="B5227" s="4" t="str">
        <f t="shared" si="497"/>
        <v>24803579</v>
      </c>
      <c r="C5227" s="4" t="str">
        <f t="shared" si="498"/>
        <v>GSE50493</v>
      </c>
      <c r="D5227" s="1" t="s">
        <v>303</v>
      </c>
      <c r="E5227" t="s">
        <v>84</v>
      </c>
      <c r="F5227" s="1">
        <v>1</v>
      </c>
      <c r="G5227" s="1" t="s">
        <v>304</v>
      </c>
      <c r="H5227" s="4" t="str">
        <f>HYPERLINK("https://www.ncbi.nlm.nih.gov/geo/query/acc.cgi?acc=GSM1220098","GSM1220098")</f>
        <v>GSM1220098</v>
      </c>
      <c r="I5227" t="s">
        <v>82</v>
      </c>
      <c r="J5227" t="s">
        <v>83</v>
      </c>
      <c r="K5227" t="s">
        <v>19</v>
      </c>
      <c r="L5227" t="s">
        <v>27</v>
      </c>
      <c r="M5227" t="s">
        <v>50</v>
      </c>
      <c r="N5227" t="s">
        <v>22</v>
      </c>
    </row>
    <row r="5228" spans="1:14">
      <c r="A5228" s="4" t="str">
        <f t="shared" si="499"/>
        <v>EXP00182</v>
      </c>
      <c r="B5228" s="4" t="str">
        <f t="shared" si="497"/>
        <v>24803579</v>
      </c>
      <c r="C5228" s="4" t="str">
        <f t="shared" si="498"/>
        <v>GSE50493</v>
      </c>
      <c r="D5228" s="1" t="s">
        <v>303</v>
      </c>
      <c r="E5228" t="s">
        <v>84</v>
      </c>
      <c r="F5228" s="1">
        <v>1</v>
      </c>
      <c r="G5228" s="1" t="s">
        <v>304</v>
      </c>
      <c r="H5228" s="4" t="str">
        <f>HYPERLINK("https://www.ncbi.nlm.nih.gov/geo/query/acc.cgi?acc=GSM1220099","GSM1220099")</f>
        <v>GSM1220099</v>
      </c>
      <c r="I5228" t="s">
        <v>82</v>
      </c>
      <c r="J5228" t="s">
        <v>83</v>
      </c>
      <c r="K5228" t="s">
        <v>19</v>
      </c>
      <c r="L5228" t="s">
        <v>27</v>
      </c>
      <c r="M5228" t="s">
        <v>50</v>
      </c>
      <c r="N5228" t="s">
        <v>22</v>
      </c>
    </row>
    <row r="5229" spans="1:14">
      <c r="A5229" s="4" t="str">
        <f t="shared" si="499"/>
        <v>EXP00182</v>
      </c>
      <c r="B5229" s="4" t="str">
        <f t="shared" si="497"/>
        <v>24803579</v>
      </c>
      <c r="C5229" s="4" t="str">
        <f t="shared" si="498"/>
        <v>GSE50493</v>
      </c>
      <c r="D5229" s="1" t="s">
        <v>303</v>
      </c>
      <c r="E5229" t="s">
        <v>84</v>
      </c>
      <c r="F5229" s="1">
        <v>2</v>
      </c>
      <c r="G5229" s="1" t="s">
        <v>309</v>
      </c>
      <c r="H5229" s="4" t="str">
        <f>HYPERLINK("https://www.ncbi.nlm.nih.gov/geo/query/acc.cgi?acc=GSM1220066","GSM1220066")</f>
        <v>GSM1220066</v>
      </c>
      <c r="I5229" t="s">
        <v>82</v>
      </c>
      <c r="J5229" t="s">
        <v>83</v>
      </c>
      <c r="K5229" t="s">
        <v>19</v>
      </c>
      <c r="L5229" t="s">
        <v>27</v>
      </c>
      <c r="M5229" t="s">
        <v>213</v>
      </c>
      <c r="N5229" t="s">
        <v>22</v>
      </c>
    </row>
    <row r="5230" spans="1:14">
      <c r="A5230" s="4" t="str">
        <f t="shared" si="499"/>
        <v>EXP00182</v>
      </c>
      <c r="B5230" s="4" t="str">
        <f t="shared" si="497"/>
        <v>24803579</v>
      </c>
      <c r="C5230" s="4" t="str">
        <f t="shared" si="498"/>
        <v>GSE50493</v>
      </c>
      <c r="D5230" s="1" t="s">
        <v>303</v>
      </c>
      <c r="E5230" t="s">
        <v>84</v>
      </c>
      <c r="F5230" s="1">
        <v>2</v>
      </c>
      <c r="G5230" s="1" t="s">
        <v>309</v>
      </c>
      <c r="H5230" s="4" t="str">
        <f>HYPERLINK("https://www.ncbi.nlm.nih.gov/geo/query/acc.cgi?acc=GSM1220067","GSM1220067")</f>
        <v>GSM1220067</v>
      </c>
      <c r="I5230" t="s">
        <v>82</v>
      </c>
      <c r="J5230" t="s">
        <v>83</v>
      </c>
      <c r="K5230" t="s">
        <v>19</v>
      </c>
      <c r="L5230" t="s">
        <v>27</v>
      </c>
      <c r="M5230" t="s">
        <v>213</v>
      </c>
      <c r="N5230" t="s">
        <v>22</v>
      </c>
    </row>
    <row r="5231" spans="1:14">
      <c r="A5231" s="4" t="str">
        <f t="shared" si="499"/>
        <v>EXP00182</v>
      </c>
      <c r="B5231" s="4" t="str">
        <f t="shared" si="497"/>
        <v>24803579</v>
      </c>
      <c r="C5231" s="4" t="str">
        <f t="shared" si="498"/>
        <v>GSE50493</v>
      </c>
      <c r="D5231" s="1" t="s">
        <v>303</v>
      </c>
      <c r="E5231" t="s">
        <v>84</v>
      </c>
      <c r="F5231" s="1">
        <v>2</v>
      </c>
      <c r="G5231" s="1" t="s">
        <v>309</v>
      </c>
      <c r="H5231" s="4" t="str">
        <f>HYPERLINK("https://www.ncbi.nlm.nih.gov/geo/query/acc.cgi?acc=GSM1220068","GSM1220068")</f>
        <v>GSM1220068</v>
      </c>
      <c r="I5231" t="s">
        <v>82</v>
      </c>
      <c r="J5231" t="s">
        <v>83</v>
      </c>
      <c r="K5231" t="s">
        <v>19</v>
      </c>
      <c r="L5231" t="s">
        <v>27</v>
      </c>
      <c r="M5231" t="s">
        <v>213</v>
      </c>
      <c r="N5231" t="s">
        <v>22</v>
      </c>
    </row>
    <row r="5232" spans="1:14">
      <c r="A5232" s="4" t="str">
        <f t="shared" si="499"/>
        <v>EXP00182</v>
      </c>
      <c r="B5232" s="4" t="str">
        <f t="shared" si="497"/>
        <v>24803579</v>
      </c>
      <c r="C5232" s="4" t="str">
        <f t="shared" si="498"/>
        <v>GSE50493</v>
      </c>
      <c r="D5232" s="1" t="s">
        <v>303</v>
      </c>
      <c r="E5232" t="s">
        <v>84</v>
      </c>
      <c r="F5232" s="1">
        <v>2</v>
      </c>
      <c r="G5232" s="1" t="s">
        <v>309</v>
      </c>
      <c r="H5232" s="4" t="str">
        <f>HYPERLINK("https://www.ncbi.nlm.nih.gov/geo/query/acc.cgi?acc=GSM1220079","GSM1220079")</f>
        <v>GSM1220079</v>
      </c>
      <c r="I5232" t="s">
        <v>82</v>
      </c>
      <c r="J5232" t="s">
        <v>83</v>
      </c>
      <c r="K5232" t="s">
        <v>19</v>
      </c>
      <c r="L5232" t="s">
        <v>27</v>
      </c>
      <c r="M5232" t="s">
        <v>213</v>
      </c>
      <c r="N5232" t="s">
        <v>22</v>
      </c>
    </row>
    <row r="5233" spans="1:14">
      <c r="A5233" s="4" t="str">
        <f t="shared" si="499"/>
        <v>EXP00182</v>
      </c>
      <c r="B5233" s="4" t="str">
        <f t="shared" si="497"/>
        <v>24803579</v>
      </c>
      <c r="C5233" s="4" t="str">
        <f t="shared" si="498"/>
        <v>GSE50493</v>
      </c>
      <c r="D5233" s="1" t="s">
        <v>303</v>
      </c>
      <c r="E5233" t="s">
        <v>84</v>
      </c>
      <c r="F5233" s="1">
        <v>2</v>
      </c>
      <c r="G5233" s="1" t="s">
        <v>309</v>
      </c>
      <c r="H5233" s="4" t="str">
        <f>HYPERLINK("https://www.ncbi.nlm.nih.gov/geo/query/acc.cgi?acc=GSM1220093","GSM1220093")</f>
        <v>GSM1220093</v>
      </c>
      <c r="I5233" t="s">
        <v>82</v>
      </c>
      <c r="J5233" t="s">
        <v>83</v>
      </c>
      <c r="K5233" t="s">
        <v>19</v>
      </c>
      <c r="L5233" t="s">
        <v>27</v>
      </c>
      <c r="M5233" t="s">
        <v>213</v>
      </c>
      <c r="N5233" t="s">
        <v>22</v>
      </c>
    </row>
    <row r="5234" spans="1:14">
      <c r="A5234" s="4" t="str">
        <f t="shared" si="499"/>
        <v>EXP00182</v>
      </c>
      <c r="B5234" s="4" t="str">
        <f t="shared" si="497"/>
        <v>24803579</v>
      </c>
      <c r="C5234" s="4" t="str">
        <f t="shared" si="498"/>
        <v>GSE50493</v>
      </c>
      <c r="D5234" s="1" t="s">
        <v>303</v>
      </c>
      <c r="E5234" t="s">
        <v>84</v>
      </c>
      <c r="F5234" s="1">
        <v>2</v>
      </c>
      <c r="G5234" s="1" t="s">
        <v>309</v>
      </c>
      <c r="H5234" s="4" t="str">
        <f>HYPERLINK("https://www.ncbi.nlm.nih.gov/geo/query/acc.cgi?acc=GSM1220094","GSM1220094")</f>
        <v>GSM1220094</v>
      </c>
      <c r="I5234" t="s">
        <v>82</v>
      </c>
      <c r="J5234" t="s">
        <v>83</v>
      </c>
      <c r="K5234" t="s">
        <v>19</v>
      </c>
      <c r="L5234" t="s">
        <v>27</v>
      </c>
      <c r="M5234" t="s">
        <v>213</v>
      </c>
      <c r="N5234" t="s">
        <v>22</v>
      </c>
    </row>
    <row r="5235" spans="1:14">
      <c r="A5235" s="4" t="str">
        <f t="shared" si="499"/>
        <v>EXP00182</v>
      </c>
      <c r="B5235" s="4" t="str">
        <f t="shared" si="497"/>
        <v>24803579</v>
      </c>
      <c r="C5235" s="4" t="str">
        <f t="shared" si="498"/>
        <v>GSE50493</v>
      </c>
      <c r="D5235" s="1" t="s">
        <v>303</v>
      </c>
      <c r="E5235" t="s">
        <v>84</v>
      </c>
      <c r="F5235" s="1">
        <v>2</v>
      </c>
      <c r="G5235" s="1" t="s">
        <v>309</v>
      </c>
      <c r="H5235" s="4" t="str">
        <f>HYPERLINK("https://www.ncbi.nlm.nih.gov/geo/query/acc.cgi?acc=GSM1220095","GSM1220095")</f>
        <v>GSM1220095</v>
      </c>
      <c r="I5235" t="s">
        <v>82</v>
      </c>
      <c r="J5235" t="s">
        <v>83</v>
      </c>
      <c r="K5235" t="s">
        <v>19</v>
      </c>
      <c r="L5235" t="s">
        <v>27</v>
      </c>
      <c r="M5235" t="s">
        <v>213</v>
      </c>
      <c r="N5235" t="s">
        <v>22</v>
      </c>
    </row>
    <row r="5236" spans="1:14">
      <c r="A5236" s="4" t="str">
        <f t="shared" si="499"/>
        <v>EXP00182</v>
      </c>
      <c r="B5236" s="4" t="str">
        <f t="shared" si="497"/>
        <v>24803579</v>
      </c>
      <c r="C5236" s="4" t="str">
        <f t="shared" si="498"/>
        <v>GSE50493</v>
      </c>
      <c r="D5236" s="1" t="s">
        <v>303</v>
      </c>
      <c r="E5236" t="s">
        <v>84</v>
      </c>
      <c r="F5236" s="1">
        <v>2</v>
      </c>
      <c r="G5236" s="1" t="s">
        <v>309</v>
      </c>
      <c r="H5236" s="4" t="str">
        <f>HYPERLINK("https://www.ncbi.nlm.nih.gov/geo/query/acc.cgi?acc=GSM1220096","GSM1220096")</f>
        <v>GSM1220096</v>
      </c>
      <c r="I5236" t="s">
        <v>82</v>
      </c>
      <c r="J5236" t="s">
        <v>83</v>
      </c>
      <c r="K5236" t="s">
        <v>19</v>
      </c>
      <c r="L5236" t="s">
        <v>27</v>
      </c>
      <c r="M5236" t="s">
        <v>213</v>
      </c>
      <c r="N5236" t="s">
        <v>22</v>
      </c>
    </row>
    <row r="5237" spans="1:14">
      <c r="A5237" s="4" t="str">
        <f t="shared" ref="A5237:A5243" si="500">HYPERLINK("http://hcmdb.i-sanger.com/experiment/details/experiment_id/EXP00183","EXP00183")</f>
        <v>EXP00183</v>
      </c>
      <c r="B5237" s="4" t="str">
        <f t="shared" si="497"/>
        <v>24803579</v>
      </c>
      <c r="C5237" s="4" t="str">
        <f t="shared" si="498"/>
        <v>GSE50493</v>
      </c>
      <c r="D5237" s="1" t="s">
        <v>303</v>
      </c>
      <c r="E5237" t="s">
        <v>84</v>
      </c>
      <c r="F5237" s="1">
        <v>1</v>
      </c>
      <c r="G5237" s="1" t="s">
        <v>304</v>
      </c>
      <c r="H5237" s="4" t="str">
        <f>HYPERLINK("https://www.ncbi.nlm.nih.gov/geo/query/acc.cgi?acc=GSM1220097","GSM1220097")</f>
        <v>GSM1220097</v>
      </c>
      <c r="I5237" t="s">
        <v>82</v>
      </c>
      <c r="J5237" t="s">
        <v>83</v>
      </c>
      <c r="K5237" t="s">
        <v>19</v>
      </c>
      <c r="L5237" t="s">
        <v>27</v>
      </c>
      <c r="M5237" t="s">
        <v>50</v>
      </c>
      <c r="N5237" t="s">
        <v>22</v>
      </c>
    </row>
    <row r="5238" spans="1:14">
      <c r="A5238" s="4" t="str">
        <f t="shared" si="500"/>
        <v>EXP00183</v>
      </c>
      <c r="B5238" s="4" t="str">
        <f t="shared" si="497"/>
        <v>24803579</v>
      </c>
      <c r="C5238" s="4" t="str">
        <f t="shared" si="498"/>
        <v>GSE50493</v>
      </c>
      <c r="D5238" s="1" t="s">
        <v>303</v>
      </c>
      <c r="E5238" t="s">
        <v>84</v>
      </c>
      <c r="F5238" s="1">
        <v>1</v>
      </c>
      <c r="G5238" s="1" t="s">
        <v>304</v>
      </c>
      <c r="H5238" s="4" t="str">
        <f>HYPERLINK("https://www.ncbi.nlm.nih.gov/geo/query/acc.cgi?acc=GSM1220098","GSM1220098")</f>
        <v>GSM1220098</v>
      </c>
      <c r="I5238" t="s">
        <v>82</v>
      </c>
      <c r="J5238" t="s">
        <v>83</v>
      </c>
      <c r="K5238" t="s">
        <v>19</v>
      </c>
      <c r="L5238" t="s">
        <v>27</v>
      </c>
      <c r="M5238" t="s">
        <v>50</v>
      </c>
      <c r="N5238" t="s">
        <v>22</v>
      </c>
    </row>
    <row r="5239" spans="1:14">
      <c r="A5239" s="4" t="str">
        <f t="shared" si="500"/>
        <v>EXP00183</v>
      </c>
      <c r="B5239" s="4" t="str">
        <f t="shared" si="497"/>
        <v>24803579</v>
      </c>
      <c r="C5239" s="4" t="str">
        <f t="shared" si="498"/>
        <v>GSE50493</v>
      </c>
      <c r="D5239" s="1" t="s">
        <v>303</v>
      </c>
      <c r="E5239" t="s">
        <v>84</v>
      </c>
      <c r="F5239" s="1">
        <v>1</v>
      </c>
      <c r="G5239" s="1" t="s">
        <v>304</v>
      </c>
      <c r="H5239" s="4" t="str">
        <f>HYPERLINK("https://www.ncbi.nlm.nih.gov/geo/query/acc.cgi?acc=GSM1220099","GSM1220099")</f>
        <v>GSM1220099</v>
      </c>
      <c r="I5239" t="s">
        <v>82</v>
      </c>
      <c r="J5239" t="s">
        <v>83</v>
      </c>
      <c r="K5239" t="s">
        <v>19</v>
      </c>
      <c r="L5239" t="s">
        <v>27</v>
      </c>
      <c r="M5239" t="s">
        <v>50</v>
      </c>
      <c r="N5239" t="s">
        <v>22</v>
      </c>
    </row>
    <row r="5240" spans="1:14">
      <c r="A5240" s="4" t="str">
        <f t="shared" si="500"/>
        <v>EXP00183</v>
      </c>
      <c r="B5240" s="4" t="str">
        <f t="shared" si="497"/>
        <v>24803579</v>
      </c>
      <c r="C5240" s="4" t="str">
        <f t="shared" si="498"/>
        <v>GSE50493</v>
      </c>
      <c r="D5240" s="1" t="s">
        <v>303</v>
      </c>
      <c r="E5240" t="s">
        <v>84</v>
      </c>
      <c r="F5240" s="1">
        <v>2</v>
      </c>
      <c r="G5240" s="1" t="s">
        <v>310</v>
      </c>
      <c r="H5240" s="4" t="str">
        <f>HYPERLINK("https://www.ncbi.nlm.nih.gov/geo/query/acc.cgi?acc=GSM1220084","GSM1220084")</f>
        <v>GSM1220084</v>
      </c>
      <c r="I5240" t="s">
        <v>82</v>
      </c>
      <c r="J5240" t="s">
        <v>83</v>
      </c>
      <c r="K5240" t="s">
        <v>19</v>
      </c>
      <c r="L5240" t="s">
        <v>27</v>
      </c>
      <c r="M5240" t="s">
        <v>196</v>
      </c>
      <c r="N5240" t="s">
        <v>22</v>
      </c>
    </row>
    <row r="5241" spans="1:14">
      <c r="A5241" s="4" t="str">
        <f t="shared" si="500"/>
        <v>EXP00183</v>
      </c>
      <c r="B5241" s="4" t="str">
        <f t="shared" si="497"/>
        <v>24803579</v>
      </c>
      <c r="C5241" s="4" t="str">
        <f t="shared" si="498"/>
        <v>GSE50493</v>
      </c>
      <c r="D5241" s="1" t="s">
        <v>303</v>
      </c>
      <c r="E5241" t="s">
        <v>84</v>
      </c>
      <c r="F5241" s="1">
        <v>2</v>
      </c>
      <c r="G5241" s="1" t="s">
        <v>310</v>
      </c>
      <c r="H5241" s="4" t="str">
        <f>HYPERLINK("https://www.ncbi.nlm.nih.gov/geo/query/acc.cgi?acc=GSM1220085","GSM1220085")</f>
        <v>GSM1220085</v>
      </c>
      <c r="I5241" t="s">
        <v>82</v>
      </c>
      <c r="J5241" t="s">
        <v>83</v>
      </c>
      <c r="K5241" t="s">
        <v>19</v>
      </c>
      <c r="L5241" t="s">
        <v>27</v>
      </c>
      <c r="M5241" t="s">
        <v>196</v>
      </c>
      <c r="N5241" t="s">
        <v>22</v>
      </c>
    </row>
    <row r="5242" spans="1:14">
      <c r="A5242" s="4" t="str">
        <f t="shared" si="500"/>
        <v>EXP00183</v>
      </c>
      <c r="B5242" s="4" t="str">
        <f t="shared" si="497"/>
        <v>24803579</v>
      </c>
      <c r="C5242" s="4" t="str">
        <f t="shared" si="498"/>
        <v>GSE50493</v>
      </c>
      <c r="D5242" s="1" t="s">
        <v>303</v>
      </c>
      <c r="E5242" t="s">
        <v>84</v>
      </c>
      <c r="F5242" s="1">
        <v>2</v>
      </c>
      <c r="G5242" s="1" t="s">
        <v>310</v>
      </c>
      <c r="H5242" s="4" t="str">
        <f>HYPERLINK("https://www.ncbi.nlm.nih.gov/geo/query/acc.cgi?acc=GSM1220087","GSM1220087")</f>
        <v>GSM1220087</v>
      </c>
      <c r="I5242" t="s">
        <v>82</v>
      </c>
      <c r="J5242" t="s">
        <v>83</v>
      </c>
      <c r="K5242" t="s">
        <v>19</v>
      </c>
      <c r="L5242" t="s">
        <v>27</v>
      </c>
      <c r="M5242" t="s">
        <v>196</v>
      </c>
      <c r="N5242" t="s">
        <v>22</v>
      </c>
    </row>
    <row r="5243" spans="1:14">
      <c r="A5243" s="4" t="str">
        <f t="shared" si="500"/>
        <v>EXP00183</v>
      </c>
      <c r="B5243" s="4" t="str">
        <f t="shared" si="497"/>
        <v>24803579</v>
      </c>
      <c r="C5243" s="4" t="str">
        <f t="shared" si="498"/>
        <v>GSE50493</v>
      </c>
      <c r="D5243" s="1" t="s">
        <v>303</v>
      </c>
      <c r="E5243" t="s">
        <v>84</v>
      </c>
      <c r="F5243" s="1">
        <v>2</v>
      </c>
      <c r="G5243" s="1" t="s">
        <v>310</v>
      </c>
      <c r="H5243" s="4" t="str">
        <f>HYPERLINK("https://www.ncbi.nlm.nih.gov/geo/query/acc.cgi?acc=GSM1220088","GSM1220088")</f>
        <v>GSM1220088</v>
      </c>
      <c r="I5243" t="s">
        <v>82</v>
      </c>
      <c r="J5243" t="s">
        <v>83</v>
      </c>
      <c r="K5243" t="s">
        <v>19</v>
      </c>
      <c r="L5243" t="s">
        <v>27</v>
      </c>
      <c r="M5243" t="s">
        <v>196</v>
      </c>
      <c r="N5243" t="s">
        <v>22</v>
      </c>
    </row>
    <row r="5244" spans="1:14">
      <c r="A5244" s="4" t="str">
        <f t="shared" ref="A5244:A5278" si="501">HYPERLINK("http://hcmdb.i-sanger.com/experiment/details/experiment_id/EXP00184","EXP00184")</f>
        <v>EXP00184</v>
      </c>
      <c r="B5244" s="4" t="str">
        <f t="shared" si="497"/>
        <v>24803579</v>
      </c>
      <c r="C5244" s="4" t="str">
        <f t="shared" si="498"/>
        <v>GSE50493</v>
      </c>
      <c r="D5244" s="1" t="s">
        <v>303</v>
      </c>
      <c r="E5244" t="s">
        <v>84</v>
      </c>
      <c r="F5244" s="1">
        <v>1</v>
      </c>
      <c r="G5244" s="1" t="s">
        <v>305</v>
      </c>
      <c r="H5244" s="4" t="str">
        <f>HYPERLINK("https://www.ncbi.nlm.nih.gov/geo/query/acc.cgi?acc=GSM1220035","GSM1220035")</f>
        <v>GSM1220035</v>
      </c>
      <c r="I5244" t="s">
        <v>82</v>
      </c>
      <c r="J5244" t="s">
        <v>83</v>
      </c>
      <c r="K5244" t="s">
        <v>19</v>
      </c>
      <c r="L5244" t="s">
        <v>27</v>
      </c>
      <c r="M5244" t="s">
        <v>21</v>
      </c>
      <c r="N5244" t="s">
        <v>22</v>
      </c>
    </row>
    <row r="5245" spans="1:14">
      <c r="A5245" s="4" t="str">
        <f t="shared" si="501"/>
        <v>EXP00184</v>
      </c>
      <c r="B5245" s="4" t="str">
        <f t="shared" si="497"/>
        <v>24803579</v>
      </c>
      <c r="C5245" s="4" t="str">
        <f t="shared" si="498"/>
        <v>GSE50493</v>
      </c>
      <c r="D5245" s="1" t="s">
        <v>303</v>
      </c>
      <c r="E5245" t="s">
        <v>84</v>
      </c>
      <c r="F5245" s="1">
        <v>1</v>
      </c>
      <c r="G5245" s="1" t="s">
        <v>305</v>
      </c>
      <c r="H5245" s="4" t="str">
        <f>HYPERLINK("https://www.ncbi.nlm.nih.gov/geo/query/acc.cgi?acc=GSM1220036","GSM1220036")</f>
        <v>GSM1220036</v>
      </c>
      <c r="I5245" t="s">
        <v>82</v>
      </c>
      <c r="J5245" t="s">
        <v>83</v>
      </c>
      <c r="K5245" t="s">
        <v>19</v>
      </c>
      <c r="L5245" t="s">
        <v>27</v>
      </c>
      <c r="M5245" t="s">
        <v>21</v>
      </c>
      <c r="N5245" t="s">
        <v>22</v>
      </c>
    </row>
    <row r="5246" spans="1:14">
      <c r="A5246" s="4" t="str">
        <f t="shared" si="501"/>
        <v>EXP00184</v>
      </c>
      <c r="B5246" s="4" t="str">
        <f t="shared" si="497"/>
        <v>24803579</v>
      </c>
      <c r="C5246" s="4" t="str">
        <f t="shared" si="498"/>
        <v>GSE50493</v>
      </c>
      <c r="D5246" s="1" t="s">
        <v>303</v>
      </c>
      <c r="E5246" t="s">
        <v>84</v>
      </c>
      <c r="F5246" s="1">
        <v>1</v>
      </c>
      <c r="G5246" s="1" t="s">
        <v>305</v>
      </c>
      <c r="H5246" s="4" t="str">
        <f>HYPERLINK("https://www.ncbi.nlm.nih.gov/geo/query/acc.cgi?acc=GSM1220037","GSM1220037")</f>
        <v>GSM1220037</v>
      </c>
      <c r="I5246" t="s">
        <v>82</v>
      </c>
      <c r="J5246" t="s">
        <v>83</v>
      </c>
      <c r="K5246" t="s">
        <v>19</v>
      </c>
      <c r="L5246" t="s">
        <v>27</v>
      </c>
      <c r="M5246" t="s">
        <v>21</v>
      </c>
      <c r="N5246" t="s">
        <v>22</v>
      </c>
    </row>
    <row r="5247" spans="1:14">
      <c r="A5247" s="4" t="str">
        <f t="shared" si="501"/>
        <v>EXP00184</v>
      </c>
      <c r="B5247" s="4" t="str">
        <f t="shared" si="497"/>
        <v>24803579</v>
      </c>
      <c r="C5247" s="4" t="str">
        <f t="shared" si="498"/>
        <v>GSE50493</v>
      </c>
      <c r="D5247" s="1" t="s">
        <v>303</v>
      </c>
      <c r="E5247" t="s">
        <v>84</v>
      </c>
      <c r="F5247" s="1">
        <v>1</v>
      </c>
      <c r="G5247" s="1" t="s">
        <v>305</v>
      </c>
      <c r="H5247" s="4" t="str">
        <f>HYPERLINK("https://www.ncbi.nlm.nih.gov/geo/query/acc.cgi?acc=GSM1220038","GSM1220038")</f>
        <v>GSM1220038</v>
      </c>
      <c r="I5247" t="s">
        <v>82</v>
      </c>
      <c r="J5247" t="s">
        <v>83</v>
      </c>
      <c r="K5247" t="s">
        <v>19</v>
      </c>
      <c r="L5247" t="s">
        <v>27</v>
      </c>
      <c r="M5247" t="s">
        <v>21</v>
      </c>
      <c r="N5247" t="s">
        <v>22</v>
      </c>
    </row>
    <row r="5248" spans="1:14">
      <c r="A5248" s="4" t="str">
        <f t="shared" si="501"/>
        <v>EXP00184</v>
      </c>
      <c r="B5248" s="4" t="str">
        <f t="shared" si="497"/>
        <v>24803579</v>
      </c>
      <c r="C5248" s="4" t="str">
        <f t="shared" si="498"/>
        <v>GSE50493</v>
      </c>
      <c r="D5248" s="1" t="s">
        <v>303</v>
      </c>
      <c r="E5248" t="s">
        <v>84</v>
      </c>
      <c r="F5248" s="1">
        <v>1</v>
      </c>
      <c r="G5248" s="1" t="s">
        <v>305</v>
      </c>
      <c r="H5248" s="4" t="str">
        <f>HYPERLINK("https://www.ncbi.nlm.nih.gov/geo/query/acc.cgi?acc=GSM1220039","GSM1220039")</f>
        <v>GSM1220039</v>
      </c>
      <c r="I5248" t="s">
        <v>82</v>
      </c>
      <c r="J5248" t="s">
        <v>83</v>
      </c>
      <c r="K5248" t="s">
        <v>19</v>
      </c>
      <c r="L5248" t="s">
        <v>27</v>
      </c>
      <c r="M5248" t="s">
        <v>21</v>
      </c>
      <c r="N5248" t="s">
        <v>22</v>
      </c>
    </row>
    <row r="5249" spans="1:14">
      <c r="A5249" s="4" t="str">
        <f t="shared" si="501"/>
        <v>EXP00184</v>
      </c>
      <c r="B5249" s="4" t="str">
        <f t="shared" si="497"/>
        <v>24803579</v>
      </c>
      <c r="C5249" s="4" t="str">
        <f t="shared" si="498"/>
        <v>GSE50493</v>
      </c>
      <c r="D5249" s="1" t="s">
        <v>303</v>
      </c>
      <c r="E5249" t="s">
        <v>84</v>
      </c>
      <c r="F5249" s="1">
        <v>1</v>
      </c>
      <c r="G5249" s="1" t="s">
        <v>305</v>
      </c>
      <c r="H5249" s="4" t="str">
        <f>HYPERLINK("https://www.ncbi.nlm.nih.gov/geo/query/acc.cgi?acc=GSM1220040","GSM1220040")</f>
        <v>GSM1220040</v>
      </c>
      <c r="I5249" t="s">
        <v>82</v>
      </c>
      <c r="J5249" t="s">
        <v>83</v>
      </c>
      <c r="K5249" t="s">
        <v>19</v>
      </c>
      <c r="L5249" t="s">
        <v>27</v>
      </c>
      <c r="M5249" t="s">
        <v>21</v>
      </c>
      <c r="N5249" t="s">
        <v>22</v>
      </c>
    </row>
    <row r="5250" spans="1:14">
      <c r="A5250" s="4" t="str">
        <f t="shared" si="501"/>
        <v>EXP00184</v>
      </c>
      <c r="B5250" s="4" t="str">
        <f t="shared" si="497"/>
        <v>24803579</v>
      </c>
      <c r="C5250" s="4" t="str">
        <f t="shared" si="498"/>
        <v>GSE50493</v>
      </c>
      <c r="D5250" s="1" t="s">
        <v>303</v>
      </c>
      <c r="E5250" t="s">
        <v>84</v>
      </c>
      <c r="F5250" s="1">
        <v>1</v>
      </c>
      <c r="G5250" s="1" t="s">
        <v>305</v>
      </c>
      <c r="H5250" s="4" t="str">
        <f>HYPERLINK("https://www.ncbi.nlm.nih.gov/geo/query/acc.cgi?acc=GSM1220041","GSM1220041")</f>
        <v>GSM1220041</v>
      </c>
      <c r="I5250" t="s">
        <v>82</v>
      </c>
      <c r="J5250" t="s">
        <v>83</v>
      </c>
      <c r="K5250" t="s">
        <v>19</v>
      </c>
      <c r="L5250" t="s">
        <v>27</v>
      </c>
      <c r="M5250" t="s">
        <v>21</v>
      </c>
      <c r="N5250" t="s">
        <v>22</v>
      </c>
    </row>
    <row r="5251" spans="1:14">
      <c r="A5251" s="4" t="str">
        <f t="shared" si="501"/>
        <v>EXP00184</v>
      </c>
      <c r="B5251" s="4" t="str">
        <f t="shared" si="497"/>
        <v>24803579</v>
      </c>
      <c r="C5251" s="4" t="str">
        <f t="shared" si="498"/>
        <v>GSE50493</v>
      </c>
      <c r="D5251" s="1" t="s">
        <v>303</v>
      </c>
      <c r="E5251" t="s">
        <v>84</v>
      </c>
      <c r="F5251" s="1">
        <v>1</v>
      </c>
      <c r="G5251" s="1" t="s">
        <v>305</v>
      </c>
      <c r="H5251" s="4" t="str">
        <f>HYPERLINK("https://www.ncbi.nlm.nih.gov/geo/query/acc.cgi?acc=GSM1220042","GSM1220042")</f>
        <v>GSM1220042</v>
      </c>
      <c r="I5251" t="s">
        <v>82</v>
      </c>
      <c r="J5251" t="s">
        <v>83</v>
      </c>
      <c r="K5251" t="s">
        <v>19</v>
      </c>
      <c r="L5251" t="s">
        <v>27</v>
      </c>
      <c r="M5251" t="s">
        <v>21</v>
      </c>
      <c r="N5251" t="s">
        <v>22</v>
      </c>
    </row>
    <row r="5252" spans="1:14">
      <c r="A5252" s="4" t="str">
        <f t="shared" si="501"/>
        <v>EXP00184</v>
      </c>
      <c r="B5252" s="4" t="str">
        <f t="shared" si="497"/>
        <v>24803579</v>
      </c>
      <c r="C5252" s="4" t="str">
        <f t="shared" si="498"/>
        <v>GSE50493</v>
      </c>
      <c r="D5252" s="1" t="s">
        <v>303</v>
      </c>
      <c r="E5252" t="s">
        <v>84</v>
      </c>
      <c r="F5252" s="1">
        <v>1</v>
      </c>
      <c r="G5252" s="1" t="s">
        <v>305</v>
      </c>
      <c r="H5252" s="4" t="str">
        <f>HYPERLINK("https://www.ncbi.nlm.nih.gov/geo/query/acc.cgi?acc=GSM1220043","GSM1220043")</f>
        <v>GSM1220043</v>
      </c>
      <c r="I5252" t="s">
        <v>82</v>
      </c>
      <c r="J5252" t="s">
        <v>83</v>
      </c>
      <c r="K5252" t="s">
        <v>19</v>
      </c>
      <c r="L5252" t="s">
        <v>27</v>
      </c>
      <c r="M5252" t="s">
        <v>21</v>
      </c>
      <c r="N5252" t="s">
        <v>22</v>
      </c>
    </row>
    <row r="5253" spans="1:14">
      <c r="A5253" s="4" t="str">
        <f t="shared" si="501"/>
        <v>EXP00184</v>
      </c>
      <c r="B5253" s="4" t="str">
        <f t="shared" si="497"/>
        <v>24803579</v>
      </c>
      <c r="C5253" s="4" t="str">
        <f t="shared" si="498"/>
        <v>GSE50493</v>
      </c>
      <c r="D5253" s="1" t="s">
        <v>303</v>
      </c>
      <c r="E5253" t="s">
        <v>84</v>
      </c>
      <c r="F5253" s="1">
        <v>1</v>
      </c>
      <c r="G5253" s="1" t="s">
        <v>305</v>
      </c>
      <c r="H5253" s="4" t="str">
        <f>HYPERLINK("https://www.ncbi.nlm.nih.gov/geo/query/acc.cgi?acc=GSM1220044","GSM1220044")</f>
        <v>GSM1220044</v>
      </c>
      <c r="I5253" t="s">
        <v>82</v>
      </c>
      <c r="J5253" t="s">
        <v>83</v>
      </c>
      <c r="K5253" t="s">
        <v>19</v>
      </c>
      <c r="L5253" t="s">
        <v>27</v>
      </c>
      <c r="M5253" t="s">
        <v>21</v>
      </c>
      <c r="N5253" t="s">
        <v>22</v>
      </c>
    </row>
    <row r="5254" spans="1:14">
      <c r="A5254" s="4" t="str">
        <f t="shared" si="501"/>
        <v>EXP00184</v>
      </c>
      <c r="B5254" s="4" t="str">
        <f t="shared" si="497"/>
        <v>24803579</v>
      </c>
      <c r="C5254" s="4" t="str">
        <f t="shared" si="498"/>
        <v>GSE50493</v>
      </c>
      <c r="D5254" s="1" t="s">
        <v>303</v>
      </c>
      <c r="E5254" t="s">
        <v>84</v>
      </c>
      <c r="F5254" s="1">
        <v>1</v>
      </c>
      <c r="G5254" s="1" t="s">
        <v>305</v>
      </c>
      <c r="H5254" s="4" t="str">
        <f>HYPERLINK("https://www.ncbi.nlm.nih.gov/geo/query/acc.cgi?acc=GSM1220045","GSM1220045")</f>
        <v>GSM1220045</v>
      </c>
      <c r="I5254" t="s">
        <v>82</v>
      </c>
      <c r="J5254" t="s">
        <v>83</v>
      </c>
      <c r="K5254" t="s">
        <v>19</v>
      </c>
      <c r="L5254" t="s">
        <v>27</v>
      </c>
      <c r="M5254" t="s">
        <v>21</v>
      </c>
      <c r="N5254" t="s">
        <v>22</v>
      </c>
    </row>
    <row r="5255" spans="1:14">
      <c r="A5255" s="4" t="str">
        <f t="shared" si="501"/>
        <v>EXP00184</v>
      </c>
      <c r="B5255" s="4" t="str">
        <f t="shared" si="497"/>
        <v>24803579</v>
      </c>
      <c r="C5255" s="4" t="str">
        <f t="shared" si="498"/>
        <v>GSE50493</v>
      </c>
      <c r="D5255" s="1" t="s">
        <v>303</v>
      </c>
      <c r="E5255" t="s">
        <v>84</v>
      </c>
      <c r="F5255" s="1">
        <v>1</v>
      </c>
      <c r="G5255" s="1" t="s">
        <v>305</v>
      </c>
      <c r="H5255" s="4" t="str">
        <f>HYPERLINK("https://www.ncbi.nlm.nih.gov/geo/query/acc.cgi?acc=GSM1220046","GSM1220046")</f>
        <v>GSM1220046</v>
      </c>
      <c r="I5255" t="s">
        <v>82</v>
      </c>
      <c r="J5255" t="s">
        <v>83</v>
      </c>
      <c r="K5255" t="s">
        <v>19</v>
      </c>
      <c r="L5255" t="s">
        <v>27</v>
      </c>
      <c r="M5255" t="s">
        <v>21</v>
      </c>
      <c r="N5255" t="s">
        <v>22</v>
      </c>
    </row>
    <row r="5256" spans="1:14">
      <c r="A5256" s="4" t="str">
        <f t="shared" si="501"/>
        <v>EXP00184</v>
      </c>
      <c r="B5256" s="4" t="str">
        <f t="shared" si="497"/>
        <v>24803579</v>
      </c>
      <c r="C5256" s="4" t="str">
        <f t="shared" si="498"/>
        <v>GSE50493</v>
      </c>
      <c r="D5256" s="1" t="s">
        <v>303</v>
      </c>
      <c r="E5256" t="s">
        <v>84</v>
      </c>
      <c r="F5256" s="1">
        <v>1</v>
      </c>
      <c r="G5256" s="1" t="s">
        <v>305</v>
      </c>
      <c r="H5256" s="4" t="str">
        <f>HYPERLINK("https://www.ncbi.nlm.nih.gov/geo/query/acc.cgi?acc=GSM1220047","GSM1220047")</f>
        <v>GSM1220047</v>
      </c>
      <c r="I5256" t="s">
        <v>82</v>
      </c>
      <c r="J5256" t="s">
        <v>83</v>
      </c>
      <c r="K5256" t="s">
        <v>19</v>
      </c>
      <c r="L5256" t="s">
        <v>27</v>
      </c>
      <c r="M5256" t="s">
        <v>21</v>
      </c>
      <c r="N5256" t="s">
        <v>22</v>
      </c>
    </row>
    <row r="5257" spans="1:14">
      <c r="A5257" s="4" t="str">
        <f t="shared" si="501"/>
        <v>EXP00184</v>
      </c>
      <c r="B5257" s="4" t="str">
        <f t="shared" si="497"/>
        <v>24803579</v>
      </c>
      <c r="C5257" s="4" t="str">
        <f t="shared" si="498"/>
        <v>GSE50493</v>
      </c>
      <c r="D5257" s="1" t="s">
        <v>303</v>
      </c>
      <c r="E5257" t="s">
        <v>84</v>
      </c>
      <c r="F5257" s="1">
        <v>1</v>
      </c>
      <c r="G5257" s="1" t="s">
        <v>305</v>
      </c>
      <c r="H5257" s="4" t="str">
        <f>HYPERLINK("https://www.ncbi.nlm.nih.gov/geo/query/acc.cgi?acc=GSM1220048","GSM1220048")</f>
        <v>GSM1220048</v>
      </c>
      <c r="I5257" t="s">
        <v>82</v>
      </c>
      <c r="J5257" t="s">
        <v>83</v>
      </c>
      <c r="K5257" t="s">
        <v>19</v>
      </c>
      <c r="L5257" t="s">
        <v>27</v>
      </c>
      <c r="M5257" t="s">
        <v>21</v>
      </c>
      <c r="N5257" t="s">
        <v>22</v>
      </c>
    </row>
    <row r="5258" spans="1:14">
      <c r="A5258" s="4" t="str">
        <f t="shared" si="501"/>
        <v>EXP00184</v>
      </c>
      <c r="B5258" s="4" t="str">
        <f t="shared" si="497"/>
        <v>24803579</v>
      </c>
      <c r="C5258" s="4" t="str">
        <f t="shared" si="498"/>
        <v>GSE50493</v>
      </c>
      <c r="D5258" s="1" t="s">
        <v>303</v>
      </c>
      <c r="E5258" t="s">
        <v>84</v>
      </c>
      <c r="F5258" s="1">
        <v>1</v>
      </c>
      <c r="G5258" s="1" t="s">
        <v>305</v>
      </c>
      <c r="H5258" s="4" t="str">
        <f>HYPERLINK("https://www.ncbi.nlm.nih.gov/geo/query/acc.cgi?acc=GSM1220049","GSM1220049")</f>
        <v>GSM1220049</v>
      </c>
      <c r="I5258" t="s">
        <v>82</v>
      </c>
      <c r="J5258" t="s">
        <v>83</v>
      </c>
      <c r="K5258" t="s">
        <v>19</v>
      </c>
      <c r="L5258" t="s">
        <v>27</v>
      </c>
      <c r="M5258" t="s">
        <v>21</v>
      </c>
      <c r="N5258" t="s">
        <v>22</v>
      </c>
    </row>
    <row r="5259" spans="1:14">
      <c r="A5259" s="4" t="str">
        <f t="shared" si="501"/>
        <v>EXP00184</v>
      </c>
      <c r="B5259" s="4" t="str">
        <f t="shared" si="497"/>
        <v>24803579</v>
      </c>
      <c r="C5259" s="4" t="str">
        <f t="shared" si="498"/>
        <v>GSE50493</v>
      </c>
      <c r="D5259" s="1" t="s">
        <v>303</v>
      </c>
      <c r="E5259" t="s">
        <v>84</v>
      </c>
      <c r="F5259" s="1">
        <v>1</v>
      </c>
      <c r="G5259" s="1" t="s">
        <v>305</v>
      </c>
      <c r="H5259" s="4" t="str">
        <f>HYPERLINK("https://www.ncbi.nlm.nih.gov/geo/query/acc.cgi?acc=GSM1220050","GSM1220050")</f>
        <v>GSM1220050</v>
      </c>
      <c r="I5259" t="s">
        <v>82</v>
      </c>
      <c r="J5259" t="s">
        <v>83</v>
      </c>
      <c r="K5259" t="s">
        <v>19</v>
      </c>
      <c r="L5259" t="s">
        <v>27</v>
      </c>
      <c r="M5259" t="s">
        <v>21</v>
      </c>
      <c r="N5259" t="s">
        <v>22</v>
      </c>
    </row>
    <row r="5260" spans="1:14">
      <c r="A5260" s="4" t="str">
        <f t="shared" si="501"/>
        <v>EXP00184</v>
      </c>
      <c r="B5260" s="4" t="str">
        <f t="shared" si="497"/>
        <v>24803579</v>
      </c>
      <c r="C5260" s="4" t="str">
        <f t="shared" si="498"/>
        <v>GSE50493</v>
      </c>
      <c r="D5260" s="1" t="s">
        <v>303</v>
      </c>
      <c r="E5260" t="s">
        <v>84</v>
      </c>
      <c r="F5260" s="1">
        <v>1</v>
      </c>
      <c r="G5260" s="1" t="s">
        <v>305</v>
      </c>
      <c r="H5260" s="4" t="str">
        <f>HYPERLINK("https://www.ncbi.nlm.nih.gov/geo/query/acc.cgi?acc=GSM1220051","GSM1220051")</f>
        <v>GSM1220051</v>
      </c>
      <c r="I5260" t="s">
        <v>82</v>
      </c>
      <c r="J5260" t="s">
        <v>83</v>
      </c>
      <c r="K5260" t="s">
        <v>19</v>
      </c>
      <c r="L5260" t="s">
        <v>27</v>
      </c>
      <c r="M5260" t="s">
        <v>21</v>
      </c>
      <c r="N5260" t="s">
        <v>22</v>
      </c>
    </row>
    <row r="5261" spans="1:14">
      <c r="A5261" s="4" t="str">
        <f t="shared" si="501"/>
        <v>EXP00184</v>
      </c>
      <c r="B5261" s="4" t="str">
        <f t="shared" si="497"/>
        <v>24803579</v>
      </c>
      <c r="C5261" s="4" t="str">
        <f t="shared" si="498"/>
        <v>GSE50493</v>
      </c>
      <c r="D5261" s="1" t="s">
        <v>303</v>
      </c>
      <c r="E5261" t="s">
        <v>84</v>
      </c>
      <c r="F5261" s="1">
        <v>1</v>
      </c>
      <c r="G5261" s="1" t="s">
        <v>305</v>
      </c>
      <c r="H5261" s="4" t="str">
        <f>HYPERLINK("https://www.ncbi.nlm.nih.gov/geo/query/acc.cgi?acc=GSM1220052","GSM1220052")</f>
        <v>GSM1220052</v>
      </c>
      <c r="I5261" t="s">
        <v>82</v>
      </c>
      <c r="J5261" t="s">
        <v>83</v>
      </c>
      <c r="K5261" t="s">
        <v>19</v>
      </c>
      <c r="L5261" t="s">
        <v>27</v>
      </c>
      <c r="M5261" t="s">
        <v>21</v>
      </c>
      <c r="N5261" t="s">
        <v>22</v>
      </c>
    </row>
    <row r="5262" spans="1:14">
      <c r="A5262" s="4" t="str">
        <f t="shared" si="501"/>
        <v>EXP00184</v>
      </c>
      <c r="B5262" s="4" t="str">
        <f t="shared" si="497"/>
        <v>24803579</v>
      </c>
      <c r="C5262" s="4" t="str">
        <f t="shared" si="498"/>
        <v>GSE50493</v>
      </c>
      <c r="D5262" s="1" t="s">
        <v>303</v>
      </c>
      <c r="E5262" t="s">
        <v>84</v>
      </c>
      <c r="F5262" s="1">
        <v>1</v>
      </c>
      <c r="G5262" s="1" t="s">
        <v>305</v>
      </c>
      <c r="H5262" s="4" t="str">
        <f>HYPERLINK("https://www.ncbi.nlm.nih.gov/geo/query/acc.cgi?acc=GSM1220053","GSM1220053")</f>
        <v>GSM1220053</v>
      </c>
      <c r="I5262" t="s">
        <v>82</v>
      </c>
      <c r="J5262" t="s">
        <v>83</v>
      </c>
      <c r="K5262" t="s">
        <v>19</v>
      </c>
      <c r="L5262" t="s">
        <v>27</v>
      </c>
      <c r="M5262" t="s">
        <v>21</v>
      </c>
      <c r="N5262" t="s">
        <v>22</v>
      </c>
    </row>
    <row r="5263" spans="1:14">
      <c r="A5263" s="4" t="str">
        <f t="shared" si="501"/>
        <v>EXP00184</v>
      </c>
      <c r="B5263" s="4" t="str">
        <f t="shared" si="497"/>
        <v>24803579</v>
      </c>
      <c r="C5263" s="4" t="str">
        <f t="shared" si="498"/>
        <v>GSE50493</v>
      </c>
      <c r="D5263" s="1" t="s">
        <v>303</v>
      </c>
      <c r="E5263" t="s">
        <v>84</v>
      </c>
      <c r="F5263" s="1">
        <v>1</v>
      </c>
      <c r="G5263" s="1" t="s">
        <v>305</v>
      </c>
      <c r="H5263" s="4" t="str">
        <f>HYPERLINK("https://www.ncbi.nlm.nih.gov/geo/query/acc.cgi?acc=GSM1220054","GSM1220054")</f>
        <v>GSM1220054</v>
      </c>
      <c r="I5263" t="s">
        <v>82</v>
      </c>
      <c r="J5263" t="s">
        <v>83</v>
      </c>
      <c r="K5263" t="s">
        <v>19</v>
      </c>
      <c r="L5263" t="s">
        <v>27</v>
      </c>
      <c r="M5263" t="s">
        <v>21</v>
      </c>
      <c r="N5263" t="s">
        <v>22</v>
      </c>
    </row>
    <row r="5264" spans="1:14">
      <c r="A5264" s="4" t="str">
        <f t="shared" si="501"/>
        <v>EXP00184</v>
      </c>
      <c r="B5264" s="4" t="str">
        <f t="shared" si="497"/>
        <v>24803579</v>
      </c>
      <c r="C5264" s="4" t="str">
        <f t="shared" si="498"/>
        <v>GSE50493</v>
      </c>
      <c r="D5264" s="1" t="s">
        <v>303</v>
      </c>
      <c r="E5264" t="s">
        <v>84</v>
      </c>
      <c r="F5264" s="1">
        <v>1</v>
      </c>
      <c r="G5264" s="1" t="s">
        <v>305</v>
      </c>
      <c r="H5264" s="4" t="str">
        <f>HYPERLINK("https://www.ncbi.nlm.nih.gov/geo/query/acc.cgi?acc=GSM1220055","GSM1220055")</f>
        <v>GSM1220055</v>
      </c>
      <c r="I5264" t="s">
        <v>82</v>
      </c>
      <c r="J5264" t="s">
        <v>83</v>
      </c>
      <c r="K5264" t="s">
        <v>19</v>
      </c>
      <c r="L5264" t="s">
        <v>27</v>
      </c>
      <c r="M5264" t="s">
        <v>21</v>
      </c>
      <c r="N5264" t="s">
        <v>22</v>
      </c>
    </row>
    <row r="5265" spans="1:14">
      <c r="A5265" s="4" t="str">
        <f t="shared" si="501"/>
        <v>EXP00184</v>
      </c>
      <c r="B5265" s="4" t="str">
        <f t="shared" si="497"/>
        <v>24803579</v>
      </c>
      <c r="C5265" s="4" t="str">
        <f t="shared" si="498"/>
        <v>GSE50493</v>
      </c>
      <c r="D5265" s="1" t="s">
        <v>303</v>
      </c>
      <c r="E5265" t="s">
        <v>84</v>
      </c>
      <c r="F5265" s="1">
        <v>1</v>
      </c>
      <c r="G5265" s="1" t="s">
        <v>305</v>
      </c>
      <c r="H5265" s="4" t="str">
        <f>HYPERLINK("https://www.ncbi.nlm.nih.gov/geo/query/acc.cgi?acc=GSM1220056","GSM1220056")</f>
        <v>GSM1220056</v>
      </c>
      <c r="I5265" t="s">
        <v>82</v>
      </c>
      <c r="J5265" t="s">
        <v>83</v>
      </c>
      <c r="K5265" t="s">
        <v>19</v>
      </c>
      <c r="L5265" t="s">
        <v>27</v>
      </c>
      <c r="M5265" t="s">
        <v>21</v>
      </c>
      <c r="N5265" t="s">
        <v>22</v>
      </c>
    </row>
    <row r="5266" spans="1:14">
      <c r="A5266" s="4" t="str">
        <f t="shared" si="501"/>
        <v>EXP00184</v>
      </c>
      <c r="B5266" s="4" t="str">
        <f t="shared" si="497"/>
        <v>24803579</v>
      </c>
      <c r="C5266" s="4" t="str">
        <f t="shared" si="498"/>
        <v>GSE50493</v>
      </c>
      <c r="D5266" s="1" t="s">
        <v>303</v>
      </c>
      <c r="E5266" t="s">
        <v>84</v>
      </c>
      <c r="F5266" s="1">
        <v>1</v>
      </c>
      <c r="G5266" s="1" t="s">
        <v>305</v>
      </c>
      <c r="H5266" s="4" t="str">
        <f>HYPERLINK("https://www.ncbi.nlm.nih.gov/geo/query/acc.cgi?acc=GSM1220057","GSM1220057")</f>
        <v>GSM1220057</v>
      </c>
      <c r="I5266" t="s">
        <v>82</v>
      </c>
      <c r="J5266" t="s">
        <v>83</v>
      </c>
      <c r="K5266" t="s">
        <v>19</v>
      </c>
      <c r="L5266" t="s">
        <v>27</v>
      </c>
      <c r="M5266" t="s">
        <v>21</v>
      </c>
      <c r="N5266" t="s">
        <v>22</v>
      </c>
    </row>
    <row r="5267" spans="1:14">
      <c r="A5267" s="4" t="str">
        <f t="shared" si="501"/>
        <v>EXP00184</v>
      </c>
      <c r="B5267" s="4" t="str">
        <f t="shared" si="497"/>
        <v>24803579</v>
      </c>
      <c r="C5267" s="4" t="str">
        <f t="shared" si="498"/>
        <v>GSE50493</v>
      </c>
      <c r="D5267" s="1" t="s">
        <v>303</v>
      </c>
      <c r="E5267" t="s">
        <v>84</v>
      </c>
      <c r="F5267" s="1">
        <v>1</v>
      </c>
      <c r="G5267" s="1" t="s">
        <v>305</v>
      </c>
      <c r="H5267" s="4" t="str">
        <f>HYPERLINK("https://www.ncbi.nlm.nih.gov/geo/query/acc.cgi?acc=GSM1220058","GSM1220058")</f>
        <v>GSM1220058</v>
      </c>
      <c r="I5267" t="s">
        <v>82</v>
      </c>
      <c r="J5267" t="s">
        <v>83</v>
      </c>
      <c r="K5267" t="s">
        <v>19</v>
      </c>
      <c r="L5267" t="s">
        <v>27</v>
      </c>
      <c r="M5267" t="s">
        <v>21</v>
      </c>
      <c r="N5267" t="s">
        <v>22</v>
      </c>
    </row>
    <row r="5268" spans="1:14">
      <c r="A5268" s="4" t="str">
        <f t="shared" si="501"/>
        <v>EXP00184</v>
      </c>
      <c r="B5268" s="4" t="str">
        <f t="shared" si="497"/>
        <v>24803579</v>
      </c>
      <c r="C5268" s="4" t="str">
        <f t="shared" si="498"/>
        <v>GSE50493</v>
      </c>
      <c r="D5268" s="1" t="s">
        <v>303</v>
      </c>
      <c r="E5268" t="s">
        <v>84</v>
      </c>
      <c r="F5268" s="1">
        <v>1</v>
      </c>
      <c r="G5268" s="1" t="s">
        <v>305</v>
      </c>
      <c r="H5268" s="4" t="str">
        <f>HYPERLINK("https://www.ncbi.nlm.nih.gov/geo/query/acc.cgi?acc=GSM1220059","GSM1220059")</f>
        <v>GSM1220059</v>
      </c>
      <c r="I5268" t="s">
        <v>82</v>
      </c>
      <c r="J5268" t="s">
        <v>83</v>
      </c>
      <c r="K5268" t="s">
        <v>19</v>
      </c>
      <c r="L5268" t="s">
        <v>27</v>
      </c>
      <c r="M5268" t="s">
        <v>21</v>
      </c>
      <c r="N5268" t="s">
        <v>22</v>
      </c>
    </row>
    <row r="5269" spans="1:14">
      <c r="A5269" s="4" t="str">
        <f t="shared" si="501"/>
        <v>EXP00184</v>
      </c>
      <c r="B5269" s="4" t="str">
        <f t="shared" si="497"/>
        <v>24803579</v>
      </c>
      <c r="C5269" s="4" t="str">
        <f t="shared" si="498"/>
        <v>GSE50493</v>
      </c>
      <c r="D5269" s="1" t="s">
        <v>303</v>
      </c>
      <c r="E5269" t="s">
        <v>84</v>
      </c>
      <c r="F5269" s="1">
        <v>1</v>
      </c>
      <c r="G5269" s="1" t="s">
        <v>305</v>
      </c>
      <c r="H5269" s="4" t="str">
        <f>HYPERLINK("https://www.ncbi.nlm.nih.gov/geo/query/acc.cgi?acc=GSM1220060","GSM1220060")</f>
        <v>GSM1220060</v>
      </c>
      <c r="I5269" t="s">
        <v>82</v>
      </c>
      <c r="J5269" t="s">
        <v>83</v>
      </c>
      <c r="K5269" t="s">
        <v>19</v>
      </c>
      <c r="L5269" t="s">
        <v>27</v>
      </c>
      <c r="M5269" t="s">
        <v>21</v>
      </c>
      <c r="N5269" t="s">
        <v>22</v>
      </c>
    </row>
    <row r="5270" spans="1:14">
      <c r="A5270" s="4" t="str">
        <f t="shared" si="501"/>
        <v>EXP00184</v>
      </c>
      <c r="B5270" s="4" t="str">
        <f t="shared" si="497"/>
        <v>24803579</v>
      </c>
      <c r="C5270" s="4" t="str">
        <f t="shared" si="498"/>
        <v>GSE50493</v>
      </c>
      <c r="D5270" s="1" t="s">
        <v>303</v>
      </c>
      <c r="E5270" t="s">
        <v>84</v>
      </c>
      <c r="F5270" s="1">
        <v>1</v>
      </c>
      <c r="G5270" s="1" t="s">
        <v>305</v>
      </c>
      <c r="H5270" s="4" t="str">
        <f>HYPERLINK("https://www.ncbi.nlm.nih.gov/geo/query/acc.cgi?acc=GSM1220061","GSM1220061")</f>
        <v>GSM1220061</v>
      </c>
      <c r="I5270" t="s">
        <v>82</v>
      </c>
      <c r="J5270" t="s">
        <v>83</v>
      </c>
      <c r="K5270" t="s">
        <v>19</v>
      </c>
      <c r="L5270" t="s">
        <v>27</v>
      </c>
      <c r="M5270" t="s">
        <v>21</v>
      </c>
      <c r="N5270" t="s">
        <v>22</v>
      </c>
    </row>
    <row r="5271" spans="1:14">
      <c r="A5271" s="4" t="str">
        <f t="shared" si="501"/>
        <v>EXP00184</v>
      </c>
      <c r="B5271" s="4" t="str">
        <f t="shared" si="497"/>
        <v>24803579</v>
      </c>
      <c r="C5271" s="4" t="str">
        <f t="shared" si="498"/>
        <v>GSE50493</v>
      </c>
      <c r="D5271" s="1" t="s">
        <v>303</v>
      </c>
      <c r="E5271" t="s">
        <v>84</v>
      </c>
      <c r="F5271" s="1">
        <v>1</v>
      </c>
      <c r="G5271" s="1" t="s">
        <v>305</v>
      </c>
      <c r="H5271" s="4" t="str">
        <f>HYPERLINK("https://www.ncbi.nlm.nih.gov/geo/query/acc.cgi?acc=GSM1220062","GSM1220062")</f>
        <v>GSM1220062</v>
      </c>
      <c r="I5271" t="s">
        <v>82</v>
      </c>
      <c r="J5271" t="s">
        <v>83</v>
      </c>
      <c r="K5271" t="s">
        <v>19</v>
      </c>
      <c r="L5271" t="s">
        <v>27</v>
      </c>
      <c r="M5271" t="s">
        <v>21</v>
      </c>
      <c r="N5271" t="s">
        <v>22</v>
      </c>
    </row>
    <row r="5272" spans="1:14">
      <c r="A5272" s="4" t="str">
        <f t="shared" si="501"/>
        <v>EXP00184</v>
      </c>
      <c r="B5272" s="4" t="str">
        <f t="shared" si="497"/>
        <v>24803579</v>
      </c>
      <c r="C5272" s="4" t="str">
        <f t="shared" si="498"/>
        <v>GSE50493</v>
      </c>
      <c r="D5272" s="1" t="s">
        <v>303</v>
      </c>
      <c r="E5272" t="s">
        <v>84</v>
      </c>
      <c r="F5272" s="1">
        <v>1</v>
      </c>
      <c r="G5272" s="1" t="s">
        <v>305</v>
      </c>
      <c r="H5272" s="4" t="str">
        <f>HYPERLINK("https://www.ncbi.nlm.nih.gov/geo/query/acc.cgi?acc=GSM1220063","GSM1220063")</f>
        <v>GSM1220063</v>
      </c>
      <c r="I5272" t="s">
        <v>82</v>
      </c>
      <c r="J5272" t="s">
        <v>83</v>
      </c>
      <c r="K5272" t="s">
        <v>19</v>
      </c>
      <c r="L5272" t="s">
        <v>27</v>
      </c>
      <c r="M5272" t="s">
        <v>21</v>
      </c>
      <c r="N5272" t="s">
        <v>22</v>
      </c>
    </row>
    <row r="5273" spans="1:14">
      <c r="A5273" s="4" t="str">
        <f t="shared" si="501"/>
        <v>EXP00184</v>
      </c>
      <c r="B5273" s="4" t="str">
        <f t="shared" si="497"/>
        <v>24803579</v>
      </c>
      <c r="C5273" s="4" t="str">
        <f t="shared" si="498"/>
        <v>GSE50493</v>
      </c>
      <c r="D5273" s="1" t="s">
        <v>303</v>
      </c>
      <c r="E5273" t="s">
        <v>84</v>
      </c>
      <c r="F5273" s="1">
        <v>2</v>
      </c>
      <c r="G5273" s="1" t="s">
        <v>306</v>
      </c>
      <c r="H5273" s="4" t="str">
        <f>HYPERLINK("https://www.ncbi.nlm.nih.gov/geo/query/acc.cgi?acc=GSM1220074","GSM1220074")</f>
        <v>GSM1220074</v>
      </c>
      <c r="I5273" t="s">
        <v>82</v>
      </c>
      <c r="J5273" t="s">
        <v>83</v>
      </c>
      <c r="K5273" t="s">
        <v>19</v>
      </c>
      <c r="L5273" t="s">
        <v>27</v>
      </c>
      <c r="M5273" t="s">
        <v>41</v>
      </c>
      <c r="N5273" t="s">
        <v>22</v>
      </c>
    </row>
    <row r="5274" spans="1:14">
      <c r="A5274" s="4" t="str">
        <f t="shared" si="501"/>
        <v>EXP00184</v>
      </c>
      <c r="B5274" s="4" t="str">
        <f t="shared" si="497"/>
        <v>24803579</v>
      </c>
      <c r="C5274" s="4" t="str">
        <f t="shared" si="498"/>
        <v>GSE50493</v>
      </c>
      <c r="D5274" s="1" t="s">
        <v>303</v>
      </c>
      <c r="E5274" t="s">
        <v>84</v>
      </c>
      <c r="F5274" s="1">
        <v>2</v>
      </c>
      <c r="G5274" s="1" t="s">
        <v>306</v>
      </c>
      <c r="H5274" s="4" t="str">
        <f>HYPERLINK("https://www.ncbi.nlm.nih.gov/geo/query/acc.cgi?acc=GSM1220075","GSM1220075")</f>
        <v>GSM1220075</v>
      </c>
      <c r="I5274" t="s">
        <v>82</v>
      </c>
      <c r="J5274" t="s">
        <v>83</v>
      </c>
      <c r="K5274" t="s">
        <v>19</v>
      </c>
      <c r="L5274" t="s">
        <v>27</v>
      </c>
      <c r="M5274" t="s">
        <v>41</v>
      </c>
      <c r="N5274" t="s">
        <v>22</v>
      </c>
    </row>
    <row r="5275" spans="1:14">
      <c r="A5275" s="4" t="str">
        <f t="shared" si="501"/>
        <v>EXP00184</v>
      </c>
      <c r="B5275" s="4" t="str">
        <f t="shared" si="497"/>
        <v>24803579</v>
      </c>
      <c r="C5275" s="4" t="str">
        <f t="shared" si="498"/>
        <v>GSE50493</v>
      </c>
      <c r="D5275" s="1" t="s">
        <v>303</v>
      </c>
      <c r="E5275" t="s">
        <v>84</v>
      </c>
      <c r="F5275" s="1">
        <v>2</v>
      </c>
      <c r="G5275" s="1" t="s">
        <v>306</v>
      </c>
      <c r="H5275" s="4" t="str">
        <f>HYPERLINK("https://www.ncbi.nlm.nih.gov/geo/query/acc.cgi?acc=GSM1220076","GSM1220076")</f>
        <v>GSM1220076</v>
      </c>
      <c r="I5275" t="s">
        <v>82</v>
      </c>
      <c r="J5275" t="s">
        <v>83</v>
      </c>
      <c r="K5275" t="s">
        <v>19</v>
      </c>
      <c r="L5275" t="s">
        <v>27</v>
      </c>
      <c r="M5275" t="s">
        <v>41</v>
      </c>
      <c r="N5275" t="s">
        <v>22</v>
      </c>
    </row>
    <row r="5276" spans="1:14">
      <c r="A5276" s="4" t="str">
        <f t="shared" si="501"/>
        <v>EXP00184</v>
      </c>
      <c r="B5276" s="4" t="str">
        <f t="shared" si="497"/>
        <v>24803579</v>
      </c>
      <c r="C5276" s="4" t="str">
        <f t="shared" si="498"/>
        <v>GSE50493</v>
      </c>
      <c r="D5276" s="1" t="s">
        <v>303</v>
      </c>
      <c r="E5276" t="s">
        <v>84</v>
      </c>
      <c r="F5276" s="1">
        <v>2</v>
      </c>
      <c r="G5276" s="1" t="s">
        <v>306</v>
      </c>
      <c r="H5276" s="4" t="str">
        <f>HYPERLINK("https://www.ncbi.nlm.nih.gov/geo/query/acc.cgi?acc=GSM1220083","GSM1220083")</f>
        <v>GSM1220083</v>
      </c>
      <c r="I5276" t="s">
        <v>82</v>
      </c>
      <c r="J5276" t="s">
        <v>83</v>
      </c>
      <c r="K5276" t="s">
        <v>19</v>
      </c>
      <c r="L5276" t="s">
        <v>27</v>
      </c>
      <c r="M5276" t="s">
        <v>41</v>
      </c>
      <c r="N5276" t="s">
        <v>22</v>
      </c>
    </row>
    <row r="5277" spans="1:14">
      <c r="A5277" s="4" t="str">
        <f t="shared" si="501"/>
        <v>EXP00184</v>
      </c>
      <c r="B5277" s="4" t="str">
        <f t="shared" si="497"/>
        <v>24803579</v>
      </c>
      <c r="C5277" s="4" t="str">
        <f t="shared" si="498"/>
        <v>GSE50493</v>
      </c>
      <c r="D5277" s="1" t="s">
        <v>303</v>
      </c>
      <c r="E5277" t="s">
        <v>84</v>
      </c>
      <c r="F5277" s="1">
        <v>2</v>
      </c>
      <c r="G5277" s="1" t="s">
        <v>306</v>
      </c>
      <c r="H5277" s="4" t="str">
        <f>HYPERLINK("https://www.ncbi.nlm.nih.gov/geo/query/acc.cgi?acc=GSM1220103","GSM1220103")</f>
        <v>GSM1220103</v>
      </c>
      <c r="I5277" t="s">
        <v>82</v>
      </c>
      <c r="J5277" t="s">
        <v>83</v>
      </c>
      <c r="K5277" t="s">
        <v>19</v>
      </c>
      <c r="L5277" t="s">
        <v>27</v>
      </c>
      <c r="M5277" t="s">
        <v>41</v>
      </c>
      <c r="N5277" t="s">
        <v>22</v>
      </c>
    </row>
    <row r="5278" spans="1:14">
      <c r="A5278" s="4" t="str">
        <f t="shared" si="501"/>
        <v>EXP00184</v>
      </c>
      <c r="B5278" s="4" t="str">
        <f t="shared" si="497"/>
        <v>24803579</v>
      </c>
      <c r="C5278" s="4" t="str">
        <f t="shared" si="498"/>
        <v>GSE50493</v>
      </c>
      <c r="D5278" s="1" t="s">
        <v>303</v>
      </c>
      <c r="E5278" t="s">
        <v>84</v>
      </c>
      <c r="F5278" s="1">
        <v>2</v>
      </c>
      <c r="G5278" s="1" t="s">
        <v>306</v>
      </c>
      <c r="H5278" s="4" t="str">
        <f>HYPERLINK("https://www.ncbi.nlm.nih.gov/geo/query/acc.cgi?acc=GSM1220105","GSM1220105")</f>
        <v>GSM1220105</v>
      </c>
      <c r="I5278" t="s">
        <v>82</v>
      </c>
      <c r="J5278" t="s">
        <v>83</v>
      </c>
      <c r="K5278" t="s">
        <v>19</v>
      </c>
      <c r="L5278" t="s">
        <v>27</v>
      </c>
      <c r="M5278" t="s">
        <v>41</v>
      </c>
      <c r="N5278" t="s">
        <v>22</v>
      </c>
    </row>
    <row r="5279" spans="1:14">
      <c r="A5279" s="4" t="str">
        <f t="shared" ref="A5279:A5321" si="502">HYPERLINK("http://hcmdb.i-sanger.com/experiment/details/experiment_id/EXP00185","EXP00185")</f>
        <v>EXP00185</v>
      </c>
      <c r="B5279" s="4" t="str">
        <f t="shared" si="497"/>
        <v>24803579</v>
      </c>
      <c r="C5279" s="4" t="str">
        <f t="shared" si="498"/>
        <v>GSE50493</v>
      </c>
      <c r="D5279" s="1" t="s">
        <v>303</v>
      </c>
      <c r="E5279" t="s">
        <v>84</v>
      </c>
      <c r="F5279" s="1">
        <v>1</v>
      </c>
      <c r="G5279" s="1" t="s">
        <v>305</v>
      </c>
      <c r="H5279" s="4" t="str">
        <f>HYPERLINK("https://www.ncbi.nlm.nih.gov/geo/query/acc.cgi?acc=GSM1220035","GSM1220035")</f>
        <v>GSM1220035</v>
      </c>
      <c r="I5279" t="s">
        <v>82</v>
      </c>
      <c r="J5279" t="s">
        <v>83</v>
      </c>
      <c r="K5279" t="s">
        <v>19</v>
      </c>
      <c r="L5279" t="s">
        <v>27</v>
      </c>
      <c r="M5279" t="s">
        <v>21</v>
      </c>
      <c r="N5279" t="s">
        <v>22</v>
      </c>
    </row>
    <row r="5280" spans="1:14">
      <c r="A5280" s="4" t="str">
        <f t="shared" si="502"/>
        <v>EXP00185</v>
      </c>
      <c r="B5280" s="4" t="str">
        <f t="shared" si="497"/>
        <v>24803579</v>
      </c>
      <c r="C5280" s="4" t="str">
        <f t="shared" si="498"/>
        <v>GSE50493</v>
      </c>
      <c r="D5280" s="1" t="s">
        <v>303</v>
      </c>
      <c r="E5280" t="s">
        <v>84</v>
      </c>
      <c r="F5280" s="1">
        <v>1</v>
      </c>
      <c r="G5280" s="1" t="s">
        <v>305</v>
      </c>
      <c r="H5280" s="4" t="str">
        <f>HYPERLINK("https://www.ncbi.nlm.nih.gov/geo/query/acc.cgi?acc=GSM1220036","GSM1220036")</f>
        <v>GSM1220036</v>
      </c>
      <c r="I5280" t="s">
        <v>82</v>
      </c>
      <c r="J5280" t="s">
        <v>83</v>
      </c>
      <c r="K5280" t="s">
        <v>19</v>
      </c>
      <c r="L5280" t="s">
        <v>27</v>
      </c>
      <c r="M5280" t="s">
        <v>21</v>
      </c>
      <c r="N5280" t="s">
        <v>22</v>
      </c>
    </row>
    <row r="5281" spans="1:14">
      <c r="A5281" s="4" t="str">
        <f t="shared" si="502"/>
        <v>EXP00185</v>
      </c>
      <c r="B5281" s="4" t="str">
        <f t="shared" si="497"/>
        <v>24803579</v>
      </c>
      <c r="C5281" s="4" t="str">
        <f t="shared" si="498"/>
        <v>GSE50493</v>
      </c>
      <c r="D5281" s="1" t="s">
        <v>303</v>
      </c>
      <c r="E5281" t="s">
        <v>84</v>
      </c>
      <c r="F5281" s="1">
        <v>1</v>
      </c>
      <c r="G5281" s="1" t="s">
        <v>305</v>
      </c>
      <c r="H5281" s="4" t="str">
        <f>HYPERLINK("https://www.ncbi.nlm.nih.gov/geo/query/acc.cgi?acc=GSM1220037","GSM1220037")</f>
        <v>GSM1220037</v>
      </c>
      <c r="I5281" t="s">
        <v>82</v>
      </c>
      <c r="J5281" t="s">
        <v>83</v>
      </c>
      <c r="K5281" t="s">
        <v>19</v>
      </c>
      <c r="L5281" t="s">
        <v>27</v>
      </c>
      <c r="M5281" t="s">
        <v>21</v>
      </c>
      <c r="N5281" t="s">
        <v>22</v>
      </c>
    </row>
    <row r="5282" spans="1:14">
      <c r="A5282" s="4" t="str">
        <f t="shared" si="502"/>
        <v>EXP00185</v>
      </c>
      <c r="B5282" s="4" t="str">
        <f t="shared" si="497"/>
        <v>24803579</v>
      </c>
      <c r="C5282" s="4" t="str">
        <f t="shared" si="498"/>
        <v>GSE50493</v>
      </c>
      <c r="D5282" s="1" t="s">
        <v>303</v>
      </c>
      <c r="E5282" t="s">
        <v>84</v>
      </c>
      <c r="F5282" s="1">
        <v>1</v>
      </c>
      <c r="G5282" s="1" t="s">
        <v>305</v>
      </c>
      <c r="H5282" s="4" t="str">
        <f>HYPERLINK("https://www.ncbi.nlm.nih.gov/geo/query/acc.cgi?acc=GSM1220038","GSM1220038")</f>
        <v>GSM1220038</v>
      </c>
      <c r="I5282" t="s">
        <v>82</v>
      </c>
      <c r="J5282" t="s">
        <v>83</v>
      </c>
      <c r="K5282" t="s">
        <v>19</v>
      </c>
      <c r="L5282" t="s">
        <v>27</v>
      </c>
      <c r="M5282" t="s">
        <v>21</v>
      </c>
      <c r="N5282" t="s">
        <v>22</v>
      </c>
    </row>
    <row r="5283" spans="1:14">
      <c r="A5283" s="4" t="str">
        <f t="shared" si="502"/>
        <v>EXP00185</v>
      </c>
      <c r="B5283" s="4" t="str">
        <f t="shared" si="497"/>
        <v>24803579</v>
      </c>
      <c r="C5283" s="4" t="str">
        <f t="shared" si="498"/>
        <v>GSE50493</v>
      </c>
      <c r="D5283" s="1" t="s">
        <v>303</v>
      </c>
      <c r="E5283" t="s">
        <v>84</v>
      </c>
      <c r="F5283" s="1">
        <v>1</v>
      </c>
      <c r="G5283" s="1" t="s">
        <v>305</v>
      </c>
      <c r="H5283" s="4" t="str">
        <f>HYPERLINK("https://www.ncbi.nlm.nih.gov/geo/query/acc.cgi?acc=GSM1220039","GSM1220039")</f>
        <v>GSM1220039</v>
      </c>
      <c r="I5283" t="s">
        <v>82</v>
      </c>
      <c r="J5283" t="s">
        <v>83</v>
      </c>
      <c r="K5283" t="s">
        <v>19</v>
      </c>
      <c r="L5283" t="s">
        <v>27</v>
      </c>
      <c r="M5283" t="s">
        <v>21</v>
      </c>
      <c r="N5283" t="s">
        <v>22</v>
      </c>
    </row>
    <row r="5284" spans="1:14">
      <c r="A5284" s="4" t="str">
        <f t="shared" si="502"/>
        <v>EXP00185</v>
      </c>
      <c r="B5284" s="4" t="str">
        <f t="shared" si="497"/>
        <v>24803579</v>
      </c>
      <c r="C5284" s="4" t="str">
        <f t="shared" si="498"/>
        <v>GSE50493</v>
      </c>
      <c r="D5284" s="1" t="s">
        <v>303</v>
      </c>
      <c r="E5284" t="s">
        <v>84</v>
      </c>
      <c r="F5284" s="1">
        <v>1</v>
      </c>
      <c r="G5284" s="1" t="s">
        <v>305</v>
      </c>
      <c r="H5284" s="4" t="str">
        <f>HYPERLINK("https://www.ncbi.nlm.nih.gov/geo/query/acc.cgi?acc=GSM1220040","GSM1220040")</f>
        <v>GSM1220040</v>
      </c>
      <c r="I5284" t="s">
        <v>82</v>
      </c>
      <c r="J5284" t="s">
        <v>83</v>
      </c>
      <c r="K5284" t="s">
        <v>19</v>
      </c>
      <c r="L5284" t="s">
        <v>27</v>
      </c>
      <c r="M5284" t="s">
        <v>21</v>
      </c>
      <c r="N5284" t="s">
        <v>22</v>
      </c>
    </row>
    <row r="5285" spans="1:14">
      <c r="A5285" s="4" t="str">
        <f t="shared" si="502"/>
        <v>EXP00185</v>
      </c>
      <c r="B5285" s="4" t="str">
        <f t="shared" si="497"/>
        <v>24803579</v>
      </c>
      <c r="C5285" s="4" t="str">
        <f t="shared" si="498"/>
        <v>GSE50493</v>
      </c>
      <c r="D5285" s="1" t="s">
        <v>303</v>
      </c>
      <c r="E5285" t="s">
        <v>84</v>
      </c>
      <c r="F5285" s="1">
        <v>1</v>
      </c>
      <c r="G5285" s="1" t="s">
        <v>305</v>
      </c>
      <c r="H5285" s="4" t="str">
        <f>HYPERLINK("https://www.ncbi.nlm.nih.gov/geo/query/acc.cgi?acc=GSM1220041","GSM1220041")</f>
        <v>GSM1220041</v>
      </c>
      <c r="I5285" t="s">
        <v>82</v>
      </c>
      <c r="J5285" t="s">
        <v>83</v>
      </c>
      <c r="K5285" t="s">
        <v>19</v>
      </c>
      <c r="L5285" t="s">
        <v>27</v>
      </c>
      <c r="M5285" t="s">
        <v>21</v>
      </c>
      <c r="N5285" t="s">
        <v>22</v>
      </c>
    </row>
    <row r="5286" spans="1:14">
      <c r="A5286" s="4" t="str">
        <f t="shared" si="502"/>
        <v>EXP00185</v>
      </c>
      <c r="B5286" s="4" t="str">
        <f t="shared" si="497"/>
        <v>24803579</v>
      </c>
      <c r="C5286" s="4" t="str">
        <f t="shared" si="498"/>
        <v>GSE50493</v>
      </c>
      <c r="D5286" s="1" t="s">
        <v>303</v>
      </c>
      <c r="E5286" t="s">
        <v>84</v>
      </c>
      <c r="F5286" s="1">
        <v>1</v>
      </c>
      <c r="G5286" s="1" t="s">
        <v>305</v>
      </c>
      <c r="H5286" s="4" t="str">
        <f>HYPERLINK("https://www.ncbi.nlm.nih.gov/geo/query/acc.cgi?acc=GSM1220042","GSM1220042")</f>
        <v>GSM1220042</v>
      </c>
      <c r="I5286" t="s">
        <v>82</v>
      </c>
      <c r="J5286" t="s">
        <v>83</v>
      </c>
      <c r="K5286" t="s">
        <v>19</v>
      </c>
      <c r="L5286" t="s">
        <v>27</v>
      </c>
      <c r="M5286" t="s">
        <v>21</v>
      </c>
      <c r="N5286" t="s">
        <v>22</v>
      </c>
    </row>
    <row r="5287" spans="1:14">
      <c r="A5287" s="4" t="str">
        <f t="shared" si="502"/>
        <v>EXP00185</v>
      </c>
      <c r="B5287" s="4" t="str">
        <f t="shared" si="497"/>
        <v>24803579</v>
      </c>
      <c r="C5287" s="4" t="str">
        <f t="shared" si="498"/>
        <v>GSE50493</v>
      </c>
      <c r="D5287" s="1" t="s">
        <v>303</v>
      </c>
      <c r="E5287" t="s">
        <v>84</v>
      </c>
      <c r="F5287" s="1">
        <v>1</v>
      </c>
      <c r="G5287" s="1" t="s">
        <v>305</v>
      </c>
      <c r="H5287" s="4" t="str">
        <f>HYPERLINK("https://www.ncbi.nlm.nih.gov/geo/query/acc.cgi?acc=GSM1220043","GSM1220043")</f>
        <v>GSM1220043</v>
      </c>
      <c r="I5287" t="s">
        <v>82</v>
      </c>
      <c r="J5287" t="s">
        <v>83</v>
      </c>
      <c r="K5287" t="s">
        <v>19</v>
      </c>
      <c r="L5287" t="s">
        <v>27</v>
      </c>
      <c r="M5287" t="s">
        <v>21</v>
      </c>
      <c r="N5287" t="s">
        <v>22</v>
      </c>
    </row>
    <row r="5288" spans="1:14">
      <c r="A5288" s="4" t="str">
        <f t="shared" si="502"/>
        <v>EXP00185</v>
      </c>
      <c r="B5288" s="4" t="str">
        <f t="shared" si="497"/>
        <v>24803579</v>
      </c>
      <c r="C5288" s="4" t="str">
        <f t="shared" si="498"/>
        <v>GSE50493</v>
      </c>
      <c r="D5288" s="1" t="s">
        <v>303</v>
      </c>
      <c r="E5288" t="s">
        <v>84</v>
      </c>
      <c r="F5288" s="1">
        <v>1</v>
      </c>
      <c r="G5288" s="1" t="s">
        <v>305</v>
      </c>
      <c r="H5288" s="4" t="str">
        <f>HYPERLINK("https://www.ncbi.nlm.nih.gov/geo/query/acc.cgi?acc=GSM1220044","GSM1220044")</f>
        <v>GSM1220044</v>
      </c>
      <c r="I5288" t="s">
        <v>82</v>
      </c>
      <c r="J5288" t="s">
        <v>83</v>
      </c>
      <c r="K5288" t="s">
        <v>19</v>
      </c>
      <c r="L5288" t="s">
        <v>27</v>
      </c>
      <c r="M5288" t="s">
        <v>21</v>
      </c>
      <c r="N5288" t="s">
        <v>22</v>
      </c>
    </row>
    <row r="5289" spans="1:14">
      <c r="A5289" s="4" t="str">
        <f t="shared" si="502"/>
        <v>EXP00185</v>
      </c>
      <c r="B5289" s="4" t="str">
        <f t="shared" ref="B5289:B5352" si="503">HYPERLINK("https://www.ncbi.nlm.nih.gov/pubmed/24803579","24803579")</f>
        <v>24803579</v>
      </c>
      <c r="C5289" s="4" t="str">
        <f t="shared" ref="C5289:C5352" si="504">HYPERLINK("https://www.ncbi.nlm.nih.gov/geo/query/acc.cgi?acc=GSE50493","GSE50493")</f>
        <v>GSE50493</v>
      </c>
      <c r="D5289" s="1" t="s">
        <v>303</v>
      </c>
      <c r="E5289" t="s">
        <v>84</v>
      </c>
      <c r="F5289" s="1">
        <v>1</v>
      </c>
      <c r="G5289" s="1" t="s">
        <v>305</v>
      </c>
      <c r="H5289" s="4" t="str">
        <f>HYPERLINK("https://www.ncbi.nlm.nih.gov/geo/query/acc.cgi?acc=GSM1220045","GSM1220045")</f>
        <v>GSM1220045</v>
      </c>
      <c r="I5289" t="s">
        <v>82</v>
      </c>
      <c r="J5289" t="s">
        <v>83</v>
      </c>
      <c r="K5289" t="s">
        <v>19</v>
      </c>
      <c r="L5289" t="s">
        <v>27</v>
      </c>
      <c r="M5289" t="s">
        <v>21</v>
      </c>
      <c r="N5289" t="s">
        <v>22</v>
      </c>
    </row>
    <row r="5290" spans="1:14">
      <c r="A5290" s="4" t="str">
        <f t="shared" si="502"/>
        <v>EXP00185</v>
      </c>
      <c r="B5290" s="4" t="str">
        <f t="shared" si="503"/>
        <v>24803579</v>
      </c>
      <c r="C5290" s="4" t="str">
        <f t="shared" si="504"/>
        <v>GSE50493</v>
      </c>
      <c r="D5290" s="1" t="s">
        <v>303</v>
      </c>
      <c r="E5290" t="s">
        <v>84</v>
      </c>
      <c r="F5290" s="1">
        <v>1</v>
      </c>
      <c r="G5290" s="1" t="s">
        <v>305</v>
      </c>
      <c r="H5290" s="4" t="str">
        <f>HYPERLINK("https://www.ncbi.nlm.nih.gov/geo/query/acc.cgi?acc=GSM1220046","GSM1220046")</f>
        <v>GSM1220046</v>
      </c>
      <c r="I5290" t="s">
        <v>82</v>
      </c>
      <c r="J5290" t="s">
        <v>83</v>
      </c>
      <c r="K5290" t="s">
        <v>19</v>
      </c>
      <c r="L5290" t="s">
        <v>27</v>
      </c>
      <c r="M5290" t="s">
        <v>21</v>
      </c>
      <c r="N5290" t="s">
        <v>22</v>
      </c>
    </row>
    <row r="5291" spans="1:14">
      <c r="A5291" s="4" t="str">
        <f t="shared" si="502"/>
        <v>EXP00185</v>
      </c>
      <c r="B5291" s="4" t="str">
        <f t="shared" si="503"/>
        <v>24803579</v>
      </c>
      <c r="C5291" s="4" t="str">
        <f t="shared" si="504"/>
        <v>GSE50493</v>
      </c>
      <c r="D5291" s="1" t="s">
        <v>303</v>
      </c>
      <c r="E5291" t="s">
        <v>84</v>
      </c>
      <c r="F5291" s="1">
        <v>1</v>
      </c>
      <c r="G5291" s="1" t="s">
        <v>305</v>
      </c>
      <c r="H5291" s="4" t="str">
        <f>HYPERLINK("https://www.ncbi.nlm.nih.gov/geo/query/acc.cgi?acc=GSM1220047","GSM1220047")</f>
        <v>GSM1220047</v>
      </c>
      <c r="I5291" t="s">
        <v>82</v>
      </c>
      <c r="J5291" t="s">
        <v>83</v>
      </c>
      <c r="K5291" t="s">
        <v>19</v>
      </c>
      <c r="L5291" t="s">
        <v>27</v>
      </c>
      <c r="M5291" t="s">
        <v>21</v>
      </c>
      <c r="N5291" t="s">
        <v>22</v>
      </c>
    </row>
    <row r="5292" spans="1:14">
      <c r="A5292" s="4" t="str">
        <f t="shared" si="502"/>
        <v>EXP00185</v>
      </c>
      <c r="B5292" s="4" t="str">
        <f t="shared" si="503"/>
        <v>24803579</v>
      </c>
      <c r="C5292" s="4" t="str">
        <f t="shared" si="504"/>
        <v>GSE50493</v>
      </c>
      <c r="D5292" s="1" t="s">
        <v>303</v>
      </c>
      <c r="E5292" t="s">
        <v>84</v>
      </c>
      <c r="F5292" s="1">
        <v>1</v>
      </c>
      <c r="G5292" s="1" t="s">
        <v>305</v>
      </c>
      <c r="H5292" s="4" t="str">
        <f>HYPERLINK("https://www.ncbi.nlm.nih.gov/geo/query/acc.cgi?acc=GSM1220048","GSM1220048")</f>
        <v>GSM1220048</v>
      </c>
      <c r="I5292" t="s">
        <v>82</v>
      </c>
      <c r="J5292" t="s">
        <v>83</v>
      </c>
      <c r="K5292" t="s">
        <v>19</v>
      </c>
      <c r="L5292" t="s">
        <v>27</v>
      </c>
      <c r="M5292" t="s">
        <v>21</v>
      </c>
      <c r="N5292" t="s">
        <v>22</v>
      </c>
    </row>
    <row r="5293" spans="1:14">
      <c r="A5293" s="4" t="str">
        <f t="shared" si="502"/>
        <v>EXP00185</v>
      </c>
      <c r="B5293" s="4" t="str">
        <f t="shared" si="503"/>
        <v>24803579</v>
      </c>
      <c r="C5293" s="4" t="str">
        <f t="shared" si="504"/>
        <v>GSE50493</v>
      </c>
      <c r="D5293" s="1" t="s">
        <v>303</v>
      </c>
      <c r="E5293" t="s">
        <v>84</v>
      </c>
      <c r="F5293" s="1">
        <v>1</v>
      </c>
      <c r="G5293" s="1" t="s">
        <v>305</v>
      </c>
      <c r="H5293" s="4" t="str">
        <f>HYPERLINK("https://www.ncbi.nlm.nih.gov/geo/query/acc.cgi?acc=GSM1220049","GSM1220049")</f>
        <v>GSM1220049</v>
      </c>
      <c r="I5293" t="s">
        <v>82</v>
      </c>
      <c r="J5293" t="s">
        <v>83</v>
      </c>
      <c r="K5293" t="s">
        <v>19</v>
      </c>
      <c r="L5293" t="s">
        <v>27</v>
      </c>
      <c r="M5293" t="s">
        <v>21</v>
      </c>
      <c r="N5293" t="s">
        <v>22</v>
      </c>
    </row>
    <row r="5294" spans="1:14">
      <c r="A5294" s="4" t="str">
        <f t="shared" si="502"/>
        <v>EXP00185</v>
      </c>
      <c r="B5294" s="4" t="str">
        <f t="shared" si="503"/>
        <v>24803579</v>
      </c>
      <c r="C5294" s="4" t="str">
        <f t="shared" si="504"/>
        <v>GSE50493</v>
      </c>
      <c r="D5294" s="1" t="s">
        <v>303</v>
      </c>
      <c r="E5294" t="s">
        <v>84</v>
      </c>
      <c r="F5294" s="1">
        <v>1</v>
      </c>
      <c r="G5294" s="1" t="s">
        <v>305</v>
      </c>
      <c r="H5294" s="4" t="str">
        <f>HYPERLINK("https://www.ncbi.nlm.nih.gov/geo/query/acc.cgi?acc=GSM1220050","GSM1220050")</f>
        <v>GSM1220050</v>
      </c>
      <c r="I5294" t="s">
        <v>82</v>
      </c>
      <c r="J5294" t="s">
        <v>83</v>
      </c>
      <c r="K5294" t="s">
        <v>19</v>
      </c>
      <c r="L5294" t="s">
        <v>27</v>
      </c>
      <c r="M5294" t="s">
        <v>21</v>
      </c>
      <c r="N5294" t="s">
        <v>22</v>
      </c>
    </row>
    <row r="5295" spans="1:14">
      <c r="A5295" s="4" t="str">
        <f t="shared" si="502"/>
        <v>EXP00185</v>
      </c>
      <c r="B5295" s="4" t="str">
        <f t="shared" si="503"/>
        <v>24803579</v>
      </c>
      <c r="C5295" s="4" t="str">
        <f t="shared" si="504"/>
        <v>GSE50493</v>
      </c>
      <c r="D5295" s="1" t="s">
        <v>303</v>
      </c>
      <c r="E5295" t="s">
        <v>84</v>
      </c>
      <c r="F5295" s="1">
        <v>1</v>
      </c>
      <c r="G5295" s="1" t="s">
        <v>305</v>
      </c>
      <c r="H5295" s="4" t="str">
        <f>HYPERLINK("https://www.ncbi.nlm.nih.gov/geo/query/acc.cgi?acc=GSM1220051","GSM1220051")</f>
        <v>GSM1220051</v>
      </c>
      <c r="I5295" t="s">
        <v>82</v>
      </c>
      <c r="J5295" t="s">
        <v>83</v>
      </c>
      <c r="K5295" t="s">
        <v>19</v>
      </c>
      <c r="L5295" t="s">
        <v>27</v>
      </c>
      <c r="M5295" t="s">
        <v>21</v>
      </c>
      <c r="N5295" t="s">
        <v>22</v>
      </c>
    </row>
    <row r="5296" spans="1:14">
      <c r="A5296" s="4" t="str">
        <f t="shared" si="502"/>
        <v>EXP00185</v>
      </c>
      <c r="B5296" s="4" t="str">
        <f t="shared" si="503"/>
        <v>24803579</v>
      </c>
      <c r="C5296" s="4" t="str">
        <f t="shared" si="504"/>
        <v>GSE50493</v>
      </c>
      <c r="D5296" s="1" t="s">
        <v>303</v>
      </c>
      <c r="E5296" t="s">
        <v>84</v>
      </c>
      <c r="F5296" s="1">
        <v>1</v>
      </c>
      <c r="G5296" s="1" t="s">
        <v>305</v>
      </c>
      <c r="H5296" s="4" t="str">
        <f>HYPERLINK("https://www.ncbi.nlm.nih.gov/geo/query/acc.cgi?acc=GSM1220052","GSM1220052")</f>
        <v>GSM1220052</v>
      </c>
      <c r="I5296" t="s">
        <v>82</v>
      </c>
      <c r="J5296" t="s">
        <v>83</v>
      </c>
      <c r="K5296" t="s">
        <v>19</v>
      </c>
      <c r="L5296" t="s">
        <v>27</v>
      </c>
      <c r="M5296" t="s">
        <v>21</v>
      </c>
      <c r="N5296" t="s">
        <v>22</v>
      </c>
    </row>
    <row r="5297" spans="1:14">
      <c r="A5297" s="4" t="str">
        <f t="shared" si="502"/>
        <v>EXP00185</v>
      </c>
      <c r="B5297" s="4" t="str">
        <f t="shared" si="503"/>
        <v>24803579</v>
      </c>
      <c r="C5297" s="4" t="str">
        <f t="shared" si="504"/>
        <v>GSE50493</v>
      </c>
      <c r="D5297" s="1" t="s">
        <v>303</v>
      </c>
      <c r="E5297" t="s">
        <v>84</v>
      </c>
      <c r="F5297" s="1">
        <v>1</v>
      </c>
      <c r="G5297" s="1" t="s">
        <v>305</v>
      </c>
      <c r="H5297" s="4" t="str">
        <f>HYPERLINK("https://www.ncbi.nlm.nih.gov/geo/query/acc.cgi?acc=GSM1220053","GSM1220053")</f>
        <v>GSM1220053</v>
      </c>
      <c r="I5297" t="s">
        <v>82</v>
      </c>
      <c r="J5297" t="s">
        <v>83</v>
      </c>
      <c r="K5297" t="s">
        <v>19</v>
      </c>
      <c r="L5297" t="s">
        <v>27</v>
      </c>
      <c r="M5297" t="s">
        <v>21</v>
      </c>
      <c r="N5297" t="s">
        <v>22</v>
      </c>
    </row>
    <row r="5298" spans="1:14">
      <c r="A5298" s="4" t="str">
        <f t="shared" si="502"/>
        <v>EXP00185</v>
      </c>
      <c r="B5298" s="4" t="str">
        <f t="shared" si="503"/>
        <v>24803579</v>
      </c>
      <c r="C5298" s="4" t="str">
        <f t="shared" si="504"/>
        <v>GSE50493</v>
      </c>
      <c r="D5298" s="1" t="s">
        <v>303</v>
      </c>
      <c r="E5298" t="s">
        <v>84</v>
      </c>
      <c r="F5298" s="1">
        <v>1</v>
      </c>
      <c r="G5298" s="1" t="s">
        <v>305</v>
      </c>
      <c r="H5298" s="4" t="str">
        <f>HYPERLINK("https://www.ncbi.nlm.nih.gov/geo/query/acc.cgi?acc=GSM1220054","GSM1220054")</f>
        <v>GSM1220054</v>
      </c>
      <c r="I5298" t="s">
        <v>82</v>
      </c>
      <c r="J5298" t="s">
        <v>83</v>
      </c>
      <c r="K5298" t="s">
        <v>19</v>
      </c>
      <c r="L5298" t="s">
        <v>27</v>
      </c>
      <c r="M5298" t="s">
        <v>21</v>
      </c>
      <c r="N5298" t="s">
        <v>22</v>
      </c>
    </row>
    <row r="5299" spans="1:14">
      <c r="A5299" s="4" t="str">
        <f t="shared" si="502"/>
        <v>EXP00185</v>
      </c>
      <c r="B5299" s="4" t="str">
        <f t="shared" si="503"/>
        <v>24803579</v>
      </c>
      <c r="C5299" s="4" t="str">
        <f t="shared" si="504"/>
        <v>GSE50493</v>
      </c>
      <c r="D5299" s="1" t="s">
        <v>303</v>
      </c>
      <c r="E5299" t="s">
        <v>84</v>
      </c>
      <c r="F5299" s="1">
        <v>1</v>
      </c>
      <c r="G5299" s="1" t="s">
        <v>305</v>
      </c>
      <c r="H5299" s="4" t="str">
        <f>HYPERLINK("https://www.ncbi.nlm.nih.gov/geo/query/acc.cgi?acc=GSM1220055","GSM1220055")</f>
        <v>GSM1220055</v>
      </c>
      <c r="I5299" t="s">
        <v>82</v>
      </c>
      <c r="J5299" t="s">
        <v>83</v>
      </c>
      <c r="K5299" t="s">
        <v>19</v>
      </c>
      <c r="L5299" t="s">
        <v>27</v>
      </c>
      <c r="M5299" t="s">
        <v>21</v>
      </c>
      <c r="N5299" t="s">
        <v>22</v>
      </c>
    </row>
    <row r="5300" spans="1:14">
      <c r="A5300" s="4" t="str">
        <f t="shared" si="502"/>
        <v>EXP00185</v>
      </c>
      <c r="B5300" s="4" t="str">
        <f t="shared" si="503"/>
        <v>24803579</v>
      </c>
      <c r="C5300" s="4" t="str">
        <f t="shared" si="504"/>
        <v>GSE50493</v>
      </c>
      <c r="D5300" s="1" t="s">
        <v>303</v>
      </c>
      <c r="E5300" t="s">
        <v>84</v>
      </c>
      <c r="F5300" s="1">
        <v>1</v>
      </c>
      <c r="G5300" s="1" t="s">
        <v>305</v>
      </c>
      <c r="H5300" s="4" t="str">
        <f>HYPERLINK("https://www.ncbi.nlm.nih.gov/geo/query/acc.cgi?acc=GSM1220056","GSM1220056")</f>
        <v>GSM1220056</v>
      </c>
      <c r="I5300" t="s">
        <v>82</v>
      </c>
      <c r="J5300" t="s">
        <v>83</v>
      </c>
      <c r="K5300" t="s">
        <v>19</v>
      </c>
      <c r="L5300" t="s">
        <v>27</v>
      </c>
      <c r="M5300" t="s">
        <v>21</v>
      </c>
      <c r="N5300" t="s">
        <v>22</v>
      </c>
    </row>
    <row r="5301" spans="1:14">
      <c r="A5301" s="4" t="str">
        <f t="shared" si="502"/>
        <v>EXP00185</v>
      </c>
      <c r="B5301" s="4" t="str">
        <f t="shared" si="503"/>
        <v>24803579</v>
      </c>
      <c r="C5301" s="4" t="str">
        <f t="shared" si="504"/>
        <v>GSE50493</v>
      </c>
      <c r="D5301" s="1" t="s">
        <v>303</v>
      </c>
      <c r="E5301" t="s">
        <v>84</v>
      </c>
      <c r="F5301" s="1">
        <v>1</v>
      </c>
      <c r="G5301" s="1" t="s">
        <v>305</v>
      </c>
      <c r="H5301" s="4" t="str">
        <f>HYPERLINK("https://www.ncbi.nlm.nih.gov/geo/query/acc.cgi?acc=GSM1220057","GSM1220057")</f>
        <v>GSM1220057</v>
      </c>
      <c r="I5301" t="s">
        <v>82</v>
      </c>
      <c r="J5301" t="s">
        <v>83</v>
      </c>
      <c r="K5301" t="s">
        <v>19</v>
      </c>
      <c r="L5301" t="s">
        <v>27</v>
      </c>
      <c r="M5301" t="s">
        <v>21</v>
      </c>
      <c r="N5301" t="s">
        <v>22</v>
      </c>
    </row>
    <row r="5302" spans="1:14">
      <c r="A5302" s="4" t="str">
        <f t="shared" si="502"/>
        <v>EXP00185</v>
      </c>
      <c r="B5302" s="4" t="str">
        <f t="shared" si="503"/>
        <v>24803579</v>
      </c>
      <c r="C5302" s="4" t="str">
        <f t="shared" si="504"/>
        <v>GSE50493</v>
      </c>
      <c r="D5302" s="1" t="s">
        <v>303</v>
      </c>
      <c r="E5302" t="s">
        <v>84</v>
      </c>
      <c r="F5302" s="1">
        <v>1</v>
      </c>
      <c r="G5302" s="1" t="s">
        <v>305</v>
      </c>
      <c r="H5302" s="4" t="str">
        <f>HYPERLINK("https://www.ncbi.nlm.nih.gov/geo/query/acc.cgi?acc=GSM1220058","GSM1220058")</f>
        <v>GSM1220058</v>
      </c>
      <c r="I5302" t="s">
        <v>82</v>
      </c>
      <c r="J5302" t="s">
        <v>83</v>
      </c>
      <c r="K5302" t="s">
        <v>19</v>
      </c>
      <c r="L5302" t="s">
        <v>27</v>
      </c>
      <c r="M5302" t="s">
        <v>21</v>
      </c>
      <c r="N5302" t="s">
        <v>22</v>
      </c>
    </row>
    <row r="5303" spans="1:14">
      <c r="A5303" s="4" t="str">
        <f t="shared" si="502"/>
        <v>EXP00185</v>
      </c>
      <c r="B5303" s="4" t="str">
        <f t="shared" si="503"/>
        <v>24803579</v>
      </c>
      <c r="C5303" s="4" t="str">
        <f t="shared" si="504"/>
        <v>GSE50493</v>
      </c>
      <c r="D5303" s="1" t="s">
        <v>303</v>
      </c>
      <c r="E5303" t="s">
        <v>84</v>
      </c>
      <c r="F5303" s="1">
        <v>1</v>
      </c>
      <c r="G5303" s="1" t="s">
        <v>305</v>
      </c>
      <c r="H5303" s="4" t="str">
        <f>HYPERLINK("https://www.ncbi.nlm.nih.gov/geo/query/acc.cgi?acc=GSM1220059","GSM1220059")</f>
        <v>GSM1220059</v>
      </c>
      <c r="I5303" t="s">
        <v>82</v>
      </c>
      <c r="J5303" t="s">
        <v>83</v>
      </c>
      <c r="K5303" t="s">
        <v>19</v>
      </c>
      <c r="L5303" t="s">
        <v>27</v>
      </c>
      <c r="M5303" t="s">
        <v>21</v>
      </c>
      <c r="N5303" t="s">
        <v>22</v>
      </c>
    </row>
    <row r="5304" spans="1:14">
      <c r="A5304" s="4" t="str">
        <f t="shared" si="502"/>
        <v>EXP00185</v>
      </c>
      <c r="B5304" s="4" t="str">
        <f t="shared" si="503"/>
        <v>24803579</v>
      </c>
      <c r="C5304" s="4" t="str">
        <f t="shared" si="504"/>
        <v>GSE50493</v>
      </c>
      <c r="D5304" s="1" t="s">
        <v>303</v>
      </c>
      <c r="E5304" t="s">
        <v>84</v>
      </c>
      <c r="F5304" s="1">
        <v>1</v>
      </c>
      <c r="G5304" s="1" t="s">
        <v>305</v>
      </c>
      <c r="H5304" s="4" t="str">
        <f>HYPERLINK("https://www.ncbi.nlm.nih.gov/geo/query/acc.cgi?acc=GSM1220060","GSM1220060")</f>
        <v>GSM1220060</v>
      </c>
      <c r="I5304" t="s">
        <v>82</v>
      </c>
      <c r="J5304" t="s">
        <v>83</v>
      </c>
      <c r="K5304" t="s">
        <v>19</v>
      </c>
      <c r="L5304" t="s">
        <v>27</v>
      </c>
      <c r="M5304" t="s">
        <v>21</v>
      </c>
      <c r="N5304" t="s">
        <v>22</v>
      </c>
    </row>
    <row r="5305" spans="1:14">
      <c r="A5305" s="4" t="str">
        <f t="shared" si="502"/>
        <v>EXP00185</v>
      </c>
      <c r="B5305" s="4" t="str">
        <f t="shared" si="503"/>
        <v>24803579</v>
      </c>
      <c r="C5305" s="4" t="str">
        <f t="shared" si="504"/>
        <v>GSE50493</v>
      </c>
      <c r="D5305" s="1" t="s">
        <v>303</v>
      </c>
      <c r="E5305" t="s">
        <v>84</v>
      </c>
      <c r="F5305" s="1">
        <v>1</v>
      </c>
      <c r="G5305" s="1" t="s">
        <v>305</v>
      </c>
      <c r="H5305" s="4" t="str">
        <f>HYPERLINK("https://www.ncbi.nlm.nih.gov/geo/query/acc.cgi?acc=GSM1220061","GSM1220061")</f>
        <v>GSM1220061</v>
      </c>
      <c r="I5305" t="s">
        <v>82</v>
      </c>
      <c r="J5305" t="s">
        <v>83</v>
      </c>
      <c r="K5305" t="s">
        <v>19</v>
      </c>
      <c r="L5305" t="s">
        <v>27</v>
      </c>
      <c r="M5305" t="s">
        <v>21</v>
      </c>
      <c r="N5305" t="s">
        <v>22</v>
      </c>
    </row>
    <row r="5306" spans="1:14">
      <c r="A5306" s="4" t="str">
        <f t="shared" si="502"/>
        <v>EXP00185</v>
      </c>
      <c r="B5306" s="4" t="str">
        <f t="shared" si="503"/>
        <v>24803579</v>
      </c>
      <c r="C5306" s="4" t="str">
        <f t="shared" si="504"/>
        <v>GSE50493</v>
      </c>
      <c r="D5306" s="1" t="s">
        <v>303</v>
      </c>
      <c r="E5306" t="s">
        <v>84</v>
      </c>
      <c r="F5306" s="1">
        <v>1</v>
      </c>
      <c r="G5306" s="1" t="s">
        <v>305</v>
      </c>
      <c r="H5306" s="4" t="str">
        <f>HYPERLINK("https://www.ncbi.nlm.nih.gov/geo/query/acc.cgi?acc=GSM1220062","GSM1220062")</f>
        <v>GSM1220062</v>
      </c>
      <c r="I5306" t="s">
        <v>82</v>
      </c>
      <c r="J5306" t="s">
        <v>83</v>
      </c>
      <c r="K5306" t="s">
        <v>19</v>
      </c>
      <c r="L5306" t="s">
        <v>27</v>
      </c>
      <c r="M5306" t="s">
        <v>21</v>
      </c>
      <c r="N5306" t="s">
        <v>22</v>
      </c>
    </row>
    <row r="5307" spans="1:14">
      <c r="A5307" s="4" t="str">
        <f t="shared" si="502"/>
        <v>EXP00185</v>
      </c>
      <c r="B5307" s="4" t="str">
        <f t="shared" si="503"/>
        <v>24803579</v>
      </c>
      <c r="C5307" s="4" t="str">
        <f t="shared" si="504"/>
        <v>GSE50493</v>
      </c>
      <c r="D5307" s="1" t="s">
        <v>303</v>
      </c>
      <c r="E5307" t="s">
        <v>84</v>
      </c>
      <c r="F5307" s="1">
        <v>1</v>
      </c>
      <c r="G5307" s="1" t="s">
        <v>305</v>
      </c>
      <c r="H5307" s="4" t="str">
        <f>HYPERLINK("https://www.ncbi.nlm.nih.gov/geo/query/acc.cgi?acc=GSM1220063","GSM1220063")</f>
        <v>GSM1220063</v>
      </c>
      <c r="I5307" t="s">
        <v>82</v>
      </c>
      <c r="J5307" t="s">
        <v>83</v>
      </c>
      <c r="K5307" t="s">
        <v>19</v>
      </c>
      <c r="L5307" t="s">
        <v>27</v>
      </c>
      <c r="M5307" t="s">
        <v>21</v>
      </c>
      <c r="N5307" t="s">
        <v>22</v>
      </c>
    </row>
    <row r="5308" spans="1:14">
      <c r="A5308" s="4" t="str">
        <f t="shared" si="502"/>
        <v>EXP00185</v>
      </c>
      <c r="B5308" s="4" t="str">
        <f t="shared" si="503"/>
        <v>24803579</v>
      </c>
      <c r="C5308" s="4" t="str">
        <f t="shared" si="504"/>
        <v>GSE50493</v>
      </c>
      <c r="D5308" s="1" t="s">
        <v>303</v>
      </c>
      <c r="E5308" t="s">
        <v>84</v>
      </c>
      <c r="F5308" s="1">
        <v>2</v>
      </c>
      <c r="G5308" s="1" t="s">
        <v>85</v>
      </c>
      <c r="H5308" s="4" t="str">
        <f>HYPERLINK("https://www.ncbi.nlm.nih.gov/geo/query/acc.cgi?acc=GSM1220064","GSM1220064")</f>
        <v>GSM1220064</v>
      </c>
      <c r="I5308" t="s">
        <v>82</v>
      </c>
      <c r="J5308" t="s">
        <v>83</v>
      </c>
      <c r="K5308" t="s">
        <v>19</v>
      </c>
      <c r="L5308" t="s">
        <v>27</v>
      </c>
      <c r="M5308" t="s">
        <v>24</v>
      </c>
      <c r="N5308" t="s">
        <v>22</v>
      </c>
    </row>
    <row r="5309" spans="1:14">
      <c r="A5309" s="4" t="str">
        <f t="shared" si="502"/>
        <v>EXP00185</v>
      </c>
      <c r="B5309" s="4" t="str">
        <f t="shared" si="503"/>
        <v>24803579</v>
      </c>
      <c r="C5309" s="4" t="str">
        <f t="shared" si="504"/>
        <v>GSE50493</v>
      </c>
      <c r="D5309" s="1" t="s">
        <v>303</v>
      </c>
      <c r="E5309" t="s">
        <v>84</v>
      </c>
      <c r="F5309" s="1">
        <v>2</v>
      </c>
      <c r="G5309" s="1" t="s">
        <v>85</v>
      </c>
      <c r="H5309" s="4" t="str">
        <f>HYPERLINK("https://www.ncbi.nlm.nih.gov/geo/query/acc.cgi?acc=GSM1220065","GSM1220065")</f>
        <v>GSM1220065</v>
      </c>
      <c r="I5309" t="s">
        <v>82</v>
      </c>
      <c r="J5309" t="s">
        <v>83</v>
      </c>
      <c r="K5309" t="s">
        <v>19</v>
      </c>
      <c r="L5309" t="s">
        <v>27</v>
      </c>
      <c r="M5309" t="s">
        <v>24</v>
      </c>
      <c r="N5309" t="s">
        <v>22</v>
      </c>
    </row>
    <row r="5310" spans="1:14">
      <c r="A5310" s="4" t="str">
        <f t="shared" si="502"/>
        <v>EXP00185</v>
      </c>
      <c r="B5310" s="4" t="str">
        <f t="shared" si="503"/>
        <v>24803579</v>
      </c>
      <c r="C5310" s="4" t="str">
        <f t="shared" si="504"/>
        <v>GSE50493</v>
      </c>
      <c r="D5310" s="1" t="s">
        <v>303</v>
      </c>
      <c r="E5310" t="s">
        <v>84</v>
      </c>
      <c r="F5310" s="1">
        <v>2</v>
      </c>
      <c r="G5310" s="1" t="s">
        <v>85</v>
      </c>
      <c r="H5310" s="4" t="str">
        <f>HYPERLINK("https://www.ncbi.nlm.nih.gov/geo/query/acc.cgi?acc=GSM1220071","GSM1220071")</f>
        <v>GSM1220071</v>
      </c>
      <c r="I5310" t="s">
        <v>82</v>
      </c>
      <c r="J5310" t="s">
        <v>83</v>
      </c>
      <c r="K5310" t="s">
        <v>19</v>
      </c>
      <c r="L5310" t="s">
        <v>27</v>
      </c>
      <c r="M5310" t="s">
        <v>24</v>
      </c>
      <c r="N5310" t="s">
        <v>22</v>
      </c>
    </row>
    <row r="5311" spans="1:14">
      <c r="A5311" s="4" t="str">
        <f t="shared" si="502"/>
        <v>EXP00185</v>
      </c>
      <c r="B5311" s="4" t="str">
        <f t="shared" si="503"/>
        <v>24803579</v>
      </c>
      <c r="C5311" s="4" t="str">
        <f t="shared" si="504"/>
        <v>GSE50493</v>
      </c>
      <c r="D5311" s="1" t="s">
        <v>303</v>
      </c>
      <c r="E5311" t="s">
        <v>84</v>
      </c>
      <c r="F5311" s="1">
        <v>2</v>
      </c>
      <c r="G5311" s="1" t="s">
        <v>85</v>
      </c>
      <c r="H5311" s="4" t="str">
        <f>HYPERLINK("https://www.ncbi.nlm.nih.gov/geo/query/acc.cgi?acc=GSM1220077","GSM1220077")</f>
        <v>GSM1220077</v>
      </c>
      <c r="I5311" t="s">
        <v>82</v>
      </c>
      <c r="J5311" t="s">
        <v>83</v>
      </c>
      <c r="K5311" t="s">
        <v>19</v>
      </c>
      <c r="L5311" t="s">
        <v>27</v>
      </c>
      <c r="M5311" t="s">
        <v>24</v>
      </c>
      <c r="N5311" t="s">
        <v>22</v>
      </c>
    </row>
    <row r="5312" spans="1:14">
      <c r="A5312" s="4" t="str">
        <f t="shared" si="502"/>
        <v>EXP00185</v>
      </c>
      <c r="B5312" s="4" t="str">
        <f t="shared" si="503"/>
        <v>24803579</v>
      </c>
      <c r="C5312" s="4" t="str">
        <f t="shared" si="504"/>
        <v>GSE50493</v>
      </c>
      <c r="D5312" s="1" t="s">
        <v>303</v>
      </c>
      <c r="E5312" t="s">
        <v>84</v>
      </c>
      <c r="F5312" s="1">
        <v>2</v>
      </c>
      <c r="G5312" s="1" t="s">
        <v>85</v>
      </c>
      <c r="H5312" s="4" t="str">
        <f>HYPERLINK("https://www.ncbi.nlm.nih.gov/geo/query/acc.cgi?acc=GSM1220078","GSM1220078")</f>
        <v>GSM1220078</v>
      </c>
      <c r="I5312" t="s">
        <v>82</v>
      </c>
      <c r="J5312" t="s">
        <v>83</v>
      </c>
      <c r="K5312" t="s">
        <v>19</v>
      </c>
      <c r="L5312" t="s">
        <v>27</v>
      </c>
      <c r="M5312" t="s">
        <v>24</v>
      </c>
      <c r="N5312" t="s">
        <v>22</v>
      </c>
    </row>
    <row r="5313" spans="1:14">
      <c r="A5313" s="4" t="str">
        <f t="shared" si="502"/>
        <v>EXP00185</v>
      </c>
      <c r="B5313" s="4" t="str">
        <f t="shared" si="503"/>
        <v>24803579</v>
      </c>
      <c r="C5313" s="4" t="str">
        <f t="shared" si="504"/>
        <v>GSE50493</v>
      </c>
      <c r="D5313" s="1" t="s">
        <v>303</v>
      </c>
      <c r="E5313" t="s">
        <v>84</v>
      </c>
      <c r="F5313" s="1">
        <v>2</v>
      </c>
      <c r="G5313" s="1" t="s">
        <v>85</v>
      </c>
      <c r="H5313" s="4" t="str">
        <f>HYPERLINK("https://www.ncbi.nlm.nih.gov/geo/query/acc.cgi?acc=GSM1220080","GSM1220080")</f>
        <v>GSM1220080</v>
      </c>
      <c r="I5313" t="s">
        <v>82</v>
      </c>
      <c r="J5313" t="s">
        <v>83</v>
      </c>
      <c r="K5313" t="s">
        <v>19</v>
      </c>
      <c r="L5313" t="s">
        <v>27</v>
      </c>
      <c r="M5313" t="s">
        <v>24</v>
      </c>
      <c r="N5313" t="s">
        <v>22</v>
      </c>
    </row>
    <row r="5314" spans="1:14">
      <c r="A5314" s="4" t="str">
        <f t="shared" si="502"/>
        <v>EXP00185</v>
      </c>
      <c r="B5314" s="4" t="str">
        <f t="shared" si="503"/>
        <v>24803579</v>
      </c>
      <c r="C5314" s="4" t="str">
        <f t="shared" si="504"/>
        <v>GSE50493</v>
      </c>
      <c r="D5314" s="1" t="s">
        <v>303</v>
      </c>
      <c r="E5314" t="s">
        <v>84</v>
      </c>
      <c r="F5314" s="1">
        <v>2</v>
      </c>
      <c r="G5314" s="1" t="s">
        <v>85</v>
      </c>
      <c r="H5314" s="4" t="str">
        <f>HYPERLINK("https://www.ncbi.nlm.nih.gov/geo/query/acc.cgi?acc=GSM1220081","GSM1220081")</f>
        <v>GSM1220081</v>
      </c>
      <c r="I5314" t="s">
        <v>82</v>
      </c>
      <c r="J5314" t="s">
        <v>83</v>
      </c>
      <c r="K5314" t="s">
        <v>19</v>
      </c>
      <c r="L5314" t="s">
        <v>27</v>
      </c>
      <c r="M5314" t="s">
        <v>24</v>
      </c>
      <c r="N5314" t="s">
        <v>22</v>
      </c>
    </row>
    <row r="5315" spans="1:14">
      <c r="A5315" s="4" t="str">
        <f t="shared" si="502"/>
        <v>EXP00185</v>
      </c>
      <c r="B5315" s="4" t="str">
        <f t="shared" si="503"/>
        <v>24803579</v>
      </c>
      <c r="C5315" s="4" t="str">
        <f t="shared" si="504"/>
        <v>GSE50493</v>
      </c>
      <c r="D5315" s="1" t="s">
        <v>303</v>
      </c>
      <c r="E5315" t="s">
        <v>84</v>
      </c>
      <c r="F5315" s="1">
        <v>2</v>
      </c>
      <c r="G5315" s="1" t="s">
        <v>85</v>
      </c>
      <c r="H5315" s="4" t="str">
        <f>HYPERLINK("https://www.ncbi.nlm.nih.gov/geo/query/acc.cgi?acc=GSM1220089","GSM1220089")</f>
        <v>GSM1220089</v>
      </c>
      <c r="I5315" t="s">
        <v>82</v>
      </c>
      <c r="J5315" t="s">
        <v>83</v>
      </c>
      <c r="K5315" t="s">
        <v>19</v>
      </c>
      <c r="L5315" t="s">
        <v>27</v>
      </c>
      <c r="M5315" t="s">
        <v>24</v>
      </c>
      <c r="N5315" t="s">
        <v>22</v>
      </c>
    </row>
    <row r="5316" spans="1:14">
      <c r="A5316" s="4" t="str">
        <f t="shared" si="502"/>
        <v>EXP00185</v>
      </c>
      <c r="B5316" s="4" t="str">
        <f t="shared" si="503"/>
        <v>24803579</v>
      </c>
      <c r="C5316" s="4" t="str">
        <f t="shared" si="504"/>
        <v>GSE50493</v>
      </c>
      <c r="D5316" s="1" t="s">
        <v>303</v>
      </c>
      <c r="E5316" t="s">
        <v>84</v>
      </c>
      <c r="F5316" s="1">
        <v>2</v>
      </c>
      <c r="G5316" s="1" t="s">
        <v>85</v>
      </c>
      <c r="H5316" s="4" t="str">
        <f>HYPERLINK("https://www.ncbi.nlm.nih.gov/geo/query/acc.cgi?acc=GSM1220090","GSM1220090")</f>
        <v>GSM1220090</v>
      </c>
      <c r="I5316" t="s">
        <v>82</v>
      </c>
      <c r="J5316" t="s">
        <v>83</v>
      </c>
      <c r="K5316" t="s">
        <v>19</v>
      </c>
      <c r="L5316" t="s">
        <v>27</v>
      </c>
      <c r="M5316" t="s">
        <v>24</v>
      </c>
      <c r="N5316" t="s">
        <v>22</v>
      </c>
    </row>
    <row r="5317" spans="1:14">
      <c r="A5317" s="4" t="str">
        <f t="shared" si="502"/>
        <v>EXP00185</v>
      </c>
      <c r="B5317" s="4" t="str">
        <f t="shared" si="503"/>
        <v>24803579</v>
      </c>
      <c r="C5317" s="4" t="str">
        <f t="shared" si="504"/>
        <v>GSE50493</v>
      </c>
      <c r="D5317" s="1" t="s">
        <v>303</v>
      </c>
      <c r="E5317" t="s">
        <v>84</v>
      </c>
      <c r="F5317" s="1">
        <v>2</v>
      </c>
      <c r="G5317" s="1" t="s">
        <v>85</v>
      </c>
      <c r="H5317" s="4" t="str">
        <f>HYPERLINK("https://www.ncbi.nlm.nih.gov/geo/query/acc.cgi?acc=GSM1220091","GSM1220091")</f>
        <v>GSM1220091</v>
      </c>
      <c r="I5317" t="s">
        <v>82</v>
      </c>
      <c r="J5317" t="s">
        <v>83</v>
      </c>
      <c r="K5317" t="s">
        <v>19</v>
      </c>
      <c r="L5317" t="s">
        <v>27</v>
      </c>
      <c r="M5317" t="s">
        <v>24</v>
      </c>
      <c r="N5317" t="s">
        <v>22</v>
      </c>
    </row>
    <row r="5318" spans="1:14">
      <c r="A5318" s="4" t="str">
        <f t="shared" si="502"/>
        <v>EXP00185</v>
      </c>
      <c r="B5318" s="4" t="str">
        <f t="shared" si="503"/>
        <v>24803579</v>
      </c>
      <c r="C5318" s="4" t="str">
        <f t="shared" si="504"/>
        <v>GSE50493</v>
      </c>
      <c r="D5318" s="1" t="s">
        <v>303</v>
      </c>
      <c r="E5318" t="s">
        <v>84</v>
      </c>
      <c r="F5318" s="1">
        <v>2</v>
      </c>
      <c r="G5318" s="1" t="s">
        <v>85</v>
      </c>
      <c r="H5318" s="4" t="str">
        <f>HYPERLINK("https://www.ncbi.nlm.nih.gov/geo/query/acc.cgi?acc=GSM1220092","GSM1220092")</f>
        <v>GSM1220092</v>
      </c>
      <c r="I5318" t="s">
        <v>82</v>
      </c>
      <c r="J5318" t="s">
        <v>83</v>
      </c>
      <c r="K5318" t="s">
        <v>19</v>
      </c>
      <c r="L5318" t="s">
        <v>27</v>
      </c>
      <c r="M5318" t="s">
        <v>24</v>
      </c>
      <c r="N5318" t="s">
        <v>22</v>
      </c>
    </row>
    <row r="5319" spans="1:14">
      <c r="A5319" s="4" t="str">
        <f t="shared" si="502"/>
        <v>EXP00185</v>
      </c>
      <c r="B5319" s="4" t="str">
        <f t="shared" si="503"/>
        <v>24803579</v>
      </c>
      <c r="C5319" s="4" t="str">
        <f t="shared" si="504"/>
        <v>GSE50493</v>
      </c>
      <c r="D5319" s="1" t="s">
        <v>303</v>
      </c>
      <c r="E5319" t="s">
        <v>84</v>
      </c>
      <c r="F5319" s="1">
        <v>2</v>
      </c>
      <c r="G5319" s="1" t="s">
        <v>85</v>
      </c>
      <c r="H5319" s="4" t="str">
        <f>HYPERLINK("https://www.ncbi.nlm.nih.gov/geo/query/acc.cgi?acc=GSM1220100","GSM1220100")</f>
        <v>GSM1220100</v>
      </c>
      <c r="I5319" t="s">
        <v>82</v>
      </c>
      <c r="J5319" t="s">
        <v>83</v>
      </c>
      <c r="K5319" t="s">
        <v>19</v>
      </c>
      <c r="L5319" t="s">
        <v>27</v>
      </c>
      <c r="M5319" t="s">
        <v>24</v>
      </c>
      <c r="N5319" t="s">
        <v>22</v>
      </c>
    </row>
    <row r="5320" spans="1:14">
      <c r="A5320" s="4" t="str">
        <f t="shared" si="502"/>
        <v>EXP00185</v>
      </c>
      <c r="B5320" s="4" t="str">
        <f t="shared" si="503"/>
        <v>24803579</v>
      </c>
      <c r="C5320" s="4" t="str">
        <f t="shared" si="504"/>
        <v>GSE50493</v>
      </c>
      <c r="D5320" s="1" t="s">
        <v>303</v>
      </c>
      <c r="E5320" t="s">
        <v>84</v>
      </c>
      <c r="F5320" s="1">
        <v>2</v>
      </c>
      <c r="G5320" s="1" t="s">
        <v>85</v>
      </c>
      <c r="H5320" s="4" t="str">
        <f>HYPERLINK("https://www.ncbi.nlm.nih.gov/geo/query/acc.cgi?acc=GSM1220101","GSM1220101")</f>
        <v>GSM1220101</v>
      </c>
      <c r="I5320" t="s">
        <v>82</v>
      </c>
      <c r="J5320" t="s">
        <v>83</v>
      </c>
      <c r="K5320" t="s">
        <v>19</v>
      </c>
      <c r="L5320" t="s">
        <v>27</v>
      </c>
      <c r="M5320" t="s">
        <v>24</v>
      </c>
      <c r="N5320" t="s">
        <v>22</v>
      </c>
    </row>
    <row r="5321" spans="1:14">
      <c r="A5321" s="4" t="str">
        <f t="shared" si="502"/>
        <v>EXP00185</v>
      </c>
      <c r="B5321" s="4" t="str">
        <f t="shared" si="503"/>
        <v>24803579</v>
      </c>
      <c r="C5321" s="4" t="str">
        <f t="shared" si="504"/>
        <v>GSE50493</v>
      </c>
      <c r="D5321" s="1" t="s">
        <v>303</v>
      </c>
      <c r="E5321" t="s">
        <v>84</v>
      </c>
      <c r="F5321" s="1">
        <v>2</v>
      </c>
      <c r="G5321" s="1" t="s">
        <v>85</v>
      </c>
      <c r="H5321" s="4" t="str">
        <f>HYPERLINK("https://www.ncbi.nlm.nih.gov/geo/query/acc.cgi?acc=GSM1220102","GSM1220102")</f>
        <v>GSM1220102</v>
      </c>
      <c r="I5321" t="s">
        <v>82</v>
      </c>
      <c r="J5321" t="s">
        <v>83</v>
      </c>
      <c r="K5321" t="s">
        <v>19</v>
      </c>
      <c r="L5321" t="s">
        <v>27</v>
      </c>
      <c r="M5321" t="s">
        <v>24</v>
      </c>
      <c r="N5321" t="s">
        <v>22</v>
      </c>
    </row>
    <row r="5322" spans="1:14">
      <c r="A5322" s="4" t="str">
        <f t="shared" ref="A5322:A5354" si="505">HYPERLINK("http://hcmdb.i-sanger.com/experiment/details/experiment_id/EXP00186","EXP00186")</f>
        <v>EXP00186</v>
      </c>
      <c r="B5322" s="4" t="str">
        <f t="shared" si="503"/>
        <v>24803579</v>
      </c>
      <c r="C5322" s="4" t="str">
        <f t="shared" si="504"/>
        <v>GSE50493</v>
      </c>
      <c r="D5322" s="1" t="s">
        <v>303</v>
      </c>
      <c r="E5322" t="s">
        <v>84</v>
      </c>
      <c r="F5322" s="1">
        <v>1</v>
      </c>
      <c r="G5322" s="1" t="s">
        <v>305</v>
      </c>
      <c r="H5322" s="4" t="str">
        <f>HYPERLINK("https://www.ncbi.nlm.nih.gov/geo/query/acc.cgi?acc=GSM1220035","GSM1220035")</f>
        <v>GSM1220035</v>
      </c>
      <c r="I5322" t="s">
        <v>82</v>
      </c>
      <c r="J5322" t="s">
        <v>83</v>
      </c>
      <c r="K5322" t="s">
        <v>19</v>
      </c>
      <c r="L5322" t="s">
        <v>27</v>
      </c>
      <c r="M5322" t="s">
        <v>21</v>
      </c>
      <c r="N5322" t="s">
        <v>22</v>
      </c>
    </row>
    <row r="5323" spans="1:14">
      <c r="A5323" s="4" t="str">
        <f t="shared" si="505"/>
        <v>EXP00186</v>
      </c>
      <c r="B5323" s="4" t="str">
        <f t="shared" si="503"/>
        <v>24803579</v>
      </c>
      <c r="C5323" s="4" t="str">
        <f t="shared" si="504"/>
        <v>GSE50493</v>
      </c>
      <c r="D5323" s="1" t="s">
        <v>303</v>
      </c>
      <c r="E5323" t="s">
        <v>84</v>
      </c>
      <c r="F5323" s="1">
        <v>1</v>
      </c>
      <c r="G5323" s="1" t="s">
        <v>305</v>
      </c>
      <c r="H5323" s="4" t="str">
        <f>HYPERLINK("https://www.ncbi.nlm.nih.gov/geo/query/acc.cgi?acc=GSM1220036","GSM1220036")</f>
        <v>GSM1220036</v>
      </c>
      <c r="I5323" t="s">
        <v>82</v>
      </c>
      <c r="J5323" t="s">
        <v>83</v>
      </c>
      <c r="K5323" t="s">
        <v>19</v>
      </c>
      <c r="L5323" t="s">
        <v>27</v>
      </c>
      <c r="M5323" t="s">
        <v>21</v>
      </c>
      <c r="N5323" t="s">
        <v>22</v>
      </c>
    </row>
    <row r="5324" spans="1:14">
      <c r="A5324" s="4" t="str">
        <f t="shared" si="505"/>
        <v>EXP00186</v>
      </c>
      <c r="B5324" s="4" t="str">
        <f t="shared" si="503"/>
        <v>24803579</v>
      </c>
      <c r="C5324" s="4" t="str">
        <f t="shared" si="504"/>
        <v>GSE50493</v>
      </c>
      <c r="D5324" s="1" t="s">
        <v>303</v>
      </c>
      <c r="E5324" t="s">
        <v>84</v>
      </c>
      <c r="F5324" s="1">
        <v>1</v>
      </c>
      <c r="G5324" s="1" t="s">
        <v>305</v>
      </c>
      <c r="H5324" s="4" t="str">
        <f>HYPERLINK("https://www.ncbi.nlm.nih.gov/geo/query/acc.cgi?acc=GSM1220037","GSM1220037")</f>
        <v>GSM1220037</v>
      </c>
      <c r="I5324" t="s">
        <v>82</v>
      </c>
      <c r="J5324" t="s">
        <v>83</v>
      </c>
      <c r="K5324" t="s">
        <v>19</v>
      </c>
      <c r="L5324" t="s">
        <v>27</v>
      </c>
      <c r="M5324" t="s">
        <v>21</v>
      </c>
      <c r="N5324" t="s">
        <v>22</v>
      </c>
    </row>
    <row r="5325" spans="1:14">
      <c r="A5325" s="4" t="str">
        <f t="shared" si="505"/>
        <v>EXP00186</v>
      </c>
      <c r="B5325" s="4" t="str">
        <f t="shared" si="503"/>
        <v>24803579</v>
      </c>
      <c r="C5325" s="4" t="str">
        <f t="shared" si="504"/>
        <v>GSE50493</v>
      </c>
      <c r="D5325" s="1" t="s">
        <v>303</v>
      </c>
      <c r="E5325" t="s">
        <v>84</v>
      </c>
      <c r="F5325" s="1">
        <v>1</v>
      </c>
      <c r="G5325" s="1" t="s">
        <v>305</v>
      </c>
      <c r="H5325" s="4" t="str">
        <f>HYPERLINK("https://www.ncbi.nlm.nih.gov/geo/query/acc.cgi?acc=GSM1220038","GSM1220038")</f>
        <v>GSM1220038</v>
      </c>
      <c r="I5325" t="s">
        <v>82</v>
      </c>
      <c r="J5325" t="s">
        <v>83</v>
      </c>
      <c r="K5325" t="s">
        <v>19</v>
      </c>
      <c r="L5325" t="s">
        <v>27</v>
      </c>
      <c r="M5325" t="s">
        <v>21</v>
      </c>
      <c r="N5325" t="s">
        <v>22</v>
      </c>
    </row>
    <row r="5326" spans="1:14">
      <c r="A5326" s="4" t="str">
        <f t="shared" si="505"/>
        <v>EXP00186</v>
      </c>
      <c r="B5326" s="4" t="str">
        <f t="shared" si="503"/>
        <v>24803579</v>
      </c>
      <c r="C5326" s="4" t="str">
        <f t="shared" si="504"/>
        <v>GSE50493</v>
      </c>
      <c r="D5326" s="1" t="s">
        <v>303</v>
      </c>
      <c r="E5326" t="s">
        <v>84</v>
      </c>
      <c r="F5326" s="1">
        <v>1</v>
      </c>
      <c r="G5326" s="1" t="s">
        <v>305</v>
      </c>
      <c r="H5326" s="4" t="str">
        <f>HYPERLINK("https://www.ncbi.nlm.nih.gov/geo/query/acc.cgi?acc=GSM1220039","GSM1220039")</f>
        <v>GSM1220039</v>
      </c>
      <c r="I5326" t="s">
        <v>82</v>
      </c>
      <c r="J5326" t="s">
        <v>83</v>
      </c>
      <c r="K5326" t="s">
        <v>19</v>
      </c>
      <c r="L5326" t="s">
        <v>27</v>
      </c>
      <c r="M5326" t="s">
        <v>21</v>
      </c>
      <c r="N5326" t="s">
        <v>22</v>
      </c>
    </row>
    <row r="5327" spans="1:14">
      <c r="A5327" s="4" t="str">
        <f t="shared" si="505"/>
        <v>EXP00186</v>
      </c>
      <c r="B5327" s="4" t="str">
        <f t="shared" si="503"/>
        <v>24803579</v>
      </c>
      <c r="C5327" s="4" t="str">
        <f t="shared" si="504"/>
        <v>GSE50493</v>
      </c>
      <c r="D5327" s="1" t="s">
        <v>303</v>
      </c>
      <c r="E5327" t="s">
        <v>84</v>
      </c>
      <c r="F5327" s="1">
        <v>1</v>
      </c>
      <c r="G5327" s="1" t="s">
        <v>305</v>
      </c>
      <c r="H5327" s="4" t="str">
        <f>HYPERLINK("https://www.ncbi.nlm.nih.gov/geo/query/acc.cgi?acc=GSM1220040","GSM1220040")</f>
        <v>GSM1220040</v>
      </c>
      <c r="I5327" t="s">
        <v>82</v>
      </c>
      <c r="J5327" t="s">
        <v>83</v>
      </c>
      <c r="K5327" t="s">
        <v>19</v>
      </c>
      <c r="L5327" t="s">
        <v>27</v>
      </c>
      <c r="M5327" t="s">
        <v>21</v>
      </c>
      <c r="N5327" t="s">
        <v>22</v>
      </c>
    </row>
    <row r="5328" spans="1:14">
      <c r="A5328" s="4" t="str">
        <f t="shared" si="505"/>
        <v>EXP00186</v>
      </c>
      <c r="B5328" s="4" t="str">
        <f t="shared" si="503"/>
        <v>24803579</v>
      </c>
      <c r="C5328" s="4" t="str">
        <f t="shared" si="504"/>
        <v>GSE50493</v>
      </c>
      <c r="D5328" s="1" t="s">
        <v>303</v>
      </c>
      <c r="E5328" t="s">
        <v>84</v>
      </c>
      <c r="F5328" s="1">
        <v>1</v>
      </c>
      <c r="G5328" s="1" t="s">
        <v>305</v>
      </c>
      <c r="H5328" s="4" t="str">
        <f>HYPERLINK("https://www.ncbi.nlm.nih.gov/geo/query/acc.cgi?acc=GSM1220041","GSM1220041")</f>
        <v>GSM1220041</v>
      </c>
      <c r="I5328" t="s">
        <v>82</v>
      </c>
      <c r="J5328" t="s">
        <v>83</v>
      </c>
      <c r="K5328" t="s">
        <v>19</v>
      </c>
      <c r="L5328" t="s">
        <v>27</v>
      </c>
      <c r="M5328" t="s">
        <v>21</v>
      </c>
      <c r="N5328" t="s">
        <v>22</v>
      </c>
    </row>
    <row r="5329" spans="1:14">
      <c r="A5329" s="4" t="str">
        <f t="shared" si="505"/>
        <v>EXP00186</v>
      </c>
      <c r="B5329" s="4" t="str">
        <f t="shared" si="503"/>
        <v>24803579</v>
      </c>
      <c r="C5329" s="4" t="str">
        <f t="shared" si="504"/>
        <v>GSE50493</v>
      </c>
      <c r="D5329" s="1" t="s">
        <v>303</v>
      </c>
      <c r="E5329" t="s">
        <v>84</v>
      </c>
      <c r="F5329" s="1">
        <v>1</v>
      </c>
      <c r="G5329" s="1" t="s">
        <v>305</v>
      </c>
      <c r="H5329" s="4" t="str">
        <f>HYPERLINK("https://www.ncbi.nlm.nih.gov/geo/query/acc.cgi?acc=GSM1220042","GSM1220042")</f>
        <v>GSM1220042</v>
      </c>
      <c r="I5329" t="s">
        <v>82</v>
      </c>
      <c r="J5329" t="s">
        <v>83</v>
      </c>
      <c r="K5329" t="s">
        <v>19</v>
      </c>
      <c r="L5329" t="s">
        <v>27</v>
      </c>
      <c r="M5329" t="s">
        <v>21</v>
      </c>
      <c r="N5329" t="s">
        <v>22</v>
      </c>
    </row>
    <row r="5330" spans="1:14">
      <c r="A5330" s="4" t="str">
        <f t="shared" si="505"/>
        <v>EXP00186</v>
      </c>
      <c r="B5330" s="4" t="str">
        <f t="shared" si="503"/>
        <v>24803579</v>
      </c>
      <c r="C5330" s="4" t="str">
        <f t="shared" si="504"/>
        <v>GSE50493</v>
      </c>
      <c r="D5330" s="1" t="s">
        <v>303</v>
      </c>
      <c r="E5330" t="s">
        <v>84</v>
      </c>
      <c r="F5330" s="1">
        <v>1</v>
      </c>
      <c r="G5330" s="1" t="s">
        <v>305</v>
      </c>
      <c r="H5330" s="4" t="str">
        <f>HYPERLINK("https://www.ncbi.nlm.nih.gov/geo/query/acc.cgi?acc=GSM1220043","GSM1220043")</f>
        <v>GSM1220043</v>
      </c>
      <c r="I5330" t="s">
        <v>82</v>
      </c>
      <c r="J5330" t="s">
        <v>83</v>
      </c>
      <c r="K5330" t="s">
        <v>19</v>
      </c>
      <c r="L5330" t="s">
        <v>27</v>
      </c>
      <c r="M5330" t="s">
        <v>21</v>
      </c>
      <c r="N5330" t="s">
        <v>22</v>
      </c>
    </row>
    <row r="5331" spans="1:14">
      <c r="A5331" s="4" t="str">
        <f t="shared" si="505"/>
        <v>EXP00186</v>
      </c>
      <c r="B5331" s="4" t="str">
        <f t="shared" si="503"/>
        <v>24803579</v>
      </c>
      <c r="C5331" s="4" t="str">
        <f t="shared" si="504"/>
        <v>GSE50493</v>
      </c>
      <c r="D5331" s="1" t="s">
        <v>303</v>
      </c>
      <c r="E5331" t="s">
        <v>84</v>
      </c>
      <c r="F5331" s="1">
        <v>1</v>
      </c>
      <c r="G5331" s="1" t="s">
        <v>305</v>
      </c>
      <c r="H5331" s="4" t="str">
        <f>HYPERLINK("https://www.ncbi.nlm.nih.gov/geo/query/acc.cgi?acc=GSM1220044","GSM1220044")</f>
        <v>GSM1220044</v>
      </c>
      <c r="I5331" t="s">
        <v>82</v>
      </c>
      <c r="J5331" t="s">
        <v>83</v>
      </c>
      <c r="K5331" t="s">
        <v>19</v>
      </c>
      <c r="L5331" t="s">
        <v>27</v>
      </c>
      <c r="M5331" t="s">
        <v>21</v>
      </c>
      <c r="N5331" t="s">
        <v>22</v>
      </c>
    </row>
    <row r="5332" spans="1:14">
      <c r="A5332" s="4" t="str">
        <f t="shared" si="505"/>
        <v>EXP00186</v>
      </c>
      <c r="B5332" s="4" t="str">
        <f t="shared" si="503"/>
        <v>24803579</v>
      </c>
      <c r="C5332" s="4" t="str">
        <f t="shared" si="504"/>
        <v>GSE50493</v>
      </c>
      <c r="D5332" s="1" t="s">
        <v>303</v>
      </c>
      <c r="E5332" t="s">
        <v>84</v>
      </c>
      <c r="F5332" s="1">
        <v>1</v>
      </c>
      <c r="G5332" s="1" t="s">
        <v>305</v>
      </c>
      <c r="H5332" s="4" t="str">
        <f>HYPERLINK("https://www.ncbi.nlm.nih.gov/geo/query/acc.cgi?acc=GSM1220045","GSM1220045")</f>
        <v>GSM1220045</v>
      </c>
      <c r="I5332" t="s">
        <v>82</v>
      </c>
      <c r="J5332" t="s">
        <v>83</v>
      </c>
      <c r="K5332" t="s">
        <v>19</v>
      </c>
      <c r="L5332" t="s">
        <v>27</v>
      </c>
      <c r="M5332" t="s">
        <v>21</v>
      </c>
      <c r="N5332" t="s">
        <v>22</v>
      </c>
    </row>
    <row r="5333" spans="1:14">
      <c r="A5333" s="4" t="str">
        <f t="shared" si="505"/>
        <v>EXP00186</v>
      </c>
      <c r="B5333" s="4" t="str">
        <f t="shared" si="503"/>
        <v>24803579</v>
      </c>
      <c r="C5333" s="4" t="str">
        <f t="shared" si="504"/>
        <v>GSE50493</v>
      </c>
      <c r="D5333" s="1" t="s">
        <v>303</v>
      </c>
      <c r="E5333" t="s">
        <v>84</v>
      </c>
      <c r="F5333" s="1">
        <v>1</v>
      </c>
      <c r="G5333" s="1" t="s">
        <v>305</v>
      </c>
      <c r="H5333" s="4" t="str">
        <f>HYPERLINK("https://www.ncbi.nlm.nih.gov/geo/query/acc.cgi?acc=GSM1220046","GSM1220046")</f>
        <v>GSM1220046</v>
      </c>
      <c r="I5333" t="s">
        <v>82</v>
      </c>
      <c r="J5333" t="s">
        <v>83</v>
      </c>
      <c r="K5333" t="s">
        <v>19</v>
      </c>
      <c r="L5333" t="s">
        <v>27</v>
      </c>
      <c r="M5333" t="s">
        <v>21</v>
      </c>
      <c r="N5333" t="s">
        <v>22</v>
      </c>
    </row>
    <row r="5334" spans="1:14">
      <c r="A5334" s="4" t="str">
        <f t="shared" si="505"/>
        <v>EXP00186</v>
      </c>
      <c r="B5334" s="4" t="str">
        <f t="shared" si="503"/>
        <v>24803579</v>
      </c>
      <c r="C5334" s="4" t="str">
        <f t="shared" si="504"/>
        <v>GSE50493</v>
      </c>
      <c r="D5334" s="1" t="s">
        <v>303</v>
      </c>
      <c r="E5334" t="s">
        <v>84</v>
      </c>
      <c r="F5334" s="1">
        <v>1</v>
      </c>
      <c r="G5334" s="1" t="s">
        <v>305</v>
      </c>
      <c r="H5334" s="4" t="str">
        <f>HYPERLINK("https://www.ncbi.nlm.nih.gov/geo/query/acc.cgi?acc=GSM1220047","GSM1220047")</f>
        <v>GSM1220047</v>
      </c>
      <c r="I5334" t="s">
        <v>82</v>
      </c>
      <c r="J5334" t="s">
        <v>83</v>
      </c>
      <c r="K5334" t="s">
        <v>19</v>
      </c>
      <c r="L5334" t="s">
        <v>27</v>
      </c>
      <c r="M5334" t="s">
        <v>21</v>
      </c>
      <c r="N5334" t="s">
        <v>22</v>
      </c>
    </row>
    <row r="5335" spans="1:14">
      <c r="A5335" s="4" t="str">
        <f t="shared" si="505"/>
        <v>EXP00186</v>
      </c>
      <c r="B5335" s="4" t="str">
        <f t="shared" si="503"/>
        <v>24803579</v>
      </c>
      <c r="C5335" s="4" t="str">
        <f t="shared" si="504"/>
        <v>GSE50493</v>
      </c>
      <c r="D5335" s="1" t="s">
        <v>303</v>
      </c>
      <c r="E5335" t="s">
        <v>84</v>
      </c>
      <c r="F5335" s="1">
        <v>1</v>
      </c>
      <c r="G5335" s="1" t="s">
        <v>305</v>
      </c>
      <c r="H5335" s="4" t="str">
        <f>HYPERLINK("https://www.ncbi.nlm.nih.gov/geo/query/acc.cgi?acc=GSM1220048","GSM1220048")</f>
        <v>GSM1220048</v>
      </c>
      <c r="I5335" t="s">
        <v>82</v>
      </c>
      <c r="J5335" t="s">
        <v>83</v>
      </c>
      <c r="K5335" t="s">
        <v>19</v>
      </c>
      <c r="L5335" t="s">
        <v>27</v>
      </c>
      <c r="M5335" t="s">
        <v>21</v>
      </c>
      <c r="N5335" t="s">
        <v>22</v>
      </c>
    </row>
    <row r="5336" spans="1:14">
      <c r="A5336" s="4" t="str">
        <f t="shared" si="505"/>
        <v>EXP00186</v>
      </c>
      <c r="B5336" s="4" t="str">
        <f t="shared" si="503"/>
        <v>24803579</v>
      </c>
      <c r="C5336" s="4" t="str">
        <f t="shared" si="504"/>
        <v>GSE50493</v>
      </c>
      <c r="D5336" s="1" t="s">
        <v>303</v>
      </c>
      <c r="E5336" t="s">
        <v>84</v>
      </c>
      <c r="F5336" s="1">
        <v>1</v>
      </c>
      <c r="G5336" s="1" t="s">
        <v>305</v>
      </c>
      <c r="H5336" s="4" t="str">
        <f>HYPERLINK("https://www.ncbi.nlm.nih.gov/geo/query/acc.cgi?acc=GSM1220049","GSM1220049")</f>
        <v>GSM1220049</v>
      </c>
      <c r="I5336" t="s">
        <v>82</v>
      </c>
      <c r="J5336" t="s">
        <v>83</v>
      </c>
      <c r="K5336" t="s">
        <v>19</v>
      </c>
      <c r="L5336" t="s">
        <v>27</v>
      </c>
      <c r="M5336" t="s">
        <v>21</v>
      </c>
      <c r="N5336" t="s">
        <v>22</v>
      </c>
    </row>
    <row r="5337" spans="1:14">
      <c r="A5337" s="4" t="str">
        <f t="shared" si="505"/>
        <v>EXP00186</v>
      </c>
      <c r="B5337" s="4" t="str">
        <f t="shared" si="503"/>
        <v>24803579</v>
      </c>
      <c r="C5337" s="4" t="str">
        <f t="shared" si="504"/>
        <v>GSE50493</v>
      </c>
      <c r="D5337" s="1" t="s">
        <v>303</v>
      </c>
      <c r="E5337" t="s">
        <v>84</v>
      </c>
      <c r="F5337" s="1">
        <v>1</v>
      </c>
      <c r="G5337" s="1" t="s">
        <v>305</v>
      </c>
      <c r="H5337" s="4" t="str">
        <f>HYPERLINK("https://www.ncbi.nlm.nih.gov/geo/query/acc.cgi?acc=GSM1220050","GSM1220050")</f>
        <v>GSM1220050</v>
      </c>
      <c r="I5337" t="s">
        <v>82</v>
      </c>
      <c r="J5337" t="s">
        <v>83</v>
      </c>
      <c r="K5337" t="s">
        <v>19</v>
      </c>
      <c r="L5337" t="s">
        <v>27</v>
      </c>
      <c r="M5337" t="s">
        <v>21</v>
      </c>
      <c r="N5337" t="s">
        <v>22</v>
      </c>
    </row>
    <row r="5338" spans="1:14">
      <c r="A5338" s="4" t="str">
        <f t="shared" si="505"/>
        <v>EXP00186</v>
      </c>
      <c r="B5338" s="4" t="str">
        <f t="shared" si="503"/>
        <v>24803579</v>
      </c>
      <c r="C5338" s="4" t="str">
        <f t="shared" si="504"/>
        <v>GSE50493</v>
      </c>
      <c r="D5338" s="1" t="s">
        <v>303</v>
      </c>
      <c r="E5338" t="s">
        <v>84</v>
      </c>
      <c r="F5338" s="1">
        <v>1</v>
      </c>
      <c r="G5338" s="1" t="s">
        <v>305</v>
      </c>
      <c r="H5338" s="4" t="str">
        <f>HYPERLINK("https://www.ncbi.nlm.nih.gov/geo/query/acc.cgi?acc=GSM1220051","GSM1220051")</f>
        <v>GSM1220051</v>
      </c>
      <c r="I5338" t="s">
        <v>82</v>
      </c>
      <c r="J5338" t="s">
        <v>83</v>
      </c>
      <c r="K5338" t="s">
        <v>19</v>
      </c>
      <c r="L5338" t="s">
        <v>27</v>
      </c>
      <c r="M5338" t="s">
        <v>21</v>
      </c>
      <c r="N5338" t="s">
        <v>22</v>
      </c>
    </row>
    <row r="5339" spans="1:14">
      <c r="A5339" s="4" t="str">
        <f t="shared" si="505"/>
        <v>EXP00186</v>
      </c>
      <c r="B5339" s="4" t="str">
        <f t="shared" si="503"/>
        <v>24803579</v>
      </c>
      <c r="C5339" s="4" t="str">
        <f t="shared" si="504"/>
        <v>GSE50493</v>
      </c>
      <c r="D5339" s="1" t="s">
        <v>303</v>
      </c>
      <c r="E5339" t="s">
        <v>84</v>
      </c>
      <c r="F5339" s="1">
        <v>1</v>
      </c>
      <c r="G5339" s="1" t="s">
        <v>305</v>
      </c>
      <c r="H5339" s="4" t="str">
        <f>HYPERLINK("https://www.ncbi.nlm.nih.gov/geo/query/acc.cgi?acc=GSM1220052","GSM1220052")</f>
        <v>GSM1220052</v>
      </c>
      <c r="I5339" t="s">
        <v>82</v>
      </c>
      <c r="J5339" t="s">
        <v>83</v>
      </c>
      <c r="K5339" t="s">
        <v>19</v>
      </c>
      <c r="L5339" t="s">
        <v>27</v>
      </c>
      <c r="M5339" t="s">
        <v>21</v>
      </c>
      <c r="N5339" t="s">
        <v>22</v>
      </c>
    </row>
    <row r="5340" spans="1:14">
      <c r="A5340" s="4" t="str">
        <f t="shared" si="505"/>
        <v>EXP00186</v>
      </c>
      <c r="B5340" s="4" t="str">
        <f t="shared" si="503"/>
        <v>24803579</v>
      </c>
      <c r="C5340" s="4" t="str">
        <f t="shared" si="504"/>
        <v>GSE50493</v>
      </c>
      <c r="D5340" s="1" t="s">
        <v>303</v>
      </c>
      <c r="E5340" t="s">
        <v>84</v>
      </c>
      <c r="F5340" s="1">
        <v>1</v>
      </c>
      <c r="G5340" s="1" t="s">
        <v>305</v>
      </c>
      <c r="H5340" s="4" t="str">
        <f>HYPERLINK("https://www.ncbi.nlm.nih.gov/geo/query/acc.cgi?acc=GSM1220053","GSM1220053")</f>
        <v>GSM1220053</v>
      </c>
      <c r="I5340" t="s">
        <v>82</v>
      </c>
      <c r="J5340" t="s">
        <v>83</v>
      </c>
      <c r="K5340" t="s">
        <v>19</v>
      </c>
      <c r="L5340" t="s">
        <v>27</v>
      </c>
      <c r="M5340" t="s">
        <v>21</v>
      </c>
      <c r="N5340" t="s">
        <v>22</v>
      </c>
    </row>
    <row r="5341" spans="1:14">
      <c r="A5341" s="4" t="str">
        <f t="shared" si="505"/>
        <v>EXP00186</v>
      </c>
      <c r="B5341" s="4" t="str">
        <f t="shared" si="503"/>
        <v>24803579</v>
      </c>
      <c r="C5341" s="4" t="str">
        <f t="shared" si="504"/>
        <v>GSE50493</v>
      </c>
      <c r="D5341" s="1" t="s">
        <v>303</v>
      </c>
      <c r="E5341" t="s">
        <v>84</v>
      </c>
      <c r="F5341" s="1">
        <v>1</v>
      </c>
      <c r="G5341" s="1" t="s">
        <v>305</v>
      </c>
      <c r="H5341" s="4" t="str">
        <f>HYPERLINK("https://www.ncbi.nlm.nih.gov/geo/query/acc.cgi?acc=GSM1220054","GSM1220054")</f>
        <v>GSM1220054</v>
      </c>
      <c r="I5341" t="s">
        <v>82</v>
      </c>
      <c r="J5341" t="s">
        <v>83</v>
      </c>
      <c r="K5341" t="s">
        <v>19</v>
      </c>
      <c r="L5341" t="s">
        <v>27</v>
      </c>
      <c r="M5341" t="s">
        <v>21</v>
      </c>
      <c r="N5341" t="s">
        <v>22</v>
      </c>
    </row>
    <row r="5342" spans="1:14">
      <c r="A5342" s="4" t="str">
        <f t="shared" si="505"/>
        <v>EXP00186</v>
      </c>
      <c r="B5342" s="4" t="str">
        <f t="shared" si="503"/>
        <v>24803579</v>
      </c>
      <c r="C5342" s="4" t="str">
        <f t="shared" si="504"/>
        <v>GSE50493</v>
      </c>
      <c r="D5342" s="1" t="s">
        <v>303</v>
      </c>
      <c r="E5342" t="s">
        <v>84</v>
      </c>
      <c r="F5342" s="1">
        <v>1</v>
      </c>
      <c r="G5342" s="1" t="s">
        <v>305</v>
      </c>
      <c r="H5342" s="4" t="str">
        <f>HYPERLINK("https://www.ncbi.nlm.nih.gov/geo/query/acc.cgi?acc=GSM1220055","GSM1220055")</f>
        <v>GSM1220055</v>
      </c>
      <c r="I5342" t="s">
        <v>82</v>
      </c>
      <c r="J5342" t="s">
        <v>83</v>
      </c>
      <c r="K5342" t="s">
        <v>19</v>
      </c>
      <c r="L5342" t="s">
        <v>27</v>
      </c>
      <c r="M5342" t="s">
        <v>21</v>
      </c>
      <c r="N5342" t="s">
        <v>22</v>
      </c>
    </row>
    <row r="5343" spans="1:14">
      <c r="A5343" s="4" t="str">
        <f t="shared" si="505"/>
        <v>EXP00186</v>
      </c>
      <c r="B5343" s="4" t="str">
        <f t="shared" si="503"/>
        <v>24803579</v>
      </c>
      <c r="C5343" s="4" t="str">
        <f t="shared" si="504"/>
        <v>GSE50493</v>
      </c>
      <c r="D5343" s="1" t="s">
        <v>303</v>
      </c>
      <c r="E5343" t="s">
        <v>84</v>
      </c>
      <c r="F5343" s="1">
        <v>1</v>
      </c>
      <c r="G5343" s="1" t="s">
        <v>305</v>
      </c>
      <c r="H5343" s="4" t="str">
        <f>HYPERLINK("https://www.ncbi.nlm.nih.gov/geo/query/acc.cgi?acc=GSM1220056","GSM1220056")</f>
        <v>GSM1220056</v>
      </c>
      <c r="I5343" t="s">
        <v>82</v>
      </c>
      <c r="J5343" t="s">
        <v>83</v>
      </c>
      <c r="K5343" t="s">
        <v>19</v>
      </c>
      <c r="L5343" t="s">
        <v>27</v>
      </c>
      <c r="M5343" t="s">
        <v>21</v>
      </c>
      <c r="N5343" t="s">
        <v>22</v>
      </c>
    </row>
    <row r="5344" spans="1:14">
      <c r="A5344" s="4" t="str">
        <f t="shared" si="505"/>
        <v>EXP00186</v>
      </c>
      <c r="B5344" s="4" t="str">
        <f t="shared" si="503"/>
        <v>24803579</v>
      </c>
      <c r="C5344" s="4" t="str">
        <f t="shared" si="504"/>
        <v>GSE50493</v>
      </c>
      <c r="D5344" s="1" t="s">
        <v>303</v>
      </c>
      <c r="E5344" t="s">
        <v>84</v>
      </c>
      <c r="F5344" s="1">
        <v>1</v>
      </c>
      <c r="G5344" s="1" t="s">
        <v>305</v>
      </c>
      <c r="H5344" s="4" t="str">
        <f>HYPERLINK("https://www.ncbi.nlm.nih.gov/geo/query/acc.cgi?acc=GSM1220057","GSM1220057")</f>
        <v>GSM1220057</v>
      </c>
      <c r="I5344" t="s">
        <v>82</v>
      </c>
      <c r="J5344" t="s">
        <v>83</v>
      </c>
      <c r="K5344" t="s">
        <v>19</v>
      </c>
      <c r="L5344" t="s">
        <v>27</v>
      </c>
      <c r="M5344" t="s">
        <v>21</v>
      </c>
      <c r="N5344" t="s">
        <v>22</v>
      </c>
    </row>
    <row r="5345" spans="1:14">
      <c r="A5345" s="4" t="str">
        <f t="shared" si="505"/>
        <v>EXP00186</v>
      </c>
      <c r="B5345" s="4" t="str">
        <f t="shared" si="503"/>
        <v>24803579</v>
      </c>
      <c r="C5345" s="4" t="str">
        <f t="shared" si="504"/>
        <v>GSE50493</v>
      </c>
      <c r="D5345" s="1" t="s">
        <v>303</v>
      </c>
      <c r="E5345" t="s">
        <v>84</v>
      </c>
      <c r="F5345" s="1">
        <v>1</v>
      </c>
      <c r="G5345" s="1" t="s">
        <v>305</v>
      </c>
      <c r="H5345" s="4" t="str">
        <f>HYPERLINK("https://www.ncbi.nlm.nih.gov/geo/query/acc.cgi?acc=GSM1220058","GSM1220058")</f>
        <v>GSM1220058</v>
      </c>
      <c r="I5345" t="s">
        <v>82</v>
      </c>
      <c r="J5345" t="s">
        <v>83</v>
      </c>
      <c r="K5345" t="s">
        <v>19</v>
      </c>
      <c r="L5345" t="s">
        <v>27</v>
      </c>
      <c r="M5345" t="s">
        <v>21</v>
      </c>
      <c r="N5345" t="s">
        <v>22</v>
      </c>
    </row>
    <row r="5346" spans="1:14">
      <c r="A5346" s="4" t="str">
        <f t="shared" si="505"/>
        <v>EXP00186</v>
      </c>
      <c r="B5346" s="4" t="str">
        <f t="shared" si="503"/>
        <v>24803579</v>
      </c>
      <c r="C5346" s="4" t="str">
        <f t="shared" si="504"/>
        <v>GSE50493</v>
      </c>
      <c r="D5346" s="1" t="s">
        <v>303</v>
      </c>
      <c r="E5346" t="s">
        <v>84</v>
      </c>
      <c r="F5346" s="1">
        <v>1</v>
      </c>
      <c r="G5346" s="1" t="s">
        <v>305</v>
      </c>
      <c r="H5346" s="4" t="str">
        <f>HYPERLINK("https://www.ncbi.nlm.nih.gov/geo/query/acc.cgi?acc=GSM1220059","GSM1220059")</f>
        <v>GSM1220059</v>
      </c>
      <c r="I5346" t="s">
        <v>82</v>
      </c>
      <c r="J5346" t="s">
        <v>83</v>
      </c>
      <c r="K5346" t="s">
        <v>19</v>
      </c>
      <c r="L5346" t="s">
        <v>27</v>
      </c>
      <c r="M5346" t="s">
        <v>21</v>
      </c>
      <c r="N5346" t="s">
        <v>22</v>
      </c>
    </row>
    <row r="5347" spans="1:14">
      <c r="A5347" s="4" t="str">
        <f t="shared" si="505"/>
        <v>EXP00186</v>
      </c>
      <c r="B5347" s="4" t="str">
        <f t="shared" si="503"/>
        <v>24803579</v>
      </c>
      <c r="C5347" s="4" t="str">
        <f t="shared" si="504"/>
        <v>GSE50493</v>
      </c>
      <c r="D5347" s="1" t="s">
        <v>303</v>
      </c>
      <c r="E5347" t="s">
        <v>84</v>
      </c>
      <c r="F5347" s="1">
        <v>1</v>
      </c>
      <c r="G5347" s="1" t="s">
        <v>305</v>
      </c>
      <c r="H5347" s="4" t="str">
        <f>HYPERLINK("https://www.ncbi.nlm.nih.gov/geo/query/acc.cgi?acc=GSM1220060","GSM1220060")</f>
        <v>GSM1220060</v>
      </c>
      <c r="I5347" t="s">
        <v>82</v>
      </c>
      <c r="J5347" t="s">
        <v>83</v>
      </c>
      <c r="K5347" t="s">
        <v>19</v>
      </c>
      <c r="L5347" t="s">
        <v>27</v>
      </c>
      <c r="M5347" t="s">
        <v>21</v>
      </c>
      <c r="N5347" t="s">
        <v>22</v>
      </c>
    </row>
    <row r="5348" spans="1:14">
      <c r="A5348" s="4" t="str">
        <f t="shared" si="505"/>
        <v>EXP00186</v>
      </c>
      <c r="B5348" s="4" t="str">
        <f t="shared" si="503"/>
        <v>24803579</v>
      </c>
      <c r="C5348" s="4" t="str">
        <f t="shared" si="504"/>
        <v>GSE50493</v>
      </c>
      <c r="D5348" s="1" t="s">
        <v>303</v>
      </c>
      <c r="E5348" t="s">
        <v>84</v>
      </c>
      <c r="F5348" s="1">
        <v>1</v>
      </c>
      <c r="G5348" s="1" t="s">
        <v>305</v>
      </c>
      <c r="H5348" s="4" t="str">
        <f>HYPERLINK("https://www.ncbi.nlm.nih.gov/geo/query/acc.cgi?acc=GSM1220061","GSM1220061")</f>
        <v>GSM1220061</v>
      </c>
      <c r="I5348" t="s">
        <v>82</v>
      </c>
      <c r="J5348" t="s">
        <v>83</v>
      </c>
      <c r="K5348" t="s">
        <v>19</v>
      </c>
      <c r="L5348" t="s">
        <v>27</v>
      </c>
      <c r="M5348" t="s">
        <v>21</v>
      </c>
      <c r="N5348" t="s">
        <v>22</v>
      </c>
    </row>
    <row r="5349" spans="1:14">
      <c r="A5349" s="4" t="str">
        <f t="shared" si="505"/>
        <v>EXP00186</v>
      </c>
      <c r="B5349" s="4" t="str">
        <f t="shared" si="503"/>
        <v>24803579</v>
      </c>
      <c r="C5349" s="4" t="str">
        <f t="shared" si="504"/>
        <v>GSE50493</v>
      </c>
      <c r="D5349" s="1" t="s">
        <v>303</v>
      </c>
      <c r="E5349" t="s">
        <v>84</v>
      </c>
      <c r="F5349" s="1">
        <v>1</v>
      </c>
      <c r="G5349" s="1" t="s">
        <v>305</v>
      </c>
      <c r="H5349" s="4" t="str">
        <f>HYPERLINK("https://www.ncbi.nlm.nih.gov/geo/query/acc.cgi?acc=GSM1220062","GSM1220062")</f>
        <v>GSM1220062</v>
      </c>
      <c r="I5349" t="s">
        <v>82</v>
      </c>
      <c r="J5349" t="s">
        <v>83</v>
      </c>
      <c r="K5349" t="s">
        <v>19</v>
      </c>
      <c r="L5349" t="s">
        <v>27</v>
      </c>
      <c r="M5349" t="s">
        <v>21</v>
      </c>
      <c r="N5349" t="s">
        <v>22</v>
      </c>
    </row>
    <row r="5350" spans="1:14">
      <c r="A5350" s="4" t="str">
        <f t="shared" si="505"/>
        <v>EXP00186</v>
      </c>
      <c r="B5350" s="4" t="str">
        <f t="shared" si="503"/>
        <v>24803579</v>
      </c>
      <c r="C5350" s="4" t="str">
        <f t="shared" si="504"/>
        <v>GSE50493</v>
      </c>
      <c r="D5350" s="1" t="s">
        <v>303</v>
      </c>
      <c r="E5350" t="s">
        <v>84</v>
      </c>
      <c r="F5350" s="1">
        <v>1</v>
      </c>
      <c r="G5350" s="1" t="s">
        <v>305</v>
      </c>
      <c r="H5350" s="4" t="str">
        <f>HYPERLINK("https://www.ncbi.nlm.nih.gov/geo/query/acc.cgi?acc=GSM1220063","GSM1220063")</f>
        <v>GSM1220063</v>
      </c>
      <c r="I5350" t="s">
        <v>82</v>
      </c>
      <c r="J5350" t="s">
        <v>83</v>
      </c>
      <c r="K5350" t="s">
        <v>19</v>
      </c>
      <c r="L5350" t="s">
        <v>27</v>
      </c>
      <c r="M5350" t="s">
        <v>21</v>
      </c>
      <c r="N5350" t="s">
        <v>22</v>
      </c>
    </row>
    <row r="5351" spans="1:14">
      <c r="A5351" s="4" t="str">
        <f t="shared" si="505"/>
        <v>EXP00186</v>
      </c>
      <c r="B5351" s="4" t="str">
        <f t="shared" si="503"/>
        <v>24803579</v>
      </c>
      <c r="C5351" s="4" t="str">
        <f t="shared" si="504"/>
        <v>GSE50493</v>
      </c>
      <c r="D5351" s="1" t="s">
        <v>303</v>
      </c>
      <c r="E5351" t="s">
        <v>84</v>
      </c>
      <c r="F5351" s="1">
        <v>2</v>
      </c>
      <c r="G5351" s="1" t="s">
        <v>307</v>
      </c>
      <c r="H5351" s="4" t="str">
        <f>HYPERLINK("https://www.ncbi.nlm.nih.gov/geo/query/acc.cgi?acc=GSM1220069","GSM1220069")</f>
        <v>GSM1220069</v>
      </c>
      <c r="I5351" t="s">
        <v>82</v>
      </c>
      <c r="J5351" t="s">
        <v>83</v>
      </c>
      <c r="K5351" t="s">
        <v>19</v>
      </c>
      <c r="L5351" t="s">
        <v>27</v>
      </c>
      <c r="M5351" t="s">
        <v>308</v>
      </c>
      <c r="N5351" t="s">
        <v>22</v>
      </c>
    </row>
    <row r="5352" spans="1:14">
      <c r="A5352" s="4" t="str">
        <f t="shared" si="505"/>
        <v>EXP00186</v>
      </c>
      <c r="B5352" s="4" t="str">
        <f t="shared" si="503"/>
        <v>24803579</v>
      </c>
      <c r="C5352" s="4" t="str">
        <f t="shared" si="504"/>
        <v>GSE50493</v>
      </c>
      <c r="D5352" s="1" t="s">
        <v>303</v>
      </c>
      <c r="E5352" t="s">
        <v>84</v>
      </c>
      <c r="F5352" s="1">
        <v>2</v>
      </c>
      <c r="G5352" s="1" t="s">
        <v>307</v>
      </c>
      <c r="H5352" s="4" t="str">
        <f>HYPERLINK("https://www.ncbi.nlm.nih.gov/geo/query/acc.cgi?acc=GSM1220070","GSM1220070")</f>
        <v>GSM1220070</v>
      </c>
      <c r="I5352" t="s">
        <v>82</v>
      </c>
      <c r="J5352" t="s">
        <v>83</v>
      </c>
      <c r="K5352" t="s">
        <v>19</v>
      </c>
      <c r="L5352" t="s">
        <v>27</v>
      </c>
      <c r="M5352" t="s">
        <v>308</v>
      </c>
      <c r="N5352" t="s">
        <v>22</v>
      </c>
    </row>
    <row r="5353" spans="1:14">
      <c r="A5353" s="4" t="str">
        <f t="shared" si="505"/>
        <v>EXP00186</v>
      </c>
      <c r="B5353" s="4" t="str">
        <f t="shared" ref="B5353:B5416" si="506">HYPERLINK("https://www.ncbi.nlm.nih.gov/pubmed/24803579","24803579")</f>
        <v>24803579</v>
      </c>
      <c r="C5353" s="4" t="str">
        <f t="shared" ref="C5353:C5416" si="507">HYPERLINK("https://www.ncbi.nlm.nih.gov/geo/query/acc.cgi?acc=GSE50493","GSE50493")</f>
        <v>GSE50493</v>
      </c>
      <c r="D5353" s="1" t="s">
        <v>303</v>
      </c>
      <c r="E5353" t="s">
        <v>84</v>
      </c>
      <c r="F5353" s="1">
        <v>2</v>
      </c>
      <c r="G5353" s="1" t="s">
        <v>307</v>
      </c>
      <c r="H5353" s="4" t="str">
        <f>HYPERLINK("https://www.ncbi.nlm.nih.gov/geo/query/acc.cgi?acc=GSM1220072","GSM1220072")</f>
        <v>GSM1220072</v>
      </c>
      <c r="I5353" t="s">
        <v>82</v>
      </c>
      <c r="J5353" t="s">
        <v>83</v>
      </c>
      <c r="K5353" t="s">
        <v>19</v>
      </c>
      <c r="L5353" t="s">
        <v>27</v>
      </c>
      <c r="M5353" t="s">
        <v>308</v>
      </c>
      <c r="N5353" t="s">
        <v>22</v>
      </c>
    </row>
    <row r="5354" spans="1:14">
      <c r="A5354" s="4" t="str">
        <f t="shared" si="505"/>
        <v>EXP00186</v>
      </c>
      <c r="B5354" s="4" t="str">
        <f t="shared" si="506"/>
        <v>24803579</v>
      </c>
      <c r="C5354" s="4" t="str">
        <f t="shared" si="507"/>
        <v>GSE50493</v>
      </c>
      <c r="D5354" s="1" t="s">
        <v>303</v>
      </c>
      <c r="E5354" t="s">
        <v>84</v>
      </c>
      <c r="F5354" s="1">
        <v>2</v>
      </c>
      <c r="G5354" s="1" t="s">
        <v>307</v>
      </c>
      <c r="H5354" s="4" t="str">
        <f>HYPERLINK("https://www.ncbi.nlm.nih.gov/geo/query/acc.cgi?acc=GSM1220073","GSM1220073")</f>
        <v>GSM1220073</v>
      </c>
      <c r="I5354" t="s">
        <v>82</v>
      </c>
      <c r="J5354" t="s">
        <v>83</v>
      </c>
      <c r="K5354" t="s">
        <v>19</v>
      </c>
      <c r="L5354" t="s">
        <v>27</v>
      </c>
      <c r="M5354" t="s">
        <v>308</v>
      </c>
      <c r="N5354" t="s">
        <v>22</v>
      </c>
    </row>
    <row r="5355" spans="1:14">
      <c r="A5355" s="4" t="str">
        <f t="shared" ref="A5355:A5391" si="508">HYPERLINK("http://hcmdb.i-sanger.com/experiment/details/experiment_id/EXP00187","EXP00187")</f>
        <v>EXP00187</v>
      </c>
      <c r="B5355" s="4" t="str">
        <f t="shared" si="506"/>
        <v>24803579</v>
      </c>
      <c r="C5355" s="4" t="str">
        <f t="shared" si="507"/>
        <v>GSE50493</v>
      </c>
      <c r="D5355" s="1" t="s">
        <v>303</v>
      </c>
      <c r="E5355" t="s">
        <v>84</v>
      </c>
      <c r="F5355" s="1">
        <v>1</v>
      </c>
      <c r="G5355" s="1" t="s">
        <v>305</v>
      </c>
      <c r="H5355" s="4" t="str">
        <f>HYPERLINK("https://www.ncbi.nlm.nih.gov/geo/query/acc.cgi?acc=GSM1220035","GSM1220035")</f>
        <v>GSM1220035</v>
      </c>
      <c r="I5355" t="s">
        <v>82</v>
      </c>
      <c r="J5355" t="s">
        <v>83</v>
      </c>
      <c r="K5355" t="s">
        <v>19</v>
      </c>
      <c r="L5355" t="s">
        <v>27</v>
      </c>
      <c r="M5355" t="s">
        <v>21</v>
      </c>
      <c r="N5355" t="s">
        <v>22</v>
      </c>
    </row>
    <row r="5356" spans="1:14">
      <c r="A5356" s="4" t="str">
        <f t="shared" si="508"/>
        <v>EXP00187</v>
      </c>
      <c r="B5356" s="4" t="str">
        <f t="shared" si="506"/>
        <v>24803579</v>
      </c>
      <c r="C5356" s="4" t="str">
        <f t="shared" si="507"/>
        <v>GSE50493</v>
      </c>
      <c r="D5356" s="1" t="s">
        <v>303</v>
      </c>
      <c r="E5356" t="s">
        <v>84</v>
      </c>
      <c r="F5356" s="1">
        <v>1</v>
      </c>
      <c r="G5356" s="1" t="s">
        <v>305</v>
      </c>
      <c r="H5356" s="4" t="str">
        <f>HYPERLINK("https://www.ncbi.nlm.nih.gov/geo/query/acc.cgi?acc=GSM1220036","GSM1220036")</f>
        <v>GSM1220036</v>
      </c>
      <c r="I5356" t="s">
        <v>82</v>
      </c>
      <c r="J5356" t="s">
        <v>83</v>
      </c>
      <c r="K5356" t="s">
        <v>19</v>
      </c>
      <c r="L5356" t="s">
        <v>27</v>
      </c>
      <c r="M5356" t="s">
        <v>21</v>
      </c>
      <c r="N5356" t="s">
        <v>22</v>
      </c>
    </row>
    <row r="5357" spans="1:14">
      <c r="A5357" s="4" t="str">
        <f t="shared" si="508"/>
        <v>EXP00187</v>
      </c>
      <c r="B5357" s="4" t="str">
        <f t="shared" si="506"/>
        <v>24803579</v>
      </c>
      <c r="C5357" s="4" t="str">
        <f t="shared" si="507"/>
        <v>GSE50493</v>
      </c>
      <c r="D5357" s="1" t="s">
        <v>303</v>
      </c>
      <c r="E5357" t="s">
        <v>84</v>
      </c>
      <c r="F5357" s="1">
        <v>1</v>
      </c>
      <c r="G5357" s="1" t="s">
        <v>305</v>
      </c>
      <c r="H5357" s="4" t="str">
        <f>HYPERLINK("https://www.ncbi.nlm.nih.gov/geo/query/acc.cgi?acc=GSM1220037","GSM1220037")</f>
        <v>GSM1220037</v>
      </c>
      <c r="I5357" t="s">
        <v>82</v>
      </c>
      <c r="J5357" t="s">
        <v>83</v>
      </c>
      <c r="K5357" t="s">
        <v>19</v>
      </c>
      <c r="L5357" t="s">
        <v>27</v>
      </c>
      <c r="M5357" t="s">
        <v>21</v>
      </c>
      <c r="N5357" t="s">
        <v>22</v>
      </c>
    </row>
    <row r="5358" spans="1:14">
      <c r="A5358" s="4" t="str">
        <f t="shared" si="508"/>
        <v>EXP00187</v>
      </c>
      <c r="B5358" s="4" t="str">
        <f t="shared" si="506"/>
        <v>24803579</v>
      </c>
      <c r="C5358" s="4" t="str">
        <f t="shared" si="507"/>
        <v>GSE50493</v>
      </c>
      <c r="D5358" s="1" t="s">
        <v>303</v>
      </c>
      <c r="E5358" t="s">
        <v>84</v>
      </c>
      <c r="F5358" s="1">
        <v>1</v>
      </c>
      <c r="G5358" s="1" t="s">
        <v>305</v>
      </c>
      <c r="H5358" s="4" t="str">
        <f>HYPERLINK("https://www.ncbi.nlm.nih.gov/geo/query/acc.cgi?acc=GSM1220038","GSM1220038")</f>
        <v>GSM1220038</v>
      </c>
      <c r="I5358" t="s">
        <v>82</v>
      </c>
      <c r="J5358" t="s">
        <v>83</v>
      </c>
      <c r="K5358" t="s">
        <v>19</v>
      </c>
      <c r="L5358" t="s">
        <v>27</v>
      </c>
      <c r="M5358" t="s">
        <v>21</v>
      </c>
      <c r="N5358" t="s">
        <v>22</v>
      </c>
    </row>
    <row r="5359" spans="1:14">
      <c r="A5359" s="4" t="str">
        <f t="shared" si="508"/>
        <v>EXP00187</v>
      </c>
      <c r="B5359" s="4" t="str">
        <f t="shared" si="506"/>
        <v>24803579</v>
      </c>
      <c r="C5359" s="4" t="str">
        <f t="shared" si="507"/>
        <v>GSE50493</v>
      </c>
      <c r="D5359" s="1" t="s">
        <v>303</v>
      </c>
      <c r="E5359" t="s">
        <v>84</v>
      </c>
      <c r="F5359" s="1">
        <v>1</v>
      </c>
      <c r="G5359" s="1" t="s">
        <v>305</v>
      </c>
      <c r="H5359" s="4" t="str">
        <f>HYPERLINK("https://www.ncbi.nlm.nih.gov/geo/query/acc.cgi?acc=GSM1220039","GSM1220039")</f>
        <v>GSM1220039</v>
      </c>
      <c r="I5359" t="s">
        <v>82</v>
      </c>
      <c r="J5359" t="s">
        <v>83</v>
      </c>
      <c r="K5359" t="s">
        <v>19</v>
      </c>
      <c r="L5359" t="s">
        <v>27</v>
      </c>
      <c r="M5359" t="s">
        <v>21</v>
      </c>
      <c r="N5359" t="s">
        <v>22</v>
      </c>
    </row>
    <row r="5360" spans="1:14">
      <c r="A5360" s="4" t="str">
        <f t="shared" si="508"/>
        <v>EXP00187</v>
      </c>
      <c r="B5360" s="4" t="str">
        <f t="shared" si="506"/>
        <v>24803579</v>
      </c>
      <c r="C5360" s="4" t="str">
        <f t="shared" si="507"/>
        <v>GSE50493</v>
      </c>
      <c r="D5360" s="1" t="s">
        <v>303</v>
      </c>
      <c r="E5360" t="s">
        <v>84</v>
      </c>
      <c r="F5360" s="1">
        <v>1</v>
      </c>
      <c r="G5360" s="1" t="s">
        <v>305</v>
      </c>
      <c r="H5360" s="4" t="str">
        <f>HYPERLINK("https://www.ncbi.nlm.nih.gov/geo/query/acc.cgi?acc=GSM1220040","GSM1220040")</f>
        <v>GSM1220040</v>
      </c>
      <c r="I5360" t="s">
        <v>82</v>
      </c>
      <c r="J5360" t="s">
        <v>83</v>
      </c>
      <c r="K5360" t="s">
        <v>19</v>
      </c>
      <c r="L5360" t="s">
        <v>27</v>
      </c>
      <c r="M5360" t="s">
        <v>21</v>
      </c>
      <c r="N5360" t="s">
        <v>22</v>
      </c>
    </row>
    <row r="5361" spans="1:14">
      <c r="A5361" s="4" t="str">
        <f t="shared" si="508"/>
        <v>EXP00187</v>
      </c>
      <c r="B5361" s="4" t="str">
        <f t="shared" si="506"/>
        <v>24803579</v>
      </c>
      <c r="C5361" s="4" t="str">
        <f t="shared" si="507"/>
        <v>GSE50493</v>
      </c>
      <c r="D5361" s="1" t="s">
        <v>303</v>
      </c>
      <c r="E5361" t="s">
        <v>84</v>
      </c>
      <c r="F5361" s="1">
        <v>1</v>
      </c>
      <c r="G5361" s="1" t="s">
        <v>305</v>
      </c>
      <c r="H5361" s="4" t="str">
        <f>HYPERLINK("https://www.ncbi.nlm.nih.gov/geo/query/acc.cgi?acc=GSM1220041","GSM1220041")</f>
        <v>GSM1220041</v>
      </c>
      <c r="I5361" t="s">
        <v>82</v>
      </c>
      <c r="J5361" t="s">
        <v>83</v>
      </c>
      <c r="K5361" t="s">
        <v>19</v>
      </c>
      <c r="L5361" t="s">
        <v>27</v>
      </c>
      <c r="M5361" t="s">
        <v>21</v>
      </c>
      <c r="N5361" t="s">
        <v>22</v>
      </c>
    </row>
    <row r="5362" spans="1:14">
      <c r="A5362" s="4" t="str">
        <f t="shared" si="508"/>
        <v>EXP00187</v>
      </c>
      <c r="B5362" s="4" t="str">
        <f t="shared" si="506"/>
        <v>24803579</v>
      </c>
      <c r="C5362" s="4" t="str">
        <f t="shared" si="507"/>
        <v>GSE50493</v>
      </c>
      <c r="D5362" s="1" t="s">
        <v>303</v>
      </c>
      <c r="E5362" t="s">
        <v>84</v>
      </c>
      <c r="F5362" s="1">
        <v>1</v>
      </c>
      <c r="G5362" s="1" t="s">
        <v>305</v>
      </c>
      <c r="H5362" s="4" t="str">
        <f>HYPERLINK("https://www.ncbi.nlm.nih.gov/geo/query/acc.cgi?acc=GSM1220042","GSM1220042")</f>
        <v>GSM1220042</v>
      </c>
      <c r="I5362" t="s">
        <v>82</v>
      </c>
      <c r="J5362" t="s">
        <v>83</v>
      </c>
      <c r="K5362" t="s">
        <v>19</v>
      </c>
      <c r="L5362" t="s">
        <v>27</v>
      </c>
      <c r="M5362" t="s">
        <v>21</v>
      </c>
      <c r="N5362" t="s">
        <v>22</v>
      </c>
    </row>
    <row r="5363" spans="1:14">
      <c r="A5363" s="4" t="str">
        <f t="shared" si="508"/>
        <v>EXP00187</v>
      </c>
      <c r="B5363" s="4" t="str">
        <f t="shared" si="506"/>
        <v>24803579</v>
      </c>
      <c r="C5363" s="4" t="str">
        <f t="shared" si="507"/>
        <v>GSE50493</v>
      </c>
      <c r="D5363" s="1" t="s">
        <v>303</v>
      </c>
      <c r="E5363" t="s">
        <v>84</v>
      </c>
      <c r="F5363" s="1">
        <v>1</v>
      </c>
      <c r="G5363" s="1" t="s">
        <v>305</v>
      </c>
      <c r="H5363" s="4" t="str">
        <f>HYPERLINK("https://www.ncbi.nlm.nih.gov/geo/query/acc.cgi?acc=GSM1220043","GSM1220043")</f>
        <v>GSM1220043</v>
      </c>
      <c r="I5363" t="s">
        <v>82</v>
      </c>
      <c r="J5363" t="s">
        <v>83</v>
      </c>
      <c r="K5363" t="s">
        <v>19</v>
      </c>
      <c r="L5363" t="s">
        <v>27</v>
      </c>
      <c r="M5363" t="s">
        <v>21</v>
      </c>
      <c r="N5363" t="s">
        <v>22</v>
      </c>
    </row>
    <row r="5364" spans="1:14">
      <c r="A5364" s="4" t="str">
        <f t="shared" si="508"/>
        <v>EXP00187</v>
      </c>
      <c r="B5364" s="4" t="str">
        <f t="shared" si="506"/>
        <v>24803579</v>
      </c>
      <c r="C5364" s="4" t="str">
        <f t="shared" si="507"/>
        <v>GSE50493</v>
      </c>
      <c r="D5364" s="1" t="s">
        <v>303</v>
      </c>
      <c r="E5364" t="s">
        <v>84</v>
      </c>
      <c r="F5364" s="1">
        <v>1</v>
      </c>
      <c r="G5364" s="1" t="s">
        <v>305</v>
      </c>
      <c r="H5364" s="4" t="str">
        <f>HYPERLINK("https://www.ncbi.nlm.nih.gov/geo/query/acc.cgi?acc=GSM1220044","GSM1220044")</f>
        <v>GSM1220044</v>
      </c>
      <c r="I5364" t="s">
        <v>82</v>
      </c>
      <c r="J5364" t="s">
        <v>83</v>
      </c>
      <c r="K5364" t="s">
        <v>19</v>
      </c>
      <c r="L5364" t="s">
        <v>27</v>
      </c>
      <c r="M5364" t="s">
        <v>21</v>
      </c>
      <c r="N5364" t="s">
        <v>22</v>
      </c>
    </row>
    <row r="5365" spans="1:14">
      <c r="A5365" s="4" t="str">
        <f t="shared" si="508"/>
        <v>EXP00187</v>
      </c>
      <c r="B5365" s="4" t="str">
        <f t="shared" si="506"/>
        <v>24803579</v>
      </c>
      <c r="C5365" s="4" t="str">
        <f t="shared" si="507"/>
        <v>GSE50493</v>
      </c>
      <c r="D5365" s="1" t="s">
        <v>303</v>
      </c>
      <c r="E5365" t="s">
        <v>84</v>
      </c>
      <c r="F5365" s="1">
        <v>1</v>
      </c>
      <c r="G5365" s="1" t="s">
        <v>305</v>
      </c>
      <c r="H5365" s="4" t="str">
        <f>HYPERLINK("https://www.ncbi.nlm.nih.gov/geo/query/acc.cgi?acc=GSM1220045","GSM1220045")</f>
        <v>GSM1220045</v>
      </c>
      <c r="I5365" t="s">
        <v>82</v>
      </c>
      <c r="J5365" t="s">
        <v>83</v>
      </c>
      <c r="K5365" t="s">
        <v>19</v>
      </c>
      <c r="L5365" t="s">
        <v>27</v>
      </c>
      <c r="M5365" t="s">
        <v>21</v>
      </c>
      <c r="N5365" t="s">
        <v>22</v>
      </c>
    </row>
    <row r="5366" spans="1:14">
      <c r="A5366" s="4" t="str">
        <f t="shared" si="508"/>
        <v>EXP00187</v>
      </c>
      <c r="B5366" s="4" t="str">
        <f t="shared" si="506"/>
        <v>24803579</v>
      </c>
      <c r="C5366" s="4" t="str">
        <f t="shared" si="507"/>
        <v>GSE50493</v>
      </c>
      <c r="D5366" s="1" t="s">
        <v>303</v>
      </c>
      <c r="E5366" t="s">
        <v>84</v>
      </c>
      <c r="F5366" s="1">
        <v>1</v>
      </c>
      <c r="G5366" s="1" t="s">
        <v>305</v>
      </c>
      <c r="H5366" s="4" t="str">
        <f>HYPERLINK("https://www.ncbi.nlm.nih.gov/geo/query/acc.cgi?acc=GSM1220046","GSM1220046")</f>
        <v>GSM1220046</v>
      </c>
      <c r="I5366" t="s">
        <v>82</v>
      </c>
      <c r="J5366" t="s">
        <v>83</v>
      </c>
      <c r="K5366" t="s">
        <v>19</v>
      </c>
      <c r="L5366" t="s">
        <v>27</v>
      </c>
      <c r="M5366" t="s">
        <v>21</v>
      </c>
      <c r="N5366" t="s">
        <v>22</v>
      </c>
    </row>
    <row r="5367" spans="1:14">
      <c r="A5367" s="4" t="str">
        <f t="shared" si="508"/>
        <v>EXP00187</v>
      </c>
      <c r="B5367" s="4" t="str">
        <f t="shared" si="506"/>
        <v>24803579</v>
      </c>
      <c r="C5367" s="4" t="str">
        <f t="shared" si="507"/>
        <v>GSE50493</v>
      </c>
      <c r="D5367" s="1" t="s">
        <v>303</v>
      </c>
      <c r="E5367" t="s">
        <v>84</v>
      </c>
      <c r="F5367" s="1">
        <v>1</v>
      </c>
      <c r="G5367" s="1" t="s">
        <v>305</v>
      </c>
      <c r="H5367" s="4" t="str">
        <f>HYPERLINK("https://www.ncbi.nlm.nih.gov/geo/query/acc.cgi?acc=GSM1220047","GSM1220047")</f>
        <v>GSM1220047</v>
      </c>
      <c r="I5367" t="s">
        <v>82</v>
      </c>
      <c r="J5367" t="s">
        <v>83</v>
      </c>
      <c r="K5367" t="s">
        <v>19</v>
      </c>
      <c r="L5367" t="s">
        <v>27</v>
      </c>
      <c r="M5367" t="s">
        <v>21</v>
      </c>
      <c r="N5367" t="s">
        <v>22</v>
      </c>
    </row>
    <row r="5368" spans="1:14">
      <c r="A5368" s="4" t="str">
        <f t="shared" si="508"/>
        <v>EXP00187</v>
      </c>
      <c r="B5368" s="4" t="str">
        <f t="shared" si="506"/>
        <v>24803579</v>
      </c>
      <c r="C5368" s="4" t="str">
        <f t="shared" si="507"/>
        <v>GSE50493</v>
      </c>
      <c r="D5368" s="1" t="s">
        <v>303</v>
      </c>
      <c r="E5368" t="s">
        <v>84</v>
      </c>
      <c r="F5368" s="1">
        <v>1</v>
      </c>
      <c r="G5368" s="1" t="s">
        <v>305</v>
      </c>
      <c r="H5368" s="4" t="str">
        <f>HYPERLINK("https://www.ncbi.nlm.nih.gov/geo/query/acc.cgi?acc=GSM1220048","GSM1220048")</f>
        <v>GSM1220048</v>
      </c>
      <c r="I5368" t="s">
        <v>82</v>
      </c>
      <c r="J5368" t="s">
        <v>83</v>
      </c>
      <c r="K5368" t="s">
        <v>19</v>
      </c>
      <c r="L5368" t="s">
        <v>27</v>
      </c>
      <c r="M5368" t="s">
        <v>21</v>
      </c>
      <c r="N5368" t="s">
        <v>22</v>
      </c>
    </row>
    <row r="5369" spans="1:14">
      <c r="A5369" s="4" t="str">
        <f t="shared" si="508"/>
        <v>EXP00187</v>
      </c>
      <c r="B5369" s="4" t="str">
        <f t="shared" si="506"/>
        <v>24803579</v>
      </c>
      <c r="C5369" s="4" t="str">
        <f t="shared" si="507"/>
        <v>GSE50493</v>
      </c>
      <c r="D5369" s="1" t="s">
        <v>303</v>
      </c>
      <c r="E5369" t="s">
        <v>84</v>
      </c>
      <c r="F5369" s="1">
        <v>1</v>
      </c>
      <c r="G5369" s="1" t="s">
        <v>305</v>
      </c>
      <c r="H5369" s="4" t="str">
        <f>HYPERLINK("https://www.ncbi.nlm.nih.gov/geo/query/acc.cgi?acc=GSM1220049","GSM1220049")</f>
        <v>GSM1220049</v>
      </c>
      <c r="I5369" t="s">
        <v>82</v>
      </c>
      <c r="J5369" t="s">
        <v>83</v>
      </c>
      <c r="K5369" t="s">
        <v>19</v>
      </c>
      <c r="L5369" t="s">
        <v>27</v>
      </c>
      <c r="M5369" t="s">
        <v>21</v>
      </c>
      <c r="N5369" t="s">
        <v>22</v>
      </c>
    </row>
    <row r="5370" spans="1:14">
      <c r="A5370" s="4" t="str">
        <f t="shared" si="508"/>
        <v>EXP00187</v>
      </c>
      <c r="B5370" s="4" t="str">
        <f t="shared" si="506"/>
        <v>24803579</v>
      </c>
      <c r="C5370" s="4" t="str">
        <f t="shared" si="507"/>
        <v>GSE50493</v>
      </c>
      <c r="D5370" s="1" t="s">
        <v>303</v>
      </c>
      <c r="E5370" t="s">
        <v>84</v>
      </c>
      <c r="F5370" s="1">
        <v>1</v>
      </c>
      <c r="G5370" s="1" t="s">
        <v>305</v>
      </c>
      <c r="H5370" s="4" t="str">
        <f>HYPERLINK("https://www.ncbi.nlm.nih.gov/geo/query/acc.cgi?acc=GSM1220050","GSM1220050")</f>
        <v>GSM1220050</v>
      </c>
      <c r="I5370" t="s">
        <v>82</v>
      </c>
      <c r="J5370" t="s">
        <v>83</v>
      </c>
      <c r="K5370" t="s">
        <v>19</v>
      </c>
      <c r="L5370" t="s">
        <v>27</v>
      </c>
      <c r="M5370" t="s">
        <v>21</v>
      </c>
      <c r="N5370" t="s">
        <v>22</v>
      </c>
    </row>
    <row r="5371" spans="1:14">
      <c r="A5371" s="4" t="str">
        <f t="shared" si="508"/>
        <v>EXP00187</v>
      </c>
      <c r="B5371" s="4" t="str">
        <f t="shared" si="506"/>
        <v>24803579</v>
      </c>
      <c r="C5371" s="4" t="str">
        <f t="shared" si="507"/>
        <v>GSE50493</v>
      </c>
      <c r="D5371" s="1" t="s">
        <v>303</v>
      </c>
      <c r="E5371" t="s">
        <v>84</v>
      </c>
      <c r="F5371" s="1">
        <v>1</v>
      </c>
      <c r="G5371" s="1" t="s">
        <v>305</v>
      </c>
      <c r="H5371" s="4" t="str">
        <f>HYPERLINK("https://www.ncbi.nlm.nih.gov/geo/query/acc.cgi?acc=GSM1220051","GSM1220051")</f>
        <v>GSM1220051</v>
      </c>
      <c r="I5371" t="s">
        <v>82</v>
      </c>
      <c r="J5371" t="s">
        <v>83</v>
      </c>
      <c r="K5371" t="s">
        <v>19</v>
      </c>
      <c r="L5371" t="s">
        <v>27</v>
      </c>
      <c r="M5371" t="s">
        <v>21</v>
      </c>
      <c r="N5371" t="s">
        <v>22</v>
      </c>
    </row>
    <row r="5372" spans="1:14">
      <c r="A5372" s="4" t="str">
        <f t="shared" si="508"/>
        <v>EXP00187</v>
      </c>
      <c r="B5372" s="4" t="str">
        <f t="shared" si="506"/>
        <v>24803579</v>
      </c>
      <c r="C5372" s="4" t="str">
        <f t="shared" si="507"/>
        <v>GSE50493</v>
      </c>
      <c r="D5372" s="1" t="s">
        <v>303</v>
      </c>
      <c r="E5372" t="s">
        <v>84</v>
      </c>
      <c r="F5372" s="1">
        <v>1</v>
      </c>
      <c r="G5372" s="1" t="s">
        <v>305</v>
      </c>
      <c r="H5372" s="4" t="str">
        <f>HYPERLINK("https://www.ncbi.nlm.nih.gov/geo/query/acc.cgi?acc=GSM1220052","GSM1220052")</f>
        <v>GSM1220052</v>
      </c>
      <c r="I5372" t="s">
        <v>82</v>
      </c>
      <c r="J5372" t="s">
        <v>83</v>
      </c>
      <c r="K5372" t="s">
        <v>19</v>
      </c>
      <c r="L5372" t="s">
        <v>27</v>
      </c>
      <c r="M5372" t="s">
        <v>21</v>
      </c>
      <c r="N5372" t="s">
        <v>22</v>
      </c>
    </row>
    <row r="5373" spans="1:14">
      <c r="A5373" s="4" t="str">
        <f t="shared" si="508"/>
        <v>EXP00187</v>
      </c>
      <c r="B5373" s="4" t="str">
        <f t="shared" si="506"/>
        <v>24803579</v>
      </c>
      <c r="C5373" s="4" t="str">
        <f t="shared" si="507"/>
        <v>GSE50493</v>
      </c>
      <c r="D5373" s="1" t="s">
        <v>303</v>
      </c>
      <c r="E5373" t="s">
        <v>84</v>
      </c>
      <c r="F5373" s="1">
        <v>1</v>
      </c>
      <c r="G5373" s="1" t="s">
        <v>305</v>
      </c>
      <c r="H5373" s="4" t="str">
        <f>HYPERLINK("https://www.ncbi.nlm.nih.gov/geo/query/acc.cgi?acc=GSM1220053","GSM1220053")</f>
        <v>GSM1220053</v>
      </c>
      <c r="I5373" t="s">
        <v>82</v>
      </c>
      <c r="J5373" t="s">
        <v>83</v>
      </c>
      <c r="K5373" t="s">
        <v>19</v>
      </c>
      <c r="L5373" t="s">
        <v>27</v>
      </c>
      <c r="M5373" t="s">
        <v>21</v>
      </c>
      <c r="N5373" t="s">
        <v>22</v>
      </c>
    </row>
    <row r="5374" spans="1:14">
      <c r="A5374" s="4" t="str">
        <f t="shared" si="508"/>
        <v>EXP00187</v>
      </c>
      <c r="B5374" s="4" t="str">
        <f t="shared" si="506"/>
        <v>24803579</v>
      </c>
      <c r="C5374" s="4" t="str">
        <f t="shared" si="507"/>
        <v>GSE50493</v>
      </c>
      <c r="D5374" s="1" t="s">
        <v>303</v>
      </c>
      <c r="E5374" t="s">
        <v>84</v>
      </c>
      <c r="F5374" s="1">
        <v>1</v>
      </c>
      <c r="G5374" s="1" t="s">
        <v>305</v>
      </c>
      <c r="H5374" s="4" t="str">
        <f>HYPERLINK("https://www.ncbi.nlm.nih.gov/geo/query/acc.cgi?acc=GSM1220054","GSM1220054")</f>
        <v>GSM1220054</v>
      </c>
      <c r="I5374" t="s">
        <v>82</v>
      </c>
      <c r="J5374" t="s">
        <v>83</v>
      </c>
      <c r="K5374" t="s">
        <v>19</v>
      </c>
      <c r="L5374" t="s">
        <v>27</v>
      </c>
      <c r="M5374" t="s">
        <v>21</v>
      </c>
      <c r="N5374" t="s">
        <v>22</v>
      </c>
    </row>
    <row r="5375" spans="1:14">
      <c r="A5375" s="4" t="str">
        <f t="shared" si="508"/>
        <v>EXP00187</v>
      </c>
      <c r="B5375" s="4" t="str">
        <f t="shared" si="506"/>
        <v>24803579</v>
      </c>
      <c r="C5375" s="4" t="str">
        <f t="shared" si="507"/>
        <v>GSE50493</v>
      </c>
      <c r="D5375" s="1" t="s">
        <v>303</v>
      </c>
      <c r="E5375" t="s">
        <v>84</v>
      </c>
      <c r="F5375" s="1">
        <v>1</v>
      </c>
      <c r="G5375" s="1" t="s">
        <v>305</v>
      </c>
      <c r="H5375" s="4" t="str">
        <f>HYPERLINK("https://www.ncbi.nlm.nih.gov/geo/query/acc.cgi?acc=GSM1220055","GSM1220055")</f>
        <v>GSM1220055</v>
      </c>
      <c r="I5375" t="s">
        <v>82</v>
      </c>
      <c r="J5375" t="s">
        <v>83</v>
      </c>
      <c r="K5375" t="s">
        <v>19</v>
      </c>
      <c r="L5375" t="s">
        <v>27</v>
      </c>
      <c r="M5375" t="s">
        <v>21</v>
      </c>
      <c r="N5375" t="s">
        <v>22</v>
      </c>
    </row>
    <row r="5376" spans="1:14">
      <c r="A5376" s="4" t="str">
        <f t="shared" si="508"/>
        <v>EXP00187</v>
      </c>
      <c r="B5376" s="4" t="str">
        <f t="shared" si="506"/>
        <v>24803579</v>
      </c>
      <c r="C5376" s="4" t="str">
        <f t="shared" si="507"/>
        <v>GSE50493</v>
      </c>
      <c r="D5376" s="1" t="s">
        <v>303</v>
      </c>
      <c r="E5376" t="s">
        <v>84</v>
      </c>
      <c r="F5376" s="1">
        <v>1</v>
      </c>
      <c r="G5376" s="1" t="s">
        <v>305</v>
      </c>
      <c r="H5376" s="4" t="str">
        <f>HYPERLINK("https://www.ncbi.nlm.nih.gov/geo/query/acc.cgi?acc=GSM1220056","GSM1220056")</f>
        <v>GSM1220056</v>
      </c>
      <c r="I5376" t="s">
        <v>82</v>
      </c>
      <c r="J5376" t="s">
        <v>83</v>
      </c>
      <c r="K5376" t="s">
        <v>19</v>
      </c>
      <c r="L5376" t="s">
        <v>27</v>
      </c>
      <c r="M5376" t="s">
        <v>21</v>
      </c>
      <c r="N5376" t="s">
        <v>22</v>
      </c>
    </row>
    <row r="5377" spans="1:14">
      <c r="A5377" s="4" t="str">
        <f t="shared" si="508"/>
        <v>EXP00187</v>
      </c>
      <c r="B5377" s="4" t="str">
        <f t="shared" si="506"/>
        <v>24803579</v>
      </c>
      <c r="C5377" s="4" t="str">
        <f t="shared" si="507"/>
        <v>GSE50493</v>
      </c>
      <c r="D5377" s="1" t="s">
        <v>303</v>
      </c>
      <c r="E5377" t="s">
        <v>84</v>
      </c>
      <c r="F5377" s="1">
        <v>1</v>
      </c>
      <c r="G5377" s="1" t="s">
        <v>305</v>
      </c>
      <c r="H5377" s="4" t="str">
        <f>HYPERLINK("https://www.ncbi.nlm.nih.gov/geo/query/acc.cgi?acc=GSM1220057","GSM1220057")</f>
        <v>GSM1220057</v>
      </c>
      <c r="I5377" t="s">
        <v>82</v>
      </c>
      <c r="J5377" t="s">
        <v>83</v>
      </c>
      <c r="K5377" t="s">
        <v>19</v>
      </c>
      <c r="L5377" t="s">
        <v>27</v>
      </c>
      <c r="M5377" t="s">
        <v>21</v>
      </c>
      <c r="N5377" t="s">
        <v>22</v>
      </c>
    </row>
    <row r="5378" spans="1:14">
      <c r="A5378" s="4" t="str">
        <f t="shared" si="508"/>
        <v>EXP00187</v>
      </c>
      <c r="B5378" s="4" t="str">
        <f t="shared" si="506"/>
        <v>24803579</v>
      </c>
      <c r="C5378" s="4" t="str">
        <f t="shared" si="507"/>
        <v>GSE50493</v>
      </c>
      <c r="D5378" s="1" t="s">
        <v>303</v>
      </c>
      <c r="E5378" t="s">
        <v>84</v>
      </c>
      <c r="F5378" s="1">
        <v>1</v>
      </c>
      <c r="G5378" s="1" t="s">
        <v>305</v>
      </c>
      <c r="H5378" s="4" t="str">
        <f>HYPERLINK("https://www.ncbi.nlm.nih.gov/geo/query/acc.cgi?acc=GSM1220058","GSM1220058")</f>
        <v>GSM1220058</v>
      </c>
      <c r="I5378" t="s">
        <v>82</v>
      </c>
      <c r="J5378" t="s">
        <v>83</v>
      </c>
      <c r="K5378" t="s">
        <v>19</v>
      </c>
      <c r="L5378" t="s">
        <v>27</v>
      </c>
      <c r="M5378" t="s">
        <v>21</v>
      </c>
      <c r="N5378" t="s">
        <v>22</v>
      </c>
    </row>
    <row r="5379" spans="1:14">
      <c r="A5379" s="4" t="str">
        <f t="shared" si="508"/>
        <v>EXP00187</v>
      </c>
      <c r="B5379" s="4" t="str">
        <f t="shared" si="506"/>
        <v>24803579</v>
      </c>
      <c r="C5379" s="4" t="str">
        <f t="shared" si="507"/>
        <v>GSE50493</v>
      </c>
      <c r="D5379" s="1" t="s">
        <v>303</v>
      </c>
      <c r="E5379" t="s">
        <v>84</v>
      </c>
      <c r="F5379" s="1">
        <v>1</v>
      </c>
      <c r="G5379" s="1" t="s">
        <v>305</v>
      </c>
      <c r="H5379" s="4" t="str">
        <f>HYPERLINK("https://www.ncbi.nlm.nih.gov/geo/query/acc.cgi?acc=GSM1220059","GSM1220059")</f>
        <v>GSM1220059</v>
      </c>
      <c r="I5379" t="s">
        <v>82</v>
      </c>
      <c r="J5379" t="s">
        <v>83</v>
      </c>
      <c r="K5379" t="s">
        <v>19</v>
      </c>
      <c r="L5379" t="s">
        <v>27</v>
      </c>
      <c r="M5379" t="s">
        <v>21</v>
      </c>
      <c r="N5379" t="s">
        <v>22</v>
      </c>
    </row>
    <row r="5380" spans="1:14">
      <c r="A5380" s="4" t="str">
        <f t="shared" si="508"/>
        <v>EXP00187</v>
      </c>
      <c r="B5380" s="4" t="str">
        <f t="shared" si="506"/>
        <v>24803579</v>
      </c>
      <c r="C5380" s="4" t="str">
        <f t="shared" si="507"/>
        <v>GSE50493</v>
      </c>
      <c r="D5380" s="1" t="s">
        <v>303</v>
      </c>
      <c r="E5380" t="s">
        <v>84</v>
      </c>
      <c r="F5380" s="1">
        <v>1</v>
      </c>
      <c r="G5380" s="1" t="s">
        <v>305</v>
      </c>
      <c r="H5380" s="4" t="str">
        <f>HYPERLINK("https://www.ncbi.nlm.nih.gov/geo/query/acc.cgi?acc=GSM1220060","GSM1220060")</f>
        <v>GSM1220060</v>
      </c>
      <c r="I5380" t="s">
        <v>82</v>
      </c>
      <c r="J5380" t="s">
        <v>83</v>
      </c>
      <c r="K5380" t="s">
        <v>19</v>
      </c>
      <c r="L5380" t="s">
        <v>27</v>
      </c>
      <c r="M5380" t="s">
        <v>21</v>
      </c>
      <c r="N5380" t="s">
        <v>22</v>
      </c>
    </row>
    <row r="5381" spans="1:14">
      <c r="A5381" s="4" t="str">
        <f t="shared" si="508"/>
        <v>EXP00187</v>
      </c>
      <c r="B5381" s="4" t="str">
        <f t="shared" si="506"/>
        <v>24803579</v>
      </c>
      <c r="C5381" s="4" t="str">
        <f t="shared" si="507"/>
        <v>GSE50493</v>
      </c>
      <c r="D5381" s="1" t="s">
        <v>303</v>
      </c>
      <c r="E5381" t="s">
        <v>84</v>
      </c>
      <c r="F5381" s="1">
        <v>1</v>
      </c>
      <c r="G5381" s="1" t="s">
        <v>305</v>
      </c>
      <c r="H5381" s="4" t="str">
        <f>HYPERLINK("https://www.ncbi.nlm.nih.gov/geo/query/acc.cgi?acc=GSM1220061","GSM1220061")</f>
        <v>GSM1220061</v>
      </c>
      <c r="I5381" t="s">
        <v>82</v>
      </c>
      <c r="J5381" t="s">
        <v>83</v>
      </c>
      <c r="K5381" t="s">
        <v>19</v>
      </c>
      <c r="L5381" t="s">
        <v>27</v>
      </c>
      <c r="M5381" t="s">
        <v>21</v>
      </c>
      <c r="N5381" t="s">
        <v>22</v>
      </c>
    </row>
    <row r="5382" spans="1:14">
      <c r="A5382" s="4" t="str">
        <f t="shared" si="508"/>
        <v>EXP00187</v>
      </c>
      <c r="B5382" s="4" t="str">
        <f t="shared" si="506"/>
        <v>24803579</v>
      </c>
      <c r="C5382" s="4" t="str">
        <f t="shared" si="507"/>
        <v>GSE50493</v>
      </c>
      <c r="D5382" s="1" t="s">
        <v>303</v>
      </c>
      <c r="E5382" t="s">
        <v>84</v>
      </c>
      <c r="F5382" s="1">
        <v>1</v>
      </c>
      <c r="G5382" s="1" t="s">
        <v>305</v>
      </c>
      <c r="H5382" s="4" t="str">
        <f>HYPERLINK("https://www.ncbi.nlm.nih.gov/geo/query/acc.cgi?acc=GSM1220062","GSM1220062")</f>
        <v>GSM1220062</v>
      </c>
      <c r="I5382" t="s">
        <v>82</v>
      </c>
      <c r="J5382" t="s">
        <v>83</v>
      </c>
      <c r="K5382" t="s">
        <v>19</v>
      </c>
      <c r="L5382" t="s">
        <v>27</v>
      </c>
      <c r="M5382" t="s">
        <v>21</v>
      </c>
      <c r="N5382" t="s">
        <v>22</v>
      </c>
    </row>
    <row r="5383" spans="1:14">
      <c r="A5383" s="4" t="str">
        <f t="shared" si="508"/>
        <v>EXP00187</v>
      </c>
      <c r="B5383" s="4" t="str">
        <f t="shared" si="506"/>
        <v>24803579</v>
      </c>
      <c r="C5383" s="4" t="str">
        <f t="shared" si="507"/>
        <v>GSE50493</v>
      </c>
      <c r="D5383" s="1" t="s">
        <v>303</v>
      </c>
      <c r="E5383" t="s">
        <v>84</v>
      </c>
      <c r="F5383" s="1">
        <v>1</v>
      </c>
      <c r="G5383" s="1" t="s">
        <v>305</v>
      </c>
      <c r="H5383" s="4" t="str">
        <f>HYPERLINK("https://www.ncbi.nlm.nih.gov/geo/query/acc.cgi?acc=GSM1220063","GSM1220063")</f>
        <v>GSM1220063</v>
      </c>
      <c r="I5383" t="s">
        <v>82</v>
      </c>
      <c r="J5383" t="s">
        <v>83</v>
      </c>
      <c r="K5383" t="s">
        <v>19</v>
      </c>
      <c r="L5383" t="s">
        <v>27</v>
      </c>
      <c r="M5383" t="s">
        <v>21</v>
      </c>
      <c r="N5383" t="s">
        <v>22</v>
      </c>
    </row>
    <row r="5384" spans="1:14">
      <c r="A5384" s="4" t="str">
        <f t="shared" si="508"/>
        <v>EXP00187</v>
      </c>
      <c r="B5384" s="4" t="str">
        <f t="shared" si="506"/>
        <v>24803579</v>
      </c>
      <c r="C5384" s="4" t="str">
        <f t="shared" si="507"/>
        <v>GSE50493</v>
      </c>
      <c r="D5384" s="1" t="s">
        <v>303</v>
      </c>
      <c r="E5384" t="s">
        <v>84</v>
      </c>
      <c r="F5384" s="1">
        <v>2</v>
      </c>
      <c r="G5384" s="1" t="s">
        <v>309</v>
      </c>
      <c r="H5384" s="4" t="str">
        <f>HYPERLINK("https://www.ncbi.nlm.nih.gov/geo/query/acc.cgi?acc=GSM1220066","GSM1220066")</f>
        <v>GSM1220066</v>
      </c>
      <c r="I5384" t="s">
        <v>82</v>
      </c>
      <c r="J5384" t="s">
        <v>83</v>
      </c>
      <c r="K5384" t="s">
        <v>19</v>
      </c>
      <c r="L5384" t="s">
        <v>27</v>
      </c>
      <c r="M5384" t="s">
        <v>213</v>
      </c>
      <c r="N5384" t="s">
        <v>22</v>
      </c>
    </row>
    <row r="5385" spans="1:14">
      <c r="A5385" s="4" t="str">
        <f t="shared" si="508"/>
        <v>EXP00187</v>
      </c>
      <c r="B5385" s="4" t="str">
        <f t="shared" si="506"/>
        <v>24803579</v>
      </c>
      <c r="C5385" s="4" t="str">
        <f t="shared" si="507"/>
        <v>GSE50493</v>
      </c>
      <c r="D5385" s="1" t="s">
        <v>303</v>
      </c>
      <c r="E5385" t="s">
        <v>84</v>
      </c>
      <c r="F5385" s="1">
        <v>2</v>
      </c>
      <c r="G5385" s="1" t="s">
        <v>309</v>
      </c>
      <c r="H5385" s="4" t="str">
        <f>HYPERLINK("https://www.ncbi.nlm.nih.gov/geo/query/acc.cgi?acc=GSM1220067","GSM1220067")</f>
        <v>GSM1220067</v>
      </c>
      <c r="I5385" t="s">
        <v>82</v>
      </c>
      <c r="J5385" t="s">
        <v>83</v>
      </c>
      <c r="K5385" t="s">
        <v>19</v>
      </c>
      <c r="L5385" t="s">
        <v>27</v>
      </c>
      <c r="M5385" t="s">
        <v>213</v>
      </c>
      <c r="N5385" t="s">
        <v>22</v>
      </c>
    </row>
    <row r="5386" spans="1:14">
      <c r="A5386" s="4" t="str">
        <f t="shared" si="508"/>
        <v>EXP00187</v>
      </c>
      <c r="B5386" s="4" t="str">
        <f t="shared" si="506"/>
        <v>24803579</v>
      </c>
      <c r="C5386" s="4" t="str">
        <f t="shared" si="507"/>
        <v>GSE50493</v>
      </c>
      <c r="D5386" s="1" t="s">
        <v>303</v>
      </c>
      <c r="E5386" t="s">
        <v>84</v>
      </c>
      <c r="F5386" s="1">
        <v>2</v>
      </c>
      <c r="G5386" s="1" t="s">
        <v>309</v>
      </c>
      <c r="H5386" s="4" t="str">
        <f>HYPERLINK("https://www.ncbi.nlm.nih.gov/geo/query/acc.cgi?acc=GSM1220068","GSM1220068")</f>
        <v>GSM1220068</v>
      </c>
      <c r="I5386" t="s">
        <v>82</v>
      </c>
      <c r="J5386" t="s">
        <v>83</v>
      </c>
      <c r="K5386" t="s">
        <v>19</v>
      </c>
      <c r="L5386" t="s">
        <v>27</v>
      </c>
      <c r="M5386" t="s">
        <v>213</v>
      </c>
      <c r="N5386" t="s">
        <v>22</v>
      </c>
    </row>
    <row r="5387" spans="1:14">
      <c r="A5387" s="4" t="str">
        <f t="shared" si="508"/>
        <v>EXP00187</v>
      </c>
      <c r="B5387" s="4" t="str">
        <f t="shared" si="506"/>
        <v>24803579</v>
      </c>
      <c r="C5387" s="4" t="str">
        <f t="shared" si="507"/>
        <v>GSE50493</v>
      </c>
      <c r="D5387" s="1" t="s">
        <v>303</v>
      </c>
      <c r="E5387" t="s">
        <v>84</v>
      </c>
      <c r="F5387" s="1">
        <v>2</v>
      </c>
      <c r="G5387" s="1" t="s">
        <v>309</v>
      </c>
      <c r="H5387" s="4" t="str">
        <f>HYPERLINK("https://www.ncbi.nlm.nih.gov/geo/query/acc.cgi?acc=GSM1220079","GSM1220079")</f>
        <v>GSM1220079</v>
      </c>
      <c r="I5387" t="s">
        <v>82</v>
      </c>
      <c r="J5387" t="s">
        <v>83</v>
      </c>
      <c r="K5387" t="s">
        <v>19</v>
      </c>
      <c r="L5387" t="s">
        <v>27</v>
      </c>
      <c r="M5387" t="s">
        <v>213</v>
      </c>
      <c r="N5387" t="s">
        <v>22</v>
      </c>
    </row>
    <row r="5388" spans="1:14">
      <c r="A5388" s="4" t="str">
        <f t="shared" si="508"/>
        <v>EXP00187</v>
      </c>
      <c r="B5388" s="4" t="str">
        <f t="shared" si="506"/>
        <v>24803579</v>
      </c>
      <c r="C5388" s="4" t="str">
        <f t="shared" si="507"/>
        <v>GSE50493</v>
      </c>
      <c r="D5388" s="1" t="s">
        <v>303</v>
      </c>
      <c r="E5388" t="s">
        <v>84</v>
      </c>
      <c r="F5388" s="1">
        <v>2</v>
      </c>
      <c r="G5388" s="1" t="s">
        <v>309</v>
      </c>
      <c r="H5388" s="4" t="str">
        <f>HYPERLINK("https://www.ncbi.nlm.nih.gov/geo/query/acc.cgi?acc=GSM1220093","GSM1220093")</f>
        <v>GSM1220093</v>
      </c>
      <c r="I5388" t="s">
        <v>82</v>
      </c>
      <c r="J5388" t="s">
        <v>83</v>
      </c>
      <c r="K5388" t="s">
        <v>19</v>
      </c>
      <c r="L5388" t="s">
        <v>27</v>
      </c>
      <c r="M5388" t="s">
        <v>213</v>
      </c>
      <c r="N5388" t="s">
        <v>22</v>
      </c>
    </row>
    <row r="5389" spans="1:14">
      <c r="A5389" s="4" t="str">
        <f t="shared" si="508"/>
        <v>EXP00187</v>
      </c>
      <c r="B5389" s="4" t="str">
        <f t="shared" si="506"/>
        <v>24803579</v>
      </c>
      <c r="C5389" s="4" t="str">
        <f t="shared" si="507"/>
        <v>GSE50493</v>
      </c>
      <c r="D5389" s="1" t="s">
        <v>303</v>
      </c>
      <c r="E5389" t="s">
        <v>84</v>
      </c>
      <c r="F5389" s="1">
        <v>2</v>
      </c>
      <c r="G5389" s="1" t="s">
        <v>309</v>
      </c>
      <c r="H5389" s="4" t="str">
        <f>HYPERLINK("https://www.ncbi.nlm.nih.gov/geo/query/acc.cgi?acc=GSM1220094","GSM1220094")</f>
        <v>GSM1220094</v>
      </c>
      <c r="I5389" t="s">
        <v>82</v>
      </c>
      <c r="J5389" t="s">
        <v>83</v>
      </c>
      <c r="K5389" t="s">
        <v>19</v>
      </c>
      <c r="L5389" t="s">
        <v>27</v>
      </c>
      <c r="M5389" t="s">
        <v>213</v>
      </c>
      <c r="N5389" t="s">
        <v>22</v>
      </c>
    </row>
    <row r="5390" spans="1:14">
      <c r="A5390" s="4" t="str">
        <f t="shared" si="508"/>
        <v>EXP00187</v>
      </c>
      <c r="B5390" s="4" t="str">
        <f t="shared" si="506"/>
        <v>24803579</v>
      </c>
      <c r="C5390" s="4" t="str">
        <f t="shared" si="507"/>
        <v>GSE50493</v>
      </c>
      <c r="D5390" s="1" t="s">
        <v>303</v>
      </c>
      <c r="E5390" t="s">
        <v>84</v>
      </c>
      <c r="F5390" s="1">
        <v>2</v>
      </c>
      <c r="G5390" s="1" t="s">
        <v>309</v>
      </c>
      <c r="H5390" s="4" t="str">
        <f>HYPERLINK("https://www.ncbi.nlm.nih.gov/geo/query/acc.cgi?acc=GSM1220095","GSM1220095")</f>
        <v>GSM1220095</v>
      </c>
      <c r="I5390" t="s">
        <v>82</v>
      </c>
      <c r="J5390" t="s">
        <v>83</v>
      </c>
      <c r="K5390" t="s">
        <v>19</v>
      </c>
      <c r="L5390" t="s">
        <v>27</v>
      </c>
      <c r="M5390" t="s">
        <v>213</v>
      </c>
      <c r="N5390" t="s">
        <v>22</v>
      </c>
    </row>
    <row r="5391" spans="1:14">
      <c r="A5391" s="4" t="str">
        <f t="shared" si="508"/>
        <v>EXP00187</v>
      </c>
      <c r="B5391" s="4" t="str">
        <f t="shared" si="506"/>
        <v>24803579</v>
      </c>
      <c r="C5391" s="4" t="str">
        <f t="shared" si="507"/>
        <v>GSE50493</v>
      </c>
      <c r="D5391" s="1" t="s">
        <v>303</v>
      </c>
      <c r="E5391" t="s">
        <v>84</v>
      </c>
      <c r="F5391" s="1">
        <v>2</v>
      </c>
      <c r="G5391" s="1" t="s">
        <v>309</v>
      </c>
      <c r="H5391" s="4" t="str">
        <f>HYPERLINK("https://www.ncbi.nlm.nih.gov/geo/query/acc.cgi?acc=GSM1220096","GSM1220096")</f>
        <v>GSM1220096</v>
      </c>
      <c r="I5391" t="s">
        <v>82</v>
      </c>
      <c r="J5391" t="s">
        <v>83</v>
      </c>
      <c r="K5391" t="s">
        <v>19</v>
      </c>
      <c r="L5391" t="s">
        <v>27</v>
      </c>
      <c r="M5391" t="s">
        <v>213</v>
      </c>
      <c r="N5391" t="s">
        <v>22</v>
      </c>
    </row>
    <row r="5392" spans="1:14">
      <c r="A5392" s="4" t="str">
        <f t="shared" ref="A5392:A5424" si="509">HYPERLINK("http://hcmdb.i-sanger.com/experiment/details/experiment_id/EXP00188","EXP00188")</f>
        <v>EXP00188</v>
      </c>
      <c r="B5392" s="4" t="str">
        <f t="shared" si="506"/>
        <v>24803579</v>
      </c>
      <c r="C5392" s="4" t="str">
        <f t="shared" si="507"/>
        <v>GSE50493</v>
      </c>
      <c r="D5392" s="1" t="s">
        <v>303</v>
      </c>
      <c r="E5392" t="s">
        <v>84</v>
      </c>
      <c r="F5392" s="1">
        <v>1</v>
      </c>
      <c r="G5392" s="1" t="s">
        <v>305</v>
      </c>
      <c r="H5392" s="4" t="str">
        <f>HYPERLINK("https://www.ncbi.nlm.nih.gov/geo/query/acc.cgi?acc=GSM1220035","GSM1220035")</f>
        <v>GSM1220035</v>
      </c>
      <c r="I5392" t="s">
        <v>82</v>
      </c>
      <c r="J5392" t="s">
        <v>83</v>
      </c>
      <c r="K5392" t="s">
        <v>19</v>
      </c>
      <c r="L5392" t="s">
        <v>27</v>
      </c>
      <c r="M5392" t="s">
        <v>21</v>
      </c>
      <c r="N5392" t="s">
        <v>22</v>
      </c>
    </row>
    <row r="5393" spans="1:14">
      <c r="A5393" s="4" t="str">
        <f t="shared" si="509"/>
        <v>EXP00188</v>
      </c>
      <c r="B5393" s="4" t="str">
        <f t="shared" si="506"/>
        <v>24803579</v>
      </c>
      <c r="C5393" s="4" t="str">
        <f t="shared" si="507"/>
        <v>GSE50493</v>
      </c>
      <c r="D5393" s="1" t="s">
        <v>303</v>
      </c>
      <c r="E5393" t="s">
        <v>84</v>
      </c>
      <c r="F5393" s="1">
        <v>1</v>
      </c>
      <c r="G5393" s="1" t="s">
        <v>305</v>
      </c>
      <c r="H5393" s="4" t="str">
        <f>HYPERLINK("https://www.ncbi.nlm.nih.gov/geo/query/acc.cgi?acc=GSM1220036","GSM1220036")</f>
        <v>GSM1220036</v>
      </c>
      <c r="I5393" t="s">
        <v>82</v>
      </c>
      <c r="J5393" t="s">
        <v>83</v>
      </c>
      <c r="K5393" t="s">
        <v>19</v>
      </c>
      <c r="L5393" t="s">
        <v>27</v>
      </c>
      <c r="M5393" t="s">
        <v>21</v>
      </c>
      <c r="N5393" t="s">
        <v>22</v>
      </c>
    </row>
    <row r="5394" spans="1:14">
      <c r="A5394" s="4" t="str">
        <f t="shared" si="509"/>
        <v>EXP00188</v>
      </c>
      <c r="B5394" s="4" t="str">
        <f t="shared" si="506"/>
        <v>24803579</v>
      </c>
      <c r="C5394" s="4" t="str">
        <f t="shared" si="507"/>
        <v>GSE50493</v>
      </c>
      <c r="D5394" s="1" t="s">
        <v>303</v>
      </c>
      <c r="E5394" t="s">
        <v>84</v>
      </c>
      <c r="F5394" s="1">
        <v>1</v>
      </c>
      <c r="G5394" s="1" t="s">
        <v>305</v>
      </c>
      <c r="H5394" s="4" t="str">
        <f>HYPERLINK("https://www.ncbi.nlm.nih.gov/geo/query/acc.cgi?acc=GSM1220037","GSM1220037")</f>
        <v>GSM1220037</v>
      </c>
      <c r="I5394" t="s">
        <v>82</v>
      </c>
      <c r="J5394" t="s">
        <v>83</v>
      </c>
      <c r="K5394" t="s">
        <v>19</v>
      </c>
      <c r="L5394" t="s">
        <v>27</v>
      </c>
      <c r="M5394" t="s">
        <v>21</v>
      </c>
      <c r="N5394" t="s">
        <v>22</v>
      </c>
    </row>
    <row r="5395" spans="1:14">
      <c r="A5395" s="4" t="str">
        <f t="shared" si="509"/>
        <v>EXP00188</v>
      </c>
      <c r="B5395" s="4" t="str">
        <f t="shared" si="506"/>
        <v>24803579</v>
      </c>
      <c r="C5395" s="4" t="str">
        <f t="shared" si="507"/>
        <v>GSE50493</v>
      </c>
      <c r="D5395" s="1" t="s">
        <v>303</v>
      </c>
      <c r="E5395" t="s">
        <v>84</v>
      </c>
      <c r="F5395" s="1">
        <v>1</v>
      </c>
      <c r="G5395" s="1" t="s">
        <v>305</v>
      </c>
      <c r="H5395" s="4" t="str">
        <f>HYPERLINK("https://www.ncbi.nlm.nih.gov/geo/query/acc.cgi?acc=GSM1220038","GSM1220038")</f>
        <v>GSM1220038</v>
      </c>
      <c r="I5395" t="s">
        <v>82</v>
      </c>
      <c r="J5395" t="s">
        <v>83</v>
      </c>
      <c r="K5395" t="s">
        <v>19</v>
      </c>
      <c r="L5395" t="s">
        <v>27</v>
      </c>
      <c r="M5395" t="s">
        <v>21</v>
      </c>
      <c r="N5395" t="s">
        <v>22</v>
      </c>
    </row>
    <row r="5396" spans="1:14">
      <c r="A5396" s="4" t="str">
        <f t="shared" si="509"/>
        <v>EXP00188</v>
      </c>
      <c r="B5396" s="4" t="str">
        <f t="shared" si="506"/>
        <v>24803579</v>
      </c>
      <c r="C5396" s="4" t="str">
        <f t="shared" si="507"/>
        <v>GSE50493</v>
      </c>
      <c r="D5396" s="1" t="s">
        <v>303</v>
      </c>
      <c r="E5396" t="s">
        <v>84</v>
      </c>
      <c r="F5396" s="1">
        <v>1</v>
      </c>
      <c r="G5396" s="1" t="s">
        <v>305</v>
      </c>
      <c r="H5396" s="4" t="str">
        <f>HYPERLINK("https://www.ncbi.nlm.nih.gov/geo/query/acc.cgi?acc=GSM1220039","GSM1220039")</f>
        <v>GSM1220039</v>
      </c>
      <c r="I5396" t="s">
        <v>82</v>
      </c>
      <c r="J5396" t="s">
        <v>83</v>
      </c>
      <c r="K5396" t="s">
        <v>19</v>
      </c>
      <c r="L5396" t="s">
        <v>27</v>
      </c>
      <c r="M5396" t="s">
        <v>21</v>
      </c>
      <c r="N5396" t="s">
        <v>22</v>
      </c>
    </row>
    <row r="5397" spans="1:14">
      <c r="A5397" s="4" t="str">
        <f t="shared" si="509"/>
        <v>EXP00188</v>
      </c>
      <c r="B5397" s="4" t="str">
        <f t="shared" si="506"/>
        <v>24803579</v>
      </c>
      <c r="C5397" s="4" t="str">
        <f t="shared" si="507"/>
        <v>GSE50493</v>
      </c>
      <c r="D5397" s="1" t="s">
        <v>303</v>
      </c>
      <c r="E5397" t="s">
        <v>84</v>
      </c>
      <c r="F5397" s="1">
        <v>1</v>
      </c>
      <c r="G5397" s="1" t="s">
        <v>305</v>
      </c>
      <c r="H5397" s="4" t="str">
        <f>HYPERLINK("https://www.ncbi.nlm.nih.gov/geo/query/acc.cgi?acc=GSM1220040","GSM1220040")</f>
        <v>GSM1220040</v>
      </c>
      <c r="I5397" t="s">
        <v>82</v>
      </c>
      <c r="J5397" t="s">
        <v>83</v>
      </c>
      <c r="K5397" t="s">
        <v>19</v>
      </c>
      <c r="L5397" t="s">
        <v>27</v>
      </c>
      <c r="M5397" t="s">
        <v>21</v>
      </c>
      <c r="N5397" t="s">
        <v>22</v>
      </c>
    </row>
    <row r="5398" spans="1:14">
      <c r="A5398" s="4" t="str">
        <f t="shared" si="509"/>
        <v>EXP00188</v>
      </c>
      <c r="B5398" s="4" t="str">
        <f t="shared" si="506"/>
        <v>24803579</v>
      </c>
      <c r="C5398" s="4" t="str">
        <f t="shared" si="507"/>
        <v>GSE50493</v>
      </c>
      <c r="D5398" s="1" t="s">
        <v>303</v>
      </c>
      <c r="E5398" t="s">
        <v>84</v>
      </c>
      <c r="F5398" s="1">
        <v>1</v>
      </c>
      <c r="G5398" s="1" t="s">
        <v>305</v>
      </c>
      <c r="H5398" s="4" t="str">
        <f>HYPERLINK("https://www.ncbi.nlm.nih.gov/geo/query/acc.cgi?acc=GSM1220041","GSM1220041")</f>
        <v>GSM1220041</v>
      </c>
      <c r="I5398" t="s">
        <v>82</v>
      </c>
      <c r="J5398" t="s">
        <v>83</v>
      </c>
      <c r="K5398" t="s">
        <v>19</v>
      </c>
      <c r="L5398" t="s">
        <v>27</v>
      </c>
      <c r="M5398" t="s">
        <v>21</v>
      </c>
      <c r="N5398" t="s">
        <v>22</v>
      </c>
    </row>
    <row r="5399" spans="1:14">
      <c r="A5399" s="4" t="str">
        <f t="shared" si="509"/>
        <v>EXP00188</v>
      </c>
      <c r="B5399" s="4" t="str">
        <f t="shared" si="506"/>
        <v>24803579</v>
      </c>
      <c r="C5399" s="4" t="str">
        <f t="shared" si="507"/>
        <v>GSE50493</v>
      </c>
      <c r="D5399" s="1" t="s">
        <v>303</v>
      </c>
      <c r="E5399" t="s">
        <v>84</v>
      </c>
      <c r="F5399" s="1">
        <v>1</v>
      </c>
      <c r="G5399" s="1" t="s">
        <v>305</v>
      </c>
      <c r="H5399" s="4" t="str">
        <f>HYPERLINK("https://www.ncbi.nlm.nih.gov/geo/query/acc.cgi?acc=GSM1220042","GSM1220042")</f>
        <v>GSM1220042</v>
      </c>
      <c r="I5399" t="s">
        <v>82</v>
      </c>
      <c r="J5399" t="s">
        <v>83</v>
      </c>
      <c r="K5399" t="s">
        <v>19</v>
      </c>
      <c r="L5399" t="s">
        <v>27</v>
      </c>
      <c r="M5399" t="s">
        <v>21</v>
      </c>
      <c r="N5399" t="s">
        <v>22</v>
      </c>
    </row>
    <row r="5400" spans="1:14">
      <c r="A5400" s="4" t="str">
        <f t="shared" si="509"/>
        <v>EXP00188</v>
      </c>
      <c r="B5400" s="4" t="str">
        <f t="shared" si="506"/>
        <v>24803579</v>
      </c>
      <c r="C5400" s="4" t="str">
        <f t="shared" si="507"/>
        <v>GSE50493</v>
      </c>
      <c r="D5400" s="1" t="s">
        <v>303</v>
      </c>
      <c r="E5400" t="s">
        <v>84</v>
      </c>
      <c r="F5400" s="1">
        <v>1</v>
      </c>
      <c r="G5400" s="1" t="s">
        <v>305</v>
      </c>
      <c r="H5400" s="4" t="str">
        <f>HYPERLINK("https://www.ncbi.nlm.nih.gov/geo/query/acc.cgi?acc=GSM1220043","GSM1220043")</f>
        <v>GSM1220043</v>
      </c>
      <c r="I5400" t="s">
        <v>82</v>
      </c>
      <c r="J5400" t="s">
        <v>83</v>
      </c>
      <c r="K5400" t="s">
        <v>19</v>
      </c>
      <c r="L5400" t="s">
        <v>27</v>
      </c>
      <c r="M5400" t="s">
        <v>21</v>
      </c>
      <c r="N5400" t="s">
        <v>22</v>
      </c>
    </row>
    <row r="5401" spans="1:14">
      <c r="A5401" s="4" t="str">
        <f t="shared" si="509"/>
        <v>EXP00188</v>
      </c>
      <c r="B5401" s="4" t="str">
        <f t="shared" si="506"/>
        <v>24803579</v>
      </c>
      <c r="C5401" s="4" t="str">
        <f t="shared" si="507"/>
        <v>GSE50493</v>
      </c>
      <c r="D5401" s="1" t="s">
        <v>303</v>
      </c>
      <c r="E5401" t="s">
        <v>84</v>
      </c>
      <c r="F5401" s="1">
        <v>1</v>
      </c>
      <c r="G5401" s="1" t="s">
        <v>305</v>
      </c>
      <c r="H5401" s="4" t="str">
        <f>HYPERLINK("https://www.ncbi.nlm.nih.gov/geo/query/acc.cgi?acc=GSM1220044","GSM1220044")</f>
        <v>GSM1220044</v>
      </c>
      <c r="I5401" t="s">
        <v>82</v>
      </c>
      <c r="J5401" t="s">
        <v>83</v>
      </c>
      <c r="K5401" t="s">
        <v>19</v>
      </c>
      <c r="L5401" t="s">
        <v>27</v>
      </c>
      <c r="M5401" t="s">
        <v>21</v>
      </c>
      <c r="N5401" t="s">
        <v>22</v>
      </c>
    </row>
    <row r="5402" spans="1:14">
      <c r="A5402" s="4" t="str">
        <f t="shared" si="509"/>
        <v>EXP00188</v>
      </c>
      <c r="B5402" s="4" t="str">
        <f t="shared" si="506"/>
        <v>24803579</v>
      </c>
      <c r="C5402" s="4" t="str">
        <f t="shared" si="507"/>
        <v>GSE50493</v>
      </c>
      <c r="D5402" s="1" t="s">
        <v>303</v>
      </c>
      <c r="E5402" t="s">
        <v>84</v>
      </c>
      <c r="F5402" s="1">
        <v>1</v>
      </c>
      <c r="G5402" s="1" t="s">
        <v>305</v>
      </c>
      <c r="H5402" s="4" t="str">
        <f>HYPERLINK("https://www.ncbi.nlm.nih.gov/geo/query/acc.cgi?acc=GSM1220045","GSM1220045")</f>
        <v>GSM1220045</v>
      </c>
      <c r="I5402" t="s">
        <v>82</v>
      </c>
      <c r="J5402" t="s">
        <v>83</v>
      </c>
      <c r="K5402" t="s">
        <v>19</v>
      </c>
      <c r="L5402" t="s">
        <v>27</v>
      </c>
      <c r="M5402" t="s">
        <v>21</v>
      </c>
      <c r="N5402" t="s">
        <v>22</v>
      </c>
    </row>
    <row r="5403" spans="1:14">
      <c r="A5403" s="4" t="str">
        <f t="shared" si="509"/>
        <v>EXP00188</v>
      </c>
      <c r="B5403" s="4" t="str">
        <f t="shared" si="506"/>
        <v>24803579</v>
      </c>
      <c r="C5403" s="4" t="str">
        <f t="shared" si="507"/>
        <v>GSE50493</v>
      </c>
      <c r="D5403" s="1" t="s">
        <v>303</v>
      </c>
      <c r="E5403" t="s">
        <v>84</v>
      </c>
      <c r="F5403" s="1">
        <v>1</v>
      </c>
      <c r="G5403" s="1" t="s">
        <v>305</v>
      </c>
      <c r="H5403" s="4" t="str">
        <f>HYPERLINK("https://www.ncbi.nlm.nih.gov/geo/query/acc.cgi?acc=GSM1220046","GSM1220046")</f>
        <v>GSM1220046</v>
      </c>
      <c r="I5403" t="s">
        <v>82</v>
      </c>
      <c r="J5403" t="s">
        <v>83</v>
      </c>
      <c r="K5403" t="s">
        <v>19</v>
      </c>
      <c r="L5403" t="s">
        <v>27</v>
      </c>
      <c r="M5403" t="s">
        <v>21</v>
      </c>
      <c r="N5403" t="s">
        <v>22</v>
      </c>
    </row>
    <row r="5404" spans="1:14">
      <c r="A5404" s="4" t="str">
        <f t="shared" si="509"/>
        <v>EXP00188</v>
      </c>
      <c r="B5404" s="4" t="str">
        <f t="shared" si="506"/>
        <v>24803579</v>
      </c>
      <c r="C5404" s="4" t="str">
        <f t="shared" si="507"/>
        <v>GSE50493</v>
      </c>
      <c r="D5404" s="1" t="s">
        <v>303</v>
      </c>
      <c r="E5404" t="s">
        <v>84</v>
      </c>
      <c r="F5404" s="1">
        <v>1</v>
      </c>
      <c r="G5404" s="1" t="s">
        <v>305</v>
      </c>
      <c r="H5404" s="4" t="str">
        <f>HYPERLINK("https://www.ncbi.nlm.nih.gov/geo/query/acc.cgi?acc=GSM1220047","GSM1220047")</f>
        <v>GSM1220047</v>
      </c>
      <c r="I5404" t="s">
        <v>82</v>
      </c>
      <c r="J5404" t="s">
        <v>83</v>
      </c>
      <c r="K5404" t="s">
        <v>19</v>
      </c>
      <c r="L5404" t="s">
        <v>27</v>
      </c>
      <c r="M5404" t="s">
        <v>21</v>
      </c>
      <c r="N5404" t="s">
        <v>22</v>
      </c>
    </row>
    <row r="5405" spans="1:14">
      <c r="A5405" s="4" t="str">
        <f t="shared" si="509"/>
        <v>EXP00188</v>
      </c>
      <c r="B5405" s="4" t="str">
        <f t="shared" si="506"/>
        <v>24803579</v>
      </c>
      <c r="C5405" s="4" t="str">
        <f t="shared" si="507"/>
        <v>GSE50493</v>
      </c>
      <c r="D5405" s="1" t="s">
        <v>303</v>
      </c>
      <c r="E5405" t="s">
        <v>84</v>
      </c>
      <c r="F5405" s="1">
        <v>1</v>
      </c>
      <c r="G5405" s="1" t="s">
        <v>305</v>
      </c>
      <c r="H5405" s="4" t="str">
        <f>HYPERLINK("https://www.ncbi.nlm.nih.gov/geo/query/acc.cgi?acc=GSM1220048","GSM1220048")</f>
        <v>GSM1220048</v>
      </c>
      <c r="I5405" t="s">
        <v>82</v>
      </c>
      <c r="J5405" t="s">
        <v>83</v>
      </c>
      <c r="K5405" t="s">
        <v>19</v>
      </c>
      <c r="L5405" t="s">
        <v>27</v>
      </c>
      <c r="M5405" t="s">
        <v>21</v>
      </c>
      <c r="N5405" t="s">
        <v>22</v>
      </c>
    </row>
    <row r="5406" spans="1:14">
      <c r="A5406" s="4" t="str">
        <f t="shared" si="509"/>
        <v>EXP00188</v>
      </c>
      <c r="B5406" s="4" t="str">
        <f t="shared" si="506"/>
        <v>24803579</v>
      </c>
      <c r="C5406" s="4" t="str">
        <f t="shared" si="507"/>
        <v>GSE50493</v>
      </c>
      <c r="D5406" s="1" t="s">
        <v>303</v>
      </c>
      <c r="E5406" t="s">
        <v>84</v>
      </c>
      <c r="F5406" s="1">
        <v>1</v>
      </c>
      <c r="G5406" s="1" t="s">
        <v>305</v>
      </c>
      <c r="H5406" s="4" t="str">
        <f>HYPERLINK("https://www.ncbi.nlm.nih.gov/geo/query/acc.cgi?acc=GSM1220049","GSM1220049")</f>
        <v>GSM1220049</v>
      </c>
      <c r="I5406" t="s">
        <v>82</v>
      </c>
      <c r="J5406" t="s">
        <v>83</v>
      </c>
      <c r="K5406" t="s">
        <v>19</v>
      </c>
      <c r="L5406" t="s">
        <v>27</v>
      </c>
      <c r="M5406" t="s">
        <v>21</v>
      </c>
      <c r="N5406" t="s">
        <v>22</v>
      </c>
    </row>
    <row r="5407" spans="1:14">
      <c r="A5407" s="4" t="str">
        <f t="shared" si="509"/>
        <v>EXP00188</v>
      </c>
      <c r="B5407" s="4" t="str">
        <f t="shared" si="506"/>
        <v>24803579</v>
      </c>
      <c r="C5407" s="4" t="str">
        <f t="shared" si="507"/>
        <v>GSE50493</v>
      </c>
      <c r="D5407" s="1" t="s">
        <v>303</v>
      </c>
      <c r="E5407" t="s">
        <v>84</v>
      </c>
      <c r="F5407" s="1">
        <v>1</v>
      </c>
      <c r="G5407" s="1" t="s">
        <v>305</v>
      </c>
      <c r="H5407" s="4" t="str">
        <f>HYPERLINK("https://www.ncbi.nlm.nih.gov/geo/query/acc.cgi?acc=GSM1220050","GSM1220050")</f>
        <v>GSM1220050</v>
      </c>
      <c r="I5407" t="s">
        <v>82</v>
      </c>
      <c r="J5407" t="s">
        <v>83</v>
      </c>
      <c r="K5407" t="s">
        <v>19</v>
      </c>
      <c r="L5407" t="s">
        <v>27</v>
      </c>
      <c r="M5407" t="s">
        <v>21</v>
      </c>
      <c r="N5407" t="s">
        <v>22</v>
      </c>
    </row>
    <row r="5408" spans="1:14">
      <c r="A5408" s="4" t="str">
        <f t="shared" si="509"/>
        <v>EXP00188</v>
      </c>
      <c r="B5408" s="4" t="str">
        <f t="shared" si="506"/>
        <v>24803579</v>
      </c>
      <c r="C5408" s="4" t="str">
        <f t="shared" si="507"/>
        <v>GSE50493</v>
      </c>
      <c r="D5408" s="1" t="s">
        <v>303</v>
      </c>
      <c r="E5408" t="s">
        <v>84</v>
      </c>
      <c r="F5408" s="1">
        <v>1</v>
      </c>
      <c r="G5408" s="1" t="s">
        <v>305</v>
      </c>
      <c r="H5408" s="4" t="str">
        <f>HYPERLINK("https://www.ncbi.nlm.nih.gov/geo/query/acc.cgi?acc=GSM1220051","GSM1220051")</f>
        <v>GSM1220051</v>
      </c>
      <c r="I5408" t="s">
        <v>82</v>
      </c>
      <c r="J5408" t="s">
        <v>83</v>
      </c>
      <c r="K5408" t="s">
        <v>19</v>
      </c>
      <c r="L5408" t="s">
        <v>27</v>
      </c>
      <c r="M5408" t="s">
        <v>21</v>
      </c>
      <c r="N5408" t="s">
        <v>22</v>
      </c>
    </row>
    <row r="5409" spans="1:14">
      <c r="A5409" s="4" t="str">
        <f t="shared" si="509"/>
        <v>EXP00188</v>
      </c>
      <c r="B5409" s="4" t="str">
        <f t="shared" si="506"/>
        <v>24803579</v>
      </c>
      <c r="C5409" s="4" t="str">
        <f t="shared" si="507"/>
        <v>GSE50493</v>
      </c>
      <c r="D5409" s="1" t="s">
        <v>303</v>
      </c>
      <c r="E5409" t="s">
        <v>84</v>
      </c>
      <c r="F5409" s="1">
        <v>1</v>
      </c>
      <c r="G5409" s="1" t="s">
        <v>305</v>
      </c>
      <c r="H5409" s="4" t="str">
        <f>HYPERLINK("https://www.ncbi.nlm.nih.gov/geo/query/acc.cgi?acc=GSM1220052","GSM1220052")</f>
        <v>GSM1220052</v>
      </c>
      <c r="I5409" t="s">
        <v>82</v>
      </c>
      <c r="J5409" t="s">
        <v>83</v>
      </c>
      <c r="K5409" t="s">
        <v>19</v>
      </c>
      <c r="L5409" t="s">
        <v>27</v>
      </c>
      <c r="M5409" t="s">
        <v>21</v>
      </c>
      <c r="N5409" t="s">
        <v>22</v>
      </c>
    </row>
    <row r="5410" spans="1:14">
      <c r="A5410" s="4" t="str">
        <f t="shared" si="509"/>
        <v>EXP00188</v>
      </c>
      <c r="B5410" s="4" t="str">
        <f t="shared" si="506"/>
        <v>24803579</v>
      </c>
      <c r="C5410" s="4" t="str">
        <f t="shared" si="507"/>
        <v>GSE50493</v>
      </c>
      <c r="D5410" s="1" t="s">
        <v>303</v>
      </c>
      <c r="E5410" t="s">
        <v>84</v>
      </c>
      <c r="F5410" s="1">
        <v>1</v>
      </c>
      <c r="G5410" s="1" t="s">
        <v>305</v>
      </c>
      <c r="H5410" s="4" t="str">
        <f>HYPERLINK("https://www.ncbi.nlm.nih.gov/geo/query/acc.cgi?acc=GSM1220053","GSM1220053")</f>
        <v>GSM1220053</v>
      </c>
      <c r="I5410" t="s">
        <v>82</v>
      </c>
      <c r="J5410" t="s">
        <v>83</v>
      </c>
      <c r="K5410" t="s">
        <v>19</v>
      </c>
      <c r="L5410" t="s">
        <v>27</v>
      </c>
      <c r="M5410" t="s">
        <v>21</v>
      </c>
      <c r="N5410" t="s">
        <v>22</v>
      </c>
    </row>
    <row r="5411" spans="1:14">
      <c r="A5411" s="4" t="str">
        <f t="shared" si="509"/>
        <v>EXP00188</v>
      </c>
      <c r="B5411" s="4" t="str">
        <f t="shared" si="506"/>
        <v>24803579</v>
      </c>
      <c r="C5411" s="4" t="str">
        <f t="shared" si="507"/>
        <v>GSE50493</v>
      </c>
      <c r="D5411" s="1" t="s">
        <v>303</v>
      </c>
      <c r="E5411" t="s">
        <v>84</v>
      </c>
      <c r="F5411" s="1">
        <v>1</v>
      </c>
      <c r="G5411" s="1" t="s">
        <v>305</v>
      </c>
      <c r="H5411" s="4" t="str">
        <f>HYPERLINK("https://www.ncbi.nlm.nih.gov/geo/query/acc.cgi?acc=GSM1220054","GSM1220054")</f>
        <v>GSM1220054</v>
      </c>
      <c r="I5411" t="s">
        <v>82</v>
      </c>
      <c r="J5411" t="s">
        <v>83</v>
      </c>
      <c r="K5411" t="s">
        <v>19</v>
      </c>
      <c r="L5411" t="s">
        <v>27</v>
      </c>
      <c r="M5411" t="s">
        <v>21</v>
      </c>
      <c r="N5411" t="s">
        <v>22</v>
      </c>
    </row>
    <row r="5412" spans="1:14">
      <c r="A5412" s="4" t="str">
        <f t="shared" si="509"/>
        <v>EXP00188</v>
      </c>
      <c r="B5412" s="4" t="str">
        <f t="shared" si="506"/>
        <v>24803579</v>
      </c>
      <c r="C5412" s="4" t="str">
        <f t="shared" si="507"/>
        <v>GSE50493</v>
      </c>
      <c r="D5412" s="1" t="s">
        <v>303</v>
      </c>
      <c r="E5412" t="s">
        <v>84</v>
      </c>
      <c r="F5412" s="1">
        <v>1</v>
      </c>
      <c r="G5412" s="1" t="s">
        <v>305</v>
      </c>
      <c r="H5412" s="4" t="str">
        <f>HYPERLINK("https://www.ncbi.nlm.nih.gov/geo/query/acc.cgi?acc=GSM1220055","GSM1220055")</f>
        <v>GSM1220055</v>
      </c>
      <c r="I5412" t="s">
        <v>82</v>
      </c>
      <c r="J5412" t="s">
        <v>83</v>
      </c>
      <c r="K5412" t="s">
        <v>19</v>
      </c>
      <c r="L5412" t="s">
        <v>27</v>
      </c>
      <c r="M5412" t="s">
        <v>21</v>
      </c>
      <c r="N5412" t="s">
        <v>22</v>
      </c>
    </row>
    <row r="5413" spans="1:14">
      <c r="A5413" s="4" t="str">
        <f t="shared" si="509"/>
        <v>EXP00188</v>
      </c>
      <c r="B5413" s="4" t="str">
        <f t="shared" si="506"/>
        <v>24803579</v>
      </c>
      <c r="C5413" s="4" t="str">
        <f t="shared" si="507"/>
        <v>GSE50493</v>
      </c>
      <c r="D5413" s="1" t="s">
        <v>303</v>
      </c>
      <c r="E5413" t="s">
        <v>84</v>
      </c>
      <c r="F5413" s="1">
        <v>1</v>
      </c>
      <c r="G5413" s="1" t="s">
        <v>305</v>
      </c>
      <c r="H5413" s="4" t="str">
        <f>HYPERLINK("https://www.ncbi.nlm.nih.gov/geo/query/acc.cgi?acc=GSM1220056","GSM1220056")</f>
        <v>GSM1220056</v>
      </c>
      <c r="I5413" t="s">
        <v>82</v>
      </c>
      <c r="J5413" t="s">
        <v>83</v>
      </c>
      <c r="K5413" t="s">
        <v>19</v>
      </c>
      <c r="L5413" t="s">
        <v>27</v>
      </c>
      <c r="M5413" t="s">
        <v>21</v>
      </c>
      <c r="N5413" t="s">
        <v>22</v>
      </c>
    </row>
    <row r="5414" spans="1:14">
      <c r="A5414" s="4" t="str">
        <f t="shared" si="509"/>
        <v>EXP00188</v>
      </c>
      <c r="B5414" s="4" t="str">
        <f t="shared" si="506"/>
        <v>24803579</v>
      </c>
      <c r="C5414" s="4" t="str">
        <f t="shared" si="507"/>
        <v>GSE50493</v>
      </c>
      <c r="D5414" s="1" t="s">
        <v>303</v>
      </c>
      <c r="E5414" t="s">
        <v>84</v>
      </c>
      <c r="F5414" s="1">
        <v>1</v>
      </c>
      <c r="G5414" s="1" t="s">
        <v>305</v>
      </c>
      <c r="H5414" s="4" t="str">
        <f>HYPERLINK("https://www.ncbi.nlm.nih.gov/geo/query/acc.cgi?acc=GSM1220057","GSM1220057")</f>
        <v>GSM1220057</v>
      </c>
      <c r="I5414" t="s">
        <v>82</v>
      </c>
      <c r="J5414" t="s">
        <v>83</v>
      </c>
      <c r="K5414" t="s">
        <v>19</v>
      </c>
      <c r="L5414" t="s">
        <v>27</v>
      </c>
      <c r="M5414" t="s">
        <v>21</v>
      </c>
      <c r="N5414" t="s">
        <v>22</v>
      </c>
    </row>
    <row r="5415" spans="1:14">
      <c r="A5415" s="4" t="str">
        <f t="shared" si="509"/>
        <v>EXP00188</v>
      </c>
      <c r="B5415" s="4" t="str">
        <f t="shared" si="506"/>
        <v>24803579</v>
      </c>
      <c r="C5415" s="4" t="str">
        <f t="shared" si="507"/>
        <v>GSE50493</v>
      </c>
      <c r="D5415" s="1" t="s">
        <v>303</v>
      </c>
      <c r="E5415" t="s">
        <v>84</v>
      </c>
      <c r="F5415" s="1">
        <v>1</v>
      </c>
      <c r="G5415" s="1" t="s">
        <v>305</v>
      </c>
      <c r="H5415" s="4" t="str">
        <f>HYPERLINK("https://www.ncbi.nlm.nih.gov/geo/query/acc.cgi?acc=GSM1220058","GSM1220058")</f>
        <v>GSM1220058</v>
      </c>
      <c r="I5415" t="s">
        <v>82</v>
      </c>
      <c r="J5415" t="s">
        <v>83</v>
      </c>
      <c r="K5415" t="s">
        <v>19</v>
      </c>
      <c r="L5415" t="s">
        <v>27</v>
      </c>
      <c r="M5415" t="s">
        <v>21</v>
      </c>
      <c r="N5415" t="s">
        <v>22</v>
      </c>
    </row>
    <row r="5416" spans="1:14">
      <c r="A5416" s="4" t="str">
        <f t="shared" si="509"/>
        <v>EXP00188</v>
      </c>
      <c r="B5416" s="4" t="str">
        <f t="shared" si="506"/>
        <v>24803579</v>
      </c>
      <c r="C5416" s="4" t="str">
        <f t="shared" si="507"/>
        <v>GSE50493</v>
      </c>
      <c r="D5416" s="1" t="s">
        <v>303</v>
      </c>
      <c r="E5416" t="s">
        <v>84</v>
      </c>
      <c r="F5416" s="1">
        <v>1</v>
      </c>
      <c r="G5416" s="1" t="s">
        <v>305</v>
      </c>
      <c r="H5416" s="4" t="str">
        <f>HYPERLINK("https://www.ncbi.nlm.nih.gov/geo/query/acc.cgi?acc=GSM1220059","GSM1220059")</f>
        <v>GSM1220059</v>
      </c>
      <c r="I5416" t="s">
        <v>82</v>
      </c>
      <c r="J5416" t="s">
        <v>83</v>
      </c>
      <c r="K5416" t="s">
        <v>19</v>
      </c>
      <c r="L5416" t="s">
        <v>27</v>
      </c>
      <c r="M5416" t="s">
        <v>21</v>
      </c>
      <c r="N5416" t="s">
        <v>22</v>
      </c>
    </row>
    <row r="5417" spans="1:14">
      <c r="A5417" s="4" t="str">
        <f t="shared" si="509"/>
        <v>EXP00188</v>
      </c>
      <c r="B5417" s="4" t="str">
        <f t="shared" ref="B5417:B5480" si="510">HYPERLINK("https://www.ncbi.nlm.nih.gov/pubmed/24803579","24803579")</f>
        <v>24803579</v>
      </c>
      <c r="C5417" s="4" t="str">
        <f t="shared" ref="C5417:C5480" si="511">HYPERLINK("https://www.ncbi.nlm.nih.gov/geo/query/acc.cgi?acc=GSE50493","GSE50493")</f>
        <v>GSE50493</v>
      </c>
      <c r="D5417" s="1" t="s">
        <v>303</v>
      </c>
      <c r="E5417" t="s">
        <v>84</v>
      </c>
      <c r="F5417" s="1">
        <v>1</v>
      </c>
      <c r="G5417" s="1" t="s">
        <v>305</v>
      </c>
      <c r="H5417" s="4" t="str">
        <f>HYPERLINK("https://www.ncbi.nlm.nih.gov/geo/query/acc.cgi?acc=GSM1220060","GSM1220060")</f>
        <v>GSM1220060</v>
      </c>
      <c r="I5417" t="s">
        <v>82</v>
      </c>
      <c r="J5417" t="s">
        <v>83</v>
      </c>
      <c r="K5417" t="s">
        <v>19</v>
      </c>
      <c r="L5417" t="s">
        <v>27</v>
      </c>
      <c r="M5417" t="s">
        <v>21</v>
      </c>
      <c r="N5417" t="s">
        <v>22</v>
      </c>
    </row>
    <row r="5418" spans="1:14">
      <c r="A5418" s="4" t="str">
        <f t="shared" si="509"/>
        <v>EXP00188</v>
      </c>
      <c r="B5418" s="4" t="str">
        <f t="shared" si="510"/>
        <v>24803579</v>
      </c>
      <c r="C5418" s="4" t="str">
        <f t="shared" si="511"/>
        <v>GSE50493</v>
      </c>
      <c r="D5418" s="1" t="s">
        <v>303</v>
      </c>
      <c r="E5418" t="s">
        <v>84</v>
      </c>
      <c r="F5418" s="1">
        <v>1</v>
      </c>
      <c r="G5418" s="1" t="s">
        <v>305</v>
      </c>
      <c r="H5418" s="4" t="str">
        <f>HYPERLINK("https://www.ncbi.nlm.nih.gov/geo/query/acc.cgi?acc=GSM1220061","GSM1220061")</f>
        <v>GSM1220061</v>
      </c>
      <c r="I5418" t="s">
        <v>82</v>
      </c>
      <c r="J5418" t="s">
        <v>83</v>
      </c>
      <c r="K5418" t="s">
        <v>19</v>
      </c>
      <c r="L5418" t="s">
        <v>27</v>
      </c>
      <c r="M5418" t="s">
        <v>21</v>
      </c>
      <c r="N5418" t="s">
        <v>22</v>
      </c>
    </row>
    <row r="5419" spans="1:14">
      <c r="A5419" s="4" t="str">
        <f t="shared" si="509"/>
        <v>EXP00188</v>
      </c>
      <c r="B5419" s="4" t="str">
        <f t="shared" si="510"/>
        <v>24803579</v>
      </c>
      <c r="C5419" s="4" t="str">
        <f t="shared" si="511"/>
        <v>GSE50493</v>
      </c>
      <c r="D5419" s="1" t="s">
        <v>303</v>
      </c>
      <c r="E5419" t="s">
        <v>84</v>
      </c>
      <c r="F5419" s="1">
        <v>1</v>
      </c>
      <c r="G5419" s="1" t="s">
        <v>305</v>
      </c>
      <c r="H5419" s="4" t="str">
        <f>HYPERLINK("https://www.ncbi.nlm.nih.gov/geo/query/acc.cgi?acc=GSM1220062","GSM1220062")</f>
        <v>GSM1220062</v>
      </c>
      <c r="I5419" t="s">
        <v>82</v>
      </c>
      <c r="J5419" t="s">
        <v>83</v>
      </c>
      <c r="K5419" t="s">
        <v>19</v>
      </c>
      <c r="L5419" t="s">
        <v>27</v>
      </c>
      <c r="M5419" t="s">
        <v>21</v>
      </c>
      <c r="N5419" t="s">
        <v>22</v>
      </c>
    </row>
    <row r="5420" spans="1:14">
      <c r="A5420" s="4" t="str">
        <f t="shared" si="509"/>
        <v>EXP00188</v>
      </c>
      <c r="B5420" s="4" t="str">
        <f t="shared" si="510"/>
        <v>24803579</v>
      </c>
      <c r="C5420" s="4" t="str">
        <f t="shared" si="511"/>
        <v>GSE50493</v>
      </c>
      <c r="D5420" s="1" t="s">
        <v>303</v>
      </c>
      <c r="E5420" t="s">
        <v>84</v>
      </c>
      <c r="F5420" s="1">
        <v>1</v>
      </c>
      <c r="G5420" s="1" t="s">
        <v>305</v>
      </c>
      <c r="H5420" s="4" t="str">
        <f>HYPERLINK("https://www.ncbi.nlm.nih.gov/geo/query/acc.cgi?acc=GSM1220063","GSM1220063")</f>
        <v>GSM1220063</v>
      </c>
      <c r="I5420" t="s">
        <v>82</v>
      </c>
      <c r="J5420" t="s">
        <v>83</v>
      </c>
      <c r="K5420" t="s">
        <v>19</v>
      </c>
      <c r="L5420" t="s">
        <v>27</v>
      </c>
      <c r="M5420" t="s">
        <v>21</v>
      </c>
      <c r="N5420" t="s">
        <v>22</v>
      </c>
    </row>
    <row r="5421" spans="1:14">
      <c r="A5421" s="4" t="str">
        <f t="shared" si="509"/>
        <v>EXP00188</v>
      </c>
      <c r="B5421" s="4" t="str">
        <f t="shared" si="510"/>
        <v>24803579</v>
      </c>
      <c r="C5421" s="4" t="str">
        <f t="shared" si="511"/>
        <v>GSE50493</v>
      </c>
      <c r="D5421" s="1" t="s">
        <v>303</v>
      </c>
      <c r="E5421" t="s">
        <v>84</v>
      </c>
      <c r="F5421" s="1">
        <v>2</v>
      </c>
      <c r="G5421" s="1" t="s">
        <v>310</v>
      </c>
      <c r="H5421" s="4" t="str">
        <f>HYPERLINK("https://www.ncbi.nlm.nih.gov/geo/query/acc.cgi?acc=GSM1220084","GSM1220084")</f>
        <v>GSM1220084</v>
      </c>
      <c r="I5421" t="s">
        <v>82</v>
      </c>
      <c r="J5421" t="s">
        <v>83</v>
      </c>
      <c r="K5421" t="s">
        <v>19</v>
      </c>
      <c r="L5421" t="s">
        <v>27</v>
      </c>
      <c r="M5421" t="s">
        <v>196</v>
      </c>
      <c r="N5421" t="s">
        <v>22</v>
      </c>
    </row>
    <row r="5422" spans="1:14">
      <c r="A5422" s="4" t="str">
        <f t="shared" si="509"/>
        <v>EXP00188</v>
      </c>
      <c r="B5422" s="4" t="str">
        <f t="shared" si="510"/>
        <v>24803579</v>
      </c>
      <c r="C5422" s="4" t="str">
        <f t="shared" si="511"/>
        <v>GSE50493</v>
      </c>
      <c r="D5422" s="1" t="s">
        <v>303</v>
      </c>
      <c r="E5422" t="s">
        <v>84</v>
      </c>
      <c r="F5422" s="1">
        <v>2</v>
      </c>
      <c r="G5422" s="1" t="s">
        <v>310</v>
      </c>
      <c r="H5422" s="4" t="str">
        <f>HYPERLINK("https://www.ncbi.nlm.nih.gov/geo/query/acc.cgi?acc=GSM1220085","GSM1220085")</f>
        <v>GSM1220085</v>
      </c>
      <c r="I5422" t="s">
        <v>82</v>
      </c>
      <c r="J5422" t="s">
        <v>83</v>
      </c>
      <c r="K5422" t="s">
        <v>19</v>
      </c>
      <c r="L5422" t="s">
        <v>27</v>
      </c>
      <c r="M5422" t="s">
        <v>196</v>
      </c>
      <c r="N5422" t="s">
        <v>22</v>
      </c>
    </row>
    <row r="5423" spans="1:14">
      <c r="A5423" s="4" t="str">
        <f t="shared" si="509"/>
        <v>EXP00188</v>
      </c>
      <c r="B5423" s="4" t="str">
        <f t="shared" si="510"/>
        <v>24803579</v>
      </c>
      <c r="C5423" s="4" t="str">
        <f t="shared" si="511"/>
        <v>GSE50493</v>
      </c>
      <c r="D5423" s="1" t="s">
        <v>303</v>
      </c>
      <c r="E5423" t="s">
        <v>84</v>
      </c>
      <c r="F5423" s="1">
        <v>2</v>
      </c>
      <c r="G5423" s="1" t="s">
        <v>310</v>
      </c>
      <c r="H5423" s="4" t="str">
        <f>HYPERLINK("https://www.ncbi.nlm.nih.gov/geo/query/acc.cgi?acc=GSM1220087","GSM1220087")</f>
        <v>GSM1220087</v>
      </c>
      <c r="I5423" t="s">
        <v>82</v>
      </c>
      <c r="J5423" t="s">
        <v>83</v>
      </c>
      <c r="K5423" t="s">
        <v>19</v>
      </c>
      <c r="L5423" t="s">
        <v>27</v>
      </c>
      <c r="M5423" t="s">
        <v>196</v>
      </c>
      <c r="N5423" t="s">
        <v>22</v>
      </c>
    </row>
    <row r="5424" spans="1:14">
      <c r="A5424" s="4" t="str">
        <f t="shared" si="509"/>
        <v>EXP00188</v>
      </c>
      <c r="B5424" s="4" t="str">
        <f t="shared" si="510"/>
        <v>24803579</v>
      </c>
      <c r="C5424" s="4" t="str">
        <f t="shared" si="511"/>
        <v>GSE50493</v>
      </c>
      <c r="D5424" s="1" t="s">
        <v>303</v>
      </c>
      <c r="E5424" t="s">
        <v>84</v>
      </c>
      <c r="F5424" s="1">
        <v>2</v>
      </c>
      <c r="G5424" s="1" t="s">
        <v>310</v>
      </c>
      <c r="H5424" s="4" t="str">
        <f>HYPERLINK("https://www.ncbi.nlm.nih.gov/geo/query/acc.cgi?acc=GSM1220088","GSM1220088")</f>
        <v>GSM1220088</v>
      </c>
      <c r="I5424" t="s">
        <v>82</v>
      </c>
      <c r="J5424" t="s">
        <v>83</v>
      </c>
      <c r="K5424" t="s">
        <v>19</v>
      </c>
      <c r="L5424" t="s">
        <v>27</v>
      </c>
      <c r="M5424" t="s">
        <v>196</v>
      </c>
      <c r="N5424" t="s">
        <v>22</v>
      </c>
    </row>
    <row r="5425" spans="1:14">
      <c r="A5425" s="4" t="str">
        <f t="shared" ref="A5425:A5444" si="512">HYPERLINK("http://hcmdb.i-sanger.com/experiment/details/experiment_id/EXP00189","EXP00189")</f>
        <v>EXP00189</v>
      </c>
      <c r="B5425" s="4" t="str">
        <f t="shared" si="510"/>
        <v>24803579</v>
      </c>
      <c r="C5425" s="4" t="str">
        <f t="shared" si="511"/>
        <v>GSE50493</v>
      </c>
      <c r="D5425" s="1" t="s">
        <v>303</v>
      </c>
      <c r="E5425" t="s">
        <v>84</v>
      </c>
      <c r="F5425" s="1">
        <v>1</v>
      </c>
      <c r="G5425" s="1" t="s">
        <v>306</v>
      </c>
      <c r="H5425" s="4" t="str">
        <f>HYPERLINK("https://www.ncbi.nlm.nih.gov/geo/query/acc.cgi?acc=GSM1220074","GSM1220074")</f>
        <v>GSM1220074</v>
      </c>
      <c r="I5425" t="s">
        <v>82</v>
      </c>
      <c r="J5425" t="s">
        <v>83</v>
      </c>
      <c r="K5425" t="s">
        <v>19</v>
      </c>
      <c r="L5425" t="s">
        <v>27</v>
      </c>
      <c r="M5425" t="s">
        <v>41</v>
      </c>
      <c r="N5425" t="s">
        <v>22</v>
      </c>
    </row>
    <row r="5426" spans="1:14">
      <c r="A5426" s="4" t="str">
        <f t="shared" si="512"/>
        <v>EXP00189</v>
      </c>
      <c r="B5426" s="4" t="str">
        <f t="shared" si="510"/>
        <v>24803579</v>
      </c>
      <c r="C5426" s="4" t="str">
        <f t="shared" si="511"/>
        <v>GSE50493</v>
      </c>
      <c r="D5426" s="1" t="s">
        <v>303</v>
      </c>
      <c r="E5426" t="s">
        <v>84</v>
      </c>
      <c r="F5426" s="1">
        <v>1</v>
      </c>
      <c r="G5426" s="1" t="s">
        <v>306</v>
      </c>
      <c r="H5426" s="4" t="str">
        <f>HYPERLINK("https://www.ncbi.nlm.nih.gov/geo/query/acc.cgi?acc=GSM1220075","GSM1220075")</f>
        <v>GSM1220075</v>
      </c>
      <c r="I5426" t="s">
        <v>82</v>
      </c>
      <c r="J5426" t="s">
        <v>83</v>
      </c>
      <c r="K5426" t="s">
        <v>19</v>
      </c>
      <c r="L5426" t="s">
        <v>27</v>
      </c>
      <c r="M5426" t="s">
        <v>41</v>
      </c>
      <c r="N5426" t="s">
        <v>22</v>
      </c>
    </row>
    <row r="5427" spans="1:14">
      <c r="A5427" s="4" t="str">
        <f t="shared" si="512"/>
        <v>EXP00189</v>
      </c>
      <c r="B5427" s="4" t="str">
        <f t="shared" si="510"/>
        <v>24803579</v>
      </c>
      <c r="C5427" s="4" t="str">
        <f t="shared" si="511"/>
        <v>GSE50493</v>
      </c>
      <c r="D5427" s="1" t="s">
        <v>303</v>
      </c>
      <c r="E5427" t="s">
        <v>84</v>
      </c>
      <c r="F5427" s="1">
        <v>1</v>
      </c>
      <c r="G5427" s="1" t="s">
        <v>306</v>
      </c>
      <c r="H5427" s="4" t="str">
        <f>HYPERLINK("https://www.ncbi.nlm.nih.gov/geo/query/acc.cgi?acc=GSM1220076","GSM1220076")</f>
        <v>GSM1220076</v>
      </c>
      <c r="I5427" t="s">
        <v>82</v>
      </c>
      <c r="J5427" t="s">
        <v>83</v>
      </c>
      <c r="K5427" t="s">
        <v>19</v>
      </c>
      <c r="L5427" t="s">
        <v>27</v>
      </c>
      <c r="M5427" t="s">
        <v>41</v>
      </c>
      <c r="N5427" t="s">
        <v>22</v>
      </c>
    </row>
    <row r="5428" spans="1:14">
      <c r="A5428" s="4" t="str">
        <f t="shared" si="512"/>
        <v>EXP00189</v>
      </c>
      <c r="B5428" s="4" t="str">
        <f t="shared" si="510"/>
        <v>24803579</v>
      </c>
      <c r="C5428" s="4" t="str">
        <f t="shared" si="511"/>
        <v>GSE50493</v>
      </c>
      <c r="D5428" s="1" t="s">
        <v>303</v>
      </c>
      <c r="E5428" t="s">
        <v>84</v>
      </c>
      <c r="F5428" s="1">
        <v>1</v>
      </c>
      <c r="G5428" s="1" t="s">
        <v>306</v>
      </c>
      <c r="H5428" s="4" t="str">
        <f>HYPERLINK("https://www.ncbi.nlm.nih.gov/geo/query/acc.cgi?acc=GSM1220083","GSM1220083")</f>
        <v>GSM1220083</v>
      </c>
      <c r="I5428" t="s">
        <v>82</v>
      </c>
      <c r="J5428" t="s">
        <v>83</v>
      </c>
      <c r="K5428" t="s">
        <v>19</v>
      </c>
      <c r="L5428" t="s">
        <v>27</v>
      </c>
      <c r="M5428" t="s">
        <v>41</v>
      </c>
      <c r="N5428" t="s">
        <v>22</v>
      </c>
    </row>
    <row r="5429" spans="1:14">
      <c r="A5429" s="4" t="str">
        <f t="shared" si="512"/>
        <v>EXP00189</v>
      </c>
      <c r="B5429" s="4" t="str">
        <f t="shared" si="510"/>
        <v>24803579</v>
      </c>
      <c r="C5429" s="4" t="str">
        <f t="shared" si="511"/>
        <v>GSE50493</v>
      </c>
      <c r="D5429" s="1" t="s">
        <v>303</v>
      </c>
      <c r="E5429" t="s">
        <v>84</v>
      </c>
      <c r="F5429" s="1">
        <v>1</v>
      </c>
      <c r="G5429" s="1" t="s">
        <v>306</v>
      </c>
      <c r="H5429" s="4" t="str">
        <f>HYPERLINK("https://www.ncbi.nlm.nih.gov/geo/query/acc.cgi?acc=GSM1220103","GSM1220103")</f>
        <v>GSM1220103</v>
      </c>
      <c r="I5429" t="s">
        <v>82</v>
      </c>
      <c r="J5429" t="s">
        <v>83</v>
      </c>
      <c r="K5429" t="s">
        <v>19</v>
      </c>
      <c r="L5429" t="s">
        <v>27</v>
      </c>
      <c r="M5429" t="s">
        <v>41</v>
      </c>
      <c r="N5429" t="s">
        <v>22</v>
      </c>
    </row>
    <row r="5430" spans="1:14">
      <c r="A5430" s="4" t="str">
        <f t="shared" si="512"/>
        <v>EXP00189</v>
      </c>
      <c r="B5430" s="4" t="str">
        <f t="shared" si="510"/>
        <v>24803579</v>
      </c>
      <c r="C5430" s="4" t="str">
        <f t="shared" si="511"/>
        <v>GSE50493</v>
      </c>
      <c r="D5430" s="1" t="s">
        <v>303</v>
      </c>
      <c r="E5430" t="s">
        <v>84</v>
      </c>
      <c r="F5430" s="1">
        <v>1</v>
      </c>
      <c r="G5430" s="1" t="s">
        <v>306</v>
      </c>
      <c r="H5430" s="4" t="str">
        <f>HYPERLINK("https://www.ncbi.nlm.nih.gov/geo/query/acc.cgi?acc=GSM1220105","GSM1220105")</f>
        <v>GSM1220105</v>
      </c>
      <c r="I5430" t="s">
        <v>82</v>
      </c>
      <c r="J5430" t="s">
        <v>83</v>
      </c>
      <c r="K5430" t="s">
        <v>19</v>
      </c>
      <c r="L5430" t="s">
        <v>27</v>
      </c>
      <c r="M5430" t="s">
        <v>41</v>
      </c>
      <c r="N5430" t="s">
        <v>22</v>
      </c>
    </row>
    <row r="5431" spans="1:14">
      <c r="A5431" s="4" t="str">
        <f t="shared" si="512"/>
        <v>EXP00189</v>
      </c>
      <c r="B5431" s="4" t="str">
        <f t="shared" si="510"/>
        <v>24803579</v>
      </c>
      <c r="C5431" s="4" t="str">
        <f t="shared" si="511"/>
        <v>GSE50493</v>
      </c>
      <c r="D5431" s="1" t="s">
        <v>303</v>
      </c>
      <c r="E5431" t="s">
        <v>84</v>
      </c>
      <c r="F5431" s="1">
        <v>2</v>
      </c>
      <c r="G5431" s="1" t="s">
        <v>85</v>
      </c>
      <c r="H5431" s="4" t="str">
        <f>HYPERLINK("https://www.ncbi.nlm.nih.gov/geo/query/acc.cgi?acc=GSM1220064","GSM1220064")</f>
        <v>GSM1220064</v>
      </c>
      <c r="I5431" t="s">
        <v>82</v>
      </c>
      <c r="J5431" t="s">
        <v>83</v>
      </c>
      <c r="K5431" t="s">
        <v>19</v>
      </c>
      <c r="L5431" t="s">
        <v>27</v>
      </c>
      <c r="M5431" t="s">
        <v>24</v>
      </c>
      <c r="N5431" t="s">
        <v>22</v>
      </c>
    </row>
    <row r="5432" spans="1:14">
      <c r="A5432" s="4" t="str">
        <f t="shared" si="512"/>
        <v>EXP00189</v>
      </c>
      <c r="B5432" s="4" t="str">
        <f t="shared" si="510"/>
        <v>24803579</v>
      </c>
      <c r="C5432" s="4" t="str">
        <f t="shared" si="511"/>
        <v>GSE50493</v>
      </c>
      <c r="D5432" s="1" t="s">
        <v>303</v>
      </c>
      <c r="E5432" t="s">
        <v>84</v>
      </c>
      <c r="F5432" s="1">
        <v>2</v>
      </c>
      <c r="G5432" s="1" t="s">
        <v>85</v>
      </c>
      <c r="H5432" s="4" t="str">
        <f>HYPERLINK("https://www.ncbi.nlm.nih.gov/geo/query/acc.cgi?acc=GSM1220065","GSM1220065")</f>
        <v>GSM1220065</v>
      </c>
      <c r="I5432" t="s">
        <v>82</v>
      </c>
      <c r="J5432" t="s">
        <v>83</v>
      </c>
      <c r="K5432" t="s">
        <v>19</v>
      </c>
      <c r="L5432" t="s">
        <v>27</v>
      </c>
      <c r="M5432" t="s">
        <v>24</v>
      </c>
      <c r="N5432" t="s">
        <v>22</v>
      </c>
    </row>
    <row r="5433" spans="1:14">
      <c r="A5433" s="4" t="str">
        <f t="shared" si="512"/>
        <v>EXP00189</v>
      </c>
      <c r="B5433" s="4" t="str">
        <f t="shared" si="510"/>
        <v>24803579</v>
      </c>
      <c r="C5433" s="4" t="str">
        <f t="shared" si="511"/>
        <v>GSE50493</v>
      </c>
      <c r="D5433" s="1" t="s">
        <v>303</v>
      </c>
      <c r="E5433" t="s">
        <v>84</v>
      </c>
      <c r="F5433" s="1">
        <v>2</v>
      </c>
      <c r="G5433" s="1" t="s">
        <v>85</v>
      </c>
      <c r="H5433" s="4" t="str">
        <f>HYPERLINK("https://www.ncbi.nlm.nih.gov/geo/query/acc.cgi?acc=GSM1220071","GSM1220071")</f>
        <v>GSM1220071</v>
      </c>
      <c r="I5433" t="s">
        <v>82</v>
      </c>
      <c r="J5433" t="s">
        <v>83</v>
      </c>
      <c r="K5433" t="s">
        <v>19</v>
      </c>
      <c r="L5433" t="s">
        <v>27</v>
      </c>
      <c r="M5433" t="s">
        <v>24</v>
      </c>
      <c r="N5433" t="s">
        <v>22</v>
      </c>
    </row>
    <row r="5434" spans="1:14">
      <c r="A5434" s="4" t="str">
        <f t="shared" si="512"/>
        <v>EXP00189</v>
      </c>
      <c r="B5434" s="4" t="str">
        <f t="shared" si="510"/>
        <v>24803579</v>
      </c>
      <c r="C5434" s="4" t="str">
        <f t="shared" si="511"/>
        <v>GSE50493</v>
      </c>
      <c r="D5434" s="1" t="s">
        <v>303</v>
      </c>
      <c r="E5434" t="s">
        <v>84</v>
      </c>
      <c r="F5434" s="1">
        <v>2</v>
      </c>
      <c r="G5434" s="1" t="s">
        <v>85</v>
      </c>
      <c r="H5434" s="4" t="str">
        <f>HYPERLINK("https://www.ncbi.nlm.nih.gov/geo/query/acc.cgi?acc=GSM1220077","GSM1220077")</f>
        <v>GSM1220077</v>
      </c>
      <c r="I5434" t="s">
        <v>82</v>
      </c>
      <c r="J5434" t="s">
        <v>83</v>
      </c>
      <c r="K5434" t="s">
        <v>19</v>
      </c>
      <c r="L5434" t="s">
        <v>27</v>
      </c>
      <c r="M5434" t="s">
        <v>24</v>
      </c>
      <c r="N5434" t="s">
        <v>22</v>
      </c>
    </row>
    <row r="5435" spans="1:14">
      <c r="A5435" s="4" t="str">
        <f t="shared" si="512"/>
        <v>EXP00189</v>
      </c>
      <c r="B5435" s="4" t="str">
        <f t="shared" si="510"/>
        <v>24803579</v>
      </c>
      <c r="C5435" s="4" t="str">
        <f t="shared" si="511"/>
        <v>GSE50493</v>
      </c>
      <c r="D5435" s="1" t="s">
        <v>303</v>
      </c>
      <c r="E5435" t="s">
        <v>84</v>
      </c>
      <c r="F5435" s="1">
        <v>2</v>
      </c>
      <c r="G5435" s="1" t="s">
        <v>85</v>
      </c>
      <c r="H5435" s="4" t="str">
        <f>HYPERLINK("https://www.ncbi.nlm.nih.gov/geo/query/acc.cgi?acc=GSM1220078","GSM1220078")</f>
        <v>GSM1220078</v>
      </c>
      <c r="I5435" t="s">
        <v>82</v>
      </c>
      <c r="J5435" t="s">
        <v>83</v>
      </c>
      <c r="K5435" t="s">
        <v>19</v>
      </c>
      <c r="L5435" t="s">
        <v>27</v>
      </c>
      <c r="M5435" t="s">
        <v>24</v>
      </c>
      <c r="N5435" t="s">
        <v>22</v>
      </c>
    </row>
    <row r="5436" spans="1:14">
      <c r="A5436" s="4" t="str">
        <f t="shared" si="512"/>
        <v>EXP00189</v>
      </c>
      <c r="B5436" s="4" t="str">
        <f t="shared" si="510"/>
        <v>24803579</v>
      </c>
      <c r="C5436" s="4" t="str">
        <f t="shared" si="511"/>
        <v>GSE50493</v>
      </c>
      <c r="D5436" s="1" t="s">
        <v>303</v>
      </c>
      <c r="E5436" t="s">
        <v>84</v>
      </c>
      <c r="F5436" s="1">
        <v>2</v>
      </c>
      <c r="G5436" s="1" t="s">
        <v>85</v>
      </c>
      <c r="H5436" s="4" t="str">
        <f>HYPERLINK("https://www.ncbi.nlm.nih.gov/geo/query/acc.cgi?acc=GSM1220080","GSM1220080")</f>
        <v>GSM1220080</v>
      </c>
      <c r="I5436" t="s">
        <v>82</v>
      </c>
      <c r="J5436" t="s">
        <v>83</v>
      </c>
      <c r="K5436" t="s">
        <v>19</v>
      </c>
      <c r="L5436" t="s">
        <v>27</v>
      </c>
      <c r="M5436" t="s">
        <v>24</v>
      </c>
      <c r="N5436" t="s">
        <v>22</v>
      </c>
    </row>
    <row r="5437" spans="1:14">
      <c r="A5437" s="4" t="str">
        <f t="shared" si="512"/>
        <v>EXP00189</v>
      </c>
      <c r="B5437" s="4" t="str">
        <f t="shared" si="510"/>
        <v>24803579</v>
      </c>
      <c r="C5437" s="4" t="str">
        <f t="shared" si="511"/>
        <v>GSE50493</v>
      </c>
      <c r="D5437" s="1" t="s">
        <v>303</v>
      </c>
      <c r="E5437" t="s">
        <v>84</v>
      </c>
      <c r="F5437" s="1">
        <v>2</v>
      </c>
      <c r="G5437" s="1" t="s">
        <v>85</v>
      </c>
      <c r="H5437" s="4" t="str">
        <f>HYPERLINK("https://www.ncbi.nlm.nih.gov/geo/query/acc.cgi?acc=GSM1220081","GSM1220081")</f>
        <v>GSM1220081</v>
      </c>
      <c r="I5437" t="s">
        <v>82</v>
      </c>
      <c r="J5437" t="s">
        <v>83</v>
      </c>
      <c r="K5437" t="s">
        <v>19</v>
      </c>
      <c r="L5437" t="s">
        <v>27</v>
      </c>
      <c r="M5437" t="s">
        <v>24</v>
      </c>
      <c r="N5437" t="s">
        <v>22</v>
      </c>
    </row>
    <row r="5438" spans="1:14">
      <c r="A5438" s="4" t="str">
        <f t="shared" si="512"/>
        <v>EXP00189</v>
      </c>
      <c r="B5438" s="4" t="str">
        <f t="shared" si="510"/>
        <v>24803579</v>
      </c>
      <c r="C5438" s="4" t="str">
        <f t="shared" si="511"/>
        <v>GSE50493</v>
      </c>
      <c r="D5438" s="1" t="s">
        <v>303</v>
      </c>
      <c r="E5438" t="s">
        <v>84</v>
      </c>
      <c r="F5438" s="1">
        <v>2</v>
      </c>
      <c r="G5438" s="1" t="s">
        <v>85</v>
      </c>
      <c r="H5438" s="4" t="str">
        <f>HYPERLINK("https://www.ncbi.nlm.nih.gov/geo/query/acc.cgi?acc=GSM1220089","GSM1220089")</f>
        <v>GSM1220089</v>
      </c>
      <c r="I5438" t="s">
        <v>82</v>
      </c>
      <c r="J5438" t="s">
        <v>83</v>
      </c>
      <c r="K5438" t="s">
        <v>19</v>
      </c>
      <c r="L5438" t="s">
        <v>27</v>
      </c>
      <c r="M5438" t="s">
        <v>24</v>
      </c>
      <c r="N5438" t="s">
        <v>22</v>
      </c>
    </row>
    <row r="5439" spans="1:14">
      <c r="A5439" s="4" t="str">
        <f t="shared" si="512"/>
        <v>EXP00189</v>
      </c>
      <c r="B5439" s="4" t="str">
        <f t="shared" si="510"/>
        <v>24803579</v>
      </c>
      <c r="C5439" s="4" t="str">
        <f t="shared" si="511"/>
        <v>GSE50493</v>
      </c>
      <c r="D5439" s="1" t="s">
        <v>303</v>
      </c>
      <c r="E5439" t="s">
        <v>84</v>
      </c>
      <c r="F5439" s="1">
        <v>2</v>
      </c>
      <c r="G5439" s="1" t="s">
        <v>85</v>
      </c>
      <c r="H5439" s="4" t="str">
        <f>HYPERLINK("https://www.ncbi.nlm.nih.gov/geo/query/acc.cgi?acc=GSM1220090","GSM1220090")</f>
        <v>GSM1220090</v>
      </c>
      <c r="I5439" t="s">
        <v>82</v>
      </c>
      <c r="J5439" t="s">
        <v>83</v>
      </c>
      <c r="K5439" t="s">
        <v>19</v>
      </c>
      <c r="L5439" t="s">
        <v>27</v>
      </c>
      <c r="M5439" t="s">
        <v>24</v>
      </c>
      <c r="N5439" t="s">
        <v>22</v>
      </c>
    </row>
    <row r="5440" spans="1:14">
      <c r="A5440" s="4" t="str">
        <f t="shared" si="512"/>
        <v>EXP00189</v>
      </c>
      <c r="B5440" s="4" t="str">
        <f t="shared" si="510"/>
        <v>24803579</v>
      </c>
      <c r="C5440" s="4" t="str">
        <f t="shared" si="511"/>
        <v>GSE50493</v>
      </c>
      <c r="D5440" s="1" t="s">
        <v>303</v>
      </c>
      <c r="E5440" t="s">
        <v>84</v>
      </c>
      <c r="F5440" s="1">
        <v>2</v>
      </c>
      <c r="G5440" s="1" t="s">
        <v>85</v>
      </c>
      <c r="H5440" s="4" t="str">
        <f>HYPERLINK("https://www.ncbi.nlm.nih.gov/geo/query/acc.cgi?acc=GSM1220091","GSM1220091")</f>
        <v>GSM1220091</v>
      </c>
      <c r="I5440" t="s">
        <v>82</v>
      </c>
      <c r="J5440" t="s">
        <v>83</v>
      </c>
      <c r="K5440" t="s">
        <v>19</v>
      </c>
      <c r="L5440" t="s">
        <v>27</v>
      </c>
      <c r="M5440" t="s">
        <v>24</v>
      </c>
      <c r="N5440" t="s">
        <v>22</v>
      </c>
    </row>
    <row r="5441" spans="1:14">
      <c r="A5441" s="4" t="str">
        <f t="shared" si="512"/>
        <v>EXP00189</v>
      </c>
      <c r="B5441" s="4" t="str">
        <f t="shared" si="510"/>
        <v>24803579</v>
      </c>
      <c r="C5441" s="4" t="str">
        <f t="shared" si="511"/>
        <v>GSE50493</v>
      </c>
      <c r="D5441" s="1" t="s">
        <v>303</v>
      </c>
      <c r="E5441" t="s">
        <v>84</v>
      </c>
      <c r="F5441" s="1">
        <v>2</v>
      </c>
      <c r="G5441" s="1" t="s">
        <v>85</v>
      </c>
      <c r="H5441" s="4" t="str">
        <f>HYPERLINK("https://www.ncbi.nlm.nih.gov/geo/query/acc.cgi?acc=GSM1220092","GSM1220092")</f>
        <v>GSM1220092</v>
      </c>
      <c r="I5441" t="s">
        <v>82</v>
      </c>
      <c r="J5441" t="s">
        <v>83</v>
      </c>
      <c r="K5441" t="s">
        <v>19</v>
      </c>
      <c r="L5441" t="s">
        <v>27</v>
      </c>
      <c r="M5441" t="s">
        <v>24</v>
      </c>
      <c r="N5441" t="s">
        <v>22</v>
      </c>
    </row>
    <row r="5442" spans="1:14">
      <c r="A5442" s="4" t="str">
        <f t="shared" si="512"/>
        <v>EXP00189</v>
      </c>
      <c r="B5442" s="4" t="str">
        <f t="shared" si="510"/>
        <v>24803579</v>
      </c>
      <c r="C5442" s="4" t="str">
        <f t="shared" si="511"/>
        <v>GSE50493</v>
      </c>
      <c r="D5442" s="1" t="s">
        <v>303</v>
      </c>
      <c r="E5442" t="s">
        <v>84</v>
      </c>
      <c r="F5442" s="1">
        <v>2</v>
      </c>
      <c r="G5442" s="1" t="s">
        <v>85</v>
      </c>
      <c r="H5442" s="4" t="str">
        <f>HYPERLINK("https://www.ncbi.nlm.nih.gov/geo/query/acc.cgi?acc=GSM1220100","GSM1220100")</f>
        <v>GSM1220100</v>
      </c>
      <c r="I5442" t="s">
        <v>82</v>
      </c>
      <c r="J5442" t="s">
        <v>83</v>
      </c>
      <c r="K5442" t="s">
        <v>19</v>
      </c>
      <c r="L5442" t="s">
        <v>27</v>
      </c>
      <c r="M5442" t="s">
        <v>24</v>
      </c>
      <c r="N5442" t="s">
        <v>22</v>
      </c>
    </row>
    <row r="5443" spans="1:14">
      <c r="A5443" s="4" t="str">
        <f t="shared" si="512"/>
        <v>EXP00189</v>
      </c>
      <c r="B5443" s="4" t="str">
        <f t="shared" si="510"/>
        <v>24803579</v>
      </c>
      <c r="C5443" s="4" t="str">
        <f t="shared" si="511"/>
        <v>GSE50493</v>
      </c>
      <c r="D5443" s="1" t="s">
        <v>303</v>
      </c>
      <c r="E5443" t="s">
        <v>84</v>
      </c>
      <c r="F5443" s="1">
        <v>2</v>
      </c>
      <c r="G5443" s="1" t="s">
        <v>85</v>
      </c>
      <c r="H5443" s="4" t="str">
        <f>HYPERLINK("https://www.ncbi.nlm.nih.gov/geo/query/acc.cgi?acc=GSM1220101","GSM1220101")</f>
        <v>GSM1220101</v>
      </c>
      <c r="I5443" t="s">
        <v>82</v>
      </c>
      <c r="J5443" t="s">
        <v>83</v>
      </c>
      <c r="K5443" t="s">
        <v>19</v>
      </c>
      <c r="L5443" t="s">
        <v>27</v>
      </c>
      <c r="M5443" t="s">
        <v>24</v>
      </c>
      <c r="N5443" t="s">
        <v>22</v>
      </c>
    </row>
    <row r="5444" spans="1:14">
      <c r="A5444" s="4" t="str">
        <f t="shared" si="512"/>
        <v>EXP00189</v>
      </c>
      <c r="B5444" s="4" t="str">
        <f t="shared" si="510"/>
        <v>24803579</v>
      </c>
      <c r="C5444" s="4" t="str">
        <f t="shared" si="511"/>
        <v>GSE50493</v>
      </c>
      <c r="D5444" s="1" t="s">
        <v>303</v>
      </c>
      <c r="E5444" t="s">
        <v>84</v>
      </c>
      <c r="F5444" s="1">
        <v>2</v>
      </c>
      <c r="G5444" s="1" t="s">
        <v>85</v>
      </c>
      <c r="H5444" s="4" t="str">
        <f>HYPERLINK("https://www.ncbi.nlm.nih.gov/geo/query/acc.cgi?acc=GSM1220102","GSM1220102")</f>
        <v>GSM1220102</v>
      </c>
      <c r="I5444" t="s">
        <v>82</v>
      </c>
      <c r="J5444" t="s">
        <v>83</v>
      </c>
      <c r="K5444" t="s">
        <v>19</v>
      </c>
      <c r="L5444" t="s">
        <v>27</v>
      </c>
      <c r="M5444" t="s">
        <v>24</v>
      </c>
      <c r="N5444" t="s">
        <v>22</v>
      </c>
    </row>
    <row r="5445" spans="1:14">
      <c r="A5445" s="4" t="str">
        <f t="shared" ref="A5445:A5454" si="513">HYPERLINK("http://hcmdb.i-sanger.com/experiment/details/experiment_id/EXP00190","EXP00190")</f>
        <v>EXP00190</v>
      </c>
      <c r="B5445" s="4" t="str">
        <f t="shared" si="510"/>
        <v>24803579</v>
      </c>
      <c r="C5445" s="4" t="str">
        <f t="shared" si="511"/>
        <v>GSE50493</v>
      </c>
      <c r="D5445" s="1" t="s">
        <v>303</v>
      </c>
      <c r="E5445" t="s">
        <v>84</v>
      </c>
      <c r="F5445" s="1">
        <v>1</v>
      </c>
      <c r="G5445" s="1" t="s">
        <v>306</v>
      </c>
      <c r="H5445" s="4" t="str">
        <f>HYPERLINK("https://www.ncbi.nlm.nih.gov/geo/query/acc.cgi?acc=GSM1220074","GSM1220074")</f>
        <v>GSM1220074</v>
      </c>
      <c r="I5445" t="s">
        <v>82</v>
      </c>
      <c r="J5445" t="s">
        <v>83</v>
      </c>
      <c r="K5445" t="s">
        <v>19</v>
      </c>
      <c r="L5445" t="s">
        <v>27</v>
      </c>
      <c r="M5445" t="s">
        <v>41</v>
      </c>
      <c r="N5445" t="s">
        <v>22</v>
      </c>
    </row>
    <row r="5446" spans="1:14">
      <c r="A5446" s="4" t="str">
        <f t="shared" si="513"/>
        <v>EXP00190</v>
      </c>
      <c r="B5446" s="4" t="str">
        <f t="shared" si="510"/>
        <v>24803579</v>
      </c>
      <c r="C5446" s="4" t="str">
        <f t="shared" si="511"/>
        <v>GSE50493</v>
      </c>
      <c r="D5446" s="1" t="s">
        <v>303</v>
      </c>
      <c r="E5446" t="s">
        <v>84</v>
      </c>
      <c r="F5446" s="1">
        <v>1</v>
      </c>
      <c r="G5446" s="1" t="s">
        <v>306</v>
      </c>
      <c r="H5446" s="4" t="str">
        <f>HYPERLINK("https://www.ncbi.nlm.nih.gov/geo/query/acc.cgi?acc=GSM1220075","GSM1220075")</f>
        <v>GSM1220075</v>
      </c>
      <c r="I5446" t="s">
        <v>82</v>
      </c>
      <c r="J5446" t="s">
        <v>83</v>
      </c>
      <c r="K5446" t="s">
        <v>19</v>
      </c>
      <c r="L5446" t="s">
        <v>27</v>
      </c>
      <c r="M5446" t="s">
        <v>41</v>
      </c>
      <c r="N5446" t="s">
        <v>22</v>
      </c>
    </row>
    <row r="5447" spans="1:14">
      <c r="A5447" s="4" t="str">
        <f t="shared" si="513"/>
        <v>EXP00190</v>
      </c>
      <c r="B5447" s="4" t="str">
        <f t="shared" si="510"/>
        <v>24803579</v>
      </c>
      <c r="C5447" s="4" t="str">
        <f t="shared" si="511"/>
        <v>GSE50493</v>
      </c>
      <c r="D5447" s="1" t="s">
        <v>303</v>
      </c>
      <c r="E5447" t="s">
        <v>84</v>
      </c>
      <c r="F5447" s="1">
        <v>1</v>
      </c>
      <c r="G5447" s="1" t="s">
        <v>306</v>
      </c>
      <c r="H5447" s="4" t="str">
        <f>HYPERLINK("https://www.ncbi.nlm.nih.gov/geo/query/acc.cgi?acc=GSM1220076","GSM1220076")</f>
        <v>GSM1220076</v>
      </c>
      <c r="I5447" t="s">
        <v>82</v>
      </c>
      <c r="J5447" t="s">
        <v>83</v>
      </c>
      <c r="K5447" t="s">
        <v>19</v>
      </c>
      <c r="L5447" t="s">
        <v>27</v>
      </c>
      <c r="M5447" t="s">
        <v>41</v>
      </c>
      <c r="N5447" t="s">
        <v>22</v>
      </c>
    </row>
    <row r="5448" spans="1:14">
      <c r="A5448" s="4" t="str">
        <f t="shared" si="513"/>
        <v>EXP00190</v>
      </c>
      <c r="B5448" s="4" t="str">
        <f t="shared" si="510"/>
        <v>24803579</v>
      </c>
      <c r="C5448" s="4" t="str">
        <f t="shared" si="511"/>
        <v>GSE50493</v>
      </c>
      <c r="D5448" s="1" t="s">
        <v>303</v>
      </c>
      <c r="E5448" t="s">
        <v>84</v>
      </c>
      <c r="F5448" s="1">
        <v>1</v>
      </c>
      <c r="G5448" s="1" t="s">
        <v>306</v>
      </c>
      <c r="H5448" s="4" t="str">
        <f>HYPERLINK("https://www.ncbi.nlm.nih.gov/geo/query/acc.cgi?acc=GSM1220083","GSM1220083")</f>
        <v>GSM1220083</v>
      </c>
      <c r="I5448" t="s">
        <v>82</v>
      </c>
      <c r="J5448" t="s">
        <v>83</v>
      </c>
      <c r="K5448" t="s">
        <v>19</v>
      </c>
      <c r="L5448" t="s">
        <v>27</v>
      </c>
      <c r="M5448" t="s">
        <v>41</v>
      </c>
      <c r="N5448" t="s">
        <v>22</v>
      </c>
    </row>
    <row r="5449" spans="1:14">
      <c r="A5449" s="4" t="str">
        <f t="shared" si="513"/>
        <v>EXP00190</v>
      </c>
      <c r="B5449" s="4" t="str">
        <f t="shared" si="510"/>
        <v>24803579</v>
      </c>
      <c r="C5449" s="4" t="str">
        <f t="shared" si="511"/>
        <v>GSE50493</v>
      </c>
      <c r="D5449" s="1" t="s">
        <v>303</v>
      </c>
      <c r="E5449" t="s">
        <v>84</v>
      </c>
      <c r="F5449" s="1">
        <v>1</v>
      </c>
      <c r="G5449" s="1" t="s">
        <v>306</v>
      </c>
      <c r="H5449" s="4" t="str">
        <f>HYPERLINK("https://www.ncbi.nlm.nih.gov/geo/query/acc.cgi?acc=GSM1220103","GSM1220103")</f>
        <v>GSM1220103</v>
      </c>
      <c r="I5449" t="s">
        <v>82</v>
      </c>
      <c r="J5449" t="s">
        <v>83</v>
      </c>
      <c r="K5449" t="s">
        <v>19</v>
      </c>
      <c r="L5449" t="s">
        <v>27</v>
      </c>
      <c r="M5449" t="s">
        <v>41</v>
      </c>
      <c r="N5449" t="s">
        <v>22</v>
      </c>
    </row>
    <row r="5450" spans="1:14">
      <c r="A5450" s="4" t="str">
        <f t="shared" si="513"/>
        <v>EXP00190</v>
      </c>
      <c r="B5450" s="4" t="str">
        <f t="shared" si="510"/>
        <v>24803579</v>
      </c>
      <c r="C5450" s="4" t="str">
        <f t="shared" si="511"/>
        <v>GSE50493</v>
      </c>
      <c r="D5450" s="1" t="s">
        <v>303</v>
      </c>
      <c r="E5450" t="s">
        <v>84</v>
      </c>
      <c r="F5450" s="1">
        <v>1</v>
      </c>
      <c r="G5450" s="1" t="s">
        <v>306</v>
      </c>
      <c r="H5450" s="4" t="str">
        <f>HYPERLINK("https://www.ncbi.nlm.nih.gov/geo/query/acc.cgi?acc=GSM1220105","GSM1220105")</f>
        <v>GSM1220105</v>
      </c>
      <c r="I5450" t="s">
        <v>82</v>
      </c>
      <c r="J5450" t="s">
        <v>83</v>
      </c>
      <c r="K5450" t="s">
        <v>19</v>
      </c>
      <c r="L5450" t="s">
        <v>27</v>
      </c>
      <c r="M5450" t="s">
        <v>41</v>
      </c>
      <c r="N5450" t="s">
        <v>22</v>
      </c>
    </row>
    <row r="5451" spans="1:14">
      <c r="A5451" s="4" t="str">
        <f t="shared" si="513"/>
        <v>EXP00190</v>
      </c>
      <c r="B5451" s="4" t="str">
        <f t="shared" si="510"/>
        <v>24803579</v>
      </c>
      <c r="C5451" s="4" t="str">
        <f t="shared" si="511"/>
        <v>GSE50493</v>
      </c>
      <c r="D5451" s="1" t="s">
        <v>303</v>
      </c>
      <c r="E5451" t="s">
        <v>84</v>
      </c>
      <c r="F5451" s="1">
        <v>2</v>
      </c>
      <c r="G5451" s="1" t="s">
        <v>307</v>
      </c>
      <c r="H5451" s="4" t="str">
        <f>HYPERLINK("https://www.ncbi.nlm.nih.gov/geo/query/acc.cgi?acc=GSM1220069","GSM1220069")</f>
        <v>GSM1220069</v>
      </c>
      <c r="I5451" t="s">
        <v>82</v>
      </c>
      <c r="J5451" t="s">
        <v>83</v>
      </c>
      <c r="K5451" t="s">
        <v>19</v>
      </c>
      <c r="L5451" t="s">
        <v>27</v>
      </c>
      <c r="M5451" t="s">
        <v>308</v>
      </c>
      <c r="N5451" t="s">
        <v>22</v>
      </c>
    </row>
    <row r="5452" spans="1:14">
      <c r="A5452" s="4" t="str">
        <f t="shared" si="513"/>
        <v>EXP00190</v>
      </c>
      <c r="B5452" s="4" t="str">
        <f t="shared" si="510"/>
        <v>24803579</v>
      </c>
      <c r="C5452" s="4" t="str">
        <f t="shared" si="511"/>
        <v>GSE50493</v>
      </c>
      <c r="D5452" s="1" t="s">
        <v>303</v>
      </c>
      <c r="E5452" t="s">
        <v>84</v>
      </c>
      <c r="F5452" s="1">
        <v>2</v>
      </c>
      <c r="G5452" s="1" t="s">
        <v>307</v>
      </c>
      <c r="H5452" s="4" t="str">
        <f>HYPERLINK("https://www.ncbi.nlm.nih.gov/geo/query/acc.cgi?acc=GSM1220070","GSM1220070")</f>
        <v>GSM1220070</v>
      </c>
      <c r="I5452" t="s">
        <v>82</v>
      </c>
      <c r="J5452" t="s">
        <v>83</v>
      </c>
      <c r="K5452" t="s">
        <v>19</v>
      </c>
      <c r="L5452" t="s">
        <v>27</v>
      </c>
      <c r="M5452" t="s">
        <v>308</v>
      </c>
      <c r="N5452" t="s">
        <v>22</v>
      </c>
    </row>
    <row r="5453" spans="1:14">
      <c r="A5453" s="4" t="str">
        <f t="shared" si="513"/>
        <v>EXP00190</v>
      </c>
      <c r="B5453" s="4" t="str">
        <f t="shared" si="510"/>
        <v>24803579</v>
      </c>
      <c r="C5453" s="4" t="str">
        <f t="shared" si="511"/>
        <v>GSE50493</v>
      </c>
      <c r="D5453" s="1" t="s">
        <v>303</v>
      </c>
      <c r="E5453" t="s">
        <v>84</v>
      </c>
      <c r="F5453" s="1">
        <v>2</v>
      </c>
      <c r="G5453" s="1" t="s">
        <v>307</v>
      </c>
      <c r="H5453" s="4" t="str">
        <f>HYPERLINK("https://www.ncbi.nlm.nih.gov/geo/query/acc.cgi?acc=GSM1220072","GSM1220072")</f>
        <v>GSM1220072</v>
      </c>
      <c r="I5453" t="s">
        <v>82</v>
      </c>
      <c r="J5453" t="s">
        <v>83</v>
      </c>
      <c r="K5453" t="s">
        <v>19</v>
      </c>
      <c r="L5453" t="s">
        <v>27</v>
      </c>
      <c r="M5453" t="s">
        <v>308</v>
      </c>
      <c r="N5453" t="s">
        <v>22</v>
      </c>
    </row>
    <row r="5454" spans="1:14">
      <c r="A5454" s="4" t="str">
        <f t="shared" si="513"/>
        <v>EXP00190</v>
      </c>
      <c r="B5454" s="4" t="str">
        <f t="shared" si="510"/>
        <v>24803579</v>
      </c>
      <c r="C5454" s="4" t="str">
        <f t="shared" si="511"/>
        <v>GSE50493</v>
      </c>
      <c r="D5454" s="1" t="s">
        <v>303</v>
      </c>
      <c r="E5454" t="s">
        <v>84</v>
      </c>
      <c r="F5454" s="1">
        <v>2</v>
      </c>
      <c r="G5454" s="1" t="s">
        <v>307</v>
      </c>
      <c r="H5454" s="4" t="str">
        <f>HYPERLINK("https://www.ncbi.nlm.nih.gov/geo/query/acc.cgi?acc=GSM1220073","GSM1220073")</f>
        <v>GSM1220073</v>
      </c>
      <c r="I5454" t="s">
        <v>82</v>
      </c>
      <c r="J5454" t="s">
        <v>83</v>
      </c>
      <c r="K5454" t="s">
        <v>19</v>
      </c>
      <c r="L5454" t="s">
        <v>27</v>
      </c>
      <c r="M5454" t="s">
        <v>308</v>
      </c>
      <c r="N5454" t="s">
        <v>22</v>
      </c>
    </row>
    <row r="5455" spans="1:14">
      <c r="A5455" s="4" t="str">
        <f t="shared" ref="A5455:A5468" si="514">HYPERLINK("http://hcmdb.i-sanger.com/experiment/details/experiment_id/EXP00191","EXP00191")</f>
        <v>EXP00191</v>
      </c>
      <c r="B5455" s="4" t="str">
        <f t="shared" si="510"/>
        <v>24803579</v>
      </c>
      <c r="C5455" s="4" t="str">
        <f t="shared" si="511"/>
        <v>GSE50493</v>
      </c>
      <c r="D5455" s="1" t="s">
        <v>303</v>
      </c>
      <c r="E5455" t="s">
        <v>84</v>
      </c>
      <c r="F5455" s="1">
        <v>1</v>
      </c>
      <c r="G5455" s="1" t="s">
        <v>306</v>
      </c>
      <c r="H5455" s="4" t="str">
        <f>HYPERLINK("https://www.ncbi.nlm.nih.gov/geo/query/acc.cgi?acc=GSM1220074","GSM1220074")</f>
        <v>GSM1220074</v>
      </c>
      <c r="I5455" t="s">
        <v>82</v>
      </c>
      <c r="J5455" t="s">
        <v>83</v>
      </c>
      <c r="K5455" t="s">
        <v>19</v>
      </c>
      <c r="L5455" t="s">
        <v>27</v>
      </c>
      <c r="M5455" t="s">
        <v>41</v>
      </c>
      <c r="N5455" t="s">
        <v>22</v>
      </c>
    </row>
    <row r="5456" spans="1:14">
      <c r="A5456" s="4" t="str">
        <f t="shared" si="514"/>
        <v>EXP00191</v>
      </c>
      <c r="B5456" s="4" t="str">
        <f t="shared" si="510"/>
        <v>24803579</v>
      </c>
      <c r="C5456" s="4" t="str">
        <f t="shared" si="511"/>
        <v>GSE50493</v>
      </c>
      <c r="D5456" s="1" t="s">
        <v>303</v>
      </c>
      <c r="E5456" t="s">
        <v>84</v>
      </c>
      <c r="F5456" s="1">
        <v>1</v>
      </c>
      <c r="G5456" s="1" t="s">
        <v>306</v>
      </c>
      <c r="H5456" s="4" t="str">
        <f>HYPERLINK("https://www.ncbi.nlm.nih.gov/geo/query/acc.cgi?acc=GSM1220075","GSM1220075")</f>
        <v>GSM1220075</v>
      </c>
      <c r="I5456" t="s">
        <v>82</v>
      </c>
      <c r="J5456" t="s">
        <v>83</v>
      </c>
      <c r="K5456" t="s">
        <v>19</v>
      </c>
      <c r="L5456" t="s">
        <v>27</v>
      </c>
      <c r="M5456" t="s">
        <v>41</v>
      </c>
      <c r="N5456" t="s">
        <v>22</v>
      </c>
    </row>
    <row r="5457" spans="1:14">
      <c r="A5457" s="4" t="str">
        <f t="shared" si="514"/>
        <v>EXP00191</v>
      </c>
      <c r="B5457" s="4" t="str">
        <f t="shared" si="510"/>
        <v>24803579</v>
      </c>
      <c r="C5457" s="4" t="str">
        <f t="shared" si="511"/>
        <v>GSE50493</v>
      </c>
      <c r="D5457" s="1" t="s">
        <v>303</v>
      </c>
      <c r="E5457" t="s">
        <v>84</v>
      </c>
      <c r="F5457" s="1">
        <v>1</v>
      </c>
      <c r="G5457" s="1" t="s">
        <v>306</v>
      </c>
      <c r="H5457" s="4" t="str">
        <f>HYPERLINK("https://www.ncbi.nlm.nih.gov/geo/query/acc.cgi?acc=GSM1220076","GSM1220076")</f>
        <v>GSM1220076</v>
      </c>
      <c r="I5457" t="s">
        <v>82</v>
      </c>
      <c r="J5457" t="s">
        <v>83</v>
      </c>
      <c r="K5457" t="s">
        <v>19</v>
      </c>
      <c r="L5457" t="s">
        <v>27</v>
      </c>
      <c r="M5457" t="s">
        <v>41</v>
      </c>
      <c r="N5457" t="s">
        <v>22</v>
      </c>
    </row>
    <row r="5458" spans="1:14">
      <c r="A5458" s="4" t="str">
        <f t="shared" si="514"/>
        <v>EXP00191</v>
      </c>
      <c r="B5458" s="4" t="str">
        <f t="shared" si="510"/>
        <v>24803579</v>
      </c>
      <c r="C5458" s="4" t="str">
        <f t="shared" si="511"/>
        <v>GSE50493</v>
      </c>
      <c r="D5458" s="1" t="s">
        <v>303</v>
      </c>
      <c r="E5458" t="s">
        <v>84</v>
      </c>
      <c r="F5458" s="1">
        <v>1</v>
      </c>
      <c r="G5458" s="1" t="s">
        <v>306</v>
      </c>
      <c r="H5458" s="4" t="str">
        <f>HYPERLINK("https://www.ncbi.nlm.nih.gov/geo/query/acc.cgi?acc=GSM1220083","GSM1220083")</f>
        <v>GSM1220083</v>
      </c>
      <c r="I5458" t="s">
        <v>82</v>
      </c>
      <c r="J5458" t="s">
        <v>83</v>
      </c>
      <c r="K5458" t="s">
        <v>19</v>
      </c>
      <c r="L5458" t="s">
        <v>27</v>
      </c>
      <c r="M5458" t="s">
        <v>41</v>
      </c>
      <c r="N5458" t="s">
        <v>22</v>
      </c>
    </row>
    <row r="5459" spans="1:14">
      <c r="A5459" s="4" t="str">
        <f t="shared" si="514"/>
        <v>EXP00191</v>
      </c>
      <c r="B5459" s="4" t="str">
        <f t="shared" si="510"/>
        <v>24803579</v>
      </c>
      <c r="C5459" s="4" t="str">
        <f t="shared" si="511"/>
        <v>GSE50493</v>
      </c>
      <c r="D5459" s="1" t="s">
        <v>303</v>
      </c>
      <c r="E5459" t="s">
        <v>84</v>
      </c>
      <c r="F5459" s="1">
        <v>1</v>
      </c>
      <c r="G5459" s="1" t="s">
        <v>306</v>
      </c>
      <c r="H5459" s="4" t="str">
        <f>HYPERLINK("https://www.ncbi.nlm.nih.gov/geo/query/acc.cgi?acc=GSM1220103","GSM1220103")</f>
        <v>GSM1220103</v>
      </c>
      <c r="I5459" t="s">
        <v>82</v>
      </c>
      <c r="J5459" t="s">
        <v>83</v>
      </c>
      <c r="K5459" t="s">
        <v>19</v>
      </c>
      <c r="L5459" t="s">
        <v>27</v>
      </c>
      <c r="M5459" t="s">
        <v>41</v>
      </c>
      <c r="N5459" t="s">
        <v>22</v>
      </c>
    </row>
    <row r="5460" spans="1:14">
      <c r="A5460" s="4" t="str">
        <f t="shared" si="514"/>
        <v>EXP00191</v>
      </c>
      <c r="B5460" s="4" t="str">
        <f t="shared" si="510"/>
        <v>24803579</v>
      </c>
      <c r="C5460" s="4" t="str">
        <f t="shared" si="511"/>
        <v>GSE50493</v>
      </c>
      <c r="D5460" s="1" t="s">
        <v>303</v>
      </c>
      <c r="E5460" t="s">
        <v>84</v>
      </c>
      <c r="F5460" s="1">
        <v>1</v>
      </c>
      <c r="G5460" s="1" t="s">
        <v>306</v>
      </c>
      <c r="H5460" s="4" t="str">
        <f>HYPERLINK("https://www.ncbi.nlm.nih.gov/geo/query/acc.cgi?acc=GSM1220105","GSM1220105")</f>
        <v>GSM1220105</v>
      </c>
      <c r="I5460" t="s">
        <v>82</v>
      </c>
      <c r="J5460" t="s">
        <v>83</v>
      </c>
      <c r="K5460" t="s">
        <v>19</v>
      </c>
      <c r="L5460" t="s">
        <v>27</v>
      </c>
      <c r="M5460" t="s">
        <v>41</v>
      </c>
      <c r="N5460" t="s">
        <v>22</v>
      </c>
    </row>
    <row r="5461" spans="1:14">
      <c r="A5461" s="4" t="str">
        <f t="shared" si="514"/>
        <v>EXP00191</v>
      </c>
      <c r="B5461" s="4" t="str">
        <f t="shared" si="510"/>
        <v>24803579</v>
      </c>
      <c r="C5461" s="4" t="str">
        <f t="shared" si="511"/>
        <v>GSE50493</v>
      </c>
      <c r="D5461" s="1" t="s">
        <v>303</v>
      </c>
      <c r="E5461" t="s">
        <v>84</v>
      </c>
      <c r="F5461" s="1">
        <v>2</v>
      </c>
      <c r="G5461" s="1" t="s">
        <v>309</v>
      </c>
      <c r="H5461" s="4" t="str">
        <f>HYPERLINK("https://www.ncbi.nlm.nih.gov/geo/query/acc.cgi?acc=GSM1220066","GSM1220066")</f>
        <v>GSM1220066</v>
      </c>
      <c r="I5461" t="s">
        <v>82</v>
      </c>
      <c r="J5461" t="s">
        <v>83</v>
      </c>
      <c r="K5461" t="s">
        <v>19</v>
      </c>
      <c r="L5461" t="s">
        <v>27</v>
      </c>
      <c r="M5461" t="s">
        <v>213</v>
      </c>
      <c r="N5461" t="s">
        <v>22</v>
      </c>
    </row>
    <row r="5462" spans="1:14">
      <c r="A5462" s="4" t="str">
        <f t="shared" si="514"/>
        <v>EXP00191</v>
      </c>
      <c r="B5462" s="4" t="str">
        <f t="shared" si="510"/>
        <v>24803579</v>
      </c>
      <c r="C5462" s="4" t="str">
        <f t="shared" si="511"/>
        <v>GSE50493</v>
      </c>
      <c r="D5462" s="1" t="s">
        <v>303</v>
      </c>
      <c r="E5462" t="s">
        <v>84</v>
      </c>
      <c r="F5462" s="1">
        <v>2</v>
      </c>
      <c r="G5462" s="1" t="s">
        <v>309</v>
      </c>
      <c r="H5462" s="4" t="str">
        <f>HYPERLINK("https://www.ncbi.nlm.nih.gov/geo/query/acc.cgi?acc=GSM1220067","GSM1220067")</f>
        <v>GSM1220067</v>
      </c>
      <c r="I5462" t="s">
        <v>82</v>
      </c>
      <c r="J5462" t="s">
        <v>83</v>
      </c>
      <c r="K5462" t="s">
        <v>19</v>
      </c>
      <c r="L5462" t="s">
        <v>27</v>
      </c>
      <c r="M5462" t="s">
        <v>213</v>
      </c>
      <c r="N5462" t="s">
        <v>22</v>
      </c>
    </row>
    <row r="5463" spans="1:14">
      <c r="A5463" s="4" t="str">
        <f t="shared" si="514"/>
        <v>EXP00191</v>
      </c>
      <c r="B5463" s="4" t="str">
        <f t="shared" si="510"/>
        <v>24803579</v>
      </c>
      <c r="C5463" s="4" t="str">
        <f t="shared" si="511"/>
        <v>GSE50493</v>
      </c>
      <c r="D5463" s="1" t="s">
        <v>303</v>
      </c>
      <c r="E5463" t="s">
        <v>84</v>
      </c>
      <c r="F5463" s="1">
        <v>2</v>
      </c>
      <c r="G5463" s="1" t="s">
        <v>309</v>
      </c>
      <c r="H5463" s="4" t="str">
        <f>HYPERLINK("https://www.ncbi.nlm.nih.gov/geo/query/acc.cgi?acc=GSM1220068","GSM1220068")</f>
        <v>GSM1220068</v>
      </c>
      <c r="I5463" t="s">
        <v>82</v>
      </c>
      <c r="J5463" t="s">
        <v>83</v>
      </c>
      <c r="K5463" t="s">
        <v>19</v>
      </c>
      <c r="L5463" t="s">
        <v>27</v>
      </c>
      <c r="M5463" t="s">
        <v>213</v>
      </c>
      <c r="N5463" t="s">
        <v>22</v>
      </c>
    </row>
    <row r="5464" spans="1:14">
      <c r="A5464" s="4" t="str">
        <f t="shared" si="514"/>
        <v>EXP00191</v>
      </c>
      <c r="B5464" s="4" t="str">
        <f t="shared" si="510"/>
        <v>24803579</v>
      </c>
      <c r="C5464" s="4" t="str">
        <f t="shared" si="511"/>
        <v>GSE50493</v>
      </c>
      <c r="D5464" s="1" t="s">
        <v>303</v>
      </c>
      <c r="E5464" t="s">
        <v>84</v>
      </c>
      <c r="F5464" s="1">
        <v>2</v>
      </c>
      <c r="G5464" s="1" t="s">
        <v>309</v>
      </c>
      <c r="H5464" s="4" t="str">
        <f>HYPERLINK("https://www.ncbi.nlm.nih.gov/geo/query/acc.cgi?acc=GSM1220079","GSM1220079")</f>
        <v>GSM1220079</v>
      </c>
      <c r="I5464" t="s">
        <v>82</v>
      </c>
      <c r="J5464" t="s">
        <v>83</v>
      </c>
      <c r="K5464" t="s">
        <v>19</v>
      </c>
      <c r="L5464" t="s">
        <v>27</v>
      </c>
      <c r="M5464" t="s">
        <v>213</v>
      </c>
      <c r="N5464" t="s">
        <v>22</v>
      </c>
    </row>
    <row r="5465" spans="1:14">
      <c r="A5465" s="4" t="str">
        <f t="shared" si="514"/>
        <v>EXP00191</v>
      </c>
      <c r="B5465" s="4" t="str">
        <f t="shared" si="510"/>
        <v>24803579</v>
      </c>
      <c r="C5465" s="4" t="str">
        <f t="shared" si="511"/>
        <v>GSE50493</v>
      </c>
      <c r="D5465" s="1" t="s">
        <v>303</v>
      </c>
      <c r="E5465" t="s">
        <v>84</v>
      </c>
      <c r="F5465" s="1">
        <v>2</v>
      </c>
      <c r="G5465" s="1" t="s">
        <v>309</v>
      </c>
      <c r="H5465" s="4" t="str">
        <f>HYPERLINK("https://www.ncbi.nlm.nih.gov/geo/query/acc.cgi?acc=GSM1220093","GSM1220093")</f>
        <v>GSM1220093</v>
      </c>
      <c r="I5465" t="s">
        <v>82</v>
      </c>
      <c r="J5465" t="s">
        <v>83</v>
      </c>
      <c r="K5465" t="s">
        <v>19</v>
      </c>
      <c r="L5465" t="s">
        <v>27</v>
      </c>
      <c r="M5465" t="s">
        <v>213</v>
      </c>
      <c r="N5465" t="s">
        <v>22</v>
      </c>
    </row>
    <row r="5466" spans="1:14">
      <c r="A5466" s="4" t="str">
        <f t="shared" si="514"/>
        <v>EXP00191</v>
      </c>
      <c r="B5466" s="4" t="str">
        <f t="shared" si="510"/>
        <v>24803579</v>
      </c>
      <c r="C5466" s="4" t="str">
        <f t="shared" si="511"/>
        <v>GSE50493</v>
      </c>
      <c r="D5466" s="1" t="s">
        <v>303</v>
      </c>
      <c r="E5466" t="s">
        <v>84</v>
      </c>
      <c r="F5466" s="1">
        <v>2</v>
      </c>
      <c r="G5466" s="1" t="s">
        <v>309</v>
      </c>
      <c r="H5466" s="4" t="str">
        <f>HYPERLINK("https://www.ncbi.nlm.nih.gov/geo/query/acc.cgi?acc=GSM1220094","GSM1220094")</f>
        <v>GSM1220094</v>
      </c>
      <c r="I5466" t="s">
        <v>82</v>
      </c>
      <c r="J5466" t="s">
        <v>83</v>
      </c>
      <c r="K5466" t="s">
        <v>19</v>
      </c>
      <c r="L5466" t="s">
        <v>27</v>
      </c>
      <c r="M5466" t="s">
        <v>213</v>
      </c>
      <c r="N5466" t="s">
        <v>22</v>
      </c>
    </row>
    <row r="5467" spans="1:14">
      <c r="A5467" s="4" t="str">
        <f t="shared" si="514"/>
        <v>EXP00191</v>
      </c>
      <c r="B5467" s="4" t="str">
        <f t="shared" si="510"/>
        <v>24803579</v>
      </c>
      <c r="C5467" s="4" t="str">
        <f t="shared" si="511"/>
        <v>GSE50493</v>
      </c>
      <c r="D5467" s="1" t="s">
        <v>303</v>
      </c>
      <c r="E5467" t="s">
        <v>84</v>
      </c>
      <c r="F5467" s="1">
        <v>2</v>
      </c>
      <c r="G5467" s="1" t="s">
        <v>309</v>
      </c>
      <c r="H5467" s="4" t="str">
        <f>HYPERLINK("https://www.ncbi.nlm.nih.gov/geo/query/acc.cgi?acc=GSM1220095","GSM1220095")</f>
        <v>GSM1220095</v>
      </c>
      <c r="I5467" t="s">
        <v>82</v>
      </c>
      <c r="J5467" t="s">
        <v>83</v>
      </c>
      <c r="K5467" t="s">
        <v>19</v>
      </c>
      <c r="L5467" t="s">
        <v>27</v>
      </c>
      <c r="M5467" t="s">
        <v>213</v>
      </c>
      <c r="N5467" t="s">
        <v>22</v>
      </c>
    </row>
    <row r="5468" spans="1:14">
      <c r="A5468" s="4" t="str">
        <f t="shared" si="514"/>
        <v>EXP00191</v>
      </c>
      <c r="B5468" s="4" t="str">
        <f t="shared" si="510"/>
        <v>24803579</v>
      </c>
      <c r="C5468" s="4" t="str">
        <f t="shared" si="511"/>
        <v>GSE50493</v>
      </c>
      <c r="D5468" s="1" t="s">
        <v>303</v>
      </c>
      <c r="E5468" t="s">
        <v>84</v>
      </c>
      <c r="F5468" s="1">
        <v>2</v>
      </c>
      <c r="G5468" s="1" t="s">
        <v>309</v>
      </c>
      <c r="H5468" s="4" t="str">
        <f>HYPERLINK("https://www.ncbi.nlm.nih.gov/geo/query/acc.cgi?acc=GSM1220096","GSM1220096")</f>
        <v>GSM1220096</v>
      </c>
      <c r="I5468" t="s">
        <v>82</v>
      </c>
      <c r="J5468" t="s">
        <v>83</v>
      </c>
      <c r="K5468" t="s">
        <v>19</v>
      </c>
      <c r="L5468" t="s">
        <v>27</v>
      </c>
      <c r="M5468" t="s">
        <v>213</v>
      </c>
      <c r="N5468" t="s">
        <v>22</v>
      </c>
    </row>
    <row r="5469" spans="1:14">
      <c r="A5469" s="4" t="str">
        <f t="shared" ref="A5469:A5478" si="515">HYPERLINK("http://hcmdb.i-sanger.com/experiment/details/experiment_id/EXP00192","EXP00192")</f>
        <v>EXP00192</v>
      </c>
      <c r="B5469" s="4" t="str">
        <f t="shared" si="510"/>
        <v>24803579</v>
      </c>
      <c r="C5469" s="4" t="str">
        <f t="shared" si="511"/>
        <v>GSE50493</v>
      </c>
      <c r="D5469" s="1" t="s">
        <v>303</v>
      </c>
      <c r="E5469" t="s">
        <v>84</v>
      </c>
      <c r="F5469" s="1">
        <v>1</v>
      </c>
      <c r="G5469" s="1" t="s">
        <v>306</v>
      </c>
      <c r="H5469" s="4" t="str">
        <f>HYPERLINK("https://www.ncbi.nlm.nih.gov/geo/query/acc.cgi?acc=GSM1220074","GSM1220074")</f>
        <v>GSM1220074</v>
      </c>
      <c r="I5469" t="s">
        <v>82</v>
      </c>
      <c r="J5469" t="s">
        <v>83</v>
      </c>
      <c r="K5469" t="s">
        <v>19</v>
      </c>
      <c r="L5469" t="s">
        <v>27</v>
      </c>
      <c r="M5469" t="s">
        <v>41</v>
      </c>
      <c r="N5469" t="s">
        <v>22</v>
      </c>
    </row>
    <row r="5470" spans="1:14">
      <c r="A5470" s="4" t="str">
        <f t="shared" si="515"/>
        <v>EXP00192</v>
      </c>
      <c r="B5470" s="4" t="str">
        <f t="shared" si="510"/>
        <v>24803579</v>
      </c>
      <c r="C5470" s="4" t="str">
        <f t="shared" si="511"/>
        <v>GSE50493</v>
      </c>
      <c r="D5470" s="1" t="s">
        <v>303</v>
      </c>
      <c r="E5470" t="s">
        <v>84</v>
      </c>
      <c r="F5470" s="1">
        <v>1</v>
      </c>
      <c r="G5470" s="1" t="s">
        <v>306</v>
      </c>
      <c r="H5470" s="4" t="str">
        <f>HYPERLINK("https://www.ncbi.nlm.nih.gov/geo/query/acc.cgi?acc=GSM1220075","GSM1220075")</f>
        <v>GSM1220075</v>
      </c>
      <c r="I5470" t="s">
        <v>82</v>
      </c>
      <c r="J5470" t="s">
        <v>83</v>
      </c>
      <c r="K5470" t="s">
        <v>19</v>
      </c>
      <c r="L5470" t="s">
        <v>27</v>
      </c>
      <c r="M5470" t="s">
        <v>41</v>
      </c>
      <c r="N5470" t="s">
        <v>22</v>
      </c>
    </row>
    <row r="5471" spans="1:14">
      <c r="A5471" s="4" t="str">
        <f t="shared" si="515"/>
        <v>EXP00192</v>
      </c>
      <c r="B5471" s="4" t="str">
        <f t="shared" si="510"/>
        <v>24803579</v>
      </c>
      <c r="C5471" s="4" t="str">
        <f t="shared" si="511"/>
        <v>GSE50493</v>
      </c>
      <c r="D5471" s="1" t="s">
        <v>303</v>
      </c>
      <c r="E5471" t="s">
        <v>84</v>
      </c>
      <c r="F5471" s="1">
        <v>1</v>
      </c>
      <c r="G5471" s="1" t="s">
        <v>306</v>
      </c>
      <c r="H5471" s="4" t="str">
        <f>HYPERLINK("https://www.ncbi.nlm.nih.gov/geo/query/acc.cgi?acc=GSM1220076","GSM1220076")</f>
        <v>GSM1220076</v>
      </c>
      <c r="I5471" t="s">
        <v>82</v>
      </c>
      <c r="J5471" t="s">
        <v>83</v>
      </c>
      <c r="K5471" t="s">
        <v>19</v>
      </c>
      <c r="L5471" t="s">
        <v>27</v>
      </c>
      <c r="M5471" t="s">
        <v>41</v>
      </c>
      <c r="N5471" t="s">
        <v>22</v>
      </c>
    </row>
    <row r="5472" spans="1:14">
      <c r="A5472" s="4" t="str">
        <f t="shared" si="515"/>
        <v>EXP00192</v>
      </c>
      <c r="B5472" s="4" t="str">
        <f t="shared" si="510"/>
        <v>24803579</v>
      </c>
      <c r="C5472" s="4" t="str">
        <f t="shared" si="511"/>
        <v>GSE50493</v>
      </c>
      <c r="D5472" s="1" t="s">
        <v>303</v>
      </c>
      <c r="E5472" t="s">
        <v>84</v>
      </c>
      <c r="F5472" s="1">
        <v>1</v>
      </c>
      <c r="G5472" s="1" t="s">
        <v>306</v>
      </c>
      <c r="H5472" s="4" t="str">
        <f>HYPERLINK("https://www.ncbi.nlm.nih.gov/geo/query/acc.cgi?acc=GSM1220083","GSM1220083")</f>
        <v>GSM1220083</v>
      </c>
      <c r="I5472" t="s">
        <v>82</v>
      </c>
      <c r="J5472" t="s">
        <v>83</v>
      </c>
      <c r="K5472" t="s">
        <v>19</v>
      </c>
      <c r="L5472" t="s">
        <v>27</v>
      </c>
      <c r="M5472" t="s">
        <v>41</v>
      </c>
      <c r="N5472" t="s">
        <v>22</v>
      </c>
    </row>
    <row r="5473" spans="1:14">
      <c r="A5473" s="4" t="str">
        <f t="shared" si="515"/>
        <v>EXP00192</v>
      </c>
      <c r="B5473" s="4" t="str">
        <f t="shared" si="510"/>
        <v>24803579</v>
      </c>
      <c r="C5473" s="4" t="str">
        <f t="shared" si="511"/>
        <v>GSE50493</v>
      </c>
      <c r="D5473" s="1" t="s">
        <v>303</v>
      </c>
      <c r="E5473" t="s">
        <v>84</v>
      </c>
      <c r="F5473" s="1">
        <v>1</v>
      </c>
      <c r="G5473" s="1" t="s">
        <v>306</v>
      </c>
      <c r="H5473" s="4" t="str">
        <f>HYPERLINK("https://www.ncbi.nlm.nih.gov/geo/query/acc.cgi?acc=GSM1220103","GSM1220103")</f>
        <v>GSM1220103</v>
      </c>
      <c r="I5473" t="s">
        <v>82</v>
      </c>
      <c r="J5473" t="s">
        <v>83</v>
      </c>
      <c r="K5473" t="s">
        <v>19</v>
      </c>
      <c r="L5473" t="s">
        <v>27</v>
      </c>
      <c r="M5473" t="s">
        <v>41</v>
      </c>
      <c r="N5473" t="s">
        <v>22</v>
      </c>
    </row>
    <row r="5474" spans="1:14">
      <c r="A5474" s="4" t="str">
        <f t="shared" si="515"/>
        <v>EXP00192</v>
      </c>
      <c r="B5474" s="4" t="str">
        <f t="shared" si="510"/>
        <v>24803579</v>
      </c>
      <c r="C5474" s="4" t="str">
        <f t="shared" si="511"/>
        <v>GSE50493</v>
      </c>
      <c r="D5474" s="1" t="s">
        <v>303</v>
      </c>
      <c r="E5474" t="s">
        <v>84</v>
      </c>
      <c r="F5474" s="1">
        <v>1</v>
      </c>
      <c r="G5474" s="1" t="s">
        <v>306</v>
      </c>
      <c r="H5474" s="4" t="str">
        <f>HYPERLINK("https://www.ncbi.nlm.nih.gov/geo/query/acc.cgi?acc=GSM1220105","GSM1220105")</f>
        <v>GSM1220105</v>
      </c>
      <c r="I5474" t="s">
        <v>82</v>
      </c>
      <c r="J5474" t="s">
        <v>83</v>
      </c>
      <c r="K5474" t="s">
        <v>19</v>
      </c>
      <c r="L5474" t="s">
        <v>27</v>
      </c>
      <c r="M5474" t="s">
        <v>41</v>
      </c>
      <c r="N5474" t="s">
        <v>22</v>
      </c>
    </row>
    <row r="5475" spans="1:14">
      <c r="A5475" s="4" t="str">
        <f t="shared" si="515"/>
        <v>EXP00192</v>
      </c>
      <c r="B5475" s="4" t="str">
        <f t="shared" si="510"/>
        <v>24803579</v>
      </c>
      <c r="C5475" s="4" t="str">
        <f t="shared" si="511"/>
        <v>GSE50493</v>
      </c>
      <c r="D5475" s="1" t="s">
        <v>303</v>
      </c>
      <c r="E5475" t="s">
        <v>84</v>
      </c>
      <c r="F5475" s="1">
        <v>2</v>
      </c>
      <c r="G5475" s="1" t="s">
        <v>310</v>
      </c>
      <c r="H5475" s="4" t="str">
        <f>HYPERLINK("https://www.ncbi.nlm.nih.gov/geo/query/acc.cgi?acc=GSM1220084","GSM1220084")</f>
        <v>GSM1220084</v>
      </c>
      <c r="I5475" t="s">
        <v>82</v>
      </c>
      <c r="J5475" t="s">
        <v>83</v>
      </c>
      <c r="K5475" t="s">
        <v>19</v>
      </c>
      <c r="L5475" t="s">
        <v>27</v>
      </c>
      <c r="M5475" t="s">
        <v>196</v>
      </c>
      <c r="N5475" t="s">
        <v>22</v>
      </c>
    </row>
    <row r="5476" spans="1:14">
      <c r="A5476" s="4" t="str">
        <f t="shared" si="515"/>
        <v>EXP00192</v>
      </c>
      <c r="B5476" s="4" t="str">
        <f t="shared" si="510"/>
        <v>24803579</v>
      </c>
      <c r="C5476" s="4" t="str">
        <f t="shared" si="511"/>
        <v>GSE50493</v>
      </c>
      <c r="D5476" s="1" t="s">
        <v>303</v>
      </c>
      <c r="E5476" t="s">
        <v>84</v>
      </c>
      <c r="F5476" s="1">
        <v>2</v>
      </c>
      <c r="G5476" s="1" t="s">
        <v>310</v>
      </c>
      <c r="H5476" s="4" t="str">
        <f>HYPERLINK("https://www.ncbi.nlm.nih.gov/geo/query/acc.cgi?acc=GSM1220085","GSM1220085")</f>
        <v>GSM1220085</v>
      </c>
      <c r="I5476" t="s">
        <v>82</v>
      </c>
      <c r="J5476" t="s">
        <v>83</v>
      </c>
      <c r="K5476" t="s">
        <v>19</v>
      </c>
      <c r="L5476" t="s">
        <v>27</v>
      </c>
      <c r="M5476" t="s">
        <v>196</v>
      </c>
      <c r="N5476" t="s">
        <v>22</v>
      </c>
    </row>
    <row r="5477" spans="1:14">
      <c r="A5477" s="4" t="str">
        <f t="shared" si="515"/>
        <v>EXP00192</v>
      </c>
      <c r="B5477" s="4" t="str">
        <f t="shared" si="510"/>
        <v>24803579</v>
      </c>
      <c r="C5477" s="4" t="str">
        <f t="shared" si="511"/>
        <v>GSE50493</v>
      </c>
      <c r="D5477" s="1" t="s">
        <v>303</v>
      </c>
      <c r="E5477" t="s">
        <v>84</v>
      </c>
      <c r="F5477" s="1">
        <v>2</v>
      </c>
      <c r="G5477" s="1" t="s">
        <v>310</v>
      </c>
      <c r="H5477" s="4" t="str">
        <f>HYPERLINK("https://www.ncbi.nlm.nih.gov/geo/query/acc.cgi?acc=GSM1220087","GSM1220087")</f>
        <v>GSM1220087</v>
      </c>
      <c r="I5477" t="s">
        <v>82</v>
      </c>
      <c r="J5477" t="s">
        <v>83</v>
      </c>
      <c r="K5477" t="s">
        <v>19</v>
      </c>
      <c r="L5477" t="s">
        <v>27</v>
      </c>
      <c r="M5477" t="s">
        <v>196</v>
      </c>
      <c r="N5477" t="s">
        <v>22</v>
      </c>
    </row>
    <row r="5478" spans="1:14">
      <c r="A5478" s="4" t="str">
        <f t="shared" si="515"/>
        <v>EXP00192</v>
      </c>
      <c r="B5478" s="4" t="str">
        <f t="shared" si="510"/>
        <v>24803579</v>
      </c>
      <c r="C5478" s="4" t="str">
        <f t="shared" si="511"/>
        <v>GSE50493</v>
      </c>
      <c r="D5478" s="1" t="s">
        <v>303</v>
      </c>
      <c r="E5478" t="s">
        <v>84</v>
      </c>
      <c r="F5478" s="1">
        <v>2</v>
      </c>
      <c r="G5478" s="1" t="s">
        <v>310</v>
      </c>
      <c r="H5478" s="4" t="str">
        <f>HYPERLINK("https://www.ncbi.nlm.nih.gov/geo/query/acc.cgi?acc=GSM1220088","GSM1220088")</f>
        <v>GSM1220088</v>
      </c>
      <c r="I5478" t="s">
        <v>82</v>
      </c>
      <c r="J5478" t="s">
        <v>83</v>
      </c>
      <c r="K5478" t="s">
        <v>19</v>
      </c>
      <c r="L5478" t="s">
        <v>27</v>
      </c>
      <c r="M5478" t="s">
        <v>196</v>
      </c>
      <c r="N5478" t="s">
        <v>22</v>
      </c>
    </row>
    <row r="5479" spans="1:14">
      <c r="A5479" s="4" t="str">
        <f t="shared" ref="A5479:A5496" si="516">HYPERLINK("http://hcmdb.i-sanger.com/experiment/details/experiment_id/EXP00193","EXP00193")</f>
        <v>EXP00193</v>
      </c>
      <c r="B5479" s="4" t="str">
        <f t="shared" si="510"/>
        <v>24803579</v>
      </c>
      <c r="C5479" s="4" t="str">
        <f t="shared" si="511"/>
        <v>GSE50493</v>
      </c>
      <c r="D5479" s="1" t="s">
        <v>303</v>
      </c>
      <c r="E5479" t="s">
        <v>84</v>
      </c>
      <c r="F5479" s="1">
        <v>1</v>
      </c>
      <c r="G5479" s="1" t="s">
        <v>85</v>
      </c>
      <c r="H5479" s="4" t="str">
        <f>HYPERLINK("https://www.ncbi.nlm.nih.gov/geo/query/acc.cgi?acc=GSM1220064","GSM1220064")</f>
        <v>GSM1220064</v>
      </c>
      <c r="I5479" t="s">
        <v>82</v>
      </c>
      <c r="J5479" t="s">
        <v>83</v>
      </c>
      <c r="K5479" t="s">
        <v>19</v>
      </c>
      <c r="L5479" t="s">
        <v>27</v>
      </c>
      <c r="M5479" t="s">
        <v>24</v>
      </c>
      <c r="N5479" t="s">
        <v>22</v>
      </c>
    </row>
    <row r="5480" spans="1:14">
      <c r="A5480" s="4" t="str">
        <f t="shared" si="516"/>
        <v>EXP00193</v>
      </c>
      <c r="B5480" s="4" t="str">
        <f t="shared" si="510"/>
        <v>24803579</v>
      </c>
      <c r="C5480" s="4" t="str">
        <f t="shared" si="511"/>
        <v>GSE50493</v>
      </c>
      <c r="D5480" s="1" t="s">
        <v>303</v>
      </c>
      <c r="E5480" t="s">
        <v>84</v>
      </c>
      <c r="F5480" s="1">
        <v>1</v>
      </c>
      <c r="G5480" s="1" t="s">
        <v>85</v>
      </c>
      <c r="H5480" s="4" t="str">
        <f>HYPERLINK("https://www.ncbi.nlm.nih.gov/geo/query/acc.cgi?acc=GSM1220065","GSM1220065")</f>
        <v>GSM1220065</v>
      </c>
      <c r="I5480" t="s">
        <v>82</v>
      </c>
      <c r="J5480" t="s">
        <v>83</v>
      </c>
      <c r="K5480" t="s">
        <v>19</v>
      </c>
      <c r="L5480" t="s">
        <v>27</v>
      </c>
      <c r="M5480" t="s">
        <v>24</v>
      </c>
      <c r="N5480" t="s">
        <v>22</v>
      </c>
    </row>
    <row r="5481" spans="1:14">
      <c r="A5481" s="4" t="str">
        <f t="shared" si="516"/>
        <v>EXP00193</v>
      </c>
      <c r="B5481" s="4" t="str">
        <f t="shared" ref="B5481:B5544" si="517">HYPERLINK("https://www.ncbi.nlm.nih.gov/pubmed/24803579","24803579")</f>
        <v>24803579</v>
      </c>
      <c r="C5481" s="4" t="str">
        <f t="shared" ref="C5481:C5544" si="518">HYPERLINK("https://www.ncbi.nlm.nih.gov/geo/query/acc.cgi?acc=GSE50493","GSE50493")</f>
        <v>GSE50493</v>
      </c>
      <c r="D5481" s="1" t="s">
        <v>303</v>
      </c>
      <c r="E5481" t="s">
        <v>84</v>
      </c>
      <c r="F5481" s="1">
        <v>1</v>
      </c>
      <c r="G5481" s="1" t="s">
        <v>85</v>
      </c>
      <c r="H5481" s="4" t="str">
        <f>HYPERLINK("https://www.ncbi.nlm.nih.gov/geo/query/acc.cgi?acc=GSM1220071","GSM1220071")</f>
        <v>GSM1220071</v>
      </c>
      <c r="I5481" t="s">
        <v>82</v>
      </c>
      <c r="J5481" t="s">
        <v>83</v>
      </c>
      <c r="K5481" t="s">
        <v>19</v>
      </c>
      <c r="L5481" t="s">
        <v>27</v>
      </c>
      <c r="M5481" t="s">
        <v>24</v>
      </c>
      <c r="N5481" t="s">
        <v>22</v>
      </c>
    </row>
    <row r="5482" spans="1:14">
      <c r="A5482" s="4" t="str">
        <f t="shared" si="516"/>
        <v>EXP00193</v>
      </c>
      <c r="B5482" s="4" t="str">
        <f t="shared" si="517"/>
        <v>24803579</v>
      </c>
      <c r="C5482" s="4" t="str">
        <f t="shared" si="518"/>
        <v>GSE50493</v>
      </c>
      <c r="D5482" s="1" t="s">
        <v>303</v>
      </c>
      <c r="E5482" t="s">
        <v>84</v>
      </c>
      <c r="F5482" s="1">
        <v>1</v>
      </c>
      <c r="G5482" s="1" t="s">
        <v>85</v>
      </c>
      <c r="H5482" s="4" t="str">
        <f>HYPERLINK("https://www.ncbi.nlm.nih.gov/geo/query/acc.cgi?acc=GSM1220077","GSM1220077")</f>
        <v>GSM1220077</v>
      </c>
      <c r="I5482" t="s">
        <v>82</v>
      </c>
      <c r="J5482" t="s">
        <v>83</v>
      </c>
      <c r="K5482" t="s">
        <v>19</v>
      </c>
      <c r="L5482" t="s">
        <v>27</v>
      </c>
      <c r="M5482" t="s">
        <v>24</v>
      </c>
      <c r="N5482" t="s">
        <v>22</v>
      </c>
    </row>
    <row r="5483" spans="1:14">
      <c r="A5483" s="4" t="str">
        <f t="shared" si="516"/>
        <v>EXP00193</v>
      </c>
      <c r="B5483" s="4" t="str">
        <f t="shared" si="517"/>
        <v>24803579</v>
      </c>
      <c r="C5483" s="4" t="str">
        <f t="shared" si="518"/>
        <v>GSE50493</v>
      </c>
      <c r="D5483" s="1" t="s">
        <v>303</v>
      </c>
      <c r="E5483" t="s">
        <v>84</v>
      </c>
      <c r="F5483" s="1">
        <v>1</v>
      </c>
      <c r="G5483" s="1" t="s">
        <v>85</v>
      </c>
      <c r="H5483" s="4" t="str">
        <f>HYPERLINK("https://www.ncbi.nlm.nih.gov/geo/query/acc.cgi?acc=GSM1220078","GSM1220078")</f>
        <v>GSM1220078</v>
      </c>
      <c r="I5483" t="s">
        <v>82</v>
      </c>
      <c r="J5483" t="s">
        <v>83</v>
      </c>
      <c r="K5483" t="s">
        <v>19</v>
      </c>
      <c r="L5483" t="s">
        <v>27</v>
      </c>
      <c r="M5483" t="s">
        <v>24</v>
      </c>
      <c r="N5483" t="s">
        <v>22</v>
      </c>
    </row>
    <row r="5484" spans="1:14">
      <c r="A5484" s="4" t="str">
        <f t="shared" si="516"/>
        <v>EXP00193</v>
      </c>
      <c r="B5484" s="4" t="str">
        <f t="shared" si="517"/>
        <v>24803579</v>
      </c>
      <c r="C5484" s="4" t="str">
        <f t="shared" si="518"/>
        <v>GSE50493</v>
      </c>
      <c r="D5484" s="1" t="s">
        <v>303</v>
      </c>
      <c r="E5484" t="s">
        <v>84</v>
      </c>
      <c r="F5484" s="1">
        <v>1</v>
      </c>
      <c r="G5484" s="1" t="s">
        <v>85</v>
      </c>
      <c r="H5484" s="4" t="str">
        <f>HYPERLINK("https://www.ncbi.nlm.nih.gov/geo/query/acc.cgi?acc=GSM1220080","GSM1220080")</f>
        <v>GSM1220080</v>
      </c>
      <c r="I5484" t="s">
        <v>82</v>
      </c>
      <c r="J5484" t="s">
        <v>83</v>
      </c>
      <c r="K5484" t="s">
        <v>19</v>
      </c>
      <c r="L5484" t="s">
        <v>27</v>
      </c>
      <c r="M5484" t="s">
        <v>24</v>
      </c>
      <c r="N5484" t="s">
        <v>22</v>
      </c>
    </row>
    <row r="5485" spans="1:14">
      <c r="A5485" s="4" t="str">
        <f t="shared" si="516"/>
        <v>EXP00193</v>
      </c>
      <c r="B5485" s="4" t="str">
        <f t="shared" si="517"/>
        <v>24803579</v>
      </c>
      <c r="C5485" s="4" t="str">
        <f t="shared" si="518"/>
        <v>GSE50493</v>
      </c>
      <c r="D5485" s="1" t="s">
        <v>303</v>
      </c>
      <c r="E5485" t="s">
        <v>84</v>
      </c>
      <c r="F5485" s="1">
        <v>1</v>
      </c>
      <c r="G5485" s="1" t="s">
        <v>85</v>
      </c>
      <c r="H5485" s="4" t="str">
        <f>HYPERLINK("https://www.ncbi.nlm.nih.gov/geo/query/acc.cgi?acc=GSM1220081","GSM1220081")</f>
        <v>GSM1220081</v>
      </c>
      <c r="I5485" t="s">
        <v>82</v>
      </c>
      <c r="J5485" t="s">
        <v>83</v>
      </c>
      <c r="K5485" t="s">
        <v>19</v>
      </c>
      <c r="L5485" t="s">
        <v>27</v>
      </c>
      <c r="M5485" t="s">
        <v>24</v>
      </c>
      <c r="N5485" t="s">
        <v>22</v>
      </c>
    </row>
    <row r="5486" spans="1:14">
      <c r="A5486" s="4" t="str">
        <f t="shared" si="516"/>
        <v>EXP00193</v>
      </c>
      <c r="B5486" s="4" t="str">
        <f t="shared" si="517"/>
        <v>24803579</v>
      </c>
      <c r="C5486" s="4" t="str">
        <f t="shared" si="518"/>
        <v>GSE50493</v>
      </c>
      <c r="D5486" s="1" t="s">
        <v>303</v>
      </c>
      <c r="E5486" t="s">
        <v>84</v>
      </c>
      <c r="F5486" s="1">
        <v>1</v>
      </c>
      <c r="G5486" s="1" t="s">
        <v>85</v>
      </c>
      <c r="H5486" s="4" t="str">
        <f>HYPERLINK("https://www.ncbi.nlm.nih.gov/geo/query/acc.cgi?acc=GSM1220089","GSM1220089")</f>
        <v>GSM1220089</v>
      </c>
      <c r="I5486" t="s">
        <v>82</v>
      </c>
      <c r="J5486" t="s">
        <v>83</v>
      </c>
      <c r="K5486" t="s">
        <v>19</v>
      </c>
      <c r="L5486" t="s">
        <v>27</v>
      </c>
      <c r="M5486" t="s">
        <v>24</v>
      </c>
      <c r="N5486" t="s">
        <v>22</v>
      </c>
    </row>
    <row r="5487" spans="1:14">
      <c r="A5487" s="4" t="str">
        <f t="shared" si="516"/>
        <v>EXP00193</v>
      </c>
      <c r="B5487" s="4" t="str">
        <f t="shared" si="517"/>
        <v>24803579</v>
      </c>
      <c r="C5487" s="4" t="str">
        <f t="shared" si="518"/>
        <v>GSE50493</v>
      </c>
      <c r="D5487" s="1" t="s">
        <v>303</v>
      </c>
      <c r="E5487" t="s">
        <v>84</v>
      </c>
      <c r="F5487" s="1">
        <v>1</v>
      </c>
      <c r="G5487" s="1" t="s">
        <v>85</v>
      </c>
      <c r="H5487" s="4" t="str">
        <f>HYPERLINK("https://www.ncbi.nlm.nih.gov/geo/query/acc.cgi?acc=GSM1220090","GSM1220090")</f>
        <v>GSM1220090</v>
      </c>
      <c r="I5487" t="s">
        <v>82</v>
      </c>
      <c r="J5487" t="s">
        <v>83</v>
      </c>
      <c r="K5487" t="s">
        <v>19</v>
      </c>
      <c r="L5487" t="s">
        <v>27</v>
      </c>
      <c r="M5487" t="s">
        <v>24</v>
      </c>
      <c r="N5487" t="s">
        <v>22</v>
      </c>
    </row>
    <row r="5488" spans="1:14">
      <c r="A5488" s="4" t="str">
        <f t="shared" si="516"/>
        <v>EXP00193</v>
      </c>
      <c r="B5488" s="4" t="str">
        <f t="shared" si="517"/>
        <v>24803579</v>
      </c>
      <c r="C5488" s="4" t="str">
        <f t="shared" si="518"/>
        <v>GSE50493</v>
      </c>
      <c r="D5488" s="1" t="s">
        <v>303</v>
      </c>
      <c r="E5488" t="s">
        <v>84</v>
      </c>
      <c r="F5488" s="1">
        <v>1</v>
      </c>
      <c r="G5488" s="1" t="s">
        <v>85</v>
      </c>
      <c r="H5488" s="4" t="str">
        <f>HYPERLINK("https://www.ncbi.nlm.nih.gov/geo/query/acc.cgi?acc=GSM1220091","GSM1220091")</f>
        <v>GSM1220091</v>
      </c>
      <c r="I5488" t="s">
        <v>82</v>
      </c>
      <c r="J5488" t="s">
        <v>83</v>
      </c>
      <c r="K5488" t="s">
        <v>19</v>
      </c>
      <c r="L5488" t="s">
        <v>27</v>
      </c>
      <c r="M5488" t="s">
        <v>24</v>
      </c>
      <c r="N5488" t="s">
        <v>22</v>
      </c>
    </row>
    <row r="5489" spans="1:14">
      <c r="A5489" s="4" t="str">
        <f t="shared" si="516"/>
        <v>EXP00193</v>
      </c>
      <c r="B5489" s="4" t="str">
        <f t="shared" si="517"/>
        <v>24803579</v>
      </c>
      <c r="C5489" s="4" t="str">
        <f t="shared" si="518"/>
        <v>GSE50493</v>
      </c>
      <c r="D5489" s="1" t="s">
        <v>303</v>
      </c>
      <c r="E5489" t="s">
        <v>84</v>
      </c>
      <c r="F5489" s="1">
        <v>1</v>
      </c>
      <c r="G5489" s="1" t="s">
        <v>85</v>
      </c>
      <c r="H5489" s="4" t="str">
        <f>HYPERLINK("https://www.ncbi.nlm.nih.gov/geo/query/acc.cgi?acc=GSM1220092","GSM1220092")</f>
        <v>GSM1220092</v>
      </c>
      <c r="I5489" t="s">
        <v>82</v>
      </c>
      <c r="J5489" t="s">
        <v>83</v>
      </c>
      <c r="K5489" t="s">
        <v>19</v>
      </c>
      <c r="L5489" t="s">
        <v>27</v>
      </c>
      <c r="M5489" t="s">
        <v>24</v>
      </c>
      <c r="N5489" t="s">
        <v>22</v>
      </c>
    </row>
    <row r="5490" spans="1:14">
      <c r="A5490" s="4" t="str">
        <f t="shared" si="516"/>
        <v>EXP00193</v>
      </c>
      <c r="B5490" s="4" t="str">
        <f t="shared" si="517"/>
        <v>24803579</v>
      </c>
      <c r="C5490" s="4" t="str">
        <f t="shared" si="518"/>
        <v>GSE50493</v>
      </c>
      <c r="D5490" s="1" t="s">
        <v>303</v>
      </c>
      <c r="E5490" t="s">
        <v>84</v>
      </c>
      <c r="F5490" s="1">
        <v>1</v>
      </c>
      <c r="G5490" s="1" t="s">
        <v>85</v>
      </c>
      <c r="H5490" s="4" t="str">
        <f>HYPERLINK("https://www.ncbi.nlm.nih.gov/geo/query/acc.cgi?acc=GSM1220100","GSM1220100")</f>
        <v>GSM1220100</v>
      </c>
      <c r="I5490" t="s">
        <v>82</v>
      </c>
      <c r="J5490" t="s">
        <v>83</v>
      </c>
      <c r="K5490" t="s">
        <v>19</v>
      </c>
      <c r="L5490" t="s">
        <v>27</v>
      </c>
      <c r="M5490" t="s">
        <v>24</v>
      </c>
      <c r="N5490" t="s">
        <v>22</v>
      </c>
    </row>
    <row r="5491" spans="1:14">
      <c r="A5491" s="4" t="str">
        <f t="shared" si="516"/>
        <v>EXP00193</v>
      </c>
      <c r="B5491" s="4" t="str">
        <f t="shared" si="517"/>
        <v>24803579</v>
      </c>
      <c r="C5491" s="4" t="str">
        <f t="shared" si="518"/>
        <v>GSE50493</v>
      </c>
      <c r="D5491" s="1" t="s">
        <v>303</v>
      </c>
      <c r="E5491" t="s">
        <v>84</v>
      </c>
      <c r="F5491" s="1">
        <v>1</v>
      </c>
      <c r="G5491" s="1" t="s">
        <v>85</v>
      </c>
      <c r="H5491" s="4" t="str">
        <f>HYPERLINK("https://www.ncbi.nlm.nih.gov/geo/query/acc.cgi?acc=GSM1220101","GSM1220101")</f>
        <v>GSM1220101</v>
      </c>
      <c r="I5491" t="s">
        <v>82</v>
      </c>
      <c r="J5491" t="s">
        <v>83</v>
      </c>
      <c r="K5491" t="s">
        <v>19</v>
      </c>
      <c r="L5491" t="s">
        <v>27</v>
      </c>
      <c r="M5491" t="s">
        <v>24</v>
      </c>
      <c r="N5491" t="s">
        <v>22</v>
      </c>
    </row>
    <row r="5492" spans="1:14">
      <c r="A5492" s="4" t="str">
        <f t="shared" si="516"/>
        <v>EXP00193</v>
      </c>
      <c r="B5492" s="4" t="str">
        <f t="shared" si="517"/>
        <v>24803579</v>
      </c>
      <c r="C5492" s="4" t="str">
        <f t="shared" si="518"/>
        <v>GSE50493</v>
      </c>
      <c r="D5492" s="1" t="s">
        <v>303</v>
      </c>
      <c r="E5492" t="s">
        <v>84</v>
      </c>
      <c r="F5492" s="1">
        <v>1</v>
      </c>
      <c r="G5492" s="1" t="s">
        <v>85</v>
      </c>
      <c r="H5492" s="4" t="str">
        <f>HYPERLINK("https://www.ncbi.nlm.nih.gov/geo/query/acc.cgi?acc=GSM1220102","GSM1220102")</f>
        <v>GSM1220102</v>
      </c>
      <c r="I5492" t="s">
        <v>82</v>
      </c>
      <c r="J5492" t="s">
        <v>83</v>
      </c>
      <c r="K5492" t="s">
        <v>19</v>
      </c>
      <c r="L5492" t="s">
        <v>27</v>
      </c>
      <c r="M5492" t="s">
        <v>24</v>
      </c>
      <c r="N5492" t="s">
        <v>22</v>
      </c>
    </row>
    <row r="5493" spans="1:14">
      <c r="A5493" s="4" t="str">
        <f t="shared" si="516"/>
        <v>EXP00193</v>
      </c>
      <c r="B5493" s="4" t="str">
        <f t="shared" si="517"/>
        <v>24803579</v>
      </c>
      <c r="C5493" s="4" t="str">
        <f t="shared" si="518"/>
        <v>GSE50493</v>
      </c>
      <c r="D5493" s="1" t="s">
        <v>303</v>
      </c>
      <c r="E5493" t="s">
        <v>84</v>
      </c>
      <c r="F5493" s="1">
        <v>2</v>
      </c>
      <c r="G5493" s="1" t="s">
        <v>307</v>
      </c>
      <c r="H5493" s="4" t="str">
        <f>HYPERLINK("https://www.ncbi.nlm.nih.gov/geo/query/acc.cgi?acc=GSM1220069","GSM1220069")</f>
        <v>GSM1220069</v>
      </c>
      <c r="I5493" t="s">
        <v>82</v>
      </c>
      <c r="J5493" t="s">
        <v>83</v>
      </c>
      <c r="K5493" t="s">
        <v>19</v>
      </c>
      <c r="L5493" t="s">
        <v>27</v>
      </c>
      <c r="M5493" t="s">
        <v>308</v>
      </c>
      <c r="N5493" t="s">
        <v>22</v>
      </c>
    </row>
    <row r="5494" spans="1:14">
      <c r="A5494" s="4" t="str">
        <f t="shared" si="516"/>
        <v>EXP00193</v>
      </c>
      <c r="B5494" s="4" t="str">
        <f t="shared" si="517"/>
        <v>24803579</v>
      </c>
      <c r="C5494" s="4" t="str">
        <f t="shared" si="518"/>
        <v>GSE50493</v>
      </c>
      <c r="D5494" s="1" t="s">
        <v>303</v>
      </c>
      <c r="E5494" t="s">
        <v>84</v>
      </c>
      <c r="F5494" s="1">
        <v>2</v>
      </c>
      <c r="G5494" s="1" t="s">
        <v>307</v>
      </c>
      <c r="H5494" s="4" t="str">
        <f>HYPERLINK("https://www.ncbi.nlm.nih.gov/geo/query/acc.cgi?acc=GSM1220070","GSM1220070")</f>
        <v>GSM1220070</v>
      </c>
      <c r="I5494" t="s">
        <v>82</v>
      </c>
      <c r="J5494" t="s">
        <v>83</v>
      </c>
      <c r="K5494" t="s">
        <v>19</v>
      </c>
      <c r="L5494" t="s">
        <v>27</v>
      </c>
      <c r="M5494" t="s">
        <v>308</v>
      </c>
      <c r="N5494" t="s">
        <v>22</v>
      </c>
    </row>
    <row r="5495" spans="1:14">
      <c r="A5495" s="4" t="str">
        <f t="shared" si="516"/>
        <v>EXP00193</v>
      </c>
      <c r="B5495" s="4" t="str">
        <f t="shared" si="517"/>
        <v>24803579</v>
      </c>
      <c r="C5495" s="4" t="str">
        <f t="shared" si="518"/>
        <v>GSE50493</v>
      </c>
      <c r="D5495" s="1" t="s">
        <v>303</v>
      </c>
      <c r="E5495" t="s">
        <v>84</v>
      </c>
      <c r="F5495" s="1">
        <v>2</v>
      </c>
      <c r="G5495" s="1" t="s">
        <v>307</v>
      </c>
      <c r="H5495" s="4" t="str">
        <f>HYPERLINK("https://www.ncbi.nlm.nih.gov/geo/query/acc.cgi?acc=GSM1220072","GSM1220072")</f>
        <v>GSM1220072</v>
      </c>
      <c r="I5495" t="s">
        <v>82</v>
      </c>
      <c r="J5495" t="s">
        <v>83</v>
      </c>
      <c r="K5495" t="s">
        <v>19</v>
      </c>
      <c r="L5495" t="s">
        <v>27</v>
      </c>
      <c r="M5495" t="s">
        <v>308</v>
      </c>
      <c r="N5495" t="s">
        <v>22</v>
      </c>
    </row>
    <row r="5496" spans="1:14">
      <c r="A5496" s="4" t="str">
        <f t="shared" si="516"/>
        <v>EXP00193</v>
      </c>
      <c r="B5496" s="4" t="str">
        <f t="shared" si="517"/>
        <v>24803579</v>
      </c>
      <c r="C5496" s="4" t="str">
        <f t="shared" si="518"/>
        <v>GSE50493</v>
      </c>
      <c r="D5496" s="1" t="s">
        <v>303</v>
      </c>
      <c r="E5496" t="s">
        <v>84</v>
      </c>
      <c r="F5496" s="1">
        <v>2</v>
      </c>
      <c r="G5496" s="1" t="s">
        <v>307</v>
      </c>
      <c r="H5496" s="4" t="str">
        <f>HYPERLINK("https://www.ncbi.nlm.nih.gov/geo/query/acc.cgi?acc=GSM1220073","GSM1220073")</f>
        <v>GSM1220073</v>
      </c>
      <c r="I5496" t="s">
        <v>82</v>
      </c>
      <c r="J5496" t="s">
        <v>83</v>
      </c>
      <c r="K5496" t="s">
        <v>19</v>
      </c>
      <c r="L5496" t="s">
        <v>27</v>
      </c>
      <c r="M5496" t="s">
        <v>308</v>
      </c>
      <c r="N5496" t="s">
        <v>22</v>
      </c>
    </row>
    <row r="5497" spans="1:14">
      <c r="A5497" s="4" t="str">
        <f t="shared" ref="A5497:A5518" si="519">HYPERLINK("http://hcmdb.i-sanger.com/experiment/details/experiment_id/EXP00194","EXP00194")</f>
        <v>EXP00194</v>
      </c>
      <c r="B5497" s="4" t="str">
        <f t="shared" si="517"/>
        <v>24803579</v>
      </c>
      <c r="C5497" s="4" t="str">
        <f t="shared" si="518"/>
        <v>GSE50493</v>
      </c>
      <c r="D5497" s="1" t="s">
        <v>303</v>
      </c>
      <c r="E5497" t="s">
        <v>84</v>
      </c>
      <c r="F5497" s="1">
        <v>1</v>
      </c>
      <c r="G5497" s="1" t="s">
        <v>85</v>
      </c>
      <c r="H5497" s="4" t="str">
        <f>HYPERLINK("https://www.ncbi.nlm.nih.gov/geo/query/acc.cgi?acc=GSM1220064","GSM1220064")</f>
        <v>GSM1220064</v>
      </c>
      <c r="I5497" t="s">
        <v>82</v>
      </c>
      <c r="J5497" t="s">
        <v>83</v>
      </c>
      <c r="K5497" t="s">
        <v>19</v>
      </c>
      <c r="L5497" t="s">
        <v>27</v>
      </c>
      <c r="M5497" t="s">
        <v>24</v>
      </c>
      <c r="N5497" t="s">
        <v>22</v>
      </c>
    </row>
    <row r="5498" spans="1:14">
      <c r="A5498" s="4" t="str">
        <f t="shared" si="519"/>
        <v>EXP00194</v>
      </c>
      <c r="B5498" s="4" t="str">
        <f t="shared" si="517"/>
        <v>24803579</v>
      </c>
      <c r="C5498" s="4" t="str">
        <f t="shared" si="518"/>
        <v>GSE50493</v>
      </c>
      <c r="D5498" s="1" t="s">
        <v>303</v>
      </c>
      <c r="E5498" t="s">
        <v>84</v>
      </c>
      <c r="F5498" s="1">
        <v>1</v>
      </c>
      <c r="G5498" s="1" t="s">
        <v>85</v>
      </c>
      <c r="H5498" s="4" t="str">
        <f>HYPERLINK("https://www.ncbi.nlm.nih.gov/geo/query/acc.cgi?acc=GSM1220065","GSM1220065")</f>
        <v>GSM1220065</v>
      </c>
      <c r="I5498" t="s">
        <v>82</v>
      </c>
      <c r="J5498" t="s">
        <v>83</v>
      </c>
      <c r="K5498" t="s">
        <v>19</v>
      </c>
      <c r="L5498" t="s">
        <v>27</v>
      </c>
      <c r="M5498" t="s">
        <v>24</v>
      </c>
      <c r="N5498" t="s">
        <v>22</v>
      </c>
    </row>
    <row r="5499" spans="1:14">
      <c r="A5499" s="4" t="str">
        <f t="shared" si="519"/>
        <v>EXP00194</v>
      </c>
      <c r="B5499" s="4" t="str">
        <f t="shared" si="517"/>
        <v>24803579</v>
      </c>
      <c r="C5499" s="4" t="str">
        <f t="shared" si="518"/>
        <v>GSE50493</v>
      </c>
      <c r="D5499" s="1" t="s">
        <v>303</v>
      </c>
      <c r="E5499" t="s">
        <v>84</v>
      </c>
      <c r="F5499" s="1">
        <v>1</v>
      </c>
      <c r="G5499" s="1" t="s">
        <v>85</v>
      </c>
      <c r="H5499" s="4" t="str">
        <f>HYPERLINK("https://www.ncbi.nlm.nih.gov/geo/query/acc.cgi?acc=GSM1220071","GSM1220071")</f>
        <v>GSM1220071</v>
      </c>
      <c r="I5499" t="s">
        <v>82</v>
      </c>
      <c r="J5499" t="s">
        <v>83</v>
      </c>
      <c r="K5499" t="s">
        <v>19</v>
      </c>
      <c r="L5499" t="s">
        <v>27</v>
      </c>
      <c r="M5499" t="s">
        <v>24</v>
      </c>
      <c r="N5499" t="s">
        <v>22</v>
      </c>
    </row>
    <row r="5500" spans="1:14">
      <c r="A5500" s="4" t="str">
        <f t="shared" si="519"/>
        <v>EXP00194</v>
      </c>
      <c r="B5500" s="4" t="str">
        <f t="shared" si="517"/>
        <v>24803579</v>
      </c>
      <c r="C5500" s="4" t="str">
        <f t="shared" si="518"/>
        <v>GSE50493</v>
      </c>
      <c r="D5500" s="1" t="s">
        <v>303</v>
      </c>
      <c r="E5500" t="s">
        <v>84</v>
      </c>
      <c r="F5500" s="1">
        <v>1</v>
      </c>
      <c r="G5500" s="1" t="s">
        <v>85</v>
      </c>
      <c r="H5500" s="4" t="str">
        <f>HYPERLINK("https://www.ncbi.nlm.nih.gov/geo/query/acc.cgi?acc=GSM1220077","GSM1220077")</f>
        <v>GSM1220077</v>
      </c>
      <c r="I5500" t="s">
        <v>82</v>
      </c>
      <c r="J5500" t="s">
        <v>83</v>
      </c>
      <c r="K5500" t="s">
        <v>19</v>
      </c>
      <c r="L5500" t="s">
        <v>27</v>
      </c>
      <c r="M5500" t="s">
        <v>24</v>
      </c>
      <c r="N5500" t="s">
        <v>22</v>
      </c>
    </row>
    <row r="5501" spans="1:14">
      <c r="A5501" s="4" t="str">
        <f t="shared" si="519"/>
        <v>EXP00194</v>
      </c>
      <c r="B5501" s="4" t="str">
        <f t="shared" si="517"/>
        <v>24803579</v>
      </c>
      <c r="C5501" s="4" t="str">
        <f t="shared" si="518"/>
        <v>GSE50493</v>
      </c>
      <c r="D5501" s="1" t="s">
        <v>303</v>
      </c>
      <c r="E5501" t="s">
        <v>84</v>
      </c>
      <c r="F5501" s="1">
        <v>1</v>
      </c>
      <c r="G5501" s="1" t="s">
        <v>85</v>
      </c>
      <c r="H5501" s="4" t="str">
        <f>HYPERLINK("https://www.ncbi.nlm.nih.gov/geo/query/acc.cgi?acc=GSM1220078","GSM1220078")</f>
        <v>GSM1220078</v>
      </c>
      <c r="I5501" t="s">
        <v>82</v>
      </c>
      <c r="J5501" t="s">
        <v>83</v>
      </c>
      <c r="K5501" t="s">
        <v>19</v>
      </c>
      <c r="L5501" t="s">
        <v>27</v>
      </c>
      <c r="M5501" t="s">
        <v>24</v>
      </c>
      <c r="N5501" t="s">
        <v>22</v>
      </c>
    </row>
    <row r="5502" spans="1:14">
      <c r="A5502" s="4" t="str">
        <f t="shared" si="519"/>
        <v>EXP00194</v>
      </c>
      <c r="B5502" s="4" t="str">
        <f t="shared" si="517"/>
        <v>24803579</v>
      </c>
      <c r="C5502" s="4" t="str">
        <f t="shared" si="518"/>
        <v>GSE50493</v>
      </c>
      <c r="D5502" s="1" t="s">
        <v>303</v>
      </c>
      <c r="E5502" t="s">
        <v>84</v>
      </c>
      <c r="F5502" s="1">
        <v>1</v>
      </c>
      <c r="G5502" s="1" t="s">
        <v>85</v>
      </c>
      <c r="H5502" s="4" t="str">
        <f>HYPERLINK("https://www.ncbi.nlm.nih.gov/geo/query/acc.cgi?acc=GSM1220080","GSM1220080")</f>
        <v>GSM1220080</v>
      </c>
      <c r="I5502" t="s">
        <v>82</v>
      </c>
      <c r="J5502" t="s">
        <v>83</v>
      </c>
      <c r="K5502" t="s">
        <v>19</v>
      </c>
      <c r="L5502" t="s">
        <v>27</v>
      </c>
      <c r="M5502" t="s">
        <v>24</v>
      </c>
      <c r="N5502" t="s">
        <v>22</v>
      </c>
    </row>
    <row r="5503" spans="1:14">
      <c r="A5503" s="4" t="str">
        <f t="shared" si="519"/>
        <v>EXP00194</v>
      </c>
      <c r="B5503" s="4" t="str">
        <f t="shared" si="517"/>
        <v>24803579</v>
      </c>
      <c r="C5503" s="4" t="str">
        <f t="shared" si="518"/>
        <v>GSE50493</v>
      </c>
      <c r="D5503" s="1" t="s">
        <v>303</v>
      </c>
      <c r="E5503" t="s">
        <v>84</v>
      </c>
      <c r="F5503" s="1">
        <v>1</v>
      </c>
      <c r="G5503" s="1" t="s">
        <v>85</v>
      </c>
      <c r="H5503" s="4" t="str">
        <f>HYPERLINK("https://www.ncbi.nlm.nih.gov/geo/query/acc.cgi?acc=GSM1220081","GSM1220081")</f>
        <v>GSM1220081</v>
      </c>
      <c r="I5503" t="s">
        <v>82</v>
      </c>
      <c r="J5503" t="s">
        <v>83</v>
      </c>
      <c r="K5503" t="s">
        <v>19</v>
      </c>
      <c r="L5503" t="s">
        <v>27</v>
      </c>
      <c r="M5503" t="s">
        <v>24</v>
      </c>
      <c r="N5503" t="s">
        <v>22</v>
      </c>
    </row>
    <row r="5504" spans="1:14">
      <c r="A5504" s="4" t="str">
        <f t="shared" si="519"/>
        <v>EXP00194</v>
      </c>
      <c r="B5504" s="4" t="str">
        <f t="shared" si="517"/>
        <v>24803579</v>
      </c>
      <c r="C5504" s="4" t="str">
        <f t="shared" si="518"/>
        <v>GSE50493</v>
      </c>
      <c r="D5504" s="1" t="s">
        <v>303</v>
      </c>
      <c r="E5504" t="s">
        <v>84</v>
      </c>
      <c r="F5504" s="1">
        <v>1</v>
      </c>
      <c r="G5504" s="1" t="s">
        <v>85</v>
      </c>
      <c r="H5504" s="4" t="str">
        <f>HYPERLINK("https://www.ncbi.nlm.nih.gov/geo/query/acc.cgi?acc=GSM1220089","GSM1220089")</f>
        <v>GSM1220089</v>
      </c>
      <c r="I5504" t="s">
        <v>82</v>
      </c>
      <c r="J5504" t="s">
        <v>83</v>
      </c>
      <c r="K5504" t="s">
        <v>19</v>
      </c>
      <c r="L5504" t="s">
        <v>27</v>
      </c>
      <c r="M5504" t="s">
        <v>24</v>
      </c>
      <c r="N5504" t="s">
        <v>22</v>
      </c>
    </row>
    <row r="5505" spans="1:14">
      <c r="A5505" s="4" t="str">
        <f t="shared" si="519"/>
        <v>EXP00194</v>
      </c>
      <c r="B5505" s="4" t="str">
        <f t="shared" si="517"/>
        <v>24803579</v>
      </c>
      <c r="C5505" s="4" t="str">
        <f t="shared" si="518"/>
        <v>GSE50493</v>
      </c>
      <c r="D5505" s="1" t="s">
        <v>303</v>
      </c>
      <c r="E5505" t="s">
        <v>84</v>
      </c>
      <c r="F5505" s="1">
        <v>1</v>
      </c>
      <c r="G5505" s="1" t="s">
        <v>85</v>
      </c>
      <c r="H5505" s="4" t="str">
        <f>HYPERLINK("https://www.ncbi.nlm.nih.gov/geo/query/acc.cgi?acc=GSM1220090","GSM1220090")</f>
        <v>GSM1220090</v>
      </c>
      <c r="I5505" t="s">
        <v>82</v>
      </c>
      <c r="J5505" t="s">
        <v>83</v>
      </c>
      <c r="K5505" t="s">
        <v>19</v>
      </c>
      <c r="L5505" t="s">
        <v>27</v>
      </c>
      <c r="M5505" t="s">
        <v>24</v>
      </c>
      <c r="N5505" t="s">
        <v>22</v>
      </c>
    </row>
    <row r="5506" spans="1:14">
      <c r="A5506" s="4" t="str">
        <f t="shared" si="519"/>
        <v>EXP00194</v>
      </c>
      <c r="B5506" s="4" t="str">
        <f t="shared" si="517"/>
        <v>24803579</v>
      </c>
      <c r="C5506" s="4" t="str">
        <f t="shared" si="518"/>
        <v>GSE50493</v>
      </c>
      <c r="D5506" s="1" t="s">
        <v>303</v>
      </c>
      <c r="E5506" t="s">
        <v>84</v>
      </c>
      <c r="F5506" s="1">
        <v>1</v>
      </c>
      <c r="G5506" s="1" t="s">
        <v>85</v>
      </c>
      <c r="H5506" s="4" t="str">
        <f>HYPERLINK("https://www.ncbi.nlm.nih.gov/geo/query/acc.cgi?acc=GSM1220091","GSM1220091")</f>
        <v>GSM1220091</v>
      </c>
      <c r="I5506" t="s">
        <v>82</v>
      </c>
      <c r="J5506" t="s">
        <v>83</v>
      </c>
      <c r="K5506" t="s">
        <v>19</v>
      </c>
      <c r="L5506" t="s">
        <v>27</v>
      </c>
      <c r="M5506" t="s">
        <v>24</v>
      </c>
      <c r="N5506" t="s">
        <v>22</v>
      </c>
    </row>
    <row r="5507" spans="1:14">
      <c r="A5507" s="4" t="str">
        <f t="shared" si="519"/>
        <v>EXP00194</v>
      </c>
      <c r="B5507" s="4" t="str">
        <f t="shared" si="517"/>
        <v>24803579</v>
      </c>
      <c r="C5507" s="4" t="str">
        <f t="shared" si="518"/>
        <v>GSE50493</v>
      </c>
      <c r="D5507" s="1" t="s">
        <v>303</v>
      </c>
      <c r="E5507" t="s">
        <v>84</v>
      </c>
      <c r="F5507" s="1">
        <v>1</v>
      </c>
      <c r="G5507" s="1" t="s">
        <v>85</v>
      </c>
      <c r="H5507" s="4" t="str">
        <f>HYPERLINK("https://www.ncbi.nlm.nih.gov/geo/query/acc.cgi?acc=GSM1220092","GSM1220092")</f>
        <v>GSM1220092</v>
      </c>
      <c r="I5507" t="s">
        <v>82</v>
      </c>
      <c r="J5507" t="s">
        <v>83</v>
      </c>
      <c r="K5507" t="s">
        <v>19</v>
      </c>
      <c r="L5507" t="s">
        <v>27</v>
      </c>
      <c r="M5507" t="s">
        <v>24</v>
      </c>
      <c r="N5507" t="s">
        <v>22</v>
      </c>
    </row>
    <row r="5508" spans="1:14">
      <c r="A5508" s="4" t="str">
        <f t="shared" si="519"/>
        <v>EXP00194</v>
      </c>
      <c r="B5508" s="4" t="str">
        <f t="shared" si="517"/>
        <v>24803579</v>
      </c>
      <c r="C5508" s="4" t="str">
        <f t="shared" si="518"/>
        <v>GSE50493</v>
      </c>
      <c r="D5508" s="1" t="s">
        <v>303</v>
      </c>
      <c r="E5508" t="s">
        <v>84</v>
      </c>
      <c r="F5508" s="1">
        <v>1</v>
      </c>
      <c r="G5508" s="1" t="s">
        <v>85</v>
      </c>
      <c r="H5508" s="4" t="str">
        <f>HYPERLINK("https://www.ncbi.nlm.nih.gov/geo/query/acc.cgi?acc=GSM1220100","GSM1220100")</f>
        <v>GSM1220100</v>
      </c>
      <c r="I5508" t="s">
        <v>82</v>
      </c>
      <c r="J5508" t="s">
        <v>83</v>
      </c>
      <c r="K5508" t="s">
        <v>19</v>
      </c>
      <c r="L5508" t="s">
        <v>27</v>
      </c>
      <c r="M5508" t="s">
        <v>24</v>
      </c>
      <c r="N5508" t="s">
        <v>22</v>
      </c>
    </row>
    <row r="5509" spans="1:14">
      <c r="A5509" s="4" t="str">
        <f t="shared" si="519"/>
        <v>EXP00194</v>
      </c>
      <c r="B5509" s="4" t="str">
        <f t="shared" si="517"/>
        <v>24803579</v>
      </c>
      <c r="C5509" s="4" t="str">
        <f t="shared" si="518"/>
        <v>GSE50493</v>
      </c>
      <c r="D5509" s="1" t="s">
        <v>303</v>
      </c>
      <c r="E5509" t="s">
        <v>84</v>
      </c>
      <c r="F5509" s="1">
        <v>1</v>
      </c>
      <c r="G5509" s="1" t="s">
        <v>85</v>
      </c>
      <c r="H5509" s="4" t="str">
        <f>HYPERLINK("https://www.ncbi.nlm.nih.gov/geo/query/acc.cgi?acc=GSM1220101","GSM1220101")</f>
        <v>GSM1220101</v>
      </c>
      <c r="I5509" t="s">
        <v>82</v>
      </c>
      <c r="J5509" t="s">
        <v>83</v>
      </c>
      <c r="K5509" t="s">
        <v>19</v>
      </c>
      <c r="L5509" t="s">
        <v>27</v>
      </c>
      <c r="M5509" t="s">
        <v>24</v>
      </c>
      <c r="N5509" t="s">
        <v>22</v>
      </c>
    </row>
    <row r="5510" spans="1:14">
      <c r="A5510" s="4" t="str">
        <f t="shared" si="519"/>
        <v>EXP00194</v>
      </c>
      <c r="B5510" s="4" t="str">
        <f t="shared" si="517"/>
        <v>24803579</v>
      </c>
      <c r="C5510" s="4" t="str">
        <f t="shared" si="518"/>
        <v>GSE50493</v>
      </c>
      <c r="D5510" s="1" t="s">
        <v>303</v>
      </c>
      <c r="E5510" t="s">
        <v>84</v>
      </c>
      <c r="F5510" s="1">
        <v>1</v>
      </c>
      <c r="G5510" s="1" t="s">
        <v>85</v>
      </c>
      <c r="H5510" s="4" t="str">
        <f>HYPERLINK("https://www.ncbi.nlm.nih.gov/geo/query/acc.cgi?acc=GSM1220102","GSM1220102")</f>
        <v>GSM1220102</v>
      </c>
      <c r="I5510" t="s">
        <v>82</v>
      </c>
      <c r="J5510" t="s">
        <v>83</v>
      </c>
      <c r="K5510" t="s">
        <v>19</v>
      </c>
      <c r="L5510" t="s">
        <v>27</v>
      </c>
      <c r="M5510" t="s">
        <v>24</v>
      </c>
      <c r="N5510" t="s">
        <v>22</v>
      </c>
    </row>
    <row r="5511" spans="1:14">
      <c r="A5511" s="4" t="str">
        <f t="shared" si="519"/>
        <v>EXP00194</v>
      </c>
      <c r="B5511" s="4" t="str">
        <f t="shared" si="517"/>
        <v>24803579</v>
      </c>
      <c r="C5511" s="4" t="str">
        <f t="shared" si="518"/>
        <v>GSE50493</v>
      </c>
      <c r="D5511" s="1" t="s">
        <v>303</v>
      </c>
      <c r="E5511" t="s">
        <v>84</v>
      </c>
      <c r="F5511" s="1">
        <v>2</v>
      </c>
      <c r="G5511" s="1" t="s">
        <v>309</v>
      </c>
      <c r="H5511" s="4" t="str">
        <f>HYPERLINK("https://www.ncbi.nlm.nih.gov/geo/query/acc.cgi?acc=GSM1220066","GSM1220066")</f>
        <v>GSM1220066</v>
      </c>
      <c r="I5511" t="s">
        <v>82</v>
      </c>
      <c r="J5511" t="s">
        <v>83</v>
      </c>
      <c r="K5511" t="s">
        <v>19</v>
      </c>
      <c r="L5511" t="s">
        <v>27</v>
      </c>
      <c r="M5511" t="s">
        <v>213</v>
      </c>
      <c r="N5511" t="s">
        <v>22</v>
      </c>
    </row>
    <row r="5512" spans="1:14">
      <c r="A5512" s="4" t="str">
        <f t="shared" si="519"/>
        <v>EXP00194</v>
      </c>
      <c r="B5512" s="4" t="str">
        <f t="shared" si="517"/>
        <v>24803579</v>
      </c>
      <c r="C5512" s="4" t="str">
        <f t="shared" si="518"/>
        <v>GSE50493</v>
      </c>
      <c r="D5512" s="1" t="s">
        <v>303</v>
      </c>
      <c r="E5512" t="s">
        <v>84</v>
      </c>
      <c r="F5512" s="1">
        <v>2</v>
      </c>
      <c r="G5512" s="1" t="s">
        <v>309</v>
      </c>
      <c r="H5512" s="4" t="str">
        <f>HYPERLINK("https://www.ncbi.nlm.nih.gov/geo/query/acc.cgi?acc=GSM1220067","GSM1220067")</f>
        <v>GSM1220067</v>
      </c>
      <c r="I5512" t="s">
        <v>82</v>
      </c>
      <c r="J5512" t="s">
        <v>83</v>
      </c>
      <c r="K5512" t="s">
        <v>19</v>
      </c>
      <c r="L5512" t="s">
        <v>27</v>
      </c>
      <c r="M5512" t="s">
        <v>213</v>
      </c>
      <c r="N5512" t="s">
        <v>22</v>
      </c>
    </row>
    <row r="5513" spans="1:14">
      <c r="A5513" s="4" t="str">
        <f t="shared" si="519"/>
        <v>EXP00194</v>
      </c>
      <c r="B5513" s="4" t="str">
        <f t="shared" si="517"/>
        <v>24803579</v>
      </c>
      <c r="C5513" s="4" t="str">
        <f t="shared" si="518"/>
        <v>GSE50493</v>
      </c>
      <c r="D5513" s="1" t="s">
        <v>303</v>
      </c>
      <c r="E5513" t="s">
        <v>84</v>
      </c>
      <c r="F5513" s="1">
        <v>2</v>
      </c>
      <c r="G5513" s="1" t="s">
        <v>309</v>
      </c>
      <c r="H5513" s="4" t="str">
        <f>HYPERLINK("https://www.ncbi.nlm.nih.gov/geo/query/acc.cgi?acc=GSM1220068","GSM1220068")</f>
        <v>GSM1220068</v>
      </c>
      <c r="I5513" t="s">
        <v>82</v>
      </c>
      <c r="J5513" t="s">
        <v>83</v>
      </c>
      <c r="K5513" t="s">
        <v>19</v>
      </c>
      <c r="L5513" t="s">
        <v>27</v>
      </c>
      <c r="M5513" t="s">
        <v>213</v>
      </c>
      <c r="N5513" t="s">
        <v>22</v>
      </c>
    </row>
    <row r="5514" spans="1:14">
      <c r="A5514" s="4" t="str">
        <f t="shared" si="519"/>
        <v>EXP00194</v>
      </c>
      <c r="B5514" s="4" t="str">
        <f t="shared" si="517"/>
        <v>24803579</v>
      </c>
      <c r="C5514" s="4" t="str">
        <f t="shared" si="518"/>
        <v>GSE50493</v>
      </c>
      <c r="D5514" s="1" t="s">
        <v>303</v>
      </c>
      <c r="E5514" t="s">
        <v>84</v>
      </c>
      <c r="F5514" s="1">
        <v>2</v>
      </c>
      <c r="G5514" s="1" t="s">
        <v>309</v>
      </c>
      <c r="H5514" s="4" t="str">
        <f>HYPERLINK("https://www.ncbi.nlm.nih.gov/geo/query/acc.cgi?acc=GSM1220079","GSM1220079")</f>
        <v>GSM1220079</v>
      </c>
      <c r="I5514" t="s">
        <v>82</v>
      </c>
      <c r="J5514" t="s">
        <v>83</v>
      </c>
      <c r="K5514" t="s">
        <v>19</v>
      </c>
      <c r="L5514" t="s">
        <v>27</v>
      </c>
      <c r="M5514" t="s">
        <v>213</v>
      </c>
      <c r="N5514" t="s">
        <v>22</v>
      </c>
    </row>
    <row r="5515" spans="1:14">
      <c r="A5515" s="4" t="str">
        <f t="shared" si="519"/>
        <v>EXP00194</v>
      </c>
      <c r="B5515" s="4" t="str">
        <f t="shared" si="517"/>
        <v>24803579</v>
      </c>
      <c r="C5515" s="4" t="str">
        <f t="shared" si="518"/>
        <v>GSE50493</v>
      </c>
      <c r="D5515" s="1" t="s">
        <v>303</v>
      </c>
      <c r="E5515" t="s">
        <v>84</v>
      </c>
      <c r="F5515" s="1">
        <v>2</v>
      </c>
      <c r="G5515" s="1" t="s">
        <v>309</v>
      </c>
      <c r="H5515" s="4" t="str">
        <f>HYPERLINK("https://www.ncbi.nlm.nih.gov/geo/query/acc.cgi?acc=GSM1220093","GSM1220093")</f>
        <v>GSM1220093</v>
      </c>
      <c r="I5515" t="s">
        <v>82</v>
      </c>
      <c r="J5515" t="s">
        <v>83</v>
      </c>
      <c r="K5515" t="s">
        <v>19</v>
      </c>
      <c r="L5515" t="s">
        <v>27</v>
      </c>
      <c r="M5515" t="s">
        <v>213</v>
      </c>
      <c r="N5515" t="s">
        <v>22</v>
      </c>
    </row>
    <row r="5516" spans="1:14">
      <c r="A5516" s="4" t="str">
        <f t="shared" si="519"/>
        <v>EXP00194</v>
      </c>
      <c r="B5516" s="4" t="str">
        <f t="shared" si="517"/>
        <v>24803579</v>
      </c>
      <c r="C5516" s="4" t="str">
        <f t="shared" si="518"/>
        <v>GSE50493</v>
      </c>
      <c r="D5516" s="1" t="s">
        <v>303</v>
      </c>
      <c r="E5516" t="s">
        <v>84</v>
      </c>
      <c r="F5516" s="1">
        <v>2</v>
      </c>
      <c r="G5516" s="1" t="s">
        <v>309</v>
      </c>
      <c r="H5516" s="4" t="str">
        <f>HYPERLINK("https://www.ncbi.nlm.nih.gov/geo/query/acc.cgi?acc=GSM1220094","GSM1220094")</f>
        <v>GSM1220094</v>
      </c>
      <c r="I5516" t="s">
        <v>82</v>
      </c>
      <c r="J5516" t="s">
        <v>83</v>
      </c>
      <c r="K5516" t="s">
        <v>19</v>
      </c>
      <c r="L5516" t="s">
        <v>27</v>
      </c>
      <c r="M5516" t="s">
        <v>213</v>
      </c>
      <c r="N5516" t="s">
        <v>22</v>
      </c>
    </row>
    <row r="5517" spans="1:14">
      <c r="A5517" s="4" t="str">
        <f t="shared" si="519"/>
        <v>EXP00194</v>
      </c>
      <c r="B5517" s="4" t="str">
        <f t="shared" si="517"/>
        <v>24803579</v>
      </c>
      <c r="C5517" s="4" t="str">
        <f t="shared" si="518"/>
        <v>GSE50493</v>
      </c>
      <c r="D5517" s="1" t="s">
        <v>303</v>
      </c>
      <c r="E5517" t="s">
        <v>84</v>
      </c>
      <c r="F5517" s="1">
        <v>2</v>
      </c>
      <c r="G5517" s="1" t="s">
        <v>309</v>
      </c>
      <c r="H5517" s="4" t="str">
        <f>HYPERLINK("https://www.ncbi.nlm.nih.gov/geo/query/acc.cgi?acc=GSM1220095","GSM1220095")</f>
        <v>GSM1220095</v>
      </c>
      <c r="I5517" t="s">
        <v>82</v>
      </c>
      <c r="J5517" t="s">
        <v>83</v>
      </c>
      <c r="K5517" t="s">
        <v>19</v>
      </c>
      <c r="L5517" t="s">
        <v>27</v>
      </c>
      <c r="M5517" t="s">
        <v>213</v>
      </c>
      <c r="N5517" t="s">
        <v>22</v>
      </c>
    </row>
    <row r="5518" spans="1:14">
      <c r="A5518" s="4" t="str">
        <f t="shared" si="519"/>
        <v>EXP00194</v>
      </c>
      <c r="B5518" s="4" t="str">
        <f t="shared" si="517"/>
        <v>24803579</v>
      </c>
      <c r="C5518" s="4" t="str">
        <f t="shared" si="518"/>
        <v>GSE50493</v>
      </c>
      <c r="D5518" s="1" t="s">
        <v>303</v>
      </c>
      <c r="E5518" t="s">
        <v>84</v>
      </c>
      <c r="F5518" s="1">
        <v>2</v>
      </c>
      <c r="G5518" s="1" t="s">
        <v>309</v>
      </c>
      <c r="H5518" s="4" t="str">
        <f>HYPERLINK("https://www.ncbi.nlm.nih.gov/geo/query/acc.cgi?acc=GSM1220096","GSM1220096")</f>
        <v>GSM1220096</v>
      </c>
      <c r="I5518" t="s">
        <v>82</v>
      </c>
      <c r="J5518" t="s">
        <v>83</v>
      </c>
      <c r="K5518" t="s">
        <v>19</v>
      </c>
      <c r="L5518" t="s">
        <v>27</v>
      </c>
      <c r="M5518" t="s">
        <v>213</v>
      </c>
      <c r="N5518" t="s">
        <v>22</v>
      </c>
    </row>
    <row r="5519" spans="1:14">
      <c r="A5519" s="4" t="str">
        <f t="shared" ref="A5519:A5536" si="520">HYPERLINK("http://hcmdb.i-sanger.com/experiment/details/experiment_id/EXP00195","EXP00195")</f>
        <v>EXP00195</v>
      </c>
      <c r="B5519" s="4" t="str">
        <f t="shared" si="517"/>
        <v>24803579</v>
      </c>
      <c r="C5519" s="4" t="str">
        <f t="shared" si="518"/>
        <v>GSE50493</v>
      </c>
      <c r="D5519" s="1" t="s">
        <v>303</v>
      </c>
      <c r="E5519" t="s">
        <v>84</v>
      </c>
      <c r="F5519" s="1">
        <v>1</v>
      </c>
      <c r="G5519" s="1" t="s">
        <v>85</v>
      </c>
      <c r="H5519" s="4" t="str">
        <f>HYPERLINK("https://www.ncbi.nlm.nih.gov/geo/query/acc.cgi?acc=GSM1220064","GSM1220064")</f>
        <v>GSM1220064</v>
      </c>
      <c r="I5519" t="s">
        <v>82</v>
      </c>
      <c r="J5519" t="s">
        <v>83</v>
      </c>
      <c r="K5519" t="s">
        <v>19</v>
      </c>
      <c r="L5519" t="s">
        <v>27</v>
      </c>
      <c r="M5519" t="s">
        <v>24</v>
      </c>
      <c r="N5519" t="s">
        <v>22</v>
      </c>
    </row>
    <row r="5520" spans="1:14">
      <c r="A5520" s="4" t="str">
        <f t="shared" si="520"/>
        <v>EXP00195</v>
      </c>
      <c r="B5520" s="4" t="str">
        <f t="shared" si="517"/>
        <v>24803579</v>
      </c>
      <c r="C5520" s="4" t="str">
        <f t="shared" si="518"/>
        <v>GSE50493</v>
      </c>
      <c r="D5520" s="1" t="s">
        <v>303</v>
      </c>
      <c r="E5520" t="s">
        <v>84</v>
      </c>
      <c r="F5520" s="1">
        <v>1</v>
      </c>
      <c r="G5520" s="1" t="s">
        <v>85</v>
      </c>
      <c r="H5520" s="4" t="str">
        <f>HYPERLINK("https://www.ncbi.nlm.nih.gov/geo/query/acc.cgi?acc=GSM1220065","GSM1220065")</f>
        <v>GSM1220065</v>
      </c>
      <c r="I5520" t="s">
        <v>82</v>
      </c>
      <c r="J5520" t="s">
        <v>83</v>
      </c>
      <c r="K5520" t="s">
        <v>19</v>
      </c>
      <c r="L5520" t="s">
        <v>27</v>
      </c>
      <c r="M5520" t="s">
        <v>24</v>
      </c>
      <c r="N5520" t="s">
        <v>22</v>
      </c>
    </row>
    <row r="5521" spans="1:14">
      <c r="A5521" s="4" t="str">
        <f t="shared" si="520"/>
        <v>EXP00195</v>
      </c>
      <c r="B5521" s="4" t="str">
        <f t="shared" si="517"/>
        <v>24803579</v>
      </c>
      <c r="C5521" s="4" t="str">
        <f t="shared" si="518"/>
        <v>GSE50493</v>
      </c>
      <c r="D5521" s="1" t="s">
        <v>303</v>
      </c>
      <c r="E5521" t="s">
        <v>84</v>
      </c>
      <c r="F5521" s="1">
        <v>1</v>
      </c>
      <c r="G5521" s="1" t="s">
        <v>85</v>
      </c>
      <c r="H5521" s="4" t="str">
        <f>HYPERLINK("https://www.ncbi.nlm.nih.gov/geo/query/acc.cgi?acc=GSM1220071","GSM1220071")</f>
        <v>GSM1220071</v>
      </c>
      <c r="I5521" t="s">
        <v>82</v>
      </c>
      <c r="J5521" t="s">
        <v>83</v>
      </c>
      <c r="K5521" t="s">
        <v>19</v>
      </c>
      <c r="L5521" t="s">
        <v>27</v>
      </c>
      <c r="M5521" t="s">
        <v>24</v>
      </c>
      <c r="N5521" t="s">
        <v>22</v>
      </c>
    </row>
    <row r="5522" spans="1:14">
      <c r="A5522" s="4" t="str">
        <f t="shared" si="520"/>
        <v>EXP00195</v>
      </c>
      <c r="B5522" s="4" t="str">
        <f t="shared" si="517"/>
        <v>24803579</v>
      </c>
      <c r="C5522" s="4" t="str">
        <f t="shared" si="518"/>
        <v>GSE50493</v>
      </c>
      <c r="D5522" s="1" t="s">
        <v>303</v>
      </c>
      <c r="E5522" t="s">
        <v>84</v>
      </c>
      <c r="F5522" s="1">
        <v>1</v>
      </c>
      <c r="G5522" s="1" t="s">
        <v>85</v>
      </c>
      <c r="H5522" s="4" t="str">
        <f>HYPERLINK("https://www.ncbi.nlm.nih.gov/geo/query/acc.cgi?acc=GSM1220077","GSM1220077")</f>
        <v>GSM1220077</v>
      </c>
      <c r="I5522" t="s">
        <v>82</v>
      </c>
      <c r="J5522" t="s">
        <v>83</v>
      </c>
      <c r="K5522" t="s">
        <v>19</v>
      </c>
      <c r="L5522" t="s">
        <v>27</v>
      </c>
      <c r="M5522" t="s">
        <v>24</v>
      </c>
      <c r="N5522" t="s">
        <v>22</v>
      </c>
    </row>
    <row r="5523" spans="1:14">
      <c r="A5523" s="4" t="str">
        <f t="shared" si="520"/>
        <v>EXP00195</v>
      </c>
      <c r="B5523" s="4" t="str">
        <f t="shared" si="517"/>
        <v>24803579</v>
      </c>
      <c r="C5523" s="4" t="str">
        <f t="shared" si="518"/>
        <v>GSE50493</v>
      </c>
      <c r="D5523" s="1" t="s">
        <v>303</v>
      </c>
      <c r="E5523" t="s">
        <v>84</v>
      </c>
      <c r="F5523" s="1">
        <v>1</v>
      </c>
      <c r="G5523" s="1" t="s">
        <v>85</v>
      </c>
      <c r="H5523" s="4" t="str">
        <f>HYPERLINK("https://www.ncbi.nlm.nih.gov/geo/query/acc.cgi?acc=GSM1220078","GSM1220078")</f>
        <v>GSM1220078</v>
      </c>
      <c r="I5523" t="s">
        <v>82</v>
      </c>
      <c r="J5523" t="s">
        <v>83</v>
      </c>
      <c r="K5523" t="s">
        <v>19</v>
      </c>
      <c r="L5523" t="s">
        <v>27</v>
      </c>
      <c r="M5523" t="s">
        <v>24</v>
      </c>
      <c r="N5523" t="s">
        <v>22</v>
      </c>
    </row>
    <row r="5524" spans="1:14">
      <c r="A5524" s="4" t="str">
        <f t="shared" si="520"/>
        <v>EXP00195</v>
      </c>
      <c r="B5524" s="4" t="str">
        <f t="shared" si="517"/>
        <v>24803579</v>
      </c>
      <c r="C5524" s="4" t="str">
        <f t="shared" si="518"/>
        <v>GSE50493</v>
      </c>
      <c r="D5524" s="1" t="s">
        <v>303</v>
      </c>
      <c r="E5524" t="s">
        <v>84</v>
      </c>
      <c r="F5524" s="1">
        <v>1</v>
      </c>
      <c r="G5524" s="1" t="s">
        <v>85</v>
      </c>
      <c r="H5524" s="4" t="str">
        <f>HYPERLINK("https://www.ncbi.nlm.nih.gov/geo/query/acc.cgi?acc=GSM1220080","GSM1220080")</f>
        <v>GSM1220080</v>
      </c>
      <c r="I5524" t="s">
        <v>82</v>
      </c>
      <c r="J5524" t="s">
        <v>83</v>
      </c>
      <c r="K5524" t="s">
        <v>19</v>
      </c>
      <c r="L5524" t="s">
        <v>27</v>
      </c>
      <c r="M5524" t="s">
        <v>24</v>
      </c>
      <c r="N5524" t="s">
        <v>22</v>
      </c>
    </row>
    <row r="5525" spans="1:14">
      <c r="A5525" s="4" t="str">
        <f t="shared" si="520"/>
        <v>EXP00195</v>
      </c>
      <c r="B5525" s="4" t="str">
        <f t="shared" si="517"/>
        <v>24803579</v>
      </c>
      <c r="C5525" s="4" t="str">
        <f t="shared" si="518"/>
        <v>GSE50493</v>
      </c>
      <c r="D5525" s="1" t="s">
        <v>303</v>
      </c>
      <c r="E5525" t="s">
        <v>84</v>
      </c>
      <c r="F5525" s="1">
        <v>1</v>
      </c>
      <c r="G5525" s="1" t="s">
        <v>85</v>
      </c>
      <c r="H5525" s="4" t="str">
        <f>HYPERLINK("https://www.ncbi.nlm.nih.gov/geo/query/acc.cgi?acc=GSM1220081","GSM1220081")</f>
        <v>GSM1220081</v>
      </c>
      <c r="I5525" t="s">
        <v>82</v>
      </c>
      <c r="J5525" t="s">
        <v>83</v>
      </c>
      <c r="K5525" t="s">
        <v>19</v>
      </c>
      <c r="L5525" t="s">
        <v>27</v>
      </c>
      <c r="M5525" t="s">
        <v>24</v>
      </c>
      <c r="N5525" t="s">
        <v>22</v>
      </c>
    </row>
    <row r="5526" spans="1:14">
      <c r="A5526" s="4" t="str">
        <f t="shared" si="520"/>
        <v>EXP00195</v>
      </c>
      <c r="B5526" s="4" t="str">
        <f t="shared" si="517"/>
        <v>24803579</v>
      </c>
      <c r="C5526" s="4" t="str">
        <f t="shared" si="518"/>
        <v>GSE50493</v>
      </c>
      <c r="D5526" s="1" t="s">
        <v>303</v>
      </c>
      <c r="E5526" t="s">
        <v>84</v>
      </c>
      <c r="F5526" s="1">
        <v>1</v>
      </c>
      <c r="G5526" s="1" t="s">
        <v>85</v>
      </c>
      <c r="H5526" s="4" t="str">
        <f>HYPERLINK("https://www.ncbi.nlm.nih.gov/geo/query/acc.cgi?acc=GSM1220089","GSM1220089")</f>
        <v>GSM1220089</v>
      </c>
      <c r="I5526" t="s">
        <v>82</v>
      </c>
      <c r="J5526" t="s">
        <v>83</v>
      </c>
      <c r="K5526" t="s">
        <v>19</v>
      </c>
      <c r="L5526" t="s">
        <v>27</v>
      </c>
      <c r="M5526" t="s">
        <v>24</v>
      </c>
      <c r="N5526" t="s">
        <v>22</v>
      </c>
    </row>
    <row r="5527" spans="1:14">
      <c r="A5527" s="4" t="str">
        <f t="shared" si="520"/>
        <v>EXP00195</v>
      </c>
      <c r="B5527" s="4" t="str">
        <f t="shared" si="517"/>
        <v>24803579</v>
      </c>
      <c r="C5527" s="4" t="str">
        <f t="shared" si="518"/>
        <v>GSE50493</v>
      </c>
      <c r="D5527" s="1" t="s">
        <v>303</v>
      </c>
      <c r="E5527" t="s">
        <v>84</v>
      </c>
      <c r="F5527" s="1">
        <v>1</v>
      </c>
      <c r="G5527" s="1" t="s">
        <v>85</v>
      </c>
      <c r="H5527" s="4" t="str">
        <f>HYPERLINK("https://www.ncbi.nlm.nih.gov/geo/query/acc.cgi?acc=GSM1220090","GSM1220090")</f>
        <v>GSM1220090</v>
      </c>
      <c r="I5527" t="s">
        <v>82</v>
      </c>
      <c r="J5527" t="s">
        <v>83</v>
      </c>
      <c r="K5527" t="s">
        <v>19</v>
      </c>
      <c r="L5527" t="s">
        <v>27</v>
      </c>
      <c r="M5527" t="s">
        <v>24</v>
      </c>
      <c r="N5527" t="s">
        <v>22</v>
      </c>
    </row>
    <row r="5528" spans="1:14">
      <c r="A5528" s="4" t="str">
        <f t="shared" si="520"/>
        <v>EXP00195</v>
      </c>
      <c r="B5528" s="4" t="str">
        <f t="shared" si="517"/>
        <v>24803579</v>
      </c>
      <c r="C5528" s="4" t="str">
        <f t="shared" si="518"/>
        <v>GSE50493</v>
      </c>
      <c r="D5528" s="1" t="s">
        <v>303</v>
      </c>
      <c r="E5528" t="s">
        <v>84</v>
      </c>
      <c r="F5528" s="1">
        <v>1</v>
      </c>
      <c r="G5528" s="1" t="s">
        <v>85</v>
      </c>
      <c r="H5528" s="4" t="str">
        <f>HYPERLINK("https://www.ncbi.nlm.nih.gov/geo/query/acc.cgi?acc=GSM1220091","GSM1220091")</f>
        <v>GSM1220091</v>
      </c>
      <c r="I5528" t="s">
        <v>82</v>
      </c>
      <c r="J5528" t="s">
        <v>83</v>
      </c>
      <c r="K5528" t="s">
        <v>19</v>
      </c>
      <c r="L5528" t="s">
        <v>27</v>
      </c>
      <c r="M5528" t="s">
        <v>24</v>
      </c>
      <c r="N5528" t="s">
        <v>22</v>
      </c>
    </row>
    <row r="5529" spans="1:14">
      <c r="A5529" s="4" t="str">
        <f t="shared" si="520"/>
        <v>EXP00195</v>
      </c>
      <c r="B5529" s="4" t="str">
        <f t="shared" si="517"/>
        <v>24803579</v>
      </c>
      <c r="C5529" s="4" t="str">
        <f t="shared" si="518"/>
        <v>GSE50493</v>
      </c>
      <c r="D5529" s="1" t="s">
        <v>303</v>
      </c>
      <c r="E5529" t="s">
        <v>84</v>
      </c>
      <c r="F5529" s="1">
        <v>1</v>
      </c>
      <c r="G5529" s="1" t="s">
        <v>85</v>
      </c>
      <c r="H5529" s="4" t="str">
        <f>HYPERLINK("https://www.ncbi.nlm.nih.gov/geo/query/acc.cgi?acc=GSM1220092","GSM1220092")</f>
        <v>GSM1220092</v>
      </c>
      <c r="I5529" t="s">
        <v>82</v>
      </c>
      <c r="J5529" t="s">
        <v>83</v>
      </c>
      <c r="K5529" t="s">
        <v>19</v>
      </c>
      <c r="L5529" t="s">
        <v>27</v>
      </c>
      <c r="M5529" t="s">
        <v>24</v>
      </c>
      <c r="N5529" t="s">
        <v>22</v>
      </c>
    </row>
    <row r="5530" spans="1:14">
      <c r="A5530" s="4" t="str">
        <f t="shared" si="520"/>
        <v>EXP00195</v>
      </c>
      <c r="B5530" s="4" t="str">
        <f t="shared" si="517"/>
        <v>24803579</v>
      </c>
      <c r="C5530" s="4" t="str">
        <f t="shared" si="518"/>
        <v>GSE50493</v>
      </c>
      <c r="D5530" s="1" t="s">
        <v>303</v>
      </c>
      <c r="E5530" t="s">
        <v>84</v>
      </c>
      <c r="F5530" s="1">
        <v>1</v>
      </c>
      <c r="G5530" s="1" t="s">
        <v>85</v>
      </c>
      <c r="H5530" s="4" t="str">
        <f>HYPERLINK("https://www.ncbi.nlm.nih.gov/geo/query/acc.cgi?acc=GSM1220100","GSM1220100")</f>
        <v>GSM1220100</v>
      </c>
      <c r="I5530" t="s">
        <v>82</v>
      </c>
      <c r="J5530" t="s">
        <v>83</v>
      </c>
      <c r="K5530" t="s">
        <v>19</v>
      </c>
      <c r="L5530" t="s">
        <v>27</v>
      </c>
      <c r="M5530" t="s">
        <v>24</v>
      </c>
      <c r="N5530" t="s">
        <v>22</v>
      </c>
    </row>
    <row r="5531" spans="1:14">
      <c r="A5531" s="4" t="str">
        <f t="shared" si="520"/>
        <v>EXP00195</v>
      </c>
      <c r="B5531" s="4" t="str">
        <f t="shared" si="517"/>
        <v>24803579</v>
      </c>
      <c r="C5531" s="4" t="str">
        <f t="shared" si="518"/>
        <v>GSE50493</v>
      </c>
      <c r="D5531" s="1" t="s">
        <v>303</v>
      </c>
      <c r="E5531" t="s">
        <v>84</v>
      </c>
      <c r="F5531" s="1">
        <v>1</v>
      </c>
      <c r="G5531" s="1" t="s">
        <v>85</v>
      </c>
      <c r="H5531" s="4" t="str">
        <f>HYPERLINK("https://www.ncbi.nlm.nih.gov/geo/query/acc.cgi?acc=GSM1220101","GSM1220101")</f>
        <v>GSM1220101</v>
      </c>
      <c r="I5531" t="s">
        <v>82</v>
      </c>
      <c r="J5531" t="s">
        <v>83</v>
      </c>
      <c r="K5531" t="s">
        <v>19</v>
      </c>
      <c r="L5531" t="s">
        <v>27</v>
      </c>
      <c r="M5531" t="s">
        <v>24</v>
      </c>
      <c r="N5531" t="s">
        <v>22</v>
      </c>
    </row>
    <row r="5532" spans="1:14">
      <c r="A5532" s="4" t="str">
        <f t="shared" si="520"/>
        <v>EXP00195</v>
      </c>
      <c r="B5532" s="4" t="str">
        <f t="shared" si="517"/>
        <v>24803579</v>
      </c>
      <c r="C5532" s="4" t="str">
        <f t="shared" si="518"/>
        <v>GSE50493</v>
      </c>
      <c r="D5532" s="1" t="s">
        <v>303</v>
      </c>
      <c r="E5532" t="s">
        <v>84</v>
      </c>
      <c r="F5532" s="1">
        <v>1</v>
      </c>
      <c r="G5532" s="1" t="s">
        <v>85</v>
      </c>
      <c r="H5532" s="4" t="str">
        <f>HYPERLINK("https://www.ncbi.nlm.nih.gov/geo/query/acc.cgi?acc=GSM1220102","GSM1220102")</f>
        <v>GSM1220102</v>
      </c>
      <c r="I5532" t="s">
        <v>82</v>
      </c>
      <c r="J5532" t="s">
        <v>83</v>
      </c>
      <c r="K5532" t="s">
        <v>19</v>
      </c>
      <c r="L5532" t="s">
        <v>27</v>
      </c>
      <c r="M5532" t="s">
        <v>24</v>
      </c>
      <c r="N5532" t="s">
        <v>22</v>
      </c>
    </row>
    <row r="5533" spans="1:14">
      <c r="A5533" s="4" t="str">
        <f t="shared" si="520"/>
        <v>EXP00195</v>
      </c>
      <c r="B5533" s="4" t="str">
        <f t="shared" si="517"/>
        <v>24803579</v>
      </c>
      <c r="C5533" s="4" t="str">
        <f t="shared" si="518"/>
        <v>GSE50493</v>
      </c>
      <c r="D5533" s="1" t="s">
        <v>303</v>
      </c>
      <c r="E5533" t="s">
        <v>84</v>
      </c>
      <c r="F5533" s="1">
        <v>2</v>
      </c>
      <c r="G5533" s="1" t="s">
        <v>310</v>
      </c>
      <c r="H5533" s="4" t="str">
        <f>HYPERLINK("https://www.ncbi.nlm.nih.gov/geo/query/acc.cgi?acc=GSM1220084","GSM1220084")</f>
        <v>GSM1220084</v>
      </c>
      <c r="I5533" t="s">
        <v>82</v>
      </c>
      <c r="J5533" t="s">
        <v>83</v>
      </c>
      <c r="K5533" t="s">
        <v>19</v>
      </c>
      <c r="L5533" t="s">
        <v>27</v>
      </c>
      <c r="M5533" t="s">
        <v>196</v>
      </c>
      <c r="N5533" t="s">
        <v>22</v>
      </c>
    </row>
    <row r="5534" spans="1:14">
      <c r="A5534" s="4" t="str">
        <f t="shared" si="520"/>
        <v>EXP00195</v>
      </c>
      <c r="B5534" s="4" t="str">
        <f t="shared" si="517"/>
        <v>24803579</v>
      </c>
      <c r="C5534" s="4" t="str">
        <f t="shared" si="518"/>
        <v>GSE50493</v>
      </c>
      <c r="D5534" s="1" t="s">
        <v>303</v>
      </c>
      <c r="E5534" t="s">
        <v>84</v>
      </c>
      <c r="F5534" s="1">
        <v>2</v>
      </c>
      <c r="G5534" s="1" t="s">
        <v>310</v>
      </c>
      <c r="H5534" s="4" t="str">
        <f>HYPERLINK("https://www.ncbi.nlm.nih.gov/geo/query/acc.cgi?acc=GSM1220085","GSM1220085")</f>
        <v>GSM1220085</v>
      </c>
      <c r="I5534" t="s">
        <v>82</v>
      </c>
      <c r="J5534" t="s">
        <v>83</v>
      </c>
      <c r="K5534" t="s">
        <v>19</v>
      </c>
      <c r="L5534" t="s">
        <v>27</v>
      </c>
      <c r="M5534" t="s">
        <v>196</v>
      </c>
      <c r="N5534" t="s">
        <v>22</v>
      </c>
    </row>
    <row r="5535" spans="1:14">
      <c r="A5535" s="4" t="str">
        <f t="shared" si="520"/>
        <v>EXP00195</v>
      </c>
      <c r="B5535" s="4" t="str">
        <f t="shared" si="517"/>
        <v>24803579</v>
      </c>
      <c r="C5535" s="4" t="str">
        <f t="shared" si="518"/>
        <v>GSE50493</v>
      </c>
      <c r="D5535" s="1" t="s">
        <v>303</v>
      </c>
      <c r="E5535" t="s">
        <v>84</v>
      </c>
      <c r="F5535" s="1">
        <v>2</v>
      </c>
      <c r="G5535" s="1" t="s">
        <v>310</v>
      </c>
      <c r="H5535" s="4" t="str">
        <f>HYPERLINK("https://www.ncbi.nlm.nih.gov/geo/query/acc.cgi?acc=GSM1220087","GSM1220087")</f>
        <v>GSM1220087</v>
      </c>
      <c r="I5535" t="s">
        <v>82</v>
      </c>
      <c r="J5535" t="s">
        <v>83</v>
      </c>
      <c r="K5535" t="s">
        <v>19</v>
      </c>
      <c r="L5535" t="s">
        <v>27</v>
      </c>
      <c r="M5535" t="s">
        <v>196</v>
      </c>
      <c r="N5535" t="s">
        <v>22</v>
      </c>
    </row>
    <row r="5536" spans="1:14">
      <c r="A5536" s="4" t="str">
        <f t="shared" si="520"/>
        <v>EXP00195</v>
      </c>
      <c r="B5536" s="4" t="str">
        <f t="shared" si="517"/>
        <v>24803579</v>
      </c>
      <c r="C5536" s="4" t="str">
        <f t="shared" si="518"/>
        <v>GSE50493</v>
      </c>
      <c r="D5536" s="1" t="s">
        <v>303</v>
      </c>
      <c r="E5536" t="s">
        <v>84</v>
      </c>
      <c r="F5536" s="1">
        <v>2</v>
      </c>
      <c r="G5536" s="1" t="s">
        <v>310</v>
      </c>
      <c r="H5536" s="4" t="str">
        <f>HYPERLINK("https://www.ncbi.nlm.nih.gov/geo/query/acc.cgi?acc=GSM1220088","GSM1220088")</f>
        <v>GSM1220088</v>
      </c>
      <c r="I5536" t="s">
        <v>82</v>
      </c>
      <c r="J5536" t="s">
        <v>83</v>
      </c>
      <c r="K5536" t="s">
        <v>19</v>
      </c>
      <c r="L5536" t="s">
        <v>27</v>
      </c>
      <c r="M5536" t="s">
        <v>196</v>
      </c>
      <c r="N5536" t="s">
        <v>22</v>
      </c>
    </row>
    <row r="5537" spans="1:14">
      <c r="A5537" s="4" t="str">
        <f t="shared" ref="A5537:A5548" si="521">HYPERLINK("http://hcmdb.i-sanger.com/experiment/details/experiment_id/EXP00196","EXP00196")</f>
        <v>EXP00196</v>
      </c>
      <c r="B5537" s="4" t="str">
        <f t="shared" si="517"/>
        <v>24803579</v>
      </c>
      <c r="C5537" s="4" t="str">
        <f t="shared" si="518"/>
        <v>GSE50493</v>
      </c>
      <c r="D5537" s="1" t="s">
        <v>303</v>
      </c>
      <c r="E5537" t="s">
        <v>84</v>
      </c>
      <c r="F5537" s="1">
        <v>1</v>
      </c>
      <c r="G5537" s="1" t="s">
        <v>307</v>
      </c>
      <c r="H5537" s="4" t="str">
        <f>HYPERLINK("https://www.ncbi.nlm.nih.gov/geo/query/acc.cgi?acc=GSM1220069","GSM1220069")</f>
        <v>GSM1220069</v>
      </c>
      <c r="I5537" t="s">
        <v>82</v>
      </c>
      <c r="J5537" t="s">
        <v>83</v>
      </c>
      <c r="K5537" t="s">
        <v>19</v>
      </c>
      <c r="L5537" t="s">
        <v>27</v>
      </c>
      <c r="M5537" t="s">
        <v>308</v>
      </c>
      <c r="N5537" t="s">
        <v>22</v>
      </c>
    </row>
    <row r="5538" spans="1:14">
      <c r="A5538" s="4" t="str">
        <f t="shared" si="521"/>
        <v>EXP00196</v>
      </c>
      <c r="B5538" s="4" t="str">
        <f t="shared" si="517"/>
        <v>24803579</v>
      </c>
      <c r="C5538" s="4" t="str">
        <f t="shared" si="518"/>
        <v>GSE50493</v>
      </c>
      <c r="D5538" s="1" t="s">
        <v>303</v>
      </c>
      <c r="E5538" t="s">
        <v>84</v>
      </c>
      <c r="F5538" s="1">
        <v>1</v>
      </c>
      <c r="G5538" s="1" t="s">
        <v>307</v>
      </c>
      <c r="H5538" s="4" t="str">
        <f>HYPERLINK("https://www.ncbi.nlm.nih.gov/geo/query/acc.cgi?acc=GSM1220070","GSM1220070")</f>
        <v>GSM1220070</v>
      </c>
      <c r="I5538" t="s">
        <v>82</v>
      </c>
      <c r="J5538" t="s">
        <v>83</v>
      </c>
      <c r="K5538" t="s">
        <v>19</v>
      </c>
      <c r="L5538" t="s">
        <v>27</v>
      </c>
      <c r="M5538" t="s">
        <v>308</v>
      </c>
      <c r="N5538" t="s">
        <v>22</v>
      </c>
    </row>
    <row r="5539" spans="1:14">
      <c r="A5539" s="4" t="str">
        <f t="shared" si="521"/>
        <v>EXP00196</v>
      </c>
      <c r="B5539" s="4" t="str">
        <f t="shared" si="517"/>
        <v>24803579</v>
      </c>
      <c r="C5539" s="4" t="str">
        <f t="shared" si="518"/>
        <v>GSE50493</v>
      </c>
      <c r="D5539" s="1" t="s">
        <v>303</v>
      </c>
      <c r="E5539" t="s">
        <v>84</v>
      </c>
      <c r="F5539" s="1">
        <v>1</v>
      </c>
      <c r="G5539" s="1" t="s">
        <v>307</v>
      </c>
      <c r="H5539" s="4" t="str">
        <f>HYPERLINK("https://www.ncbi.nlm.nih.gov/geo/query/acc.cgi?acc=GSM1220072","GSM1220072")</f>
        <v>GSM1220072</v>
      </c>
      <c r="I5539" t="s">
        <v>82</v>
      </c>
      <c r="J5539" t="s">
        <v>83</v>
      </c>
      <c r="K5539" t="s">
        <v>19</v>
      </c>
      <c r="L5539" t="s">
        <v>27</v>
      </c>
      <c r="M5539" t="s">
        <v>308</v>
      </c>
      <c r="N5539" t="s">
        <v>22</v>
      </c>
    </row>
    <row r="5540" spans="1:14">
      <c r="A5540" s="4" t="str">
        <f t="shared" si="521"/>
        <v>EXP00196</v>
      </c>
      <c r="B5540" s="4" t="str">
        <f t="shared" si="517"/>
        <v>24803579</v>
      </c>
      <c r="C5540" s="4" t="str">
        <f t="shared" si="518"/>
        <v>GSE50493</v>
      </c>
      <c r="D5540" s="1" t="s">
        <v>303</v>
      </c>
      <c r="E5540" t="s">
        <v>84</v>
      </c>
      <c r="F5540" s="1">
        <v>1</v>
      </c>
      <c r="G5540" s="1" t="s">
        <v>307</v>
      </c>
      <c r="H5540" s="4" t="str">
        <f>HYPERLINK("https://www.ncbi.nlm.nih.gov/geo/query/acc.cgi?acc=GSM1220073","GSM1220073")</f>
        <v>GSM1220073</v>
      </c>
      <c r="I5540" t="s">
        <v>82</v>
      </c>
      <c r="J5540" t="s">
        <v>83</v>
      </c>
      <c r="K5540" t="s">
        <v>19</v>
      </c>
      <c r="L5540" t="s">
        <v>27</v>
      </c>
      <c r="M5540" t="s">
        <v>308</v>
      </c>
      <c r="N5540" t="s">
        <v>22</v>
      </c>
    </row>
    <row r="5541" spans="1:14">
      <c r="A5541" s="4" t="str">
        <f t="shared" si="521"/>
        <v>EXP00196</v>
      </c>
      <c r="B5541" s="4" t="str">
        <f t="shared" si="517"/>
        <v>24803579</v>
      </c>
      <c r="C5541" s="4" t="str">
        <f t="shared" si="518"/>
        <v>GSE50493</v>
      </c>
      <c r="D5541" s="1" t="s">
        <v>303</v>
      </c>
      <c r="E5541" t="s">
        <v>84</v>
      </c>
      <c r="F5541" s="1">
        <v>2</v>
      </c>
      <c r="G5541" s="1" t="s">
        <v>309</v>
      </c>
      <c r="H5541" s="4" t="str">
        <f>HYPERLINK("https://www.ncbi.nlm.nih.gov/geo/query/acc.cgi?acc=GSM1220066","GSM1220066")</f>
        <v>GSM1220066</v>
      </c>
      <c r="I5541" t="s">
        <v>82</v>
      </c>
      <c r="J5541" t="s">
        <v>83</v>
      </c>
      <c r="K5541" t="s">
        <v>19</v>
      </c>
      <c r="L5541" t="s">
        <v>27</v>
      </c>
      <c r="M5541" t="s">
        <v>213</v>
      </c>
      <c r="N5541" t="s">
        <v>22</v>
      </c>
    </row>
    <row r="5542" spans="1:14">
      <c r="A5542" s="4" t="str">
        <f t="shared" si="521"/>
        <v>EXP00196</v>
      </c>
      <c r="B5542" s="4" t="str">
        <f t="shared" si="517"/>
        <v>24803579</v>
      </c>
      <c r="C5542" s="4" t="str">
        <f t="shared" si="518"/>
        <v>GSE50493</v>
      </c>
      <c r="D5542" s="1" t="s">
        <v>303</v>
      </c>
      <c r="E5542" t="s">
        <v>84</v>
      </c>
      <c r="F5542" s="1">
        <v>2</v>
      </c>
      <c r="G5542" s="1" t="s">
        <v>309</v>
      </c>
      <c r="H5542" s="4" t="str">
        <f>HYPERLINK("https://www.ncbi.nlm.nih.gov/geo/query/acc.cgi?acc=GSM1220067","GSM1220067")</f>
        <v>GSM1220067</v>
      </c>
      <c r="I5542" t="s">
        <v>82</v>
      </c>
      <c r="J5542" t="s">
        <v>83</v>
      </c>
      <c r="K5542" t="s">
        <v>19</v>
      </c>
      <c r="L5542" t="s">
        <v>27</v>
      </c>
      <c r="M5542" t="s">
        <v>213</v>
      </c>
      <c r="N5542" t="s">
        <v>22</v>
      </c>
    </row>
    <row r="5543" spans="1:14">
      <c r="A5543" s="4" t="str">
        <f t="shared" si="521"/>
        <v>EXP00196</v>
      </c>
      <c r="B5543" s="4" t="str">
        <f t="shared" si="517"/>
        <v>24803579</v>
      </c>
      <c r="C5543" s="4" t="str">
        <f t="shared" si="518"/>
        <v>GSE50493</v>
      </c>
      <c r="D5543" s="1" t="s">
        <v>303</v>
      </c>
      <c r="E5543" t="s">
        <v>84</v>
      </c>
      <c r="F5543" s="1">
        <v>2</v>
      </c>
      <c r="G5543" s="1" t="s">
        <v>309</v>
      </c>
      <c r="H5543" s="4" t="str">
        <f>HYPERLINK("https://www.ncbi.nlm.nih.gov/geo/query/acc.cgi?acc=GSM1220068","GSM1220068")</f>
        <v>GSM1220068</v>
      </c>
      <c r="I5543" t="s">
        <v>82</v>
      </c>
      <c r="J5543" t="s">
        <v>83</v>
      </c>
      <c r="K5543" t="s">
        <v>19</v>
      </c>
      <c r="L5543" t="s">
        <v>27</v>
      </c>
      <c r="M5543" t="s">
        <v>213</v>
      </c>
      <c r="N5543" t="s">
        <v>22</v>
      </c>
    </row>
    <row r="5544" spans="1:14">
      <c r="A5544" s="4" t="str">
        <f t="shared" si="521"/>
        <v>EXP00196</v>
      </c>
      <c r="B5544" s="4" t="str">
        <f t="shared" si="517"/>
        <v>24803579</v>
      </c>
      <c r="C5544" s="4" t="str">
        <f t="shared" si="518"/>
        <v>GSE50493</v>
      </c>
      <c r="D5544" s="1" t="s">
        <v>303</v>
      </c>
      <c r="E5544" t="s">
        <v>84</v>
      </c>
      <c r="F5544" s="1">
        <v>2</v>
      </c>
      <c r="G5544" s="1" t="s">
        <v>309</v>
      </c>
      <c r="H5544" s="4" t="str">
        <f>HYPERLINK("https://www.ncbi.nlm.nih.gov/geo/query/acc.cgi?acc=GSM1220079","GSM1220079")</f>
        <v>GSM1220079</v>
      </c>
      <c r="I5544" t="s">
        <v>82</v>
      </c>
      <c r="J5544" t="s">
        <v>83</v>
      </c>
      <c r="K5544" t="s">
        <v>19</v>
      </c>
      <c r="L5544" t="s">
        <v>27</v>
      </c>
      <c r="M5544" t="s">
        <v>213</v>
      </c>
      <c r="N5544" t="s">
        <v>22</v>
      </c>
    </row>
    <row r="5545" spans="1:14">
      <c r="A5545" s="4" t="str">
        <f t="shared" si="521"/>
        <v>EXP00196</v>
      </c>
      <c r="B5545" s="4" t="str">
        <f t="shared" ref="B5545:B5568" si="522">HYPERLINK("https://www.ncbi.nlm.nih.gov/pubmed/24803579","24803579")</f>
        <v>24803579</v>
      </c>
      <c r="C5545" s="4" t="str">
        <f t="shared" ref="C5545:C5568" si="523">HYPERLINK("https://www.ncbi.nlm.nih.gov/geo/query/acc.cgi?acc=GSE50493","GSE50493")</f>
        <v>GSE50493</v>
      </c>
      <c r="D5545" s="1" t="s">
        <v>303</v>
      </c>
      <c r="E5545" t="s">
        <v>84</v>
      </c>
      <c r="F5545" s="1">
        <v>2</v>
      </c>
      <c r="G5545" s="1" t="s">
        <v>309</v>
      </c>
      <c r="H5545" s="4" t="str">
        <f>HYPERLINK("https://www.ncbi.nlm.nih.gov/geo/query/acc.cgi?acc=GSM1220093","GSM1220093")</f>
        <v>GSM1220093</v>
      </c>
      <c r="I5545" t="s">
        <v>82</v>
      </c>
      <c r="J5545" t="s">
        <v>83</v>
      </c>
      <c r="K5545" t="s">
        <v>19</v>
      </c>
      <c r="L5545" t="s">
        <v>27</v>
      </c>
      <c r="M5545" t="s">
        <v>213</v>
      </c>
      <c r="N5545" t="s">
        <v>22</v>
      </c>
    </row>
    <row r="5546" spans="1:14">
      <c r="A5546" s="4" t="str">
        <f t="shared" si="521"/>
        <v>EXP00196</v>
      </c>
      <c r="B5546" s="4" t="str">
        <f t="shared" si="522"/>
        <v>24803579</v>
      </c>
      <c r="C5546" s="4" t="str">
        <f t="shared" si="523"/>
        <v>GSE50493</v>
      </c>
      <c r="D5546" s="1" t="s">
        <v>303</v>
      </c>
      <c r="E5546" t="s">
        <v>84</v>
      </c>
      <c r="F5546" s="1">
        <v>2</v>
      </c>
      <c r="G5546" s="1" t="s">
        <v>309</v>
      </c>
      <c r="H5546" s="4" t="str">
        <f>HYPERLINK("https://www.ncbi.nlm.nih.gov/geo/query/acc.cgi?acc=GSM1220094","GSM1220094")</f>
        <v>GSM1220094</v>
      </c>
      <c r="I5546" t="s">
        <v>82</v>
      </c>
      <c r="J5546" t="s">
        <v>83</v>
      </c>
      <c r="K5546" t="s">
        <v>19</v>
      </c>
      <c r="L5546" t="s">
        <v>27</v>
      </c>
      <c r="M5546" t="s">
        <v>213</v>
      </c>
      <c r="N5546" t="s">
        <v>22</v>
      </c>
    </row>
    <row r="5547" spans="1:14">
      <c r="A5547" s="4" t="str">
        <f t="shared" si="521"/>
        <v>EXP00196</v>
      </c>
      <c r="B5547" s="4" t="str">
        <f t="shared" si="522"/>
        <v>24803579</v>
      </c>
      <c r="C5547" s="4" t="str">
        <f t="shared" si="523"/>
        <v>GSE50493</v>
      </c>
      <c r="D5547" s="1" t="s">
        <v>303</v>
      </c>
      <c r="E5547" t="s">
        <v>84</v>
      </c>
      <c r="F5547" s="1">
        <v>2</v>
      </c>
      <c r="G5547" s="1" t="s">
        <v>309</v>
      </c>
      <c r="H5547" s="4" t="str">
        <f>HYPERLINK("https://www.ncbi.nlm.nih.gov/geo/query/acc.cgi?acc=GSM1220095","GSM1220095")</f>
        <v>GSM1220095</v>
      </c>
      <c r="I5547" t="s">
        <v>82</v>
      </c>
      <c r="J5547" t="s">
        <v>83</v>
      </c>
      <c r="K5547" t="s">
        <v>19</v>
      </c>
      <c r="L5547" t="s">
        <v>27</v>
      </c>
      <c r="M5547" t="s">
        <v>213</v>
      </c>
      <c r="N5547" t="s">
        <v>22</v>
      </c>
    </row>
    <row r="5548" spans="1:14">
      <c r="A5548" s="4" t="str">
        <f t="shared" si="521"/>
        <v>EXP00196</v>
      </c>
      <c r="B5548" s="4" t="str">
        <f t="shared" si="522"/>
        <v>24803579</v>
      </c>
      <c r="C5548" s="4" t="str">
        <f t="shared" si="523"/>
        <v>GSE50493</v>
      </c>
      <c r="D5548" s="1" t="s">
        <v>303</v>
      </c>
      <c r="E5548" t="s">
        <v>84</v>
      </c>
      <c r="F5548" s="1">
        <v>2</v>
      </c>
      <c r="G5548" s="1" t="s">
        <v>309</v>
      </c>
      <c r="H5548" s="4" t="str">
        <f>HYPERLINK("https://www.ncbi.nlm.nih.gov/geo/query/acc.cgi?acc=GSM1220096","GSM1220096")</f>
        <v>GSM1220096</v>
      </c>
      <c r="I5548" t="s">
        <v>82</v>
      </c>
      <c r="J5548" t="s">
        <v>83</v>
      </c>
      <c r="K5548" t="s">
        <v>19</v>
      </c>
      <c r="L5548" t="s">
        <v>27</v>
      </c>
      <c r="M5548" t="s">
        <v>213</v>
      </c>
      <c r="N5548" t="s">
        <v>22</v>
      </c>
    </row>
    <row r="5549" spans="1:14">
      <c r="A5549" s="4" t="str">
        <f t="shared" ref="A5549:A5556" si="524">HYPERLINK("http://hcmdb.i-sanger.com/experiment/details/experiment_id/EXP00197","EXP00197")</f>
        <v>EXP00197</v>
      </c>
      <c r="B5549" s="4" t="str">
        <f t="shared" si="522"/>
        <v>24803579</v>
      </c>
      <c r="C5549" s="4" t="str">
        <f t="shared" si="523"/>
        <v>GSE50493</v>
      </c>
      <c r="D5549" s="1" t="s">
        <v>303</v>
      </c>
      <c r="E5549" t="s">
        <v>84</v>
      </c>
      <c r="F5549" s="1">
        <v>1</v>
      </c>
      <c r="G5549" s="1" t="s">
        <v>307</v>
      </c>
      <c r="H5549" s="4" t="str">
        <f>HYPERLINK("https://www.ncbi.nlm.nih.gov/geo/query/acc.cgi?acc=GSM1220069","GSM1220069")</f>
        <v>GSM1220069</v>
      </c>
      <c r="I5549" t="s">
        <v>82</v>
      </c>
      <c r="J5549" t="s">
        <v>83</v>
      </c>
      <c r="K5549" t="s">
        <v>19</v>
      </c>
      <c r="L5549" t="s">
        <v>27</v>
      </c>
      <c r="M5549" t="s">
        <v>308</v>
      </c>
      <c r="N5549" t="s">
        <v>22</v>
      </c>
    </row>
    <row r="5550" spans="1:14">
      <c r="A5550" s="4" t="str">
        <f t="shared" si="524"/>
        <v>EXP00197</v>
      </c>
      <c r="B5550" s="4" t="str">
        <f t="shared" si="522"/>
        <v>24803579</v>
      </c>
      <c r="C5550" s="4" t="str">
        <f t="shared" si="523"/>
        <v>GSE50493</v>
      </c>
      <c r="D5550" s="1" t="s">
        <v>303</v>
      </c>
      <c r="E5550" t="s">
        <v>84</v>
      </c>
      <c r="F5550" s="1">
        <v>1</v>
      </c>
      <c r="G5550" s="1" t="s">
        <v>307</v>
      </c>
      <c r="H5550" s="4" t="str">
        <f>HYPERLINK("https://www.ncbi.nlm.nih.gov/geo/query/acc.cgi?acc=GSM1220070","GSM1220070")</f>
        <v>GSM1220070</v>
      </c>
      <c r="I5550" t="s">
        <v>82</v>
      </c>
      <c r="J5550" t="s">
        <v>83</v>
      </c>
      <c r="K5550" t="s">
        <v>19</v>
      </c>
      <c r="L5550" t="s">
        <v>27</v>
      </c>
      <c r="M5550" t="s">
        <v>308</v>
      </c>
      <c r="N5550" t="s">
        <v>22</v>
      </c>
    </row>
    <row r="5551" spans="1:14">
      <c r="A5551" s="4" t="str">
        <f t="shared" si="524"/>
        <v>EXP00197</v>
      </c>
      <c r="B5551" s="4" t="str">
        <f t="shared" si="522"/>
        <v>24803579</v>
      </c>
      <c r="C5551" s="4" t="str">
        <f t="shared" si="523"/>
        <v>GSE50493</v>
      </c>
      <c r="D5551" s="1" t="s">
        <v>303</v>
      </c>
      <c r="E5551" t="s">
        <v>84</v>
      </c>
      <c r="F5551" s="1">
        <v>1</v>
      </c>
      <c r="G5551" s="1" t="s">
        <v>307</v>
      </c>
      <c r="H5551" s="4" t="str">
        <f>HYPERLINK("https://www.ncbi.nlm.nih.gov/geo/query/acc.cgi?acc=GSM1220072","GSM1220072")</f>
        <v>GSM1220072</v>
      </c>
      <c r="I5551" t="s">
        <v>82</v>
      </c>
      <c r="J5551" t="s">
        <v>83</v>
      </c>
      <c r="K5551" t="s">
        <v>19</v>
      </c>
      <c r="L5551" t="s">
        <v>27</v>
      </c>
      <c r="M5551" t="s">
        <v>308</v>
      </c>
      <c r="N5551" t="s">
        <v>22</v>
      </c>
    </row>
    <row r="5552" spans="1:14">
      <c r="A5552" s="4" t="str">
        <f t="shared" si="524"/>
        <v>EXP00197</v>
      </c>
      <c r="B5552" s="4" t="str">
        <f t="shared" si="522"/>
        <v>24803579</v>
      </c>
      <c r="C5552" s="4" t="str">
        <f t="shared" si="523"/>
        <v>GSE50493</v>
      </c>
      <c r="D5552" s="1" t="s">
        <v>303</v>
      </c>
      <c r="E5552" t="s">
        <v>84</v>
      </c>
      <c r="F5552" s="1">
        <v>1</v>
      </c>
      <c r="G5552" s="1" t="s">
        <v>307</v>
      </c>
      <c r="H5552" s="4" t="str">
        <f>HYPERLINK("https://www.ncbi.nlm.nih.gov/geo/query/acc.cgi?acc=GSM1220073","GSM1220073")</f>
        <v>GSM1220073</v>
      </c>
      <c r="I5552" t="s">
        <v>82</v>
      </c>
      <c r="J5552" t="s">
        <v>83</v>
      </c>
      <c r="K5552" t="s">
        <v>19</v>
      </c>
      <c r="L5552" t="s">
        <v>27</v>
      </c>
      <c r="M5552" t="s">
        <v>308</v>
      </c>
      <c r="N5552" t="s">
        <v>22</v>
      </c>
    </row>
    <row r="5553" spans="1:14">
      <c r="A5553" s="4" t="str">
        <f t="shared" si="524"/>
        <v>EXP00197</v>
      </c>
      <c r="B5553" s="4" t="str">
        <f t="shared" si="522"/>
        <v>24803579</v>
      </c>
      <c r="C5553" s="4" t="str">
        <f t="shared" si="523"/>
        <v>GSE50493</v>
      </c>
      <c r="D5553" s="1" t="s">
        <v>303</v>
      </c>
      <c r="E5553" t="s">
        <v>84</v>
      </c>
      <c r="F5553" s="1">
        <v>2</v>
      </c>
      <c r="G5553" s="1" t="s">
        <v>310</v>
      </c>
      <c r="H5553" s="4" t="str">
        <f>HYPERLINK("https://www.ncbi.nlm.nih.gov/geo/query/acc.cgi?acc=GSM1220084","GSM1220084")</f>
        <v>GSM1220084</v>
      </c>
      <c r="I5553" t="s">
        <v>82</v>
      </c>
      <c r="J5553" t="s">
        <v>83</v>
      </c>
      <c r="K5553" t="s">
        <v>19</v>
      </c>
      <c r="L5553" t="s">
        <v>27</v>
      </c>
      <c r="M5553" t="s">
        <v>196</v>
      </c>
      <c r="N5553" t="s">
        <v>22</v>
      </c>
    </row>
    <row r="5554" spans="1:14">
      <c r="A5554" s="4" t="str">
        <f t="shared" si="524"/>
        <v>EXP00197</v>
      </c>
      <c r="B5554" s="4" t="str">
        <f t="shared" si="522"/>
        <v>24803579</v>
      </c>
      <c r="C5554" s="4" t="str">
        <f t="shared" si="523"/>
        <v>GSE50493</v>
      </c>
      <c r="D5554" s="1" t="s">
        <v>303</v>
      </c>
      <c r="E5554" t="s">
        <v>84</v>
      </c>
      <c r="F5554" s="1">
        <v>2</v>
      </c>
      <c r="G5554" s="1" t="s">
        <v>310</v>
      </c>
      <c r="H5554" s="4" t="str">
        <f>HYPERLINK("https://www.ncbi.nlm.nih.gov/geo/query/acc.cgi?acc=GSM1220085","GSM1220085")</f>
        <v>GSM1220085</v>
      </c>
      <c r="I5554" t="s">
        <v>82</v>
      </c>
      <c r="J5554" t="s">
        <v>83</v>
      </c>
      <c r="K5554" t="s">
        <v>19</v>
      </c>
      <c r="L5554" t="s">
        <v>27</v>
      </c>
      <c r="M5554" t="s">
        <v>196</v>
      </c>
      <c r="N5554" t="s">
        <v>22</v>
      </c>
    </row>
    <row r="5555" spans="1:14">
      <c r="A5555" s="4" t="str">
        <f t="shared" si="524"/>
        <v>EXP00197</v>
      </c>
      <c r="B5555" s="4" t="str">
        <f t="shared" si="522"/>
        <v>24803579</v>
      </c>
      <c r="C5555" s="4" t="str">
        <f t="shared" si="523"/>
        <v>GSE50493</v>
      </c>
      <c r="D5555" s="1" t="s">
        <v>303</v>
      </c>
      <c r="E5555" t="s">
        <v>84</v>
      </c>
      <c r="F5555" s="1">
        <v>2</v>
      </c>
      <c r="G5555" s="1" t="s">
        <v>310</v>
      </c>
      <c r="H5555" s="4" t="str">
        <f>HYPERLINK("https://www.ncbi.nlm.nih.gov/geo/query/acc.cgi?acc=GSM1220087","GSM1220087")</f>
        <v>GSM1220087</v>
      </c>
      <c r="I5555" t="s">
        <v>82</v>
      </c>
      <c r="J5555" t="s">
        <v>83</v>
      </c>
      <c r="K5555" t="s">
        <v>19</v>
      </c>
      <c r="L5555" t="s">
        <v>27</v>
      </c>
      <c r="M5555" t="s">
        <v>196</v>
      </c>
      <c r="N5555" t="s">
        <v>22</v>
      </c>
    </row>
    <row r="5556" spans="1:14">
      <c r="A5556" s="4" t="str">
        <f t="shared" si="524"/>
        <v>EXP00197</v>
      </c>
      <c r="B5556" s="4" t="str">
        <f t="shared" si="522"/>
        <v>24803579</v>
      </c>
      <c r="C5556" s="4" t="str">
        <f t="shared" si="523"/>
        <v>GSE50493</v>
      </c>
      <c r="D5556" s="1" t="s">
        <v>303</v>
      </c>
      <c r="E5556" t="s">
        <v>84</v>
      </c>
      <c r="F5556" s="1">
        <v>2</v>
      </c>
      <c r="G5556" s="1" t="s">
        <v>310</v>
      </c>
      <c r="H5556" s="4" t="str">
        <f>HYPERLINK("https://www.ncbi.nlm.nih.gov/geo/query/acc.cgi?acc=GSM1220088","GSM1220088")</f>
        <v>GSM1220088</v>
      </c>
      <c r="I5556" t="s">
        <v>82</v>
      </c>
      <c r="J5556" t="s">
        <v>83</v>
      </c>
      <c r="K5556" t="s">
        <v>19</v>
      </c>
      <c r="L5556" t="s">
        <v>27</v>
      </c>
      <c r="M5556" t="s">
        <v>196</v>
      </c>
      <c r="N5556" t="s">
        <v>22</v>
      </c>
    </row>
    <row r="5557" spans="1:14">
      <c r="A5557" s="4" t="str">
        <f t="shared" ref="A5557:A5568" si="525">HYPERLINK("http://hcmdb.i-sanger.com/experiment/details/experiment_id/EXP00198","EXP00198")</f>
        <v>EXP00198</v>
      </c>
      <c r="B5557" s="4" t="str">
        <f t="shared" si="522"/>
        <v>24803579</v>
      </c>
      <c r="C5557" s="4" t="str">
        <f t="shared" si="523"/>
        <v>GSE50493</v>
      </c>
      <c r="D5557" s="1" t="s">
        <v>303</v>
      </c>
      <c r="E5557" t="s">
        <v>84</v>
      </c>
      <c r="F5557" s="1">
        <v>1</v>
      </c>
      <c r="G5557" s="1" t="s">
        <v>309</v>
      </c>
      <c r="H5557" s="4" t="str">
        <f>HYPERLINK("https://www.ncbi.nlm.nih.gov/geo/query/acc.cgi?acc=GSM1220066","GSM1220066")</f>
        <v>GSM1220066</v>
      </c>
      <c r="I5557" t="s">
        <v>82</v>
      </c>
      <c r="J5557" t="s">
        <v>83</v>
      </c>
      <c r="K5557" t="s">
        <v>19</v>
      </c>
      <c r="L5557" t="s">
        <v>27</v>
      </c>
      <c r="M5557" t="s">
        <v>213</v>
      </c>
      <c r="N5557" t="s">
        <v>22</v>
      </c>
    </row>
    <row r="5558" spans="1:14">
      <c r="A5558" s="4" t="str">
        <f t="shared" si="525"/>
        <v>EXP00198</v>
      </c>
      <c r="B5558" s="4" t="str">
        <f t="shared" si="522"/>
        <v>24803579</v>
      </c>
      <c r="C5558" s="4" t="str">
        <f t="shared" si="523"/>
        <v>GSE50493</v>
      </c>
      <c r="D5558" s="1" t="s">
        <v>303</v>
      </c>
      <c r="E5558" t="s">
        <v>84</v>
      </c>
      <c r="F5558" s="1">
        <v>1</v>
      </c>
      <c r="G5558" s="1" t="s">
        <v>309</v>
      </c>
      <c r="H5558" s="4" t="str">
        <f>HYPERLINK("https://www.ncbi.nlm.nih.gov/geo/query/acc.cgi?acc=GSM1220067","GSM1220067")</f>
        <v>GSM1220067</v>
      </c>
      <c r="I5558" t="s">
        <v>82</v>
      </c>
      <c r="J5558" t="s">
        <v>83</v>
      </c>
      <c r="K5558" t="s">
        <v>19</v>
      </c>
      <c r="L5558" t="s">
        <v>27</v>
      </c>
      <c r="M5558" t="s">
        <v>213</v>
      </c>
      <c r="N5558" t="s">
        <v>22</v>
      </c>
    </row>
    <row r="5559" spans="1:14">
      <c r="A5559" s="4" t="str">
        <f t="shared" si="525"/>
        <v>EXP00198</v>
      </c>
      <c r="B5559" s="4" t="str">
        <f t="shared" si="522"/>
        <v>24803579</v>
      </c>
      <c r="C5559" s="4" t="str">
        <f t="shared" si="523"/>
        <v>GSE50493</v>
      </c>
      <c r="D5559" s="1" t="s">
        <v>303</v>
      </c>
      <c r="E5559" t="s">
        <v>84</v>
      </c>
      <c r="F5559" s="1">
        <v>1</v>
      </c>
      <c r="G5559" s="1" t="s">
        <v>309</v>
      </c>
      <c r="H5559" s="4" t="str">
        <f>HYPERLINK("https://www.ncbi.nlm.nih.gov/geo/query/acc.cgi?acc=GSM1220068","GSM1220068")</f>
        <v>GSM1220068</v>
      </c>
      <c r="I5559" t="s">
        <v>82</v>
      </c>
      <c r="J5559" t="s">
        <v>83</v>
      </c>
      <c r="K5559" t="s">
        <v>19</v>
      </c>
      <c r="L5559" t="s">
        <v>27</v>
      </c>
      <c r="M5559" t="s">
        <v>213</v>
      </c>
      <c r="N5559" t="s">
        <v>22</v>
      </c>
    </row>
    <row r="5560" spans="1:14">
      <c r="A5560" s="4" t="str">
        <f t="shared" si="525"/>
        <v>EXP00198</v>
      </c>
      <c r="B5560" s="4" t="str">
        <f t="shared" si="522"/>
        <v>24803579</v>
      </c>
      <c r="C5560" s="4" t="str">
        <f t="shared" si="523"/>
        <v>GSE50493</v>
      </c>
      <c r="D5560" s="1" t="s">
        <v>303</v>
      </c>
      <c r="E5560" t="s">
        <v>84</v>
      </c>
      <c r="F5560" s="1">
        <v>1</v>
      </c>
      <c r="G5560" s="1" t="s">
        <v>309</v>
      </c>
      <c r="H5560" s="4" t="str">
        <f>HYPERLINK("https://www.ncbi.nlm.nih.gov/geo/query/acc.cgi?acc=GSM1220079","GSM1220079")</f>
        <v>GSM1220079</v>
      </c>
      <c r="I5560" t="s">
        <v>82</v>
      </c>
      <c r="J5560" t="s">
        <v>83</v>
      </c>
      <c r="K5560" t="s">
        <v>19</v>
      </c>
      <c r="L5560" t="s">
        <v>27</v>
      </c>
      <c r="M5560" t="s">
        <v>213</v>
      </c>
      <c r="N5560" t="s">
        <v>22</v>
      </c>
    </row>
    <row r="5561" spans="1:14">
      <c r="A5561" s="4" t="str">
        <f t="shared" si="525"/>
        <v>EXP00198</v>
      </c>
      <c r="B5561" s="4" t="str">
        <f t="shared" si="522"/>
        <v>24803579</v>
      </c>
      <c r="C5561" s="4" t="str">
        <f t="shared" si="523"/>
        <v>GSE50493</v>
      </c>
      <c r="D5561" s="1" t="s">
        <v>303</v>
      </c>
      <c r="E5561" t="s">
        <v>84</v>
      </c>
      <c r="F5561" s="1">
        <v>1</v>
      </c>
      <c r="G5561" s="1" t="s">
        <v>309</v>
      </c>
      <c r="H5561" s="4" t="str">
        <f>HYPERLINK("https://www.ncbi.nlm.nih.gov/geo/query/acc.cgi?acc=GSM1220093","GSM1220093")</f>
        <v>GSM1220093</v>
      </c>
      <c r="I5561" t="s">
        <v>82</v>
      </c>
      <c r="J5561" t="s">
        <v>83</v>
      </c>
      <c r="K5561" t="s">
        <v>19</v>
      </c>
      <c r="L5561" t="s">
        <v>27</v>
      </c>
      <c r="M5561" t="s">
        <v>213</v>
      </c>
      <c r="N5561" t="s">
        <v>22</v>
      </c>
    </row>
    <row r="5562" spans="1:14">
      <c r="A5562" s="4" t="str">
        <f t="shared" si="525"/>
        <v>EXP00198</v>
      </c>
      <c r="B5562" s="4" t="str">
        <f t="shared" si="522"/>
        <v>24803579</v>
      </c>
      <c r="C5562" s="4" t="str">
        <f t="shared" si="523"/>
        <v>GSE50493</v>
      </c>
      <c r="D5562" s="1" t="s">
        <v>303</v>
      </c>
      <c r="E5562" t="s">
        <v>84</v>
      </c>
      <c r="F5562" s="1">
        <v>1</v>
      </c>
      <c r="G5562" s="1" t="s">
        <v>309</v>
      </c>
      <c r="H5562" s="4" t="str">
        <f>HYPERLINK("https://www.ncbi.nlm.nih.gov/geo/query/acc.cgi?acc=GSM1220094","GSM1220094")</f>
        <v>GSM1220094</v>
      </c>
      <c r="I5562" t="s">
        <v>82</v>
      </c>
      <c r="J5562" t="s">
        <v>83</v>
      </c>
      <c r="K5562" t="s">
        <v>19</v>
      </c>
      <c r="L5562" t="s">
        <v>27</v>
      </c>
      <c r="M5562" t="s">
        <v>213</v>
      </c>
      <c r="N5562" t="s">
        <v>22</v>
      </c>
    </row>
    <row r="5563" spans="1:14">
      <c r="A5563" s="4" t="str">
        <f t="shared" si="525"/>
        <v>EXP00198</v>
      </c>
      <c r="B5563" s="4" t="str">
        <f t="shared" si="522"/>
        <v>24803579</v>
      </c>
      <c r="C5563" s="4" t="str">
        <f t="shared" si="523"/>
        <v>GSE50493</v>
      </c>
      <c r="D5563" s="1" t="s">
        <v>303</v>
      </c>
      <c r="E5563" t="s">
        <v>84</v>
      </c>
      <c r="F5563" s="1">
        <v>1</v>
      </c>
      <c r="G5563" s="1" t="s">
        <v>309</v>
      </c>
      <c r="H5563" s="4" t="str">
        <f>HYPERLINK("https://www.ncbi.nlm.nih.gov/geo/query/acc.cgi?acc=GSM1220095","GSM1220095")</f>
        <v>GSM1220095</v>
      </c>
      <c r="I5563" t="s">
        <v>82</v>
      </c>
      <c r="J5563" t="s">
        <v>83</v>
      </c>
      <c r="K5563" t="s">
        <v>19</v>
      </c>
      <c r="L5563" t="s">
        <v>27</v>
      </c>
      <c r="M5563" t="s">
        <v>213</v>
      </c>
      <c r="N5563" t="s">
        <v>22</v>
      </c>
    </row>
    <row r="5564" spans="1:14">
      <c r="A5564" s="4" t="str">
        <f t="shared" si="525"/>
        <v>EXP00198</v>
      </c>
      <c r="B5564" s="4" t="str">
        <f t="shared" si="522"/>
        <v>24803579</v>
      </c>
      <c r="C5564" s="4" t="str">
        <f t="shared" si="523"/>
        <v>GSE50493</v>
      </c>
      <c r="D5564" s="1" t="s">
        <v>303</v>
      </c>
      <c r="E5564" t="s">
        <v>84</v>
      </c>
      <c r="F5564" s="1">
        <v>1</v>
      </c>
      <c r="G5564" s="1" t="s">
        <v>309</v>
      </c>
      <c r="H5564" s="4" t="str">
        <f>HYPERLINK("https://www.ncbi.nlm.nih.gov/geo/query/acc.cgi?acc=GSM1220096","GSM1220096")</f>
        <v>GSM1220096</v>
      </c>
      <c r="I5564" t="s">
        <v>82</v>
      </c>
      <c r="J5564" t="s">
        <v>83</v>
      </c>
      <c r="K5564" t="s">
        <v>19</v>
      </c>
      <c r="L5564" t="s">
        <v>27</v>
      </c>
      <c r="M5564" t="s">
        <v>213</v>
      </c>
      <c r="N5564" t="s">
        <v>22</v>
      </c>
    </row>
    <row r="5565" spans="1:14">
      <c r="A5565" s="4" t="str">
        <f t="shared" si="525"/>
        <v>EXP00198</v>
      </c>
      <c r="B5565" s="4" t="str">
        <f t="shared" si="522"/>
        <v>24803579</v>
      </c>
      <c r="C5565" s="4" t="str">
        <f t="shared" si="523"/>
        <v>GSE50493</v>
      </c>
      <c r="D5565" s="1" t="s">
        <v>303</v>
      </c>
      <c r="E5565" t="s">
        <v>84</v>
      </c>
      <c r="F5565" s="1">
        <v>2</v>
      </c>
      <c r="G5565" s="1" t="s">
        <v>310</v>
      </c>
      <c r="H5565" s="4" t="str">
        <f>HYPERLINK("https://www.ncbi.nlm.nih.gov/geo/query/acc.cgi?acc=GSM1220084","GSM1220084")</f>
        <v>GSM1220084</v>
      </c>
      <c r="I5565" t="s">
        <v>82</v>
      </c>
      <c r="J5565" t="s">
        <v>83</v>
      </c>
      <c r="K5565" t="s">
        <v>19</v>
      </c>
      <c r="L5565" t="s">
        <v>27</v>
      </c>
      <c r="M5565" t="s">
        <v>196</v>
      </c>
      <c r="N5565" t="s">
        <v>22</v>
      </c>
    </row>
    <row r="5566" spans="1:14">
      <c r="A5566" s="4" t="str">
        <f t="shared" si="525"/>
        <v>EXP00198</v>
      </c>
      <c r="B5566" s="4" t="str">
        <f t="shared" si="522"/>
        <v>24803579</v>
      </c>
      <c r="C5566" s="4" t="str">
        <f t="shared" si="523"/>
        <v>GSE50493</v>
      </c>
      <c r="D5566" s="1" t="s">
        <v>303</v>
      </c>
      <c r="E5566" t="s">
        <v>84</v>
      </c>
      <c r="F5566" s="1">
        <v>2</v>
      </c>
      <c r="G5566" s="1" t="s">
        <v>310</v>
      </c>
      <c r="H5566" s="4" t="str">
        <f>HYPERLINK("https://www.ncbi.nlm.nih.gov/geo/query/acc.cgi?acc=GSM1220085","GSM1220085")</f>
        <v>GSM1220085</v>
      </c>
      <c r="I5566" t="s">
        <v>82</v>
      </c>
      <c r="J5566" t="s">
        <v>83</v>
      </c>
      <c r="K5566" t="s">
        <v>19</v>
      </c>
      <c r="L5566" t="s">
        <v>27</v>
      </c>
      <c r="M5566" t="s">
        <v>196</v>
      </c>
      <c r="N5566" t="s">
        <v>22</v>
      </c>
    </row>
    <row r="5567" spans="1:14">
      <c r="A5567" s="4" t="str">
        <f t="shared" si="525"/>
        <v>EXP00198</v>
      </c>
      <c r="B5567" s="4" t="str">
        <f t="shared" si="522"/>
        <v>24803579</v>
      </c>
      <c r="C5567" s="4" t="str">
        <f t="shared" si="523"/>
        <v>GSE50493</v>
      </c>
      <c r="D5567" s="1" t="s">
        <v>303</v>
      </c>
      <c r="E5567" t="s">
        <v>84</v>
      </c>
      <c r="F5567" s="1">
        <v>2</v>
      </c>
      <c r="G5567" s="1" t="s">
        <v>310</v>
      </c>
      <c r="H5567" s="4" t="str">
        <f>HYPERLINK("https://www.ncbi.nlm.nih.gov/geo/query/acc.cgi?acc=GSM1220087","GSM1220087")</f>
        <v>GSM1220087</v>
      </c>
      <c r="I5567" t="s">
        <v>82</v>
      </c>
      <c r="J5567" t="s">
        <v>83</v>
      </c>
      <c r="K5567" t="s">
        <v>19</v>
      </c>
      <c r="L5567" t="s">
        <v>27</v>
      </c>
      <c r="M5567" t="s">
        <v>196</v>
      </c>
      <c r="N5567" t="s">
        <v>22</v>
      </c>
    </row>
    <row r="5568" spans="1:14">
      <c r="A5568" s="4" t="str">
        <f t="shared" si="525"/>
        <v>EXP00198</v>
      </c>
      <c r="B5568" s="4" t="str">
        <f t="shared" si="522"/>
        <v>24803579</v>
      </c>
      <c r="C5568" s="4" t="str">
        <f t="shared" si="523"/>
        <v>GSE50493</v>
      </c>
      <c r="D5568" s="1" t="s">
        <v>303</v>
      </c>
      <c r="E5568" t="s">
        <v>84</v>
      </c>
      <c r="F5568" s="1">
        <v>2</v>
      </c>
      <c r="G5568" s="1" t="s">
        <v>310</v>
      </c>
      <c r="H5568" s="4" t="str">
        <f>HYPERLINK("https://www.ncbi.nlm.nih.gov/geo/query/acc.cgi?acc=GSM1220088","GSM1220088")</f>
        <v>GSM1220088</v>
      </c>
      <c r="I5568" t="s">
        <v>82</v>
      </c>
      <c r="J5568" t="s">
        <v>83</v>
      </c>
      <c r="K5568" t="s">
        <v>19</v>
      </c>
      <c r="L5568" t="s">
        <v>27</v>
      </c>
      <c r="M5568" t="s">
        <v>196</v>
      </c>
      <c r="N5568" t="s">
        <v>22</v>
      </c>
    </row>
    <row r="5569" spans="1:14">
      <c r="A5569" s="4" t="str">
        <f t="shared" ref="A5569:A5600" si="526">HYPERLINK("http://hcmdb.i-sanger.com/experiment/details/experiment_id/EXP00199","EXP00199")</f>
        <v>EXP00199</v>
      </c>
      <c r="B5569" s="4" t="str">
        <f t="shared" ref="B5569:B5600" si="527">HYPERLINK("https://www.ncbi.nlm.nih.gov/pubmed/17420468","17420468")</f>
        <v>17420468</v>
      </c>
      <c r="C5569" s="4" t="str">
        <f t="shared" ref="C5569:C5600" si="528">HYPERLINK("https://www.ncbi.nlm.nih.gov/geo/query/acc.cgi?acc=GSE5327","GSE5327")</f>
        <v>GSE5327</v>
      </c>
      <c r="D5569" s="1" t="s">
        <v>62</v>
      </c>
      <c r="E5569" t="s">
        <v>311</v>
      </c>
      <c r="F5569" s="1">
        <v>1</v>
      </c>
      <c r="G5569" s="1" t="s">
        <v>31</v>
      </c>
      <c r="H5569" s="4" t="str">
        <f>HYPERLINK("https://www.ncbi.nlm.nih.gov/geo/query/acc.cgi?acc=GSM120652","GSM120652")</f>
        <v>GSM120652</v>
      </c>
      <c r="I5569" t="s">
        <v>17</v>
      </c>
      <c r="J5569" t="s">
        <v>312</v>
      </c>
      <c r="K5569" t="s">
        <v>19</v>
      </c>
      <c r="L5569" t="s">
        <v>20</v>
      </c>
      <c r="M5569" t="s">
        <v>41</v>
      </c>
      <c r="N5569" t="s">
        <v>29</v>
      </c>
    </row>
    <row r="5570" spans="1:14">
      <c r="A5570" s="4" t="str">
        <f t="shared" si="526"/>
        <v>EXP00199</v>
      </c>
      <c r="B5570" s="4" t="str">
        <f t="shared" si="527"/>
        <v>17420468</v>
      </c>
      <c r="C5570" s="4" t="str">
        <f t="shared" si="528"/>
        <v>GSE5327</v>
      </c>
      <c r="D5570" s="1" t="s">
        <v>62</v>
      </c>
      <c r="E5570" t="s">
        <v>311</v>
      </c>
      <c r="F5570" s="1">
        <v>1</v>
      </c>
      <c r="G5570" s="1" t="s">
        <v>31</v>
      </c>
      <c r="H5570" s="4" t="str">
        <f>HYPERLINK("https://www.ncbi.nlm.nih.gov/geo/query/acc.cgi?acc=GSM120655","GSM120655")</f>
        <v>GSM120655</v>
      </c>
      <c r="I5570" t="s">
        <v>17</v>
      </c>
      <c r="J5570" t="s">
        <v>312</v>
      </c>
      <c r="K5570" t="s">
        <v>19</v>
      </c>
      <c r="L5570" t="s">
        <v>20</v>
      </c>
      <c r="M5570" t="s">
        <v>41</v>
      </c>
      <c r="N5570" t="s">
        <v>29</v>
      </c>
    </row>
    <row r="5571" spans="1:14">
      <c r="A5571" s="4" t="str">
        <f t="shared" si="526"/>
        <v>EXP00199</v>
      </c>
      <c r="B5571" s="4" t="str">
        <f t="shared" si="527"/>
        <v>17420468</v>
      </c>
      <c r="C5571" s="4" t="str">
        <f t="shared" si="528"/>
        <v>GSE5327</v>
      </c>
      <c r="D5571" s="1" t="s">
        <v>62</v>
      </c>
      <c r="E5571" t="s">
        <v>311</v>
      </c>
      <c r="F5571" s="1">
        <v>1</v>
      </c>
      <c r="G5571" s="1" t="s">
        <v>31</v>
      </c>
      <c r="H5571" s="4" t="str">
        <f>HYPERLINK("https://www.ncbi.nlm.nih.gov/geo/query/acc.cgi?acc=GSM120656","GSM120656")</f>
        <v>GSM120656</v>
      </c>
      <c r="I5571" t="s">
        <v>17</v>
      </c>
      <c r="J5571" t="s">
        <v>312</v>
      </c>
      <c r="K5571" t="s">
        <v>19</v>
      </c>
      <c r="L5571" t="s">
        <v>20</v>
      </c>
      <c r="M5571" t="s">
        <v>41</v>
      </c>
      <c r="N5571" t="s">
        <v>29</v>
      </c>
    </row>
    <row r="5572" spans="1:14">
      <c r="A5572" s="4" t="str">
        <f t="shared" si="526"/>
        <v>EXP00199</v>
      </c>
      <c r="B5572" s="4" t="str">
        <f t="shared" si="527"/>
        <v>17420468</v>
      </c>
      <c r="C5572" s="4" t="str">
        <f t="shared" si="528"/>
        <v>GSE5327</v>
      </c>
      <c r="D5572" s="1" t="s">
        <v>62</v>
      </c>
      <c r="E5572" t="s">
        <v>311</v>
      </c>
      <c r="F5572" s="1">
        <v>1</v>
      </c>
      <c r="G5572" s="1" t="s">
        <v>31</v>
      </c>
      <c r="H5572" s="4" t="str">
        <f>HYPERLINK("https://www.ncbi.nlm.nih.gov/geo/query/acc.cgi?acc=GSM120662","GSM120662")</f>
        <v>GSM120662</v>
      </c>
      <c r="I5572" t="s">
        <v>17</v>
      </c>
      <c r="J5572" t="s">
        <v>312</v>
      </c>
      <c r="K5572" t="s">
        <v>19</v>
      </c>
      <c r="L5572" t="s">
        <v>20</v>
      </c>
      <c r="M5572" t="s">
        <v>41</v>
      </c>
      <c r="N5572" t="s">
        <v>29</v>
      </c>
    </row>
    <row r="5573" spans="1:14">
      <c r="A5573" s="4" t="str">
        <f t="shared" si="526"/>
        <v>EXP00199</v>
      </c>
      <c r="B5573" s="4" t="str">
        <f t="shared" si="527"/>
        <v>17420468</v>
      </c>
      <c r="C5573" s="4" t="str">
        <f t="shared" si="528"/>
        <v>GSE5327</v>
      </c>
      <c r="D5573" s="1" t="s">
        <v>62</v>
      </c>
      <c r="E5573" t="s">
        <v>311</v>
      </c>
      <c r="F5573" s="1">
        <v>1</v>
      </c>
      <c r="G5573" s="1" t="s">
        <v>31</v>
      </c>
      <c r="H5573" s="4" t="str">
        <f>HYPERLINK("https://www.ncbi.nlm.nih.gov/geo/query/acc.cgi?acc=GSM120663","GSM120663")</f>
        <v>GSM120663</v>
      </c>
      <c r="I5573" t="s">
        <v>17</v>
      </c>
      <c r="J5573" t="s">
        <v>312</v>
      </c>
      <c r="K5573" t="s">
        <v>19</v>
      </c>
      <c r="L5573" t="s">
        <v>20</v>
      </c>
      <c r="M5573" t="s">
        <v>41</v>
      </c>
      <c r="N5573" t="s">
        <v>29</v>
      </c>
    </row>
    <row r="5574" spans="1:14">
      <c r="A5574" s="4" t="str">
        <f t="shared" si="526"/>
        <v>EXP00199</v>
      </c>
      <c r="B5574" s="4" t="str">
        <f t="shared" si="527"/>
        <v>17420468</v>
      </c>
      <c r="C5574" s="4" t="str">
        <f t="shared" si="528"/>
        <v>GSE5327</v>
      </c>
      <c r="D5574" s="1" t="s">
        <v>62</v>
      </c>
      <c r="E5574" t="s">
        <v>311</v>
      </c>
      <c r="F5574" s="1">
        <v>1</v>
      </c>
      <c r="G5574" s="1" t="s">
        <v>31</v>
      </c>
      <c r="H5574" s="4" t="str">
        <f>HYPERLINK("https://www.ncbi.nlm.nih.gov/geo/query/acc.cgi?acc=GSM120668","GSM120668")</f>
        <v>GSM120668</v>
      </c>
      <c r="I5574" t="s">
        <v>17</v>
      </c>
      <c r="J5574" t="s">
        <v>312</v>
      </c>
      <c r="K5574" t="s">
        <v>19</v>
      </c>
      <c r="L5574" t="s">
        <v>20</v>
      </c>
      <c r="M5574" t="s">
        <v>41</v>
      </c>
      <c r="N5574" t="s">
        <v>29</v>
      </c>
    </row>
    <row r="5575" spans="1:14">
      <c r="A5575" s="4" t="str">
        <f t="shared" si="526"/>
        <v>EXP00199</v>
      </c>
      <c r="B5575" s="4" t="str">
        <f t="shared" si="527"/>
        <v>17420468</v>
      </c>
      <c r="C5575" s="4" t="str">
        <f t="shared" si="528"/>
        <v>GSE5327</v>
      </c>
      <c r="D5575" s="1" t="s">
        <v>62</v>
      </c>
      <c r="E5575" t="s">
        <v>311</v>
      </c>
      <c r="F5575" s="1">
        <v>1</v>
      </c>
      <c r="G5575" s="1" t="s">
        <v>31</v>
      </c>
      <c r="H5575" s="4" t="str">
        <f>HYPERLINK("https://www.ncbi.nlm.nih.gov/geo/query/acc.cgi?acc=GSM120671","GSM120671")</f>
        <v>GSM120671</v>
      </c>
      <c r="I5575" t="s">
        <v>17</v>
      </c>
      <c r="J5575" t="s">
        <v>312</v>
      </c>
      <c r="K5575" t="s">
        <v>19</v>
      </c>
      <c r="L5575" t="s">
        <v>20</v>
      </c>
      <c r="M5575" t="s">
        <v>41</v>
      </c>
      <c r="N5575" t="s">
        <v>29</v>
      </c>
    </row>
    <row r="5576" spans="1:14">
      <c r="A5576" s="4" t="str">
        <f t="shared" si="526"/>
        <v>EXP00199</v>
      </c>
      <c r="B5576" s="4" t="str">
        <f t="shared" si="527"/>
        <v>17420468</v>
      </c>
      <c r="C5576" s="4" t="str">
        <f t="shared" si="528"/>
        <v>GSE5327</v>
      </c>
      <c r="D5576" s="1" t="s">
        <v>62</v>
      </c>
      <c r="E5576" t="s">
        <v>311</v>
      </c>
      <c r="F5576" s="1">
        <v>1</v>
      </c>
      <c r="G5576" s="1" t="s">
        <v>31</v>
      </c>
      <c r="H5576" s="4" t="str">
        <f>HYPERLINK("https://www.ncbi.nlm.nih.gov/geo/query/acc.cgi?acc=GSM120679","GSM120679")</f>
        <v>GSM120679</v>
      </c>
      <c r="I5576" t="s">
        <v>17</v>
      </c>
      <c r="J5576" t="s">
        <v>312</v>
      </c>
      <c r="K5576" t="s">
        <v>19</v>
      </c>
      <c r="L5576" t="s">
        <v>20</v>
      </c>
      <c r="M5576" t="s">
        <v>41</v>
      </c>
      <c r="N5576" t="s">
        <v>29</v>
      </c>
    </row>
    <row r="5577" spans="1:14">
      <c r="A5577" s="4" t="str">
        <f t="shared" si="526"/>
        <v>EXP00199</v>
      </c>
      <c r="B5577" s="4" t="str">
        <f t="shared" si="527"/>
        <v>17420468</v>
      </c>
      <c r="C5577" s="4" t="str">
        <f t="shared" si="528"/>
        <v>GSE5327</v>
      </c>
      <c r="D5577" s="1" t="s">
        <v>62</v>
      </c>
      <c r="E5577" t="s">
        <v>311</v>
      </c>
      <c r="F5577" s="1">
        <v>1</v>
      </c>
      <c r="G5577" s="1" t="s">
        <v>31</v>
      </c>
      <c r="H5577" s="4" t="str">
        <f>HYPERLINK("https://www.ncbi.nlm.nih.gov/geo/query/acc.cgi?acc=GSM120687","GSM120687")</f>
        <v>GSM120687</v>
      </c>
      <c r="I5577" t="s">
        <v>17</v>
      </c>
      <c r="J5577" t="s">
        <v>312</v>
      </c>
      <c r="K5577" t="s">
        <v>19</v>
      </c>
      <c r="L5577" t="s">
        <v>20</v>
      </c>
      <c r="M5577" t="s">
        <v>41</v>
      </c>
      <c r="N5577" t="s">
        <v>29</v>
      </c>
    </row>
    <row r="5578" spans="1:14">
      <c r="A5578" s="4" t="str">
        <f t="shared" si="526"/>
        <v>EXP00199</v>
      </c>
      <c r="B5578" s="4" t="str">
        <f t="shared" si="527"/>
        <v>17420468</v>
      </c>
      <c r="C5578" s="4" t="str">
        <f t="shared" si="528"/>
        <v>GSE5327</v>
      </c>
      <c r="D5578" s="1" t="s">
        <v>62</v>
      </c>
      <c r="E5578" t="s">
        <v>311</v>
      </c>
      <c r="F5578" s="1">
        <v>1</v>
      </c>
      <c r="G5578" s="1" t="s">
        <v>31</v>
      </c>
      <c r="H5578" s="4" t="str">
        <f>HYPERLINK("https://www.ncbi.nlm.nih.gov/geo/query/acc.cgi?acc=GSM120702","GSM120702")</f>
        <v>GSM120702</v>
      </c>
      <c r="I5578" t="s">
        <v>17</v>
      </c>
      <c r="J5578" t="s">
        <v>312</v>
      </c>
      <c r="K5578" t="s">
        <v>19</v>
      </c>
      <c r="L5578" t="s">
        <v>20</v>
      </c>
      <c r="M5578" t="s">
        <v>41</v>
      </c>
      <c r="N5578" t="s">
        <v>29</v>
      </c>
    </row>
    <row r="5579" spans="1:14">
      <c r="A5579" s="4" t="str">
        <f t="shared" si="526"/>
        <v>EXP00199</v>
      </c>
      <c r="B5579" s="4" t="str">
        <f t="shared" si="527"/>
        <v>17420468</v>
      </c>
      <c r="C5579" s="4" t="str">
        <f t="shared" si="528"/>
        <v>GSE5327</v>
      </c>
      <c r="D5579" s="1" t="s">
        <v>62</v>
      </c>
      <c r="E5579" t="s">
        <v>311</v>
      </c>
      <c r="F5579" s="1">
        <v>1</v>
      </c>
      <c r="G5579" s="1" t="s">
        <v>31</v>
      </c>
      <c r="H5579" s="4" t="str">
        <f>HYPERLINK("https://www.ncbi.nlm.nih.gov/geo/query/acc.cgi?acc=GSM120707","GSM120707")</f>
        <v>GSM120707</v>
      </c>
      <c r="I5579" t="s">
        <v>17</v>
      </c>
      <c r="J5579" t="s">
        <v>312</v>
      </c>
      <c r="K5579" t="s">
        <v>19</v>
      </c>
      <c r="L5579" t="s">
        <v>20</v>
      </c>
      <c r="M5579" t="s">
        <v>41</v>
      </c>
      <c r="N5579" t="s">
        <v>29</v>
      </c>
    </row>
    <row r="5580" spans="1:14">
      <c r="A5580" s="4" t="str">
        <f t="shared" si="526"/>
        <v>EXP00199</v>
      </c>
      <c r="B5580" s="4" t="str">
        <f t="shared" si="527"/>
        <v>17420468</v>
      </c>
      <c r="C5580" s="4" t="str">
        <f t="shared" si="528"/>
        <v>GSE5327</v>
      </c>
      <c r="D5580" s="1" t="s">
        <v>62</v>
      </c>
      <c r="E5580" t="s">
        <v>311</v>
      </c>
      <c r="F5580" s="1">
        <v>2</v>
      </c>
      <c r="G5580" s="1" t="s">
        <v>32</v>
      </c>
      <c r="H5580" s="4" t="str">
        <f>HYPERLINK("https://www.ncbi.nlm.nih.gov/geo/query/acc.cgi?acc=GSM120649","GSM120649")</f>
        <v>GSM120649</v>
      </c>
      <c r="I5580" t="s">
        <v>17</v>
      </c>
      <c r="J5580" t="s">
        <v>312</v>
      </c>
      <c r="K5580" t="s">
        <v>33</v>
      </c>
      <c r="L5580" t="s">
        <v>20</v>
      </c>
      <c r="N5580" t="s">
        <v>29</v>
      </c>
    </row>
    <row r="5581" spans="1:14">
      <c r="A5581" s="4" t="str">
        <f t="shared" si="526"/>
        <v>EXP00199</v>
      </c>
      <c r="B5581" s="4" t="str">
        <f t="shared" si="527"/>
        <v>17420468</v>
      </c>
      <c r="C5581" s="4" t="str">
        <f t="shared" si="528"/>
        <v>GSE5327</v>
      </c>
      <c r="D5581" s="1" t="s">
        <v>62</v>
      </c>
      <c r="E5581" t="s">
        <v>311</v>
      </c>
      <c r="F5581" s="1">
        <v>2</v>
      </c>
      <c r="G5581" s="1" t="s">
        <v>32</v>
      </c>
      <c r="H5581" s="4" t="str">
        <f>HYPERLINK("https://www.ncbi.nlm.nih.gov/geo/query/acc.cgi?acc=GSM120651","GSM120651")</f>
        <v>GSM120651</v>
      </c>
      <c r="I5581" t="s">
        <v>17</v>
      </c>
      <c r="J5581" t="s">
        <v>312</v>
      </c>
      <c r="K5581" t="s">
        <v>33</v>
      </c>
      <c r="L5581" t="s">
        <v>20</v>
      </c>
      <c r="N5581" t="s">
        <v>29</v>
      </c>
    </row>
    <row r="5582" spans="1:14">
      <c r="A5582" s="4" t="str">
        <f t="shared" si="526"/>
        <v>EXP00199</v>
      </c>
      <c r="B5582" s="4" t="str">
        <f t="shared" si="527"/>
        <v>17420468</v>
      </c>
      <c r="C5582" s="4" t="str">
        <f t="shared" si="528"/>
        <v>GSE5327</v>
      </c>
      <c r="D5582" s="1" t="s">
        <v>62</v>
      </c>
      <c r="E5582" t="s">
        <v>311</v>
      </c>
      <c r="F5582" s="1">
        <v>2</v>
      </c>
      <c r="G5582" s="1" t="s">
        <v>32</v>
      </c>
      <c r="H5582" s="4" t="str">
        <f>HYPERLINK("https://www.ncbi.nlm.nih.gov/geo/query/acc.cgi?acc=GSM120653","GSM120653")</f>
        <v>GSM120653</v>
      </c>
      <c r="I5582" t="s">
        <v>17</v>
      </c>
      <c r="J5582" t="s">
        <v>312</v>
      </c>
      <c r="K5582" t="s">
        <v>33</v>
      </c>
      <c r="L5582" t="s">
        <v>20</v>
      </c>
      <c r="N5582" t="s">
        <v>29</v>
      </c>
    </row>
    <row r="5583" spans="1:14">
      <c r="A5583" s="4" t="str">
        <f t="shared" si="526"/>
        <v>EXP00199</v>
      </c>
      <c r="B5583" s="4" t="str">
        <f t="shared" si="527"/>
        <v>17420468</v>
      </c>
      <c r="C5583" s="4" t="str">
        <f t="shared" si="528"/>
        <v>GSE5327</v>
      </c>
      <c r="D5583" s="1" t="s">
        <v>62</v>
      </c>
      <c r="E5583" t="s">
        <v>311</v>
      </c>
      <c r="F5583" s="1">
        <v>2</v>
      </c>
      <c r="G5583" s="1" t="s">
        <v>32</v>
      </c>
      <c r="H5583" s="4" t="str">
        <f>HYPERLINK("https://www.ncbi.nlm.nih.gov/geo/query/acc.cgi?acc=GSM120654","GSM120654")</f>
        <v>GSM120654</v>
      </c>
      <c r="I5583" t="s">
        <v>17</v>
      </c>
      <c r="J5583" t="s">
        <v>312</v>
      </c>
      <c r="K5583" t="s">
        <v>33</v>
      </c>
      <c r="L5583" t="s">
        <v>20</v>
      </c>
      <c r="N5583" t="s">
        <v>29</v>
      </c>
    </row>
    <row r="5584" spans="1:14">
      <c r="A5584" s="4" t="str">
        <f t="shared" si="526"/>
        <v>EXP00199</v>
      </c>
      <c r="B5584" s="4" t="str">
        <f t="shared" si="527"/>
        <v>17420468</v>
      </c>
      <c r="C5584" s="4" t="str">
        <f t="shared" si="528"/>
        <v>GSE5327</v>
      </c>
      <c r="D5584" s="1" t="s">
        <v>62</v>
      </c>
      <c r="E5584" t="s">
        <v>311</v>
      </c>
      <c r="F5584" s="1">
        <v>2</v>
      </c>
      <c r="G5584" s="1" t="s">
        <v>32</v>
      </c>
      <c r="H5584" s="4" t="str">
        <f>HYPERLINK("https://www.ncbi.nlm.nih.gov/geo/query/acc.cgi?acc=GSM120657","GSM120657")</f>
        <v>GSM120657</v>
      </c>
      <c r="I5584" t="s">
        <v>17</v>
      </c>
      <c r="J5584" t="s">
        <v>312</v>
      </c>
      <c r="K5584" t="s">
        <v>33</v>
      </c>
      <c r="L5584" t="s">
        <v>20</v>
      </c>
      <c r="N5584" t="s">
        <v>29</v>
      </c>
    </row>
    <row r="5585" spans="1:14">
      <c r="A5585" s="4" t="str">
        <f t="shared" si="526"/>
        <v>EXP00199</v>
      </c>
      <c r="B5585" s="4" t="str">
        <f t="shared" si="527"/>
        <v>17420468</v>
      </c>
      <c r="C5585" s="4" t="str">
        <f t="shared" si="528"/>
        <v>GSE5327</v>
      </c>
      <c r="D5585" s="1" t="s">
        <v>62</v>
      </c>
      <c r="E5585" t="s">
        <v>311</v>
      </c>
      <c r="F5585" s="1">
        <v>2</v>
      </c>
      <c r="G5585" s="1" t="s">
        <v>32</v>
      </c>
      <c r="H5585" s="4" t="str">
        <f>HYPERLINK("https://www.ncbi.nlm.nih.gov/geo/query/acc.cgi?acc=GSM120658","GSM120658")</f>
        <v>GSM120658</v>
      </c>
      <c r="I5585" t="s">
        <v>17</v>
      </c>
      <c r="J5585" t="s">
        <v>312</v>
      </c>
      <c r="K5585" t="s">
        <v>33</v>
      </c>
      <c r="L5585" t="s">
        <v>20</v>
      </c>
      <c r="N5585" t="s">
        <v>29</v>
      </c>
    </row>
    <row r="5586" spans="1:14">
      <c r="A5586" s="4" t="str">
        <f t="shared" si="526"/>
        <v>EXP00199</v>
      </c>
      <c r="B5586" s="4" t="str">
        <f t="shared" si="527"/>
        <v>17420468</v>
      </c>
      <c r="C5586" s="4" t="str">
        <f t="shared" si="528"/>
        <v>GSE5327</v>
      </c>
      <c r="D5586" s="1" t="s">
        <v>62</v>
      </c>
      <c r="E5586" t="s">
        <v>311</v>
      </c>
      <c r="F5586" s="1">
        <v>2</v>
      </c>
      <c r="G5586" s="1" t="s">
        <v>32</v>
      </c>
      <c r="H5586" s="4" t="str">
        <f>HYPERLINK("https://www.ncbi.nlm.nih.gov/geo/query/acc.cgi?acc=GSM120659","GSM120659")</f>
        <v>GSM120659</v>
      </c>
      <c r="I5586" t="s">
        <v>17</v>
      </c>
      <c r="J5586" t="s">
        <v>312</v>
      </c>
      <c r="K5586" t="s">
        <v>33</v>
      </c>
      <c r="L5586" t="s">
        <v>20</v>
      </c>
      <c r="N5586" t="s">
        <v>29</v>
      </c>
    </row>
    <row r="5587" spans="1:14">
      <c r="A5587" s="4" t="str">
        <f t="shared" si="526"/>
        <v>EXP00199</v>
      </c>
      <c r="B5587" s="4" t="str">
        <f t="shared" si="527"/>
        <v>17420468</v>
      </c>
      <c r="C5587" s="4" t="str">
        <f t="shared" si="528"/>
        <v>GSE5327</v>
      </c>
      <c r="D5587" s="1" t="s">
        <v>62</v>
      </c>
      <c r="E5587" t="s">
        <v>311</v>
      </c>
      <c r="F5587" s="1">
        <v>2</v>
      </c>
      <c r="G5587" s="1" t="s">
        <v>32</v>
      </c>
      <c r="H5587" s="4" t="str">
        <f>HYPERLINK("https://www.ncbi.nlm.nih.gov/geo/query/acc.cgi?acc=GSM120660","GSM120660")</f>
        <v>GSM120660</v>
      </c>
      <c r="I5587" t="s">
        <v>17</v>
      </c>
      <c r="J5587" t="s">
        <v>312</v>
      </c>
      <c r="K5587" t="s">
        <v>33</v>
      </c>
      <c r="L5587" t="s">
        <v>20</v>
      </c>
      <c r="N5587" t="s">
        <v>29</v>
      </c>
    </row>
    <row r="5588" spans="1:14">
      <c r="A5588" s="4" t="str">
        <f t="shared" si="526"/>
        <v>EXP00199</v>
      </c>
      <c r="B5588" s="4" t="str">
        <f t="shared" si="527"/>
        <v>17420468</v>
      </c>
      <c r="C5588" s="4" t="str">
        <f t="shared" si="528"/>
        <v>GSE5327</v>
      </c>
      <c r="D5588" s="1" t="s">
        <v>62</v>
      </c>
      <c r="E5588" t="s">
        <v>311</v>
      </c>
      <c r="F5588" s="1">
        <v>2</v>
      </c>
      <c r="G5588" s="1" t="s">
        <v>32</v>
      </c>
      <c r="H5588" s="4" t="str">
        <f>HYPERLINK("https://www.ncbi.nlm.nih.gov/geo/query/acc.cgi?acc=GSM120661","GSM120661")</f>
        <v>GSM120661</v>
      </c>
      <c r="I5588" t="s">
        <v>17</v>
      </c>
      <c r="J5588" t="s">
        <v>312</v>
      </c>
      <c r="K5588" t="s">
        <v>33</v>
      </c>
      <c r="L5588" t="s">
        <v>20</v>
      </c>
      <c r="N5588" t="s">
        <v>29</v>
      </c>
    </row>
    <row r="5589" spans="1:14">
      <c r="A5589" s="4" t="str">
        <f t="shared" si="526"/>
        <v>EXP00199</v>
      </c>
      <c r="B5589" s="4" t="str">
        <f t="shared" si="527"/>
        <v>17420468</v>
      </c>
      <c r="C5589" s="4" t="str">
        <f t="shared" si="528"/>
        <v>GSE5327</v>
      </c>
      <c r="D5589" s="1" t="s">
        <v>62</v>
      </c>
      <c r="E5589" t="s">
        <v>311</v>
      </c>
      <c r="F5589" s="1">
        <v>2</v>
      </c>
      <c r="G5589" s="1" t="s">
        <v>32</v>
      </c>
      <c r="H5589" s="4" t="str">
        <f>HYPERLINK("https://www.ncbi.nlm.nih.gov/geo/query/acc.cgi?acc=GSM120664","GSM120664")</f>
        <v>GSM120664</v>
      </c>
      <c r="I5589" t="s">
        <v>17</v>
      </c>
      <c r="J5589" t="s">
        <v>312</v>
      </c>
      <c r="K5589" t="s">
        <v>33</v>
      </c>
      <c r="L5589" t="s">
        <v>20</v>
      </c>
      <c r="N5589" t="s">
        <v>29</v>
      </c>
    </row>
    <row r="5590" spans="1:14">
      <c r="A5590" s="4" t="str">
        <f t="shared" si="526"/>
        <v>EXP00199</v>
      </c>
      <c r="B5590" s="4" t="str">
        <f t="shared" si="527"/>
        <v>17420468</v>
      </c>
      <c r="C5590" s="4" t="str">
        <f t="shared" si="528"/>
        <v>GSE5327</v>
      </c>
      <c r="D5590" s="1" t="s">
        <v>62</v>
      </c>
      <c r="E5590" t="s">
        <v>311</v>
      </c>
      <c r="F5590" s="1">
        <v>2</v>
      </c>
      <c r="G5590" s="1" t="s">
        <v>32</v>
      </c>
      <c r="H5590" s="4" t="str">
        <f>HYPERLINK("https://www.ncbi.nlm.nih.gov/geo/query/acc.cgi?acc=GSM120665","GSM120665")</f>
        <v>GSM120665</v>
      </c>
      <c r="I5590" t="s">
        <v>17</v>
      </c>
      <c r="J5590" t="s">
        <v>312</v>
      </c>
      <c r="K5590" t="s">
        <v>33</v>
      </c>
      <c r="L5590" t="s">
        <v>20</v>
      </c>
      <c r="N5590" t="s">
        <v>29</v>
      </c>
    </row>
    <row r="5591" spans="1:14">
      <c r="A5591" s="4" t="str">
        <f t="shared" si="526"/>
        <v>EXP00199</v>
      </c>
      <c r="B5591" s="4" t="str">
        <f t="shared" si="527"/>
        <v>17420468</v>
      </c>
      <c r="C5591" s="4" t="str">
        <f t="shared" si="528"/>
        <v>GSE5327</v>
      </c>
      <c r="D5591" s="1" t="s">
        <v>62</v>
      </c>
      <c r="E5591" t="s">
        <v>311</v>
      </c>
      <c r="F5591" s="1">
        <v>2</v>
      </c>
      <c r="G5591" s="1" t="s">
        <v>32</v>
      </c>
      <c r="H5591" s="4" t="str">
        <f>HYPERLINK("https://www.ncbi.nlm.nih.gov/geo/query/acc.cgi?acc=GSM120666","GSM120666")</f>
        <v>GSM120666</v>
      </c>
      <c r="I5591" t="s">
        <v>17</v>
      </c>
      <c r="J5591" t="s">
        <v>312</v>
      </c>
      <c r="K5591" t="s">
        <v>33</v>
      </c>
      <c r="L5591" t="s">
        <v>20</v>
      </c>
      <c r="N5591" t="s">
        <v>29</v>
      </c>
    </row>
    <row r="5592" spans="1:14">
      <c r="A5592" s="4" t="str">
        <f t="shared" si="526"/>
        <v>EXP00199</v>
      </c>
      <c r="B5592" s="4" t="str">
        <f t="shared" si="527"/>
        <v>17420468</v>
      </c>
      <c r="C5592" s="4" t="str">
        <f t="shared" si="528"/>
        <v>GSE5327</v>
      </c>
      <c r="D5592" s="1" t="s">
        <v>62</v>
      </c>
      <c r="E5592" t="s">
        <v>311</v>
      </c>
      <c r="F5592" s="1">
        <v>2</v>
      </c>
      <c r="G5592" s="1" t="s">
        <v>32</v>
      </c>
      <c r="H5592" s="4" t="str">
        <f>HYPERLINK("https://www.ncbi.nlm.nih.gov/geo/query/acc.cgi?acc=GSM120667","GSM120667")</f>
        <v>GSM120667</v>
      </c>
      <c r="I5592" t="s">
        <v>17</v>
      </c>
      <c r="J5592" t="s">
        <v>312</v>
      </c>
      <c r="K5592" t="s">
        <v>33</v>
      </c>
      <c r="L5592" t="s">
        <v>20</v>
      </c>
      <c r="N5592" t="s">
        <v>29</v>
      </c>
    </row>
    <row r="5593" spans="1:14">
      <c r="A5593" s="4" t="str">
        <f t="shared" si="526"/>
        <v>EXP00199</v>
      </c>
      <c r="B5593" s="4" t="str">
        <f t="shared" si="527"/>
        <v>17420468</v>
      </c>
      <c r="C5593" s="4" t="str">
        <f t="shared" si="528"/>
        <v>GSE5327</v>
      </c>
      <c r="D5593" s="1" t="s">
        <v>62</v>
      </c>
      <c r="E5593" t="s">
        <v>311</v>
      </c>
      <c r="F5593" s="1">
        <v>2</v>
      </c>
      <c r="G5593" s="1" t="s">
        <v>32</v>
      </c>
      <c r="H5593" s="4" t="str">
        <f>HYPERLINK("https://www.ncbi.nlm.nih.gov/geo/query/acc.cgi?acc=GSM120669","GSM120669")</f>
        <v>GSM120669</v>
      </c>
      <c r="I5593" t="s">
        <v>17</v>
      </c>
      <c r="J5593" t="s">
        <v>312</v>
      </c>
      <c r="K5593" t="s">
        <v>33</v>
      </c>
      <c r="L5593" t="s">
        <v>20</v>
      </c>
      <c r="N5593" t="s">
        <v>29</v>
      </c>
    </row>
    <row r="5594" spans="1:14">
      <c r="A5594" s="4" t="str">
        <f t="shared" si="526"/>
        <v>EXP00199</v>
      </c>
      <c r="B5594" s="4" t="str">
        <f t="shared" si="527"/>
        <v>17420468</v>
      </c>
      <c r="C5594" s="4" t="str">
        <f t="shared" si="528"/>
        <v>GSE5327</v>
      </c>
      <c r="D5594" s="1" t="s">
        <v>62</v>
      </c>
      <c r="E5594" t="s">
        <v>311</v>
      </c>
      <c r="F5594" s="1">
        <v>2</v>
      </c>
      <c r="G5594" s="1" t="s">
        <v>32</v>
      </c>
      <c r="H5594" s="4" t="str">
        <f>HYPERLINK("https://www.ncbi.nlm.nih.gov/geo/query/acc.cgi?acc=GSM120670","GSM120670")</f>
        <v>GSM120670</v>
      </c>
      <c r="I5594" t="s">
        <v>17</v>
      </c>
      <c r="J5594" t="s">
        <v>312</v>
      </c>
      <c r="K5594" t="s">
        <v>33</v>
      </c>
      <c r="L5594" t="s">
        <v>20</v>
      </c>
      <c r="N5594" t="s">
        <v>29</v>
      </c>
    </row>
    <row r="5595" spans="1:14">
      <c r="A5595" s="4" t="str">
        <f t="shared" si="526"/>
        <v>EXP00199</v>
      </c>
      <c r="B5595" s="4" t="str">
        <f t="shared" si="527"/>
        <v>17420468</v>
      </c>
      <c r="C5595" s="4" t="str">
        <f t="shared" si="528"/>
        <v>GSE5327</v>
      </c>
      <c r="D5595" s="1" t="s">
        <v>62</v>
      </c>
      <c r="E5595" t="s">
        <v>311</v>
      </c>
      <c r="F5595" s="1">
        <v>2</v>
      </c>
      <c r="G5595" s="1" t="s">
        <v>32</v>
      </c>
      <c r="H5595" s="4" t="str">
        <f>HYPERLINK("https://www.ncbi.nlm.nih.gov/geo/query/acc.cgi?acc=GSM120672","GSM120672")</f>
        <v>GSM120672</v>
      </c>
      <c r="I5595" t="s">
        <v>17</v>
      </c>
      <c r="J5595" t="s">
        <v>312</v>
      </c>
      <c r="K5595" t="s">
        <v>33</v>
      </c>
      <c r="L5595" t="s">
        <v>20</v>
      </c>
      <c r="N5595" t="s">
        <v>29</v>
      </c>
    </row>
    <row r="5596" spans="1:14">
      <c r="A5596" s="4" t="str">
        <f t="shared" si="526"/>
        <v>EXP00199</v>
      </c>
      <c r="B5596" s="4" t="str">
        <f t="shared" si="527"/>
        <v>17420468</v>
      </c>
      <c r="C5596" s="4" t="str">
        <f t="shared" si="528"/>
        <v>GSE5327</v>
      </c>
      <c r="D5596" s="1" t="s">
        <v>62</v>
      </c>
      <c r="E5596" t="s">
        <v>311</v>
      </c>
      <c r="F5596" s="1">
        <v>2</v>
      </c>
      <c r="G5596" s="1" t="s">
        <v>32</v>
      </c>
      <c r="H5596" s="4" t="str">
        <f>HYPERLINK("https://www.ncbi.nlm.nih.gov/geo/query/acc.cgi?acc=GSM120673","GSM120673")</f>
        <v>GSM120673</v>
      </c>
      <c r="I5596" t="s">
        <v>17</v>
      </c>
      <c r="J5596" t="s">
        <v>312</v>
      </c>
      <c r="K5596" t="s">
        <v>33</v>
      </c>
      <c r="L5596" t="s">
        <v>20</v>
      </c>
      <c r="N5596" t="s">
        <v>29</v>
      </c>
    </row>
    <row r="5597" spans="1:14">
      <c r="A5597" s="4" t="str">
        <f t="shared" si="526"/>
        <v>EXP00199</v>
      </c>
      <c r="B5597" s="4" t="str">
        <f t="shared" si="527"/>
        <v>17420468</v>
      </c>
      <c r="C5597" s="4" t="str">
        <f t="shared" si="528"/>
        <v>GSE5327</v>
      </c>
      <c r="D5597" s="1" t="s">
        <v>62</v>
      </c>
      <c r="E5597" t="s">
        <v>311</v>
      </c>
      <c r="F5597" s="1">
        <v>2</v>
      </c>
      <c r="G5597" s="1" t="s">
        <v>32</v>
      </c>
      <c r="H5597" s="4" t="str">
        <f>HYPERLINK("https://www.ncbi.nlm.nih.gov/geo/query/acc.cgi?acc=GSM120674","GSM120674")</f>
        <v>GSM120674</v>
      </c>
      <c r="I5597" t="s">
        <v>17</v>
      </c>
      <c r="J5597" t="s">
        <v>312</v>
      </c>
      <c r="K5597" t="s">
        <v>33</v>
      </c>
      <c r="L5597" t="s">
        <v>20</v>
      </c>
      <c r="N5597" t="s">
        <v>29</v>
      </c>
    </row>
    <row r="5598" spans="1:14">
      <c r="A5598" s="4" t="str">
        <f t="shared" si="526"/>
        <v>EXP00199</v>
      </c>
      <c r="B5598" s="4" t="str">
        <f t="shared" si="527"/>
        <v>17420468</v>
      </c>
      <c r="C5598" s="4" t="str">
        <f t="shared" si="528"/>
        <v>GSE5327</v>
      </c>
      <c r="D5598" s="1" t="s">
        <v>62</v>
      </c>
      <c r="E5598" t="s">
        <v>311</v>
      </c>
      <c r="F5598" s="1">
        <v>2</v>
      </c>
      <c r="G5598" s="1" t="s">
        <v>32</v>
      </c>
      <c r="H5598" s="4" t="str">
        <f>HYPERLINK("https://www.ncbi.nlm.nih.gov/geo/query/acc.cgi?acc=GSM120675","GSM120675")</f>
        <v>GSM120675</v>
      </c>
      <c r="I5598" t="s">
        <v>17</v>
      </c>
      <c r="J5598" t="s">
        <v>312</v>
      </c>
      <c r="K5598" t="s">
        <v>33</v>
      </c>
      <c r="L5598" t="s">
        <v>20</v>
      </c>
      <c r="N5598" t="s">
        <v>29</v>
      </c>
    </row>
    <row r="5599" spans="1:14">
      <c r="A5599" s="4" t="str">
        <f t="shared" si="526"/>
        <v>EXP00199</v>
      </c>
      <c r="B5599" s="4" t="str">
        <f t="shared" si="527"/>
        <v>17420468</v>
      </c>
      <c r="C5599" s="4" t="str">
        <f t="shared" si="528"/>
        <v>GSE5327</v>
      </c>
      <c r="D5599" s="1" t="s">
        <v>62</v>
      </c>
      <c r="E5599" t="s">
        <v>311</v>
      </c>
      <c r="F5599" s="1">
        <v>2</v>
      </c>
      <c r="G5599" s="1" t="s">
        <v>32</v>
      </c>
      <c r="H5599" s="4" t="str">
        <f>HYPERLINK("https://www.ncbi.nlm.nih.gov/geo/query/acc.cgi?acc=GSM120676","GSM120676")</f>
        <v>GSM120676</v>
      </c>
      <c r="I5599" t="s">
        <v>17</v>
      </c>
      <c r="J5599" t="s">
        <v>312</v>
      </c>
      <c r="K5599" t="s">
        <v>33</v>
      </c>
      <c r="L5599" t="s">
        <v>20</v>
      </c>
      <c r="N5599" t="s">
        <v>29</v>
      </c>
    </row>
    <row r="5600" spans="1:14">
      <c r="A5600" s="4" t="str">
        <f t="shared" si="526"/>
        <v>EXP00199</v>
      </c>
      <c r="B5600" s="4" t="str">
        <f t="shared" si="527"/>
        <v>17420468</v>
      </c>
      <c r="C5600" s="4" t="str">
        <f t="shared" si="528"/>
        <v>GSE5327</v>
      </c>
      <c r="D5600" s="1" t="s">
        <v>62</v>
      </c>
      <c r="E5600" t="s">
        <v>311</v>
      </c>
      <c r="F5600" s="1">
        <v>2</v>
      </c>
      <c r="G5600" s="1" t="s">
        <v>32</v>
      </c>
      <c r="H5600" s="4" t="str">
        <f>HYPERLINK("https://www.ncbi.nlm.nih.gov/geo/query/acc.cgi?acc=GSM120677","GSM120677")</f>
        <v>GSM120677</v>
      </c>
      <c r="I5600" t="s">
        <v>17</v>
      </c>
      <c r="J5600" t="s">
        <v>312</v>
      </c>
      <c r="K5600" t="s">
        <v>33</v>
      </c>
      <c r="L5600" t="s">
        <v>20</v>
      </c>
      <c r="N5600" t="s">
        <v>29</v>
      </c>
    </row>
    <row r="5601" spans="1:14">
      <c r="A5601" s="4" t="str">
        <f t="shared" ref="A5601:A5626" si="529">HYPERLINK("http://hcmdb.i-sanger.com/experiment/details/experiment_id/EXP00199","EXP00199")</f>
        <v>EXP00199</v>
      </c>
      <c r="B5601" s="4" t="str">
        <f t="shared" ref="B5601:B5626" si="530">HYPERLINK("https://www.ncbi.nlm.nih.gov/pubmed/17420468","17420468")</f>
        <v>17420468</v>
      </c>
      <c r="C5601" s="4" t="str">
        <f t="shared" ref="C5601:C5626" si="531">HYPERLINK("https://www.ncbi.nlm.nih.gov/geo/query/acc.cgi?acc=GSE5327","GSE5327")</f>
        <v>GSE5327</v>
      </c>
      <c r="D5601" s="1" t="s">
        <v>62</v>
      </c>
      <c r="E5601" t="s">
        <v>311</v>
      </c>
      <c r="F5601" s="1">
        <v>2</v>
      </c>
      <c r="G5601" s="1" t="s">
        <v>32</v>
      </c>
      <c r="H5601" s="4" t="str">
        <f>HYPERLINK("https://www.ncbi.nlm.nih.gov/geo/query/acc.cgi?acc=GSM120678","GSM120678")</f>
        <v>GSM120678</v>
      </c>
      <c r="I5601" t="s">
        <v>17</v>
      </c>
      <c r="J5601" t="s">
        <v>312</v>
      </c>
      <c r="K5601" t="s">
        <v>33</v>
      </c>
      <c r="L5601" t="s">
        <v>20</v>
      </c>
      <c r="N5601" t="s">
        <v>29</v>
      </c>
    </row>
    <row r="5602" spans="1:14">
      <c r="A5602" s="4" t="str">
        <f t="shared" si="529"/>
        <v>EXP00199</v>
      </c>
      <c r="B5602" s="4" t="str">
        <f t="shared" si="530"/>
        <v>17420468</v>
      </c>
      <c r="C5602" s="4" t="str">
        <f t="shared" si="531"/>
        <v>GSE5327</v>
      </c>
      <c r="D5602" s="1" t="s">
        <v>62</v>
      </c>
      <c r="E5602" t="s">
        <v>311</v>
      </c>
      <c r="F5602" s="1">
        <v>2</v>
      </c>
      <c r="G5602" s="1" t="s">
        <v>32</v>
      </c>
      <c r="H5602" s="4" t="str">
        <f>HYPERLINK("https://www.ncbi.nlm.nih.gov/geo/query/acc.cgi?acc=GSM120680","GSM120680")</f>
        <v>GSM120680</v>
      </c>
      <c r="I5602" t="s">
        <v>17</v>
      </c>
      <c r="J5602" t="s">
        <v>312</v>
      </c>
      <c r="K5602" t="s">
        <v>33</v>
      </c>
      <c r="L5602" t="s">
        <v>20</v>
      </c>
      <c r="N5602" t="s">
        <v>29</v>
      </c>
    </row>
    <row r="5603" spans="1:14">
      <c r="A5603" s="4" t="str">
        <f t="shared" si="529"/>
        <v>EXP00199</v>
      </c>
      <c r="B5603" s="4" t="str">
        <f t="shared" si="530"/>
        <v>17420468</v>
      </c>
      <c r="C5603" s="4" t="str">
        <f t="shared" si="531"/>
        <v>GSE5327</v>
      </c>
      <c r="D5603" s="1" t="s">
        <v>62</v>
      </c>
      <c r="E5603" t="s">
        <v>311</v>
      </c>
      <c r="F5603" s="1">
        <v>2</v>
      </c>
      <c r="G5603" s="1" t="s">
        <v>32</v>
      </c>
      <c r="H5603" s="4" t="str">
        <f>HYPERLINK("https://www.ncbi.nlm.nih.gov/geo/query/acc.cgi?acc=GSM120681","GSM120681")</f>
        <v>GSM120681</v>
      </c>
      <c r="I5603" t="s">
        <v>17</v>
      </c>
      <c r="J5603" t="s">
        <v>312</v>
      </c>
      <c r="K5603" t="s">
        <v>33</v>
      </c>
      <c r="L5603" t="s">
        <v>20</v>
      </c>
      <c r="N5603" t="s">
        <v>29</v>
      </c>
    </row>
    <row r="5604" spans="1:14">
      <c r="A5604" s="4" t="str">
        <f t="shared" si="529"/>
        <v>EXP00199</v>
      </c>
      <c r="B5604" s="4" t="str">
        <f t="shared" si="530"/>
        <v>17420468</v>
      </c>
      <c r="C5604" s="4" t="str">
        <f t="shared" si="531"/>
        <v>GSE5327</v>
      </c>
      <c r="D5604" s="1" t="s">
        <v>62</v>
      </c>
      <c r="E5604" t="s">
        <v>311</v>
      </c>
      <c r="F5604" s="1">
        <v>2</v>
      </c>
      <c r="G5604" s="1" t="s">
        <v>32</v>
      </c>
      <c r="H5604" s="4" t="str">
        <f>HYPERLINK("https://www.ncbi.nlm.nih.gov/geo/query/acc.cgi?acc=GSM120682","GSM120682")</f>
        <v>GSM120682</v>
      </c>
      <c r="I5604" t="s">
        <v>17</v>
      </c>
      <c r="J5604" t="s">
        <v>312</v>
      </c>
      <c r="K5604" t="s">
        <v>33</v>
      </c>
      <c r="L5604" t="s">
        <v>20</v>
      </c>
      <c r="N5604" t="s">
        <v>29</v>
      </c>
    </row>
    <row r="5605" spans="1:14">
      <c r="A5605" s="4" t="str">
        <f t="shared" si="529"/>
        <v>EXP00199</v>
      </c>
      <c r="B5605" s="4" t="str">
        <f t="shared" si="530"/>
        <v>17420468</v>
      </c>
      <c r="C5605" s="4" t="str">
        <f t="shared" si="531"/>
        <v>GSE5327</v>
      </c>
      <c r="D5605" s="1" t="s">
        <v>62</v>
      </c>
      <c r="E5605" t="s">
        <v>311</v>
      </c>
      <c r="F5605" s="1">
        <v>2</v>
      </c>
      <c r="G5605" s="1" t="s">
        <v>32</v>
      </c>
      <c r="H5605" s="4" t="str">
        <f>HYPERLINK("https://www.ncbi.nlm.nih.gov/geo/query/acc.cgi?acc=GSM120683","GSM120683")</f>
        <v>GSM120683</v>
      </c>
      <c r="I5605" t="s">
        <v>17</v>
      </c>
      <c r="J5605" t="s">
        <v>312</v>
      </c>
      <c r="K5605" t="s">
        <v>33</v>
      </c>
      <c r="L5605" t="s">
        <v>20</v>
      </c>
      <c r="N5605" t="s">
        <v>29</v>
      </c>
    </row>
    <row r="5606" spans="1:14">
      <c r="A5606" s="4" t="str">
        <f t="shared" si="529"/>
        <v>EXP00199</v>
      </c>
      <c r="B5606" s="4" t="str">
        <f t="shared" si="530"/>
        <v>17420468</v>
      </c>
      <c r="C5606" s="4" t="str">
        <f t="shared" si="531"/>
        <v>GSE5327</v>
      </c>
      <c r="D5606" s="1" t="s">
        <v>62</v>
      </c>
      <c r="E5606" t="s">
        <v>311</v>
      </c>
      <c r="F5606" s="1">
        <v>2</v>
      </c>
      <c r="G5606" s="1" t="s">
        <v>32</v>
      </c>
      <c r="H5606" s="4" t="str">
        <f>HYPERLINK("https://www.ncbi.nlm.nih.gov/geo/query/acc.cgi?acc=GSM120684","GSM120684")</f>
        <v>GSM120684</v>
      </c>
      <c r="I5606" t="s">
        <v>17</v>
      </c>
      <c r="J5606" t="s">
        <v>312</v>
      </c>
      <c r="K5606" t="s">
        <v>33</v>
      </c>
      <c r="L5606" t="s">
        <v>20</v>
      </c>
      <c r="N5606" t="s">
        <v>29</v>
      </c>
    </row>
    <row r="5607" spans="1:14">
      <c r="A5607" s="4" t="str">
        <f t="shared" si="529"/>
        <v>EXP00199</v>
      </c>
      <c r="B5607" s="4" t="str">
        <f t="shared" si="530"/>
        <v>17420468</v>
      </c>
      <c r="C5607" s="4" t="str">
        <f t="shared" si="531"/>
        <v>GSE5327</v>
      </c>
      <c r="D5607" s="1" t="s">
        <v>62</v>
      </c>
      <c r="E5607" t="s">
        <v>311</v>
      </c>
      <c r="F5607" s="1">
        <v>2</v>
      </c>
      <c r="G5607" s="1" t="s">
        <v>32</v>
      </c>
      <c r="H5607" s="4" t="str">
        <f>HYPERLINK("https://www.ncbi.nlm.nih.gov/geo/query/acc.cgi?acc=GSM120685","GSM120685")</f>
        <v>GSM120685</v>
      </c>
      <c r="I5607" t="s">
        <v>17</v>
      </c>
      <c r="J5607" t="s">
        <v>312</v>
      </c>
      <c r="K5607" t="s">
        <v>33</v>
      </c>
      <c r="L5607" t="s">
        <v>20</v>
      </c>
      <c r="N5607" t="s">
        <v>29</v>
      </c>
    </row>
    <row r="5608" spans="1:14">
      <c r="A5608" s="4" t="str">
        <f t="shared" si="529"/>
        <v>EXP00199</v>
      </c>
      <c r="B5608" s="4" t="str">
        <f t="shared" si="530"/>
        <v>17420468</v>
      </c>
      <c r="C5608" s="4" t="str">
        <f t="shared" si="531"/>
        <v>GSE5327</v>
      </c>
      <c r="D5608" s="1" t="s">
        <v>62</v>
      </c>
      <c r="E5608" t="s">
        <v>311</v>
      </c>
      <c r="F5608" s="1">
        <v>2</v>
      </c>
      <c r="G5608" s="1" t="s">
        <v>32</v>
      </c>
      <c r="H5608" s="4" t="str">
        <f>HYPERLINK("https://www.ncbi.nlm.nih.gov/geo/query/acc.cgi?acc=GSM120686","GSM120686")</f>
        <v>GSM120686</v>
      </c>
      <c r="I5608" t="s">
        <v>17</v>
      </c>
      <c r="J5608" t="s">
        <v>312</v>
      </c>
      <c r="K5608" t="s">
        <v>33</v>
      </c>
      <c r="L5608" t="s">
        <v>20</v>
      </c>
      <c r="N5608" t="s">
        <v>29</v>
      </c>
    </row>
    <row r="5609" spans="1:14">
      <c r="A5609" s="4" t="str">
        <f t="shared" si="529"/>
        <v>EXP00199</v>
      </c>
      <c r="B5609" s="4" t="str">
        <f t="shared" si="530"/>
        <v>17420468</v>
      </c>
      <c r="C5609" s="4" t="str">
        <f t="shared" si="531"/>
        <v>GSE5327</v>
      </c>
      <c r="D5609" s="1" t="s">
        <v>62</v>
      </c>
      <c r="E5609" t="s">
        <v>311</v>
      </c>
      <c r="F5609" s="1">
        <v>2</v>
      </c>
      <c r="G5609" s="1" t="s">
        <v>32</v>
      </c>
      <c r="H5609" s="4" t="str">
        <f>HYPERLINK("https://www.ncbi.nlm.nih.gov/geo/query/acc.cgi?acc=GSM120688","GSM120688")</f>
        <v>GSM120688</v>
      </c>
      <c r="I5609" t="s">
        <v>17</v>
      </c>
      <c r="J5609" t="s">
        <v>312</v>
      </c>
      <c r="K5609" t="s">
        <v>33</v>
      </c>
      <c r="L5609" t="s">
        <v>20</v>
      </c>
      <c r="N5609" t="s">
        <v>29</v>
      </c>
    </row>
    <row r="5610" spans="1:14">
      <c r="A5610" s="4" t="str">
        <f t="shared" si="529"/>
        <v>EXP00199</v>
      </c>
      <c r="B5610" s="4" t="str">
        <f t="shared" si="530"/>
        <v>17420468</v>
      </c>
      <c r="C5610" s="4" t="str">
        <f t="shared" si="531"/>
        <v>GSE5327</v>
      </c>
      <c r="D5610" s="1" t="s">
        <v>62</v>
      </c>
      <c r="E5610" t="s">
        <v>311</v>
      </c>
      <c r="F5610" s="1">
        <v>2</v>
      </c>
      <c r="G5610" s="1" t="s">
        <v>32</v>
      </c>
      <c r="H5610" s="4" t="str">
        <f>HYPERLINK("https://www.ncbi.nlm.nih.gov/geo/query/acc.cgi?acc=GSM120689","GSM120689")</f>
        <v>GSM120689</v>
      </c>
      <c r="I5610" t="s">
        <v>17</v>
      </c>
      <c r="J5610" t="s">
        <v>312</v>
      </c>
      <c r="K5610" t="s">
        <v>33</v>
      </c>
      <c r="L5610" t="s">
        <v>20</v>
      </c>
      <c r="N5610" t="s">
        <v>29</v>
      </c>
    </row>
    <row r="5611" spans="1:14">
      <c r="A5611" s="4" t="str">
        <f t="shared" si="529"/>
        <v>EXP00199</v>
      </c>
      <c r="B5611" s="4" t="str">
        <f t="shared" si="530"/>
        <v>17420468</v>
      </c>
      <c r="C5611" s="4" t="str">
        <f t="shared" si="531"/>
        <v>GSE5327</v>
      </c>
      <c r="D5611" s="1" t="s">
        <v>62</v>
      </c>
      <c r="E5611" t="s">
        <v>311</v>
      </c>
      <c r="F5611" s="1">
        <v>2</v>
      </c>
      <c r="G5611" s="1" t="s">
        <v>32</v>
      </c>
      <c r="H5611" s="4" t="str">
        <f>HYPERLINK("https://www.ncbi.nlm.nih.gov/geo/query/acc.cgi?acc=GSM120690","GSM120690")</f>
        <v>GSM120690</v>
      </c>
      <c r="I5611" t="s">
        <v>17</v>
      </c>
      <c r="J5611" t="s">
        <v>312</v>
      </c>
      <c r="K5611" t="s">
        <v>33</v>
      </c>
      <c r="L5611" t="s">
        <v>20</v>
      </c>
      <c r="N5611" t="s">
        <v>29</v>
      </c>
    </row>
    <row r="5612" spans="1:14">
      <c r="A5612" s="4" t="str">
        <f t="shared" si="529"/>
        <v>EXP00199</v>
      </c>
      <c r="B5612" s="4" t="str">
        <f t="shared" si="530"/>
        <v>17420468</v>
      </c>
      <c r="C5612" s="4" t="str">
        <f t="shared" si="531"/>
        <v>GSE5327</v>
      </c>
      <c r="D5612" s="1" t="s">
        <v>62</v>
      </c>
      <c r="E5612" t="s">
        <v>311</v>
      </c>
      <c r="F5612" s="1">
        <v>2</v>
      </c>
      <c r="G5612" s="1" t="s">
        <v>32</v>
      </c>
      <c r="H5612" s="4" t="str">
        <f>HYPERLINK("https://www.ncbi.nlm.nih.gov/geo/query/acc.cgi?acc=GSM120691","GSM120691")</f>
        <v>GSM120691</v>
      </c>
      <c r="I5612" t="s">
        <v>17</v>
      </c>
      <c r="J5612" t="s">
        <v>312</v>
      </c>
      <c r="K5612" t="s">
        <v>33</v>
      </c>
      <c r="L5612" t="s">
        <v>20</v>
      </c>
      <c r="N5612" t="s">
        <v>29</v>
      </c>
    </row>
    <row r="5613" spans="1:14">
      <c r="A5613" s="4" t="str">
        <f t="shared" si="529"/>
        <v>EXP00199</v>
      </c>
      <c r="B5613" s="4" t="str">
        <f t="shared" si="530"/>
        <v>17420468</v>
      </c>
      <c r="C5613" s="4" t="str">
        <f t="shared" si="531"/>
        <v>GSE5327</v>
      </c>
      <c r="D5613" s="1" t="s">
        <v>62</v>
      </c>
      <c r="E5613" t="s">
        <v>311</v>
      </c>
      <c r="F5613" s="1">
        <v>2</v>
      </c>
      <c r="G5613" s="1" t="s">
        <v>32</v>
      </c>
      <c r="H5613" s="4" t="str">
        <f>HYPERLINK("https://www.ncbi.nlm.nih.gov/geo/query/acc.cgi?acc=GSM120692","GSM120692")</f>
        <v>GSM120692</v>
      </c>
      <c r="I5613" t="s">
        <v>17</v>
      </c>
      <c r="J5613" t="s">
        <v>312</v>
      </c>
      <c r="K5613" t="s">
        <v>33</v>
      </c>
      <c r="L5613" t="s">
        <v>20</v>
      </c>
      <c r="N5613" t="s">
        <v>29</v>
      </c>
    </row>
    <row r="5614" spans="1:14">
      <c r="A5614" s="4" t="str">
        <f t="shared" si="529"/>
        <v>EXP00199</v>
      </c>
      <c r="B5614" s="4" t="str">
        <f t="shared" si="530"/>
        <v>17420468</v>
      </c>
      <c r="C5614" s="4" t="str">
        <f t="shared" si="531"/>
        <v>GSE5327</v>
      </c>
      <c r="D5614" s="1" t="s">
        <v>62</v>
      </c>
      <c r="E5614" t="s">
        <v>311</v>
      </c>
      <c r="F5614" s="1">
        <v>2</v>
      </c>
      <c r="G5614" s="1" t="s">
        <v>32</v>
      </c>
      <c r="H5614" s="4" t="str">
        <f>HYPERLINK("https://www.ncbi.nlm.nih.gov/geo/query/acc.cgi?acc=GSM120693","GSM120693")</f>
        <v>GSM120693</v>
      </c>
      <c r="I5614" t="s">
        <v>17</v>
      </c>
      <c r="J5614" t="s">
        <v>312</v>
      </c>
      <c r="K5614" t="s">
        <v>33</v>
      </c>
      <c r="L5614" t="s">
        <v>20</v>
      </c>
      <c r="N5614" t="s">
        <v>29</v>
      </c>
    </row>
    <row r="5615" spans="1:14">
      <c r="A5615" s="4" t="str">
        <f t="shared" si="529"/>
        <v>EXP00199</v>
      </c>
      <c r="B5615" s="4" t="str">
        <f t="shared" si="530"/>
        <v>17420468</v>
      </c>
      <c r="C5615" s="4" t="str">
        <f t="shared" si="531"/>
        <v>GSE5327</v>
      </c>
      <c r="D5615" s="1" t="s">
        <v>62</v>
      </c>
      <c r="E5615" t="s">
        <v>311</v>
      </c>
      <c r="F5615" s="1">
        <v>2</v>
      </c>
      <c r="G5615" s="1" t="s">
        <v>32</v>
      </c>
      <c r="H5615" s="4" t="str">
        <f>HYPERLINK("https://www.ncbi.nlm.nih.gov/geo/query/acc.cgi?acc=GSM120694","GSM120694")</f>
        <v>GSM120694</v>
      </c>
      <c r="I5615" t="s">
        <v>17</v>
      </c>
      <c r="J5615" t="s">
        <v>312</v>
      </c>
      <c r="K5615" t="s">
        <v>33</v>
      </c>
      <c r="L5615" t="s">
        <v>20</v>
      </c>
      <c r="N5615" t="s">
        <v>29</v>
      </c>
    </row>
    <row r="5616" spans="1:14">
      <c r="A5616" s="4" t="str">
        <f t="shared" si="529"/>
        <v>EXP00199</v>
      </c>
      <c r="B5616" s="4" t="str">
        <f t="shared" si="530"/>
        <v>17420468</v>
      </c>
      <c r="C5616" s="4" t="str">
        <f t="shared" si="531"/>
        <v>GSE5327</v>
      </c>
      <c r="D5616" s="1" t="s">
        <v>62</v>
      </c>
      <c r="E5616" t="s">
        <v>311</v>
      </c>
      <c r="F5616" s="1">
        <v>2</v>
      </c>
      <c r="G5616" s="1" t="s">
        <v>32</v>
      </c>
      <c r="H5616" s="4" t="str">
        <f>HYPERLINK("https://www.ncbi.nlm.nih.gov/geo/query/acc.cgi?acc=GSM120695","GSM120695")</f>
        <v>GSM120695</v>
      </c>
      <c r="I5616" t="s">
        <v>17</v>
      </c>
      <c r="J5616" t="s">
        <v>312</v>
      </c>
      <c r="K5616" t="s">
        <v>33</v>
      </c>
      <c r="L5616" t="s">
        <v>20</v>
      </c>
      <c r="N5616" t="s">
        <v>29</v>
      </c>
    </row>
    <row r="5617" spans="1:14">
      <c r="A5617" s="4" t="str">
        <f t="shared" si="529"/>
        <v>EXP00199</v>
      </c>
      <c r="B5617" s="4" t="str">
        <f t="shared" si="530"/>
        <v>17420468</v>
      </c>
      <c r="C5617" s="4" t="str">
        <f t="shared" si="531"/>
        <v>GSE5327</v>
      </c>
      <c r="D5617" s="1" t="s">
        <v>62</v>
      </c>
      <c r="E5617" t="s">
        <v>311</v>
      </c>
      <c r="F5617" s="1">
        <v>2</v>
      </c>
      <c r="G5617" s="1" t="s">
        <v>32</v>
      </c>
      <c r="H5617" s="4" t="str">
        <f>HYPERLINK("https://www.ncbi.nlm.nih.gov/geo/query/acc.cgi?acc=GSM120696","GSM120696")</f>
        <v>GSM120696</v>
      </c>
      <c r="I5617" t="s">
        <v>17</v>
      </c>
      <c r="J5617" t="s">
        <v>312</v>
      </c>
      <c r="K5617" t="s">
        <v>33</v>
      </c>
      <c r="L5617" t="s">
        <v>20</v>
      </c>
      <c r="N5617" t="s">
        <v>29</v>
      </c>
    </row>
    <row r="5618" spans="1:14">
      <c r="A5618" s="4" t="str">
        <f t="shared" si="529"/>
        <v>EXP00199</v>
      </c>
      <c r="B5618" s="4" t="str">
        <f t="shared" si="530"/>
        <v>17420468</v>
      </c>
      <c r="C5618" s="4" t="str">
        <f t="shared" si="531"/>
        <v>GSE5327</v>
      </c>
      <c r="D5618" s="1" t="s">
        <v>62</v>
      </c>
      <c r="E5618" t="s">
        <v>311</v>
      </c>
      <c r="F5618" s="1">
        <v>2</v>
      </c>
      <c r="G5618" s="1" t="s">
        <v>32</v>
      </c>
      <c r="H5618" s="4" t="str">
        <f>HYPERLINK("https://www.ncbi.nlm.nih.gov/geo/query/acc.cgi?acc=GSM120697","GSM120697")</f>
        <v>GSM120697</v>
      </c>
      <c r="I5618" t="s">
        <v>17</v>
      </c>
      <c r="J5618" t="s">
        <v>312</v>
      </c>
      <c r="K5618" t="s">
        <v>33</v>
      </c>
      <c r="L5618" t="s">
        <v>20</v>
      </c>
      <c r="N5618" t="s">
        <v>29</v>
      </c>
    </row>
    <row r="5619" spans="1:14">
      <c r="A5619" s="4" t="str">
        <f t="shared" si="529"/>
        <v>EXP00199</v>
      </c>
      <c r="B5619" s="4" t="str">
        <f t="shared" si="530"/>
        <v>17420468</v>
      </c>
      <c r="C5619" s="4" t="str">
        <f t="shared" si="531"/>
        <v>GSE5327</v>
      </c>
      <c r="D5619" s="1" t="s">
        <v>62</v>
      </c>
      <c r="E5619" t="s">
        <v>311</v>
      </c>
      <c r="F5619" s="1">
        <v>2</v>
      </c>
      <c r="G5619" s="1" t="s">
        <v>32</v>
      </c>
      <c r="H5619" s="4" t="str">
        <f>HYPERLINK("https://www.ncbi.nlm.nih.gov/geo/query/acc.cgi?acc=GSM120698","GSM120698")</f>
        <v>GSM120698</v>
      </c>
      <c r="I5619" t="s">
        <v>17</v>
      </c>
      <c r="J5619" t="s">
        <v>312</v>
      </c>
      <c r="K5619" t="s">
        <v>33</v>
      </c>
      <c r="L5619" t="s">
        <v>20</v>
      </c>
      <c r="N5619" t="s">
        <v>29</v>
      </c>
    </row>
    <row r="5620" spans="1:14">
      <c r="A5620" s="4" t="str">
        <f t="shared" si="529"/>
        <v>EXP00199</v>
      </c>
      <c r="B5620" s="4" t="str">
        <f t="shared" si="530"/>
        <v>17420468</v>
      </c>
      <c r="C5620" s="4" t="str">
        <f t="shared" si="531"/>
        <v>GSE5327</v>
      </c>
      <c r="D5620" s="1" t="s">
        <v>62</v>
      </c>
      <c r="E5620" t="s">
        <v>311</v>
      </c>
      <c r="F5620" s="1">
        <v>2</v>
      </c>
      <c r="G5620" s="1" t="s">
        <v>32</v>
      </c>
      <c r="H5620" s="4" t="str">
        <f>HYPERLINK("https://www.ncbi.nlm.nih.gov/geo/query/acc.cgi?acc=GSM120699","GSM120699")</f>
        <v>GSM120699</v>
      </c>
      <c r="I5620" t="s">
        <v>17</v>
      </c>
      <c r="J5620" t="s">
        <v>312</v>
      </c>
      <c r="K5620" t="s">
        <v>33</v>
      </c>
      <c r="L5620" t="s">
        <v>20</v>
      </c>
      <c r="N5620" t="s">
        <v>29</v>
      </c>
    </row>
    <row r="5621" spans="1:14">
      <c r="A5621" s="4" t="str">
        <f t="shared" si="529"/>
        <v>EXP00199</v>
      </c>
      <c r="B5621" s="4" t="str">
        <f t="shared" si="530"/>
        <v>17420468</v>
      </c>
      <c r="C5621" s="4" t="str">
        <f t="shared" si="531"/>
        <v>GSE5327</v>
      </c>
      <c r="D5621" s="1" t="s">
        <v>62</v>
      </c>
      <c r="E5621" t="s">
        <v>311</v>
      </c>
      <c r="F5621" s="1">
        <v>2</v>
      </c>
      <c r="G5621" s="1" t="s">
        <v>32</v>
      </c>
      <c r="H5621" s="4" t="str">
        <f>HYPERLINK("https://www.ncbi.nlm.nih.gov/geo/query/acc.cgi?acc=GSM120700","GSM120700")</f>
        <v>GSM120700</v>
      </c>
      <c r="I5621" t="s">
        <v>17</v>
      </c>
      <c r="J5621" t="s">
        <v>312</v>
      </c>
      <c r="K5621" t="s">
        <v>33</v>
      </c>
      <c r="L5621" t="s">
        <v>20</v>
      </c>
      <c r="N5621" t="s">
        <v>29</v>
      </c>
    </row>
    <row r="5622" spans="1:14">
      <c r="A5622" s="4" t="str">
        <f t="shared" si="529"/>
        <v>EXP00199</v>
      </c>
      <c r="B5622" s="4" t="str">
        <f t="shared" si="530"/>
        <v>17420468</v>
      </c>
      <c r="C5622" s="4" t="str">
        <f t="shared" si="531"/>
        <v>GSE5327</v>
      </c>
      <c r="D5622" s="1" t="s">
        <v>62</v>
      </c>
      <c r="E5622" t="s">
        <v>311</v>
      </c>
      <c r="F5622" s="1">
        <v>2</v>
      </c>
      <c r="G5622" s="1" t="s">
        <v>32</v>
      </c>
      <c r="H5622" s="4" t="str">
        <f>HYPERLINK("https://www.ncbi.nlm.nih.gov/geo/query/acc.cgi?acc=GSM120701","GSM120701")</f>
        <v>GSM120701</v>
      </c>
      <c r="I5622" t="s">
        <v>17</v>
      </c>
      <c r="J5622" t="s">
        <v>312</v>
      </c>
      <c r="K5622" t="s">
        <v>33</v>
      </c>
      <c r="L5622" t="s">
        <v>20</v>
      </c>
      <c r="N5622" t="s">
        <v>29</v>
      </c>
    </row>
    <row r="5623" spans="1:14">
      <c r="A5623" s="4" t="str">
        <f t="shared" si="529"/>
        <v>EXP00199</v>
      </c>
      <c r="B5623" s="4" t="str">
        <f t="shared" si="530"/>
        <v>17420468</v>
      </c>
      <c r="C5623" s="4" t="str">
        <f t="shared" si="531"/>
        <v>GSE5327</v>
      </c>
      <c r="D5623" s="1" t="s">
        <v>62</v>
      </c>
      <c r="E5623" t="s">
        <v>311</v>
      </c>
      <c r="F5623" s="1">
        <v>2</v>
      </c>
      <c r="G5623" s="1" t="s">
        <v>32</v>
      </c>
      <c r="H5623" s="4" t="str">
        <f>HYPERLINK("https://www.ncbi.nlm.nih.gov/geo/query/acc.cgi?acc=GSM120703","GSM120703")</f>
        <v>GSM120703</v>
      </c>
      <c r="I5623" t="s">
        <v>17</v>
      </c>
      <c r="J5623" t="s">
        <v>312</v>
      </c>
      <c r="K5623" t="s">
        <v>33</v>
      </c>
      <c r="L5623" t="s">
        <v>20</v>
      </c>
      <c r="N5623" t="s">
        <v>29</v>
      </c>
    </row>
    <row r="5624" spans="1:14">
      <c r="A5624" s="4" t="str">
        <f t="shared" si="529"/>
        <v>EXP00199</v>
      </c>
      <c r="B5624" s="4" t="str">
        <f t="shared" si="530"/>
        <v>17420468</v>
      </c>
      <c r="C5624" s="4" t="str">
        <f t="shared" si="531"/>
        <v>GSE5327</v>
      </c>
      <c r="D5624" s="1" t="s">
        <v>62</v>
      </c>
      <c r="E5624" t="s">
        <v>311</v>
      </c>
      <c r="F5624" s="1">
        <v>2</v>
      </c>
      <c r="G5624" s="1" t="s">
        <v>32</v>
      </c>
      <c r="H5624" s="4" t="str">
        <f>HYPERLINK("https://www.ncbi.nlm.nih.gov/geo/query/acc.cgi?acc=GSM120704","GSM120704")</f>
        <v>GSM120704</v>
      </c>
      <c r="I5624" t="s">
        <v>17</v>
      </c>
      <c r="J5624" t="s">
        <v>312</v>
      </c>
      <c r="K5624" t="s">
        <v>33</v>
      </c>
      <c r="L5624" t="s">
        <v>20</v>
      </c>
      <c r="N5624" t="s">
        <v>29</v>
      </c>
    </row>
    <row r="5625" spans="1:14">
      <c r="A5625" s="4" t="str">
        <f t="shared" si="529"/>
        <v>EXP00199</v>
      </c>
      <c r="B5625" s="4" t="str">
        <f t="shared" si="530"/>
        <v>17420468</v>
      </c>
      <c r="C5625" s="4" t="str">
        <f t="shared" si="531"/>
        <v>GSE5327</v>
      </c>
      <c r="D5625" s="1" t="s">
        <v>62</v>
      </c>
      <c r="E5625" t="s">
        <v>311</v>
      </c>
      <c r="F5625" s="1">
        <v>2</v>
      </c>
      <c r="G5625" s="1" t="s">
        <v>32</v>
      </c>
      <c r="H5625" s="4" t="str">
        <f>HYPERLINK("https://www.ncbi.nlm.nih.gov/geo/query/acc.cgi?acc=GSM120705","GSM120705")</f>
        <v>GSM120705</v>
      </c>
      <c r="I5625" t="s">
        <v>17</v>
      </c>
      <c r="J5625" t="s">
        <v>312</v>
      </c>
      <c r="K5625" t="s">
        <v>33</v>
      </c>
      <c r="L5625" t="s">
        <v>20</v>
      </c>
      <c r="N5625" t="s">
        <v>29</v>
      </c>
    </row>
    <row r="5626" spans="1:14">
      <c r="A5626" s="4" t="str">
        <f t="shared" si="529"/>
        <v>EXP00199</v>
      </c>
      <c r="B5626" s="4" t="str">
        <f t="shared" si="530"/>
        <v>17420468</v>
      </c>
      <c r="C5626" s="4" t="str">
        <f t="shared" si="531"/>
        <v>GSE5327</v>
      </c>
      <c r="D5626" s="1" t="s">
        <v>62</v>
      </c>
      <c r="E5626" t="s">
        <v>311</v>
      </c>
      <c r="F5626" s="1">
        <v>2</v>
      </c>
      <c r="G5626" s="1" t="s">
        <v>32</v>
      </c>
      <c r="H5626" s="4" t="str">
        <f>HYPERLINK("https://www.ncbi.nlm.nih.gov/geo/query/acc.cgi?acc=GSM120706","GSM120706")</f>
        <v>GSM120706</v>
      </c>
      <c r="I5626" t="s">
        <v>17</v>
      </c>
      <c r="J5626" t="s">
        <v>312</v>
      </c>
      <c r="K5626" t="s">
        <v>33</v>
      </c>
      <c r="L5626" t="s">
        <v>20</v>
      </c>
      <c r="N5626" t="s">
        <v>29</v>
      </c>
    </row>
    <row r="5627" spans="1:14">
      <c r="A5627" s="4" t="str">
        <f t="shared" ref="A5627:A5642" si="532">HYPERLINK("http://hcmdb.i-sanger.com/experiment/details/experiment_id/EXP00200","EXP00200")</f>
        <v>EXP00200</v>
      </c>
      <c r="B5627" s="3" t="s">
        <v>66</v>
      </c>
      <c r="C5627" s="4" t="str">
        <f t="shared" ref="C5627:C5658" si="533">HYPERLINK("https://www.ncbi.nlm.nih.gov/geo/query/acc.cgi?acc=GSE54088","GSE54088")</f>
        <v>GSE54088</v>
      </c>
      <c r="D5627" s="1" t="s">
        <v>313</v>
      </c>
      <c r="E5627" t="s">
        <v>72</v>
      </c>
      <c r="F5627" s="1">
        <v>1</v>
      </c>
      <c r="G5627" s="1" t="s">
        <v>26</v>
      </c>
      <c r="H5627" s="4" t="str">
        <f>HYPERLINK("https://www.ncbi.nlm.nih.gov/geo/query/acc.cgi?acc=GSM1307486","GSM1307486")</f>
        <v>GSM1307486</v>
      </c>
      <c r="I5627" t="s">
        <v>69</v>
      </c>
      <c r="J5627" t="s">
        <v>18</v>
      </c>
      <c r="K5627" t="s">
        <v>19</v>
      </c>
      <c r="L5627" t="s">
        <v>70</v>
      </c>
      <c r="M5627" t="s">
        <v>44</v>
      </c>
      <c r="N5627" t="s">
        <v>22</v>
      </c>
    </row>
    <row r="5628" spans="1:14">
      <c r="A5628" s="4" t="str">
        <f t="shared" si="532"/>
        <v>EXP00200</v>
      </c>
      <c r="B5628" s="3" t="s">
        <v>66</v>
      </c>
      <c r="C5628" s="4" t="str">
        <f t="shared" si="533"/>
        <v>GSE54088</v>
      </c>
      <c r="D5628" s="1" t="s">
        <v>313</v>
      </c>
      <c r="E5628" t="s">
        <v>72</v>
      </c>
      <c r="F5628" s="1">
        <v>1</v>
      </c>
      <c r="G5628" s="1" t="s">
        <v>26</v>
      </c>
      <c r="H5628" s="4" t="str">
        <f>HYPERLINK("https://www.ncbi.nlm.nih.gov/geo/query/acc.cgi?acc=GSM1307490","GSM1307490")</f>
        <v>GSM1307490</v>
      </c>
      <c r="I5628" t="s">
        <v>69</v>
      </c>
      <c r="J5628" t="s">
        <v>18</v>
      </c>
      <c r="K5628" t="s">
        <v>19</v>
      </c>
      <c r="L5628" t="s">
        <v>70</v>
      </c>
      <c r="M5628" t="s">
        <v>44</v>
      </c>
      <c r="N5628" t="s">
        <v>22</v>
      </c>
    </row>
    <row r="5629" spans="1:14">
      <c r="A5629" s="4" t="str">
        <f t="shared" si="532"/>
        <v>EXP00200</v>
      </c>
      <c r="B5629" s="3" t="s">
        <v>66</v>
      </c>
      <c r="C5629" s="4" t="str">
        <f t="shared" si="533"/>
        <v>GSE54088</v>
      </c>
      <c r="D5629" s="1" t="s">
        <v>313</v>
      </c>
      <c r="E5629" t="s">
        <v>72</v>
      </c>
      <c r="F5629" s="1">
        <v>1</v>
      </c>
      <c r="G5629" s="1" t="s">
        <v>26</v>
      </c>
      <c r="H5629" s="4" t="str">
        <f>HYPERLINK("https://www.ncbi.nlm.nih.gov/geo/query/acc.cgi?acc=GSM1307499","GSM1307499")</f>
        <v>GSM1307499</v>
      </c>
      <c r="I5629" t="s">
        <v>69</v>
      </c>
      <c r="J5629" t="s">
        <v>18</v>
      </c>
      <c r="K5629" t="s">
        <v>19</v>
      </c>
      <c r="L5629" t="s">
        <v>70</v>
      </c>
      <c r="M5629" t="s">
        <v>44</v>
      </c>
      <c r="N5629" t="s">
        <v>22</v>
      </c>
    </row>
    <row r="5630" spans="1:14">
      <c r="A5630" s="4" t="str">
        <f t="shared" si="532"/>
        <v>EXP00200</v>
      </c>
      <c r="B5630" s="3" t="s">
        <v>66</v>
      </c>
      <c r="C5630" s="4" t="str">
        <f t="shared" si="533"/>
        <v>GSE54088</v>
      </c>
      <c r="D5630" s="1" t="s">
        <v>313</v>
      </c>
      <c r="E5630" t="s">
        <v>72</v>
      </c>
      <c r="F5630" s="1">
        <v>1</v>
      </c>
      <c r="G5630" s="1" t="s">
        <v>26</v>
      </c>
      <c r="H5630" s="4" t="str">
        <f>HYPERLINK("https://www.ncbi.nlm.nih.gov/geo/query/acc.cgi?acc=GSM1307503","GSM1307503")</f>
        <v>GSM1307503</v>
      </c>
      <c r="I5630" t="s">
        <v>69</v>
      </c>
      <c r="J5630" t="s">
        <v>18</v>
      </c>
      <c r="K5630" t="s">
        <v>19</v>
      </c>
      <c r="L5630" t="s">
        <v>70</v>
      </c>
      <c r="M5630" t="s">
        <v>44</v>
      </c>
      <c r="N5630" t="s">
        <v>22</v>
      </c>
    </row>
    <row r="5631" spans="1:14">
      <c r="A5631" s="4" t="str">
        <f t="shared" si="532"/>
        <v>EXP00200</v>
      </c>
      <c r="B5631" s="3" t="s">
        <v>66</v>
      </c>
      <c r="C5631" s="4" t="str">
        <f t="shared" si="533"/>
        <v>GSE54088</v>
      </c>
      <c r="D5631" s="1" t="s">
        <v>313</v>
      </c>
      <c r="E5631" t="s">
        <v>72</v>
      </c>
      <c r="F5631" s="1">
        <v>1</v>
      </c>
      <c r="G5631" s="1" t="s">
        <v>26</v>
      </c>
      <c r="H5631" s="4" t="str">
        <f>HYPERLINK("https://www.ncbi.nlm.nih.gov/geo/query/acc.cgi?acc=GSM1307506","GSM1307506")</f>
        <v>GSM1307506</v>
      </c>
      <c r="I5631" t="s">
        <v>69</v>
      </c>
      <c r="J5631" t="s">
        <v>18</v>
      </c>
      <c r="K5631" t="s">
        <v>19</v>
      </c>
      <c r="L5631" t="s">
        <v>70</v>
      </c>
      <c r="M5631" t="s">
        <v>44</v>
      </c>
      <c r="N5631" t="s">
        <v>22</v>
      </c>
    </row>
    <row r="5632" spans="1:14">
      <c r="A5632" s="4" t="str">
        <f t="shared" si="532"/>
        <v>EXP00200</v>
      </c>
      <c r="B5632" s="3" t="s">
        <v>66</v>
      </c>
      <c r="C5632" s="4" t="str">
        <f t="shared" si="533"/>
        <v>GSE54088</v>
      </c>
      <c r="D5632" s="1" t="s">
        <v>313</v>
      </c>
      <c r="E5632" t="s">
        <v>72</v>
      </c>
      <c r="F5632" s="1">
        <v>1</v>
      </c>
      <c r="G5632" s="1" t="s">
        <v>26</v>
      </c>
      <c r="H5632" s="4" t="str">
        <f>HYPERLINK("https://www.ncbi.nlm.nih.gov/geo/query/acc.cgi?acc=GSM1307510","GSM1307510")</f>
        <v>GSM1307510</v>
      </c>
      <c r="I5632" t="s">
        <v>69</v>
      </c>
      <c r="J5632" t="s">
        <v>18</v>
      </c>
      <c r="K5632" t="s">
        <v>19</v>
      </c>
      <c r="L5632" t="s">
        <v>70</v>
      </c>
      <c r="M5632" t="s">
        <v>44</v>
      </c>
      <c r="N5632" t="s">
        <v>22</v>
      </c>
    </row>
    <row r="5633" spans="1:14">
      <c r="A5633" s="4" t="str">
        <f t="shared" si="532"/>
        <v>EXP00200</v>
      </c>
      <c r="B5633" s="3" t="s">
        <v>66</v>
      </c>
      <c r="C5633" s="4" t="str">
        <f t="shared" si="533"/>
        <v>GSE54088</v>
      </c>
      <c r="D5633" s="1" t="s">
        <v>313</v>
      </c>
      <c r="E5633" t="s">
        <v>72</v>
      </c>
      <c r="F5633" s="1">
        <v>1</v>
      </c>
      <c r="G5633" s="1" t="s">
        <v>26</v>
      </c>
      <c r="H5633" s="4" t="str">
        <f>HYPERLINK("https://www.ncbi.nlm.nih.gov/geo/query/acc.cgi?acc=GSM1307516","GSM1307516")</f>
        <v>GSM1307516</v>
      </c>
      <c r="I5633" t="s">
        <v>69</v>
      </c>
      <c r="J5633" t="s">
        <v>18</v>
      </c>
      <c r="K5633" t="s">
        <v>19</v>
      </c>
      <c r="L5633" t="s">
        <v>70</v>
      </c>
      <c r="M5633" t="s">
        <v>44</v>
      </c>
      <c r="N5633" t="s">
        <v>22</v>
      </c>
    </row>
    <row r="5634" spans="1:14">
      <c r="A5634" s="4" t="str">
        <f t="shared" si="532"/>
        <v>EXP00200</v>
      </c>
      <c r="B5634" s="3" t="s">
        <v>66</v>
      </c>
      <c r="C5634" s="4" t="str">
        <f t="shared" si="533"/>
        <v>GSE54088</v>
      </c>
      <c r="D5634" s="1" t="s">
        <v>313</v>
      </c>
      <c r="E5634" t="s">
        <v>72</v>
      </c>
      <c r="F5634" s="1">
        <v>2</v>
      </c>
      <c r="G5634" s="1" t="s">
        <v>28</v>
      </c>
      <c r="H5634" s="4" t="str">
        <f>HYPERLINK("https://www.ncbi.nlm.nih.gov/geo/query/acc.cgi?acc=GSM1307488","GSM1307488")</f>
        <v>GSM1307488</v>
      </c>
      <c r="I5634" t="s">
        <v>69</v>
      </c>
      <c r="J5634" t="s">
        <v>18</v>
      </c>
      <c r="K5634" t="s">
        <v>19</v>
      </c>
      <c r="L5634" t="s">
        <v>70</v>
      </c>
      <c r="M5634" t="s">
        <v>44</v>
      </c>
      <c r="N5634" t="s">
        <v>29</v>
      </c>
    </row>
    <row r="5635" spans="1:14">
      <c r="A5635" s="4" t="str">
        <f t="shared" si="532"/>
        <v>EXP00200</v>
      </c>
      <c r="B5635" s="3" t="s">
        <v>66</v>
      </c>
      <c r="C5635" s="4" t="str">
        <f t="shared" si="533"/>
        <v>GSE54088</v>
      </c>
      <c r="D5635" s="1" t="s">
        <v>313</v>
      </c>
      <c r="E5635" t="s">
        <v>72</v>
      </c>
      <c r="F5635" s="1">
        <v>2</v>
      </c>
      <c r="G5635" s="1" t="s">
        <v>28</v>
      </c>
      <c r="H5635" s="4" t="str">
        <f>HYPERLINK("https://www.ncbi.nlm.nih.gov/geo/query/acc.cgi?acc=GSM1307492","GSM1307492")</f>
        <v>GSM1307492</v>
      </c>
      <c r="I5635" t="s">
        <v>69</v>
      </c>
      <c r="J5635" t="s">
        <v>18</v>
      </c>
      <c r="K5635" t="s">
        <v>19</v>
      </c>
      <c r="L5635" t="s">
        <v>70</v>
      </c>
      <c r="M5635" t="s">
        <v>44</v>
      </c>
      <c r="N5635" t="s">
        <v>29</v>
      </c>
    </row>
    <row r="5636" spans="1:14">
      <c r="A5636" s="4" t="str">
        <f t="shared" si="532"/>
        <v>EXP00200</v>
      </c>
      <c r="B5636" s="3" t="s">
        <v>66</v>
      </c>
      <c r="C5636" s="4" t="str">
        <f t="shared" si="533"/>
        <v>GSE54088</v>
      </c>
      <c r="D5636" s="1" t="s">
        <v>313</v>
      </c>
      <c r="E5636" t="s">
        <v>72</v>
      </c>
      <c r="F5636" s="1">
        <v>2</v>
      </c>
      <c r="G5636" s="1" t="s">
        <v>28</v>
      </c>
      <c r="H5636" s="4" t="str">
        <f>HYPERLINK("https://www.ncbi.nlm.nih.gov/geo/query/acc.cgi?acc=GSM1307495","GSM1307495")</f>
        <v>GSM1307495</v>
      </c>
      <c r="I5636" t="s">
        <v>69</v>
      </c>
      <c r="J5636" t="s">
        <v>18</v>
      </c>
      <c r="K5636" t="s">
        <v>19</v>
      </c>
      <c r="L5636" t="s">
        <v>70</v>
      </c>
      <c r="M5636" t="s">
        <v>44</v>
      </c>
      <c r="N5636" t="s">
        <v>29</v>
      </c>
    </row>
    <row r="5637" spans="1:14">
      <c r="A5637" s="4" t="str">
        <f t="shared" si="532"/>
        <v>EXP00200</v>
      </c>
      <c r="B5637" s="3" t="s">
        <v>66</v>
      </c>
      <c r="C5637" s="4" t="str">
        <f t="shared" si="533"/>
        <v>GSE54088</v>
      </c>
      <c r="D5637" s="1" t="s">
        <v>313</v>
      </c>
      <c r="E5637" t="s">
        <v>72</v>
      </c>
      <c r="F5637" s="1">
        <v>2</v>
      </c>
      <c r="G5637" s="1" t="s">
        <v>28</v>
      </c>
      <c r="H5637" s="4" t="str">
        <f>HYPERLINK("https://www.ncbi.nlm.nih.gov/geo/query/acc.cgi?acc=GSM1307498","GSM1307498")</f>
        <v>GSM1307498</v>
      </c>
      <c r="I5637" t="s">
        <v>69</v>
      </c>
      <c r="J5637" t="s">
        <v>18</v>
      </c>
      <c r="K5637" t="s">
        <v>19</v>
      </c>
      <c r="L5637" t="s">
        <v>70</v>
      </c>
      <c r="M5637" t="s">
        <v>44</v>
      </c>
      <c r="N5637" t="s">
        <v>29</v>
      </c>
    </row>
    <row r="5638" spans="1:14">
      <c r="A5638" s="4" t="str">
        <f t="shared" si="532"/>
        <v>EXP00200</v>
      </c>
      <c r="B5638" s="3" t="s">
        <v>66</v>
      </c>
      <c r="C5638" s="4" t="str">
        <f t="shared" si="533"/>
        <v>GSE54088</v>
      </c>
      <c r="D5638" s="1" t="s">
        <v>313</v>
      </c>
      <c r="E5638" t="s">
        <v>72</v>
      </c>
      <c r="F5638" s="1">
        <v>2</v>
      </c>
      <c r="G5638" s="1" t="s">
        <v>28</v>
      </c>
      <c r="H5638" s="4" t="str">
        <f>HYPERLINK("https://www.ncbi.nlm.nih.gov/geo/query/acc.cgi?acc=GSM1307501","GSM1307501")</f>
        <v>GSM1307501</v>
      </c>
      <c r="I5638" t="s">
        <v>69</v>
      </c>
      <c r="J5638" t="s">
        <v>18</v>
      </c>
      <c r="K5638" t="s">
        <v>19</v>
      </c>
      <c r="L5638" t="s">
        <v>70</v>
      </c>
      <c r="M5638" t="s">
        <v>44</v>
      </c>
      <c r="N5638" t="s">
        <v>29</v>
      </c>
    </row>
    <row r="5639" spans="1:14">
      <c r="A5639" s="4" t="str">
        <f t="shared" si="532"/>
        <v>EXP00200</v>
      </c>
      <c r="B5639" s="3" t="s">
        <v>66</v>
      </c>
      <c r="C5639" s="4" t="str">
        <f t="shared" si="533"/>
        <v>GSE54088</v>
      </c>
      <c r="D5639" s="1" t="s">
        <v>313</v>
      </c>
      <c r="E5639" t="s">
        <v>72</v>
      </c>
      <c r="F5639" s="1">
        <v>2</v>
      </c>
      <c r="G5639" s="1" t="s">
        <v>28</v>
      </c>
      <c r="H5639" s="4" t="str">
        <f>HYPERLINK("https://www.ncbi.nlm.nih.gov/geo/query/acc.cgi?acc=GSM1307508","GSM1307508")</f>
        <v>GSM1307508</v>
      </c>
      <c r="I5639" t="s">
        <v>69</v>
      </c>
      <c r="J5639" t="s">
        <v>18</v>
      </c>
      <c r="K5639" t="s">
        <v>19</v>
      </c>
      <c r="L5639" t="s">
        <v>70</v>
      </c>
      <c r="M5639" t="s">
        <v>44</v>
      </c>
      <c r="N5639" t="s">
        <v>29</v>
      </c>
    </row>
    <row r="5640" spans="1:14">
      <c r="A5640" s="4" t="str">
        <f t="shared" si="532"/>
        <v>EXP00200</v>
      </c>
      <c r="B5640" s="3" t="s">
        <v>66</v>
      </c>
      <c r="C5640" s="4" t="str">
        <f t="shared" si="533"/>
        <v>GSE54088</v>
      </c>
      <c r="D5640" s="1" t="s">
        <v>313</v>
      </c>
      <c r="E5640" t="s">
        <v>72</v>
      </c>
      <c r="F5640" s="1">
        <v>2</v>
      </c>
      <c r="G5640" s="1" t="s">
        <v>28</v>
      </c>
      <c r="H5640" s="4" t="str">
        <f>HYPERLINK("https://www.ncbi.nlm.nih.gov/geo/query/acc.cgi?acc=GSM1307513","GSM1307513")</f>
        <v>GSM1307513</v>
      </c>
      <c r="I5640" t="s">
        <v>69</v>
      </c>
      <c r="J5640" t="s">
        <v>18</v>
      </c>
      <c r="K5640" t="s">
        <v>19</v>
      </c>
      <c r="L5640" t="s">
        <v>70</v>
      </c>
      <c r="M5640" t="s">
        <v>44</v>
      </c>
      <c r="N5640" t="s">
        <v>29</v>
      </c>
    </row>
    <row r="5641" spans="1:14">
      <c r="A5641" s="4" t="str">
        <f t="shared" si="532"/>
        <v>EXP00200</v>
      </c>
      <c r="B5641" s="3" t="s">
        <v>66</v>
      </c>
      <c r="C5641" s="4" t="str">
        <f t="shared" si="533"/>
        <v>GSE54088</v>
      </c>
      <c r="D5641" s="1" t="s">
        <v>313</v>
      </c>
      <c r="E5641" t="s">
        <v>72</v>
      </c>
      <c r="F5641" s="1">
        <v>2</v>
      </c>
      <c r="G5641" s="1" t="s">
        <v>28</v>
      </c>
      <c r="H5641" s="4" t="str">
        <f>HYPERLINK("https://www.ncbi.nlm.nih.gov/geo/query/acc.cgi?acc=GSM1307514","GSM1307514")</f>
        <v>GSM1307514</v>
      </c>
      <c r="I5641" t="s">
        <v>69</v>
      </c>
      <c r="J5641" t="s">
        <v>18</v>
      </c>
      <c r="K5641" t="s">
        <v>19</v>
      </c>
      <c r="L5641" t="s">
        <v>70</v>
      </c>
      <c r="M5641" t="s">
        <v>44</v>
      </c>
      <c r="N5641" t="s">
        <v>29</v>
      </c>
    </row>
    <row r="5642" spans="1:14">
      <c r="A5642" s="4" t="str">
        <f t="shared" si="532"/>
        <v>EXP00200</v>
      </c>
      <c r="B5642" s="3" t="s">
        <v>66</v>
      </c>
      <c r="C5642" s="4" t="str">
        <f t="shared" si="533"/>
        <v>GSE54088</v>
      </c>
      <c r="D5642" s="1" t="s">
        <v>313</v>
      </c>
      <c r="E5642" t="s">
        <v>72</v>
      </c>
      <c r="F5642" s="1">
        <v>2</v>
      </c>
      <c r="G5642" s="1" t="s">
        <v>28</v>
      </c>
      <c r="H5642" s="4" t="str">
        <f>HYPERLINK("https://www.ncbi.nlm.nih.gov/geo/query/acc.cgi?acc=GSM1307518","GSM1307518")</f>
        <v>GSM1307518</v>
      </c>
      <c r="I5642" t="s">
        <v>69</v>
      </c>
      <c r="J5642" t="s">
        <v>18</v>
      </c>
      <c r="K5642" t="s">
        <v>19</v>
      </c>
      <c r="L5642" t="s">
        <v>70</v>
      </c>
      <c r="M5642" t="s">
        <v>44</v>
      </c>
      <c r="N5642" t="s">
        <v>29</v>
      </c>
    </row>
    <row r="5643" spans="1:14">
      <c r="A5643" s="4" t="str">
        <f t="shared" ref="A5643:A5661" si="534">HYPERLINK("http://hcmdb.i-sanger.com/experiment/details/experiment_id/EXP00201","EXP00201")</f>
        <v>EXP00201</v>
      </c>
      <c r="B5643" s="3" t="s">
        <v>66</v>
      </c>
      <c r="C5643" s="4" t="str">
        <f t="shared" si="533"/>
        <v>GSE54088</v>
      </c>
      <c r="D5643" s="1" t="s">
        <v>313</v>
      </c>
      <c r="E5643" t="s">
        <v>73</v>
      </c>
      <c r="F5643" s="1">
        <v>1</v>
      </c>
      <c r="G5643" s="1" t="s">
        <v>36</v>
      </c>
      <c r="H5643" s="4" t="str">
        <f>HYPERLINK("https://www.ncbi.nlm.nih.gov/geo/query/acc.cgi?acc=GSM1307487","GSM1307487")</f>
        <v>GSM1307487</v>
      </c>
      <c r="I5643" t="s">
        <v>69</v>
      </c>
      <c r="J5643" t="s">
        <v>18</v>
      </c>
      <c r="K5643" t="s">
        <v>19</v>
      </c>
      <c r="L5643" t="s">
        <v>70</v>
      </c>
      <c r="M5643" t="s">
        <v>44</v>
      </c>
      <c r="N5643" t="s">
        <v>37</v>
      </c>
    </row>
    <row r="5644" spans="1:14">
      <c r="A5644" s="4" t="str">
        <f t="shared" si="534"/>
        <v>EXP00201</v>
      </c>
      <c r="B5644" s="3" t="s">
        <v>66</v>
      </c>
      <c r="C5644" s="4" t="str">
        <f t="shared" si="533"/>
        <v>GSE54088</v>
      </c>
      <c r="D5644" s="1" t="s">
        <v>313</v>
      </c>
      <c r="E5644" t="s">
        <v>73</v>
      </c>
      <c r="F5644" s="1">
        <v>1</v>
      </c>
      <c r="G5644" s="1" t="s">
        <v>36</v>
      </c>
      <c r="H5644" s="4" t="str">
        <f>HYPERLINK("https://www.ncbi.nlm.nih.gov/geo/query/acc.cgi?acc=GSM1307491","GSM1307491")</f>
        <v>GSM1307491</v>
      </c>
      <c r="I5644" t="s">
        <v>69</v>
      </c>
      <c r="J5644" t="s">
        <v>18</v>
      </c>
      <c r="K5644" t="s">
        <v>19</v>
      </c>
      <c r="L5644" t="s">
        <v>70</v>
      </c>
      <c r="M5644" t="s">
        <v>44</v>
      </c>
      <c r="N5644" t="s">
        <v>37</v>
      </c>
    </row>
    <row r="5645" spans="1:14">
      <c r="A5645" s="4" t="str">
        <f t="shared" si="534"/>
        <v>EXP00201</v>
      </c>
      <c r="B5645" s="3" t="s">
        <v>66</v>
      </c>
      <c r="C5645" s="4" t="str">
        <f t="shared" si="533"/>
        <v>GSE54088</v>
      </c>
      <c r="D5645" s="1" t="s">
        <v>313</v>
      </c>
      <c r="E5645" t="s">
        <v>73</v>
      </c>
      <c r="F5645" s="1">
        <v>1</v>
      </c>
      <c r="G5645" s="1" t="s">
        <v>36</v>
      </c>
      <c r="H5645" s="4" t="str">
        <f>HYPERLINK("https://www.ncbi.nlm.nih.gov/geo/query/acc.cgi?acc=GSM1307494","GSM1307494")</f>
        <v>GSM1307494</v>
      </c>
      <c r="I5645" t="s">
        <v>69</v>
      </c>
      <c r="J5645" t="s">
        <v>18</v>
      </c>
      <c r="K5645" t="s">
        <v>19</v>
      </c>
      <c r="L5645" t="s">
        <v>70</v>
      </c>
      <c r="M5645" t="s">
        <v>44</v>
      </c>
      <c r="N5645" t="s">
        <v>37</v>
      </c>
    </row>
    <row r="5646" spans="1:14">
      <c r="A5646" s="4" t="str">
        <f t="shared" si="534"/>
        <v>EXP00201</v>
      </c>
      <c r="B5646" s="3" t="s">
        <v>66</v>
      </c>
      <c r="C5646" s="4" t="str">
        <f t="shared" si="533"/>
        <v>GSE54088</v>
      </c>
      <c r="D5646" s="1" t="s">
        <v>313</v>
      </c>
      <c r="E5646" t="s">
        <v>73</v>
      </c>
      <c r="F5646" s="1">
        <v>1</v>
      </c>
      <c r="G5646" s="1" t="s">
        <v>36</v>
      </c>
      <c r="H5646" s="4" t="str">
        <f>HYPERLINK("https://www.ncbi.nlm.nih.gov/geo/query/acc.cgi?acc=GSM1307497","GSM1307497")</f>
        <v>GSM1307497</v>
      </c>
      <c r="I5646" t="s">
        <v>69</v>
      </c>
      <c r="J5646" t="s">
        <v>18</v>
      </c>
      <c r="K5646" t="s">
        <v>19</v>
      </c>
      <c r="L5646" t="s">
        <v>70</v>
      </c>
      <c r="M5646" t="s">
        <v>44</v>
      </c>
      <c r="N5646" t="s">
        <v>37</v>
      </c>
    </row>
    <row r="5647" spans="1:14">
      <c r="A5647" s="4" t="str">
        <f t="shared" si="534"/>
        <v>EXP00201</v>
      </c>
      <c r="B5647" s="3" t="s">
        <v>66</v>
      </c>
      <c r="C5647" s="4" t="str">
        <f t="shared" si="533"/>
        <v>GSE54088</v>
      </c>
      <c r="D5647" s="1" t="s">
        <v>313</v>
      </c>
      <c r="E5647" t="s">
        <v>73</v>
      </c>
      <c r="F5647" s="1">
        <v>1</v>
      </c>
      <c r="G5647" s="1" t="s">
        <v>36</v>
      </c>
      <c r="H5647" s="4" t="str">
        <f>HYPERLINK("https://www.ncbi.nlm.nih.gov/geo/query/acc.cgi?acc=GSM1307500","GSM1307500")</f>
        <v>GSM1307500</v>
      </c>
      <c r="I5647" t="s">
        <v>69</v>
      </c>
      <c r="J5647" t="s">
        <v>18</v>
      </c>
      <c r="K5647" t="s">
        <v>19</v>
      </c>
      <c r="L5647" t="s">
        <v>70</v>
      </c>
      <c r="M5647" t="s">
        <v>44</v>
      </c>
      <c r="N5647" t="s">
        <v>37</v>
      </c>
    </row>
    <row r="5648" spans="1:14">
      <c r="A5648" s="4" t="str">
        <f t="shared" si="534"/>
        <v>EXP00201</v>
      </c>
      <c r="B5648" s="3" t="s">
        <v>66</v>
      </c>
      <c r="C5648" s="4" t="str">
        <f t="shared" si="533"/>
        <v>GSE54088</v>
      </c>
      <c r="D5648" s="1" t="s">
        <v>313</v>
      </c>
      <c r="E5648" t="s">
        <v>73</v>
      </c>
      <c r="F5648" s="1">
        <v>1</v>
      </c>
      <c r="G5648" s="1" t="s">
        <v>36</v>
      </c>
      <c r="H5648" s="4" t="str">
        <f>HYPERLINK("https://www.ncbi.nlm.nih.gov/geo/query/acc.cgi?acc=GSM1307504","GSM1307504")</f>
        <v>GSM1307504</v>
      </c>
      <c r="I5648" t="s">
        <v>69</v>
      </c>
      <c r="J5648" t="s">
        <v>18</v>
      </c>
      <c r="K5648" t="s">
        <v>19</v>
      </c>
      <c r="L5648" t="s">
        <v>70</v>
      </c>
      <c r="M5648" t="s">
        <v>44</v>
      </c>
      <c r="N5648" t="s">
        <v>37</v>
      </c>
    </row>
    <row r="5649" spans="1:14">
      <c r="A5649" s="4" t="str">
        <f t="shared" si="534"/>
        <v>EXP00201</v>
      </c>
      <c r="B5649" s="3" t="s">
        <v>66</v>
      </c>
      <c r="C5649" s="4" t="str">
        <f t="shared" si="533"/>
        <v>GSE54088</v>
      </c>
      <c r="D5649" s="1" t="s">
        <v>313</v>
      </c>
      <c r="E5649" t="s">
        <v>73</v>
      </c>
      <c r="F5649" s="1">
        <v>1</v>
      </c>
      <c r="G5649" s="1" t="s">
        <v>36</v>
      </c>
      <c r="H5649" s="4" t="str">
        <f>HYPERLINK("https://www.ncbi.nlm.nih.gov/geo/query/acc.cgi?acc=GSM1307507","GSM1307507")</f>
        <v>GSM1307507</v>
      </c>
      <c r="I5649" t="s">
        <v>69</v>
      </c>
      <c r="J5649" t="s">
        <v>18</v>
      </c>
      <c r="K5649" t="s">
        <v>19</v>
      </c>
      <c r="L5649" t="s">
        <v>70</v>
      </c>
      <c r="M5649" t="s">
        <v>44</v>
      </c>
      <c r="N5649" t="s">
        <v>37</v>
      </c>
    </row>
    <row r="5650" spans="1:14">
      <c r="A5650" s="4" t="str">
        <f t="shared" si="534"/>
        <v>EXP00201</v>
      </c>
      <c r="B5650" s="3" t="s">
        <v>66</v>
      </c>
      <c r="C5650" s="4" t="str">
        <f t="shared" si="533"/>
        <v>GSE54088</v>
      </c>
      <c r="D5650" s="1" t="s">
        <v>313</v>
      </c>
      <c r="E5650" t="s">
        <v>73</v>
      </c>
      <c r="F5650" s="1">
        <v>1</v>
      </c>
      <c r="G5650" s="1" t="s">
        <v>36</v>
      </c>
      <c r="H5650" s="4" t="str">
        <f>HYPERLINK("https://www.ncbi.nlm.nih.gov/geo/query/acc.cgi?acc=GSM1307511","GSM1307511")</f>
        <v>GSM1307511</v>
      </c>
      <c r="I5650" t="s">
        <v>69</v>
      </c>
      <c r="J5650" t="s">
        <v>18</v>
      </c>
      <c r="K5650" t="s">
        <v>19</v>
      </c>
      <c r="L5650" t="s">
        <v>70</v>
      </c>
      <c r="M5650" t="s">
        <v>44</v>
      </c>
      <c r="N5650" t="s">
        <v>37</v>
      </c>
    </row>
    <row r="5651" spans="1:14">
      <c r="A5651" s="4" t="str">
        <f t="shared" si="534"/>
        <v>EXP00201</v>
      </c>
      <c r="B5651" s="3" t="s">
        <v>66</v>
      </c>
      <c r="C5651" s="4" t="str">
        <f t="shared" si="533"/>
        <v>GSE54088</v>
      </c>
      <c r="D5651" s="1" t="s">
        <v>313</v>
      </c>
      <c r="E5651" t="s">
        <v>73</v>
      </c>
      <c r="F5651" s="1">
        <v>1</v>
      </c>
      <c r="G5651" s="1" t="s">
        <v>36</v>
      </c>
      <c r="H5651" s="4" t="str">
        <f>HYPERLINK("https://www.ncbi.nlm.nih.gov/geo/query/acc.cgi?acc=GSM1307512","GSM1307512")</f>
        <v>GSM1307512</v>
      </c>
      <c r="I5651" t="s">
        <v>69</v>
      </c>
      <c r="J5651" t="s">
        <v>18</v>
      </c>
      <c r="K5651" t="s">
        <v>19</v>
      </c>
      <c r="L5651" t="s">
        <v>70</v>
      </c>
      <c r="M5651" t="s">
        <v>44</v>
      </c>
      <c r="N5651" t="s">
        <v>37</v>
      </c>
    </row>
    <row r="5652" spans="1:14">
      <c r="A5652" s="4" t="str">
        <f t="shared" si="534"/>
        <v>EXP00201</v>
      </c>
      <c r="B5652" s="3" t="s">
        <v>66</v>
      </c>
      <c r="C5652" s="4" t="str">
        <f t="shared" si="533"/>
        <v>GSE54088</v>
      </c>
      <c r="D5652" s="1" t="s">
        <v>313</v>
      </c>
      <c r="E5652" t="s">
        <v>73</v>
      </c>
      <c r="F5652" s="1">
        <v>1</v>
      </c>
      <c r="G5652" s="1" t="s">
        <v>36</v>
      </c>
      <c r="H5652" s="4" t="str">
        <f>HYPERLINK("https://www.ncbi.nlm.nih.gov/geo/query/acc.cgi?acc=GSM1307517","GSM1307517")</f>
        <v>GSM1307517</v>
      </c>
      <c r="I5652" t="s">
        <v>69</v>
      </c>
      <c r="J5652" t="s">
        <v>18</v>
      </c>
      <c r="K5652" t="s">
        <v>19</v>
      </c>
      <c r="L5652" t="s">
        <v>70</v>
      </c>
      <c r="M5652" t="s">
        <v>44</v>
      </c>
      <c r="N5652" t="s">
        <v>37</v>
      </c>
    </row>
    <row r="5653" spans="1:14">
      <c r="A5653" s="4" t="str">
        <f t="shared" si="534"/>
        <v>EXP00201</v>
      </c>
      <c r="B5653" s="3" t="s">
        <v>66</v>
      </c>
      <c r="C5653" s="4" t="str">
        <f t="shared" si="533"/>
        <v>GSE54088</v>
      </c>
      <c r="D5653" s="1" t="s">
        <v>313</v>
      </c>
      <c r="E5653" t="s">
        <v>73</v>
      </c>
      <c r="F5653" s="1">
        <v>2</v>
      </c>
      <c r="G5653" s="1" t="s">
        <v>28</v>
      </c>
      <c r="H5653" s="4" t="str">
        <f>HYPERLINK("https://www.ncbi.nlm.nih.gov/geo/query/acc.cgi?acc=GSM1307488","GSM1307488")</f>
        <v>GSM1307488</v>
      </c>
      <c r="I5653" t="s">
        <v>69</v>
      </c>
      <c r="J5653" t="s">
        <v>18</v>
      </c>
      <c r="K5653" t="s">
        <v>19</v>
      </c>
      <c r="L5653" t="s">
        <v>70</v>
      </c>
      <c r="M5653" t="s">
        <v>44</v>
      </c>
      <c r="N5653" t="s">
        <v>29</v>
      </c>
    </row>
    <row r="5654" spans="1:14">
      <c r="A5654" s="4" t="str">
        <f t="shared" si="534"/>
        <v>EXP00201</v>
      </c>
      <c r="B5654" s="3" t="s">
        <v>66</v>
      </c>
      <c r="C5654" s="4" t="str">
        <f t="shared" si="533"/>
        <v>GSE54088</v>
      </c>
      <c r="D5654" s="1" t="s">
        <v>313</v>
      </c>
      <c r="E5654" t="s">
        <v>73</v>
      </c>
      <c r="F5654" s="1">
        <v>2</v>
      </c>
      <c r="G5654" s="1" t="s">
        <v>28</v>
      </c>
      <c r="H5654" s="4" t="str">
        <f>HYPERLINK("https://www.ncbi.nlm.nih.gov/geo/query/acc.cgi?acc=GSM1307492","GSM1307492")</f>
        <v>GSM1307492</v>
      </c>
      <c r="I5654" t="s">
        <v>69</v>
      </c>
      <c r="J5654" t="s">
        <v>18</v>
      </c>
      <c r="K5654" t="s">
        <v>19</v>
      </c>
      <c r="L5654" t="s">
        <v>70</v>
      </c>
      <c r="M5654" t="s">
        <v>44</v>
      </c>
      <c r="N5654" t="s">
        <v>29</v>
      </c>
    </row>
    <row r="5655" spans="1:14">
      <c r="A5655" s="4" t="str">
        <f t="shared" si="534"/>
        <v>EXP00201</v>
      </c>
      <c r="B5655" s="3" t="s">
        <v>66</v>
      </c>
      <c r="C5655" s="4" t="str">
        <f t="shared" si="533"/>
        <v>GSE54088</v>
      </c>
      <c r="D5655" s="1" t="s">
        <v>313</v>
      </c>
      <c r="E5655" t="s">
        <v>73</v>
      </c>
      <c r="F5655" s="1">
        <v>2</v>
      </c>
      <c r="G5655" s="1" t="s">
        <v>28</v>
      </c>
      <c r="H5655" s="4" t="str">
        <f>HYPERLINK("https://www.ncbi.nlm.nih.gov/geo/query/acc.cgi?acc=GSM1307495","GSM1307495")</f>
        <v>GSM1307495</v>
      </c>
      <c r="I5655" t="s">
        <v>69</v>
      </c>
      <c r="J5655" t="s">
        <v>18</v>
      </c>
      <c r="K5655" t="s">
        <v>19</v>
      </c>
      <c r="L5655" t="s">
        <v>70</v>
      </c>
      <c r="M5655" t="s">
        <v>44</v>
      </c>
      <c r="N5655" t="s">
        <v>29</v>
      </c>
    </row>
    <row r="5656" spans="1:14">
      <c r="A5656" s="4" t="str">
        <f t="shared" si="534"/>
        <v>EXP00201</v>
      </c>
      <c r="B5656" s="3" t="s">
        <v>66</v>
      </c>
      <c r="C5656" s="4" t="str">
        <f t="shared" si="533"/>
        <v>GSE54088</v>
      </c>
      <c r="D5656" s="1" t="s">
        <v>313</v>
      </c>
      <c r="E5656" t="s">
        <v>73</v>
      </c>
      <c r="F5656" s="1">
        <v>2</v>
      </c>
      <c r="G5656" s="1" t="s">
        <v>28</v>
      </c>
      <c r="H5656" s="4" t="str">
        <f>HYPERLINK("https://www.ncbi.nlm.nih.gov/geo/query/acc.cgi?acc=GSM1307498","GSM1307498")</f>
        <v>GSM1307498</v>
      </c>
      <c r="I5656" t="s">
        <v>69</v>
      </c>
      <c r="J5656" t="s">
        <v>18</v>
      </c>
      <c r="K5656" t="s">
        <v>19</v>
      </c>
      <c r="L5656" t="s">
        <v>70</v>
      </c>
      <c r="M5656" t="s">
        <v>44</v>
      </c>
      <c r="N5656" t="s">
        <v>29</v>
      </c>
    </row>
    <row r="5657" spans="1:14">
      <c r="A5657" s="4" t="str">
        <f t="shared" si="534"/>
        <v>EXP00201</v>
      </c>
      <c r="B5657" s="3" t="s">
        <v>66</v>
      </c>
      <c r="C5657" s="4" t="str">
        <f t="shared" si="533"/>
        <v>GSE54088</v>
      </c>
      <c r="D5657" s="1" t="s">
        <v>313</v>
      </c>
      <c r="E5657" t="s">
        <v>73</v>
      </c>
      <c r="F5657" s="1">
        <v>2</v>
      </c>
      <c r="G5657" s="1" t="s">
        <v>28</v>
      </c>
      <c r="H5657" s="4" t="str">
        <f>HYPERLINK("https://www.ncbi.nlm.nih.gov/geo/query/acc.cgi?acc=GSM1307501","GSM1307501")</f>
        <v>GSM1307501</v>
      </c>
      <c r="I5657" t="s">
        <v>69</v>
      </c>
      <c r="J5657" t="s">
        <v>18</v>
      </c>
      <c r="K5657" t="s">
        <v>19</v>
      </c>
      <c r="L5657" t="s">
        <v>70</v>
      </c>
      <c r="M5657" t="s">
        <v>44</v>
      </c>
      <c r="N5657" t="s">
        <v>29</v>
      </c>
    </row>
    <row r="5658" spans="1:14">
      <c r="A5658" s="4" t="str">
        <f t="shared" si="534"/>
        <v>EXP00201</v>
      </c>
      <c r="B5658" s="3" t="s">
        <v>66</v>
      </c>
      <c r="C5658" s="4" t="str">
        <f t="shared" si="533"/>
        <v>GSE54088</v>
      </c>
      <c r="D5658" s="1" t="s">
        <v>313</v>
      </c>
      <c r="E5658" t="s">
        <v>73</v>
      </c>
      <c r="F5658" s="1">
        <v>2</v>
      </c>
      <c r="G5658" s="1" t="s">
        <v>28</v>
      </c>
      <c r="H5658" s="4" t="str">
        <f>HYPERLINK("https://www.ncbi.nlm.nih.gov/geo/query/acc.cgi?acc=GSM1307508","GSM1307508")</f>
        <v>GSM1307508</v>
      </c>
      <c r="I5658" t="s">
        <v>69</v>
      </c>
      <c r="J5658" t="s">
        <v>18</v>
      </c>
      <c r="K5658" t="s">
        <v>19</v>
      </c>
      <c r="L5658" t="s">
        <v>70</v>
      </c>
      <c r="M5658" t="s">
        <v>44</v>
      </c>
      <c r="N5658" t="s">
        <v>29</v>
      </c>
    </row>
    <row r="5659" spans="1:14">
      <c r="A5659" s="4" t="str">
        <f t="shared" si="534"/>
        <v>EXP00201</v>
      </c>
      <c r="B5659" s="3" t="s">
        <v>66</v>
      </c>
      <c r="C5659" s="4" t="str">
        <f t="shared" ref="C5659:C5676" si="535">HYPERLINK("https://www.ncbi.nlm.nih.gov/geo/query/acc.cgi?acc=GSE54088","GSE54088")</f>
        <v>GSE54088</v>
      </c>
      <c r="D5659" s="1" t="s">
        <v>313</v>
      </c>
      <c r="E5659" t="s">
        <v>73</v>
      </c>
      <c r="F5659" s="1">
        <v>2</v>
      </c>
      <c r="G5659" s="1" t="s">
        <v>28</v>
      </c>
      <c r="H5659" s="4" t="str">
        <f>HYPERLINK("https://www.ncbi.nlm.nih.gov/geo/query/acc.cgi?acc=GSM1307513","GSM1307513")</f>
        <v>GSM1307513</v>
      </c>
      <c r="I5659" t="s">
        <v>69</v>
      </c>
      <c r="J5659" t="s">
        <v>18</v>
      </c>
      <c r="K5659" t="s">
        <v>19</v>
      </c>
      <c r="L5659" t="s">
        <v>70</v>
      </c>
      <c r="M5659" t="s">
        <v>44</v>
      </c>
      <c r="N5659" t="s">
        <v>29</v>
      </c>
    </row>
    <row r="5660" spans="1:14">
      <c r="A5660" s="4" t="str">
        <f t="shared" si="534"/>
        <v>EXP00201</v>
      </c>
      <c r="B5660" s="3" t="s">
        <v>66</v>
      </c>
      <c r="C5660" s="4" t="str">
        <f t="shared" si="535"/>
        <v>GSE54088</v>
      </c>
      <c r="D5660" s="1" t="s">
        <v>313</v>
      </c>
      <c r="E5660" t="s">
        <v>73</v>
      </c>
      <c r="F5660" s="1">
        <v>2</v>
      </c>
      <c r="G5660" s="1" t="s">
        <v>28</v>
      </c>
      <c r="H5660" s="4" t="str">
        <f>HYPERLINK("https://www.ncbi.nlm.nih.gov/geo/query/acc.cgi?acc=GSM1307514","GSM1307514")</f>
        <v>GSM1307514</v>
      </c>
      <c r="I5660" t="s">
        <v>69</v>
      </c>
      <c r="J5660" t="s">
        <v>18</v>
      </c>
      <c r="K5660" t="s">
        <v>19</v>
      </c>
      <c r="L5660" t="s">
        <v>70</v>
      </c>
      <c r="M5660" t="s">
        <v>44</v>
      </c>
      <c r="N5660" t="s">
        <v>29</v>
      </c>
    </row>
    <row r="5661" spans="1:14">
      <c r="A5661" s="4" t="str">
        <f t="shared" si="534"/>
        <v>EXP00201</v>
      </c>
      <c r="B5661" s="3" t="s">
        <v>66</v>
      </c>
      <c r="C5661" s="4" t="str">
        <f t="shared" si="535"/>
        <v>GSE54088</v>
      </c>
      <c r="D5661" s="1" t="s">
        <v>313</v>
      </c>
      <c r="E5661" t="s">
        <v>73</v>
      </c>
      <c r="F5661" s="1">
        <v>2</v>
      </c>
      <c r="G5661" s="1" t="s">
        <v>28</v>
      </c>
      <c r="H5661" s="4" t="str">
        <f>HYPERLINK("https://www.ncbi.nlm.nih.gov/geo/query/acc.cgi?acc=GSM1307518","GSM1307518")</f>
        <v>GSM1307518</v>
      </c>
      <c r="I5661" t="s">
        <v>69</v>
      </c>
      <c r="J5661" t="s">
        <v>18</v>
      </c>
      <c r="K5661" t="s">
        <v>19</v>
      </c>
      <c r="L5661" t="s">
        <v>70</v>
      </c>
      <c r="M5661" t="s">
        <v>44</v>
      </c>
      <c r="N5661" t="s">
        <v>29</v>
      </c>
    </row>
    <row r="5662" spans="1:14">
      <c r="A5662" s="4" t="str">
        <f t="shared" ref="A5662:A5676" si="536">HYPERLINK("http://hcmdb.i-sanger.com/experiment/details/experiment_id/EXP00202","EXP00202")</f>
        <v>EXP00202</v>
      </c>
      <c r="B5662" s="3" t="s">
        <v>66</v>
      </c>
      <c r="C5662" s="4" t="str">
        <f t="shared" si="535"/>
        <v>GSE54088</v>
      </c>
      <c r="D5662" s="1" t="s">
        <v>313</v>
      </c>
      <c r="E5662" t="s">
        <v>74</v>
      </c>
      <c r="F5662" s="1">
        <v>1</v>
      </c>
      <c r="G5662" s="1" t="s">
        <v>75</v>
      </c>
      <c r="H5662" s="4" t="str">
        <f>HYPERLINK("https://www.ncbi.nlm.nih.gov/geo/query/acc.cgi?acc=GSM1307485","GSM1307485")</f>
        <v>GSM1307485</v>
      </c>
      <c r="I5662" t="s">
        <v>69</v>
      </c>
      <c r="J5662" t="s">
        <v>18</v>
      </c>
      <c r="K5662" t="s">
        <v>19</v>
      </c>
      <c r="L5662" t="s">
        <v>70</v>
      </c>
      <c r="M5662" t="s">
        <v>44</v>
      </c>
      <c r="N5662" t="s">
        <v>76</v>
      </c>
    </row>
    <row r="5663" spans="1:14">
      <c r="A5663" s="4" t="str">
        <f t="shared" si="536"/>
        <v>EXP00202</v>
      </c>
      <c r="B5663" s="3" t="s">
        <v>66</v>
      </c>
      <c r="C5663" s="4" t="str">
        <f t="shared" si="535"/>
        <v>GSE54088</v>
      </c>
      <c r="D5663" s="1" t="s">
        <v>313</v>
      </c>
      <c r="E5663" t="s">
        <v>74</v>
      </c>
      <c r="F5663" s="1">
        <v>1</v>
      </c>
      <c r="G5663" s="1" t="s">
        <v>75</v>
      </c>
      <c r="H5663" s="4" t="str">
        <f>HYPERLINK("https://www.ncbi.nlm.nih.gov/geo/query/acc.cgi?acc=GSM1307489","GSM1307489")</f>
        <v>GSM1307489</v>
      </c>
      <c r="I5663" t="s">
        <v>69</v>
      </c>
      <c r="J5663" t="s">
        <v>18</v>
      </c>
      <c r="K5663" t="s">
        <v>19</v>
      </c>
      <c r="L5663" t="s">
        <v>70</v>
      </c>
      <c r="M5663" t="s">
        <v>44</v>
      </c>
      <c r="N5663" t="s">
        <v>76</v>
      </c>
    </row>
    <row r="5664" spans="1:14">
      <c r="A5664" s="4" t="str">
        <f t="shared" si="536"/>
        <v>EXP00202</v>
      </c>
      <c r="B5664" s="3" t="s">
        <v>66</v>
      </c>
      <c r="C5664" s="4" t="str">
        <f t="shared" si="535"/>
        <v>GSE54088</v>
      </c>
      <c r="D5664" s="1" t="s">
        <v>313</v>
      </c>
      <c r="E5664" t="s">
        <v>74</v>
      </c>
      <c r="F5664" s="1">
        <v>1</v>
      </c>
      <c r="G5664" s="1" t="s">
        <v>75</v>
      </c>
      <c r="H5664" s="4" t="str">
        <f>HYPERLINK("https://www.ncbi.nlm.nih.gov/geo/query/acc.cgi?acc=GSM1307493","GSM1307493")</f>
        <v>GSM1307493</v>
      </c>
      <c r="I5664" t="s">
        <v>69</v>
      </c>
      <c r="J5664" t="s">
        <v>18</v>
      </c>
      <c r="K5664" t="s">
        <v>19</v>
      </c>
      <c r="L5664" t="s">
        <v>70</v>
      </c>
      <c r="M5664" t="s">
        <v>44</v>
      </c>
      <c r="N5664" t="s">
        <v>76</v>
      </c>
    </row>
    <row r="5665" spans="1:14">
      <c r="A5665" s="4" t="str">
        <f t="shared" si="536"/>
        <v>EXP00202</v>
      </c>
      <c r="B5665" s="3" t="s">
        <v>66</v>
      </c>
      <c r="C5665" s="4" t="str">
        <f t="shared" si="535"/>
        <v>GSE54088</v>
      </c>
      <c r="D5665" s="1" t="s">
        <v>313</v>
      </c>
      <c r="E5665" t="s">
        <v>74</v>
      </c>
      <c r="F5665" s="1">
        <v>1</v>
      </c>
      <c r="G5665" s="1" t="s">
        <v>75</v>
      </c>
      <c r="H5665" s="4" t="str">
        <f>HYPERLINK("https://www.ncbi.nlm.nih.gov/geo/query/acc.cgi?acc=GSM1307496","GSM1307496")</f>
        <v>GSM1307496</v>
      </c>
      <c r="I5665" t="s">
        <v>69</v>
      </c>
      <c r="J5665" t="s">
        <v>18</v>
      </c>
      <c r="K5665" t="s">
        <v>19</v>
      </c>
      <c r="L5665" t="s">
        <v>70</v>
      </c>
      <c r="M5665" t="s">
        <v>44</v>
      </c>
      <c r="N5665" t="s">
        <v>76</v>
      </c>
    </row>
    <row r="5666" spans="1:14">
      <c r="A5666" s="4" t="str">
        <f t="shared" si="536"/>
        <v>EXP00202</v>
      </c>
      <c r="B5666" s="3" t="s">
        <v>66</v>
      </c>
      <c r="C5666" s="4" t="str">
        <f t="shared" si="535"/>
        <v>GSE54088</v>
      </c>
      <c r="D5666" s="1" t="s">
        <v>313</v>
      </c>
      <c r="E5666" t="s">
        <v>74</v>
      </c>
      <c r="F5666" s="1">
        <v>1</v>
      </c>
      <c r="G5666" s="1" t="s">
        <v>75</v>
      </c>
      <c r="H5666" s="4" t="str">
        <f>HYPERLINK("https://www.ncbi.nlm.nih.gov/geo/query/acc.cgi?acc=GSM1307502","GSM1307502")</f>
        <v>GSM1307502</v>
      </c>
      <c r="I5666" t="s">
        <v>69</v>
      </c>
      <c r="J5666" t="s">
        <v>18</v>
      </c>
      <c r="K5666" t="s">
        <v>19</v>
      </c>
      <c r="L5666" t="s">
        <v>70</v>
      </c>
      <c r="M5666" t="s">
        <v>44</v>
      </c>
      <c r="N5666" t="s">
        <v>76</v>
      </c>
    </row>
    <row r="5667" spans="1:14">
      <c r="A5667" s="4" t="str">
        <f t="shared" si="536"/>
        <v>EXP00202</v>
      </c>
      <c r="B5667" s="3" t="s">
        <v>66</v>
      </c>
      <c r="C5667" s="4" t="str">
        <f t="shared" si="535"/>
        <v>GSE54088</v>
      </c>
      <c r="D5667" s="1" t="s">
        <v>313</v>
      </c>
      <c r="E5667" t="s">
        <v>74</v>
      </c>
      <c r="F5667" s="1">
        <v>1</v>
      </c>
      <c r="G5667" s="1" t="s">
        <v>75</v>
      </c>
      <c r="H5667" s="4" t="str">
        <f>HYPERLINK("https://www.ncbi.nlm.nih.gov/geo/query/acc.cgi?acc=GSM1307505","GSM1307505")</f>
        <v>GSM1307505</v>
      </c>
      <c r="I5667" t="s">
        <v>69</v>
      </c>
      <c r="J5667" t="s">
        <v>18</v>
      </c>
      <c r="K5667" t="s">
        <v>19</v>
      </c>
      <c r="L5667" t="s">
        <v>70</v>
      </c>
      <c r="M5667" t="s">
        <v>44</v>
      </c>
      <c r="N5667" t="s">
        <v>76</v>
      </c>
    </row>
    <row r="5668" spans="1:14">
      <c r="A5668" s="4" t="str">
        <f t="shared" si="536"/>
        <v>EXP00202</v>
      </c>
      <c r="B5668" s="3" t="s">
        <v>66</v>
      </c>
      <c r="C5668" s="4" t="str">
        <f t="shared" si="535"/>
        <v>GSE54088</v>
      </c>
      <c r="D5668" s="1" t="s">
        <v>313</v>
      </c>
      <c r="E5668" t="s">
        <v>74</v>
      </c>
      <c r="F5668" s="1">
        <v>1</v>
      </c>
      <c r="G5668" s="1" t="s">
        <v>75</v>
      </c>
      <c r="H5668" s="4" t="str">
        <f>HYPERLINK("https://www.ncbi.nlm.nih.gov/geo/query/acc.cgi?acc=GSM1307509","GSM1307509")</f>
        <v>GSM1307509</v>
      </c>
      <c r="I5668" t="s">
        <v>69</v>
      </c>
      <c r="J5668" t="s">
        <v>18</v>
      </c>
      <c r="K5668" t="s">
        <v>19</v>
      </c>
      <c r="L5668" t="s">
        <v>70</v>
      </c>
      <c r="M5668" t="s">
        <v>44</v>
      </c>
      <c r="N5668" t="s">
        <v>76</v>
      </c>
    </row>
    <row r="5669" spans="1:14">
      <c r="A5669" s="4" t="str">
        <f t="shared" si="536"/>
        <v>EXP00202</v>
      </c>
      <c r="B5669" s="3" t="s">
        <v>66</v>
      </c>
      <c r="C5669" s="4" t="str">
        <f t="shared" si="535"/>
        <v>GSE54088</v>
      </c>
      <c r="D5669" s="1" t="s">
        <v>313</v>
      </c>
      <c r="E5669" t="s">
        <v>74</v>
      </c>
      <c r="F5669" s="1">
        <v>1</v>
      </c>
      <c r="G5669" s="1" t="s">
        <v>75</v>
      </c>
      <c r="H5669" s="4" t="str">
        <f>HYPERLINK("https://www.ncbi.nlm.nih.gov/geo/query/acc.cgi?acc=GSM1307515","GSM1307515")</f>
        <v>GSM1307515</v>
      </c>
      <c r="I5669" t="s">
        <v>69</v>
      </c>
      <c r="J5669" t="s">
        <v>18</v>
      </c>
      <c r="K5669" t="s">
        <v>19</v>
      </c>
      <c r="L5669" t="s">
        <v>70</v>
      </c>
      <c r="M5669" t="s">
        <v>44</v>
      </c>
      <c r="N5669" t="s">
        <v>76</v>
      </c>
    </row>
    <row r="5670" spans="1:14">
      <c r="A5670" s="4" t="str">
        <f t="shared" si="536"/>
        <v>EXP00202</v>
      </c>
      <c r="B5670" s="3" t="s">
        <v>66</v>
      </c>
      <c r="C5670" s="4" t="str">
        <f t="shared" si="535"/>
        <v>GSE54088</v>
      </c>
      <c r="D5670" s="1" t="s">
        <v>313</v>
      </c>
      <c r="E5670" t="s">
        <v>74</v>
      </c>
      <c r="F5670" s="1">
        <v>2</v>
      </c>
      <c r="G5670" s="1" t="s">
        <v>26</v>
      </c>
      <c r="H5670" s="4" t="str">
        <f>HYPERLINK("https://www.ncbi.nlm.nih.gov/geo/query/acc.cgi?acc=GSM1307486","GSM1307486")</f>
        <v>GSM1307486</v>
      </c>
      <c r="I5670" t="s">
        <v>69</v>
      </c>
      <c r="J5670" t="s">
        <v>18</v>
      </c>
      <c r="K5670" t="s">
        <v>19</v>
      </c>
      <c r="L5670" t="s">
        <v>70</v>
      </c>
      <c r="M5670" t="s">
        <v>44</v>
      </c>
      <c r="N5670" t="s">
        <v>22</v>
      </c>
    </row>
    <row r="5671" spans="1:14">
      <c r="A5671" s="4" t="str">
        <f t="shared" si="536"/>
        <v>EXP00202</v>
      </c>
      <c r="B5671" s="3" t="s">
        <v>66</v>
      </c>
      <c r="C5671" s="4" t="str">
        <f t="shared" si="535"/>
        <v>GSE54088</v>
      </c>
      <c r="D5671" s="1" t="s">
        <v>313</v>
      </c>
      <c r="E5671" t="s">
        <v>74</v>
      </c>
      <c r="F5671" s="1">
        <v>2</v>
      </c>
      <c r="G5671" s="1" t="s">
        <v>26</v>
      </c>
      <c r="H5671" s="4" t="str">
        <f>HYPERLINK("https://www.ncbi.nlm.nih.gov/geo/query/acc.cgi?acc=GSM1307490","GSM1307490")</f>
        <v>GSM1307490</v>
      </c>
      <c r="I5671" t="s">
        <v>69</v>
      </c>
      <c r="J5671" t="s">
        <v>18</v>
      </c>
      <c r="K5671" t="s">
        <v>19</v>
      </c>
      <c r="L5671" t="s">
        <v>70</v>
      </c>
      <c r="M5671" t="s">
        <v>44</v>
      </c>
      <c r="N5671" t="s">
        <v>22</v>
      </c>
    </row>
    <row r="5672" spans="1:14">
      <c r="A5672" s="4" t="str">
        <f t="shared" si="536"/>
        <v>EXP00202</v>
      </c>
      <c r="B5672" s="3" t="s">
        <v>66</v>
      </c>
      <c r="C5672" s="4" t="str">
        <f t="shared" si="535"/>
        <v>GSE54088</v>
      </c>
      <c r="D5672" s="1" t="s">
        <v>313</v>
      </c>
      <c r="E5672" t="s">
        <v>74</v>
      </c>
      <c r="F5672" s="1">
        <v>2</v>
      </c>
      <c r="G5672" s="1" t="s">
        <v>26</v>
      </c>
      <c r="H5672" s="4" t="str">
        <f>HYPERLINK("https://www.ncbi.nlm.nih.gov/geo/query/acc.cgi?acc=GSM1307499","GSM1307499")</f>
        <v>GSM1307499</v>
      </c>
      <c r="I5672" t="s">
        <v>69</v>
      </c>
      <c r="J5672" t="s">
        <v>18</v>
      </c>
      <c r="K5672" t="s">
        <v>19</v>
      </c>
      <c r="L5672" t="s">
        <v>70</v>
      </c>
      <c r="M5672" t="s">
        <v>44</v>
      </c>
      <c r="N5672" t="s">
        <v>22</v>
      </c>
    </row>
    <row r="5673" spans="1:14">
      <c r="A5673" s="4" t="str">
        <f t="shared" si="536"/>
        <v>EXP00202</v>
      </c>
      <c r="B5673" s="3" t="s">
        <v>66</v>
      </c>
      <c r="C5673" s="4" t="str">
        <f t="shared" si="535"/>
        <v>GSE54088</v>
      </c>
      <c r="D5673" s="1" t="s">
        <v>313</v>
      </c>
      <c r="E5673" t="s">
        <v>74</v>
      </c>
      <c r="F5673" s="1">
        <v>2</v>
      </c>
      <c r="G5673" s="1" t="s">
        <v>26</v>
      </c>
      <c r="H5673" s="4" t="str">
        <f>HYPERLINK("https://www.ncbi.nlm.nih.gov/geo/query/acc.cgi?acc=GSM1307503","GSM1307503")</f>
        <v>GSM1307503</v>
      </c>
      <c r="I5673" t="s">
        <v>69</v>
      </c>
      <c r="J5673" t="s">
        <v>18</v>
      </c>
      <c r="K5673" t="s">
        <v>19</v>
      </c>
      <c r="L5673" t="s">
        <v>70</v>
      </c>
      <c r="M5673" t="s">
        <v>44</v>
      </c>
      <c r="N5673" t="s">
        <v>22</v>
      </c>
    </row>
    <row r="5674" spans="1:14">
      <c r="A5674" s="4" t="str">
        <f t="shared" si="536"/>
        <v>EXP00202</v>
      </c>
      <c r="B5674" s="3" t="s">
        <v>66</v>
      </c>
      <c r="C5674" s="4" t="str">
        <f t="shared" si="535"/>
        <v>GSE54088</v>
      </c>
      <c r="D5674" s="1" t="s">
        <v>313</v>
      </c>
      <c r="E5674" t="s">
        <v>74</v>
      </c>
      <c r="F5674" s="1">
        <v>2</v>
      </c>
      <c r="G5674" s="1" t="s">
        <v>26</v>
      </c>
      <c r="H5674" s="4" t="str">
        <f>HYPERLINK("https://www.ncbi.nlm.nih.gov/geo/query/acc.cgi?acc=GSM1307506","GSM1307506")</f>
        <v>GSM1307506</v>
      </c>
      <c r="I5674" t="s">
        <v>69</v>
      </c>
      <c r="J5674" t="s">
        <v>18</v>
      </c>
      <c r="K5674" t="s">
        <v>19</v>
      </c>
      <c r="L5674" t="s">
        <v>70</v>
      </c>
      <c r="M5674" t="s">
        <v>44</v>
      </c>
      <c r="N5674" t="s">
        <v>22</v>
      </c>
    </row>
    <row r="5675" spans="1:14">
      <c r="A5675" s="4" t="str">
        <f t="shared" si="536"/>
        <v>EXP00202</v>
      </c>
      <c r="B5675" s="3" t="s">
        <v>66</v>
      </c>
      <c r="C5675" s="4" t="str">
        <f t="shared" si="535"/>
        <v>GSE54088</v>
      </c>
      <c r="D5675" s="1" t="s">
        <v>313</v>
      </c>
      <c r="E5675" t="s">
        <v>74</v>
      </c>
      <c r="F5675" s="1">
        <v>2</v>
      </c>
      <c r="G5675" s="1" t="s">
        <v>26</v>
      </c>
      <c r="H5675" s="4" t="str">
        <f>HYPERLINK("https://www.ncbi.nlm.nih.gov/geo/query/acc.cgi?acc=GSM1307510","GSM1307510")</f>
        <v>GSM1307510</v>
      </c>
      <c r="I5675" t="s">
        <v>69</v>
      </c>
      <c r="J5675" t="s">
        <v>18</v>
      </c>
      <c r="K5675" t="s">
        <v>19</v>
      </c>
      <c r="L5675" t="s">
        <v>70</v>
      </c>
      <c r="M5675" t="s">
        <v>44</v>
      </c>
      <c r="N5675" t="s">
        <v>22</v>
      </c>
    </row>
    <row r="5676" spans="1:14">
      <c r="A5676" s="4" t="str">
        <f t="shared" si="536"/>
        <v>EXP00202</v>
      </c>
      <c r="B5676" s="3" t="s">
        <v>66</v>
      </c>
      <c r="C5676" s="4" t="str">
        <f t="shared" si="535"/>
        <v>GSE54088</v>
      </c>
      <c r="D5676" s="1" t="s">
        <v>313</v>
      </c>
      <c r="E5676" t="s">
        <v>74</v>
      </c>
      <c r="F5676" s="1">
        <v>2</v>
      </c>
      <c r="G5676" s="1" t="s">
        <v>26</v>
      </c>
      <c r="H5676" s="4" t="str">
        <f>HYPERLINK("https://www.ncbi.nlm.nih.gov/geo/query/acc.cgi?acc=GSM1307516","GSM1307516")</f>
        <v>GSM1307516</v>
      </c>
      <c r="I5676" t="s">
        <v>69</v>
      </c>
      <c r="J5676" t="s">
        <v>18</v>
      </c>
      <c r="K5676" t="s">
        <v>19</v>
      </c>
      <c r="L5676" t="s">
        <v>70</v>
      </c>
      <c r="M5676" t="s">
        <v>44</v>
      </c>
      <c r="N5676" t="s">
        <v>22</v>
      </c>
    </row>
    <row r="5677" spans="1:14">
      <c r="A5677" s="4" t="str">
        <f t="shared" ref="A5677:A5690" si="537">HYPERLINK("http://hcmdb.i-sanger.com/experiment/details/experiment_id/EXP00203","EXP00203")</f>
        <v>EXP00203</v>
      </c>
      <c r="B5677" s="4" t="str">
        <f t="shared" ref="B5677:B5690" si="538">HYPERLINK("https://www.ncbi.nlm.nih.gov/pubmed/25888067","25888067")</f>
        <v>25888067</v>
      </c>
      <c r="C5677" s="4" t="str">
        <f t="shared" ref="C5677:C5690" si="539">HYPERLINK("https://www.ncbi.nlm.nih.gov/geo/query/acc.cgi?acc=GSE54323","GSE54323")</f>
        <v>GSE54323</v>
      </c>
      <c r="D5677" s="1" t="s">
        <v>45</v>
      </c>
      <c r="E5677" t="s">
        <v>15</v>
      </c>
      <c r="F5677" s="1">
        <v>1</v>
      </c>
      <c r="G5677" s="1" t="s">
        <v>67</v>
      </c>
      <c r="H5677" s="4" t="str">
        <f>HYPERLINK("https://www.ncbi.nlm.nih.gov/geo/query/acc.cgi?acc=GSM1312932","GSM1312932")</f>
        <v>GSM1312932</v>
      </c>
      <c r="I5677" t="s">
        <v>17</v>
      </c>
      <c r="J5677" t="s">
        <v>18</v>
      </c>
      <c r="K5677" t="s">
        <v>19</v>
      </c>
      <c r="L5677" t="s">
        <v>20</v>
      </c>
      <c r="M5677" t="s">
        <v>50</v>
      </c>
      <c r="N5677" t="s">
        <v>22</v>
      </c>
    </row>
    <row r="5678" spans="1:14">
      <c r="A5678" s="4" t="str">
        <f t="shared" si="537"/>
        <v>EXP00203</v>
      </c>
      <c r="B5678" s="4" t="str">
        <f t="shared" si="538"/>
        <v>25888067</v>
      </c>
      <c r="C5678" s="4" t="str">
        <f t="shared" si="539"/>
        <v>GSE54323</v>
      </c>
      <c r="D5678" s="1" t="s">
        <v>45</v>
      </c>
      <c r="E5678" t="s">
        <v>15</v>
      </c>
      <c r="F5678" s="1">
        <v>1</v>
      </c>
      <c r="G5678" s="1" t="s">
        <v>67</v>
      </c>
      <c r="H5678" s="4" t="str">
        <f>HYPERLINK("https://www.ncbi.nlm.nih.gov/geo/query/acc.cgi?acc=GSM1312938","GSM1312938")</f>
        <v>GSM1312938</v>
      </c>
      <c r="I5678" t="s">
        <v>17</v>
      </c>
      <c r="J5678" t="s">
        <v>18</v>
      </c>
      <c r="K5678" t="s">
        <v>19</v>
      </c>
      <c r="L5678" t="s">
        <v>20</v>
      </c>
      <c r="M5678" t="s">
        <v>50</v>
      </c>
      <c r="N5678" t="s">
        <v>22</v>
      </c>
    </row>
    <row r="5679" spans="1:14">
      <c r="A5679" s="4" t="str">
        <f t="shared" si="537"/>
        <v>EXP00203</v>
      </c>
      <c r="B5679" s="4" t="str">
        <f t="shared" si="538"/>
        <v>25888067</v>
      </c>
      <c r="C5679" s="4" t="str">
        <f t="shared" si="539"/>
        <v>GSE54323</v>
      </c>
      <c r="D5679" s="1" t="s">
        <v>45</v>
      </c>
      <c r="E5679" t="s">
        <v>15</v>
      </c>
      <c r="F5679" s="1">
        <v>1</v>
      </c>
      <c r="G5679" s="1" t="s">
        <v>67</v>
      </c>
      <c r="H5679" s="4" t="str">
        <f>HYPERLINK("https://www.ncbi.nlm.nih.gov/geo/query/acc.cgi?acc=GSM1312944","GSM1312944")</f>
        <v>GSM1312944</v>
      </c>
      <c r="I5679" t="s">
        <v>17</v>
      </c>
      <c r="J5679" t="s">
        <v>18</v>
      </c>
      <c r="K5679" t="s">
        <v>19</v>
      </c>
      <c r="L5679" t="s">
        <v>20</v>
      </c>
      <c r="M5679" t="s">
        <v>50</v>
      </c>
      <c r="N5679" t="s">
        <v>22</v>
      </c>
    </row>
    <row r="5680" spans="1:14">
      <c r="A5680" s="4" t="str">
        <f t="shared" si="537"/>
        <v>EXP00203</v>
      </c>
      <c r="B5680" s="4" t="str">
        <f t="shared" si="538"/>
        <v>25888067</v>
      </c>
      <c r="C5680" s="4" t="str">
        <f t="shared" si="539"/>
        <v>GSE54323</v>
      </c>
      <c r="D5680" s="1" t="s">
        <v>45</v>
      </c>
      <c r="E5680" t="s">
        <v>15</v>
      </c>
      <c r="F5680" s="1">
        <v>1</v>
      </c>
      <c r="G5680" s="1" t="s">
        <v>67</v>
      </c>
      <c r="H5680" s="4" t="str">
        <f>HYPERLINK("https://www.ncbi.nlm.nih.gov/geo/query/acc.cgi?acc=GSM1312946","GSM1312946")</f>
        <v>GSM1312946</v>
      </c>
      <c r="I5680" t="s">
        <v>17</v>
      </c>
      <c r="J5680" t="s">
        <v>18</v>
      </c>
      <c r="K5680" t="s">
        <v>19</v>
      </c>
      <c r="L5680" t="s">
        <v>20</v>
      </c>
      <c r="M5680" t="s">
        <v>50</v>
      </c>
      <c r="N5680" t="s">
        <v>22</v>
      </c>
    </row>
    <row r="5681" spans="1:14">
      <c r="A5681" s="4" t="str">
        <f t="shared" si="537"/>
        <v>EXP00203</v>
      </c>
      <c r="B5681" s="4" t="str">
        <f t="shared" si="538"/>
        <v>25888067</v>
      </c>
      <c r="C5681" s="4" t="str">
        <f t="shared" si="539"/>
        <v>GSE54323</v>
      </c>
      <c r="D5681" s="1" t="s">
        <v>45</v>
      </c>
      <c r="E5681" t="s">
        <v>15</v>
      </c>
      <c r="F5681" s="1">
        <v>1</v>
      </c>
      <c r="G5681" s="1" t="s">
        <v>67</v>
      </c>
      <c r="H5681" s="4" t="str">
        <f>HYPERLINK("https://www.ncbi.nlm.nih.gov/geo/query/acc.cgi?acc=GSM1312948","GSM1312948")</f>
        <v>GSM1312948</v>
      </c>
      <c r="I5681" t="s">
        <v>17</v>
      </c>
      <c r="J5681" t="s">
        <v>18</v>
      </c>
      <c r="K5681" t="s">
        <v>19</v>
      </c>
      <c r="L5681" t="s">
        <v>20</v>
      </c>
      <c r="M5681" t="s">
        <v>50</v>
      </c>
      <c r="N5681" t="s">
        <v>22</v>
      </c>
    </row>
    <row r="5682" spans="1:14">
      <c r="A5682" s="4" t="str">
        <f t="shared" si="537"/>
        <v>EXP00203</v>
      </c>
      <c r="B5682" s="4" t="str">
        <f t="shared" si="538"/>
        <v>25888067</v>
      </c>
      <c r="C5682" s="4" t="str">
        <f t="shared" si="539"/>
        <v>GSE54323</v>
      </c>
      <c r="D5682" s="1" t="s">
        <v>45</v>
      </c>
      <c r="E5682" t="s">
        <v>15</v>
      </c>
      <c r="F5682" s="1">
        <v>1</v>
      </c>
      <c r="G5682" s="1" t="s">
        <v>67</v>
      </c>
      <c r="H5682" s="4" t="str">
        <f>HYPERLINK("https://www.ncbi.nlm.nih.gov/geo/query/acc.cgi?acc=GSM1312953","GSM1312953")</f>
        <v>GSM1312953</v>
      </c>
      <c r="I5682" t="s">
        <v>17</v>
      </c>
      <c r="J5682" t="s">
        <v>18</v>
      </c>
      <c r="K5682" t="s">
        <v>19</v>
      </c>
      <c r="L5682" t="s">
        <v>20</v>
      </c>
      <c r="M5682" t="s">
        <v>50</v>
      </c>
      <c r="N5682" t="s">
        <v>22</v>
      </c>
    </row>
    <row r="5683" spans="1:14">
      <c r="A5683" s="4" t="str">
        <f t="shared" si="537"/>
        <v>EXP00203</v>
      </c>
      <c r="B5683" s="4" t="str">
        <f t="shared" si="538"/>
        <v>25888067</v>
      </c>
      <c r="C5683" s="4" t="str">
        <f t="shared" si="539"/>
        <v>GSE54323</v>
      </c>
      <c r="D5683" s="1" t="s">
        <v>45</v>
      </c>
      <c r="E5683" t="s">
        <v>15</v>
      </c>
      <c r="F5683" s="1">
        <v>1</v>
      </c>
      <c r="G5683" s="1" t="s">
        <v>67</v>
      </c>
      <c r="H5683" s="4" t="str">
        <f>HYPERLINK("https://www.ncbi.nlm.nih.gov/geo/query/acc.cgi?acc=GSM1312955","GSM1312955")</f>
        <v>GSM1312955</v>
      </c>
      <c r="I5683" t="s">
        <v>17</v>
      </c>
      <c r="J5683" t="s">
        <v>18</v>
      </c>
      <c r="K5683" t="s">
        <v>19</v>
      </c>
      <c r="L5683" t="s">
        <v>20</v>
      </c>
      <c r="M5683" t="s">
        <v>50</v>
      </c>
      <c r="N5683" t="s">
        <v>22</v>
      </c>
    </row>
    <row r="5684" spans="1:14">
      <c r="A5684" s="4" t="str">
        <f t="shared" si="537"/>
        <v>EXP00203</v>
      </c>
      <c r="B5684" s="4" t="str">
        <f t="shared" si="538"/>
        <v>25888067</v>
      </c>
      <c r="C5684" s="4" t="str">
        <f t="shared" si="539"/>
        <v>GSE54323</v>
      </c>
      <c r="D5684" s="1" t="s">
        <v>45</v>
      </c>
      <c r="E5684" t="s">
        <v>15</v>
      </c>
      <c r="F5684" s="1">
        <v>2</v>
      </c>
      <c r="G5684" s="1" t="s">
        <v>63</v>
      </c>
      <c r="H5684" s="4" t="str">
        <f>HYPERLINK("https://www.ncbi.nlm.nih.gov/geo/query/acc.cgi?acc=GSM1312928","GSM1312928")</f>
        <v>GSM1312928</v>
      </c>
      <c r="I5684" t="s">
        <v>17</v>
      </c>
      <c r="J5684" t="s">
        <v>18</v>
      </c>
      <c r="K5684" t="s">
        <v>19</v>
      </c>
      <c r="L5684" t="s">
        <v>20</v>
      </c>
      <c r="M5684" t="s">
        <v>44</v>
      </c>
      <c r="N5684" t="s">
        <v>22</v>
      </c>
    </row>
    <row r="5685" spans="1:14">
      <c r="A5685" s="4" t="str">
        <f t="shared" si="537"/>
        <v>EXP00203</v>
      </c>
      <c r="B5685" s="4" t="str">
        <f t="shared" si="538"/>
        <v>25888067</v>
      </c>
      <c r="C5685" s="4" t="str">
        <f t="shared" si="539"/>
        <v>GSE54323</v>
      </c>
      <c r="D5685" s="1" t="s">
        <v>45</v>
      </c>
      <c r="E5685" t="s">
        <v>15</v>
      </c>
      <c r="F5685" s="1">
        <v>2</v>
      </c>
      <c r="G5685" s="1" t="s">
        <v>63</v>
      </c>
      <c r="H5685" s="4" t="str">
        <f>HYPERLINK("https://www.ncbi.nlm.nih.gov/geo/query/acc.cgi?acc=GSM1312940","GSM1312940")</f>
        <v>GSM1312940</v>
      </c>
      <c r="I5685" t="s">
        <v>17</v>
      </c>
      <c r="J5685" t="s">
        <v>18</v>
      </c>
      <c r="K5685" t="s">
        <v>19</v>
      </c>
      <c r="L5685" t="s">
        <v>20</v>
      </c>
      <c r="M5685" t="s">
        <v>44</v>
      </c>
      <c r="N5685" t="s">
        <v>22</v>
      </c>
    </row>
    <row r="5686" spans="1:14">
      <c r="A5686" s="4" t="str">
        <f t="shared" si="537"/>
        <v>EXP00203</v>
      </c>
      <c r="B5686" s="4" t="str">
        <f t="shared" si="538"/>
        <v>25888067</v>
      </c>
      <c r="C5686" s="4" t="str">
        <f t="shared" si="539"/>
        <v>GSE54323</v>
      </c>
      <c r="D5686" s="1" t="s">
        <v>45</v>
      </c>
      <c r="E5686" t="s">
        <v>15</v>
      </c>
      <c r="F5686" s="1">
        <v>2</v>
      </c>
      <c r="G5686" s="1" t="s">
        <v>63</v>
      </c>
      <c r="H5686" s="4" t="str">
        <f>HYPERLINK("https://www.ncbi.nlm.nih.gov/geo/query/acc.cgi?acc=GSM1312942","GSM1312942")</f>
        <v>GSM1312942</v>
      </c>
      <c r="I5686" t="s">
        <v>17</v>
      </c>
      <c r="J5686" t="s">
        <v>18</v>
      </c>
      <c r="K5686" t="s">
        <v>19</v>
      </c>
      <c r="L5686" t="s">
        <v>20</v>
      </c>
      <c r="M5686" t="s">
        <v>44</v>
      </c>
      <c r="N5686" t="s">
        <v>22</v>
      </c>
    </row>
    <row r="5687" spans="1:14">
      <c r="A5687" s="4" t="str">
        <f t="shared" si="537"/>
        <v>EXP00203</v>
      </c>
      <c r="B5687" s="4" t="str">
        <f t="shared" si="538"/>
        <v>25888067</v>
      </c>
      <c r="C5687" s="4" t="str">
        <f t="shared" si="539"/>
        <v>GSE54323</v>
      </c>
      <c r="D5687" s="1" t="s">
        <v>45</v>
      </c>
      <c r="E5687" t="s">
        <v>15</v>
      </c>
      <c r="F5687" s="1">
        <v>2</v>
      </c>
      <c r="G5687" s="1" t="s">
        <v>63</v>
      </c>
      <c r="H5687" s="4" t="str">
        <f>HYPERLINK("https://www.ncbi.nlm.nih.gov/geo/query/acc.cgi?acc=GSM1312952","GSM1312952")</f>
        <v>GSM1312952</v>
      </c>
      <c r="I5687" t="s">
        <v>17</v>
      </c>
      <c r="J5687" t="s">
        <v>18</v>
      </c>
      <c r="K5687" t="s">
        <v>19</v>
      </c>
      <c r="L5687" t="s">
        <v>20</v>
      </c>
      <c r="M5687" t="s">
        <v>44</v>
      </c>
      <c r="N5687" t="s">
        <v>22</v>
      </c>
    </row>
    <row r="5688" spans="1:14">
      <c r="A5688" s="4" t="str">
        <f t="shared" si="537"/>
        <v>EXP00203</v>
      </c>
      <c r="B5688" s="4" t="str">
        <f t="shared" si="538"/>
        <v>25888067</v>
      </c>
      <c r="C5688" s="4" t="str">
        <f t="shared" si="539"/>
        <v>GSE54323</v>
      </c>
      <c r="D5688" s="1" t="s">
        <v>45</v>
      </c>
      <c r="E5688" t="s">
        <v>15</v>
      </c>
      <c r="F5688" s="1">
        <v>3</v>
      </c>
      <c r="G5688" s="1" t="s">
        <v>23</v>
      </c>
      <c r="H5688" s="4" t="str">
        <f>HYPERLINK("https://www.ncbi.nlm.nih.gov/geo/query/acc.cgi?acc=GSM1312934","GSM1312934")</f>
        <v>GSM1312934</v>
      </c>
      <c r="I5688" t="s">
        <v>17</v>
      </c>
      <c r="J5688" t="s">
        <v>18</v>
      </c>
      <c r="K5688" t="s">
        <v>19</v>
      </c>
      <c r="L5688" t="s">
        <v>20</v>
      </c>
      <c r="M5688" t="s">
        <v>24</v>
      </c>
      <c r="N5688" t="s">
        <v>22</v>
      </c>
    </row>
    <row r="5689" spans="1:14">
      <c r="A5689" s="4" t="str">
        <f t="shared" si="537"/>
        <v>EXP00203</v>
      </c>
      <c r="B5689" s="4" t="str">
        <f t="shared" si="538"/>
        <v>25888067</v>
      </c>
      <c r="C5689" s="4" t="str">
        <f t="shared" si="539"/>
        <v>GSE54323</v>
      </c>
      <c r="D5689" s="1" t="s">
        <v>45</v>
      </c>
      <c r="E5689" t="s">
        <v>15</v>
      </c>
      <c r="F5689" s="1">
        <v>3</v>
      </c>
      <c r="G5689" s="1" t="s">
        <v>23</v>
      </c>
      <c r="H5689" s="4" t="str">
        <f>HYPERLINK("https://www.ncbi.nlm.nih.gov/geo/query/acc.cgi?acc=GSM1312936","GSM1312936")</f>
        <v>GSM1312936</v>
      </c>
      <c r="I5689" t="s">
        <v>17</v>
      </c>
      <c r="J5689" t="s">
        <v>18</v>
      </c>
      <c r="K5689" t="s">
        <v>19</v>
      </c>
      <c r="L5689" t="s">
        <v>20</v>
      </c>
      <c r="M5689" t="s">
        <v>24</v>
      </c>
      <c r="N5689" t="s">
        <v>22</v>
      </c>
    </row>
    <row r="5690" spans="1:14">
      <c r="A5690" s="4" t="str">
        <f t="shared" si="537"/>
        <v>EXP00203</v>
      </c>
      <c r="B5690" s="4" t="str">
        <f t="shared" si="538"/>
        <v>25888067</v>
      </c>
      <c r="C5690" s="4" t="str">
        <f t="shared" si="539"/>
        <v>GSE54323</v>
      </c>
      <c r="D5690" s="1" t="s">
        <v>45</v>
      </c>
      <c r="E5690" t="s">
        <v>15</v>
      </c>
      <c r="F5690" s="1">
        <v>3</v>
      </c>
      <c r="G5690" s="1" t="s">
        <v>23</v>
      </c>
      <c r="H5690" s="4" t="str">
        <f>HYPERLINK("https://www.ncbi.nlm.nih.gov/geo/query/acc.cgi?acc=GSM1312950","GSM1312950")</f>
        <v>GSM1312950</v>
      </c>
      <c r="I5690" t="s">
        <v>17</v>
      </c>
      <c r="J5690" t="s">
        <v>18</v>
      </c>
      <c r="K5690" t="s">
        <v>19</v>
      </c>
      <c r="L5690" t="s">
        <v>20</v>
      </c>
      <c r="M5690" t="s">
        <v>24</v>
      </c>
      <c r="N5690" t="s">
        <v>22</v>
      </c>
    </row>
    <row r="5691" spans="1:14">
      <c r="A5691" s="4" t="str">
        <f t="shared" ref="A5691:A5707" si="540">HYPERLINK("http://hcmdb.i-sanger.com/experiment/details/experiment_id/EXP00204","EXP00204")</f>
        <v>EXP00204</v>
      </c>
      <c r="B5691" s="4" t="str">
        <f t="shared" ref="B5691:B5732" si="541">HYPERLINK("https://www.ncbi.nlm.nih.gov/pubmed/25650662","25650662")</f>
        <v>25650662</v>
      </c>
      <c r="C5691" s="4" t="str">
        <f t="shared" ref="C5691:C5732" si="542">HYPERLINK("https://www.ncbi.nlm.nih.gov/geo/query/acc.cgi?acc=GSE54492","GSE54492")</f>
        <v>GSE54492</v>
      </c>
      <c r="D5691" s="1" t="s">
        <v>314</v>
      </c>
      <c r="E5691" t="s">
        <v>84</v>
      </c>
      <c r="F5691" s="1">
        <v>1</v>
      </c>
      <c r="G5691" s="1" t="s">
        <v>85</v>
      </c>
      <c r="H5691" s="4" t="str">
        <f>HYPERLINK("https://www.ncbi.nlm.nih.gov/geo/query/acc.cgi?acc=GSM1316771","GSM1316771")</f>
        <v>GSM1316771</v>
      </c>
      <c r="I5691" t="s">
        <v>82</v>
      </c>
      <c r="J5691" t="s">
        <v>83</v>
      </c>
      <c r="K5691" t="s">
        <v>19</v>
      </c>
      <c r="L5691" t="s">
        <v>27</v>
      </c>
      <c r="M5691" t="s">
        <v>24</v>
      </c>
      <c r="N5691" t="s">
        <v>22</v>
      </c>
    </row>
    <row r="5692" spans="1:14">
      <c r="A5692" s="4" t="str">
        <f t="shared" si="540"/>
        <v>EXP00204</v>
      </c>
      <c r="B5692" s="4" t="str">
        <f t="shared" si="541"/>
        <v>25650662</v>
      </c>
      <c r="C5692" s="4" t="str">
        <f t="shared" si="542"/>
        <v>GSE54492</v>
      </c>
      <c r="D5692" s="1" t="s">
        <v>314</v>
      </c>
      <c r="E5692" t="s">
        <v>84</v>
      </c>
      <c r="F5692" s="1">
        <v>1</v>
      </c>
      <c r="G5692" s="1" t="s">
        <v>85</v>
      </c>
      <c r="H5692" s="4" t="str">
        <f>HYPERLINK("https://www.ncbi.nlm.nih.gov/geo/query/acc.cgi?acc=GSM1316772","GSM1316772")</f>
        <v>GSM1316772</v>
      </c>
      <c r="I5692" t="s">
        <v>82</v>
      </c>
      <c r="J5692" t="s">
        <v>83</v>
      </c>
      <c r="K5692" t="s">
        <v>19</v>
      </c>
      <c r="L5692" t="s">
        <v>27</v>
      </c>
      <c r="M5692" t="s">
        <v>24</v>
      </c>
      <c r="N5692" t="s">
        <v>22</v>
      </c>
    </row>
    <row r="5693" spans="1:14">
      <c r="A5693" s="4" t="str">
        <f t="shared" si="540"/>
        <v>EXP00204</v>
      </c>
      <c r="B5693" s="4" t="str">
        <f t="shared" si="541"/>
        <v>25650662</v>
      </c>
      <c r="C5693" s="4" t="str">
        <f t="shared" si="542"/>
        <v>GSE54492</v>
      </c>
      <c r="D5693" s="1" t="s">
        <v>314</v>
      </c>
      <c r="E5693" t="s">
        <v>84</v>
      </c>
      <c r="F5693" s="1">
        <v>1</v>
      </c>
      <c r="G5693" s="1" t="s">
        <v>85</v>
      </c>
      <c r="H5693" s="4" t="str">
        <f>HYPERLINK("https://www.ncbi.nlm.nih.gov/geo/query/acc.cgi?acc=GSM1316773","GSM1316773")</f>
        <v>GSM1316773</v>
      </c>
      <c r="I5693" t="s">
        <v>82</v>
      </c>
      <c r="J5693" t="s">
        <v>83</v>
      </c>
      <c r="K5693" t="s">
        <v>19</v>
      </c>
      <c r="L5693" t="s">
        <v>27</v>
      </c>
      <c r="M5693" t="s">
        <v>24</v>
      </c>
      <c r="N5693" t="s">
        <v>22</v>
      </c>
    </row>
    <row r="5694" spans="1:14">
      <c r="A5694" s="4" t="str">
        <f t="shared" si="540"/>
        <v>EXP00204</v>
      </c>
      <c r="B5694" s="4" t="str">
        <f t="shared" si="541"/>
        <v>25650662</v>
      </c>
      <c r="C5694" s="4" t="str">
        <f t="shared" si="542"/>
        <v>GSE54492</v>
      </c>
      <c r="D5694" s="1" t="s">
        <v>314</v>
      </c>
      <c r="E5694" t="s">
        <v>84</v>
      </c>
      <c r="F5694" s="1">
        <v>1</v>
      </c>
      <c r="G5694" s="1" t="s">
        <v>85</v>
      </c>
      <c r="H5694" s="4" t="str">
        <f>HYPERLINK("https://www.ncbi.nlm.nih.gov/geo/query/acc.cgi?acc=GSM1316774","GSM1316774")</f>
        <v>GSM1316774</v>
      </c>
      <c r="I5694" t="s">
        <v>82</v>
      </c>
      <c r="J5694" t="s">
        <v>83</v>
      </c>
      <c r="K5694" t="s">
        <v>19</v>
      </c>
      <c r="L5694" t="s">
        <v>27</v>
      </c>
      <c r="M5694" t="s">
        <v>24</v>
      </c>
      <c r="N5694" t="s">
        <v>22</v>
      </c>
    </row>
    <row r="5695" spans="1:14">
      <c r="A5695" s="4" t="str">
        <f t="shared" si="540"/>
        <v>EXP00204</v>
      </c>
      <c r="B5695" s="4" t="str">
        <f t="shared" si="541"/>
        <v>25650662</v>
      </c>
      <c r="C5695" s="4" t="str">
        <f t="shared" si="542"/>
        <v>GSE54492</v>
      </c>
      <c r="D5695" s="1" t="s">
        <v>314</v>
      </c>
      <c r="E5695" t="s">
        <v>84</v>
      </c>
      <c r="F5695" s="1">
        <v>1</v>
      </c>
      <c r="G5695" s="1" t="s">
        <v>85</v>
      </c>
      <c r="H5695" s="4" t="str">
        <f>HYPERLINK("https://www.ncbi.nlm.nih.gov/geo/query/acc.cgi?acc=GSM1316775","GSM1316775")</f>
        <v>GSM1316775</v>
      </c>
      <c r="I5695" t="s">
        <v>82</v>
      </c>
      <c r="J5695" t="s">
        <v>83</v>
      </c>
      <c r="K5695" t="s">
        <v>19</v>
      </c>
      <c r="L5695" t="s">
        <v>27</v>
      </c>
      <c r="M5695" t="s">
        <v>24</v>
      </c>
      <c r="N5695" t="s">
        <v>22</v>
      </c>
    </row>
    <row r="5696" spans="1:14">
      <c r="A5696" s="4" t="str">
        <f t="shared" si="540"/>
        <v>EXP00204</v>
      </c>
      <c r="B5696" s="4" t="str">
        <f t="shared" si="541"/>
        <v>25650662</v>
      </c>
      <c r="C5696" s="4" t="str">
        <f t="shared" si="542"/>
        <v>GSE54492</v>
      </c>
      <c r="D5696" s="1" t="s">
        <v>314</v>
      </c>
      <c r="E5696" t="s">
        <v>84</v>
      </c>
      <c r="F5696" s="1">
        <v>1</v>
      </c>
      <c r="G5696" s="1" t="s">
        <v>85</v>
      </c>
      <c r="H5696" s="4" t="str">
        <f>HYPERLINK("https://www.ncbi.nlm.nih.gov/geo/query/acc.cgi?acc=GSM1316776","GSM1316776")</f>
        <v>GSM1316776</v>
      </c>
      <c r="I5696" t="s">
        <v>82</v>
      </c>
      <c r="J5696" t="s">
        <v>83</v>
      </c>
      <c r="K5696" t="s">
        <v>19</v>
      </c>
      <c r="L5696" t="s">
        <v>27</v>
      </c>
      <c r="M5696" t="s">
        <v>24</v>
      </c>
      <c r="N5696" t="s">
        <v>22</v>
      </c>
    </row>
    <row r="5697" spans="1:14">
      <c r="A5697" s="4" t="str">
        <f t="shared" si="540"/>
        <v>EXP00204</v>
      </c>
      <c r="B5697" s="4" t="str">
        <f t="shared" si="541"/>
        <v>25650662</v>
      </c>
      <c r="C5697" s="4" t="str">
        <f t="shared" si="542"/>
        <v>GSE54492</v>
      </c>
      <c r="D5697" s="1" t="s">
        <v>314</v>
      </c>
      <c r="E5697" t="s">
        <v>84</v>
      </c>
      <c r="F5697" s="1">
        <v>1</v>
      </c>
      <c r="G5697" s="1" t="s">
        <v>85</v>
      </c>
      <c r="H5697" s="4" t="str">
        <f>HYPERLINK("https://www.ncbi.nlm.nih.gov/geo/query/acc.cgi?acc=GSM1316777","GSM1316777")</f>
        <v>GSM1316777</v>
      </c>
      <c r="I5697" t="s">
        <v>82</v>
      </c>
      <c r="J5697" t="s">
        <v>83</v>
      </c>
      <c r="K5697" t="s">
        <v>19</v>
      </c>
      <c r="L5697" t="s">
        <v>27</v>
      </c>
      <c r="M5697" t="s">
        <v>24</v>
      </c>
      <c r="N5697" t="s">
        <v>22</v>
      </c>
    </row>
    <row r="5698" spans="1:14">
      <c r="A5698" s="4" t="str">
        <f t="shared" si="540"/>
        <v>EXP00204</v>
      </c>
      <c r="B5698" s="4" t="str">
        <f t="shared" si="541"/>
        <v>25650662</v>
      </c>
      <c r="C5698" s="4" t="str">
        <f t="shared" si="542"/>
        <v>GSE54492</v>
      </c>
      <c r="D5698" s="1" t="s">
        <v>314</v>
      </c>
      <c r="E5698" t="s">
        <v>84</v>
      </c>
      <c r="F5698" s="1">
        <v>1</v>
      </c>
      <c r="G5698" s="1" t="s">
        <v>85</v>
      </c>
      <c r="H5698" s="4" t="str">
        <f>HYPERLINK("https://www.ncbi.nlm.nih.gov/geo/query/acc.cgi?acc=GSM1316778","GSM1316778")</f>
        <v>GSM1316778</v>
      </c>
      <c r="I5698" t="s">
        <v>82</v>
      </c>
      <c r="J5698" t="s">
        <v>83</v>
      </c>
      <c r="K5698" t="s">
        <v>19</v>
      </c>
      <c r="L5698" t="s">
        <v>27</v>
      </c>
      <c r="M5698" t="s">
        <v>24</v>
      </c>
      <c r="N5698" t="s">
        <v>22</v>
      </c>
    </row>
    <row r="5699" spans="1:14">
      <c r="A5699" s="4" t="str">
        <f t="shared" si="540"/>
        <v>EXP00204</v>
      </c>
      <c r="B5699" s="4" t="str">
        <f t="shared" si="541"/>
        <v>25650662</v>
      </c>
      <c r="C5699" s="4" t="str">
        <f t="shared" si="542"/>
        <v>GSE54492</v>
      </c>
      <c r="D5699" s="1" t="s">
        <v>314</v>
      </c>
      <c r="E5699" t="s">
        <v>84</v>
      </c>
      <c r="F5699" s="1">
        <v>1</v>
      </c>
      <c r="G5699" s="1" t="s">
        <v>85</v>
      </c>
      <c r="H5699" s="4" t="str">
        <f>HYPERLINK("https://www.ncbi.nlm.nih.gov/geo/query/acc.cgi?acc=GSM1316779","GSM1316779")</f>
        <v>GSM1316779</v>
      </c>
      <c r="I5699" t="s">
        <v>82</v>
      </c>
      <c r="J5699" t="s">
        <v>83</v>
      </c>
      <c r="K5699" t="s">
        <v>19</v>
      </c>
      <c r="L5699" t="s">
        <v>27</v>
      </c>
      <c r="M5699" t="s">
        <v>24</v>
      </c>
      <c r="N5699" t="s">
        <v>22</v>
      </c>
    </row>
    <row r="5700" spans="1:14">
      <c r="A5700" s="4" t="str">
        <f t="shared" si="540"/>
        <v>EXP00204</v>
      </c>
      <c r="B5700" s="4" t="str">
        <f t="shared" si="541"/>
        <v>25650662</v>
      </c>
      <c r="C5700" s="4" t="str">
        <f t="shared" si="542"/>
        <v>GSE54492</v>
      </c>
      <c r="D5700" s="1" t="s">
        <v>314</v>
      </c>
      <c r="E5700" t="s">
        <v>84</v>
      </c>
      <c r="F5700" s="1">
        <v>2</v>
      </c>
      <c r="G5700" s="1" t="s">
        <v>315</v>
      </c>
      <c r="H5700" s="4" t="str">
        <f>HYPERLINK("https://www.ncbi.nlm.nih.gov/geo/query/acc.cgi?acc=GSM1316780","GSM1316780")</f>
        <v>GSM1316780</v>
      </c>
      <c r="I5700" t="s">
        <v>82</v>
      </c>
      <c r="J5700" t="s">
        <v>83</v>
      </c>
      <c r="K5700" t="s">
        <v>19</v>
      </c>
      <c r="L5700" t="s">
        <v>27</v>
      </c>
      <c r="M5700" t="s">
        <v>27</v>
      </c>
      <c r="N5700" t="s">
        <v>22</v>
      </c>
    </row>
    <row r="5701" spans="1:14">
      <c r="A5701" s="4" t="str">
        <f t="shared" si="540"/>
        <v>EXP00204</v>
      </c>
      <c r="B5701" s="4" t="str">
        <f t="shared" si="541"/>
        <v>25650662</v>
      </c>
      <c r="C5701" s="4" t="str">
        <f t="shared" si="542"/>
        <v>GSE54492</v>
      </c>
      <c r="D5701" s="1" t="s">
        <v>314</v>
      </c>
      <c r="E5701" t="s">
        <v>84</v>
      </c>
      <c r="F5701" s="1">
        <v>2</v>
      </c>
      <c r="G5701" s="1" t="s">
        <v>315</v>
      </c>
      <c r="H5701" s="4" t="str">
        <f>HYPERLINK("https://www.ncbi.nlm.nih.gov/geo/query/acc.cgi?acc=GSM1316781","GSM1316781")</f>
        <v>GSM1316781</v>
      </c>
      <c r="I5701" t="s">
        <v>82</v>
      </c>
      <c r="J5701" t="s">
        <v>83</v>
      </c>
      <c r="K5701" t="s">
        <v>19</v>
      </c>
      <c r="L5701" t="s">
        <v>27</v>
      </c>
      <c r="M5701" t="s">
        <v>27</v>
      </c>
      <c r="N5701" t="s">
        <v>22</v>
      </c>
    </row>
    <row r="5702" spans="1:14">
      <c r="A5702" s="4" t="str">
        <f t="shared" si="540"/>
        <v>EXP00204</v>
      </c>
      <c r="B5702" s="4" t="str">
        <f t="shared" si="541"/>
        <v>25650662</v>
      </c>
      <c r="C5702" s="4" t="str">
        <f t="shared" si="542"/>
        <v>GSE54492</v>
      </c>
      <c r="D5702" s="1" t="s">
        <v>314</v>
      </c>
      <c r="E5702" t="s">
        <v>84</v>
      </c>
      <c r="F5702" s="1">
        <v>2</v>
      </c>
      <c r="G5702" s="1" t="s">
        <v>315</v>
      </c>
      <c r="H5702" s="4" t="str">
        <f>HYPERLINK("https://www.ncbi.nlm.nih.gov/geo/query/acc.cgi?acc=GSM1316782","GSM1316782")</f>
        <v>GSM1316782</v>
      </c>
      <c r="I5702" t="s">
        <v>82</v>
      </c>
      <c r="J5702" t="s">
        <v>83</v>
      </c>
      <c r="K5702" t="s">
        <v>19</v>
      </c>
      <c r="L5702" t="s">
        <v>27</v>
      </c>
      <c r="M5702" t="s">
        <v>27</v>
      </c>
      <c r="N5702" t="s">
        <v>22</v>
      </c>
    </row>
    <row r="5703" spans="1:14">
      <c r="A5703" s="4" t="str">
        <f t="shared" si="540"/>
        <v>EXP00204</v>
      </c>
      <c r="B5703" s="4" t="str">
        <f t="shared" si="541"/>
        <v>25650662</v>
      </c>
      <c r="C5703" s="4" t="str">
        <f t="shared" si="542"/>
        <v>GSE54492</v>
      </c>
      <c r="D5703" s="1" t="s">
        <v>314</v>
      </c>
      <c r="E5703" t="s">
        <v>84</v>
      </c>
      <c r="F5703" s="1">
        <v>2</v>
      </c>
      <c r="G5703" s="1" t="s">
        <v>315</v>
      </c>
      <c r="H5703" s="4" t="str">
        <f>HYPERLINK("https://www.ncbi.nlm.nih.gov/geo/query/acc.cgi?acc=GSM1316783","GSM1316783")</f>
        <v>GSM1316783</v>
      </c>
      <c r="I5703" t="s">
        <v>82</v>
      </c>
      <c r="J5703" t="s">
        <v>83</v>
      </c>
      <c r="K5703" t="s">
        <v>19</v>
      </c>
      <c r="L5703" t="s">
        <v>27</v>
      </c>
      <c r="M5703" t="s">
        <v>27</v>
      </c>
      <c r="N5703" t="s">
        <v>22</v>
      </c>
    </row>
    <row r="5704" spans="1:14">
      <c r="A5704" s="4" t="str">
        <f t="shared" si="540"/>
        <v>EXP00204</v>
      </c>
      <c r="B5704" s="4" t="str">
        <f t="shared" si="541"/>
        <v>25650662</v>
      </c>
      <c r="C5704" s="4" t="str">
        <f t="shared" si="542"/>
        <v>GSE54492</v>
      </c>
      <c r="D5704" s="1" t="s">
        <v>314</v>
      </c>
      <c r="E5704" t="s">
        <v>84</v>
      </c>
      <c r="F5704" s="1">
        <v>2</v>
      </c>
      <c r="G5704" s="1" t="s">
        <v>315</v>
      </c>
      <c r="H5704" s="4" t="str">
        <f>HYPERLINK("https://www.ncbi.nlm.nih.gov/geo/query/acc.cgi?acc=GSM1316784","GSM1316784")</f>
        <v>GSM1316784</v>
      </c>
      <c r="I5704" t="s">
        <v>82</v>
      </c>
      <c r="J5704" t="s">
        <v>83</v>
      </c>
      <c r="K5704" t="s">
        <v>19</v>
      </c>
      <c r="L5704" t="s">
        <v>27</v>
      </c>
      <c r="M5704" t="s">
        <v>27</v>
      </c>
      <c r="N5704" t="s">
        <v>22</v>
      </c>
    </row>
    <row r="5705" spans="1:14">
      <c r="A5705" s="4" t="str">
        <f t="shared" si="540"/>
        <v>EXP00204</v>
      </c>
      <c r="B5705" s="4" t="str">
        <f t="shared" si="541"/>
        <v>25650662</v>
      </c>
      <c r="C5705" s="4" t="str">
        <f t="shared" si="542"/>
        <v>GSE54492</v>
      </c>
      <c r="D5705" s="1" t="s">
        <v>314</v>
      </c>
      <c r="E5705" t="s">
        <v>84</v>
      </c>
      <c r="F5705" s="1">
        <v>2</v>
      </c>
      <c r="G5705" s="1" t="s">
        <v>315</v>
      </c>
      <c r="H5705" s="4" t="str">
        <f>HYPERLINK("https://www.ncbi.nlm.nih.gov/geo/query/acc.cgi?acc=GSM1316785","GSM1316785")</f>
        <v>GSM1316785</v>
      </c>
      <c r="I5705" t="s">
        <v>82</v>
      </c>
      <c r="J5705" t="s">
        <v>83</v>
      </c>
      <c r="K5705" t="s">
        <v>19</v>
      </c>
      <c r="L5705" t="s">
        <v>27</v>
      </c>
      <c r="M5705" t="s">
        <v>27</v>
      </c>
      <c r="N5705" t="s">
        <v>22</v>
      </c>
    </row>
    <row r="5706" spans="1:14">
      <c r="A5706" s="4" t="str">
        <f t="shared" si="540"/>
        <v>EXP00204</v>
      </c>
      <c r="B5706" s="4" t="str">
        <f t="shared" si="541"/>
        <v>25650662</v>
      </c>
      <c r="C5706" s="4" t="str">
        <f t="shared" si="542"/>
        <v>GSE54492</v>
      </c>
      <c r="D5706" s="1" t="s">
        <v>314</v>
      </c>
      <c r="E5706" t="s">
        <v>84</v>
      </c>
      <c r="F5706" s="1">
        <v>2</v>
      </c>
      <c r="G5706" s="1" t="s">
        <v>315</v>
      </c>
      <c r="H5706" s="4" t="str">
        <f>HYPERLINK("https://www.ncbi.nlm.nih.gov/geo/query/acc.cgi?acc=GSM1316786","GSM1316786")</f>
        <v>GSM1316786</v>
      </c>
      <c r="I5706" t="s">
        <v>82</v>
      </c>
      <c r="J5706" t="s">
        <v>83</v>
      </c>
      <c r="K5706" t="s">
        <v>19</v>
      </c>
      <c r="L5706" t="s">
        <v>27</v>
      </c>
      <c r="M5706" t="s">
        <v>27</v>
      </c>
      <c r="N5706" t="s">
        <v>22</v>
      </c>
    </row>
    <row r="5707" spans="1:14">
      <c r="A5707" s="4" t="str">
        <f t="shared" si="540"/>
        <v>EXP00204</v>
      </c>
      <c r="B5707" s="4" t="str">
        <f t="shared" si="541"/>
        <v>25650662</v>
      </c>
      <c r="C5707" s="4" t="str">
        <f t="shared" si="542"/>
        <v>GSE54492</v>
      </c>
      <c r="D5707" s="1" t="s">
        <v>314</v>
      </c>
      <c r="E5707" t="s">
        <v>84</v>
      </c>
      <c r="F5707" s="1">
        <v>2</v>
      </c>
      <c r="G5707" s="1" t="s">
        <v>315</v>
      </c>
      <c r="H5707" s="4" t="str">
        <f>HYPERLINK("https://www.ncbi.nlm.nih.gov/geo/query/acc.cgi?acc=GSM1316787","GSM1316787")</f>
        <v>GSM1316787</v>
      </c>
      <c r="I5707" t="s">
        <v>82</v>
      </c>
      <c r="J5707" t="s">
        <v>83</v>
      </c>
      <c r="K5707" t="s">
        <v>19</v>
      </c>
      <c r="L5707" t="s">
        <v>27</v>
      </c>
      <c r="M5707" t="s">
        <v>27</v>
      </c>
      <c r="N5707" t="s">
        <v>22</v>
      </c>
    </row>
    <row r="5708" spans="1:14">
      <c r="A5708" s="4" t="str">
        <f t="shared" ref="A5708:A5732" si="543">HYPERLINK("http://hcmdb.i-sanger.com/experiment/details/experiment_id/EXP00205","EXP00205")</f>
        <v>EXP00205</v>
      </c>
      <c r="B5708" s="4" t="str">
        <f t="shared" si="541"/>
        <v>25650662</v>
      </c>
      <c r="C5708" s="4" t="str">
        <f t="shared" si="542"/>
        <v>GSE54492</v>
      </c>
      <c r="D5708" s="1" t="s">
        <v>314</v>
      </c>
      <c r="E5708" t="s">
        <v>89</v>
      </c>
      <c r="F5708" s="1">
        <v>1</v>
      </c>
      <c r="G5708" s="1" t="s">
        <v>26</v>
      </c>
      <c r="H5708" s="4" t="str">
        <f>HYPERLINK("https://www.ncbi.nlm.nih.gov/geo/query/acc.cgi?acc=GSM1316771","GSM1316771")</f>
        <v>GSM1316771</v>
      </c>
      <c r="I5708" t="s">
        <v>82</v>
      </c>
      <c r="J5708" t="s">
        <v>83</v>
      </c>
      <c r="K5708" t="s">
        <v>19</v>
      </c>
      <c r="L5708" t="s">
        <v>27</v>
      </c>
      <c r="M5708" t="s">
        <v>24</v>
      </c>
      <c r="N5708" t="s">
        <v>22</v>
      </c>
    </row>
    <row r="5709" spans="1:14">
      <c r="A5709" s="4" t="str">
        <f t="shared" si="543"/>
        <v>EXP00205</v>
      </c>
      <c r="B5709" s="4" t="str">
        <f t="shared" si="541"/>
        <v>25650662</v>
      </c>
      <c r="C5709" s="4" t="str">
        <f t="shared" si="542"/>
        <v>GSE54492</v>
      </c>
      <c r="D5709" s="1" t="s">
        <v>314</v>
      </c>
      <c r="E5709" t="s">
        <v>89</v>
      </c>
      <c r="F5709" s="1">
        <v>1</v>
      </c>
      <c r="G5709" s="1" t="s">
        <v>26</v>
      </c>
      <c r="H5709" s="4" t="str">
        <f>HYPERLINK("https://www.ncbi.nlm.nih.gov/geo/query/acc.cgi?acc=GSM1316772","GSM1316772")</f>
        <v>GSM1316772</v>
      </c>
      <c r="I5709" t="s">
        <v>82</v>
      </c>
      <c r="J5709" t="s">
        <v>83</v>
      </c>
      <c r="K5709" t="s">
        <v>19</v>
      </c>
      <c r="L5709" t="s">
        <v>27</v>
      </c>
      <c r="M5709" t="s">
        <v>24</v>
      </c>
      <c r="N5709" t="s">
        <v>22</v>
      </c>
    </row>
    <row r="5710" spans="1:14">
      <c r="A5710" s="4" t="str">
        <f t="shared" si="543"/>
        <v>EXP00205</v>
      </c>
      <c r="B5710" s="4" t="str">
        <f t="shared" si="541"/>
        <v>25650662</v>
      </c>
      <c r="C5710" s="4" t="str">
        <f t="shared" si="542"/>
        <v>GSE54492</v>
      </c>
      <c r="D5710" s="1" t="s">
        <v>314</v>
      </c>
      <c r="E5710" t="s">
        <v>89</v>
      </c>
      <c r="F5710" s="1">
        <v>1</v>
      </c>
      <c r="G5710" s="1" t="s">
        <v>26</v>
      </c>
      <c r="H5710" s="4" t="str">
        <f>HYPERLINK("https://www.ncbi.nlm.nih.gov/geo/query/acc.cgi?acc=GSM1316773","GSM1316773")</f>
        <v>GSM1316773</v>
      </c>
      <c r="I5710" t="s">
        <v>82</v>
      </c>
      <c r="J5710" t="s">
        <v>83</v>
      </c>
      <c r="K5710" t="s">
        <v>19</v>
      </c>
      <c r="L5710" t="s">
        <v>27</v>
      </c>
      <c r="M5710" t="s">
        <v>24</v>
      </c>
      <c r="N5710" t="s">
        <v>22</v>
      </c>
    </row>
    <row r="5711" spans="1:14">
      <c r="A5711" s="4" t="str">
        <f t="shared" si="543"/>
        <v>EXP00205</v>
      </c>
      <c r="B5711" s="4" t="str">
        <f t="shared" si="541"/>
        <v>25650662</v>
      </c>
      <c r="C5711" s="4" t="str">
        <f t="shared" si="542"/>
        <v>GSE54492</v>
      </c>
      <c r="D5711" s="1" t="s">
        <v>314</v>
      </c>
      <c r="E5711" t="s">
        <v>89</v>
      </c>
      <c r="F5711" s="1">
        <v>1</v>
      </c>
      <c r="G5711" s="1" t="s">
        <v>26</v>
      </c>
      <c r="H5711" s="4" t="str">
        <f>HYPERLINK("https://www.ncbi.nlm.nih.gov/geo/query/acc.cgi?acc=GSM1316774","GSM1316774")</f>
        <v>GSM1316774</v>
      </c>
      <c r="I5711" t="s">
        <v>82</v>
      </c>
      <c r="J5711" t="s">
        <v>83</v>
      </c>
      <c r="K5711" t="s">
        <v>19</v>
      </c>
      <c r="L5711" t="s">
        <v>27</v>
      </c>
      <c r="M5711" t="s">
        <v>24</v>
      </c>
      <c r="N5711" t="s">
        <v>22</v>
      </c>
    </row>
    <row r="5712" spans="1:14">
      <c r="A5712" s="4" t="str">
        <f t="shared" si="543"/>
        <v>EXP00205</v>
      </c>
      <c r="B5712" s="4" t="str">
        <f t="shared" si="541"/>
        <v>25650662</v>
      </c>
      <c r="C5712" s="4" t="str">
        <f t="shared" si="542"/>
        <v>GSE54492</v>
      </c>
      <c r="D5712" s="1" t="s">
        <v>314</v>
      </c>
      <c r="E5712" t="s">
        <v>89</v>
      </c>
      <c r="F5712" s="1">
        <v>1</v>
      </c>
      <c r="G5712" s="1" t="s">
        <v>26</v>
      </c>
      <c r="H5712" s="4" t="str">
        <f>HYPERLINK("https://www.ncbi.nlm.nih.gov/geo/query/acc.cgi?acc=GSM1316775","GSM1316775")</f>
        <v>GSM1316775</v>
      </c>
      <c r="I5712" t="s">
        <v>82</v>
      </c>
      <c r="J5712" t="s">
        <v>83</v>
      </c>
      <c r="K5712" t="s">
        <v>19</v>
      </c>
      <c r="L5712" t="s">
        <v>27</v>
      </c>
      <c r="M5712" t="s">
        <v>24</v>
      </c>
      <c r="N5712" t="s">
        <v>22</v>
      </c>
    </row>
    <row r="5713" spans="1:14">
      <c r="A5713" s="4" t="str">
        <f t="shared" si="543"/>
        <v>EXP00205</v>
      </c>
      <c r="B5713" s="4" t="str">
        <f t="shared" si="541"/>
        <v>25650662</v>
      </c>
      <c r="C5713" s="4" t="str">
        <f t="shared" si="542"/>
        <v>GSE54492</v>
      </c>
      <c r="D5713" s="1" t="s">
        <v>314</v>
      </c>
      <c r="E5713" t="s">
        <v>89</v>
      </c>
      <c r="F5713" s="1">
        <v>1</v>
      </c>
      <c r="G5713" s="1" t="s">
        <v>26</v>
      </c>
      <c r="H5713" s="4" t="str">
        <f>HYPERLINK("https://www.ncbi.nlm.nih.gov/geo/query/acc.cgi?acc=GSM1316776","GSM1316776")</f>
        <v>GSM1316776</v>
      </c>
      <c r="I5713" t="s">
        <v>82</v>
      </c>
      <c r="J5713" t="s">
        <v>83</v>
      </c>
      <c r="K5713" t="s">
        <v>19</v>
      </c>
      <c r="L5713" t="s">
        <v>27</v>
      </c>
      <c r="M5713" t="s">
        <v>24</v>
      </c>
      <c r="N5713" t="s">
        <v>22</v>
      </c>
    </row>
    <row r="5714" spans="1:14">
      <c r="A5714" s="4" t="str">
        <f t="shared" si="543"/>
        <v>EXP00205</v>
      </c>
      <c r="B5714" s="4" t="str">
        <f t="shared" si="541"/>
        <v>25650662</v>
      </c>
      <c r="C5714" s="4" t="str">
        <f t="shared" si="542"/>
        <v>GSE54492</v>
      </c>
      <c r="D5714" s="1" t="s">
        <v>314</v>
      </c>
      <c r="E5714" t="s">
        <v>89</v>
      </c>
      <c r="F5714" s="1">
        <v>1</v>
      </c>
      <c r="G5714" s="1" t="s">
        <v>26</v>
      </c>
      <c r="H5714" s="4" t="str">
        <f>HYPERLINK("https://www.ncbi.nlm.nih.gov/geo/query/acc.cgi?acc=GSM1316777","GSM1316777")</f>
        <v>GSM1316777</v>
      </c>
      <c r="I5714" t="s">
        <v>82</v>
      </c>
      <c r="J5714" t="s">
        <v>83</v>
      </c>
      <c r="K5714" t="s">
        <v>19</v>
      </c>
      <c r="L5714" t="s">
        <v>27</v>
      </c>
      <c r="M5714" t="s">
        <v>24</v>
      </c>
      <c r="N5714" t="s">
        <v>22</v>
      </c>
    </row>
    <row r="5715" spans="1:14">
      <c r="A5715" s="4" t="str">
        <f t="shared" si="543"/>
        <v>EXP00205</v>
      </c>
      <c r="B5715" s="4" t="str">
        <f t="shared" si="541"/>
        <v>25650662</v>
      </c>
      <c r="C5715" s="4" t="str">
        <f t="shared" si="542"/>
        <v>GSE54492</v>
      </c>
      <c r="D5715" s="1" t="s">
        <v>314</v>
      </c>
      <c r="E5715" t="s">
        <v>89</v>
      </c>
      <c r="F5715" s="1">
        <v>1</v>
      </c>
      <c r="G5715" s="1" t="s">
        <v>26</v>
      </c>
      <c r="H5715" s="4" t="str">
        <f>HYPERLINK("https://www.ncbi.nlm.nih.gov/geo/query/acc.cgi?acc=GSM1316778","GSM1316778")</f>
        <v>GSM1316778</v>
      </c>
      <c r="I5715" t="s">
        <v>82</v>
      </c>
      <c r="J5715" t="s">
        <v>83</v>
      </c>
      <c r="K5715" t="s">
        <v>19</v>
      </c>
      <c r="L5715" t="s">
        <v>27</v>
      </c>
      <c r="M5715" t="s">
        <v>24</v>
      </c>
      <c r="N5715" t="s">
        <v>22</v>
      </c>
    </row>
    <row r="5716" spans="1:14">
      <c r="A5716" s="4" t="str">
        <f t="shared" si="543"/>
        <v>EXP00205</v>
      </c>
      <c r="B5716" s="4" t="str">
        <f t="shared" si="541"/>
        <v>25650662</v>
      </c>
      <c r="C5716" s="4" t="str">
        <f t="shared" si="542"/>
        <v>GSE54492</v>
      </c>
      <c r="D5716" s="1" t="s">
        <v>314</v>
      </c>
      <c r="E5716" t="s">
        <v>89</v>
      </c>
      <c r="F5716" s="1">
        <v>1</v>
      </c>
      <c r="G5716" s="1" t="s">
        <v>26</v>
      </c>
      <c r="H5716" s="4" t="str">
        <f>HYPERLINK("https://www.ncbi.nlm.nih.gov/geo/query/acc.cgi?acc=GSM1316779","GSM1316779")</f>
        <v>GSM1316779</v>
      </c>
      <c r="I5716" t="s">
        <v>82</v>
      </c>
      <c r="J5716" t="s">
        <v>83</v>
      </c>
      <c r="K5716" t="s">
        <v>19</v>
      </c>
      <c r="L5716" t="s">
        <v>27</v>
      </c>
      <c r="M5716" t="s">
        <v>24</v>
      </c>
      <c r="N5716" t="s">
        <v>22</v>
      </c>
    </row>
    <row r="5717" spans="1:14">
      <c r="A5717" s="4" t="str">
        <f t="shared" si="543"/>
        <v>EXP00205</v>
      </c>
      <c r="B5717" s="4" t="str">
        <f t="shared" si="541"/>
        <v>25650662</v>
      </c>
      <c r="C5717" s="4" t="str">
        <f t="shared" si="542"/>
        <v>GSE54492</v>
      </c>
      <c r="D5717" s="1" t="s">
        <v>314</v>
      </c>
      <c r="E5717" t="s">
        <v>89</v>
      </c>
      <c r="F5717" s="1">
        <v>1</v>
      </c>
      <c r="G5717" s="1" t="s">
        <v>26</v>
      </c>
      <c r="H5717" s="4" t="str">
        <f>HYPERLINK("https://www.ncbi.nlm.nih.gov/geo/query/acc.cgi?acc=GSM1316780","GSM1316780")</f>
        <v>GSM1316780</v>
      </c>
      <c r="I5717" t="s">
        <v>82</v>
      </c>
      <c r="J5717" t="s">
        <v>83</v>
      </c>
      <c r="K5717" t="s">
        <v>19</v>
      </c>
      <c r="L5717" t="s">
        <v>27</v>
      </c>
      <c r="M5717" t="s">
        <v>27</v>
      </c>
      <c r="N5717" t="s">
        <v>22</v>
      </c>
    </row>
    <row r="5718" spans="1:14">
      <c r="A5718" s="4" t="str">
        <f t="shared" si="543"/>
        <v>EXP00205</v>
      </c>
      <c r="B5718" s="4" t="str">
        <f t="shared" si="541"/>
        <v>25650662</v>
      </c>
      <c r="C5718" s="4" t="str">
        <f t="shared" si="542"/>
        <v>GSE54492</v>
      </c>
      <c r="D5718" s="1" t="s">
        <v>314</v>
      </c>
      <c r="E5718" t="s">
        <v>89</v>
      </c>
      <c r="F5718" s="1">
        <v>1</v>
      </c>
      <c r="G5718" s="1" t="s">
        <v>26</v>
      </c>
      <c r="H5718" s="4" t="str">
        <f>HYPERLINK("https://www.ncbi.nlm.nih.gov/geo/query/acc.cgi?acc=GSM1316781","GSM1316781")</f>
        <v>GSM1316781</v>
      </c>
      <c r="I5718" t="s">
        <v>82</v>
      </c>
      <c r="J5718" t="s">
        <v>83</v>
      </c>
      <c r="K5718" t="s">
        <v>19</v>
      </c>
      <c r="L5718" t="s">
        <v>27</v>
      </c>
      <c r="M5718" t="s">
        <v>27</v>
      </c>
      <c r="N5718" t="s">
        <v>22</v>
      </c>
    </row>
    <row r="5719" spans="1:14">
      <c r="A5719" s="4" t="str">
        <f t="shared" si="543"/>
        <v>EXP00205</v>
      </c>
      <c r="B5719" s="4" t="str">
        <f t="shared" si="541"/>
        <v>25650662</v>
      </c>
      <c r="C5719" s="4" t="str">
        <f t="shared" si="542"/>
        <v>GSE54492</v>
      </c>
      <c r="D5719" s="1" t="s">
        <v>314</v>
      </c>
      <c r="E5719" t="s">
        <v>89</v>
      </c>
      <c r="F5719" s="1">
        <v>1</v>
      </c>
      <c r="G5719" s="1" t="s">
        <v>26</v>
      </c>
      <c r="H5719" s="4" t="str">
        <f>HYPERLINK("https://www.ncbi.nlm.nih.gov/geo/query/acc.cgi?acc=GSM1316782","GSM1316782")</f>
        <v>GSM1316782</v>
      </c>
      <c r="I5719" t="s">
        <v>82</v>
      </c>
      <c r="J5719" t="s">
        <v>83</v>
      </c>
      <c r="K5719" t="s">
        <v>19</v>
      </c>
      <c r="L5719" t="s">
        <v>27</v>
      </c>
      <c r="M5719" t="s">
        <v>27</v>
      </c>
      <c r="N5719" t="s">
        <v>22</v>
      </c>
    </row>
    <row r="5720" spans="1:14">
      <c r="A5720" s="4" t="str">
        <f t="shared" si="543"/>
        <v>EXP00205</v>
      </c>
      <c r="B5720" s="4" t="str">
        <f t="shared" si="541"/>
        <v>25650662</v>
      </c>
      <c r="C5720" s="4" t="str">
        <f t="shared" si="542"/>
        <v>GSE54492</v>
      </c>
      <c r="D5720" s="1" t="s">
        <v>314</v>
      </c>
      <c r="E5720" t="s">
        <v>89</v>
      </c>
      <c r="F5720" s="1">
        <v>1</v>
      </c>
      <c r="G5720" s="1" t="s">
        <v>26</v>
      </c>
      <c r="H5720" s="4" t="str">
        <f>HYPERLINK("https://www.ncbi.nlm.nih.gov/geo/query/acc.cgi?acc=GSM1316783","GSM1316783")</f>
        <v>GSM1316783</v>
      </c>
      <c r="I5720" t="s">
        <v>82</v>
      </c>
      <c r="J5720" t="s">
        <v>83</v>
      </c>
      <c r="K5720" t="s">
        <v>19</v>
      </c>
      <c r="L5720" t="s">
        <v>27</v>
      </c>
      <c r="M5720" t="s">
        <v>27</v>
      </c>
      <c r="N5720" t="s">
        <v>22</v>
      </c>
    </row>
    <row r="5721" spans="1:14">
      <c r="A5721" s="4" t="str">
        <f t="shared" si="543"/>
        <v>EXP00205</v>
      </c>
      <c r="B5721" s="4" t="str">
        <f t="shared" si="541"/>
        <v>25650662</v>
      </c>
      <c r="C5721" s="4" t="str">
        <f t="shared" si="542"/>
        <v>GSE54492</v>
      </c>
      <c r="D5721" s="1" t="s">
        <v>314</v>
      </c>
      <c r="E5721" t="s">
        <v>89</v>
      </c>
      <c r="F5721" s="1">
        <v>1</v>
      </c>
      <c r="G5721" s="1" t="s">
        <v>26</v>
      </c>
      <c r="H5721" s="4" t="str">
        <f>HYPERLINK("https://www.ncbi.nlm.nih.gov/geo/query/acc.cgi?acc=GSM1316784","GSM1316784")</f>
        <v>GSM1316784</v>
      </c>
      <c r="I5721" t="s">
        <v>82</v>
      </c>
      <c r="J5721" t="s">
        <v>83</v>
      </c>
      <c r="K5721" t="s">
        <v>19</v>
      </c>
      <c r="L5721" t="s">
        <v>27</v>
      </c>
      <c r="M5721" t="s">
        <v>27</v>
      </c>
      <c r="N5721" t="s">
        <v>22</v>
      </c>
    </row>
    <row r="5722" spans="1:14">
      <c r="A5722" s="4" t="str">
        <f t="shared" si="543"/>
        <v>EXP00205</v>
      </c>
      <c r="B5722" s="4" t="str">
        <f t="shared" si="541"/>
        <v>25650662</v>
      </c>
      <c r="C5722" s="4" t="str">
        <f t="shared" si="542"/>
        <v>GSE54492</v>
      </c>
      <c r="D5722" s="1" t="s">
        <v>314</v>
      </c>
      <c r="E5722" t="s">
        <v>89</v>
      </c>
      <c r="F5722" s="1">
        <v>1</v>
      </c>
      <c r="G5722" s="1" t="s">
        <v>26</v>
      </c>
      <c r="H5722" s="4" t="str">
        <f>HYPERLINK("https://www.ncbi.nlm.nih.gov/geo/query/acc.cgi?acc=GSM1316785","GSM1316785")</f>
        <v>GSM1316785</v>
      </c>
      <c r="I5722" t="s">
        <v>82</v>
      </c>
      <c r="J5722" t="s">
        <v>83</v>
      </c>
      <c r="K5722" t="s">
        <v>19</v>
      </c>
      <c r="L5722" t="s">
        <v>27</v>
      </c>
      <c r="M5722" t="s">
        <v>27</v>
      </c>
      <c r="N5722" t="s">
        <v>22</v>
      </c>
    </row>
    <row r="5723" spans="1:14">
      <c r="A5723" s="4" t="str">
        <f t="shared" si="543"/>
        <v>EXP00205</v>
      </c>
      <c r="B5723" s="4" t="str">
        <f t="shared" si="541"/>
        <v>25650662</v>
      </c>
      <c r="C5723" s="4" t="str">
        <f t="shared" si="542"/>
        <v>GSE54492</v>
      </c>
      <c r="D5723" s="1" t="s">
        <v>314</v>
      </c>
      <c r="E5723" t="s">
        <v>89</v>
      </c>
      <c r="F5723" s="1">
        <v>1</v>
      </c>
      <c r="G5723" s="1" t="s">
        <v>26</v>
      </c>
      <c r="H5723" s="4" t="str">
        <f>HYPERLINK("https://www.ncbi.nlm.nih.gov/geo/query/acc.cgi?acc=GSM1316786","GSM1316786")</f>
        <v>GSM1316786</v>
      </c>
      <c r="I5723" t="s">
        <v>82</v>
      </c>
      <c r="J5723" t="s">
        <v>83</v>
      </c>
      <c r="K5723" t="s">
        <v>19</v>
      </c>
      <c r="L5723" t="s">
        <v>27</v>
      </c>
      <c r="M5723" t="s">
        <v>27</v>
      </c>
      <c r="N5723" t="s">
        <v>22</v>
      </c>
    </row>
    <row r="5724" spans="1:14">
      <c r="A5724" s="4" t="str">
        <f t="shared" si="543"/>
        <v>EXP00205</v>
      </c>
      <c r="B5724" s="4" t="str">
        <f t="shared" si="541"/>
        <v>25650662</v>
      </c>
      <c r="C5724" s="4" t="str">
        <f t="shared" si="542"/>
        <v>GSE54492</v>
      </c>
      <c r="D5724" s="1" t="s">
        <v>314</v>
      </c>
      <c r="E5724" t="s">
        <v>89</v>
      </c>
      <c r="F5724" s="1">
        <v>1</v>
      </c>
      <c r="G5724" s="1" t="s">
        <v>26</v>
      </c>
      <c r="H5724" s="4" t="str">
        <f>HYPERLINK("https://www.ncbi.nlm.nih.gov/geo/query/acc.cgi?acc=GSM1316787","GSM1316787")</f>
        <v>GSM1316787</v>
      </c>
      <c r="I5724" t="s">
        <v>82</v>
      </c>
      <c r="J5724" t="s">
        <v>83</v>
      </c>
      <c r="K5724" t="s">
        <v>19</v>
      </c>
      <c r="L5724" t="s">
        <v>27</v>
      </c>
      <c r="M5724" t="s">
        <v>27</v>
      </c>
      <c r="N5724" t="s">
        <v>22</v>
      </c>
    </row>
    <row r="5725" spans="1:14">
      <c r="A5725" s="4" t="str">
        <f t="shared" si="543"/>
        <v>EXP00205</v>
      </c>
      <c r="B5725" s="4" t="str">
        <f t="shared" si="541"/>
        <v>25650662</v>
      </c>
      <c r="C5725" s="4" t="str">
        <f t="shared" si="542"/>
        <v>GSE54492</v>
      </c>
      <c r="D5725" s="1" t="s">
        <v>314</v>
      </c>
      <c r="E5725" t="s">
        <v>89</v>
      </c>
      <c r="F5725" s="1">
        <v>2</v>
      </c>
      <c r="G5725" s="1" t="s">
        <v>28</v>
      </c>
      <c r="H5725" s="4" t="str">
        <f>HYPERLINK("https://www.ncbi.nlm.nih.gov/geo/query/acc.cgi?acc=GSM1316763","GSM1316763")</f>
        <v>GSM1316763</v>
      </c>
      <c r="I5725" t="s">
        <v>82</v>
      </c>
      <c r="J5725" t="s">
        <v>83</v>
      </c>
      <c r="K5725" t="s">
        <v>19</v>
      </c>
      <c r="L5725" t="s">
        <v>27</v>
      </c>
      <c r="M5725" t="s">
        <v>233</v>
      </c>
      <c r="N5725" t="s">
        <v>29</v>
      </c>
    </row>
    <row r="5726" spans="1:14">
      <c r="A5726" s="4" t="str">
        <f t="shared" si="543"/>
        <v>EXP00205</v>
      </c>
      <c r="B5726" s="4" t="str">
        <f t="shared" si="541"/>
        <v>25650662</v>
      </c>
      <c r="C5726" s="4" t="str">
        <f t="shared" si="542"/>
        <v>GSE54492</v>
      </c>
      <c r="D5726" s="1" t="s">
        <v>314</v>
      </c>
      <c r="E5726" t="s">
        <v>89</v>
      </c>
      <c r="F5726" s="1">
        <v>2</v>
      </c>
      <c r="G5726" s="1" t="s">
        <v>28</v>
      </c>
      <c r="H5726" s="4" t="str">
        <f>HYPERLINK("https://www.ncbi.nlm.nih.gov/geo/query/acc.cgi?acc=GSM1316764","GSM1316764")</f>
        <v>GSM1316764</v>
      </c>
      <c r="I5726" t="s">
        <v>82</v>
      </c>
      <c r="J5726" t="s">
        <v>83</v>
      </c>
      <c r="K5726" t="s">
        <v>19</v>
      </c>
      <c r="L5726" t="s">
        <v>27</v>
      </c>
      <c r="M5726" t="s">
        <v>233</v>
      </c>
      <c r="N5726" t="s">
        <v>29</v>
      </c>
    </row>
    <row r="5727" spans="1:14">
      <c r="A5727" s="4" t="str">
        <f t="shared" si="543"/>
        <v>EXP00205</v>
      </c>
      <c r="B5727" s="4" t="str">
        <f t="shared" si="541"/>
        <v>25650662</v>
      </c>
      <c r="C5727" s="4" t="str">
        <f t="shared" si="542"/>
        <v>GSE54492</v>
      </c>
      <c r="D5727" s="1" t="s">
        <v>314</v>
      </c>
      <c r="E5727" t="s">
        <v>89</v>
      </c>
      <c r="F5727" s="1">
        <v>2</v>
      </c>
      <c r="G5727" s="1" t="s">
        <v>28</v>
      </c>
      <c r="H5727" s="4" t="str">
        <f>HYPERLINK("https://www.ncbi.nlm.nih.gov/geo/query/acc.cgi?acc=GSM1316765","GSM1316765")</f>
        <v>GSM1316765</v>
      </c>
      <c r="I5727" t="s">
        <v>82</v>
      </c>
      <c r="J5727" t="s">
        <v>83</v>
      </c>
      <c r="K5727" t="s">
        <v>19</v>
      </c>
      <c r="L5727" t="s">
        <v>27</v>
      </c>
      <c r="M5727" t="s">
        <v>233</v>
      </c>
      <c r="N5727" t="s">
        <v>29</v>
      </c>
    </row>
    <row r="5728" spans="1:14">
      <c r="A5728" s="4" t="str">
        <f t="shared" si="543"/>
        <v>EXP00205</v>
      </c>
      <c r="B5728" s="4" t="str">
        <f t="shared" si="541"/>
        <v>25650662</v>
      </c>
      <c r="C5728" s="4" t="str">
        <f t="shared" si="542"/>
        <v>GSE54492</v>
      </c>
      <c r="D5728" s="1" t="s">
        <v>314</v>
      </c>
      <c r="E5728" t="s">
        <v>89</v>
      </c>
      <c r="F5728" s="1">
        <v>2</v>
      </c>
      <c r="G5728" s="1" t="s">
        <v>28</v>
      </c>
      <c r="H5728" s="4" t="str">
        <f>HYPERLINK("https://www.ncbi.nlm.nih.gov/geo/query/acc.cgi?acc=GSM1316766","GSM1316766")</f>
        <v>GSM1316766</v>
      </c>
      <c r="I5728" t="s">
        <v>82</v>
      </c>
      <c r="J5728" t="s">
        <v>83</v>
      </c>
      <c r="K5728" t="s">
        <v>19</v>
      </c>
      <c r="L5728" t="s">
        <v>27</v>
      </c>
      <c r="M5728" t="s">
        <v>233</v>
      </c>
      <c r="N5728" t="s">
        <v>29</v>
      </c>
    </row>
    <row r="5729" spans="1:14">
      <c r="A5729" s="4" t="str">
        <f t="shared" si="543"/>
        <v>EXP00205</v>
      </c>
      <c r="B5729" s="4" t="str">
        <f t="shared" si="541"/>
        <v>25650662</v>
      </c>
      <c r="C5729" s="4" t="str">
        <f t="shared" si="542"/>
        <v>GSE54492</v>
      </c>
      <c r="D5729" s="1" t="s">
        <v>314</v>
      </c>
      <c r="E5729" t="s">
        <v>89</v>
      </c>
      <c r="F5729" s="1">
        <v>2</v>
      </c>
      <c r="G5729" s="1" t="s">
        <v>28</v>
      </c>
      <c r="H5729" s="4" t="str">
        <f>HYPERLINK("https://www.ncbi.nlm.nih.gov/geo/query/acc.cgi?acc=GSM1316767","GSM1316767")</f>
        <v>GSM1316767</v>
      </c>
      <c r="I5729" t="s">
        <v>82</v>
      </c>
      <c r="J5729" t="s">
        <v>83</v>
      </c>
      <c r="K5729" t="s">
        <v>19</v>
      </c>
      <c r="L5729" t="s">
        <v>27</v>
      </c>
      <c r="M5729" t="s">
        <v>233</v>
      </c>
      <c r="N5729" t="s">
        <v>29</v>
      </c>
    </row>
    <row r="5730" spans="1:14">
      <c r="A5730" s="4" t="str">
        <f t="shared" si="543"/>
        <v>EXP00205</v>
      </c>
      <c r="B5730" s="4" t="str">
        <f t="shared" si="541"/>
        <v>25650662</v>
      </c>
      <c r="C5730" s="4" t="str">
        <f t="shared" si="542"/>
        <v>GSE54492</v>
      </c>
      <c r="D5730" s="1" t="s">
        <v>314</v>
      </c>
      <c r="E5730" t="s">
        <v>89</v>
      </c>
      <c r="F5730" s="1">
        <v>2</v>
      </c>
      <c r="G5730" s="1" t="s">
        <v>28</v>
      </c>
      <c r="H5730" s="4" t="str">
        <f>HYPERLINK("https://www.ncbi.nlm.nih.gov/geo/query/acc.cgi?acc=GSM1316768","GSM1316768")</f>
        <v>GSM1316768</v>
      </c>
      <c r="I5730" t="s">
        <v>82</v>
      </c>
      <c r="J5730" t="s">
        <v>83</v>
      </c>
      <c r="K5730" t="s">
        <v>19</v>
      </c>
      <c r="L5730" t="s">
        <v>27</v>
      </c>
      <c r="M5730" t="s">
        <v>233</v>
      </c>
      <c r="N5730" t="s">
        <v>29</v>
      </c>
    </row>
    <row r="5731" spans="1:14">
      <c r="A5731" s="4" t="str">
        <f t="shared" si="543"/>
        <v>EXP00205</v>
      </c>
      <c r="B5731" s="4" t="str">
        <f t="shared" si="541"/>
        <v>25650662</v>
      </c>
      <c r="C5731" s="4" t="str">
        <f t="shared" si="542"/>
        <v>GSE54492</v>
      </c>
      <c r="D5731" s="1" t="s">
        <v>314</v>
      </c>
      <c r="E5731" t="s">
        <v>89</v>
      </c>
      <c r="F5731" s="1">
        <v>2</v>
      </c>
      <c r="G5731" s="1" t="s">
        <v>28</v>
      </c>
      <c r="H5731" s="4" t="str">
        <f>HYPERLINK("https://www.ncbi.nlm.nih.gov/geo/query/acc.cgi?acc=GSM1316769","GSM1316769")</f>
        <v>GSM1316769</v>
      </c>
      <c r="I5731" t="s">
        <v>82</v>
      </c>
      <c r="J5731" t="s">
        <v>83</v>
      </c>
      <c r="K5731" t="s">
        <v>19</v>
      </c>
      <c r="L5731" t="s">
        <v>27</v>
      </c>
      <c r="M5731" t="s">
        <v>233</v>
      </c>
      <c r="N5731" t="s">
        <v>29</v>
      </c>
    </row>
    <row r="5732" spans="1:14">
      <c r="A5732" s="4" t="str">
        <f t="shared" si="543"/>
        <v>EXP00205</v>
      </c>
      <c r="B5732" s="4" t="str">
        <f t="shared" si="541"/>
        <v>25650662</v>
      </c>
      <c r="C5732" s="4" t="str">
        <f t="shared" si="542"/>
        <v>GSE54492</v>
      </c>
      <c r="D5732" s="1" t="s">
        <v>314</v>
      </c>
      <c r="E5732" t="s">
        <v>89</v>
      </c>
      <c r="F5732" s="1">
        <v>2</v>
      </c>
      <c r="G5732" s="1" t="s">
        <v>28</v>
      </c>
      <c r="H5732" s="4" t="str">
        <f>HYPERLINK("https://www.ncbi.nlm.nih.gov/geo/query/acc.cgi?acc=GSM1316770","GSM1316770")</f>
        <v>GSM1316770</v>
      </c>
      <c r="I5732" t="s">
        <v>82</v>
      </c>
      <c r="J5732" t="s">
        <v>83</v>
      </c>
      <c r="K5732" t="s">
        <v>19</v>
      </c>
      <c r="L5732" t="s">
        <v>27</v>
      </c>
      <c r="M5732" t="s">
        <v>233</v>
      </c>
      <c r="N5732" t="s">
        <v>29</v>
      </c>
    </row>
    <row r="5733" spans="1:14">
      <c r="A5733" s="4" t="str">
        <f t="shared" ref="A5733:A5740" si="544">HYPERLINK("http://hcmdb.i-sanger.com/experiment/details/experiment_id/EXP00206","EXP00206")</f>
        <v>EXP00206</v>
      </c>
      <c r="B5733" s="3" t="s">
        <v>66</v>
      </c>
      <c r="C5733" s="4" t="str">
        <f t="shared" ref="C5733:C5740" si="545">HYPERLINK("https://www.ncbi.nlm.nih.gov/geo/query/acc.cgi?acc=GSE55198","GSE55198")</f>
        <v>GSE55198</v>
      </c>
      <c r="D5733" s="1" t="s">
        <v>316</v>
      </c>
      <c r="E5733" t="s">
        <v>317</v>
      </c>
      <c r="F5733" s="1">
        <v>1</v>
      </c>
      <c r="G5733" s="1" t="s">
        <v>318</v>
      </c>
      <c r="H5733" s="4" t="str">
        <f>HYPERLINK("https://www.ncbi.nlm.nih.gov/geo/query/acc.cgi?acc=GSM1331401","GSM1331401")</f>
        <v>GSM1331401</v>
      </c>
      <c r="I5733" t="s">
        <v>319</v>
      </c>
      <c r="J5733" t="s">
        <v>320</v>
      </c>
      <c r="K5733" t="s">
        <v>19</v>
      </c>
      <c r="L5733" t="s">
        <v>321</v>
      </c>
      <c r="M5733" t="s">
        <v>24</v>
      </c>
      <c r="N5733" t="s">
        <v>22</v>
      </c>
    </row>
    <row r="5734" spans="1:14">
      <c r="A5734" s="4" t="str">
        <f t="shared" si="544"/>
        <v>EXP00206</v>
      </c>
      <c r="B5734" s="3" t="s">
        <v>66</v>
      </c>
      <c r="C5734" s="4" t="str">
        <f t="shared" si="545"/>
        <v>GSE55198</v>
      </c>
      <c r="D5734" s="1" t="s">
        <v>316</v>
      </c>
      <c r="E5734" t="s">
        <v>317</v>
      </c>
      <c r="F5734" s="1">
        <v>1</v>
      </c>
      <c r="G5734" s="1" t="s">
        <v>318</v>
      </c>
      <c r="H5734" s="4" t="str">
        <f>HYPERLINK("https://www.ncbi.nlm.nih.gov/geo/query/acc.cgi?acc=GSM1331402","GSM1331402")</f>
        <v>GSM1331402</v>
      </c>
      <c r="I5734" t="s">
        <v>319</v>
      </c>
      <c r="J5734" t="s">
        <v>320</v>
      </c>
      <c r="K5734" t="s">
        <v>19</v>
      </c>
      <c r="L5734" t="s">
        <v>321</v>
      </c>
      <c r="M5734" t="s">
        <v>24</v>
      </c>
      <c r="N5734" t="s">
        <v>22</v>
      </c>
    </row>
    <row r="5735" spans="1:14">
      <c r="A5735" s="4" t="str">
        <f t="shared" si="544"/>
        <v>EXP00206</v>
      </c>
      <c r="B5735" s="3" t="s">
        <v>66</v>
      </c>
      <c r="C5735" s="4" t="str">
        <f t="shared" si="545"/>
        <v>GSE55198</v>
      </c>
      <c r="D5735" s="1" t="s">
        <v>316</v>
      </c>
      <c r="E5735" t="s">
        <v>317</v>
      </c>
      <c r="F5735" s="1">
        <v>1</v>
      </c>
      <c r="G5735" s="1" t="s">
        <v>318</v>
      </c>
      <c r="H5735" s="4" t="str">
        <f>HYPERLINK("https://www.ncbi.nlm.nih.gov/geo/query/acc.cgi?acc=GSM1331403","GSM1331403")</f>
        <v>GSM1331403</v>
      </c>
      <c r="I5735" t="s">
        <v>319</v>
      </c>
      <c r="J5735" t="s">
        <v>320</v>
      </c>
      <c r="K5735" t="s">
        <v>19</v>
      </c>
      <c r="L5735" t="s">
        <v>321</v>
      </c>
      <c r="M5735" t="s">
        <v>24</v>
      </c>
      <c r="N5735" t="s">
        <v>22</v>
      </c>
    </row>
    <row r="5736" spans="1:14">
      <c r="A5736" s="4" t="str">
        <f t="shared" si="544"/>
        <v>EXP00206</v>
      </c>
      <c r="B5736" s="3" t="s">
        <v>66</v>
      </c>
      <c r="C5736" s="4" t="str">
        <f t="shared" si="545"/>
        <v>GSE55198</v>
      </c>
      <c r="D5736" s="1" t="s">
        <v>316</v>
      </c>
      <c r="E5736" t="s">
        <v>317</v>
      </c>
      <c r="F5736" s="1">
        <v>1</v>
      </c>
      <c r="G5736" s="1" t="s">
        <v>318</v>
      </c>
      <c r="H5736" s="4" t="str">
        <f>HYPERLINK("https://www.ncbi.nlm.nih.gov/geo/query/acc.cgi?acc=GSM1331404","GSM1331404")</f>
        <v>GSM1331404</v>
      </c>
      <c r="I5736" t="s">
        <v>319</v>
      </c>
      <c r="J5736" t="s">
        <v>320</v>
      </c>
      <c r="K5736" t="s">
        <v>19</v>
      </c>
      <c r="L5736" t="s">
        <v>321</v>
      </c>
      <c r="M5736" t="s">
        <v>24</v>
      </c>
      <c r="N5736" t="s">
        <v>22</v>
      </c>
    </row>
    <row r="5737" spans="1:14">
      <c r="A5737" s="4" t="str">
        <f t="shared" si="544"/>
        <v>EXP00206</v>
      </c>
      <c r="B5737" s="3" t="s">
        <v>66</v>
      </c>
      <c r="C5737" s="4" t="str">
        <f t="shared" si="545"/>
        <v>GSE55198</v>
      </c>
      <c r="D5737" s="1" t="s">
        <v>316</v>
      </c>
      <c r="E5737" t="s">
        <v>317</v>
      </c>
      <c r="F5737" s="1">
        <v>2</v>
      </c>
      <c r="G5737" s="1" t="s">
        <v>322</v>
      </c>
      <c r="H5737" s="4" t="str">
        <f>HYPERLINK("https://www.ncbi.nlm.nih.gov/geo/query/acc.cgi?acc=GSM1331405","GSM1331405")</f>
        <v>GSM1331405</v>
      </c>
      <c r="I5737" t="s">
        <v>319</v>
      </c>
      <c r="J5737" t="s">
        <v>320</v>
      </c>
      <c r="K5737" t="s">
        <v>19</v>
      </c>
      <c r="L5737" t="s">
        <v>321</v>
      </c>
      <c r="M5737" t="s">
        <v>51</v>
      </c>
      <c r="N5737" t="s">
        <v>22</v>
      </c>
    </row>
    <row r="5738" spans="1:14">
      <c r="A5738" s="4" t="str">
        <f t="shared" si="544"/>
        <v>EXP00206</v>
      </c>
      <c r="B5738" s="3" t="s">
        <v>66</v>
      </c>
      <c r="C5738" s="4" t="str">
        <f t="shared" si="545"/>
        <v>GSE55198</v>
      </c>
      <c r="D5738" s="1" t="s">
        <v>316</v>
      </c>
      <c r="E5738" t="s">
        <v>317</v>
      </c>
      <c r="F5738" s="1">
        <v>2</v>
      </c>
      <c r="G5738" s="1" t="s">
        <v>322</v>
      </c>
      <c r="H5738" s="4" t="str">
        <f>HYPERLINK("https://www.ncbi.nlm.nih.gov/geo/query/acc.cgi?acc=GSM1331406","GSM1331406")</f>
        <v>GSM1331406</v>
      </c>
      <c r="I5738" t="s">
        <v>319</v>
      </c>
      <c r="J5738" t="s">
        <v>320</v>
      </c>
      <c r="K5738" t="s">
        <v>19</v>
      </c>
      <c r="L5738" t="s">
        <v>321</v>
      </c>
      <c r="M5738" t="s">
        <v>51</v>
      </c>
      <c r="N5738" t="s">
        <v>22</v>
      </c>
    </row>
    <row r="5739" spans="1:14">
      <c r="A5739" s="4" t="str">
        <f t="shared" si="544"/>
        <v>EXP00206</v>
      </c>
      <c r="B5739" s="3" t="s">
        <v>66</v>
      </c>
      <c r="C5739" s="4" t="str">
        <f t="shared" si="545"/>
        <v>GSE55198</v>
      </c>
      <c r="D5739" s="1" t="s">
        <v>316</v>
      </c>
      <c r="E5739" t="s">
        <v>317</v>
      </c>
      <c r="F5739" s="1">
        <v>2</v>
      </c>
      <c r="G5739" s="1" t="s">
        <v>322</v>
      </c>
      <c r="H5739" s="4" t="str">
        <f>HYPERLINK("https://www.ncbi.nlm.nih.gov/geo/query/acc.cgi?acc=GSM1331407","GSM1331407")</f>
        <v>GSM1331407</v>
      </c>
      <c r="I5739" t="s">
        <v>319</v>
      </c>
      <c r="J5739" t="s">
        <v>320</v>
      </c>
      <c r="K5739" t="s">
        <v>19</v>
      </c>
      <c r="L5739" t="s">
        <v>321</v>
      </c>
      <c r="M5739" t="s">
        <v>51</v>
      </c>
      <c r="N5739" t="s">
        <v>22</v>
      </c>
    </row>
    <row r="5740" spans="1:14">
      <c r="A5740" s="4" t="str">
        <f t="shared" si="544"/>
        <v>EXP00206</v>
      </c>
      <c r="B5740" s="3" t="s">
        <v>66</v>
      </c>
      <c r="C5740" s="4" t="str">
        <f t="shared" si="545"/>
        <v>GSE55198</v>
      </c>
      <c r="D5740" s="1" t="s">
        <v>316</v>
      </c>
      <c r="E5740" t="s">
        <v>317</v>
      </c>
      <c r="F5740" s="1">
        <v>2</v>
      </c>
      <c r="G5740" s="1" t="s">
        <v>322</v>
      </c>
      <c r="H5740" s="4" t="str">
        <f>HYPERLINK("https://www.ncbi.nlm.nih.gov/geo/query/acc.cgi?acc=GSM1331408","GSM1331408")</f>
        <v>GSM1331408</v>
      </c>
      <c r="I5740" t="s">
        <v>319</v>
      </c>
      <c r="J5740" t="s">
        <v>320</v>
      </c>
      <c r="K5740" t="s">
        <v>19</v>
      </c>
      <c r="L5740" t="s">
        <v>321</v>
      </c>
      <c r="M5740" t="s">
        <v>51</v>
      </c>
      <c r="N5740" t="s">
        <v>22</v>
      </c>
    </row>
    <row r="5741" spans="1:14">
      <c r="A5741" s="4" t="str">
        <f t="shared" ref="A5741:A5758" si="546">HYPERLINK("http://hcmdb.i-sanger.com/experiment/details/experiment_id/EXP00207","EXP00207")</f>
        <v>EXP00207</v>
      </c>
      <c r="B5741" s="4" t="str">
        <f t="shared" ref="B5741:B5804" si="547">HYPERLINK("https://www.ncbi.nlm.nih.gov/pubmed/24921248","24921248")</f>
        <v>24921248</v>
      </c>
      <c r="C5741" s="4" t="str">
        <f t="shared" ref="C5741:C5804" si="548">HYPERLINK("https://www.ncbi.nlm.nih.gov/geo/query/acc.cgi?acc=GSE56350","GSE56350")</f>
        <v>GSE56350</v>
      </c>
      <c r="D5741" s="1" t="s">
        <v>323</v>
      </c>
      <c r="E5741" t="s">
        <v>72</v>
      </c>
      <c r="F5741" s="1">
        <v>1</v>
      </c>
      <c r="G5741" s="1" t="s">
        <v>26</v>
      </c>
      <c r="H5741" s="4" t="str">
        <f>HYPERLINK("https://www.ncbi.nlm.nih.gov/geo/query/acc.cgi?acc=GSM1359671","GSM1359671")</f>
        <v>GSM1359671</v>
      </c>
      <c r="I5741" t="s">
        <v>69</v>
      </c>
      <c r="J5741" t="s">
        <v>18</v>
      </c>
      <c r="K5741" t="s">
        <v>19</v>
      </c>
      <c r="L5741" t="s">
        <v>70</v>
      </c>
      <c r="M5741" t="s">
        <v>44</v>
      </c>
      <c r="N5741" t="s">
        <v>22</v>
      </c>
    </row>
    <row r="5742" spans="1:14">
      <c r="A5742" s="4" t="str">
        <f t="shared" si="546"/>
        <v>EXP00207</v>
      </c>
      <c r="B5742" s="4" t="str">
        <f t="shared" si="547"/>
        <v>24921248</v>
      </c>
      <c r="C5742" s="4" t="str">
        <f t="shared" si="548"/>
        <v>GSE56350</v>
      </c>
      <c r="D5742" s="1" t="s">
        <v>323</v>
      </c>
      <c r="E5742" t="s">
        <v>72</v>
      </c>
      <c r="F5742" s="1">
        <v>1</v>
      </c>
      <c r="G5742" s="1" t="s">
        <v>26</v>
      </c>
      <c r="H5742" s="4" t="str">
        <f>HYPERLINK("https://www.ncbi.nlm.nih.gov/geo/query/acc.cgi?acc=GSM1359673","GSM1359673")</f>
        <v>GSM1359673</v>
      </c>
      <c r="I5742" t="s">
        <v>69</v>
      </c>
      <c r="J5742" t="s">
        <v>18</v>
      </c>
      <c r="K5742" t="s">
        <v>19</v>
      </c>
      <c r="L5742" t="s">
        <v>70</v>
      </c>
      <c r="M5742" t="s">
        <v>44</v>
      </c>
      <c r="N5742" t="s">
        <v>22</v>
      </c>
    </row>
    <row r="5743" spans="1:14">
      <c r="A5743" s="4" t="str">
        <f t="shared" si="546"/>
        <v>EXP00207</v>
      </c>
      <c r="B5743" s="4" t="str">
        <f t="shared" si="547"/>
        <v>24921248</v>
      </c>
      <c r="C5743" s="4" t="str">
        <f t="shared" si="548"/>
        <v>GSE56350</v>
      </c>
      <c r="D5743" s="1" t="s">
        <v>323</v>
      </c>
      <c r="E5743" t="s">
        <v>72</v>
      </c>
      <c r="F5743" s="1">
        <v>1</v>
      </c>
      <c r="G5743" s="1" t="s">
        <v>26</v>
      </c>
      <c r="H5743" s="4" t="str">
        <f>HYPERLINK("https://www.ncbi.nlm.nih.gov/geo/query/acc.cgi?acc=GSM1359674","GSM1359674")</f>
        <v>GSM1359674</v>
      </c>
      <c r="I5743" t="s">
        <v>69</v>
      </c>
      <c r="J5743" t="s">
        <v>18</v>
      </c>
      <c r="K5743" t="s">
        <v>19</v>
      </c>
      <c r="L5743" t="s">
        <v>70</v>
      </c>
      <c r="M5743" t="s">
        <v>44</v>
      </c>
      <c r="N5743" t="s">
        <v>22</v>
      </c>
    </row>
    <row r="5744" spans="1:14">
      <c r="A5744" s="4" t="str">
        <f t="shared" si="546"/>
        <v>EXP00207</v>
      </c>
      <c r="B5744" s="4" t="str">
        <f t="shared" si="547"/>
        <v>24921248</v>
      </c>
      <c r="C5744" s="4" t="str">
        <f t="shared" si="548"/>
        <v>GSE56350</v>
      </c>
      <c r="D5744" s="1" t="s">
        <v>323</v>
      </c>
      <c r="E5744" t="s">
        <v>72</v>
      </c>
      <c r="F5744" s="1">
        <v>1</v>
      </c>
      <c r="G5744" s="1" t="s">
        <v>26</v>
      </c>
      <c r="H5744" s="4" t="str">
        <f>HYPERLINK("https://www.ncbi.nlm.nih.gov/geo/query/acc.cgi?acc=GSM1359677","GSM1359677")</f>
        <v>GSM1359677</v>
      </c>
      <c r="I5744" t="s">
        <v>69</v>
      </c>
      <c r="J5744" t="s">
        <v>18</v>
      </c>
      <c r="K5744" t="s">
        <v>19</v>
      </c>
      <c r="L5744" t="s">
        <v>70</v>
      </c>
      <c r="M5744" t="s">
        <v>44</v>
      </c>
      <c r="N5744" t="s">
        <v>22</v>
      </c>
    </row>
    <row r="5745" spans="1:14">
      <c r="A5745" s="4" t="str">
        <f t="shared" si="546"/>
        <v>EXP00207</v>
      </c>
      <c r="B5745" s="4" t="str">
        <f t="shared" si="547"/>
        <v>24921248</v>
      </c>
      <c r="C5745" s="4" t="str">
        <f t="shared" si="548"/>
        <v>GSE56350</v>
      </c>
      <c r="D5745" s="1" t="s">
        <v>323</v>
      </c>
      <c r="E5745" t="s">
        <v>72</v>
      </c>
      <c r="F5745" s="1">
        <v>1</v>
      </c>
      <c r="G5745" s="1" t="s">
        <v>26</v>
      </c>
      <c r="H5745" s="4" t="str">
        <f>HYPERLINK("https://www.ncbi.nlm.nih.gov/geo/query/acc.cgi?acc=GSM1359685","GSM1359685")</f>
        <v>GSM1359685</v>
      </c>
      <c r="I5745" t="s">
        <v>69</v>
      </c>
      <c r="J5745" t="s">
        <v>18</v>
      </c>
      <c r="K5745" t="s">
        <v>19</v>
      </c>
      <c r="L5745" t="s">
        <v>70</v>
      </c>
      <c r="M5745" t="s">
        <v>44</v>
      </c>
      <c r="N5745" t="s">
        <v>22</v>
      </c>
    </row>
    <row r="5746" spans="1:14">
      <c r="A5746" s="4" t="str">
        <f t="shared" si="546"/>
        <v>EXP00207</v>
      </c>
      <c r="B5746" s="4" t="str">
        <f t="shared" si="547"/>
        <v>24921248</v>
      </c>
      <c r="C5746" s="4" t="str">
        <f t="shared" si="548"/>
        <v>GSE56350</v>
      </c>
      <c r="D5746" s="1" t="s">
        <v>323</v>
      </c>
      <c r="E5746" t="s">
        <v>72</v>
      </c>
      <c r="F5746" s="1">
        <v>1</v>
      </c>
      <c r="G5746" s="1" t="s">
        <v>26</v>
      </c>
      <c r="H5746" s="4" t="str">
        <f>HYPERLINK("https://www.ncbi.nlm.nih.gov/geo/query/acc.cgi?acc=GSM1359689","GSM1359689")</f>
        <v>GSM1359689</v>
      </c>
      <c r="I5746" t="s">
        <v>69</v>
      </c>
      <c r="J5746" t="s">
        <v>18</v>
      </c>
      <c r="K5746" t="s">
        <v>19</v>
      </c>
      <c r="L5746" t="s">
        <v>70</v>
      </c>
      <c r="M5746" t="s">
        <v>44</v>
      </c>
      <c r="N5746" t="s">
        <v>22</v>
      </c>
    </row>
    <row r="5747" spans="1:14">
      <c r="A5747" s="4" t="str">
        <f t="shared" si="546"/>
        <v>EXP00207</v>
      </c>
      <c r="B5747" s="4" t="str">
        <f t="shared" si="547"/>
        <v>24921248</v>
      </c>
      <c r="C5747" s="4" t="str">
        <f t="shared" si="548"/>
        <v>GSE56350</v>
      </c>
      <c r="D5747" s="1" t="s">
        <v>323</v>
      </c>
      <c r="E5747" t="s">
        <v>72</v>
      </c>
      <c r="F5747" s="1">
        <v>1</v>
      </c>
      <c r="G5747" s="1" t="s">
        <v>26</v>
      </c>
      <c r="H5747" s="4" t="str">
        <f>HYPERLINK("https://www.ncbi.nlm.nih.gov/geo/query/acc.cgi?acc=GSM1359692","GSM1359692")</f>
        <v>GSM1359692</v>
      </c>
      <c r="I5747" t="s">
        <v>69</v>
      </c>
      <c r="J5747" t="s">
        <v>18</v>
      </c>
      <c r="K5747" t="s">
        <v>19</v>
      </c>
      <c r="L5747" t="s">
        <v>70</v>
      </c>
      <c r="M5747" t="s">
        <v>44</v>
      </c>
      <c r="N5747" t="s">
        <v>22</v>
      </c>
    </row>
    <row r="5748" spans="1:14">
      <c r="A5748" s="4" t="str">
        <f t="shared" si="546"/>
        <v>EXP00207</v>
      </c>
      <c r="B5748" s="4" t="str">
        <f t="shared" si="547"/>
        <v>24921248</v>
      </c>
      <c r="C5748" s="4" t="str">
        <f t="shared" si="548"/>
        <v>GSE56350</v>
      </c>
      <c r="D5748" s="1" t="s">
        <v>323</v>
      </c>
      <c r="E5748" t="s">
        <v>72</v>
      </c>
      <c r="F5748" s="1">
        <v>1</v>
      </c>
      <c r="G5748" s="1" t="s">
        <v>26</v>
      </c>
      <c r="H5748" s="4" t="str">
        <f>HYPERLINK("https://www.ncbi.nlm.nih.gov/geo/query/acc.cgi?acc=GSM1359695","GSM1359695")</f>
        <v>GSM1359695</v>
      </c>
      <c r="I5748" t="s">
        <v>69</v>
      </c>
      <c r="J5748" t="s">
        <v>18</v>
      </c>
      <c r="K5748" t="s">
        <v>19</v>
      </c>
      <c r="L5748" t="s">
        <v>70</v>
      </c>
      <c r="M5748" t="s">
        <v>44</v>
      </c>
      <c r="N5748" t="s">
        <v>22</v>
      </c>
    </row>
    <row r="5749" spans="1:14">
      <c r="A5749" s="4" t="str">
        <f t="shared" si="546"/>
        <v>EXP00207</v>
      </c>
      <c r="B5749" s="4" t="str">
        <f t="shared" si="547"/>
        <v>24921248</v>
      </c>
      <c r="C5749" s="4" t="str">
        <f t="shared" si="548"/>
        <v>GSE56350</v>
      </c>
      <c r="D5749" s="1" t="s">
        <v>323</v>
      </c>
      <c r="E5749" t="s">
        <v>72</v>
      </c>
      <c r="F5749" s="1">
        <v>1</v>
      </c>
      <c r="G5749" s="1" t="s">
        <v>26</v>
      </c>
      <c r="H5749" s="4" t="str">
        <f>HYPERLINK("https://www.ncbi.nlm.nih.gov/geo/query/acc.cgi?acc=GSM1359700","GSM1359700")</f>
        <v>GSM1359700</v>
      </c>
      <c r="I5749" t="s">
        <v>69</v>
      </c>
      <c r="J5749" t="s">
        <v>18</v>
      </c>
      <c r="K5749" t="s">
        <v>19</v>
      </c>
      <c r="L5749" t="s">
        <v>70</v>
      </c>
      <c r="M5749" t="s">
        <v>44</v>
      </c>
      <c r="N5749" t="s">
        <v>22</v>
      </c>
    </row>
    <row r="5750" spans="1:14">
      <c r="A5750" s="4" t="str">
        <f t="shared" si="546"/>
        <v>EXP00207</v>
      </c>
      <c r="B5750" s="4" t="str">
        <f t="shared" si="547"/>
        <v>24921248</v>
      </c>
      <c r="C5750" s="4" t="str">
        <f t="shared" si="548"/>
        <v>GSE56350</v>
      </c>
      <c r="D5750" s="1" t="s">
        <v>323</v>
      </c>
      <c r="E5750" t="s">
        <v>72</v>
      </c>
      <c r="F5750" s="1">
        <v>1</v>
      </c>
      <c r="G5750" s="1" t="s">
        <v>26</v>
      </c>
      <c r="H5750" s="4" t="str">
        <f>HYPERLINK("https://www.ncbi.nlm.nih.gov/geo/query/acc.cgi?acc=GSM1359703","GSM1359703")</f>
        <v>GSM1359703</v>
      </c>
      <c r="I5750" t="s">
        <v>69</v>
      </c>
      <c r="J5750" t="s">
        <v>18</v>
      </c>
      <c r="K5750" t="s">
        <v>19</v>
      </c>
      <c r="L5750" t="s">
        <v>70</v>
      </c>
      <c r="M5750" t="s">
        <v>44</v>
      </c>
      <c r="N5750" t="s">
        <v>22</v>
      </c>
    </row>
    <row r="5751" spans="1:14">
      <c r="A5751" s="4" t="str">
        <f t="shared" si="546"/>
        <v>EXP00207</v>
      </c>
      <c r="B5751" s="4" t="str">
        <f t="shared" si="547"/>
        <v>24921248</v>
      </c>
      <c r="C5751" s="4" t="str">
        <f t="shared" si="548"/>
        <v>GSE56350</v>
      </c>
      <c r="D5751" s="1" t="s">
        <v>323</v>
      </c>
      <c r="E5751" t="s">
        <v>72</v>
      </c>
      <c r="F5751" s="1">
        <v>1</v>
      </c>
      <c r="G5751" s="1" t="s">
        <v>26</v>
      </c>
      <c r="H5751" s="4" t="str">
        <f>HYPERLINK("https://www.ncbi.nlm.nih.gov/geo/query/acc.cgi?acc=GSM1359706","GSM1359706")</f>
        <v>GSM1359706</v>
      </c>
      <c r="I5751" t="s">
        <v>69</v>
      </c>
      <c r="J5751" t="s">
        <v>18</v>
      </c>
      <c r="K5751" t="s">
        <v>19</v>
      </c>
      <c r="L5751" t="s">
        <v>70</v>
      </c>
      <c r="M5751" t="s">
        <v>44</v>
      </c>
      <c r="N5751" t="s">
        <v>22</v>
      </c>
    </row>
    <row r="5752" spans="1:14">
      <c r="A5752" s="4" t="str">
        <f t="shared" si="546"/>
        <v>EXP00207</v>
      </c>
      <c r="B5752" s="4" t="str">
        <f t="shared" si="547"/>
        <v>24921248</v>
      </c>
      <c r="C5752" s="4" t="str">
        <f t="shared" si="548"/>
        <v>GSE56350</v>
      </c>
      <c r="D5752" s="1" t="s">
        <v>323</v>
      </c>
      <c r="E5752" t="s">
        <v>72</v>
      </c>
      <c r="F5752" s="1">
        <v>1</v>
      </c>
      <c r="G5752" s="1" t="s">
        <v>26</v>
      </c>
      <c r="H5752" s="4" t="str">
        <f>HYPERLINK("https://www.ncbi.nlm.nih.gov/geo/query/acc.cgi?acc=GSM1359709","GSM1359709")</f>
        <v>GSM1359709</v>
      </c>
      <c r="I5752" t="s">
        <v>69</v>
      </c>
      <c r="J5752" t="s">
        <v>18</v>
      </c>
      <c r="K5752" t="s">
        <v>19</v>
      </c>
      <c r="L5752" t="s">
        <v>70</v>
      </c>
      <c r="M5752" t="s">
        <v>44</v>
      </c>
      <c r="N5752" t="s">
        <v>22</v>
      </c>
    </row>
    <row r="5753" spans="1:14">
      <c r="A5753" s="4" t="str">
        <f t="shared" si="546"/>
        <v>EXP00207</v>
      </c>
      <c r="B5753" s="4" t="str">
        <f t="shared" si="547"/>
        <v>24921248</v>
      </c>
      <c r="C5753" s="4" t="str">
        <f t="shared" si="548"/>
        <v>GSE56350</v>
      </c>
      <c r="D5753" s="1" t="s">
        <v>323</v>
      </c>
      <c r="E5753" t="s">
        <v>72</v>
      </c>
      <c r="F5753" s="1">
        <v>1</v>
      </c>
      <c r="G5753" s="1" t="s">
        <v>26</v>
      </c>
      <c r="H5753" s="4" t="str">
        <f>HYPERLINK("https://www.ncbi.nlm.nih.gov/geo/query/acc.cgi?acc=GSM1359712","GSM1359712")</f>
        <v>GSM1359712</v>
      </c>
      <c r="I5753" t="s">
        <v>69</v>
      </c>
      <c r="J5753" t="s">
        <v>18</v>
      </c>
      <c r="K5753" t="s">
        <v>19</v>
      </c>
      <c r="L5753" t="s">
        <v>70</v>
      </c>
      <c r="M5753" t="s">
        <v>44</v>
      </c>
      <c r="N5753" t="s">
        <v>22</v>
      </c>
    </row>
    <row r="5754" spans="1:14">
      <c r="A5754" s="4" t="str">
        <f t="shared" si="546"/>
        <v>EXP00207</v>
      </c>
      <c r="B5754" s="4" t="str">
        <f t="shared" si="547"/>
        <v>24921248</v>
      </c>
      <c r="C5754" s="4" t="str">
        <f t="shared" si="548"/>
        <v>GSE56350</v>
      </c>
      <c r="D5754" s="1" t="s">
        <v>323</v>
      </c>
      <c r="E5754" t="s">
        <v>72</v>
      </c>
      <c r="F5754" s="1">
        <v>1</v>
      </c>
      <c r="G5754" s="1" t="s">
        <v>26</v>
      </c>
      <c r="H5754" s="4" t="str">
        <f>HYPERLINK("https://www.ncbi.nlm.nih.gov/geo/query/acc.cgi?acc=GSM1359715","GSM1359715")</f>
        <v>GSM1359715</v>
      </c>
      <c r="I5754" t="s">
        <v>69</v>
      </c>
      <c r="J5754" t="s">
        <v>18</v>
      </c>
      <c r="K5754" t="s">
        <v>19</v>
      </c>
      <c r="L5754" t="s">
        <v>70</v>
      </c>
      <c r="M5754" t="s">
        <v>44</v>
      </c>
      <c r="N5754" t="s">
        <v>22</v>
      </c>
    </row>
    <row r="5755" spans="1:14">
      <c r="A5755" s="4" t="str">
        <f t="shared" si="546"/>
        <v>EXP00207</v>
      </c>
      <c r="B5755" s="4" t="str">
        <f t="shared" si="547"/>
        <v>24921248</v>
      </c>
      <c r="C5755" s="4" t="str">
        <f t="shared" si="548"/>
        <v>GSE56350</v>
      </c>
      <c r="D5755" s="1" t="s">
        <v>323</v>
      </c>
      <c r="E5755" t="s">
        <v>72</v>
      </c>
      <c r="F5755" s="1">
        <v>1</v>
      </c>
      <c r="G5755" s="1" t="s">
        <v>26</v>
      </c>
      <c r="H5755" s="4" t="str">
        <f>HYPERLINK("https://www.ncbi.nlm.nih.gov/geo/query/acc.cgi?acc=GSM1359717","GSM1359717")</f>
        <v>GSM1359717</v>
      </c>
      <c r="I5755" t="s">
        <v>69</v>
      </c>
      <c r="J5755" t="s">
        <v>18</v>
      </c>
      <c r="K5755" t="s">
        <v>19</v>
      </c>
      <c r="L5755" t="s">
        <v>70</v>
      </c>
      <c r="M5755" t="s">
        <v>44</v>
      </c>
      <c r="N5755" t="s">
        <v>22</v>
      </c>
    </row>
    <row r="5756" spans="1:14">
      <c r="A5756" s="4" t="str">
        <f t="shared" si="546"/>
        <v>EXP00207</v>
      </c>
      <c r="B5756" s="4" t="str">
        <f t="shared" si="547"/>
        <v>24921248</v>
      </c>
      <c r="C5756" s="4" t="str">
        <f t="shared" si="548"/>
        <v>GSE56350</v>
      </c>
      <c r="D5756" s="1" t="s">
        <v>323</v>
      </c>
      <c r="E5756" t="s">
        <v>72</v>
      </c>
      <c r="F5756" s="1">
        <v>2</v>
      </c>
      <c r="G5756" s="1" t="s">
        <v>28</v>
      </c>
      <c r="H5756" s="4" t="str">
        <f>HYPERLINK("https://www.ncbi.nlm.nih.gov/geo/query/acc.cgi?acc=GSM1359672","GSM1359672")</f>
        <v>GSM1359672</v>
      </c>
      <c r="I5756" t="s">
        <v>69</v>
      </c>
      <c r="J5756" t="s">
        <v>18</v>
      </c>
      <c r="K5756" t="s">
        <v>19</v>
      </c>
      <c r="L5756" t="s">
        <v>70</v>
      </c>
      <c r="M5756" t="s">
        <v>44</v>
      </c>
      <c r="N5756" t="s">
        <v>29</v>
      </c>
    </row>
    <row r="5757" spans="1:14">
      <c r="A5757" s="4" t="str">
        <f t="shared" si="546"/>
        <v>EXP00207</v>
      </c>
      <c r="B5757" s="4" t="str">
        <f t="shared" si="547"/>
        <v>24921248</v>
      </c>
      <c r="C5757" s="4" t="str">
        <f t="shared" si="548"/>
        <v>GSE56350</v>
      </c>
      <c r="D5757" s="1" t="s">
        <v>323</v>
      </c>
      <c r="E5757" t="s">
        <v>72</v>
      </c>
      <c r="F5757" s="1">
        <v>2</v>
      </c>
      <c r="G5757" s="1" t="s">
        <v>28</v>
      </c>
      <c r="H5757" s="4" t="str">
        <f>HYPERLINK("https://www.ncbi.nlm.nih.gov/geo/query/acc.cgi?acc=GSM1359688","GSM1359688")</f>
        <v>GSM1359688</v>
      </c>
      <c r="I5757" t="s">
        <v>69</v>
      </c>
      <c r="J5757" t="s">
        <v>18</v>
      </c>
      <c r="K5757" t="s">
        <v>19</v>
      </c>
      <c r="L5757" t="s">
        <v>70</v>
      </c>
      <c r="M5757" t="s">
        <v>44</v>
      </c>
      <c r="N5757" t="s">
        <v>29</v>
      </c>
    </row>
    <row r="5758" spans="1:14">
      <c r="A5758" s="4" t="str">
        <f t="shared" si="546"/>
        <v>EXP00207</v>
      </c>
      <c r="B5758" s="4" t="str">
        <f t="shared" si="547"/>
        <v>24921248</v>
      </c>
      <c r="C5758" s="4" t="str">
        <f t="shared" si="548"/>
        <v>GSE56350</v>
      </c>
      <c r="D5758" s="1" t="s">
        <v>323</v>
      </c>
      <c r="E5758" t="s">
        <v>72</v>
      </c>
      <c r="F5758" s="1">
        <v>2</v>
      </c>
      <c r="G5758" s="1" t="s">
        <v>28</v>
      </c>
      <c r="H5758" s="4" t="str">
        <f>HYPERLINK("https://www.ncbi.nlm.nih.gov/geo/query/acc.cgi?acc=GSM1359716","GSM1359716")</f>
        <v>GSM1359716</v>
      </c>
      <c r="I5758" t="s">
        <v>69</v>
      </c>
      <c r="J5758" t="s">
        <v>18</v>
      </c>
      <c r="K5758" t="s">
        <v>19</v>
      </c>
      <c r="L5758" t="s">
        <v>70</v>
      </c>
      <c r="M5758" t="s">
        <v>44</v>
      </c>
      <c r="N5758" t="s">
        <v>29</v>
      </c>
    </row>
    <row r="5759" spans="1:14">
      <c r="A5759" s="4" t="str">
        <f t="shared" ref="A5759:A5790" si="549">HYPERLINK("http://hcmdb.i-sanger.com/experiment/details/experiment_id/EXP00208","EXP00208")</f>
        <v>EXP00208</v>
      </c>
      <c r="B5759" s="4" t="str">
        <f t="shared" si="547"/>
        <v>24921248</v>
      </c>
      <c r="C5759" s="4" t="str">
        <f t="shared" si="548"/>
        <v>GSE56350</v>
      </c>
      <c r="D5759" s="1" t="s">
        <v>323</v>
      </c>
      <c r="E5759" t="s">
        <v>151</v>
      </c>
      <c r="F5759" s="1">
        <v>1</v>
      </c>
      <c r="G5759" s="1" t="s">
        <v>26</v>
      </c>
      <c r="H5759" s="4" t="str">
        <f>HYPERLINK("https://www.ncbi.nlm.nih.gov/geo/query/acc.cgi?acc=GSM1359615","GSM1359615")</f>
        <v>GSM1359615</v>
      </c>
      <c r="I5759" t="s">
        <v>69</v>
      </c>
      <c r="J5759" t="s">
        <v>18</v>
      </c>
      <c r="K5759" t="s">
        <v>19</v>
      </c>
      <c r="L5759" t="s">
        <v>70</v>
      </c>
      <c r="M5759" t="s">
        <v>24</v>
      </c>
      <c r="N5759" t="s">
        <v>22</v>
      </c>
    </row>
    <row r="5760" spans="1:14">
      <c r="A5760" s="4" t="str">
        <f t="shared" si="549"/>
        <v>EXP00208</v>
      </c>
      <c r="B5760" s="4" t="str">
        <f t="shared" si="547"/>
        <v>24921248</v>
      </c>
      <c r="C5760" s="4" t="str">
        <f t="shared" si="548"/>
        <v>GSE56350</v>
      </c>
      <c r="D5760" s="1" t="s">
        <v>323</v>
      </c>
      <c r="E5760" t="s">
        <v>151</v>
      </c>
      <c r="F5760" s="1">
        <v>1</v>
      </c>
      <c r="G5760" s="1" t="s">
        <v>26</v>
      </c>
      <c r="H5760" s="4" t="str">
        <f>HYPERLINK("https://www.ncbi.nlm.nih.gov/geo/query/acc.cgi?acc=GSM1359617","GSM1359617")</f>
        <v>GSM1359617</v>
      </c>
      <c r="I5760" t="s">
        <v>69</v>
      </c>
      <c r="J5760" t="s">
        <v>18</v>
      </c>
      <c r="K5760" t="s">
        <v>19</v>
      </c>
      <c r="L5760" t="s">
        <v>70</v>
      </c>
      <c r="M5760" t="s">
        <v>24</v>
      </c>
      <c r="N5760" t="s">
        <v>22</v>
      </c>
    </row>
    <row r="5761" spans="1:14">
      <c r="A5761" s="4" t="str">
        <f t="shared" si="549"/>
        <v>EXP00208</v>
      </c>
      <c r="B5761" s="4" t="str">
        <f t="shared" si="547"/>
        <v>24921248</v>
      </c>
      <c r="C5761" s="4" t="str">
        <f t="shared" si="548"/>
        <v>GSE56350</v>
      </c>
      <c r="D5761" s="1" t="s">
        <v>323</v>
      </c>
      <c r="E5761" t="s">
        <v>151</v>
      </c>
      <c r="F5761" s="1">
        <v>1</v>
      </c>
      <c r="G5761" s="1" t="s">
        <v>26</v>
      </c>
      <c r="H5761" s="4" t="str">
        <f>HYPERLINK("https://www.ncbi.nlm.nih.gov/geo/query/acc.cgi?acc=GSM1359619","GSM1359619")</f>
        <v>GSM1359619</v>
      </c>
      <c r="I5761" t="s">
        <v>69</v>
      </c>
      <c r="J5761" t="s">
        <v>18</v>
      </c>
      <c r="K5761" t="s">
        <v>19</v>
      </c>
      <c r="L5761" t="s">
        <v>70</v>
      </c>
      <c r="M5761" t="s">
        <v>24</v>
      </c>
      <c r="N5761" t="s">
        <v>22</v>
      </c>
    </row>
    <row r="5762" spans="1:14">
      <c r="A5762" s="4" t="str">
        <f t="shared" si="549"/>
        <v>EXP00208</v>
      </c>
      <c r="B5762" s="4" t="str">
        <f t="shared" si="547"/>
        <v>24921248</v>
      </c>
      <c r="C5762" s="4" t="str">
        <f t="shared" si="548"/>
        <v>GSE56350</v>
      </c>
      <c r="D5762" s="1" t="s">
        <v>323</v>
      </c>
      <c r="E5762" t="s">
        <v>151</v>
      </c>
      <c r="F5762" s="1">
        <v>1</v>
      </c>
      <c r="G5762" s="1" t="s">
        <v>26</v>
      </c>
      <c r="H5762" s="4" t="str">
        <f>HYPERLINK("https://www.ncbi.nlm.nih.gov/geo/query/acc.cgi?acc=GSM1359621","GSM1359621")</f>
        <v>GSM1359621</v>
      </c>
      <c r="I5762" t="s">
        <v>69</v>
      </c>
      <c r="J5762" t="s">
        <v>18</v>
      </c>
      <c r="K5762" t="s">
        <v>19</v>
      </c>
      <c r="L5762" t="s">
        <v>70</v>
      </c>
      <c r="M5762" t="s">
        <v>24</v>
      </c>
      <c r="N5762" t="s">
        <v>22</v>
      </c>
    </row>
    <row r="5763" spans="1:14">
      <c r="A5763" s="4" t="str">
        <f t="shared" si="549"/>
        <v>EXP00208</v>
      </c>
      <c r="B5763" s="4" t="str">
        <f t="shared" si="547"/>
        <v>24921248</v>
      </c>
      <c r="C5763" s="4" t="str">
        <f t="shared" si="548"/>
        <v>GSE56350</v>
      </c>
      <c r="D5763" s="1" t="s">
        <v>323</v>
      </c>
      <c r="E5763" t="s">
        <v>151</v>
      </c>
      <c r="F5763" s="1">
        <v>1</v>
      </c>
      <c r="G5763" s="1" t="s">
        <v>26</v>
      </c>
      <c r="H5763" s="4" t="str">
        <f>HYPERLINK("https://www.ncbi.nlm.nih.gov/geo/query/acc.cgi?acc=GSM1359623","GSM1359623")</f>
        <v>GSM1359623</v>
      </c>
      <c r="I5763" t="s">
        <v>69</v>
      </c>
      <c r="J5763" t="s">
        <v>18</v>
      </c>
      <c r="K5763" t="s">
        <v>19</v>
      </c>
      <c r="L5763" t="s">
        <v>70</v>
      </c>
      <c r="M5763" t="s">
        <v>24</v>
      </c>
      <c r="N5763" t="s">
        <v>22</v>
      </c>
    </row>
    <row r="5764" spans="1:14">
      <c r="A5764" s="4" t="str">
        <f t="shared" si="549"/>
        <v>EXP00208</v>
      </c>
      <c r="B5764" s="4" t="str">
        <f t="shared" si="547"/>
        <v>24921248</v>
      </c>
      <c r="C5764" s="4" t="str">
        <f t="shared" si="548"/>
        <v>GSE56350</v>
      </c>
      <c r="D5764" s="1" t="s">
        <v>323</v>
      </c>
      <c r="E5764" t="s">
        <v>151</v>
      </c>
      <c r="F5764" s="1">
        <v>1</v>
      </c>
      <c r="G5764" s="1" t="s">
        <v>26</v>
      </c>
      <c r="H5764" s="4" t="str">
        <f>HYPERLINK("https://www.ncbi.nlm.nih.gov/geo/query/acc.cgi?acc=GSM1359625","GSM1359625")</f>
        <v>GSM1359625</v>
      </c>
      <c r="I5764" t="s">
        <v>69</v>
      </c>
      <c r="J5764" t="s">
        <v>18</v>
      </c>
      <c r="K5764" t="s">
        <v>19</v>
      </c>
      <c r="L5764" t="s">
        <v>70</v>
      </c>
      <c r="M5764" t="s">
        <v>24</v>
      </c>
      <c r="N5764" t="s">
        <v>22</v>
      </c>
    </row>
    <row r="5765" spans="1:14">
      <c r="A5765" s="4" t="str">
        <f t="shared" si="549"/>
        <v>EXP00208</v>
      </c>
      <c r="B5765" s="4" t="str">
        <f t="shared" si="547"/>
        <v>24921248</v>
      </c>
      <c r="C5765" s="4" t="str">
        <f t="shared" si="548"/>
        <v>GSE56350</v>
      </c>
      <c r="D5765" s="1" t="s">
        <v>323</v>
      </c>
      <c r="E5765" t="s">
        <v>151</v>
      </c>
      <c r="F5765" s="1">
        <v>1</v>
      </c>
      <c r="G5765" s="1" t="s">
        <v>26</v>
      </c>
      <c r="H5765" s="4" t="str">
        <f>HYPERLINK("https://www.ncbi.nlm.nih.gov/geo/query/acc.cgi?acc=GSM1359627","GSM1359627")</f>
        <v>GSM1359627</v>
      </c>
      <c r="I5765" t="s">
        <v>69</v>
      </c>
      <c r="J5765" t="s">
        <v>18</v>
      </c>
      <c r="K5765" t="s">
        <v>19</v>
      </c>
      <c r="L5765" t="s">
        <v>70</v>
      </c>
      <c r="M5765" t="s">
        <v>24</v>
      </c>
      <c r="N5765" t="s">
        <v>22</v>
      </c>
    </row>
    <row r="5766" spans="1:14">
      <c r="A5766" s="4" t="str">
        <f t="shared" si="549"/>
        <v>EXP00208</v>
      </c>
      <c r="B5766" s="4" t="str">
        <f t="shared" si="547"/>
        <v>24921248</v>
      </c>
      <c r="C5766" s="4" t="str">
        <f t="shared" si="548"/>
        <v>GSE56350</v>
      </c>
      <c r="D5766" s="1" t="s">
        <v>323</v>
      </c>
      <c r="E5766" t="s">
        <v>151</v>
      </c>
      <c r="F5766" s="1">
        <v>1</v>
      </c>
      <c r="G5766" s="1" t="s">
        <v>26</v>
      </c>
      <c r="H5766" s="4" t="str">
        <f>HYPERLINK("https://www.ncbi.nlm.nih.gov/geo/query/acc.cgi?acc=GSM1359629","GSM1359629")</f>
        <v>GSM1359629</v>
      </c>
      <c r="I5766" t="s">
        <v>69</v>
      </c>
      <c r="J5766" t="s">
        <v>18</v>
      </c>
      <c r="K5766" t="s">
        <v>19</v>
      </c>
      <c r="L5766" t="s">
        <v>70</v>
      </c>
      <c r="M5766" t="s">
        <v>24</v>
      </c>
      <c r="N5766" t="s">
        <v>22</v>
      </c>
    </row>
    <row r="5767" spans="1:14">
      <c r="A5767" s="4" t="str">
        <f t="shared" si="549"/>
        <v>EXP00208</v>
      </c>
      <c r="B5767" s="4" t="str">
        <f t="shared" si="547"/>
        <v>24921248</v>
      </c>
      <c r="C5767" s="4" t="str">
        <f t="shared" si="548"/>
        <v>GSE56350</v>
      </c>
      <c r="D5767" s="1" t="s">
        <v>323</v>
      </c>
      <c r="E5767" t="s">
        <v>151</v>
      </c>
      <c r="F5767" s="1">
        <v>1</v>
      </c>
      <c r="G5767" s="1" t="s">
        <v>26</v>
      </c>
      <c r="H5767" s="4" t="str">
        <f>HYPERLINK("https://www.ncbi.nlm.nih.gov/geo/query/acc.cgi?acc=GSM1359631","GSM1359631")</f>
        <v>GSM1359631</v>
      </c>
      <c r="I5767" t="s">
        <v>69</v>
      </c>
      <c r="J5767" t="s">
        <v>18</v>
      </c>
      <c r="K5767" t="s">
        <v>19</v>
      </c>
      <c r="L5767" t="s">
        <v>70</v>
      </c>
      <c r="M5767" t="s">
        <v>24</v>
      </c>
      <c r="N5767" t="s">
        <v>22</v>
      </c>
    </row>
    <row r="5768" spans="1:14">
      <c r="A5768" s="4" t="str">
        <f t="shared" si="549"/>
        <v>EXP00208</v>
      </c>
      <c r="B5768" s="4" t="str">
        <f t="shared" si="547"/>
        <v>24921248</v>
      </c>
      <c r="C5768" s="4" t="str">
        <f t="shared" si="548"/>
        <v>GSE56350</v>
      </c>
      <c r="D5768" s="1" t="s">
        <v>323</v>
      </c>
      <c r="E5768" t="s">
        <v>151</v>
      </c>
      <c r="F5768" s="1">
        <v>1</v>
      </c>
      <c r="G5768" s="1" t="s">
        <v>26</v>
      </c>
      <c r="H5768" s="4" t="str">
        <f>HYPERLINK("https://www.ncbi.nlm.nih.gov/geo/query/acc.cgi?acc=GSM1359633","GSM1359633")</f>
        <v>GSM1359633</v>
      </c>
      <c r="I5768" t="s">
        <v>69</v>
      </c>
      <c r="J5768" t="s">
        <v>18</v>
      </c>
      <c r="K5768" t="s">
        <v>19</v>
      </c>
      <c r="L5768" t="s">
        <v>70</v>
      </c>
      <c r="M5768" t="s">
        <v>24</v>
      </c>
      <c r="N5768" t="s">
        <v>22</v>
      </c>
    </row>
    <row r="5769" spans="1:14">
      <c r="A5769" s="4" t="str">
        <f t="shared" si="549"/>
        <v>EXP00208</v>
      </c>
      <c r="B5769" s="4" t="str">
        <f t="shared" si="547"/>
        <v>24921248</v>
      </c>
      <c r="C5769" s="4" t="str">
        <f t="shared" si="548"/>
        <v>GSE56350</v>
      </c>
      <c r="D5769" s="1" t="s">
        <v>323</v>
      </c>
      <c r="E5769" t="s">
        <v>151</v>
      </c>
      <c r="F5769" s="1">
        <v>1</v>
      </c>
      <c r="G5769" s="1" t="s">
        <v>26</v>
      </c>
      <c r="H5769" s="4" t="str">
        <f>HYPERLINK("https://www.ncbi.nlm.nih.gov/geo/query/acc.cgi?acc=GSM1359635","GSM1359635")</f>
        <v>GSM1359635</v>
      </c>
      <c r="I5769" t="s">
        <v>69</v>
      </c>
      <c r="J5769" t="s">
        <v>18</v>
      </c>
      <c r="K5769" t="s">
        <v>19</v>
      </c>
      <c r="L5769" t="s">
        <v>70</v>
      </c>
      <c r="M5769" t="s">
        <v>24</v>
      </c>
      <c r="N5769" t="s">
        <v>22</v>
      </c>
    </row>
    <row r="5770" spans="1:14">
      <c r="A5770" s="4" t="str">
        <f t="shared" si="549"/>
        <v>EXP00208</v>
      </c>
      <c r="B5770" s="4" t="str">
        <f t="shared" si="547"/>
        <v>24921248</v>
      </c>
      <c r="C5770" s="4" t="str">
        <f t="shared" si="548"/>
        <v>GSE56350</v>
      </c>
      <c r="D5770" s="1" t="s">
        <v>323</v>
      </c>
      <c r="E5770" t="s">
        <v>151</v>
      </c>
      <c r="F5770" s="1">
        <v>1</v>
      </c>
      <c r="G5770" s="1" t="s">
        <v>26</v>
      </c>
      <c r="H5770" s="4" t="str">
        <f>HYPERLINK("https://www.ncbi.nlm.nih.gov/geo/query/acc.cgi?acc=GSM1359637","GSM1359637")</f>
        <v>GSM1359637</v>
      </c>
      <c r="I5770" t="s">
        <v>69</v>
      </c>
      <c r="J5770" t="s">
        <v>18</v>
      </c>
      <c r="K5770" t="s">
        <v>19</v>
      </c>
      <c r="L5770" t="s">
        <v>70</v>
      </c>
      <c r="M5770" t="s">
        <v>24</v>
      </c>
      <c r="N5770" t="s">
        <v>22</v>
      </c>
    </row>
    <row r="5771" spans="1:14">
      <c r="A5771" s="4" t="str">
        <f t="shared" si="549"/>
        <v>EXP00208</v>
      </c>
      <c r="B5771" s="4" t="str">
        <f t="shared" si="547"/>
        <v>24921248</v>
      </c>
      <c r="C5771" s="4" t="str">
        <f t="shared" si="548"/>
        <v>GSE56350</v>
      </c>
      <c r="D5771" s="1" t="s">
        <v>323</v>
      </c>
      <c r="E5771" t="s">
        <v>151</v>
      </c>
      <c r="F5771" s="1">
        <v>1</v>
      </c>
      <c r="G5771" s="1" t="s">
        <v>26</v>
      </c>
      <c r="H5771" s="4" t="str">
        <f>HYPERLINK("https://www.ncbi.nlm.nih.gov/geo/query/acc.cgi?acc=GSM1359639","GSM1359639")</f>
        <v>GSM1359639</v>
      </c>
      <c r="I5771" t="s">
        <v>69</v>
      </c>
      <c r="J5771" t="s">
        <v>18</v>
      </c>
      <c r="K5771" t="s">
        <v>19</v>
      </c>
      <c r="L5771" t="s">
        <v>70</v>
      </c>
      <c r="M5771" t="s">
        <v>24</v>
      </c>
      <c r="N5771" t="s">
        <v>22</v>
      </c>
    </row>
    <row r="5772" spans="1:14">
      <c r="A5772" s="4" t="str">
        <f t="shared" si="549"/>
        <v>EXP00208</v>
      </c>
      <c r="B5772" s="4" t="str">
        <f t="shared" si="547"/>
        <v>24921248</v>
      </c>
      <c r="C5772" s="4" t="str">
        <f t="shared" si="548"/>
        <v>GSE56350</v>
      </c>
      <c r="D5772" s="1" t="s">
        <v>323</v>
      </c>
      <c r="E5772" t="s">
        <v>151</v>
      </c>
      <c r="F5772" s="1">
        <v>1</v>
      </c>
      <c r="G5772" s="1" t="s">
        <v>26</v>
      </c>
      <c r="H5772" s="4" t="str">
        <f>HYPERLINK("https://www.ncbi.nlm.nih.gov/geo/query/acc.cgi?acc=GSM1359641","GSM1359641")</f>
        <v>GSM1359641</v>
      </c>
      <c r="I5772" t="s">
        <v>69</v>
      </c>
      <c r="J5772" t="s">
        <v>18</v>
      </c>
      <c r="K5772" t="s">
        <v>19</v>
      </c>
      <c r="L5772" t="s">
        <v>70</v>
      </c>
      <c r="M5772" t="s">
        <v>24</v>
      </c>
      <c r="N5772" t="s">
        <v>22</v>
      </c>
    </row>
    <row r="5773" spans="1:14">
      <c r="A5773" s="4" t="str">
        <f t="shared" si="549"/>
        <v>EXP00208</v>
      </c>
      <c r="B5773" s="4" t="str">
        <f t="shared" si="547"/>
        <v>24921248</v>
      </c>
      <c r="C5773" s="4" t="str">
        <f t="shared" si="548"/>
        <v>GSE56350</v>
      </c>
      <c r="D5773" s="1" t="s">
        <v>323</v>
      </c>
      <c r="E5773" t="s">
        <v>151</v>
      </c>
      <c r="F5773" s="1">
        <v>1</v>
      </c>
      <c r="G5773" s="1" t="s">
        <v>26</v>
      </c>
      <c r="H5773" s="4" t="str">
        <f>HYPERLINK("https://www.ncbi.nlm.nih.gov/geo/query/acc.cgi?acc=GSM1359643","GSM1359643")</f>
        <v>GSM1359643</v>
      </c>
      <c r="I5773" t="s">
        <v>69</v>
      </c>
      <c r="J5773" t="s">
        <v>18</v>
      </c>
      <c r="K5773" t="s">
        <v>19</v>
      </c>
      <c r="L5773" t="s">
        <v>70</v>
      </c>
      <c r="M5773" t="s">
        <v>24</v>
      </c>
      <c r="N5773" t="s">
        <v>22</v>
      </c>
    </row>
    <row r="5774" spans="1:14">
      <c r="A5774" s="4" t="str">
        <f t="shared" si="549"/>
        <v>EXP00208</v>
      </c>
      <c r="B5774" s="4" t="str">
        <f t="shared" si="547"/>
        <v>24921248</v>
      </c>
      <c r="C5774" s="4" t="str">
        <f t="shared" si="548"/>
        <v>GSE56350</v>
      </c>
      <c r="D5774" s="1" t="s">
        <v>323</v>
      </c>
      <c r="E5774" t="s">
        <v>151</v>
      </c>
      <c r="F5774" s="1">
        <v>1</v>
      </c>
      <c r="G5774" s="1" t="s">
        <v>26</v>
      </c>
      <c r="H5774" s="4" t="str">
        <f>HYPERLINK("https://www.ncbi.nlm.nih.gov/geo/query/acc.cgi?acc=GSM1359645","GSM1359645")</f>
        <v>GSM1359645</v>
      </c>
      <c r="I5774" t="s">
        <v>69</v>
      </c>
      <c r="J5774" t="s">
        <v>18</v>
      </c>
      <c r="K5774" t="s">
        <v>19</v>
      </c>
      <c r="L5774" t="s">
        <v>70</v>
      </c>
      <c r="M5774" t="s">
        <v>24</v>
      </c>
      <c r="N5774" t="s">
        <v>22</v>
      </c>
    </row>
    <row r="5775" spans="1:14">
      <c r="A5775" s="4" t="str">
        <f t="shared" si="549"/>
        <v>EXP00208</v>
      </c>
      <c r="B5775" s="4" t="str">
        <f t="shared" si="547"/>
        <v>24921248</v>
      </c>
      <c r="C5775" s="4" t="str">
        <f t="shared" si="548"/>
        <v>GSE56350</v>
      </c>
      <c r="D5775" s="1" t="s">
        <v>323</v>
      </c>
      <c r="E5775" t="s">
        <v>151</v>
      </c>
      <c r="F5775" s="1">
        <v>1</v>
      </c>
      <c r="G5775" s="1" t="s">
        <v>26</v>
      </c>
      <c r="H5775" s="4" t="str">
        <f>HYPERLINK("https://www.ncbi.nlm.nih.gov/geo/query/acc.cgi?acc=GSM1359647","GSM1359647")</f>
        <v>GSM1359647</v>
      </c>
      <c r="I5775" t="s">
        <v>69</v>
      </c>
      <c r="J5775" t="s">
        <v>18</v>
      </c>
      <c r="K5775" t="s">
        <v>19</v>
      </c>
      <c r="L5775" t="s">
        <v>70</v>
      </c>
      <c r="M5775" t="s">
        <v>24</v>
      </c>
      <c r="N5775" t="s">
        <v>22</v>
      </c>
    </row>
    <row r="5776" spans="1:14">
      <c r="A5776" s="4" t="str">
        <f t="shared" si="549"/>
        <v>EXP00208</v>
      </c>
      <c r="B5776" s="4" t="str">
        <f t="shared" si="547"/>
        <v>24921248</v>
      </c>
      <c r="C5776" s="4" t="str">
        <f t="shared" si="548"/>
        <v>GSE56350</v>
      </c>
      <c r="D5776" s="1" t="s">
        <v>323</v>
      </c>
      <c r="E5776" t="s">
        <v>151</v>
      </c>
      <c r="F5776" s="1">
        <v>1</v>
      </c>
      <c r="G5776" s="1" t="s">
        <v>26</v>
      </c>
      <c r="H5776" s="4" t="str">
        <f>HYPERLINK("https://www.ncbi.nlm.nih.gov/geo/query/acc.cgi?acc=GSM1359649","GSM1359649")</f>
        <v>GSM1359649</v>
      </c>
      <c r="I5776" t="s">
        <v>69</v>
      </c>
      <c r="J5776" t="s">
        <v>18</v>
      </c>
      <c r="K5776" t="s">
        <v>19</v>
      </c>
      <c r="L5776" t="s">
        <v>70</v>
      </c>
      <c r="M5776" t="s">
        <v>24</v>
      </c>
      <c r="N5776" t="s">
        <v>22</v>
      </c>
    </row>
    <row r="5777" spans="1:14">
      <c r="A5777" s="4" t="str">
        <f t="shared" si="549"/>
        <v>EXP00208</v>
      </c>
      <c r="B5777" s="4" t="str">
        <f t="shared" si="547"/>
        <v>24921248</v>
      </c>
      <c r="C5777" s="4" t="str">
        <f t="shared" si="548"/>
        <v>GSE56350</v>
      </c>
      <c r="D5777" s="1" t="s">
        <v>323</v>
      </c>
      <c r="E5777" t="s">
        <v>151</v>
      </c>
      <c r="F5777" s="1">
        <v>1</v>
      </c>
      <c r="G5777" s="1" t="s">
        <v>26</v>
      </c>
      <c r="H5777" s="4" t="str">
        <f>HYPERLINK("https://www.ncbi.nlm.nih.gov/geo/query/acc.cgi?acc=GSM1359651","GSM1359651")</f>
        <v>GSM1359651</v>
      </c>
      <c r="I5777" t="s">
        <v>69</v>
      </c>
      <c r="J5777" t="s">
        <v>18</v>
      </c>
      <c r="K5777" t="s">
        <v>19</v>
      </c>
      <c r="L5777" t="s">
        <v>70</v>
      </c>
      <c r="M5777" t="s">
        <v>24</v>
      </c>
      <c r="N5777" t="s">
        <v>22</v>
      </c>
    </row>
    <row r="5778" spans="1:14">
      <c r="A5778" s="4" t="str">
        <f t="shared" si="549"/>
        <v>EXP00208</v>
      </c>
      <c r="B5778" s="4" t="str">
        <f t="shared" si="547"/>
        <v>24921248</v>
      </c>
      <c r="C5778" s="4" t="str">
        <f t="shared" si="548"/>
        <v>GSE56350</v>
      </c>
      <c r="D5778" s="1" t="s">
        <v>323</v>
      </c>
      <c r="E5778" t="s">
        <v>151</v>
      </c>
      <c r="F5778" s="1">
        <v>1</v>
      </c>
      <c r="G5778" s="1" t="s">
        <v>26</v>
      </c>
      <c r="H5778" s="4" t="str">
        <f>HYPERLINK("https://www.ncbi.nlm.nih.gov/geo/query/acc.cgi?acc=GSM1359653","GSM1359653")</f>
        <v>GSM1359653</v>
      </c>
      <c r="I5778" t="s">
        <v>69</v>
      </c>
      <c r="J5778" t="s">
        <v>18</v>
      </c>
      <c r="K5778" t="s">
        <v>19</v>
      </c>
      <c r="L5778" t="s">
        <v>70</v>
      </c>
      <c r="M5778" t="s">
        <v>24</v>
      </c>
      <c r="N5778" t="s">
        <v>22</v>
      </c>
    </row>
    <row r="5779" spans="1:14">
      <c r="A5779" s="4" t="str">
        <f t="shared" si="549"/>
        <v>EXP00208</v>
      </c>
      <c r="B5779" s="4" t="str">
        <f t="shared" si="547"/>
        <v>24921248</v>
      </c>
      <c r="C5779" s="4" t="str">
        <f t="shared" si="548"/>
        <v>GSE56350</v>
      </c>
      <c r="D5779" s="1" t="s">
        <v>323</v>
      </c>
      <c r="E5779" t="s">
        <v>151</v>
      </c>
      <c r="F5779" s="1">
        <v>1</v>
      </c>
      <c r="G5779" s="1" t="s">
        <v>26</v>
      </c>
      <c r="H5779" s="4" t="str">
        <f>HYPERLINK("https://www.ncbi.nlm.nih.gov/geo/query/acc.cgi?acc=GSM1359655","GSM1359655")</f>
        <v>GSM1359655</v>
      </c>
      <c r="I5779" t="s">
        <v>69</v>
      </c>
      <c r="J5779" t="s">
        <v>18</v>
      </c>
      <c r="K5779" t="s">
        <v>19</v>
      </c>
      <c r="L5779" t="s">
        <v>70</v>
      </c>
      <c r="M5779" t="s">
        <v>24</v>
      </c>
      <c r="N5779" t="s">
        <v>22</v>
      </c>
    </row>
    <row r="5780" spans="1:14">
      <c r="A5780" s="4" t="str">
        <f t="shared" si="549"/>
        <v>EXP00208</v>
      </c>
      <c r="B5780" s="4" t="str">
        <f t="shared" si="547"/>
        <v>24921248</v>
      </c>
      <c r="C5780" s="4" t="str">
        <f t="shared" si="548"/>
        <v>GSE56350</v>
      </c>
      <c r="D5780" s="1" t="s">
        <v>323</v>
      </c>
      <c r="E5780" t="s">
        <v>151</v>
      </c>
      <c r="F5780" s="1">
        <v>1</v>
      </c>
      <c r="G5780" s="1" t="s">
        <v>26</v>
      </c>
      <c r="H5780" s="4" t="str">
        <f>HYPERLINK("https://www.ncbi.nlm.nih.gov/geo/query/acc.cgi?acc=GSM1359658","GSM1359658")</f>
        <v>GSM1359658</v>
      </c>
      <c r="I5780" t="s">
        <v>69</v>
      </c>
      <c r="J5780" t="s">
        <v>18</v>
      </c>
      <c r="K5780" t="s">
        <v>19</v>
      </c>
      <c r="L5780" t="s">
        <v>70</v>
      </c>
      <c r="M5780" t="s">
        <v>24</v>
      </c>
      <c r="N5780" t="s">
        <v>22</v>
      </c>
    </row>
    <row r="5781" spans="1:14">
      <c r="A5781" s="4" t="str">
        <f t="shared" si="549"/>
        <v>EXP00208</v>
      </c>
      <c r="B5781" s="4" t="str">
        <f t="shared" si="547"/>
        <v>24921248</v>
      </c>
      <c r="C5781" s="4" t="str">
        <f t="shared" si="548"/>
        <v>GSE56350</v>
      </c>
      <c r="D5781" s="1" t="s">
        <v>323</v>
      </c>
      <c r="E5781" t="s">
        <v>151</v>
      </c>
      <c r="F5781" s="1">
        <v>1</v>
      </c>
      <c r="G5781" s="1" t="s">
        <v>26</v>
      </c>
      <c r="H5781" s="4" t="str">
        <f>HYPERLINK("https://www.ncbi.nlm.nih.gov/geo/query/acc.cgi?acc=GSM1359660","GSM1359660")</f>
        <v>GSM1359660</v>
      </c>
      <c r="I5781" t="s">
        <v>69</v>
      </c>
      <c r="J5781" t="s">
        <v>18</v>
      </c>
      <c r="K5781" t="s">
        <v>19</v>
      </c>
      <c r="L5781" t="s">
        <v>70</v>
      </c>
      <c r="M5781" t="s">
        <v>24</v>
      </c>
      <c r="N5781" t="s">
        <v>22</v>
      </c>
    </row>
    <row r="5782" spans="1:14">
      <c r="A5782" s="4" t="str">
        <f t="shared" si="549"/>
        <v>EXP00208</v>
      </c>
      <c r="B5782" s="4" t="str">
        <f t="shared" si="547"/>
        <v>24921248</v>
      </c>
      <c r="C5782" s="4" t="str">
        <f t="shared" si="548"/>
        <v>GSE56350</v>
      </c>
      <c r="D5782" s="1" t="s">
        <v>323</v>
      </c>
      <c r="E5782" t="s">
        <v>151</v>
      </c>
      <c r="F5782" s="1">
        <v>1</v>
      </c>
      <c r="G5782" s="1" t="s">
        <v>26</v>
      </c>
      <c r="H5782" s="4" t="str">
        <f>HYPERLINK("https://www.ncbi.nlm.nih.gov/geo/query/acc.cgi?acc=GSM1359662","GSM1359662")</f>
        <v>GSM1359662</v>
      </c>
      <c r="I5782" t="s">
        <v>69</v>
      </c>
      <c r="J5782" t="s">
        <v>18</v>
      </c>
      <c r="K5782" t="s">
        <v>19</v>
      </c>
      <c r="L5782" t="s">
        <v>70</v>
      </c>
      <c r="M5782" t="s">
        <v>24</v>
      </c>
      <c r="N5782" t="s">
        <v>22</v>
      </c>
    </row>
    <row r="5783" spans="1:14">
      <c r="A5783" s="4" t="str">
        <f t="shared" si="549"/>
        <v>EXP00208</v>
      </c>
      <c r="B5783" s="4" t="str">
        <f t="shared" si="547"/>
        <v>24921248</v>
      </c>
      <c r="C5783" s="4" t="str">
        <f t="shared" si="548"/>
        <v>GSE56350</v>
      </c>
      <c r="D5783" s="1" t="s">
        <v>323</v>
      </c>
      <c r="E5783" t="s">
        <v>151</v>
      </c>
      <c r="F5783" s="1">
        <v>1</v>
      </c>
      <c r="G5783" s="1" t="s">
        <v>26</v>
      </c>
      <c r="H5783" s="4" t="str">
        <f>HYPERLINK("https://www.ncbi.nlm.nih.gov/geo/query/acc.cgi?acc=GSM1359664","GSM1359664")</f>
        <v>GSM1359664</v>
      </c>
      <c r="I5783" t="s">
        <v>69</v>
      </c>
      <c r="J5783" t="s">
        <v>18</v>
      </c>
      <c r="K5783" t="s">
        <v>19</v>
      </c>
      <c r="L5783" t="s">
        <v>70</v>
      </c>
      <c r="M5783" t="s">
        <v>24</v>
      </c>
      <c r="N5783" t="s">
        <v>22</v>
      </c>
    </row>
    <row r="5784" spans="1:14">
      <c r="A5784" s="4" t="str">
        <f t="shared" si="549"/>
        <v>EXP00208</v>
      </c>
      <c r="B5784" s="4" t="str">
        <f t="shared" si="547"/>
        <v>24921248</v>
      </c>
      <c r="C5784" s="4" t="str">
        <f t="shared" si="548"/>
        <v>GSE56350</v>
      </c>
      <c r="D5784" s="1" t="s">
        <v>323</v>
      </c>
      <c r="E5784" t="s">
        <v>151</v>
      </c>
      <c r="F5784" s="1">
        <v>1</v>
      </c>
      <c r="G5784" s="1" t="s">
        <v>26</v>
      </c>
      <c r="H5784" s="4" t="str">
        <f>HYPERLINK("https://www.ncbi.nlm.nih.gov/geo/query/acc.cgi?acc=GSM1359666","GSM1359666")</f>
        <v>GSM1359666</v>
      </c>
      <c r="I5784" t="s">
        <v>69</v>
      </c>
      <c r="J5784" t="s">
        <v>18</v>
      </c>
      <c r="K5784" t="s">
        <v>19</v>
      </c>
      <c r="L5784" t="s">
        <v>70</v>
      </c>
      <c r="M5784" t="s">
        <v>24</v>
      </c>
      <c r="N5784" t="s">
        <v>22</v>
      </c>
    </row>
    <row r="5785" spans="1:14">
      <c r="A5785" s="4" t="str">
        <f t="shared" si="549"/>
        <v>EXP00208</v>
      </c>
      <c r="B5785" s="4" t="str">
        <f t="shared" si="547"/>
        <v>24921248</v>
      </c>
      <c r="C5785" s="4" t="str">
        <f t="shared" si="548"/>
        <v>GSE56350</v>
      </c>
      <c r="D5785" s="1" t="s">
        <v>323</v>
      </c>
      <c r="E5785" t="s">
        <v>151</v>
      </c>
      <c r="F5785" s="1">
        <v>1</v>
      </c>
      <c r="G5785" s="1" t="s">
        <v>26</v>
      </c>
      <c r="H5785" s="4" t="str">
        <f>HYPERLINK("https://www.ncbi.nlm.nih.gov/geo/query/acc.cgi?acc=GSM1359668","GSM1359668")</f>
        <v>GSM1359668</v>
      </c>
      <c r="I5785" t="s">
        <v>69</v>
      </c>
      <c r="J5785" t="s">
        <v>18</v>
      </c>
      <c r="K5785" t="s">
        <v>19</v>
      </c>
      <c r="L5785" t="s">
        <v>70</v>
      </c>
      <c r="M5785" t="s">
        <v>24</v>
      </c>
      <c r="N5785" t="s">
        <v>22</v>
      </c>
    </row>
    <row r="5786" spans="1:14">
      <c r="A5786" s="4" t="str">
        <f t="shared" si="549"/>
        <v>EXP00208</v>
      </c>
      <c r="B5786" s="4" t="str">
        <f t="shared" si="547"/>
        <v>24921248</v>
      </c>
      <c r="C5786" s="4" t="str">
        <f t="shared" si="548"/>
        <v>GSE56350</v>
      </c>
      <c r="D5786" s="1" t="s">
        <v>323</v>
      </c>
      <c r="E5786" t="s">
        <v>151</v>
      </c>
      <c r="F5786" s="1">
        <v>1</v>
      </c>
      <c r="G5786" s="1" t="s">
        <v>26</v>
      </c>
      <c r="H5786" s="4" t="str">
        <f>HYPERLINK("https://www.ncbi.nlm.nih.gov/geo/query/acc.cgi?acc=GSM1359670","GSM1359670")</f>
        <v>GSM1359670</v>
      </c>
      <c r="I5786" t="s">
        <v>69</v>
      </c>
      <c r="J5786" t="s">
        <v>18</v>
      </c>
      <c r="K5786" t="s">
        <v>19</v>
      </c>
      <c r="L5786" t="s">
        <v>70</v>
      </c>
      <c r="M5786" t="s">
        <v>24</v>
      </c>
      <c r="N5786" t="s">
        <v>22</v>
      </c>
    </row>
    <row r="5787" spans="1:14">
      <c r="A5787" s="4" t="str">
        <f t="shared" si="549"/>
        <v>EXP00208</v>
      </c>
      <c r="B5787" s="4" t="str">
        <f t="shared" si="547"/>
        <v>24921248</v>
      </c>
      <c r="C5787" s="4" t="str">
        <f t="shared" si="548"/>
        <v>GSE56350</v>
      </c>
      <c r="D5787" s="1" t="s">
        <v>323</v>
      </c>
      <c r="E5787" t="s">
        <v>151</v>
      </c>
      <c r="F5787" s="1">
        <v>1</v>
      </c>
      <c r="G5787" s="1" t="s">
        <v>26</v>
      </c>
      <c r="H5787" s="4" t="str">
        <f>HYPERLINK("https://www.ncbi.nlm.nih.gov/geo/query/acc.cgi?acc=GSM1359676","GSM1359676")</f>
        <v>GSM1359676</v>
      </c>
      <c r="I5787" t="s">
        <v>69</v>
      </c>
      <c r="J5787" t="s">
        <v>18</v>
      </c>
      <c r="K5787" t="s">
        <v>19</v>
      </c>
      <c r="L5787" t="s">
        <v>70</v>
      </c>
      <c r="M5787" t="s">
        <v>24</v>
      </c>
      <c r="N5787" t="s">
        <v>22</v>
      </c>
    </row>
    <row r="5788" spans="1:14">
      <c r="A5788" s="4" t="str">
        <f t="shared" si="549"/>
        <v>EXP00208</v>
      </c>
      <c r="B5788" s="4" t="str">
        <f t="shared" si="547"/>
        <v>24921248</v>
      </c>
      <c r="C5788" s="4" t="str">
        <f t="shared" si="548"/>
        <v>GSE56350</v>
      </c>
      <c r="D5788" s="1" t="s">
        <v>323</v>
      </c>
      <c r="E5788" t="s">
        <v>151</v>
      </c>
      <c r="F5788" s="1">
        <v>1</v>
      </c>
      <c r="G5788" s="1" t="s">
        <v>26</v>
      </c>
      <c r="H5788" s="4" t="str">
        <f>HYPERLINK("https://www.ncbi.nlm.nih.gov/geo/query/acc.cgi?acc=GSM1359678","GSM1359678")</f>
        <v>GSM1359678</v>
      </c>
      <c r="I5788" t="s">
        <v>69</v>
      </c>
      <c r="J5788" t="s">
        <v>18</v>
      </c>
      <c r="K5788" t="s">
        <v>19</v>
      </c>
      <c r="L5788" t="s">
        <v>70</v>
      </c>
      <c r="M5788" t="s">
        <v>24</v>
      </c>
      <c r="N5788" t="s">
        <v>22</v>
      </c>
    </row>
    <row r="5789" spans="1:14">
      <c r="A5789" s="4" t="str">
        <f t="shared" si="549"/>
        <v>EXP00208</v>
      </c>
      <c r="B5789" s="4" t="str">
        <f t="shared" si="547"/>
        <v>24921248</v>
      </c>
      <c r="C5789" s="4" t="str">
        <f t="shared" si="548"/>
        <v>GSE56350</v>
      </c>
      <c r="D5789" s="1" t="s">
        <v>323</v>
      </c>
      <c r="E5789" t="s">
        <v>151</v>
      </c>
      <c r="F5789" s="1">
        <v>1</v>
      </c>
      <c r="G5789" s="1" t="s">
        <v>26</v>
      </c>
      <c r="H5789" s="4" t="str">
        <f>HYPERLINK("https://www.ncbi.nlm.nih.gov/geo/query/acc.cgi?acc=GSM1359680","GSM1359680")</f>
        <v>GSM1359680</v>
      </c>
      <c r="I5789" t="s">
        <v>69</v>
      </c>
      <c r="J5789" t="s">
        <v>18</v>
      </c>
      <c r="K5789" t="s">
        <v>19</v>
      </c>
      <c r="L5789" t="s">
        <v>70</v>
      </c>
      <c r="M5789" t="s">
        <v>24</v>
      </c>
      <c r="N5789" t="s">
        <v>22</v>
      </c>
    </row>
    <row r="5790" spans="1:14">
      <c r="A5790" s="4" t="str">
        <f t="shared" si="549"/>
        <v>EXP00208</v>
      </c>
      <c r="B5790" s="4" t="str">
        <f t="shared" si="547"/>
        <v>24921248</v>
      </c>
      <c r="C5790" s="4" t="str">
        <f t="shared" si="548"/>
        <v>GSE56350</v>
      </c>
      <c r="D5790" s="1" t="s">
        <v>323</v>
      </c>
      <c r="E5790" t="s">
        <v>151</v>
      </c>
      <c r="F5790" s="1">
        <v>1</v>
      </c>
      <c r="G5790" s="1" t="s">
        <v>26</v>
      </c>
      <c r="H5790" s="4" t="str">
        <f>HYPERLINK("https://www.ncbi.nlm.nih.gov/geo/query/acc.cgi?acc=GSM1359682","GSM1359682")</f>
        <v>GSM1359682</v>
      </c>
      <c r="I5790" t="s">
        <v>69</v>
      </c>
      <c r="J5790" t="s">
        <v>18</v>
      </c>
      <c r="K5790" t="s">
        <v>19</v>
      </c>
      <c r="L5790" t="s">
        <v>70</v>
      </c>
      <c r="M5790" t="s">
        <v>24</v>
      </c>
      <c r="N5790" t="s">
        <v>22</v>
      </c>
    </row>
    <row r="5791" spans="1:14">
      <c r="A5791" s="4" t="str">
        <f t="shared" ref="A5791:A5822" si="550">HYPERLINK("http://hcmdb.i-sanger.com/experiment/details/experiment_id/EXP00208","EXP00208")</f>
        <v>EXP00208</v>
      </c>
      <c r="B5791" s="4" t="str">
        <f t="shared" si="547"/>
        <v>24921248</v>
      </c>
      <c r="C5791" s="4" t="str">
        <f t="shared" si="548"/>
        <v>GSE56350</v>
      </c>
      <c r="D5791" s="1" t="s">
        <v>323</v>
      </c>
      <c r="E5791" t="s">
        <v>151</v>
      </c>
      <c r="F5791" s="1">
        <v>1</v>
      </c>
      <c r="G5791" s="1" t="s">
        <v>26</v>
      </c>
      <c r="H5791" s="4" t="str">
        <f>HYPERLINK("https://www.ncbi.nlm.nih.gov/geo/query/acc.cgi?acc=GSM1359684","GSM1359684")</f>
        <v>GSM1359684</v>
      </c>
      <c r="I5791" t="s">
        <v>69</v>
      </c>
      <c r="J5791" t="s">
        <v>18</v>
      </c>
      <c r="K5791" t="s">
        <v>19</v>
      </c>
      <c r="L5791" t="s">
        <v>70</v>
      </c>
      <c r="M5791" t="s">
        <v>24</v>
      </c>
      <c r="N5791" t="s">
        <v>22</v>
      </c>
    </row>
    <row r="5792" spans="1:14">
      <c r="A5792" s="4" t="str">
        <f t="shared" si="550"/>
        <v>EXP00208</v>
      </c>
      <c r="B5792" s="4" t="str">
        <f t="shared" si="547"/>
        <v>24921248</v>
      </c>
      <c r="C5792" s="4" t="str">
        <f t="shared" si="548"/>
        <v>GSE56350</v>
      </c>
      <c r="D5792" s="1" t="s">
        <v>323</v>
      </c>
      <c r="E5792" t="s">
        <v>151</v>
      </c>
      <c r="F5792" s="1">
        <v>1</v>
      </c>
      <c r="G5792" s="1" t="s">
        <v>26</v>
      </c>
      <c r="H5792" s="4" t="str">
        <f>HYPERLINK("https://www.ncbi.nlm.nih.gov/geo/query/acc.cgi?acc=GSM1359687","GSM1359687")</f>
        <v>GSM1359687</v>
      </c>
      <c r="I5792" t="s">
        <v>69</v>
      </c>
      <c r="J5792" t="s">
        <v>18</v>
      </c>
      <c r="K5792" t="s">
        <v>19</v>
      </c>
      <c r="L5792" t="s">
        <v>70</v>
      </c>
      <c r="M5792" t="s">
        <v>24</v>
      </c>
      <c r="N5792" t="s">
        <v>22</v>
      </c>
    </row>
    <row r="5793" spans="1:14">
      <c r="A5793" s="4" t="str">
        <f t="shared" si="550"/>
        <v>EXP00208</v>
      </c>
      <c r="B5793" s="4" t="str">
        <f t="shared" si="547"/>
        <v>24921248</v>
      </c>
      <c r="C5793" s="4" t="str">
        <f t="shared" si="548"/>
        <v>GSE56350</v>
      </c>
      <c r="D5793" s="1" t="s">
        <v>323</v>
      </c>
      <c r="E5793" t="s">
        <v>151</v>
      </c>
      <c r="F5793" s="1">
        <v>1</v>
      </c>
      <c r="G5793" s="1" t="s">
        <v>26</v>
      </c>
      <c r="H5793" s="4" t="str">
        <f>HYPERLINK("https://www.ncbi.nlm.nih.gov/geo/query/acc.cgi?acc=GSM1359691","GSM1359691")</f>
        <v>GSM1359691</v>
      </c>
      <c r="I5793" t="s">
        <v>69</v>
      </c>
      <c r="J5793" t="s">
        <v>18</v>
      </c>
      <c r="K5793" t="s">
        <v>19</v>
      </c>
      <c r="L5793" t="s">
        <v>70</v>
      </c>
      <c r="M5793" t="s">
        <v>24</v>
      </c>
      <c r="N5793" t="s">
        <v>22</v>
      </c>
    </row>
    <row r="5794" spans="1:14">
      <c r="A5794" s="4" t="str">
        <f t="shared" si="550"/>
        <v>EXP00208</v>
      </c>
      <c r="B5794" s="4" t="str">
        <f t="shared" si="547"/>
        <v>24921248</v>
      </c>
      <c r="C5794" s="4" t="str">
        <f t="shared" si="548"/>
        <v>GSE56350</v>
      </c>
      <c r="D5794" s="1" t="s">
        <v>323</v>
      </c>
      <c r="E5794" t="s">
        <v>151</v>
      </c>
      <c r="F5794" s="1">
        <v>1</v>
      </c>
      <c r="G5794" s="1" t="s">
        <v>26</v>
      </c>
      <c r="H5794" s="4" t="str">
        <f>HYPERLINK("https://www.ncbi.nlm.nih.gov/geo/query/acc.cgi?acc=GSM1359694","GSM1359694")</f>
        <v>GSM1359694</v>
      </c>
      <c r="I5794" t="s">
        <v>69</v>
      </c>
      <c r="J5794" t="s">
        <v>18</v>
      </c>
      <c r="K5794" t="s">
        <v>19</v>
      </c>
      <c r="L5794" t="s">
        <v>70</v>
      </c>
      <c r="M5794" t="s">
        <v>24</v>
      </c>
      <c r="N5794" t="s">
        <v>22</v>
      </c>
    </row>
    <row r="5795" spans="1:14">
      <c r="A5795" s="4" t="str">
        <f t="shared" si="550"/>
        <v>EXP00208</v>
      </c>
      <c r="B5795" s="4" t="str">
        <f t="shared" si="547"/>
        <v>24921248</v>
      </c>
      <c r="C5795" s="4" t="str">
        <f t="shared" si="548"/>
        <v>GSE56350</v>
      </c>
      <c r="D5795" s="1" t="s">
        <v>323</v>
      </c>
      <c r="E5795" t="s">
        <v>151</v>
      </c>
      <c r="F5795" s="1">
        <v>1</v>
      </c>
      <c r="G5795" s="1" t="s">
        <v>26</v>
      </c>
      <c r="H5795" s="4" t="str">
        <f>HYPERLINK("https://www.ncbi.nlm.nih.gov/geo/query/acc.cgi?acc=GSM1359696","GSM1359696")</f>
        <v>GSM1359696</v>
      </c>
      <c r="I5795" t="s">
        <v>69</v>
      </c>
      <c r="J5795" t="s">
        <v>18</v>
      </c>
      <c r="K5795" t="s">
        <v>19</v>
      </c>
      <c r="L5795" t="s">
        <v>70</v>
      </c>
      <c r="M5795" t="s">
        <v>24</v>
      </c>
      <c r="N5795" t="s">
        <v>22</v>
      </c>
    </row>
    <row r="5796" spans="1:14">
      <c r="A5796" s="4" t="str">
        <f t="shared" si="550"/>
        <v>EXP00208</v>
      </c>
      <c r="B5796" s="4" t="str">
        <f t="shared" si="547"/>
        <v>24921248</v>
      </c>
      <c r="C5796" s="4" t="str">
        <f t="shared" si="548"/>
        <v>GSE56350</v>
      </c>
      <c r="D5796" s="1" t="s">
        <v>323</v>
      </c>
      <c r="E5796" t="s">
        <v>151</v>
      </c>
      <c r="F5796" s="1">
        <v>1</v>
      </c>
      <c r="G5796" s="1" t="s">
        <v>26</v>
      </c>
      <c r="H5796" s="4" t="str">
        <f>HYPERLINK("https://www.ncbi.nlm.nih.gov/geo/query/acc.cgi?acc=GSM1359699","GSM1359699")</f>
        <v>GSM1359699</v>
      </c>
      <c r="I5796" t="s">
        <v>69</v>
      </c>
      <c r="J5796" t="s">
        <v>18</v>
      </c>
      <c r="K5796" t="s">
        <v>19</v>
      </c>
      <c r="L5796" t="s">
        <v>70</v>
      </c>
      <c r="M5796" t="s">
        <v>24</v>
      </c>
      <c r="N5796" t="s">
        <v>22</v>
      </c>
    </row>
    <row r="5797" spans="1:14">
      <c r="A5797" s="4" t="str">
        <f t="shared" si="550"/>
        <v>EXP00208</v>
      </c>
      <c r="B5797" s="4" t="str">
        <f t="shared" si="547"/>
        <v>24921248</v>
      </c>
      <c r="C5797" s="4" t="str">
        <f t="shared" si="548"/>
        <v>GSE56350</v>
      </c>
      <c r="D5797" s="1" t="s">
        <v>323</v>
      </c>
      <c r="E5797" t="s">
        <v>151</v>
      </c>
      <c r="F5797" s="1">
        <v>1</v>
      </c>
      <c r="G5797" s="1" t="s">
        <v>26</v>
      </c>
      <c r="H5797" s="4" t="str">
        <f>HYPERLINK("https://www.ncbi.nlm.nih.gov/geo/query/acc.cgi?acc=GSM1359702","GSM1359702")</f>
        <v>GSM1359702</v>
      </c>
      <c r="I5797" t="s">
        <v>69</v>
      </c>
      <c r="J5797" t="s">
        <v>18</v>
      </c>
      <c r="K5797" t="s">
        <v>19</v>
      </c>
      <c r="L5797" t="s">
        <v>70</v>
      </c>
      <c r="M5797" t="s">
        <v>24</v>
      </c>
      <c r="N5797" t="s">
        <v>22</v>
      </c>
    </row>
    <row r="5798" spans="1:14">
      <c r="A5798" s="4" t="str">
        <f t="shared" si="550"/>
        <v>EXP00208</v>
      </c>
      <c r="B5798" s="4" t="str">
        <f t="shared" si="547"/>
        <v>24921248</v>
      </c>
      <c r="C5798" s="4" t="str">
        <f t="shared" si="548"/>
        <v>GSE56350</v>
      </c>
      <c r="D5798" s="1" t="s">
        <v>323</v>
      </c>
      <c r="E5798" t="s">
        <v>151</v>
      </c>
      <c r="F5798" s="1">
        <v>1</v>
      </c>
      <c r="G5798" s="1" t="s">
        <v>26</v>
      </c>
      <c r="H5798" s="4" t="str">
        <f>HYPERLINK("https://www.ncbi.nlm.nih.gov/geo/query/acc.cgi?acc=GSM1359705","GSM1359705")</f>
        <v>GSM1359705</v>
      </c>
      <c r="I5798" t="s">
        <v>69</v>
      </c>
      <c r="J5798" t="s">
        <v>18</v>
      </c>
      <c r="K5798" t="s">
        <v>19</v>
      </c>
      <c r="L5798" t="s">
        <v>70</v>
      </c>
      <c r="M5798" t="s">
        <v>24</v>
      </c>
      <c r="N5798" t="s">
        <v>22</v>
      </c>
    </row>
    <row r="5799" spans="1:14">
      <c r="A5799" s="4" t="str">
        <f t="shared" si="550"/>
        <v>EXP00208</v>
      </c>
      <c r="B5799" s="4" t="str">
        <f t="shared" si="547"/>
        <v>24921248</v>
      </c>
      <c r="C5799" s="4" t="str">
        <f t="shared" si="548"/>
        <v>GSE56350</v>
      </c>
      <c r="D5799" s="1" t="s">
        <v>323</v>
      </c>
      <c r="E5799" t="s">
        <v>151</v>
      </c>
      <c r="F5799" s="1">
        <v>1</v>
      </c>
      <c r="G5799" s="1" t="s">
        <v>26</v>
      </c>
      <c r="H5799" s="4" t="str">
        <f>HYPERLINK("https://www.ncbi.nlm.nih.gov/geo/query/acc.cgi?acc=GSM1359708","GSM1359708")</f>
        <v>GSM1359708</v>
      </c>
      <c r="I5799" t="s">
        <v>69</v>
      </c>
      <c r="J5799" t="s">
        <v>18</v>
      </c>
      <c r="K5799" t="s">
        <v>19</v>
      </c>
      <c r="L5799" t="s">
        <v>70</v>
      </c>
      <c r="M5799" t="s">
        <v>24</v>
      </c>
      <c r="N5799" t="s">
        <v>22</v>
      </c>
    </row>
    <row r="5800" spans="1:14">
      <c r="A5800" s="4" t="str">
        <f t="shared" si="550"/>
        <v>EXP00208</v>
      </c>
      <c r="B5800" s="4" t="str">
        <f t="shared" si="547"/>
        <v>24921248</v>
      </c>
      <c r="C5800" s="4" t="str">
        <f t="shared" si="548"/>
        <v>GSE56350</v>
      </c>
      <c r="D5800" s="1" t="s">
        <v>323</v>
      </c>
      <c r="E5800" t="s">
        <v>151</v>
      </c>
      <c r="F5800" s="1">
        <v>1</v>
      </c>
      <c r="G5800" s="1" t="s">
        <v>26</v>
      </c>
      <c r="H5800" s="4" t="str">
        <f>HYPERLINK("https://www.ncbi.nlm.nih.gov/geo/query/acc.cgi?acc=GSM1359711","GSM1359711")</f>
        <v>GSM1359711</v>
      </c>
      <c r="I5800" t="s">
        <v>69</v>
      </c>
      <c r="J5800" t="s">
        <v>18</v>
      </c>
      <c r="K5800" t="s">
        <v>19</v>
      </c>
      <c r="L5800" t="s">
        <v>70</v>
      </c>
      <c r="M5800" t="s">
        <v>24</v>
      </c>
      <c r="N5800" t="s">
        <v>22</v>
      </c>
    </row>
    <row r="5801" spans="1:14">
      <c r="A5801" s="4" t="str">
        <f t="shared" si="550"/>
        <v>EXP00208</v>
      </c>
      <c r="B5801" s="4" t="str">
        <f t="shared" si="547"/>
        <v>24921248</v>
      </c>
      <c r="C5801" s="4" t="str">
        <f t="shared" si="548"/>
        <v>GSE56350</v>
      </c>
      <c r="D5801" s="1" t="s">
        <v>323</v>
      </c>
      <c r="E5801" t="s">
        <v>151</v>
      </c>
      <c r="F5801" s="1">
        <v>1</v>
      </c>
      <c r="G5801" s="1" t="s">
        <v>26</v>
      </c>
      <c r="H5801" s="4" t="str">
        <f>HYPERLINK("https://www.ncbi.nlm.nih.gov/geo/query/acc.cgi?acc=GSM1359714","GSM1359714")</f>
        <v>GSM1359714</v>
      </c>
      <c r="I5801" t="s">
        <v>69</v>
      </c>
      <c r="J5801" t="s">
        <v>18</v>
      </c>
      <c r="K5801" t="s">
        <v>19</v>
      </c>
      <c r="L5801" t="s">
        <v>70</v>
      </c>
      <c r="M5801" t="s">
        <v>24</v>
      </c>
      <c r="N5801" t="s">
        <v>22</v>
      </c>
    </row>
    <row r="5802" spans="1:14">
      <c r="A5802" s="4" t="str">
        <f t="shared" si="550"/>
        <v>EXP00208</v>
      </c>
      <c r="B5802" s="4" t="str">
        <f t="shared" si="547"/>
        <v>24921248</v>
      </c>
      <c r="C5802" s="4" t="str">
        <f t="shared" si="548"/>
        <v>GSE56350</v>
      </c>
      <c r="D5802" s="1" t="s">
        <v>323</v>
      </c>
      <c r="E5802" t="s">
        <v>151</v>
      </c>
      <c r="F5802" s="1">
        <v>2</v>
      </c>
      <c r="G5802" s="1" t="s">
        <v>28</v>
      </c>
      <c r="H5802" s="4" t="str">
        <f>HYPERLINK("https://www.ncbi.nlm.nih.gov/geo/query/acc.cgi?acc=GSM1359614","GSM1359614")</f>
        <v>GSM1359614</v>
      </c>
      <c r="I5802" t="s">
        <v>69</v>
      </c>
      <c r="J5802" t="s">
        <v>18</v>
      </c>
      <c r="K5802" t="s">
        <v>19</v>
      </c>
      <c r="L5802" t="s">
        <v>70</v>
      </c>
      <c r="M5802" t="s">
        <v>24</v>
      </c>
      <c r="N5802" t="s">
        <v>29</v>
      </c>
    </row>
    <row r="5803" spans="1:14">
      <c r="A5803" s="4" t="str">
        <f t="shared" si="550"/>
        <v>EXP00208</v>
      </c>
      <c r="B5803" s="4" t="str">
        <f t="shared" si="547"/>
        <v>24921248</v>
      </c>
      <c r="C5803" s="4" t="str">
        <f t="shared" si="548"/>
        <v>GSE56350</v>
      </c>
      <c r="D5803" s="1" t="s">
        <v>323</v>
      </c>
      <c r="E5803" t="s">
        <v>151</v>
      </c>
      <c r="F5803" s="1">
        <v>2</v>
      </c>
      <c r="G5803" s="1" t="s">
        <v>28</v>
      </c>
      <c r="H5803" s="4" t="str">
        <f>HYPERLINK("https://www.ncbi.nlm.nih.gov/geo/query/acc.cgi?acc=GSM1359616","GSM1359616")</f>
        <v>GSM1359616</v>
      </c>
      <c r="I5803" t="s">
        <v>69</v>
      </c>
      <c r="J5803" t="s">
        <v>18</v>
      </c>
      <c r="K5803" t="s">
        <v>19</v>
      </c>
      <c r="L5803" t="s">
        <v>70</v>
      </c>
      <c r="M5803" t="s">
        <v>24</v>
      </c>
      <c r="N5803" t="s">
        <v>29</v>
      </c>
    </row>
    <row r="5804" spans="1:14">
      <c r="A5804" s="4" t="str">
        <f t="shared" si="550"/>
        <v>EXP00208</v>
      </c>
      <c r="B5804" s="4" t="str">
        <f t="shared" si="547"/>
        <v>24921248</v>
      </c>
      <c r="C5804" s="4" t="str">
        <f t="shared" si="548"/>
        <v>GSE56350</v>
      </c>
      <c r="D5804" s="1" t="s">
        <v>323</v>
      </c>
      <c r="E5804" t="s">
        <v>151</v>
      </c>
      <c r="F5804" s="1">
        <v>2</v>
      </c>
      <c r="G5804" s="1" t="s">
        <v>28</v>
      </c>
      <c r="H5804" s="4" t="str">
        <f>HYPERLINK("https://www.ncbi.nlm.nih.gov/geo/query/acc.cgi?acc=GSM1359618","GSM1359618")</f>
        <v>GSM1359618</v>
      </c>
      <c r="I5804" t="s">
        <v>69</v>
      </c>
      <c r="J5804" t="s">
        <v>18</v>
      </c>
      <c r="K5804" t="s">
        <v>19</v>
      </c>
      <c r="L5804" t="s">
        <v>70</v>
      </c>
      <c r="M5804" t="s">
        <v>24</v>
      </c>
      <c r="N5804" t="s">
        <v>29</v>
      </c>
    </row>
    <row r="5805" spans="1:14">
      <c r="A5805" s="4" t="str">
        <f t="shared" si="550"/>
        <v>EXP00208</v>
      </c>
      <c r="B5805" s="4" t="str">
        <f t="shared" ref="B5805:B5868" si="551">HYPERLINK("https://www.ncbi.nlm.nih.gov/pubmed/24921248","24921248")</f>
        <v>24921248</v>
      </c>
      <c r="C5805" s="4" t="str">
        <f t="shared" ref="C5805:C5868" si="552">HYPERLINK("https://www.ncbi.nlm.nih.gov/geo/query/acc.cgi?acc=GSE56350","GSE56350")</f>
        <v>GSE56350</v>
      </c>
      <c r="D5805" s="1" t="s">
        <v>323</v>
      </c>
      <c r="E5805" t="s">
        <v>151</v>
      </c>
      <c r="F5805" s="1">
        <v>2</v>
      </c>
      <c r="G5805" s="1" t="s">
        <v>28</v>
      </c>
      <c r="H5805" s="4" t="str">
        <f>HYPERLINK("https://www.ncbi.nlm.nih.gov/geo/query/acc.cgi?acc=GSM1359620","GSM1359620")</f>
        <v>GSM1359620</v>
      </c>
      <c r="I5805" t="s">
        <v>69</v>
      </c>
      <c r="J5805" t="s">
        <v>18</v>
      </c>
      <c r="K5805" t="s">
        <v>19</v>
      </c>
      <c r="L5805" t="s">
        <v>70</v>
      </c>
      <c r="M5805" t="s">
        <v>24</v>
      </c>
      <c r="N5805" t="s">
        <v>29</v>
      </c>
    </row>
    <row r="5806" spans="1:14">
      <c r="A5806" s="4" t="str">
        <f t="shared" si="550"/>
        <v>EXP00208</v>
      </c>
      <c r="B5806" s="4" t="str">
        <f t="shared" si="551"/>
        <v>24921248</v>
      </c>
      <c r="C5806" s="4" t="str">
        <f t="shared" si="552"/>
        <v>GSE56350</v>
      </c>
      <c r="D5806" s="1" t="s">
        <v>323</v>
      </c>
      <c r="E5806" t="s">
        <v>151</v>
      </c>
      <c r="F5806" s="1">
        <v>2</v>
      </c>
      <c r="G5806" s="1" t="s">
        <v>28</v>
      </c>
      <c r="H5806" s="4" t="str">
        <f>HYPERLINK("https://www.ncbi.nlm.nih.gov/geo/query/acc.cgi?acc=GSM1359622","GSM1359622")</f>
        <v>GSM1359622</v>
      </c>
      <c r="I5806" t="s">
        <v>69</v>
      </c>
      <c r="J5806" t="s">
        <v>18</v>
      </c>
      <c r="K5806" t="s">
        <v>19</v>
      </c>
      <c r="L5806" t="s">
        <v>70</v>
      </c>
      <c r="M5806" t="s">
        <v>24</v>
      </c>
      <c r="N5806" t="s">
        <v>29</v>
      </c>
    </row>
    <row r="5807" spans="1:14">
      <c r="A5807" s="4" t="str">
        <f t="shared" si="550"/>
        <v>EXP00208</v>
      </c>
      <c r="B5807" s="4" t="str">
        <f t="shared" si="551"/>
        <v>24921248</v>
      </c>
      <c r="C5807" s="4" t="str">
        <f t="shared" si="552"/>
        <v>GSE56350</v>
      </c>
      <c r="D5807" s="1" t="s">
        <v>323</v>
      </c>
      <c r="E5807" t="s">
        <v>151</v>
      </c>
      <c r="F5807" s="1">
        <v>2</v>
      </c>
      <c r="G5807" s="1" t="s">
        <v>28</v>
      </c>
      <c r="H5807" s="4" t="str">
        <f>HYPERLINK("https://www.ncbi.nlm.nih.gov/geo/query/acc.cgi?acc=GSM1359624","GSM1359624")</f>
        <v>GSM1359624</v>
      </c>
      <c r="I5807" t="s">
        <v>69</v>
      </c>
      <c r="J5807" t="s">
        <v>18</v>
      </c>
      <c r="K5807" t="s">
        <v>19</v>
      </c>
      <c r="L5807" t="s">
        <v>70</v>
      </c>
      <c r="M5807" t="s">
        <v>24</v>
      </c>
      <c r="N5807" t="s">
        <v>29</v>
      </c>
    </row>
    <row r="5808" spans="1:14">
      <c r="A5808" s="4" t="str">
        <f t="shared" si="550"/>
        <v>EXP00208</v>
      </c>
      <c r="B5808" s="4" t="str">
        <f t="shared" si="551"/>
        <v>24921248</v>
      </c>
      <c r="C5808" s="4" t="str">
        <f t="shared" si="552"/>
        <v>GSE56350</v>
      </c>
      <c r="D5808" s="1" t="s">
        <v>323</v>
      </c>
      <c r="E5808" t="s">
        <v>151</v>
      </c>
      <c r="F5808" s="1">
        <v>2</v>
      </c>
      <c r="G5808" s="1" t="s">
        <v>28</v>
      </c>
      <c r="H5808" s="4" t="str">
        <f>HYPERLINK("https://www.ncbi.nlm.nih.gov/geo/query/acc.cgi?acc=GSM1359626","GSM1359626")</f>
        <v>GSM1359626</v>
      </c>
      <c r="I5808" t="s">
        <v>69</v>
      </c>
      <c r="J5808" t="s">
        <v>18</v>
      </c>
      <c r="K5808" t="s">
        <v>19</v>
      </c>
      <c r="L5808" t="s">
        <v>70</v>
      </c>
      <c r="M5808" t="s">
        <v>24</v>
      </c>
      <c r="N5808" t="s">
        <v>29</v>
      </c>
    </row>
    <row r="5809" spans="1:14">
      <c r="A5809" s="4" t="str">
        <f t="shared" si="550"/>
        <v>EXP00208</v>
      </c>
      <c r="B5809" s="4" t="str">
        <f t="shared" si="551"/>
        <v>24921248</v>
      </c>
      <c r="C5809" s="4" t="str">
        <f t="shared" si="552"/>
        <v>GSE56350</v>
      </c>
      <c r="D5809" s="1" t="s">
        <v>323</v>
      </c>
      <c r="E5809" t="s">
        <v>151</v>
      </c>
      <c r="F5809" s="1">
        <v>2</v>
      </c>
      <c r="G5809" s="1" t="s">
        <v>28</v>
      </c>
      <c r="H5809" s="4" t="str">
        <f>HYPERLINK("https://www.ncbi.nlm.nih.gov/geo/query/acc.cgi?acc=GSM1359628","GSM1359628")</f>
        <v>GSM1359628</v>
      </c>
      <c r="I5809" t="s">
        <v>69</v>
      </c>
      <c r="J5809" t="s">
        <v>18</v>
      </c>
      <c r="K5809" t="s">
        <v>19</v>
      </c>
      <c r="L5809" t="s">
        <v>70</v>
      </c>
      <c r="M5809" t="s">
        <v>24</v>
      </c>
      <c r="N5809" t="s">
        <v>29</v>
      </c>
    </row>
    <row r="5810" spans="1:14">
      <c r="A5810" s="4" t="str">
        <f t="shared" si="550"/>
        <v>EXP00208</v>
      </c>
      <c r="B5810" s="4" t="str">
        <f t="shared" si="551"/>
        <v>24921248</v>
      </c>
      <c r="C5810" s="4" t="str">
        <f t="shared" si="552"/>
        <v>GSE56350</v>
      </c>
      <c r="D5810" s="1" t="s">
        <v>323</v>
      </c>
      <c r="E5810" t="s">
        <v>151</v>
      </c>
      <c r="F5810" s="1">
        <v>2</v>
      </c>
      <c r="G5810" s="1" t="s">
        <v>28</v>
      </c>
      <c r="H5810" s="4" t="str">
        <f>HYPERLINK("https://www.ncbi.nlm.nih.gov/geo/query/acc.cgi?acc=GSM1359630","GSM1359630")</f>
        <v>GSM1359630</v>
      </c>
      <c r="I5810" t="s">
        <v>69</v>
      </c>
      <c r="J5810" t="s">
        <v>18</v>
      </c>
      <c r="K5810" t="s">
        <v>19</v>
      </c>
      <c r="L5810" t="s">
        <v>70</v>
      </c>
      <c r="M5810" t="s">
        <v>24</v>
      </c>
      <c r="N5810" t="s">
        <v>29</v>
      </c>
    </row>
    <row r="5811" spans="1:14">
      <c r="A5811" s="4" t="str">
        <f t="shared" si="550"/>
        <v>EXP00208</v>
      </c>
      <c r="B5811" s="4" t="str">
        <f t="shared" si="551"/>
        <v>24921248</v>
      </c>
      <c r="C5811" s="4" t="str">
        <f t="shared" si="552"/>
        <v>GSE56350</v>
      </c>
      <c r="D5811" s="1" t="s">
        <v>323</v>
      </c>
      <c r="E5811" t="s">
        <v>151</v>
      </c>
      <c r="F5811" s="1">
        <v>2</v>
      </c>
      <c r="G5811" s="1" t="s">
        <v>28</v>
      </c>
      <c r="H5811" s="4" t="str">
        <f>HYPERLINK("https://www.ncbi.nlm.nih.gov/geo/query/acc.cgi?acc=GSM1359632","GSM1359632")</f>
        <v>GSM1359632</v>
      </c>
      <c r="I5811" t="s">
        <v>69</v>
      </c>
      <c r="J5811" t="s">
        <v>18</v>
      </c>
      <c r="K5811" t="s">
        <v>19</v>
      </c>
      <c r="L5811" t="s">
        <v>70</v>
      </c>
      <c r="M5811" t="s">
        <v>24</v>
      </c>
      <c r="N5811" t="s">
        <v>29</v>
      </c>
    </row>
    <row r="5812" spans="1:14">
      <c r="A5812" s="4" t="str">
        <f t="shared" si="550"/>
        <v>EXP00208</v>
      </c>
      <c r="B5812" s="4" t="str">
        <f t="shared" si="551"/>
        <v>24921248</v>
      </c>
      <c r="C5812" s="4" t="str">
        <f t="shared" si="552"/>
        <v>GSE56350</v>
      </c>
      <c r="D5812" s="1" t="s">
        <v>323</v>
      </c>
      <c r="E5812" t="s">
        <v>151</v>
      </c>
      <c r="F5812" s="1">
        <v>2</v>
      </c>
      <c r="G5812" s="1" t="s">
        <v>28</v>
      </c>
      <c r="H5812" s="4" t="str">
        <f>HYPERLINK("https://www.ncbi.nlm.nih.gov/geo/query/acc.cgi?acc=GSM1359634","GSM1359634")</f>
        <v>GSM1359634</v>
      </c>
      <c r="I5812" t="s">
        <v>69</v>
      </c>
      <c r="J5812" t="s">
        <v>18</v>
      </c>
      <c r="K5812" t="s">
        <v>19</v>
      </c>
      <c r="L5812" t="s">
        <v>70</v>
      </c>
      <c r="M5812" t="s">
        <v>24</v>
      </c>
      <c r="N5812" t="s">
        <v>29</v>
      </c>
    </row>
    <row r="5813" spans="1:14">
      <c r="A5813" s="4" t="str">
        <f t="shared" si="550"/>
        <v>EXP00208</v>
      </c>
      <c r="B5813" s="4" t="str">
        <f t="shared" si="551"/>
        <v>24921248</v>
      </c>
      <c r="C5813" s="4" t="str">
        <f t="shared" si="552"/>
        <v>GSE56350</v>
      </c>
      <c r="D5813" s="1" t="s">
        <v>323</v>
      </c>
      <c r="E5813" t="s">
        <v>151</v>
      </c>
      <c r="F5813" s="1">
        <v>2</v>
      </c>
      <c r="G5813" s="1" t="s">
        <v>28</v>
      </c>
      <c r="H5813" s="4" t="str">
        <f>HYPERLINK("https://www.ncbi.nlm.nih.gov/geo/query/acc.cgi?acc=GSM1359636","GSM1359636")</f>
        <v>GSM1359636</v>
      </c>
      <c r="I5813" t="s">
        <v>69</v>
      </c>
      <c r="J5813" t="s">
        <v>18</v>
      </c>
      <c r="K5813" t="s">
        <v>19</v>
      </c>
      <c r="L5813" t="s">
        <v>70</v>
      </c>
      <c r="M5813" t="s">
        <v>24</v>
      </c>
      <c r="N5813" t="s">
        <v>29</v>
      </c>
    </row>
    <row r="5814" spans="1:14">
      <c r="A5814" s="4" t="str">
        <f t="shared" si="550"/>
        <v>EXP00208</v>
      </c>
      <c r="B5814" s="4" t="str">
        <f t="shared" si="551"/>
        <v>24921248</v>
      </c>
      <c r="C5814" s="4" t="str">
        <f t="shared" si="552"/>
        <v>GSE56350</v>
      </c>
      <c r="D5814" s="1" t="s">
        <v>323</v>
      </c>
      <c r="E5814" t="s">
        <v>151</v>
      </c>
      <c r="F5814" s="1">
        <v>2</v>
      </c>
      <c r="G5814" s="1" t="s">
        <v>28</v>
      </c>
      <c r="H5814" s="4" t="str">
        <f>HYPERLINK("https://www.ncbi.nlm.nih.gov/geo/query/acc.cgi?acc=GSM1359638","GSM1359638")</f>
        <v>GSM1359638</v>
      </c>
      <c r="I5814" t="s">
        <v>69</v>
      </c>
      <c r="J5814" t="s">
        <v>18</v>
      </c>
      <c r="K5814" t="s">
        <v>19</v>
      </c>
      <c r="L5814" t="s">
        <v>70</v>
      </c>
      <c r="M5814" t="s">
        <v>24</v>
      </c>
      <c r="N5814" t="s">
        <v>29</v>
      </c>
    </row>
    <row r="5815" spans="1:14">
      <c r="A5815" s="4" t="str">
        <f t="shared" si="550"/>
        <v>EXP00208</v>
      </c>
      <c r="B5815" s="4" t="str">
        <f t="shared" si="551"/>
        <v>24921248</v>
      </c>
      <c r="C5815" s="4" t="str">
        <f t="shared" si="552"/>
        <v>GSE56350</v>
      </c>
      <c r="D5815" s="1" t="s">
        <v>323</v>
      </c>
      <c r="E5815" t="s">
        <v>151</v>
      </c>
      <c r="F5815" s="1">
        <v>2</v>
      </c>
      <c r="G5815" s="1" t="s">
        <v>28</v>
      </c>
      <c r="H5815" s="4" t="str">
        <f>HYPERLINK("https://www.ncbi.nlm.nih.gov/geo/query/acc.cgi?acc=GSM1359640","GSM1359640")</f>
        <v>GSM1359640</v>
      </c>
      <c r="I5815" t="s">
        <v>69</v>
      </c>
      <c r="J5815" t="s">
        <v>18</v>
      </c>
      <c r="K5815" t="s">
        <v>19</v>
      </c>
      <c r="L5815" t="s">
        <v>70</v>
      </c>
      <c r="M5815" t="s">
        <v>24</v>
      </c>
      <c r="N5815" t="s">
        <v>29</v>
      </c>
    </row>
    <row r="5816" spans="1:14">
      <c r="A5816" s="4" t="str">
        <f t="shared" si="550"/>
        <v>EXP00208</v>
      </c>
      <c r="B5816" s="4" t="str">
        <f t="shared" si="551"/>
        <v>24921248</v>
      </c>
      <c r="C5816" s="4" t="str">
        <f t="shared" si="552"/>
        <v>GSE56350</v>
      </c>
      <c r="D5816" s="1" t="s">
        <v>323</v>
      </c>
      <c r="E5816" t="s">
        <v>151</v>
      </c>
      <c r="F5816" s="1">
        <v>2</v>
      </c>
      <c r="G5816" s="1" t="s">
        <v>28</v>
      </c>
      <c r="H5816" s="4" t="str">
        <f>HYPERLINK("https://www.ncbi.nlm.nih.gov/geo/query/acc.cgi?acc=GSM1359642","GSM1359642")</f>
        <v>GSM1359642</v>
      </c>
      <c r="I5816" t="s">
        <v>69</v>
      </c>
      <c r="J5816" t="s">
        <v>18</v>
      </c>
      <c r="K5816" t="s">
        <v>19</v>
      </c>
      <c r="L5816" t="s">
        <v>70</v>
      </c>
      <c r="M5816" t="s">
        <v>24</v>
      </c>
      <c r="N5816" t="s">
        <v>29</v>
      </c>
    </row>
    <row r="5817" spans="1:14">
      <c r="A5817" s="4" t="str">
        <f t="shared" si="550"/>
        <v>EXP00208</v>
      </c>
      <c r="B5817" s="4" t="str">
        <f t="shared" si="551"/>
        <v>24921248</v>
      </c>
      <c r="C5817" s="4" t="str">
        <f t="shared" si="552"/>
        <v>GSE56350</v>
      </c>
      <c r="D5817" s="1" t="s">
        <v>323</v>
      </c>
      <c r="E5817" t="s">
        <v>151</v>
      </c>
      <c r="F5817" s="1">
        <v>2</v>
      </c>
      <c r="G5817" s="1" t="s">
        <v>28</v>
      </c>
      <c r="H5817" s="4" t="str">
        <f>HYPERLINK("https://www.ncbi.nlm.nih.gov/geo/query/acc.cgi?acc=GSM1359644","GSM1359644")</f>
        <v>GSM1359644</v>
      </c>
      <c r="I5817" t="s">
        <v>69</v>
      </c>
      <c r="J5817" t="s">
        <v>18</v>
      </c>
      <c r="K5817" t="s">
        <v>19</v>
      </c>
      <c r="L5817" t="s">
        <v>70</v>
      </c>
      <c r="M5817" t="s">
        <v>24</v>
      </c>
      <c r="N5817" t="s">
        <v>29</v>
      </c>
    </row>
    <row r="5818" spans="1:14">
      <c r="A5818" s="4" t="str">
        <f t="shared" si="550"/>
        <v>EXP00208</v>
      </c>
      <c r="B5818" s="4" t="str">
        <f t="shared" si="551"/>
        <v>24921248</v>
      </c>
      <c r="C5818" s="4" t="str">
        <f t="shared" si="552"/>
        <v>GSE56350</v>
      </c>
      <c r="D5818" s="1" t="s">
        <v>323</v>
      </c>
      <c r="E5818" t="s">
        <v>151</v>
      </c>
      <c r="F5818" s="1">
        <v>2</v>
      </c>
      <c r="G5818" s="1" t="s">
        <v>28</v>
      </c>
      <c r="H5818" s="4" t="str">
        <f>HYPERLINK("https://www.ncbi.nlm.nih.gov/geo/query/acc.cgi?acc=GSM1359646","GSM1359646")</f>
        <v>GSM1359646</v>
      </c>
      <c r="I5818" t="s">
        <v>69</v>
      </c>
      <c r="J5818" t="s">
        <v>18</v>
      </c>
      <c r="K5818" t="s">
        <v>19</v>
      </c>
      <c r="L5818" t="s">
        <v>70</v>
      </c>
      <c r="M5818" t="s">
        <v>24</v>
      </c>
      <c r="N5818" t="s">
        <v>29</v>
      </c>
    </row>
    <row r="5819" spans="1:14">
      <c r="A5819" s="4" t="str">
        <f t="shared" si="550"/>
        <v>EXP00208</v>
      </c>
      <c r="B5819" s="4" t="str">
        <f t="shared" si="551"/>
        <v>24921248</v>
      </c>
      <c r="C5819" s="4" t="str">
        <f t="shared" si="552"/>
        <v>GSE56350</v>
      </c>
      <c r="D5819" s="1" t="s">
        <v>323</v>
      </c>
      <c r="E5819" t="s">
        <v>151</v>
      </c>
      <c r="F5819" s="1">
        <v>2</v>
      </c>
      <c r="G5819" s="1" t="s">
        <v>28</v>
      </c>
      <c r="H5819" s="4" t="str">
        <f>HYPERLINK("https://www.ncbi.nlm.nih.gov/geo/query/acc.cgi?acc=GSM1359648","GSM1359648")</f>
        <v>GSM1359648</v>
      </c>
      <c r="I5819" t="s">
        <v>69</v>
      </c>
      <c r="J5819" t="s">
        <v>18</v>
      </c>
      <c r="K5819" t="s">
        <v>19</v>
      </c>
      <c r="L5819" t="s">
        <v>70</v>
      </c>
      <c r="M5819" t="s">
        <v>24</v>
      </c>
      <c r="N5819" t="s">
        <v>29</v>
      </c>
    </row>
    <row r="5820" spans="1:14">
      <c r="A5820" s="4" t="str">
        <f t="shared" si="550"/>
        <v>EXP00208</v>
      </c>
      <c r="B5820" s="4" t="str">
        <f t="shared" si="551"/>
        <v>24921248</v>
      </c>
      <c r="C5820" s="4" t="str">
        <f t="shared" si="552"/>
        <v>GSE56350</v>
      </c>
      <c r="D5820" s="1" t="s">
        <v>323</v>
      </c>
      <c r="E5820" t="s">
        <v>151</v>
      </c>
      <c r="F5820" s="1">
        <v>2</v>
      </c>
      <c r="G5820" s="1" t="s">
        <v>28</v>
      </c>
      <c r="H5820" s="4" t="str">
        <f>HYPERLINK("https://www.ncbi.nlm.nih.gov/geo/query/acc.cgi?acc=GSM1359650","GSM1359650")</f>
        <v>GSM1359650</v>
      </c>
      <c r="I5820" t="s">
        <v>69</v>
      </c>
      <c r="J5820" t="s">
        <v>18</v>
      </c>
      <c r="K5820" t="s">
        <v>19</v>
      </c>
      <c r="L5820" t="s">
        <v>70</v>
      </c>
      <c r="M5820" t="s">
        <v>24</v>
      </c>
      <c r="N5820" t="s">
        <v>29</v>
      </c>
    </row>
    <row r="5821" spans="1:14">
      <c r="A5821" s="4" t="str">
        <f t="shared" si="550"/>
        <v>EXP00208</v>
      </c>
      <c r="B5821" s="4" t="str">
        <f t="shared" si="551"/>
        <v>24921248</v>
      </c>
      <c r="C5821" s="4" t="str">
        <f t="shared" si="552"/>
        <v>GSE56350</v>
      </c>
      <c r="D5821" s="1" t="s">
        <v>323</v>
      </c>
      <c r="E5821" t="s">
        <v>151</v>
      </c>
      <c r="F5821" s="1">
        <v>2</v>
      </c>
      <c r="G5821" s="1" t="s">
        <v>28</v>
      </c>
      <c r="H5821" s="4" t="str">
        <f>HYPERLINK("https://www.ncbi.nlm.nih.gov/geo/query/acc.cgi?acc=GSM1359652","GSM1359652")</f>
        <v>GSM1359652</v>
      </c>
      <c r="I5821" t="s">
        <v>69</v>
      </c>
      <c r="J5821" t="s">
        <v>18</v>
      </c>
      <c r="K5821" t="s">
        <v>19</v>
      </c>
      <c r="L5821" t="s">
        <v>70</v>
      </c>
      <c r="M5821" t="s">
        <v>24</v>
      </c>
      <c r="N5821" t="s">
        <v>29</v>
      </c>
    </row>
    <row r="5822" spans="1:14">
      <c r="A5822" s="4" t="str">
        <f t="shared" si="550"/>
        <v>EXP00208</v>
      </c>
      <c r="B5822" s="4" t="str">
        <f t="shared" si="551"/>
        <v>24921248</v>
      </c>
      <c r="C5822" s="4" t="str">
        <f t="shared" si="552"/>
        <v>GSE56350</v>
      </c>
      <c r="D5822" s="1" t="s">
        <v>323</v>
      </c>
      <c r="E5822" t="s">
        <v>151</v>
      </c>
      <c r="F5822" s="1">
        <v>2</v>
      </c>
      <c r="G5822" s="1" t="s">
        <v>28</v>
      </c>
      <c r="H5822" s="4" t="str">
        <f>HYPERLINK("https://www.ncbi.nlm.nih.gov/geo/query/acc.cgi?acc=GSM1359654","GSM1359654")</f>
        <v>GSM1359654</v>
      </c>
      <c r="I5822" t="s">
        <v>69</v>
      </c>
      <c r="J5822" t="s">
        <v>18</v>
      </c>
      <c r="K5822" t="s">
        <v>19</v>
      </c>
      <c r="L5822" t="s">
        <v>70</v>
      </c>
      <c r="M5822" t="s">
        <v>24</v>
      </c>
      <c r="N5822" t="s">
        <v>29</v>
      </c>
    </row>
    <row r="5823" spans="1:14">
      <c r="A5823" s="4" t="str">
        <f t="shared" ref="A5823:A5832" si="553">HYPERLINK("http://hcmdb.i-sanger.com/experiment/details/experiment_id/EXP00208","EXP00208")</f>
        <v>EXP00208</v>
      </c>
      <c r="B5823" s="4" t="str">
        <f t="shared" si="551"/>
        <v>24921248</v>
      </c>
      <c r="C5823" s="4" t="str">
        <f t="shared" si="552"/>
        <v>GSE56350</v>
      </c>
      <c r="D5823" s="1" t="s">
        <v>323</v>
      </c>
      <c r="E5823" t="s">
        <v>151</v>
      </c>
      <c r="F5823" s="1">
        <v>2</v>
      </c>
      <c r="G5823" s="1" t="s">
        <v>28</v>
      </c>
      <c r="H5823" s="4" t="str">
        <f>HYPERLINK("https://www.ncbi.nlm.nih.gov/geo/query/acc.cgi?acc=GSM1359656","GSM1359656")</f>
        <v>GSM1359656</v>
      </c>
      <c r="I5823" t="s">
        <v>69</v>
      </c>
      <c r="J5823" t="s">
        <v>18</v>
      </c>
      <c r="K5823" t="s">
        <v>19</v>
      </c>
      <c r="L5823" t="s">
        <v>70</v>
      </c>
      <c r="M5823" t="s">
        <v>24</v>
      </c>
      <c r="N5823" t="s">
        <v>29</v>
      </c>
    </row>
    <row r="5824" spans="1:14">
      <c r="A5824" s="4" t="str">
        <f t="shared" si="553"/>
        <v>EXP00208</v>
      </c>
      <c r="B5824" s="4" t="str">
        <f t="shared" si="551"/>
        <v>24921248</v>
      </c>
      <c r="C5824" s="4" t="str">
        <f t="shared" si="552"/>
        <v>GSE56350</v>
      </c>
      <c r="D5824" s="1" t="s">
        <v>323</v>
      </c>
      <c r="E5824" t="s">
        <v>151</v>
      </c>
      <c r="F5824" s="1">
        <v>2</v>
      </c>
      <c r="G5824" s="1" t="s">
        <v>28</v>
      </c>
      <c r="H5824" s="4" t="str">
        <f>HYPERLINK("https://www.ncbi.nlm.nih.gov/geo/query/acc.cgi?acc=GSM1359657","GSM1359657")</f>
        <v>GSM1359657</v>
      </c>
      <c r="I5824" t="s">
        <v>69</v>
      </c>
      <c r="J5824" t="s">
        <v>18</v>
      </c>
      <c r="K5824" t="s">
        <v>19</v>
      </c>
      <c r="L5824" t="s">
        <v>70</v>
      </c>
      <c r="M5824" t="s">
        <v>24</v>
      </c>
      <c r="N5824" t="s">
        <v>29</v>
      </c>
    </row>
    <row r="5825" spans="1:14">
      <c r="A5825" s="4" t="str">
        <f t="shared" si="553"/>
        <v>EXP00208</v>
      </c>
      <c r="B5825" s="4" t="str">
        <f t="shared" si="551"/>
        <v>24921248</v>
      </c>
      <c r="C5825" s="4" t="str">
        <f t="shared" si="552"/>
        <v>GSE56350</v>
      </c>
      <c r="D5825" s="1" t="s">
        <v>323</v>
      </c>
      <c r="E5825" t="s">
        <v>151</v>
      </c>
      <c r="F5825" s="1">
        <v>2</v>
      </c>
      <c r="G5825" s="1" t="s">
        <v>28</v>
      </c>
      <c r="H5825" s="4" t="str">
        <f>HYPERLINK("https://www.ncbi.nlm.nih.gov/geo/query/acc.cgi?acc=GSM1359659","GSM1359659")</f>
        <v>GSM1359659</v>
      </c>
      <c r="I5825" t="s">
        <v>69</v>
      </c>
      <c r="J5825" t="s">
        <v>18</v>
      </c>
      <c r="K5825" t="s">
        <v>19</v>
      </c>
      <c r="L5825" t="s">
        <v>70</v>
      </c>
      <c r="M5825" t="s">
        <v>24</v>
      </c>
      <c r="N5825" t="s">
        <v>29</v>
      </c>
    </row>
    <row r="5826" spans="1:14">
      <c r="A5826" s="4" t="str">
        <f t="shared" si="553"/>
        <v>EXP00208</v>
      </c>
      <c r="B5826" s="4" t="str">
        <f t="shared" si="551"/>
        <v>24921248</v>
      </c>
      <c r="C5826" s="4" t="str">
        <f t="shared" si="552"/>
        <v>GSE56350</v>
      </c>
      <c r="D5826" s="1" t="s">
        <v>323</v>
      </c>
      <c r="E5826" t="s">
        <v>151</v>
      </c>
      <c r="F5826" s="1">
        <v>2</v>
      </c>
      <c r="G5826" s="1" t="s">
        <v>28</v>
      </c>
      <c r="H5826" s="4" t="str">
        <f>HYPERLINK("https://www.ncbi.nlm.nih.gov/geo/query/acc.cgi?acc=GSM1359661","GSM1359661")</f>
        <v>GSM1359661</v>
      </c>
      <c r="I5826" t="s">
        <v>69</v>
      </c>
      <c r="J5826" t="s">
        <v>18</v>
      </c>
      <c r="K5826" t="s">
        <v>19</v>
      </c>
      <c r="L5826" t="s">
        <v>70</v>
      </c>
      <c r="M5826" t="s">
        <v>24</v>
      </c>
      <c r="N5826" t="s">
        <v>29</v>
      </c>
    </row>
    <row r="5827" spans="1:14">
      <c r="A5827" s="4" t="str">
        <f t="shared" si="553"/>
        <v>EXP00208</v>
      </c>
      <c r="B5827" s="4" t="str">
        <f t="shared" si="551"/>
        <v>24921248</v>
      </c>
      <c r="C5827" s="4" t="str">
        <f t="shared" si="552"/>
        <v>GSE56350</v>
      </c>
      <c r="D5827" s="1" t="s">
        <v>323</v>
      </c>
      <c r="E5827" t="s">
        <v>151</v>
      </c>
      <c r="F5827" s="1">
        <v>2</v>
      </c>
      <c r="G5827" s="1" t="s">
        <v>28</v>
      </c>
      <c r="H5827" s="4" t="str">
        <f>HYPERLINK("https://www.ncbi.nlm.nih.gov/geo/query/acc.cgi?acc=GSM1359663","GSM1359663")</f>
        <v>GSM1359663</v>
      </c>
      <c r="I5827" t="s">
        <v>69</v>
      </c>
      <c r="J5827" t="s">
        <v>18</v>
      </c>
      <c r="K5827" t="s">
        <v>19</v>
      </c>
      <c r="L5827" t="s">
        <v>70</v>
      </c>
      <c r="M5827" t="s">
        <v>24</v>
      </c>
      <c r="N5827" t="s">
        <v>29</v>
      </c>
    </row>
    <row r="5828" spans="1:14">
      <c r="A5828" s="4" t="str">
        <f t="shared" si="553"/>
        <v>EXP00208</v>
      </c>
      <c r="B5828" s="4" t="str">
        <f t="shared" si="551"/>
        <v>24921248</v>
      </c>
      <c r="C5828" s="4" t="str">
        <f t="shared" si="552"/>
        <v>GSE56350</v>
      </c>
      <c r="D5828" s="1" t="s">
        <v>323</v>
      </c>
      <c r="E5828" t="s">
        <v>151</v>
      </c>
      <c r="F5828" s="1">
        <v>2</v>
      </c>
      <c r="G5828" s="1" t="s">
        <v>28</v>
      </c>
      <c r="H5828" s="4" t="str">
        <f>HYPERLINK("https://www.ncbi.nlm.nih.gov/geo/query/acc.cgi?acc=GSM1359665","GSM1359665")</f>
        <v>GSM1359665</v>
      </c>
      <c r="I5828" t="s">
        <v>69</v>
      </c>
      <c r="J5828" t="s">
        <v>18</v>
      </c>
      <c r="K5828" t="s">
        <v>19</v>
      </c>
      <c r="L5828" t="s">
        <v>70</v>
      </c>
      <c r="M5828" t="s">
        <v>24</v>
      </c>
      <c r="N5828" t="s">
        <v>29</v>
      </c>
    </row>
    <row r="5829" spans="1:14">
      <c r="A5829" s="4" t="str">
        <f t="shared" si="553"/>
        <v>EXP00208</v>
      </c>
      <c r="B5829" s="4" t="str">
        <f t="shared" si="551"/>
        <v>24921248</v>
      </c>
      <c r="C5829" s="4" t="str">
        <f t="shared" si="552"/>
        <v>GSE56350</v>
      </c>
      <c r="D5829" s="1" t="s">
        <v>323</v>
      </c>
      <c r="E5829" t="s">
        <v>151</v>
      </c>
      <c r="F5829" s="1">
        <v>2</v>
      </c>
      <c r="G5829" s="1" t="s">
        <v>28</v>
      </c>
      <c r="H5829" s="4" t="str">
        <f>HYPERLINK("https://www.ncbi.nlm.nih.gov/geo/query/acc.cgi?acc=GSM1359667","GSM1359667")</f>
        <v>GSM1359667</v>
      </c>
      <c r="I5829" t="s">
        <v>69</v>
      </c>
      <c r="J5829" t="s">
        <v>18</v>
      </c>
      <c r="K5829" t="s">
        <v>19</v>
      </c>
      <c r="L5829" t="s">
        <v>70</v>
      </c>
      <c r="M5829" t="s">
        <v>24</v>
      </c>
      <c r="N5829" t="s">
        <v>29</v>
      </c>
    </row>
    <row r="5830" spans="1:14">
      <c r="A5830" s="4" t="str">
        <f t="shared" si="553"/>
        <v>EXP00208</v>
      </c>
      <c r="B5830" s="4" t="str">
        <f t="shared" si="551"/>
        <v>24921248</v>
      </c>
      <c r="C5830" s="4" t="str">
        <f t="shared" si="552"/>
        <v>GSE56350</v>
      </c>
      <c r="D5830" s="1" t="s">
        <v>323</v>
      </c>
      <c r="E5830" t="s">
        <v>151</v>
      </c>
      <c r="F5830" s="1">
        <v>2</v>
      </c>
      <c r="G5830" s="1" t="s">
        <v>28</v>
      </c>
      <c r="H5830" s="4" t="str">
        <f>HYPERLINK("https://www.ncbi.nlm.nih.gov/geo/query/acc.cgi?acc=GSM1359669","GSM1359669")</f>
        <v>GSM1359669</v>
      </c>
      <c r="I5830" t="s">
        <v>69</v>
      </c>
      <c r="J5830" t="s">
        <v>18</v>
      </c>
      <c r="K5830" t="s">
        <v>19</v>
      </c>
      <c r="L5830" t="s">
        <v>70</v>
      </c>
      <c r="M5830" t="s">
        <v>24</v>
      </c>
      <c r="N5830" t="s">
        <v>29</v>
      </c>
    </row>
    <row r="5831" spans="1:14">
      <c r="A5831" s="4" t="str">
        <f t="shared" si="553"/>
        <v>EXP00208</v>
      </c>
      <c r="B5831" s="4" t="str">
        <f t="shared" si="551"/>
        <v>24921248</v>
      </c>
      <c r="C5831" s="4" t="str">
        <f t="shared" si="552"/>
        <v>GSE56350</v>
      </c>
      <c r="D5831" s="1" t="s">
        <v>323</v>
      </c>
      <c r="E5831" t="s">
        <v>151</v>
      </c>
      <c r="F5831" s="1">
        <v>2</v>
      </c>
      <c r="G5831" s="1" t="s">
        <v>28</v>
      </c>
      <c r="H5831" s="4" t="str">
        <f>HYPERLINK("https://www.ncbi.nlm.nih.gov/geo/query/acc.cgi?acc=GSM1359679","GSM1359679")</f>
        <v>GSM1359679</v>
      </c>
      <c r="I5831" t="s">
        <v>69</v>
      </c>
      <c r="J5831" t="s">
        <v>18</v>
      </c>
      <c r="K5831" t="s">
        <v>19</v>
      </c>
      <c r="L5831" t="s">
        <v>70</v>
      </c>
      <c r="M5831" t="s">
        <v>24</v>
      </c>
      <c r="N5831" t="s">
        <v>29</v>
      </c>
    </row>
    <row r="5832" spans="1:14">
      <c r="A5832" s="4" t="str">
        <f t="shared" si="553"/>
        <v>EXP00208</v>
      </c>
      <c r="B5832" s="4" t="str">
        <f t="shared" si="551"/>
        <v>24921248</v>
      </c>
      <c r="C5832" s="4" t="str">
        <f t="shared" si="552"/>
        <v>GSE56350</v>
      </c>
      <c r="D5832" s="1" t="s">
        <v>323</v>
      </c>
      <c r="E5832" t="s">
        <v>151</v>
      </c>
      <c r="F5832" s="1">
        <v>2</v>
      </c>
      <c r="G5832" s="1" t="s">
        <v>28</v>
      </c>
      <c r="H5832" s="4" t="str">
        <f>HYPERLINK("https://www.ncbi.nlm.nih.gov/geo/query/acc.cgi?acc=GSM1359681","GSM1359681")</f>
        <v>GSM1359681</v>
      </c>
      <c r="I5832" t="s">
        <v>69</v>
      </c>
      <c r="J5832" t="s">
        <v>18</v>
      </c>
      <c r="K5832" t="s">
        <v>19</v>
      </c>
      <c r="L5832" t="s">
        <v>70</v>
      </c>
      <c r="M5832" t="s">
        <v>24</v>
      </c>
      <c r="N5832" t="s">
        <v>29</v>
      </c>
    </row>
    <row r="5833" spans="1:14">
      <c r="A5833" s="4" t="str">
        <f t="shared" ref="A5833:A5878" si="554">HYPERLINK("http://hcmdb.i-sanger.com/experiment/details/experiment_id/EXP00209","EXP00209")</f>
        <v>EXP00209</v>
      </c>
      <c r="B5833" s="4" t="str">
        <f t="shared" si="551"/>
        <v>24921248</v>
      </c>
      <c r="C5833" s="4" t="str">
        <f t="shared" si="552"/>
        <v>GSE56350</v>
      </c>
      <c r="D5833" s="1" t="s">
        <v>323</v>
      </c>
      <c r="E5833" t="s">
        <v>101</v>
      </c>
      <c r="F5833" s="1">
        <v>1</v>
      </c>
      <c r="G5833" s="1" t="s">
        <v>104</v>
      </c>
      <c r="H5833" s="4" t="str">
        <f>HYPERLINK("https://www.ncbi.nlm.nih.gov/geo/query/acc.cgi?acc=GSM1359672","GSM1359672")</f>
        <v>GSM1359672</v>
      </c>
      <c r="I5833" t="s">
        <v>69</v>
      </c>
      <c r="J5833" t="s">
        <v>18</v>
      </c>
      <c r="K5833" t="s">
        <v>19</v>
      </c>
      <c r="L5833" t="s">
        <v>70</v>
      </c>
      <c r="M5833" t="s">
        <v>44</v>
      </c>
      <c r="N5833" t="s">
        <v>29</v>
      </c>
    </row>
    <row r="5834" spans="1:14">
      <c r="A5834" s="4" t="str">
        <f t="shared" si="554"/>
        <v>EXP00209</v>
      </c>
      <c r="B5834" s="4" t="str">
        <f t="shared" si="551"/>
        <v>24921248</v>
      </c>
      <c r="C5834" s="4" t="str">
        <f t="shared" si="552"/>
        <v>GSE56350</v>
      </c>
      <c r="D5834" s="1" t="s">
        <v>323</v>
      </c>
      <c r="E5834" t="s">
        <v>101</v>
      </c>
      <c r="F5834" s="1">
        <v>1</v>
      </c>
      <c r="G5834" s="1" t="s">
        <v>104</v>
      </c>
      <c r="H5834" s="4" t="str">
        <f>HYPERLINK("https://www.ncbi.nlm.nih.gov/geo/query/acc.cgi?acc=GSM1359688","GSM1359688")</f>
        <v>GSM1359688</v>
      </c>
      <c r="I5834" t="s">
        <v>69</v>
      </c>
      <c r="J5834" t="s">
        <v>18</v>
      </c>
      <c r="K5834" t="s">
        <v>19</v>
      </c>
      <c r="L5834" t="s">
        <v>70</v>
      </c>
      <c r="M5834" t="s">
        <v>44</v>
      </c>
      <c r="N5834" t="s">
        <v>29</v>
      </c>
    </row>
    <row r="5835" spans="1:14">
      <c r="A5835" s="4" t="str">
        <f t="shared" si="554"/>
        <v>EXP00209</v>
      </c>
      <c r="B5835" s="4" t="str">
        <f t="shared" si="551"/>
        <v>24921248</v>
      </c>
      <c r="C5835" s="4" t="str">
        <f t="shared" si="552"/>
        <v>GSE56350</v>
      </c>
      <c r="D5835" s="1" t="s">
        <v>323</v>
      </c>
      <c r="E5835" t="s">
        <v>101</v>
      </c>
      <c r="F5835" s="1">
        <v>1</v>
      </c>
      <c r="G5835" s="1" t="s">
        <v>104</v>
      </c>
      <c r="H5835" s="4" t="str">
        <f>HYPERLINK("https://www.ncbi.nlm.nih.gov/geo/query/acc.cgi?acc=GSM1359716","GSM1359716")</f>
        <v>GSM1359716</v>
      </c>
      <c r="I5835" t="s">
        <v>69</v>
      </c>
      <c r="J5835" t="s">
        <v>18</v>
      </c>
      <c r="K5835" t="s">
        <v>19</v>
      </c>
      <c r="L5835" t="s">
        <v>70</v>
      </c>
      <c r="M5835" t="s">
        <v>44</v>
      </c>
      <c r="N5835" t="s">
        <v>29</v>
      </c>
    </row>
    <row r="5836" spans="1:14">
      <c r="A5836" s="4" t="str">
        <f t="shared" si="554"/>
        <v>EXP00209</v>
      </c>
      <c r="B5836" s="4" t="str">
        <f t="shared" si="551"/>
        <v>24921248</v>
      </c>
      <c r="C5836" s="4" t="str">
        <f t="shared" si="552"/>
        <v>GSE56350</v>
      </c>
      <c r="D5836" s="1" t="s">
        <v>323</v>
      </c>
      <c r="E5836" t="s">
        <v>101</v>
      </c>
      <c r="F5836" s="1">
        <v>2</v>
      </c>
      <c r="G5836" s="1" t="s">
        <v>324</v>
      </c>
      <c r="H5836" s="4" t="str">
        <f>HYPERLINK("https://www.ncbi.nlm.nih.gov/geo/query/acc.cgi?acc=GSM1359675","GSM1359675")</f>
        <v>GSM1359675</v>
      </c>
      <c r="I5836" t="s">
        <v>69</v>
      </c>
      <c r="J5836" t="s">
        <v>18</v>
      </c>
      <c r="K5836" t="s">
        <v>19</v>
      </c>
      <c r="L5836" t="s">
        <v>70</v>
      </c>
      <c r="M5836" t="s">
        <v>169</v>
      </c>
      <c r="N5836" t="s">
        <v>29</v>
      </c>
    </row>
    <row r="5837" spans="1:14">
      <c r="A5837" s="4" t="str">
        <f t="shared" si="554"/>
        <v>EXP00209</v>
      </c>
      <c r="B5837" s="4" t="str">
        <f t="shared" si="551"/>
        <v>24921248</v>
      </c>
      <c r="C5837" s="4" t="str">
        <f t="shared" si="552"/>
        <v>GSE56350</v>
      </c>
      <c r="D5837" s="1" t="s">
        <v>323</v>
      </c>
      <c r="E5837" t="s">
        <v>101</v>
      </c>
      <c r="F5837" s="1">
        <v>2</v>
      </c>
      <c r="G5837" s="1" t="s">
        <v>324</v>
      </c>
      <c r="H5837" s="4" t="str">
        <f>HYPERLINK("https://www.ncbi.nlm.nih.gov/geo/query/acc.cgi?acc=GSM1359683","GSM1359683")</f>
        <v>GSM1359683</v>
      </c>
      <c r="I5837" t="s">
        <v>69</v>
      </c>
      <c r="J5837" t="s">
        <v>18</v>
      </c>
      <c r="K5837" t="s">
        <v>19</v>
      </c>
      <c r="L5837" t="s">
        <v>70</v>
      </c>
      <c r="M5837" t="s">
        <v>169</v>
      </c>
      <c r="N5837" t="s">
        <v>29</v>
      </c>
    </row>
    <row r="5838" spans="1:14">
      <c r="A5838" s="4" t="str">
        <f t="shared" si="554"/>
        <v>EXP00209</v>
      </c>
      <c r="B5838" s="4" t="str">
        <f t="shared" si="551"/>
        <v>24921248</v>
      </c>
      <c r="C5838" s="4" t="str">
        <f t="shared" si="552"/>
        <v>GSE56350</v>
      </c>
      <c r="D5838" s="1" t="s">
        <v>323</v>
      </c>
      <c r="E5838" t="s">
        <v>101</v>
      </c>
      <c r="F5838" s="1">
        <v>2</v>
      </c>
      <c r="G5838" s="1" t="s">
        <v>324</v>
      </c>
      <c r="H5838" s="4" t="str">
        <f>HYPERLINK("https://www.ncbi.nlm.nih.gov/geo/query/acc.cgi?acc=GSM1359686","GSM1359686")</f>
        <v>GSM1359686</v>
      </c>
      <c r="I5838" t="s">
        <v>69</v>
      </c>
      <c r="J5838" t="s">
        <v>18</v>
      </c>
      <c r="K5838" t="s">
        <v>19</v>
      </c>
      <c r="L5838" t="s">
        <v>70</v>
      </c>
      <c r="M5838" t="s">
        <v>169</v>
      </c>
      <c r="N5838" t="s">
        <v>29</v>
      </c>
    </row>
    <row r="5839" spans="1:14">
      <c r="A5839" s="4" t="str">
        <f t="shared" si="554"/>
        <v>EXP00209</v>
      </c>
      <c r="B5839" s="4" t="str">
        <f t="shared" si="551"/>
        <v>24921248</v>
      </c>
      <c r="C5839" s="4" t="str">
        <f t="shared" si="552"/>
        <v>GSE56350</v>
      </c>
      <c r="D5839" s="1" t="s">
        <v>323</v>
      </c>
      <c r="E5839" t="s">
        <v>101</v>
      </c>
      <c r="F5839" s="1">
        <v>2</v>
      </c>
      <c r="G5839" s="1" t="s">
        <v>324</v>
      </c>
      <c r="H5839" s="4" t="str">
        <f>HYPERLINK("https://www.ncbi.nlm.nih.gov/geo/query/acc.cgi?acc=GSM1359690","GSM1359690")</f>
        <v>GSM1359690</v>
      </c>
      <c r="I5839" t="s">
        <v>69</v>
      </c>
      <c r="J5839" t="s">
        <v>18</v>
      </c>
      <c r="K5839" t="s">
        <v>19</v>
      </c>
      <c r="L5839" t="s">
        <v>70</v>
      </c>
      <c r="M5839" t="s">
        <v>169</v>
      </c>
      <c r="N5839" t="s">
        <v>29</v>
      </c>
    </row>
    <row r="5840" spans="1:14">
      <c r="A5840" s="4" t="str">
        <f t="shared" si="554"/>
        <v>EXP00209</v>
      </c>
      <c r="B5840" s="4" t="str">
        <f t="shared" si="551"/>
        <v>24921248</v>
      </c>
      <c r="C5840" s="4" t="str">
        <f t="shared" si="552"/>
        <v>GSE56350</v>
      </c>
      <c r="D5840" s="1" t="s">
        <v>323</v>
      </c>
      <c r="E5840" t="s">
        <v>101</v>
      </c>
      <c r="F5840" s="1">
        <v>2</v>
      </c>
      <c r="G5840" s="1" t="s">
        <v>324</v>
      </c>
      <c r="H5840" s="4" t="str">
        <f>HYPERLINK("https://www.ncbi.nlm.nih.gov/geo/query/acc.cgi?acc=GSM1359693","GSM1359693")</f>
        <v>GSM1359693</v>
      </c>
      <c r="I5840" t="s">
        <v>69</v>
      </c>
      <c r="J5840" t="s">
        <v>18</v>
      </c>
      <c r="K5840" t="s">
        <v>19</v>
      </c>
      <c r="L5840" t="s">
        <v>70</v>
      </c>
      <c r="M5840" t="s">
        <v>169</v>
      </c>
      <c r="N5840" t="s">
        <v>29</v>
      </c>
    </row>
    <row r="5841" spans="1:14">
      <c r="A5841" s="4" t="str">
        <f t="shared" si="554"/>
        <v>EXP00209</v>
      </c>
      <c r="B5841" s="4" t="str">
        <f t="shared" si="551"/>
        <v>24921248</v>
      </c>
      <c r="C5841" s="4" t="str">
        <f t="shared" si="552"/>
        <v>GSE56350</v>
      </c>
      <c r="D5841" s="1" t="s">
        <v>323</v>
      </c>
      <c r="E5841" t="s">
        <v>101</v>
      </c>
      <c r="F5841" s="1">
        <v>2</v>
      </c>
      <c r="G5841" s="1" t="s">
        <v>324</v>
      </c>
      <c r="H5841" s="4" t="str">
        <f>HYPERLINK("https://www.ncbi.nlm.nih.gov/geo/query/acc.cgi?acc=GSM1359697","GSM1359697")</f>
        <v>GSM1359697</v>
      </c>
      <c r="I5841" t="s">
        <v>69</v>
      </c>
      <c r="J5841" t="s">
        <v>18</v>
      </c>
      <c r="K5841" t="s">
        <v>19</v>
      </c>
      <c r="L5841" t="s">
        <v>70</v>
      </c>
      <c r="M5841" t="s">
        <v>169</v>
      </c>
      <c r="N5841" t="s">
        <v>29</v>
      </c>
    </row>
    <row r="5842" spans="1:14">
      <c r="A5842" s="4" t="str">
        <f t="shared" si="554"/>
        <v>EXP00209</v>
      </c>
      <c r="B5842" s="4" t="str">
        <f t="shared" si="551"/>
        <v>24921248</v>
      </c>
      <c r="C5842" s="4" t="str">
        <f t="shared" si="552"/>
        <v>GSE56350</v>
      </c>
      <c r="D5842" s="1" t="s">
        <v>323</v>
      </c>
      <c r="E5842" t="s">
        <v>101</v>
      </c>
      <c r="F5842" s="1">
        <v>2</v>
      </c>
      <c r="G5842" s="1" t="s">
        <v>324</v>
      </c>
      <c r="H5842" s="4" t="str">
        <f>HYPERLINK("https://www.ncbi.nlm.nih.gov/geo/query/acc.cgi?acc=GSM1359698","GSM1359698")</f>
        <v>GSM1359698</v>
      </c>
      <c r="I5842" t="s">
        <v>69</v>
      </c>
      <c r="J5842" t="s">
        <v>18</v>
      </c>
      <c r="K5842" t="s">
        <v>19</v>
      </c>
      <c r="L5842" t="s">
        <v>70</v>
      </c>
      <c r="M5842" t="s">
        <v>169</v>
      </c>
      <c r="N5842" t="s">
        <v>29</v>
      </c>
    </row>
    <row r="5843" spans="1:14">
      <c r="A5843" s="4" t="str">
        <f t="shared" si="554"/>
        <v>EXP00209</v>
      </c>
      <c r="B5843" s="4" t="str">
        <f t="shared" si="551"/>
        <v>24921248</v>
      </c>
      <c r="C5843" s="4" t="str">
        <f t="shared" si="552"/>
        <v>GSE56350</v>
      </c>
      <c r="D5843" s="1" t="s">
        <v>323</v>
      </c>
      <c r="E5843" t="s">
        <v>101</v>
      </c>
      <c r="F5843" s="1">
        <v>2</v>
      </c>
      <c r="G5843" s="1" t="s">
        <v>324</v>
      </c>
      <c r="H5843" s="4" t="str">
        <f>HYPERLINK("https://www.ncbi.nlm.nih.gov/geo/query/acc.cgi?acc=GSM1359701","GSM1359701")</f>
        <v>GSM1359701</v>
      </c>
      <c r="I5843" t="s">
        <v>69</v>
      </c>
      <c r="J5843" t="s">
        <v>18</v>
      </c>
      <c r="K5843" t="s">
        <v>19</v>
      </c>
      <c r="L5843" t="s">
        <v>70</v>
      </c>
      <c r="M5843" t="s">
        <v>169</v>
      </c>
      <c r="N5843" t="s">
        <v>29</v>
      </c>
    </row>
    <row r="5844" spans="1:14">
      <c r="A5844" s="4" t="str">
        <f t="shared" si="554"/>
        <v>EXP00209</v>
      </c>
      <c r="B5844" s="4" t="str">
        <f t="shared" si="551"/>
        <v>24921248</v>
      </c>
      <c r="C5844" s="4" t="str">
        <f t="shared" si="552"/>
        <v>GSE56350</v>
      </c>
      <c r="D5844" s="1" t="s">
        <v>323</v>
      </c>
      <c r="E5844" t="s">
        <v>101</v>
      </c>
      <c r="F5844" s="1">
        <v>2</v>
      </c>
      <c r="G5844" s="1" t="s">
        <v>324</v>
      </c>
      <c r="H5844" s="4" t="str">
        <f>HYPERLINK("https://www.ncbi.nlm.nih.gov/geo/query/acc.cgi?acc=GSM1359704","GSM1359704")</f>
        <v>GSM1359704</v>
      </c>
      <c r="I5844" t="s">
        <v>69</v>
      </c>
      <c r="J5844" t="s">
        <v>18</v>
      </c>
      <c r="K5844" t="s">
        <v>19</v>
      </c>
      <c r="L5844" t="s">
        <v>70</v>
      </c>
      <c r="M5844" t="s">
        <v>169</v>
      </c>
      <c r="N5844" t="s">
        <v>29</v>
      </c>
    </row>
    <row r="5845" spans="1:14">
      <c r="A5845" s="4" t="str">
        <f t="shared" si="554"/>
        <v>EXP00209</v>
      </c>
      <c r="B5845" s="4" t="str">
        <f t="shared" si="551"/>
        <v>24921248</v>
      </c>
      <c r="C5845" s="4" t="str">
        <f t="shared" si="552"/>
        <v>GSE56350</v>
      </c>
      <c r="D5845" s="1" t="s">
        <v>323</v>
      </c>
      <c r="E5845" t="s">
        <v>101</v>
      </c>
      <c r="F5845" s="1">
        <v>2</v>
      </c>
      <c r="G5845" s="1" t="s">
        <v>324</v>
      </c>
      <c r="H5845" s="4" t="str">
        <f>HYPERLINK("https://www.ncbi.nlm.nih.gov/geo/query/acc.cgi?acc=GSM1359707","GSM1359707")</f>
        <v>GSM1359707</v>
      </c>
      <c r="I5845" t="s">
        <v>69</v>
      </c>
      <c r="J5845" t="s">
        <v>18</v>
      </c>
      <c r="K5845" t="s">
        <v>19</v>
      </c>
      <c r="L5845" t="s">
        <v>70</v>
      </c>
      <c r="M5845" t="s">
        <v>169</v>
      </c>
      <c r="N5845" t="s">
        <v>29</v>
      </c>
    </row>
    <row r="5846" spans="1:14">
      <c r="A5846" s="4" t="str">
        <f t="shared" si="554"/>
        <v>EXP00209</v>
      </c>
      <c r="B5846" s="4" t="str">
        <f t="shared" si="551"/>
        <v>24921248</v>
      </c>
      <c r="C5846" s="4" t="str">
        <f t="shared" si="552"/>
        <v>GSE56350</v>
      </c>
      <c r="D5846" s="1" t="s">
        <v>323</v>
      </c>
      <c r="E5846" t="s">
        <v>101</v>
      </c>
      <c r="F5846" s="1">
        <v>2</v>
      </c>
      <c r="G5846" s="1" t="s">
        <v>324</v>
      </c>
      <c r="H5846" s="4" t="str">
        <f>HYPERLINK("https://www.ncbi.nlm.nih.gov/geo/query/acc.cgi?acc=GSM1359710","GSM1359710")</f>
        <v>GSM1359710</v>
      </c>
      <c r="I5846" t="s">
        <v>69</v>
      </c>
      <c r="J5846" t="s">
        <v>18</v>
      </c>
      <c r="K5846" t="s">
        <v>19</v>
      </c>
      <c r="L5846" t="s">
        <v>70</v>
      </c>
      <c r="M5846" t="s">
        <v>169</v>
      </c>
      <c r="N5846" t="s">
        <v>29</v>
      </c>
    </row>
    <row r="5847" spans="1:14">
      <c r="A5847" s="4" t="str">
        <f t="shared" si="554"/>
        <v>EXP00209</v>
      </c>
      <c r="B5847" s="4" t="str">
        <f t="shared" si="551"/>
        <v>24921248</v>
      </c>
      <c r="C5847" s="4" t="str">
        <f t="shared" si="552"/>
        <v>GSE56350</v>
      </c>
      <c r="D5847" s="1" t="s">
        <v>323</v>
      </c>
      <c r="E5847" t="s">
        <v>101</v>
      </c>
      <c r="F5847" s="1">
        <v>2</v>
      </c>
      <c r="G5847" s="1" t="s">
        <v>324</v>
      </c>
      <c r="H5847" s="4" t="str">
        <f>HYPERLINK("https://www.ncbi.nlm.nih.gov/geo/query/acc.cgi?acc=GSM1359713","GSM1359713")</f>
        <v>GSM1359713</v>
      </c>
      <c r="I5847" t="s">
        <v>69</v>
      </c>
      <c r="J5847" t="s">
        <v>18</v>
      </c>
      <c r="K5847" t="s">
        <v>19</v>
      </c>
      <c r="L5847" t="s">
        <v>70</v>
      </c>
      <c r="M5847" t="s">
        <v>169</v>
      </c>
      <c r="N5847" t="s">
        <v>29</v>
      </c>
    </row>
    <row r="5848" spans="1:14">
      <c r="A5848" s="4" t="str">
        <f t="shared" si="554"/>
        <v>EXP00209</v>
      </c>
      <c r="B5848" s="4" t="str">
        <f t="shared" si="551"/>
        <v>24921248</v>
      </c>
      <c r="C5848" s="4" t="str">
        <f t="shared" si="552"/>
        <v>GSE56350</v>
      </c>
      <c r="D5848" s="1" t="s">
        <v>323</v>
      </c>
      <c r="E5848" t="s">
        <v>101</v>
      </c>
      <c r="F5848" s="1">
        <v>3</v>
      </c>
      <c r="G5848" s="1" t="s">
        <v>153</v>
      </c>
      <c r="H5848" s="4" t="str">
        <f>HYPERLINK("https://www.ncbi.nlm.nih.gov/geo/query/acc.cgi?acc=GSM1359614","GSM1359614")</f>
        <v>GSM1359614</v>
      </c>
      <c r="I5848" t="s">
        <v>69</v>
      </c>
      <c r="J5848" t="s">
        <v>18</v>
      </c>
      <c r="K5848" t="s">
        <v>19</v>
      </c>
      <c r="L5848" t="s">
        <v>70</v>
      </c>
      <c r="M5848" t="s">
        <v>24</v>
      </c>
      <c r="N5848" t="s">
        <v>29</v>
      </c>
    </row>
    <row r="5849" spans="1:14">
      <c r="A5849" s="4" t="str">
        <f t="shared" si="554"/>
        <v>EXP00209</v>
      </c>
      <c r="B5849" s="4" t="str">
        <f t="shared" si="551"/>
        <v>24921248</v>
      </c>
      <c r="C5849" s="4" t="str">
        <f t="shared" si="552"/>
        <v>GSE56350</v>
      </c>
      <c r="D5849" s="1" t="s">
        <v>323</v>
      </c>
      <c r="E5849" t="s">
        <v>101</v>
      </c>
      <c r="F5849" s="1">
        <v>3</v>
      </c>
      <c r="G5849" s="1" t="s">
        <v>153</v>
      </c>
      <c r="H5849" s="4" t="str">
        <f>HYPERLINK("https://www.ncbi.nlm.nih.gov/geo/query/acc.cgi?acc=GSM1359616","GSM1359616")</f>
        <v>GSM1359616</v>
      </c>
      <c r="I5849" t="s">
        <v>69</v>
      </c>
      <c r="J5849" t="s">
        <v>18</v>
      </c>
      <c r="K5849" t="s">
        <v>19</v>
      </c>
      <c r="L5849" t="s">
        <v>70</v>
      </c>
      <c r="M5849" t="s">
        <v>24</v>
      </c>
      <c r="N5849" t="s">
        <v>29</v>
      </c>
    </row>
    <row r="5850" spans="1:14">
      <c r="A5850" s="4" t="str">
        <f t="shared" si="554"/>
        <v>EXP00209</v>
      </c>
      <c r="B5850" s="4" t="str">
        <f t="shared" si="551"/>
        <v>24921248</v>
      </c>
      <c r="C5850" s="4" t="str">
        <f t="shared" si="552"/>
        <v>GSE56350</v>
      </c>
      <c r="D5850" s="1" t="s">
        <v>323</v>
      </c>
      <c r="E5850" t="s">
        <v>101</v>
      </c>
      <c r="F5850" s="1">
        <v>3</v>
      </c>
      <c r="G5850" s="1" t="s">
        <v>153</v>
      </c>
      <c r="H5850" s="4" t="str">
        <f>HYPERLINK("https://www.ncbi.nlm.nih.gov/geo/query/acc.cgi?acc=GSM1359618","GSM1359618")</f>
        <v>GSM1359618</v>
      </c>
      <c r="I5850" t="s">
        <v>69</v>
      </c>
      <c r="J5850" t="s">
        <v>18</v>
      </c>
      <c r="K5850" t="s">
        <v>19</v>
      </c>
      <c r="L5850" t="s">
        <v>70</v>
      </c>
      <c r="M5850" t="s">
        <v>24</v>
      </c>
      <c r="N5850" t="s">
        <v>29</v>
      </c>
    </row>
    <row r="5851" spans="1:14">
      <c r="A5851" s="4" t="str">
        <f t="shared" si="554"/>
        <v>EXP00209</v>
      </c>
      <c r="B5851" s="4" t="str">
        <f t="shared" si="551"/>
        <v>24921248</v>
      </c>
      <c r="C5851" s="4" t="str">
        <f t="shared" si="552"/>
        <v>GSE56350</v>
      </c>
      <c r="D5851" s="1" t="s">
        <v>323</v>
      </c>
      <c r="E5851" t="s">
        <v>101</v>
      </c>
      <c r="F5851" s="1">
        <v>3</v>
      </c>
      <c r="G5851" s="1" t="s">
        <v>153</v>
      </c>
      <c r="H5851" s="4" t="str">
        <f>HYPERLINK("https://www.ncbi.nlm.nih.gov/geo/query/acc.cgi?acc=GSM1359620","GSM1359620")</f>
        <v>GSM1359620</v>
      </c>
      <c r="I5851" t="s">
        <v>69</v>
      </c>
      <c r="J5851" t="s">
        <v>18</v>
      </c>
      <c r="K5851" t="s">
        <v>19</v>
      </c>
      <c r="L5851" t="s">
        <v>70</v>
      </c>
      <c r="M5851" t="s">
        <v>24</v>
      </c>
      <c r="N5851" t="s">
        <v>29</v>
      </c>
    </row>
    <row r="5852" spans="1:14">
      <c r="A5852" s="4" t="str">
        <f t="shared" si="554"/>
        <v>EXP00209</v>
      </c>
      <c r="B5852" s="4" t="str">
        <f t="shared" si="551"/>
        <v>24921248</v>
      </c>
      <c r="C5852" s="4" t="str">
        <f t="shared" si="552"/>
        <v>GSE56350</v>
      </c>
      <c r="D5852" s="1" t="s">
        <v>323</v>
      </c>
      <c r="E5852" t="s">
        <v>101</v>
      </c>
      <c r="F5852" s="1">
        <v>3</v>
      </c>
      <c r="G5852" s="1" t="s">
        <v>153</v>
      </c>
      <c r="H5852" s="4" t="str">
        <f>HYPERLINK("https://www.ncbi.nlm.nih.gov/geo/query/acc.cgi?acc=GSM1359622","GSM1359622")</f>
        <v>GSM1359622</v>
      </c>
      <c r="I5852" t="s">
        <v>69</v>
      </c>
      <c r="J5852" t="s">
        <v>18</v>
      </c>
      <c r="K5852" t="s">
        <v>19</v>
      </c>
      <c r="L5852" t="s">
        <v>70</v>
      </c>
      <c r="M5852" t="s">
        <v>24</v>
      </c>
      <c r="N5852" t="s">
        <v>29</v>
      </c>
    </row>
    <row r="5853" spans="1:14">
      <c r="A5853" s="4" t="str">
        <f t="shared" si="554"/>
        <v>EXP00209</v>
      </c>
      <c r="B5853" s="4" t="str">
        <f t="shared" si="551"/>
        <v>24921248</v>
      </c>
      <c r="C5853" s="4" t="str">
        <f t="shared" si="552"/>
        <v>GSE56350</v>
      </c>
      <c r="D5853" s="1" t="s">
        <v>323</v>
      </c>
      <c r="E5853" t="s">
        <v>101</v>
      </c>
      <c r="F5853" s="1">
        <v>3</v>
      </c>
      <c r="G5853" s="1" t="s">
        <v>153</v>
      </c>
      <c r="H5853" s="4" t="str">
        <f>HYPERLINK("https://www.ncbi.nlm.nih.gov/geo/query/acc.cgi?acc=GSM1359624","GSM1359624")</f>
        <v>GSM1359624</v>
      </c>
      <c r="I5853" t="s">
        <v>69</v>
      </c>
      <c r="J5853" t="s">
        <v>18</v>
      </c>
      <c r="K5853" t="s">
        <v>19</v>
      </c>
      <c r="L5853" t="s">
        <v>70</v>
      </c>
      <c r="M5853" t="s">
        <v>24</v>
      </c>
      <c r="N5853" t="s">
        <v>29</v>
      </c>
    </row>
    <row r="5854" spans="1:14">
      <c r="A5854" s="4" t="str">
        <f t="shared" si="554"/>
        <v>EXP00209</v>
      </c>
      <c r="B5854" s="4" t="str">
        <f t="shared" si="551"/>
        <v>24921248</v>
      </c>
      <c r="C5854" s="4" t="str">
        <f t="shared" si="552"/>
        <v>GSE56350</v>
      </c>
      <c r="D5854" s="1" t="s">
        <v>323</v>
      </c>
      <c r="E5854" t="s">
        <v>101</v>
      </c>
      <c r="F5854" s="1">
        <v>3</v>
      </c>
      <c r="G5854" s="1" t="s">
        <v>153</v>
      </c>
      <c r="H5854" s="4" t="str">
        <f>HYPERLINK("https://www.ncbi.nlm.nih.gov/geo/query/acc.cgi?acc=GSM1359626","GSM1359626")</f>
        <v>GSM1359626</v>
      </c>
      <c r="I5854" t="s">
        <v>69</v>
      </c>
      <c r="J5854" t="s">
        <v>18</v>
      </c>
      <c r="K5854" t="s">
        <v>19</v>
      </c>
      <c r="L5854" t="s">
        <v>70</v>
      </c>
      <c r="M5854" t="s">
        <v>24</v>
      </c>
      <c r="N5854" t="s">
        <v>29</v>
      </c>
    </row>
    <row r="5855" spans="1:14">
      <c r="A5855" s="4" t="str">
        <f t="shared" si="554"/>
        <v>EXP00209</v>
      </c>
      <c r="B5855" s="4" t="str">
        <f t="shared" si="551"/>
        <v>24921248</v>
      </c>
      <c r="C5855" s="4" t="str">
        <f t="shared" si="552"/>
        <v>GSE56350</v>
      </c>
      <c r="D5855" s="1" t="s">
        <v>323</v>
      </c>
      <c r="E5855" t="s">
        <v>101</v>
      </c>
      <c r="F5855" s="1">
        <v>3</v>
      </c>
      <c r="G5855" s="1" t="s">
        <v>153</v>
      </c>
      <c r="H5855" s="4" t="str">
        <f>HYPERLINK("https://www.ncbi.nlm.nih.gov/geo/query/acc.cgi?acc=GSM1359628","GSM1359628")</f>
        <v>GSM1359628</v>
      </c>
      <c r="I5855" t="s">
        <v>69</v>
      </c>
      <c r="J5855" t="s">
        <v>18</v>
      </c>
      <c r="K5855" t="s">
        <v>19</v>
      </c>
      <c r="L5855" t="s">
        <v>70</v>
      </c>
      <c r="M5855" t="s">
        <v>24</v>
      </c>
      <c r="N5855" t="s">
        <v>29</v>
      </c>
    </row>
    <row r="5856" spans="1:14">
      <c r="A5856" s="4" t="str">
        <f t="shared" si="554"/>
        <v>EXP00209</v>
      </c>
      <c r="B5856" s="4" t="str">
        <f t="shared" si="551"/>
        <v>24921248</v>
      </c>
      <c r="C5856" s="4" t="str">
        <f t="shared" si="552"/>
        <v>GSE56350</v>
      </c>
      <c r="D5856" s="1" t="s">
        <v>323</v>
      </c>
      <c r="E5856" t="s">
        <v>101</v>
      </c>
      <c r="F5856" s="1">
        <v>3</v>
      </c>
      <c r="G5856" s="1" t="s">
        <v>153</v>
      </c>
      <c r="H5856" s="4" t="str">
        <f>HYPERLINK("https://www.ncbi.nlm.nih.gov/geo/query/acc.cgi?acc=GSM1359630","GSM1359630")</f>
        <v>GSM1359630</v>
      </c>
      <c r="I5856" t="s">
        <v>69</v>
      </c>
      <c r="J5856" t="s">
        <v>18</v>
      </c>
      <c r="K5856" t="s">
        <v>19</v>
      </c>
      <c r="L5856" t="s">
        <v>70</v>
      </c>
      <c r="M5856" t="s">
        <v>24</v>
      </c>
      <c r="N5856" t="s">
        <v>29</v>
      </c>
    </row>
    <row r="5857" spans="1:14">
      <c r="A5857" s="4" t="str">
        <f t="shared" si="554"/>
        <v>EXP00209</v>
      </c>
      <c r="B5857" s="4" t="str">
        <f t="shared" si="551"/>
        <v>24921248</v>
      </c>
      <c r="C5857" s="4" t="str">
        <f t="shared" si="552"/>
        <v>GSE56350</v>
      </c>
      <c r="D5857" s="1" t="s">
        <v>323</v>
      </c>
      <c r="E5857" t="s">
        <v>101</v>
      </c>
      <c r="F5857" s="1">
        <v>3</v>
      </c>
      <c r="G5857" s="1" t="s">
        <v>153</v>
      </c>
      <c r="H5857" s="4" t="str">
        <f>HYPERLINK("https://www.ncbi.nlm.nih.gov/geo/query/acc.cgi?acc=GSM1359632","GSM1359632")</f>
        <v>GSM1359632</v>
      </c>
      <c r="I5857" t="s">
        <v>69</v>
      </c>
      <c r="J5857" t="s">
        <v>18</v>
      </c>
      <c r="K5857" t="s">
        <v>19</v>
      </c>
      <c r="L5857" t="s">
        <v>70</v>
      </c>
      <c r="M5857" t="s">
        <v>24</v>
      </c>
      <c r="N5857" t="s">
        <v>29</v>
      </c>
    </row>
    <row r="5858" spans="1:14">
      <c r="A5858" s="4" t="str">
        <f t="shared" si="554"/>
        <v>EXP00209</v>
      </c>
      <c r="B5858" s="4" t="str">
        <f t="shared" si="551"/>
        <v>24921248</v>
      </c>
      <c r="C5858" s="4" t="str">
        <f t="shared" si="552"/>
        <v>GSE56350</v>
      </c>
      <c r="D5858" s="1" t="s">
        <v>323</v>
      </c>
      <c r="E5858" t="s">
        <v>101</v>
      </c>
      <c r="F5858" s="1">
        <v>3</v>
      </c>
      <c r="G5858" s="1" t="s">
        <v>153</v>
      </c>
      <c r="H5858" s="4" t="str">
        <f>HYPERLINK("https://www.ncbi.nlm.nih.gov/geo/query/acc.cgi?acc=GSM1359634","GSM1359634")</f>
        <v>GSM1359634</v>
      </c>
      <c r="I5858" t="s">
        <v>69</v>
      </c>
      <c r="J5858" t="s">
        <v>18</v>
      </c>
      <c r="K5858" t="s">
        <v>19</v>
      </c>
      <c r="L5858" t="s">
        <v>70</v>
      </c>
      <c r="M5858" t="s">
        <v>24</v>
      </c>
      <c r="N5858" t="s">
        <v>29</v>
      </c>
    </row>
    <row r="5859" spans="1:14">
      <c r="A5859" s="4" t="str">
        <f t="shared" si="554"/>
        <v>EXP00209</v>
      </c>
      <c r="B5859" s="4" t="str">
        <f t="shared" si="551"/>
        <v>24921248</v>
      </c>
      <c r="C5859" s="4" t="str">
        <f t="shared" si="552"/>
        <v>GSE56350</v>
      </c>
      <c r="D5859" s="1" t="s">
        <v>323</v>
      </c>
      <c r="E5859" t="s">
        <v>101</v>
      </c>
      <c r="F5859" s="1">
        <v>3</v>
      </c>
      <c r="G5859" s="1" t="s">
        <v>153</v>
      </c>
      <c r="H5859" s="4" t="str">
        <f>HYPERLINK("https://www.ncbi.nlm.nih.gov/geo/query/acc.cgi?acc=GSM1359636","GSM1359636")</f>
        <v>GSM1359636</v>
      </c>
      <c r="I5859" t="s">
        <v>69</v>
      </c>
      <c r="J5859" t="s">
        <v>18</v>
      </c>
      <c r="K5859" t="s">
        <v>19</v>
      </c>
      <c r="L5859" t="s">
        <v>70</v>
      </c>
      <c r="M5859" t="s">
        <v>24</v>
      </c>
      <c r="N5859" t="s">
        <v>29</v>
      </c>
    </row>
    <row r="5860" spans="1:14">
      <c r="A5860" s="4" t="str">
        <f t="shared" si="554"/>
        <v>EXP00209</v>
      </c>
      <c r="B5860" s="4" t="str">
        <f t="shared" si="551"/>
        <v>24921248</v>
      </c>
      <c r="C5860" s="4" t="str">
        <f t="shared" si="552"/>
        <v>GSE56350</v>
      </c>
      <c r="D5860" s="1" t="s">
        <v>323</v>
      </c>
      <c r="E5860" t="s">
        <v>101</v>
      </c>
      <c r="F5860" s="1">
        <v>3</v>
      </c>
      <c r="G5860" s="1" t="s">
        <v>153</v>
      </c>
      <c r="H5860" s="4" t="str">
        <f>HYPERLINK("https://www.ncbi.nlm.nih.gov/geo/query/acc.cgi?acc=GSM1359638","GSM1359638")</f>
        <v>GSM1359638</v>
      </c>
      <c r="I5860" t="s">
        <v>69</v>
      </c>
      <c r="J5860" t="s">
        <v>18</v>
      </c>
      <c r="K5860" t="s">
        <v>19</v>
      </c>
      <c r="L5860" t="s">
        <v>70</v>
      </c>
      <c r="M5860" t="s">
        <v>24</v>
      </c>
      <c r="N5860" t="s">
        <v>29</v>
      </c>
    </row>
    <row r="5861" spans="1:14">
      <c r="A5861" s="4" t="str">
        <f t="shared" si="554"/>
        <v>EXP00209</v>
      </c>
      <c r="B5861" s="4" t="str">
        <f t="shared" si="551"/>
        <v>24921248</v>
      </c>
      <c r="C5861" s="4" t="str">
        <f t="shared" si="552"/>
        <v>GSE56350</v>
      </c>
      <c r="D5861" s="1" t="s">
        <v>323</v>
      </c>
      <c r="E5861" t="s">
        <v>101</v>
      </c>
      <c r="F5861" s="1">
        <v>3</v>
      </c>
      <c r="G5861" s="1" t="s">
        <v>153</v>
      </c>
      <c r="H5861" s="4" t="str">
        <f>HYPERLINK("https://www.ncbi.nlm.nih.gov/geo/query/acc.cgi?acc=GSM1359640","GSM1359640")</f>
        <v>GSM1359640</v>
      </c>
      <c r="I5861" t="s">
        <v>69</v>
      </c>
      <c r="J5861" t="s">
        <v>18</v>
      </c>
      <c r="K5861" t="s">
        <v>19</v>
      </c>
      <c r="L5861" t="s">
        <v>70</v>
      </c>
      <c r="M5861" t="s">
        <v>24</v>
      </c>
      <c r="N5861" t="s">
        <v>29</v>
      </c>
    </row>
    <row r="5862" spans="1:14">
      <c r="A5862" s="4" t="str">
        <f t="shared" si="554"/>
        <v>EXP00209</v>
      </c>
      <c r="B5862" s="4" t="str">
        <f t="shared" si="551"/>
        <v>24921248</v>
      </c>
      <c r="C5862" s="4" t="str">
        <f t="shared" si="552"/>
        <v>GSE56350</v>
      </c>
      <c r="D5862" s="1" t="s">
        <v>323</v>
      </c>
      <c r="E5862" t="s">
        <v>101</v>
      </c>
      <c r="F5862" s="1">
        <v>3</v>
      </c>
      <c r="G5862" s="1" t="s">
        <v>153</v>
      </c>
      <c r="H5862" s="4" t="str">
        <f>HYPERLINK("https://www.ncbi.nlm.nih.gov/geo/query/acc.cgi?acc=GSM1359642","GSM1359642")</f>
        <v>GSM1359642</v>
      </c>
      <c r="I5862" t="s">
        <v>69</v>
      </c>
      <c r="J5862" t="s">
        <v>18</v>
      </c>
      <c r="K5862" t="s">
        <v>19</v>
      </c>
      <c r="L5862" t="s">
        <v>70</v>
      </c>
      <c r="M5862" t="s">
        <v>24</v>
      </c>
      <c r="N5862" t="s">
        <v>29</v>
      </c>
    </row>
    <row r="5863" spans="1:14">
      <c r="A5863" s="4" t="str">
        <f t="shared" si="554"/>
        <v>EXP00209</v>
      </c>
      <c r="B5863" s="4" t="str">
        <f t="shared" si="551"/>
        <v>24921248</v>
      </c>
      <c r="C5863" s="4" t="str">
        <f t="shared" si="552"/>
        <v>GSE56350</v>
      </c>
      <c r="D5863" s="1" t="s">
        <v>323</v>
      </c>
      <c r="E5863" t="s">
        <v>101</v>
      </c>
      <c r="F5863" s="1">
        <v>3</v>
      </c>
      <c r="G5863" s="1" t="s">
        <v>153</v>
      </c>
      <c r="H5863" s="4" t="str">
        <f>HYPERLINK("https://www.ncbi.nlm.nih.gov/geo/query/acc.cgi?acc=GSM1359644","GSM1359644")</f>
        <v>GSM1359644</v>
      </c>
      <c r="I5863" t="s">
        <v>69</v>
      </c>
      <c r="J5863" t="s">
        <v>18</v>
      </c>
      <c r="K5863" t="s">
        <v>19</v>
      </c>
      <c r="L5863" t="s">
        <v>70</v>
      </c>
      <c r="M5863" t="s">
        <v>24</v>
      </c>
      <c r="N5863" t="s">
        <v>29</v>
      </c>
    </row>
    <row r="5864" spans="1:14">
      <c r="A5864" s="4" t="str">
        <f t="shared" si="554"/>
        <v>EXP00209</v>
      </c>
      <c r="B5864" s="4" t="str">
        <f t="shared" si="551"/>
        <v>24921248</v>
      </c>
      <c r="C5864" s="4" t="str">
        <f t="shared" si="552"/>
        <v>GSE56350</v>
      </c>
      <c r="D5864" s="1" t="s">
        <v>323</v>
      </c>
      <c r="E5864" t="s">
        <v>101</v>
      </c>
      <c r="F5864" s="1">
        <v>3</v>
      </c>
      <c r="G5864" s="1" t="s">
        <v>153</v>
      </c>
      <c r="H5864" s="4" t="str">
        <f>HYPERLINK("https://www.ncbi.nlm.nih.gov/geo/query/acc.cgi?acc=GSM1359646","GSM1359646")</f>
        <v>GSM1359646</v>
      </c>
      <c r="I5864" t="s">
        <v>69</v>
      </c>
      <c r="J5864" t="s">
        <v>18</v>
      </c>
      <c r="K5864" t="s">
        <v>19</v>
      </c>
      <c r="L5864" t="s">
        <v>70</v>
      </c>
      <c r="M5864" t="s">
        <v>24</v>
      </c>
      <c r="N5864" t="s">
        <v>29</v>
      </c>
    </row>
    <row r="5865" spans="1:14">
      <c r="A5865" s="4" t="str">
        <f t="shared" si="554"/>
        <v>EXP00209</v>
      </c>
      <c r="B5865" s="4" t="str">
        <f t="shared" si="551"/>
        <v>24921248</v>
      </c>
      <c r="C5865" s="4" t="str">
        <f t="shared" si="552"/>
        <v>GSE56350</v>
      </c>
      <c r="D5865" s="1" t="s">
        <v>323</v>
      </c>
      <c r="E5865" t="s">
        <v>101</v>
      </c>
      <c r="F5865" s="1">
        <v>3</v>
      </c>
      <c r="G5865" s="1" t="s">
        <v>153</v>
      </c>
      <c r="H5865" s="4" t="str">
        <f>HYPERLINK("https://www.ncbi.nlm.nih.gov/geo/query/acc.cgi?acc=GSM1359648","GSM1359648")</f>
        <v>GSM1359648</v>
      </c>
      <c r="I5865" t="s">
        <v>69</v>
      </c>
      <c r="J5865" t="s">
        <v>18</v>
      </c>
      <c r="K5865" t="s">
        <v>19</v>
      </c>
      <c r="L5865" t="s">
        <v>70</v>
      </c>
      <c r="M5865" t="s">
        <v>24</v>
      </c>
      <c r="N5865" t="s">
        <v>29</v>
      </c>
    </row>
    <row r="5866" spans="1:14">
      <c r="A5866" s="4" t="str">
        <f t="shared" si="554"/>
        <v>EXP00209</v>
      </c>
      <c r="B5866" s="4" t="str">
        <f t="shared" si="551"/>
        <v>24921248</v>
      </c>
      <c r="C5866" s="4" t="str">
        <f t="shared" si="552"/>
        <v>GSE56350</v>
      </c>
      <c r="D5866" s="1" t="s">
        <v>323</v>
      </c>
      <c r="E5866" t="s">
        <v>101</v>
      </c>
      <c r="F5866" s="1">
        <v>3</v>
      </c>
      <c r="G5866" s="1" t="s">
        <v>153</v>
      </c>
      <c r="H5866" s="4" t="str">
        <f>HYPERLINK("https://www.ncbi.nlm.nih.gov/geo/query/acc.cgi?acc=GSM1359650","GSM1359650")</f>
        <v>GSM1359650</v>
      </c>
      <c r="I5866" t="s">
        <v>69</v>
      </c>
      <c r="J5866" t="s">
        <v>18</v>
      </c>
      <c r="K5866" t="s">
        <v>19</v>
      </c>
      <c r="L5866" t="s">
        <v>70</v>
      </c>
      <c r="M5866" t="s">
        <v>24</v>
      </c>
      <c r="N5866" t="s">
        <v>29</v>
      </c>
    </row>
    <row r="5867" spans="1:14">
      <c r="A5867" s="4" t="str">
        <f t="shared" si="554"/>
        <v>EXP00209</v>
      </c>
      <c r="B5867" s="4" t="str">
        <f t="shared" si="551"/>
        <v>24921248</v>
      </c>
      <c r="C5867" s="4" t="str">
        <f t="shared" si="552"/>
        <v>GSE56350</v>
      </c>
      <c r="D5867" s="1" t="s">
        <v>323</v>
      </c>
      <c r="E5867" t="s">
        <v>101</v>
      </c>
      <c r="F5867" s="1">
        <v>3</v>
      </c>
      <c r="G5867" s="1" t="s">
        <v>153</v>
      </c>
      <c r="H5867" s="4" t="str">
        <f>HYPERLINK("https://www.ncbi.nlm.nih.gov/geo/query/acc.cgi?acc=GSM1359652","GSM1359652")</f>
        <v>GSM1359652</v>
      </c>
      <c r="I5867" t="s">
        <v>69</v>
      </c>
      <c r="J5867" t="s">
        <v>18</v>
      </c>
      <c r="K5867" t="s">
        <v>19</v>
      </c>
      <c r="L5867" t="s">
        <v>70</v>
      </c>
      <c r="M5867" t="s">
        <v>24</v>
      </c>
      <c r="N5867" t="s">
        <v>29</v>
      </c>
    </row>
    <row r="5868" spans="1:14">
      <c r="A5868" s="4" t="str">
        <f t="shared" si="554"/>
        <v>EXP00209</v>
      </c>
      <c r="B5868" s="4" t="str">
        <f t="shared" si="551"/>
        <v>24921248</v>
      </c>
      <c r="C5868" s="4" t="str">
        <f t="shared" si="552"/>
        <v>GSE56350</v>
      </c>
      <c r="D5868" s="1" t="s">
        <v>323</v>
      </c>
      <c r="E5868" t="s">
        <v>101</v>
      </c>
      <c r="F5868" s="1">
        <v>3</v>
      </c>
      <c r="G5868" s="1" t="s">
        <v>153</v>
      </c>
      <c r="H5868" s="4" t="str">
        <f>HYPERLINK("https://www.ncbi.nlm.nih.gov/geo/query/acc.cgi?acc=GSM1359654","GSM1359654")</f>
        <v>GSM1359654</v>
      </c>
      <c r="I5868" t="s">
        <v>69</v>
      </c>
      <c r="J5868" t="s">
        <v>18</v>
      </c>
      <c r="K5868" t="s">
        <v>19</v>
      </c>
      <c r="L5868" t="s">
        <v>70</v>
      </c>
      <c r="M5868" t="s">
        <v>24</v>
      </c>
      <c r="N5868" t="s">
        <v>29</v>
      </c>
    </row>
    <row r="5869" spans="1:14">
      <c r="A5869" s="4" t="str">
        <f t="shared" si="554"/>
        <v>EXP00209</v>
      </c>
      <c r="B5869" s="4" t="str">
        <f t="shared" ref="B5869:B5932" si="555">HYPERLINK("https://www.ncbi.nlm.nih.gov/pubmed/24921248","24921248")</f>
        <v>24921248</v>
      </c>
      <c r="C5869" s="4" t="str">
        <f t="shared" ref="C5869:C5932" si="556">HYPERLINK("https://www.ncbi.nlm.nih.gov/geo/query/acc.cgi?acc=GSE56350","GSE56350")</f>
        <v>GSE56350</v>
      </c>
      <c r="D5869" s="1" t="s">
        <v>323</v>
      </c>
      <c r="E5869" t="s">
        <v>101</v>
      </c>
      <c r="F5869" s="1">
        <v>3</v>
      </c>
      <c r="G5869" s="1" t="s">
        <v>153</v>
      </c>
      <c r="H5869" s="4" t="str">
        <f>HYPERLINK("https://www.ncbi.nlm.nih.gov/geo/query/acc.cgi?acc=GSM1359656","GSM1359656")</f>
        <v>GSM1359656</v>
      </c>
      <c r="I5869" t="s">
        <v>69</v>
      </c>
      <c r="J5869" t="s">
        <v>18</v>
      </c>
      <c r="K5869" t="s">
        <v>19</v>
      </c>
      <c r="L5869" t="s">
        <v>70</v>
      </c>
      <c r="M5869" t="s">
        <v>24</v>
      </c>
      <c r="N5869" t="s">
        <v>29</v>
      </c>
    </row>
    <row r="5870" spans="1:14">
      <c r="A5870" s="4" t="str">
        <f t="shared" si="554"/>
        <v>EXP00209</v>
      </c>
      <c r="B5870" s="4" t="str">
        <f t="shared" si="555"/>
        <v>24921248</v>
      </c>
      <c r="C5870" s="4" t="str">
        <f t="shared" si="556"/>
        <v>GSE56350</v>
      </c>
      <c r="D5870" s="1" t="s">
        <v>323</v>
      </c>
      <c r="E5870" t="s">
        <v>101</v>
      </c>
      <c r="F5870" s="1">
        <v>3</v>
      </c>
      <c r="G5870" s="1" t="s">
        <v>153</v>
      </c>
      <c r="H5870" s="4" t="str">
        <f>HYPERLINK("https://www.ncbi.nlm.nih.gov/geo/query/acc.cgi?acc=GSM1359657","GSM1359657")</f>
        <v>GSM1359657</v>
      </c>
      <c r="I5870" t="s">
        <v>69</v>
      </c>
      <c r="J5870" t="s">
        <v>18</v>
      </c>
      <c r="K5870" t="s">
        <v>19</v>
      </c>
      <c r="L5870" t="s">
        <v>70</v>
      </c>
      <c r="M5870" t="s">
        <v>24</v>
      </c>
      <c r="N5870" t="s">
        <v>29</v>
      </c>
    </row>
    <row r="5871" spans="1:14">
      <c r="A5871" s="4" t="str">
        <f t="shared" si="554"/>
        <v>EXP00209</v>
      </c>
      <c r="B5871" s="4" t="str">
        <f t="shared" si="555"/>
        <v>24921248</v>
      </c>
      <c r="C5871" s="4" t="str">
        <f t="shared" si="556"/>
        <v>GSE56350</v>
      </c>
      <c r="D5871" s="1" t="s">
        <v>323</v>
      </c>
      <c r="E5871" t="s">
        <v>101</v>
      </c>
      <c r="F5871" s="1">
        <v>3</v>
      </c>
      <c r="G5871" s="1" t="s">
        <v>153</v>
      </c>
      <c r="H5871" s="4" t="str">
        <f>HYPERLINK("https://www.ncbi.nlm.nih.gov/geo/query/acc.cgi?acc=GSM1359659","GSM1359659")</f>
        <v>GSM1359659</v>
      </c>
      <c r="I5871" t="s">
        <v>69</v>
      </c>
      <c r="J5871" t="s">
        <v>18</v>
      </c>
      <c r="K5871" t="s">
        <v>19</v>
      </c>
      <c r="L5871" t="s">
        <v>70</v>
      </c>
      <c r="M5871" t="s">
        <v>24</v>
      </c>
      <c r="N5871" t="s">
        <v>29</v>
      </c>
    </row>
    <row r="5872" spans="1:14">
      <c r="A5872" s="4" t="str">
        <f t="shared" si="554"/>
        <v>EXP00209</v>
      </c>
      <c r="B5872" s="4" t="str">
        <f t="shared" si="555"/>
        <v>24921248</v>
      </c>
      <c r="C5872" s="4" t="str">
        <f t="shared" si="556"/>
        <v>GSE56350</v>
      </c>
      <c r="D5872" s="1" t="s">
        <v>323</v>
      </c>
      <c r="E5872" t="s">
        <v>101</v>
      </c>
      <c r="F5872" s="1">
        <v>3</v>
      </c>
      <c r="G5872" s="1" t="s">
        <v>153</v>
      </c>
      <c r="H5872" s="4" t="str">
        <f>HYPERLINK("https://www.ncbi.nlm.nih.gov/geo/query/acc.cgi?acc=GSM1359661","GSM1359661")</f>
        <v>GSM1359661</v>
      </c>
      <c r="I5872" t="s">
        <v>69</v>
      </c>
      <c r="J5872" t="s">
        <v>18</v>
      </c>
      <c r="K5872" t="s">
        <v>19</v>
      </c>
      <c r="L5872" t="s">
        <v>70</v>
      </c>
      <c r="M5872" t="s">
        <v>24</v>
      </c>
      <c r="N5872" t="s">
        <v>29</v>
      </c>
    </row>
    <row r="5873" spans="1:14">
      <c r="A5873" s="4" t="str">
        <f t="shared" si="554"/>
        <v>EXP00209</v>
      </c>
      <c r="B5873" s="4" t="str">
        <f t="shared" si="555"/>
        <v>24921248</v>
      </c>
      <c r="C5873" s="4" t="str">
        <f t="shared" si="556"/>
        <v>GSE56350</v>
      </c>
      <c r="D5873" s="1" t="s">
        <v>323</v>
      </c>
      <c r="E5873" t="s">
        <v>101</v>
      </c>
      <c r="F5873" s="1">
        <v>3</v>
      </c>
      <c r="G5873" s="1" t="s">
        <v>153</v>
      </c>
      <c r="H5873" s="4" t="str">
        <f>HYPERLINK("https://www.ncbi.nlm.nih.gov/geo/query/acc.cgi?acc=GSM1359663","GSM1359663")</f>
        <v>GSM1359663</v>
      </c>
      <c r="I5873" t="s">
        <v>69</v>
      </c>
      <c r="J5873" t="s">
        <v>18</v>
      </c>
      <c r="K5873" t="s">
        <v>19</v>
      </c>
      <c r="L5873" t="s">
        <v>70</v>
      </c>
      <c r="M5873" t="s">
        <v>24</v>
      </c>
      <c r="N5873" t="s">
        <v>29</v>
      </c>
    </row>
    <row r="5874" spans="1:14">
      <c r="A5874" s="4" t="str">
        <f t="shared" si="554"/>
        <v>EXP00209</v>
      </c>
      <c r="B5874" s="4" t="str">
        <f t="shared" si="555"/>
        <v>24921248</v>
      </c>
      <c r="C5874" s="4" t="str">
        <f t="shared" si="556"/>
        <v>GSE56350</v>
      </c>
      <c r="D5874" s="1" t="s">
        <v>323</v>
      </c>
      <c r="E5874" t="s">
        <v>101</v>
      </c>
      <c r="F5874" s="1">
        <v>3</v>
      </c>
      <c r="G5874" s="1" t="s">
        <v>153</v>
      </c>
      <c r="H5874" s="4" t="str">
        <f>HYPERLINK("https://www.ncbi.nlm.nih.gov/geo/query/acc.cgi?acc=GSM1359665","GSM1359665")</f>
        <v>GSM1359665</v>
      </c>
      <c r="I5874" t="s">
        <v>69</v>
      </c>
      <c r="J5874" t="s">
        <v>18</v>
      </c>
      <c r="K5874" t="s">
        <v>19</v>
      </c>
      <c r="L5874" t="s">
        <v>70</v>
      </c>
      <c r="M5874" t="s">
        <v>24</v>
      </c>
      <c r="N5874" t="s">
        <v>29</v>
      </c>
    </row>
    <row r="5875" spans="1:14">
      <c r="A5875" s="4" t="str">
        <f t="shared" si="554"/>
        <v>EXP00209</v>
      </c>
      <c r="B5875" s="4" t="str">
        <f t="shared" si="555"/>
        <v>24921248</v>
      </c>
      <c r="C5875" s="4" t="str">
        <f t="shared" si="556"/>
        <v>GSE56350</v>
      </c>
      <c r="D5875" s="1" t="s">
        <v>323</v>
      </c>
      <c r="E5875" t="s">
        <v>101</v>
      </c>
      <c r="F5875" s="1">
        <v>3</v>
      </c>
      <c r="G5875" s="1" t="s">
        <v>153</v>
      </c>
      <c r="H5875" s="4" t="str">
        <f>HYPERLINK("https://www.ncbi.nlm.nih.gov/geo/query/acc.cgi?acc=GSM1359667","GSM1359667")</f>
        <v>GSM1359667</v>
      </c>
      <c r="I5875" t="s">
        <v>69</v>
      </c>
      <c r="J5875" t="s">
        <v>18</v>
      </c>
      <c r="K5875" t="s">
        <v>19</v>
      </c>
      <c r="L5875" t="s">
        <v>70</v>
      </c>
      <c r="M5875" t="s">
        <v>24</v>
      </c>
      <c r="N5875" t="s">
        <v>29</v>
      </c>
    </row>
    <row r="5876" spans="1:14">
      <c r="A5876" s="4" t="str">
        <f t="shared" si="554"/>
        <v>EXP00209</v>
      </c>
      <c r="B5876" s="4" t="str">
        <f t="shared" si="555"/>
        <v>24921248</v>
      </c>
      <c r="C5876" s="4" t="str">
        <f t="shared" si="556"/>
        <v>GSE56350</v>
      </c>
      <c r="D5876" s="1" t="s">
        <v>323</v>
      </c>
      <c r="E5876" t="s">
        <v>101</v>
      </c>
      <c r="F5876" s="1">
        <v>3</v>
      </c>
      <c r="G5876" s="1" t="s">
        <v>153</v>
      </c>
      <c r="H5876" s="4" t="str">
        <f>HYPERLINK("https://www.ncbi.nlm.nih.gov/geo/query/acc.cgi?acc=GSM1359669","GSM1359669")</f>
        <v>GSM1359669</v>
      </c>
      <c r="I5876" t="s">
        <v>69</v>
      </c>
      <c r="J5876" t="s">
        <v>18</v>
      </c>
      <c r="K5876" t="s">
        <v>19</v>
      </c>
      <c r="L5876" t="s">
        <v>70</v>
      </c>
      <c r="M5876" t="s">
        <v>24</v>
      </c>
      <c r="N5876" t="s">
        <v>29</v>
      </c>
    </row>
    <row r="5877" spans="1:14">
      <c r="A5877" s="4" t="str">
        <f t="shared" si="554"/>
        <v>EXP00209</v>
      </c>
      <c r="B5877" s="4" t="str">
        <f t="shared" si="555"/>
        <v>24921248</v>
      </c>
      <c r="C5877" s="4" t="str">
        <f t="shared" si="556"/>
        <v>GSE56350</v>
      </c>
      <c r="D5877" s="1" t="s">
        <v>323</v>
      </c>
      <c r="E5877" t="s">
        <v>101</v>
      </c>
      <c r="F5877" s="1">
        <v>3</v>
      </c>
      <c r="G5877" s="1" t="s">
        <v>153</v>
      </c>
      <c r="H5877" s="4" t="str">
        <f>HYPERLINK("https://www.ncbi.nlm.nih.gov/geo/query/acc.cgi?acc=GSM1359679","GSM1359679")</f>
        <v>GSM1359679</v>
      </c>
      <c r="I5877" t="s">
        <v>69</v>
      </c>
      <c r="J5877" t="s">
        <v>18</v>
      </c>
      <c r="K5877" t="s">
        <v>19</v>
      </c>
      <c r="L5877" t="s">
        <v>70</v>
      </c>
      <c r="M5877" t="s">
        <v>24</v>
      </c>
      <c r="N5877" t="s">
        <v>29</v>
      </c>
    </row>
    <row r="5878" spans="1:14">
      <c r="A5878" s="4" t="str">
        <f t="shared" si="554"/>
        <v>EXP00209</v>
      </c>
      <c r="B5878" s="4" t="str">
        <f t="shared" si="555"/>
        <v>24921248</v>
      </c>
      <c r="C5878" s="4" t="str">
        <f t="shared" si="556"/>
        <v>GSE56350</v>
      </c>
      <c r="D5878" s="1" t="s">
        <v>323</v>
      </c>
      <c r="E5878" t="s">
        <v>101</v>
      </c>
      <c r="F5878" s="1">
        <v>3</v>
      </c>
      <c r="G5878" s="1" t="s">
        <v>153</v>
      </c>
      <c r="H5878" s="4" t="str">
        <f>HYPERLINK("https://www.ncbi.nlm.nih.gov/geo/query/acc.cgi?acc=GSM1359681","GSM1359681")</f>
        <v>GSM1359681</v>
      </c>
      <c r="I5878" t="s">
        <v>69</v>
      </c>
      <c r="J5878" t="s">
        <v>18</v>
      </c>
      <c r="K5878" t="s">
        <v>19</v>
      </c>
      <c r="L5878" t="s">
        <v>70</v>
      </c>
      <c r="M5878" t="s">
        <v>24</v>
      </c>
      <c r="N5878" t="s">
        <v>29</v>
      </c>
    </row>
    <row r="5879" spans="1:14">
      <c r="A5879" s="4" t="str">
        <f t="shared" ref="A5879:A5910" si="557">HYPERLINK("http://hcmdb.i-sanger.com/experiment/details/experiment_id/EXP00210","EXP00210")</f>
        <v>EXP00210</v>
      </c>
      <c r="B5879" s="4" t="str">
        <f t="shared" si="555"/>
        <v>24921248</v>
      </c>
      <c r="C5879" s="4" t="str">
        <f t="shared" si="556"/>
        <v>GSE56350</v>
      </c>
      <c r="D5879" s="1" t="s">
        <v>323</v>
      </c>
      <c r="E5879" t="s">
        <v>154</v>
      </c>
      <c r="F5879" s="1">
        <v>1</v>
      </c>
      <c r="G5879" s="1" t="s">
        <v>155</v>
      </c>
      <c r="H5879" s="4" t="str">
        <f>HYPERLINK("https://www.ncbi.nlm.nih.gov/geo/query/acc.cgi?acc=GSM1359671","GSM1359671")</f>
        <v>GSM1359671</v>
      </c>
      <c r="I5879" t="s">
        <v>69</v>
      </c>
      <c r="J5879" t="s">
        <v>18</v>
      </c>
      <c r="K5879" t="s">
        <v>19</v>
      </c>
      <c r="L5879" t="s">
        <v>70</v>
      </c>
      <c r="M5879" t="s">
        <v>44</v>
      </c>
      <c r="N5879" t="s">
        <v>22</v>
      </c>
    </row>
    <row r="5880" spans="1:14">
      <c r="A5880" s="4" t="str">
        <f t="shared" si="557"/>
        <v>EXP00210</v>
      </c>
      <c r="B5880" s="4" t="str">
        <f t="shared" si="555"/>
        <v>24921248</v>
      </c>
      <c r="C5880" s="4" t="str">
        <f t="shared" si="556"/>
        <v>GSE56350</v>
      </c>
      <c r="D5880" s="1" t="s">
        <v>323</v>
      </c>
      <c r="E5880" t="s">
        <v>154</v>
      </c>
      <c r="F5880" s="1">
        <v>1</v>
      </c>
      <c r="G5880" s="1" t="s">
        <v>155</v>
      </c>
      <c r="H5880" s="4" t="str">
        <f>HYPERLINK("https://www.ncbi.nlm.nih.gov/geo/query/acc.cgi?acc=GSM1359673","GSM1359673")</f>
        <v>GSM1359673</v>
      </c>
      <c r="I5880" t="s">
        <v>69</v>
      </c>
      <c r="J5880" t="s">
        <v>18</v>
      </c>
      <c r="K5880" t="s">
        <v>19</v>
      </c>
      <c r="L5880" t="s">
        <v>70</v>
      </c>
      <c r="M5880" t="s">
        <v>44</v>
      </c>
      <c r="N5880" t="s">
        <v>22</v>
      </c>
    </row>
    <row r="5881" spans="1:14">
      <c r="A5881" s="4" t="str">
        <f t="shared" si="557"/>
        <v>EXP00210</v>
      </c>
      <c r="B5881" s="4" t="str">
        <f t="shared" si="555"/>
        <v>24921248</v>
      </c>
      <c r="C5881" s="4" t="str">
        <f t="shared" si="556"/>
        <v>GSE56350</v>
      </c>
      <c r="D5881" s="1" t="s">
        <v>323</v>
      </c>
      <c r="E5881" t="s">
        <v>154</v>
      </c>
      <c r="F5881" s="1">
        <v>1</v>
      </c>
      <c r="G5881" s="1" t="s">
        <v>155</v>
      </c>
      <c r="H5881" s="4" t="str">
        <f>HYPERLINK("https://www.ncbi.nlm.nih.gov/geo/query/acc.cgi?acc=GSM1359674","GSM1359674")</f>
        <v>GSM1359674</v>
      </c>
      <c r="I5881" t="s">
        <v>69</v>
      </c>
      <c r="J5881" t="s">
        <v>18</v>
      </c>
      <c r="K5881" t="s">
        <v>19</v>
      </c>
      <c r="L5881" t="s">
        <v>70</v>
      </c>
      <c r="M5881" t="s">
        <v>44</v>
      </c>
      <c r="N5881" t="s">
        <v>22</v>
      </c>
    </row>
    <row r="5882" spans="1:14">
      <c r="A5882" s="4" t="str">
        <f t="shared" si="557"/>
        <v>EXP00210</v>
      </c>
      <c r="B5882" s="4" t="str">
        <f t="shared" si="555"/>
        <v>24921248</v>
      </c>
      <c r="C5882" s="4" t="str">
        <f t="shared" si="556"/>
        <v>GSE56350</v>
      </c>
      <c r="D5882" s="1" t="s">
        <v>323</v>
      </c>
      <c r="E5882" t="s">
        <v>154</v>
      </c>
      <c r="F5882" s="1">
        <v>1</v>
      </c>
      <c r="G5882" s="1" t="s">
        <v>155</v>
      </c>
      <c r="H5882" s="4" t="str">
        <f>HYPERLINK("https://www.ncbi.nlm.nih.gov/geo/query/acc.cgi?acc=GSM1359677","GSM1359677")</f>
        <v>GSM1359677</v>
      </c>
      <c r="I5882" t="s">
        <v>69</v>
      </c>
      <c r="J5882" t="s">
        <v>18</v>
      </c>
      <c r="K5882" t="s">
        <v>19</v>
      </c>
      <c r="L5882" t="s">
        <v>70</v>
      </c>
      <c r="M5882" t="s">
        <v>44</v>
      </c>
      <c r="N5882" t="s">
        <v>22</v>
      </c>
    </row>
    <row r="5883" spans="1:14">
      <c r="A5883" s="4" t="str">
        <f t="shared" si="557"/>
        <v>EXP00210</v>
      </c>
      <c r="B5883" s="4" t="str">
        <f t="shared" si="555"/>
        <v>24921248</v>
      </c>
      <c r="C5883" s="4" t="str">
        <f t="shared" si="556"/>
        <v>GSE56350</v>
      </c>
      <c r="D5883" s="1" t="s">
        <v>323</v>
      </c>
      <c r="E5883" t="s">
        <v>154</v>
      </c>
      <c r="F5883" s="1">
        <v>1</v>
      </c>
      <c r="G5883" s="1" t="s">
        <v>155</v>
      </c>
      <c r="H5883" s="4" t="str">
        <f>HYPERLINK("https://www.ncbi.nlm.nih.gov/geo/query/acc.cgi?acc=GSM1359685","GSM1359685")</f>
        <v>GSM1359685</v>
      </c>
      <c r="I5883" t="s">
        <v>69</v>
      </c>
      <c r="J5883" t="s">
        <v>18</v>
      </c>
      <c r="K5883" t="s">
        <v>19</v>
      </c>
      <c r="L5883" t="s">
        <v>70</v>
      </c>
      <c r="M5883" t="s">
        <v>44</v>
      </c>
      <c r="N5883" t="s">
        <v>22</v>
      </c>
    </row>
    <row r="5884" spans="1:14">
      <c r="A5884" s="4" t="str">
        <f t="shared" si="557"/>
        <v>EXP00210</v>
      </c>
      <c r="B5884" s="4" t="str">
        <f t="shared" si="555"/>
        <v>24921248</v>
      </c>
      <c r="C5884" s="4" t="str">
        <f t="shared" si="556"/>
        <v>GSE56350</v>
      </c>
      <c r="D5884" s="1" t="s">
        <v>323</v>
      </c>
      <c r="E5884" t="s">
        <v>154</v>
      </c>
      <c r="F5884" s="1">
        <v>1</v>
      </c>
      <c r="G5884" s="1" t="s">
        <v>155</v>
      </c>
      <c r="H5884" s="4" t="str">
        <f>HYPERLINK("https://www.ncbi.nlm.nih.gov/geo/query/acc.cgi?acc=GSM1359689","GSM1359689")</f>
        <v>GSM1359689</v>
      </c>
      <c r="I5884" t="s">
        <v>69</v>
      </c>
      <c r="J5884" t="s">
        <v>18</v>
      </c>
      <c r="K5884" t="s">
        <v>19</v>
      </c>
      <c r="L5884" t="s">
        <v>70</v>
      </c>
      <c r="M5884" t="s">
        <v>44</v>
      </c>
      <c r="N5884" t="s">
        <v>22</v>
      </c>
    </row>
    <row r="5885" spans="1:14">
      <c r="A5885" s="4" t="str">
        <f t="shared" si="557"/>
        <v>EXP00210</v>
      </c>
      <c r="B5885" s="4" t="str">
        <f t="shared" si="555"/>
        <v>24921248</v>
      </c>
      <c r="C5885" s="4" t="str">
        <f t="shared" si="556"/>
        <v>GSE56350</v>
      </c>
      <c r="D5885" s="1" t="s">
        <v>323</v>
      </c>
      <c r="E5885" t="s">
        <v>154</v>
      </c>
      <c r="F5885" s="1">
        <v>1</v>
      </c>
      <c r="G5885" s="1" t="s">
        <v>155</v>
      </c>
      <c r="H5885" s="4" t="str">
        <f>HYPERLINK("https://www.ncbi.nlm.nih.gov/geo/query/acc.cgi?acc=GSM1359692","GSM1359692")</f>
        <v>GSM1359692</v>
      </c>
      <c r="I5885" t="s">
        <v>69</v>
      </c>
      <c r="J5885" t="s">
        <v>18</v>
      </c>
      <c r="K5885" t="s">
        <v>19</v>
      </c>
      <c r="L5885" t="s">
        <v>70</v>
      </c>
      <c r="M5885" t="s">
        <v>44</v>
      </c>
      <c r="N5885" t="s">
        <v>22</v>
      </c>
    </row>
    <row r="5886" spans="1:14">
      <c r="A5886" s="4" t="str">
        <f t="shared" si="557"/>
        <v>EXP00210</v>
      </c>
      <c r="B5886" s="4" t="str">
        <f t="shared" si="555"/>
        <v>24921248</v>
      </c>
      <c r="C5886" s="4" t="str">
        <f t="shared" si="556"/>
        <v>GSE56350</v>
      </c>
      <c r="D5886" s="1" t="s">
        <v>323</v>
      </c>
      <c r="E5886" t="s">
        <v>154</v>
      </c>
      <c r="F5886" s="1">
        <v>1</v>
      </c>
      <c r="G5886" s="1" t="s">
        <v>155</v>
      </c>
      <c r="H5886" s="4" t="str">
        <f>HYPERLINK("https://www.ncbi.nlm.nih.gov/geo/query/acc.cgi?acc=GSM1359695","GSM1359695")</f>
        <v>GSM1359695</v>
      </c>
      <c r="I5886" t="s">
        <v>69</v>
      </c>
      <c r="J5886" t="s">
        <v>18</v>
      </c>
      <c r="K5886" t="s">
        <v>19</v>
      </c>
      <c r="L5886" t="s">
        <v>70</v>
      </c>
      <c r="M5886" t="s">
        <v>44</v>
      </c>
      <c r="N5886" t="s">
        <v>22</v>
      </c>
    </row>
    <row r="5887" spans="1:14">
      <c r="A5887" s="4" t="str">
        <f t="shared" si="557"/>
        <v>EXP00210</v>
      </c>
      <c r="B5887" s="4" t="str">
        <f t="shared" si="555"/>
        <v>24921248</v>
      </c>
      <c r="C5887" s="4" t="str">
        <f t="shared" si="556"/>
        <v>GSE56350</v>
      </c>
      <c r="D5887" s="1" t="s">
        <v>323</v>
      </c>
      <c r="E5887" t="s">
        <v>154</v>
      </c>
      <c r="F5887" s="1">
        <v>1</v>
      </c>
      <c r="G5887" s="1" t="s">
        <v>155</v>
      </c>
      <c r="H5887" s="4" t="str">
        <f>HYPERLINK("https://www.ncbi.nlm.nih.gov/geo/query/acc.cgi?acc=GSM1359700","GSM1359700")</f>
        <v>GSM1359700</v>
      </c>
      <c r="I5887" t="s">
        <v>69</v>
      </c>
      <c r="J5887" t="s">
        <v>18</v>
      </c>
      <c r="K5887" t="s">
        <v>19</v>
      </c>
      <c r="L5887" t="s">
        <v>70</v>
      </c>
      <c r="M5887" t="s">
        <v>44</v>
      </c>
      <c r="N5887" t="s">
        <v>22</v>
      </c>
    </row>
    <row r="5888" spans="1:14">
      <c r="A5888" s="4" t="str">
        <f t="shared" si="557"/>
        <v>EXP00210</v>
      </c>
      <c r="B5888" s="4" t="str">
        <f t="shared" si="555"/>
        <v>24921248</v>
      </c>
      <c r="C5888" s="4" t="str">
        <f t="shared" si="556"/>
        <v>GSE56350</v>
      </c>
      <c r="D5888" s="1" t="s">
        <v>323</v>
      </c>
      <c r="E5888" t="s">
        <v>154</v>
      </c>
      <c r="F5888" s="1">
        <v>1</v>
      </c>
      <c r="G5888" s="1" t="s">
        <v>155</v>
      </c>
      <c r="H5888" s="4" t="str">
        <f>HYPERLINK("https://www.ncbi.nlm.nih.gov/geo/query/acc.cgi?acc=GSM1359703","GSM1359703")</f>
        <v>GSM1359703</v>
      </c>
      <c r="I5888" t="s">
        <v>69</v>
      </c>
      <c r="J5888" t="s">
        <v>18</v>
      </c>
      <c r="K5888" t="s">
        <v>19</v>
      </c>
      <c r="L5888" t="s">
        <v>70</v>
      </c>
      <c r="M5888" t="s">
        <v>44</v>
      </c>
      <c r="N5888" t="s">
        <v>22</v>
      </c>
    </row>
    <row r="5889" spans="1:14">
      <c r="A5889" s="4" t="str">
        <f t="shared" si="557"/>
        <v>EXP00210</v>
      </c>
      <c r="B5889" s="4" t="str">
        <f t="shared" si="555"/>
        <v>24921248</v>
      </c>
      <c r="C5889" s="4" t="str">
        <f t="shared" si="556"/>
        <v>GSE56350</v>
      </c>
      <c r="D5889" s="1" t="s">
        <v>323</v>
      </c>
      <c r="E5889" t="s">
        <v>154</v>
      </c>
      <c r="F5889" s="1">
        <v>1</v>
      </c>
      <c r="G5889" s="1" t="s">
        <v>155</v>
      </c>
      <c r="H5889" s="4" t="str">
        <f>HYPERLINK("https://www.ncbi.nlm.nih.gov/geo/query/acc.cgi?acc=GSM1359706","GSM1359706")</f>
        <v>GSM1359706</v>
      </c>
      <c r="I5889" t="s">
        <v>69</v>
      </c>
      <c r="J5889" t="s">
        <v>18</v>
      </c>
      <c r="K5889" t="s">
        <v>19</v>
      </c>
      <c r="L5889" t="s">
        <v>70</v>
      </c>
      <c r="M5889" t="s">
        <v>44</v>
      </c>
      <c r="N5889" t="s">
        <v>22</v>
      </c>
    </row>
    <row r="5890" spans="1:14">
      <c r="A5890" s="4" t="str">
        <f t="shared" si="557"/>
        <v>EXP00210</v>
      </c>
      <c r="B5890" s="4" t="str">
        <f t="shared" si="555"/>
        <v>24921248</v>
      </c>
      <c r="C5890" s="4" t="str">
        <f t="shared" si="556"/>
        <v>GSE56350</v>
      </c>
      <c r="D5890" s="1" t="s">
        <v>323</v>
      </c>
      <c r="E5890" t="s">
        <v>154</v>
      </c>
      <c r="F5890" s="1">
        <v>1</v>
      </c>
      <c r="G5890" s="1" t="s">
        <v>155</v>
      </c>
      <c r="H5890" s="4" t="str">
        <f>HYPERLINK("https://www.ncbi.nlm.nih.gov/geo/query/acc.cgi?acc=GSM1359709","GSM1359709")</f>
        <v>GSM1359709</v>
      </c>
      <c r="I5890" t="s">
        <v>69</v>
      </c>
      <c r="J5890" t="s">
        <v>18</v>
      </c>
      <c r="K5890" t="s">
        <v>19</v>
      </c>
      <c r="L5890" t="s">
        <v>70</v>
      </c>
      <c r="M5890" t="s">
        <v>44</v>
      </c>
      <c r="N5890" t="s">
        <v>22</v>
      </c>
    </row>
    <row r="5891" spans="1:14">
      <c r="A5891" s="4" t="str">
        <f t="shared" si="557"/>
        <v>EXP00210</v>
      </c>
      <c r="B5891" s="4" t="str">
        <f t="shared" si="555"/>
        <v>24921248</v>
      </c>
      <c r="C5891" s="4" t="str">
        <f t="shared" si="556"/>
        <v>GSE56350</v>
      </c>
      <c r="D5891" s="1" t="s">
        <v>323</v>
      </c>
      <c r="E5891" t="s">
        <v>154</v>
      </c>
      <c r="F5891" s="1">
        <v>1</v>
      </c>
      <c r="G5891" s="1" t="s">
        <v>155</v>
      </c>
      <c r="H5891" s="4" t="str">
        <f>HYPERLINK("https://www.ncbi.nlm.nih.gov/geo/query/acc.cgi?acc=GSM1359712","GSM1359712")</f>
        <v>GSM1359712</v>
      </c>
      <c r="I5891" t="s">
        <v>69</v>
      </c>
      <c r="J5891" t="s">
        <v>18</v>
      </c>
      <c r="K5891" t="s">
        <v>19</v>
      </c>
      <c r="L5891" t="s">
        <v>70</v>
      </c>
      <c r="M5891" t="s">
        <v>44</v>
      </c>
      <c r="N5891" t="s">
        <v>22</v>
      </c>
    </row>
    <row r="5892" spans="1:14">
      <c r="A5892" s="4" t="str">
        <f t="shared" si="557"/>
        <v>EXP00210</v>
      </c>
      <c r="B5892" s="4" t="str">
        <f t="shared" si="555"/>
        <v>24921248</v>
      </c>
      <c r="C5892" s="4" t="str">
        <f t="shared" si="556"/>
        <v>GSE56350</v>
      </c>
      <c r="D5892" s="1" t="s">
        <v>323</v>
      </c>
      <c r="E5892" t="s">
        <v>154</v>
      </c>
      <c r="F5892" s="1">
        <v>1</v>
      </c>
      <c r="G5892" s="1" t="s">
        <v>155</v>
      </c>
      <c r="H5892" s="4" t="str">
        <f>HYPERLINK("https://www.ncbi.nlm.nih.gov/geo/query/acc.cgi?acc=GSM1359715","GSM1359715")</f>
        <v>GSM1359715</v>
      </c>
      <c r="I5892" t="s">
        <v>69</v>
      </c>
      <c r="J5892" t="s">
        <v>18</v>
      </c>
      <c r="K5892" t="s">
        <v>19</v>
      </c>
      <c r="L5892" t="s">
        <v>70</v>
      </c>
      <c r="M5892" t="s">
        <v>44</v>
      </c>
      <c r="N5892" t="s">
        <v>22</v>
      </c>
    </row>
    <row r="5893" spans="1:14">
      <c r="A5893" s="4" t="str">
        <f t="shared" si="557"/>
        <v>EXP00210</v>
      </c>
      <c r="B5893" s="4" t="str">
        <f t="shared" si="555"/>
        <v>24921248</v>
      </c>
      <c r="C5893" s="4" t="str">
        <f t="shared" si="556"/>
        <v>GSE56350</v>
      </c>
      <c r="D5893" s="1" t="s">
        <v>323</v>
      </c>
      <c r="E5893" t="s">
        <v>154</v>
      </c>
      <c r="F5893" s="1">
        <v>1</v>
      </c>
      <c r="G5893" s="1" t="s">
        <v>155</v>
      </c>
      <c r="H5893" s="4" t="str">
        <f>HYPERLINK("https://www.ncbi.nlm.nih.gov/geo/query/acc.cgi?acc=GSM1359717","GSM1359717")</f>
        <v>GSM1359717</v>
      </c>
      <c r="I5893" t="s">
        <v>69</v>
      </c>
      <c r="J5893" t="s">
        <v>18</v>
      </c>
      <c r="K5893" t="s">
        <v>19</v>
      </c>
      <c r="L5893" t="s">
        <v>70</v>
      </c>
      <c r="M5893" t="s">
        <v>44</v>
      </c>
      <c r="N5893" t="s">
        <v>22</v>
      </c>
    </row>
    <row r="5894" spans="1:14">
      <c r="A5894" s="4" t="str">
        <f t="shared" si="557"/>
        <v>EXP00210</v>
      </c>
      <c r="B5894" s="4" t="str">
        <f t="shared" si="555"/>
        <v>24921248</v>
      </c>
      <c r="C5894" s="4" t="str">
        <f t="shared" si="556"/>
        <v>GSE56350</v>
      </c>
      <c r="D5894" s="1" t="s">
        <v>323</v>
      </c>
      <c r="E5894" t="s">
        <v>154</v>
      </c>
      <c r="F5894" s="1">
        <v>2</v>
      </c>
      <c r="G5894" s="1" t="s">
        <v>156</v>
      </c>
      <c r="H5894" s="4" t="str">
        <f>HYPERLINK("https://www.ncbi.nlm.nih.gov/geo/query/acc.cgi?acc=GSM1359615","GSM1359615")</f>
        <v>GSM1359615</v>
      </c>
      <c r="I5894" t="s">
        <v>69</v>
      </c>
      <c r="J5894" t="s">
        <v>18</v>
      </c>
      <c r="K5894" t="s">
        <v>19</v>
      </c>
      <c r="L5894" t="s">
        <v>70</v>
      </c>
      <c r="M5894" t="s">
        <v>24</v>
      </c>
      <c r="N5894" t="s">
        <v>22</v>
      </c>
    </row>
    <row r="5895" spans="1:14">
      <c r="A5895" s="4" t="str">
        <f t="shared" si="557"/>
        <v>EXP00210</v>
      </c>
      <c r="B5895" s="4" t="str">
        <f t="shared" si="555"/>
        <v>24921248</v>
      </c>
      <c r="C5895" s="4" t="str">
        <f t="shared" si="556"/>
        <v>GSE56350</v>
      </c>
      <c r="D5895" s="1" t="s">
        <v>323</v>
      </c>
      <c r="E5895" t="s">
        <v>154</v>
      </c>
      <c r="F5895" s="1">
        <v>2</v>
      </c>
      <c r="G5895" s="1" t="s">
        <v>156</v>
      </c>
      <c r="H5895" s="4" t="str">
        <f>HYPERLINK("https://www.ncbi.nlm.nih.gov/geo/query/acc.cgi?acc=GSM1359617","GSM1359617")</f>
        <v>GSM1359617</v>
      </c>
      <c r="I5895" t="s">
        <v>69</v>
      </c>
      <c r="J5895" t="s">
        <v>18</v>
      </c>
      <c r="K5895" t="s">
        <v>19</v>
      </c>
      <c r="L5895" t="s">
        <v>70</v>
      </c>
      <c r="M5895" t="s">
        <v>24</v>
      </c>
      <c r="N5895" t="s">
        <v>22</v>
      </c>
    </row>
    <row r="5896" spans="1:14">
      <c r="A5896" s="4" t="str">
        <f t="shared" si="557"/>
        <v>EXP00210</v>
      </c>
      <c r="B5896" s="4" t="str">
        <f t="shared" si="555"/>
        <v>24921248</v>
      </c>
      <c r="C5896" s="4" t="str">
        <f t="shared" si="556"/>
        <v>GSE56350</v>
      </c>
      <c r="D5896" s="1" t="s">
        <v>323</v>
      </c>
      <c r="E5896" t="s">
        <v>154</v>
      </c>
      <c r="F5896" s="1">
        <v>2</v>
      </c>
      <c r="G5896" s="1" t="s">
        <v>156</v>
      </c>
      <c r="H5896" s="4" t="str">
        <f>HYPERLINK("https://www.ncbi.nlm.nih.gov/geo/query/acc.cgi?acc=GSM1359619","GSM1359619")</f>
        <v>GSM1359619</v>
      </c>
      <c r="I5896" t="s">
        <v>69</v>
      </c>
      <c r="J5896" t="s">
        <v>18</v>
      </c>
      <c r="K5896" t="s">
        <v>19</v>
      </c>
      <c r="L5896" t="s">
        <v>70</v>
      </c>
      <c r="M5896" t="s">
        <v>24</v>
      </c>
      <c r="N5896" t="s">
        <v>22</v>
      </c>
    </row>
    <row r="5897" spans="1:14">
      <c r="A5897" s="4" t="str">
        <f t="shared" si="557"/>
        <v>EXP00210</v>
      </c>
      <c r="B5897" s="4" t="str">
        <f t="shared" si="555"/>
        <v>24921248</v>
      </c>
      <c r="C5897" s="4" t="str">
        <f t="shared" si="556"/>
        <v>GSE56350</v>
      </c>
      <c r="D5897" s="1" t="s">
        <v>323</v>
      </c>
      <c r="E5897" t="s">
        <v>154</v>
      </c>
      <c r="F5897" s="1">
        <v>2</v>
      </c>
      <c r="G5897" s="1" t="s">
        <v>156</v>
      </c>
      <c r="H5897" s="4" t="str">
        <f>HYPERLINK("https://www.ncbi.nlm.nih.gov/geo/query/acc.cgi?acc=GSM1359621","GSM1359621")</f>
        <v>GSM1359621</v>
      </c>
      <c r="I5897" t="s">
        <v>69</v>
      </c>
      <c r="J5897" t="s">
        <v>18</v>
      </c>
      <c r="K5897" t="s">
        <v>19</v>
      </c>
      <c r="L5897" t="s">
        <v>70</v>
      </c>
      <c r="M5897" t="s">
        <v>24</v>
      </c>
      <c r="N5897" t="s">
        <v>22</v>
      </c>
    </row>
    <row r="5898" spans="1:14">
      <c r="A5898" s="4" t="str">
        <f t="shared" si="557"/>
        <v>EXP00210</v>
      </c>
      <c r="B5898" s="4" t="str">
        <f t="shared" si="555"/>
        <v>24921248</v>
      </c>
      <c r="C5898" s="4" t="str">
        <f t="shared" si="556"/>
        <v>GSE56350</v>
      </c>
      <c r="D5898" s="1" t="s">
        <v>323</v>
      </c>
      <c r="E5898" t="s">
        <v>154</v>
      </c>
      <c r="F5898" s="1">
        <v>2</v>
      </c>
      <c r="G5898" s="1" t="s">
        <v>156</v>
      </c>
      <c r="H5898" s="4" t="str">
        <f>HYPERLINK("https://www.ncbi.nlm.nih.gov/geo/query/acc.cgi?acc=GSM1359623","GSM1359623")</f>
        <v>GSM1359623</v>
      </c>
      <c r="I5898" t="s">
        <v>69</v>
      </c>
      <c r="J5898" t="s">
        <v>18</v>
      </c>
      <c r="K5898" t="s">
        <v>19</v>
      </c>
      <c r="L5898" t="s">
        <v>70</v>
      </c>
      <c r="M5898" t="s">
        <v>24</v>
      </c>
      <c r="N5898" t="s">
        <v>22</v>
      </c>
    </row>
    <row r="5899" spans="1:14">
      <c r="A5899" s="4" t="str">
        <f t="shared" si="557"/>
        <v>EXP00210</v>
      </c>
      <c r="B5899" s="4" t="str">
        <f t="shared" si="555"/>
        <v>24921248</v>
      </c>
      <c r="C5899" s="4" t="str">
        <f t="shared" si="556"/>
        <v>GSE56350</v>
      </c>
      <c r="D5899" s="1" t="s">
        <v>323</v>
      </c>
      <c r="E5899" t="s">
        <v>154</v>
      </c>
      <c r="F5899" s="1">
        <v>2</v>
      </c>
      <c r="G5899" s="1" t="s">
        <v>156</v>
      </c>
      <c r="H5899" s="4" t="str">
        <f>HYPERLINK("https://www.ncbi.nlm.nih.gov/geo/query/acc.cgi?acc=GSM1359625","GSM1359625")</f>
        <v>GSM1359625</v>
      </c>
      <c r="I5899" t="s">
        <v>69</v>
      </c>
      <c r="J5899" t="s">
        <v>18</v>
      </c>
      <c r="K5899" t="s">
        <v>19</v>
      </c>
      <c r="L5899" t="s">
        <v>70</v>
      </c>
      <c r="M5899" t="s">
        <v>24</v>
      </c>
      <c r="N5899" t="s">
        <v>22</v>
      </c>
    </row>
    <row r="5900" spans="1:14">
      <c r="A5900" s="4" t="str">
        <f t="shared" si="557"/>
        <v>EXP00210</v>
      </c>
      <c r="B5900" s="4" t="str">
        <f t="shared" si="555"/>
        <v>24921248</v>
      </c>
      <c r="C5900" s="4" t="str">
        <f t="shared" si="556"/>
        <v>GSE56350</v>
      </c>
      <c r="D5900" s="1" t="s">
        <v>323</v>
      </c>
      <c r="E5900" t="s">
        <v>154</v>
      </c>
      <c r="F5900" s="1">
        <v>2</v>
      </c>
      <c r="G5900" s="1" t="s">
        <v>156</v>
      </c>
      <c r="H5900" s="4" t="str">
        <f>HYPERLINK("https://www.ncbi.nlm.nih.gov/geo/query/acc.cgi?acc=GSM1359627","GSM1359627")</f>
        <v>GSM1359627</v>
      </c>
      <c r="I5900" t="s">
        <v>69</v>
      </c>
      <c r="J5900" t="s">
        <v>18</v>
      </c>
      <c r="K5900" t="s">
        <v>19</v>
      </c>
      <c r="L5900" t="s">
        <v>70</v>
      </c>
      <c r="M5900" t="s">
        <v>24</v>
      </c>
      <c r="N5900" t="s">
        <v>22</v>
      </c>
    </row>
    <row r="5901" spans="1:14">
      <c r="A5901" s="4" t="str">
        <f t="shared" si="557"/>
        <v>EXP00210</v>
      </c>
      <c r="B5901" s="4" t="str">
        <f t="shared" si="555"/>
        <v>24921248</v>
      </c>
      <c r="C5901" s="4" t="str">
        <f t="shared" si="556"/>
        <v>GSE56350</v>
      </c>
      <c r="D5901" s="1" t="s">
        <v>323</v>
      </c>
      <c r="E5901" t="s">
        <v>154</v>
      </c>
      <c r="F5901" s="1">
        <v>2</v>
      </c>
      <c r="G5901" s="1" t="s">
        <v>156</v>
      </c>
      <c r="H5901" s="4" t="str">
        <f>HYPERLINK("https://www.ncbi.nlm.nih.gov/geo/query/acc.cgi?acc=GSM1359629","GSM1359629")</f>
        <v>GSM1359629</v>
      </c>
      <c r="I5901" t="s">
        <v>69</v>
      </c>
      <c r="J5901" t="s">
        <v>18</v>
      </c>
      <c r="K5901" t="s">
        <v>19</v>
      </c>
      <c r="L5901" t="s">
        <v>70</v>
      </c>
      <c r="M5901" t="s">
        <v>24</v>
      </c>
      <c r="N5901" t="s">
        <v>22</v>
      </c>
    </row>
    <row r="5902" spans="1:14">
      <c r="A5902" s="4" t="str">
        <f t="shared" si="557"/>
        <v>EXP00210</v>
      </c>
      <c r="B5902" s="4" t="str">
        <f t="shared" si="555"/>
        <v>24921248</v>
      </c>
      <c r="C5902" s="4" t="str">
        <f t="shared" si="556"/>
        <v>GSE56350</v>
      </c>
      <c r="D5902" s="1" t="s">
        <v>323</v>
      </c>
      <c r="E5902" t="s">
        <v>154</v>
      </c>
      <c r="F5902" s="1">
        <v>2</v>
      </c>
      <c r="G5902" s="1" t="s">
        <v>156</v>
      </c>
      <c r="H5902" s="4" t="str">
        <f>HYPERLINK("https://www.ncbi.nlm.nih.gov/geo/query/acc.cgi?acc=GSM1359631","GSM1359631")</f>
        <v>GSM1359631</v>
      </c>
      <c r="I5902" t="s">
        <v>69</v>
      </c>
      <c r="J5902" t="s">
        <v>18</v>
      </c>
      <c r="K5902" t="s">
        <v>19</v>
      </c>
      <c r="L5902" t="s">
        <v>70</v>
      </c>
      <c r="M5902" t="s">
        <v>24</v>
      </c>
      <c r="N5902" t="s">
        <v>22</v>
      </c>
    </row>
    <row r="5903" spans="1:14">
      <c r="A5903" s="4" t="str">
        <f t="shared" si="557"/>
        <v>EXP00210</v>
      </c>
      <c r="B5903" s="4" t="str">
        <f t="shared" si="555"/>
        <v>24921248</v>
      </c>
      <c r="C5903" s="4" t="str">
        <f t="shared" si="556"/>
        <v>GSE56350</v>
      </c>
      <c r="D5903" s="1" t="s">
        <v>323</v>
      </c>
      <c r="E5903" t="s">
        <v>154</v>
      </c>
      <c r="F5903" s="1">
        <v>2</v>
      </c>
      <c r="G5903" s="1" t="s">
        <v>156</v>
      </c>
      <c r="H5903" s="4" t="str">
        <f>HYPERLINK("https://www.ncbi.nlm.nih.gov/geo/query/acc.cgi?acc=GSM1359633","GSM1359633")</f>
        <v>GSM1359633</v>
      </c>
      <c r="I5903" t="s">
        <v>69</v>
      </c>
      <c r="J5903" t="s">
        <v>18</v>
      </c>
      <c r="K5903" t="s">
        <v>19</v>
      </c>
      <c r="L5903" t="s">
        <v>70</v>
      </c>
      <c r="M5903" t="s">
        <v>24</v>
      </c>
      <c r="N5903" t="s">
        <v>22</v>
      </c>
    </row>
    <row r="5904" spans="1:14">
      <c r="A5904" s="4" t="str">
        <f t="shared" si="557"/>
        <v>EXP00210</v>
      </c>
      <c r="B5904" s="4" t="str">
        <f t="shared" si="555"/>
        <v>24921248</v>
      </c>
      <c r="C5904" s="4" t="str">
        <f t="shared" si="556"/>
        <v>GSE56350</v>
      </c>
      <c r="D5904" s="1" t="s">
        <v>323</v>
      </c>
      <c r="E5904" t="s">
        <v>154</v>
      </c>
      <c r="F5904" s="1">
        <v>2</v>
      </c>
      <c r="G5904" s="1" t="s">
        <v>156</v>
      </c>
      <c r="H5904" s="4" t="str">
        <f>HYPERLINK("https://www.ncbi.nlm.nih.gov/geo/query/acc.cgi?acc=GSM1359635","GSM1359635")</f>
        <v>GSM1359635</v>
      </c>
      <c r="I5904" t="s">
        <v>69</v>
      </c>
      <c r="J5904" t="s">
        <v>18</v>
      </c>
      <c r="K5904" t="s">
        <v>19</v>
      </c>
      <c r="L5904" t="s">
        <v>70</v>
      </c>
      <c r="M5904" t="s">
        <v>24</v>
      </c>
      <c r="N5904" t="s">
        <v>22</v>
      </c>
    </row>
    <row r="5905" spans="1:14">
      <c r="A5905" s="4" t="str">
        <f t="shared" si="557"/>
        <v>EXP00210</v>
      </c>
      <c r="B5905" s="4" t="str">
        <f t="shared" si="555"/>
        <v>24921248</v>
      </c>
      <c r="C5905" s="4" t="str">
        <f t="shared" si="556"/>
        <v>GSE56350</v>
      </c>
      <c r="D5905" s="1" t="s">
        <v>323</v>
      </c>
      <c r="E5905" t="s">
        <v>154</v>
      </c>
      <c r="F5905" s="1">
        <v>2</v>
      </c>
      <c r="G5905" s="1" t="s">
        <v>156</v>
      </c>
      <c r="H5905" s="4" t="str">
        <f>HYPERLINK("https://www.ncbi.nlm.nih.gov/geo/query/acc.cgi?acc=GSM1359637","GSM1359637")</f>
        <v>GSM1359637</v>
      </c>
      <c r="I5905" t="s">
        <v>69</v>
      </c>
      <c r="J5905" t="s">
        <v>18</v>
      </c>
      <c r="K5905" t="s">
        <v>19</v>
      </c>
      <c r="L5905" t="s">
        <v>70</v>
      </c>
      <c r="M5905" t="s">
        <v>24</v>
      </c>
      <c r="N5905" t="s">
        <v>22</v>
      </c>
    </row>
    <row r="5906" spans="1:14">
      <c r="A5906" s="4" t="str">
        <f t="shared" si="557"/>
        <v>EXP00210</v>
      </c>
      <c r="B5906" s="4" t="str">
        <f t="shared" si="555"/>
        <v>24921248</v>
      </c>
      <c r="C5906" s="4" t="str">
        <f t="shared" si="556"/>
        <v>GSE56350</v>
      </c>
      <c r="D5906" s="1" t="s">
        <v>323</v>
      </c>
      <c r="E5906" t="s">
        <v>154</v>
      </c>
      <c r="F5906" s="1">
        <v>2</v>
      </c>
      <c r="G5906" s="1" t="s">
        <v>156</v>
      </c>
      <c r="H5906" s="4" t="str">
        <f>HYPERLINK("https://www.ncbi.nlm.nih.gov/geo/query/acc.cgi?acc=GSM1359639","GSM1359639")</f>
        <v>GSM1359639</v>
      </c>
      <c r="I5906" t="s">
        <v>69</v>
      </c>
      <c r="J5906" t="s">
        <v>18</v>
      </c>
      <c r="K5906" t="s">
        <v>19</v>
      </c>
      <c r="L5906" t="s">
        <v>70</v>
      </c>
      <c r="M5906" t="s">
        <v>24</v>
      </c>
      <c r="N5906" t="s">
        <v>22</v>
      </c>
    </row>
    <row r="5907" spans="1:14">
      <c r="A5907" s="4" t="str">
        <f t="shared" si="557"/>
        <v>EXP00210</v>
      </c>
      <c r="B5907" s="4" t="str">
        <f t="shared" si="555"/>
        <v>24921248</v>
      </c>
      <c r="C5907" s="4" t="str">
        <f t="shared" si="556"/>
        <v>GSE56350</v>
      </c>
      <c r="D5907" s="1" t="s">
        <v>323</v>
      </c>
      <c r="E5907" t="s">
        <v>154</v>
      </c>
      <c r="F5907" s="1">
        <v>2</v>
      </c>
      <c r="G5907" s="1" t="s">
        <v>156</v>
      </c>
      <c r="H5907" s="4" t="str">
        <f>HYPERLINK("https://www.ncbi.nlm.nih.gov/geo/query/acc.cgi?acc=GSM1359641","GSM1359641")</f>
        <v>GSM1359641</v>
      </c>
      <c r="I5907" t="s">
        <v>69</v>
      </c>
      <c r="J5907" t="s">
        <v>18</v>
      </c>
      <c r="K5907" t="s">
        <v>19</v>
      </c>
      <c r="L5907" t="s">
        <v>70</v>
      </c>
      <c r="M5907" t="s">
        <v>24</v>
      </c>
      <c r="N5907" t="s">
        <v>22</v>
      </c>
    </row>
    <row r="5908" spans="1:14">
      <c r="A5908" s="4" t="str">
        <f t="shared" si="557"/>
        <v>EXP00210</v>
      </c>
      <c r="B5908" s="4" t="str">
        <f t="shared" si="555"/>
        <v>24921248</v>
      </c>
      <c r="C5908" s="4" t="str">
        <f t="shared" si="556"/>
        <v>GSE56350</v>
      </c>
      <c r="D5908" s="1" t="s">
        <v>323</v>
      </c>
      <c r="E5908" t="s">
        <v>154</v>
      </c>
      <c r="F5908" s="1">
        <v>2</v>
      </c>
      <c r="G5908" s="1" t="s">
        <v>156</v>
      </c>
      <c r="H5908" s="4" t="str">
        <f>HYPERLINK("https://www.ncbi.nlm.nih.gov/geo/query/acc.cgi?acc=GSM1359643","GSM1359643")</f>
        <v>GSM1359643</v>
      </c>
      <c r="I5908" t="s">
        <v>69</v>
      </c>
      <c r="J5908" t="s">
        <v>18</v>
      </c>
      <c r="K5908" t="s">
        <v>19</v>
      </c>
      <c r="L5908" t="s">
        <v>70</v>
      </c>
      <c r="M5908" t="s">
        <v>24</v>
      </c>
      <c r="N5908" t="s">
        <v>22</v>
      </c>
    </row>
    <row r="5909" spans="1:14">
      <c r="A5909" s="4" t="str">
        <f t="shared" si="557"/>
        <v>EXP00210</v>
      </c>
      <c r="B5909" s="4" t="str">
        <f t="shared" si="555"/>
        <v>24921248</v>
      </c>
      <c r="C5909" s="4" t="str">
        <f t="shared" si="556"/>
        <v>GSE56350</v>
      </c>
      <c r="D5909" s="1" t="s">
        <v>323</v>
      </c>
      <c r="E5909" t="s">
        <v>154</v>
      </c>
      <c r="F5909" s="1">
        <v>2</v>
      </c>
      <c r="G5909" s="1" t="s">
        <v>156</v>
      </c>
      <c r="H5909" s="4" t="str">
        <f>HYPERLINK("https://www.ncbi.nlm.nih.gov/geo/query/acc.cgi?acc=GSM1359645","GSM1359645")</f>
        <v>GSM1359645</v>
      </c>
      <c r="I5909" t="s">
        <v>69</v>
      </c>
      <c r="J5909" t="s">
        <v>18</v>
      </c>
      <c r="K5909" t="s">
        <v>19</v>
      </c>
      <c r="L5909" t="s">
        <v>70</v>
      </c>
      <c r="M5909" t="s">
        <v>24</v>
      </c>
      <c r="N5909" t="s">
        <v>22</v>
      </c>
    </row>
    <row r="5910" spans="1:14">
      <c r="A5910" s="4" t="str">
        <f t="shared" si="557"/>
        <v>EXP00210</v>
      </c>
      <c r="B5910" s="4" t="str">
        <f t="shared" si="555"/>
        <v>24921248</v>
      </c>
      <c r="C5910" s="4" t="str">
        <f t="shared" si="556"/>
        <v>GSE56350</v>
      </c>
      <c r="D5910" s="1" t="s">
        <v>323</v>
      </c>
      <c r="E5910" t="s">
        <v>154</v>
      </c>
      <c r="F5910" s="1">
        <v>2</v>
      </c>
      <c r="G5910" s="1" t="s">
        <v>156</v>
      </c>
      <c r="H5910" s="4" t="str">
        <f>HYPERLINK("https://www.ncbi.nlm.nih.gov/geo/query/acc.cgi?acc=GSM1359647","GSM1359647")</f>
        <v>GSM1359647</v>
      </c>
      <c r="I5910" t="s">
        <v>69</v>
      </c>
      <c r="J5910" t="s">
        <v>18</v>
      </c>
      <c r="K5910" t="s">
        <v>19</v>
      </c>
      <c r="L5910" t="s">
        <v>70</v>
      </c>
      <c r="M5910" t="s">
        <v>24</v>
      </c>
      <c r="N5910" t="s">
        <v>22</v>
      </c>
    </row>
    <row r="5911" spans="1:14">
      <c r="A5911" s="4" t="str">
        <f t="shared" ref="A5911:A5936" si="558">HYPERLINK("http://hcmdb.i-sanger.com/experiment/details/experiment_id/EXP00210","EXP00210")</f>
        <v>EXP00210</v>
      </c>
      <c r="B5911" s="4" t="str">
        <f t="shared" si="555"/>
        <v>24921248</v>
      </c>
      <c r="C5911" s="4" t="str">
        <f t="shared" si="556"/>
        <v>GSE56350</v>
      </c>
      <c r="D5911" s="1" t="s">
        <v>323</v>
      </c>
      <c r="E5911" t="s">
        <v>154</v>
      </c>
      <c r="F5911" s="1">
        <v>2</v>
      </c>
      <c r="G5911" s="1" t="s">
        <v>156</v>
      </c>
      <c r="H5911" s="4" t="str">
        <f>HYPERLINK("https://www.ncbi.nlm.nih.gov/geo/query/acc.cgi?acc=GSM1359649","GSM1359649")</f>
        <v>GSM1359649</v>
      </c>
      <c r="I5911" t="s">
        <v>69</v>
      </c>
      <c r="J5911" t="s">
        <v>18</v>
      </c>
      <c r="K5911" t="s">
        <v>19</v>
      </c>
      <c r="L5911" t="s">
        <v>70</v>
      </c>
      <c r="M5911" t="s">
        <v>24</v>
      </c>
      <c r="N5911" t="s">
        <v>22</v>
      </c>
    </row>
    <row r="5912" spans="1:14">
      <c r="A5912" s="4" t="str">
        <f t="shared" si="558"/>
        <v>EXP00210</v>
      </c>
      <c r="B5912" s="4" t="str">
        <f t="shared" si="555"/>
        <v>24921248</v>
      </c>
      <c r="C5912" s="4" t="str">
        <f t="shared" si="556"/>
        <v>GSE56350</v>
      </c>
      <c r="D5912" s="1" t="s">
        <v>323</v>
      </c>
      <c r="E5912" t="s">
        <v>154</v>
      </c>
      <c r="F5912" s="1">
        <v>2</v>
      </c>
      <c r="G5912" s="1" t="s">
        <v>156</v>
      </c>
      <c r="H5912" s="4" t="str">
        <f>HYPERLINK("https://www.ncbi.nlm.nih.gov/geo/query/acc.cgi?acc=GSM1359651","GSM1359651")</f>
        <v>GSM1359651</v>
      </c>
      <c r="I5912" t="s">
        <v>69</v>
      </c>
      <c r="J5912" t="s">
        <v>18</v>
      </c>
      <c r="K5912" t="s">
        <v>19</v>
      </c>
      <c r="L5912" t="s">
        <v>70</v>
      </c>
      <c r="M5912" t="s">
        <v>24</v>
      </c>
      <c r="N5912" t="s">
        <v>22</v>
      </c>
    </row>
    <row r="5913" spans="1:14">
      <c r="A5913" s="4" t="str">
        <f t="shared" si="558"/>
        <v>EXP00210</v>
      </c>
      <c r="B5913" s="4" t="str">
        <f t="shared" si="555"/>
        <v>24921248</v>
      </c>
      <c r="C5913" s="4" t="str">
        <f t="shared" si="556"/>
        <v>GSE56350</v>
      </c>
      <c r="D5913" s="1" t="s">
        <v>323</v>
      </c>
      <c r="E5913" t="s">
        <v>154</v>
      </c>
      <c r="F5913" s="1">
        <v>2</v>
      </c>
      <c r="G5913" s="1" t="s">
        <v>156</v>
      </c>
      <c r="H5913" s="4" t="str">
        <f>HYPERLINK("https://www.ncbi.nlm.nih.gov/geo/query/acc.cgi?acc=GSM1359653","GSM1359653")</f>
        <v>GSM1359653</v>
      </c>
      <c r="I5913" t="s">
        <v>69</v>
      </c>
      <c r="J5913" t="s">
        <v>18</v>
      </c>
      <c r="K5913" t="s">
        <v>19</v>
      </c>
      <c r="L5913" t="s">
        <v>70</v>
      </c>
      <c r="M5913" t="s">
        <v>24</v>
      </c>
      <c r="N5913" t="s">
        <v>22</v>
      </c>
    </row>
    <row r="5914" spans="1:14">
      <c r="A5914" s="4" t="str">
        <f t="shared" si="558"/>
        <v>EXP00210</v>
      </c>
      <c r="B5914" s="4" t="str">
        <f t="shared" si="555"/>
        <v>24921248</v>
      </c>
      <c r="C5914" s="4" t="str">
        <f t="shared" si="556"/>
        <v>GSE56350</v>
      </c>
      <c r="D5914" s="1" t="s">
        <v>323</v>
      </c>
      <c r="E5914" t="s">
        <v>154</v>
      </c>
      <c r="F5914" s="1">
        <v>2</v>
      </c>
      <c r="G5914" s="1" t="s">
        <v>156</v>
      </c>
      <c r="H5914" s="4" t="str">
        <f>HYPERLINK("https://www.ncbi.nlm.nih.gov/geo/query/acc.cgi?acc=GSM1359655","GSM1359655")</f>
        <v>GSM1359655</v>
      </c>
      <c r="I5914" t="s">
        <v>69</v>
      </c>
      <c r="J5914" t="s">
        <v>18</v>
      </c>
      <c r="K5914" t="s">
        <v>19</v>
      </c>
      <c r="L5914" t="s">
        <v>70</v>
      </c>
      <c r="M5914" t="s">
        <v>24</v>
      </c>
      <c r="N5914" t="s">
        <v>22</v>
      </c>
    </row>
    <row r="5915" spans="1:14">
      <c r="A5915" s="4" t="str">
        <f t="shared" si="558"/>
        <v>EXP00210</v>
      </c>
      <c r="B5915" s="4" t="str">
        <f t="shared" si="555"/>
        <v>24921248</v>
      </c>
      <c r="C5915" s="4" t="str">
        <f t="shared" si="556"/>
        <v>GSE56350</v>
      </c>
      <c r="D5915" s="1" t="s">
        <v>323</v>
      </c>
      <c r="E5915" t="s">
        <v>154</v>
      </c>
      <c r="F5915" s="1">
        <v>2</v>
      </c>
      <c r="G5915" s="1" t="s">
        <v>156</v>
      </c>
      <c r="H5915" s="4" t="str">
        <f>HYPERLINK("https://www.ncbi.nlm.nih.gov/geo/query/acc.cgi?acc=GSM1359658","GSM1359658")</f>
        <v>GSM1359658</v>
      </c>
      <c r="I5915" t="s">
        <v>69</v>
      </c>
      <c r="J5915" t="s">
        <v>18</v>
      </c>
      <c r="K5915" t="s">
        <v>19</v>
      </c>
      <c r="L5915" t="s">
        <v>70</v>
      </c>
      <c r="M5915" t="s">
        <v>24</v>
      </c>
      <c r="N5915" t="s">
        <v>22</v>
      </c>
    </row>
    <row r="5916" spans="1:14">
      <c r="A5916" s="4" t="str">
        <f t="shared" si="558"/>
        <v>EXP00210</v>
      </c>
      <c r="B5916" s="4" t="str">
        <f t="shared" si="555"/>
        <v>24921248</v>
      </c>
      <c r="C5916" s="4" t="str">
        <f t="shared" si="556"/>
        <v>GSE56350</v>
      </c>
      <c r="D5916" s="1" t="s">
        <v>323</v>
      </c>
      <c r="E5916" t="s">
        <v>154</v>
      </c>
      <c r="F5916" s="1">
        <v>2</v>
      </c>
      <c r="G5916" s="1" t="s">
        <v>156</v>
      </c>
      <c r="H5916" s="4" t="str">
        <f>HYPERLINK("https://www.ncbi.nlm.nih.gov/geo/query/acc.cgi?acc=GSM1359660","GSM1359660")</f>
        <v>GSM1359660</v>
      </c>
      <c r="I5916" t="s">
        <v>69</v>
      </c>
      <c r="J5916" t="s">
        <v>18</v>
      </c>
      <c r="K5916" t="s">
        <v>19</v>
      </c>
      <c r="L5916" t="s">
        <v>70</v>
      </c>
      <c r="M5916" t="s">
        <v>24</v>
      </c>
      <c r="N5916" t="s">
        <v>22</v>
      </c>
    </row>
    <row r="5917" spans="1:14">
      <c r="A5917" s="4" t="str">
        <f t="shared" si="558"/>
        <v>EXP00210</v>
      </c>
      <c r="B5917" s="4" t="str">
        <f t="shared" si="555"/>
        <v>24921248</v>
      </c>
      <c r="C5917" s="4" t="str">
        <f t="shared" si="556"/>
        <v>GSE56350</v>
      </c>
      <c r="D5917" s="1" t="s">
        <v>323</v>
      </c>
      <c r="E5917" t="s">
        <v>154</v>
      </c>
      <c r="F5917" s="1">
        <v>2</v>
      </c>
      <c r="G5917" s="1" t="s">
        <v>156</v>
      </c>
      <c r="H5917" s="4" t="str">
        <f>HYPERLINK("https://www.ncbi.nlm.nih.gov/geo/query/acc.cgi?acc=GSM1359662","GSM1359662")</f>
        <v>GSM1359662</v>
      </c>
      <c r="I5917" t="s">
        <v>69</v>
      </c>
      <c r="J5917" t="s">
        <v>18</v>
      </c>
      <c r="K5917" t="s">
        <v>19</v>
      </c>
      <c r="L5917" t="s">
        <v>70</v>
      </c>
      <c r="M5917" t="s">
        <v>24</v>
      </c>
      <c r="N5917" t="s">
        <v>22</v>
      </c>
    </row>
    <row r="5918" spans="1:14">
      <c r="A5918" s="4" t="str">
        <f t="shared" si="558"/>
        <v>EXP00210</v>
      </c>
      <c r="B5918" s="4" t="str">
        <f t="shared" si="555"/>
        <v>24921248</v>
      </c>
      <c r="C5918" s="4" t="str">
        <f t="shared" si="556"/>
        <v>GSE56350</v>
      </c>
      <c r="D5918" s="1" t="s">
        <v>323</v>
      </c>
      <c r="E5918" t="s">
        <v>154</v>
      </c>
      <c r="F5918" s="1">
        <v>2</v>
      </c>
      <c r="G5918" s="1" t="s">
        <v>156</v>
      </c>
      <c r="H5918" s="4" t="str">
        <f>HYPERLINK("https://www.ncbi.nlm.nih.gov/geo/query/acc.cgi?acc=GSM1359664","GSM1359664")</f>
        <v>GSM1359664</v>
      </c>
      <c r="I5918" t="s">
        <v>69</v>
      </c>
      <c r="J5918" t="s">
        <v>18</v>
      </c>
      <c r="K5918" t="s">
        <v>19</v>
      </c>
      <c r="L5918" t="s">
        <v>70</v>
      </c>
      <c r="M5918" t="s">
        <v>24</v>
      </c>
      <c r="N5918" t="s">
        <v>22</v>
      </c>
    </row>
    <row r="5919" spans="1:14">
      <c r="A5919" s="4" t="str">
        <f t="shared" si="558"/>
        <v>EXP00210</v>
      </c>
      <c r="B5919" s="4" t="str">
        <f t="shared" si="555"/>
        <v>24921248</v>
      </c>
      <c r="C5919" s="4" t="str">
        <f t="shared" si="556"/>
        <v>GSE56350</v>
      </c>
      <c r="D5919" s="1" t="s">
        <v>323</v>
      </c>
      <c r="E5919" t="s">
        <v>154</v>
      </c>
      <c r="F5919" s="1">
        <v>2</v>
      </c>
      <c r="G5919" s="1" t="s">
        <v>156</v>
      </c>
      <c r="H5919" s="4" t="str">
        <f>HYPERLINK("https://www.ncbi.nlm.nih.gov/geo/query/acc.cgi?acc=GSM1359666","GSM1359666")</f>
        <v>GSM1359666</v>
      </c>
      <c r="I5919" t="s">
        <v>69</v>
      </c>
      <c r="J5919" t="s">
        <v>18</v>
      </c>
      <c r="K5919" t="s">
        <v>19</v>
      </c>
      <c r="L5919" t="s">
        <v>70</v>
      </c>
      <c r="M5919" t="s">
        <v>24</v>
      </c>
      <c r="N5919" t="s">
        <v>22</v>
      </c>
    </row>
    <row r="5920" spans="1:14">
      <c r="A5920" s="4" t="str">
        <f t="shared" si="558"/>
        <v>EXP00210</v>
      </c>
      <c r="B5920" s="4" t="str">
        <f t="shared" si="555"/>
        <v>24921248</v>
      </c>
      <c r="C5920" s="4" t="str">
        <f t="shared" si="556"/>
        <v>GSE56350</v>
      </c>
      <c r="D5920" s="1" t="s">
        <v>323</v>
      </c>
      <c r="E5920" t="s">
        <v>154</v>
      </c>
      <c r="F5920" s="1">
        <v>2</v>
      </c>
      <c r="G5920" s="1" t="s">
        <v>156</v>
      </c>
      <c r="H5920" s="4" t="str">
        <f>HYPERLINK("https://www.ncbi.nlm.nih.gov/geo/query/acc.cgi?acc=GSM1359668","GSM1359668")</f>
        <v>GSM1359668</v>
      </c>
      <c r="I5920" t="s">
        <v>69</v>
      </c>
      <c r="J5920" t="s">
        <v>18</v>
      </c>
      <c r="K5920" t="s">
        <v>19</v>
      </c>
      <c r="L5920" t="s">
        <v>70</v>
      </c>
      <c r="M5920" t="s">
        <v>24</v>
      </c>
      <c r="N5920" t="s">
        <v>22</v>
      </c>
    </row>
    <row r="5921" spans="1:14">
      <c r="A5921" s="4" t="str">
        <f t="shared" si="558"/>
        <v>EXP00210</v>
      </c>
      <c r="B5921" s="4" t="str">
        <f t="shared" si="555"/>
        <v>24921248</v>
      </c>
      <c r="C5921" s="4" t="str">
        <f t="shared" si="556"/>
        <v>GSE56350</v>
      </c>
      <c r="D5921" s="1" t="s">
        <v>323</v>
      </c>
      <c r="E5921" t="s">
        <v>154</v>
      </c>
      <c r="F5921" s="1">
        <v>2</v>
      </c>
      <c r="G5921" s="1" t="s">
        <v>156</v>
      </c>
      <c r="H5921" s="4" t="str">
        <f>HYPERLINK("https://www.ncbi.nlm.nih.gov/geo/query/acc.cgi?acc=GSM1359670","GSM1359670")</f>
        <v>GSM1359670</v>
      </c>
      <c r="I5921" t="s">
        <v>69</v>
      </c>
      <c r="J5921" t="s">
        <v>18</v>
      </c>
      <c r="K5921" t="s">
        <v>19</v>
      </c>
      <c r="L5921" t="s">
        <v>70</v>
      </c>
      <c r="M5921" t="s">
        <v>24</v>
      </c>
      <c r="N5921" t="s">
        <v>22</v>
      </c>
    </row>
    <row r="5922" spans="1:14">
      <c r="A5922" s="4" t="str">
        <f t="shared" si="558"/>
        <v>EXP00210</v>
      </c>
      <c r="B5922" s="4" t="str">
        <f t="shared" si="555"/>
        <v>24921248</v>
      </c>
      <c r="C5922" s="4" t="str">
        <f t="shared" si="556"/>
        <v>GSE56350</v>
      </c>
      <c r="D5922" s="1" t="s">
        <v>323</v>
      </c>
      <c r="E5922" t="s">
        <v>154</v>
      </c>
      <c r="F5922" s="1">
        <v>2</v>
      </c>
      <c r="G5922" s="1" t="s">
        <v>156</v>
      </c>
      <c r="H5922" s="4" t="str">
        <f>HYPERLINK("https://www.ncbi.nlm.nih.gov/geo/query/acc.cgi?acc=GSM1359676","GSM1359676")</f>
        <v>GSM1359676</v>
      </c>
      <c r="I5922" t="s">
        <v>69</v>
      </c>
      <c r="J5922" t="s">
        <v>18</v>
      </c>
      <c r="K5922" t="s">
        <v>19</v>
      </c>
      <c r="L5922" t="s">
        <v>70</v>
      </c>
      <c r="M5922" t="s">
        <v>24</v>
      </c>
      <c r="N5922" t="s">
        <v>22</v>
      </c>
    </row>
    <row r="5923" spans="1:14">
      <c r="A5923" s="4" t="str">
        <f t="shared" si="558"/>
        <v>EXP00210</v>
      </c>
      <c r="B5923" s="4" t="str">
        <f t="shared" si="555"/>
        <v>24921248</v>
      </c>
      <c r="C5923" s="4" t="str">
        <f t="shared" si="556"/>
        <v>GSE56350</v>
      </c>
      <c r="D5923" s="1" t="s">
        <v>323</v>
      </c>
      <c r="E5923" t="s">
        <v>154</v>
      </c>
      <c r="F5923" s="1">
        <v>2</v>
      </c>
      <c r="G5923" s="1" t="s">
        <v>156</v>
      </c>
      <c r="H5923" s="4" t="str">
        <f>HYPERLINK("https://www.ncbi.nlm.nih.gov/geo/query/acc.cgi?acc=GSM1359678","GSM1359678")</f>
        <v>GSM1359678</v>
      </c>
      <c r="I5923" t="s">
        <v>69</v>
      </c>
      <c r="J5923" t="s">
        <v>18</v>
      </c>
      <c r="K5923" t="s">
        <v>19</v>
      </c>
      <c r="L5923" t="s">
        <v>70</v>
      </c>
      <c r="M5923" t="s">
        <v>24</v>
      </c>
      <c r="N5923" t="s">
        <v>22</v>
      </c>
    </row>
    <row r="5924" spans="1:14">
      <c r="A5924" s="4" t="str">
        <f t="shared" si="558"/>
        <v>EXP00210</v>
      </c>
      <c r="B5924" s="4" t="str">
        <f t="shared" si="555"/>
        <v>24921248</v>
      </c>
      <c r="C5924" s="4" t="str">
        <f t="shared" si="556"/>
        <v>GSE56350</v>
      </c>
      <c r="D5924" s="1" t="s">
        <v>323</v>
      </c>
      <c r="E5924" t="s">
        <v>154</v>
      </c>
      <c r="F5924" s="1">
        <v>2</v>
      </c>
      <c r="G5924" s="1" t="s">
        <v>156</v>
      </c>
      <c r="H5924" s="4" t="str">
        <f>HYPERLINK("https://www.ncbi.nlm.nih.gov/geo/query/acc.cgi?acc=GSM1359680","GSM1359680")</f>
        <v>GSM1359680</v>
      </c>
      <c r="I5924" t="s">
        <v>69</v>
      </c>
      <c r="J5924" t="s">
        <v>18</v>
      </c>
      <c r="K5924" t="s">
        <v>19</v>
      </c>
      <c r="L5924" t="s">
        <v>70</v>
      </c>
      <c r="M5924" t="s">
        <v>24</v>
      </c>
      <c r="N5924" t="s">
        <v>22</v>
      </c>
    </row>
    <row r="5925" spans="1:14">
      <c r="A5925" s="4" t="str">
        <f t="shared" si="558"/>
        <v>EXP00210</v>
      </c>
      <c r="B5925" s="4" t="str">
        <f t="shared" si="555"/>
        <v>24921248</v>
      </c>
      <c r="C5925" s="4" t="str">
        <f t="shared" si="556"/>
        <v>GSE56350</v>
      </c>
      <c r="D5925" s="1" t="s">
        <v>323</v>
      </c>
      <c r="E5925" t="s">
        <v>154</v>
      </c>
      <c r="F5925" s="1">
        <v>2</v>
      </c>
      <c r="G5925" s="1" t="s">
        <v>156</v>
      </c>
      <c r="H5925" s="4" t="str">
        <f>HYPERLINK("https://www.ncbi.nlm.nih.gov/geo/query/acc.cgi?acc=GSM1359682","GSM1359682")</f>
        <v>GSM1359682</v>
      </c>
      <c r="I5925" t="s">
        <v>69</v>
      </c>
      <c r="J5925" t="s">
        <v>18</v>
      </c>
      <c r="K5925" t="s">
        <v>19</v>
      </c>
      <c r="L5925" t="s">
        <v>70</v>
      </c>
      <c r="M5925" t="s">
        <v>24</v>
      </c>
      <c r="N5925" t="s">
        <v>22</v>
      </c>
    </row>
    <row r="5926" spans="1:14">
      <c r="A5926" s="4" t="str">
        <f t="shared" si="558"/>
        <v>EXP00210</v>
      </c>
      <c r="B5926" s="4" t="str">
        <f t="shared" si="555"/>
        <v>24921248</v>
      </c>
      <c r="C5926" s="4" t="str">
        <f t="shared" si="556"/>
        <v>GSE56350</v>
      </c>
      <c r="D5926" s="1" t="s">
        <v>323</v>
      </c>
      <c r="E5926" t="s">
        <v>154</v>
      </c>
      <c r="F5926" s="1">
        <v>2</v>
      </c>
      <c r="G5926" s="1" t="s">
        <v>156</v>
      </c>
      <c r="H5926" s="4" t="str">
        <f>HYPERLINK("https://www.ncbi.nlm.nih.gov/geo/query/acc.cgi?acc=GSM1359684","GSM1359684")</f>
        <v>GSM1359684</v>
      </c>
      <c r="I5926" t="s">
        <v>69</v>
      </c>
      <c r="J5926" t="s">
        <v>18</v>
      </c>
      <c r="K5926" t="s">
        <v>19</v>
      </c>
      <c r="L5926" t="s">
        <v>70</v>
      </c>
      <c r="M5926" t="s">
        <v>24</v>
      </c>
      <c r="N5926" t="s">
        <v>22</v>
      </c>
    </row>
    <row r="5927" spans="1:14">
      <c r="A5927" s="4" t="str">
        <f t="shared" si="558"/>
        <v>EXP00210</v>
      </c>
      <c r="B5927" s="4" t="str">
        <f t="shared" si="555"/>
        <v>24921248</v>
      </c>
      <c r="C5927" s="4" t="str">
        <f t="shared" si="556"/>
        <v>GSE56350</v>
      </c>
      <c r="D5927" s="1" t="s">
        <v>323</v>
      </c>
      <c r="E5927" t="s">
        <v>154</v>
      </c>
      <c r="F5927" s="1">
        <v>2</v>
      </c>
      <c r="G5927" s="1" t="s">
        <v>156</v>
      </c>
      <c r="H5927" s="4" t="str">
        <f>HYPERLINK("https://www.ncbi.nlm.nih.gov/geo/query/acc.cgi?acc=GSM1359687","GSM1359687")</f>
        <v>GSM1359687</v>
      </c>
      <c r="I5927" t="s">
        <v>69</v>
      </c>
      <c r="J5927" t="s">
        <v>18</v>
      </c>
      <c r="K5927" t="s">
        <v>19</v>
      </c>
      <c r="L5927" t="s">
        <v>70</v>
      </c>
      <c r="M5927" t="s">
        <v>24</v>
      </c>
      <c r="N5927" t="s">
        <v>22</v>
      </c>
    </row>
    <row r="5928" spans="1:14">
      <c r="A5928" s="4" t="str">
        <f t="shared" si="558"/>
        <v>EXP00210</v>
      </c>
      <c r="B5928" s="4" t="str">
        <f t="shared" si="555"/>
        <v>24921248</v>
      </c>
      <c r="C5928" s="4" t="str">
        <f t="shared" si="556"/>
        <v>GSE56350</v>
      </c>
      <c r="D5928" s="1" t="s">
        <v>323</v>
      </c>
      <c r="E5928" t="s">
        <v>154</v>
      </c>
      <c r="F5928" s="1">
        <v>2</v>
      </c>
      <c r="G5928" s="1" t="s">
        <v>156</v>
      </c>
      <c r="H5928" s="4" t="str">
        <f>HYPERLINK("https://www.ncbi.nlm.nih.gov/geo/query/acc.cgi?acc=GSM1359691","GSM1359691")</f>
        <v>GSM1359691</v>
      </c>
      <c r="I5928" t="s">
        <v>69</v>
      </c>
      <c r="J5928" t="s">
        <v>18</v>
      </c>
      <c r="K5928" t="s">
        <v>19</v>
      </c>
      <c r="L5928" t="s">
        <v>70</v>
      </c>
      <c r="M5928" t="s">
        <v>24</v>
      </c>
      <c r="N5928" t="s">
        <v>22</v>
      </c>
    </row>
    <row r="5929" spans="1:14">
      <c r="A5929" s="4" t="str">
        <f t="shared" si="558"/>
        <v>EXP00210</v>
      </c>
      <c r="B5929" s="4" t="str">
        <f t="shared" si="555"/>
        <v>24921248</v>
      </c>
      <c r="C5929" s="4" t="str">
        <f t="shared" si="556"/>
        <v>GSE56350</v>
      </c>
      <c r="D5929" s="1" t="s">
        <v>323</v>
      </c>
      <c r="E5929" t="s">
        <v>154</v>
      </c>
      <c r="F5929" s="1">
        <v>2</v>
      </c>
      <c r="G5929" s="1" t="s">
        <v>156</v>
      </c>
      <c r="H5929" s="4" t="str">
        <f>HYPERLINK("https://www.ncbi.nlm.nih.gov/geo/query/acc.cgi?acc=GSM1359694","GSM1359694")</f>
        <v>GSM1359694</v>
      </c>
      <c r="I5929" t="s">
        <v>69</v>
      </c>
      <c r="J5929" t="s">
        <v>18</v>
      </c>
      <c r="K5929" t="s">
        <v>19</v>
      </c>
      <c r="L5929" t="s">
        <v>70</v>
      </c>
      <c r="M5929" t="s">
        <v>24</v>
      </c>
      <c r="N5929" t="s">
        <v>22</v>
      </c>
    </row>
    <row r="5930" spans="1:14">
      <c r="A5930" s="4" t="str">
        <f t="shared" si="558"/>
        <v>EXP00210</v>
      </c>
      <c r="B5930" s="4" t="str">
        <f t="shared" si="555"/>
        <v>24921248</v>
      </c>
      <c r="C5930" s="4" t="str">
        <f t="shared" si="556"/>
        <v>GSE56350</v>
      </c>
      <c r="D5930" s="1" t="s">
        <v>323</v>
      </c>
      <c r="E5930" t="s">
        <v>154</v>
      </c>
      <c r="F5930" s="1">
        <v>2</v>
      </c>
      <c r="G5930" s="1" t="s">
        <v>156</v>
      </c>
      <c r="H5930" s="4" t="str">
        <f>HYPERLINK("https://www.ncbi.nlm.nih.gov/geo/query/acc.cgi?acc=GSM1359696","GSM1359696")</f>
        <v>GSM1359696</v>
      </c>
      <c r="I5930" t="s">
        <v>69</v>
      </c>
      <c r="J5930" t="s">
        <v>18</v>
      </c>
      <c r="K5930" t="s">
        <v>19</v>
      </c>
      <c r="L5930" t="s">
        <v>70</v>
      </c>
      <c r="M5930" t="s">
        <v>24</v>
      </c>
      <c r="N5930" t="s">
        <v>22</v>
      </c>
    </row>
    <row r="5931" spans="1:14">
      <c r="A5931" s="4" t="str">
        <f t="shared" si="558"/>
        <v>EXP00210</v>
      </c>
      <c r="B5931" s="4" t="str">
        <f t="shared" si="555"/>
        <v>24921248</v>
      </c>
      <c r="C5931" s="4" t="str">
        <f t="shared" si="556"/>
        <v>GSE56350</v>
      </c>
      <c r="D5931" s="1" t="s">
        <v>323</v>
      </c>
      <c r="E5931" t="s">
        <v>154</v>
      </c>
      <c r="F5931" s="1">
        <v>2</v>
      </c>
      <c r="G5931" s="1" t="s">
        <v>156</v>
      </c>
      <c r="H5931" s="4" t="str">
        <f>HYPERLINK("https://www.ncbi.nlm.nih.gov/geo/query/acc.cgi?acc=GSM1359699","GSM1359699")</f>
        <v>GSM1359699</v>
      </c>
      <c r="I5931" t="s">
        <v>69</v>
      </c>
      <c r="J5931" t="s">
        <v>18</v>
      </c>
      <c r="K5931" t="s">
        <v>19</v>
      </c>
      <c r="L5931" t="s">
        <v>70</v>
      </c>
      <c r="M5931" t="s">
        <v>24</v>
      </c>
      <c r="N5931" t="s">
        <v>22</v>
      </c>
    </row>
    <row r="5932" spans="1:14">
      <c r="A5932" s="4" t="str">
        <f t="shared" si="558"/>
        <v>EXP00210</v>
      </c>
      <c r="B5932" s="4" t="str">
        <f t="shared" si="555"/>
        <v>24921248</v>
      </c>
      <c r="C5932" s="4" t="str">
        <f t="shared" si="556"/>
        <v>GSE56350</v>
      </c>
      <c r="D5932" s="1" t="s">
        <v>323</v>
      </c>
      <c r="E5932" t="s">
        <v>154</v>
      </c>
      <c r="F5932" s="1">
        <v>2</v>
      </c>
      <c r="G5932" s="1" t="s">
        <v>156</v>
      </c>
      <c r="H5932" s="4" t="str">
        <f>HYPERLINK("https://www.ncbi.nlm.nih.gov/geo/query/acc.cgi?acc=GSM1359702","GSM1359702")</f>
        <v>GSM1359702</v>
      </c>
      <c r="I5932" t="s">
        <v>69</v>
      </c>
      <c r="J5932" t="s">
        <v>18</v>
      </c>
      <c r="K5932" t="s">
        <v>19</v>
      </c>
      <c r="L5932" t="s">
        <v>70</v>
      </c>
      <c r="M5932" t="s">
        <v>24</v>
      </c>
      <c r="N5932" t="s">
        <v>22</v>
      </c>
    </row>
    <row r="5933" spans="1:14">
      <c r="A5933" s="4" t="str">
        <f t="shared" si="558"/>
        <v>EXP00210</v>
      </c>
      <c r="B5933" s="4" t="str">
        <f t="shared" ref="B5933:B5996" si="559">HYPERLINK("https://www.ncbi.nlm.nih.gov/pubmed/24921248","24921248")</f>
        <v>24921248</v>
      </c>
      <c r="C5933" s="4" t="str">
        <f t="shared" ref="C5933:C5996" si="560">HYPERLINK("https://www.ncbi.nlm.nih.gov/geo/query/acc.cgi?acc=GSE56350","GSE56350")</f>
        <v>GSE56350</v>
      </c>
      <c r="D5933" s="1" t="s">
        <v>323</v>
      </c>
      <c r="E5933" t="s">
        <v>154</v>
      </c>
      <c r="F5933" s="1">
        <v>2</v>
      </c>
      <c r="G5933" s="1" t="s">
        <v>156</v>
      </c>
      <c r="H5933" s="4" t="str">
        <f>HYPERLINK("https://www.ncbi.nlm.nih.gov/geo/query/acc.cgi?acc=GSM1359705","GSM1359705")</f>
        <v>GSM1359705</v>
      </c>
      <c r="I5933" t="s">
        <v>69</v>
      </c>
      <c r="J5933" t="s">
        <v>18</v>
      </c>
      <c r="K5933" t="s">
        <v>19</v>
      </c>
      <c r="L5933" t="s">
        <v>70</v>
      </c>
      <c r="M5933" t="s">
        <v>24</v>
      </c>
      <c r="N5933" t="s">
        <v>22</v>
      </c>
    </row>
    <row r="5934" spans="1:14">
      <c r="A5934" s="4" t="str">
        <f t="shared" si="558"/>
        <v>EXP00210</v>
      </c>
      <c r="B5934" s="4" t="str">
        <f t="shared" si="559"/>
        <v>24921248</v>
      </c>
      <c r="C5934" s="4" t="str">
        <f t="shared" si="560"/>
        <v>GSE56350</v>
      </c>
      <c r="D5934" s="1" t="s">
        <v>323</v>
      </c>
      <c r="E5934" t="s">
        <v>154</v>
      </c>
      <c r="F5934" s="1">
        <v>2</v>
      </c>
      <c r="G5934" s="1" t="s">
        <v>156</v>
      </c>
      <c r="H5934" s="4" t="str">
        <f>HYPERLINK("https://www.ncbi.nlm.nih.gov/geo/query/acc.cgi?acc=GSM1359708","GSM1359708")</f>
        <v>GSM1359708</v>
      </c>
      <c r="I5934" t="s">
        <v>69</v>
      </c>
      <c r="J5934" t="s">
        <v>18</v>
      </c>
      <c r="K5934" t="s">
        <v>19</v>
      </c>
      <c r="L5934" t="s">
        <v>70</v>
      </c>
      <c r="M5934" t="s">
        <v>24</v>
      </c>
      <c r="N5934" t="s">
        <v>22</v>
      </c>
    </row>
    <row r="5935" spans="1:14">
      <c r="A5935" s="4" t="str">
        <f t="shared" si="558"/>
        <v>EXP00210</v>
      </c>
      <c r="B5935" s="4" t="str">
        <f t="shared" si="559"/>
        <v>24921248</v>
      </c>
      <c r="C5935" s="4" t="str">
        <f t="shared" si="560"/>
        <v>GSE56350</v>
      </c>
      <c r="D5935" s="1" t="s">
        <v>323</v>
      </c>
      <c r="E5935" t="s">
        <v>154</v>
      </c>
      <c r="F5935" s="1">
        <v>2</v>
      </c>
      <c r="G5935" s="1" t="s">
        <v>156</v>
      </c>
      <c r="H5935" s="4" t="str">
        <f>HYPERLINK("https://www.ncbi.nlm.nih.gov/geo/query/acc.cgi?acc=GSM1359711","GSM1359711")</f>
        <v>GSM1359711</v>
      </c>
      <c r="I5935" t="s">
        <v>69</v>
      </c>
      <c r="J5935" t="s">
        <v>18</v>
      </c>
      <c r="K5935" t="s">
        <v>19</v>
      </c>
      <c r="L5935" t="s">
        <v>70</v>
      </c>
      <c r="M5935" t="s">
        <v>24</v>
      </c>
      <c r="N5935" t="s">
        <v>22</v>
      </c>
    </row>
    <row r="5936" spans="1:14">
      <c r="A5936" s="4" t="str">
        <f t="shared" si="558"/>
        <v>EXP00210</v>
      </c>
      <c r="B5936" s="4" t="str">
        <f t="shared" si="559"/>
        <v>24921248</v>
      </c>
      <c r="C5936" s="4" t="str">
        <f t="shared" si="560"/>
        <v>GSE56350</v>
      </c>
      <c r="D5936" s="1" t="s">
        <v>323</v>
      </c>
      <c r="E5936" t="s">
        <v>154</v>
      </c>
      <c r="F5936" s="1">
        <v>2</v>
      </c>
      <c r="G5936" s="1" t="s">
        <v>156</v>
      </c>
      <c r="H5936" s="4" t="str">
        <f>HYPERLINK("https://www.ncbi.nlm.nih.gov/geo/query/acc.cgi?acc=GSM1359714","GSM1359714")</f>
        <v>GSM1359714</v>
      </c>
      <c r="I5936" t="s">
        <v>69</v>
      </c>
      <c r="J5936" t="s">
        <v>18</v>
      </c>
      <c r="K5936" t="s">
        <v>19</v>
      </c>
      <c r="L5936" t="s">
        <v>70</v>
      </c>
      <c r="M5936" t="s">
        <v>24</v>
      </c>
      <c r="N5936" t="s">
        <v>22</v>
      </c>
    </row>
    <row r="5937" spans="1:14">
      <c r="A5937" s="4" t="str">
        <f t="shared" ref="A5937:A5968" si="561">HYPERLINK("http://hcmdb.i-sanger.com/experiment/details/experiment_id/EXP00211","EXP00211")</f>
        <v>EXP00211</v>
      </c>
      <c r="B5937" s="4" t="str">
        <f t="shared" si="559"/>
        <v>24921248</v>
      </c>
      <c r="C5937" s="4" t="str">
        <f t="shared" si="560"/>
        <v>GSE56350</v>
      </c>
      <c r="D5937" s="1" t="s">
        <v>323</v>
      </c>
      <c r="E5937" t="s">
        <v>157</v>
      </c>
      <c r="F5937" s="1">
        <v>1</v>
      </c>
      <c r="G5937" s="1" t="s">
        <v>26</v>
      </c>
      <c r="H5937" s="4" t="str">
        <f>HYPERLINK("https://www.ncbi.nlm.nih.gov/geo/query/acc.cgi?acc=GSM1359615","GSM1359615")</f>
        <v>GSM1359615</v>
      </c>
      <c r="I5937" t="s">
        <v>69</v>
      </c>
      <c r="J5937" t="s">
        <v>18</v>
      </c>
      <c r="K5937" t="s">
        <v>19</v>
      </c>
      <c r="L5937" t="s">
        <v>70</v>
      </c>
      <c r="M5937" t="s">
        <v>24</v>
      </c>
      <c r="N5937" t="s">
        <v>22</v>
      </c>
    </row>
    <row r="5938" spans="1:14">
      <c r="A5938" s="4" t="str">
        <f t="shared" si="561"/>
        <v>EXP00211</v>
      </c>
      <c r="B5938" s="4" t="str">
        <f t="shared" si="559"/>
        <v>24921248</v>
      </c>
      <c r="C5938" s="4" t="str">
        <f t="shared" si="560"/>
        <v>GSE56350</v>
      </c>
      <c r="D5938" s="1" t="s">
        <v>323</v>
      </c>
      <c r="E5938" t="s">
        <v>157</v>
      </c>
      <c r="F5938" s="1">
        <v>1</v>
      </c>
      <c r="G5938" s="1" t="s">
        <v>26</v>
      </c>
      <c r="H5938" s="4" t="str">
        <f>HYPERLINK("https://www.ncbi.nlm.nih.gov/geo/query/acc.cgi?acc=GSM1359617","GSM1359617")</f>
        <v>GSM1359617</v>
      </c>
      <c r="I5938" t="s">
        <v>69</v>
      </c>
      <c r="J5938" t="s">
        <v>18</v>
      </c>
      <c r="K5938" t="s">
        <v>19</v>
      </c>
      <c r="L5938" t="s">
        <v>70</v>
      </c>
      <c r="M5938" t="s">
        <v>24</v>
      </c>
      <c r="N5938" t="s">
        <v>22</v>
      </c>
    </row>
    <row r="5939" spans="1:14">
      <c r="A5939" s="4" t="str">
        <f t="shared" si="561"/>
        <v>EXP00211</v>
      </c>
      <c r="B5939" s="4" t="str">
        <f t="shared" si="559"/>
        <v>24921248</v>
      </c>
      <c r="C5939" s="4" t="str">
        <f t="shared" si="560"/>
        <v>GSE56350</v>
      </c>
      <c r="D5939" s="1" t="s">
        <v>323</v>
      </c>
      <c r="E5939" t="s">
        <v>157</v>
      </c>
      <c r="F5939" s="1">
        <v>1</v>
      </c>
      <c r="G5939" s="1" t="s">
        <v>26</v>
      </c>
      <c r="H5939" s="4" t="str">
        <f>HYPERLINK("https://www.ncbi.nlm.nih.gov/geo/query/acc.cgi?acc=GSM1359619","GSM1359619")</f>
        <v>GSM1359619</v>
      </c>
      <c r="I5939" t="s">
        <v>69</v>
      </c>
      <c r="J5939" t="s">
        <v>18</v>
      </c>
      <c r="K5939" t="s">
        <v>19</v>
      </c>
      <c r="L5939" t="s">
        <v>70</v>
      </c>
      <c r="M5939" t="s">
        <v>24</v>
      </c>
      <c r="N5939" t="s">
        <v>22</v>
      </c>
    </row>
    <row r="5940" spans="1:14">
      <c r="A5940" s="4" t="str">
        <f t="shared" si="561"/>
        <v>EXP00211</v>
      </c>
      <c r="B5940" s="4" t="str">
        <f t="shared" si="559"/>
        <v>24921248</v>
      </c>
      <c r="C5940" s="4" t="str">
        <f t="shared" si="560"/>
        <v>GSE56350</v>
      </c>
      <c r="D5940" s="1" t="s">
        <v>323</v>
      </c>
      <c r="E5940" t="s">
        <v>157</v>
      </c>
      <c r="F5940" s="1">
        <v>1</v>
      </c>
      <c r="G5940" s="1" t="s">
        <v>26</v>
      </c>
      <c r="H5940" s="4" t="str">
        <f>HYPERLINK("https://www.ncbi.nlm.nih.gov/geo/query/acc.cgi?acc=GSM1359621","GSM1359621")</f>
        <v>GSM1359621</v>
      </c>
      <c r="I5940" t="s">
        <v>69</v>
      </c>
      <c r="J5940" t="s">
        <v>18</v>
      </c>
      <c r="K5940" t="s">
        <v>19</v>
      </c>
      <c r="L5940" t="s">
        <v>70</v>
      </c>
      <c r="M5940" t="s">
        <v>24</v>
      </c>
      <c r="N5940" t="s">
        <v>22</v>
      </c>
    </row>
    <row r="5941" spans="1:14">
      <c r="A5941" s="4" t="str">
        <f t="shared" si="561"/>
        <v>EXP00211</v>
      </c>
      <c r="B5941" s="4" t="str">
        <f t="shared" si="559"/>
        <v>24921248</v>
      </c>
      <c r="C5941" s="4" t="str">
        <f t="shared" si="560"/>
        <v>GSE56350</v>
      </c>
      <c r="D5941" s="1" t="s">
        <v>323</v>
      </c>
      <c r="E5941" t="s">
        <v>157</v>
      </c>
      <c r="F5941" s="1">
        <v>1</v>
      </c>
      <c r="G5941" s="1" t="s">
        <v>26</v>
      </c>
      <c r="H5941" s="4" t="str">
        <f>HYPERLINK("https://www.ncbi.nlm.nih.gov/geo/query/acc.cgi?acc=GSM1359623","GSM1359623")</f>
        <v>GSM1359623</v>
      </c>
      <c r="I5941" t="s">
        <v>69</v>
      </c>
      <c r="J5941" t="s">
        <v>18</v>
      </c>
      <c r="K5941" t="s">
        <v>19</v>
      </c>
      <c r="L5941" t="s">
        <v>70</v>
      </c>
      <c r="M5941" t="s">
        <v>24</v>
      </c>
      <c r="N5941" t="s">
        <v>22</v>
      </c>
    </row>
    <row r="5942" spans="1:14">
      <c r="A5942" s="4" t="str">
        <f t="shared" si="561"/>
        <v>EXP00211</v>
      </c>
      <c r="B5942" s="4" t="str">
        <f t="shared" si="559"/>
        <v>24921248</v>
      </c>
      <c r="C5942" s="4" t="str">
        <f t="shared" si="560"/>
        <v>GSE56350</v>
      </c>
      <c r="D5942" s="1" t="s">
        <v>323</v>
      </c>
      <c r="E5942" t="s">
        <v>157</v>
      </c>
      <c r="F5942" s="1">
        <v>1</v>
      </c>
      <c r="G5942" s="1" t="s">
        <v>26</v>
      </c>
      <c r="H5942" s="4" t="str">
        <f>HYPERLINK("https://www.ncbi.nlm.nih.gov/geo/query/acc.cgi?acc=GSM1359625","GSM1359625")</f>
        <v>GSM1359625</v>
      </c>
      <c r="I5942" t="s">
        <v>69</v>
      </c>
      <c r="J5942" t="s">
        <v>18</v>
      </c>
      <c r="K5942" t="s">
        <v>19</v>
      </c>
      <c r="L5942" t="s">
        <v>70</v>
      </c>
      <c r="M5942" t="s">
        <v>24</v>
      </c>
      <c r="N5942" t="s">
        <v>22</v>
      </c>
    </row>
    <row r="5943" spans="1:14">
      <c r="A5943" s="4" t="str">
        <f t="shared" si="561"/>
        <v>EXP00211</v>
      </c>
      <c r="B5943" s="4" t="str">
        <f t="shared" si="559"/>
        <v>24921248</v>
      </c>
      <c r="C5943" s="4" t="str">
        <f t="shared" si="560"/>
        <v>GSE56350</v>
      </c>
      <c r="D5943" s="1" t="s">
        <v>323</v>
      </c>
      <c r="E5943" t="s">
        <v>157</v>
      </c>
      <c r="F5943" s="1">
        <v>1</v>
      </c>
      <c r="G5943" s="1" t="s">
        <v>26</v>
      </c>
      <c r="H5943" s="4" t="str">
        <f>HYPERLINK("https://www.ncbi.nlm.nih.gov/geo/query/acc.cgi?acc=GSM1359627","GSM1359627")</f>
        <v>GSM1359627</v>
      </c>
      <c r="I5943" t="s">
        <v>69</v>
      </c>
      <c r="J5943" t="s">
        <v>18</v>
      </c>
      <c r="K5943" t="s">
        <v>19</v>
      </c>
      <c r="L5943" t="s">
        <v>70</v>
      </c>
      <c r="M5943" t="s">
        <v>24</v>
      </c>
      <c r="N5943" t="s">
        <v>22</v>
      </c>
    </row>
    <row r="5944" spans="1:14">
      <c r="A5944" s="4" t="str">
        <f t="shared" si="561"/>
        <v>EXP00211</v>
      </c>
      <c r="B5944" s="4" t="str">
        <f t="shared" si="559"/>
        <v>24921248</v>
      </c>
      <c r="C5944" s="4" t="str">
        <f t="shared" si="560"/>
        <v>GSE56350</v>
      </c>
      <c r="D5944" s="1" t="s">
        <v>323</v>
      </c>
      <c r="E5944" t="s">
        <v>157</v>
      </c>
      <c r="F5944" s="1">
        <v>1</v>
      </c>
      <c r="G5944" s="1" t="s">
        <v>26</v>
      </c>
      <c r="H5944" s="4" t="str">
        <f>HYPERLINK("https://www.ncbi.nlm.nih.gov/geo/query/acc.cgi?acc=GSM1359629","GSM1359629")</f>
        <v>GSM1359629</v>
      </c>
      <c r="I5944" t="s">
        <v>69</v>
      </c>
      <c r="J5944" t="s">
        <v>18</v>
      </c>
      <c r="K5944" t="s">
        <v>19</v>
      </c>
      <c r="L5944" t="s">
        <v>70</v>
      </c>
      <c r="M5944" t="s">
        <v>24</v>
      </c>
      <c r="N5944" t="s">
        <v>22</v>
      </c>
    </row>
    <row r="5945" spans="1:14">
      <c r="A5945" s="4" t="str">
        <f t="shared" si="561"/>
        <v>EXP00211</v>
      </c>
      <c r="B5945" s="4" t="str">
        <f t="shared" si="559"/>
        <v>24921248</v>
      </c>
      <c r="C5945" s="4" t="str">
        <f t="shared" si="560"/>
        <v>GSE56350</v>
      </c>
      <c r="D5945" s="1" t="s">
        <v>323</v>
      </c>
      <c r="E5945" t="s">
        <v>157</v>
      </c>
      <c r="F5945" s="1">
        <v>1</v>
      </c>
      <c r="G5945" s="1" t="s">
        <v>26</v>
      </c>
      <c r="H5945" s="4" t="str">
        <f>HYPERLINK("https://www.ncbi.nlm.nih.gov/geo/query/acc.cgi?acc=GSM1359631","GSM1359631")</f>
        <v>GSM1359631</v>
      </c>
      <c r="I5945" t="s">
        <v>69</v>
      </c>
      <c r="J5945" t="s">
        <v>18</v>
      </c>
      <c r="K5945" t="s">
        <v>19</v>
      </c>
      <c r="L5945" t="s">
        <v>70</v>
      </c>
      <c r="M5945" t="s">
        <v>24</v>
      </c>
      <c r="N5945" t="s">
        <v>22</v>
      </c>
    </row>
    <row r="5946" spans="1:14">
      <c r="A5946" s="4" t="str">
        <f t="shared" si="561"/>
        <v>EXP00211</v>
      </c>
      <c r="B5946" s="4" t="str">
        <f t="shared" si="559"/>
        <v>24921248</v>
      </c>
      <c r="C5946" s="4" t="str">
        <f t="shared" si="560"/>
        <v>GSE56350</v>
      </c>
      <c r="D5946" s="1" t="s">
        <v>323</v>
      </c>
      <c r="E5946" t="s">
        <v>157</v>
      </c>
      <c r="F5946" s="1">
        <v>1</v>
      </c>
      <c r="G5946" s="1" t="s">
        <v>26</v>
      </c>
      <c r="H5946" s="4" t="str">
        <f>HYPERLINK("https://www.ncbi.nlm.nih.gov/geo/query/acc.cgi?acc=GSM1359633","GSM1359633")</f>
        <v>GSM1359633</v>
      </c>
      <c r="I5946" t="s">
        <v>69</v>
      </c>
      <c r="J5946" t="s">
        <v>18</v>
      </c>
      <c r="K5946" t="s">
        <v>19</v>
      </c>
      <c r="L5946" t="s">
        <v>70</v>
      </c>
      <c r="M5946" t="s">
        <v>24</v>
      </c>
      <c r="N5946" t="s">
        <v>22</v>
      </c>
    </row>
    <row r="5947" spans="1:14">
      <c r="A5947" s="4" t="str">
        <f t="shared" si="561"/>
        <v>EXP00211</v>
      </c>
      <c r="B5947" s="4" t="str">
        <f t="shared" si="559"/>
        <v>24921248</v>
      </c>
      <c r="C5947" s="4" t="str">
        <f t="shared" si="560"/>
        <v>GSE56350</v>
      </c>
      <c r="D5947" s="1" t="s">
        <v>323</v>
      </c>
      <c r="E5947" t="s">
        <v>157</v>
      </c>
      <c r="F5947" s="1">
        <v>1</v>
      </c>
      <c r="G5947" s="1" t="s">
        <v>26</v>
      </c>
      <c r="H5947" s="4" t="str">
        <f>HYPERLINK("https://www.ncbi.nlm.nih.gov/geo/query/acc.cgi?acc=GSM1359635","GSM1359635")</f>
        <v>GSM1359635</v>
      </c>
      <c r="I5947" t="s">
        <v>69</v>
      </c>
      <c r="J5947" t="s">
        <v>18</v>
      </c>
      <c r="K5947" t="s">
        <v>19</v>
      </c>
      <c r="L5947" t="s">
        <v>70</v>
      </c>
      <c r="M5947" t="s">
        <v>24</v>
      </c>
      <c r="N5947" t="s">
        <v>22</v>
      </c>
    </row>
    <row r="5948" spans="1:14">
      <c r="A5948" s="4" t="str">
        <f t="shared" si="561"/>
        <v>EXP00211</v>
      </c>
      <c r="B5948" s="4" t="str">
        <f t="shared" si="559"/>
        <v>24921248</v>
      </c>
      <c r="C5948" s="4" t="str">
        <f t="shared" si="560"/>
        <v>GSE56350</v>
      </c>
      <c r="D5948" s="1" t="s">
        <v>323</v>
      </c>
      <c r="E5948" t="s">
        <v>157</v>
      </c>
      <c r="F5948" s="1">
        <v>1</v>
      </c>
      <c r="G5948" s="1" t="s">
        <v>26</v>
      </c>
      <c r="H5948" s="4" t="str">
        <f>HYPERLINK("https://www.ncbi.nlm.nih.gov/geo/query/acc.cgi?acc=GSM1359637","GSM1359637")</f>
        <v>GSM1359637</v>
      </c>
      <c r="I5948" t="s">
        <v>69</v>
      </c>
      <c r="J5948" t="s">
        <v>18</v>
      </c>
      <c r="K5948" t="s">
        <v>19</v>
      </c>
      <c r="L5948" t="s">
        <v>70</v>
      </c>
      <c r="M5948" t="s">
        <v>24</v>
      </c>
      <c r="N5948" t="s">
        <v>22</v>
      </c>
    </row>
    <row r="5949" spans="1:14">
      <c r="A5949" s="4" t="str">
        <f t="shared" si="561"/>
        <v>EXP00211</v>
      </c>
      <c r="B5949" s="4" t="str">
        <f t="shared" si="559"/>
        <v>24921248</v>
      </c>
      <c r="C5949" s="4" t="str">
        <f t="shared" si="560"/>
        <v>GSE56350</v>
      </c>
      <c r="D5949" s="1" t="s">
        <v>323</v>
      </c>
      <c r="E5949" t="s">
        <v>157</v>
      </c>
      <c r="F5949" s="1">
        <v>1</v>
      </c>
      <c r="G5949" s="1" t="s">
        <v>26</v>
      </c>
      <c r="H5949" s="4" t="str">
        <f>HYPERLINK("https://www.ncbi.nlm.nih.gov/geo/query/acc.cgi?acc=GSM1359639","GSM1359639")</f>
        <v>GSM1359639</v>
      </c>
      <c r="I5949" t="s">
        <v>69</v>
      </c>
      <c r="J5949" t="s">
        <v>18</v>
      </c>
      <c r="K5949" t="s">
        <v>19</v>
      </c>
      <c r="L5949" t="s">
        <v>70</v>
      </c>
      <c r="M5949" t="s">
        <v>24</v>
      </c>
      <c r="N5949" t="s">
        <v>22</v>
      </c>
    </row>
    <row r="5950" spans="1:14">
      <c r="A5950" s="4" t="str">
        <f t="shared" si="561"/>
        <v>EXP00211</v>
      </c>
      <c r="B5950" s="4" t="str">
        <f t="shared" si="559"/>
        <v>24921248</v>
      </c>
      <c r="C5950" s="4" t="str">
        <f t="shared" si="560"/>
        <v>GSE56350</v>
      </c>
      <c r="D5950" s="1" t="s">
        <v>323</v>
      </c>
      <c r="E5950" t="s">
        <v>157</v>
      </c>
      <c r="F5950" s="1">
        <v>1</v>
      </c>
      <c r="G5950" s="1" t="s">
        <v>26</v>
      </c>
      <c r="H5950" s="4" t="str">
        <f>HYPERLINK("https://www.ncbi.nlm.nih.gov/geo/query/acc.cgi?acc=GSM1359641","GSM1359641")</f>
        <v>GSM1359641</v>
      </c>
      <c r="I5950" t="s">
        <v>69</v>
      </c>
      <c r="J5950" t="s">
        <v>18</v>
      </c>
      <c r="K5950" t="s">
        <v>19</v>
      </c>
      <c r="L5950" t="s">
        <v>70</v>
      </c>
      <c r="M5950" t="s">
        <v>24</v>
      </c>
      <c r="N5950" t="s">
        <v>22</v>
      </c>
    </row>
    <row r="5951" spans="1:14">
      <c r="A5951" s="4" t="str">
        <f t="shared" si="561"/>
        <v>EXP00211</v>
      </c>
      <c r="B5951" s="4" t="str">
        <f t="shared" si="559"/>
        <v>24921248</v>
      </c>
      <c r="C5951" s="4" t="str">
        <f t="shared" si="560"/>
        <v>GSE56350</v>
      </c>
      <c r="D5951" s="1" t="s">
        <v>323</v>
      </c>
      <c r="E5951" t="s">
        <v>157</v>
      </c>
      <c r="F5951" s="1">
        <v>1</v>
      </c>
      <c r="G5951" s="1" t="s">
        <v>26</v>
      </c>
      <c r="H5951" s="4" t="str">
        <f>HYPERLINK("https://www.ncbi.nlm.nih.gov/geo/query/acc.cgi?acc=GSM1359643","GSM1359643")</f>
        <v>GSM1359643</v>
      </c>
      <c r="I5951" t="s">
        <v>69</v>
      </c>
      <c r="J5951" t="s">
        <v>18</v>
      </c>
      <c r="K5951" t="s">
        <v>19</v>
      </c>
      <c r="L5951" t="s">
        <v>70</v>
      </c>
      <c r="M5951" t="s">
        <v>24</v>
      </c>
      <c r="N5951" t="s">
        <v>22</v>
      </c>
    </row>
    <row r="5952" spans="1:14">
      <c r="A5952" s="4" t="str">
        <f t="shared" si="561"/>
        <v>EXP00211</v>
      </c>
      <c r="B5952" s="4" t="str">
        <f t="shared" si="559"/>
        <v>24921248</v>
      </c>
      <c r="C5952" s="4" t="str">
        <f t="shared" si="560"/>
        <v>GSE56350</v>
      </c>
      <c r="D5952" s="1" t="s">
        <v>323</v>
      </c>
      <c r="E5952" t="s">
        <v>157</v>
      </c>
      <c r="F5952" s="1">
        <v>1</v>
      </c>
      <c r="G5952" s="1" t="s">
        <v>26</v>
      </c>
      <c r="H5952" s="4" t="str">
        <f>HYPERLINK("https://www.ncbi.nlm.nih.gov/geo/query/acc.cgi?acc=GSM1359645","GSM1359645")</f>
        <v>GSM1359645</v>
      </c>
      <c r="I5952" t="s">
        <v>69</v>
      </c>
      <c r="J5952" t="s">
        <v>18</v>
      </c>
      <c r="K5952" t="s">
        <v>19</v>
      </c>
      <c r="L5952" t="s">
        <v>70</v>
      </c>
      <c r="M5952" t="s">
        <v>24</v>
      </c>
      <c r="N5952" t="s">
        <v>22</v>
      </c>
    </row>
    <row r="5953" spans="1:14">
      <c r="A5953" s="4" t="str">
        <f t="shared" si="561"/>
        <v>EXP00211</v>
      </c>
      <c r="B5953" s="4" t="str">
        <f t="shared" si="559"/>
        <v>24921248</v>
      </c>
      <c r="C5953" s="4" t="str">
        <f t="shared" si="560"/>
        <v>GSE56350</v>
      </c>
      <c r="D5953" s="1" t="s">
        <v>323</v>
      </c>
      <c r="E5953" t="s">
        <v>157</v>
      </c>
      <c r="F5953" s="1">
        <v>1</v>
      </c>
      <c r="G5953" s="1" t="s">
        <v>26</v>
      </c>
      <c r="H5953" s="4" t="str">
        <f>HYPERLINK("https://www.ncbi.nlm.nih.gov/geo/query/acc.cgi?acc=GSM1359647","GSM1359647")</f>
        <v>GSM1359647</v>
      </c>
      <c r="I5953" t="s">
        <v>69</v>
      </c>
      <c r="J5953" t="s">
        <v>18</v>
      </c>
      <c r="K5953" t="s">
        <v>19</v>
      </c>
      <c r="L5953" t="s">
        <v>70</v>
      </c>
      <c r="M5953" t="s">
        <v>24</v>
      </c>
      <c r="N5953" t="s">
        <v>22</v>
      </c>
    </row>
    <row r="5954" spans="1:14">
      <c r="A5954" s="4" t="str">
        <f t="shared" si="561"/>
        <v>EXP00211</v>
      </c>
      <c r="B5954" s="4" t="str">
        <f t="shared" si="559"/>
        <v>24921248</v>
      </c>
      <c r="C5954" s="4" t="str">
        <f t="shared" si="560"/>
        <v>GSE56350</v>
      </c>
      <c r="D5954" s="1" t="s">
        <v>323</v>
      </c>
      <c r="E5954" t="s">
        <v>157</v>
      </c>
      <c r="F5954" s="1">
        <v>1</v>
      </c>
      <c r="G5954" s="1" t="s">
        <v>26</v>
      </c>
      <c r="H5954" s="4" t="str">
        <f>HYPERLINK("https://www.ncbi.nlm.nih.gov/geo/query/acc.cgi?acc=GSM1359649","GSM1359649")</f>
        <v>GSM1359649</v>
      </c>
      <c r="I5954" t="s">
        <v>69</v>
      </c>
      <c r="J5954" t="s">
        <v>18</v>
      </c>
      <c r="K5954" t="s">
        <v>19</v>
      </c>
      <c r="L5954" t="s">
        <v>70</v>
      </c>
      <c r="M5954" t="s">
        <v>24</v>
      </c>
      <c r="N5954" t="s">
        <v>22</v>
      </c>
    </row>
    <row r="5955" spans="1:14">
      <c r="A5955" s="4" t="str">
        <f t="shared" si="561"/>
        <v>EXP00211</v>
      </c>
      <c r="B5955" s="4" t="str">
        <f t="shared" si="559"/>
        <v>24921248</v>
      </c>
      <c r="C5955" s="4" t="str">
        <f t="shared" si="560"/>
        <v>GSE56350</v>
      </c>
      <c r="D5955" s="1" t="s">
        <v>323</v>
      </c>
      <c r="E5955" t="s">
        <v>157</v>
      </c>
      <c r="F5955" s="1">
        <v>1</v>
      </c>
      <c r="G5955" s="1" t="s">
        <v>26</v>
      </c>
      <c r="H5955" s="4" t="str">
        <f>HYPERLINK("https://www.ncbi.nlm.nih.gov/geo/query/acc.cgi?acc=GSM1359651","GSM1359651")</f>
        <v>GSM1359651</v>
      </c>
      <c r="I5955" t="s">
        <v>69</v>
      </c>
      <c r="J5955" t="s">
        <v>18</v>
      </c>
      <c r="K5955" t="s">
        <v>19</v>
      </c>
      <c r="L5955" t="s">
        <v>70</v>
      </c>
      <c r="M5955" t="s">
        <v>24</v>
      </c>
      <c r="N5955" t="s">
        <v>22</v>
      </c>
    </row>
    <row r="5956" spans="1:14">
      <c r="A5956" s="4" t="str">
        <f t="shared" si="561"/>
        <v>EXP00211</v>
      </c>
      <c r="B5956" s="4" t="str">
        <f t="shared" si="559"/>
        <v>24921248</v>
      </c>
      <c r="C5956" s="4" t="str">
        <f t="shared" si="560"/>
        <v>GSE56350</v>
      </c>
      <c r="D5956" s="1" t="s">
        <v>323</v>
      </c>
      <c r="E5956" t="s">
        <v>157</v>
      </c>
      <c r="F5956" s="1">
        <v>1</v>
      </c>
      <c r="G5956" s="1" t="s">
        <v>26</v>
      </c>
      <c r="H5956" s="4" t="str">
        <f>HYPERLINK("https://www.ncbi.nlm.nih.gov/geo/query/acc.cgi?acc=GSM1359653","GSM1359653")</f>
        <v>GSM1359653</v>
      </c>
      <c r="I5956" t="s">
        <v>69</v>
      </c>
      <c r="J5956" t="s">
        <v>18</v>
      </c>
      <c r="K5956" t="s">
        <v>19</v>
      </c>
      <c r="L5956" t="s">
        <v>70</v>
      </c>
      <c r="M5956" t="s">
        <v>24</v>
      </c>
      <c r="N5956" t="s">
        <v>22</v>
      </c>
    </row>
    <row r="5957" spans="1:14">
      <c r="A5957" s="4" t="str">
        <f t="shared" si="561"/>
        <v>EXP00211</v>
      </c>
      <c r="B5957" s="4" t="str">
        <f t="shared" si="559"/>
        <v>24921248</v>
      </c>
      <c r="C5957" s="4" t="str">
        <f t="shared" si="560"/>
        <v>GSE56350</v>
      </c>
      <c r="D5957" s="1" t="s">
        <v>323</v>
      </c>
      <c r="E5957" t="s">
        <v>157</v>
      </c>
      <c r="F5957" s="1">
        <v>1</v>
      </c>
      <c r="G5957" s="1" t="s">
        <v>26</v>
      </c>
      <c r="H5957" s="4" t="str">
        <f>HYPERLINK("https://www.ncbi.nlm.nih.gov/geo/query/acc.cgi?acc=GSM1359655","GSM1359655")</f>
        <v>GSM1359655</v>
      </c>
      <c r="I5957" t="s">
        <v>69</v>
      </c>
      <c r="J5957" t="s">
        <v>18</v>
      </c>
      <c r="K5957" t="s">
        <v>19</v>
      </c>
      <c r="L5957" t="s">
        <v>70</v>
      </c>
      <c r="M5957" t="s">
        <v>24</v>
      </c>
      <c r="N5957" t="s">
        <v>22</v>
      </c>
    </row>
    <row r="5958" spans="1:14">
      <c r="A5958" s="4" t="str">
        <f t="shared" si="561"/>
        <v>EXP00211</v>
      </c>
      <c r="B5958" s="4" t="str">
        <f t="shared" si="559"/>
        <v>24921248</v>
      </c>
      <c r="C5958" s="4" t="str">
        <f t="shared" si="560"/>
        <v>GSE56350</v>
      </c>
      <c r="D5958" s="1" t="s">
        <v>323</v>
      </c>
      <c r="E5958" t="s">
        <v>157</v>
      </c>
      <c r="F5958" s="1">
        <v>1</v>
      </c>
      <c r="G5958" s="1" t="s">
        <v>26</v>
      </c>
      <c r="H5958" s="4" t="str">
        <f>HYPERLINK("https://www.ncbi.nlm.nih.gov/geo/query/acc.cgi?acc=GSM1359658","GSM1359658")</f>
        <v>GSM1359658</v>
      </c>
      <c r="I5958" t="s">
        <v>69</v>
      </c>
      <c r="J5958" t="s">
        <v>18</v>
      </c>
      <c r="K5958" t="s">
        <v>19</v>
      </c>
      <c r="L5958" t="s">
        <v>70</v>
      </c>
      <c r="M5958" t="s">
        <v>24</v>
      </c>
      <c r="N5958" t="s">
        <v>22</v>
      </c>
    </row>
    <row r="5959" spans="1:14">
      <c r="A5959" s="4" t="str">
        <f t="shared" si="561"/>
        <v>EXP00211</v>
      </c>
      <c r="B5959" s="4" t="str">
        <f t="shared" si="559"/>
        <v>24921248</v>
      </c>
      <c r="C5959" s="4" t="str">
        <f t="shared" si="560"/>
        <v>GSE56350</v>
      </c>
      <c r="D5959" s="1" t="s">
        <v>323</v>
      </c>
      <c r="E5959" t="s">
        <v>157</v>
      </c>
      <c r="F5959" s="1">
        <v>1</v>
      </c>
      <c r="G5959" s="1" t="s">
        <v>26</v>
      </c>
      <c r="H5959" s="4" t="str">
        <f>HYPERLINK("https://www.ncbi.nlm.nih.gov/geo/query/acc.cgi?acc=GSM1359660","GSM1359660")</f>
        <v>GSM1359660</v>
      </c>
      <c r="I5959" t="s">
        <v>69</v>
      </c>
      <c r="J5959" t="s">
        <v>18</v>
      </c>
      <c r="K5959" t="s">
        <v>19</v>
      </c>
      <c r="L5959" t="s">
        <v>70</v>
      </c>
      <c r="M5959" t="s">
        <v>24</v>
      </c>
      <c r="N5959" t="s">
        <v>22</v>
      </c>
    </row>
    <row r="5960" spans="1:14">
      <c r="A5960" s="4" t="str">
        <f t="shared" si="561"/>
        <v>EXP00211</v>
      </c>
      <c r="B5960" s="4" t="str">
        <f t="shared" si="559"/>
        <v>24921248</v>
      </c>
      <c r="C5960" s="4" t="str">
        <f t="shared" si="560"/>
        <v>GSE56350</v>
      </c>
      <c r="D5960" s="1" t="s">
        <v>323</v>
      </c>
      <c r="E5960" t="s">
        <v>157</v>
      </c>
      <c r="F5960" s="1">
        <v>1</v>
      </c>
      <c r="G5960" s="1" t="s">
        <v>26</v>
      </c>
      <c r="H5960" s="4" t="str">
        <f>HYPERLINK("https://www.ncbi.nlm.nih.gov/geo/query/acc.cgi?acc=GSM1359662","GSM1359662")</f>
        <v>GSM1359662</v>
      </c>
      <c r="I5960" t="s">
        <v>69</v>
      </c>
      <c r="J5960" t="s">
        <v>18</v>
      </c>
      <c r="K5960" t="s">
        <v>19</v>
      </c>
      <c r="L5960" t="s">
        <v>70</v>
      </c>
      <c r="M5960" t="s">
        <v>24</v>
      </c>
      <c r="N5960" t="s">
        <v>22</v>
      </c>
    </row>
    <row r="5961" spans="1:14">
      <c r="A5961" s="4" t="str">
        <f t="shared" si="561"/>
        <v>EXP00211</v>
      </c>
      <c r="B5961" s="4" t="str">
        <f t="shared" si="559"/>
        <v>24921248</v>
      </c>
      <c r="C5961" s="4" t="str">
        <f t="shared" si="560"/>
        <v>GSE56350</v>
      </c>
      <c r="D5961" s="1" t="s">
        <v>323</v>
      </c>
      <c r="E5961" t="s">
        <v>157</v>
      </c>
      <c r="F5961" s="1">
        <v>1</v>
      </c>
      <c r="G5961" s="1" t="s">
        <v>26</v>
      </c>
      <c r="H5961" s="4" t="str">
        <f>HYPERLINK("https://www.ncbi.nlm.nih.gov/geo/query/acc.cgi?acc=GSM1359664","GSM1359664")</f>
        <v>GSM1359664</v>
      </c>
      <c r="I5961" t="s">
        <v>69</v>
      </c>
      <c r="J5961" t="s">
        <v>18</v>
      </c>
      <c r="K5961" t="s">
        <v>19</v>
      </c>
      <c r="L5961" t="s">
        <v>70</v>
      </c>
      <c r="M5961" t="s">
        <v>24</v>
      </c>
      <c r="N5961" t="s">
        <v>22</v>
      </c>
    </row>
    <row r="5962" spans="1:14">
      <c r="A5962" s="4" t="str">
        <f t="shared" si="561"/>
        <v>EXP00211</v>
      </c>
      <c r="B5962" s="4" t="str">
        <f t="shared" si="559"/>
        <v>24921248</v>
      </c>
      <c r="C5962" s="4" t="str">
        <f t="shared" si="560"/>
        <v>GSE56350</v>
      </c>
      <c r="D5962" s="1" t="s">
        <v>323</v>
      </c>
      <c r="E5962" t="s">
        <v>157</v>
      </c>
      <c r="F5962" s="1">
        <v>1</v>
      </c>
      <c r="G5962" s="1" t="s">
        <v>26</v>
      </c>
      <c r="H5962" s="4" t="str">
        <f>HYPERLINK("https://www.ncbi.nlm.nih.gov/geo/query/acc.cgi?acc=GSM1359666","GSM1359666")</f>
        <v>GSM1359666</v>
      </c>
      <c r="I5962" t="s">
        <v>69</v>
      </c>
      <c r="J5962" t="s">
        <v>18</v>
      </c>
      <c r="K5962" t="s">
        <v>19</v>
      </c>
      <c r="L5962" t="s">
        <v>70</v>
      </c>
      <c r="M5962" t="s">
        <v>24</v>
      </c>
      <c r="N5962" t="s">
        <v>22</v>
      </c>
    </row>
    <row r="5963" spans="1:14">
      <c r="A5963" s="4" t="str">
        <f t="shared" si="561"/>
        <v>EXP00211</v>
      </c>
      <c r="B5963" s="4" t="str">
        <f t="shared" si="559"/>
        <v>24921248</v>
      </c>
      <c r="C5963" s="4" t="str">
        <f t="shared" si="560"/>
        <v>GSE56350</v>
      </c>
      <c r="D5963" s="1" t="s">
        <v>323</v>
      </c>
      <c r="E5963" t="s">
        <v>157</v>
      </c>
      <c r="F5963" s="1">
        <v>1</v>
      </c>
      <c r="G5963" s="1" t="s">
        <v>26</v>
      </c>
      <c r="H5963" s="4" t="str">
        <f>HYPERLINK("https://www.ncbi.nlm.nih.gov/geo/query/acc.cgi?acc=GSM1359668","GSM1359668")</f>
        <v>GSM1359668</v>
      </c>
      <c r="I5963" t="s">
        <v>69</v>
      </c>
      <c r="J5963" t="s">
        <v>18</v>
      </c>
      <c r="K5963" t="s">
        <v>19</v>
      </c>
      <c r="L5963" t="s">
        <v>70</v>
      </c>
      <c r="M5963" t="s">
        <v>24</v>
      </c>
      <c r="N5963" t="s">
        <v>22</v>
      </c>
    </row>
    <row r="5964" spans="1:14">
      <c r="A5964" s="4" t="str">
        <f t="shared" si="561"/>
        <v>EXP00211</v>
      </c>
      <c r="B5964" s="4" t="str">
        <f t="shared" si="559"/>
        <v>24921248</v>
      </c>
      <c r="C5964" s="4" t="str">
        <f t="shared" si="560"/>
        <v>GSE56350</v>
      </c>
      <c r="D5964" s="1" t="s">
        <v>323</v>
      </c>
      <c r="E5964" t="s">
        <v>157</v>
      </c>
      <c r="F5964" s="1">
        <v>1</v>
      </c>
      <c r="G5964" s="1" t="s">
        <v>26</v>
      </c>
      <c r="H5964" s="4" t="str">
        <f>HYPERLINK("https://www.ncbi.nlm.nih.gov/geo/query/acc.cgi?acc=GSM1359670","GSM1359670")</f>
        <v>GSM1359670</v>
      </c>
      <c r="I5964" t="s">
        <v>69</v>
      </c>
      <c r="J5964" t="s">
        <v>18</v>
      </c>
      <c r="K5964" t="s">
        <v>19</v>
      </c>
      <c r="L5964" t="s">
        <v>70</v>
      </c>
      <c r="M5964" t="s">
        <v>24</v>
      </c>
      <c r="N5964" t="s">
        <v>22</v>
      </c>
    </row>
    <row r="5965" spans="1:14">
      <c r="A5965" s="4" t="str">
        <f t="shared" si="561"/>
        <v>EXP00211</v>
      </c>
      <c r="B5965" s="4" t="str">
        <f t="shared" si="559"/>
        <v>24921248</v>
      </c>
      <c r="C5965" s="4" t="str">
        <f t="shared" si="560"/>
        <v>GSE56350</v>
      </c>
      <c r="D5965" s="1" t="s">
        <v>323</v>
      </c>
      <c r="E5965" t="s">
        <v>157</v>
      </c>
      <c r="F5965" s="1">
        <v>1</v>
      </c>
      <c r="G5965" s="1" t="s">
        <v>26</v>
      </c>
      <c r="H5965" s="4" t="str">
        <f>HYPERLINK("https://www.ncbi.nlm.nih.gov/geo/query/acc.cgi?acc=GSM1359671","GSM1359671")</f>
        <v>GSM1359671</v>
      </c>
      <c r="I5965" t="s">
        <v>69</v>
      </c>
      <c r="J5965" t="s">
        <v>18</v>
      </c>
      <c r="K5965" t="s">
        <v>19</v>
      </c>
      <c r="L5965" t="s">
        <v>70</v>
      </c>
      <c r="M5965" t="s">
        <v>44</v>
      </c>
      <c r="N5965" t="s">
        <v>22</v>
      </c>
    </row>
    <row r="5966" spans="1:14">
      <c r="A5966" s="4" t="str">
        <f t="shared" si="561"/>
        <v>EXP00211</v>
      </c>
      <c r="B5966" s="4" t="str">
        <f t="shared" si="559"/>
        <v>24921248</v>
      </c>
      <c r="C5966" s="4" t="str">
        <f t="shared" si="560"/>
        <v>GSE56350</v>
      </c>
      <c r="D5966" s="1" t="s">
        <v>323</v>
      </c>
      <c r="E5966" t="s">
        <v>157</v>
      </c>
      <c r="F5966" s="1">
        <v>1</v>
      </c>
      <c r="G5966" s="1" t="s">
        <v>26</v>
      </c>
      <c r="H5966" s="4" t="str">
        <f>HYPERLINK("https://www.ncbi.nlm.nih.gov/geo/query/acc.cgi?acc=GSM1359673","GSM1359673")</f>
        <v>GSM1359673</v>
      </c>
      <c r="I5966" t="s">
        <v>69</v>
      </c>
      <c r="J5966" t="s">
        <v>18</v>
      </c>
      <c r="K5966" t="s">
        <v>19</v>
      </c>
      <c r="L5966" t="s">
        <v>70</v>
      </c>
      <c r="M5966" t="s">
        <v>44</v>
      </c>
      <c r="N5966" t="s">
        <v>22</v>
      </c>
    </row>
    <row r="5967" spans="1:14">
      <c r="A5967" s="4" t="str">
        <f t="shared" si="561"/>
        <v>EXP00211</v>
      </c>
      <c r="B5967" s="4" t="str">
        <f t="shared" si="559"/>
        <v>24921248</v>
      </c>
      <c r="C5967" s="4" t="str">
        <f t="shared" si="560"/>
        <v>GSE56350</v>
      </c>
      <c r="D5967" s="1" t="s">
        <v>323</v>
      </c>
      <c r="E5967" t="s">
        <v>157</v>
      </c>
      <c r="F5967" s="1">
        <v>1</v>
      </c>
      <c r="G5967" s="1" t="s">
        <v>26</v>
      </c>
      <c r="H5967" s="4" t="str">
        <f>HYPERLINK("https://www.ncbi.nlm.nih.gov/geo/query/acc.cgi?acc=GSM1359674","GSM1359674")</f>
        <v>GSM1359674</v>
      </c>
      <c r="I5967" t="s">
        <v>69</v>
      </c>
      <c r="J5967" t="s">
        <v>18</v>
      </c>
      <c r="K5967" t="s">
        <v>19</v>
      </c>
      <c r="L5967" t="s">
        <v>70</v>
      </c>
      <c r="M5967" t="s">
        <v>44</v>
      </c>
      <c r="N5967" t="s">
        <v>22</v>
      </c>
    </row>
    <row r="5968" spans="1:14">
      <c r="A5968" s="4" t="str">
        <f t="shared" si="561"/>
        <v>EXP00211</v>
      </c>
      <c r="B5968" s="4" t="str">
        <f t="shared" si="559"/>
        <v>24921248</v>
      </c>
      <c r="C5968" s="4" t="str">
        <f t="shared" si="560"/>
        <v>GSE56350</v>
      </c>
      <c r="D5968" s="1" t="s">
        <v>323</v>
      </c>
      <c r="E5968" t="s">
        <v>157</v>
      </c>
      <c r="F5968" s="1">
        <v>1</v>
      </c>
      <c r="G5968" s="1" t="s">
        <v>26</v>
      </c>
      <c r="H5968" s="4" t="str">
        <f>HYPERLINK("https://www.ncbi.nlm.nih.gov/geo/query/acc.cgi?acc=GSM1359676","GSM1359676")</f>
        <v>GSM1359676</v>
      </c>
      <c r="I5968" t="s">
        <v>69</v>
      </c>
      <c r="J5968" t="s">
        <v>18</v>
      </c>
      <c r="K5968" t="s">
        <v>19</v>
      </c>
      <c r="L5968" t="s">
        <v>70</v>
      </c>
      <c r="M5968" t="s">
        <v>24</v>
      </c>
      <c r="N5968" t="s">
        <v>22</v>
      </c>
    </row>
    <row r="5969" spans="1:14">
      <c r="A5969" s="4" t="str">
        <f t="shared" ref="A5969:A6000" si="562">HYPERLINK("http://hcmdb.i-sanger.com/experiment/details/experiment_id/EXP00211","EXP00211")</f>
        <v>EXP00211</v>
      </c>
      <c r="B5969" s="4" t="str">
        <f t="shared" si="559"/>
        <v>24921248</v>
      </c>
      <c r="C5969" s="4" t="str">
        <f t="shared" si="560"/>
        <v>GSE56350</v>
      </c>
      <c r="D5969" s="1" t="s">
        <v>323</v>
      </c>
      <c r="E5969" t="s">
        <v>157</v>
      </c>
      <c r="F5969" s="1">
        <v>1</v>
      </c>
      <c r="G5969" s="1" t="s">
        <v>26</v>
      </c>
      <c r="H5969" s="4" t="str">
        <f>HYPERLINK("https://www.ncbi.nlm.nih.gov/geo/query/acc.cgi?acc=GSM1359677","GSM1359677")</f>
        <v>GSM1359677</v>
      </c>
      <c r="I5969" t="s">
        <v>69</v>
      </c>
      <c r="J5969" t="s">
        <v>18</v>
      </c>
      <c r="K5969" t="s">
        <v>19</v>
      </c>
      <c r="L5969" t="s">
        <v>70</v>
      </c>
      <c r="M5969" t="s">
        <v>44</v>
      </c>
      <c r="N5969" t="s">
        <v>22</v>
      </c>
    </row>
    <row r="5970" spans="1:14">
      <c r="A5970" s="4" t="str">
        <f t="shared" si="562"/>
        <v>EXP00211</v>
      </c>
      <c r="B5970" s="4" t="str">
        <f t="shared" si="559"/>
        <v>24921248</v>
      </c>
      <c r="C5970" s="4" t="str">
        <f t="shared" si="560"/>
        <v>GSE56350</v>
      </c>
      <c r="D5970" s="1" t="s">
        <v>323</v>
      </c>
      <c r="E5970" t="s">
        <v>157</v>
      </c>
      <c r="F5970" s="1">
        <v>1</v>
      </c>
      <c r="G5970" s="1" t="s">
        <v>26</v>
      </c>
      <c r="H5970" s="4" t="str">
        <f>HYPERLINK("https://www.ncbi.nlm.nih.gov/geo/query/acc.cgi?acc=GSM1359678","GSM1359678")</f>
        <v>GSM1359678</v>
      </c>
      <c r="I5970" t="s">
        <v>69</v>
      </c>
      <c r="J5970" t="s">
        <v>18</v>
      </c>
      <c r="K5970" t="s">
        <v>19</v>
      </c>
      <c r="L5970" t="s">
        <v>70</v>
      </c>
      <c r="M5970" t="s">
        <v>24</v>
      </c>
      <c r="N5970" t="s">
        <v>22</v>
      </c>
    </row>
    <row r="5971" spans="1:14">
      <c r="A5971" s="4" t="str">
        <f t="shared" si="562"/>
        <v>EXP00211</v>
      </c>
      <c r="B5971" s="4" t="str">
        <f t="shared" si="559"/>
        <v>24921248</v>
      </c>
      <c r="C5971" s="4" t="str">
        <f t="shared" si="560"/>
        <v>GSE56350</v>
      </c>
      <c r="D5971" s="1" t="s">
        <v>323</v>
      </c>
      <c r="E5971" t="s">
        <v>157</v>
      </c>
      <c r="F5971" s="1">
        <v>1</v>
      </c>
      <c r="G5971" s="1" t="s">
        <v>26</v>
      </c>
      <c r="H5971" s="4" t="str">
        <f>HYPERLINK("https://www.ncbi.nlm.nih.gov/geo/query/acc.cgi?acc=GSM1359680","GSM1359680")</f>
        <v>GSM1359680</v>
      </c>
      <c r="I5971" t="s">
        <v>69</v>
      </c>
      <c r="J5971" t="s">
        <v>18</v>
      </c>
      <c r="K5971" t="s">
        <v>19</v>
      </c>
      <c r="L5971" t="s">
        <v>70</v>
      </c>
      <c r="M5971" t="s">
        <v>24</v>
      </c>
      <c r="N5971" t="s">
        <v>22</v>
      </c>
    </row>
    <row r="5972" spans="1:14">
      <c r="A5972" s="4" t="str">
        <f t="shared" si="562"/>
        <v>EXP00211</v>
      </c>
      <c r="B5972" s="4" t="str">
        <f t="shared" si="559"/>
        <v>24921248</v>
      </c>
      <c r="C5972" s="4" t="str">
        <f t="shared" si="560"/>
        <v>GSE56350</v>
      </c>
      <c r="D5972" s="1" t="s">
        <v>323</v>
      </c>
      <c r="E5972" t="s">
        <v>157</v>
      </c>
      <c r="F5972" s="1">
        <v>1</v>
      </c>
      <c r="G5972" s="1" t="s">
        <v>26</v>
      </c>
      <c r="H5972" s="4" t="str">
        <f>HYPERLINK("https://www.ncbi.nlm.nih.gov/geo/query/acc.cgi?acc=GSM1359682","GSM1359682")</f>
        <v>GSM1359682</v>
      </c>
      <c r="I5972" t="s">
        <v>69</v>
      </c>
      <c r="J5972" t="s">
        <v>18</v>
      </c>
      <c r="K5972" t="s">
        <v>19</v>
      </c>
      <c r="L5972" t="s">
        <v>70</v>
      </c>
      <c r="M5972" t="s">
        <v>24</v>
      </c>
      <c r="N5972" t="s">
        <v>22</v>
      </c>
    </row>
    <row r="5973" spans="1:14">
      <c r="A5973" s="4" t="str">
        <f t="shared" si="562"/>
        <v>EXP00211</v>
      </c>
      <c r="B5973" s="4" t="str">
        <f t="shared" si="559"/>
        <v>24921248</v>
      </c>
      <c r="C5973" s="4" t="str">
        <f t="shared" si="560"/>
        <v>GSE56350</v>
      </c>
      <c r="D5973" s="1" t="s">
        <v>323</v>
      </c>
      <c r="E5973" t="s">
        <v>157</v>
      </c>
      <c r="F5973" s="1">
        <v>1</v>
      </c>
      <c r="G5973" s="1" t="s">
        <v>26</v>
      </c>
      <c r="H5973" s="4" t="str">
        <f>HYPERLINK("https://www.ncbi.nlm.nih.gov/geo/query/acc.cgi?acc=GSM1359684","GSM1359684")</f>
        <v>GSM1359684</v>
      </c>
      <c r="I5973" t="s">
        <v>69</v>
      </c>
      <c r="J5973" t="s">
        <v>18</v>
      </c>
      <c r="K5973" t="s">
        <v>19</v>
      </c>
      <c r="L5973" t="s">
        <v>70</v>
      </c>
      <c r="M5973" t="s">
        <v>24</v>
      </c>
      <c r="N5973" t="s">
        <v>22</v>
      </c>
    </row>
    <row r="5974" spans="1:14">
      <c r="A5974" s="4" t="str">
        <f t="shared" si="562"/>
        <v>EXP00211</v>
      </c>
      <c r="B5974" s="4" t="str">
        <f t="shared" si="559"/>
        <v>24921248</v>
      </c>
      <c r="C5974" s="4" t="str">
        <f t="shared" si="560"/>
        <v>GSE56350</v>
      </c>
      <c r="D5974" s="1" t="s">
        <v>323</v>
      </c>
      <c r="E5974" t="s">
        <v>157</v>
      </c>
      <c r="F5974" s="1">
        <v>1</v>
      </c>
      <c r="G5974" s="1" t="s">
        <v>26</v>
      </c>
      <c r="H5974" s="4" t="str">
        <f>HYPERLINK("https://www.ncbi.nlm.nih.gov/geo/query/acc.cgi?acc=GSM1359685","GSM1359685")</f>
        <v>GSM1359685</v>
      </c>
      <c r="I5974" t="s">
        <v>69</v>
      </c>
      <c r="J5974" t="s">
        <v>18</v>
      </c>
      <c r="K5974" t="s">
        <v>19</v>
      </c>
      <c r="L5974" t="s">
        <v>70</v>
      </c>
      <c r="M5974" t="s">
        <v>44</v>
      </c>
      <c r="N5974" t="s">
        <v>22</v>
      </c>
    </row>
    <row r="5975" spans="1:14">
      <c r="A5975" s="4" t="str">
        <f t="shared" si="562"/>
        <v>EXP00211</v>
      </c>
      <c r="B5975" s="4" t="str">
        <f t="shared" si="559"/>
        <v>24921248</v>
      </c>
      <c r="C5975" s="4" t="str">
        <f t="shared" si="560"/>
        <v>GSE56350</v>
      </c>
      <c r="D5975" s="1" t="s">
        <v>323</v>
      </c>
      <c r="E5975" t="s">
        <v>157</v>
      </c>
      <c r="F5975" s="1">
        <v>1</v>
      </c>
      <c r="G5975" s="1" t="s">
        <v>26</v>
      </c>
      <c r="H5975" s="4" t="str">
        <f>HYPERLINK("https://www.ncbi.nlm.nih.gov/geo/query/acc.cgi?acc=GSM1359687","GSM1359687")</f>
        <v>GSM1359687</v>
      </c>
      <c r="I5975" t="s">
        <v>69</v>
      </c>
      <c r="J5975" t="s">
        <v>18</v>
      </c>
      <c r="K5975" t="s">
        <v>19</v>
      </c>
      <c r="L5975" t="s">
        <v>70</v>
      </c>
      <c r="M5975" t="s">
        <v>24</v>
      </c>
      <c r="N5975" t="s">
        <v>22</v>
      </c>
    </row>
    <row r="5976" spans="1:14">
      <c r="A5976" s="4" t="str">
        <f t="shared" si="562"/>
        <v>EXP00211</v>
      </c>
      <c r="B5976" s="4" t="str">
        <f t="shared" si="559"/>
        <v>24921248</v>
      </c>
      <c r="C5976" s="4" t="str">
        <f t="shared" si="560"/>
        <v>GSE56350</v>
      </c>
      <c r="D5976" s="1" t="s">
        <v>323</v>
      </c>
      <c r="E5976" t="s">
        <v>157</v>
      </c>
      <c r="F5976" s="1">
        <v>1</v>
      </c>
      <c r="G5976" s="1" t="s">
        <v>26</v>
      </c>
      <c r="H5976" s="4" t="str">
        <f>HYPERLINK("https://www.ncbi.nlm.nih.gov/geo/query/acc.cgi?acc=GSM1359689","GSM1359689")</f>
        <v>GSM1359689</v>
      </c>
      <c r="I5976" t="s">
        <v>69</v>
      </c>
      <c r="J5976" t="s">
        <v>18</v>
      </c>
      <c r="K5976" t="s">
        <v>19</v>
      </c>
      <c r="L5976" t="s">
        <v>70</v>
      </c>
      <c r="M5976" t="s">
        <v>44</v>
      </c>
      <c r="N5976" t="s">
        <v>22</v>
      </c>
    </row>
    <row r="5977" spans="1:14">
      <c r="A5977" s="4" t="str">
        <f t="shared" si="562"/>
        <v>EXP00211</v>
      </c>
      <c r="B5977" s="4" t="str">
        <f t="shared" si="559"/>
        <v>24921248</v>
      </c>
      <c r="C5977" s="4" t="str">
        <f t="shared" si="560"/>
        <v>GSE56350</v>
      </c>
      <c r="D5977" s="1" t="s">
        <v>323</v>
      </c>
      <c r="E5977" t="s">
        <v>157</v>
      </c>
      <c r="F5977" s="1">
        <v>1</v>
      </c>
      <c r="G5977" s="1" t="s">
        <v>26</v>
      </c>
      <c r="H5977" s="4" t="str">
        <f>HYPERLINK("https://www.ncbi.nlm.nih.gov/geo/query/acc.cgi?acc=GSM1359691","GSM1359691")</f>
        <v>GSM1359691</v>
      </c>
      <c r="I5977" t="s">
        <v>69</v>
      </c>
      <c r="J5977" t="s">
        <v>18</v>
      </c>
      <c r="K5977" t="s">
        <v>19</v>
      </c>
      <c r="L5977" t="s">
        <v>70</v>
      </c>
      <c r="M5977" t="s">
        <v>24</v>
      </c>
      <c r="N5977" t="s">
        <v>22</v>
      </c>
    </row>
    <row r="5978" spans="1:14">
      <c r="A5978" s="4" t="str">
        <f t="shared" si="562"/>
        <v>EXP00211</v>
      </c>
      <c r="B5978" s="4" t="str">
        <f t="shared" si="559"/>
        <v>24921248</v>
      </c>
      <c r="C5978" s="4" t="str">
        <f t="shared" si="560"/>
        <v>GSE56350</v>
      </c>
      <c r="D5978" s="1" t="s">
        <v>323</v>
      </c>
      <c r="E5978" t="s">
        <v>157</v>
      </c>
      <c r="F5978" s="1">
        <v>1</v>
      </c>
      <c r="G5978" s="1" t="s">
        <v>26</v>
      </c>
      <c r="H5978" s="4" t="str">
        <f>HYPERLINK("https://www.ncbi.nlm.nih.gov/geo/query/acc.cgi?acc=GSM1359692","GSM1359692")</f>
        <v>GSM1359692</v>
      </c>
      <c r="I5978" t="s">
        <v>69</v>
      </c>
      <c r="J5978" t="s">
        <v>18</v>
      </c>
      <c r="K5978" t="s">
        <v>19</v>
      </c>
      <c r="L5978" t="s">
        <v>70</v>
      </c>
      <c r="M5978" t="s">
        <v>44</v>
      </c>
      <c r="N5978" t="s">
        <v>22</v>
      </c>
    </row>
    <row r="5979" spans="1:14">
      <c r="A5979" s="4" t="str">
        <f t="shared" si="562"/>
        <v>EXP00211</v>
      </c>
      <c r="B5979" s="4" t="str">
        <f t="shared" si="559"/>
        <v>24921248</v>
      </c>
      <c r="C5979" s="4" t="str">
        <f t="shared" si="560"/>
        <v>GSE56350</v>
      </c>
      <c r="D5979" s="1" t="s">
        <v>323</v>
      </c>
      <c r="E5979" t="s">
        <v>157</v>
      </c>
      <c r="F5979" s="1">
        <v>1</v>
      </c>
      <c r="G5979" s="1" t="s">
        <v>26</v>
      </c>
      <c r="H5979" s="4" t="str">
        <f>HYPERLINK("https://www.ncbi.nlm.nih.gov/geo/query/acc.cgi?acc=GSM1359694","GSM1359694")</f>
        <v>GSM1359694</v>
      </c>
      <c r="I5979" t="s">
        <v>69</v>
      </c>
      <c r="J5979" t="s">
        <v>18</v>
      </c>
      <c r="K5979" t="s">
        <v>19</v>
      </c>
      <c r="L5979" t="s">
        <v>70</v>
      </c>
      <c r="M5979" t="s">
        <v>24</v>
      </c>
      <c r="N5979" t="s">
        <v>22</v>
      </c>
    </row>
    <row r="5980" spans="1:14">
      <c r="A5980" s="4" t="str">
        <f t="shared" si="562"/>
        <v>EXP00211</v>
      </c>
      <c r="B5980" s="4" t="str">
        <f t="shared" si="559"/>
        <v>24921248</v>
      </c>
      <c r="C5980" s="4" t="str">
        <f t="shared" si="560"/>
        <v>GSE56350</v>
      </c>
      <c r="D5980" s="1" t="s">
        <v>323</v>
      </c>
      <c r="E5980" t="s">
        <v>157</v>
      </c>
      <c r="F5980" s="1">
        <v>1</v>
      </c>
      <c r="G5980" s="1" t="s">
        <v>26</v>
      </c>
      <c r="H5980" s="4" t="str">
        <f>HYPERLINK("https://www.ncbi.nlm.nih.gov/geo/query/acc.cgi?acc=GSM1359695","GSM1359695")</f>
        <v>GSM1359695</v>
      </c>
      <c r="I5980" t="s">
        <v>69</v>
      </c>
      <c r="J5980" t="s">
        <v>18</v>
      </c>
      <c r="K5980" t="s">
        <v>19</v>
      </c>
      <c r="L5980" t="s">
        <v>70</v>
      </c>
      <c r="M5980" t="s">
        <v>44</v>
      </c>
      <c r="N5980" t="s">
        <v>22</v>
      </c>
    </row>
    <row r="5981" spans="1:14">
      <c r="A5981" s="4" t="str">
        <f t="shared" si="562"/>
        <v>EXP00211</v>
      </c>
      <c r="B5981" s="4" t="str">
        <f t="shared" si="559"/>
        <v>24921248</v>
      </c>
      <c r="C5981" s="4" t="str">
        <f t="shared" si="560"/>
        <v>GSE56350</v>
      </c>
      <c r="D5981" s="1" t="s">
        <v>323</v>
      </c>
      <c r="E5981" t="s">
        <v>157</v>
      </c>
      <c r="F5981" s="1">
        <v>1</v>
      </c>
      <c r="G5981" s="1" t="s">
        <v>26</v>
      </c>
      <c r="H5981" s="4" t="str">
        <f>HYPERLINK("https://www.ncbi.nlm.nih.gov/geo/query/acc.cgi?acc=GSM1359696","GSM1359696")</f>
        <v>GSM1359696</v>
      </c>
      <c r="I5981" t="s">
        <v>69</v>
      </c>
      <c r="J5981" t="s">
        <v>18</v>
      </c>
      <c r="K5981" t="s">
        <v>19</v>
      </c>
      <c r="L5981" t="s">
        <v>70</v>
      </c>
      <c r="M5981" t="s">
        <v>24</v>
      </c>
      <c r="N5981" t="s">
        <v>22</v>
      </c>
    </row>
    <row r="5982" spans="1:14">
      <c r="A5982" s="4" t="str">
        <f t="shared" si="562"/>
        <v>EXP00211</v>
      </c>
      <c r="B5982" s="4" t="str">
        <f t="shared" si="559"/>
        <v>24921248</v>
      </c>
      <c r="C5982" s="4" t="str">
        <f t="shared" si="560"/>
        <v>GSE56350</v>
      </c>
      <c r="D5982" s="1" t="s">
        <v>323</v>
      </c>
      <c r="E5982" t="s">
        <v>157</v>
      </c>
      <c r="F5982" s="1">
        <v>1</v>
      </c>
      <c r="G5982" s="1" t="s">
        <v>26</v>
      </c>
      <c r="H5982" s="4" t="str">
        <f>HYPERLINK("https://www.ncbi.nlm.nih.gov/geo/query/acc.cgi?acc=GSM1359699","GSM1359699")</f>
        <v>GSM1359699</v>
      </c>
      <c r="I5982" t="s">
        <v>69</v>
      </c>
      <c r="J5982" t="s">
        <v>18</v>
      </c>
      <c r="K5982" t="s">
        <v>19</v>
      </c>
      <c r="L5982" t="s">
        <v>70</v>
      </c>
      <c r="M5982" t="s">
        <v>24</v>
      </c>
      <c r="N5982" t="s">
        <v>22</v>
      </c>
    </row>
    <row r="5983" spans="1:14">
      <c r="A5983" s="4" t="str">
        <f t="shared" si="562"/>
        <v>EXP00211</v>
      </c>
      <c r="B5983" s="4" t="str">
        <f t="shared" si="559"/>
        <v>24921248</v>
      </c>
      <c r="C5983" s="4" t="str">
        <f t="shared" si="560"/>
        <v>GSE56350</v>
      </c>
      <c r="D5983" s="1" t="s">
        <v>323</v>
      </c>
      <c r="E5983" t="s">
        <v>157</v>
      </c>
      <c r="F5983" s="1">
        <v>1</v>
      </c>
      <c r="G5983" s="1" t="s">
        <v>26</v>
      </c>
      <c r="H5983" s="4" t="str">
        <f>HYPERLINK("https://www.ncbi.nlm.nih.gov/geo/query/acc.cgi?acc=GSM1359700","GSM1359700")</f>
        <v>GSM1359700</v>
      </c>
      <c r="I5983" t="s">
        <v>69</v>
      </c>
      <c r="J5983" t="s">
        <v>18</v>
      </c>
      <c r="K5983" t="s">
        <v>19</v>
      </c>
      <c r="L5983" t="s">
        <v>70</v>
      </c>
      <c r="M5983" t="s">
        <v>44</v>
      </c>
      <c r="N5983" t="s">
        <v>22</v>
      </c>
    </row>
    <row r="5984" spans="1:14">
      <c r="A5984" s="4" t="str">
        <f t="shared" si="562"/>
        <v>EXP00211</v>
      </c>
      <c r="B5984" s="4" t="str">
        <f t="shared" si="559"/>
        <v>24921248</v>
      </c>
      <c r="C5984" s="4" t="str">
        <f t="shared" si="560"/>
        <v>GSE56350</v>
      </c>
      <c r="D5984" s="1" t="s">
        <v>323</v>
      </c>
      <c r="E5984" t="s">
        <v>157</v>
      </c>
      <c r="F5984" s="1">
        <v>1</v>
      </c>
      <c r="G5984" s="1" t="s">
        <v>26</v>
      </c>
      <c r="H5984" s="4" t="str">
        <f>HYPERLINK("https://www.ncbi.nlm.nih.gov/geo/query/acc.cgi?acc=GSM1359702","GSM1359702")</f>
        <v>GSM1359702</v>
      </c>
      <c r="I5984" t="s">
        <v>69</v>
      </c>
      <c r="J5984" t="s">
        <v>18</v>
      </c>
      <c r="K5984" t="s">
        <v>19</v>
      </c>
      <c r="L5984" t="s">
        <v>70</v>
      </c>
      <c r="M5984" t="s">
        <v>24</v>
      </c>
      <c r="N5984" t="s">
        <v>22</v>
      </c>
    </row>
    <row r="5985" spans="1:14">
      <c r="A5985" s="4" t="str">
        <f t="shared" si="562"/>
        <v>EXP00211</v>
      </c>
      <c r="B5985" s="4" t="str">
        <f t="shared" si="559"/>
        <v>24921248</v>
      </c>
      <c r="C5985" s="4" t="str">
        <f t="shared" si="560"/>
        <v>GSE56350</v>
      </c>
      <c r="D5985" s="1" t="s">
        <v>323</v>
      </c>
      <c r="E5985" t="s">
        <v>157</v>
      </c>
      <c r="F5985" s="1">
        <v>1</v>
      </c>
      <c r="G5985" s="1" t="s">
        <v>26</v>
      </c>
      <c r="H5985" s="4" t="str">
        <f>HYPERLINK("https://www.ncbi.nlm.nih.gov/geo/query/acc.cgi?acc=GSM1359703","GSM1359703")</f>
        <v>GSM1359703</v>
      </c>
      <c r="I5985" t="s">
        <v>69</v>
      </c>
      <c r="J5985" t="s">
        <v>18</v>
      </c>
      <c r="K5985" t="s">
        <v>19</v>
      </c>
      <c r="L5985" t="s">
        <v>70</v>
      </c>
      <c r="M5985" t="s">
        <v>44</v>
      </c>
      <c r="N5985" t="s">
        <v>22</v>
      </c>
    </row>
    <row r="5986" spans="1:14">
      <c r="A5986" s="4" t="str">
        <f t="shared" si="562"/>
        <v>EXP00211</v>
      </c>
      <c r="B5986" s="4" t="str">
        <f t="shared" si="559"/>
        <v>24921248</v>
      </c>
      <c r="C5986" s="4" t="str">
        <f t="shared" si="560"/>
        <v>GSE56350</v>
      </c>
      <c r="D5986" s="1" t="s">
        <v>323</v>
      </c>
      <c r="E5986" t="s">
        <v>157</v>
      </c>
      <c r="F5986" s="1">
        <v>1</v>
      </c>
      <c r="G5986" s="1" t="s">
        <v>26</v>
      </c>
      <c r="H5986" s="4" t="str">
        <f>HYPERLINK("https://www.ncbi.nlm.nih.gov/geo/query/acc.cgi?acc=GSM1359705","GSM1359705")</f>
        <v>GSM1359705</v>
      </c>
      <c r="I5986" t="s">
        <v>69</v>
      </c>
      <c r="J5986" t="s">
        <v>18</v>
      </c>
      <c r="K5986" t="s">
        <v>19</v>
      </c>
      <c r="L5986" t="s">
        <v>70</v>
      </c>
      <c r="M5986" t="s">
        <v>24</v>
      </c>
      <c r="N5986" t="s">
        <v>22</v>
      </c>
    </row>
    <row r="5987" spans="1:14">
      <c r="A5987" s="4" t="str">
        <f t="shared" si="562"/>
        <v>EXP00211</v>
      </c>
      <c r="B5987" s="4" t="str">
        <f t="shared" si="559"/>
        <v>24921248</v>
      </c>
      <c r="C5987" s="4" t="str">
        <f t="shared" si="560"/>
        <v>GSE56350</v>
      </c>
      <c r="D5987" s="1" t="s">
        <v>323</v>
      </c>
      <c r="E5987" t="s">
        <v>157</v>
      </c>
      <c r="F5987" s="1">
        <v>1</v>
      </c>
      <c r="G5987" s="1" t="s">
        <v>26</v>
      </c>
      <c r="H5987" s="4" t="str">
        <f>HYPERLINK("https://www.ncbi.nlm.nih.gov/geo/query/acc.cgi?acc=GSM1359706","GSM1359706")</f>
        <v>GSM1359706</v>
      </c>
      <c r="I5987" t="s">
        <v>69</v>
      </c>
      <c r="J5987" t="s">
        <v>18</v>
      </c>
      <c r="K5987" t="s">
        <v>19</v>
      </c>
      <c r="L5987" t="s">
        <v>70</v>
      </c>
      <c r="M5987" t="s">
        <v>44</v>
      </c>
      <c r="N5987" t="s">
        <v>22</v>
      </c>
    </row>
    <row r="5988" spans="1:14">
      <c r="A5988" s="4" t="str">
        <f t="shared" si="562"/>
        <v>EXP00211</v>
      </c>
      <c r="B5988" s="4" t="str">
        <f t="shared" si="559"/>
        <v>24921248</v>
      </c>
      <c r="C5988" s="4" t="str">
        <f t="shared" si="560"/>
        <v>GSE56350</v>
      </c>
      <c r="D5988" s="1" t="s">
        <v>323</v>
      </c>
      <c r="E5988" t="s">
        <v>157</v>
      </c>
      <c r="F5988" s="1">
        <v>1</v>
      </c>
      <c r="G5988" s="1" t="s">
        <v>26</v>
      </c>
      <c r="H5988" s="4" t="str">
        <f>HYPERLINK("https://www.ncbi.nlm.nih.gov/geo/query/acc.cgi?acc=GSM1359708","GSM1359708")</f>
        <v>GSM1359708</v>
      </c>
      <c r="I5988" t="s">
        <v>69</v>
      </c>
      <c r="J5988" t="s">
        <v>18</v>
      </c>
      <c r="K5988" t="s">
        <v>19</v>
      </c>
      <c r="L5988" t="s">
        <v>70</v>
      </c>
      <c r="M5988" t="s">
        <v>24</v>
      </c>
      <c r="N5988" t="s">
        <v>22</v>
      </c>
    </row>
    <row r="5989" spans="1:14">
      <c r="A5989" s="4" t="str">
        <f t="shared" si="562"/>
        <v>EXP00211</v>
      </c>
      <c r="B5989" s="4" t="str">
        <f t="shared" si="559"/>
        <v>24921248</v>
      </c>
      <c r="C5989" s="4" t="str">
        <f t="shared" si="560"/>
        <v>GSE56350</v>
      </c>
      <c r="D5989" s="1" t="s">
        <v>323</v>
      </c>
      <c r="E5989" t="s">
        <v>157</v>
      </c>
      <c r="F5989" s="1">
        <v>1</v>
      </c>
      <c r="G5989" s="1" t="s">
        <v>26</v>
      </c>
      <c r="H5989" s="4" t="str">
        <f>HYPERLINK("https://www.ncbi.nlm.nih.gov/geo/query/acc.cgi?acc=GSM1359709","GSM1359709")</f>
        <v>GSM1359709</v>
      </c>
      <c r="I5989" t="s">
        <v>69</v>
      </c>
      <c r="J5989" t="s">
        <v>18</v>
      </c>
      <c r="K5989" t="s">
        <v>19</v>
      </c>
      <c r="L5989" t="s">
        <v>70</v>
      </c>
      <c r="M5989" t="s">
        <v>44</v>
      </c>
      <c r="N5989" t="s">
        <v>22</v>
      </c>
    </row>
    <row r="5990" spans="1:14">
      <c r="A5990" s="4" t="str">
        <f t="shared" si="562"/>
        <v>EXP00211</v>
      </c>
      <c r="B5990" s="4" t="str">
        <f t="shared" si="559"/>
        <v>24921248</v>
      </c>
      <c r="C5990" s="4" t="str">
        <f t="shared" si="560"/>
        <v>GSE56350</v>
      </c>
      <c r="D5990" s="1" t="s">
        <v>323</v>
      </c>
      <c r="E5990" t="s">
        <v>157</v>
      </c>
      <c r="F5990" s="1">
        <v>1</v>
      </c>
      <c r="G5990" s="1" t="s">
        <v>26</v>
      </c>
      <c r="H5990" s="4" t="str">
        <f>HYPERLINK("https://www.ncbi.nlm.nih.gov/geo/query/acc.cgi?acc=GSM1359711","GSM1359711")</f>
        <v>GSM1359711</v>
      </c>
      <c r="I5990" t="s">
        <v>69</v>
      </c>
      <c r="J5990" t="s">
        <v>18</v>
      </c>
      <c r="K5990" t="s">
        <v>19</v>
      </c>
      <c r="L5990" t="s">
        <v>70</v>
      </c>
      <c r="M5990" t="s">
        <v>24</v>
      </c>
      <c r="N5990" t="s">
        <v>22</v>
      </c>
    </row>
    <row r="5991" spans="1:14">
      <c r="A5991" s="4" t="str">
        <f t="shared" si="562"/>
        <v>EXP00211</v>
      </c>
      <c r="B5991" s="4" t="str">
        <f t="shared" si="559"/>
        <v>24921248</v>
      </c>
      <c r="C5991" s="4" t="str">
        <f t="shared" si="560"/>
        <v>GSE56350</v>
      </c>
      <c r="D5991" s="1" t="s">
        <v>323</v>
      </c>
      <c r="E5991" t="s">
        <v>157</v>
      </c>
      <c r="F5991" s="1">
        <v>1</v>
      </c>
      <c r="G5991" s="1" t="s">
        <v>26</v>
      </c>
      <c r="H5991" s="4" t="str">
        <f>HYPERLINK("https://www.ncbi.nlm.nih.gov/geo/query/acc.cgi?acc=GSM1359712","GSM1359712")</f>
        <v>GSM1359712</v>
      </c>
      <c r="I5991" t="s">
        <v>69</v>
      </c>
      <c r="J5991" t="s">
        <v>18</v>
      </c>
      <c r="K5991" t="s">
        <v>19</v>
      </c>
      <c r="L5991" t="s">
        <v>70</v>
      </c>
      <c r="M5991" t="s">
        <v>44</v>
      </c>
      <c r="N5991" t="s">
        <v>22</v>
      </c>
    </row>
    <row r="5992" spans="1:14">
      <c r="A5992" s="4" t="str">
        <f t="shared" si="562"/>
        <v>EXP00211</v>
      </c>
      <c r="B5992" s="4" t="str">
        <f t="shared" si="559"/>
        <v>24921248</v>
      </c>
      <c r="C5992" s="4" t="str">
        <f t="shared" si="560"/>
        <v>GSE56350</v>
      </c>
      <c r="D5992" s="1" t="s">
        <v>323</v>
      </c>
      <c r="E5992" t="s">
        <v>157</v>
      </c>
      <c r="F5992" s="1">
        <v>1</v>
      </c>
      <c r="G5992" s="1" t="s">
        <v>26</v>
      </c>
      <c r="H5992" s="4" t="str">
        <f>HYPERLINK("https://www.ncbi.nlm.nih.gov/geo/query/acc.cgi?acc=GSM1359714","GSM1359714")</f>
        <v>GSM1359714</v>
      </c>
      <c r="I5992" t="s">
        <v>69</v>
      </c>
      <c r="J5992" t="s">
        <v>18</v>
      </c>
      <c r="K5992" t="s">
        <v>19</v>
      </c>
      <c r="L5992" t="s">
        <v>70</v>
      </c>
      <c r="M5992" t="s">
        <v>24</v>
      </c>
      <c r="N5992" t="s">
        <v>22</v>
      </c>
    </row>
    <row r="5993" spans="1:14">
      <c r="A5993" s="4" t="str">
        <f t="shared" si="562"/>
        <v>EXP00211</v>
      </c>
      <c r="B5993" s="4" t="str">
        <f t="shared" si="559"/>
        <v>24921248</v>
      </c>
      <c r="C5993" s="4" t="str">
        <f t="shared" si="560"/>
        <v>GSE56350</v>
      </c>
      <c r="D5993" s="1" t="s">
        <v>323</v>
      </c>
      <c r="E5993" t="s">
        <v>157</v>
      </c>
      <c r="F5993" s="1">
        <v>1</v>
      </c>
      <c r="G5993" s="1" t="s">
        <v>26</v>
      </c>
      <c r="H5993" s="4" t="str">
        <f>HYPERLINK("https://www.ncbi.nlm.nih.gov/geo/query/acc.cgi?acc=GSM1359715","GSM1359715")</f>
        <v>GSM1359715</v>
      </c>
      <c r="I5993" t="s">
        <v>69</v>
      </c>
      <c r="J5993" t="s">
        <v>18</v>
      </c>
      <c r="K5993" t="s">
        <v>19</v>
      </c>
      <c r="L5993" t="s">
        <v>70</v>
      </c>
      <c r="M5993" t="s">
        <v>44</v>
      </c>
      <c r="N5993" t="s">
        <v>22</v>
      </c>
    </row>
    <row r="5994" spans="1:14">
      <c r="A5994" s="4" t="str">
        <f t="shared" si="562"/>
        <v>EXP00211</v>
      </c>
      <c r="B5994" s="4" t="str">
        <f t="shared" si="559"/>
        <v>24921248</v>
      </c>
      <c r="C5994" s="4" t="str">
        <f t="shared" si="560"/>
        <v>GSE56350</v>
      </c>
      <c r="D5994" s="1" t="s">
        <v>323</v>
      </c>
      <c r="E5994" t="s">
        <v>157</v>
      </c>
      <c r="F5994" s="1">
        <v>1</v>
      </c>
      <c r="G5994" s="1" t="s">
        <v>26</v>
      </c>
      <c r="H5994" s="4" t="str">
        <f>HYPERLINK("https://www.ncbi.nlm.nih.gov/geo/query/acc.cgi?acc=GSM1359717","GSM1359717")</f>
        <v>GSM1359717</v>
      </c>
      <c r="I5994" t="s">
        <v>69</v>
      </c>
      <c r="J5994" t="s">
        <v>18</v>
      </c>
      <c r="K5994" t="s">
        <v>19</v>
      </c>
      <c r="L5994" t="s">
        <v>70</v>
      </c>
      <c r="M5994" t="s">
        <v>44</v>
      </c>
      <c r="N5994" t="s">
        <v>22</v>
      </c>
    </row>
    <row r="5995" spans="1:14">
      <c r="A5995" s="4" t="str">
        <f t="shared" si="562"/>
        <v>EXP00211</v>
      </c>
      <c r="B5995" s="4" t="str">
        <f t="shared" si="559"/>
        <v>24921248</v>
      </c>
      <c r="C5995" s="4" t="str">
        <f t="shared" si="560"/>
        <v>GSE56350</v>
      </c>
      <c r="D5995" s="1" t="s">
        <v>323</v>
      </c>
      <c r="E5995" t="s">
        <v>157</v>
      </c>
      <c r="F5995" s="1">
        <v>2</v>
      </c>
      <c r="G5995" s="1" t="s">
        <v>28</v>
      </c>
      <c r="H5995" s="4" t="str">
        <f>HYPERLINK("https://www.ncbi.nlm.nih.gov/geo/query/acc.cgi?acc=GSM1359614","GSM1359614")</f>
        <v>GSM1359614</v>
      </c>
      <c r="I5995" t="s">
        <v>69</v>
      </c>
      <c r="J5995" t="s">
        <v>18</v>
      </c>
      <c r="K5995" t="s">
        <v>19</v>
      </c>
      <c r="L5995" t="s">
        <v>70</v>
      </c>
      <c r="M5995" t="s">
        <v>24</v>
      </c>
      <c r="N5995" t="s">
        <v>29</v>
      </c>
    </row>
    <row r="5996" spans="1:14">
      <c r="A5996" s="4" t="str">
        <f t="shared" si="562"/>
        <v>EXP00211</v>
      </c>
      <c r="B5996" s="4" t="str">
        <f t="shared" si="559"/>
        <v>24921248</v>
      </c>
      <c r="C5996" s="4" t="str">
        <f t="shared" si="560"/>
        <v>GSE56350</v>
      </c>
      <c r="D5996" s="1" t="s">
        <v>323</v>
      </c>
      <c r="E5996" t="s">
        <v>157</v>
      </c>
      <c r="F5996" s="1">
        <v>2</v>
      </c>
      <c r="G5996" s="1" t="s">
        <v>28</v>
      </c>
      <c r="H5996" s="4" t="str">
        <f>HYPERLINK("https://www.ncbi.nlm.nih.gov/geo/query/acc.cgi?acc=GSM1359616","GSM1359616")</f>
        <v>GSM1359616</v>
      </c>
      <c r="I5996" t="s">
        <v>69</v>
      </c>
      <c r="J5996" t="s">
        <v>18</v>
      </c>
      <c r="K5996" t="s">
        <v>19</v>
      </c>
      <c r="L5996" t="s">
        <v>70</v>
      </c>
      <c r="M5996" t="s">
        <v>24</v>
      </c>
      <c r="N5996" t="s">
        <v>29</v>
      </c>
    </row>
    <row r="5997" spans="1:14">
      <c r="A5997" s="4" t="str">
        <f t="shared" si="562"/>
        <v>EXP00211</v>
      </c>
      <c r="B5997" s="4" t="str">
        <f t="shared" ref="B5997:B6040" si="563">HYPERLINK("https://www.ncbi.nlm.nih.gov/pubmed/24921248","24921248")</f>
        <v>24921248</v>
      </c>
      <c r="C5997" s="4" t="str">
        <f t="shared" ref="C5997:C6040" si="564">HYPERLINK("https://www.ncbi.nlm.nih.gov/geo/query/acc.cgi?acc=GSE56350","GSE56350")</f>
        <v>GSE56350</v>
      </c>
      <c r="D5997" s="1" t="s">
        <v>323</v>
      </c>
      <c r="E5997" t="s">
        <v>157</v>
      </c>
      <c r="F5997" s="1">
        <v>2</v>
      </c>
      <c r="G5997" s="1" t="s">
        <v>28</v>
      </c>
      <c r="H5997" s="4" t="str">
        <f>HYPERLINK("https://www.ncbi.nlm.nih.gov/geo/query/acc.cgi?acc=GSM1359618","GSM1359618")</f>
        <v>GSM1359618</v>
      </c>
      <c r="I5997" t="s">
        <v>69</v>
      </c>
      <c r="J5997" t="s">
        <v>18</v>
      </c>
      <c r="K5997" t="s">
        <v>19</v>
      </c>
      <c r="L5997" t="s">
        <v>70</v>
      </c>
      <c r="M5997" t="s">
        <v>24</v>
      </c>
      <c r="N5997" t="s">
        <v>29</v>
      </c>
    </row>
    <row r="5998" spans="1:14">
      <c r="A5998" s="4" t="str">
        <f t="shared" si="562"/>
        <v>EXP00211</v>
      </c>
      <c r="B5998" s="4" t="str">
        <f t="shared" si="563"/>
        <v>24921248</v>
      </c>
      <c r="C5998" s="4" t="str">
        <f t="shared" si="564"/>
        <v>GSE56350</v>
      </c>
      <c r="D5998" s="1" t="s">
        <v>323</v>
      </c>
      <c r="E5998" t="s">
        <v>157</v>
      </c>
      <c r="F5998" s="1">
        <v>2</v>
      </c>
      <c r="G5998" s="1" t="s">
        <v>28</v>
      </c>
      <c r="H5998" s="4" t="str">
        <f>HYPERLINK("https://www.ncbi.nlm.nih.gov/geo/query/acc.cgi?acc=GSM1359620","GSM1359620")</f>
        <v>GSM1359620</v>
      </c>
      <c r="I5998" t="s">
        <v>69</v>
      </c>
      <c r="J5998" t="s">
        <v>18</v>
      </c>
      <c r="K5998" t="s">
        <v>19</v>
      </c>
      <c r="L5998" t="s">
        <v>70</v>
      </c>
      <c r="M5998" t="s">
        <v>24</v>
      </c>
      <c r="N5998" t="s">
        <v>29</v>
      </c>
    </row>
    <row r="5999" spans="1:14">
      <c r="A5999" s="4" t="str">
        <f t="shared" si="562"/>
        <v>EXP00211</v>
      </c>
      <c r="B5999" s="4" t="str">
        <f t="shared" si="563"/>
        <v>24921248</v>
      </c>
      <c r="C5999" s="4" t="str">
        <f t="shared" si="564"/>
        <v>GSE56350</v>
      </c>
      <c r="D5999" s="1" t="s">
        <v>323</v>
      </c>
      <c r="E5999" t="s">
        <v>157</v>
      </c>
      <c r="F5999" s="1">
        <v>2</v>
      </c>
      <c r="G5999" s="1" t="s">
        <v>28</v>
      </c>
      <c r="H5999" s="4" t="str">
        <f>HYPERLINK("https://www.ncbi.nlm.nih.gov/geo/query/acc.cgi?acc=GSM1359622","GSM1359622")</f>
        <v>GSM1359622</v>
      </c>
      <c r="I5999" t="s">
        <v>69</v>
      </c>
      <c r="J5999" t="s">
        <v>18</v>
      </c>
      <c r="K5999" t="s">
        <v>19</v>
      </c>
      <c r="L5999" t="s">
        <v>70</v>
      </c>
      <c r="M5999" t="s">
        <v>24</v>
      </c>
      <c r="N5999" t="s">
        <v>29</v>
      </c>
    </row>
    <row r="6000" spans="1:14">
      <c r="A6000" s="4" t="str">
        <f t="shared" si="562"/>
        <v>EXP00211</v>
      </c>
      <c r="B6000" s="4" t="str">
        <f t="shared" si="563"/>
        <v>24921248</v>
      </c>
      <c r="C6000" s="4" t="str">
        <f t="shared" si="564"/>
        <v>GSE56350</v>
      </c>
      <c r="D6000" s="1" t="s">
        <v>323</v>
      </c>
      <c r="E6000" t="s">
        <v>157</v>
      </c>
      <c r="F6000" s="1">
        <v>2</v>
      </c>
      <c r="G6000" s="1" t="s">
        <v>28</v>
      </c>
      <c r="H6000" s="4" t="str">
        <f>HYPERLINK("https://www.ncbi.nlm.nih.gov/geo/query/acc.cgi?acc=GSM1359624","GSM1359624")</f>
        <v>GSM1359624</v>
      </c>
      <c r="I6000" t="s">
        <v>69</v>
      </c>
      <c r="J6000" t="s">
        <v>18</v>
      </c>
      <c r="K6000" t="s">
        <v>19</v>
      </c>
      <c r="L6000" t="s">
        <v>70</v>
      </c>
      <c r="M6000" t="s">
        <v>24</v>
      </c>
      <c r="N6000" t="s">
        <v>29</v>
      </c>
    </row>
    <row r="6001" spans="1:14">
      <c r="A6001" s="4" t="str">
        <f t="shared" ref="A6001:A6032" si="565">HYPERLINK("http://hcmdb.i-sanger.com/experiment/details/experiment_id/EXP00211","EXP00211")</f>
        <v>EXP00211</v>
      </c>
      <c r="B6001" s="4" t="str">
        <f t="shared" si="563"/>
        <v>24921248</v>
      </c>
      <c r="C6001" s="4" t="str">
        <f t="shared" si="564"/>
        <v>GSE56350</v>
      </c>
      <c r="D6001" s="1" t="s">
        <v>323</v>
      </c>
      <c r="E6001" t="s">
        <v>157</v>
      </c>
      <c r="F6001" s="1">
        <v>2</v>
      </c>
      <c r="G6001" s="1" t="s">
        <v>28</v>
      </c>
      <c r="H6001" s="4" t="str">
        <f>HYPERLINK("https://www.ncbi.nlm.nih.gov/geo/query/acc.cgi?acc=GSM1359626","GSM1359626")</f>
        <v>GSM1359626</v>
      </c>
      <c r="I6001" t="s">
        <v>69</v>
      </c>
      <c r="J6001" t="s">
        <v>18</v>
      </c>
      <c r="K6001" t="s">
        <v>19</v>
      </c>
      <c r="L6001" t="s">
        <v>70</v>
      </c>
      <c r="M6001" t="s">
        <v>24</v>
      </c>
      <c r="N6001" t="s">
        <v>29</v>
      </c>
    </row>
    <row r="6002" spans="1:14">
      <c r="A6002" s="4" t="str">
        <f t="shared" si="565"/>
        <v>EXP00211</v>
      </c>
      <c r="B6002" s="4" t="str">
        <f t="shared" si="563"/>
        <v>24921248</v>
      </c>
      <c r="C6002" s="4" t="str">
        <f t="shared" si="564"/>
        <v>GSE56350</v>
      </c>
      <c r="D6002" s="1" t="s">
        <v>323</v>
      </c>
      <c r="E6002" t="s">
        <v>157</v>
      </c>
      <c r="F6002" s="1">
        <v>2</v>
      </c>
      <c r="G6002" s="1" t="s">
        <v>28</v>
      </c>
      <c r="H6002" s="4" t="str">
        <f>HYPERLINK("https://www.ncbi.nlm.nih.gov/geo/query/acc.cgi?acc=GSM1359628","GSM1359628")</f>
        <v>GSM1359628</v>
      </c>
      <c r="I6002" t="s">
        <v>69</v>
      </c>
      <c r="J6002" t="s">
        <v>18</v>
      </c>
      <c r="K6002" t="s">
        <v>19</v>
      </c>
      <c r="L6002" t="s">
        <v>70</v>
      </c>
      <c r="M6002" t="s">
        <v>24</v>
      </c>
      <c r="N6002" t="s">
        <v>29</v>
      </c>
    </row>
    <row r="6003" spans="1:14">
      <c r="A6003" s="4" t="str">
        <f t="shared" si="565"/>
        <v>EXP00211</v>
      </c>
      <c r="B6003" s="4" t="str">
        <f t="shared" si="563"/>
        <v>24921248</v>
      </c>
      <c r="C6003" s="4" t="str">
        <f t="shared" si="564"/>
        <v>GSE56350</v>
      </c>
      <c r="D6003" s="1" t="s">
        <v>323</v>
      </c>
      <c r="E6003" t="s">
        <v>157</v>
      </c>
      <c r="F6003" s="1">
        <v>2</v>
      </c>
      <c r="G6003" s="1" t="s">
        <v>28</v>
      </c>
      <c r="H6003" s="4" t="str">
        <f>HYPERLINK("https://www.ncbi.nlm.nih.gov/geo/query/acc.cgi?acc=GSM1359630","GSM1359630")</f>
        <v>GSM1359630</v>
      </c>
      <c r="I6003" t="s">
        <v>69</v>
      </c>
      <c r="J6003" t="s">
        <v>18</v>
      </c>
      <c r="K6003" t="s">
        <v>19</v>
      </c>
      <c r="L6003" t="s">
        <v>70</v>
      </c>
      <c r="M6003" t="s">
        <v>24</v>
      </c>
      <c r="N6003" t="s">
        <v>29</v>
      </c>
    </row>
    <row r="6004" spans="1:14">
      <c r="A6004" s="4" t="str">
        <f t="shared" si="565"/>
        <v>EXP00211</v>
      </c>
      <c r="B6004" s="4" t="str">
        <f t="shared" si="563"/>
        <v>24921248</v>
      </c>
      <c r="C6004" s="4" t="str">
        <f t="shared" si="564"/>
        <v>GSE56350</v>
      </c>
      <c r="D6004" s="1" t="s">
        <v>323</v>
      </c>
      <c r="E6004" t="s">
        <v>157</v>
      </c>
      <c r="F6004" s="1">
        <v>2</v>
      </c>
      <c r="G6004" s="1" t="s">
        <v>28</v>
      </c>
      <c r="H6004" s="4" t="str">
        <f>HYPERLINK("https://www.ncbi.nlm.nih.gov/geo/query/acc.cgi?acc=GSM1359632","GSM1359632")</f>
        <v>GSM1359632</v>
      </c>
      <c r="I6004" t="s">
        <v>69</v>
      </c>
      <c r="J6004" t="s">
        <v>18</v>
      </c>
      <c r="K6004" t="s">
        <v>19</v>
      </c>
      <c r="L6004" t="s">
        <v>70</v>
      </c>
      <c r="M6004" t="s">
        <v>24</v>
      </c>
      <c r="N6004" t="s">
        <v>29</v>
      </c>
    </row>
    <row r="6005" spans="1:14">
      <c r="A6005" s="4" t="str">
        <f t="shared" si="565"/>
        <v>EXP00211</v>
      </c>
      <c r="B6005" s="4" t="str">
        <f t="shared" si="563"/>
        <v>24921248</v>
      </c>
      <c r="C6005" s="4" t="str">
        <f t="shared" si="564"/>
        <v>GSE56350</v>
      </c>
      <c r="D6005" s="1" t="s">
        <v>323</v>
      </c>
      <c r="E6005" t="s">
        <v>157</v>
      </c>
      <c r="F6005" s="1">
        <v>2</v>
      </c>
      <c r="G6005" s="1" t="s">
        <v>28</v>
      </c>
      <c r="H6005" s="4" t="str">
        <f>HYPERLINK("https://www.ncbi.nlm.nih.gov/geo/query/acc.cgi?acc=GSM1359634","GSM1359634")</f>
        <v>GSM1359634</v>
      </c>
      <c r="I6005" t="s">
        <v>69</v>
      </c>
      <c r="J6005" t="s">
        <v>18</v>
      </c>
      <c r="K6005" t="s">
        <v>19</v>
      </c>
      <c r="L6005" t="s">
        <v>70</v>
      </c>
      <c r="M6005" t="s">
        <v>24</v>
      </c>
      <c r="N6005" t="s">
        <v>29</v>
      </c>
    </row>
    <row r="6006" spans="1:14">
      <c r="A6006" s="4" t="str">
        <f t="shared" si="565"/>
        <v>EXP00211</v>
      </c>
      <c r="B6006" s="4" t="str">
        <f t="shared" si="563"/>
        <v>24921248</v>
      </c>
      <c r="C6006" s="4" t="str">
        <f t="shared" si="564"/>
        <v>GSE56350</v>
      </c>
      <c r="D6006" s="1" t="s">
        <v>323</v>
      </c>
      <c r="E6006" t="s">
        <v>157</v>
      </c>
      <c r="F6006" s="1">
        <v>2</v>
      </c>
      <c r="G6006" s="1" t="s">
        <v>28</v>
      </c>
      <c r="H6006" s="4" t="str">
        <f>HYPERLINK("https://www.ncbi.nlm.nih.gov/geo/query/acc.cgi?acc=GSM1359636","GSM1359636")</f>
        <v>GSM1359636</v>
      </c>
      <c r="I6006" t="s">
        <v>69</v>
      </c>
      <c r="J6006" t="s">
        <v>18</v>
      </c>
      <c r="K6006" t="s">
        <v>19</v>
      </c>
      <c r="L6006" t="s">
        <v>70</v>
      </c>
      <c r="M6006" t="s">
        <v>24</v>
      </c>
      <c r="N6006" t="s">
        <v>29</v>
      </c>
    </row>
    <row r="6007" spans="1:14">
      <c r="A6007" s="4" t="str">
        <f t="shared" si="565"/>
        <v>EXP00211</v>
      </c>
      <c r="B6007" s="4" t="str">
        <f t="shared" si="563"/>
        <v>24921248</v>
      </c>
      <c r="C6007" s="4" t="str">
        <f t="shared" si="564"/>
        <v>GSE56350</v>
      </c>
      <c r="D6007" s="1" t="s">
        <v>323</v>
      </c>
      <c r="E6007" t="s">
        <v>157</v>
      </c>
      <c r="F6007" s="1">
        <v>2</v>
      </c>
      <c r="G6007" s="1" t="s">
        <v>28</v>
      </c>
      <c r="H6007" s="4" t="str">
        <f>HYPERLINK("https://www.ncbi.nlm.nih.gov/geo/query/acc.cgi?acc=GSM1359638","GSM1359638")</f>
        <v>GSM1359638</v>
      </c>
      <c r="I6007" t="s">
        <v>69</v>
      </c>
      <c r="J6007" t="s">
        <v>18</v>
      </c>
      <c r="K6007" t="s">
        <v>19</v>
      </c>
      <c r="L6007" t="s">
        <v>70</v>
      </c>
      <c r="M6007" t="s">
        <v>24</v>
      </c>
      <c r="N6007" t="s">
        <v>29</v>
      </c>
    </row>
    <row r="6008" spans="1:14">
      <c r="A6008" s="4" t="str">
        <f t="shared" si="565"/>
        <v>EXP00211</v>
      </c>
      <c r="B6008" s="4" t="str">
        <f t="shared" si="563"/>
        <v>24921248</v>
      </c>
      <c r="C6008" s="4" t="str">
        <f t="shared" si="564"/>
        <v>GSE56350</v>
      </c>
      <c r="D6008" s="1" t="s">
        <v>323</v>
      </c>
      <c r="E6008" t="s">
        <v>157</v>
      </c>
      <c r="F6008" s="1">
        <v>2</v>
      </c>
      <c r="G6008" s="1" t="s">
        <v>28</v>
      </c>
      <c r="H6008" s="4" t="str">
        <f>HYPERLINK("https://www.ncbi.nlm.nih.gov/geo/query/acc.cgi?acc=GSM1359640","GSM1359640")</f>
        <v>GSM1359640</v>
      </c>
      <c r="I6008" t="s">
        <v>69</v>
      </c>
      <c r="J6008" t="s">
        <v>18</v>
      </c>
      <c r="K6008" t="s">
        <v>19</v>
      </c>
      <c r="L6008" t="s">
        <v>70</v>
      </c>
      <c r="M6008" t="s">
        <v>24</v>
      </c>
      <c r="N6008" t="s">
        <v>29</v>
      </c>
    </row>
    <row r="6009" spans="1:14">
      <c r="A6009" s="4" t="str">
        <f t="shared" si="565"/>
        <v>EXP00211</v>
      </c>
      <c r="B6009" s="4" t="str">
        <f t="shared" si="563"/>
        <v>24921248</v>
      </c>
      <c r="C6009" s="4" t="str">
        <f t="shared" si="564"/>
        <v>GSE56350</v>
      </c>
      <c r="D6009" s="1" t="s">
        <v>323</v>
      </c>
      <c r="E6009" t="s">
        <v>157</v>
      </c>
      <c r="F6009" s="1">
        <v>2</v>
      </c>
      <c r="G6009" s="1" t="s">
        <v>28</v>
      </c>
      <c r="H6009" s="4" t="str">
        <f>HYPERLINK("https://www.ncbi.nlm.nih.gov/geo/query/acc.cgi?acc=GSM1359642","GSM1359642")</f>
        <v>GSM1359642</v>
      </c>
      <c r="I6009" t="s">
        <v>69</v>
      </c>
      <c r="J6009" t="s">
        <v>18</v>
      </c>
      <c r="K6009" t="s">
        <v>19</v>
      </c>
      <c r="L6009" t="s">
        <v>70</v>
      </c>
      <c r="M6009" t="s">
        <v>24</v>
      </c>
      <c r="N6009" t="s">
        <v>29</v>
      </c>
    </row>
    <row r="6010" spans="1:14">
      <c r="A6010" s="4" t="str">
        <f t="shared" si="565"/>
        <v>EXP00211</v>
      </c>
      <c r="B6010" s="4" t="str">
        <f t="shared" si="563"/>
        <v>24921248</v>
      </c>
      <c r="C6010" s="4" t="str">
        <f t="shared" si="564"/>
        <v>GSE56350</v>
      </c>
      <c r="D6010" s="1" t="s">
        <v>323</v>
      </c>
      <c r="E6010" t="s">
        <v>157</v>
      </c>
      <c r="F6010" s="1">
        <v>2</v>
      </c>
      <c r="G6010" s="1" t="s">
        <v>28</v>
      </c>
      <c r="H6010" s="4" t="str">
        <f>HYPERLINK("https://www.ncbi.nlm.nih.gov/geo/query/acc.cgi?acc=GSM1359644","GSM1359644")</f>
        <v>GSM1359644</v>
      </c>
      <c r="I6010" t="s">
        <v>69</v>
      </c>
      <c r="J6010" t="s">
        <v>18</v>
      </c>
      <c r="K6010" t="s">
        <v>19</v>
      </c>
      <c r="L6010" t="s">
        <v>70</v>
      </c>
      <c r="M6010" t="s">
        <v>24</v>
      </c>
      <c r="N6010" t="s">
        <v>29</v>
      </c>
    </row>
    <row r="6011" spans="1:14">
      <c r="A6011" s="4" t="str">
        <f t="shared" si="565"/>
        <v>EXP00211</v>
      </c>
      <c r="B6011" s="4" t="str">
        <f t="shared" si="563"/>
        <v>24921248</v>
      </c>
      <c r="C6011" s="4" t="str">
        <f t="shared" si="564"/>
        <v>GSE56350</v>
      </c>
      <c r="D6011" s="1" t="s">
        <v>323</v>
      </c>
      <c r="E6011" t="s">
        <v>157</v>
      </c>
      <c r="F6011" s="1">
        <v>2</v>
      </c>
      <c r="G6011" s="1" t="s">
        <v>28</v>
      </c>
      <c r="H6011" s="4" t="str">
        <f>HYPERLINK("https://www.ncbi.nlm.nih.gov/geo/query/acc.cgi?acc=GSM1359646","GSM1359646")</f>
        <v>GSM1359646</v>
      </c>
      <c r="I6011" t="s">
        <v>69</v>
      </c>
      <c r="J6011" t="s">
        <v>18</v>
      </c>
      <c r="K6011" t="s">
        <v>19</v>
      </c>
      <c r="L6011" t="s">
        <v>70</v>
      </c>
      <c r="M6011" t="s">
        <v>24</v>
      </c>
      <c r="N6011" t="s">
        <v>29</v>
      </c>
    </row>
    <row r="6012" spans="1:14">
      <c r="A6012" s="4" t="str">
        <f t="shared" si="565"/>
        <v>EXP00211</v>
      </c>
      <c r="B6012" s="4" t="str">
        <f t="shared" si="563"/>
        <v>24921248</v>
      </c>
      <c r="C6012" s="4" t="str">
        <f t="shared" si="564"/>
        <v>GSE56350</v>
      </c>
      <c r="D6012" s="1" t="s">
        <v>323</v>
      </c>
      <c r="E6012" t="s">
        <v>157</v>
      </c>
      <c r="F6012" s="1">
        <v>2</v>
      </c>
      <c r="G6012" s="1" t="s">
        <v>28</v>
      </c>
      <c r="H6012" s="4" t="str">
        <f>HYPERLINK("https://www.ncbi.nlm.nih.gov/geo/query/acc.cgi?acc=GSM1359648","GSM1359648")</f>
        <v>GSM1359648</v>
      </c>
      <c r="I6012" t="s">
        <v>69</v>
      </c>
      <c r="J6012" t="s">
        <v>18</v>
      </c>
      <c r="K6012" t="s">
        <v>19</v>
      </c>
      <c r="L6012" t="s">
        <v>70</v>
      </c>
      <c r="M6012" t="s">
        <v>24</v>
      </c>
      <c r="N6012" t="s">
        <v>29</v>
      </c>
    </row>
    <row r="6013" spans="1:14">
      <c r="A6013" s="4" t="str">
        <f t="shared" si="565"/>
        <v>EXP00211</v>
      </c>
      <c r="B6013" s="4" t="str">
        <f t="shared" si="563"/>
        <v>24921248</v>
      </c>
      <c r="C6013" s="4" t="str">
        <f t="shared" si="564"/>
        <v>GSE56350</v>
      </c>
      <c r="D6013" s="1" t="s">
        <v>323</v>
      </c>
      <c r="E6013" t="s">
        <v>157</v>
      </c>
      <c r="F6013" s="1">
        <v>2</v>
      </c>
      <c r="G6013" s="1" t="s">
        <v>28</v>
      </c>
      <c r="H6013" s="4" t="str">
        <f>HYPERLINK("https://www.ncbi.nlm.nih.gov/geo/query/acc.cgi?acc=GSM1359650","GSM1359650")</f>
        <v>GSM1359650</v>
      </c>
      <c r="I6013" t="s">
        <v>69</v>
      </c>
      <c r="J6013" t="s">
        <v>18</v>
      </c>
      <c r="K6013" t="s">
        <v>19</v>
      </c>
      <c r="L6013" t="s">
        <v>70</v>
      </c>
      <c r="M6013" t="s">
        <v>24</v>
      </c>
      <c r="N6013" t="s">
        <v>29</v>
      </c>
    </row>
    <row r="6014" spans="1:14">
      <c r="A6014" s="4" t="str">
        <f t="shared" si="565"/>
        <v>EXP00211</v>
      </c>
      <c r="B6014" s="4" t="str">
        <f t="shared" si="563"/>
        <v>24921248</v>
      </c>
      <c r="C6014" s="4" t="str">
        <f t="shared" si="564"/>
        <v>GSE56350</v>
      </c>
      <c r="D6014" s="1" t="s">
        <v>323</v>
      </c>
      <c r="E6014" t="s">
        <v>157</v>
      </c>
      <c r="F6014" s="1">
        <v>2</v>
      </c>
      <c r="G6014" s="1" t="s">
        <v>28</v>
      </c>
      <c r="H6014" s="4" t="str">
        <f>HYPERLINK("https://www.ncbi.nlm.nih.gov/geo/query/acc.cgi?acc=GSM1359652","GSM1359652")</f>
        <v>GSM1359652</v>
      </c>
      <c r="I6014" t="s">
        <v>69</v>
      </c>
      <c r="J6014" t="s">
        <v>18</v>
      </c>
      <c r="K6014" t="s">
        <v>19</v>
      </c>
      <c r="L6014" t="s">
        <v>70</v>
      </c>
      <c r="M6014" t="s">
        <v>24</v>
      </c>
      <c r="N6014" t="s">
        <v>29</v>
      </c>
    </row>
    <row r="6015" spans="1:14">
      <c r="A6015" s="4" t="str">
        <f t="shared" si="565"/>
        <v>EXP00211</v>
      </c>
      <c r="B6015" s="4" t="str">
        <f t="shared" si="563"/>
        <v>24921248</v>
      </c>
      <c r="C6015" s="4" t="str">
        <f t="shared" si="564"/>
        <v>GSE56350</v>
      </c>
      <c r="D6015" s="1" t="s">
        <v>323</v>
      </c>
      <c r="E6015" t="s">
        <v>157</v>
      </c>
      <c r="F6015" s="1">
        <v>2</v>
      </c>
      <c r="G6015" s="1" t="s">
        <v>28</v>
      </c>
      <c r="H6015" s="4" t="str">
        <f>HYPERLINK("https://www.ncbi.nlm.nih.gov/geo/query/acc.cgi?acc=GSM1359654","GSM1359654")</f>
        <v>GSM1359654</v>
      </c>
      <c r="I6015" t="s">
        <v>69</v>
      </c>
      <c r="J6015" t="s">
        <v>18</v>
      </c>
      <c r="K6015" t="s">
        <v>19</v>
      </c>
      <c r="L6015" t="s">
        <v>70</v>
      </c>
      <c r="M6015" t="s">
        <v>24</v>
      </c>
      <c r="N6015" t="s">
        <v>29</v>
      </c>
    </row>
    <row r="6016" spans="1:14">
      <c r="A6016" s="4" t="str">
        <f t="shared" si="565"/>
        <v>EXP00211</v>
      </c>
      <c r="B6016" s="4" t="str">
        <f t="shared" si="563"/>
        <v>24921248</v>
      </c>
      <c r="C6016" s="4" t="str">
        <f t="shared" si="564"/>
        <v>GSE56350</v>
      </c>
      <c r="D6016" s="1" t="s">
        <v>323</v>
      </c>
      <c r="E6016" t="s">
        <v>157</v>
      </c>
      <c r="F6016" s="1">
        <v>2</v>
      </c>
      <c r="G6016" s="1" t="s">
        <v>28</v>
      </c>
      <c r="H6016" s="4" t="str">
        <f>HYPERLINK("https://www.ncbi.nlm.nih.gov/geo/query/acc.cgi?acc=GSM1359656","GSM1359656")</f>
        <v>GSM1359656</v>
      </c>
      <c r="I6016" t="s">
        <v>69</v>
      </c>
      <c r="J6016" t="s">
        <v>18</v>
      </c>
      <c r="K6016" t="s">
        <v>19</v>
      </c>
      <c r="L6016" t="s">
        <v>70</v>
      </c>
      <c r="M6016" t="s">
        <v>24</v>
      </c>
      <c r="N6016" t="s">
        <v>29</v>
      </c>
    </row>
    <row r="6017" spans="1:14">
      <c r="A6017" s="4" t="str">
        <f t="shared" si="565"/>
        <v>EXP00211</v>
      </c>
      <c r="B6017" s="4" t="str">
        <f t="shared" si="563"/>
        <v>24921248</v>
      </c>
      <c r="C6017" s="4" t="str">
        <f t="shared" si="564"/>
        <v>GSE56350</v>
      </c>
      <c r="D6017" s="1" t="s">
        <v>323</v>
      </c>
      <c r="E6017" t="s">
        <v>157</v>
      </c>
      <c r="F6017" s="1">
        <v>2</v>
      </c>
      <c r="G6017" s="1" t="s">
        <v>28</v>
      </c>
      <c r="H6017" s="4" t="str">
        <f>HYPERLINK("https://www.ncbi.nlm.nih.gov/geo/query/acc.cgi?acc=GSM1359657","GSM1359657")</f>
        <v>GSM1359657</v>
      </c>
      <c r="I6017" t="s">
        <v>69</v>
      </c>
      <c r="J6017" t="s">
        <v>18</v>
      </c>
      <c r="K6017" t="s">
        <v>19</v>
      </c>
      <c r="L6017" t="s">
        <v>70</v>
      </c>
      <c r="M6017" t="s">
        <v>24</v>
      </c>
      <c r="N6017" t="s">
        <v>29</v>
      </c>
    </row>
    <row r="6018" spans="1:14">
      <c r="A6018" s="4" t="str">
        <f t="shared" si="565"/>
        <v>EXP00211</v>
      </c>
      <c r="B6018" s="4" t="str">
        <f t="shared" si="563"/>
        <v>24921248</v>
      </c>
      <c r="C6018" s="4" t="str">
        <f t="shared" si="564"/>
        <v>GSE56350</v>
      </c>
      <c r="D6018" s="1" t="s">
        <v>323</v>
      </c>
      <c r="E6018" t="s">
        <v>157</v>
      </c>
      <c r="F6018" s="1">
        <v>2</v>
      </c>
      <c r="G6018" s="1" t="s">
        <v>28</v>
      </c>
      <c r="H6018" s="4" t="str">
        <f>HYPERLINK("https://www.ncbi.nlm.nih.gov/geo/query/acc.cgi?acc=GSM1359659","GSM1359659")</f>
        <v>GSM1359659</v>
      </c>
      <c r="I6018" t="s">
        <v>69</v>
      </c>
      <c r="J6018" t="s">
        <v>18</v>
      </c>
      <c r="K6018" t="s">
        <v>19</v>
      </c>
      <c r="L6018" t="s">
        <v>70</v>
      </c>
      <c r="M6018" t="s">
        <v>24</v>
      </c>
      <c r="N6018" t="s">
        <v>29</v>
      </c>
    </row>
    <row r="6019" spans="1:14">
      <c r="A6019" s="4" t="str">
        <f t="shared" si="565"/>
        <v>EXP00211</v>
      </c>
      <c r="B6019" s="4" t="str">
        <f t="shared" si="563"/>
        <v>24921248</v>
      </c>
      <c r="C6019" s="4" t="str">
        <f t="shared" si="564"/>
        <v>GSE56350</v>
      </c>
      <c r="D6019" s="1" t="s">
        <v>323</v>
      </c>
      <c r="E6019" t="s">
        <v>157</v>
      </c>
      <c r="F6019" s="1">
        <v>2</v>
      </c>
      <c r="G6019" s="1" t="s">
        <v>28</v>
      </c>
      <c r="H6019" s="4" t="str">
        <f>HYPERLINK("https://www.ncbi.nlm.nih.gov/geo/query/acc.cgi?acc=GSM1359661","GSM1359661")</f>
        <v>GSM1359661</v>
      </c>
      <c r="I6019" t="s">
        <v>69</v>
      </c>
      <c r="J6019" t="s">
        <v>18</v>
      </c>
      <c r="K6019" t="s">
        <v>19</v>
      </c>
      <c r="L6019" t="s">
        <v>70</v>
      </c>
      <c r="M6019" t="s">
        <v>24</v>
      </c>
      <c r="N6019" t="s">
        <v>29</v>
      </c>
    </row>
    <row r="6020" spans="1:14">
      <c r="A6020" s="4" t="str">
        <f t="shared" si="565"/>
        <v>EXP00211</v>
      </c>
      <c r="B6020" s="4" t="str">
        <f t="shared" si="563"/>
        <v>24921248</v>
      </c>
      <c r="C6020" s="4" t="str">
        <f t="shared" si="564"/>
        <v>GSE56350</v>
      </c>
      <c r="D6020" s="1" t="s">
        <v>323</v>
      </c>
      <c r="E6020" t="s">
        <v>157</v>
      </c>
      <c r="F6020" s="1">
        <v>2</v>
      </c>
      <c r="G6020" s="1" t="s">
        <v>28</v>
      </c>
      <c r="H6020" s="4" t="str">
        <f>HYPERLINK("https://www.ncbi.nlm.nih.gov/geo/query/acc.cgi?acc=GSM1359663","GSM1359663")</f>
        <v>GSM1359663</v>
      </c>
      <c r="I6020" t="s">
        <v>69</v>
      </c>
      <c r="J6020" t="s">
        <v>18</v>
      </c>
      <c r="K6020" t="s">
        <v>19</v>
      </c>
      <c r="L6020" t="s">
        <v>70</v>
      </c>
      <c r="M6020" t="s">
        <v>24</v>
      </c>
      <c r="N6020" t="s">
        <v>29</v>
      </c>
    </row>
    <row r="6021" spans="1:14">
      <c r="A6021" s="4" t="str">
        <f t="shared" si="565"/>
        <v>EXP00211</v>
      </c>
      <c r="B6021" s="4" t="str">
        <f t="shared" si="563"/>
        <v>24921248</v>
      </c>
      <c r="C6021" s="4" t="str">
        <f t="shared" si="564"/>
        <v>GSE56350</v>
      </c>
      <c r="D6021" s="1" t="s">
        <v>323</v>
      </c>
      <c r="E6021" t="s">
        <v>157</v>
      </c>
      <c r="F6021" s="1">
        <v>2</v>
      </c>
      <c r="G6021" s="1" t="s">
        <v>28</v>
      </c>
      <c r="H6021" s="4" t="str">
        <f>HYPERLINK("https://www.ncbi.nlm.nih.gov/geo/query/acc.cgi?acc=GSM1359665","GSM1359665")</f>
        <v>GSM1359665</v>
      </c>
      <c r="I6021" t="s">
        <v>69</v>
      </c>
      <c r="J6021" t="s">
        <v>18</v>
      </c>
      <c r="K6021" t="s">
        <v>19</v>
      </c>
      <c r="L6021" t="s">
        <v>70</v>
      </c>
      <c r="M6021" t="s">
        <v>24</v>
      </c>
      <c r="N6021" t="s">
        <v>29</v>
      </c>
    </row>
    <row r="6022" spans="1:14">
      <c r="A6022" s="4" t="str">
        <f t="shared" si="565"/>
        <v>EXP00211</v>
      </c>
      <c r="B6022" s="4" t="str">
        <f t="shared" si="563"/>
        <v>24921248</v>
      </c>
      <c r="C6022" s="4" t="str">
        <f t="shared" si="564"/>
        <v>GSE56350</v>
      </c>
      <c r="D6022" s="1" t="s">
        <v>323</v>
      </c>
      <c r="E6022" t="s">
        <v>157</v>
      </c>
      <c r="F6022" s="1">
        <v>2</v>
      </c>
      <c r="G6022" s="1" t="s">
        <v>28</v>
      </c>
      <c r="H6022" s="4" t="str">
        <f>HYPERLINK("https://www.ncbi.nlm.nih.gov/geo/query/acc.cgi?acc=GSM1359667","GSM1359667")</f>
        <v>GSM1359667</v>
      </c>
      <c r="I6022" t="s">
        <v>69</v>
      </c>
      <c r="J6022" t="s">
        <v>18</v>
      </c>
      <c r="K6022" t="s">
        <v>19</v>
      </c>
      <c r="L6022" t="s">
        <v>70</v>
      </c>
      <c r="M6022" t="s">
        <v>24</v>
      </c>
      <c r="N6022" t="s">
        <v>29</v>
      </c>
    </row>
    <row r="6023" spans="1:14">
      <c r="A6023" s="4" t="str">
        <f t="shared" si="565"/>
        <v>EXP00211</v>
      </c>
      <c r="B6023" s="4" t="str">
        <f t="shared" si="563"/>
        <v>24921248</v>
      </c>
      <c r="C6023" s="4" t="str">
        <f t="shared" si="564"/>
        <v>GSE56350</v>
      </c>
      <c r="D6023" s="1" t="s">
        <v>323</v>
      </c>
      <c r="E6023" t="s">
        <v>157</v>
      </c>
      <c r="F6023" s="1">
        <v>2</v>
      </c>
      <c r="G6023" s="1" t="s">
        <v>28</v>
      </c>
      <c r="H6023" s="4" t="str">
        <f>HYPERLINK("https://www.ncbi.nlm.nih.gov/geo/query/acc.cgi?acc=GSM1359669","GSM1359669")</f>
        <v>GSM1359669</v>
      </c>
      <c r="I6023" t="s">
        <v>69</v>
      </c>
      <c r="J6023" t="s">
        <v>18</v>
      </c>
      <c r="K6023" t="s">
        <v>19</v>
      </c>
      <c r="L6023" t="s">
        <v>70</v>
      </c>
      <c r="M6023" t="s">
        <v>24</v>
      </c>
      <c r="N6023" t="s">
        <v>29</v>
      </c>
    </row>
    <row r="6024" spans="1:14">
      <c r="A6024" s="4" t="str">
        <f t="shared" si="565"/>
        <v>EXP00211</v>
      </c>
      <c r="B6024" s="4" t="str">
        <f t="shared" si="563"/>
        <v>24921248</v>
      </c>
      <c r="C6024" s="4" t="str">
        <f t="shared" si="564"/>
        <v>GSE56350</v>
      </c>
      <c r="D6024" s="1" t="s">
        <v>323</v>
      </c>
      <c r="E6024" t="s">
        <v>157</v>
      </c>
      <c r="F6024" s="1">
        <v>2</v>
      </c>
      <c r="G6024" s="1" t="s">
        <v>28</v>
      </c>
      <c r="H6024" s="4" t="str">
        <f>HYPERLINK("https://www.ncbi.nlm.nih.gov/geo/query/acc.cgi?acc=GSM1359672","GSM1359672")</f>
        <v>GSM1359672</v>
      </c>
      <c r="I6024" t="s">
        <v>69</v>
      </c>
      <c r="J6024" t="s">
        <v>18</v>
      </c>
      <c r="K6024" t="s">
        <v>19</v>
      </c>
      <c r="L6024" t="s">
        <v>70</v>
      </c>
      <c r="M6024" t="s">
        <v>44</v>
      </c>
      <c r="N6024" t="s">
        <v>29</v>
      </c>
    </row>
    <row r="6025" spans="1:14">
      <c r="A6025" s="4" t="str">
        <f t="shared" si="565"/>
        <v>EXP00211</v>
      </c>
      <c r="B6025" s="4" t="str">
        <f t="shared" si="563"/>
        <v>24921248</v>
      </c>
      <c r="C6025" s="4" t="str">
        <f t="shared" si="564"/>
        <v>GSE56350</v>
      </c>
      <c r="D6025" s="1" t="s">
        <v>323</v>
      </c>
      <c r="E6025" t="s">
        <v>157</v>
      </c>
      <c r="F6025" s="1">
        <v>2</v>
      </c>
      <c r="G6025" s="1" t="s">
        <v>28</v>
      </c>
      <c r="H6025" s="4" t="str">
        <f>HYPERLINK("https://www.ncbi.nlm.nih.gov/geo/query/acc.cgi?acc=GSM1359675","GSM1359675")</f>
        <v>GSM1359675</v>
      </c>
      <c r="I6025" t="s">
        <v>69</v>
      </c>
      <c r="J6025" t="s">
        <v>18</v>
      </c>
      <c r="K6025" t="s">
        <v>19</v>
      </c>
      <c r="L6025" t="s">
        <v>70</v>
      </c>
      <c r="M6025" t="s">
        <v>169</v>
      </c>
      <c r="N6025" t="s">
        <v>29</v>
      </c>
    </row>
    <row r="6026" spans="1:14">
      <c r="A6026" s="4" t="str">
        <f t="shared" si="565"/>
        <v>EXP00211</v>
      </c>
      <c r="B6026" s="4" t="str">
        <f t="shared" si="563"/>
        <v>24921248</v>
      </c>
      <c r="C6026" s="4" t="str">
        <f t="shared" si="564"/>
        <v>GSE56350</v>
      </c>
      <c r="D6026" s="1" t="s">
        <v>323</v>
      </c>
      <c r="E6026" t="s">
        <v>157</v>
      </c>
      <c r="F6026" s="1">
        <v>2</v>
      </c>
      <c r="G6026" s="1" t="s">
        <v>28</v>
      </c>
      <c r="H6026" s="4" t="str">
        <f>HYPERLINK("https://www.ncbi.nlm.nih.gov/geo/query/acc.cgi?acc=GSM1359679","GSM1359679")</f>
        <v>GSM1359679</v>
      </c>
      <c r="I6026" t="s">
        <v>69</v>
      </c>
      <c r="J6026" t="s">
        <v>18</v>
      </c>
      <c r="K6026" t="s">
        <v>19</v>
      </c>
      <c r="L6026" t="s">
        <v>70</v>
      </c>
      <c r="M6026" t="s">
        <v>24</v>
      </c>
      <c r="N6026" t="s">
        <v>29</v>
      </c>
    </row>
    <row r="6027" spans="1:14">
      <c r="A6027" s="4" t="str">
        <f t="shared" si="565"/>
        <v>EXP00211</v>
      </c>
      <c r="B6027" s="4" t="str">
        <f t="shared" si="563"/>
        <v>24921248</v>
      </c>
      <c r="C6027" s="4" t="str">
        <f t="shared" si="564"/>
        <v>GSE56350</v>
      </c>
      <c r="D6027" s="1" t="s">
        <v>323</v>
      </c>
      <c r="E6027" t="s">
        <v>157</v>
      </c>
      <c r="F6027" s="1">
        <v>2</v>
      </c>
      <c r="G6027" s="1" t="s">
        <v>28</v>
      </c>
      <c r="H6027" s="4" t="str">
        <f>HYPERLINK("https://www.ncbi.nlm.nih.gov/geo/query/acc.cgi?acc=GSM1359681","GSM1359681")</f>
        <v>GSM1359681</v>
      </c>
      <c r="I6027" t="s">
        <v>69</v>
      </c>
      <c r="J6027" t="s">
        <v>18</v>
      </c>
      <c r="K6027" t="s">
        <v>19</v>
      </c>
      <c r="L6027" t="s">
        <v>70</v>
      </c>
      <c r="M6027" t="s">
        <v>24</v>
      </c>
      <c r="N6027" t="s">
        <v>29</v>
      </c>
    </row>
    <row r="6028" spans="1:14">
      <c r="A6028" s="4" t="str">
        <f t="shared" si="565"/>
        <v>EXP00211</v>
      </c>
      <c r="B6028" s="4" t="str">
        <f t="shared" si="563"/>
        <v>24921248</v>
      </c>
      <c r="C6028" s="4" t="str">
        <f t="shared" si="564"/>
        <v>GSE56350</v>
      </c>
      <c r="D6028" s="1" t="s">
        <v>323</v>
      </c>
      <c r="E6028" t="s">
        <v>157</v>
      </c>
      <c r="F6028" s="1">
        <v>2</v>
      </c>
      <c r="G6028" s="1" t="s">
        <v>28</v>
      </c>
      <c r="H6028" s="4" t="str">
        <f>HYPERLINK("https://www.ncbi.nlm.nih.gov/geo/query/acc.cgi?acc=GSM1359683","GSM1359683")</f>
        <v>GSM1359683</v>
      </c>
      <c r="I6028" t="s">
        <v>69</v>
      </c>
      <c r="J6028" t="s">
        <v>18</v>
      </c>
      <c r="K6028" t="s">
        <v>19</v>
      </c>
      <c r="L6028" t="s">
        <v>70</v>
      </c>
      <c r="M6028" t="s">
        <v>169</v>
      </c>
      <c r="N6028" t="s">
        <v>29</v>
      </c>
    </row>
    <row r="6029" spans="1:14">
      <c r="A6029" s="4" t="str">
        <f t="shared" si="565"/>
        <v>EXP00211</v>
      </c>
      <c r="B6029" s="4" t="str">
        <f t="shared" si="563"/>
        <v>24921248</v>
      </c>
      <c r="C6029" s="4" t="str">
        <f t="shared" si="564"/>
        <v>GSE56350</v>
      </c>
      <c r="D6029" s="1" t="s">
        <v>323</v>
      </c>
      <c r="E6029" t="s">
        <v>157</v>
      </c>
      <c r="F6029" s="1">
        <v>2</v>
      </c>
      <c r="G6029" s="1" t="s">
        <v>28</v>
      </c>
      <c r="H6029" s="4" t="str">
        <f>HYPERLINK("https://www.ncbi.nlm.nih.gov/geo/query/acc.cgi?acc=GSM1359686","GSM1359686")</f>
        <v>GSM1359686</v>
      </c>
      <c r="I6029" t="s">
        <v>69</v>
      </c>
      <c r="J6029" t="s">
        <v>18</v>
      </c>
      <c r="K6029" t="s">
        <v>19</v>
      </c>
      <c r="L6029" t="s">
        <v>70</v>
      </c>
      <c r="M6029" t="s">
        <v>169</v>
      </c>
      <c r="N6029" t="s">
        <v>29</v>
      </c>
    </row>
    <row r="6030" spans="1:14">
      <c r="A6030" s="4" t="str">
        <f t="shared" si="565"/>
        <v>EXP00211</v>
      </c>
      <c r="B6030" s="4" t="str">
        <f t="shared" si="563"/>
        <v>24921248</v>
      </c>
      <c r="C6030" s="4" t="str">
        <f t="shared" si="564"/>
        <v>GSE56350</v>
      </c>
      <c r="D6030" s="1" t="s">
        <v>323</v>
      </c>
      <c r="E6030" t="s">
        <v>157</v>
      </c>
      <c r="F6030" s="1">
        <v>2</v>
      </c>
      <c r="G6030" s="1" t="s">
        <v>28</v>
      </c>
      <c r="H6030" s="4" t="str">
        <f>HYPERLINK("https://www.ncbi.nlm.nih.gov/geo/query/acc.cgi?acc=GSM1359688","GSM1359688")</f>
        <v>GSM1359688</v>
      </c>
      <c r="I6030" t="s">
        <v>69</v>
      </c>
      <c r="J6030" t="s">
        <v>18</v>
      </c>
      <c r="K6030" t="s">
        <v>19</v>
      </c>
      <c r="L6030" t="s">
        <v>70</v>
      </c>
      <c r="M6030" t="s">
        <v>44</v>
      </c>
      <c r="N6030" t="s">
        <v>29</v>
      </c>
    </row>
    <row r="6031" spans="1:14">
      <c r="A6031" s="4" t="str">
        <f t="shared" si="565"/>
        <v>EXP00211</v>
      </c>
      <c r="B6031" s="4" t="str">
        <f t="shared" si="563"/>
        <v>24921248</v>
      </c>
      <c r="C6031" s="4" t="str">
        <f t="shared" si="564"/>
        <v>GSE56350</v>
      </c>
      <c r="D6031" s="1" t="s">
        <v>323</v>
      </c>
      <c r="E6031" t="s">
        <v>157</v>
      </c>
      <c r="F6031" s="1">
        <v>2</v>
      </c>
      <c r="G6031" s="1" t="s">
        <v>28</v>
      </c>
      <c r="H6031" s="4" t="str">
        <f>HYPERLINK("https://www.ncbi.nlm.nih.gov/geo/query/acc.cgi?acc=GSM1359690","GSM1359690")</f>
        <v>GSM1359690</v>
      </c>
      <c r="I6031" t="s">
        <v>69</v>
      </c>
      <c r="J6031" t="s">
        <v>18</v>
      </c>
      <c r="K6031" t="s">
        <v>19</v>
      </c>
      <c r="L6031" t="s">
        <v>70</v>
      </c>
      <c r="M6031" t="s">
        <v>169</v>
      </c>
      <c r="N6031" t="s">
        <v>29</v>
      </c>
    </row>
    <row r="6032" spans="1:14">
      <c r="A6032" s="4" t="str">
        <f t="shared" si="565"/>
        <v>EXP00211</v>
      </c>
      <c r="B6032" s="4" t="str">
        <f t="shared" si="563"/>
        <v>24921248</v>
      </c>
      <c r="C6032" s="4" t="str">
        <f t="shared" si="564"/>
        <v>GSE56350</v>
      </c>
      <c r="D6032" s="1" t="s">
        <v>323</v>
      </c>
      <c r="E6032" t="s">
        <v>157</v>
      </c>
      <c r="F6032" s="1">
        <v>2</v>
      </c>
      <c r="G6032" s="1" t="s">
        <v>28</v>
      </c>
      <c r="H6032" s="4" t="str">
        <f>HYPERLINK("https://www.ncbi.nlm.nih.gov/geo/query/acc.cgi?acc=GSM1359693","GSM1359693")</f>
        <v>GSM1359693</v>
      </c>
      <c r="I6032" t="s">
        <v>69</v>
      </c>
      <c r="J6032" t="s">
        <v>18</v>
      </c>
      <c r="K6032" t="s">
        <v>19</v>
      </c>
      <c r="L6032" t="s">
        <v>70</v>
      </c>
      <c r="M6032" t="s">
        <v>169</v>
      </c>
      <c r="N6032" t="s">
        <v>29</v>
      </c>
    </row>
    <row r="6033" spans="1:14">
      <c r="A6033" s="4" t="str">
        <f t="shared" ref="A6033:A6040" si="566">HYPERLINK("http://hcmdb.i-sanger.com/experiment/details/experiment_id/EXP00211","EXP00211")</f>
        <v>EXP00211</v>
      </c>
      <c r="B6033" s="4" t="str">
        <f t="shared" si="563"/>
        <v>24921248</v>
      </c>
      <c r="C6033" s="4" t="str">
        <f t="shared" si="564"/>
        <v>GSE56350</v>
      </c>
      <c r="D6033" s="1" t="s">
        <v>323</v>
      </c>
      <c r="E6033" t="s">
        <v>157</v>
      </c>
      <c r="F6033" s="1">
        <v>2</v>
      </c>
      <c r="G6033" s="1" t="s">
        <v>28</v>
      </c>
      <c r="H6033" s="4" t="str">
        <f>HYPERLINK("https://www.ncbi.nlm.nih.gov/geo/query/acc.cgi?acc=GSM1359697","GSM1359697")</f>
        <v>GSM1359697</v>
      </c>
      <c r="I6033" t="s">
        <v>69</v>
      </c>
      <c r="J6033" t="s">
        <v>18</v>
      </c>
      <c r="K6033" t="s">
        <v>19</v>
      </c>
      <c r="L6033" t="s">
        <v>70</v>
      </c>
      <c r="M6033" t="s">
        <v>169</v>
      </c>
      <c r="N6033" t="s">
        <v>29</v>
      </c>
    </row>
    <row r="6034" spans="1:14">
      <c r="A6034" s="4" t="str">
        <f t="shared" si="566"/>
        <v>EXP00211</v>
      </c>
      <c r="B6034" s="4" t="str">
        <f t="shared" si="563"/>
        <v>24921248</v>
      </c>
      <c r="C6034" s="4" t="str">
        <f t="shared" si="564"/>
        <v>GSE56350</v>
      </c>
      <c r="D6034" s="1" t="s">
        <v>323</v>
      </c>
      <c r="E6034" t="s">
        <v>157</v>
      </c>
      <c r="F6034" s="1">
        <v>2</v>
      </c>
      <c r="G6034" s="1" t="s">
        <v>28</v>
      </c>
      <c r="H6034" s="4" t="str">
        <f>HYPERLINK("https://www.ncbi.nlm.nih.gov/geo/query/acc.cgi?acc=GSM1359698","GSM1359698")</f>
        <v>GSM1359698</v>
      </c>
      <c r="I6034" t="s">
        <v>69</v>
      </c>
      <c r="J6034" t="s">
        <v>18</v>
      </c>
      <c r="K6034" t="s">
        <v>19</v>
      </c>
      <c r="L6034" t="s">
        <v>70</v>
      </c>
      <c r="M6034" t="s">
        <v>169</v>
      </c>
      <c r="N6034" t="s">
        <v>29</v>
      </c>
    </row>
    <row r="6035" spans="1:14">
      <c r="A6035" s="4" t="str">
        <f t="shared" si="566"/>
        <v>EXP00211</v>
      </c>
      <c r="B6035" s="4" t="str">
        <f t="shared" si="563"/>
        <v>24921248</v>
      </c>
      <c r="C6035" s="4" t="str">
        <f t="shared" si="564"/>
        <v>GSE56350</v>
      </c>
      <c r="D6035" s="1" t="s">
        <v>323</v>
      </c>
      <c r="E6035" t="s">
        <v>157</v>
      </c>
      <c r="F6035" s="1">
        <v>2</v>
      </c>
      <c r="G6035" s="1" t="s">
        <v>28</v>
      </c>
      <c r="H6035" s="4" t="str">
        <f>HYPERLINK("https://www.ncbi.nlm.nih.gov/geo/query/acc.cgi?acc=GSM1359701","GSM1359701")</f>
        <v>GSM1359701</v>
      </c>
      <c r="I6035" t="s">
        <v>69</v>
      </c>
      <c r="J6035" t="s">
        <v>18</v>
      </c>
      <c r="K6035" t="s">
        <v>19</v>
      </c>
      <c r="L6035" t="s">
        <v>70</v>
      </c>
      <c r="M6035" t="s">
        <v>169</v>
      </c>
      <c r="N6035" t="s">
        <v>29</v>
      </c>
    </row>
    <row r="6036" spans="1:14">
      <c r="A6036" s="4" t="str">
        <f t="shared" si="566"/>
        <v>EXP00211</v>
      </c>
      <c r="B6036" s="4" t="str">
        <f t="shared" si="563"/>
        <v>24921248</v>
      </c>
      <c r="C6036" s="4" t="str">
        <f t="shared" si="564"/>
        <v>GSE56350</v>
      </c>
      <c r="D6036" s="1" t="s">
        <v>323</v>
      </c>
      <c r="E6036" t="s">
        <v>157</v>
      </c>
      <c r="F6036" s="1">
        <v>2</v>
      </c>
      <c r="G6036" s="1" t="s">
        <v>28</v>
      </c>
      <c r="H6036" s="4" t="str">
        <f>HYPERLINK("https://www.ncbi.nlm.nih.gov/geo/query/acc.cgi?acc=GSM1359704","GSM1359704")</f>
        <v>GSM1359704</v>
      </c>
      <c r="I6036" t="s">
        <v>69</v>
      </c>
      <c r="J6036" t="s">
        <v>18</v>
      </c>
      <c r="K6036" t="s">
        <v>19</v>
      </c>
      <c r="L6036" t="s">
        <v>70</v>
      </c>
      <c r="M6036" t="s">
        <v>169</v>
      </c>
      <c r="N6036" t="s">
        <v>29</v>
      </c>
    </row>
    <row r="6037" spans="1:14">
      <c r="A6037" s="4" t="str">
        <f t="shared" si="566"/>
        <v>EXP00211</v>
      </c>
      <c r="B6037" s="4" t="str">
        <f t="shared" si="563"/>
        <v>24921248</v>
      </c>
      <c r="C6037" s="4" t="str">
        <f t="shared" si="564"/>
        <v>GSE56350</v>
      </c>
      <c r="D6037" s="1" t="s">
        <v>323</v>
      </c>
      <c r="E6037" t="s">
        <v>157</v>
      </c>
      <c r="F6037" s="1">
        <v>2</v>
      </c>
      <c r="G6037" s="1" t="s">
        <v>28</v>
      </c>
      <c r="H6037" s="4" t="str">
        <f>HYPERLINK("https://www.ncbi.nlm.nih.gov/geo/query/acc.cgi?acc=GSM1359707","GSM1359707")</f>
        <v>GSM1359707</v>
      </c>
      <c r="I6037" t="s">
        <v>69</v>
      </c>
      <c r="J6037" t="s">
        <v>18</v>
      </c>
      <c r="K6037" t="s">
        <v>19</v>
      </c>
      <c r="L6037" t="s">
        <v>70</v>
      </c>
      <c r="M6037" t="s">
        <v>169</v>
      </c>
      <c r="N6037" t="s">
        <v>29</v>
      </c>
    </row>
    <row r="6038" spans="1:14">
      <c r="A6038" s="4" t="str">
        <f t="shared" si="566"/>
        <v>EXP00211</v>
      </c>
      <c r="B6038" s="4" t="str">
        <f t="shared" si="563"/>
        <v>24921248</v>
      </c>
      <c r="C6038" s="4" t="str">
        <f t="shared" si="564"/>
        <v>GSE56350</v>
      </c>
      <c r="D6038" s="1" t="s">
        <v>323</v>
      </c>
      <c r="E6038" t="s">
        <v>157</v>
      </c>
      <c r="F6038" s="1">
        <v>2</v>
      </c>
      <c r="G6038" s="1" t="s">
        <v>28</v>
      </c>
      <c r="H6038" s="4" t="str">
        <f>HYPERLINK("https://www.ncbi.nlm.nih.gov/geo/query/acc.cgi?acc=GSM1359710","GSM1359710")</f>
        <v>GSM1359710</v>
      </c>
      <c r="I6038" t="s">
        <v>69</v>
      </c>
      <c r="J6038" t="s">
        <v>18</v>
      </c>
      <c r="K6038" t="s">
        <v>19</v>
      </c>
      <c r="L6038" t="s">
        <v>70</v>
      </c>
      <c r="M6038" t="s">
        <v>169</v>
      </c>
      <c r="N6038" t="s">
        <v>29</v>
      </c>
    </row>
    <row r="6039" spans="1:14">
      <c r="A6039" s="4" t="str">
        <f t="shared" si="566"/>
        <v>EXP00211</v>
      </c>
      <c r="B6039" s="4" t="str">
        <f t="shared" si="563"/>
        <v>24921248</v>
      </c>
      <c r="C6039" s="4" t="str">
        <f t="shared" si="564"/>
        <v>GSE56350</v>
      </c>
      <c r="D6039" s="1" t="s">
        <v>323</v>
      </c>
      <c r="E6039" t="s">
        <v>157</v>
      </c>
      <c r="F6039" s="1">
        <v>2</v>
      </c>
      <c r="G6039" s="1" t="s">
        <v>28</v>
      </c>
      <c r="H6039" s="4" t="str">
        <f>HYPERLINK("https://www.ncbi.nlm.nih.gov/geo/query/acc.cgi?acc=GSM1359713","GSM1359713")</f>
        <v>GSM1359713</v>
      </c>
      <c r="I6039" t="s">
        <v>69</v>
      </c>
      <c r="J6039" t="s">
        <v>18</v>
      </c>
      <c r="K6039" t="s">
        <v>19</v>
      </c>
      <c r="L6039" t="s">
        <v>70</v>
      </c>
      <c r="M6039" t="s">
        <v>169</v>
      </c>
      <c r="N6039" t="s">
        <v>29</v>
      </c>
    </row>
    <row r="6040" spans="1:14">
      <c r="A6040" s="4" t="str">
        <f t="shared" si="566"/>
        <v>EXP00211</v>
      </c>
      <c r="B6040" s="4" t="str">
        <f t="shared" si="563"/>
        <v>24921248</v>
      </c>
      <c r="C6040" s="4" t="str">
        <f t="shared" si="564"/>
        <v>GSE56350</v>
      </c>
      <c r="D6040" s="1" t="s">
        <v>323</v>
      </c>
      <c r="E6040" t="s">
        <v>157</v>
      </c>
      <c r="F6040" s="1">
        <v>2</v>
      </c>
      <c r="G6040" s="1" t="s">
        <v>28</v>
      </c>
      <c r="H6040" s="4" t="str">
        <f>HYPERLINK("https://www.ncbi.nlm.nih.gov/geo/query/acc.cgi?acc=GSM1359716","GSM1359716")</f>
        <v>GSM1359716</v>
      </c>
      <c r="I6040" t="s">
        <v>69</v>
      </c>
      <c r="J6040" t="s">
        <v>18</v>
      </c>
      <c r="K6040" t="s">
        <v>19</v>
      </c>
      <c r="L6040" t="s">
        <v>70</v>
      </c>
      <c r="M6040" t="s">
        <v>44</v>
      </c>
      <c r="N6040" t="s">
        <v>29</v>
      </c>
    </row>
    <row r="6041" spans="1:14">
      <c r="A6041" s="4" t="str">
        <f t="shared" ref="A6041:A6064" si="567">HYPERLINK("http://hcmdb.i-sanger.com/experiment/details/experiment_id/EXP00212","EXP00212")</f>
        <v>EXP00212</v>
      </c>
      <c r="B6041" s="4" t="str">
        <f t="shared" ref="B6041:B6104" si="568">HYPERLINK("https://www.ncbi.nlm.nih.gov/pubmed/25361981","25361981")</f>
        <v>25361981</v>
      </c>
      <c r="C6041" s="4" t="str">
        <f t="shared" ref="C6041:C6104" si="569">HYPERLINK("https://www.ncbi.nlm.nih.gov/geo/query/acc.cgi?acc=GSE56493","GSE56493")</f>
        <v>GSE56493</v>
      </c>
      <c r="D6041" s="1" t="s">
        <v>298</v>
      </c>
      <c r="E6041" t="s">
        <v>15</v>
      </c>
      <c r="F6041" s="1">
        <v>1</v>
      </c>
      <c r="G6041" s="1" t="s">
        <v>67</v>
      </c>
      <c r="H6041" s="4" t="str">
        <f>HYPERLINK("https://www.ncbi.nlm.nih.gov/geo/query/acc.cgi?acc=GSM1362546","GSM1362546")</f>
        <v>GSM1362546</v>
      </c>
      <c r="I6041" t="s">
        <v>17</v>
      </c>
      <c r="J6041" t="s">
        <v>18</v>
      </c>
      <c r="K6041" t="s">
        <v>19</v>
      </c>
      <c r="L6041" t="s">
        <v>20</v>
      </c>
      <c r="M6041" t="s">
        <v>50</v>
      </c>
      <c r="N6041" t="s">
        <v>22</v>
      </c>
    </row>
    <row r="6042" spans="1:14">
      <c r="A6042" s="4" t="str">
        <f t="shared" si="567"/>
        <v>EXP00212</v>
      </c>
      <c r="B6042" s="4" t="str">
        <f t="shared" si="568"/>
        <v>25361981</v>
      </c>
      <c r="C6042" s="4" t="str">
        <f t="shared" si="569"/>
        <v>GSE56493</v>
      </c>
      <c r="D6042" s="1" t="s">
        <v>298</v>
      </c>
      <c r="E6042" t="s">
        <v>15</v>
      </c>
      <c r="F6042" s="1">
        <v>1</v>
      </c>
      <c r="G6042" s="1" t="s">
        <v>67</v>
      </c>
      <c r="H6042" s="4" t="str">
        <f>HYPERLINK("https://www.ncbi.nlm.nih.gov/geo/query/acc.cgi?acc=GSM1362582","GSM1362582")</f>
        <v>GSM1362582</v>
      </c>
      <c r="I6042" t="s">
        <v>17</v>
      </c>
      <c r="J6042" t="s">
        <v>18</v>
      </c>
      <c r="K6042" t="s">
        <v>19</v>
      </c>
      <c r="L6042" t="s">
        <v>20</v>
      </c>
      <c r="M6042" t="s">
        <v>50</v>
      </c>
      <c r="N6042" t="s">
        <v>22</v>
      </c>
    </row>
    <row r="6043" spans="1:14">
      <c r="A6043" s="4" t="str">
        <f t="shared" si="567"/>
        <v>EXP00212</v>
      </c>
      <c r="B6043" s="4" t="str">
        <f t="shared" si="568"/>
        <v>25361981</v>
      </c>
      <c r="C6043" s="4" t="str">
        <f t="shared" si="569"/>
        <v>GSE56493</v>
      </c>
      <c r="D6043" s="1" t="s">
        <v>298</v>
      </c>
      <c r="E6043" t="s">
        <v>15</v>
      </c>
      <c r="F6043" s="1">
        <v>1</v>
      </c>
      <c r="G6043" s="1" t="s">
        <v>67</v>
      </c>
      <c r="H6043" s="4" t="str">
        <f>HYPERLINK("https://www.ncbi.nlm.nih.gov/geo/query/acc.cgi?acc=GSM1362588","GSM1362588")</f>
        <v>GSM1362588</v>
      </c>
      <c r="I6043" t="s">
        <v>17</v>
      </c>
      <c r="J6043" t="s">
        <v>18</v>
      </c>
      <c r="K6043" t="s">
        <v>19</v>
      </c>
      <c r="L6043" t="s">
        <v>20</v>
      </c>
      <c r="M6043" t="s">
        <v>50</v>
      </c>
      <c r="N6043" t="s">
        <v>22</v>
      </c>
    </row>
    <row r="6044" spans="1:14">
      <c r="A6044" s="4" t="str">
        <f t="shared" si="567"/>
        <v>EXP00212</v>
      </c>
      <c r="B6044" s="4" t="str">
        <f t="shared" si="568"/>
        <v>25361981</v>
      </c>
      <c r="C6044" s="4" t="str">
        <f t="shared" si="569"/>
        <v>GSE56493</v>
      </c>
      <c r="D6044" s="1" t="s">
        <v>298</v>
      </c>
      <c r="E6044" t="s">
        <v>15</v>
      </c>
      <c r="F6044" s="1">
        <v>1</v>
      </c>
      <c r="G6044" s="1" t="s">
        <v>67</v>
      </c>
      <c r="H6044" s="4" t="str">
        <f>HYPERLINK("https://www.ncbi.nlm.nih.gov/geo/query/acc.cgi?acc=GSM1362605","GSM1362605")</f>
        <v>GSM1362605</v>
      </c>
      <c r="I6044" t="s">
        <v>17</v>
      </c>
      <c r="J6044" t="s">
        <v>18</v>
      </c>
      <c r="K6044" t="s">
        <v>19</v>
      </c>
      <c r="L6044" t="s">
        <v>20</v>
      </c>
      <c r="M6044" t="s">
        <v>50</v>
      </c>
      <c r="N6044" t="s">
        <v>22</v>
      </c>
    </row>
    <row r="6045" spans="1:14">
      <c r="A6045" s="4" t="str">
        <f t="shared" si="567"/>
        <v>EXP00212</v>
      </c>
      <c r="B6045" s="4" t="str">
        <f t="shared" si="568"/>
        <v>25361981</v>
      </c>
      <c r="C6045" s="4" t="str">
        <f t="shared" si="569"/>
        <v>GSE56493</v>
      </c>
      <c r="D6045" s="1" t="s">
        <v>298</v>
      </c>
      <c r="E6045" t="s">
        <v>15</v>
      </c>
      <c r="F6045" s="1">
        <v>1</v>
      </c>
      <c r="G6045" s="1" t="s">
        <v>67</v>
      </c>
      <c r="H6045" s="4" t="str">
        <f>HYPERLINK("https://www.ncbi.nlm.nih.gov/geo/query/acc.cgi?acc=GSM1362631","GSM1362631")</f>
        <v>GSM1362631</v>
      </c>
      <c r="I6045" t="s">
        <v>17</v>
      </c>
      <c r="J6045" t="s">
        <v>18</v>
      </c>
      <c r="K6045" t="s">
        <v>19</v>
      </c>
      <c r="L6045" t="s">
        <v>20</v>
      </c>
      <c r="M6045" t="s">
        <v>50</v>
      </c>
      <c r="N6045" t="s">
        <v>22</v>
      </c>
    </row>
    <row r="6046" spans="1:14">
      <c r="A6046" s="4" t="str">
        <f t="shared" si="567"/>
        <v>EXP00212</v>
      </c>
      <c r="B6046" s="4" t="str">
        <f t="shared" si="568"/>
        <v>25361981</v>
      </c>
      <c r="C6046" s="4" t="str">
        <f t="shared" si="569"/>
        <v>GSE56493</v>
      </c>
      <c r="D6046" s="1" t="s">
        <v>298</v>
      </c>
      <c r="E6046" t="s">
        <v>15</v>
      </c>
      <c r="F6046" s="1">
        <v>2</v>
      </c>
      <c r="G6046" s="1" t="s">
        <v>299</v>
      </c>
      <c r="H6046" s="4" t="str">
        <f>HYPERLINK("https://www.ncbi.nlm.nih.gov/geo/query/acc.cgi?acc=GSM1362518","GSM1362518")</f>
        <v>GSM1362518</v>
      </c>
      <c r="I6046" t="s">
        <v>17</v>
      </c>
      <c r="J6046" t="s">
        <v>18</v>
      </c>
      <c r="K6046" t="s">
        <v>19</v>
      </c>
      <c r="L6046" t="s">
        <v>20</v>
      </c>
      <c r="M6046" t="s">
        <v>20</v>
      </c>
      <c r="N6046" t="s">
        <v>22</v>
      </c>
    </row>
    <row r="6047" spans="1:14">
      <c r="A6047" s="4" t="str">
        <f t="shared" si="567"/>
        <v>EXP00212</v>
      </c>
      <c r="B6047" s="4" t="str">
        <f t="shared" si="568"/>
        <v>25361981</v>
      </c>
      <c r="C6047" s="4" t="str">
        <f t="shared" si="569"/>
        <v>GSE56493</v>
      </c>
      <c r="D6047" s="1" t="s">
        <v>298</v>
      </c>
      <c r="E6047" t="s">
        <v>15</v>
      </c>
      <c r="F6047" s="1">
        <v>2</v>
      </c>
      <c r="G6047" s="1" t="s">
        <v>299</v>
      </c>
      <c r="H6047" s="4" t="str">
        <f>HYPERLINK("https://www.ncbi.nlm.nih.gov/geo/query/acc.cgi?acc=GSM1362520","GSM1362520")</f>
        <v>GSM1362520</v>
      </c>
      <c r="I6047" t="s">
        <v>17</v>
      </c>
      <c r="J6047" t="s">
        <v>18</v>
      </c>
      <c r="K6047" t="s">
        <v>19</v>
      </c>
      <c r="L6047" t="s">
        <v>20</v>
      </c>
      <c r="M6047" t="s">
        <v>20</v>
      </c>
      <c r="N6047" t="s">
        <v>22</v>
      </c>
    </row>
    <row r="6048" spans="1:14">
      <c r="A6048" s="4" t="str">
        <f t="shared" si="567"/>
        <v>EXP00212</v>
      </c>
      <c r="B6048" s="4" t="str">
        <f t="shared" si="568"/>
        <v>25361981</v>
      </c>
      <c r="C6048" s="4" t="str">
        <f t="shared" si="569"/>
        <v>GSE56493</v>
      </c>
      <c r="D6048" s="1" t="s">
        <v>298</v>
      </c>
      <c r="E6048" t="s">
        <v>15</v>
      </c>
      <c r="F6048" s="1">
        <v>2</v>
      </c>
      <c r="G6048" s="1" t="s">
        <v>299</v>
      </c>
      <c r="H6048" s="4" t="str">
        <f>HYPERLINK("https://www.ncbi.nlm.nih.gov/geo/query/acc.cgi?acc=GSM1362555","GSM1362555")</f>
        <v>GSM1362555</v>
      </c>
      <c r="I6048" t="s">
        <v>17</v>
      </c>
      <c r="J6048" t="s">
        <v>18</v>
      </c>
      <c r="K6048" t="s">
        <v>19</v>
      </c>
      <c r="L6048" t="s">
        <v>20</v>
      </c>
      <c r="M6048" t="s">
        <v>20</v>
      </c>
      <c r="N6048" t="s">
        <v>22</v>
      </c>
    </row>
    <row r="6049" spans="1:14">
      <c r="A6049" s="4" t="str">
        <f t="shared" si="567"/>
        <v>EXP00212</v>
      </c>
      <c r="B6049" s="4" t="str">
        <f t="shared" si="568"/>
        <v>25361981</v>
      </c>
      <c r="C6049" s="4" t="str">
        <f t="shared" si="569"/>
        <v>GSE56493</v>
      </c>
      <c r="D6049" s="1" t="s">
        <v>298</v>
      </c>
      <c r="E6049" t="s">
        <v>15</v>
      </c>
      <c r="F6049" s="1">
        <v>2</v>
      </c>
      <c r="G6049" s="1" t="s">
        <v>299</v>
      </c>
      <c r="H6049" s="4" t="str">
        <f>HYPERLINK("https://www.ncbi.nlm.nih.gov/geo/query/acc.cgi?acc=GSM1362558","GSM1362558")</f>
        <v>GSM1362558</v>
      </c>
      <c r="I6049" t="s">
        <v>17</v>
      </c>
      <c r="J6049" t="s">
        <v>18</v>
      </c>
      <c r="K6049" t="s">
        <v>19</v>
      </c>
      <c r="L6049" t="s">
        <v>20</v>
      </c>
      <c r="M6049" t="s">
        <v>20</v>
      </c>
      <c r="N6049" t="s">
        <v>22</v>
      </c>
    </row>
    <row r="6050" spans="1:14">
      <c r="A6050" s="4" t="str">
        <f t="shared" si="567"/>
        <v>EXP00212</v>
      </c>
      <c r="B6050" s="4" t="str">
        <f t="shared" si="568"/>
        <v>25361981</v>
      </c>
      <c r="C6050" s="4" t="str">
        <f t="shared" si="569"/>
        <v>GSE56493</v>
      </c>
      <c r="D6050" s="1" t="s">
        <v>298</v>
      </c>
      <c r="E6050" t="s">
        <v>15</v>
      </c>
      <c r="F6050" s="1">
        <v>2</v>
      </c>
      <c r="G6050" s="1" t="s">
        <v>299</v>
      </c>
      <c r="H6050" s="4" t="str">
        <f>HYPERLINK("https://www.ncbi.nlm.nih.gov/geo/query/acc.cgi?acc=GSM1362559","GSM1362559")</f>
        <v>GSM1362559</v>
      </c>
      <c r="I6050" t="s">
        <v>17</v>
      </c>
      <c r="J6050" t="s">
        <v>18</v>
      </c>
      <c r="K6050" t="s">
        <v>19</v>
      </c>
      <c r="L6050" t="s">
        <v>20</v>
      </c>
      <c r="M6050" t="s">
        <v>20</v>
      </c>
      <c r="N6050" t="s">
        <v>22</v>
      </c>
    </row>
    <row r="6051" spans="1:14">
      <c r="A6051" s="4" t="str">
        <f t="shared" si="567"/>
        <v>EXP00212</v>
      </c>
      <c r="B6051" s="4" t="str">
        <f t="shared" si="568"/>
        <v>25361981</v>
      </c>
      <c r="C6051" s="4" t="str">
        <f t="shared" si="569"/>
        <v>GSE56493</v>
      </c>
      <c r="D6051" s="1" t="s">
        <v>298</v>
      </c>
      <c r="E6051" t="s">
        <v>15</v>
      </c>
      <c r="F6051" s="1">
        <v>2</v>
      </c>
      <c r="G6051" s="1" t="s">
        <v>299</v>
      </c>
      <c r="H6051" s="4" t="str">
        <f>HYPERLINK("https://www.ncbi.nlm.nih.gov/geo/query/acc.cgi?acc=GSM1362564","GSM1362564")</f>
        <v>GSM1362564</v>
      </c>
      <c r="I6051" t="s">
        <v>17</v>
      </c>
      <c r="J6051" t="s">
        <v>18</v>
      </c>
      <c r="K6051" t="s">
        <v>19</v>
      </c>
      <c r="L6051" t="s">
        <v>20</v>
      </c>
      <c r="M6051" t="s">
        <v>20</v>
      </c>
      <c r="N6051" t="s">
        <v>22</v>
      </c>
    </row>
    <row r="6052" spans="1:14">
      <c r="A6052" s="4" t="str">
        <f t="shared" si="567"/>
        <v>EXP00212</v>
      </c>
      <c r="B6052" s="4" t="str">
        <f t="shared" si="568"/>
        <v>25361981</v>
      </c>
      <c r="C6052" s="4" t="str">
        <f t="shared" si="569"/>
        <v>GSE56493</v>
      </c>
      <c r="D6052" s="1" t="s">
        <v>298</v>
      </c>
      <c r="E6052" t="s">
        <v>15</v>
      </c>
      <c r="F6052" s="1">
        <v>2</v>
      </c>
      <c r="G6052" s="1" t="s">
        <v>299</v>
      </c>
      <c r="H6052" s="4" t="str">
        <f>HYPERLINK("https://www.ncbi.nlm.nih.gov/geo/query/acc.cgi?acc=GSM1362576","GSM1362576")</f>
        <v>GSM1362576</v>
      </c>
      <c r="I6052" t="s">
        <v>17</v>
      </c>
      <c r="J6052" t="s">
        <v>18</v>
      </c>
      <c r="K6052" t="s">
        <v>19</v>
      </c>
      <c r="L6052" t="s">
        <v>20</v>
      </c>
      <c r="M6052" t="s">
        <v>20</v>
      </c>
      <c r="N6052" t="s">
        <v>22</v>
      </c>
    </row>
    <row r="6053" spans="1:14">
      <c r="A6053" s="4" t="str">
        <f t="shared" si="567"/>
        <v>EXP00212</v>
      </c>
      <c r="B6053" s="4" t="str">
        <f t="shared" si="568"/>
        <v>25361981</v>
      </c>
      <c r="C6053" s="4" t="str">
        <f t="shared" si="569"/>
        <v>GSE56493</v>
      </c>
      <c r="D6053" s="1" t="s">
        <v>298</v>
      </c>
      <c r="E6053" t="s">
        <v>15</v>
      </c>
      <c r="F6053" s="1">
        <v>2</v>
      </c>
      <c r="G6053" s="1" t="s">
        <v>299</v>
      </c>
      <c r="H6053" s="4" t="str">
        <f>HYPERLINK("https://www.ncbi.nlm.nih.gov/geo/query/acc.cgi?acc=GSM1362578","GSM1362578")</f>
        <v>GSM1362578</v>
      </c>
      <c r="I6053" t="s">
        <v>17</v>
      </c>
      <c r="J6053" t="s">
        <v>18</v>
      </c>
      <c r="K6053" t="s">
        <v>19</v>
      </c>
      <c r="L6053" t="s">
        <v>20</v>
      </c>
      <c r="M6053" t="s">
        <v>20</v>
      </c>
      <c r="N6053" t="s">
        <v>22</v>
      </c>
    </row>
    <row r="6054" spans="1:14">
      <c r="A6054" s="4" t="str">
        <f t="shared" si="567"/>
        <v>EXP00212</v>
      </c>
      <c r="B6054" s="4" t="str">
        <f t="shared" si="568"/>
        <v>25361981</v>
      </c>
      <c r="C6054" s="4" t="str">
        <f t="shared" si="569"/>
        <v>GSE56493</v>
      </c>
      <c r="D6054" s="1" t="s">
        <v>298</v>
      </c>
      <c r="E6054" t="s">
        <v>15</v>
      </c>
      <c r="F6054" s="1">
        <v>2</v>
      </c>
      <c r="G6054" s="1" t="s">
        <v>299</v>
      </c>
      <c r="H6054" s="4" t="str">
        <f>HYPERLINK("https://www.ncbi.nlm.nih.gov/geo/query/acc.cgi?acc=GSM1362593","GSM1362593")</f>
        <v>GSM1362593</v>
      </c>
      <c r="I6054" t="s">
        <v>17</v>
      </c>
      <c r="J6054" t="s">
        <v>18</v>
      </c>
      <c r="K6054" t="s">
        <v>19</v>
      </c>
      <c r="L6054" t="s">
        <v>20</v>
      </c>
      <c r="M6054" t="s">
        <v>20</v>
      </c>
      <c r="N6054" t="s">
        <v>22</v>
      </c>
    </row>
    <row r="6055" spans="1:14">
      <c r="A6055" s="4" t="str">
        <f t="shared" si="567"/>
        <v>EXP00212</v>
      </c>
      <c r="B6055" s="4" t="str">
        <f t="shared" si="568"/>
        <v>25361981</v>
      </c>
      <c r="C6055" s="4" t="str">
        <f t="shared" si="569"/>
        <v>GSE56493</v>
      </c>
      <c r="D6055" s="1" t="s">
        <v>298</v>
      </c>
      <c r="E6055" t="s">
        <v>15</v>
      </c>
      <c r="F6055" s="1">
        <v>2</v>
      </c>
      <c r="G6055" s="1" t="s">
        <v>299</v>
      </c>
      <c r="H6055" s="4" t="str">
        <f>HYPERLINK("https://www.ncbi.nlm.nih.gov/geo/query/acc.cgi?acc=GSM1362597","GSM1362597")</f>
        <v>GSM1362597</v>
      </c>
      <c r="I6055" t="s">
        <v>17</v>
      </c>
      <c r="J6055" t="s">
        <v>18</v>
      </c>
      <c r="K6055" t="s">
        <v>19</v>
      </c>
      <c r="L6055" t="s">
        <v>20</v>
      </c>
      <c r="M6055" t="s">
        <v>20</v>
      </c>
      <c r="N6055" t="s">
        <v>22</v>
      </c>
    </row>
    <row r="6056" spans="1:14">
      <c r="A6056" s="4" t="str">
        <f t="shared" si="567"/>
        <v>EXP00212</v>
      </c>
      <c r="B6056" s="4" t="str">
        <f t="shared" si="568"/>
        <v>25361981</v>
      </c>
      <c r="C6056" s="4" t="str">
        <f t="shared" si="569"/>
        <v>GSE56493</v>
      </c>
      <c r="D6056" s="1" t="s">
        <v>298</v>
      </c>
      <c r="E6056" t="s">
        <v>15</v>
      </c>
      <c r="F6056" s="1">
        <v>2</v>
      </c>
      <c r="G6056" s="1" t="s">
        <v>299</v>
      </c>
      <c r="H6056" s="4" t="str">
        <f>HYPERLINK("https://www.ncbi.nlm.nih.gov/geo/query/acc.cgi?acc=GSM1362598","GSM1362598")</f>
        <v>GSM1362598</v>
      </c>
      <c r="I6056" t="s">
        <v>17</v>
      </c>
      <c r="J6056" t="s">
        <v>18</v>
      </c>
      <c r="K6056" t="s">
        <v>19</v>
      </c>
      <c r="L6056" t="s">
        <v>20</v>
      </c>
      <c r="M6056" t="s">
        <v>20</v>
      </c>
      <c r="N6056" t="s">
        <v>22</v>
      </c>
    </row>
    <row r="6057" spans="1:14">
      <c r="A6057" s="4" t="str">
        <f t="shared" si="567"/>
        <v>EXP00212</v>
      </c>
      <c r="B6057" s="4" t="str">
        <f t="shared" si="568"/>
        <v>25361981</v>
      </c>
      <c r="C6057" s="4" t="str">
        <f t="shared" si="569"/>
        <v>GSE56493</v>
      </c>
      <c r="D6057" s="1" t="s">
        <v>298</v>
      </c>
      <c r="E6057" t="s">
        <v>15</v>
      </c>
      <c r="F6057" s="1">
        <v>2</v>
      </c>
      <c r="G6057" s="1" t="s">
        <v>299</v>
      </c>
      <c r="H6057" s="4" t="str">
        <f>HYPERLINK("https://www.ncbi.nlm.nih.gov/geo/query/acc.cgi?acc=GSM1362603","GSM1362603")</f>
        <v>GSM1362603</v>
      </c>
      <c r="I6057" t="s">
        <v>17</v>
      </c>
      <c r="J6057" t="s">
        <v>18</v>
      </c>
      <c r="K6057" t="s">
        <v>19</v>
      </c>
      <c r="L6057" t="s">
        <v>20</v>
      </c>
      <c r="M6057" t="s">
        <v>20</v>
      </c>
      <c r="N6057" t="s">
        <v>22</v>
      </c>
    </row>
    <row r="6058" spans="1:14">
      <c r="A6058" s="4" t="str">
        <f t="shared" si="567"/>
        <v>EXP00212</v>
      </c>
      <c r="B6058" s="4" t="str">
        <f t="shared" si="568"/>
        <v>25361981</v>
      </c>
      <c r="C6058" s="4" t="str">
        <f t="shared" si="569"/>
        <v>GSE56493</v>
      </c>
      <c r="D6058" s="1" t="s">
        <v>298</v>
      </c>
      <c r="E6058" t="s">
        <v>15</v>
      </c>
      <c r="F6058" s="1">
        <v>2</v>
      </c>
      <c r="G6058" s="1" t="s">
        <v>299</v>
      </c>
      <c r="H6058" s="4" t="str">
        <f>HYPERLINK("https://www.ncbi.nlm.nih.gov/geo/query/acc.cgi?acc=GSM1362604","GSM1362604")</f>
        <v>GSM1362604</v>
      </c>
      <c r="I6058" t="s">
        <v>17</v>
      </c>
      <c r="J6058" t="s">
        <v>18</v>
      </c>
      <c r="K6058" t="s">
        <v>19</v>
      </c>
      <c r="L6058" t="s">
        <v>20</v>
      </c>
      <c r="M6058" t="s">
        <v>20</v>
      </c>
      <c r="N6058" t="s">
        <v>22</v>
      </c>
    </row>
    <row r="6059" spans="1:14">
      <c r="A6059" s="4" t="str">
        <f t="shared" si="567"/>
        <v>EXP00212</v>
      </c>
      <c r="B6059" s="4" t="str">
        <f t="shared" si="568"/>
        <v>25361981</v>
      </c>
      <c r="C6059" s="4" t="str">
        <f t="shared" si="569"/>
        <v>GSE56493</v>
      </c>
      <c r="D6059" s="1" t="s">
        <v>298</v>
      </c>
      <c r="E6059" t="s">
        <v>15</v>
      </c>
      <c r="F6059" s="1">
        <v>2</v>
      </c>
      <c r="G6059" s="1" t="s">
        <v>299</v>
      </c>
      <c r="H6059" s="4" t="str">
        <f>HYPERLINK("https://www.ncbi.nlm.nih.gov/geo/query/acc.cgi?acc=GSM1362607","GSM1362607")</f>
        <v>GSM1362607</v>
      </c>
      <c r="I6059" t="s">
        <v>17</v>
      </c>
      <c r="J6059" t="s">
        <v>18</v>
      </c>
      <c r="K6059" t="s">
        <v>19</v>
      </c>
      <c r="L6059" t="s">
        <v>20</v>
      </c>
      <c r="M6059" t="s">
        <v>20</v>
      </c>
      <c r="N6059" t="s">
        <v>22</v>
      </c>
    </row>
    <row r="6060" spans="1:14">
      <c r="A6060" s="4" t="str">
        <f t="shared" si="567"/>
        <v>EXP00212</v>
      </c>
      <c r="B6060" s="4" t="str">
        <f t="shared" si="568"/>
        <v>25361981</v>
      </c>
      <c r="C6060" s="4" t="str">
        <f t="shared" si="569"/>
        <v>GSE56493</v>
      </c>
      <c r="D6060" s="1" t="s">
        <v>298</v>
      </c>
      <c r="E6060" t="s">
        <v>15</v>
      </c>
      <c r="F6060" s="1">
        <v>2</v>
      </c>
      <c r="G6060" s="1" t="s">
        <v>299</v>
      </c>
      <c r="H6060" s="4" t="str">
        <f>HYPERLINK("https://www.ncbi.nlm.nih.gov/geo/query/acc.cgi?acc=GSM1362612","GSM1362612")</f>
        <v>GSM1362612</v>
      </c>
      <c r="I6060" t="s">
        <v>17</v>
      </c>
      <c r="J6060" t="s">
        <v>18</v>
      </c>
      <c r="K6060" t="s">
        <v>19</v>
      </c>
      <c r="L6060" t="s">
        <v>20</v>
      </c>
      <c r="M6060" t="s">
        <v>20</v>
      </c>
      <c r="N6060" t="s">
        <v>22</v>
      </c>
    </row>
    <row r="6061" spans="1:14">
      <c r="A6061" s="4" t="str">
        <f t="shared" si="567"/>
        <v>EXP00212</v>
      </c>
      <c r="B6061" s="4" t="str">
        <f t="shared" si="568"/>
        <v>25361981</v>
      </c>
      <c r="C6061" s="4" t="str">
        <f t="shared" si="569"/>
        <v>GSE56493</v>
      </c>
      <c r="D6061" s="1" t="s">
        <v>298</v>
      </c>
      <c r="E6061" t="s">
        <v>15</v>
      </c>
      <c r="F6061" s="1">
        <v>2</v>
      </c>
      <c r="G6061" s="1" t="s">
        <v>299</v>
      </c>
      <c r="H6061" s="4" t="str">
        <f>HYPERLINK("https://www.ncbi.nlm.nih.gov/geo/query/acc.cgi?acc=GSM1362621","GSM1362621")</f>
        <v>GSM1362621</v>
      </c>
      <c r="I6061" t="s">
        <v>17</v>
      </c>
      <c r="J6061" t="s">
        <v>18</v>
      </c>
      <c r="K6061" t="s">
        <v>19</v>
      </c>
      <c r="L6061" t="s">
        <v>20</v>
      </c>
      <c r="M6061" t="s">
        <v>20</v>
      </c>
      <c r="N6061" t="s">
        <v>22</v>
      </c>
    </row>
    <row r="6062" spans="1:14">
      <c r="A6062" s="4" t="str">
        <f t="shared" si="567"/>
        <v>EXP00212</v>
      </c>
      <c r="B6062" s="4" t="str">
        <f t="shared" si="568"/>
        <v>25361981</v>
      </c>
      <c r="C6062" s="4" t="str">
        <f t="shared" si="569"/>
        <v>GSE56493</v>
      </c>
      <c r="D6062" s="1" t="s">
        <v>298</v>
      </c>
      <c r="E6062" t="s">
        <v>15</v>
      </c>
      <c r="F6062" s="1">
        <v>2</v>
      </c>
      <c r="G6062" s="1" t="s">
        <v>299</v>
      </c>
      <c r="H6062" s="4" t="str">
        <f>HYPERLINK("https://www.ncbi.nlm.nih.gov/geo/query/acc.cgi?acc=GSM1362626","GSM1362626")</f>
        <v>GSM1362626</v>
      </c>
      <c r="I6062" t="s">
        <v>17</v>
      </c>
      <c r="J6062" t="s">
        <v>18</v>
      </c>
      <c r="K6062" t="s">
        <v>19</v>
      </c>
      <c r="L6062" t="s">
        <v>20</v>
      </c>
      <c r="M6062" t="s">
        <v>20</v>
      </c>
      <c r="N6062" t="s">
        <v>22</v>
      </c>
    </row>
    <row r="6063" spans="1:14">
      <c r="A6063" s="4" t="str">
        <f t="shared" si="567"/>
        <v>EXP00212</v>
      </c>
      <c r="B6063" s="4" t="str">
        <f t="shared" si="568"/>
        <v>25361981</v>
      </c>
      <c r="C6063" s="4" t="str">
        <f t="shared" si="569"/>
        <v>GSE56493</v>
      </c>
      <c r="D6063" s="1" t="s">
        <v>298</v>
      </c>
      <c r="E6063" t="s">
        <v>15</v>
      </c>
      <c r="F6063" s="1">
        <v>2</v>
      </c>
      <c r="G6063" s="1" t="s">
        <v>299</v>
      </c>
      <c r="H6063" s="4" t="str">
        <f>HYPERLINK("https://www.ncbi.nlm.nih.gov/geo/query/acc.cgi?acc=GSM1362629","GSM1362629")</f>
        <v>GSM1362629</v>
      </c>
      <c r="I6063" t="s">
        <v>17</v>
      </c>
      <c r="J6063" t="s">
        <v>18</v>
      </c>
      <c r="K6063" t="s">
        <v>19</v>
      </c>
      <c r="L6063" t="s">
        <v>20</v>
      </c>
      <c r="M6063" t="s">
        <v>20</v>
      </c>
      <c r="N6063" t="s">
        <v>22</v>
      </c>
    </row>
    <row r="6064" spans="1:14">
      <c r="A6064" s="4" t="str">
        <f t="shared" si="567"/>
        <v>EXP00212</v>
      </c>
      <c r="B6064" s="4" t="str">
        <f t="shared" si="568"/>
        <v>25361981</v>
      </c>
      <c r="C6064" s="4" t="str">
        <f t="shared" si="569"/>
        <v>GSE56493</v>
      </c>
      <c r="D6064" s="1" t="s">
        <v>298</v>
      </c>
      <c r="E6064" t="s">
        <v>15</v>
      </c>
      <c r="F6064" s="1">
        <v>2</v>
      </c>
      <c r="G6064" s="1" t="s">
        <v>299</v>
      </c>
      <c r="H6064" s="4" t="str">
        <f>HYPERLINK("https://www.ncbi.nlm.nih.gov/geo/query/acc.cgi?acc=GSM1362632","GSM1362632")</f>
        <v>GSM1362632</v>
      </c>
      <c r="I6064" t="s">
        <v>17</v>
      </c>
      <c r="J6064" t="s">
        <v>18</v>
      </c>
      <c r="K6064" t="s">
        <v>19</v>
      </c>
      <c r="L6064" t="s">
        <v>20</v>
      </c>
      <c r="M6064" t="s">
        <v>20</v>
      </c>
      <c r="N6064" t="s">
        <v>22</v>
      </c>
    </row>
    <row r="6065" spans="1:14">
      <c r="A6065" s="4" t="str">
        <f t="shared" ref="A6065:A6096" si="570">HYPERLINK("http://hcmdb.i-sanger.com/experiment/details/experiment_id/EXP00213","EXP00213")</f>
        <v>EXP00213</v>
      </c>
      <c r="B6065" s="4" t="str">
        <f t="shared" si="568"/>
        <v>25361981</v>
      </c>
      <c r="C6065" s="4" t="str">
        <f t="shared" si="569"/>
        <v>GSE56493</v>
      </c>
      <c r="D6065" s="1" t="s">
        <v>298</v>
      </c>
      <c r="E6065" t="s">
        <v>15</v>
      </c>
      <c r="F6065" s="1">
        <v>1</v>
      </c>
      <c r="G6065" s="1" t="s">
        <v>67</v>
      </c>
      <c r="H6065" s="4" t="str">
        <f>HYPERLINK("https://www.ncbi.nlm.nih.gov/geo/query/acc.cgi?acc=GSM1362546","GSM1362546")</f>
        <v>GSM1362546</v>
      </c>
      <c r="I6065" t="s">
        <v>17</v>
      </c>
      <c r="J6065" t="s">
        <v>18</v>
      </c>
      <c r="K6065" t="s">
        <v>19</v>
      </c>
      <c r="L6065" t="s">
        <v>20</v>
      </c>
      <c r="M6065" t="s">
        <v>50</v>
      </c>
      <c r="N6065" t="s">
        <v>22</v>
      </c>
    </row>
    <row r="6066" spans="1:14">
      <c r="A6066" s="4" t="str">
        <f t="shared" si="570"/>
        <v>EXP00213</v>
      </c>
      <c r="B6066" s="4" t="str">
        <f t="shared" si="568"/>
        <v>25361981</v>
      </c>
      <c r="C6066" s="4" t="str">
        <f t="shared" si="569"/>
        <v>GSE56493</v>
      </c>
      <c r="D6066" s="1" t="s">
        <v>298</v>
      </c>
      <c r="E6066" t="s">
        <v>15</v>
      </c>
      <c r="F6066" s="1">
        <v>1</v>
      </c>
      <c r="G6066" s="1" t="s">
        <v>67</v>
      </c>
      <c r="H6066" s="4" t="str">
        <f>HYPERLINK("https://www.ncbi.nlm.nih.gov/geo/query/acc.cgi?acc=GSM1362582","GSM1362582")</f>
        <v>GSM1362582</v>
      </c>
      <c r="I6066" t="s">
        <v>17</v>
      </c>
      <c r="J6066" t="s">
        <v>18</v>
      </c>
      <c r="K6066" t="s">
        <v>19</v>
      </c>
      <c r="L6066" t="s">
        <v>20</v>
      </c>
      <c r="M6066" t="s">
        <v>50</v>
      </c>
      <c r="N6066" t="s">
        <v>22</v>
      </c>
    </row>
    <row r="6067" spans="1:14">
      <c r="A6067" s="4" t="str">
        <f t="shared" si="570"/>
        <v>EXP00213</v>
      </c>
      <c r="B6067" s="4" t="str">
        <f t="shared" si="568"/>
        <v>25361981</v>
      </c>
      <c r="C6067" s="4" t="str">
        <f t="shared" si="569"/>
        <v>GSE56493</v>
      </c>
      <c r="D6067" s="1" t="s">
        <v>298</v>
      </c>
      <c r="E6067" t="s">
        <v>15</v>
      </c>
      <c r="F6067" s="1">
        <v>1</v>
      </c>
      <c r="G6067" s="1" t="s">
        <v>67</v>
      </c>
      <c r="H6067" s="4" t="str">
        <f>HYPERLINK("https://www.ncbi.nlm.nih.gov/geo/query/acc.cgi?acc=GSM1362588","GSM1362588")</f>
        <v>GSM1362588</v>
      </c>
      <c r="I6067" t="s">
        <v>17</v>
      </c>
      <c r="J6067" t="s">
        <v>18</v>
      </c>
      <c r="K6067" t="s">
        <v>19</v>
      </c>
      <c r="L6067" t="s">
        <v>20</v>
      </c>
      <c r="M6067" t="s">
        <v>50</v>
      </c>
      <c r="N6067" t="s">
        <v>22</v>
      </c>
    </row>
    <row r="6068" spans="1:14">
      <c r="A6068" s="4" t="str">
        <f t="shared" si="570"/>
        <v>EXP00213</v>
      </c>
      <c r="B6068" s="4" t="str">
        <f t="shared" si="568"/>
        <v>25361981</v>
      </c>
      <c r="C6068" s="4" t="str">
        <f t="shared" si="569"/>
        <v>GSE56493</v>
      </c>
      <c r="D6068" s="1" t="s">
        <v>298</v>
      </c>
      <c r="E6068" t="s">
        <v>15</v>
      </c>
      <c r="F6068" s="1">
        <v>1</v>
      </c>
      <c r="G6068" s="1" t="s">
        <v>67</v>
      </c>
      <c r="H6068" s="4" t="str">
        <f>HYPERLINK("https://www.ncbi.nlm.nih.gov/geo/query/acc.cgi?acc=GSM1362605","GSM1362605")</f>
        <v>GSM1362605</v>
      </c>
      <c r="I6068" t="s">
        <v>17</v>
      </c>
      <c r="J6068" t="s">
        <v>18</v>
      </c>
      <c r="K6068" t="s">
        <v>19</v>
      </c>
      <c r="L6068" t="s">
        <v>20</v>
      </c>
      <c r="M6068" t="s">
        <v>50</v>
      </c>
      <c r="N6068" t="s">
        <v>22</v>
      </c>
    </row>
    <row r="6069" spans="1:14">
      <c r="A6069" s="4" t="str">
        <f t="shared" si="570"/>
        <v>EXP00213</v>
      </c>
      <c r="B6069" s="4" t="str">
        <f t="shared" si="568"/>
        <v>25361981</v>
      </c>
      <c r="C6069" s="4" t="str">
        <f t="shared" si="569"/>
        <v>GSE56493</v>
      </c>
      <c r="D6069" s="1" t="s">
        <v>298</v>
      </c>
      <c r="E6069" t="s">
        <v>15</v>
      </c>
      <c r="F6069" s="1">
        <v>1</v>
      </c>
      <c r="G6069" s="1" t="s">
        <v>67</v>
      </c>
      <c r="H6069" s="4" t="str">
        <f>HYPERLINK("https://www.ncbi.nlm.nih.gov/geo/query/acc.cgi?acc=GSM1362631","GSM1362631")</f>
        <v>GSM1362631</v>
      </c>
      <c r="I6069" t="s">
        <v>17</v>
      </c>
      <c r="J6069" t="s">
        <v>18</v>
      </c>
      <c r="K6069" t="s">
        <v>19</v>
      </c>
      <c r="L6069" t="s">
        <v>20</v>
      </c>
      <c r="M6069" t="s">
        <v>50</v>
      </c>
      <c r="N6069" t="s">
        <v>22</v>
      </c>
    </row>
    <row r="6070" spans="1:14">
      <c r="A6070" s="4" t="str">
        <f t="shared" si="570"/>
        <v>EXP00213</v>
      </c>
      <c r="B6070" s="4" t="str">
        <f t="shared" si="568"/>
        <v>25361981</v>
      </c>
      <c r="C6070" s="4" t="str">
        <f t="shared" si="569"/>
        <v>GSE56493</v>
      </c>
      <c r="D6070" s="1" t="s">
        <v>298</v>
      </c>
      <c r="E6070" t="s">
        <v>15</v>
      </c>
      <c r="F6070" s="1">
        <v>2</v>
      </c>
      <c r="G6070" s="1" t="s">
        <v>63</v>
      </c>
      <c r="H6070" s="4" t="str">
        <f>HYPERLINK("https://www.ncbi.nlm.nih.gov/geo/query/acc.cgi?acc=GSM1362526","GSM1362526")</f>
        <v>GSM1362526</v>
      </c>
      <c r="I6070" t="s">
        <v>17</v>
      </c>
      <c r="J6070" t="s">
        <v>18</v>
      </c>
      <c r="K6070" t="s">
        <v>19</v>
      </c>
      <c r="L6070" t="s">
        <v>20</v>
      </c>
      <c r="M6070" t="s">
        <v>44</v>
      </c>
      <c r="N6070" t="s">
        <v>22</v>
      </c>
    </row>
    <row r="6071" spans="1:14">
      <c r="A6071" s="4" t="str">
        <f t="shared" si="570"/>
        <v>EXP00213</v>
      </c>
      <c r="B6071" s="4" t="str">
        <f t="shared" si="568"/>
        <v>25361981</v>
      </c>
      <c r="C6071" s="4" t="str">
        <f t="shared" si="569"/>
        <v>GSE56493</v>
      </c>
      <c r="D6071" s="1" t="s">
        <v>298</v>
      </c>
      <c r="E6071" t="s">
        <v>15</v>
      </c>
      <c r="F6071" s="1">
        <v>2</v>
      </c>
      <c r="G6071" s="1" t="s">
        <v>63</v>
      </c>
      <c r="H6071" s="4" t="str">
        <f>HYPERLINK("https://www.ncbi.nlm.nih.gov/geo/query/acc.cgi?acc=GSM1362530","GSM1362530")</f>
        <v>GSM1362530</v>
      </c>
      <c r="I6071" t="s">
        <v>17</v>
      </c>
      <c r="J6071" t="s">
        <v>18</v>
      </c>
      <c r="K6071" t="s">
        <v>19</v>
      </c>
      <c r="L6071" t="s">
        <v>20</v>
      </c>
      <c r="M6071" t="s">
        <v>44</v>
      </c>
      <c r="N6071" t="s">
        <v>22</v>
      </c>
    </row>
    <row r="6072" spans="1:14">
      <c r="A6072" s="4" t="str">
        <f t="shared" si="570"/>
        <v>EXP00213</v>
      </c>
      <c r="B6072" s="4" t="str">
        <f t="shared" si="568"/>
        <v>25361981</v>
      </c>
      <c r="C6072" s="4" t="str">
        <f t="shared" si="569"/>
        <v>GSE56493</v>
      </c>
      <c r="D6072" s="1" t="s">
        <v>298</v>
      </c>
      <c r="E6072" t="s">
        <v>15</v>
      </c>
      <c r="F6072" s="1">
        <v>2</v>
      </c>
      <c r="G6072" s="1" t="s">
        <v>63</v>
      </c>
      <c r="H6072" s="4" t="str">
        <f>HYPERLINK("https://www.ncbi.nlm.nih.gov/geo/query/acc.cgi?acc=GSM1362532","GSM1362532")</f>
        <v>GSM1362532</v>
      </c>
      <c r="I6072" t="s">
        <v>17</v>
      </c>
      <c r="J6072" t="s">
        <v>18</v>
      </c>
      <c r="K6072" t="s">
        <v>19</v>
      </c>
      <c r="L6072" t="s">
        <v>20</v>
      </c>
      <c r="M6072" t="s">
        <v>44</v>
      </c>
      <c r="N6072" t="s">
        <v>22</v>
      </c>
    </row>
    <row r="6073" spans="1:14">
      <c r="A6073" s="4" t="str">
        <f t="shared" si="570"/>
        <v>EXP00213</v>
      </c>
      <c r="B6073" s="4" t="str">
        <f t="shared" si="568"/>
        <v>25361981</v>
      </c>
      <c r="C6073" s="4" t="str">
        <f t="shared" si="569"/>
        <v>GSE56493</v>
      </c>
      <c r="D6073" s="1" t="s">
        <v>298</v>
      </c>
      <c r="E6073" t="s">
        <v>15</v>
      </c>
      <c r="F6073" s="1">
        <v>2</v>
      </c>
      <c r="G6073" s="1" t="s">
        <v>63</v>
      </c>
      <c r="H6073" s="4" t="str">
        <f>HYPERLINK("https://www.ncbi.nlm.nih.gov/geo/query/acc.cgi?acc=GSM1362533","GSM1362533")</f>
        <v>GSM1362533</v>
      </c>
      <c r="I6073" t="s">
        <v>17</v>
      </c>
      <c r="J6073" t="s">
        <v>18</v>
      </c>
      <c r="K6073" t="s">
        <v>19</v>
      </c>
      <c r="L6073" t="s">
        <v>20</v>
      </c>
      <c r="M6073" t="s">
        <v>44</v>
      </c>
      <c r="N6073" t="s">
        <v>22</v>
      </c>
    </row>
    <row r="6074" spans="1:14">
      <c r="A6074" s="4" t="str">
        <f t="shared" si="570"/>
        <v>EXP00213</v>
      </c>
      <c r="B6074" s="4" t="str">
        <f t="shared" si="568"/>
        <v>25361981</v>
      </c>
      <c r="C6074" s="4" t="str">
        <f t="shared" si="569"/>
        <v>GSE56493</v>
      </c>
      <c r="D6074" s="1" t="s">
        <v>298</v>
      </c>
      <c r="E6074" t="s">
        <v>15</v>
      </c>
      <c r="F6074" s="1">
        <v>2</v>
      </c>
      <c r="G6074" s="1" t="s">
        <v>63</v>
      </c>
      <c r="H6074" s="4" t="str">
        <f>HYPERLINK("https://www.ncbi.nlm.nih.gov/geo/query/acc.cgi?acc=GSM1362534","GSM1362534")</f>
        <v>GSM1362534</v>
      </c>
      <c r="I6074" t="s">
        <v>17</v>
      </c>
      <c r="J6074" t="s">
        <v>18</v>
      </c>
      <c r="K6074" t="s">
        <v>19</v>
      </c>
      <c r="L6074" t="s">
        <v>20</v>
      </c>
      <c r="M6074" t="s">
        <v>44</v>
      </c>
      <c r="N6074" t="s">
        <v>22</v>
      </c>
    </row>
    <row r="6075" spans="1:14">
      <c r="A6075" s="4" t="str">
        <f t="shared" si="570"/>
        <v>EXP00213</v>
      </c>
      <c r="B6075" s="4" t="str">
        <f t="shared" si="568"/>
        <v>25361981</v>
      </c>
      <c r="C6075" s="4" t="str">
        <f t="shared" si="569"/>
        <v>GSE56493</v>
      </c>
      <c r="D6075" s="1" t="s">
        <v>298</v>
      </c>
      <c r="E6075" t="s">
        <v>15</v>
      </c>
      <c r="F6075" s="1">
        <v>2</v>
      </c>
      <c r="G6075" s="1" t="s">
        <v>63</v>
      </c>
      <c r="H6075" s="4" t="str">
        <f>HYPERLINK("https://www.ncbi.nlm.nih.gov/geo/query/acc.cgi?acc=GSM1362535","GSM1362535")</f>
        <v>GSM1362535</v>
      </c>
      <c r="I6075" t="s">
        <v>17</v>
      </c>
      <c r="J6075" t="s">
        <v>18</v>
      </c>
      <c r="K6075" t="s">
        <v>19</v>
      </c>
      <c r="L6075" t="s">
        <v>20</v>
      </c>
      <c r="M6075" t="s">
        <v>44</v>
      </c>
      <c r="N6075" t="s">
        <v>22</v>
      </c>
    </row>
    <row r="6076" spans="1:14">
      <c r="A6076" s="4" t="str">
        <f t="shared" si="570"/>
        <v>EXP00213</v>
      </c>
      <c r="B6076" s="4" t="str">
        <f t="shared" si="568"/>
        <v>25361981</v>
      </c>
      <c r="C6076" s="4" t="str">
        <f t="shared" si="569"/>
        <v>GSE56493</v>
      </c>
      <c r="D6076" s="1" t="s">
        <v>298</v>
      </c>
      <c r="E6076" t="s">
        <v>15</v>
      </c>
      <c r="F6076" s="1">
        <v>2</v>
      </c>
      <c r="G6076" s="1" t="s">
        <v>63</v>
      </c>
      <c r="H6076" s="4" t="str">
        <f>HYPERLINK("https://www.ncbi.nlm.nih.gov/geo/query/acc.cgi?acc=GSM1362536","GSM1362536")</f>
        <v>GSM1362536</v>
      </c>
      <c r="I6076" t="s">
        <v>17</v>
      </c>
      <c r="J6076" t="s">
        <v>18</v>
      </c>
      <c r="K6076" t="s">
        <v>19</v>
      </c>
      <c r="L6076" t="s">
        <v>20</v>
      </c>
      <c r="M6076" t="s">
        <v>44</v>
      </c>
      <c r="N6076" t="s">
        <v>22</v>
      </c>
    </row>
    <row r="6077" spans="1:14">
      <c r="A6077" s="4" t="str">
        <f t="shared" si="570"/>
        <v>EXP00213</v>
      </c>
      <c r="B6077" s="4" t="str">
        <f t="shared" si="568"/>
        <v>25361981</v>
      </c>
      <c r="C6077" s="4" t="str">
        <f t="shared" si="569"/>
        <v>GSE56493</v>
      </c>
      <c r="D6077" s="1" t="s">
        <v>298</v>
      </c>
      <c r="E6077" t="s">
        <v>15</v>
      </c>
      <c r="F6077" s="1">
        <v>2</v>
      </c>
      <c r="G6077" s="1" t="s">
        <v>63</v>
      </c>
      <c r="H6077" s="4" t="str">
        <f>HYPERLINK("https://www.ncbi.nlm.nih.gov/geo/query/acc.cgi?acc=GSM1362537","GSM1362537")</f>
        <v>GSM1362537</v>
      </c>
      <c r="I6077" t="s">
        <v>17</v>
      </c>
      <c r="J6077" t="s">
        <v>18</v>
      </c>
      <c r="K6077" t="s">
        <v>19</v>
      </c>
      <c r="L6077" t="s">
        <v>20</v>
      </c>
      <c r="M6077" t="s">
        <v>44</v>
      </c>
      <c r="N6077" t="s">
        <v>22</v>
      </c>
    </row>
    <row r="6078" spans="1:14">
      <c r="A6078" s="4" t="str">
        <f t="shared" si="570"/>
        <v>EXP00213</v>
      </c>
      <c r="B6078" s="4" t="str">
        <f t="shared" si="568"/>
        <v>25361981</v>
      </c>
      <c r="C6078" s="4" t="str">
        <f t="shared" si="569"/>
        <v>GSE56493</v>
      </c>
      <c r="D6078" s="1" t="s">
        <v>298</v>
      </c>
      <c r="E6078" t="s">
        <v>15</v>
      </c>
      <c r="F6078" s="1">
        <v>2</v>
      </c>
      <c r="G6078" s="1" t="s">
        <v>63</v>
      </c>
      <c r="H6078" s="4" t="str">
        <f>HYPERLINK("https://www.ncbi.nlm.nih.gov/geo/query/acc.cgi?acc=GSM1362539","GSM1362539")</f>
        <v>GSM1362539</v>
      </c>
      <c r="I6078" t="s">
        <v>17</v>
      </c>
      <c r="J6078" t="s">
        <v>18</v>
      </c>
      <c r="K6078" t="s">
        <v>19</v>
      </c>
      <c r="L6078" t="s">
        <v>20</v>
      </c>
      <c r="M6078" t="s">
        <v>44</v>
      </c>
      <c r="N6078" t="s">
        <v>22</v>
      </c>
    </row>
    <row r="6079" spans="1:14">
      <c r="A6079" s="4" t="str">
        <f t="shared" si="570"/>
        <v>EXP00213</v>
      </c>
      <c r="B6079" s="4" t="str">
        <f t="shared" si="568"/>
        <v>25361981</v>
      </c>
      <c r="C6079" s="4" t="str">
        <f t="shared" si="569"/>
        <v>GSE56493</v>
      </c>
      <c r="D6079" s="1" t="s">
        <v>298</v>
      </c>
      <c r="E6079" t="s">
        <v>15</v>
      </c>
      <c r="F6079" s="1">
        <v>2</v>
      </c>
      <c r="G6079" s="1" t="s">
        <v>63</v>
      </c>
      <c r="H6079" s="4" t="str">
        <f>HYPERLINK("https://www.ncbi.nlm.nih.gov/geo/query/acc.cgi?acc=GSM1362544","GSM1362544")</f>
        <v>GSM1362544</v>
      </c>
      <c r="I6079" t="s">
        <v>17</v>
      </c>
      <c r="J6079" t="s">
        <v>18</v>
      </c>
      <c r="K6079" t="s">
        <v>19</v>
      </c>
      <c r="L6079" t="s">
        <v>20</v>
      </c>
      <c r="M6079" t="s">
        <v>44</v>
      </c>
      <c r="N6079" t="s">
        <v>22</v>
      </c>
    </row>
    <row r="6080" spans="1:14">
      <c r="A6080" s="4" t="str">
        <f t="shared" si="570"/>
        <v>EXP00213</v>
      </c>
      <c r="B6080" s="4" t="str">
        <f t="shared" si="568"/>
        <v>25361981</v>
      </c>
      <c r="C6080" s="4" t="str">
        <f t="shared" si="569"/>
        <v>GSE56493</v>
      </c>
      <c r="D6080" s="1" t="s">
        <v>298</v>
      </c>
      <c r="E6080" t="s">
        <v>15</v>
      </c>
      <c r="F6080" s="1">
        <v>2</v>
      </c>
      <c r="G6080" s="1" t="s">
        <v>63</v>
      </c>
      <c r="H6080" s="4" t="str">
        <f>HYPERLINK("https://www.ncbi.nlm.nih.gov/geo/query/acc.cgi?acc=GSM1362545","GSM1362545")</f>
        <v>GSM1362545</v>
      </c>
      <c r="I6080" t="s">
        <v>17</v>
      </c>
      <c r="J6080" t="s">
        <v>18</v>
      </c>
      <c r="K6080" t="s">
        <v>19</v>
      </c>
      <c r="L6080" t="s">
        <v>20</v>
      </c>
      <c r="M6080" t="s">
        <v>44</v>
      </c>
      <c r="N6080" t="s">
        <v>22</v>
      </c>
    </row>
    <row r="6081" spans="1:14">
      <c r="A6081" s="4" t="str">
        <f t="shared" si="570"/>
        <v>EXP00213</v>
      </c>
      <c r="B6081" s="4" t="str">
        <f t="shared" si="568"/>
        <v>25361981</v>
      </c>
      <c r="C6081" s="4" t="str">
        <f t="shared" si="569"/>
        <v>GSE56493</v>
      </c>
      <c r="D6081" s="1" t="s">
        <v>298</v>
      </c>
      <c r="E6081" t="s">
        <v>15</v>
      </c>
      <c r="F6081" s="1">
        <v>2</v>
      </c>
      <c r="G6081" s="1" t="s">
        <v>63</v>
      </c>
      <c r="H6081" s="4" t="str">
        <f>HYPERLINK("https://www.ncbi.nlm.nih.gov/geo/query/acc.cgi?acc=GSM1362550","GSM1362550")</f>
        <v>GSM1362550</v>
      </c>
      <c r="I6081" t="s">
        <v>17</v>
      </c>
      <c r="J6081" t="s">
        <v>18</v>
      </c>
      <c r="K6081" t="s">
        <v>19</v>
      </c>
      <c r="L6081" t="s">
        <v>20</v>
      </c>
      <c r="M6081" t="s">
        <v>44</v>
      </c>
      <c r="N6081" t="s">
        <v>22</v>
      </c>
    </row>
    <row r="6082" spans="1:14">
      <c r="A6082" s="4" t="str">
        <f t="shared" si="570"/>
        <v>EXP00213</v>
      </c>
      <c r="B6082" s="4" t="str">
        <f t="shared" si="568"/>
        <v>25361981</v>
      </c>
      <c r="C6082" s="4" t="str">
        <f t="shared" si="569"/>
        <v>GSE56493</v>
      </c>
      <c r="D6082" s="1" t="s">
        <v>298</v>
      </c>
      <c r="E6082" t="s">
        <v>15</v>
      </c>
      <c r="F6082" s="1">
        <v>2</v>
      </c>
      <c r="G6082" s="1" t="s">
        <v>63</v>
      </c>
      <c r="H6082" s="4" t="str">
        <f>HYPERLINK("https://www.ncbi.nlm.nih.gov/geo/query/acc.cgi?acc=GSM1362551","GSM1362551")</f>
        <v>GSM1362551</v>
      </c>
      <c r="I6082" t="s">
        <v>17</v>
      </c>
      <c r="J6082" t="s">
        <v>18</v>
      </c>
      <c r="K6082" t="s">
        <v>19</v>
      </c>
      <c r="L6082" t="s">
        <v>20</v>
      </c>
      <c r="M6082" t="s">
        <v>44</v>
      </c>
      <c r="N6082" t="s">
        <v>22</v>
      </c>
    </row>
    <row r="6083" spans="1:14">
      <c r="A6083" s="4" t="str">
        <f t="shared" si="570"/>
        <v>EXP00213</v>
      </c>
      <c r="B6083" s="4" t="str">
        <f t="shared" si="568"/>
        <v>25361981</v>
      </c>
      <c r="C6083" s="4" t="str">
        <f t="shared" si="569"/>
        <v>GSE56493</v>
      </c>
      <c r="D6083" s="1" t="s">
        <v>298</v>
      </c>
      <c r="E6083" t="s">
        <v>15</v>
      </c>
      <c r="F6083" s="1">
        <v>2</v>
      </c>
      <c r="G6083" s="1" t="s">
        <v>63</v>
      </c>
      <c r="H6083" s="4" t="str">
        <f>HYPERLINK("https://www.ncbi.nlm.nih.gov/geo/query/acc.cgi?acc=GSM1362554","GSM1362554")</f>
        <v>GSM1362554</v>
      </c>
      <c r="I6083" t="s">
        <v>17</v>
      </c>
      <c r="J6083" t="s">
        <v>18</v>
      </c>
      <c r="K6083" t="s">
        <v>19</v>
      </c>
      <c r="L6083" t="s">
        <v>20</v>
      </c>
      <c r="M6083" t="s">
        <v>44</v>
      </c>
      <c r="N6083" t="s">
        <v>22</v>
      </c>
    </row>
    <row r="6084" spans="1:14">
      <c r="A6084" s="4" t="str">
        <f t="shared" si="570"/>
        <v>EXP00213</v>
      </c>
      <c r="B6084" s="4" t="str">
        <f t="shared" si="568"/>
        <v>25361981</v>
      </c>
      <c r="C6084" s="4" t="str">
        <f t="shared" si="569"/>
        <v>GSE56493</v>
      </c>
      <c r="D6084" s="1" t="s">
        <v>298</v>
      </c>
      <c r="E6084" t="s">
        <v>15</v>
      </c>
      <c r="F6084" s="1">
        <v>2</v>
      </c>
      <c r="G6084" s="1" t="s">
        <v>63</v>
      </c>
      <c r="H6084" s="4" t="str">
        <f>HYPERLINK("https://www.ncbi.nlm.nih.gov/geo/query/acc.cgi?acc=GSM1362556","GSM1362556")</f>
        <v>GSM1362556</v>
      </c>
      <c r="I6084" t="s">
        <v>17</v>
      </c>
      <c r="J6084" t="s">
        <v>18</v>
      </c>
      <c r="K6084" t="s">
        <v>19</v>
      </c>
      <c r="L6084" t="s">
        <v>20</v>
      </c>
      <c r="M6084" t="s">
        <v>44</v>
      </c>
      <c r="N6084" t="s">
        <v>22</v>
      </c>
    </row>
    <row r="6085" spans="1:14">
      <c r="A6085" s="4" t="str">
        <f t="shared" si="570"/>
        <v>EXP00213</v>
      </c>
      <c r="B6085" s="4" t="str">
        <f t="shared" si="568"/>
        <v>25361981</v>
      </c>
      <c r="C6085" s="4" t="str">
        <f t="shared" si="569"/>
        <v>GSE56493</v>
      </c>
      <c r="D6085" s="1" t="s">
        <v>298</v>
      </c>
      <c r="E6085" t="s">
        <v>15</v>
      </c>
      <c r="F6085" s="1">
        <v>2</v>
      </c>
      <c r="G6085" s="1" t="s">
        <v>63</v>
      </c>
      <c r="H6085" s="4" t="str">
        <f>HYPERLINK("https://www.ncbi.nlm.nih.gov/geo/query/acc.cgi?acc=GSM1362561","GSM1362561")</f>
        <v>GSM1362561</v>
      </c>
      <c r="I6085" t="s">
        <v>17</v>
      </c>
      <c r="J6085" t="s">
        <v>18</v>
      </c>
      <c r="K6085" t="s">
        <v>19</v>
      </c>
      <c r="L6085" t="s">
        <v>20</v>
      </c>
      <c r="M6085" t="s">
        <v>44</v>
      </c>
      <c r="N6085" t="s">
        <v>22</v>
      </c>
    </row>
    <row r="6086" spans="1:14">
      <c r="A6086" s="4" t="str">
        <f t="shared" si="570"/>
        <v>EXP00213</v>
      </c>
      <c r="B6086" s="4" t="str">
        <f t="shared" si="568"/>
        <v>25361981</v>
      </c>
      <c r="C6086" s="4" t="str">
        <f t="shared" si="569"/>
        <v>GSE56493</v>
      </c>
      <c r="D6086" s="1" t="s">
        <v>298</v>
      </c>
      <c r="E6086" t="s">
        <v>15</v>
      </c>
      <c r="F6086" s="1">
        <v>2</v>
      </c>
      <c r="G6086" s="1" t="s">
        <v>63</v>
      </c>
      <c r="H6086" s="4" t="str">
        <f>HYPERLINK("https://www.ncbi.nlm.nih.gov/geo/query/acc.cgi?acc=GSM1362562","GSM1362562")</f>
        <v>GSM1362562</v>
      </c>
      <c r="I6086" t="s">
        <v>17</v>
      </c>
      <c r="J6086" t="s">
        <v>18</v>
      </c>
      <c r="K6086" t="s">
        <v>19</v>
      </c>
      <c r="L6086" t="s">
        <v>20</v>
      </c>
      <c r="M6086" t="s">
        <v>44</v>
      </c>
      <c r="N6086" t="s">
        <v>22</v>
      </c>
    </row>
    <row r="6087" spans="1:14">
      <c r="A6087" s="4" t="str">
        <f t="shared" si="570"/>
        <v>EXP00213</v>
      </c>
      <c r="B6087" s="4" t="str">
        <f t="shared" si="568"/>
        <v>25361981</v>
      </c>
      <c r="C6087" s="4" t="str">
        <f t="shared" si="569"/>
        <v>GSE56493</v>
      </c>
      <c r="D6087" s="1" t="s">
        <v>298</v>
      </c>
      <c r="E6087" t="s">
        <v>15</v>
      </c>
      <c r="F6087" s="1">
        <v>2</v>
      </c>
      <c r="G6087" s="1" t="s">
        <v>63</v>
      </c>
      <c r="H6087" s="4" t="str">
        <f>HYPERLINK("https://www.ncbi.nlm.nih.gov/geo/query/acc.cgi?acc=GSM1362571","GSM1362571")</f>
        <v>GSM1362571</v>
      </c>
      <c r="I6087" t="s">
        <v>17</v>
      </c>
      <c r="J6087" t="s">
        <v>18</v>
      </c>
      <c r="K6087" t="s">
        <v>19</v>
      </c>
      <c r="L6087" t="s">
        <v>20</v>
      </c>
      <c r="M6087" t="s">
        <v>44</v>
      </c>
      <c r="N6087" t="s">
        <v>22</v>
      </c>
    </row>
    <row r="6088" spans="1:14">
      <c r="A6088" s="4" t="str">
        <f t="shared" si="570"/>
        <v>EXP00213</v>
      </c>
      <c r="B6088" s="4" t="str">
        <f t="shared" si="568"/>
        <v>25361981</v>
      </c>
      <c r="C6088" s="4" t="str">
        <f t="shared" si="569"/>
        <v>GSE56493</v>
      </c>
      <c r="D6088" s="1" t="s">
        <v>298</v>
      </c>
      <c r="E6088" t="s">
        <v>15</v>
      </c>
      <c r="F6088" s="1">
        <v>2</v>
      </c>
      <c r="G6088" s="1" t="s">
        <v>63</v>
      </c>
      <c r="H6088" s="4" t="str">
        <f>HYPERLINK("https://www.ncbi.nlm.nih.gov/geo/query/acc.cgi?acc=GSM1362572","GSM1362572")</f>
        <v>GSM1362572</v>
      </c>
      <c r="I6088" t="s">
        <v>17</v>
      </c>
      <c r="J6088" t="s">
        <v>18</v>
      </c>
      <c r="K6088" t="s">
        <v>19</v>
      </c>
      <c r="L6088" t="s">
        <v>20</v>
      </c>
      <c r="M6088" t="s">
        <v>44</v>
      </c>
      <c r="N6088" t="s">
        <v>22</v>
      </c>
    </row>
    <row r="6089" spans="1:14">
      <c r="A6089" s="4" t="str">
        <f t="shared" si="570"/>
        <v>EXP00213</v>
      </c>
      <c r="B6089" s="4" t="str">
        <f t="shared" si="568"/>
        <v>25361981</v>
      </c>
      <c r="C6089" s="4" t="str">
        <f t="shared" si="569"/>
        <v>GSE56493</v>
      </c>
      <c r="D6089" s="1" t="s">
        <v>298</v>
      </c>
      <c r="E6089" t="s">
        <v>15</v>
      </c>
      <c r="F6089" s="1">
        <v>2</v>
      </c>
      <c r="G6089" s="1" t="s">
        <v>63</v>
      </c>
      <c r="H6089" s="4" t="str">
        <f>HYPERLINK("https://www.ncbi.nlm.nih.gov/geo/query/acc.cgi?acc=GSM1362584","GSM1362584")</f>
        <v>GSM1362584</v>
      </c>
      <c r="I6089" t="s">
        <v>17</v>
      </c>
      <c r="J6089" t="s">
        <v>18</v>
      </c>
      <c r="K6089" t="s">
        <v>19</v>
      </c>
      <c r="L6089" t="s">
        <v>20</v>
      </c>
      <c r="M6089" t="s">
        <v>44</v>
      </c>
      <c r="N6089" t="s">
        <v>22</v>
      </c>
    </row>
    <row r="6090" spans="1:14">
      <c r="A6090" s="4" t="str">
        <f t="shared" si="570"/>
        <v>EXP00213</v>
      </c>
      <c r="B6090" s="4" t="str">
        <f t="shared" si="568"/>
        <v>25361981</v>
      </c>
      <c r="C6090" s="4" t="str">
        <f t="shared" si="569"/>
        <v>GSE56493</v>
      </c>
      <c r="D6090" s="1" t="s">
        <v>298</v>
      </c>
      <c r="E6090" t="s">
        <v>15</v>
      </c>
      <c r="F6090" s="1">
        <v>2</v>
      </c>
      <c r="G6090" s="1" t="s">
        <v>63</v>
      </c>
      <c r="H6090" s="4" t="str">
        <f>HYPERLINK("https://www.ncbi.nlm.nih.gov/geo/query/acc.cgi?acc=GSM1362594","GSM1362594")</f>
        <v>GSM1362594</v>
      </c>
      <c r="I6090" t="s">
        <v>17</v>
      </c>
      <c r="J6090" t="s">
        <v>18</v>
      </c>
      <c r="K6090" t="s">
        <v>19</v>
      </c>
      <c r="L6090" t="s">
        <v>20</v>
      </c>
      <c r="M6090" t="s">
        <v>44</v>
      </c>
      <c r="N6090" t="s">
        <v>22</v>
      </c>
    </row>
    <row r="6091" spans="1:14">
      <c r="A6091" s="4" t="str">
        <f t="shared" si="570"/>
        <v>EXP00213</v>
      </c>
      <c r="B6091" s="4" t="str">
        <f t="shared" si="568"/>
        <v>25361981</v>
      </c>
      <c r="C6091" s="4" t="str">
        <f t="shared" si="569"/>
        <v>GSE56493</v>
      </c>
      <c r="D6091" s="1" t="s">
        <v>298</v>
      </c>
      <c r="E6091" t="s">
        <v>15</v>
      </c>
      <c r="F6091" s="1">
        <v>2</v>
      </c>
      <c r="G6091" s="1" t="s">
        <v>63</v>
      </c>
      <c r="H6091" s="4" t="str">
        <f>HYPERLINK("https://www.ncbi.nlm.nih.gov/geo/query/acc.cgi?acc=GSM1362596","GSM1362596")</f>
        <v>GSM1362596</v>
      </c>
      <c r="I6091" t="s">
        <v>17</v>
      </c>
      <c r="J6091" t="s">
        <v>18</v>
      </c>
      <c r="K6091" t="s">
        <v>19</v>
      </c>
      <c r="L6091" t="s">
        <v>20</v>
      </c>
      <c r="M6091" t="s">
        <v>44</v>
      </c>
      <c r="N6091" t="s">
        <v>22</v>
      </c>
    </row>
    <row r="6092" spans="1:14">
      <c r="A6092" s="4" t="str">
        <f t="shared" si="570"/>
        <v>EXP00213</v>
      </c>
      <c r="B6092" s="4" t="str">
        <f t="shared" si="568"/>
        <v>25361981</v>
      </c>
      <c r="C6092" s="4" t="str">
        <f t="shared" si="569"/>
        <v>GSE56493</v>
      </c>
      <c r="D6092" s="1" t="s">
        <v>298</v>
      </c>
      <c r="E6092" t="s">
        <v>15</v>
      </c>
      <c r="F6092" s="1">
        <v>2</v>
      </c>
      <c r="G6092" s="1" t="s">
        <v>63</v>
      </c>
      <c r="H6092" s="4" t="str">
        <f>HYPERLINK("https://www.ncbi.nlm.nih.gov/geo/query/acc.cgi?acc=GSM1362602","GSM1362602")</f>
        <v>GSM1362602</v>
      </c>
      <c r="I6092" t="s">
        <v>17</v>
      </c>
      <c r="J6092" t="s">
        <v>18</v>
      </c>
      <c r="K6092" t="s">
        <v>19</v>
      </c>
      <c r="L6092" t="s">
        <v>20</v>
      </c>
      <c r="M6092" t="s">
        <v>44</v>
      </c>
      <c r="N6092" t="s">
        <v>22</v>
      </c>
    </row>
    <row r="6093" spans="1:14">
      <c r="A6093" s="4" t="str">
        <f t="shared" si="570"/>
        <v>EXP00213</v>
      </c>
      <c r="B6093" s="4" t="str">
        <f t="shared" si="568"/>
        <v>25361981</v>
      </c>
      <c r="C6093" s="4" t="str">
        <f t="shared" si="569"/>
        <v>GSE56493</v>
      </c>
      <c r="D6093" s="1" t="s">
        <v>298</v>
      </c>
      <c r="E6093" t="s">
        <v>15</v>
      </c>
      <c r="F6093" s="1">
        <v>2</v>
      </c>
      <c r="G6093" s="1" t="s">
        <v>63</v>
      </c>
      <c r="H6093" s="4" t="str">
        <f>HYPERLINK("https://www.ncbi.nlm.nih.gov/geo/query/acc.cgi?acc=GSM1362610","GSM1362610")</f>
        <v>GSM1362610</v>
      </c>
      <c r="I6093" t="s">
        <v>17</v>
      </c>
      <c r="J6093" t="s">
        <v>18</v>
      </c>
      <c r="K6093" t="s">
        <v>19</v>
      </c>
      <c r="L6093" t="s">
        <v>20</v>
      </c>
      <c r="M6093" t="s">
        <v>44</v>
      </c>
      <c r="N6093" t="s">
        <v>22</v>
      </c>
    </row>
    <row r="6094" spans="1:14">
      <c r="A6094" s="4" t="str">
        <f t="shared" si="570"/>
        <v>EXP00213</v>
      </c>
      <c r="B6094" s="4" t="str">
        <f t="shared" si="568"/>
        <v>25361981</v>
      </c>
      <c r="C6094" s="4" t="str">
        <f t="shared" si="569"/>
        <v>GSE56493</v>
      </c>
      <c r="D6094" s="1" t="s">
        <v>298</v>
      </c>
      <c r="E6094" t="s">
        <v>15</v>
      </c>
      <c r="F6094" s="1">
        <v>2</v>
      </c>
      <c r="G6094" s="1" t="s">
        <v>63</v>
      </c>
      <c r="H6094" s="4" t="str">
        <f>HYPERLINK("https://www.ncbi.nlm.nih.gov/geo/query/acc.cgi?acc=GSM1362624","GSM1362624")</f>
        <v>GSM1362624</v>
      </c>
      <c r="I6094" t="s">
        <v>17</v>
      </c>
      <c r="J6094" t="s">
        <v>18</v>
      </c>
      <c r="K6094" t="s">
        <v>19</v>
      </c>
      <c r="L6094" t="s">
        <v>20</v>
      </c>
      <c r="M6094" t="s">
        <v>44</v>
      </c>
      <c r="N6094" t="s">
        <v>22</v>
      </c>
    </row>
    <row r="6095" spans="1:14">
      <c r="A6095" s="4" t="str">
        <f t="shared" si="570"/>
        <v>EXP00213</v>
      </c>
      <c r="B6095" s="4" t="str">
        <f t="shared" si="568"/>
        <v>25361981</v>
      </c>
      <c r="C6095" s="4" t="str">
        <f t="shared" si="569"/>
        <v>GSE56493</v>
      </c>
      <c r="D6095" s="1" t="s">
        <v>298</v>
      </c>
      <c r="E6095" t="s">
        <v>15</v>
      </c>
      <c r="F6095" s="1">
        <v>2</v>
      </c>
      <c r="G6095" s="1" t="s">
        <v>63</v>
      </c>
      <c r="H6095" s="4" t="str">
        <f>HYPERLINK("https://www.ncbi.nlm.nih.gov/geo/query/acc.cgi?acc=GSM1362630","GSM1362630")</f>
        <v>GSM1362630</v>
      </c>
      <c r="I6095" t="s">
        <v>17</v>
      </c>
      <c r="J6095" t="s">
        <v>18</v>
      </c>
      <c r="K6095" t="s">
        <v>19</v>
      </c>
      <c r="L6095" t="s">
        <v>20</v>
      </c>
      <c r="M6095" t="s">
        <v>44</v>
      </c>
      <c r="N6095" t="s">
        <v>22</v>
      </c>
    </row>
    <row r="6096" spans="1:14">
      <c r="A6096" s="4" t="str">
        <f t="shared" si="570"/>
        <v>EXP00213</v>
      </c>
      <c r="B6096" s="4" t="str">
        <f t="shared" si="568"/>
        <v>25361981</v>
      </c>
      <c r="C6096" s="4" t="str">
        <f t="shared" si="569"/>
        <v>GSE56493</v>
      </c>
      <c r="D6096" s="1" t="s">
        <v>298</v>
      </c>
      <c r="E6096" t="s">
        <v>15</v>
      </c>
      <c r="F6096" s="1">
        <v>2</v>
      </c>
      <c r="G6096" s="1" t="s">
        <v>63</v>
      </c>
      <c r="H6096" s="4" t="str">
        <f>HYPERLINK("https://www.ncbi.nlm.nih.gov/geo/query/acc.cgi?acc=GSM1362635","GSM1362635")</f>
        <v>GSM1362635</v>
      </c>
      <c r="I6096" t="s">
        <v>17</v>
      </c>
      <c r="J6096" t="s">
        <v>18</v>
      </c>
      <c r="K6096" t="s">
        <v>19</v>
      </c>
      <c r="L6096" t="s">
        <v>20</v>
      </c>
      <c r="M6096" t="s">
        <v>44</v>
      </c>
      <c r="N6096" t="s">
        <v>22</v>
      </c>
    </row>
    <row r="6097" spans="1:14">
      <c r="A6097" s="4" t="str">
        <f t="shared" ref="A6097:A6128" si="571">HYPERLINK("http://hcmdb.i-sanger.com/experiment/details/experiment_id/EXP00214","EXP00214")</f>
        <v>EXP00214</v>
      </c>
      <c r="B6097" s="4" t="str">
        <f t="shared" si="568"/>
        <v>25361981</v>
      </c>
      <c r="C6097" s="4" t="str">
        <f t="shared" si="569"/>
        <v>GSE56493</v>
      </c>
      <c r="D6097" s="1" t="s">
        <v>298</v>
      </c>
      <c r="E6097" t="s">
        <v>15</v>
      </c>
      <c r="F6097" s="1">
        <v>1</v>
      </c>
      <c r="G6097" s="1" t="s">
        <v>67</v>
      </c>
      <c r="H6097" s="4" t="str">
        <f>HYPERLINK("https://www.ncbi.nlm.nih.gov/geo/query/acc.cgi?acc=GSM1362546","GSM1362546")</f>
        <v>GSM1362546</v>
      </c>
      <c r="I6097" t="s">
        <v>17</v>
      </c>
      <c r="J6097" t="s">
        <v>18</v>
      </c>
      <c r="K6097" t="s">
        <v>19</v>
      </c>
      <c r="L6097" t="s">
        <v>20</v>
      </c>
      <c r="M6097" t="s">
        <v>50</v>
      </c>
      <c r="N6097" t="s">
        <v>22</v>
      </c>
    </row>
    <row r="6098" spans="1:14">
      <c r="A6098" s="4" t="str">
        <f t="shared" si="571"/>
        <v>EXP00214</v>
      </c>
      <c r="B6098" s="4" t="str">
        <f t="shared" si="568"/>
        <v>25361981</v>
      </c>
      <c r="C6098" s="4" t="str">
        <f t="shared" si="569"/>
        <v>GSE56493</v>
      </c>
      <c r="D6098" s="1" t="s">
        <v>298</v>
      </c>
      <c r="E6098" t="s">
        <v>15</v>
      </c>
      <c r="F6098" s="1">
        <v>1</v>
      </c>
      <c r="G6098" s="1" t="s">
        <v>67</v>
      </c>
      <c r="H6098" s="4" t="str">
        <f>HYPERLINK("https://www.ncbi.nlm.nih.gov/geo/query/acc.cgi?acc=GSM1362582","GSM1362582")</f>
        <v>GSM1362582</v>
      </c>
      <c r="I6098" t="s">
        <v>17</v>
      </c>
      <c r="J6098" t="s">
        <v>18</v>
      </c>
      <c r="K6098" t="s">
        <v>19</v>
      </c>
      <c r="L6098" t="s">
        <v>20</v>
      </c>
      <c r="M6098" t="s">
        <v>50</v>
      </c>
      <c r="N6098" t="s">
        <v>22</v>
      </c>
    </row>
    <row r="6099" spans="1:14">
      <c r="A6099" s="4" t="str">
        <f t="shared" si="571"/>
        <v>EXP00214</v>
      </c>
      <c r="B6099" s="4" t="str">
        <f t="shared" si="568"/>
        <v>25361981</v>
      </c>
      <c r="C6099" s="4" t="str">
        <f t="shared" si="569"/>
        <v>GSE56493</v>
      </c>
      <c r="D6099" s="1" t="s">
        <v>298</v>
      </c>
      <c r="E6099" t="s">
        <v>15</v>
      </c>
      <c r="F6099" s="1">
        <v>1</v>
      </c>
      <c r="G6099" s="1" t="s">
        <v>67</v>
      </c>
      <c r="H6099" s="4" t="str">
        <f>HYPERLINK("https://www.ncbi.nlm.nih.gov/geo/query/acc.cgi?acc=GSM1362588","GSM1362588")</f>
        <v>GSM1362588</v>
      </c>
      <c r="I6099" t="s">
        <v>17</v>
      </c>
      <c r="J6099" t="s">
        <v>18</v>
      </c>
      <c r="K6099" t="s">
        <v>19</v>
      </c>
      <c r="L6099" t="s">
        <v>20</v>
      </c>
      <c r="M6099" t="s">
        <v>50</v>
      </c>
      <c r="N6099" t="s">
        <v>22</v>
      </c>
    </row>
    <row r="6100" spans="1:14">
      <c r="A6100" s="4" t="str">
        <f t="shared" si="571"/>
        <v>EXP00214</v>
      </c>
      <c r="B6100" s="4" t="str">
        <f t="shared" si="568"/>
        <v>25361981</v>
      </c>
      <c r="C6100" s="4" t="str">
        <f t="shared" si="569"/>
        <v>GSE56493</v>
      </c>
      <c r="D6100" s="1" t="s">
        <v>298</v>
      </c>
      <c r="E6100" t="s">
        <v>15</v>
      </c>
      <c r="F6100" s="1">
        <v>1</v>
      </c>
      <c r="G6100" s="1" t="s">
        <v>67</v>
      </c>
      <c r="H6100" s="4" t="str">
        <f>HYPERLINK("https://www.ncbi.nlm.nih.gov/geo/query/acc.cgi?acc=GSM1362605","GSM1362605")</f>
        <v>GSM1362605</v>
      </c>
      <c r="I6100" t="s">
        <v>17</v>
      </c>
      <c r="J6100" t="s">
        <v>18</v>
      </c>
      <c r="K6100" t="s">
        <v>19</v>
      </c>
      <c r="L6100" t="s">
        <v>20</v>
      </c>
      <c r="M6100" t="s">
        <v>50</v>
      </c>
      <c r="N6100" t="s">
        <v>22</v>
      </c>
    </row>
    <row r="6101" spans="1:14">
      <c r="A6101" s="4" t="str">
        <f t="shared" si="571"/>
        <v>EXP00214</v>
      </c>
      <c r="B6101" s="4" t="str">
        <f t="shared" si="568"/>
        <v>25361981</v>
      </c>
      <c r="C6101" s="4" t="str">
        <f t="shared" si="569"/>
        <v>GSE56493</v>
      </c>
      <c r="D6101" s="1" t="s">
        <v>298</v>
      </c>
      <c r="E6101" t="s">
        <v>15</v>
      </c>
      <c r="F6101" s="1">
        <v>1</v>
      </c>
      <c r="G6101" s="1" t="s">
        <v>67</v>
      </c>
      <c r="H6101" s="4" t="str">
        <f>HYPERLINK("https://www.ncbi.nlm.nih.gov/geo/query/acc.cgi?acc=GSM1362631","GSM1362631")</f>
        <v>GSM1362631</v>
      </c>
      <c r="I6101" t="s">
        <v>17</v>
      </c>
      <c r="J6101" t="s">
        <v>18</v>
      </c>
      <c r="K6101" t="s">
        <v>19</v>
      </c>
      <c r="L6101" t="s">
        <v>20</v>
      </c>
      <c r="M6101" t="s">
        <v>50</v>
      </c>
      <c r="N6101" t="s">
        <v>22</v>
      </c>
    </row>
    <row r="6102" spans="1:14">
      <c r="A6102" s="4" t="str">
        <f t="shared" si="571"/>
        <v>EXP00214</v>
      </c>
      <c r="B6102" s="4" t="str">
        <f t="shared" si="568"/>
        <v>25361981</v>
      </c>
      <c r="C6102" s="4" t="str">
        <f t="shared" si="569"/>
        <v>GSE56493</v>
      </c>
      <c r="D6102" s="1" t="s">
        <v>298</v>
      </c>
      <c r="E6102" t="s">
        <v>15</v>
      </c>
      <c r="F6102" s="1">
        <v>2</v>
      </c>
      <c r="G6102" s="1" t="s">
        <v>23</v>
      </c>
      <c r="H6102" s="4" t="str">
        <f>HYPERLINK("https://www.ncbi.nlm.nih.gov/geo/query/acc.cgi?acc=GSM1362516","GSM1362516")</f>
        <v>GSM1362516</v>
      </c>
      <c r="I6102" t="s">
        <v>17</v>
      </c>
      <c r="J6102" t="s">
        <v>18</v>
      </c>
      <c r="K6102" t="s">
        <v>19</v>
      </c>
      <c r="L6102" t="s">
        <v>20</v>
      </c>
      <c r="M6102" t="s">
        <v>24</v>
      </c>
      <c r="N6102" t="s">
        <v>22</v>
      </c>
    </row>
    <row r="6103" spans="1:14">
      <c r="A6103" s="4" t="str">
        <f t="shared" si="571"/>
        <v>EXP00214</v>
      </c>
      <c r="B6103" s="4" t="str">
        <f t="shared" si="568"/>
        <v>25361981</v>
      </c>
      <c r="C6103" s="4" t="str">
        <f t="shared" si="569"/>
        <v>GSE56493</v>
      </c>
      <c r="D6103" s="1" t="s">
        <v>298</v>
      </c>
      <c r="E6103" t="s">
        <v>15</v>
      </c>
      <c r="F6103" s="1">
        <v>2</v>
      </c>
      <c r="G6103" s="1" t="s">
        <v>23</v>
      </c>
      <c r="H6103" s="4" t="str">
        <f>HYPERLINK("https://www.ncbi.nlm.nih.gov/geo/query/acc.cgi?acc=GSM1362517","GSM1362517")</f>
        <v>GSM1362517</v>
      </c>
      <c r="I6103" t="s">
        <v>17</v>
      </c>
      <c r="J6103" t="s">
        <v>18</v>
      </c>
      <c r="K6103" t="s">
        <v>19</v>
      </c>
      <c r="L6103" t="s">
        <v>20</v>
      </c>
      <c r="M6103" t="s">
        <v>24</v>
      </c>
      <c r="N6103" t="s">
        <v>22</v>
      </c>
    </row>
    <row r="6104" spans="1:14">
      <c r="A6104" s="4" t="str">
        <f t="shared" si="571"/>
        <v>EXP00214</v>
      </c>
      <c r="B6104" s="4" t="str">
        <f t="shared" si="568"/>
        <v>25361981</v>
      </c>
      <c r="C6104" s="4" t="str">
        <f t="shared" si="569"/>
        <v>GSE56493</v>
      </c>
      <c r="D6104" s="1" t="s">
        <v>298</v>
      </c>
      <c r="E6104" t="s">
        <v>15</v>
      </c>
      <c r="F6104" s="1">
        <v>2</v>
      </c>
      <c r="G6104" s="1" t="s">
        <v>23</v>
      </c>
      <c r="H6104" s="4" t="str">
        <f>HYPERLINK("https://www.ncbi.nlm.nih.gov/geo/query/acc.cgi?acc=GSM1362522","GSM1362522")</f>
        <v>GSM1362522</v>
      </c>
      <c r="I6104" t="s">
        <v>17</v>
      </c>
      <c r="J6104" t="s">
        <v>18</v>
      </c>
      <c r="K6104" t="s">
        <v>19</v>
      </c>
      <c r="L6104" t="s">
        <v>20</v>
      </c>
      <c r="M6104" t="s">
        <v>24</v>
      </c>
      <c r="N6104" t="s">
        <v>22</v>
      </c>
    </row>
    <row r="6105" spans="1:14">
      <c r="A6105" s="4" t="str">
        <f t="shared" si="571"/>
        <v>EXP00214</v>
      </c>
      <c r="B6105" s="4" t="str">
        <f t="shared" ref="B6105:B6168" si="572">HYPERLINK("https://www.ncbi.nlm.nih.gov/pubmed/25361981","25361981")</f>
        <v>25361981</v>
      </c>
      <c r="C6105" s="4" t="str">
        <f t="shared" ref="C6105:C6168" si="573">HYPERLINK("https://www.ncbi.nlm.nih.gov/geo/query/acc.cgi?acc=GSE56493","GSE56493")</f>
        <v>GSE56493</v>
      </c>
      <c r="D6105" s="1" t="s">
        <v>298</v>
      </c>
      <c r="E6105" t="s">
        <v>15</v>
      </c>
      <c r="F6105" s="1">
        <v>2</v>
      </c>
      <c r="G6105" s="1" t="s">
        <v>23</v>
      </c>
      <c r="H6105" s="4" t="str">
        <f>HYPERLINK("https://www.ncbi.nlm.nih.gov/geo/query/acc.cgi?acc=GSM1362523","GSM1362523")</f>
        <v>GSM1362523</v>
      </c>
      <c r="I6105" t="s">
        <v>17</v>
      </c>
      <c r="J6105" t="s">
        <v>18</v>
      </c>
      <c r="K6105" t="s">
        <v>19</v>
      </c>
      <c r="L6105" t="s">
        <v>20</v>
      </c>
      <c r="M6105" t="s">
        <v>24</v>
      </c>
      <c r="N6105" t="s">
        <v>22</v>
      </c>
    </row>
    <row r="6106" spans="1:14">
      <c r="A6106" s="4" t="str">
        <f t="shared" si="571"/>
        <v>EXP00214</v>
      </c>
      <c r="B6106" s="4" t="str">
        <f t="shared" si="572"/>
        <v>25361981</v>
      </c>
      <c r="C6106" s="4" t="str">
        <f t="shared" si="573"/>
        <v>GSE56493</v>
      </c>
      <c r="D6106" s="1" t="s">
        <v>298</v>
      </c>
      <c r="E6106" t="s">
        <v>15</v>
      </c>
      <c r="F6106" s="1">
        <v>2</v>
      </c>
      <c r="G6106" s="1" t="s">
        <v>23</v>
      </c>
      <c r="H6106" s="4" t="str">
        <f>HYPERLINK("https://www.ncbi.nlm.nih.gov/geo/query/acc.cgi?acc=GSM1362525","GSM1362525")</f>
        <v>GSM1362525</v>
      </c>
      <c r="I6106" t="s">
        <v>17</v>
      </c>
      <c r="J6106" t="s">
        <v>18</v>
      </c>
      <c r="K6106" t="s">
        <v>19</v>
      </c>
      <c r="L6106" t="s">
        <v>20</v>
      </c>
      <c r="M6106" t="s">
        <v>24</v>
      </c>
      <c r="N6106" t="s">
        <v>22</v>
      </c>
    </row>
    <row r="6107" spans="1:14">
      <c r="A6107" s="4" t="str">
        <f t="shared" si="571"/>
        <v>EXP00214</v>
      </c>
      <c r="B6107" s="4" t="str">
        <f t="shared" si="572"/>
        <v>25361981</v>
      </c>
      <c r="C6107" s="4" t="str">
        <f t="shared" si="573"/>
        <v>GSE56493</v>
      </c>
      <c r="D6107" s="1" t="s">
        <v>298</v>
      </c>
      <c r="E6107" t="s">
        <v>15</v>
      </c>
      <c r="F6107" s="1">
        <v>2</v>
      </c>
      <c r="G6107" s="1" t="s">
        <v>23</v>
      </c>
      <c r="H6107" s="4" t="str">
        <f>HYPERLINK("https://www.ncbi.nlm.nih.gov/geo/query/acc.cgi?acc=GSM1362527","GSM1362527")</f>
        <v>GSM1362527</v>
      </c>
      <c r="I6107" t="s">
        <v>17</v>
      </c>
      <c r="J6107" t="s">
        <v>18</v>
      </c>
      <c r="K6107" t="s">
        <v>19</v>
      </c>
      <c r="L6107" t="s">
        <v>20</v>
      </c>
      <c r="M6107" t="s">
        <v>24</v>
      </c>
      <c r="N6107" t="s">
        <v>22</v>
      </c>
    </row>
    <row r="6108" spans="1:14">
      <c r="A6108" s="4" t="str">
        <f t="shared" si="571"/>
        <v>EXP00214</v>
      </c>
      <c r="B6108" s="4" t="str">
        <f t="shared" si="572"/>
        <v>25361981</v>
      </c>
      <c r="C6108" s="4" t="str">
        <f t="shared" si="573"/>
        <v>GSE56493</v>
      </c>
      <c r="D6108" s="1" t="s">
        <v>298</v>
      </c>
      <c r="E6108" t="s">
        <v>15</v>
      </c>
      <c r="F6108" s="1">
        <v>2</v>
      </c>
      <c r="G6108" s="1" t="s">
        <v>23</v>
      </c>
      <c r="H6108" s="4" t="str">
        <f>HYPERLINK("https://www.ncbi.nlm.nih.gov/geo/query/acc.cgi?acc=GSM1362528","GSM1362528")</f>
        <v>GSM1362528</v>
      </c>
      <c r="I6108" t="s">
        <v>17</v>
      </c>
      <c r="J6108" t="s">
        <v>18</v>
      </c>
      <c r="K6108" t="s">
        <v>19</v>
      </c>
      <c r="L6108" t="s">
        <v>20</v>
      </c>
      <c r="M6108" t="s">
        <v>24</v>
      </c>
      <c r="N6108" t="s">
        <v>22</v>
      </c>
    </row>
    <row r="6109" spans="1:14">
      <c r="A6109" s="4" t="str">
        <f t="shared" si="571"/>
        <v>EXP00214</v>
      </c>
      <c r="B6109" s="4" t="str">
        <f t="shared" si="572"/>
        <v>25361981</v>
      </c>
      <c r="C6109" s="4" t="str">
        <f t="shared" si="573"/>
        <v>GSE56493</v>
      </c>
      <c r="D6109" s="1" t="s">
        <v>298</v>
      </c>
      <c r="E6109" t="s">
        <v>15</v>
      </c>
      <c r="F6109" s="1">
        <v>2</v>
      </c>
      <c r="G6109" s="1" t="s">
        <v>23</v>
      </c>
      <c r="H6109" s="4" t="str">
        <f>HYPERLINK("https://www.ncbi.nlm.nih.gov/geo/query/acc.cgi?acc=GSM1362529","GSM1362529")</f>
        <v>GSM1362529</v>
      </c>
      <c r="I6109" t="s">
        <v>17</v>
      </c>
      <c r="J6109" t="s">
        <v>18</v>
      </c>
      <c r="K6109" t="s">
        <v>19</v>
      </c>
      <c r="L6109" t="s">
        <v>20</v>
      </c>
      <c r="M6109" t="s">
        <v>24</v>
      </c>
      <c r="N6109" t="s">
        <v>22</v>
      </c>
    </row>
    <row r="6110" spans="1:14">
      <c r="A6110" s="4" t="str">
        <f t="shared" si="571"/>
        <v>EXP00214</v>
      </c>
      <c r="B6110" s="4" t="str">
        <f t="shared" si="572"/>
        <v>25361981</v>
      </c>
      <c r="C6110" s="4" t="str">
        <f t="shared" si="573"/>
        <v>GSE56493</v>
      </c>
      <c r="D6110" s="1" t="s">
        <v>298</v>
      </c>
      <c r="E6110" t="s">
        <v>15</v>
      </c>
      <c r="F6110" s="1">
        <v>2</v>
      </c>
      <c r="G6110" s="1" t="s">
        <v>23</v>
      </c>
      <c r="H6110" s="4" t="str">
        <f>HYPERLINK("https://www.ncbi.nlm.nih.gov/geo/query/acc.cgi?acc=GSM1362531","GSM1362531")</f>
        <v>GSM1362531</v>
      </c>
      <c r="I6110" t="s">
        <v>17</v>
      </c>
      <c r="J6110" t="s">
        <v>18</v>
      </c>
      <c r="K6110" t="s">
        <v>19</v>
      </c>
      <c r="L6110" t="s">
        <v>20</v>
      </c>
      <c r="M6110" t="s">
        <v>24</v>
      </c>
      <c r="N6110" t="s">
        <v>22</v>
      </c>
    </row>
    <row r="6111" spans="1:14">
      <c r="A6111" s="4" t="str">
        <f t="shared" si="571"/>
        <v>EXP00214</v>
      </c>
      <c r="B6111" s="4" t="str">
        <f t="shared" si="572"/>
        <v>25361981</v>
      </c>
      <c r="C6111" s="4" t="str">
        <f t="shared" si="573"/>
        <v>GSE56493</v>
      </c>
      <c r="D6111" s="1" t="s">
        <v>298</v>
      </c>
      <c r="E6111" t="s">
        <v>15</v>
      </c>
      <c r="F6111" s="1">
        <v>2</v>
      </c>
      <c r="G6111" s="1" t="s">
        <v>23</v>
      </c>
      <c r="H6111" s="4" t="str">
        <f>HYPERLINK("https://www.ncbi.nlm.nih.gov/geo/query/acc.cgi?acc=GSM1362538","GSM1362538")</f>
        <v>GSM1362538</v>
      </c>
      <c r="I6111" t="s">
        <v>17</v>
      </c>
      <c r="J6111" t="s">
        <v>18</v>
      </c>
      <c r="K6111" t="s">
        <v>19</v>
      </c>
      <c r="L6111" t="s">
        <v>20</v>
      </c>
      <c r="M6111" t="s">
        <v>24</v>
      </c>
      <c r="N6111" t="s">
        <v>22</v>
      </c>
    </row>
    <row r="6112" spans="1:14">
      <c r="A6112" s="4" t="str">
        <f t="shared" si="571"/>
        <v>EXP00214</v>
      </c>
      <c r="B6112" s="4" t="str">
        <f t="shared" si="572"/>
        <v>25361981</v>
      </c>
      <c r="C6112" s="4" t="str">
        <f t="shared" si="573"/>
        <v>GSE56493</v>
      </c>
      <c r="D6112" s="1" t="s">
        <v>298</v>
      </c>
      <c r="E6112" t="s">
        <v>15</v>
      </c>
      <c r="F6112" s="1">
        <v>2</v>
      </c>
      <c r="G6112" s="1" t="s">
        <v>23</v>
      </c>
      <c r="H6112" s="4" t="str">
        <f>HYPERLINK("https://www.ncbi.nlm.nih.gov/geo/query/acc.cgi?acc=GSM1362540","GSM1362540")</f>
        <v>GSM1362540</v>
      </c>
      <c r="I6112" t="s">
        <v>17</v>
      </c>
      <c r="J6112" t="s">
        <v>18</v>
      </c>
      <c r="K6112" t="s">
        <v>19</v>
      </c>
      <c r="L6112" t="s">
        <v>20</v>
      </c>
      <c r="M6112" t="s">
        <v>24</v>
      </c>
      <c r="N6112" t="s">
        <v>22</v>
      </c>
    </row>
    <row r="6113" spans="1:14">
      <c r="A6113" s="4" t="str">
        <f t="shared" si="571"/>
        <v>EXP00214</v>
      </c>
      <c r="B6113" s="4" t="str">
        <f t="shared" si="572"/>
        <v>25361981</v>
      </c>
      <c r="C6113" s="4" t="str">
        <f t="shared" si="573"/>
        <v>GSE56493</v>
      </c>
      <c r="D6113" s="1" t="s">
        <v>298</v>
      </c>
      <c r="E6113" t="s">
        <v>15</v>
      </c>
      <c r="F6113" s="1">
        <v>2</v>
      </c>
      <c r="G6113" s="1" t="s">
        <v>23</v>
      </c>
      <c r="H6113" s="4" t="str">
        <f>HYPERLINK("https://www.ncbi.nlm.nih.gov/geo/query/acc.cgi?acc=GSM1362541","GSM1362541")</f>
        <v>GSM1362541</v>
      </c>
      <c r="I6113" t="s">
        <v>17</v>
      </c>
      <c r="J6113" t="s">
        <v>18</v>
      </c>
      <c r="K6113" t="s">
        <v>19</v>
      </c>
      <c r="L6113" t="s">
        <v>20</v>
      </c>
      <c r="M6113" t="s">
        <v>24</v>
      </c>
      <c r="N6113" t="s">
        <v>22</v>
      </c>
    </row>
    <row r="6114" spans="1:14">
      <c r="A6114" s="4" t="str">
        <f t="shared" si="571"/>
        <v>EXP00214</v>
      </c>
      <c r="B6114" s="4" t="str">
        <f t="shared" si="572"/>
        <v>25361981</v>
      </c>
      <c r="C6114" s="4" t="str">
        <f t="shared" si="573"/>
        <v>GSE56493</v>
      </c>
      <c r="D6114" s="1" t="s">
        <v>298</v>
      </c>
      <c r="E6114" t="s">
        <v>15</v>
      </c>
      <c r="F6114" s="1">
        <v>2</v>
      </c>
      <c r="G6114" s="1" t="s">
        <v>23</v>
      </c>
      <c r="H6114" s="4" t="str">
        <f>HYPERLINK("https://www.ncbi.nlm.nih.gov/geo/query/acc.cgi?acc=GSM1362543","GSM1362543")</f>
        <v>GSM1362543</v>
      </c>
      <c r="I6114" t="s">
        <v>17</v>
      </c>
      <c r="J6114" t="s">
        <v>18</v>
      </c>
      <c r="K6114" t="s">
        <v>19</v>
      </c>
      <c r="L6114" t="s">
        <v>20</v>
      </c>
      <c r="M6114" t="s">
        <v>24</v>
      </c>
      <c r="N6114" t="s">
        <v>22</v>
      </c>
    </row>
    <row r="6115" spans="1:14">
      <c r="A6115" s="4" t="str">
        <f t="shared" si="571"/>
        <v>EXP00214</v>
      </c>
      <c r="B6115" s="4" t="str">
        <f t="shared" si="572"/>
        <v>25361981</v>
      </c>
      <c r="C6115" s="4" t="str">
        <f t="shared" si="573"/>
        <v>GSE56493</v>
      </c>
      <c r="D6115" s="1" t="s">
        <v>298</v>
      </c>
      <c r="E6115" t="s">
        <v>15</v>
      </c>
      <c r="F6115" s="1">
        <v>2</v>
      </c>
      <c r="G6115" s="1" t="s">
        <v>23</v>
      </c>
      <c r="H6115" s="4" t="str">
        <f>HYPERLINK("https://www.ncbi.nlm.nih.gov/geo/query/acc.cgi?acc=GSM1362547","GSM1362547")</f>
        <v>GSM1362547</v>
      </c>
      <c r="I6115" t="s">
        <v>17</v>
      </c>
      <c r="J6115" t="s">
        <v>18</v>
      </c>
      <c r="K6115" t="s">
        <v>19</v>
      </c>
      <c r="L6115" t="s">
        <v>20</v>
      </c>
      <c r="M6115" t="s">
        <v>24</v>
      </c>
      <c r="N6115" t="s">
        <v>22</v>
      </c>
    </row>
    <row r="6116" spans="1:14">
      <c r="A6116" s="4" t="str">
        <f t="shared" si="571"/>
        <v>EXP00214</v>
      </c>
      <c r="B6116" s="4" t="str">
        <f t="shared" si="572"/>
        <v>25361981</v>
      </c>
      <c r="C6116" s="4" t="str">
        <f t="shared" si="573"/>
        <v>GSE56493</v>
      </c>
      <c r="D6116" s="1" t="s">
        <v>298</v>
      </c>
      <c r="E6116" t="s">
        <v>15</v>
      </c>
      <c r="F6116" s="1">
        <v>2</v>
      </c>
      <c r="G6116" s="1" t="s">
        <v>23</v>
      </c>
      <c r="H6116" s="4" t="str">
        <f>HYPERLINK("https://www.ncbi.nlm.nih.gov/geo/query/acc.cgi?acc=GSM1362548","GSM1362548")</f>
        <v>GSM1362548</v>
      </c>
      <c r="I6116" t="s">
        <v>17</v>
      </c>
      <c r="J6116" t="s">
        <v>18</v>
      </c>
      <c r="K6116" t="s">
        <v>19</v>
      </c>
      <c r="L6116" t="s">
        <v>20</v>
      </c>
      <c r="M6116" t="s">
        <v>24</v>
      </c>
      <c r="N6116" t="s">
        <v>22</v>
      </c>
    </row>
    <row r="6117" spans="1:14">
      <c r="A6117" s="4" t="str">
        <f t="shared" si="571"/>
        <v>EXP00214</v>
      </c>
      <c r="B6117" s="4" t="str">
        <f t="shared" si="572"/>
        <v>25361981</v>
      </c>
      <c r="C6117" s="4" t="str">
        <f t="shared" si="573"/>
        <v>GSE56493</v>
      </c>
      <c r="D6117" s="1" t="s">
        <v>298</v>
      </c>
      <c r="E6117" t="s">
        <v>15</v>
      </c>
      <c r="F6117" s="1">
        <v>2</v>
      </c>
      <c r="G6117" s="1" t="s">
        <v>23</v>
      </c>
      <c r="H6117" s="4" t="str">
        <f>HYPERLINK("https://www.ncbi.nlm.nih.gov/geo/query/acc.cgi?acc=GSM1362549","GSM1362549")</f>
        <v>GSM1362549</v>
      </c>
      <c r="I6117" t="s">
        <v>17</v>
      </c>
      <c r="J6117" t="s">
        <v>18</v>
      </c>
      <c r="K6117" t="s">
        <v>19</v>
      </c>
      <c r="L6117" t="s">
        <v>20</v>
      </c>
      <c r="M6117" t="s">
        <v>24</v>
      </c>
      <c r="N6117" t="s">
        <v>22</v>
      </c>
    </row>
    <row r="6118" spans="1:14">
      <c r="A6118" s="4" t="str">
        <f t="shared" si="571"/>
        <v>EXP00214</v>
      </c>
      <c r="B6118" s="4" t="str">
        <f t="shared" si="572"/>
        <v>25361981</v>
      </c>
      <c r="C6118" s="4" t="str">
        <f t="shared" si="573"/>
        <v>GSE56493</v>
      </c>
      <c r="D6118" s="1" t="s">
        <v>298</v>
      </c>
      <c r="E6118" t="s">
        <v>15</v>
      </c>
      <c r="F6118" s="1">
        <v>2</v>
      </c>
      <c r="G6118" s="1" t="s">
        <v>23</v>
      </c>
      <c r="H6118" s="4" t="str">
        <f>HYPERLINK("https://www.ncbi.nlm.nih.gov/geo/query/acc.cgi?acc=GSM1362552","GSM1362552")</f>
        <v>GSM1362552</v>
      </c>
      <c r="I6118" t="s">
        <v>17</v>
      </c>
      <c r="J6118" t="s">
        <v>18</v>
      </c>
      <c r="K6118" t="s">
        <v>19</v>
      </c>
      <c r="L6118" t="s">
        <v>20</v>
      </c>
      <c r="M6118" t="s">
        <v>24</v>
      </c>
      <c r="N6118" t="s">
        <v>22</v>
      </c>
    </row>
    <row r="6119" spans="1:14">
      <c r="A6119" s="4" t="str">
        <f t="shared" si="571"/>
        <v>EXP00214</v>
      </c>
      <c r="B6119" s="4" t="str">
        <f t="shared" si="572"/>
        <v>25361981</v>
      </c>
      <c r="C6119" s="4" t="str">
        <f t="shared" si="573"/>
        <v>GSE56493</v>
      </c>
      <c r="D6119" s="1" t="s">
        <v>298</v>
      </c>
      <c r="E6119" t="s">
        <v>15</v>
      </c>
      <c r="F6119" s="1">
        <v>2</v>
      </c>
      <c r="G6119" s="1" t="s">
        <v>23</v>
      </c>
      <c r="H6119" s="4" t="str">
        <f>HYPERLINK("https://www.ncbi.nlm.nih.gov/geo/query/acc.cgi?acc=GSM1362553","GSM1362553")</f>
        <v>GSM1362553</v>
      </c>
      <c r="I6119" t="s">
        <v>17</v>
      </c>
      <c r="J6119" t="s">
        <v>18</v>
      </c>
      <c r="K6119" t="s">
        <v>19</v>
      </c>
      <c r="L6119" t="s">
        <v>20</v>
      </c>
      <c r="M6119" t="s">
        <v>24</v>
      </c>
      <c r="N6119" t="s">
        <v>22</v>
      </c>
    </row>
    <row r="6120" spans="1:14">
      <c r="A6120" s="4" t="str">
        <f t="shared" si="571"/>
        <v>EXP00214</v>
      </c>
      <c r="B6120" s="4" t="str">
        <f t="shared" si="572"/>
        <v>25361981</v>
      </c>
      <c r="C6120" s="4" t="str">
        <f t="shared" si="573"/>
        <v>GSE56493</v>
      </c>
      <c r="D6120" s="1" t="s">
        <v>298</v>
      </c>
      <c r="E6120" t="s">
        <v>15</v>
      </c>
      <c r="F6120" s="1">
        <v>2</v>
      </c>
      <c r="G6120" s="1" t="s">
        <v>23</v>
      </c>
      <c r="H6120" s="4" t="str">
        <f>HYPERLINK("https://www.ncbi.nlm.nih.gov/geo/query/acc.cgi?acc=GSM1362557","GSM1362557")</f>
        <v>GSM1362557</v>
      </c>
      <c r="I6120" t="s">
        <v>17</v>
      </c>
      <c r="J6120" t="s">
        <v>18</v>
      </c>
      <c r="K6120" t="s">
        <v>19</v>
      </c>
      <c r="L6120" t="s">
        <v>20</v>
      </c>
      <c r="M6120" t="s">
        <v>24</v>
      </c>
      <c r="N6120" t="s">
        <v>22</v>
      </c>
    </row>
    <row r="6121" spans="1:14">
      <c r="A6121" s="4" t="str">
        <f t="shared" si="571"/>
        <v>EXP00214</v>
      </c>
      <c r="B6121" s="4" t="str">
        <f t="shared" si="572"/>
        <v>25361981</v>
      </c>
      <c r="C6121" s="4" t="str">
        <f t="shared" si="573"/>
        <v>GSE56493</v>
      </c>
      <c r="D6121" s="1" t="s">
        <v>298</v>
      </c>
      <c r="E6121" t="s">
        <v>15</v>
      </c>
      <c r="F6121" s="1">
        <v>2</v>
      </c>
      <c r="G6121" s="1" t="s">
        <v>23</v>
      </c>
      <c r="H6121" s="4" t="str">
        <f>HYPERLINK("https://www.ncbi.nlm.nih.gov/geo/query/acc.cgi?acc=GSM1362560","GSM1362560")</f>
        <v>GSM1362560</v>
      </c>
      <c r="I6121" t="s">
        <v>17</v>
      </c>
      <c r="J6121" t="s">
        <v>18</v>
      </c>
      <c r="K6121" t="s">
        <v>19</v>
      </c>
      <c r="L6121" t="s">
        <v>20</v>
      </c>
      <c r="M6121" t="s">
        <v>24</v>
      </c>
      <c r="N6121" t="s">
        <v>22</v>
      </c>
    </row>
    <row r="6122" spans="1:14">
      <c r="A6122" s="4" t="str">
        <f t="shared" si="571"/>
        <v>EXP00214</v>
      </c>
      <c r="B6122" s="4" t="str">
        <f t="shared" si="572"/>
        <v>25361981</v>
      </c>
      <c r="C6122" s="4" t="str">
        <f t="shared" si="573"/>
        <v>GSE56493</v>
      </c>
      <c r="D6122" s="1" t="s">
        <v>298</v>
      </c>
      <c r="E6122" t="s">
        <v>15</v>
      </c>
      <c r="F6122" s="1">
        <v>2</v>
      </c>
      <c r="G6122" s="1" t="s">
        <v>23</v>
      </c>
      <c r="H6122" s="4" t="str">
        <f>HYPERLINK("https://www.ncbi.nlm.nih.gov/geo/query/acc.cgi?acc=GSM1362567","GSM1362567")</f>
        <v>GSM1362567</v>
      </c>
      <c r="I6122" t="s">
        <v>17</v>
      </c>
      <c r="J6122" t="s">
        <v>18</v>
      </c>
      <c r="K6122" t="s">
        <v>19</v>
      </c>
      <c r="L6122" t="s">
        <v>20</v>
      </c>
      <c r="M6122" t="s">
        <v>24</v>
      </c>
      <c r="N6122" t="s">
        <v>22</v>
      </c>
    </row>
    <row r="6123" spans="1:14">
      <c r="A6123" s="4" t="str">
        <f t="shared" si="571"/>
        <v>EXP00214</v>
      </c>
      <c r="B6123" s="4" t="str">
        <f t="shared" si="572"/>
        <v>25361981</v>
      </c>
      <c r="C6123" s="4" t="str">
        <f t="shared" si="573"/>
        <v>GSE56493</v>
      </c>
      <c r="D6123" s="1" t="s">
        <v>298</v>
      </c>
      <c r="E6123" t="s">
        <v>15</v>
      </c>
      <c r="F6123" s="1">
        <v>2</v>
      </c>
      <c r="G6123" s="1" t="s">
        <v>23</v>
      </c>
      <c r="H6123" s="4" t="str">
        <f>HYPERLINK("https://www.ncbi.nlm.nih.gov/geo/query/acc.cgi?acc=GSM1362568","GSM1362568")</f>
        <v>GSM1362568</v>
      </c>
      <c r="I6123" t="s">
        <v>17</v>
      </c>
      <c r="J6123" t="s">
        <v>18</v>
      </c>
      <c r="K6123" t="s">
        <v>19</v>
      </c>
      <c r="L6123" t="s">
        <v>20</v>
      </c>
      <c r="M6123" t="s">
        <v>24</v>
      </c>
      <c r="N6123" t="s">
        <v>22</v>
      </c>
    </row>
    <row r="6124" spans="1:14">
      <c r="A6124" s="4" t="str">
        <f t="shared" si="571"/>
        <v>EXP00214</v>
      </c>
      <c r="B6124" s="4" t="str">
        <f t="shared" si="572"/>
        <v>25361981</v>
      </c>
      <c r="C6124" s="4" t="str">
        <f t="shared" si="573"/>
        <v>GSE56493</v>
      </c>
      <c r="D6124" s="1" t="s">
        <v>298</v>
      </c>
      <c r="E6124" t="s">
        <v>15</v>
      </c>
      <c r="F6124" s="1">
        <v>2</v>
      </c>
      <c r="G6124" s="1" t="s">
        <v>23</v>
      </c>
      <c r="H6124" s="4" t="str">
        <f>HYPERLINK("https://www.ncbi.nlm.nih.gov/geo/query/acc.cgi?acc=GSM1362574","GSM1362574")</f>
        <v>GSM1362574</v>
      </c>
      <c r="I6124" t="s">
        <v>17</v>
      </c>
      <c r="J6124" t="s">
        <v>18</v>
      </c>
      <c r="K6124" t="s">
        <v>19</v>
      </c>
      <c r="L6124" t="s">
        <v>20</v>
      </c>
      <c r="M6124" t="s">
        <v>24</v>
      </c>
      <c r="N6124" t="s">
        <v>22</v>
      </c>
    </row>
    <row r="6125" spans="1:14">
      <c r="A6125" s="4" t="str">
        <f t="shared" si="571"/>
        <v>EXP00214</v>
      </c>
      <c r="B6125" s="4" t="str">
        <f t="shared" si="572"/>
        <v>25361981</v>
      </c>
      <c r="C6125" s="4" t="str">
        <f t="shared" si="573"/>
        <v>GSE56493</v>
      </c>
      <c r="D6125" s="1" t="s">
        <v>298</v>
      </c>
      <c r="E6125" t="s">
        <v>15</v>
      </c>
      <c r="F6125" s="1">
        <v>2</v>
      </c>
      <c r="G6125" s="1" t="s">
        <v>23</v>
      </c>
      <c r="H6125" s="4" t="str">
        <f>HYPERLINK("https://www.ncbi.nlm.nih.gov/geo/query/acc.cgi?acc=GSM1362575","GSM1362575")</f>
        <v>GSM1362575</v>
      </c>
      <c r="I6125" t="s">
        <v>17</v>
      </c>
      <c r="J6125" t="s">
        <v>18</v>
      </c>
      <c r="K6125" t="s">
        <v>19</v>
      </c>
      <c r="L6125" t="s">
        <v>20</v>
      </c>
      <c r="M6125" t="s">
        <v>24</v>
      </c>
      <c r="N6125" t="s">
        <v>22</v>
      </c>
    </row>
    <row r="6126" spans="1:14">
      <c r="A6126" s="4" t="str">
        <f t="shared" si="571"/>
        <v>EXP00214</v>
      </c>
      <c r="B6126" s="4" t="str">
        <f t="shared" si="572"/>
        <v>25361981</v>
      </c>
      <c r="C6126" s="4" t="str">
        <f t="shared" si="573"/>
        <v>GSE56493</v>
      </c>
      <c r="D6126" s="1" t="s">
        <v>298</v>
      </c>
      <c r="E6126" t="s">
        <v>15</v>
      </c>
      <c r="F6126" s="1">
        <v>2</v>
      </c>
      <c r="G6126" s="1" t="s">
        <v>23</v>
      </c>
      <c r="H6126" s="4" t="str">
        <f>HYPERLINK("https://www.ncbi.nlm.nih.gov/geo/query/acc.cgi?acc=GSM1362579","GSM1362579")</f>
        <v>GSM1362579</v>
      </c>
      <c r="I6126" t="s">
        <v>17</v>
      </c>
      <c r="J6126" t="s">
        <v>18</v>
      </c>
      <c r="K6126" t="s">
        <v>19</v>
      </c>
      <c r="L6126" t="s">
        <v>20</v>
      </c>
      <c r="M6126" t="s">
        <v>24</v>
      </c>
      <c r="N6126" t="s">
        <v>22</v>
      </c>
    </row>
    <row r="6127" spans="1:14">
      <c r="A6127" s="4" t="str">
        <f t="shared" si="571"/>
        <v>EXP00214</v>
      </c>
      <c r="B6127" s="4" t="str">
        <f t="shared" si="572"/>
        <v>25361981</v>
      </c>
      <c r="C6127" s="4" t="str">
        <f t="shared" si="573"/>
        <v>GSE56493</v>
      </c>
      <c r="D6127" s="1" t="s">
        <v>298</v>
      </c>
      <c r="E6127" t="s">
        <v>15</v>
      </c>
      <c r="F6127" s="1">
        <v>2</v>
      </c>
      <c r="G6127" s="1" t="s">
        <v>23</v>
      </c>
      <c r="H6127" s="4" t="str">
        <f>HYPERLINK("https://www.ncbi.nlm.nih.gov/geo/query/acc.cgi?acc=GSM1362580","GSM1362580")</f>
        <v>GSM1362580</v>
      </c>
      <c r="I6127" t="s">
        <v>17</v>
      </c>
      <c r="J6127" t="s">
        <v>18</v>
      </c>
      <c r="K6127" t="s">
        <v>19</v>
      </c>
      <c r="L6127" t="s">
        <v>20</v>
      </c>
      <c r="M6127" t="s">
        <v>24</v>
      </c>
      <c r="N6127" t="s">
        <v>22</v>
      </c>
    </row>
    <row r="6128" spans="1:14">
      <c r="A6128" s="4" t="str">
        <f t="shared" si="571"/>
        <v>EXP00214</v>
      </c>
      <c r="B6128" s="4" t="str">
        <f t="shared" si="572"/>
        <v>25361981</v>
      </c>
      <c r="C6128" s="4" t="str">
        <f t="shared" si="573"/>
        <v>GSE56493</v>
      </c>
      <c r="D6128" s="1" t="s">
        <v>298</v>
      </c>
      <c r="E6128" t="s">
        <v>15</v>
      </c>
      <c r="F6128" s="1">
        <v>2</v>
      </c>
      <c r="G6128" s="1" t="s">
        <v>23</v>
      </c>
      <c r="H6128" s="4" t="str">
        <f>HYPERLINK("https://www.ncbi.nlm.nih.gov/geo/query/acc.cgi?acc=GSM1362581","GSM1362581")</f>
        <v>GSM1362581</v>
      </c>
      <c r="I6128" t="s">
        <v>17</v>
      </c>
      <c r="J6128" t="s">
        <v>18</v>
      </c>
      <c r="K6128" t="s">
        <v>19</v>
      </c>
      <c r="L6128" t="s">
        <v>20</v>
      </c>
      <c r="M6128" t="s">
        <v>24</v>
      </c>
      <c r="N6128" t="s">
        <v>22</v>
      </c>
    </row>
    <row r="6129" spans="1:14">
      <c r="A6129" s="4" t="str">
        <f t="shared" ref="A6129:A6145" si="574">HYPERLINK("http://hcmdb.i-sanger.com/experiment/details/experiment_id/EXP00214","EXP00214")</f>
        <v>EXP00214</v>
      </c>
      <c r="B6129" s="4" t="str">
        <f t="shared" si="572"/>
        <v>25361981</v>
      </c>
      <c r="C6129" s="4" t="str">
        <f t="shared" si="573"/>
        <v>GSE56493</v>
      </c>
      <c r="D6129" s="1" t="s">
        <v>298</v>
      </c>
      <c r="E6129" t="s">
        <v>15</v>
      </c>
      <c r="F6129" s="1">
        <v>2</v>
      </c>
      <c r="G6129" s="1" t="s">
        <v>23</v>
      </c>
      <c r="H6129" s="4" t="str">
        <f>HYPERLINK("https://www.ncbi.nlm.nih.gov/geo/query/acc.cgi?acc=GSM1362586","GSM1362586")</f>
        <v>GSM1362586</v>
      </c>
      <c r="I6129" t="s">
        <v>17</v>
      </c>
      <c r="J6129" t="s">
        <v>18</v>
      </c>
      <c r="K6129" t="s">
        <v>19</v>
      </c>
      <c r="L6129" t="s">
        <v>20</v>
      </c>
      <c r="M6129" t="s">
        <v>24</v>
      </c>
      <c r="N6129" t="s">
        <v>22</v>
      </c>
    </row>
    <row r="6130" spans="1:14">
      <c r="A6130" s="4" t="str">
        <f t="shared" si="574"/>
        <v>EXP00214</v>
      </c>
      <c r="B6130" s="4" t="str">
        <f t="shared" si="572"/>
        <v>25361981</v>
      </c>
      <c r="C6130" s="4" t="str">
        <f t="shared" si="573"/>
        <v>GSE56493</v>
      </c>
      <c r="D6130" s="1" t="s">
        <v>298</v>
      </c>
      <c r="E6130" t="s">
        <v>15</v>
      </c>
      <c r="F6130" s="1">
        <v>2</v>
      </c>
      <c r="G6130" s="1" t="s">
        <v>23</v>
      </c>
      <c r="H6130" s="4" t="str">
        <f>HYPERLINK("https://www.ncbi.nlm.nih.gov/geo/query/acc.cgi?acc=GSM1362587","GSM1362587")</f>
        <v>GSM1362587</v>
      </c>
      <c r="I6130" t="s">
        <v>17</v>
      </c>
      <c r="J6130" t="s">
        <v>18</v>
      </c>
      <c r="K6130" t="s">
        <v>19</v>
      </c>
      <c r="L6130" t="s">
        <v>20</v>
      </c>
      <c r="M6130" t="s">
        <v>24</v>
      </c>
      <c r="N6130" t="s">
        <v>22</v>
      </c>
    </row>
    <row r="6131" spans="1:14">
      <c r="A6131" s="4" t="str">
        <f t="shared" si="574"/>
        <v>EXP00214</v>
      </c>
      <c r="B6131" s="4" t="str">
        <f t="shared" si="572"/>
        <v>25361981</v>
      </c>
      <c r="C6131" s="4" t="str">
        <f t="shared" si="573"/>
        <v>GSE56493</v>
      </c>
      <c r="D6131" s="1" t="s">
        <v>298</v>
      </c>
      <c r="E6131" t="s">
        <v>15</v>
      </c>
      <c r="F6131" s="1">
        <v>2</v>
      </c>
      <c r="G6131" s="1" t="s">
        <v>23</v>
      </c>
      <c r="H6131" s="4" t="str">
        <f>HYPERLINK("https://www.ncbi.nlm.nih.gov/geo/query/acc.cgi?acc=GSM1362592","GSM1362592")</f>
        <v>GSM1362592</v>
      </c>
      <c r="I6131" t="s">
        <v>17</v>
      </c>
      <c r="J6131" t="s">
        <v>18</v>
      </c>
      <c r="K6131" t="s">
        <v>19</v>
      </c>
      <c r="L6131" t="s">
        <v>20</v>
      </c>
      <c r="M6131" t="s">
        <v>24</v>
      </c>
      <c r="N6131" t="s">
        <v>22</v>
      </c>
    </row>
    <row r="6132" spans="1:14">
      <c r="A6132" s="4" t="str">
        <f t="shared" si="574"/>
        <v>EXP00214</v>
      </c>
      <c r="B6132" s="4" t="str">
        <f t="shared" si="572"/>
        <v>25361981</v>
      </c>
      <c r="C6132" s="4" t="str">
        <f t="shared" si="573"/>
        <v>GSE56493</v>
      </c>
      <c r="D6132" s="1" t="s">
        <v>298</v>
      </c>
      <c r="E6132" t="s">
        <v>15</v>
      </c>
      <c r="F6132" s="1">
        <v>2</v>
      </c>
      <c r="G6132" s="1" t="s">
        <v>23</v>
      </c>
      <c r="H6132" s="4" t="str">
        <f>HYPERLINK("https://www.ncbi.nlm.nih.gov/geo/query/acc.cgi?acc=GSM1362595","GSM1362595")</f>
        <v>GSM1362595</v>
      </c>
      <c r="I6132" t="s">
        <v>17</v>
      </c>
      <c r="J6132" t="s">
        <v>18</v>
      </c>
      <c r="K6132" t="s">
        <v>19</v>
      </c>
      <c r="L6132" t="s">
        <v>20</v>
      </c>
      <c r="M6132" t="s">
        <v>24</v>
      </c>
      <c r="N6132" t="s">
        <v>22</v>
      </c>
    </row>
    <row r="6133" spans="1:14">
      <c r="A6133" s="4" t="str">
        <f t="shared" si="574"/>
        <v>EXP00214</v>
      </c>
      <c r="B6133" s="4" t="str">
        <f t="shared" si="572"/>
        <v>25361981</v>
      </c>
      <c r="C6133" s="4" t="str">
        <f t="shared" si="573"/>
        <v>GSE56493</v>
      </c>
      <c r="D6133" s="1" t="s">
        <v>298</v>
      </c>
      <c r="E6133" t="s">
        <v>15</v>
      </c>
      <c r="F6133" s="1">
        <v>2</v>
      </c>
      <c r="G6133" s="1" t="s">
        <v>23</v>
      </c>
      <c r="H6133" s="4" t="str">
        <f>HYPERLINK("https://www.ncbi.nlm.nih.gov/geo/query/acc.cgi?acc=GSM1362600","GSM1362600")</f>
        <v>GSM1362600</v>
      </c>
      <c r="I6133" t="s">
        <v>17</v>
      </c>
      <c r="J6133" t="s">
        <v>18</v>
      </c>
      <c r="K6133" t="s">
        <v>19</v>
      </c>
      <c r="L6133" t="s">
        <v>20</v>
      </c>
      <c r="M6133" t="s">
        <v>24</v>
      </c>
      <c r="N6133" t="s">
        <v>22</v>
      </c>
    </row>
    <row r="6134" spans="1:14">
      <c r="A6134" s="4" t="str">
        <f t="shared" si="574"/>
        <v>EXP00214</v>
      </c>
      <c r="B6134" s="4" t="str">
        <f t="shared" si="572"/>
        <v>25361981</v>
      </c>
      <c r="C6134" s="4" t="str">
        <f t="shared" si="573"/>
        <v>GSE56493</v>
      </c>
      <c r="D6134" s="1" t="s">
        <v>298</v>
      </c>
      <c r="E6134" t="s">
        <v>15</v>
      </c>
      <c r="F6134" s="1">
        <v>2</v>
      </c>
      <c r="G6134" s="1" t="s">
        <v>23</v>
      </c>
      <c r="H6134" s="4" t="str">
        <f>HYPERLINK("https://www.ncbi.nlm.nih.gov/geo/query/acc.cgi?acc=GSM1362601","GSM1362601")</f>
        <v>GSM1362601</v>
      </c>
      <c r="I6134" t="s">
        <v>17</v>
      </c>
      <c r="J6134" t="s">
        <v>18</v>
      </c>
      <c r="K6134" t="s">
        <v>19</v>
      </c>
      <c r="L6134" t="s">
        <v>20</v>
      </c>
      <c r="M6134" t="s">
        <v>24</v>
      </c>
      <c r="N6134" t="s">
        <v>22</v>
      </c>
    </row>
    <row r="6135" spans="1:14">
      <c r="A6135" s="4" t="str">
        <f t="shared" si="574"/>
        <v>EXP00214</v>
      </c>
      <c r="B6135" s="4" t="str">
        <f t="shared" si="572"/>
        <v>25361981</v>
      </c>
      <c r="C6135" s="4" t="str">
        <f t="shared" si="573"/>
        <v>GSE56493</v>
      </c>
      <c r="D6135" s="1" t="s">
        <v>298</v>
      </c>
      <c r="E6135" t="s">
        <v>15</v>
      </c>
      <c r="F6135" s="1">
        <v>2</v>
      </c>
      <c r="G6135" s="1" t="s">
        <v>23</v>
      </c>
      <c r="H6135" s="4" t="str">
        <f>HYPERLINK("https://www.ncbi.nlm.nih.gov/geo/query/acc.cgi?acc=GSM1362608","GSM1362608")</f>
        <v>GSM1362608</v>
      </c>
      <c r="I6135" t="s">
        <v>17</v>
      </c>
      <c r="J6135" t="s">
        <v>18</v>
      </c>
      <c r="K6135" t="s">
        <v>19</v>
      </c>
      <c r="L6135" t="s">
        <v>20</v>
      </c>
      <c r="M6135" t="s">
        <v>24</v>
      </c>
      <c r="N6135" t="s">
        <v>22</v>
      </c>
    </row>
    <row r="6136" spans="1:14">
      <c r="A6136" s="4" t="str">
        <f t="shared" si="574"/>
        <v>EXP00214</v>
      </c>
      <c r="B6136" s="4" t="str">
        <f t="shared" si="572"/>
        <v>25361981</v>
      </c>
      <c r="C6136" s="4" t="str">
        <f t="shared" si="573"/>
        <v>GSE56493</v>
      </c>
      <c r="D6136" s="1" t="s">
        <v>298</v>
      </c>
      <c r="E6136" t="s">
        <v>15</v>
      </c>
      <c r="F6136" s="1">
        <v>2</v>
      </c>
      <c r="G6136" s="1" t="s">
        <v>23</v>
      </c>
      <c r="H6136" s="4" t="str">
        <f>HYPERLINK("https://www.ncbi.nlm.nih.gov/geo/query/acc.cgi?acc=GSM1362609","GSM1362609")</f>
        <v>GSM1362609</v>
      </c>
      <c r="I6136" t="s">
        <v>17</v>
      </c>
      <c r="J6136" t="s">
        <v>18</v>
      </c>
      <c r="K6136" t="s">
        <v>19</v>
      </c>
      <c r="L6136" t="s">
        <v>20</v>
      </c>
      <c r="M6136" t="s">
        <v>24</v>
      </c>
      <c r="N6136" t="s">
        <v>22</v>
      </c>
    </row>
    <row r="6137" spans="1:14">
      <c r="A6137" s="4" t="str">
        <f t="shared" si="574"/>
        <v>EXP00214</v>
      </c>
      <c r="B6137" s="4" t="str">
        <f t="shared" si="572"/>
        <v>25361981</v>
      </c>
      <c r="C6137" s="4" t="str">
        <f t="shared" si="573"/>
        <v>GSE56493</v>
      </c>
      <c r="D6137" s="1" t="s">
        <v>298</v>
      </c>
      <c r="E6137" t="s">
        <v>15</v>
      </c>
      <c r="F6137" s="1">
        <v>2</v>
      </c>
      <c r="G6137" s="1" t="s">
        <v>23</v>
      </c>
      <c r="H6137" s="4" t="str">
        <f>HYPERLINK("https://www.ncbi.nlm.nih.gov/geo/query/acc.cgi?acc=GSM1362613","GSM1362613")</f>
        <v>GSM1362613</v>
      </c>
      <c r="I6137" t="s">
        <v>17</v>
      </c>
      <c r="J6137" t="s">
        <v>18</v>
      </c>
      <c r="K6137" t="s">
        <v>19</v>
      </c>
      <c r="L6137" t="s">
        <v>20</v>
      </c>
      <c r="M6137" t="s">
        <v>24</v>
      </c>
      <c r="N6137" t="s">
        <v>22</v>
      </c>
    </row>
    <row r="6138" spans="1:14">
      <c r="A6138" s="4" t="str">
        <f t="shared" si="574"/>
        <v>EXP00214</v>
      </c>
      <c r="B6138" s="4" t="str">
        <f t="shared" si="572"/>
        <v>25361981</v>
      </c>
      <c r="C6138" s="4" t="str">
        <f t="shared" si="573"/>
        <v>GSE56493</v>
      </c>
      <c r="D6138" s="1" t="s">
        <v>298</v>
      </c>
      <c r="E6138" t="s">
        <v>15</v>
      </c>
      <c r="F6138" s="1">
        <v>2</v>
      </c>
      <c r="G6138" s="1" t="s">
        <v>23</v>
      </c>
      <c r="H6138" s="4" t="str">
        <f>HYPERLINK("https://www.ncbi.nlm.nih.gov/geo/query/acc.cgi?acc=GSM1362615","GSM1362615")</f>
        <v>GSM1362615</v>
      </c>
      <c r="I6138" t="s">
        <v>17</v>
      </c>
      <c r="J6138" t="s">
        <v>18</v>
      </c>
      <c r="K6138" t="s">
        <v>19</v>
      </c>
      <c r="L6138" t="s">
        <v>20</v>
      </c>
      <c r="M6138" t="s">
        <v>24</v>
      </c>
      <c r="N6138" t="s">
        <v>22</v>
      </c>
    </row>
    <row r="6139" spans="1:14">
      <c r="A6139" s="4" t="str">
        <f t="shared" si="574"/>
        <v>EXP00214</v>
      </c>
      <c r="B6139" s="4" t="str">
        <f t="shared" si="572"/>
        <v>25361981</v>
      </c>
      <c r="C6139" s="4" t="str">
        <f t="shared" si="573"/>
        <v>GSE56493</v>
      </c>
      <c r="D6139" s="1" t="s">
        <v>298</v>
      </c>
      <c r="E6139" t="s">
        <v>15</v>
      </c>
      <c r="F6139" s="1">
        <v>2</v>
      </c>
      <c r="G6139" s="1" t="s">
        <v>23</v>
      </c>
      <c r="H6139" s="4" t="str">
        <f>HYPERLINK("https://www.ncbi.nlm.nih.gov/geo/query/acc.cgi?acc=GSM1362617","GSM1362617")</f>
        <v>GSM1362617</v>
      </c>
      <c r="I6139" t="s">
        <v>17</v>
      </c>
      <c r="J6139" t="s">
        <v>18</v>
      </c>
      <c r="K6139" t="s">
        <v>19</v>
      </c>
      <c r="L6139" t="s">
        <v>20</v>
      </c>
      <c r="M6139" t="s">
        <v>24</v>
      </c>
      <c r="N6139" t="s">
        <v>22</v>
      </c>
    </row>
    <row r="6140" spans="1:14">
      <c r="A6140" s="4" t="str">
        <f t="shared" si="574"/>
        <v>EXP00214</v>
      </c>
      <c r="B6140" s="4" t="str">
        <f t="shared" si="572"/>
        <v>25361981</v>
      </c>
      <c r="C6140" s="4" t="str">
        <f t="shared" si="573"/>
        <v>GSE56493</v>
      </c>
      <c r="D6140" s="1" t="s">
        <v>298</v>
      </c>
      <c r="E6140" t="s">
        <v>15</v>
      </c>
      <c r="F6140" s="1">
        <v>2</v>
      </c>
      <c r="G6140" s="1" t="s">
        <v>23</v>
      </c>
      <c r="H6140" s="4" t="str">
        <f>HYPERLINK("https://www.ncbi.nlm.nih.gov/geo/query/acc.cgi?acc=GSM1362619","GSM1362619")</f>
        <v>GSM1362619</v>
      </c>
      <c r="I6140" t="s">
        <v>17</v>
      </c>
      <c r="J6140" t="s">
        <v>18</v>
      </c>
      <c r="K6140" t="s">
        <v>19</v>
      </c>
      <c r="L6140" t="s">
        <v>20</v>
      </c>
      <c r="M6140" t="s">
        <v>24</v>
      </c>
      <c r="N6140" t="s">
        <v>22</v>
      </c>
    </row>
    <row r="6141" spans="1:14">
      <c r="A6141" s="4" t="str">
        <f t="shared" si="574"/>
        <v>EXP00214</v>
      </c>
      <c r="B6141" s="4" t="str">
        <f t="shared" si="572"/>
        <v>25361981</v>
      </c>
      <c r="C6141" s="4" t="str">
        <f t="shared" si="573"/>
        <v>GSE56493</v>
      </c>
      <c r="D6141" s="1" t="s">
        <v>298</v>
      </c>
      <c r="E6141" t="s">
        <v>15</v>
      </c>
      <c r="F6141" s="1">
        <v>2</v>
      </c>
      <c r="G6141" s="1" t="s">
        <v>23</v>
      </c>
      <c r="H6141" s="4" t="str">
        <f>HYPERLINK("https://www.ncbi.nlm.nih.gov/geo/query/acc.cgi?acc=GSM1362620","GSM1362620")</f>
        <v>GSM1362620</v>
      </c>
      <c r="I6141" t="s">
        <v>17</v>
      </c>
      <c r="J6141" t="s">
        <v>18</v>
      </c>
      <c r="K6141" t="s">
        <v>19</v>
      </c>
      <c r="L6141" t="s">
        <v>20</v>
      </c>
      <c r="M6141" t="s">
        <v>24</v>
      </c>
      <c r="N6141" t="s">
        <v>22</v>
      </c>
    </row>
    <row r="6142" spans="1:14">
      <c r="A6142" s="4" t="str">
        <f t="shared" si="574"/>
        <v>EXP00214</v>
      </c>
      <c r="B6142" s="4" t="str">
        <f t="shared" si="572"/>
        <v>25361981</v>
      </c>
      <c r="C6142" s="4" t="str">
        <f t="shared" si="573"/>
        <v>GSE56493</v>
      </c>
      <c r="D6142" s="1" t="s">
        <v>298</v>
      </c>
      <c r="E6142" t="s">
        <v>15</v>
      </c>
      <c r="F6142" s="1">
        <v>2</v>
      </c>
      <c r="G6142" s="1" t="s">
        <v>23</v>
      </c>
      <c r="H6142" s="4" t="str">
        <f>HYPERLINK("https://www.ncbi.nlm.nih.gov/geo/query/acc.cgi?acc=GSM1362622","GSM1362622")</f>
        <v>GSM1362622</v>
      </c>
      <c r="I6142" t="s">
        <v>17</v>
      </c>
      <c r="J6142" t="s">
        <v>18</v>
      </c>
      <c r="K6142" t="s">
        <v>19</v>
      </c>
      <c r="L6142" t="s">
        <v>20</v>
      </c>
      <c r="M6142" t="s">
        <v>24</v>
      </c>
      <c r="N6142" t="s">
        <v>22</v>
      </c>
    </row>
    <row r="6143" spans="1:14">
      <c r="A6143" s="4" t="str">
        <f t="shared" si="574"/>
        <v>EXP00214</v>
      </c>
      <c r="B6143" s="4" t="str">
        <f t="shared" si="572"/>
        <v>25361981</v>
      </c>
      <c r="C6143" s="4" t="str">
        <f t="shared" si="573"/>
        <v>GSE56493</v>
      </c>
      <c r="D6143" s="1" t="s">
        <v>298</v>
      </c>
      <c r="E6143" t="s">
        <v>15</v>
      </c>
      <c r="F6143" s="1">
        <v>2</v>
      </c>
      <c r="G6143" s="1" t="s">
        <v>23</v>
      </c>
      <c r="H6143" s="4" t="str">
        <f>HYPERLINK("https://www.ncbi.nlm.nih.gov/geo/query/acc.cgi?acc=GSM1362623","GSM1362623")</f>
        <v>GSM1362623</v>
      </c>
      <c r="I6143" t="s">
        <v>17</v>
      </c>
      <c r="J6143" t="s">
        <v>18</v>
      </c>
      <c r="K6143" t="s">
        <v>19</v>
      </c>
      <c r="L6143" t="s">
        <v>20</v>
      </c>
      <c r="M6143" t="s">
        <v>24</v>
      </c>
      <c r="N6143" t="s">
        <v>22</v>
      </c>
    </row>
    <row r="6144" spans="1:14">
      <c r="A6144" s="4" t="str">
        <f t="shared" si="574"/>
        <v>EXP00214</v>
      </c>
      <c r="B6144" s="4" t="str">
        <f t="shared" si="572"/>
        <v>25361981</v>
      </c>
      <c r="C6144" s="4" t="str">
        <f t="shared" si="573"/>
        <v>GSE56493</v>
      </c>
      <c r="D6144" s="1" t="s">
        <v>298</v>
      </c>
      <c r="E6144" t="s">
        <v>15</v>
      </c>
      <c r="F6144" s="1">
        <v>2</v>
      </c>
      <c r="G6144" s="1" t="s">
        <v>23</v>
      </c>
      <c r="H6144" s="4" t="str">
        <f>HYPERLINK("https://www.ncbi.nlm.nih.gov/geo/query/acc.cgi?acc=GSM1362625","GSM1362625")</f>
        <v>GSM1362625</v>
      </c>
      <c r="I6144" t="s">
        <v>17</v>
      </c>
      <c r="J6144" t="s">
        <v>18</v>
      </c>
      <c r="K6144" t="s">
        <v>19</v>
      </c>
      <c r="L6144" t="s">
        <v>20</v>
      </c>
      <c r="M6144" t="s">
        <v>24</v>
      </c>
      <c r="N6144" t="s">
        <v>22</v>
      </c>
    </row>
    <row r="6145" spans="1:14">
      <c r="A6145" s="4" t="str">
        <f t="shared" si="574"/>
        <v>EXP00214</v>
      </c>
      <c r="B6145" s="4" t="str">
        <f t="shared" si="572"/>
        <v>25361981</v>
      </c>
      <c r="C6145" s="4" t="str">
        <f t="shared" si="573"/>
        <v>GSE56493</v>
      </c>
      <c r="D6145" s="1" t="s">
        <v>298</v>
      </c>
      <c r="E6145" t="s">
        <v>15</v>
      </c>
      <c r="F6145" s="1">
        <v>2</v>
      </c>
      <c r="G6145" s="1" t="s">
        <v>23</v>
      </c>
      <c r="H6145" s="4" t="str">
        <f>HYPERLINK("https://www.ncbi.nlm.nih.gov/geo/query/acc.cgi?acc=GSM1362633","GSM1362633")</f>
        <v>GSM1362633</v>
      </c>
      <c r="I6145" t="s">
        <v>17</v>
      </c>
      <c r="J6145" t="s">
        <v>18</v>
      </c>
      <c r="K6145" t="s">
        <v>19</v>
      </c>
      <c r="L6145" t="s">
        <v>20</v>
      </c>
      <c r="M6145" t="s">
        <v>24</v>
      </c>
      <c r="N6145" t="s">
        <v>22</v>
      </c>
    </row>
    <row r="6146" spans="1:14">
      <c r="A6146" s="4" t="str">
        <f t="shared" ref="A6146:A6172" si="575">HYPERLINK("http://hcmdb.i-sanger.com/experiment/details/experiment_id/EXP00215","EXP00215")</f>
        <v>EXP00215</v>
      </c>
      <c r="B6146" s="4" t="str">
        <f t="shared" si="572"/>
        <v>25361981</v>
      </c>
      <c r="C6146" s="4" t="str">
        <f t="shared" si="573"/>
        <v>GSE56493</v>
      </c>
      <c r="D6146" s="1" t="s">
        <v>298</v>
      </c>
      <c r="E6146" t="s">
        <v>15</v>
      </c>
      <c r="F6146" s="1">
        <v>1</v>
      </c>
      <c r="G6146" s="1" t="s">
        <v>67</v>
      </c>
      <c r="H6146" s="4" t="str">
        <f>HYPERLINK("https://www.ncbi.nlm.nih.gov/geo/query/acc.cgi?acc=GSM1362546","GSM1362546")</f>
        <v>GSM1362546</v>
      </c>
      <c r="I6146" t="s">
        <v>17</v>
      </c>
      <c r="J6146" t="s">
        <v>18</v>
      </c>
      <c r="K6146" t="s">
        <v>19</v>
      </c>
      <c r="L6146" t="s">
        <v>20</v>
      </c>
      <c r="M6146" t="s">
        <v>50</v>
      </c>
      <c r="N6146" t="s">
        <v>22</v>
      </c>
    </row>
    <row r="6147" spans="1:14">
      <c r="A6147" s="4" t="str">
        <f t="shared" si="575"/>
        <v>EXP00215</v>
      </c>
      <c r="B6147" s="4" t="str">
        <f t="shared" si="572"/>
        <v>25361981</v>
      </c>
      <c r="C6147" s="4" t="str">
        <f t="shared" si="573"/>
        <v>GSE56493</v>
      </c>
      <c r="D6147" s="1" t="s">
        <v>298</v>
      </c>
      <c r="E6147" t="s">
        <v>15</v>
      </c>
      <c r="F6147" s="1">
        <v>1</v>
      </c>
      <c r="G6147" s="1" t="s">
        <v>67</v>
      </c>
      <c r="H6147" s="4" t="str">
        <f>HYPERLINK("https://www.ncbi.nlm.nih.gov/geo/query/acc.cgi?acc=GSM1362582","GSM1362582")</f>
        <v>GSM1362582</v>
      </c>
      <c r="I6147" t="s">
        <v>17</v>
      </c>
      <c r="J6147" t="s">
        <v>18</v>
      </c>
      <c r="K6147" t="s">
        <v>19</v>
      </c>
      <c r="L6147" t="s">
        <v>20</v>
      </c>
      <c r="M6147" t="s">
        <v>50</v>
      </c>
      <c r="N6147" t="s">
        <v>22</v>
      </c>
    </row>
    <row r="6148" spans="1:14">
      <c r="A6148" s="4" t="str">
        <f t="shared" si="575"/>
        <v>EXP00215</v>
      </c>
      <c r="B6148" s="4" t="str">
        <f t="shared" si="572"/>
        <v>25361981</v>
      </c>
      <c r="C6148" s="4" t="str">
        <f t="shared" si="573"/>
        <v>GSE56493</v>
      </c>
      <c r="D6148" s="1" t="s">
        <v>298</v>
      </c>
      <c r="E6148" t="s">
        <v>15</v>
      </c>
      <c r="F6148" s="1">
        <v>1</v>
      </c>
      <c r="G6148" s="1" t="s">
        <v>67</v>
      </c>
      <c r="H6148" s="4" t="str">
        <f>HYPERLINK("https://www.ncbi.nlm.nih.gov/geo/query/acc.cgi?acc=GSM1362588","GSM1362588")</f>
        <v>GSM1362588</v>
      </c>
      <c r="I6148" t="s">
        <v>17</v>
      </c>
      <c r="J6148" t="s">
        <v>18</v>
      </c>
      <c r="K6148" t="s">
        <v>19</v>
      </c>
      <c r="L6148" t="s">
        <v>20</v>
      </c>
      <c r="M6148" t="s">
        <v>50</v>
      </c>
      <c r="N6148" t="s">
        <v>22</v>
      </c>
    </row>
    <row r="6149" spans="1:14">
      <c r="A6149" s="4" t="str">
        <f t="shared" si="575"/>
        <v>EXP00215</v>
      </c>
      <c r="B6149" s="4" t="str">
        <f t="shared" si="572"/>
        <v>25361981</v>
      </c>
      <c r="C6149" s="4" t="str">
        <f t="shared" si="573"/>
        <v>GSE56493</v>
      </c>
      <c r="D6149" s="1" t="s">
        <v>298</v>
      </c>
      <c r="E6149" t="s">
        <v>15</v>
      </c>
      <c r="F6149" s="1">
        <v>1</v>
      </c>
      <c r="G6149" s="1" t="s">
        <v>67</v>
      </c>
      <c r="H6149" s="4" t="str">
        <f>HYPERLINK("https://www.ncbi.nlm.nih.gov/geo/query/acc.cgi?acc=GSM1362605","GSM1362605")</f>
        <v>GSM1362605</v>
      </c>
      <c r="I6149" t="s">
        <v>17</v>
      </c>
      <c r="J6149" t="s">
        <v>18</v>
      </c>
      <c r="K6149" t="s">
        <v>19</v>
      </c>
      <c r="L6149" t="s">
        <v>20</v>
      </c>
      <c r="M6149" t="s">
        <v>50</v>
      </c>
      <c r="N6149" t="s">
        <v>22</v>
      </c>
    </row>
    <row r="6150" spans="1:14">
      <c r="A6150" s="4" t="str">
        <f t="shared" si="575"/>
        <v>EXP00215</v>
      </c>
      <c r="B6150" s="4" t="str">
        <f t="shared" si="572"/>
        <v>25361981</v>
      </c>
      <c r="C6150" s="4" t="str">
        <f t="shared" si="573"/>
        <v>GSE56493</v>
      </c>
      <c r="D6150" s="1" t="s">
        <v>298</v>
      </c>
      <c r="E6150" t="s">
        <v>15</v>
      </c>
      <c r="F6150" s="1">
        <v>1</v>
      </c>
      <c r="G6150" s="1" t="s">
        <v>67</v>
      </c>
      <c r="H6150" s="4" t="str">
        <f>HYPERLINK("https://www.ncbi.nlm.nih.gov/geo/query/acc.cgi?acc=GSM1362631","GSM1362631")</f>
        <v>GSM1362631</v>
      </c>
      <c r="I6150" t="s">
        <v>17</v>
      </c>
      <c r="J6150" t="s">
        <v>18</v>
      </c>
      <c r="K6150" t="s">
        <v>19</v>
      </c>
      <c r="L6150" t="s">
        <v>20</v>
      </c>
      <c r="M6150" t="s">
        <v>50</v>
      </c>
      <c r="N6150" t="s">
        <v>22</v>
      </c>
    </row>
    <row r="6151" spans="1:14">
      <c r="A6151" s="4" t="str">
        <f t="shared" si="575"/>
        <v>EXP00215</v>
      </c>
      <c r="B6151" s="4" t="str">
        <f t="shared" si="572"/>
        <v>25361981</v>
      </c>
      <c r="C6151" s="4" t="str">
        <f t="shared" si="573"/>
        <v>GSE56493</v>
      </c>
      <c r="D6151" s="1" t="s">
        <v>298</v>
      </c>
      <c r="E6151" t="s">
        <v>15</v>
      </c>
      <c r="F6151" s="1">
        <v>2</v>
      </c>
      <c r="G6151" s="1" t="s">
        <v>224</v>
      </c>
      <c r="H6151" s="4" t="str">
        <f>HYPERLINK("https://www.ncbi.nlm.nih.gov/geo/query/acc.cgi?acc=GSM1362519","GSM1362519")</f>
        <v>GSM1362519</v>
      </c>
      <c r="I6151" t="s">
        <v>17</v>
      </c>
      <c r="J6151" t="s">
        <v>18</v>
      </c>
      <c r="K6151" t="s">
        <v>19</v>
      </c>
      <c r="L6151" t="s">
        <v>20</v>
      </c>
      <c r="M6151" t="s">
        <v>27</v>
      </c>
      <c r="N6151" t="s">
        <v>22</v>
      </c>
    </row>
    <row r="6152" spans="1:14">
      <c r="A6152" s="4" t="str">
        <f t="shared" si="575"/>
        <v>EXP00215</v>
      </c>
      <c r="B6152" s="4" t="str">
        <f t="shared" si="572"/>
        <v>25361981</v>
      </c>
      <c r="C6152" s="4" t="str">
        <f t="shared" si="573"/>
        <v>GSE56493</v>
      </c>
      <c r="D6152" s="1" t="s">
        <v>298</v>
      </c>
      <c r="E6152" t="s">
        <v>15</v>
      </c>
      <c r="F6152" s="1">
        <v>2</v>
      </c>
      <c r="G6152" s="1" t="s">
        <v>224</v>
      </c>
      <c r="H6152" s="4" t="str">
        <f>HYPERLINK("https://www.ncbi.nlm.nih.gov/geo/query/acc.cgi?acc=GSM1362521","GSM1362521")</f>
        <v>GSM1362521</v>
      </c>
      <c r="I6152" t="s">
        <v>17</v>
      </c>
      <c r="J6152" t="s">
        <v>18</v>
      </c>
      <c r="K6152" t="s">
        <v>19</v>
      </c>
      <c r="L6152" t="s">
        <v>20</v>
      </c>
      <c r="M6152" t="s">
        <v>27</v>
      </c>
      <c r="N6152" t="s">
        <v>22</v>
      </c>
    </row>
    <row r="6153" spans="1:14">
      <c r="A6153" s="4" t="str">
        <f t="shared" si="575"/>
        <v>EXP00215</v>
      </c>
      <c r="B6153" s="4" t="str">
        <f t="shared" si="572"/>
        <v>25361981</v>
      </c>
      <c r="C6153" s="4" t="str">
        <f t="shared" si="573"/>
        <v>GSE56493</v>
      </c>
      <c r="D6153" s="1" t="s">
        <v>298</v>
      </c>
      <c r="E6153" t="s">
        <v>15</v>
      </c>
      <c r="F6153" s="1">
        <v>2</v>
      </c>
      <c r="G6153" s="1" t="s">
        <v>224</v>
      </c>
      <c r="H6153" s="4" t="str">
        <f>HYPERLINK("https://www.ncbi.nlm.nih.gov/geo/query/acc.cgi?acc=GSM1362524","GSM1362524")</f>
        <v>GSM1362524</v>
      </c>
      <c r="I6153" t="s">
        <v>17</v>
      </c>
      <c r="J6153" t="s">
        <v>18</v>
      </c>
      <c r="K6153" t="s">
        <v>19</v>
      </c>
      <c r="L6153" t="s">
        <v>20</v>
      </c>
      <c r="M6153" t="s">
        <v>27</v>
      </c>
      <c r="N6153" t="s">
        <v>22</v>
      </c>
    </row>
    <row r="6154" spans="1:14">
      <c r="A6154" s="4" t="str">
        <f t="shared" si="575"/>
        <v>EXP00215</v>
      </c>
      <c r="B6154" s="4" t="str">
        <f t="shared" si="572"/>
        <v>25361981</v>
      </c>
      <c r="C6154" s="4" t="str">
        <f t="shared" si="573"/>
        <v>GSE56493</v>
      </c>
      <c r="D6154" s="1" t="s">
        <v>298</v>
      </c>
      <c r="E6154" t="s">
        <v>15</v>
      </c>
      <c r="F6154" s="1">
        <v>2</v>
      </c>
      <c r="G6154" s="1" t="s">
        <v>224</v>
      </c>
      <c r="H6154" s="4" t="str">
        <f>HYPERLINK("https://www.ncbi.nlm.nih.gov/geo/query/acc.cgi?acc=GSM1362542","GSM1362542")</f>
        <v>GSM1362542</v>
      </c>
      <c r="I6154" t="s">
        <v>17</v>
      </c>
      <c r="J6154" t="s">
        <v>18</v>
      </c>
      <c r="K6154" t="s">
        <v>19</v>
      </c>
      <c r="L6154" t="s">
        <v>20</v>
      </c>
      <c r="M6154" t="s">
        <v>27</v>
      </c>
      <c r="N6154" t="s">
        <v>22</v>
      </c>
    </row>
    <row r="6155" spans="1:14">
      <c r="A6155" s="4" t="str">
        <f t="shared" si="575"/>
        <v>EXP00215</v>
      </c>
      <c r="B6155" s="4" t="str">
        <f t="shared" si="572"/>
        <v>25361981</v>
      </c>
      <c r="C6155" s="4" t="str">
        <f t="shared" si="573"/>
        <v>GSE56493</v>
      </c>
      <c r="D6155" s="1" t="s">
        <v>298</v>
      </c>
      <c r="E6155" t="s">
        <v>15</v>
      </c>
      <c r="F6155" s="1">
        <v>2</v>
      </c>
      <c r="G6155" s="1" t="s">
        <v>224</v>
      </c>
      <c r="H6155" s="4" t="str">
        <f>HYPERLINK("https://www.ncbi.nlm.nih.gov/geo/query/acc.cgi?acc=GSM1362563","GSM1362563")</f>
        <v>GSM1362563</v>
      </c>
      <c r="I6155" t="s">
        <v>17</v>
      </c>
      <c r="J6155" t="s">
        <v>18</v>
      </c>
      <c r="K6155" t="s">
        <v>19</v>
      </c>
      <c r="L6155" t="s">
        <v>20</v>
      </c>
      <c r="M6155" t="s">
        <v>27</v>
      </c>
      <c r="N6155" t="s">
        <v>22</v>
      </c>
    </row>
    <row r="6156" spans="1:14">
      <c r="A6156" s="4" t="str">
        <f t="shared" si="575"/>
        <v>EXP00215</v>
      </c>
      <c r="B6156" s="4" t="str">
        <f t="shared" si="572"/>
        <v>25361981</v>
      </c>
      <c r="C6156" s="4" t="str">
        <f t="shared" si="573"/>
        <v>GSE56493</v>
      </c>
      <c r="D6156" s="1" t="s">
        <v>298</v>
      </c>
      <c r="E6156" t="s">
        <v>15</v>
      </c>
      <c r="F6156" s="1">
        <v>2</v>
      </c>
      <c r="G6156" s="1" t="s">
        <v>224</v>
      </c>
      <c r="H6156" s="4" t="str">
        <f>HYPERLINK("https://www.ncbi.nlm.nih.gov/geo/query/acc.cgi?acc=GSM1362565","GSM1362565")</f>
        <v>GSM1362565</v>
      </c>
      <c r="I6156" t="s">
        <v>17</v>
      </c>
      <c r="J6156" t="s">
        <v>18</v>
      </c>
      <c r="K6156" t="s">
        <v>19</v>
      </c>
      <c r="L6156" t="s">
        <v>20</v>
      </c>
      <c r="M6156" t="s">
        <v>27</v>
      </c>
      <c r="N6156" t="s">
        <v>22</v>
      </c>
    </row>
    <row r="6157" spans="1:14">
      <c r="A6157" s="4" t="str">
        <f t="shared" si="575"/>
        <v>EXP00215</v>
      </c>
      <c r="B6157" s="4" t="str">
        <f t="shared" si="572"/>
        <v>25361981</v>
      </c>
      <c r="C6157" s="4" t="str">
        <f t="shared" si="573"/>
        <v>GSE56493</v>
      </c>
      <c r="D6157" s="1" t="s">
        <v>298</v>
      </c>
      <c r="E6157" t="s">
        <v>15</v>
      </c>
      <c r="F6157" s="1">
        <v>2</v>
      </c>
      <c r="G6157" s="1" t="s">
        <v>224</v>
      </c>
      <c r="H6157" s="4" t="str">
        <f>HYPERLINK("https://www.ncbi.nlm.nih.gov/geo/query/acc.cgi?acc=GSM1362566","GSM1362566")</f>
        <v>GSM1362566</v>
      </c>
      <c r="I6157" t="s">
        <v>17</v>
      </c>
      <c r="J6157" t="s">
        <v>18</v>
      </c>
      <c r="K6157" t="s">
        <v>19</v>
      </c>
      <c r="L6157" t="s">
        <v>20</v>
      </c>
      <c r="M6157" t="s">
        <v>27</v>
      </c>
      <c r="N6157" t="s">
        <v>22</v>
      </c>
    </row>
    <row r="6158" spans="1:14">
      <c r="A6158" s="4" t="str">
        <f t="shared" si="575"/>
        <v>EXP00215</v>
      </c>
      <c r="B6158" s="4" t="str">
        <f t="shared" si="572"/>
        <v>25361981</v>
      </c>
      <c r="C6158" s="4" t="str">
        <f t="shared" si="573"/>
        <v>GSE56493</v>
      </c>
      <c r="D6158" s="1" t="s">
        <v>298</v>
      </c>
      <c r="E6158" t="s">
        <v>15</v>
      </c>
      <c r="F6158" s="1">
        <v>2</v>
      </c>
      <c r="G6158" s="1" t="s">
        <v>224</v>
      </c>
      <c r="H6158" s="4" t="str">
        <f>HYPERLINK("https://www.ncbi.nlm.nih.gov/geo/query/acc.cgi?acc=GSM1362569","GSM1362569")</f>
        <v>GSM1362569</v>
      </c>
      <c r="I6158" t="s">
        <v>17</v>
      </c>
      <c r="J6158" t="s">
        <v>18</v>
      </c>
      <c r="K6158" t="s">
        <v>19</v>
      </c>
      <c r="L6158" t="s">
        <v>20</v>
      </c>
      <c r="M6158" t="s">
        <v>27</v>
      </c>
      <c r="N6158" t="s">
        <v>22</v>
      </c>
    </row>
    <row r="6159" spans="1:14">
      <c r="A6159" s="4" t="str">
        <f t="shared" si="575"/>
        <v>EXP00215</v>
      </c>
      <c r="B6159" s="4" t="str">
        <f t="shared" si="572"/>
        <v>25361981</v>
      </c>
      <c r="C6159" s="4" t="str">
        <f t="shared" si="573"/>
        <v>GSE56493</v>
      </c>
      <c r="D6159" s="1" t="s">
        <v>298</v>
      </c>
      <c r="E6159" t="s">
        <v>15</v>
      </c>
      <c r="F6159" s="1">
        <v>2</v>
      </c>
      <c r="G6159" s="1" t="s">
        <v>224</v>
      </c>
      <c r="H6159" s="4" t="str">
        <f>HYPERLINK("https://www.ncbi.nlm.nih.gov/geo/query/acc.cgi?acc=GSM1362570","GSM1362570")</f>
        <v>GSM1362570</v>
      </c>
      <c r="I6159" t="s">
        <v>17</v>
      </c>
      <c r="J6159" t="s">
        <v>18</v>
      </c>
      <c r="K6159" t="s">
        <v>19</v>
      </c>
      <c r="L6159" t="s">
        <v>20</v>
      </c>
      <c r="M6159" t="s">
        <v>27</v>
      </c>
      <c r="N6159" t="s">
        <v>22</v>
      </c>
    </row>
    <row r="6160" spans="1:14">
      <c r="A6160" s="4" t="str">
        <f t="shared" si="575"/>
        <v>EXP00215</v>
      </c>
      <c r="B6160" s="4" t="str">
        <f t="shared" si="572"/>
        <v>25361981</v>
      </c>
      <c r="C6160" s="4" t="str">
        <f t="shared" si="573"/>
        <v>GSE56493</v>
      </c>
      <c r="D6160" s="1" t="s">
        <v>298</v>
      </c>
      <c r="E6160" t="s">
        <v>15</v>
      </c>
      <c r="F6160" s="1">
        <v>2</v>
      </c>
      <c r="G6160" s="1" t="s">
        <v>224</v>
      </c>
      <c r="H6160" s="4" t="str">
        <f>HYPERLINK("https://www.ncbi.nlm.nih.gov/geo/query/acc.cgi?acc=GSM1362573","GSM1362573")</f>
        <v>GSM1362573</v>
      </c>
      <c r="I6160" t="s">
        <v>17</v>
      </c>
      <c r="J6160" t="s">
        <v>18</v>
      </c>
      <c r="K6160" t="s">
        <v>19</v>
      </c>
      <c r="L6160" t="s">
        <v>20</v>
      </c>
      <c r="M6160" t="s">
        <v>27</v>
      </c>
      <c r="N6160" t="s">
        <v>22</v>
      </c>
    </row>
    <row r="6161" spans="1:14">
      <c r="A6161" s="4" t="str">
        <f t="shared" si="575"/>
        <v>EXP00215</v>
      </c>
      <c r="B6161" s="4" t="str">
        <f t="shared" si="572"/>
        <v>25361981</v>
      </c>
      <c r="C6161" s="4" t="str">
        <f t="shared" si="573"/>
        <v>GSE56493</v>
      </c>
      <c r="D6161" s="1" t="s">
        <v>298</v>
      </c>
      <c r="E6161" t="s">
        <v>15</v>
      </c>
      <c r="F6161" s="1">
        <v>2</v>
      </c>
      <c r="G6161" s="1" t="s">
        <v>224</v>
      </c>
      <c r="H6161" s="4" t="str">
        <f>HYPERLINK("https://www.ncbi.nlm.nih.gov/geo/query/acc.cgi?acc=GSM1362577","GSM1362577")</f>
        <v>GSM1362577</v>
      </c>
      <c r="I6161" t="s">
        <v>17</v>
      </c>
      <c r="J6161" t="s">
        <v>18</v>
      </c>
      <c r="K6161" t="s">
        <v>19</v>
      </c>
      <c r="L6161" t="s">
        <v>20</v>
      </c>
      <c r="M6161" t="s">
        <v>27</v>
      </c>
      <c r="N6161" t="s">
        <v>22</v>
      </c>
    </row>
    <row r="6162" spans="1:14">
      <c r="A6162" s="4" t="str">
        <f t="shared" si="575"/>
        <v>EXP00215</v>
      </c>
      <c r="B6162" s="4" t="str">
        <f t="shared" si="572"/>
        <v>25361981</v>
      </c>
      <c r="C6162" s="4" t="str">
        <f t="shared" si="573"/>
        <v>GSE56493</v>
      </c>
      <c r="D6162" s="1" t="s">
        <v>298</v>
      </c>
      <c r="E6162" t="s">
        <v>15</v>
      </c>
      <c r="F6162" s="1">
        <v>2</v>
      </c>
      <c r="G6162" s="1" t="s">
        <v>224</v>
      </c>
      <c r="H6162" s="4" t="str">
        <f>HYPERLINK("https://www.ncbi.nlm.nih.gov/geo/query/acc.cgi?acc=GSM1362583","GSM1362583")</f>
        <v>GSM1362583</v>
      </c>
      <c r="I6162" t="s">
        <v>17</v>
      </c>
      <c r="J6162" t="s">
        <v>18</v>
      </c>
      <c r="K6162" t="s">
        <v>19</v>
      </c>
      <c r="L6162" t="s">
        <v>20</v>
      </c>
      <c r="M6162" t="s">
        <v>27</v>
      </c>
      <c r="N6162" t="s">
        <v>22</v>
      </c>
    </row>
    <row r="6163" spans="1:14">
      <c r="A6163" s="4" t="str">
        <f t="shared" si="575"/>
        <v>EXP00215</v>
      </c>
      <c r="B6163" s="4" t="str">
        <f t="shared" si="572"/>
        <v>25361981</v>
      </c>
      <c r="C6163" s="4" t="str">
        <f t="shared" si="573"/>
        <v>GSE56493</v>
      </c>
      <c r="D6163" s="1" t="s">
        <v>298</v>
      </c>
      <c r="E6163" t="s">
        <v>15</v>
      </c>
      <c r="F6163" s="1">
        <v>2</v>
      </c>
      <c r="G6163" s="1" t="s">
        <v>224</v>
      </c>
      <c r="H6163" s="4" t="str">
        <f>HYPERLINK("https://www.ncbi.nlm.nih.gov/geo/query/acc.cgi?acc=GSM1362585","GSM1362585")</f>
        <v>GSM1362585</v>
      </c>
      <c r="I6163" t="s">
        <v>17</v>
      </c>
      <c r="J6163" t="s">
        <v>18</v>
      </c>
      <c r="K6163" t="s">
        <v>19</v>
      </c>
      <c r="L6163" t="s">
        <v>20</v>
      </c>
      <c r="M6163" t="s">
        <v>27</v>
      </c>
      <c r="N6163" t="s">
        <v>22</v>
      </c>
    </row>
    <row r="6164" spans="1:14">
      <c r="A6164" s="4" t="str">
        <f t="shared" si="575"/>
        <v>EXP00215</v>
      </c>
      <c r="B6164" s="4" t="str">
        <f t="shared" si="572"/>
        <v>25361981</v>
      </c>
      <c r="C6164" s="4" t="str">
        <f t="shared" si="573"/>
        <v>GSE56493</v>
      </c>
      <c r="D6164" s="1" t="s">
        <v>298</v>
      </c>
      <c r="E6164" t="s">
        <v>15</v>
      </c>
      <c r="F6164" s="1">
        <v>2</v>
      </c>
      <c r="G6164" s="1" t="s">
        <v>224</v>
      </c>
      <c r="H6164" s="4" t="str">
        <f>HYPERLINK("https://www.ncbi.nlm.nih.gov/geo/query/acc.cgi?acc=GSM1362590","GSM1362590")</f>
        <v>GSM1362590</v>
      </c>
      <c r="I6164" t="s">
        <v>17</v>
      </c>
      <c r="J6164" t="s">
        <v>18</v>
      </c>
      <c r="K6164" t="s">
        <v>19</v>
      </c>
      <c r="L6164" t="s">
        <v>20</v>
      </c>
      <c r="M6164" t="s">
        <v>27</v>
      </c>
      <c r="N6164" t="s">
        <v>22</v>
      </c>
    </row>
    <row r="6165" spans="1:14">
      <c r="A6165" s="4" t="str">
        <f t="shared" si="575"/>
        <v>EXP00215</v>
      </c>
      <c r="B6165" s="4" t="str">
        <f t="shared" si="572"/>
        <v>25361981</v>
      </c>
      <c r="C6165" s="4" t="str">
        <f t="shared" si="573"/>
        <v>GSE56493</v>
      </c>
      <c r="D6165" s="1" t="s">
        <v>298</v>
      </c>
      <c r="E6165" t="s">
        <v>15</v>
      </c>
      <c r="F6165" s="1">
        <v>2</v>
      </c>
      <c r="G6165" s="1" t="s">
        <v>224</v>
      </c>
      <c r="H6165" s="4" t="str">
        <f>HYPERLINK("https://www.ncbi.nlm.nih.gov/geo/query/acc.cgi?acc=GSM1362591","GSM1362591")</f>
        <v>GSM1362591</v>
      </c>
      <c r="I6165" t="s">
        <v>17</v>
      </c>
      <c r="J6165" t="s">
        <v>18</v>
      </c>
      <c r="K6165" t="s">
        <v>19</v>
      </c>
      <c r="L6165" t="s">
        <v>20</v>
      </c>
      <c r="M6165" t="s">
        <v>27</v>
      </c>
      <c r="N6165" t="s">
        <v>22</v>
      </c>
    </row>
    <row r="6166" spans="1:14">
      <c r="A6166" s="4" t="str">
        <f t="shared" si="575"/>
        <v>EXP00215</v>
      </c>
      <c r="B6166" s="4" t="str">
        <f t="shared" si="572"/>
        <v>25361981</v>
      </c>
      <c r="C6166" s="4" t="str">
        <f t="shared" si="573"/>
        <v>GSE56493</v>
      </c>
      <c r="D6166" s="1" t="s">
        <v>298</v>
      </c>
      <c r="E6166" t="s">
        <v>15</v>
      </c>
      <c r="F6166" s="1">
        <v>2</v>
      </c>
      <c r="G6166" s="1" t="s">
        <v>224</v>
      </c>
      <c r="H6166" s="4" t="str">
        <f>HYPERLINK("https://www.ncbi.nlm.nih.gov/geo/query/acc.cgi?acc=GSM1362606","GSM1362606")</f>
        <v>GSM1362606</v>
      </c>
      <c r="I6166" t="s">
        <v>17</v>
      </c>
      <c r="J6166" t="s">
        <v>18</v>
      </c>
      <c r="K6166" t="s">
        <v>19</v>
      </c>
      <c r="L6166" t="s">
        <v>20</v>
      </c>
      <c r="M6166" t="s">
        <v>27</v>
      </c>
      <c r="N6166" t="s">
        <v>22</v>
      </c>
    </row>
    <row r="6167" spans="1:14">
      <c r="A6167" s="4" t="str">
        <f t="shared" si="575"/>
        <v>EXP00215</v>
      </c>
      <c r="B6167" s="4" t="str">
        <f t="shared" si="572"/>
        <v>25361981</v>
      </c>
      <c r="C6167" s="4" t="str">
        <f t="shared" si="573"/>
        <v>GSE56493</v>
      </c>
      <c r="D6167" s="1" t="s">
        <v>298</v>
      </c>
      <c r="E6167" t="s">
        <v>15</v>
      </c>
      <c r="F6167" s="1">
        <v>2</v>
      </c>
      <c r="G6167" s="1" t="s">
        <v>224</v>
      </c>
      <c r="H6167" s="4" t="str">
        <f>HYPERLINK("https://www.ncbi.nlm.nih.gov/geo/query/acc.cgi?acc=GSM1362611","GSM1362611")</f>
        <v>GSM1362611</v>
      </c>
      <c r="I6167" t="s">
        <v>17</v>
      </c>
      <c r="J6167" t="s">
        <v>18</v>
      </c>
      <c r="K6167" t="s">
        <v>19</v>
      </c>
      <c r="L6167" t="s">
        <v>20</v>
      </c>
      <c r="M6167" t="s">
        <v>27</v>
      </c>
      <c r="N6167" t="s">
        <v>22</v>
      </c>
    </row>
    <row r="6168" spans="1:14">
      <c r="A6168" s="4" t="str">
        <f t="shared" si="575"/>
        <v>EXP00215</v>
      </c>
      <c r="B6168" s="4" t="str">
        <f t="shared" si="572"/>
        <v>25361981</v>
      </c>
      <c r="C6168" s="4" t="str">
        <f t="shared" si="573"/>
        <v>GSE56493</v>
      </c>
      <c r="D6168" s="1" t="s">
        <v>298</v>
      </c>
      <c r="E6168" t="s">
        <v>15</v>
      </c>
      <c r="F6168" s="1">
        <v>2</v>
      </c>
      <c r="G6168" s="1" t="s">
        <v>224</v>
      </c>
      <c r="H6168" s="4" t="str">
        <f>HYPERLINK("https://www.ncbi.nlm.nih.gov/geo/query/acc.cgi?acc=GSM1362614","GSM1362614")</f>
        <v>GSM1362614</v>
      </c>
      <c r="I6168" t="s">
        <v>17</v>
      </c>
      <c r="J6168" t="s">
        <v>18</v>
      </c>
      <c r="K6168" t="s">
        <v>19</v>
      </c>
      <c r="L6168" t="s">
        <v>20</v>
      </c>
      <c r="M6168" t="s">
        <v>27</v>
      </c>
      <c r="N6168" t="s">
        <v>22</v>
      </c>
    </row>
    <row r="6169" spans="1:14">
      <c r="A6169" s="4" t="str">
        <f t="shared" si="575"/>
        <v>EXP00215</v>
      </c>
      <c r="B6169" s="4" t="str">
        <f t="shared" ref="B6169:B6232" si="576">HYPERLINK("https://www.ncbi.nlm.nih.gov/pubmed/25361981","25361981")</f>
        <v>25361981</v>
      </c>
      <c r="C6169" s="4" t="str">
        <f t="shared" ref="C6169:C6232" si="577">HYPERLINK("https://www.ncbi.nlm.nih.gov/geo/query/acc.cgi?acc=GSE56493","GSE56493")</f>
        <v>GSE56493</v>
      </c>
      <c r="D6169" s="1" t="s">
        <v>298</v>
      </c>
      <c r="E6169" t="s">
        <v>15</v>
      </c>
      <c r="F6169" s="1">
        <v>2</v>
      </c>
      <c r="G6169" s="1" t="s">
        <v>224</v>
      </c>
      <c r="H6169" s="4" t="str">
        <f>HYPERLINK("https://www.ncbi.nlm.nih.gov/geo/query/acc.cgi?acc=GSM1362618","GSM1362618")</f>
        <v>GSM1362618</v>
      </c>
      <c r="I6169" t="s">
        <v>17</v>
      </c>
      <c r="J6169" t="s">
        <v>18</v>
      </c>
      <c r="K6169" t="s">
        <v>19</v>
      </c>
      <c r="L6169" t="s">
        <v>20</v>
      </c>
      <c r="M6169" t="s">
        <v>27</v>
      </c>
      <c r="N6169" t="s">
        <v>22</v>
      </c>
    </row>
    <row r="6170" spans="1:14">
      <c r="A6170" s="4" t="str">
        <f t="shared" si="575"/>
        <v>EXP00215</v>
      </c>
      <c r="B6170" s="4" t="str">
        <f t="shared" si="576"/>
        <v>25361981</v>
      </c>
      <c r="C6170" s="4" t="str">
        <f t="shared" si="577"/>
        <v>GSE56493</v>
      </c>
      <c r="D6170" s="1" t="s">
        <v>298</v>
      </c>
      <c r="E6170" t="s">
        <v>15</v>
      </c>
      <c r="F6170" s="1">
        <v>2</v>
      </c>
      <c r="G6170" s="1" t="s">
        <v>224</v>
      </c>
      <c r="H6170" s="4" t="str">
        <f>HYPERLINK("https://www.ncbi.nlm.nih.gov/geo/query/acc.cgi?acc=GSM1362627","GSM1362627")</f>
        <v>GSM1362627</v>
      </c>
      <c r="I6170" t="s">
        <v>17</v>
      </c>
      <c r="J6170" t="s">
        <v>18</v>
      </c>
      <c r="K6170" t="s">
        <v>19</v>
      </c>
      <c r="L6170" t="s">
        <v>20</v>
      </c>
      <c r="M6170" t="s">
        <v>27</v>
      </c>
      <c r="N6170" t="s">
        <v>22</v>
      </c>
    </row>
    <row r="6171" spans="1:14">
      <c r="A6171" s="4" t="str">
        <f t="shared" si="575"/>
        <v>EXP00215</v>
      </c>
      <c r="B6171" s="4" t="str">
        <f t="shared" si="576"/>
        <v>25361981</v>
      </c>
      <c r="C6171" s="4" t="str">
        <f t="shared" si="577"/>
        <v>GSE56493</v>
      </c>
      <c r="D6171" s="1" t="s">
        <v>298</v>
      </c>
      <c r="E6171" t="s">
        <v>15</v>
      </c>
      <c r="F6171" s="1">
        <v>2</v>
      </c>
      <c r="G6171" s="1" t="s">
        <v>224</v>
      </c>
      <c r="H6171" s="4" t="str">
        <f>HYPERLINK("https://www.ncbi.nlm.nih.gov/geo/query/acc.cgi?acc=GSM1362628","GSM1362628")</f>
        <v>GSM1362628</v>
      </c>
      <c r="I6171" t="s">
        <v>17</v>
      </c>
      <c r="J6171" t="s">
        <v>18</v>
      </c>
      <c r="K6171" t="s">
        <v>19</v>
      </c>
      <c r="L6171" t="s">
        <v>20</v>
      </c>
      <c r="M6171" t="s">
        <v>27</v>
      </c>
      <c r="N6171" t="s">
        <v>22</v>
      </c>
    </row>
    <row r="6172" spans="1:14">
      <c r="A6172" s="4" t="str">
        <f t="shared" si="575"/>
        <v>EXP00215</v>
      </c>
      <c r="B6172" s="4" t="str">
        <f t="shared" si="576"/>
        <v>25361981</v>
      </c>
      <c r="C6172" s="4" t="str">
        <f t="shared" si="577"/>
        <v>GSE56493</v>
      </c>
      <c r="D6172" s="1" t="s">
        <v>298</v>
      </c>
      <c r="E6172" t="s">
        <v>15</v>
      </c>
      <c r="F6172" s="1">
        <v>2</v>
      </c>
      <c r="G6172" s="1" t="s">
        <v>224</v>
      </c>
      <c r="H6172" s="4" t="str">
        <f>HYPERLINK("https://www.ncbi.nlm.nih.gov/geo/query/acc.cgi?acc=GSM1362634","GSM1362634")</f>
        <v>GSM1362634</v>
      </c>
      <c r="I6172" t="s">
        <v>17</v>
      </c>
      <c r="J6172" t="s">
        <v>18</v>
      </c>
      <c r="K6172" t="s">
        <v>19</v>
      </c>
      <c r="L6172" t="s">
        <v>20</v>
      </c>
      <c r="M6172" t="s">
        <v>27</v>
      </c>
      <c r="N6172" t="s">
        <v>22</v>
      </c>
    </row>
    <row r="6173" spans="1:14">
      <c r="A6173" s="4" t="str">
        <f t="shared" ref="A6173:A6218" si="578">HYPERLINK("http://hcmdb.i-sanger.com/experiment/details/experiment_id/EXP00216","EXP00216")</f>
        <v>EXP00216</v>
      </c>
      <c r="B6173" s="4" t="str">
        <f t="shared" si="576"/>
        <v>25361981</v>
      </c>
      <c r="C6173" s="4" t="str">
        <f t="shared" si="577"/>
        <v>GSE56493</v>
      </c>
      <c r="D6173" s="1" t="s">
        <v>298</v>
      </c>
      <c r="E6173" t="s">
        <v>15</v>
      </c>
      <c r="F6173" s="1">
        <v>1</v>
      </c>
      <c r="G6173" s="1" t="s">
        <v>299</v>
      </c>
      <c r="H6173" s="4" t="str">
        <f>HYPERLINK("https://www.ncbi.nlm.nih.gov/geo/query/acc.cgi?acc=GSM1362518","GSM1362518")</f>
        <v>GSM1362518</v>
      </c>
      <c r="I6173" t="s">
        <v>17</v>
      </c>
      <c r="J6173" t="s">
        <v>18</v>
      </c>
      <c r="K6173" t="s">
        <v>19</v>
      </c>
      <c r="L6173" t="s">
        <v>20</v>
      </c>
      <c r="M6173" t="s">
        <v>20</v>
      </c>
      <c r="N6173" t="s">
        <v>22</v>
      </c>
    </row>
    <row r="6174" spans="1:14">
      <c r="A6174" s="4" t="str">
        <f t="shared" si="578"/>
        <v>EXP00216</v>
      </c>
      <c r="B6174" s="4" t="str">
        <f t="shared" si="576"/>
        <v>25361981</v>
      </c>
      <c r="C6174" s="4" t="str">
        <f t="shared" si="577"/>
        <v>GSE56493</v>
      </c>
      <c r="D6174" s="1" t="s">
        <v>298</v>
      </c>
      <c r="E6174" t="s">
        <v>15</v>
      </c>
      <c r="F6174" s="1">
        <v>1</v>
      </c>
      <c r="G6174" s="1" t="s">
        <v>299</v>
      </c>
      <c r="H6174" s="4" t="str">
        <f>HYPERLINK("https://www.ncbi.nlm.nih.gov/geo/query/acc.cgi?acc=GSM1362520","GSM1362520")</f>
        <v>GSM1362520</v>
      </c>
      <c r="I6174" t="s">
        <v>17</v>
      </c>
      <c r="J6174" t="s">
        <v>18</v>
      </c>
      <c r="K6174" t="s">
        <v>19</v>
      </c>
      <c r="L6174" t="s">
        <v>20</v>
      </c>
      <c r="M6174" t="s">
        <v>20</v>
      </c>
      <c r="N6174" t="s">
        <v>22</v>
      </c>
    </row>
    <row r="6175" spans="1:14">
      <c r="A6175" s="4" t="str">
        <f t="shared" si="578"/>
        <v>EXP00216</v>
      </c>
      <c r="B6175" s="4" t="str">
        <f t="shared" si="576"/>
        <v>25361981</v>
      </c>
      <c r="C6175" s="4" t="str">
        <f t="shared" si="577"/>
        <v>GSE56493</v>
      </c>
      <c r="D6175" s="1" t="s">
        <v>298</v>
      </c>
      <c r="E6175" t="s">
        <v>15</v>
      </c>
      <c r="F6175" s="1">
        <v>1</v>
      </c>
      <c r="G6175" s="1" t="s">
        <v>299</v>
      </c>
      <c r="H6175" s="4" t="str">
        <f>HYPERLINK("https://www.ncbi.nlm.nih.gov/geo/query/acc.cgi?acc=GSM1362555","GSM1362555")</f>
        <v>GSM1362555</v>
      </c>
      <c r="I6175" t="s">
        <v>17</v>
      </c>
      <c r="J6175" t="s">
        <v>18</v>
      </c>
      <c r="K6175" t="s">
        <v>19</v>
      </c>
      <c r="L6175" t="s">
        <v>20</v>
      </c>
      <c r="M6175" t="s">
        <v>20</v>
      </c>
      <c r="N6175" t="s">
        <v>22</v>
      </c>
    </row>
    <row r="6176" spans="1:14">
      <c r="A6176" s="4" t="str">
        <f t="shared" si="578"/>
        <v>EXP00216</v>
      </c>
      <c r="B6176" s="4" t="str">
        <f t="shared" si="576"/>
        <v>25361981</v>
      </c>
      <c r="C6176" s="4" t="str">
        <f t="shared" si="577"/>
        <v>GSE56493</v>
      </c>
      <c r="D6176" s="1" t="s">
        <v>298</v>
      </c>
      <c r="E6176" t="s">
        <v>15</v>
      </c>
      <c r="F6176" s="1">
        <v>1</v>
      </c>
      <c r="G6176" s="1" t="s">
        <v>299</v>
      </c>
      <c r="H6176" s="4" t="str">
        <f>HYPERLINK("https://www.ncbi.nlm.nih.gov/geo/query/acc.cgi?acc=GSM1362558","GSM1362558")</f>
        <v>GSM1362558</v>
      </c>
      <c r="I6176" t="s">
        <v>17</v>
      </c>
      <c r="J6176" t="s">
        <v>18</v>
      </c>
      <c r="K6176" t="s">
        <v>19</v>
      </c>
      <c r="L6176" t="s">
        <v>20</v>
      </c>
      <c r="M6176" t="s">
        <v>20</v>
      </c>
      <c r="N6176" t="s">
        <v>22</v>
      </c>
    </row>
    <row r="6177" spans="1:14">
      <c r="A6177" s="4" t="str">
        <f t="shared" si="578"/>
        <v>EXP00216</v>
      </c>
      <c r="B6177" s="4" t="str">
        <f t="shared" si="576"/>
        <v>25361981</v>
      </c>
      <c r="C6177" s="4" t="str">
        <f t="shared" si="577"/>
        <v>GSE56493</v>
      </c>
      <c r="D6177" s="1" t="s">
        <v>298</v>
      </c>
      <c r="E6177" t="s">
        <v>15</v>
      </c>
      <c r="F6177" s="1">
        <v>1</v>
      </c>
      <c r="G6177" s="1" t="s">
        <v>299</v>
      </c>
      <c r="H6177" s="4" t="str">
        <f>HYPERLINK("https://www.ncbi.nlm.nih.gov/geo/query/acc.cgi?acc=GSM1362559","GSM1362559")</f>
        <v>GSM1362559</v>
      </c>
      <c r="I6177" t="s">
        <v>17</v>
      </c>
      <c r="J6177" t="s">
        <v>18</v>
      </c>
      <c r="K6177" t="s">
        <v>19</v>
      </c>
      <c r="L6177" t="s">
        <v>20</v>
      </c>
      <c r="M6177" t="s">
        <v>20</v>
      </c>
      <c r="N6177" t="s">
        <v>22</v>
      </c>
    </row>
    <row r="6178" spans="1:14">
      <c r="A6178" s="4" t="str">
        <f t="shared" si="578"/>
        <v>EXP00216</v>
      </c>
      <c r="B6178" s="4" t="str">
        <f t="shared" si="576"/>
        <v>25361981</v>
      </c>
      <c r="C6178" s="4" t="str">
        <f t="shared" si="577"/>
        <v>GSE56493</v>
      </c>
      <c r="D6178" s="1" t="s">
        <v>298</v>
      </c>
      <c r="E6178" t="s">
        <v>15</v>
      </c>
      <c r="F6178" s="1">
        <v>1</v>
      </c>
      <c r="G6178" s="1" t="s">
        <v>299</v>
      </c>
      <c r="H6178" s="4" t="str">
        <f>HYPERLINK("https://www.ncbi.nlm.nih.gov/geo/query/acc.cgi?acc=GSM1362564","GSM1362564")</f>
        <v>GSM1362564</v>
      </c>
      <c r="I6178" t="s">
        <v>17</v>
      </c>
      <c r="J6178" t="s">
        <v>18</v>
      </c>
      <c r="K6178" t="s">
        <v>19</v>
      </c>
      <c r="L6178" t="s">
        <v>20</v>
      </c>
      <c r="M6178" t="s">
        <v>20</v>
      </c>
      <c r="N6178" t="s">
        <v>22</v>
      </c>
    </row>
    <row r="6179" spans="1:14">
      <c r="A6179" s="4" t="str">
        <f t="shared" si="578"/>
        <v>EXP00216</v>
      </c>
      <c r="B6179" s="4" t="str">
        <f t="shared" si="576"/>
        <v>25361981</v>
      </c>
      <c r="C6179" s="4" t="str">
        <f t="shared" si="577"/>
        <v>GSE56493</v>
      </c>
      <c r="D6179" s="1" t="s">
        <v>298</v>
      </c>
      <c r="E6179" t="s">
        <v>15</v>
      </c>
      <c r="F6179" s="1">
        <v>1</v>
      </c>
      <c r="G6179" s="1" t="s">
        <v>299</v>
      </c>
      <c r="H6179" s="4" t="str">
        <f>HYPERLINK("https://www.ncbi.nlm.nih.gov/geo/query/acc.cgi?acc=GSM1362576","GSM1362576")</f>
        <v>GSM1362576</v>
      </c>
      <c r="I6179" t="s">
        <v>17</v>
      </c>
      <c r="J6179" t="s">
        <v>18</v>
      </c>
      <c r="K6179" t="s">
        <v>19</v>
      </c>
      <c r="L6179" t="s">
        <v>20</v>
      </c>
      <c r="M6179" t="s">
        <v>20</v>
      </c>
      <c r="N6179" t="s">
        <v>22</v>
      </c>
    </row>
    <row r="6180" spans="1:14">
      <c r="A6180" s="4" t="str">
        <f t="shared" si="578"/>
        <v>EXP00216</v>
      </c>
      <c r="B6180" s="4" t="str">
        <f t="shared" si="576"/>
        <v>25361981</v>
      </c>
      <c r="C6180" s="4" t="str">
        <f t="shared" si="577"/>
        <v>GSE56493</v>
      </c>
      <c r="D6180" s="1" t="s">
        <v>298</v>
      </c>
      <c r="E6180" t="s">
        <v>15</v>
      </c>
      <c r="F6180" s="1">
        <v>1</v>
      </c>
      <c r="G6180" s="1" t="s">
        <v>299</v>
      </c>
      <c r="H6180" s="4" t="str">
        <f>HYPERLINK("https://www.ncbi.nlm.nih.gov/geo/query/acc.cgi?acc=GSM1362578","GSM1362578")</f>
        <v>GSM1362578</v>
      </c>
      <c r="I6180" t="s">
        <v>17</v>
      </c>
      <c r="J6180" t="s">
        <v>18</v>
      </c>
      <c r="K6180" t="s">
        <v>19</v>
      </c>
      <c r="L6180" t="s">
        <v>20</v>
      </c>
      <c r="M6180" t="s">
        <v>20</v>
      </c>
      <c r="N6180" t="s">
        <v>22</v>
      </c>
    </row>
    <row r="6181" spans="1:14">
      <c r="A6181" s="4" t="str">
        <f t="shared" si="578"/>
        <v>EXP00216</v>
      </c>
      <c r="B6181" s="4" t="str">
        <f t="shared" si="576"/>
        <v>25361981</v>
      </c>
      <c r="C6181" s="4" t="str">
        <f t="shared" si="577"/>
        <v>GSE56493</v>
      </c>
      <c r="D6181" s="1" t="s">
        <v>298</v>
      </c>
      <c r="E6181" t="s">
        <v>15</v>
      </c>
      <c r="F6181" s="1">
        <v>1</v>
      </c>
      <c r="G6181" s="1" t="s">
        <v>299</v>
      </c>
      <c r="H6181" s="4" t="str">
        <f>HYPERLINK("https://www.ncbi.nlm.nih.gov/geo/query/acc.cgi?acc=GSM1362593","GSM1362593")</f>
        <v>GSM1362593</v>
      </c>
      <c r="I6181" t="s">
        <v>17</v>
      </c>
      <c r="J6181" t="s">
        <v>18</v>
      </c>
      <c r="K6181" t="s">
        <v>19</v>
      </c>
      <c r="L6181" t="s">
        <v>20</v>
      </c>
      <c r="M6181" t="s">
        <v>20</v>
      </c>
      <c r="N6181" t="s">
        <v>22</v>
      </c>
    </row>
    <row r="6182" spans="1:14">
      <c r="A6182" s="4" t="str">
        <f t="shared" si="578"/>
        <v>EXP00216</v>
      </c>
      <c r="B6182" s="4" t="str">
        <f t="shared" si="576"/>
        <v>25361981</v>
      </c>
      <c r="C6182" s="4" t="str">
        <f t="shared" si="577"/>
        <v>GSE56493</v>
      </c>
      <c r="D6182" s="1" t="s">
        <v>298</v>
      </c>
      <c r="E6182" t="s">
        <v>15</v>
      </c>
      <c r="F6182" s="1">
        <v>1</v>
      </c>
      <c r="G6182" s="1" t="s">
        <v>299</v>
      </c>
      <c r="H6182" s="4" t="str">
        <f>HYPERLINK("https://www.ncbi.nlm.nih.gov/geo/query/acc.cgi?acc=GSM1362597","GSM1362597")</f>
        <v>GSM1362597</v>
      </c>
      <c r="I6182" t="s">
        <v>17</v>
      </c>
      <c r="J6182" t="s">
        <v>18</v>
      </c>
      <c r="K6182" t="s">
        <v>19</v>
      </c>
      <c r="L6182" t="s">
        <v>20</v>
      </c>
      <c r="M6182" t="s">
        <v>20</v>
      </c>
      <c r="N6182" t="s">
        <v>22</v>
      </c>
    </row>
    <row r="6183" spans="1:14">
      <c r="A6183" s="4" t="str">
        <f t="shared" si="578"/>
        <v>EXP00216</v>
      </c>
      <c r="B6183" s="4" t="str">
        <f t="shared" si="576"/>
        <v>25361981</v>
      </c>
      <c r="C6183" s="4" t="str">
        <f t="shared" si="577"/>
        <v>GSE56493</v>
      </c>
      <c r="D6183" s="1" t="s">
        <v>298</v>
      </c>
      <c r="E6183" t="s">
        <v>15</v>
      </c>
      <c r="F6183" s="1">
        <v>1</v>
      </c>
      <c r="G6183" s="1" t="s">
        <v>299</v>
      </c>
      <c r="H6183" s="4" t="str">
        <f>HYPERLINK("https://www.ncbi.nlm.nih.gov/geo/query/acc.cgi?acc=GSM1362598","GSM1362598")</f>
        <v>GSM1362598</v>
      </c>
      <c r="I6183" t="s">
        <v>17</v>
      </c>
      <c r="J6183" t="s">
        <v>18</v>
      </c>
      <c r="K6183" t="s">
        <v>19</v>
      </c>
      <c r="L6183" t="s">
        <v>20</v>
      </c>
      <c r="M6183" t="s">
        <v>20</v>
      </c>
      <c r="N6183" t="s">
        <v>22</v>
      </c>
    </row>
    <row r="6184" spans="1:14">
      <c r="A6184" s="4" t="str">
        <f t="shared" si="578"/>
        <v>EXP00216</v>
      </c>
      <c r="B6184" s="4" t="str">
        <f t="shared" si="576"/>
        <v>25361981</v>
      </c>
      <c r="C6184" s="4" t="str">
        <f t="shared" si="577"/>
        <v>GSE56493</v>
      </c>
      <c r="D6184" s="1" t="s">
        <v>298</v>
      </c>
      <c r="E6184" t="s">
        <v>15</v>
      </c>
      <c r="F6184" s="1">
        <v>1</v>
      </c>
      <c r="G6184" s="1" t="s">
        <v>299</v>
      </c>
      <c r="H6184" s="4" t="str">
        <f>HYPERLINK("https://www.ncbi.nlm.nih.gov/geo/query/acc.cgi?acc=GSM1362603","GSM1362603")</f>
        <v>GSM1362603</v>
      </c>
      <c r="I6184" t="s">
        <v>17</v>
      </c>
      <c r="J6184" t="s">
        <v>18</v>
      </c>
      <c r="K6184" t="s">
        <v>19</v>
      </c>
      <c r="L6184" t="s">
        <v>20</v>
      </c>
      <c r="M6184" t="s">
        <v>20</v>
      </c>
      <c r="N6184" t="s">
        <v>22</v>
      </c>
    </row>
    <row r="6185" spans="1:14">
      <c r="A6185" s="4" t="str">
        <f t="shared" si="578"/>
        <v>EXP00216</v>
      </c>
      <c r="B6185" s="4" t="str">
        <f t="shared" si="576"/>
        <v>25361981</v>
      </c>
      <c r="C6185" s="4" t="str">
        <f t="shared" si="577"/>
        <v>GSE56493</v>
      </c>
      <c r="D6185" s="1" t="s">
        <v>298</v>
      </c>
      <c r="E6185" t="s">
        <v>15</v>
      </c>
      <c r="F6185" s="1">
        <v>1</v>
      </c>
      <c r="G6185" s="1" t="s">
        <v>299</v>
      </c>
      <c r="H6185" s="4" t="str">
        <f>HYPERLINK("https://www.ncbi.nlm.nih.gov/geo/query/acc.cgi?acc=GSM1362604","GSM1362604")</f>
        <v>GSM1362604</v>
      </c>
      <c r="I6185" t="s">
        <v>17</v>
      </c>
      <c r="J6185" t="s">
        <v>18</v>
      </c>
      <c r="K6185" t="s">
        <v>19</v>
      </c>
      <c r="L6185" t="s">
        <v>20</v>
      </c>
      <c r="M6185" t="s">
        <v>20</v>
      </c>
      <c r="N6185" t="s">
        <v>22</v>
      </c>
    </row>
    <row r="6186" spans="1:14">
      <c r="A6186" s="4" t="str">
        <f t="shared" si="578"/>
        <v>EXP00216</v>
      </c>
      <c r="B6186" s="4" t="str">
        <f t="shared" si="576"/>
        <v>25361981</v>
      </c>
      <c r="C6186" s="4" t="str">
        <f t="shared" si="577"/>
        <v>GSE56493</v>
      </c>
      <c r="D6186" s="1" t="s">
        <v>298</v>
      </c>
      <c r="E6186" t="s">
        <v>15</v>
      </c>
      <c r="F6186" s="1">
        <v>1</v>
      </c>
      <c r="G6186" s="1" t="s">
        <v>299</v>
      </c>
      <c r="H6186" s="4" t="str">
        <f>HYPERLINK("https://www.ncbi.nlm.nih.gov/geo/query/acc.cgi?acc=GSM1362607","GSM1362607")</f>
        <v>GSM1362607</v>
      </c>
      <c r="I6186" t="s">
        <v>17</v>
      </c>
      <c r="J6186" t="s">
        <v>18</v>
      </c>
      <c r="K6186" t="s">
        <v>19</v>
      </c>
      <c r="L6186" t="s">
        <v>20</v>
      </c>
      <c r="M6186" t="s">
        <v>20</v>
      </c>
      <c r="N6186" t="s">
        <v>22</v>
      </c>
    </row>
    <row r="6187" spans="1:14">
      <c r="A6187" s="4" t="str">
        <f t="shared" si="578"/>
        <v>EXP00216</v>
      </c>
      <c r="B6187" s="4" t="str">
        <f t="shared" si="576"/>
        <v>25361981</v>
      </c>
      <c r="C6187" s="4" t="str">
        <f t="shared" si="577"/>
        <v>GSE56493</v>
      </c>
      <c r="D6187" s="1" t="s">
        <v>298</v>
      </c>
      <c r="E6187" t="s">
        <v>15</v>
      </c>
      <c r="F6187" s="1">
        <v>1</v>
      </c>
      <c r="G6187" s="1" t="s">
        <v>299</v>
      </c>
      <c r="H6187" s="4" t="str">
        <f>HYPERLINK("https://www.ncbi.nlm.nih.gov/geo/query/acc.cgi?acc=GSM1362612","GSM1362612")</f>
        <v>GSM1362612</v>
      </c>
      <c r="I6187" t="s">
        <v>17</v>
      </c>
      <c r="J6187" t="s">
        <v>18</v>
      </c>
      <c r="K6187" t="s">
        <v>19</v>
      </c>
      <c r="L6187" t="s">
        <v>20</v>
      </c>
      <c r="M6187" t="s">
        <v>20</v>
      </c>
      <c r="N6187" t="s">
        <v>22</v>
      </c>
    </row>
    <row r="6188" spans="1:14">
      <c r="A6188" s="4" t="str">
        <f t="shared" si="578"/>
        <v>EXP00216</v>
      </c>
      <c r="B6188" s="4" t="str">
        <f t="shared" si="576"/>
        <v>25361981</v>
      </c>
      <c r="C6188" s="4" t="str">
        <f t="shared" si="577"/>
        <v>GSE56493</v>
      </c>
      <c r="D6188" s="1" t="s">
        <v>298</v>
      </c>
      <c r="E6188" t="s">
        <v>15</v>
      </c>
      <c r="F6188" s="1">
        <v>1</v>
      </c>
      <c r="G6188" s="1" t="s">
        <v>299</v>
      </c>
      <c r="H6188" s="4" t="str">
        <f>HYPERLINK("https://www.ncbi.nlm.nih.gov/geo/query/acc.cgi?acc=GSM1362621","GSM1362621")</f>
        <v>GSM1362621</v>
      </c>
      <c r="I6188" t="s">
        <v>17</v>
      </c>
      <c r="J6188" t="s">
        <v>18</v>
      </c>
      <c r="K6188" t="s">
        <v>19</v>
      </c>
      <c r="L6188" t="s">
        <v>20</v>
      </c>
      <c r="M6188" t="s">
        <v>20</v>
      </c>
      <c r="N6188" t="s">
        <v>22</v>
      </c>
    </row>
    <row r="6189" spans="1:14">
      <c r="A6189" s="4" t="str">
        <f t="shared" si="578"/>
        <v>EXP00216</v>
      </c>
      <c r="B6189" s="4" t="str">
        <f t="shared" si="576"/>
        <v>25361981</v>
      </c>
      <c r="C6189" s="4" t="str">
        <f t="shared" si="577"/>
        <v>GSE56493</v>
      </c>
      <c r="D6189" s="1" t="s">
        <v>298</v>
      </c>
      <c r="E6189" t="s">
        <v>15</v>
      </c>
      <c r="F6189" s="1">
        <v>1</v>
      </c>
      <c r="G6189" s="1" t="s">
        <v>299</v>
      </c>
      <c r="H6189" s="4" t="str">
        <f>HYPERLINK("https://www.ncbi.nlm.nih.gov/geo/query/acc.cgi?acc=GSM1362626","GSM1362626")</f>
        <v>GSM1362626</v>
      </c>
      <c r="I6189" t="s">
        <v>17</v>
      </c>
      <c r="J6189" t="s">
        <v>18</v>
      </c>
      <c r="K6189" t="s">
        <v>19</v>
      </c>
      <c r="L6189" t="s">
        <v>20</v>
      </c>
      <c r="M6189" t="s">
        <v>20</v>
      </c>
      <c r="N6189" t="s">
        <v>22</v>
      </c>
    </row>
    <row r="6190" spans="1:14">
      <c r="A6190" s="4" t="str">
        <f t="shared" si="578"/>
        <v>EXP00216</v>
      </c>
      <c r="B6190" s="4" t="str">
        <f t="shared" si="576"/>
        <v>25361981</v>
      </c>
      <c r="C6190" s="4" t="str">
        <f t="shared" si="577"/>
        <v>GSE56493</v>
      </c>
      <c r="D6190" s="1" t="s">
        <v>298</v>
      </c>
      <c r="E6190" t="s">
        <v>15</v>
      </c>
      <c r="F6190" s="1">
        <v>1</v>
      </c>
      <c r="G6190" s="1" t="s">
        <v>299</v>
      </c>
      <c r="H6190" s="4" t="str">
        <f>HYPERLINK("https://www.ncbi.nlm.nih.gov/geo/query/acc.cgi?acc=GSM1362629","GSM1362629")</f>
        <v>GSM1362629</v>
      </c>
      <c r="I6190" t="s">
        <v>17</v>
      </c>
      <c r="J6190" t="s">
        <v>18</v>
      </c>
      <c r="K6190" t="s">
        <v>19</v>
      </c>
      <c r="L6190" t="s">
        <v>20</v>
      </c>
      <c r="M6190" t="s">
        <v>20</v>
      </c>
      <c r="N6190" t="s">
        <v>22</v>
      </c>
    </row>
    <row r="6191" spans="1:14">
      <c r="A6191" s="4" t="str">
        <f t="shared" si="578"/>
        <v>EXP00216</v>
      </c>
      <c r="B6191" s="4" t="str">
        <f t="shared" si="576"/>
        <v>25361981</v>
      </c>
      <c r="C6191" s="4" t="str">
        <f t="shared" si="577"/>
        <v>GSE56493</v>
      </c>
      <c r="D6191" s="1" t="s">
        <v>298</v>
      </c>
      <c r="E6191" t="s">
        <v>15</v>
      </c>
      <c r="F6191" s="1">
        <v>1</v>
      </c>
      <c r="G6191" s="1" t="s">
        <v>299</v>
      </c>
      <c r="H6191" s="4" t="str">
        <f>HYPERLINK("https://www.ncbi.nlm.nih.gov/geo/query/acc.cgi?acc=GSM1362632","GSM1362632")</f>
        <v>GSM1362632</v>
      </c>
      <c r="I6191" t="s">
        <v>17</v>
      </c>
      <c r="J6191" t="s">
        <v>18</v>
      </c>
      <c r="K6191" t="s">
        <v>19</v>
      </c>
      <c r="L6191" t="s">
        <v>20</v>
      </c>
      <c r="M6191" t="s">
        <v>20</v>
      </c>
      <c r="N6191" t="s">
        <v>22</v>
      </c>
    </row>
    <row r="6192" spans="1:14">
      <c r="A6192" s="4" t="str">
        <f t="shared" si="578"/>
        <v>EXP00216</v>
      </c>
      <c r="B6192" s="4" t="str">
        <f t="shared" si="576"/>
        <v>25361981</v>
      </c>
      <c r="C6192" s="4" t="str">
        <f t="shared" si="577"/>
        <v>GSE56493</v>
      </c>
      <c r="D6192" s="1" t="s">
        <v>298</v>
      </c>
      <c r="E6192" t="s">
        <v>15</v>
      </c>
      <c r="F6192" s="1">
        <v>2</v>
      </c>
      <c r="G6192" s="1" t="s">
        <v>63</v>
      </c>
      <c r="H6192" s="4" t="str">
        <f>HYPERLINK("https://www.ncbi.nlm.nih.gov/geo/query/acc.cgi?acc=GSM1362526","GSM1362526")</f>
        <v>GSM1362526</v>
      </c>
      <c r="I6192" t="s">
        <v>17</v>
      </c>
      <c r="J6192" t="s">
        <v>18</v>
      </c>
      <c r="K6192" t="s">
        <v>19</v>
      </c>
      <c r="L6192" t="s">
        <v>20</v>
      </c>
      <c r="M6192" t="s">
        <v>44</v>
      </c>
      <c r="N6192" t="s">
        <v>22</v>
      </c>
    </row>
    <row r="6193" spans="1:14">
      <c r="A6193" s="4" t="str">
        <f t="shared" si="578"/>
        <v>EXP00216</v>
      </c>
      <c r="B6193" s="4" t="str">
        <f t="shared" si="576"/>
        <v>25361981</v>
      </c>
      <c r="C6193" s="4" t="str">
        <f t="shared" si="577"/>
        <v>GSE56493</v>
      </c>
      <c r="D6193" s="1" t="s">
        <v>298</v>
      </c>
      <c r="E6193" t="s">
        <v>15</v>
      </c>
      <c r="F6193" s="1">
        <v>2</v>
      </c>
      <c r="G6193" s="1" t="s">
        <v>63</v>
      </c>
      <c r="H6193" s="4" t="str">
        <f>HYPERLINK("https://www.ncbi.nlm.nih.gov/geo/query/acc.cgi?acc=GSM1362530","GSM1362530")</f>
        <v>GSM1362530</v>
      </c>
      <c r="I6193" t="s">
        <v>17</v>
      </c>
      <c r="J6193" t="s">
        <v>18</v>
      </c>
      <c r="K6193" t="s">
        <v>19</v>
      </c>
      <c r="L6193" t="s">
        <v>20</v>
      </c>
      <c r="M6193" t="s">
        <v>44</v>
      </c>
      <c r="N6193" t="s">
        <v>22</v>
      </c>
    </row>
    <row r="6194" spans="1:14">
      <c r="A6194" s="4" t="str">
        <f t="shared" si="578"/>
        <v>EXP00216</v>
      </c>
      <c r="B6194" s="4" t="str">
        <f t="shared" si="576"/>
        <v>25361981</v>
      </c>
      <c r="C6194" s="4" t="str">
        <f t="shared" si="577"/>
        <v>GSE56493</v>
      </c>
      <c r="D6194" s="1" t="s">
        <v>298</v>
      </c>
      <c r="E6194" t="s">
        <v>15</v>
      </c>
      <c r="F6194" s="1">
        <v>2</v>
      </c>
      <c r="G6194" s="1" t="s">
        <v>63</v>
      </c>
      <c r="H6194" s="4" t="str">
        <f>HYPERLINK("https://www.ncbi.nlm.nih.gov/geo/query/acc.cgi?acc=GSM1362532","GSM1362532")</f>
        <v>GSM1362532</v>
      </c>
      <c r="I6194" t="s">
        <v>17</v>
      </c>
      <c r="J6194" t="s">
        <v>18</v>
      </c>
      <c r="K6194" t="s">
        <v>19</v>
      </c>
      <c r="L6194" t="s">
        <v>20</v>
      </c>
      <c r="M6194" t="s">
        <v>44</v>
      </c>
      <c r="N6194" t="s">
        <v>22</v>
      </c>
    </row>
    <row r="6195" spans="1:14">
      <c r="A6195" s="4" t="str">
        <f t="shared" si="578"/>
        <v>EXP00216</v>
      </c>
      <c r="B6195" s="4" t="str">
        <f t="shared" si="576"/>
        <v>25361981</v>
      </c>
      <c r="C6195" s="4" t="str">
        <f t="shared" si="577"/>
        <v>GSE56493</v>
      </c>
      <c r="D6195" s="1" t="s">
        <v>298</v>
      </c>
      <c r="E6195" t="s">
        <v>15</v>
      </c>
      <c r="F6195" s="1">
        <v>2</v>
      </c>
      <c r="G6195" s="1" t="s">
        <v>63</v>
      </c>
      <c r="H6195" s="4" t="str">
        <f>HYPERLINK("https://www.ncbi.nlm.nih.gov/geo/query/acc.cgi?acc=GSM1362533","GSM1362533")</f>
        <v>GSM1362533</v>
      </c>
      <c r="I6195" t="s">
        <v>17</v>
      </c>
      <c r="J6195" t="s">
        <v>18</v>
      </c>
      <c r="K6195" t="s">
        <v>19</v>
      </c>
      <c r="L6195" t="s">
        <v>20</v>
      </c>
      <c r="M6195" t="s">
        <v>44</v>
      </c>
      <c r="N6195" t="s">
        <v>22</v>
      </c>
    </row>
    <row r="6196" spans="1:14">
      <c r="A6196" s="4" t="str">
        <f t="shared" si="578"/>
        <v>EXP00216</v>
      </c>
      <c r="B6196" s="4" t="str">
        <f t="shared" si="576"/>
        <v>25361981</v>
      </c>
      <c r="C6196" s="4" t="str">
        <f t="shared" si="577"/>
        <v>GSE56493</v>
      </c>
      <c r="D6196" s="1" t="s">
        <v>298</v>
      </c>
      <c r="E6196" t="s">
        <v>15</v>
      </c>
      <c r="F6196" s="1">
        <v>2</v>
      </c>
      <c r="G6196" s="1" t="s">
        <v>63</v>
      </c>
      <c r="H6196" s="4" t="str">
        <f>HYPERLINK("https://www.ncbi.nlm.nih.gov/geo/query/acc.cgi?acc=GSM1362534","GSM1362534")</f>
        <v>GSM1362534</v>
      </c>
      <c r="I6196" t="s">
        <v>17</v>
      </c>
      <c r="J6196" t="s">
        <v>18</v>
      </c>
      <c r="K6196" t="s">
        <v>19</v>
      </c>
      <c r="L6196" t="s">
        <v>20</v>
      </c>
      <c r="M6196" t="s">
        <v>44</v>
      </c>
      <c r="N6196" t="s">
        <v>22</v>
      </c>
    </row>
    <row r="6197" spans="1:14">
      <c r="A6197" s="4" t="str">
        <f t="shared" si="578"/>
        <v>EXP00216</v>
      </c>
      <c r="B6197" s="4" t="str">
        <f t="shared" si="576"/>
        <v>25361981</v>
      </c>
      <c r="C6197" s="4" t="str">
        <f t="shared" si="577"/>
        <v>GSE56493</v>
      </c>
      <c r="D6197" s="1" t="s">
        <v>298</v>
      </c>
      <c r="E6197" t="s">
        <v>15</v>
      </c>
      <c r="F6197" s="1">
        <v>2</v>
      </c>
      <c r="G6197" s="1" t="s">
        <v>63</v>
      </c>
      <c r="H6197" s="4" t="str">
        <f>HYPERLINK("https://www.ncbi.nlm.nih.gov/geo/query/acc.cgi?acc=GSM1362535","GSM1362535")</f>
        <v>GSM1362535</v>
      </c>
      <c r="I6197" t="s">
        <v>17</v>
      </c>
      <c r="J6197" t="s">
        <v>18</v>
      </c>
      <c r="K6197" t="s">
        <v>19</v>
      </c>
      <c r="L6197" t="s">
        <v>20</v>
      </c>
      <c r="M6197" t="s">
        <v>44</v>
      </c>
      <c r="N6197" t="s">
        <v>22</v>
      </c>
    </row>
    <row r="6198" spans="1:14">
      <c r="A6198" s="4" t="str">
        <f t="shared" si="578"/>
        <v>EXP00216</v>
      </c>
      <c r="B6198" s="4" t="str">
        <f t="shared" si="576"/>
        <v>25361981</v>
      </c>
      <c r="C6198" s="4" t="str">
        <f t="shared" si="577"/>
        <v>GSE56493</v>
      </c>
      <c r="D6198" s="1" t="s">
        <v>298</v>
      </c>
      <c r="E6198" t="s">
        <v>15</v>
      </c>
      <c r="F6198" s="1">
        <v>2</v>
      </c>
      <c r="G6198" s="1" t="s">
        <v>63</v>
      </c>
      <c r="H6198" s="4" t="str">
        <f>HYPERLINK("https://www.ncbi.nlm.nih.gov/geo/query/acc.cgi?acc=GSM1362536","GSM1362536")</f>
        <v>GSM1362536</v>
      </c>
      <c r="I6198" t="s">
        <v>17</v>
      </c>
      <c r="J6198" t="s">
        <v>18</v>
      </c>
      <c r="K6198" t="s">
        <v>19</v>
      </c>
      <c r="L6198" t="s">
        <v>20</v>
      </c>
      <c r="M6198" t="s">
        <v>44</v>
      </c>
      <c r="N6198" t="s">
        <v>22</v>
      </c>
    </row>
    <row r="6199" spans="1:14">
      <c r="A6199" s="4" t="str">
        <f t="shared" si="578"/>
        <v>EXP00216</v>
      </c>
      <c r="B6199" s="4" t="str">
        <f t="shared" si="576"/>
        <v>25361981</v>
      </c>
      <c r="C6199" s="4" t="str">
        <f t="shared" si="577"/>
        <v>GSE56493</v>
      </c>
      <c r="D6199" s="1" t="s">
        <v>298</v>
      </c>
      <c r="E6199" t="s">
        <v>15</v>
      </c>
      <c r="F6199" s="1">
        <v>2</v>
      </c>
      <c r="G6199" s="1" t="s">
        <v>63</v>
      </c>
      <c r="H6199" s="4" t="str">
        <f>HYPERLINK("https://www.ncbi.nlm.nih.gov/geo/query/acc.cgi?acc=GSM1362537","GSM1362537")</f>
        <v>GSM1362537</v>
      </c>
      <c r="I6199" t="s">
        <v>17</v>
      </c>
      <c r="J6199" t="s">
        <v>18</v>
      </c>
      <c r="K6199" t="s">
        <v>19</v>
      </c>
      <c r="L6199" t="s">
        <v>20</v>
      </c>
      <c r="M6199" t="s">
        <v>44</v>
      </c>
      <c r="N6199" t="s">
        <v>22</v>
      </c>
    </row>
    <row r="6200" spans="1:14">
      <c r="A6200" s="4" t="str">
        <f t="shared" si="578"/>
        <v>EXP00216</v>
      </c>
      <c r="B6200" s="4" t="str">
        <f t="shared" si="576"/>
        <v>25361981</v>
      </c>
      <c r="C6200" s="4" t="str">
        <f t="shared" si="577"/>
        <v>GSE56493</v>
      </c>
      <c r="D6200" s="1" t="s">
        <v>298</v>
      </c>
      <c r="E6200" t="s">
        <v>15</v>
      </c>
      <c r="F6200" s="1">
        <v>2</v>
      </c>
      <c r="G6200" s="1" t="s">
        <v>63</v>
      </c>
      <c r="H6200" s="4" t="str">
        <f>HYPERLINK("https://www.ncbi.nlm.nih.gov/geo/query/acc.cgi?acc=GSM1362539","GSM1362539")</f>
        <v>GSM1362539</v>
      </c>
      <c r="I6200" t="s">
        <v>17</v>
      </c>
      <c r="J6200" t="s">
        <v>18</v>
      </c>
      <c r="K6200" t="s">
        <v>19</v>
      </c>
      <c r="L6200" t="s">
        <v>20</v>
      </c>
      <c r="M6200" t="s">
        <v>44</v>
      </c>
      <c r="N6200" t="s">
        <v>22</v>
      </c>
    </row>
    <row r="6201" spans="1:14">
      <c r="A6201" s="4" t="str">
        <f t="shared" si="578"/>
        <v>EXP00216</v>
      </c>
      <c r="B6201" s="4" t="str">
        <f t="shared" si="576"/>
        <v>25361981</v>
      </c>
      <c r="C6201" s="4" t="str">
        <f t="shared" si="577"/>
        <v>GSE56493</v>
      </c>
      <c r="D6201" s="1" t="s">
        <v>298</v>
      </c>
      <c r="E6201" t="s">
        <v>15</v>
      </c>
      <c r="F6201" s="1">
        <v>2</v>
      </c>
      <c r="G6201" s="1" t="s">
        <v>63</v>
      </c>
      <c r="H6201" s="4" t="str">
        <f>HYPERLINK("https://www.ncbi.nlm.nih.gov/geo/query/acc.cgi?acc=GSM1362544","GSM1362544")</f>
        <v>GSM1362544</v>
      </c>
      <c r="I6201" t="s">
        <v>17</v>
      </c>
      <c r="J6201" t="s">
        <v>18</v>
      </c>
      <c r="K6201" t="s">
        <v>19</v>
      </c>
      <c r="L6201" t="s">
        <v>20</v>
      </c>
      <c r="M6201" t="s">
        <v>44</v>
      </c>
      <c r="N6201" t="s">
        <v>22</v>
      </c>
    </row>
    <row r="6202" spans="1:14">
      <c r="A6202" s="4" t="str">
        <f t="shared" si="578"/>
        <v>EXP00216</v>
      </c>
      <c r="B6202" s="4" t="str">
        <f t="shared" si="576"/>
        <v>25361981</v>
      </c>
      <c r="C6202" s="4" t="str">
        <f t="shared" si="577"/>
        <v>GSE56493</v>
      </c>
      <c r="D6202" s="1" t="s">
        <v>298</v>
      </c>
      <c r="E6202" t="s">
        <v>15</v>
      </c>
      <c r="F6202" s="1">
        <v>2</v>
      </c>
      <c r="G6202" s="1" t="s">
        <v>63</v>
      </c>
      <c r="H6202" s="4" t="str">
        <f>HYPERLINK("https://www.ncbi.nlm.nih.gov/geo/query/acc.cgi?acc=GSM1362545","GSM1362545")</f>
        <v>GSM1362545</v>
      </c>
      <c r="I6202" t="s">
        <v>17</v>
      </c>
      <c r="J6202" t="s">
        <v>18</v>
      </c>
      <c r="K6202" t="s">
        <v>19</v>
      </c>
      <c r="L6202" t="s">
        <v>20</v>
      </c>
      <c r="M6202" t="s">
        <v>44</v>
      </c>
      <c r="N6202" t="s">
        <v>22</v>
      </c>
    </row>
    <row r="6203" spans="1:14">
      <c r="A6203" s="4" t="str">
        <f t="shared" si="578"/>
        <v>EXP00216</v>
      </c>
      <c r="B6203" s="4" t="str">
        <f t="shared" si="576"/>
        <v>25361981</v>
      </c>
      <c r="C6203" s="4" t="str">
        <f t="shared" si="577"/>
        <v>GSE56493</v>
      </c>
      <c r="D6203" s="1" t="s">
        <v>298</v>
      </c>
      <c r="E6203" t="s">
        <v>15</v>
      </c>
      <c r="F6203" s="1">
        <v>2</v>
      </c>
      <c r="G6203" s="1" t="s">
        <v>63</v>
      </c>
      <c r="H6203" s="4" t="str">
        <f>HYPERLINK("https://www.ncbi.nlm.nih.gov/geo/query/acc.cgi?acc=GSM1362550","GSM1362550")</f>
        <v>GSM1362550</v>
      </c>
      <c r="I6203" t="s">
        <v>17</v>
      </c>
      <c r="J6203" t="s">
        <v>18</v>
      </c>
      <c r="K6203" t="s">
        <v>19</v>
      </c>
      <c r="L6203" t="s">
        <v>20</v>
      </c>
      <c r="M6203" t="s">
        <v>44</v>
      </c>
      <c r="N6203" t="s">
        <v>22</v>
      </c>
    </row>
    <row r="6204" spans="1:14">
      <c r="A6204" s="4" t="str">
        <f t="shared" si="578"/>
        <v>EXP00216</v>
      </c>
      <c r="B6204" s="4" t="str">
        <f t="shared" si="576"/>
        <v>25361981</v>
      </c>
      <c r="C6204" s="4" t="str">
        <f t="shared" si="577"/>
        <v>GSE56493</v>
      </c>
      <c r="D6204" s="1" t="s">
        <v>298</v>
      </c>
      <c r="E6204" t="s">
        <v>15</v>
      </c>
      <c r="F6204" s="1">
        <v>2</v>
      </c>
      <c r="G6204" s="1" t="s">
        <v>63</v>
      </c>
      <c r="H6204" s="4" t="str">
        <f>HYPERLINK("https://www.ncbi.nlm.nih.gov/geo/query/acc.cgi?acc=GSM1362551","GSM1362551")</f>
        <v>GSM1362551</v>
      </c>
      <c r="I6204" t="s">
        <v>17</v>
      </c>
      <c r="J6204" t="s">
        <v>18</v>
      </c>
      <c r="K6204" t="s">
        <v>19</v>
      </c>
      <c r="L6204" t="s">
        <v>20</v>
      </c>
      <c r="M6204" t="s">
        <v>44</v>
      </c>
      <c r="N6204" t="s">
        <v>22</v>
      </c>
    </row>
    <row r="6205" spans="1:14">
      <c r="A6205" s="4" t="str">
        <f t="shared" si="578"/>
        <v>EXP00216</v>
      </c>
      <c r="B6205" s="4" t="str">
        <f t="shared" si="576"/>
        <v>25361981</v>
      </c>
      <c r="C6205" s="4" t="str">
        <f t="shared" si="577"/>
        <v>GSE56493</v>
      </c>
      <c r="D6205" s="1" t="s">
        <v>298</v>
      </c>
      <c r="E6205" t="s">
        <v>15</v>
      </c>
      <c r="F6205" s="1">
        <v>2</v>
      </c>
      <c r="G6205" s="1" t="s">
        <v>63</v>
      </c>
      <c r="H6205" s="4" t="str">
        <f>HYPERLINK("https://www.ncbi.nlm.nih.gov/geo/query/acc.cgi?acc=GSM1362554","GSM1362554")</f>
        <v>GSM1362554</v>
      </c>
      <c r="I6205" t="s">
        <v>17</v>
      </c>
      <c r="J6205" t="s">
        <v>18</v>
      </c>
      <c r="K6205" t="s">
        <v>19</v>
      </c>
      <c r="L6205" t="s">
        <v>20</v>
      </c>
      <c r="M6205" t="s">
        <v>44</v>
      </c>
      <c r="N6205" t="s">
        <v>22</v>
      </c>
    </row>
    <row r="6206" spans="1:14">
      <c r="A6206" s="4" t="str">
        <f t="shared" si="578"/>
        <v>EXP00216</v>
      </c>
      <c r="B6206" s="4" t="str">
        <f t="shared" si="576"/>
        <v>25361981</v>
      </c>
      <c r="C6206" s="4" t="str">
        <f t="shared" si="577"/>
        <v>GSE56493</v>
      </c>
      <c r="D6206" s="1" t="s">
        <v>298</v>
      </c>
      <c r="E6206" t="s">
        <v>15</v>
      </c>
      <c r="F6206" s="1">
        <v>2</v>
      </c>
      <c r="G6206" s="1" t="s">
        <v>63</v>
      </c>
      <c r="H6206" s="4" t="str">
        <f>HYPERLINK("https://www.ncbi.nlm.nih.gov/geo/query/acc.cgi?acc=GSM1362556","GSM1362556")</f>
        <v>GSM1362556</v>
      </c>
      <c r="I6206" t="s">
        <v>17</v>
      </c>
      <c r="J6206" t="s">
        <v>18</v>
      </c>
      <c r="K6206" t="s">
        <v>19</v>
      </c>
      <c r="L6206" t="s">
        <v>20</v>
      </c>
      <c r="M6206" t="s">
        <v>44</v>
      </c>
      <c r="N6206" t="s">
        <v>22</v>
      </c>
    </row>
    <row r="6207" spans="1:14">
      <c r="A6207" s="4" t="str">
        <f t="shared" si="578"/>
        <v>EXP00216</v>
      </c>
      <c r="B6207" s="4" t="str">
        <f t="shared" si="576"/>
        <v>25361981</v>
      </c>
      <c r="C6207" s="4" t="str">
        <f t="shared" si="577"/>
        <v>GSE56493</v>
      </c>
      <c r="D6207" s="1" t="s">
        <v>298</v>
      </c>
      <c r="E6207" t="s">
        <v>15</v>
      </c>
      <c r="F6207" s="1">
        <v>2</v>
      </c>
      <c r="G6207" s="1" t="s">
        <v>63</v>
      </c>
      <c r="H6207" s="4" t="str">
        <f>HYPERLINK("https://www.ncbi.nlm.nih.gov/geo/query/acc.cgi?acc=GSM1362561","GSM1362561")</f>
        <v>GSM1362561</v>
      </c>
      <c r="I6207" t="s">
        <v>17</v>
      </c>
      <c r="J6207" t="s">
        <v>18</v>
      </c>
      <c r="K6207" t="s">
        <v>19</v>
      </c>
      <c r="L6207" t="s">
        <v>20</v>
      </c>
      <c r="M6207" t="s">
        <v>44</v>
      </c>
      <c r="N6207" t="s">
        <v>22</v>
      </c>
    </row>
    <row r="6208" spans="1:14">
      <c r="A6208" s="4" t="str">
        <f t="shared" si="578"/>
        <v>EXP00216</v>
      </c>
      <c r="B6208" s="4" t="str">
        <f t="shared" si="576"/>
        <v>25361981</v>
      </c>
      <c r="C6208" s="4" t="str">
        <f t="shared" si="577"/>
        <v>GSE56493</v>
      </c>
      <c r="D6208" s="1" t="s">
        <v>298</v>
      </c>
      <c r="E6208" t="s">
        <v>15</v>
      </c>
      <c r="F6208" s="1">
        <v>2</v>
      </c>
      <c r="G6208" s="1" t="s">
        <v>63</v>
      </c>
      <c r="H6208" s="4" t="str">
        <f>HYPERLINK("https://www.ncbi.nlm.nih.gov/geo/query/acc.cgi?acc=GSM1362562","GSM1362562")</f>
        <v>GSM1362562</v>
      </c>
      <c r="I6208" t="s">
        <v>17</v>
      </c>
      <c r="J6208" t="s">
        <v>18</v>
      </c>
      <c r="K6208" t="s">
        <v>19</v>
      </c>
      <c r="L6208" t="s">
        <v>20</v>
      </c>
      <c r="M6208" t="s">
        <v>44</v>
      </c>
      <c r="N6208" t="s">
        <v>22</v>
      </c>
    </row>
    <row r="6209" spans="1:14">
      <c r="A6209" s="4" t="str">
        <f t="shared" si="578"/>
        <v>EXP00216</v>
      </c>
      <c r="B6209" s="4" t="str">
        <f t="shared" si="576"/>
        <v>25361981</v>
      </c>
      <c r="C6209" s="4" t="str">
        <f t="shared" si="577"/>
        <v>GSE56493</v>
      </c>
      <c r="D6209" s="1" t="s">
        <v>298</v>
      </c>
      <c r="E6209" t="s">
        <v>15</v>
      </c>
      <c r="F6209" s="1">
        <v>2</v>
      </c>
      <c r="G6209" s="1" t="s">
        <v>63</v>
      </c>
      <c r="H6209" s="4" t="str">
        <f>HYPERLINK("https://www.ncbi.nlm.nih.gov/geo/query/acc.cgi?acc=GSM1362571","GSM1362571")</f>
        <v>GSM1362571</v>
      </c>
      <c r="I6209" t="s">
        <v>17</v>
      </c>
      <c r="J6209" t="s">
        <v>18</v>
      </c>
      <c r="K6209" t="s">
        <v>19</v>
      </c>
      <c r="L6209" t="s">
        <v>20</v>
      </c>
      <c r="M6209" t="s">
        <v>44</v>
      </c>
      <c r="N6209" t="s">
        <v>22</v>
      </c>
    </row>
    <row r="6210" spans="1:14">
      <c r="A6210" s="4" t="str">
        <f t="shared" si="578"/>
        <v>EXP00216</v>
      </c>
      <c r="B6210" s="4" t="str">
        <f t="shared" si="576"/>
        <v>25361981</v>
      </c>
      <c r="C6210" s="4" t="str">
        <f t="shared" si="577"/>
        <v>GSE56493</v>
      </c>
      <c r="D6210" s="1" t="s">
        <v>298</v>
      </c>
      <c r="E6210" t="s">
        <v>15</v>
      </c>
      <c r="F6210" s="1">
        <v>2</v>
      </c>
      <c r="G6210" s="1" t="s">
        <v>63</v>
      </c>
      <c r="H6210" s="4" t="str">
        <f>HYPERLINK("https://www.ncbi.nlm.nih.gov/geo/query/acc.cgi?acc=GSM1362572","GSM1362572")</f>
        <v>GSM1362572</v>
      </c>
      <c r="I6210" t="s">
        <v>17</v>
      </c>
      <c r="J6210" t="s">
        <v>18</v>
      </c>
      <c r="K6210" t="s">
        <v>19</v>
      </c>
      <c r="L6210" t="s">
        <v>20</v>
      </c>
      <c r="M6210" t="s">
        <v>44</v>
      </c>
      <c r="N6210" t="s">
        <v>22</v>
      </c>
    </row>
    <row r="6211" spans="1:14">
      <c r="A6211" s="4" t="str">
        <f t="shared" si="578"/>
        <v>EXP00216</v>
      </c>
      <c r="B6211" s="4" t="str">
        <f t="shared" si="576"/>
        <v>25361981</v>
      </c>
      <c r="C6211" s="4" t="str">
        <f t="shared" si="577"/>
        <v>GSE56493</v>
      </c>
      <c r="D6211" s="1" t="s">
        <v>298</v>
      </c>
      <c r="E6211" t="s">
        <v>15</v>
      </c>
      <c r="F6211" s="1">
        <v>2</v>
      </c>
      <c r="G6211" s="1" t="s">
        <v>63</v>
      </c>
      <c r="H6211" s="4" t="str">
        <f>HYPERLINK("https://www.ncbi.nlm.nih.gov/geo/query/acc.cgi?acc=GSM1362584","GSM1362584")</f>
        <v>GSM1362584</v>
      </c>
      <c r="I6211" t="s">
        <v>17</v>
      </c>
      <c r="J6211" t="s">
        <v>18</v>
      </c>
      <c r="K6211" t="s">
        <v>19</v>
      </c>
      <c r="L6211" t="s">
        <v>20</v>
      </c>
      <c r="M6211" t="s">
        <v>44</v>
      </c>
      <c r="N6211" t="s">
        <v>22</v>
      </c>
    </row>
    <row r="6212" spans="1:14">
      <c r="A6212" s="4" t="str">
        <f t="shared" si="578"/>
        <v>EXP00216</v>
      </c>
      <c r="B6212" s="4" t="str">
        <f t="shared" si="576"/>
        <v>25361981</v>
      </c>
      <c r="C6212" s="4" t="str">
        <f t="shared" si="577"/>
        <v>GSE56493</v>
      </c>
      <c r="D6212" s="1" t="s">
        <v>298</v>
      </c>
      <c r="E6212" t="s">
        <v>15</v>
      </c>
      <c r="F6212" s="1">
        <v>2</v>
      </c>
      <c r="G6212" s="1" t="s">
        <v>63</v>
      </c>
      <c r="H6212" s="4" t="str">
        <f>HYPERLINK("https://www.ncbi.nlm.nih.gov/geo/query/acc.cgi?acc=GSM1362594","GSM1362594")</f>
        <v>GSM1362594</v>
      </c>
      <c r="I6212" t="s">
        <v>17</v>
      </c>
      <c r="J6212" t="s">
        <v>18</v>
      </c>
      <c r="K6212" t="s">
        <v>19</v>
      </c>
      <c r="L6212" t="s">
        <v>20</v>
      </c>
      <c r="M6212" t="s">
        <v>44</v>
      </c>
      <c r="N6212" t="s">
        <v>22</v>
      </c>
    </row>
    <row r="6213" spans="1:14">
      <c r="A6213" s="4" t="str">
        <f t="shared" si="578"/>
        <v>EXP00216</v>
      </c>
      <c r="B6213" s="4" t="str">
        <f t="shared" si="576"/>
        <v>25361981</v>
      </c>
      <c r="C6213" s="4" t="str">
        <f t="shared" si="577"/>
        <v>GSE56493</v>
      </c>
      <c r="D6213" s="1" t="s">
        <v>298</v>
      </c>
      <c r="E6213" t="s">
        <v>15</v>
      </c>
      <c r="F6213" s="1">
        <v>2</v>
      </c>
      <c r="G6213" s="1" t="s">
        <v>63</v>
      </c>
      <c r="H6213" s="4" t="str">
        <f>HYPERLINK("https://www.ncbi.nlm.nih.gov/geo/query/acc.cgi?acc=GSM1362596","GSM1362596")</f>
        <v>GSM1362596</v>
      </c>
      <c r="I6213" t="s">
        <v>17</v>
      </c>
      <c r="J6213" t="s">
        <v>18</v>
      </c>
      <c r="K6213" t="s">
        <v>19</v>
      </c>
      <c r="L6213" t="s">
        <v>20</v>
      </c>
      <c r="M6213" t="s">
        <v>44</v>
      </c>
      <c r="N6213" t="s">
        <v>22</v>
      </c>
    </row>
    <row r="6214" spans="1:14">
      <c r="A6214" s="4" t="str">
        <f t="shared" si="578"/>
        <v>EXP00216</v>
      </c>
      <c r="B6214" s="4" t="str">
        <f t="shared" si="576"/>
        <v>25361981</v>
      </c>
      <c r="C6214" s="4" t="str">
        <f t="shared" si="577"/>
        <v>GSE56493</v>
      </c>
      <c r="D6214" s="1" t="s">
        <v>298</v>
      </c>
      <c r="E6214" t="s">
        <v>15</v>
      </c>
      <c r="F6214" s="1">
        <v>2</v>
      </c>
      <c r="G6214" s="1" t="s">
        <v>63</v>
      </c>
      <c r="H6214" s="4" t="str">
        <f>HYPERLINK("https://www.ncbi.nlm.nih.gov/geo/query/acc.cgi?acc=GSM1362602","GSM1362602")</f>
        <v>GSM1362602</v>
      </c>
      <c r="I6214" t="s">
        <v>17</v>
      </c>
      <c r="J6214" t="s">
        <v>18</v>
      </c>
      <c r="K6214" t="s">
        <v>19</v>
      </c>
      <c r="L6214" t="s">
        <v>20</v>
      </c>
      <c r="M6214" t="s">
        <v>44</v>
      </c>
      <c r="N6214" t="s">
        <v>22</v>
      </c>
    </row>
    <row r="6215" spans="1:14">
      <c r="A6215" s="4" t="str">
        <f t="shared" si="578"/>
        <v>EXP00216</v>
      </c>
      <c r="B6215" s="4" t="str">
        <f t="shared" si="576"/>
        <v>25361981</v>
      </c>
      <c r="C6215" s="4" t="str">
        <f t="shared" si="577"/>
        <v>GSE56493</v>
      </c>
      <c r="D6215" s="1" t="s">
        <v>298</v>
      </c>
      <c r="E6215" t="s">
        <v>15</v>
      </c>
      <c r="F6215" s="1">
        <v>2</v>
      </c>
      <c r="G6215" s="1" t="s">
        <v>63</v>
      </c>
      <c r="H6215" s="4" t="str">
        <f>HYPERLINK("https://www.ncbi.nlm.nih.gov/geo/query/acc.cgi?acc=GSM1362610","GSM1362610")</f>
        <v>GSM1362610</v>
      </c>
      <c r="I6215" t="s">
        <v>17</v>
      </c>
      <c r="J6215" t="s">
        <v>18</v>
      </c>
      <c r="K6215" t="s">
        <v>19</v>
      </c>
      <c r="L6215" t="s">
        <v>20</v>
      </c>
      <c r="M6215" t="s">
        <v>44</v>
      </c>
      <c r="N6215" t="s">
        <v>22</v>
      </c>
    </row>
    <row r="6216" spans="1:14">
      <c r="A6216" s="4" t="str">
        <f t="shared" si="578"/>
        <v>EXP00216</v>
      </c>
      <c r="B6216" s="4" t="str">
        <f t="shared" si="576"/>
        <v>25361981</v>
      </c>
      <c r="C6216" s="4" t="str">
        <f t="shared" si="577"/>
        <v>GSE56493</v>
      </c>
      <c r="D6216" s="1" t="s">
        <v>298</v>
      </c>
      <c r="E6216" t="s">
        <v>15</v>
      </c>
      <c r="F6216" s="1">
        <v>2</v>
      </c>
      <c r="G6216" s="1" t="s">
        <v>63</v>
      </c>
      <c r="H6216" s="4" t="str">
        <f>HYPERLINK("https://www.ncbi.nlm.nih.gov/geo/query/acc.cgi?acc=GSM1362624","GSM1362624")</f>
        <v>GSM1362624</v>
      </c>
      <c r="I6216" t="s">
        <v>17</v>
      </c>
      <c r="J6216" t="s">
        <v>18</v>
      </c>
      <c r="K6216" t="s">
        <v>19</v>
      </c>
      <c r="L6216" t="s">
        <v>20</v>
      </c>
      <c r="M6216" t="s">
        <v>44</v>
      </c>
      <c r="N6216" t="s">
        <v>22</v>
      </c>
    </row>
    <row r="6217" spans="1:14">
      <c r="A6217" s="4" t="str">
        <f t="shared" si="578"/>
        <v>EXP00216</v>
      </c>
      <c r="B6217" s="4" t="str">
        <f t="shared" si="576"/>
        <v>25361981</v>
      </c>
      <c r="C6217" s="4" t="str">
        <f t="shared" si="577"/>
        <v>GSE56493</v>
      </c>
      <c r="D6217" s="1" t="s">
        <v>298</v>
      </c>
      <c r="E6217" t="s">
        <v>15</v>
      </c>
      <c r="F6217" s="1">
        <v>2</v>
      </c>
      <c r="G6217" s="1" t="s">
        <v>63</v>
      </c>
      <c r="H6217" s="4" t="str">
        <f>HYPERLINK("https://www.ncbi.nlm.nih.gov/geo/query/acc.cgi?acc=GSM1362630","GSM1362630")</f>
        <v>GSM1362630</v>
      </c>
      <c r="I6217" t="s">
        <v>17</v>
      </c>
      <c r="J6217" t="s">
        <v>18</v>
      </c>
      <c r="K6217" t="s">
        <v>19</v>
      </c>
      <c r="L6217" t="s">
        <v>20</v>
      </c>
      <c r="M6217" t="s">
        <v>44</v>
      </c>
      <c r="N6217" t="s">
        <v>22</v>
      </c>
    </row>
    <row r="6218" spans="1:14">
      <c r="A6218" s="4" t="str">
        <f t="shared" si="578"/>
        <v>EXP00216</v>
      </c>
      <c r="B6218" s="4" t="str">
        <f t="shared" si="576"/>
        <v>25361981</v>
      </c>
      <c r="C6218" s="4" t="str">
        <f t="shared" si="577"/>
        <v>GSE56493</v>
      </c>
      <c r="D6218" s="1" t="s">
        <v>298</v>
      </c>
      <c r="E6218" t="s">
        <v>15</v>
      </c>
      <c r="F6218" s="1">
        <v>2</v>
      </c>
      <c r="G6218" s="1" t="s">
        <v>63</v>
      </c>
      <c r="H6218" s="4" t="str">
        <f>HYPERLINK("https://www.ncbi.nlm.nih.gov/geo/query/acc.cgi?acc=GSM1362635","GSM1362635")</f>
        <v>GSM1362635</v>
      </c>
      <c r="I6218" t="s">
        <v>17</v>
      </c>
      <c r="J6218" t="s">
        <v>18</v>
      </c>
      <c r="K6218" t="s">
        <v>19</v>
      </c>
      <c r="L6218" t="s">
        <v>20</v>
      </c>
      <c r="M6218" t="s">
        <v>44</v>
      </c>
      <c r="N6218" t="s">
        <v>22</v>
      </c>
    </row>
    <row r="6219" spans="1:14">
      <c r="A6219" s="4" t="str">
        <f t="shared" ref="A6219:A6250" si="579">HYPERLINK("http://hcmdb.i-sanger.com/experiment/details/experiment_id/EXP00217","EXP00217")</f>
        <v>EXP00217</v>
      </c>
      <c r="B6219" s="4" t="str">
        <f t="shared" si="576"/>
        <v>25361981</v>
      </c>
      <c r="C6219" s="4" t="str">
        <f t="shared" si="577"/>
        <v>GSE56493</v>
      </c>
      <c r="D6219" s="1" t="s">
        <v>298</v>
      </c>
      <c r="E6219" t="s">
        <v>15</v>
      </c>
      <c r="F6219" s="1">
        <v>1</v>
      </c>
      <c r="G6219" s="1" t="s">
        <v>299</v>
      </c>
      <c r="H6219" s="4" t="str">
        <f>HYPERLINK("https://www.ncbi.nlm.nih.gov/geo/query/acc.cgi?acc=GSM1362518","GSM1362518")</f>
        <v>GSM1362518</v>
      </c>
      <c r="I6219" t="s">
        <v>17</v>
      </c>
      <c r="J6219" t="s">
        <v>18</v>
      </c>
      <c r="K6219" t="s">
        <v>19</v>
      </c>
      <c r="L6219" t="s">
        <v>20</v>
      </c>
      <c r="M6219" t="s">
        <v>20</v>
      </c>
      <c r="N6219" t="s">
        <v>22</v>
      </c>
    </row>
    <row r="6220" spans="1:14">
      <c r="A6220" s="4" t="str">
        <f t="shared" si="579"/>
        <v>EXP00217</v>
      </c>
      <c r="B6220" s="4" t="str">
        <f t="shared" si="576"/>
        <v>25361981</v>
      </c>
      <c r="C6220" s="4" t="str">
        <f t="shared" si="577"/>
        <v>GSE56493</v>
      </c>
      <c r="D6220" s="1" t="s">
        <v>298</v>
      </c>
      <c r="E6220" t="s">
        <v>15</v>
      </c>
      <c r="F6220" s="1">
        <v>1</v>
      </c>
      <c r="G6220" s="1" t="s">
        <v>299</v>
      </c>
      <c r="H6220" s="4" t="str">
        <f>HYPERLINK("https://www.ncbi.nlm.nih.gov/geo/query/acc.cgi?acc=GSM1362520","GSM1362520")</f>
        <v>GSM1362520</v>
      </c>
      <c r="I6220" t="s">
        <v>17</v>
      </c>
      <c r="J6220" t="s">
        <v>18</v>
      </c>
      <c r="K6220" t="s">
        <v>19</v>
      </c>
      <c r="L6220" t="s">
        <v>20</v>
      </c>
      <c r="M6220" t="s">
        <v>20</v>
      </c>
      <c r="N6220" t="s">
        <v>22</v>
      </c>
    </row>
    <row r="6221" spans="1:14">
      <c r="A6221" s="4" t="str">
        <f t="shared" si="579"/>
        <v>EXP00217</v>
      </c>
      <c r="B6221" s="4" t="str">
        <f t="shared" si="576"/>
        <v>25361981</v>
      </c>
      <c r="C6221" s="4" t="str">
        <f t="shared" si="577"/>
        <v>GSE56493</v>
      </c>
      <c r="D6221" s="1" t="s">
        <v>298</v>
      </c>
      <c r="E6221" t="s">
        <v>15</v>
      </c>
      <c r="F6221" s="1">
        <v>1</v>
      </c>
      <c r="G6221" s="1" t="s">
        <v>299</v>
      </c>
      <c r="H6221" s="4" t="str">
        <f>HYPERLINK("https://www.ncbi.nlm.nih.gov/geo/query/acc.cgi?acc=GSM1362555","GSM1362555")</f>
        <v>GSM1362555</v>
      </c>
      <c r="I6221" t="s">
        <v>17</v>
      </c>
      <c r="J6221" t="s">
        <v>18</v>
      </c>
      <c r="K6221" t="s">
        <v>19</v>
      </c>
      <c r="L6221" t="s">
        <v>20</v>
      </c>
      <c r="M6221" t="s">
        <v>20</v>
      </c>
      <c r="N6221" t="s">
        <v>22</v>
      </c>
    </row>
    <row r="6222" spans="1:14">
      <c r="A6222" s="4" t="str">
        <f t="shared" si="579"/>
        <v>EXP00217</v>
      </c>
      <c r="B6222" s="4" t="str">
        <f t="shared" si="576"/>
        <v>25361981</v>
      </c>
      <c r="C6222" s="4" t="str">
        <f t="shared" si="577"/>
        <v>GSE56493</v>
      </c>
      <c r="D6222" s="1" t="s">
        <v>298</v>
      </c>
      <c r="E6222" t="s">
        <v>15</v>
      </c>
      <c r="F6222" s="1">
        <v>1</v>
      </c>
      <c r="G6222" s="1" t="s">
        <v>299</v>
      </c>
      <c r="H6222" s="4" t="str">
        <f>HYPERLINK("https://www.ncbi.nlm.nih.gov/geo/query/acc.cgi?acc=GSM1362558","GSM1362558")</f>
        <v>GSM1362558</v>
      </c>
      <c r="I6222" t="s">
        <v>17</v>
      </c>
      <c r="J6222" t="s">
        <v>18</v>
      </c>
      <c r="K6222" t="s">
        <v>19</v>
      </c>
      <c r="L6222" t="s">
        <v>20</v>
      </c>
      <c r="M6222" t="s">
        <v>20</v>
      </c>
      <c r="N6222" t="s">
        <v>22</v>
      </c>
    </row>
    <row r="6223" spans="1:14">
      <c r="A6223" s="4" t="str">
        <f t="shared" si="579"/>
        <v>EXP00217</v>
      </c>
      <c r="B6223" s="4" t="str">
        <f t="shared" si="576"/>
        <v>25361981</v>
      </c>
      <c r="C6223" s="4" t="str">
        <f t="shared" si="577"/>
        <v>GSE56493</v>
      </c>
      <c r="D6223" s="1" t="s">
        <v>298</v>
      </c>
      <c r="E6223" t="s">
        <v>15</v>
      </c>
      <c r="F6223" s="1">
        <v>1</v>
      </c>
      <c r="G6223" s="1" t="s">
        <v>299</v>
      </c>
      <c r="H6223" s="4" t="str">
        <f>HYPERLINK("https://www.ncbi.nlm.nih.gov/geo/query/acc.cgi?acc=GSM1362559","GSM1362559")</f>
        <v>GSM1362559</v>
      </c>
      <c r="I6223" t="s">
        <v>17</v>
      </c>
      <c r="J6223" t="s">
        <v>18</v>
      </c>
      <c r="K6223" t="s">
        <v>19</v>
      </c>
      <c r="L6223" t="s">
        <v>20</v>
      </c>
      <c r="M6223" t="s">
        <v>20</v>
      </c>
      <c r="N6223" t="s">
        <v>22</v>
      </c>
    </row>
    <row r="6224" spans="1:14">
      <c r="A6224" s="4" t="str">
        <f t="shared" si="579"/>
        <v>EXP00217</v>
      </c>
      <c r="B6224" s="4" t="str">
        <f t="shared" si="576"/>
        <v>25361981</v>
      </c>
      <c r="C6224" s="4" t="str">
        <f t="shared" si="577"/>
        <v>GSE56493</v>
      </c>
      <c r="D6224" s="1" t="s">
        <v>298</v>
      </c>
      <c r="E6224" t="s">
        <v>15</v>
      </c>
      <c r="F6224" s="1">
        <v>1</v>
      </c>
      <c r="G6224" s="1" t="s">
        <v>299</v>
      </c>
      <c r="H6224" s="4" t="str">
        <f>HYPERLINK("https://www.ncbi.nlm.nih.gov/geo/query/acc.cgi?acc=GSM1362564","GSM1362564")</f>
        <v>GSM1362564</v>
      </c>
      <c r="I6224" t="s">
        <v>17</v>
      </c>
      <c r="J6224" t="s">
        <v>18</v>
      </c>
      <c r="K6224" t="s">
        <v>19</v>
      </c>
      <c r="L6224" t="s">
        <v>20</v>
      </c>
      <c r="M6224" t="s">
        <v>20</v>
      </c>
      <c r="N6224" t="s">
        <v>22</v>
      </c>
    </row>
    <row r="6225" spans="1:14">
      <c r="A6225" s="4" t="str">
        <f t="shared" si="579"/>
        <v>EXP00217</v>
      </c>
      <c r="B6225" s="4" t="str">
        <f t="shared" si="576"/>
        <v>25361981</v>
      </c>
      <c r="C6225" s="4" t="str">
        <f t="shared" si="577"/>
        <v>GSE56493</v>
      </c>
      <c r="D6225" s="1" t="s">
        <v>298</v>
      </c>
      <c r="E6225" t="s">
        <v>15</v>
      </c>
      <c r="F6225" s="1">
        <v>1</v>
      </c>
      <c r="G6225" s="1" t="s">
        <v>299</v>
      </c>
      <c r="H6225" s="4" t="str">
        <f>HYPERLINK("https://www.ncbi.nlm.nih.gov/geo/query/acc.cgi?acc=GSM1362576","GSM1362576")</f>
        <v>GSM1362576</v>
      </c>
      <c r="I6225" t="s">
        <v>17</v>
      </c>
      <c r="J6225" t="s">
        <v>18</v>
      </c>
      <c r="K6225" t="s">
        <v>19</v>
      </c>
      <c r="L6225" t="s">
        <v>20</v>
      </c>
      <c r="M6225" t="s">
        <v>20</v>
      </c>
      <c r="N6225" t="s">
        <v>22</v>
      </c>
    </row>
    <row r="6226" spans="1:14">
      <c r="A6226" s="4" t="str">
        <f t="shared" si="579"/>
        <v>EXP00217</v>
      </c>
      <c r="B6226" s="4" t="str">
        <f t="shared" si="576"/>
        <v>25361981</v>
      </c>
      <c r="C6226" s="4" t="str">
        <f t="shared" si="577"/>
        <v>GSE56493</v>
      </c>
      <c r="D6226" s="1" t="s">
        <v>298</v>
      </c>
      <c r="E6226" t="s">
        <v>15</v>
      </c>
      <c r="F6226" s="1">
        <v>1</v>
      </c>
      <c r="G6226" s="1" t="s">
        <v>299</v>
      </c>
      <c r="H6226" s="4" t="str">
        <f>HYPERLINK("https://www.ncbi.nlm.nih.gov/geo/query/acc.cgi?acc=GSM1362578","GSM1362578")</f>
        <v>GSM1362578</v>
      </c>
      <c r="I6226" t="s">
        <v>17</v>
      </c>
      <c r="J6226" t="s">
        <v>18</v>
      </c>
      <c r="K6226" t="s">
        <v>19</v>
      </c>
      <c r="L6226" t="s">
        <v>20</v>
      </c>
      <c r="M6226" t="s">
        <v>20</v>
      </c>
      <c r="N6226" t="s">
        <v>22</v>
      </c>
    </row>
    <row r="6227" spans="1:14">
      <c r="A6227" s="4" t="str">
        <f t="shared" si="579"/>
        <v>EXP00217</v>
      </c>
      <c r="B6227" s="4" t="str">
        <f t="shared" si="576"/>
        <v>25361981</v>
      </c>
      <c r="C6227" s="4" t="str">
        <f t="shared" si="577"/>
        <v>GSE56493</v>
      </c>
      <c r="D6227" s="1" t="s">
        <v>298</v>
      </c>
      <c r="E6227" t="s">
        <v>15</v>
      </c>
      <c r="F6227" s="1">
        <v>1</v>
      </c>
      <c r="G6227" s="1" t="s">
        <v>299</v>
      </c>
      <c r="H6227" s="4" t="str">
        <f>HYPERLINK("https://www.ncbi.nlm.nih.gov/geo/query/acc.cgi?acc=GSM1362593","GSM1362593")</f>
        <v>GSM1362593</v>
      </c>
      <c r="I6227" t="s">
        <v>17</v>
      </c>
      <c r="J6227" t="s">
        <v>18</v>
      </c>
      <c r="K6227" t="s">
        <v>19</v>
      </c>
      <c r="L6227" t="s">
        <v>20</v>
      </c>
      <c r="M6227" t="s">
        <v>20</v>
      </c>
      <c r="N6227" t="s">
        <v>22</v>
      </c>
    </row>
    <row r="6228" spans="1:14">
      <c r="A6228" s="4" t="str">
        <f t="shared" si="579"/>
        <v>EXP00217</v>
      </c>
      <c r="B6228" s="4" t="str">
        <f t="shared" si="576"/>
        <v>25361981</v>
      </c>
      <c r="C6228" s="4" t="str">
        <f t="shared" si="577"/>
        <v>GSE56493</v>
      </c>
      <c r="D6228" s="1" t="s">
        <v>298</v>
      </c>
      <c r="E6228" t="s">
        <v>15</v>
      </c>
      <c r="F6228" s="1">
        <v>1</v>
      </c>
      <c r="G6228" s="1" t="s">
        <v>299</v>
      </c>
      <c r="H6228" s="4" t="str">
        <f>HYPERLINK("https://www.ncbi.nlm.nih.gov/geo/query/acc.cgi?acc=GSM1362597","GSM1362597")</f>
        <v>GSM1362597</v>
      </c>
      <c r="I6228" t="s">
        <v>17</v>
      </c>
      <c r="J6228" t="s">
        <v>18</v>
      </c>
      <c r="K6228" t="s">
        <v>19</v>
      </c>
      <c r="L6228" t="s">
        <v>20</v>
      </c>
      <c r="M6228" t="s">
        <v>20</v>
      </c>
      <c r="N6228" t="s">
        <v>22</v>
      </c>
    </row>
    <row r="6229" spans="1:14">
      <c r="A6229" s="4" t="str">
        <f t="shared" si="579"/>
        <v>EXP00217</v>
      </c>
      <c r="B6229" s="4" t="str">
        <f t="shared" si="576"/>
        <v>25361981</v>
      </c>
      <c r="C6229" s="4" t="str">
        <f t="shared" si="577"/>
        <v>GSE56493</v>
      </c>
      <c r="D6229" s="1" t="s">
        <v>298</v>
      </c>
      <c r="E6229" t="s">
        <v>15</v>
      </c>
      <c r="F6229" s="1">
        <v>1</v>
      </c>
      <c r="G6229" s="1" t="s">
        <v>299</v>
      </c>
      <c r="H6229" s="4" t="str">
        <f>HYPERLINK("https://www.ncbi.nlm.nih.gov/geo/query/acc.cgi?acc=GSM1362598","GSM1362598")</f>
        <v>GSM1362598</v>
      </c>
      <c r="I6229" t="s">
        <v>17</v>
      </c>
      <c r="J6229" t="s">
        <v>18</v>
      </c>
      <c r="K6229" t="s">
        <v>19</v>
      </c>
      <c r="L6229" t="s">
        <v>20</v>
      </c>
      <c r="M6229" t="s">
        <v>20</v>
      </c>
      <c r="N6229" t="s">
        <v>22</v>
      </c>
    </row>
    <row r="6230" spans="1:14">
      <c r="A6230" s="4" t="str">
        <f t="shared" si="579"/>
        <v>EXP00217</v>
      </c>
      <c r="B6230" s="4" t="str">
        <f t="shared" si="576"/>
        <v>25361981</v>
      </c>
      <c r="C6230" s="4" t="str">
        <f t="shared" si="577"/>
        <v>GSE56493</v>
      </c>
      <c r="D6230" s="1" t="s">
        <v>298</v>
      </c>
      <c r="E6230" t="s">
        <v>15</v>
      </c>
      <c r="F6230" s="1">
        <v>1</v>
      </c>
      <c r="G6230" s="1" t="s">
        <v>299</v>
      </c>
      <c r="H6230" s="4" t="str">
        <f>HYPERLINK("https://www.ncbi.nlm.nih.gov/geo/query/acc.cgi?acc=GSM1362603","GSM1362603")</f>
        <v>GSM1362603</v>
      </c>
      <c r="I6230" t="s">
        <v>17</v>
      </c>
      <c r="J6230" t="s">
        <v>18</v>
      </c>
      <c r="K6230" t="s">
        <v>19</v>
      </c>
      <c r="L6230" t="s">
        <v>20</v>
      </c>
      <c r="M6230" t="s">
        <v>20</v>
      </c>
      <c r="N6230" t="s">
        <v>22</v>
      </c>
    </row>
    <row r="6231" spans="1:14">
      <c r="A6231" s="4" t="str">
        <f t="shared" si="579"/>
        <v>EXP00217</v>
      </c>
      <c r="B6231" s="4" t="str">
        <f t="shared" si="576"/>
        <v>25361981</v>
      </c>
      <c r="C6231" s="4" t="str">
        <f t="shared" si="577"/>
        <v>GSE56493</v>
      </c>
      <c r="D6231" s="1" t="s">
        <v>298</v>
      </c>
      <c r="E6231" t="s">
        <v>15</v>
      </c>
      <c r="F6231" s="1">
        <v>1</v>
      </c>
      <c r="G6231" s="1" t="s">
        <v>299</v>
      </c>
      <c r="H6231" s="4" t="str">
        <f>HYPERLINK("https://www.ncbi.nlm.nih.gov/geo/query/acc.cgi?acc=GSM1362604","GSM1362604")</f>
        <v>GSM1362604</v>
      </c>
      <c r="I6231" t="s">
        <v>17</v>
      </c>
      <c r="J6231" t="s">
        <v>18</v>
      </c>
      <c r="K6231" t="s">
        <v>19</v>
      </c>
      <c r="L6231" t="s">
        <v>20</v>
      </c>
      <c r="M6231" t="s">
        <v>20</v>
      </c>
      <c r="N6231" t="s">
        <v>22</v>
      </c>
    </row>
    <row r="6232" spans="1:14">
      <c r="A6232" s="4" t="str">
        <f t="shared" si="579"/>
        <v>EXP00217</v>
      </c>
      <c r="B6232" s="4" t="str">
        <f t="shared" si="576"/>
        <v>25361981</v>
      </c>
      <c r="C6232" s="4" t="str">
        <f t="shared" si="577"/>
        <v>GSE56493</v>
      </c>
      <c r="D6232" s="1" t="s">
        <v>298</v>
      </c>
      <c r="E6232" t="s">
        <v>15</v>
      </c>
      <c r="F6232" s="1">
        <v>1</v>
      </c>
      <c r="G6232" s="1" t="s">
        <v>299</v>
      </c>
      <c r="H6232" s="4" t="str">
        <f>HYPERLINK("https://www.ncbi.nlm.nih.gov/geo/query/acc.cgi?acc=GSM1362607","GSM1362607")</f>
        <v>GSM1362607</v>
      </c>
      <c r="I6232" t="s">
        <v>17</v>
      </c>
      <c r="J6232" t="s">
        <v>18</v>
      </c>
      <c r="K6232" t="s">
        <v>19</v>
      </c>
      <c r="L6232" t="s">
        <v>20</v>
      </c>
      <c r="M6232" t="s">
        <v>20</v>
      </c>
      <c r="N6232" t="s">
        <v>22</v>
      </c>
    </row>
    <row r="6233" spans="1:14">
      <c r="A6233" s="4" t="str">
        <f t="shared" si="579"/>
        <v>EXP00217</v>
      </c>
      <c r="B6233" s="4" t="str">
        <f t="shared" ref="B6233:B6296" si="580">HYPERLINK("https://www.ncbi.nlm.nih.gov/pubmed/25361981","25361981")</f>
        <v>25361981</v>
      </c>
      <c r="C6233" s="4" t="str">
        <f t="shared" ref="C6233:C6296" si="581">HYPERLINK("https://www.ncbi.nlm.nih.gov/geo/query/acc.cgi?acc=GSE56493","GSE56493")</f>
        <v>GSE56493</v>
      </c>
      <c r="D6233" s="1" t="s">
        <v>298</v>
      </c>
      <c r="E6233" t="s">
        <v>15</v>
      </c>
      <c r="F6233" s="1">
        <v>1</v>
      </c>
      <c r="G6233" s="1" t="s">
        <v>299</v>
      </c>
      <c r="H6233" s="4" t="str">
        <f>HYPERLINK("https://www.ncbi.nlm.nih.gov/geo/query/acc.cgi?acc=GSM1362612","GSM1362612")</f>
        <v>GSM1362612</v>
      </c>
      <c r="I6233" t="s">
        <v>17</v>
      </c>
      <c r="J6233" t="s">
        <v>18</v>
      </c>
      <c r="K6233" t="s">
        <v>19</v>
      </c>
      <c r="L6233" t="s">
        <v>20</v>
      </c>
      <c r="M6233" t="s">
        <v>20</v>
      </c>
      <c r="N6233" t="s">
        <v>22</v>
      </c>
    </row>
    <row r="6234" spans="1:14">
      <c r="A6234" s="4" t="str">
        <f t="shared" si="579"/>
        <v>EXP00217</v>
      </c>
      <c r="B6234" s="4" t="str">
        <f t="shared" si="580"/>
        <v>25361981</v>
      </c>
      <c r="C6234" s="4" t="str">
        <f t="shared" si="581"/>
        <v>GSE56493</v>
      </c>
      <c r="D6234" s="1" t="s">
        <v>298</v>
      </c>
      <c r="E6234" t="s">
        <v>15</v>
      </c>
      <c r="F6234" s="1">
        <v>1</v>
      </c>
      <c r="G6234" s="1" t="s">
        <v>299</v>
      </c>
      <c r="H6234" s="4" t="str">
        <f>HYPERLINK("https://www.ncbi.nlm.nih.gov/geo/query/acc.cgi?acc=GSM1362621","GSM1362621")</f>
        <v>GSM1362621</v>
      </c>
      <c r="I6234" t="s">
        <v>17</v>
      </c>
      <c r="J6234" t="s">
        <v>18</v>
      </c>
      <c r="K6234" t="s">
        <v>19</v>
      </c>
      <c r="L6234" t="s">
        <v>20</v>
      </c>
      <c r="M6234" t="s">
        <v>20</v>
      </c>
      <c r="N6234" t="s">
        <v>22</v>
      </c>
    </row>
    <row r="6235" spans="1:14">
      <c r="A6235" s="4" t="str">
        <f t="shared" si="579"/>
        <v>EXP00217</v>
      </c>
      <c r="B6235" s="4" t="str">
        <f t="shared" si="580"/>
        <v>25361981</v>
      </c>
      <c r="C6235" s="4" t="str">
        <f t="shared" si="581"/>
        <v>GSE56493</v>
      </c>
      <c r="D6235" s="1" t="s">
        <v>298</v>
      </c>
      <c r="E6235" t="s">
        <v>15</v>
      </c>
      <c r="F6235" s="1">
        <v>1</v>
      </c>
      <c r="G6235" s="1" t="s">
        <v>299</v>
      </c>
      <c r="H6235" s="4" t="str">
        <f>HYPERLINK("https://www.ncbi.nlm.nih.gov/geo/query/acc.cgi?acc=GSM1362626","GSM1362626")</f>
        <v>GSM1362626</v>
      </c>
      <c r="I6235" t="s">
        <v>17</v>
      </c>
      <c r="J6235" t="s">
        <v>18</v>
      </c>
      <c r="K6235" t="s">
        <v>19</v>
      </c>
      <c r="L6235" t="s">
        <v>20</v>
      </c>
      <c r="M6235" t="s">
        <v>20</v>
      </c>
      <c r="N6235" t="s">
        <v>22</v>
      </c>
    </row>
    <row r="6236" spans="1:14">
      <c r="A6236" s="4" t="str">
        <f t="shared" si="579"/>
        <v>EXP00217</v>
      </c>
      <c r="B6236" s="4" t="str">
        <f t="shared" si="580"/>
        <v>25361981</v>
      </c>
      <c r="C6236" s="4" t="str">
        <f t="shared" si="581"/>
        <v>GSE56493</v>
      </c>
      <c r="D6236" s="1" t="s">
        <v>298</v>
      </c>
      <c r="E6236" t="s">
        <v>15</v>
      </c>
      <c r="F6236" s="1">
        <v>1</v>
      </c>
      <c r="G6236" s="1" t="s">
        <v>299</v>
      </c>
      <c r="H6236" s="4" t="str">
        <f>HYPERLINK("https://www.ncbi.nlm.nih.gov/geo/query/acc.cgi?acc=GSM1362629","GSM1362629")</f>
        <v>GSM1362629</v>
      </c>
      <c r="I6236" t="s">
        <v>17</v>
      </c>
      <c r="J6236" t="s">
        <v>18</v>
      </c>
      <c r="K6236" t="s">
        <v>19</v>
      </c>
      <c r="L6236" t="s">
        <v>20</v>
      </c>
      <c r="M6236" t="s">
        <v>20</v>
      </c>
      <c r="N6236" t="s">
        <v>22</v>
      </c>
    </row>
    <row r="6237" spans="1:14">
      <c r="A6237" s="4" t="str">
        <f t="shared" si="579"/>
        <v>EXP00217</v>
      </c>
      <c r="B6237" s="4" t="str">
        <f t="shared" si="580"/>
        <v>25361981</v>
      </c>
      <c r="C6237" s="4" t="str">
        <f t="shared" si="581"/>
        <v>GSE56493</v>
      </c>
      <c r="D6237" s="1" t="s">
        <v>298</v>
      </c>
      <c r="E6237" t="s">
        <v>15</v>
      </c>
      <c r="F6237" s="1">
        <v>1</v>
      </c>
      <c r="G6237" s="1" t="s">
        <v>299</v>
      </c>
      <c r="H6237" s="4" t="str">
        <f>HYPERLINK("https://www.ncbi.nlm.nih.gov/geo/query/acc.cgi?acc=GSM1362632","GSM1362632")</f>
        <v>GSM1362632</v>
      </c>
      <c r="I6237" t="s">
        <v>17</v>
      </c>
      <c r="J6237" t="s">
        <v>18</v>
      </c>
      <c r="K6237" t="s">
        <v>19</v>
      </c>
      <c r="L6237" t="s">
        <v>20</v>
      </c>
      <c r="M6237" t="s">
        <v>20</v>
      </c>
      <c r="N6237" t="s">
        <v>22</v>
      </c>
    </row>
    <row r="6238" spans="1:14">
      <c r="A6238" s="4" t="str">
        <f t="shared" si="579"/>
        <v>EXP00217</v>
      </c>
      <c r="B6238" s="4" t="str">
        <f t="shared" si="580"/>
        <v>25361981</v>
      </c>
      <c r="C6238" s="4" t="str">
        <f t="shared" si="581"/>
        <v>GSE56493</v>
      </c>
      <c r="D6238" s="1" t="s">
        <v>298</v>
      </c>
      <c r="E6238" t="s">
        <v>15</v>
      </c>
      <c r="F6238" s="1">
        <v>2</v>
      </c>
      <c r="G6238" s="1" t="s">
        <v>23</v>
      </c>
      <c r="H6238" s="4" t="str">
        <f>HYPERLINK("https://www.ncbi.nlm.nih.gov/geo/query/acc.cgi?acc=GSM1362516","GSM1362516")</f>
        <v>GSM1362516</v>
      </c>
      <c r="I6238" t="s">
        <v>17</v>
      </c>
      <c r="J6238" t="s">
        <v>18</v>
      </c>
      <c r="K6238" t="s">
        <v>19</v>
      </c>
      <c r="L6238" t="s">
        <v>20</v>
      </c>
      <c r="M6238" t="s">
        <v>24</v>
      </c>
      <c r="N6238" t="s">
        <v>22</v>
      </c>
    </row>
    <row r="6239" spans="1:14">
      <c r="A6239" s="4" t="str">
        <f t="shared" si="579"/>
        <v>EXP00217</v>
      </c>
      <c r="B6239" s="4" t="str">
        <f t="shared" si="580"/>
        <v>25361981</v>
      </c>
      <c r="C6239" s="4" t="str">
        <f t="shared" si="581"/>
        <v>GSE56493</v>
      </c>
      <c r="D6239" s="1" t="s">
        <v>298</v>
      </c>
      <c r="E6239" t="s">
        <v>15</v>
      </c>
      <c r="F6239" s="1">
        <v>2</v>
      </c>
      <c r="G6239" s="1" t="s">
        <v>23</v>
      </c>
      <c r="H6239" s="4" t="str">
        <f>HYPERLINK("https://www.ncbi.nlm.nih.gov/geo/query/acc.cgi?acc=GSM1362517","GSM1362517")</f>
        <v>GSM1362517</v>
      </c>
      <c r="I6239" t="s">
        <v>17</v>
      </c>
      <c r="J6239" t="s">
        <v>18</v>
      </c>
      <c r="K6239" t="s">
        <v>19</v>
      </c>
      <c r="L6239" t="s">
        <v>20</v>
      </c>
      <c r="M6239" t="s">
        <v>24</v>
      </c>
      <c r="N6239" t="s">
        <v>22</v>
      </c>
    </row>
    <row r="6240" spans="1:14">
      <c r="A6240" s="4" t="str">
        <f t="shared" si="579"/>
        <v>EXP00217</v>
      </c>
      <c r="B6240" s="4" t="str">
        <f t="shared" si="580"/>
        <v>25361981</v>
      </c>
      <c r="C6240" s="4" t="str">
        <f t="shared" si="581"/>
        <v>GSE56493</v>
      </c>
      <c r="D6240" s="1" t="s">
        <v>298</v>
      </c>
      <c r="E6240" t="s">
        <v>15</v>
      </c>
      <c r="F6240" s="1">
        <v>2</v>
      </c>
      <c r="G6240" s="1" t="s">
        <v>23</v>
      </c>
      <c r="H6240" s="4" t="str">
        <f>HYPERLINK("https://www.ncbi.nlm.nih.gov/geo/query/acc.cgi?acc=GSM1362522","GSM1362522")</f>
        <v>GSM1362522</v>
      </c>
      <c r="I6240" t="s">
        <v>17</v>
      </c>
      <c r="J6240" t="s">
        <v>18</v>
      </c>
      <c r="K6240" t="s">
        <v>19</v>
      </c>
      <c r="L6240" t="s">
        <v>20</v>
      </c>
      <c r="M6240" t="s">
        <v>24</v>
      </c>
      <c r="N6240" t="s">
        <v>22</v>
      </c>
    </row>
    <row r="6241" spans="1:14">
      <c r="A6241" s="4" t="str">
        <f t="shared" si="579"/>
        <v>EXP00217</v>
      </c>
      <c r="B6241" s="4" t="str">
        <f t="shared" si="580"/>
        <v>25361981</v>
      </c>
      <c r="C6241" s="4" t="str">
        <f t="shared" si="581"/>
        <v>GSE56493</v>
      </c>
      <c r="D6241" s="1" t="s">
        <v>298</v>
      </c>
      <c r="E6241" t="s">
        <v>15</v>
      </c>
      <c r="F6241" s="1">
        <v>2</v>
      </c>
      <c r="G6241" s="1" t="s">
        <v>23</v>
      </c>
      <c r="H6241" s="4" t="str">
        <f>HYPERLINK("https://www.ncbi.nlm.nih.gov/geo/query/acc.cgi?acc=GSM1362523","GSM1362523")</f>
        <v>GSM1362523</v>
      </c>
      <c r="I6241" t="s">
        <v>17</v>
      </c>
      <c r="J6241" t="s">
        <v>18</v>
      </c>
      <c r="K6241" t="s">
        <v>19</v>
      </c>
      <c r="L6241" t="s">
        <v>20</v>
      </c>
      <c r="M6241" t="s">
        <v>24</v>
      </c>
      <c r="N6241" t="s">
        <v>22</v>
      </c>
    </row>
    <row r="6242" spans="1:14">
      <c r="A6242" s="4" t="str">
        <f t="shared" si="579"/>
        <v>EXP00217</v>
      </c>
      <c r="B6242" s="4" t="str">
        <f t="shared" si="580"/>
        <v>25361981</v>
      </c>
      <c r="C6242" s="4" t="str">
        <f t="shared" si="581"/>
        <v>GSE56493</v>
      </c>
      <c r="D6242" s="1" t="s">
        <v>298</v>
      </c>
      <c r="E6242" t="s">
        <v>15</v>
      </c>
      <c r="F6242" s="1">
        <v>2</v>
      </c>
      <c r="G6242" s="1" t="s">
        <v>23</v>
      </c>
      <c r="H6242" s="4" t="str">
        <f>HYPERLINK("https://www.ncbi.nlm.nih.gov/geo/query/acc.cgi?acc=GSM1362525","GSM1362525")</f>
        <v>GSM1362525</v>
      </c>
      <c r="I6242" t="s">
        <v>17</v>
      </c>
      <c r="J6242" t="s">
        <v>18</v>
      </c>
      <c r="K6242" t="s">
        <v>19</v>
      </c>
      <c r="L6242" t="s">
        <v>20</v>
      </c>
      <c r="M6242" t="s">
        <v>24</v>
      </c>
      <c r="N6242" t="s">
        <v>22</v>
      </c>
    </row>
    <row r="6243" spans="1:14">
      <c r="A6243" s="4" t="str">
        <f t="shared" si="579"/>
        <v>EXP00217</v>
      </c>
      <c r="B6243" s="4" t="str">
        <f t="shared" si="580"/>
        <v>25361981</v>
      </c>
      <c r="C6243" s="4" t="str">
        <f t="shared" si="581"/>
        <v>GSE56493</v>
      </c>
      <c r="D6243" s="1" t="s">
        <v>298</v>
      </c>
      <c r="E6243" t="s">
        <v>15</v>
      </c>
      <c r="F6243" s="1">
        <v>2</v>
      </c>
      <c r="G6243" s="1" t="s">
        <v>23</v>
      </c>
      <c r="H6243" s="4" t="str">
        <f>HYPERLINK("https://www.ncbi.nlm.nih.gov/geo/query/acc.cgi?acc=GSM1362527","GSM1362527")</f>
        <v>GSM1362527</v>
      </c>
      <c r="I6243" t="s">
        <v>17</v>
      </c>
      <c r="J6243" t="s">
        <v>18</v>
      </c>
      <c r="K6243" t="s">
        <v>19</v>
      </c>
      <c r="L6243" t="s">
        <v>20</v>
      </c>
      <c r="M6243" t="s">
        <v>24</v>
      </c>
      <c r="N6243" t="s">
        <v>22</v>
      </c>
    </row>
    <row r="6244" spans="1:14">
      <c r="A6244" s="4" t="str">
        <f t="shared" si="579"/>
        <v>EXP00217</v>
      </c>
      <c r="B6244" s="4" t="str">
        <f t="shared" si="580"/>
        <v>25361981</v>
      </c>
      <c r="C6244" s="4" t="str">
        <f t="shared" si="581"/>
        <v>GSE56493</v>
      </c>
      <c r="D6244" s="1" t="s">
        <v>298</v>
      </c>
      <c r="E6244" t="s">
        <v>15</v>
      </c>
      <c r="F6244" s="1">
        <v>2</v>
      </c>
      <c r="G6244" s="1" t="s">
        <v>23</v>
      </c>
      <c r="H6244" s="4" t="str">
        <f>HYPERLINK("https://www.ncbi.nlm.nih.gov/geo/query/acc.cgi?acc=GSM1362528","GSM1362528")</f>
        <v>GSM1362528</v>
      </c>
      <c r="I6244" t="s">
        <v>17</v>
      </c>
      <c r="J6244" t="s">
        <v>18</v>
      </c>
      <c r="K6244" t="s">
        <v>19</v>
      </c>
      <c r="L6244" t="s">
        <v>20</v>
      </c>
      <c r="M6244" t="s">
        <v>24</v>
      </c>
      <c r="N6244" t="s">
        <v>22</v>
      </c>
    </row>
    <row r="6245" spans="1:14">
      <c r="A6245" s="4" t="str">
        <f t="shared" si="579"/>
        <v>EXP00217</v>
      </c>
      <c r="B6245" s="4" t="str">
        <f t="shared" si="580"/>
        <v>25361981</v>
      </c>
      <c r="C6245" s="4" t="str">
        <f t="shared" si="581"/>
        <v>GSE56493</v>
      </c>
      <c r="D6245" s="1" t="s">
        <v>298</v>
      </c>
      <c r="E6245" t="s">
        <v>15</v>
      </c>
      <c r="F6245" s="1">
        <v>2</v>
      </c>
      <c r="G6245" s="1" t="s">
        <v>23</v>
      </c>
      <c r="H6245" s="4" t="str">
        <f>HYPERLINK("https://www.ncbi.nlm.nih.gov/geo/query/acc.cgi?acc=GSM1362529","GSM1362529")</f>
        <v>GSM1362529</v>
      </c>
      <c r="I6245" t="s">
        <v>17</v>
      </c>
      <c r="J6245" t="s">
        <v>18</v>
      </c>
      <c r="K6245" t="s">
        <v>19</v>
      </c>
      <c r="L6245" t="s">
        <v>20</v>
      </c>
      <c r="M6245" t="s">
        <v>24</v>
      </c>
      <c r="N6245" t="s">
        <v>22</v>
      </c>
    </row>
    <row r="6246" spans="1:14">
      <c r="A6246" s="4" t="str">
        <f t="shared" si="579"/>
        <v>EXP00217</v>
      </c>
      <c r="B6246" s="4" t="str">
        <f t="shared" si="580"/>
        <v>25361981</v>
      </c>
      <c r="C6246" s="4" t="str">
        <f t="shared" si="581"/>
        <v>GSE56493</v>
      </c>
      <c r="D6246" s="1" t="s">
        <v>298</v>
      </c>
      <c r="E6246" t="s">
        <v>15</v>
      </c>
      <c r="F6246" s="1">
        <v>2</v>
      </c>
      <c r="G6246" s="1" t="s">
        <v>23</v>
      </c>
      <c r="H6246" s="4" t="str">
        <f>HYPERLINK("https://www.ncbi.nlm.nih.gov/geo/query/acc.cgi?acc=GSM1362531","GSM1362531")</f>
        <v>GSM1362531</v>
      </c>
      <c r="I6246" t="s">
        <v>17</v>
      </c>
      <c r="J6246" t="s">
        <v>18</v>
      </c>
      <c r="K6246" t="s">
        <v>19</v>
      </c>
      <c r="L6246" t="s">
        <v>20</v>
      </c>
      <c r="M6246" t="s">
        <v>24</v>
      </c>
      <c r="N6246" t="s">
        <v>22</v>
      </c>
    </row>
    <row r="6247" spans="1:14">
      <c r="A6247" s="4" t="str">
        <f t="shared" si="579"/>
        <v>EXP00217</v>
      </c>
      <c r="B6247" s="4" t="str">
        <f t="shared" si="580"/>
        <v>25361981</v>
      </c>
      <c r="C6247" s="4" t="str">
        <f t="shared" si="581"/>
        <v>GSE56493</v>
      </c>
      <c r="D6247" s="1" t="s">
        <v>298</v>
      </c>
      <c r="E6247" t="s">
        <v>15</v>
      </c>
      <c r="F6247" s="1">
        <v>2</v>
      </c>
      <c r="G6247" s="1" t="s">
        <v>23</v>
      </c>
      <c r="H6247" s="4" t="str">
        <f>HYPERLINK("https://www.ncbi.nlm.nih.gov/geo/query/acc.cgi?acc=GSM1362538","GSM1362538")</f>
        <v>GSM1362538</v>
      </c>
      <c r="I6247" t="s">
        <v>17</v>
      </c>
      <c r="J6247" t="s">
        <v>18</v>
      </c>
      <c r="K6247" t="s">
        <v>19</v>
      </c>
      <c r="L6247" t="s">
        <v>20</v>
      </c>
      <c r="M6247" t="s">
        <v>24</v>
      </c>
      <c r="N6247" t="s">
        <v>22</v>
      </c>
    </row>
    <row r="6248" spans="1:14">
      <c r="A6248" s="4" t="str">
        <f t="shared" si="579"/>
        <v>EXP00217</v>
      </c>
      <c r="B6248" s="4" t="str">
        <f t="shared" si="580"/>
        <v>25361981</v>
      </c>
      <c r="C6248" s="4" t="str">
        <f t="shared" si="581"/>
        <v>GSE56493</v>
      </c>
      <c r="D6248" s="1" t="s">
        <v>298</v>
      </c>
      <c r="E6248" t="s">
        <v>15</v>
      </c>
      <c r="F6248" s="1">
        <v>2</v>
      </c>
      <c r="G6248" s="1" t="s">
        <v>23</v>
      </c>
      <c r="H6248" s="4" t="str">
        <f>HYPERLINK("https://www.ncbi.nlm.nih.gov/geo/query/acc.cgi?acc=GSM1362540","GSM1362540")</f>
        <v>GSM1362540</v>
      </c>
      <c r="I6248" t="s">
        <v>17</v>
      </c>
      <c r="J6248" t="s">
        <v>18</v>
      </c>
      <c r="K6248" t="s">
        <v>19</v>
      </c>
      <c r="L6248" t="s">
        <v>20</v>
      </c>
      <c r="M6248" t="s">
        <v>24</v>
      </c>
      <c r="N6248" t="s">
        <v>22</v>
      </c>
    </row>
    <row r="6249" spans="1:14">
      <c r="A6249" s="4" t="str">
        <f t="shared" si="579"/>
        <v>EXP00217</v>
      </c>
      <c r="B6249" s="4" t="str">
        <f t="shared" si="580"/>
        <v>25361981</v>
      </c>
      <c r="C6249" s="4" t="str">
        <f t="shared" si="581"/>
        <v>GSE56493</v>
      </c>
      <c r="D6249" s="1" t="s">
        <v>298</v>
      </c>
      <c r="E6249" t="s">
        <v>15</v>
      </c>
      <c r="F6249" s="1">
        <v>2</v>
      </c>
      <c r="G6249" s="1" t="s">
        <v>23</v>
      </c>
      <c r="H6249" s="4" t="str">
        <f>HYPERLINK("https://www.ncbi.nlm.nih.gov/geo/query/acc.cgi?acc=GSM1362541","GSM1362541")</f>
        <v>GSM1362541</v>
      </c>
      <c r="I6249" t="s">
        <v>17</v>
      </c>
      <c r="J6249" t="s">
        <v>18</v>
      </c>
      <c r="K6249" t="s">
        <v>19</v>
      </c>
      <c r="L6249" t="s">
        <v>20</v>
      </c>
      <c r="M6249" t="s">
        <v>24</v>
      </c>
      <c r="N6249" t="s">
        <v>22</v>
      </c>
    </row>
    <row r="6250" spans="1:14">
      <c r="A6250" s="4" t="str">
        <f t="shared" si="579"/>
        <v>EXP00217</v>
      </c>
      <c r="B6250" s="4" t="str">
        <f t="shared" si="580"/>
        <v>25361981</v>
      </c>
      <c r="C6250" s="4" t="str">
        <f t="shared" si="581"/>
        <v>GSE56493</v>
      </c>
      <c r="D6250" s="1" t="s">
        <v>298</v>
      </c>
      <c r="E6250" t="s">
        <v>15</v>
      </c>
      <c r="F6250" s="1">
        <v>2</v>
      </c>
      <c r="G6250" s="1" t="s">
        <v>23</v>
      </c>
      <c r="H6250" s="4" t="str">
        <f>HYPERLINK("https://www.ncbi.nlm.nih.gov/geo/query/acc.cgi?acc=GSM1362543","GSM1362543")</f>
        <v>GSM1362543</v>
      </c>
      <c r="I6250" t="s">
        <v>17</v>
      </c>
      <c r="J6250" t="s">
        <v>18</v>
      </c>
      <c r="K6250" t="s">
        <v>19</v>
      </c>
      <c r="L6250" t="s">
        <v>20</v>
      </c>
      <c r="M6250" t="s">
        <v>24</v>
      </c>
      <c r="N6250" t="s">
        <v>22</v>
      </c>
    </row>
    <row r="6251" spans="1:14">
      <c r="A6251" s="4" t="str">
        <f t="shared" ref="A6251:A6281" si="582">HYPERLINK("http://hcmdb.i-sanger.com/experiment/details/experiment_id/EXP00217","EXP00217")</f>
        <v>EXP00217</v>
      </c>
      <c r="B6251" s="4" t="str">
        <f t="shared" si="580"/>
        <v>25361981</v>
      </c>
      <c r="C6251" s="4" t="str">
        <f t="shared" si="581"/>
        <v>GSE56493</v>
      </c>
      <c r="D6251" s="1" t="s">
        <v>298</v>
      </c>
      <c r="E6251" t="s">
        <v>15</v>
      </c>
      <c r="F6251" s="1">
        <v>2</v>
      </c>
      <c r="G6251" s="1" t="s">
        <v>23</v>
      </c>
      <c r="H6251" s="4" t="str">
        <f>HYPERLINK("https://www.ncbi.nlm.nih.gov/geo/query/acc.cgi?acc=GSM1362547","GSM1362547")</f>
        <v>GSM1362547</v>
      </c>
      <c r="I6251" t="s">
        <v>17</v>
      </c>
      <c r="J6251" t="s">
        <v>18</v>
      </c>
      <c r="K6251" t="s">
        <v>19</v>
      </c>
      <c r="L6251" t="s">
        <v>20</v>
      </c>
      <c r="M6251" t="s">
        <v>24</v>
      </c>
      <c r="N6251" t="s">
        <v>22</v>
      </c>
    </row>
    <row r="6252" spans="1:14">
      <c r="A6252" s="4" t="str">
        <f t="shared" si="582"/>
        <v>EXP00217</v>
      </c>
      <c r="B6252" s="4" t="str">
        <f t="shared" si="580"/>
        <v>25361981</v>
      </c>
      <c r="C6252" s="4" t="str">
        <f t="shared" si="581"/>
        <v>GSE56493</v>
      </c>
      <c r="D6252" s="1" t="s">
        <v>298</v>
      </c>
      <c r="E6252" t="s">
        <v>15</v>
      </c>
      <c r="F6252" s="1">
        <v>2</v>
      </c>
      <c r="G6252" s="1" t="s">
        <v>23</v>
      </c>
      <c r="H6252" s="4" t="str">
        <f>HYPERLINK("https://www.ncbi.nlm.nih.gov/geo/query/acc.cgi?acc=GSM1362548","GSM1362548")</f>
        <v>GSM1362548</v>
      </c>
      <c r="I6252" t="s">
        <v>17</v>
      </c>
      <c r="J6252" t="s">
        <v>18</v>
      </c>
      <c r="K6252" t="s">
        <v>19</v>
      </c>
      <c r="L6252" t="s">
        <v>20</v>
      </c>
      <c r="M6252" t="s">
        <v>24</v>
      </c>
      <c r="N6252" t="s">
        <v>22</v>
      </c>
    </row>
    <row r="6253" spans="1:14">
      <c r="A6253" s="4" t="str">
        <f t="shared" si="582"/>
        <v>EXP00217</v>
      </c>
      <c r="B6253" s="4" t="str">
        <f t="shared" si="580"/>
        <v>25361981</v>
      </c>
      <c r="C6253" s="4" t="str">
        <f t="shared" si="581"/>
        <v>GSE56493</v>
      </c>
      <c r="D6253" s="1" t="s">
        <v>298</v>
      </c>
      <c r="E6253" t="s">
        <v>15</v>
      </c>
      <c r="F6253" s="1">
        <v>2</v>
      </c>
      <c r="G6253" s="1" t="s">
        <v>23</v>
      </c>
      <c r="H6253" s="4" t="str">
        <f>HYPERLINK("https://www.ncbi.nlm.nih.gov/geo/query/acc.cgi?acc=GSM1362549","GSM1362549")</f>
        <v>GSM1362549</v>
      </c>
      <c r="I6253" t="s">
        <v>17</v>
      </c>
      <c r="J6253" t="s">
        <v>18</v>
      </c>
      <c r="K6253" t="s">
        <v>19</v>
      </c>
      <c r="L6253" t="s">
        <v>20</v>
      </c>
      <c r="M6253" t="s">
        <v>24</v>
      </c>
      <c r="N6253" t="s">
        <v>22</v>
      </c>
    </row>
    <row r="6254" spans="1:14">
      <c r="A6254" s="4" t="str">
        <f t="shared" si="582"/>
        <v>EXP00217</v>
      </c>
      <c r="B6254" s="4" t="str">
        <f t="shared" si="580"/>
        <v>25361981</v>
      </c>
      <c r="C6254" s="4" t="str">
        <f t="shared" si="581"/>
        <v>GSE56493</v>
      </c>
      <c r="D6254" s="1" t="s">
        <v>298</v>
      </c>
      <c r="E6254" t="s">
        <v>15</v>
      </c>
      <c r="F6254" s="1">
        <v>2</v>
      </c>
      <c r="G6254" s="1" t="s">
        <v>23</v>
      </c>
      <c r="H6254" s="4" t="str">
        <f>HYPERLINK("https://www.ncbi.nlm.nih.gov/geo/query/acc.cgi?acc=GSM1362552","GSM1362552")</f>
        <v>GSM1362552</v>
      </c>
      <c r="I6254" t="s">
        <v>17</v>
      </c>
      <c r="J6254" t="s">
        <v>18</v>
      </c>
      <c r="K6254" t="s">
        <v>19</v>
      </c>
      <c r="L6254" t="s">
        <v>20</v>
      </c>
      <c r="M6254" t="s">
        <v>24</v>
      </c>
      <c r="N6254" t="s">
        <v>22</v>
      </c>
    </row>
    <row r="6255" spans="1:14">
      <c r="A6255" s="4" t="str">
        <f t="shared" si="582"/>
        <v>EXP00217</v>
      </c>
      <c r="B6255" s="4" t="str">
        <f t="shared" si="580"/>
        <v>25361981</v>
      </c>
      <c r="C6255" s="4" t="str">
        <f t="shared" si="581"/>
        <v>GSE56493</v>
      </c>
      <c r="D6255" s="1" t="s">
        <v>298</v>
      </c>
      <c r="E6255" t="s">
        <v>15</v>
      </c>
      <c r="F6255" s="1">
        <v>2</v>
      </c>
      <c r="G6255" s="1" t="s">
        <v>23</v>
      </c>
      <c r="H6255" s="4" t="str">
        <f>HYPERLINK("https://www.ncbi.nlm.nih.gov/geo/query/acc.cgi?acc=GSM1362553","GSM1362553")</f>
        <v>GSM1362553</v>
      </c>
      <c r="I6255" t="s">
        <v>17</v>
      </c>
      <c r="J6255" t="s">
        <v>18</v>
      </c>
      <c r="K6255" t="s">
        <v>19</v>
      </c>
      <c r="L6255" t="s">
        <v>20</v>
      </c>
      <c r="M6255" t="s">
        <v>24</v>
      </c>
      <c r="N6255" t="s">
        <v>22</v>
      </c>
    </row>
    <row r="6256" spans="1:14">
      <c r="A6256" s="4" t="str">
        <f t="shared" si="582"/>
        <v>EXP00217</v>
      </c>
      <c r="B6256" s="4" t="str">
        <f t="shared" si="580"/>
        <v>25361981</v>
      </c>
      <c r="C6256" s="4" t="str">
        <f t="shared" si="581"/>
        <v>GSE56493</v>
      </c>
      <c r="D6256" s="1" t="s">
        <v>298</v>
      </c>
      <c r="E6256" t="s">
        <v>15</v>
      </c>
      <c r="F6256" s="1">
        <v>2</v>
      </c>
      <c r="G6256" s="1" t="s">
        <v>23</v>
      </c>
      <c r="H6256" s="4" t="str">
        <f>HYPERLINK("https://www.ncbi.nlm.nih.gov/geo/query/acc.cgi?acc=GSM1362557","GSM1362557")</f>
        <v>GSM1362557</v>
      </c>
      <c r="I6256" t="s">
        <v>17</v>
      </c>
      <c r="J6256" t="s">
        <v>18</v>
      </c>
      <c r="K6256" t="s">
        <v>19</v>
      </c>
      <c r="L6256" t="s">
        <v>20</v>
      </c>
      <c r="M6256" t="s">
        <v>24</v>
      </c>
      <c r="N6256" t="s">
        <v>22</v>
      </c>
    </row>
    <row r="6257" spans="1:14">
      <c r="A6257" s="4" t="str">
        <f t="shared" si="582"/>
        <v>EXP00217</v>
      </c>
      <c r="B6257" s="4" t="str">
        <f t="shared" si="580"/>
        <v>25361981</v>
      </c>
      <c r="C6257" s="4" t="str">
        <f t="shared" si="581"/>
        <v>GSE56493</v>
      </c>
      <c r="D6257" s="1" t="s">
        <v>298</v>
      </c>
      <c r="E6257" t="s">
        <v>15</v>
      </c>
      <c r="F6257" s="1">
        <v>2</v>
      </c>
      <c r="G6257" s="1" t="s">
        <v>23</v>
      </c>
      <c r="H6257" s="4" t="str">
        <f>HYPERLINK("https://www.ncbi.nlm.nih.gov/geo/query/acc.cgi?acc=GSM1362560","GSM1362560")</f>
        <v>GSM1362560</v>
      </c>
      <c r="I6257" t="s">
        <v>17</v>
      </c>
      <c r="J6257" t="s">
        <v>18</v>
      </c>
      <c r="K6257" t="s">
        <v>19</v>
      </c>
      <c r="L6257" t="s">
        <v>20</v>
      </c>
      <c r="M6257" t="s">
        <v>24</v>
      </c>
      <c r="N6257" t="s">
        <v>22</v>
      </c>
    </row>
    <row r="6258" spans="1:14">
      <c r="A6258" s="4" t="str">
        <f t="shared" si="582"/>
        <v>EXP00217</v>
      </c>
      <c r="B6258" s="4" t="str">
        <f t="shared" si="580"/>
        <v>25361981</v>
      </c>
      <c r="C6258" s="4" t="str">
        <f t="shared" si="581"/>
        <v>GSE56493</v>
      </c>
      <c r="D6258" s="1" t="s">
        <v>298</v>
      </c>
      <c r="E6258" t="s">
        <v>15</v>
      </c>
      <c r="F6258" s="1">
        <v>2</v>
      </c>
      <c r="G6258" s="1" t="s">
        <v>23</v>
      </c>
      <c r="H6258" s="4" t="str">
        <f>HYPERLINK("https://www.ncbi.nlm.nih.gov/geo/query/acc.cgi?acc=GSM1362567","GSM1362567")</f>
        <v>GSM1362567</v>
      </c>
      <c r="I6258" t="s">
        <v>17</v>
      </c>
      <c r="J6258" t="s">
        <v>18</v>
      </c>
      <c r="K6258" t="s">
        <v>19</v>
      </c>
      <c r="L6258" t="s">
        <v>20</v>
      </c>
      <c r="M6258" t="s">
        <v>24</v>
      </c>
      <c r="N6258" t="s">
        <v>22</v>
      </c>
    </row>
    <row r="6259" spans="1:14">
      <c r="A6259" s="4" t="str">
        <f t="shared" si="582"/>
        <v>EXP00217</v>
      </c>
      <c r="B6259" s="4" t="str">
        <f t="shared" si="580"/>
        <v>25361981</v>
      </c>
      <c r="C6259" s="4" t="str">
        <f t="shared" si="581"/>
        <v>GSE56493</v>
      </c>
      <c r="D6259" s="1" t="s">
        <v>298</v>
      </c>
      <c r="E6259" t="s">
        <v>15</v>
      </c>
      <c r="F6259" s="1">
        <v>2</v>
      </c>
      <c r="G6259" s="1" t="s">
        <v>23</v>
      </c>
      <c r="H6259" s="4" t="str">
        <f>HYPERLINK("https://www.ncbi.nlm.nih.gov/geo/query/acc.cgi?acc=GSM1362568","GSM1362568")</f>
        <v>GSM1362568</v>
      </c>
      <c r="I6259" t="s">
        <v>17</v>
      </c>
      <c r="J6259" t="s">
        <v>18</v>
      </c>
      <c r="K6259" t="s">
        <v>19</v>
      </c>
      <c r="L6259" t="s">
        <v>20</v>
      </c>
      <c r="M6259" t="s">
        <v>24</v>
      </c>
      <c r="N6259" t="s">
        <v>22</v>
      </c>
    </row>
    <row r="6260" spans="1:14">
      <c r="A6260" s="4" t="str">
        <f t="shared" si="582"/>
        <v>EXP00217</v>
      </c>
      <c r="B6260" s="4" t="str">
        <f t="shared" si="580"/>
        <v>25361981</v>
      </c>
      <c r="C6260" s="4" t="str">
        <f t="shared" si="581"/>
        <v>GSE56493</v>
      </c>
      <c r="D6260" s="1" t="s">
        <v>298</v>
      </c>
      <c r="E6260" t="s">
        <v>15</v>
      </c>
      <c r="F6260" s="1">
        <v>2</v>
      </c>
      <c r="G6260" s="1" t="s">
        <v>23</v>
      </c>
      <c r="H6260" s="4" t="str">
        <f>HYPERLINK("https://www.ncbi.nlm.nih.gov/geo/query/acc.cgi?acc=GSM1362574","GSM1362574")</f>
        <v>GSM1362574</v>
      </c>
      <c r="I6260" t="s">
        <v>17</v>
      </c>
      <c r="J6260" t="s">
        <v>18</v>
      </c>
      <c r="K6260" t="s">
        <v>19</v>
      </c>
      <c r="L6260" t="s">
        <v>20</v>
      </c>
      <c r="M6260" t="s">
        <v>24</v>
      </c>
      <c r="N6260" t="s">
        <v>22</v>
      </c>
    </row>
    <row r="6261" spans="1:14">
      <c r="A6261" s="4" t="str">
        <f t="shared" si="582"/>
        <v>EXP00217</v>
      </c>
      <c r="B6261" s="4" t="str">
        <f t="shared" si="580"/>
        <v>25361981</v>
      </c>
      <c r="C6261" s="4" t="str">
        <f t="shared" si="581"/>
        <v>GSE56493</v>
      </c>
      <c r="D6261" s="1" t="s">
        <v>298</v>
      </c>
      <c r="E6261" t="s">
        <v>15</v>
      </c>
      <c r="F6261" s="1">
        <v>2</v>
      </c>
      <c r="G6261" s="1" t="s">
        <v>23</v>
      </c>
      <c r="H6261" s="4" t="str">
        <f>HYPERLINK("https://www.ncbi.nlm.nih.gov/geo/query/acc.cgi?acc=GSM1362575","GSM1362575")</f>
        <v>GSM1362575</v>
      </c>
      <c r="I6261" t="s">
        <v>17</v>
      </c>
      <c r="J6261" t="s">
        <v>18</v>
      </c>
      <c r="K6261" t="s">
        <v>19</v>
      </c>
      <c r="L6261" t="s">
        <v>20</v>
      </c>
      <c r="M6261" t="s">
        <v>24</v>
      </c>
      <c r="N6261" t="s">
        <v>22</v>
      </c>
    </row>
    <row r="6262" spans="1:14">
      <c r="A6262" s="4" t="str">
        <f t="shared" si="582"/>
        <v>EXP00217</v>
      </c>
      <c r="B6262" s="4" t="str">
        <f t="shared" si="580"/>
        <v>25361981</v>
      </c>
      <c r="C6262" s="4" t="str">
        <f t="shared" si="581"/>
        <v>GSE56493</v>
      </c>
      <c r="D6262" s="1" t="s">
        <v>298</v>
      </c>
      <c r="E6262" t="s">
        <v>15</v>
      </c>
      <c r="F6262" s="1">
        <v>2</v>
      </c>
      <c r="G6262" s="1" t="s">
        <v>23</v>
      </c>
      <c r="H6262" s="4" t="str">
        <f>HYPERLINK("https://www.ncbi.nlm.nih.gov/geo/query/acc.cgi?acc=GSM1362579","GSM1362579")</f>
        <v>GSM1362579</v>
      </c>
      <c r="I6262" t="s">
        <v>17</v>
      </c>
      <c r="J6262" t="s">
        <v>18</v>
      </c>
      <c r="K6262" t="s">
        <v>19</v>
      </c>
      <c r="L6262" t="s">
        <v>20</v>
      </c>
      <c r="M6262" t="s">
        <v>24</v>
      </c>
      <c r="N6262" t="s">
        <v>22</v>
      </c>
    </row>
    <row r="6263" spans="1:14">
      <c r="A6263" s="4" t="str">
        <f t="shared" si="582"/>
        <v>EXP00217</v>
      </c>
      <c r="B6263" s="4" t="str">
        <f t="shared" si="580"/>
        <v>25361981</v>
      </c>
      <c r="C6263" s="4" t="str">
        <f t="shared" si="581"/>
        <v>GSE56493</v>
      </c>
      <c r="D6263" s="1" t="s">
        <v>298</v>
      </c>
      <c r="E6263" t="s">
        <v>15</v>
      </c>
      <c r="F6263" s="1">
        <v>2</v>
      </c>
      <c r="G6263" s="1" t="s">
        <v>23</v>
      </c>
      <c r="H6263" s="4" t="str">
        <f>HYPERLINK("https://www.ncbi.nlm.nih.gov/geo/query/acc.cgi?acc=GSM1362580","GSM1362580")</f>
        <v>GSM1362580</v>
      </c>
      <c r="I6263" t="s">
        <v>17</v>
      </c>
      <c r="J6263" t="s">
        <v>18</v>
      </c>
      <c r="K6263" t="s">
        <v>19</v>
      </c>
      <c r="L6263" t="s">
        <v>20</v>
      </c>
      <c r="M6263" t="s">
        <v>24</v>
      </c>
      <c r="N6263" t="s">
        <v>22</v>
      </c>
    </row>
    <row r="6264" spans="1:14">
      <c r="A6264" s="4" t="str">
        <f t="shared" si="582"/>
        <v>EXP00217</v>
      </c>
      <c r="B6264" s="4" t="str">
        <f t="shared" si="580"/>
        <v>25361981</v>
      </c>
      <c r="C6264" s="4" t="str">
        <f t="shared" si="581"/>
        <v>GSE56493</v>
      </c>
      <c r="D6264" s="1" t="s">
        <v>298</v>
      </c>
      <c r="E6264" t="s">
        <v>15</v>
      </c>
      <c r="F6264" s="1">
        <v>2</v>
      </c>
      <c r="G6264" s="1" t="s">
        <v>23</v>
      </c>
      <c r="H6264" s="4" t="str">
        <f>HYPERLINK("https://www.ncbi.nlm.nih.gov/geo/query/acc.cgi?acc=GSM1362581","GSM1362581")</f>
        <v>GSM1362581</v>
      </c>
      <c r="I6264" t="s">
        <v>17</v>
      </c>
      <c r="J6264" t="s">
        <v>18</v>
      </c>
      <c r="K6264" t="s">
        <v>19</v>
      </c>
      <c r="L6264" t="s">
        <v>20</v>
      </c>
      <c r="M6264" t="s">
        <v>24</v>
      </c>
      <c r="N6264" t="s">
        <v>22</v>
      </c>
    </row>
    <row r="6265" spans="1:14">
      <c r="A6265" s="4" t="str">
        <f t="shared" si="582"/>
        <v>EXP00217</v>
      </c>
      <c r="B6265" s="4" t="str">
        <f t="shared" si="580"/>
        <v>25361981</v>
      </c>
      <c r="C6265" s="4" t="str">
        <f t="shared" si="581"/>
        <v>GSE56493</v>
      </c>
      <c r="D6265" s="1" t="s">
        <v>298</v>
      </c>
      <c r="E6265" t="s">
        <v>15</v>
      </c>
      <c r="F6265" s="1">
        <v>2</v>
      </c>
      <c r="G6265" s="1" t="s">
        <v>23</v>
      </c>
      <c r="H6265" s="4" t="str">
        <f>HYPERLINK("https://www.ncbi.nlm.nih.gov/geo/query/acc.cgi?acc=GSM1362586","GSM1362586")</f>
        <v>GSM1362586</v>
      </c>
      <c r="I6265" t="s">
        <v>17</v>
      </c>
      <c r="J6265" t="s">
        <v>18</v>
      </c>
      <c r="K6265" t="s">
        <v>19</v>
      </c>
      <c r="L6265" t="s">
        <v>20</v>
      </c>
      <c r="M6265" t="s">
        <v>24</v>
      </c>
      <c r="N6265" t="s">
        <v>22</v>
      </c>
    </row>
    <row r="6266" spans="1:14">
      <c r="A6266" s="4" t="str">
        <f t="shared" si="582"/>
        <v>EXP00217</v>
      </c>
      <c r="B6266" s="4" t="str">
        <f t="shared" si="580"/>
        <v>25361981</v>
      </c>
      <c r="C6266" s="4" t="str">
        <f t="shared" si="581"/>
        <v>GSE56493</v>
      </c>
      <c r="D6266" s="1" t="s">
        <v>298</v>
      </c>
      <c r="E6266" t="s">
        <v>15</v>
      </c>
      <c r="F6266" s="1">
        <v>2</v>
      </c>
      <c r="G6266" s="1" t="s">
        <v>23</v>
      </c>
      <c r="H6266" s="4" t="str">
        <f>HYPERLINK("https://www.ncbi.nlm.nih.gov/geo/query/acc.cgi?acc=GSM1362587","GSM1362587")</f>
        <v>GSM1362587</v>
      </c>
      <c r="I6266" t="s">
        <v>17</v>
      </c>
      <c r="J6266" t="s">
        <v>18</v>
      </c>
      <c r="K6266" t="s">
        <v>19</v>
      </c>
      <c r="L6266" t="s">
        <v>20</v>
      </c>
      <c r="M6266" t="s">
        <v>24</v>
      </c>
      <c r="N6266" t="s">
        <v>22</v>
      </c>
    </row>
    <row r="6267" spans="1:14">
      <c r="A6267" s="4" t="str">
        <f t="shared" si="582"/>
        <v>EXP00217</v>
      </c>
      <c r="B6267" s="4" t="str">
        <f t="shared" si="580"/>
        <v>25361981</v>
      </c>
      <c r="C6267" s="4" t="str">
        <f t="shared" si="581"/>
        <v>GSE56493</v>
      </c>
      <c r="D6267" s="1" t="s">
        <v>298</v>
      </c>
      <c r="E6267" t="s">
        <v>15</v>
      </c>
      <c r="F6267" s="1">
        <v>2</v>
      </c>
      <c r="G6267" s="1" t="s">
        <v>23</v>
      </c>
      <c r="H6267" s="4" t="str">
        <f>HYPERLINK("https://www.ncbi.nlm.nih.gov/geo/query/acc.cgi?acc=GSM1362592","GSM1362592")</f>
        <v>GSM1362592</v>
      </c>
      <c r="I6267" t="s">
        <v>17</v>
      </c>
      <c r="J6267" t="s">
        <v>18</v>
      </c>
      <c r="K6267" t="s">
        <v>19</v>
      </c>
      <c r="L6267" t="s">
        <v>20</v>
      </c>
      <c r="M6267" t="s">
        <v>24</v>
      </c>
      <c r="N6267" t="s">
        <v>22</v>
      </c>
    </row>
    <row r="6268" spans="1:14">
      <c r="A6268" s="4" t="str">
        <f t="shared" si="582"/>
        <v>EXP00217</v>
      </c>
      <c r="B6268" s="4" t="str">
        <f t="shared" si="580"/>
        <v>25361981</v>
      </c>
      <c r="C6268" s="4" t="str">
        <f t="shared" si="581"/>
        <v>GSE56493</v>
      </c>
      <c r="D6268" s="1" t="s">
        <v>298</v>
      </c>
      <c r="E6268" t="s">
        <v>15</v>
      </c>
      <c r="F6268" s="1">
        <v>2</v>
      </c>
      <c r="G6268" s="1" t="s">
        <v>23</v>
      </c>
      <c r="H6268" s="4" t="str">
        <f>HYPERLINK("https://www.ncbi.nlm.nih.gov/geo/query/acc.cgi?acc=GSM1362595","GSM1362595")</f>
        <v>GSM1362595</v>
      </c>
      <c r="I6268" t="s">
        <v>17</v>
      </c>
      <c r="J6268" t="s">
        <v>18</v>
      </c>
      <c r="K6268" t="s">
        <v>19</v>
      </c>
      <c r="L6268" t="s">
        <v>20</v>
      </c>
      <c r="M6268" t="s">
        <v>24</v>
      </c>
      <c r="N6268" t="s">
        <v>22</v>
      </c>
    </row>
    <row r="6269" spans="1:14">
      <c r="A6269" s="4" t="str">
        <f t="shared" si="582"/>
        <v>EXP00217</v>
      </c>
      <c r="B6269" s="4" t="str">
        <f t="shared" si="580"/>
        <v>25361981</v>
      </c>
      <c r="C6269" s="4" t="str">
        <f t="shared" si="581"/>
        <v>GSE56493</v>
      </c>
      <c r="D6269" s="1" t="s">
        <v>298</v>
      </c>
      <c r="E6269" t="s">
        <v>15</v>
      </c>
      <c r="F6269" s="1">
        <v>2</v>
      </c>
      <c r="G6269" s="1" t="s">
        <v>23</v>
      </c>
      <c r="H6269" s="4" t="str">
        <f>HYPERLINK("https://www.ncbi.nlm.nih.gov/geo/query/acc.cgi?acc=GSM1362600","GSM1362600")</f>
        <v>GSM1362600</v>
      </c>
      <c r="I6269" t="s">
        <v>17</v>
      </c>
      <c r="J6269" t="s">
        <v>18</v>
      </c>
      <c r="K6269" t="s">
        <v>19</v>
      </c>
      <c r="L6269" t="s">
        <v>20</v>
      </c>
      <c r="M6269" t="s">
        <v>24</v>
      </c>
      <c r="N6269" t="s">
        <v>22</v>
      </c>
    </row>
    <row r="6270" spans="1:14">
      <c r="A6270" s="4" t="str">
        <f t="shared" si="582"/>
        <v>EXP00217</v>
      </c>
      <c r="B6270" s="4" t="str">
        <f t="shared" si="580"/>
        <v>25361981</v>
      </c>
      <c r="C6270" s="4" t="str">
        <f t="shared" si="581"/>
        <v>GSE56493</v>
      </c>
      <c r="D6270" s="1" t="s">
        <v>298</v>
      </c>
      <c r="E6270" t="s">
        <v>15</v>
      </c>
      <c r="F6270" s="1">
        <v>2</v>
      </c>
      <c r="G6270" s="1" t="s">
        <v>23</v>
      </c>
      <c r="H6270" s="4" t="str">
        <f>HYPERLINK("https://www.ncbi.nlm.nih.gov/geo/query/acc.cgi?acc=GSM1362601","GSM1362601")</f>
        <v>GSM1362601</v>
      </c>
      <c r="I6270" t="s">
        <v>17</v>
      </c>
      <c r="J6270" t="s">
        <v>18</v>
      </c>
      <c r="K6270" t="s">
        <v>19</v>
      </c>
      <c r="L6270" t="s">
        <v>20</v>
      </c>
      <c r="M6270" t="s">
        <v>24</v>
      </c>
      <c r="N6270" t="s">
        <v>22</v>
      </c>
    </row>
    <row r="6271" spans="1:14">
      <c r="A6271" s="4" t="str">
        <f t="shared" si="582"/>
        <v>EXP00217</v>
      </c>
      <c r="B6271" s="4" t="str">
        <f t="shared" si="580"/>
        <v>25361981</v>
      </c>
      <c r="C6271" s="4" t="str">
        <f t="shared" si="581"/>
        <v>GSE56493</v>
      </c>
      <c r="D6271" s="1" t="s">
        <v>298</v>
      </c>
      <c r="E6271" t="s">
        <v>15</v>
      </c>
      <c r="F6271" s="1">
        <v>2</v>
      </c>
      <c r="G6271" s="1" t="s">
        <v>23</v>
      </c>
      <c r="H6271" s="4" t="str">
        <f>HYPERLINK("https://www.ncbi.nlm.nih.gov/geo/query/acc.cgi?acc=GSM1362608","GSM1362608")</f>
        <v>GSM1362608</v>
      </c>
      <c r="I6271" t="s">
        <v>17</v>
      </c>
      <c r="J6271" t="s">
        <v>18</v>
      </c>
      <c r="K6271" t="s">
        <v>19</v>
      </c>
      <c r="L6271" t="s">
        <v>20</v>
      </c>
      <c r="M6271" t="s">
        <v>24</v>
      </c>
      <c r="N6271" t="s">
        <v>22</v>
      </c>
    </row>
    <row r="6272" spans="1:14">
      <c r="A6272" s="4" t="str">
        <f t="shared" si="582"/>
        <v>EXP00217</v>
      </c>
      <c r="B6272" s="4" t="str">
        <f t="shared" si="580"/>
        <v>25361981</v>
      </c>
      <c r="C6272" s="4" t="str">
        <f t="shared" si="581"/>
        <v>GSE56493</v>
      </c>
      <c r="D6272" s="1" t="s">
        <v>298</v>
      </c>
      <c r="E6272" t="s">
        <v>15</v>
      </c>
      <c r="F6272" s="1">
        <v>2</v>
      </c>
      <c r="G6272" s="1" t="s">
        <v>23</v>
      </c>
      <c r="H6272" s="4" t="str">
        <f>HYPERLINK("https://www.ncbi.nlm.nih.gov/geo/query/acc.cgi?acc=GSM1362609","GSM1362609")</f>
        <v>GSM1362609</v>
      </c>
      <c r="I6272" t="s">
        <v>17</v>
      </c>
      <c r="J6272" t="s">
        <v>18</v>
      </c>
      <c r="K6272" t="s">
        <v>19</v>
      </c>
      <c r="L6272" t="s">
        <v>20</v>
      </c>
      <c r="M6272" t="s">
        <v>24</v>
      </c>
      <c r="N6272" t="s">
        <v>22</v>
      </c>
    </row>
    <row r="6273" spans="1:14">
      <c r="A6273" s="4" t="str">
        <f t="shared" si="582"/>
        <v>EXP00217</v>
      </c>
      <c r="B6273" s="4" t="str">
        <f t="shared" si="580"/>
        <v>25361981</v>
      </c>
      <c r="C6273" s="4" t="str">
        <f t="shared" si="581"/>
        <v>GSE56493</v>
      </c>
      <c r="D6273" s="1" t="s">
        <v>298</v>
      </c>
      <c r="E6273" t="s">
        <v>15</v>
      </c>
      <c r="F6273" s="1">
        <v>2</v>
      </c>
      <c r="G6273" s="1" t="s">
        <v>23</v>
      </c>
      <c r="H6273" s="4" t="str">
        <f>HYPERLINK("https://www.ncbi.nlm.nih.gov/geo/query/acc.cgi?acc=GSM1362613","GSM1362613")</f>
        <v>GSM1362613</v>
      </c>
      <c r="I6273" t="s">
        <v>17</v>
      </c>
      <c r="J6273" t="s">
        <v>18</v>
      </c>
      <c r="K6273" t="s">
        <v>19</v>
      </c>
      <c r="L6273" t="s">
        <v>20</v>
      </c>
      <c r="M6273" t="s">
        <v>24</v>
      </c>
      <c r="N6273" t="s">
        <v>22</v>
      </c>
    </row>
    <row r="6274" spans="1:14">
      <c r="A6274" s="4" t="str">
        <f t="shared" si="582"/>
        <v>EXP00217</v>
      </c>
      <c r="B6274" s="4" t="str">
        <f t="shared" si="580"/>
        <v>25361981</v>
      </c>
      <c r="C6274" s="4" t="str">
        <f t="shared" si="581"/>
        <v>GSE56493</v>
      </c>
      <c r="D6274" s="1" t="s">
        <v>298</v>
      </c>
      <c r="E6274" t="s">
        <v>15</v>
      </c>
      <c r="F6274" s="1">
        <v>2</v>
      </c>
      <c r="G6274" s="1" t="s">
        <v>23</v>
      </c>
      <c r="H6274" s="4" t="str">
        <f>HYPERLINK("https://www.ncbi.nlm.nih.gov/geo/query/acc.cgi?acc=GSM1362615","GSM1362615")</f>
        <v>GSM1362615</v>
      </c>
      <c r="I6274" t="s">
        <v>17</v>
      </c>
      <c r="J6274" t="s">
        <v>18</v>
      </c>
      <c r="K6274" t="s">
        <v>19</v>
      </c>
      <c r="L6274" t="s">
        <v>20</v>
      </c>
      <c r="M6274" t="s">
        <v>24</v>
      </c>
      <c r="N6274" t="s">
        <v>22</v>
      </c>
    </row>
    <row r="6275" spans="1:14">
      <c r="A6275" s="4" t="str">
        <f t="shared" si="582"/>
        <v>EXP00217</v>
      </c>
      <c r="B6275" s="4" t="str">
        <f t="shared" si="580"/>
        <v>25361981</v>
      </c>
      <c r="C6275" s="4" t="str">
        <f t="shared" si="581"/>
        <v>GSE56493</v>
      </c>
      <c r="D6275" s="1" t="s">
        <v>298</v>
      </c>
      <c r="E6275" t="s">
        <v>15</v>
      </c>
      <c r="F6275" s="1">
        <v>2</v>
      </c>
      <c r="G6275" s="1" t="s">
        <v>23</v>
      </c>
      <c r="H6275" s="4" t="str">
        <f>HYPERLINK("https://www.ncbi.nlm.nih.gov/geo/query/acc.cgi?acc=GSM1362617","GSM1362617")</f>
        <v>GSM1362617</v>
      </c>
      <c r="I6275" t="s">
        <v>17</v>
      </c>
      <c r="J6275" t="s">
        <v>18</v>
      </c>
      <c r="K6275" t="s">
        <v>19</v>
      </c>
      <c r="L6275" t="s">
        <v>20</v>
      </c>
      <c r="M6275" t="s">
        <v>24</v>
      </c>
      <c r="N6275" t="s">
        <v>22</v>
      </c>
    </row>
    <row r="6276" spans="1:14">
      <c r="A6276" s="4" t="str">
        <f t="shared" si="582"/>
        <v>EXP00217</v>
      </c>
      <c r="B6276" s="4" t="str">
        <f t="shared" si="580"/>
        <v>25361981</v>
      </c>
      <c r="C6276" s="4" t="str">
        <f t="shared" si="581"/>
        <v>GSE56493</v>
      </c>
      <c r="D6276" s="1" t="s">
        <v>298</v>
      </c>
      <c r="E6276" t="s">
        <v>15</v>
      </c>
      <c r="F6276" s="1">
        <v>2</v>
      </c>
      <c r="G6276" s="1" t="s">
        <v>23</v>
      </c>
      <c r="H6276" s="4" t="str">
        <f>HYPERLINK("https://www.ncbi.nlm.nih.gov/geo/query/acc.cgi?acc=GSM1362619","GSM1362619")</f>
        <v>GSM1362619</v>
      </c>
      <c r="I6276" t="s">
        <v>17</v>
      </c>
      <c r="J6276" t="s">
        <v>18</v>
      </c>
      <c r="K6276" t="s">
        <v>19</v>
      </c>
      <c r="L6276" t="s">
        <v>20</v>
      </c>
      <c r="M6276" t="s">
        <v>24</v>
      </c>
      <c r="N6276" t="s">
        <v>22</v>
      </c>
    </row>
    <row r="6277" spans="1:14">
      <c r="A6277" s="4" t="str">
        <f t="shared" si="582"/>
        <v>EXP00217</v>
      </c>
      <c r="B6277" s="4" t="str">
        <f t="shared" si="580"/>
        <v>25361981</v>
      </c>
      <c r="C6277" s="4" t="str">
        <f t="shared" si="581"/>
        <v>GSE56493</v>
      </c>
      <c r="D6277" s="1" t="s">
        <v>298</v>
      </c>
      <c r="E6277" t="s">
        <v>15</v>
      </c>
      <c r="F6277" s="1">
        <v>2</v>
      </c>
      <c r="G6277" s="1" t="s">
        <v>23</v>
      </c>
      <c r="H6277" s="4" t="str">
        <f>HYPERLINK("https://www.ncbi.nlm.nih.gov/geo/query/acc.cgi?acc=GSM1362620","GSM1362620")</f>
        <v>GSM1362620</v>
      </c>
      <c r="I6277" t="s">
        <v>17</v>
      </c>
      <c r="J6277" t="s">
        <v>18</v>
      </c>
      <c r="K6277" t="s">
        <v>19</v>
      </c>
      <c r="L6277" t="s">
        <v>20</v>
      </c>
      <c r="M6277" t="s">
        <v>24</v>
      </c>
      <c r="N6277" t="s">
        <v>22</v>
      </c>
    </row>
    <row r="6278" spans="1:14">
      <c r="A6278" s="4" t="str">
        <f t="shared" si="582"/>
        <v>EXP00217</v>
      </c>
      <c r="B6278" s="4" t="str">
        <f t="shared" si="580"/>
        <v>25361981</v>
      </c>
      <c r="C6278" s="4" t="str">
        <f t="shared" si="581"/>
        <v>GSE56493</v>
      </c>
      <c r="D6278" s="1" t="s">
        <v>298</v>
      </c>
      <c r="E6278" t="s">
        <v>15</v>
      </c>
      <c r="F6278" s="1">
        <v>2</v>
      </c>
      <c r="G6278" s="1" t="s">
        <v>23</v>
      </c>
      <c r="H6278" s="4" t="str">
        <f>HYPERLINK("https://www.ncbi.nlm.nih.gov/geo/query/acc.cgi?acc=GSM1362622","GSM1362622")</f>
        <v>GSM1362622</v>
      </c>
      <c r="I6278" t="s">
        <v>17</v>
      </c>
      <c r="J6278" t="s">
        <v>18</v>
      </c>
      <c r="K6278" t="s">
        <v>19</v>
      </c>
      <c r="L6278" t="s">
        <v>20</v>
      </c>
      <c r="M6278" t="s">
        <v>24</v>
      </c>
      <c r="N6278" t="s">
        <v>22</v>
      </c>
    </row>
    <row r="6279" spans="1:14">
      <c r="A6279" s="4" t="str">
        <f t="shared" si="582"/>
        <v>EXP00217</v>
      </c>
      <c r="B6279" s="4" t="str">
        <f t="shared" si="580"/>
        <v>25361981</v>
      </c>
      <c r="C6279" s="4" t="str">
        <f t="shared" si="581"/>
        <v>GSE56493</v>
      </c>
      <c r="D6279" s="1" t="s">
        <v>298</v>
      </c>
      <c r="E6279" t="s">
        <v>15</v>
      </c>
      <c r="F6279" s="1">
        <v>2</v>
      </c>
      <c r="G6279" s="1" t="s">
        <v>23</v>
      </c>
      <c r="H6279" s="4" t="str">
        <f>HYPERLINK("https://www.ncbi.nlm.nih.gov/geo/query/acc.cgi?acc=GSM1362623","GSM1362623")</f>
        <v>GSM1362623</v>
      </c>
      <c r="I6279" t="s">
        <v>17</v>
      </c>
      <c r="J6279" t="s">
        <v>18</v>
      </c>
      <c r="K6279" t="s">
        <v>19</v>
      </c>
      <c r="L6279" t="s">
        <v>20</v>
      </c>
      <c r="M6279" t="s">
        <v>24</v>
      </c>
      <c r="N6279" t="s">
        <v>22</v>
      </c>
    </row>
    <row r="6280" spans="1:14">
      <c r="A6280" s="4" t="str">
        <f t="shared" si="582"/>
        <v>EXP00217</v>
      </c>
      <c r="B6280" s="4" t="str">
        <f t="shared" si="580"/>
        <v>25361981</v>
      </c>
      <c r="C6280" s="4" t="str">
        <f t="shared" si="581"/>
        <v>GSE56493</v>
      </c>
      <c r="D6280" s="1" t="s">
        <v>298</v>
      </c>
      <c r="E6280" t="s">
        <v>15</v>
      </c>
      <c r="F6280" s="1">
        <v>2</v>
      </c>
      <c r="G6280" s="1" t="s">
        <v>23</v>
      </c>
      <c r="H6280" s="4" t="str">
        <f>HYPERLINK("https://www.ncbi.nlm.nih.gov/geo/query/acc.cgi?acc=GSM1362625","GSM1362625")</f>
        <v>GSM1362625</v>
      </c>
      <c r="I6280" t="s">
        <v>17</v>
      </c>
      <c r="J6280" t="s">
        <v>18</v>
      </c>
      <c r="K6280" t="s">
        <v>19</v>
      </c>
      <c r="L6280" t="s">
        <v>20</v>
      </c>
      <c r="M6280" t="s">
        <v>24</v>
      </c>
      <c r="N6280" t="s">
        <v>22</v>
      </c>
    </row>
    <row r="6281" spans="1:14">
      <c r="A6281" s="4" t="str">
        <f t="shared" si="582"/>
        <v>EXP00217</v>
      </c>
      <c r="B6281" s="4" t="str">
        <f t="shared" si="580"/>
        <v>25361981</v>
      </c>
      <c r="C6281" s="4" t="str">
        <f t="shared" si="581"/>
        <v>GSE56493</v>
      </c>
      <c r="D6281" s="1" t="s">
        <v>298</v>
      </c>
      <c r="E6281" t="s">
        <v>15</v>
      </c>
      <c r="F6281" s="1">
        <v>2</v>
      </c>
      <c r="G6281" s="1" t="s">
        <v>23</v>
      </c>
      <c r="H6281" s="4" t="str">
        <f>HYPERLINK("https://www.ncbi.nlm.nih.gov/geo/query/acc.cgi?acc=GSM1362633","GSM1362633")</f>
        <v>GSM1362633</v>
      </c>
      <c r="I6281" t="s">
        <v>17</v>
      </c>
      <c r="J6281" t="s">
        <v>18</v>
      </c>
      <c r="K6281" t="s">
        <v>19</v>
      </c>
      <c r="L6281" t="s">
        <v>20</v>
      </c>
      <c r="M6281" t="s">
        <v>24</v>
      </c>
      <c r="N6281" t="s">
        <v>22</v>
      </c>
    </row>
    <row r="6282" spans="1:14">
      <c r="A6282" s="4" t="str">
        <f t="shared" ref="A6282:A6322" si="583">HYPERLINK("http://hcmdb.i-sanger.com/experiment/details/experiment_id/EXP00218","EXP00218")</f>
        <v>EXP00218</v>
      </c>
      <c r="B6282" s="4" t="str">
        <f t="shared" si="580"/>
        <v>25361981</v>
      </c>
      <c r="C6282" s="4" t="str">
        <f t="shared" si="581"/>
        <v>GSE56493</v>
      </c>
      <c r="D6282" s="1" t="s">
        <v>298</v>
      </c>
      <c r="E6282" t="s">
        <v>15</v>
      </c>
      <c r="F6282" s="1">
        <v>1</v>
      </c>
      <c r="G6282" s="1" t="s">
        <v>299</v>
      </c>
      <c r="H6282" s="4" t="str">
        <f>HYPERLINK("https://www.ncbi.nlm.nih.gov/geo/query/acc.cgi?acc=GSM1362518","GSM1362518")</f>
        <v>GSM1362518</v>
      </c>
      <c r="I6282" t="s">
        <v>17</v>
      </c>
      <c r="J6282" t="s">
        <v>18</v>
      </c>
      <c r="K6282" t="s">
        <v>19</v>
      </c>
      <c r="L6282" t="s">
        <v>20</v>
      </c>
      <c r="M6282" t="s">
        <v>20</v>
      </c>
      <c r="N6282" t="s">
        <v>22</v>
      </c>
    </row>
    <row r="6283" spans="1:14">
      <c r="A6283" s="4" t="str">
        <f t="shared" si="583"/>
        <v>EXP00218</v>
      </c>
      <c r="B6283" s="4" t="str">
        <f t="shared" si="580"/>
        <v>25361981</v>
      </c>
      <c r="C6283" s="4" t="str">
        <f t="shared" si="581"/>
        <v>GSE56493</v>
      </c>
      <c r="D6283" s="1" t="s">
        <v>298</v>
      </c>
      <c r="E6283" t="s">
        <v>15</v>
      </c>
      <c r="F6283" s="1">
        <v>1</v>
      </c>
      <c r="G6283" s="1" t="s">
        <v>299</v>
      </c>
      <c r="H6283" s="4" t="str">
        <f>HYPERLINK("https://www.ncbi.nlm.nih.gov/geo/query/acc.cgi?acc=GSM1362520","GSM1362520")</f>
        <v>GSM1362520</v>
      </c>
      <c r="I6283" t="s">
        <v>17</v>
      </c>
      <c r="J6283" t="s">
        <v>18</v>
      </c>
      <c r="K6283" t="s">
        <v>19</v>
      </c>
      <c r="L6283" t="s">
        <v>20</v>
      </c>
      <c r="M6283" t="s">
        <v>20</v>
      </c>
      <c r="N6283" t="s">
        <v>22</v>
      </c>
    </row>
    <row r="6284" spans="1:14">
      <c r="A6284" s="4" t="str">
        <f t="shared" si="583"/>
        <v>EXP00218</v>
      </c>
      <c r="B6284" s="4" t="str">
        <f t="shared" si="580"/>
        <v>25361981</v>
      </c>
      <c r="C6284" s="4" t="str">
        <f t="shared" si="581"/>
        <v>GSE56493</v>
      </c>
      <c r="D6284" s="1" t="s">
        <v>298</v>
      </c>
      <c r="E6284" t="s">
        <v>15</v>
      </c>
      <c r="F6284" s="1">
        <v>1</v>
      </c>
      <c r="G6284" s="1" t="s">
        <v>299</v>
      </c>
      <c r="H6284" s="4" t="str">
        <f>HYPERLINK("https://www.ncbi.nlm.nih.gov/geo/query/acc.cgi?acc=GSM1362555","GSM1362555")</f>
        <v>GSM1362555</v>
      </c>
      <c r="I6284" t="s">
        <v>17</v>
      </c>
      <c r="J6284" t="s">
        <v>18</v>
      </c>
      <c r="K6284" t="s">
        <v>19</v>
      </c>
      <c r="L6284" t="s">
        <v>20</v>
      </c>
      <c r="M6284" t="s">
        <v>20</v>
      </c>
      <c r="N6284" t="s">
        <v>22</v>
      </c>
    </row>
    <row r="6285" spans="1:14">
      <c r="A6285" s="4" t="str">
        <f t="shared" si="583"/>
        <v>EXP00218</v>
      </c>
      <c r="B6285" s="4" t="str">
        <f t="shared" si="580"/>
        <v>25361981</v>
      </c>
      <c r="C6285" s="4" t="str">
        <f t="shared" si="581"/>
        <v>GSE56493</v>
      </c>
      <c r="D6285" s="1" t="s">
        <v>298</v>
      </c>
      <c r="E6285" t="s">
        <v>15</v>
      </c>
      <c r="F6285" s="1">
        <v>1</v>
      </c>
      <c r="G6285" s="1" t="s">
        <v>299</v>
      </c>
      <c r="H6285" s="4" t="str">
        <f>HYPERLINK("https://www.ncbi.nlm.nih.gov/geo/query/acc.cgi?acc=GSM1362558","GSM1362558")</f>
        <v>GSM1362558</v>
      </c>
      <c r="I6285" t="s">
        <v>17</v>
      </c>
      <c r="J6285" t="s">
        <v>18</v>
      </c>
      <c r="K6285" t="s">
        <v>19</v>
      </c>
      <c r="L6285" t="s">
        <v>20</v>
      </c>
      <c r="M6285" t="s">
        <v>20</v>
      </c>
      <c r="N6285" t="s">
        <v>22</v>
      </c>
    </row>
    <row r="6286" spans="1:14">
      <c r="A6286" s="4" t="str">
        <f t="shared" si="583"/>
        <v>EXP00218</v>
      </c>
      <c r="B6286" s="4" t="str">
        <f t="shared" si="580"/>
        <v>25361981</v>
      </c>
      <c r="C6286" s="4" t="str">
        <f t="shared" si="581"/>
        <v>GSE56493</v>
      </c>
      <c r="D6286" s="1" t="s">
        <v>298</v>
      </c>
      <c r="E6286" t="s">
        <v>15</v>
      </c>
      <c r="F6286" s="1">
        <v>1</v>
      </c>
      <c r="G6286" s="1" t="s">
        <v>299</v>
      </c>
      <c r="H6286" s="4" t="str">
        <f>HYPERLINK("https://www.ncbi.nlm.nih.gov/geo/query/acc.cgi?acc=GSM1362559","GSM1362559")</f>
        <v>GSM1362559</v>
      </c>
      <c r="I6286" t="s">
        <v>17</v>
      </c>
      <c r="J6286" t="s">
        <v>18</v>
      </c>
      <c r="K6286" t="s">
        <v>19</v>
      </c>
      <c r="L6286" t="s">
        <v>20</v>
      </c>
      <c r="M6286" t="s">
        <v>20</v>
      </c>
      <c r="N6286" t="s">
        <v>22</v>
      </c>
    </row>
    <row r="6287" spans="1:14">
      <c r="A6287" s="4" t="str">
        <f t="shared" si="583"/>
        <v>EXP00218</v>
      </c>
      <c r="B6287" s="4" t="str">
        <f t="shared" si="580"/>
        <v>25361981</v>
      </c>
      <c r="C6287" s="4" t="str">
        <f t="shared" si="581"/>
        <v>GSE56493</v>
      </c>
      <c r="D6287" s="1" t="s">
        <v>298</v>
      </c>
      <c r="E6287" t="s">
        <v>15</v>
      </c>
      <c r="F6287" s="1">
        <v>1</v>
      </c>
      <c r="G6287" s="1" t="s">
        <v>299</v>
      </c>
      <c r="H6287" s="4" t="str">
        <f>HYPERLINK("https://www.ncbi.nlm.nih.gov/geo/query/acc.cgi?acc=GSM1362564","GSM1362564")</f>
        <v>GSM1362564</v>
      </c>
      <c r="I6287" t="s">
        <v>17</v>
      </c>
      <c r="J6287" t="s">
        <v>18</v>
      </c>
      <c r="K6287" t="s">
        <v>19</v>
      </c>
      <c r="L6287" t="s">
        <v>20</v>
      </c>
      <c r="M6287" t="s">
        <v>20</v>
      </c>
      <c r="N6287" t="s">
        <v>22</v>
      </c>
    </row>
    <row r="6288" spans="1:14">
      <c r="A6288" s="4" t="str">
        <f t="shared" si="583"/>
        <v>EXP00218</v>
      </c>
      <c r="B6288" s="4" t="str">
        <f t="shared" si="580"/>
        <v>25361981</v>
      </c>
      <c r="C6288" s="4" t="str">
        <f t="shared" si="581"/>
        <v>GSE56493</v>
      </c>
      <c r="D6288" s="1" t="s">
        <v>298</v>
      </c>
      <c r="E6288" t="s">
        <v>15</v>
      </c>
      <c r="F6288" s="1">
        <v>1</v>
      </c>
      <c r="G6288" s="1" t="s">
        <v>299</v>
      </c>
      <c r="H6288" s="4" t="str">
        <f>HYPERLINK("https://www.ncbi.nlm.nih.gov/geo/query/acc.cgi?acc=GSM1362576","GSM1362576")</f>
        <v>GSM1362576</v>
      </c>
      <c r="I6288" t="s">
        <v>17</v>
      </c>
      <c r="J6288" t="s">
        <v>18</v>
      </c>
      <c r="K6288" t="s">
        <v>19</v>
      </c>
      <c r="L6288" t="s">
        <v>20</v>
      </c>
      <c r="M6288" t="s">
        <v>20</v>
      </c>
      <c r="N6288" t="s">
        <v>22</v>
      </c>
    </row>
    <row r="6289" spans="1:14">
      <c r="A6289" s="4" t="str">
        <f t="shared" si="583"/>
        <v>EXP00218</v>
      </c>
      <c r="B6289" s="4" t="str">
        <f t="shared" si="580"/>
        <v>25361981</v>
      </c>
      <c r="C6289" s="4" t="str">
        <f t="shared" si="581"/>
        <v>GSE56493</v>
      </c>
      <c r="D6289" s="1" t="s">
        <v>298</v>
      </c>
      <c r="E6289" t="s">
        <v>15</v>
      </c>
      <c r="F6289" s="1">
        <v>1</v>
      </c>
      <c r="G6289" s="1" t="s">
        <v>299</v>
      </c>
      <c r="H6289" s="4" t="str">
        <f>HYPERLINK("https://www.ncbi.nlm.nih.gov/geo/query/acc.cgi?acc=GSM1362578","GSM1362578")</f>
        <v>GSM1362578</v>
      </c>
      <c r="I6289" t="s">
        <v>17</v>
      </c>
      <c r="J6289" t="s">
        <v>18</v>
      </c>
      <c r="K6289" t="s">
        <v>19</v>
      </c>
      <c r="L6289" t="s">
        <v>20</v>
      </c>
      <c r="M6289" t="s">
        <v>20</v>
      </c>
      <c r="N6289" t="s">
        <v>22</v>
      </c>
    </row>
    <row r="6290" spans="1:14">
      <c r="A6290" s="4" t="str">
        <f t="shared" si="583"/>
        <v>EXP00218</v>
      </c>
      <c r="B6290" s="4" t="str">
        <f t="shared" si="580"/>
        <v>25361981</v>
      </c>
      <c r="C6290" s="4" t="str">
        <f t="shared" si="581"/>
        <v>GSE56493</v>
      </c>
      <c r="D6290" s="1" t="s">
        <v>298</v>
      </c>
      <c r="E6290" t="s">
        <v>15</v>
      </c>
      <c r="F6290" s="1">
        <v>1</v>
      </c>
      <c r="G6290" s="1" t="s">
        <v>299</v>
      </c>
      <c r="H6290" s="4" t="str">
        <f>HYPERLINK("https://www.ncbi.nlm.nih.gov/geo/query/acc.cgi?acc=GSM1362593","GSM1362593")</f>
        <v>GSM1362593</v>
      </c>
      <c r="I6290" t="s">
        <v>17</v>
      </c>
      <c r="J6290" t="s">
        <v>18</v>
      </c>
      <c r="K6290" t="s">
        <v>19</v>
      </c>
      <c r="L6290" t="s">
        <v>20</v>
      </c>
      <c r="M6290" t="s">
        <v>20</v>
      </c>
      <c r="N6290" t="s">
        <v>22</v>
      </c>
    </row>
    <row r="6291" spans="1:14">
      <c r="A6291" s="4" t="str">
        <f t="shared" si="583"/>
        <v>EXP00218</v>
      </c>
      <c r="B6291" s="4" t="str">
        <f t="shared" si="580"/>
        <v>25361981</v>
      </c>
      <c r="C6291" s="4" t="str">
        <f t="shared" si="581"/>
        <v>GSE56493</v>
      </c>
      <c r="D6291" s="1" t="s">
        <v>298</v>
      </c>
      <c r="E6291" t="s">
        <v>15</v>
      </c>
      <c r="F6291" s="1">
        <v>1</v>
      </c>
      <c r="G6291" s="1" t="s">
        <v>299</v>
      </c>
      <c r="H6291" s="4" t="str">
        <f>HYPERLINK("https://www.ncbi.nlm.nih.gov/geo/query/acc.cgi?acc=GSM1362597","GSM1362597")</f>
        <v>GSM1362597</v>
      </c>
      <c r="I6291" t="s">
        <v>17</v>
      </c>
      <c r="J6291" t="s">
        <v>18</v>
      </c>
      <c r="K6291" t="s">
        <v>19</v>
      </c>
      <c r="L6291" t="s">
        <v>20</v>
      </c>
      <c r="M6291" t="s">
        <v>20</v>
      </c>
      <c r="N6291" t="s">
        <v>22</v>
      </c>
    </row>
    <row r="6292" spans="1:14">
      <c r="A6292" s="4" t="str">
        <f t="shared" si="583"/>
        <v>EXP00218</v>
      </c>
      <c r="B6292" s="4" t="str">
        <f t="shared" si="580"/>
        <v>25361981</v>
      </c>
      <c r="C6292" s="4" t="str">
        <f t="shared" si="581"/>
        <v>GSE56493</v>
      </c>
      <c r="D6292" s="1" t="s">
        <v>298</v>
      </c>
      <c r="E6292" t="s">
        <v>15</v>
      </c>
      <c r="F6292" s="1">
        <v>1</v>
      </c>
      <c r="G6292" s="1" t="s">
        <v>299</v>
      </c>
      <c r="H6292" s="4" t="str">
        <f>HYPERLINK("https://www.ncbi.nlm.nih.gov/geo/query/acc.cgi?acc=GSM1362598","GSM1362598")</f>
        <v>GSM1362598</v>
      </c>
      <c r="I6292" t="s">
        <v>17</v>
      </c>
      <c r="J6292" t="s">
        <v>18</v>
      </c>
      <c r="K6292" t="s">
        <v>19</v>
      </c>
      <c r="L6292" t="s">
        <v>20</v>
      </c>
      <c r="M6292" t="s">
        <v>20</v>
      </c>
      <c r="N6292" t="s">
        <v>22</v>
      </c>
    </row>
    <row r="6293" spans="1:14">
      <c r="A6293" s="4" t="str">
        <f t="shared" si="583"/>
        <v>EXP00218</v>
      </c>
      <c r="B6293" s="4" t="str">
        <f t="shared" si="580"/>
        <v>25361981</v>
      </c>
      <c r="C6293" s="4" t="str">
        <f t="shared" si="581"/>
        <v>GSE56493</v>
      </c>
      <c r="D6293" s="1" t="s">
        <v>298</v>
      </c>
      <c r="E6293" t="s">
        <v>15</v>
      </c>
      <c r="F6293" s="1">
        <v>1</v>
      </c>
      <c r="G6293" s="1" t="s">
        <v>299</v>
      </c>
      <c r="H6293" s="4" t="str">
        <f>HYPERLINK("https://www.ncbi.nlm.nih.gov/geo/query/acc.cgi?acc=GSM1362603","GSM1362603")</f>
        <v>GSM1362603</v>
      </c>
      <c r="I6293" t="s">
        <v>17</v>
      </c>
      <c r="J6293" t="s">
        <v>18</v>
      </c>
      <c r="K6293" t="s">
        <v>19</v>
      </c>
      <c r="L6293" t="s">
        <v>20</v>
      </c>
      <c r="M6293" t="s">
        <v>20</v>
      </c>
      <c r="N6293" t="s">
        <v>22</v>
      </c>
    </row>
    <row r="6294" spans="1:14">
      <c r="A6294" s="4" t="str">
        <f t="shared" si="583"/>
        <v>EXP00218</v>
      </c>
      <c r="B6294" s="4" t="str">
        <f t="shared" si="580"/>
        <v>25361981</v>
      </c>
      <c r="C6294" s="4" t="str">
        <f t="shared" si="581"/>
        <v>GSE56493</v>
      </c>
      <c r="D6294" s="1" t="s">
        <v>298</v>
      </c>
      <c r="E6294" t="s">
        <v>15</v>
      </c>
      <c r="F6294" s="1">
        <v>1</v>
      </c>
      <c r="G6294" s="1" t="s">
        <v>299</v>
      </c>
      <c r="H6294" s="4" t="str">
        <f>HYPERLINK("https://www.ncbi.nlm.nih.gov/geo/query/acc.cgi?acc=GSM1362604","GSM1362604")</f>
        <v>GSM1362604</v>
      </c>
      <c r="I6294" t="s">
        <v>17</v>
      </c>
      <c r="J6294" t="s">
        <v>18</v>
      </c>
      <c r="K6294" t="s">
        <v>19</v>
      </c>
      <c r="L6294" t="s">
        <v>20</v>
      </c>
      <c r="M6294" t="s">
        <v>20</v>
      </c>
      <c r="N6294" t="s">
        <v>22</v>
      </c>
    </row>
    <row r="6295" spans="1:14">
      <c r="A6295" s="4" t="str">
        <f t="shared" si="583"/>
        <v>EXP00218</v>
      </c>
      <c r="B6295" s="4" t="str">
        <f t="shared" si="580"/>
        <v>25361981</v>
      </c>
      <c r="C6295" s="4" t="str">
        <f t="shared" si="581"/>
        <v>GSE56493</v>
      </c>
      <c r="D6295" s="1" t="s">
        <v>298</v>
      </c>
      <c r="E6295" t="s">
        <v>15</v>
      </c>
      <c r="F6295" s="1">
        <v>1</v>
      </c>
      <c r="G6295" s="1" t="s">
        <v>299</v>
      </c>
      <c r="H6295" s="4" t="str">
        <f>HYPERLINK("https://www.ncbi.nlm.nih.gov/geo/query/acc.cgi?acc=GSM1362607","GSM1362607")</f>
        <v>GSM1362607</v>
      </c>
      <c r="I6295" t="s">
        <v>17</v>
      </c>
      <c r="J6295" t="s">
        <v>18</v>
      </c>
      <c r="K6295" t="s">
        <v>19</v>
      </c>
      <c r="L6295" t="s">
        <v>20</v>
      </c>
      <c r="M6295" t="s">
        <v>20</v>
      </c>
      <c r="N6295" t="s">
        <v>22</v>
      </c>
    </row>
    <row r="6296" spans="1:14">
      <c r="A6296" s="4" t="str">
        <f t="shared" si="583"/>
        <v>EXP00218</v>
      </c>
      <c r="B6296" s="4" t="str">
        <f t="shared" si="580"/>
        <v>25361981</v>
      </c>
      <c r="C6296" s="4" t="str">
        <f t="shared" si="581"/>
        <v>GSE56493</v>
      </c>
      <c r="D6296" s="1" t="s">
        <v>298</v>
      </c>
      <c r="E6296" t="s">
        <v>15</v>
      </c>
      <c r="F6296" s="1">
        <v>1</v>
      </c>
      <c r="G6296" s="1" t="s">
        <v>299</v>
      </c>
      <c r="H6296" s="4" t="str">
        <f>HYPERLINK("https://www.ncbi.nlm.nih.gov/geo/query/acc.cgi?acc=GSM1362612","GSM1362612")</f>
        <v>GSM1362612</v>
      </c>
      <c r="I6296" t="s">
        <v>17</v>
      </c>
      <c r="J6296" t="s">
        <v>18</v>
      </c>
      <c r="K6296" t="s">
        <v>19</v>
      </c>
      <c r="L6296" t="s">
        <v>20</v>
      </c>
      <c r="M6296" t="s">
        <v>20</v>
      </c>
      <c r="N6296" t="s">
        <v>22</v>
      </c>
    </row>
    <row r="6297" spans="1:14">
      <c r="A6297" s="4" t="str">
        <f t="shared" si="583"/>
        <v>EXP00218</v>
      </c>
      <c r="B6297" s="4" t="str">
        <f t="shared" ref="B6297:B6360" si="584">HYPERLINK("https://www.ncbi.nlm.nih.gov/pubmed/25361981","25361981")</f>
        <v>25361981</v>
      </c>
      <c r="C6297" s="4" t="str">
        <f t="shared" ref="C6297:C6360" si="585">HYPERLINK("https://www.ncbi.nlm.nih.gov/geo/query/acc.cgi?acc=GSE56493","GSE56493")</f>
        <v>GSE56493</v>
      </c>
      <c r="D6297" s="1" t="s">
        <v>298</v>
      </c>
      <c r="E6297" t="s">
        <v>15</v>
      </c>
      <c r="F6297" s="1">
        <v>1</v>
      </c>
      <c r="G6297" s="1" t="s">
        <v>299</v>
      </c>
      <c r="H6297" s="4" t="str">
        <f>HYPERLINK("https://www.ncbi.nlm.nih.gov/geo/query/acc.cgi?acc=GSM1362621","GSM1362621")</f>
        <v>GSM1362621</v>
      </c>
      <c r="I6297" t="s">
        <v>17</v>
      </c>
      <c r="J6297" t="s">
        <v>18</v>
      </c>
      <c r="K6297" t="s">
        <v>19</v>
      </c>
      <c r="L6297" t="s">
        <v>20</v>
      </c>
      <c r="M6297" t="s">
        <v>20</v>
      </c>
      <c r="N6297" t="s">
        <v>22</v>
      </c>
    </row>
    <row r="6298" spans="1:14">
      <c r="A6298" s="4" t="str">
        <f t="shared" si="583"/>
        <v>EXP00218</v>
      </c>
      <c r="B6298" s="4" t="str">
        <f t="shared" si="584"/>
        <v>25361981</v>
      </c>
      <c r="C6298" s="4" t="str">
        <f t="shared" si="585"/>
        <v>GSE56493</v>
      </c>
      <c r="D6298" s="1" t="s">
        <v>298</v>
      </c>
      <c r="E6298" t="s">
        <v>15</v>
      </c>
      <c r="F6298" s="1">
        <v>1</v>
      </c>
      <c r="G6298" s="1" t="s">
        <v>299</v>
      </c>
      <c r="H6298" s="4" t="str">
        <f>HYPERLINK("https://www.ncbi.nlm.nih.gov/geo/query/acc.cgi?acc=GSM1362626","GSM1362626")</f>
        <v>GSM1362626</v>
      </c>
      <c r="I6298" t="s">
        <v>17</v>
      </c>
      <c r="J6298" t="s">
        <v>18</v>
      </c>
      <c r="K6298" t="s">
        <v>19</v>
      </c>
      <c r="L6298" t="s">
        <v>20</v>
      </c>
      <c r="M6298" t="s">
        <v>20</v>
      </c>
      <c r="N6298" t="s">
        <v>22</v>
      </c>
    </row>
    <row r="6299" spans="1:14">
      <c r="A6299" s="4" t="str">
        <f t="shared" si="583"/>
        <v>EXP00218</v>
      </c>
      <c r="B6299" s="4" t="str">
        <f t="shared" si="584"/>
        <v>25361981</v>
      </c>
      <c r="C6299" s="4" t="str">
        <f t="shared" si="585"/>
        <v>GSE56493</v>
      </c>
      <c r="D6299" s="1" t="s">
        <v>298</v>
      </c>
      <c r="E6299" t="s">
        <v>15</v>
      </c>
      <c r="F6299" s="1">
        <v>1</v>
      </c>
      <c r="G6299" s="1" t="s">
        <v>299</v>
      </c>
      <c r="H6299" s="4" t="str">
        <f>HYPERLINK("https://www.ncbi.nlm.nih.gov/geo/query/acc.cgi?acc=GSM1362629","GSM1362629")</f>
        <v>GSM1362629</v>
      </c>
      <c r="I6299" t="s">
        <v>17</v>
      </c>
      <c r="J6299" t="s">
        <v>18</v>
      </c>
      <c r="K6299" t="s">
        <v>19</v>
      </c>
      <c r="L6299" t="s">
        <v>20</v>
      </c>
      <c r="M6299" t="s">
        <v>20</v>
      </c>
      <c r="N6299" t="s">
        <v>22</v>
      </c>
    </row>
    <row r="6300" spans="1:14">
      <c r="A6300" s="4" t="str">
        <f t="shared" si="583"/>
        <v>EXP00218</v>
      </c>
      <c r="B6300" s="4" t="str">
        <f t="shared" si="584"/>
        <v>25361981</v>
      </c>
      <c r="C6300" s="4" t="str">
        <f t="shared" si="585"/>
        <v>GSE56493</v>
      </c>
      <c r="D6300" s="1" t="s">
        <v>298</v>
      </c>
      <c r="E6300" t="s">
        <v>15</v>
      </c>
      <c r="F6300" s="1">
        <v>1</v>
      </c>
      <c r="G6300" s="1" t="s">
        <v>299</v>
      </c>
      <c r="H6300" s="4" t="str">
        <f>HYPERLINK("https://www.ncbi.nlm.nih.gov/geo/query/acc.cgi?acc=GSM1362632","GSM1362632")</f>
        <v>GSM1362632</v>
      </c>
      <c r="I6300" t="s">
        <v>17</v>
      </c>
      <c r="J6300" t="s">
        <v>18</v>
      </c>
      <c r="K6300" t="s">
        <v>19</v>
      </c>
      <c r="L6300" t="s">
        <v>20</v>
      </c>
      <c r="M6300" t="s">
        <v>20</v>
      </c>
      <c r="N6300" t="s">
        <v>22</v>
      </c>
    </row>
    <row r="6301" spans="1:14">
      <c r="A6301" s="4" t="str">
        <f t="shared" si="583"/>
        <v>EXP00218</v>
      </c>
      <c r="B6301" s="4" t="str">
        <f t="shared" si="584"/>
        <v>25361981</v>
      </c>
      <c r="C6301" s="4" t="str">
        <f t="shared" si="585"/>
        <v>GSE56493</v>
      </c>
      <c r="D6301" s="1" t="s">
        <v>298</v>
      </c>
      <c r="E6301" t="s">
        <v>15</v>
      </c>
      <c r="F6301" s="1">
        <v>2</v>
      </c>
      <c r="G6301" s="1" t="s">
        <v>224</v>
      </c>
      <c r="H6301" s="4" t="str">
        <f>HYPERLINK("https://www.ncbi.nlm.nih.gov/geo/query/acc.cgi?acc=GSM1362519","GSM1362519")</f>
        <v>GSM1362519</v>
      </c>
      <c r="I6301" t="s">
        <v>17</v>
      </c>
      <c r="J6301" t="s">
        <v>18</v>
      </c>
      <c r="K6301" t="s">
        <v>19</v>
      </c>
      <c r="L6301" t="s">
        <v>20</v>
      </c>
      <c r="M6301" t="s">
        <v>27</v>
      </c>
      <c r="N6301" t="s">
        <v>22</v>
      </c>
    </row>
    <row r="6302" spans="1:14">
      <c r="A6302" s="4" t="str">
        <f t="shared" si="583"/>
        <v>EXP00218</v>
      </c>
      <c r="B6302" s="4" t="str">
        <f t="shared" si="584"/>
        <v>25361981</v>
      </c>
      <c r="C6302" s="4" t="str">
        <f t="shared" si="585"/>
        <v>GSE56493</v>
      </c>
      <c r="D6302" s="1" t="s">
        <v>298</v>
      </c>
      <c r="E6302" t="s">
        <v>15</v>
      </c>
      <c r="F6302" s="1">
        <v>2</v>
      </c>
      <c r="G6302" s="1" t="s">
        <v>224</v>
      </c>
      <c r="H6302" s="4" t="str">
        <f>HYPERLINK("https://www.ncbi.nlm.nih.gov/geo/query/acc.cgi?acc=GSM1362521","GSM1362521")</f>
        <v>GSM1362521</v>
      </c>
      <c r="I6302" t="s">
        <v>17</v>
      </c>
      <c r="J6302" t="s">
        <v>18</v>
      </c>
      <c r="K6302" t="s">
        <v>19</v>
      </c>
      <c r="L6302" t="s">
        <v>20</v>
      </c>
      <c r="M6302" t="s">
        <v>27</v>
      </c>
      <c r="N6302" t="s">
        <v>22</v>
      </c>
    </row>
    <row r="6303" spans="1:14">
      <c r="A6303" s="4" t="str">
        <f t="shared" si="583"/>
        <v>EXP00218</v>
      </c>
      <c r="B6303" s="4" t="str">
        <f t="shared" si="584"/>
        <v>25361981</v>
      </c>
      <c r="C6303" s="4" t="str">
        <f t="shared" si="585"/>
        <v>GSE56493</v>
      </c>
      <c r="D6303" s="1" t="s">
        <v>298</v>
      </c>
      <c r="E6303" t="s">
        <v>15</v>
      </c>
      <c r="F6303" s="1">
        <v>2</v>
      </c>
      <c r="G6303" s="1" t="s">
        <v>224</v>
      </c>
      <c r="H6303" s="4" t="str">
        <f>HYPERLINK("https://www.ncbi.nlm.nih.gov/geo/query/acc.cgi?acc=GSM1362524","GSM1362524")</f>
        <v>GSM1362524</v>
      </c>
      <c r="I6303" t="s">
        <v>17</v>
      </c>
      <c r="J6303" t="s">
        <v>18</v>
      </c>
      <c r="K6303" t="s">
        <v>19</v>
      </c>
      <c r="L6303" t="s">
        <v>20</v>
      </c>
      <c r="M6303" t="s">
        <v>27</v>
      </c>
      <c r="N6303" t="s">
        <v>22</v>
      </c>
    </row>
    <row r="6304" spans="1:14">
      <c r="A6304" s="4" t="str">
        <f t="shared" si="583"/>
        <v>EXP00218</v>
      </c>
      <c r="B6304" s="4" t="str">
        <f t="shared" si="584"/>
        <v>25361981</v>
      </c>
      <c r="C6304" s="4" t="str">
        <f t="shared" si="585"/>
        <v>GSE56493</v>
      </c>
      <c r="D6304" s="1" t="s">
        <v>298</v>
      </c>
      <c r="E6304" t="s">
        <v>15</v>
      </c>
      <c r="F6304" s="1">
        <v>2</v>
      </c>
      <c r="G6304" s="1" t="s">
        <v>224</v>
      </c>
      <c r="H6304" s="4" t="str">
        <f>HYPERLINK("https://www.ncbi.nlm.nih.gov/geo/query/acc.cgi?acc=GSM1362542","GSM1362542")</f>
        <v>GSM1362542</v>
      </c>
      <c r="I6304" t="s">
        <v>17</v>
      </c>
      <c r="J6304" t="s">
        <v>18</v>
      </c>
      <c r="K6304" t="s">
        <v>19</v>
      </c>
      <c r="L6304" t="s">
        <v>20</v>
      </c>
      <c r="M6304" t="s">
        <v>27</v>
      </c>
      <c r="N6304" t="s">
        <v>22</v>
      </c>
    </row>
    <row r="6305" spans="1:14">
      <c r="A6305" s="4" t="str">
        <f t="shared" si="583"/>
        <v>EXP00218</v>
      </c>
      <c r="B6305" s="4" t="str">
        <f t="shared" si="584"/>
        <v>25361981</v>
      </c>
      <c r="C6305" s="4" t="str">
        <f t="shared" si="585"/>
        <v>GSE56493</v>
      </c>
      <c r="D6305" s="1" t="s">
        <v>298</v>
      </c>
      <c r="E6305" t="s">
        <v>15</v>
      </c>
      <c r="F6305" s="1">
        <v>2</v>
      </c>
      <c r="G6305" s="1" t="s">
        <v>224</v>
      </c>
      <c r="H6305" s="4" t="str">
        <f>HYPERLINK("https://www.ncbi.nlm.nih.gov/geo/query/acc.cgi?acc=GSM1362563","GSM1362563")</f>
        <v>GSM1362563</v>
      </c>
      <c r="I6305" t="s">
        <v>17</v>
      </c>
      <c r="J6305" t="s">
        <v>18</v>
      </c>
      <c r="K6305" t="s">
        <v>19</v>
      </c>
      <c r="L6305" t="s">
        <v>20</v>
      </c>
      <c r="M6305" t="s">
        <v>27</v>
      </c>
      <c r="N6305" t="s">
        <v>22</v>
      </c>
    </row>
    <row r="6306" spans="1:14">
      <c r="A6306" s="4" t="str">
        <f t="shared" si="583"/>
        <v>EXP00218</v>
      </c>
      <c r="B6306" s="4" t="str">
        <f t="shared" si="584"/>
        <v>25361981</v>
      </c>
      <c r="C6306" s="4" t="str">
        <f t="shared" si="585"/>
        <v>GSE56493</v>
      </c>
      <c r="D6306" s="1" t="s">
        <v>298</v>
      </c>
      <c r="E6306" t="s">
        <v>15</v>
      </c>
      <c r="F6306" s="1">
        <v>2</v>
      </c>
      <c r="G6306" s="1" t="s">
        <v>224</v>
      </c>
      <c r="H6306" s="4" t="str">
        <f>HYPERLINK("https://www.ncbi.nlm.nih.gov/geo/query/acc.cgi?acc=GSM1362565","GSM1362565")</f>
        <v>GSM1362565</v>
      </c>
      <c r="I6306" t="s">
        <v>17</v>
      </c>
      <c r="J6306" t="s">
        <v>18</v>
      </c>
      <c r="K6306" t="s">
        <v>19</v>
      </c>
      <c r="L6306" t="s">
        <v>20</v>
      </c>
      <c r="M6306" t="s">
        <v>27</v>
      </c>
      <c r="N6306" t="s">
        <v>22</v>
      </c>
    </row>
    <row r="6307" spans="1:14">
      <c r="A6307" s="4" t="str">
        <f t="shared" si="583"/>
        <v>EXP00218</v>
      </c>
      <c r="B6307" s="4" t="str">
        <f t="shared" si="584"/>
        <v>25361981</v>
      </c>
      <c r="C6307" s="4" t="str">
        <f t="shared" si="585"/>
        <v>GSE56493</v>
      </c>
      <c r="D6307" s="1" t="s">
        <v>298</v>
      </c>
      <c r="E6307" t="s">
        <v>15</v>
      </c>
      <c r="F6307" s="1">
        <v>2</v>
      </c>
      <c r="G6307" s="1" t="s">
        <v>224</v>
      </c>
      <c r="H6307" s="4" t="str">
        <f>HYPERLINK("https://www.ncbi.nlm.nih.gov/geo/query/acc.cgi?acc=GSM1362566","GSM1362566")</f>
        <v>GSM1362566</v>
      </c>
      <c r="I6307" t="s">
        <v>17</v>
      </c>
      <c r="J6307" t="s">
        <v>18</v>
      </c>
      <c r="K6307" t="s">
        <v>19</v>
      </c>
      <c r="L6307" t="s">
        <v>20</v>
      </c>
      <c r="M6307" t="s">
        <v>27</v>
      </c>
      <c r="N6307" t="s">
        <v>22</v>
      </c>
    </row>
    <row r="6308" spans="1:14">
      <c r="A6308" s="4" t="str">
        <f t="shared" si="583"/>
        <v>EXP00218</v>
      </c>
      <c r="B6308" s="4" t="str">
        <f t="shared" si="584"/>
        <v>25361981</v>
      </c>
      <c r="C6308" s="4" t="str">
        <f t="shared" si="585"/>
        <v>GSE56493</v>
      </c>
      <c r="D6308" s="1" t="s">
        <v>298</v>
      </c>
      <c r="E6308" t="s">
        <v>15</v>
      </c>
      <c r="F6308" s="1">
        <v>2</v>
      </c>
      <c r="G6308" s="1" t="s">
        <v>224</v>
      </c>
      <c r="H6308" s="4" t="str">
        <f>HYPERLINK("https://www.ncbi.nlm.nih.gov/geo/query/acc.cgi?acc=GSM1362569","GSM1362569")</f>
        <v>GSM1362569</v>
      </c>
      <c r="I6308" t="s">
        <v>17</v>
      </c>
      <c r="J6308" t="s">
        <v>18</v>
      </c>
      <c r="K6308" t="s">
        <v>19</v>
      </c>
      <c r="L6308" t="s">
        <v>20</v>
      </c>
      <c r="M6308" t="s">
        <v>27</v>
      </c>
      <c r="N6308" t="s">
        <v>22</v>
      </c>
    </row>
    <row r="6309" spans="1:14">
      <c r="A6309" s="4" t="str">
        <f t="shared" si="583"/>
        <v>EXP00218</v>
      </c>
      <c r="B6309" s="4" t="str">
        <f t="shared" si="584"/>
        <v>25361981</v>
      </c>
      <c r="C6309" s="4" t="str">
        <f t="shared" si="585"/>
        <v>GSE56493</v>
      </c>
      <c r="D6309" s="1" t="s">
        <v>298</v>
      </c>
      <c r="E6309" t="s">
        <v>15</v>
      </c>
      <c r="F6309" s="1">
        <v>2</v>
      </c>
      <c r="G6309" s="1" t="s">
        <v>224</v>
      </c>
      <c r="H6309" s="4" t="str">
        <f>HYPERLINK("https://www.ncbi.nlm.nih.gov/geo/query/acc.cgi?acc=GSM1362570","GSM1362570")</f>
        <v>GSM1362570</v>
      </c>
      <c r="I6309" t="s">
        <v>17</v>
      </c>
      <c r="J6309" t="s">
        <v>18</v>
      </c>
      <c r="K6309" t="s">
        <v>19</v>
      </c>
      <c r="L6309" t="s">
        <v>20</v>
      </c>
      <c r="M6309" t="s">
        <v>27</v>
      </c>
      <c r="N6309" t="s">
        <v>22</v>
      </c>
    </row>
    <row r="6310" spans="1:14">
      <c r="A6310" s="4" t="str">
        <f t="shared" si="583"/>
        <v>EXP00218</v>
      </c>
      <c r="B6310" s="4" t="str">
        <f t="shared" si="584"/>
        <v>25361981</v>
      </c>
      <c r="C6310" s="4" t="str">
        <f t="shared" si="585"/>
        <v>GSE56493</v>
      </c>
      <c r="D6310" s="1" t="s">
        <v>298</v>
      </c>
      <c r="E6310" t="s">
        <v>15</v>
      </c>
      <c r="F6310" s="1">
        <v>2</v>
      </c>
      <c r="G6310" s="1" t="s">
        <v>224</v>
      </c>
      <c r="H6310" s="4" t="str">
        <f>HYPERLINK("https://www.ncbi.nlm.nih.gov/geo/query/acc.cgi?acc=GSM1362573","GSM1362573")</f>
        <v>GSM1362573</v>
      </c>
      <c r="I6310" t="s">
        <v>17</v>
      </c>
      <c r="J6310" t="s">
        <v>18</v>
      </c>
      <c r="K6310" t="s">
        <v>19</v>
      </c>
      <c r="L6310" t="s">
        <v>20</v>
      </c>
      <c r="M6310" t="s">
        <v>27</v>
      </c>
      <c r="N6310" t="s">
        <v>22</v>
      </c>
    </row>
    <row r="6311" spans="1:14">
      <c r="A6311" s="4" t="str">
        <f t="shared" si="583"/>
        <v>EXP00218</v>
      </c>
      <c r="B6311" s="4" t="str">
        <f t="shared" si="584"/>
        <v>25361981</v>
      </c>
      <c r="C6311" s="4" t="str">
        <f t="shared" si="585"/>
        <v>GSE56493</v>
      </c>
      <c r="D6311" s="1" t="s">
        <v>298</v>
      </c>
      <c r="E6311" t="s">
        <v>15</v>
      </c>
      <c r="F6311" s="1">
        <v>2</v>
      </c>
      <c r="G6311" s="1" t="s">
        <v>224</v>
      </c>
      <c r="H6311" s="4" t="str">
        <f>HYPERLINK("https://www.ncbi.nlm.nih.gov/geo/query/acc.cgi?acc=GSM1362577","GSM1362577")</f>
        <v>GSM1362577</v>
      </c>
      <c r="I6311" t="s">
        <v>17</v>
      </c>
      <c r="J6311" t="s">
        <v>18</v>
      </c>
      <c r="K6311" t="s">
        <v>19</v>
      </c>
      <c r="L6311" t="s">
        <v>20</v>
      </c>
      <c r="M6311" t="s">
        <v>27</v>
      </c>
      <c r="N6311" t="s">
        <v>22</v>
      </c>
    </row>
    <row r="6312" spans="1:14">
      <c r="A6312" s="4" t="str">
        <f t="shared" si="583"/>
        <v>EXP00218</v>
      </c>
      <c r="B6312" s="4" t="str">
        <f t="shared" si="584"/>
        <v>25361981</v>
      </c>
      <c r="C6312" s="4" t="str">
        <f t="shared" si="585"/>
        <v>GSE56493</v>
      </c>
      <c r="D6312" s="1" t="s">
        <v>298</v>
      </c>
      <c r="E6312" t="s">
        <v>15</v>
      </c>
      <c r="F6312" s="1">
        <v>2</v>
      </c>
      <c r="G6312" s="1" t="s">
        <v>224</v>
      </c>
      <c r="H6312" s="4" t="str">
        <f>HYPERLINK("https://www.ncbi.nlm.nih.gov/geo/query/acc.cgi?acc=GSM1362583","GSM1362583")</f>
        <v>GSM1362583</v>
      </c>
      <c r="I6312" t="s">
        <v>17</v>
      </c>
      <c r="J6312" t="s">
        <v>18</v>
      </c>
      <c r="K6312" t="s">
        <v>19</v>
      </c>
      <c r="L6312" t="s">
        <v>20</v>
      </c>
      <c r="M6312" t="s">
        <v>27</v>
      </c>
      <c r="N6312" t="s">
        <v>22</v>
      </c>
    </row>
    <row r="6313" spans="1:14">
      <c r="A6313" s="4" t="str">
        <f t="shared" si="583"/>
        <v>EXP00218</v>
      </c>
      <c r="B6313" s="4" t="str">
        <f t="shared" si="584"/>
        <v>25361981</v>
      </c>
      <c r="C6313" s="4" t="str">
        <f t="shared" si="585"/>
        <v>GSE56493</v>
      </c>
      <c r="D6313" s="1" t="s">
        <v>298</v>
      </c>
      <c r="E6313" t="s">
        <v>15</v>
      </c>
      <c r="F6313" s="1">
        <v>2</v>
      </c>
      <c r="G6313" s="1" t="s">
        <v>224</v>
      </c>
      <c r="H6313" s="4" t="str">
        <f>HYPERLINK("https://www.ncbi.nlm.nih.gov/geo/query/acc.cgi?acc=GSM1362585","GSM1362585")</f>
        <v>GSM1362585</v>
      </c>
      <c r="I6313" t="s">
        <v>17</v>
      </c>
      <c r="J6313" t="s">
        <v>18</v>
      </c>
      <c r="K6313" t="s">
        <v>19</v>
      </c>
      <c r="L6313" t="s">
        <v>20</v>
      </c>
      <c r="M6313" t="s">
        <v>27</v>
      </c>
      <c r="N6313" t="s">
        <v>22</v>
      </c>
    </row>
    <row r="6314" spans="1:14">
      <c r="A6314" s="4" t="str">
        <f t="shared" si="583"/>
        <v>EXP00218</v>
      </c>
      <c r="B6314" s="4" t="str">
        <f t="shared" si="584"/>
        <v>25361981</v>
      </c>
      <c r="C6314" s="4" t="str">
        <f t="shared" si="585"/>
        <v>GSE56493</v>
      </c>
      <c r="D6314" s="1" t="s">
        <v>298</v>
      </c>
      <c r="E6314" t="s">
        <v>15</v>
      </c>
      <c r="F6314" s="1">
        <v>2</v>
      </c>
      <c r="G6314" s="1" t="s">
        <v>224</v>
      </c>
      <c r="H6314" s="4" t="str">
        <f>HYPERLINK("https://www.ncbi.nlm.nih.gov/geo/query/acc.cgi?acc=GSM1362590","GSM1362590")</f>
        <v>GSM1362590</v>
      </c>
      <c r="I6314" t="s">
        <v>17</v>
      </c>
      <c r="J6314" t="s">
        <v>18</v>
      </c>
      <c r="K6314" t="s">
        <v>19</v>
      </c>
      <c r="L6314" t="s">
        <v>20</v>
      </c>
      <c r="M6314" t="s">
        <v>27</v>
      </c>
      <c r="N6314" t="s">
        <v>22</v>
      </c>
    </row>
    <row r="6315" spans="1:14">
      <c r="A6315" s="4" t="str">
        <f t="shared" si="583"/>
        <v>EXP00218</v>
      </c>
      <c r="B6315" s="4" t="str">
        <f t="shared" si="584"/>
        <v>25361981</v>
      </c>
      <c r="C6315" s="4" t="str">
        <f t="shared" si="585"/>
        <v>GSE56493</v>
      </c>
      <c r="D6315" s="1" t="s">
        <v>298</v>
      </c>
      <c r="E6315" t="s">
        <v>15</v>
      </c>
      <c r="F6315" s="1">
        <v>2</v>
      </c>
      <c r="G6315" s="1" t="s">
        <v>224</v>
      </c>
      <c r="H6315" s="4" t="str">
        <f>HYPERLINK("https://www.ncbi.nlm.nih.gov/geo/query/acc.cgi?acc=GSM1362591","GSM1362591")</f>
        <v>GSM1362591</v>
      </c>
      <c r="I6315" t="s">
        <v>17</v>
      </c>
      <c r="J6315" t="s">
        <v>18</v>
      </c>
      <c r="K6315" t="s">
        <v>19</v>
      </c>
      <c r="L6315" t="s">
        <v>20</v>
      </c>
      <c r="M6315" t="s">
        <v>27</v>
      </c>
      <c r="N6315" t="s">
        <v>22</v>
      </c>
    </row>
    <row r="6316" spans="1:14">
      <c r="A6316" s="4" t="str">
        <f t="shared" si="583"/>
        <v>EXP00218</v>
      </c>
      <c r="B6316" s="4" t="str">
        <f t="shared" si="584"/>
        <v>25361981</v>
      </c>
      <c r="C6316" s="4" t="str">
        <f t="shared" si="585"/>
        <v>GSE56493</v>
      </c>
      <c r="D6316" s="1" t="s">
        <v>298</v>
      </c>
      <c r="E6316" t="s">
        <v>15</v>
      </c>
      <c r="F6316" s="1">
        <v>2</v>
      </c>
      <c r="G6316" s="1" t="s">
        <v>224</v>
      </c>
      <c r="H6316" s="4" t="str">
        <f>HYPERLINK("https://www.ncbi.nlm.nih.gov/geo/query/acc.cgi?acc=GSM1362606","GSM1362606")</f>
        <v>GSM1362606</v>
      </c>
      <c r="I6316" t="s">
        <v>17</v>
      </c>
      <c r="J6316" t="s">
        <v>18</v>
      </c>
      <c r="K6316" t="s">
        <v>19</v>
      </c>
      <c r="L6316" t="s">
        <v>20</v>
      </c>
      <c r="M6316" t="s">
        <v>27</v>
      </c>
      <c r="N6316" t="s">
        <v>22</v>
      </c>
    </row>
    <row r="6317" spans="1:14">
      <c r="A6317" s="4" t="str">
        <f t="shared" si="583"/>
        <v>EXP00218</v>
      </c>
      <c r="B6317" s="4" t="str">
        <f t="shared" si="584"/>
        <v>25361981</v>
      </c>
      <c r="C6317" s="4" t="str">
        <f t="shared" si="585"/>
        <v>GSE56493</v>
      </c>
      <c r="D6317" s="1" t="s">
        <v>298</v>
      </c>
      <c r="E6317" t="s">
        <v>15</v>
      </c>
      <c r="F6317" s="1">
        <v>2</v>
      </c>
      <c r="G6317" s="1" t="s">
        <v>224</v>
      </c>
      <c r="H6317" s="4" t="str">
        <f>HYPERLINK("https://www.ncbi.nlm.nih.gov/geo/query/acc.cgi?acc=GSM1362611","GSM1362611")</f>
        <v>GSM1362611</v>
      </c>
      <c r="I6317" t="s">
        <v>17</v>
      </c>
      <c r="J6317" t="s">
        <v>18</v>
      </c>
      <c r="K6317" t="s">
        <v>19</v>
      </c>
      <c r="L6317" t="s">
        <v>20</v>
      </c>
      <c r="M6317" t="s">
        <v>27</v>
      </c>
      <c r="N6317" t="s">
        <v>22</v>
      </c>
    </row>
    <row r="6318" spans="1:14">
      <c r="A6318" s="4" t="str">
        <f t="shared" si="583"/>
        <v>EXP00218</v>
      </c>
      <c r="B6318" s="4" t="str">
        <f t="shared" si="584"/>
        <v>25361981</v>
      </c>
      <c r="C6318" s="4" t="str">
        <f t="shared" si="585"/>
        <v>GSE56493</v>
      </c>
      <c r="D6318" s="1" t="s">
        <v>298</v>
      </c>
      <c r="E6318" t="s">
        <v>15</v>
      </c>
      <c r="F6318" s="1">
        <v>2</v>
      </c>
      <c r="G6318" s="1" t="s">
        <v>224</v>
      </c>
      <c r="H6318" s="4" t="str">
        <f>HYPERLINK("https://www.ncbi.nlm.nih.gov/geo/query/acc.cgi?acc=GSM1362614","GSM1362614")</f>
        <v>GSM1362614</v>
      </c>
      <c r="I6318" t="s">
        <v>17</v>
      </c>
      <c r="J6318" t="s">
        <v>18</v>
      </c>
      <c r="K6318" t="s">
        <v>19</v>
      </c>
      <c r="L6318" t="s">
        <v>20</v>
      </c>
      <c r="M6318" t="s">
        <v>27</v>
      </c>
      <c r="N6318" t="s">
        <v>22</v>
      </c>
    </row>
    <row r="6319" spans="1:14">
      <c r="A6319" s="4" t="str">
        <f t="shared" si="583"/>
        <v>EXP00218</v>
      </c>
      <c r="B6319" s="4" t="str">
        <f t="shared" si="584"/>
        <v>25361981</v>
      </c>
      <c r="C6319" s="4" t="str">
        <f t="shared" si="585"/>
        <v>GSE56493</v>
      </c>
      <c r="D6319" s="1" t="s">
        <v>298</v>
      </c>
      <c r="E6319" t="s">
        <v>15</v>
      </c>
      <c r="F6319" s="1">
        <v>2</v>
      </c>
      <c r="G6319" s="1" t="s">
        <v>224</v>
      </c>
      <c r="H6319" s="4" t="str">
        <f>HYPERLINK("https://www.ncbi.nlm.nih.gov/geo/query/acc.cgi?acc=GSM1362618","GSM1362618")</f>
        <v>GSM1362618</v>
      </c>
      <c r="I6319" t="s">
        <v>17</v>
      </c>
      <c r="J6319" t="s">
        <v>18</v>
      </c>
      <c r="K6319" t="s">
        <v>19</v>
      </c>
      <c r="L6319" t="s">
        <v>20</v>
      </c>
      <c r="M6319" t="s">
        <v>27</v>
      </c>
      <c r="N6319" t="s">
        <v>22</v>
      </c>
    </row>
    <row r="6320" spans="1:14">
      <c r="A6320" s="4" t="str">
        <f t="shared" si="583"/>
        <v>EXP00218</v>
      </c>
      <c r="B6320" s="4" t="str">
        <f t="shared" si="584"/>
        <v>25361981</v>
      </c>
      <c r="C6320" s="4" t="str">
        <f t="shared" si="585"/>
        <v>GSE56493</v>
      </c>
      <c r="D6320" s="1" t="s">
        <v>298</v>
      </c>
      <c r="E6320" t="s">
        <v>15</v>
      </c>
      <c r="F6320" s="1">
        <v>2</v>
      </c>
      <c r="G6320" s="1" t="s">
        <v>224</v>
      </c>
      <c r="H6320" s="4" t="str">
        <f>HYPERLINK("https://www.ncbi.nlm.nih.gov/geo/query/acc.cgi?acc=GSM1362627","GSM1362627")</f>
        <v>GSM1362627</v>
      </c>
      <c r="I6320" t="s">
        <v>17</v>
      </c>
      <c r="J6320" t="s">
        <v>18</v>
      </c>
      <c r="K6320" t="s">
        <v>19</v>
      </c>
      <c r="L6320" t="s">
        <v>20</v>
      </c>
      <c r="M6320" t="s">
        <v>27</v>
      </c>
      <c r="N6320" t="s">
        <v>22</v>
      </c>
    </row>
    <row r="6321" spans="1:14">
      <c r="A6321" s="4" t="str">
        <f t="shared" si="583"/>
        <v>EXP00218</v>
      </c>
      <c r="B6321" s="4" t="str">
        <f t="shared" si="584"/>
        <v>25361981</v>
      </c>
      <c r="C6321" s="4" t="str">
        <f t="shared" si="585"/>
        <v>GSE56493</v>
      </c>
      <c r="D6321" s="1" t="s">
        <v>298</v>
      </c>
      <c r="E6321" t="s">
        <v>15</v>
      </c>
      <c r="F6321" s="1">
        <v>2</v>
      </c>
      <c r="G6321" s="1" t="s">
        <v>224</v>
      </c>
      <c r="H6321" s="4" t="str">
        <f>HYPERLINK("https://www.ncbi.nlm.nih.gov/geo/query/acc.cgi?acc=GSM1362628","GSM1362628")</f>
        <v>GSM1362628</v>
      </c>
      <c r="I6321" t="s">
        <v>17</v>
      </c>
      <c r="J6321" t="s">
        <v>18</v>
      </c>
      <c r="K6321" t="s">
        <v>19</v>
      </c>
      <c r="L6321" t="s">
        <v>20</v>
      </c>
      <c r="M6321" t="s">
        <v>27</v>
      </c>
      <c r="N6321" t="s">
        <v>22</v>
      </c>
    </row>
    <row r="6322" spans="1:14">
      <c r="A6322" s="4" t="str">
        <f t="shared" si="583"/>
        <v>EXP00218</v>
      </c>
      <c r="B6322" s="4" t="str">
        <f t="shared" si="584"/>
        <v>25361981</v>
      </c>
      <c r="C6322" s="4" t="str">
        <f t="shared" si="585"/>
        <v>GSE56493</v>
      </c>
      <c r="D6322" s="1" t="s">
        <v>298</v>
      </c>
      <c r="E6322" t="s">
        <v>15</v>
      </c>
      <c r="F6322" s="1">
        <v>2</v>
      </c>
      <c r="G6322" s="1" t="s">
        <v>224</v>
      </c>
      <c r="H6322" s="4" t="str">
        <f>HYPERLINK("https://www.ncbi.nlm.nih.gov/geo/query/acc.cgi?acc=GSM1362634","GSM1362634")</f>
        <v>GSM1362634</v>
      </c>
      <c r="I6322" t="s">
        <v>17</v>
      </c>
      <c r="J6322" t="s">
        <v>18</v>
      </c>
      <c r="K6322" t="s">
        <v>19</v>
      </c>
      <c r="L6322" t="s">
        <v>20</v>
      </c>
      <c r="M6322" t="s">
        <v>27</v>
      </c>
      <c r="N6322" t="s">
        <v>22</v>
      </c>
    </row>
    <row r="6323" spans="1:14">
      <c r="A6323" s="4" t="str">
        <f t="shared" ref="A6323:A6354" si="586">HYPERLINK("http://hcmdb.i-sanger.com/experiment/details/experiment_id/EXP00219","EXP00219")</f>
        <v>EXP00219</v>
      </c>
      <c r="B6323" s="4" t="str">
        <f t="shared" si="584"/>
        <v>25361981</v>
      </c>
      <c r="C6323" s="4" t="str">
        <f t="shared" si="585"/>
        <v>GSE56493</v>
      </c>
      <c r="D6323" s="1" t="s">
        <v>298</v>
      </c>
      <c r="E6323" t="s">
        <v>15</v>
      </c>
      <c r="F6323" s="1">
        <v>1</v>
      </c>
      <c r="G6323" s="1" t="s">
        <v>63</v>
      </c>
      <c r="H6323" s="4" t="str">
        <f>HYPERLINK("https://www.ncbi.nlm.nih.gov/geo/query/acc.cgi?acc=GSM1362526","GSM1362526")</f>
        <v>GSM1362526</v>
      </c>
      <c r="I6323" t="s">
        <v>17</v>
      </c>
      <c r="J6323" t="s">
        <v>18</v>
      </c>
      <c r="K6323" t="s">
        <v>19</v>
      </c>
      <c r="L6323" t="s">
        <v>20</v>
      </c>
      <c r="M6323" t="s">
        <v>44</v>
      </c>
      <c r="N6323" t="s">
        <v>22</v>
      </c>
    </row>
    <row r="6324" spans="1:14">
      <c r="A6324" s="4" t="str">
        <f t="shared" si="586"/>
        <v>EXP00219</v>
      </c>
      <c r="B6324" s="4" t="str">
        <f t="shared" si="584"/>
        <v>25361981</v>
      </c>
      <c r="C6324" s="4" t="str">
        <f t="shared" si="585"/>
        <v>GSE56493</v>
      </c>
      <c r="D6324" s="1" t="s">
        <v>298</v>
      </c>
      <c r="E6324" t="s">
        <v>15</v>
      </c>
      <c r="F6324" s="1">
        <v>1</v>
      </c>
      <c r="G6324" s="1" t="s">
        <v>63</v>
      </c>
      <c r="H6324" s="4" t="str">
        <f>HYPERLINK("https://www.ncbi.nlm.nih.gov/geo/query/acc.cgi?acc=GSM1362530","GSM1362530")</f>
        <v>GSM1362530</v>
      </c>
      <c r="I6324" t="s">
        <v>17</v>
      </c>
      <c r="J6324" t="s">
        <v>18</v>
      </c>
      <c r="K6324" t="s">
        <v>19</v>
      </c>
      <c r="L6324" t="s">
        <v>20</v>
      </c>
      <c r="M6324" t="s">
        <v>44</v>
      </c>
      <c r="N6324" t="s">
        <v>22</v>
      </c>
    </row>
    <row r="6325" spans="1:14">
      <c r="A6325" s="4" t="str">
        <f t="shared" si="586"/>
        <v>EXP00219</v>
      </c>
      <c r="B6325" s="4" t="str">
        <f t="shared" si="584"/>
        <v>25361981</v>
      </c>
      <c r="C6325" s="4" t="str">
        <f t="shared" si="585"/>
        <v>GSE56493</v>
      </c>
      <c r="D6325" s="1" t="s">
        <v>298</v>
      </c>
      <c r="E6325" t="s">
        <v>15</v>
      </c>
      <c r="F6325" s="1">
        <v>1</v>
      </c>
      <c r="G6325" s="1" t="s">
        <v>63</v>
      </c>
      <c r="H6325" s="4" t="str">
        <f>HYPERLINK("https://www.ncbi.nlm.nih.gov/geo/query/acc.cgi?acc=GSM1362532","GSM1362532")</f>
        <v>GSM1362532</v>
      </c>
      <c r="I6325" t="s">
        <v>17</v>
      </c>
      <c r="J6325" t="s">
        <v>18</v>
      </c>
      <c r="K6325" t="s">
        <v>19</v>
      </c>
      <c r="L6325" t="s">
        <v>20</v>
      </c>
      <c r="M6325" t="s">
        <v>44</v>
      </c>
      <c r="N6325" t="s">
        <v>22</v>
      </c>
    </row>
    <row r="6326" spans="1:14">
      <c r="A6326" s="4" t="str">
        <f t="shared" si="586"/>
        <v>EXP00219</v>
      </c>
      <c r="B6326" s="4" t="str">
        <f t="shared" si="584"/>
        <v>25361981</v>
      </c>
      <c r="C6326" s="4" t="str">
        <f t="shared" si="585"/>
        <v>GSE56493</v>
      </c>
      <c r="D6326" s="1" t="s">
        <v>298</v>
      </c>
      <c r="E6326" t="s">
        <v>15</v>
      </c>
      <c r="F6326" s="1">
        <v>1</v>
      </c>
      <c r="G6326" s="1" t="s">
        <v>63</v>
      </c>
      <c r="H6326" s="4" t="str">
        <f>HYPERLINK("https://www.ncbi.nlm.nih.gov/geo/query/acc.cgi?acc=GSM1362533","GSM1362533")</f>
        <v>GSM1362533</v>
      </c>
      <c r="I6326" t="s">
        <v>17</v>
      </c>
      <c r="J6326" t="s">
        <v>18</v>
      </c>
      <c r="K6326" t="s">
        <v>19</v>
      </c>
      <c r="L6326" t="s">
        <v>20</v>
      </c>
      <c r="M6326" t="s">
        <v>44</v>
      </c>
      <c r="N6326" t="s">
        <v>22</v>
      </c>
    </row>
    <row r="6327" spans="1:14">
      <c r="A6327" s="4" t="str">
        <f t="shared" si="586"/>
        <v>EXP00219</v>
      </c>
      <c r="B6327" s="4" t="str">
        <f t="shared" si="584"/>
        <v>25361981</v>
      </c>
      <c r="C6327" s="4" t="str">
        <f t="shared" si="585"/>
        <v>GSE56493</v>
      </c>
      <c r="D6327" s="1" t="s">
        <v>298</v>
      </c>
      <c r="E6327" t="s">
        <v>15</v>
      </c>
      <c r="F6327" s="1">
        <v>1</v>
      </c>
      <c r="G6327" s="1" t="s">
        <v>63</v>
      </c>
      <c r="H6327" s="4" t="str">
        <f>HYPERLINK("https://www.ncbi.nlm.nih.gov/geo/query/acc.cgi?acc=GSM1362534","GSM1362534")</f>
        <v>GSM1362534</v>
      </c>
      <c r="I6327" t="s">
        <v>17</v>
      </c>
      <c r="J6327" t="s">
        <v>18</v>
      </c>
      <c r="K6327" t="s">
        <v>19</v>
      </c>
      <c r="L6327" t="s">
        <v>20</v>
      </c>
      <c r="M6327" t="s">
        <v>44</v>
      </c>
      <c r="N6327" t="s">
        <v>22</v>
      </c>
    </row>
    <row r="6328" spans="1:14">
      <c r="A6328" s="4" t="str">
        <f t="shared" si="586"/>
        <v>EXP00219</v>
      </c>
      <c r="B6328" s="4" t="str">
        <f t="shared" si="584"/>
        <v>25361981</v>
      </c>
      <c r="C6328" s="4" t="str">
        <f t="shared" si="585"/>
        <v>GSE56493</v>
      </c>
      <c r="D6328" s="1" t="s">
        <v>298</v>
      </c>
      <c r="E6328" t="s">
        <v>15</v>
      </c>
      <c r="F6328" s="1">
        <v>1</v>
      </c>
      <c r="G6328" s="1" t="s">
        <v>63</v>
      </c>
      <c r="H6328" s="4" t="str">
        <f>HYPERLINK("https://www.ncbi.nlm.nih.gov/geo/query/acc.cgi?acc=GSM1362535","GSM1362535")</f>
        <v>GSM1362535</v>
      </c>
      <c r="I6328" t="s">
        <v>17</v>
      </c>
      <c r="J6328" t="s">
        <v>18</v>
      </c>
      <c r="K6328" t="s">
        <v>19</v>
      </c>
      <c r="L6328" t="s">
        <v>20</v>
      </c>
      <c r="M6328" t="s">
        <v>44</v>
      </c>
      <c r="N6328" t="s">
        <v>22</v>
      </c>
    </row>
    <row r="6329" spans="1:14">
      <c r="A6329" s="4" t="str">
        <f t="shared" si="586"/>
        <v>EXP00219</v>
      </c>
      <c r="B6329" s="4" t="str">
        <f t="shared" si="584"/>
        <v>25361981</v>
      </c>
      <c r="C6329" s="4" t="str">
        <f t="shared" si="585"/>
        <v>GSE56493</v>
      </c>
      <c r="D6329" s="1" t="s">
        <v>298</v>
      </c>
      <c r="E6329" t="s">
        <v>15</v>
      </c>
      <c r="F6329" s="1">
        <v>1</v>
      </c>
      <c r="G6329" s="1" t="s">
        <v>63</v>
      </c>
      <c r="H6329" s="4" t="str">
        <f>HYPERLINK("https://www.ncbi.nlm.nih.gov/geo/query/acc.cgi?acc=GSM1362536","GSM1362536")</f>
        <v>GSM1362536</v>
      </c>
      <c r="I6329" t="s">
        <v>17</v>
      </c>
      <c r="J6329" t="s">
        <v>18</v>
      </c>
      <c r="K6329" t="s">
        <v>19</v>
      </c>
      <c r="L6329" t="s">
        <v>20</v>
      </c>
      <c r="M6329" t="s">
        <v>44</v>
      </c>
      <c r="N6329" t="s">
        <v>22</v>
      </c>
    </row>
    <row r="6330" spans="1:14">
      <c r="A6330" s="4" t="str">
        <f t="shared" si="586"/>
        <v>EXP00219</v>
      </c>
      <c r="B6330" s="4" t="str">
        <f t="shared" si="584"/>
        <v>25361981</v>
      </c>
      <c r="C6330" s="4" t="str">
        <f t="shared" si="585"/>
        <v>GSE56493</v>
      </c>
      <c r="D6330" s="1" t="s">
        <v>298</v>
      </c>
      <c r="E6330" t="s">
        <v>15</v>
      </c>
      <c r="F6330" s="1">
        <v>1</v>
      </c>
      <c r="G6330" s="1" t="s">
        <v>63</v>
      </c>
      <c r="H6330" s="4" t="str">
        <f>HYPERLINK("https://www.ncbi.nlm.nih.gov/geo/query/acc.cgi?acc=GSM1362537","GSM1362537")</f>
        <v>GSM1362537</v>
      </c>
      <c r="I6330" t="s">
        <v>17</v>
      </c>
      <c r="J6330" t="s">
        <v>18</v>
      </c>
      <c r="K6330" t="s">
        <v>19</v>
      </c>
      <c r="L6330" t="s">
        <v>20</v>
      </c>
      <c r="M6330" t="s">
        <v>44</v>
      </c>
      <c r="N6330" t="s">
        <v>22</v>
      </c>
    </row>
    <row r="6331" spans="1:14">
      <c r="A6331" s="4" t="str">
        <f t="shared" si="586"/>
        <v>EXP00219</v>
      </c>
      <c r="B6331" s="4" t="str">
        <f t="shared" si="584"/>
        <v>25361981</v>
      </c>
      <c r="C6331" s="4" t="str">
        <f t="shared" si="585"/>
        <v>GSE56493</v>
      </c>
      <c r="D6331" s="1" t="s">
        <v>298</v>
      </c>
      <c r="E6331" t="s">
        <v>15</v>
      </c>
      <c r="F6331" s="1">
        <v>1</v>
      </c>
      <c r="G6331" s="1" t="s">
        <v>63</v>
      </c>
      <c r="H6331" s="4" t="str">
        <f>HYPERLINK("https://www.ncbi.nlm.nih.gov/geo/query/acc.cgi?acc=GSM1362539","GSM1362539")</f>
        <v>GSM1362539</v>
      </c>
      <c r="I6331" t="s">
        <v>17</v>
      </c>
      <c r="J6331" t="s">
        <v>18</v>
      </c>
      <c r="K6331" t="s">
        <v>19</v>
      </c>
      <c r="L6331" t="s">
        <v>20</v>
      </c>
      <c r="M6331" t="s">
        <v>44</v>
      </c>
      <c r="N6331" t="s">
        <v>22</v>
      </c>
    </row>
    <row r="6332" spans="1:14">
      <c r="A6332" s="4" t="str">
        <f t="shared" si="586"/>
        <v>EXP00219</v>
      </c>
      <c r="B6332" s="4" t="str">
        <f t="shared" si="584"/>
        <v>25361981</v>
      </c>
      <c r="C6332" s="4" t="str">
        <f t="shared" si="585"/>
        <v>GSE56493</v>
      </c>
      <c r="D6332" s="1" t="s">
        <v>298</v>
      </c>
      <c r="E6332" t="s">
        <v>15</v>
      </c>
      <c r="F6332" s="1">
        <v>1</v>
      </c>
      <c r="G6332" s="1" t="s">
        <v>63</v>
      </c>
      <c r="H6332" s="4" t="str">
        <f>HYPERLINK("https://www.ncbi.nlm.nih.gov/geo/query/acc.cgi?acc=GSM1362544","GSM1362544")</f>
        <v>GSM1362544</v>
      </c>
      <c r="I6332" t="s">
        <v>17</v>
      </c>
      <c r="J6332" t="s">
        <v>18</v>
      </c>
      <c r="K6332" t="s">
        <v>19</v>
      </c>
      <c r="L6332" t="s">
        <v>20</v>
      </c>
      <c r="M6332" t="s">
        <v>44</v>
      </c>
      <c r="N6332" t="s">
        <v>22</v>
      </c>
    </row>
    <row r="6333" spans="1:14">
      <c r="A6333" s="4" t="str">
        <f t="shared" si="586"/>
        <v>EXP00219</v>
      </c>
      <c r="B6333" s="4" t="str">
        <f t="shared" si="584"/>
        <v>25361981</v>
      </c>
      <c r="C6333" s="4" t="str">
        <f t="shared" si="585"/>
        <v>GSE56493</v>
      </c>
      <c r="D6333" s="1" t="s">
        <v>298</v>
      </c>
      <c r="E6333" t="s">
        <v>15</v>
      </c>
      <c r="F6333" s="1">
        <v>1</v>
      </c>
      <c r="G6333" s="1" t="s">
        <v>63</v>
      </c>
      <c r="H6333" s="4" t="str">
        <f>HYPERLINK("https://www.ncbi.nlm.nih.gov/geo/query/acc.cgi?acc=GSM1362545","GSM1362545")</f>
        <v>GSM1362545</v>
      </c>
      <c r="I6333" t="s">
        <v>17</v>
      </c>
      <c r="J6333" t="s">
        <v>18</v>
      </c>
      <c r="K6333" t="s">
        <v>19</v>
      </c>
      <c r="L6333" t="s">
        <v>20</v>
      </c>
      <c r="M6333" t="s">
        <v>44</v>
      </c>
      <c r="N6333" t="s">
        <v>22</v>
      </c>
    </row>
    <row r="6334" spans="1:14">
      <c r="A6334" s="4" t="str">
        <f t="shared" si="586"/>
        <v>EXP00219</v>
      </c>
      <c r="B6334" s="4" t="str">
        <f t="shared" si="584"/>
        <v>25361981</v>
      </c>
      <c r="C6334" s="4" t="str">
        <f t="shared" si="585"/>
        <v>GSE56493</v>
      </c>
      <c r="D6334" s="1" t="s">
        <v>298</v>
      </c>
      <c r="E6334" t="s">
        <v>15</v>
      </c>
      <c r="F6334" s="1">
        <v>1</v>
      </c>
      <c r="G6334" s="1" t="s">
        <v>63</v>
      </c>
      <c r="H6334" s="4" t="str">
        <f>HYPERLINK("https://www.ncbi.nlm.nih.gov/geo/query/acc.cgi?acc=GSM1362550","GSM1362550")</f>
        <v>GSM1362550</v>
      </c>
      <c r="I6334" t="s">
        <v>17</v>
      </c>
      <c r="J6334" t="s">
        <v>18</v>
      </c>
      <c r="K6334" t="s">
        <v>19</v>
      </c>
      <c r="L6334" t="s">
        <v>20</v>
      </c>
      <c r="M6334" t="s">
        <v>44</v>
      </c>
      <c r="N6334" t="s">
        <v>22</v>
      </c>
    </row>
    <row r="6335" spans="1:14">
      <c r="A6335" s="4" t="str">
        <f t="shared" si="586"/>
        <v>EXP00219</v>
      </c>
      <c r="B6335" s="4" t="str">
        <f t="shared" si="584"/>
        <v>25361981</v>
      </c>
      <c r="C6335" s="4" t="str">
        <f t="shared" si="585"/>
        <v>GSE56493</v>
      </c>
      <c r="D6335" s="1" t="s">
        <v>298</v>
      </c>
      <c r="E6335" t="s">
        <v>15</v>
      </c>
      <c r="F6335" s="1">
        <v>1</v>
      </c>
      <c r="G6335" s="1" t="s">
        <v>63</v>
      </c>
      <c r="H6335" s="4" t="str">
        <f>HYPERLINK("https://www.ncbi.nlm.nih.gov/geo/query/acc.cgi?acc=GSM1362551","GSM1362551")</f>
        <v>GSM1362551</v>
      </c>
      <c r="I6335" t="s">
        <v>17</v>
      </c>
      <c r="J6335" t="s">
        <v>18</v>
      </c>
      <c r="K6335" t="s">
        <v>19</v>
      </c>
      <c r="L6335" t="s">
        <v>20</v>
      </c>
      <c r="M6335" t="s">
        <v>44</v>
      </c>
      <c r="N6335" t="s">
        <v>22</v>
      </c>
    </row>
    <row r="6336" spans="1:14">
      <c r="A6336" s="4" t="str">
        <f t="shared" si="586"/>
        <v>EXP00219</v>
      </c>
      <c r="B6336" s="4" t="str">
        <f t="shared" si="584"/>
        <v>25361981</v>
      </c>
      <c r="C6336" s="4" t="str">
        <f t="shared" si="585"/>
        <v>GSE56493</v>
      </c>
      <c r="D6336" s="1" t="s">
        <v>298</v>
      </c>
      <c r="E6336" t="s">
        <v>15</v>
      </c>
      <c r="F6336" s="1">
        <v>1</v>
      </c>
      <c r="G6336" s="1" t="s">
        <v>63</v>
      </c>
      <c r="H6336" s="4" t="str">
        <f>HYPERLINK("https://www.ncbi.nlm.nih.gov/geo/query/acc.cgi?acc=GSM1362554","GSM1362554")</f>
        <v>GSM1362554</v>
      </c>
      <c r="I6336" t="s">
        <v>17</v>
      </c>
      <c r="J6336" t="s">
        <v>18</v>
      </c>
      <c r="K6336" t="s">
        <v>19</v>
      </c>
      <c r="L6336" t="s">
        <v>20</v>
      </c>
      <c r="M6336" t="s">
        <v>44</v>
      </c>
      <c r="N6336" t="s">
        <v>22</v>
      </c>
    </row>
    <row r="6337" spans="1:14">
      <c r="A6337" s="4" t="str">
        <f t="shared" si="586"/>
        <v>EXP00219</v>
      </c>
      <c r="B6337" s="4" t="str">
        <f t="shared" si="584"/>
        <v>25361981</v>
      </c>
      <c r="C6337" s="4" t="str">
        <f t="shared" si="585"/>
        <v>GSE56493</v>
      </c>
      <c r="D6337" s="1" t="s">
        <v>298</v>
      </c>
      <c r="E6337" t="s">
        <v>15</v>
      </c>
      <c r="F6337" s="1">
        <v>1</v>
      </c>
      <c r="G6337" s="1" t="s">
        <v>63</v>
      </c>
      <c r="H6337" s="4" t="str">
        <f>HYPERLINK("https://www.ncbi.nlm.nih.gov/geo/query/acc.cgi?acc=GSM1362556","GSM1362556")</f>
        <v>GSM1362556</v>
      </c>
      <c r="I6337" t="s">
        <v>17</v>
      </c>
      <c r="J6337" t="s">
        <v>18</v>
      </c>
      <c r="K6337" t="s">
        <v>19</v>
      </c>
      <c r="L6337" t="s">
        <v>20</v>
      </c>
      <c r="M6337" t="s">
        <v>44</v>
      </c>
      <c r="N6337" t="s">
        <v>22</v>
      </c>
    </row>
    <row r="6338" spans="1:14">
      <c r="A6338" s="4" t="str">
        <f t="shared" si="586"/>
        <v>EXP00219</v>
      </c>
      <c r="B6338" s="4" t="str">
        <f t="shared" si="584"/>
        <v>25361981</v>
      </c>
      <c r="C6338" s="4" t="str">
        <f t="shared" si="585"/>
        <v>GSE56493</v>
      </c>
      <c r="D6338" s="1" t="s">
        <v>298</v>
      </c>
      <c r="E6338" t="s">
        <v>15</v>
      </c>
      <c r="F6338" s="1">
        <v>1</v>
      </c>
      <c r="G6338" s="1" t="s">
        <v>63</v>
      </c>
      <c r="H6338" s="4" t="str">
        <f>HYPERLINK("https://www.ncbi.nlm.nih.gov/geo/query/acc.cgi?acc=GSM1362561","GSM1362561")</f>
        <v>GSM1362561</v>
      </c>
      <c r="I6338" t="s">
        <v>17</v>
      </c>
      <c r="J6338" t="s">
        <v>18</v>
      </c>
      <c r="K6338" t="s">
        <v>19</v>
      </c>
      <c r="L6338" t="s">
        <v>20</v>
      </c>
      <c r="M6338" t="s">
        <v>44</v>
      </c>
      <c r="N6338" t="s">
        <v>22</v>
      </c>
    </row>
    <row r="6339" spans="1:14">
      <c r="A6339" s="4" t="str">
        <f t="shared" si="586"/>
        <v>EXP00219</v>
      </c>
      <c r="B6339" s="4" t="str">
        <f t="shared" si="584"/>
        <v>25361981</v>
      </c>
      <c r="C6339" s="4" t="str">
        <f t="shared" si="585"/>
        <v>GSE56493</v>
      </c>
      <c r="D6339" s="1" t="s">
        <v>298</v>
      </c>
      <c r="E6339" t="s">
        <v>15</v>
      </c>
      <c r="F6339" s="1">
        <v>1</v>
      </c>
      <c r="G6339" s="1" t="s">
        <v>63</v>
      </c>
      <c r="H6339" s="4" t="str">
        <f>HYPERLINK("https://www.ncbi.nlm.nih.gov/geo/query/acc.cgi?acc=GSM1362562","GSM1362562")</f>
        <v>GSM1362562</v>
      </c>
      <c r="I6339" t="s">
        <v>17</v>
      </c>
      <c r="J6339" t="s">
        <v>18</v>
      </c>
      <c r="K6339" t="s">
        <v>19</v>
      </c>
      <c r="L6339" t="s">
        <v>20</v>
      </c>
      <c r="M6339" t="s">
        <v>44</v>
      </c>
      <c r="N6339" t="s">
        <v>22</v>
      </c>
    </row>
    <row r="6340" spans="1:14">
      <c r="A6340" s="4" t="str">
        <f t="shared" si="586"/>
        <v>EXP00219</v>
      </c>
      <c r="B6340" s="4" t="str">
        <f t="shared" si="584"/>
        <v>25361981</v>
      </c>
      <c r="C6340" s="4" t="str">
        <f t="shared" si="585"/>
        <v>GSE56493</v>
      </c>
      <c r="D6340" s="1" t="s">
        <v>298</v>
      </c>
      <c r="E6340" t="s">
        <v>15</v>
      </c>
      <c r="F6340" s="1">
        <v>1</v>
      </c>
      <c r="G6340" s="1" t="s">
        <v>63</v>
      </c>
      <c r="H6340" s="4" t="str">
        <f>HYPERLINK("https://www.ncbi.nlm.nih.gov/geo/query/acc.cgi?acc=GSM1362571","GSM1362571")</f>
        <v>GSM1362571</v>
      </c>
      <c r="I6340" t="s">
        <v>17</v>
      </c>
      <c r="J6340" t="s">
        <v>18</v>
      </c>
      <c r="K6340" t="s">
        <v>19</v>
      </c>
      <c r="L6340" t="s">
        <v>20</v>
      </c>
      <c r="M6340" t="s">
        <v>44</v>
      </c>
      <c r="N6340" t="s">
        <v>22</v>
      </c>
    </row>
    <row r="6341" spans="1:14">
      <c r="A6341" s="4" t="str">
        <f t="shared" si="586"/>
        <v>EXP00219</v>
      </c>
      <c r="B6341" s="4" t="str">
        <f t="shared" si="584"/>
        <v>25361981</v>
      </c>
      <c r="C6341" s="4" t="str">
        <f t="shared" si="585"/>
        <v>GSE56493</v>
      </c>
      <c r="D6341" s="1" t="s">
        <v>298</v>
      </c>
      <c r="E6341" t="s">
        <v>15</v>
      </c>
      <c r="F6341" s="1">
        <v>1</v>
      </c>
      <c r="G6341" s="1" t="s">
        <v>63</v>
      </c>
      <c r="H6341" s="4" t="str">
        <f>HYPERLINK("https://www.ncbi.nlm.nih.gov/geo/query/acc.cgi?acc=GSM1362572","GSM1362572")</f>
        <v>GSM1362572</v>
      </c>
      <c r="I6341" t="s">
        <v>17</v>
      </c>
      <c r="J6341" t="s">
        <v>18</v>
      </c>
      <c r="K6341" t="s">
        <v>19</v>
      </c>
      <c r="L6341" t="s">
        <v>20</v>
      </c>
      <c r="M6341" t="s">
        <v>44</v>
      </c>
      <c r="N6341" t="s">
        <v>22</v>
      </c>
    </row>
    <row r="6342" spans="1:14">
      <c r="A6342" s="4" t="str">
        <f t="shared" si="586"/>
        <v>EXP00219</v>
      </c>
      <c r="B6342" s="4" t="str">
        <f t="shared" si="584"/>
        <v>25361981</v>
      </c>
      <c r="C6342" s="4" t="str">
        <f t="shared" si="585"/>
        <v>GSE56493</v>
      </c>
      <c r="D6342" s="1" t="s">
        <v>298</v>
      </c>
      <c r="E6342" t="s">
        <v>15</v>
      </c>
      <c r="F6342" s="1">
        <v>1</v>
      </c>
      <c r="G6342" s="1" t="s">
        <v>63</v>
      </c>
      <c r="H6342" s="4" t="str">
        <f>HYPERLINK("https://www.ncbi.nlm.nih.gov/geo/query/acc.cgi?acc=GSM1362584","GSM1362584")</f>
        <v>GSM1362584</v>
      </c>
      <c r="I6342" t="s">
        <v>17</v>
      </c>
      <c r="J6342" t="s">
        <v>18</v>
      </c>
      <c r="K6342" t="s">
        <v>19</v>
      </c>
      <c r="L6342" t="s">
        <v>20</v>
      </c>
      <c r="M6342" t="s">
        <v>44</v>
      </c>
      <c r="N6342" t="s">
        <v>22</v>
      </c>
    </row>
    <row r="6343" spans="1:14">
      <c r="A6343" s="4" t="str">
        <f t="shared" si="586"/>
        <v>EXP00219</v>
      </c>
      <c r="B6343" s="4" t="str">
        <f t="shared" si="584"/>
        <v>25361981</v>
      </c>
      <c r="C6343" s="4" t="str">
        <f t="shared" si="585"/>
        <v>GSE56493</v>
      </c>
      <c r="D6343" s="1" t="s">
        <v>298</v>
      </c>
      <c r="E6343" t="s">
        <v>15</v>
      </c>
      <c r="F6343" s="1">
        <v>1</v>
      </c>
      <c r="G6343" s="1" t="s">
        <v>63</v>
      </c>
      <c r="H6343" s="4" t="str">
        <f>HYPERLINK("https://www.ncbi.nlm.nih.gov/geo/query/acc.cgi?acc=GSM1362594","GSM1362594")</f>
        <v>GSM1362594</v>
      </c>
      <c r="I6343" t="s">
        <v>17</v>
      </c>
      <c r="J6343" t="s">
        <v>18</v>
      </c>
      <c r="K6343" t="s">
        <v>19</v>
      </c>
      <c r="L6343" t="s">
        <v>20</v>
      </c>
      <c r="M6343" t="s">
        <v>44</v>
      </c>
      <c r="N6343" t="s">
        <v>22</v>
      </c>
    </row>
    <row r="6344" spans="1:14">
      <c r="A6344" s="4" t="str">
        <f t="shared" si="586"/>
        <v>EXP00219</v>
      </c>
      <c r="B6344" s="4" t="str">
        <f t="shared" si="584"/>
        <v>25361981</v>
      </c>
      <c r="C6344" s="4" t="str">
        <f t="shared" si="585"/>
        <v>GSE56493</v>
      </c>
      <c r="D6344" s="1" t="s">
        <v>298</v>
      </c>
      <c r="E6344" t="s">
        <v>15</v>
      </c>
      <c r="F6344" s="1">
        <v>1</v>
      </c>
      <c r="G6344" s="1" t="s">
        <v>63</v>
      </c>
      <c r="H6344" s="4" t="str">
        <f>HYPERLINK("https://www.ncbi.nlm.nih.gov/geo/query/acc.cgi?acc=GSM1362596","GSM1362596")</f>
        <v>GSM1362596</v>
      </c>
      <c r="I6344" t="s">
        <v>17</v>
      </c>
      <c r="J6344" t="s">
        <v>18</v>
      </c>
      <c r="K6344" t="s">
        <v>19</v>
      </c>
      <c r="L6344" t="s">
        <v>20</v>
      </c>
      <c r="M6344" t="s">
        <v>44</v>
      </c>
      <c r="N6344" t="s">
        <v>22</v>
      </c>
    </row>
    <row r="6345" spans="1:14">
      <c r="A6345" s="4" t="str">
        <f t="shared" si="586"/>
        <v>EXP00219</v>
      </c>
      <c r="B6345" s="4" t="str">
        <f t="shared" si="584"/>
        <v>25361981</v>
      </c>
      <c r="C6345" s="4" t="str">
        <f t="shared" si="585"/>
        <v>GSE56493</v>
      </c>
      <c r="D6345" s="1" t="s">
        <v>298</v>
      </c>
      <c r="E6345" t="s">
        <v>15</v>
      </c>
      <c r="F6345" s="1">
        <v>1</v>
      </c>
      <c r="G6345" s="1" t="s">
        <v>63</v>
      </c>
      <c r="H6345" s="4" t="str">
        <f>HYPERLINK("https://www.ncbi.nlm.nih.gov/geo/query/acc.cgi?acc=GSM1362602","GSM1362602")</f>
        <v>GSM1362602</v>
      </c>
      <c r="I6345" t="s">
        <v>17</v>
      </c>
      <c r="J6345" t="s">
        <v>18</v>
      </c>
      <c r="K6345" t="s">
        <v>19</v>
      </c>
      <c r="L6345" t="s">
        <v>20</v>
      </c>
      <c r="M6345" t="s">
        <v>44</v>
      </c>
      <c r="N6345" t="s">
        <v>22</v>
      </c>
    </row>
    <row r="6346" spans="1:14">
      <c r="A6346" s="4" t="str">
        <f t="shared" si="586"/>
        <v>EXP00219</v>
      </c>
      <c r="B6346" s="4" t="str">
        <f t="shared" si="584"/>
        <v>25361981</v>
      </c>
      <c r="C6346" s="4" t="str">
        <f t="shared" si="585"/>
        <v>GSE56493</v>
      </c>
      <c r="D6346" s="1" t="s">
        <v>298</v>
      </c>
      <c r="E6346" t="s">
        <v>15</v>
      </c>
      <c r="F6346" s="1">
        <v>1</v>
      </c>
      <c r="G6346" s="1" t="s">
        <v>63</v>
      </c>
      <c r="H6346" s="4" t="str">
        <f>HYPERLINK("https://www.ncbi.nlm.nih.gov/geo/query/acc.cgi?acc=GSM1362610","GSM1362610")</f>
        <v>GSM1362610</v>
      </c>
      <c r="I6346" t="s">
        <v>17</v>
      </c>
      <c r="J6346" t="s">
        <v>18</v>
      </c>
      <c r="K6346" t="s">
        <v>19</v>
      </c>
      <c r="L6346" t="s">
        <v>20</v>
      </c>
      <c r="M6346" t="s">
        <v>44</v>
      </c>
      <c r="N6346" t="s">
        <v>22</v>
      </c>
    </row>
    <row r="6347" spans="1:14">
      <c r="A6347" s="4" t="str">
        <f t="shared" si="586"/>
        <v>EXP00219</v>
      </c>
      <c r="B6347" s="4" t="str">
        <f t="shared" si="584"/>
        <v>25361981</v>
      </c>
      <c r="C6347" s="4" t="str">
        <f t="shared" si="585"/>
        <v>GSE56493</v>
      </c>
      <c r="D6347" s="1" t="s">
        <v>298</v>
      </c>
      <c r="E6347" t="s">
        <v>15</v>
      </c>
      <c r="F6347" s="1">
        <v>1</v>
      </c>
      <c r="G6347" s="1" t="s">
        <v>63</v>
      </c>
      <c r="H6347" s="4" t="str">
        <f>HYPERLINK("https://www.ncbi.nlm.nih.gov/geo/query/acc.cgi?acc=GSM1362624","GSM1362624")</f>
        <v>GSM1362624</v>
      </c>
      <c r="I6347" t="s">
        <v>17</v>
      </c>
      <c r="J6347" t="s">
        <v>18</v>
      </c>
      <c r="K6347" t="s">
        <v>19</v>
      </c>
      <c r="L6347" t="s">
        <v>20</v>
      </c>
      <c r="M6347" t="s">
        <v>44</v>
      </c>
      <c r="N6347" t="s">
        <v>22</v>
      </c>
    </row>
    <row r="6348" spans="1:14">
      <c r="A6348" s="4" t="str">
        <f t="shared" si="586"/>
        <v>EXP00219</v>
      </c>
      <c r="B6348" s="4" t="str">
        <f t="shared" si="584"/>
        <v>25361981</v>
      </c>
      <c r="C6348" s="4" t="str">
        <f t="shared" si="585"/>
        <v>GSE56493</v>
      </c>
      <c r="D6348" s="1" t="s">
        <v>298</v>
      </c>
      <c r="E6348" t="s">
        <v>15</v>
      </c>
      <c r="F6348" s="1">
        <v>1</v>
      </c>
      <c r="G6348" s="1" t="s">
        <v>63</v>
      </c>
      <c r="H6348" s="4" t="str">
        <f>HYPERLINK("https://www.ncbi.nlm.nih.gov/geo/query/acc.cgi?acc=GSM1362630","GSM1362630")</f>
        <v>GSM1362630</v>
      </c>
      <c r="I6348" t="s">
        <v>17</v>
      </c>
      <c r="J6348" t="s">
        <v>18</v>
      </c>
      <c r="K6348" t="s">
        <v>19</v>
      </c>
      <c r="L6348" t="s">
        <v>20</v>
      </c>
      <c r="M6348" t="s">
        <v>44</v>
      </c>
      <c r="N6348" t="s">
        <v>22</v>
      </c>
    </row>
    <row r="6349" spans="1:14">
      <c r="A6349" s="4" t="str">
        <f t="shared" si="586"/>
        <v>EXP00219</v>
      </c>
      <c r="B6349" s="4" t="str">
        <f t="shared" si="584"/>
        <v>25361981</v>
      </c>
      <c r="C6349" s="4" t="str">
        <f t="shared" si="585"/>
        <v>GSE56493</v>
      </c>
      <c r="D6349" s="1" t="s">
        <v>298</v>
      </c>
      <c r="E6349" t="s">
        <v>15</v>
      </c>
      <c r="F6349" s="1">
        <v>1</v>
      </c>
      <c r="G6349" s="1" t="s">
        <v>63</v>
      </c>
      <c r="H6349" s="4" t="str">
        <f>HYPERLINK("https://www.ncbi.nlm.nih.gov/geo/query/acc.cgi?acc=GSM1362635","GSM1362635")</f>
        <v>GSM1362635</v>
      </c>
      <c r="I6349" t="s">
        <v>17</v>
      </c>
      <c r="J6349" t="s">
        <v>18</v>
      </c>
      <c r="K6349" t="s">
        <v>19</v>
      </c>
      <c r="L6349" t="s">
        <v>20</v>
      </c>
      <c r="M6349" t="s">
        <v>44</v>
      </c>
      <c r="N6349" t="s">
        <v>22</v>
      </c>
    </row>
    <row r="6350" spans="1:14">
      <c r="A6350" s="4" t="str">
        <f t="shared" si="586"/>
        <v>EXP00219</v>
      </c>
      <c r="B6350" s="4" t="str">
        <f t="shared" si="584"/>
        <v>25361981</v>
      </c>
      <c r="C6350" s="4" t="str">
        <f t="shared" si="585"/>
        <v>GSE56493</v>
      </c>
      <c r="D6350" s="1" t="s">
        <v>298</v>
      </c>
      <c r="E6350" t="s">
        <v>15</v>
      </c>
      <c r="F6350" s="1">
        <v>2</v>
      </c>
      <c r="G6350" s="1" t="s">
        <v>23</v>
      </c>
      <c r="H6350" s="4" t="str">
        <f>HYPERLINK("https://www.ncbi.nlm.nih.gov/geo/query/acc.cgi?acc=GSM1362516","GSM1362516")</f>
        <v>GSM1362516</v>
      </c>
      <c r="I6350" t="s">
        <v>17</v>
      </c>
      <c r="J6350" t="s">
        <v>18</v>
      </c>
      <c r="K6350" t="s">
        <v>19</v>
      </c>
      <c r="L6350" t="s">
        <v>20</v>
      </c>
      <c r="M6350" t="s">
        <v>24</v>
      </c>
      <c r="N6350" t="s">
        <v>22</v>
      </c>
    </row>
    <row r="6351" spans="1:14">
      <c r="A6351" s="4" t="str">
        <f t="shared" si="586"/>
        <v>EXP00219</v>
      </c>
      <c r="B6351" s="4" t="str">
        <f t="shared" si="584"/>
        <v>25361981</v>
      </c>
      <c r="C6351" s="4" t="str">
        <f t="shared" si="585"/>
        <v>GSE56493</v>
      </c>
      <c r="D6351" s="1" t="s">
        <v>298</v>
      </c>
      <c r="E6351" t="s">
        <v>15</v>
      </c>
      <c r="F6351" s="1">
        <v>2</v>
      </c>
      <c r="G6351" s="1" t="s">
        <v>23</v>
      </c>
      <c r="H6351" s="4" t="str">
        <f>HYPERLINK("https://www.ncbi.nlm.nih.gov/geo/query/acc.cgi?acc=GSM1362517","GSM1362517")</f>
        <v>GSM1362517</v>
      </c>
      <c r="I6351" t="s">
        <v>17</v>
      </c>
      <c r="J6351" t="s">
        <v>18</v>
      </c>
      <c r="K6351" t="s">
        <v>19</v>
      </c>
      <c r="L6351" t="s">
        <v>20</v>
      </c>
      <c r="M6351" t="s">
        <v>24</v>
      </c>
      <c r="N6351" t="s">
        <v>22</v>
      </c>
    </row>
    <row r="6352" spans="1:14">
      <c r="A6352" s="4" t="str">
        <f t="shared" si="586"/>
        <v>EXP00219</v>
      </c>
      <c r="B6352" s="4" t="str">
        <f t="shared" si="584"/>
        <v>25361981</v>
      </c>
      <c r="C6352" s="4" t="str">
        <f t="shared" si="585"/>
        <v>GSE56493</v>
      </c>
      <c r="D6352" s="1" t="s">
        <v>298</v>
      </c>
      <c r="E6352" t="s">
        <v>15</v>
      </c>
      <c r="F6352" s="1">
        <v>2</v>
      </c>
      <c r="G6352" s="1" t="s">
        <v>23</v>
      </c>
      <c r="H6352" s="4" t="str">
        <f>HYPERLINK("https://www.ncbi.nlm.nih.gov/geo/query/acc.cgi?acc=GSM1362522","GSM1362522")</f>
        <v>GSM1362522</v>
      </c>
      <c r="I6352" t="s">
        <v>17</v>
      </c>
      <c r="J6352" t="s">
        <v>18</v>
      </c>
      <c r="K6352" t="s">
        <v>19</v>
      </c>
      <c r="L6352" t="s">
        <v>20</v>
      </c>
      <c r="M6352" t="s">
        <v>24</v>
      </c>
      <c r="N6352" t="s">
        <v>22</v>
      </c>
    </row>
    <row r="6353" spans="1:14">
      <c r="A6353" s="4" t="str">
        <f t="shared" si="586"/>
        <v>EXP00219</v>
      </c>
      <c r="B6353" s="4" t="str">
        <f t="shared" si="584"/>
        <v>25361981</v>
      </c>
      <c r="C6353" s="4" t="str">
        <f t="shared" si="585"/>
        <v>GSE56493</v>
      </c>
      <c r="D6353" s="1" t="s">
        <v>298</v>
      </c>
      <c r="E6353" t="s">
        <v>15</v>
      </c>
      <c r="F6353" s="1">
        <v>2</v>
      </c>
      <c r="G6353" s="1" t="s">
        <v>23</v>
      </c>
      <c r="H6353" s="4" t="str">
        <f>HYPERLINK("https://www.ncbi.nlm.nih.gov/geo/query/acc.cgi?acc=GSM1362523","GSM1362523")</f>
        <v>GSM1362523</v>
      </c>
      <c r="I6353" t="s">
        <v>17</v>
      </c>
      <c r="J6353" t="s">
        <v>18</v>
      </c>
      <c r="K6353" t="s">
        <v>19</v>
      </c>
      <c r="L6353" t="s">
        <v>20</v>
      </c>
      <c r="M6353" t="s">
        <v>24</v>
      </c>
      <c r="N6353" t="s">
        <v>22</v>
      </c>
    </row>
    <row r="6354" spans="1:14">
      <c r="A6354" s="4" t="str">
        <f t="shared" si="586"/>
        <v>EXP00219</v>
      </c>
      <c r="B6354" s="4" t="str">
        <f t="shared" si="584"/>
        <v>25361981</v>
      </c>
      <c r="C6354" s="4" t="str">
        <f t="shared" si="585"/>
        <v>GSE56493</v>
      </c>
      <c r="D6354" s="1" t="s">
        <v>298</v>
      </c>
      <c r="E6354" t="s">
        <v>15</v>
      </c>
      <c r="F6354" s="1">
        <v>2</v>
      </c>
      <c r="G6354" s="1" t="s">
        <v>23</v>
      </c>
      <c r="H6354" s="4" t="str">
        <f>HYPERLINK("https://www.ncbi.nlm.nih.gov/geo/query/acc.cgi?acc=GSM1362525","GSM1362525")</f>
        <v>GSM1362525</v>
      </c>
      <c r="I6354" t="s">
        <v>17</v>
      </c>
      <c r="J6354" t="s">
        <v>18</v>
      </c>
      <c r="K6354" t="s">
        <v>19</v>
      </c>
      <c r="L6354" t="s">
        <v>20</v>
      </c>
      <c r="M6354" t="s">
        <v>24</v>
      </c>
      <c r="N6354" t="s">
        <v>22</v>
      </c>
    </row>
    <row r="6355" spans="1:14">
      <c r="A6355" s="4" t="str">
        <f t="shared" ref="A6355:A6386" si="587">HYPERLINK("http://hcmdb.i-sanger.com/experiment/details/experiment_id/EXP00219","EXP00219")</f>
        <v>EXP00219</v>
      </c>
      <c r="B6355" s="4" t="str">
        <f t="shared" si="584"/>
        <v>25361981</v>
      </c>
      <c r="C6355" s="4" t="str">
        <f t="shared" si="585"/>
        <v>GSE56493</v>
      </c>
      <c r="D6355" s="1" t="s">
        <v>298</v>
      </c>
      <c r="E6355" t="s">
        <v>15</v>
      </c>
      <c r="F6355" s="1">
        <v>2</v>
      </c>
      <c r="G6355" s="1" t="s">
        <v>23</v>
      </c>
      <c r="H6355" s="4" t="str">
        <f>HYPERLINK("https://www.ncbi.nlm.nih.gov/geo/query/acc.cgi?acc=GSM1362527","GSM1362527")</f>
        <v>GSM1362527</v>
      </c>
      <c r="I6355" t="s">
        <v>17</v>
      </c>
      <c r="J6355" t="s">
        <v>18</v>
      </c>
      <c r="K6355" t="s">
        <v>19</v>
      </c>
      <c r="L6355" t="s">
        <v>20</v>
      </c>
      <c r="M6355" t="s">
        <v>24</v>
      </c>
      <c r="N6355" t="s">
        <v>22</v>
      </c>
    </row>
    <row r="6356" spans="1:14">
      <c r="A6356" s="4" t="str">
        <f t="shared" si="587"/>
        <v>EXP00219</v>
      </c>
      <c r="B6356" s="4" t="str">
        <f t="shared" si="584"/>
        <v>25361981</v>
      </c>
      <c r="C6356" s="4" t="str">
        <f t="shared" si="585"/>
        <v>GSE56493</v>
      </c>
      <c r="D6356" s="1" t="s">
        <v>298</v>
      </c>
      <c r="E6356" t="s">
        <v>15</v>
      </c>
      <c r="F6356" s="1">
        <v>2</v>
      </c>
      <c r="G6356" s="1" t="s">
        <v>23</v>
      </c>
      <c r="H6356" s="4" t="str">
        <f>HYPERLINK("https://www.ncbi.nlm.nih.gov/geo/query/acc.cgi?acc=GSM1362528","GSM1362528")</f>
        <v>GSM1362528</v>
      </c>
      <c r="I6356" t="s">
        <v>17</v>
      </c>
      <c r="J6356" t="s">
        <v>18</v>
      </c>
      <c r="K6356" t="s">
        <v>19</v>
      </c>
      <c r="L6356" t="s">
        <v>20</v>
      </c>
      <c r="M6356" t="s">
        <v>24</v>
      </c>
      <c r="N6356" t="s">
        <v>22</v>
      </c>
    </row>
    <row r="6357" spans="1:14">
      <c r="A6357" s="4" t="str">
        <f t="shared" si="587"/>
        <v>EXP00219</v>
      </c>
      <c r="B6357" s="4" t="str">
        <f t="shared" si="584"/>
        <v>25361981</v>
      </c>
      <c r="C6357" s="4" t="str">
        <f t="shared" si="585"/>
        <v>GSE56493</v>
      </c>
      <c r="D6357" s="1" t="s">
        <v>298</v>
      </c>
      <c r="E6357" t="s">
        <v>15</v>
      </c>
      <c r="F6357" s="1">
        <v>2</v>
      </c>
      <c r="G6357" s="1" t="s">
        <v>23</v>
      </c>
      <c r="H6357" s="4" t="str">
        <f>HYPERLINK("https://www.ncbi.nlm.nih.gov/geo/query/acc.cgi?acc=GSM1362529","GSM1362529")</f>
        <v>GSM1362529</v>
      </c>
      <c r="I6357" t="s">
        <v>17</v>
      </c>
      <c r="J6357" t="s">
        <v>18</v>
      </c>
      <c r="K6357" t="s">
        <v>19</v>
      </c>
      <c r="L6357" t="s">
        <v>20</v>
      </c>
      <c r="M6357" t="s">
        <v>24</v>
      </c>
      <c r="N6357" t="s">
        <v>22</v>
      </c>
    </row>
    <row r="6358" spans="1:14">
      <c r="A6358" s="4" t="str">
        <f t="shared" si="587"/>
        <v>EXP00219</v>
      </c>
      <c r="B6358" s="4" t="str">
        <f t="shared" si="584"/>
        <v>25361981</v>
      </c>
      <c r="C6358" s="4" t="str">
        <f t="shared" si="585"/>
        <v>GSE56493</v>
      </c>
      <c r="D6358" s="1" t="s">
        <v>298</v>
      </c>
      <c r="E6358" t="s">
        <v>15</v>
      </c>
      <c r="F6358" s="1">
        <v>2</v>
      </c>
      <c r="G6358" s="1" t="s">
        <v>23</v>
      </c>
      <c r="H6358" s="4" t="str">
        <f>HYPERLINK("https://www.ncbi.nlm.nih.gov/geo/query/acc.cgi?acc=GSM1362531","GSM1362531")</f>
        <v>GSM1362531</v>
      </c>
      <c r="I6358" t="s">
        <v>17</v>
      </c>
      <c r="J6358" t="s">
        <v>18</v>
      </c>
      <c r="K6358" t="s">
        <v>19</v>
      </c>
      <c r="L6358" t="s">
        <v>20</v>
      </c>
      <c r="M6358" t="s">
        <v>24</v>
      </c>
      <c r="N6358" t="s">
        <v>22</v>
      </c>
    </row>
    <row r="6359" spans="1:14">
      <c r="A6359" s="4" t="str">
        <f t="shared" si="587"/>
        <v>EXP00219</v>
      </c>
      <c r="B6359" s="4" t="str">
        <f t="shared" si="584"/>
        <v>25361981</v>
      </c>
      <c r="C6359" s="4" t="str">
        <f t="shared" si="585"/>
        <v>GSE56493</v>
      </c>
      <c r="D6359" s="1" t="s">
        <v>298</v>
      </c>
      <c r="E6359" t="s">
        <v>15</v>
      </c>
      <c r="F6359" s="1">
        <v>2</v>
      </c>
      <c r="G6359" s="1" t="s">
        <v>23</v>
      </c>
      <c r="H6359" s="4" t="str">
        <f>HYPERLINK("https://www.ncbi.nlm.nih.gov/geo/query/acc.cgi?acc=GSM1362538","GSM1362538")</f>
        <v>GSM1362538</v>
      </c>
      <c r="I6359" t="s">
        <v>17</v>
      </c>
      <c r="J6359" t="s">
        <v>18</v>
      </c>
      <c r="K6359" t="s">
        <v>19</v>
      </c>
      <c r="L6359" t="s">
        <v>20</v>
      </c>
      <c r="M6359" t="s">
        <v>24</v>
      </c>
      <c r="N6359" t="s">
        <v>22</v>
      </c>
    </row>
    <row r="6360" spans="1:14">
      <c r="A6360" s="4" t="str">
        <f t="shared" si="587"/>
        <v>EXP00219</v>
      </c>
      <c r="B6360" s="4" t="str">
        <f t="shared" si="584"/>
        <v>25361981</v>
      </c>
      <c r="C6360" s="4" t="str">
        <f t="shared" si="585"/>
        <v>GSE56493</v>
      </c>
      <c r="D6360" s="1" t="s">
        <v>298</v>
      </c>
      <c r="E6360" t="s">
        <v>15</v>
      </c>
      <c r="F6360" s="1">
        <v>2</v>
      </c>
      <c r="G6360" s="1" t="s">
        <v>23</v>
      </c>
      <c r="H6360" s="4" t="str">
        <f>HYPERLINK("https://www.ncbi.nlm.nih.gov/geo/query/acc.cgi?acc=GSM1362540","GSM1362540")</f>
        <v>GSM1362540</v>
      </c>
      <c r="I6360" t="s">
        <v>17</v>
      </c>
      <c r="J6360" t="s">
        <v>18</v>
      </c>
      <c r="K6360" t="s">
        <v>19</v>
      </c>
      <c r="L6360" t="s">
        <v>20</v>
      </c>
      <c r="M6360" t="s">
        <v>24</v>
      </c>
      <c r="N6360" t="s">
        <v>22</v>
      </c>
    </row>
    <row r="6361" spans="1:14">
      <c r="A6361" s="4" t="str">
        <f t="shared" si="587"/>
        <v>EXP00219</v>
      </c>
      <c r="B6361" s="4" t="str">
        <f t="shared" ref="B6361:B6424" si="588">HYPERLINK("https://www.ncbi.nlm.nih.gov/pubmed/25361981","25361981")</f>
        <v>25361981</v>
      </c>
      <c r="C6361" s="4" t="str">
        <f t="shared" ref="C6361:C6424" si="589">HYPERLINK("https://www.ncbi.nlm.nih.gov/geo/query/acc.cgi?acc=GSE56493","GSE56493")</f>
        <v>GSE56493</v>
      </c>
      <c r="D6361" s="1" t="s">
        <v>298</v>
      </c>
      <c r="E6361" t="s">
        <v>15</v>
      </c>
      <c r="F6361" s="1">
        <v>2</v>
      </c>
      <c r="G6361" s="1" t="s">
        <v>23</v>
      </c>
      <c r="H6361" s="4" t="str">
        <f>HYPERLINK("https://www.ncbi.nlm.nih.gov/geo/query/acc.cgi?acc=GSM1362541","GSM1362541")</f>
        <v>GSM1362541</v>
      </c>
      <c r="I6361" t="s">
        <v>17</v>
      </c>
      <c r="J6361" t="s">
        <v>18</v>
      </c>
      <c r="K6361" t="s">
        <v>19</v>
      </c>
      <c r="L6361" t="s">
        <v>20</v>
      </c>
      <c r="M6361" t="s">
        <v>24</v>
      </c>
      <c r="N6361" t="s">
        <v>22</v>
      </c>
    </row>
    <row r="6362" spans="1:14">
      <c r="A6362" s="4" t="str">
        <f t="shared" si="587"/>
        <v>EXP00219</v>
      </c>
      <c r="B6362" s="4" t="str">
        <f t="shared" si="588"/>
        <v>25361981</v>
      </c>
      <c r="C6362" s="4" t="str">
        <f t="shared" si="589"/>
        <v>GSE56493</v>
      </c>
      <c r="D6362" s="1" t="s">
        <v>298</v>
      </c>
      <c r="E6362" t="s">
        <v>15</v>
      </c>
      <c r="F6362" s="1">
        <v>2</v>
      </c>
      <c r="G6362" s="1" t="s">
        <v>23</v>
      </c>
      <c r="H6362" s="4" t="str">
        <f>HYPERLINK("https://www.ncbi.nlm.nih.gov/geo/query/acc.cgi?acc=GSM1362543","GSM1362543")</f>
        <v>GSM1362543</v>
      </c>
      <c r="I6362" t="s">
        <v>17</v>
      </c>
      <c r="J6362" t="s">
        <v>18</v>
      </c>
      <c r="K6362" t="s">
        <v>19</v>
      </c>
      <c r="L6362" t="s">
        <v>20</v>
      </c>
      <c r="M6362" t="s">
        <v>24</v>
      </c>
      <c r="N6362" t="s">
        <v>22</v>
      </c>
    </row>
    <row r="6363" spans="1:14">
      <c r="A6363" s="4" t="str">
        <f t="shared" si="587"/>
        <v>EXP00219</v>
      </c>
      <c r="B6363" s="4" t="str">
        <f t="shared" si="588"/>
        <v>25361981</v>
      </c>
      <c r="C6363" s="4" t="str">
        <f t="shared" si="589"/>
        <v>GSE56493</v>
      </c>
      <c r="D6363" s="1" t="s">
        <v>298</v>
      </c>
      <c r="E6363" t="s">
        <v>15</v>
      </c>
      <c r="F6363" s="1">
        <v>2</v>
      </c>
      <c r="G6363" s="1" t="s">
        <v>23</v>
      </c>
      <c r="H6363" s="4" t="str">
        <f>HYPERLINK("https://www.ncbi.nlm.nih.gov/geo/query/acc.cgi?acc=GSM1362547","GSM1362547")</f>
        <v>GSM1362547</v>
      </c>
      <c r="I6363" t="s">
        <v>17</v>
      </c>
      <c r="J6363" t="s">
        <v>18</v>
      </c>
      <c r="K6363" t="s">
        <v>19</v>
      </c>
      <c r="L6363" t="s">
        <v>20</v>
      </c>
      <c r="M6363" t="s">
        <v>24</v>
      </c>
      <c r="N6363" t="s">
        <v>22</v>
      </c>
    </row>
    <row r="6364" spans="1:14">
      <c r="A6364" s="4" t="str">
        <f t="shared" si="587"/>
        <v>EXP00219</v>
      </c>
      <c r="B6364" s="4" t="str">
        <f t="shared" si="588"/>
        <v>25361981</v>
      </c>
      <c r="C6364" s="4" t="str">
        <f t="shared" si="589"/>
        <v>GSE56493</v>
      </c>
      <c r="D6364" s="1" t="s">
        <v>298</v>
      </c>
      <c r="E6364" t="s">
        <v>15</v>
      </c>
      <c r="F6364" s="1">
        <v>2</v>
      </c>
      <c r="G6364" s="1" t="s">
        <v>23</v>
      </c>
      <c r="H6364" s="4" t="str">
        <f>HYPERLINK("https://www.ncbi.nlm.nih.gov/geo/query/acc.cgi?acc=GSM1362548","GSM1362548")</f>
        <v>GSM1362548</v>
      </c>
      <c r="I6364" t="s">
        <v>17</v>
      </c>
      <c r="J6364" t="s">
        <v>18</v>
      </c>
      <c r="K6364" t="s">
        <v>19</v>
      </c>
      <c r="L6364" t="s">
        <v>20</v>
      </c>
      <c r="M6364" t="s">
        <v>24</v>
      </c>
      <c r="N6364" t="s">
        <v>22</v>
      </c>
    </row>
    <row r="6365" spans="1:14">
      <c r="A6365" s="4" t="str">
        <f t="shared" si="587"/>
        <v>EXP00219</v>
      </c>
      <c r="B6365" s="4" t="str">
        <f t="shared" si="588"/>
        <v>25361981</v>
      </c>
      <c r="C6365" s="4" t="str">
        <f t="shared" si="589"/>
        <v>GSE56493</v>
      </c>
      <c r="D6365" s="1" t="s">
        <v>298</v>
      </c>
      <c r="E6365" t="s">
        <v>15</v>
      </c>
      <c r="F6365" s="1">
        <v>2</v>
      </c>
      <c r="G6365" s="1" t="s">
        <v>23</v>
      </c>
      <c r="H6365" s="4" t="str">
        <f>HYPERLINK("https://www.ncbi.nlm.nih.gov/geo/query/acc.cgi?acc=GSM1362549","GSM1362549")</f>
        <v>GSM1362549</v>
      </c>
      <c r="I6365" t="s">
        <v>17</v>
      </c>
      <c r="J6365" t="s">
        <v>18</v>
      </c>
      <c r="K6365" t="s">
        <v>19</v>
      </c>
      <c r="L6365" t="s">
        <v>20</v>
      </c>
      <c r="M6365" t="s">
        <v>24</v>
      </c>
      <c r="N6365" t="s">
        <v>22</v>
      </c>
    </row>
    <row r="6366" spans="1:14">
      <c r="A6366" s="4" t="str">
        <f t="shared" si="587"/>
        <v>EXP00219</v>
      </c>
      <c r="B6366" s="4" t="str">
        <f t="shared" si="588"/>
        <v>25361981</v>
      </c>
      <c r="C6366" s="4" t="str">
        <f t="shared" si="589"/>
        <v>GSE56493</v>
      </c>
      <c r="D6366" s="1" t="s">
        <v>298</v>
      </c>
      <c r="E6366" t="s">
        <v>15</v>
      </c>
      <c r="F6366" s="1">
        <v>2</v>
      </c>
      <c r="G6366" s="1" t="s">
        <v>23</v>
      </c>
      <c r="H6366" s="4" t="str">
        <f>HYPERLINK("https://www.ncbi.nlm.nih.gov/geo/query/acc.cgi?acc=GSM1362552","GSM1362552")</f>
        <v>GSM1362552</v>
      </c>
      <c r="I6366" t="s">
        <v>17</v>
      </c>
      <c r="J6366" t="s">
        <v>18</v>
      </c>
      <c r="K6366" t="s">
        <v>19</v>
      </c>
      <c r="L6366" t="s">
        <v>20</v>
      </c>
      <c r="M6366" t="s">
        <v>24</v>
      </c>
      <c r="N6366" t="s">
        <v>22</v>
      </c>
    </row>
    <row r="6367" spans="1:14">
      <c r="A6367" s="4" t="str">
        <f t="shared" si="587"/>
        <v>EXP00219</v>
      </c>
      <c r="B6367" s="4" t="str">
        <f t="shared" si="588"/>
        <v>25361981</v>
      </c>
      <c r="C6367" s="4" t="str">
        <f t="shared" si="589"/>
        <v>GSE56493</v>
      </c>
      <c r="D6367" s="1" t="s">
        <v>298</v>
      </c>
      <c r="E6367" t="s">
        <v>15</v>
      </c>
      <c r="F6367" s="1">
        <v>2</v>
      </c>
      <c r="G6367" s="1" t="s">
        <v>23</v>
      </c>
      <c r="H6367" s="4" t="str">
        <f>HYPERLINK("https://www.ncbi.nlm.nih.gov/geo/query/acc.cgi?acc=GSM1362553","GSM1362553")</f>
        <v>GSM1362553</v>
      </c>
      <c r="I6367" t="s">
        <v>17</v>
      </c>
      <c r="J6367" t="s">
        <v>18</v>
      </c>
      <c r="K6367" t="s">
        <v>19</v>
      </c>
      <c r="L6367" t="s">
        <v>20</v>
      </c>
      <c r="M6367" t="s">
        <v>24</v>
      </c>
      <c r="N6367" t="s">
        <v>22</v>
      </c>
    </row>
    <row r="6368" spans="1:14">
      <c r="A6368" s="4" t="str">
        <f t="shared" si="587"/>
        <v>EXP00219</v>
      </c>
      <c r="B6368" s="4" t="str">
        <f t="shared" si="588"/>
        <v>25361981</v>
      </c>
      <c r="C6368" s="4" t="str">
        <f t="shared" si="589"/>
        <v>GSE56493</v>
      </c>
      <c r="D6368" s="1" t="s">
        <v>298</v>
      </c>
      <c r="E6368" t="s">
        <v>15</v>
      </c>
      <c r="F6368" s="1">
        <v>2</v>
      </c>
      <c r="G6368" s="1" t="s">
        <v>23</v>
      </c>
      <c r="H6368" s="4" t="str">
        <f>HYPERLINK("https://www.ncbi.nlm.nih.gov/geo/query/acc.cgi?acc=GSM1362557","GSM1362557")</f>
        <v>GSM1362557</v>
      </c>
      <c r="I6368" t="s">
        <v>17</v>
      </c>
      <c r="J6368" t="s">
        <v>18</v>
      </c>
      <c r="K6368" t="s">
        <v>19</v>
      </c>
      <c r="L6368" t="s">
        <v>20</v>
      </c>
      <c r="M6368" t="s">
        <v>24</v>
      </c>
      <c r="N6368" t="s">
        <v>22</v>
      </c>
    </row>
    <row r="6369" spans="1:14">
      <c r="A6369" s="4" t="str">
        <f t="shared" si="587"/>
        <v>EXP00219</v>
      </c>
      <c r="B6369" s="4" t="str">
        <f t="shared" si="588"/>
        <v>25361981</v>
      </c>
      <c r="C6369" s="4" t="str">
        <f t="shared" si="589"/>
        <v>GSE56493</v>
      </c>
      <c r="D6369" s="1" t="s">
        <v>298</v>
      </c>
      <c r="E6369" t="s">
        <v>15</v>
      </c>
      <c r="F6369" s="1">
        <v>2</v>
      </c>
      <c r="G6369" s="1" t="s">
        <v>23</v>
      </c>
      <c r="H6369" s="4" t="str">
        <f>HYPERLINK("https://www.ncbi.nlm.nih.gov/geo/query/acc.cgi?acc=GSM1362560","GSM1362560")</f>
        <v>GSM1362560</v>
      </c>
      <c r="I6369" t="s">
        <v>17</v>
      </c>
      <c r="J6369" t="s">
        <v>18</v>
      </c>
      <c r="K6369" t="s">
        <v>19</v>
      </c>
      <c r="L6369" t="s">
        <v>20</v>
      </c>
      <c r="M6369" t="s">
        <v>24</v>
      </c>
      <c r="N6369" t="s">
        <v>22</v>
      </c>
    </row>
    <row r="6370" spans="1:14">
      <c r="A6370" s="4" t="str">
        <f t="shared" si="587"/>
        <v>EXP00219</v>
      </c>
      <c r="B6370" s="4" t="str">
        <f t="shared" si="588"/>
        <v>25361981</v>
      </c>
      <c r="C6370" s="4" t="str">
        <f t="shared" si="589"/>
        <v>GSE56493</v>
      </c>
      <c r="D6370" s="1" t="s">
        <v>298</v>
      </c>
      <c r="E6370" t="s">
        <v>15</v>
      </c>
      <c r="F6370" s="1">
        <v>2</v>
      </c>
      <c r="G6370" s="1" t="s">
        <v>23</v>
      </c>
      <c r="H6370" s="4" t="str">
        <f>HYPERLINK("https://www.ncbi.nlm.nih.gov/geo/query/acc.cgi?acc=GSM1362567","GSM1362567")</f>
        <v>GSM1362567</v>
      </c>
      <c r="I6370" t="s">
        <v>17</v>
      </c>
      <c r="J6370" t="s">
        <v>18</v>
      </c>
      <c r="K6370" t="s">
        <v>19</v>
      </c>
      <c r="L6370" t="s">
        <v>20</v>
      </c>
      <c r="M6370" t="s">
        <v>24</v>
      </c>
      <c r="N6370" t="s">
        <v>22</v>
      </c>
    </row>
    <row r="6371" spans="1:14">
      <c r="A6371" s="4" t="str">
        <f t="shared" si="587"/>
        <v>EXP00219</v>
      </c>
      <c r="B6371" s="4" t="str">
        <f t="shared" si="588"/>
        <v>25361981</v>
      </c>
      <c r="C6371" s="4" t="str">
        <f t="shared" si="589"/>
        <v>GSE56493</v>
      </c>
      <c r="D6371" s="1" t="s">
        <v>298</v>
      </c>
      <c r="E6371" t="s">
        <v>15</v>
      </c>
      <c r="F6371" s="1">
        <v>2</v>
      </c>
      <c r="G6371" s="1" t="s">
        <v>23</v>
      </c>
      <c r="H6371" s="4" t="str">
        <f>HYPERLINK("https://www.ncbi.nlm.nih.gov/geo/query/acc.cgi?acc=GSM1362568","GSM1362568")</f>
        <v>GSM1362568</v>
      </c>
      <c r="I6371" t="s">
        <v>17</v>
      </c>
      <c r="J6371" t="s">
        <v>18</v>
      </c>
      <c r="K6371" t="s">
        <v>19</v>
      </c>
      <c r="L6371" t="s">
        <v>20</v>
      </c>
      <c r="M6371" t="s">
        <v>24</v>
      </c>
      <c r="N6371" t="s">
        <v>22</v>
      </c>
    </row>
    <row r="6372" spans="1:14">
      <c r="A6372" s="4" t="str">
        <f t="shared" si="587"/>
        <v>EXP00219</v>
      </c>
      <c r="B6372" s="4" t="str">
        <f t="shared" si="588"/>
        <v>25361981</v>
      </c>
      <c r="C6372" s="4" t="str">
        <f t="shared" si="589"/>
        <v>GSE56493</v>
      </c>
      <c r="D6372" s="1" t="s">
        <v>298</v>
      </c>
      <c r="E6372" t="s">
        <v>15</v>
      </c>
      <c r="F6372" s="1">
        <v>2</v>
      </c>
      <c r="G6372" s="1" t="s">
        <v>23</v>
      </c>
      <c r="H6372" s="4" t="str">
        <f>HYPERLINK("https://www.ncbi.nlm.nih.gov/geo/query/acc.cgi?acc=GSM1362574","GSM1362574")</f>
        <v>GSM1362574</v>
      </c>
      <c r="I6372" t="s">
        <v>17</v>
      </c>
      <c r="J6372" t="s">
        <v>18</v>
      </c>
      <c r="K6372" t="s">
        <v>19</v>
      </c>
      <c r="L6372" t="s">
        <v>20</v>
      </c>
      <c r="M6372" t="s">
        <v>24</v>
      </c>
      <c r="N6372" t="s">
        <v>22</v>
      </c>
    </row>
    <row r="6373" spans="1:14">
      <c r="A6373" s="4" t="str">
        <f t="shared" si="587"/>
        <v>EXP00219</v>
      </c>
      <c r="B6373" s="4" t="str">
        <f t="shared" si="588"/>
        <v>25361981</v>
      </c>
      <c r="C6373" s="4" t="str">
        <f t="shared" si="589"/>
        <v>GSE56493</v>
      </c>
      <c r="D6373" s="1" t="s">
        <v>298</v>
      </c>
      <c r="E6373" t="s">
        <v>15</v>
      </c>
      <c r="F6373" s="1">
        <v>2</v>
      </c>
      <c r="G6373" s="1" t="s">
        <v>23</v>
      </c>
      <c r="H6373" s="4" t="str">
        <f>HYPERLINK("https://www.ncbi.nlm.nih.gov/geo/query/acc.cgi?acc=GSM1362575","GSM1362575")</f>
        <v>GSM1362575</v>
      </c>
      <c r="I6373" t="s">
        <v>17</v>
      </c>
      <c r="J6373" t="s">
        <v>18</v>
      </c>
      <c r="K6373" t="s">
        <v>19</v>
      </c>
      <c r="L6373" t="s">
        <v>20</v>
      </c>
      <c r="M6373" t="s">
        <v>24</v>
      </c>
      <c r="N6373" t="s">
        <v>22</v>
      </c>
    </row>
    <row r="6374" spans="1:14">
      <c r="A6374" s="4" t="str">
        <f t="shared" si="587"/>
        <v>EXP00219</v>
      </c>
      <c r="B6374" s="4" t="str">
        <f t="shared" si="588"/>
        <v>25361981</v>
      </c>
      <c r="C6374" s="4" t="str">
        <f t="shared" si="589"/>
        <v>GSE56493</v>
      </c>
      <c r="D6374" s="1" t="s">
        <v>298</v>
      </c>
      <c r="E6374" t="s">
        <v>15</v>
      </c>
      <c r="F6374" s="1">
        <v>2</v>
      </c>
      <c r="G6374" s="1" t="s">
        <v>23</v>
      </c>
      <c r="H6374" s="4" t="str">
        <f>HYPERLINK("https://www.ncbi.nlm.nih.gov/geo/query/acc.cgi?acc=GSM1362579","GSM1362579")</f>
        <v>GSM1362579</v>
      </c>
      <c r="I6374" t="s">
        <v>17</v>
      </c>
      <c r="J6374" t="s">
        <v>18</v>
      </c>
      <c r="K6374" t="s">
        <v>19</v>
      </c>
      <c r="L6374" t="s">
        <v>20</v>
      </c>
      <c r="M6374" t="s">
        <v>24</v>
      </c>
      <c r="N6374" t="s">
        <v>22</v>
      </c>
    </row>
    <row r="6375" spans="1:14">
      <c r="A6375" s="4" t="str">
        <f t="shared" si="587"/>
        <v>EXP00219</v>
      </c>
      <c r="B6375" s="4" t="str">
        <f t="shared" si="588"/>
        <v>25361981</v>
      </c>
      <c r="C6375" s="4" t="str">
        <f t="shared" si="589"/>
        <v>GSE56493</v>
      </c>
      <c r="D6375" s="1" t="s">
        <v>298</v>
      </c>
      <c r="E6375" t="s">
        <v>15</v>
      </c>
      <c r="F6375" s="1">
        <v>2</v>
      </c>
      <c r="G6375" s="1" t="s">
        <v>23</v>
      </c>
      <c r="H6375" s="4" t="str">
        <f>HYPERLINK("https://www.ncbi.nlm.nih.gov/geo/query/acc.cgi?acc=GSM1362580","GSM1362580")</f>
        <v>GSM1362580</v>
      </c>
      <c r="I6375" t="s">
        <v>17</v>
      </c>
      <c r="J6375" t="s">
        <v>18</v>
      </c>
      <c r="K6375" t="s">
        <v>19</v>
      </c>
      <c r="L6375" t="s">
        <v>20</v>
      </c>
      <c r="M6375" t="s">
        <v>24</v>
      </c>
      <c r="N6375" t="s">
        <v>22</v>
      </c>
    </row>
    <row r="6376" spans="1:14">
      <c r="A6376" s="4" t="str">
        <f t="shared" si="587"/>
        <v>EXP00219</v>
      </c>
      <c r="B6376" s="4" t="str">
        <f t="shared" si="588"/>
        <v>25361981</v>
      </c>
      <c r="C6376" s="4" t="str">
        <f t="shared" si="589"/>
        <v>GSE56493</v>
      </c>
      <c r="D6376" s="1" t="s">
        <v>298</v>
      </c>
      <c r="E6376" t="s">
        <v>15</v>
      </c>
      <c r="F6376" s="1">
        <v>2</v>
      </c>
      <c r="G6376" s="1" t="s">
        <v>23</v>
      </c>
      <c r="H6376" s="4" t="str">
        <f>HYPERLINK("https://www.ncbi.nlm.nih.gov/geo/query/acc.cgi?acc=GSM1362581","GSM1362581")</f>
        <v>GSM1362581</v>
      </c>
      <c r="I6376" t="s">
        <v>17</v>
      </c>
      <c r="J6376" t="s">
        <v>18</v>
      </c>
      <c r="K6376" t="s">
        <v>19</v>
      </c>
      <c r="L6376" t="s">
        <v>20</v>
      </c>
      <c r="M6376" t="s">
        <v>24</v>
      </c>
      <c r="N6376" t="s">
        <v>22</v>
      </c>
    </row>
    <row r="6377" spans="1:14">
      <c r="A6377" s="4" t="str">
        <f t="shared" si="587"/>
        <v>EXP00219</v>
      </c>
      <c r="B6377" s="4" t="str">
        <f t="shared" si="588"/>
        <v>25361981</v>
      </c>
      <c r="C6377" s="4" t="str">
        <f t="shared" si="589"/>
        <v>GSE56493</v>
      </c>
      <c r="D6377" s="1" t="s">
        <v>298</v>
      </c>
      <c r="E6377" t="s">
        <v>15</v>
      </c>
      <c r="F6377" s="1">
        <v>2</v>
      </c>
      <c r="G6377" s="1" t="s">
        <v>23</v>
      </c>
      <c r="H6377" s="4" t="str">
        <f>HYPERLINK("https://www.ncbi.nlm.nih.gov/geo/query/acc.cgi?acc=GSM1362586","GSM1362586")</f>
        <v>GSM1362586</v>
      </c>
      <c r="I6377" t="s">
        <v>17</v>
      </c>
      <c r="J6377" t="s">
        <v>18</v>
      </c>
      <c r="K6377" t="s">
        <v>19</v>
      </c>
      <c r="L6377" t="s">
        <v>20</v>
      </c>
      <c r="M6377" t="s">
        <v>24</v>
      </c>
      <c r="N6377" t="s">
        <v>22</v>
      </c>
    </row>
    <row r="6378" spans="1:14">
      <c r="A6378" s="4" t="str">
        <f t="shared" si="587"/>
        <v>EXP00219</v>
      </c>
      <c r="B6378" s="4" t="str">
        <f t="shared" si="588"/>
        <v>25361981</v>
      </c>
      <c r="C6378" s="4" t="str">
        <f t="shared" si="589"/>
        <v>GSE56493</v>
      </c>
      <c r="D6378" s="1" t="s">
        <v>298</v>
      </c>
      <c r="E6378" t="s">
        <v>15</v>
      </c>
      <c r="F6378" s="1">
        <v>2</v>
      </c>
      <c r="G6378" s="1" t="s">
        <v>23</v>
      </c>
      <c r="H6378" s="4" t="str">
        <f>HYPERLINK("https://www.ncbi.nlm.nih.gov/geo/query/acc.cgi?acc=GSM1362587","GSM1362587")</f>
        <v>GSM1362587</v>
      </c>
      <c r="I6378" t="s">
        <v>17</v>
      </c>
      <c r="J6378" t="s">
        <v>18</v>
      </c>
      <c r="K6378" t="s">
        <v>19</v>
      </c>
      <c r="L6378" t="s">
        <v>20</v>
      </c>
      <c r="M6378" t="s">
        <v>24</v>
      </c>
      <c r="N6378" t="s">
        <v>22</v>
      </c>
    </row>
    <row r="6379" spans="1:14">
      <c r="A6379" s="4" t="str">
        <f t="shared" si="587"/>
        <v>EXP00219</v>
      </c>
      <c r="B6379" s="4" t="str">
        <f t="shared" si="588"/>
        <v>25361981</v>
      </c>
      <c r="C6379" s="4" t="str">
        <f t="shared" si="589"/>
        <v>GSE56493</v>
      </c>
      <c r="D6379" s="1" t="s">
        <v>298</v>
      </c>
      <c r="E6379" t="s">
        <v>15</v>
      </c>
      <c r="F6379" s="1">
        <v>2</v>
      </c>
      <c r="G6379" s="1" t="s">
        <v>23</v>
      </c>
      <c r="H6379" s="4" t="str">
        <f>HYPERLINK("https://www.ncbi.nlm.nih.gov/geo/query/acc.cgi?acc=GSM1362592","GSM1362592")</f>
        <v>GSM1362592</v>
      </c>
      <c r="I6379" t="s">
        <v>17</v>
      </c>
      <c r="J6379" t="s">
        <v>18</v>
      </c>
      <c r="K6379" t="s">
        <v>19</v>
      </c>
      <c r="L6379" t="s">
        <v>20</v>
      </c>
      <c r="M6379" t="s">
        <v>24</v>
      </c>
      <c r="N6379" t="s">
        <v>22</v>
      </c>
    </row>
    <row r="6380" spans="1:14">
      <c r="A6380" s="4" t="str">
        <f t="shared" si="587"/>
        <v>EXP00219</v>
      </c>
      <c r="B6380" s="4" t="str">
        <f t="shared" si="588"/>
        <v>25361981</v>
      </c>
      <c r="C6380" s="4" t="str">
        <f t="shared" si="589"/>
        <v>GSE56493</v>
      </c>
      <c r="D6380" s="1" t="s">
        <v>298</v>
      </c>
      <c r="E6380" t="s">
        <v>15</v>
      </c>
      <c r="F6380" s="1">
        <v>2</v>
      </c>
      <c r="G6380" s="1" t="s">
        <v>23</v>
      </c>
      <c r="H6380" s="4" t="str">
        <f>HYPERLINK("https://www.ncbi.nlm.nih.gov/geo/query/acc.cgi?acc=GSM1362595","GSM1362595")</f>
        <v>GSM1362595</v>
      </c>
      <c r="I6380" t="s">
        <v>17</v>
      </c>
      <c r="J6380" t="s">
        <v>18</v>
      </c>
      <c r="K6380" t="s">
        <v>19</v>
      </c>
      <c r="L6380" t="s">
        <v>20</v>
      </c>
      <c r="M6380" t="s">
        <v>24</v>
      </c>
      <c r="N6380" t="s">
        <v>22</v>
      </c>
    </row>
    <row r="6381" spans="1:14">
      <c r="A6381" s="4" t="str">
        <f t="shared" si="587"/>
        <v>EXP00219</v>
      </c>
      <c r="B6381" s="4" t="str">
        <f t="shared" si="588"/>
        <v>25361981</v>
      </c>
      <c r="C6381" s="4" t="str">
        <f t="shared" si="589"/>
        <v>GSE56493</v>
      </c>
      <c r="D6381" s="1" t="s">
        <v>298</v>
      </c>
      <c r="E6381" t="s">
        <v>15</v>
      </c>
      <c r="F6381" s="1">
        <v>2</v>
      </c>
      <c r="G6381" s="1" t="s">
        <v>23</v>
      </c>
      <c r="H6381" s="4" t="str">
        <f>HYPERLINK("https://www.ncbi.nlm.nih.gov/geo/query/acc.cgi?acc=GSM1362600","GSM1362600")</f>
        <v>GSM1362600</v>
      </c>
      <c r="I6381" t="s">
        <v>17</v>
      </c>
      <c r="J6381" t="s">
        <v>18</v>
      </c>
      <c r="K6381" t="s">
        <v>19</v>
      </c>
      <c r="L6381" t="s">
        <v>20</v>
      </c>
      <c r="M6381" t="s">
        <v>24</v>
      </c>
      <c r="N6381" t="s">
        <v>22</v>
      </c>
    </row>
    <row r="6382" spans="1:14">
      <c r="A6382" s="4" t="str">
        <f t="shared" si="587"/>
        <v>EXP00219</v>
      </c>
      <c r="B6382" s="4" t="str">
        <f t="shared" si="588"/>
        <v>25361981</v>
      </c>
      <c r="C6382" s="4" t="str">
        <f t="shared" si="589"/>
        <v>GSE56493</v>
      </c>
      <c r="D6382" s="1" t="s">
        <v>298</v>
      </c>
      <c r="E6382" t="s">
        <v>15</v>
      </c>
      <c r="F6382" s="1">
        <v>2</v>
      </c>
      <c r="G6382" s="1" t="s">
        <v>23</v>
      </c>
      <c r="H6382" s="4" t="str">
        <f>HYPERLINK("https://www.ncbi.nlm.nih.gov/geo/query/acc.cgi?acc=GSM1362601","GSM1362601")</f>
        <v>GSM1362601</v>
      </c>
      <c r="I6382" t="s">
        <v>17</v>
      </c>
      <c r="J6382" t="s">
        <v>18</v>
      </c>
      <c r="K6382" t="s">
        <v>19</v>
      </c>
      <c r="L6382" t="s">
        <v>20</v>
      </c>
      <c r="M6382" t="s">
        <v>24</v>
      </c>
      <c r="N6382" t="s">
        <v>22</v>
      </c>
    </row>
    <row r="6383" spans="1:14">
      <c r="A6383" s="4" t="str">
        <f t="shared" si="587"/>
        <v>EXP00219</v>
      </c>
      <c r="B6383" s="4" t="str">
        <f t="shared" si="588"/>
        <v>25361981</v>
      </c>
      <c r="C6383" s="4" t="str">
        <f t="shared" si="589"/>
        <v>GSE56493</v>
      </c>
      <c r="D6383" s="1" t="s">
        <v>298</v>
      </c>
      <c r="E6383" t="s">
        <v>15</v>
      </c>
      <c r="F6383" s="1">
        <v>2</v>
      </c>
      <c r="G6383" s="1" t="s">
        <v>23</v>
      </c>
      <c r="H6383" s="4" t="str">
        <f>HYPERLINK("https://www.ncbi.nlm.nih.gov/geo/query/acc.cgi?acc=GSM1362608","GSM1362608")</f>
        <v>GSM1362608</v>
      </c>
      <c r="I6383" t="s">
        <v>17</v>
      </c>
      <c r="J6383" t="s">
        <v>18</v>
      </c>
      <c r="K6383" t="s">
        <v>19</v>
      </c>
      <c r="L6383" t="s">
        <v>20</v>
      </c>
      <c r="M6383" t="s">
        <v>24</v>
      </c>
      <c r="N6383" t="s">
        <v>22</v>
      </c>
    </row>
    <row r="6384" spans="1:14">
      <c r="A6384" s="4" t="str">
        <f t="shared" si="587"/>
        <v>EXP00219</v>
      </c>
      <c r="B6384" s="4" t="str">
        <f t="shared" si="588"/>
        <v>25361981</v>
      </c>
      <c r="C6384" s="4" t="str">
        <f t="shared" si="589"/>
        <v>GSE56493</v>
      </c>
      <c r="D6384" s="1" t="s">
        <v>298</v>
      </c>
      <c r="E6384" t="s">
        <v>15</v>
      </c>
      <c r="F6384" s="1">
        <v>2</v>
      </c>
      <c r="G6384" s="1" t="s">
        <v>23</v>
      </c>
      <c r="H6384" s="4" t="str">
        <f>HYPERLINK("https://www.ncbi.nlm.nih.gov/geo/query/acc.cgi?acc=GSM1362609","GSM1362609")</f>
        <v>GSM1362609</v>
      </c>
      <c r="I6384" t="s">
        <v>17</v>
      </c>
      <c r="J6384" t="s">
        <v>18</v>
      </c>
      <c r="K6384" t="s">
        <v>19</v>
      </c>
      <c r="L6384" t="s">
        <v>20</v>
      </c>
      <c r="M6384" t="s">
        <v>24</v>
      </c>
      <c r="N6384" t="s">
        <v>22</v>
      </c>
    </row>
    <row r="6385" spans="1:14">
      <c r="A6385" s="4" t="str">
        <f t="shared" si="587"/>
        <v>EXP00219</v>
      </c>
      <c r="B6385" s="4" t="str">
        <f t="shared" si="588"/>
        <v>25361981</v>
      </c>
      <c r="C6385" s="4" t="str">
        <f t="shared" si="589"/>
        <v>GSE56493</v>
      </c>
      <c r="D6385" s="1" t="s">
        <v>298</v>
      </c>
      <c r="E6385" t="s">
        <v>15</v>
      </c>
      <c r="F6385" s="1">
        <v>2</v>
      </c>
      <c r="G6385" s="1" t="s">
        <v>23</v>
      </c>
      <c r="H6385" s="4" t="str">
        <f>HYPERLINK("https://www.ncbi.nlm.nih.gov/geo/query/acc.cgi?acc=GSM1362613","GSM1362613")</f>
        <v>GSM1362613</v>
      </c>
      <c r="I6385" t="s">
        <v>17</v>
      </c>
      <c r="J6385" t="s">
        <v>18</v>
      </c>
      <c r="K6385" t="s">
        <v>19</v>
      </c>
      <c r="L6385" t="s">
        <v>20</v>
      </c>
      <c r="M6385" t="s">
        <v>24</v>
      </c>
      <c r="N6385" t="s">
        <v>22</v>
      </c>
    </row>
    <row r="6386" spans="1:14">
      <c r="A6386" s="4" t="str">
        <f t="shared" si="587"/>
        <v>EXP00219</v>
      </c>
      <c r="B6386" s="4" t="str">
        <f t="shared" si="588"/>
        <v>25361981</v>
      </c>
      <c r="C6386" s="4" t="str">
        <f t="shared" si="589"/>
        <v>GSE56493</v>
      </c>
      <c r="D6386" s="1" t="s">
        <v>298</v>
      </c>
      <c r="E6386" t="s">
        <v>15</v>
      </c>
      <c r="F6386" s="1">
        <v>2</v>
      </c>
      <c r="G6386" s="1" t="s">
        <v>23</v>
      </c>
      <c r="H6386" s="4" t="str">
        <f>HYPERLINK("https://www.ncbi.nlm.nih.gov/geo/query/acc.cgi?acc=GSM1362615","GSM1362615")</f>
        <v>GSM1362615</v>
      </c>
      <c r="I6386" t="s">
        <v>17</v>
      </c>
      <c r="J6386" t="s">
        <v>18</v>
      </c>
      <c r="K6386" t="s">
        <v>19</v>
      </c>
      <c r="L6386" t="s">
        <v>20</v>
      </c>
      <c r="M6386" t="s">
        <v>24</v>
      </c>
      <c r="N6386" t="s">
        <v>22</v>
      </c>
    </row>
    <row r="6387" spans="1:14">
      <c r="A6387" s="4" t="str">
        <f t="shared" ref="A6387:A6393" si="590">HYPERLINK("http://hcmdb.i-sanger.com/experiment/details/experiment_id/EXP00219","EXP00219")</f>
        <v>EXP00219</v>
      </c>
      <c r="B6387" s="4" t="str">
        <f t="shared" si="588"/>
        <v>25361981</v>
      </c>
      <c r="C6387" s="4" t="str">
        <f t="shared" si="589"/>
        <v>GSE56493</v>
      </c>
      <c r="D6387" s="1" t="s">
        <v>298</v>
      </c>
      <c r="E6387" t="s">
        <v>15</v>
      </c>
      <c r="F6387" s="1">
        <v>2</v>
      </c>
      <c r="G6387" s="1" t="s">
        <v>23</v>
      </c>
      <c r="H6387" s="4" t="str">
        <f>HYPERLINK("https://www.ncbi.nlm.nih.gov/geo/query/acc.cgi?acc=GSM1362617","GSM1362617")</f>
        <v>GSM1362617</v>
      </c>
      <c r="I6387" t="s">
        <v>17</v>
      </c>
      <c r="J6387" t="s">
        <v>18</v>
      </c>
      <c r="K6387" t="s">
        <v>19</v>
      </c>
      <c r="L6387" t="s">
        <v>20</v>
      </c>
      <c r="M6387" t="s">
        <v>24</v>
      </c>
      <c r="N6387" t="s">
        <v>22</v>
      </c>
    </row>
    <row r="6388" spans="1:14">
      <c r="A6388" s="4" t="str">
        <f t="shared" si="590"/>
        <v>EXP00219</v>
      </c>
      <c r="B6388" s="4" t="str">
        <f t="shared" si="588"/>
        <v>25361981</v>
      </c>
      <c r="C6388" s="4" t="str">
        <f t="shared" si="589"/>
        <v>GSE56493</v>
      </c>
      <c r="D6388" s="1" t="s">
        <v>298</v>
      </c>
      <c r="E6388" t="s">
        <v>15</v>
      </c>
      <c r="F6388" s="1">
        <v>2</v>
      </c>
      <c r="G6388" s="1" t="s">
        <v>23</v>
      </c>
      <c r="H6388" s="4" t="str">
        <f>HYPERLINK("https://www.ncbi.nlm.nih.gov/geo/query/acc.cgi?acc=GSM1362619","GSM1362619")</f>
        <v>GSM1362619</v>
      </c>
      <c r="I6388" t="s">
        <v>17</v>
      </c>
      <c r="J6388" t="s">
        <v>18</v>
      </c>
      <c r="K6388" t="s">
        <v>19</v>
      </c>
      <c r="L6388" t="s">
        <v>20</v>
      </c>
      <c r="M6388" t="s">
        <v>24</v>
      </c>
      <c r="N6388" t="s">
        <v>22</v>
      </c>
    </row>
    <row r="6389" spans="1:14">
      <c r="A6389" s="4" t="str">
        <f t="shared" si="590"/>
        <v>EXP00219</v>
      </c>
      <c r="B6389" s="4" t="str">
        <f t="shared" si="588"/>
        <v>25361981</v>
      </c>
      <c r="C6389" s="4" t="str">
        <f t="shared" si="589"/>
        <v>GSE56493</v>
      </c>
      <c r="D6389" s="1" t="s">
        <v>298</v>
      </c>
      <c r="E6389" t="s">
        <v>15</v>
      </c>
      <c r="F6389" s="1">
        <v>2</v>
      </c>
      <c r="G6389" s="1" t="s">
        <v>23</v>
      </c>
      <c r="H6389" s="4" t="str">
        <f>HYPERLINK("https://www.ncbi.nlm.nih.gov/geo/query/acc.cgi?acc=GSM1362620","GSM1362620")</f>
        <v>GSM1362620</v>
      </c>
      <c r="I6389" t="s">
        <v>17</v>
      </c>
      <c r="J6389" t="s">
        <v>18</v>
      </c>
      <c r="K6389" t="s">
        <v>19</v>
      </c>
      <c r="L6389" t="s">
        <v>20</v>
      </c>
      <c r="M6389" t="s">
        <v>24</v>
      </c>
      <c r="N6389" t="s">
        <v>22</v>
      </c>
    </row>
    <row r="6390" spans="1:14">
      <c r="A6390" s="4" t="str">
        <f t="shared" si="590"/>
        <v>EXP00219</v>
      </c>
      <c r="B6390" s="4" t="str">
        <f t="shared" si="588"/>
        <v>25361981</v>
      </c>
      <c r="C6390" s="4" t="str">
        <f t="shared" si="589"/>
        <v>GSE56493</v>
      </c>
      <c r="D6390" s="1" t="s">
        <v>298</v>
      </c>
      <c r="E6390" t="s">
        <v>15</v>
      </c>
      <c r="F6390" s="1">
        <v>2</v>
      </c>
      <c r="G6390" s="1" t="s">
        <v>23</v>
      </c>
      <c r="H6390" s="4" t="str">
        <f>HYPERLINK("https://www.ncbi.nlm.nih.gov/geo/query/acc.cgi?acc=GSM1362622","GSM1362622")</f>
        <v>GSM1362622</v>
      </c>
      <c r="I6390" t="s">
        <v>17</v>
      </c>
      <c r="J6390" t="s">
        <v>18</v>
      </c>
      <c r="K6390" t="s">
        <v>19</v>
      </c>
      <c r="L6390" t="s">
        <v>20</v>
      </c>
      <c r="M6390" t="s">
        <v>24</v>
      </c>
      <c r="N6390" t="s">
        <v>22</v>
      </c>
    </row>
    <row r="6391" spans="1:14">
      <c r="A6391" s="4" t="str">
        <f t="shared" si="590"/>
        <v>EXP00219</v>
      </c>
      <c r="B6391" s="4" t="str">
        <f t="shared" si="588"/>
        <v>25361981</v>
      </c>
      <c r="C6391" s="4" t="str">
        <f t="shared" si="589"/>
        <v>GSE56493</v>
      </c>
      <c r="D6391" s="1" t="s">
        <v>298</v>
      </c>
      <c r="E6391" t="s">
        <v>15</v>
      </c>
      <c r="F6391" s="1">
        <v>2</v>
      </c>
      <c r="G6391" s="1" t="s">
        <v>23</v>
      </c>
      <c r="H6391" s="4" t="str">
        <f>HYPERLINK("https://www.ncbi.nlm.nih.gov/geo/query/acc.cgi?acc=GSM1362623","GSM1362623")</f>
        <v>GSM1362623</v>
      </c>
      <c r="I6391" t="s">
        <v>17</v>
      </c>
      <c r="J6391" t="s">
        <v>18</v>
      </c>
      <c r="K6391" t="s">
        <v>19</v>
      </c>
      <c r="L6391" t="s">
        <v>20</v>
      </c>
      <c r="M6391" t="s">
        <v>24</v>
      </c>
      <c r="N6391" t="s">
        <v>22</v>
      </c>
    </row>
    <row r="6392" spans="1:14">
      <c r="A6392" s="4" t="str">
        <f t="shared" si="590"/>
        <v>EXP00219</v>
      </c>
      <c r="B6392" s="4" t="str">
        <f t="shared" si="588"/>
        <v>25361981</v>
      </c>
      <c r="C6392" s="4" t="str">
        <f t="shared" si="589"/>
        <v>GSE56493</v>
      </c>
      <c r="D6392" s="1" t="s">
        <v>298</v>
      </c>
      <c r="E6392" t="s">
        <v>15</v>
      </c>
      <c r="F6392" s="1">
        <v>2</v>
      </c>
      <c r="G6392" s="1" t="s">
        <v>23</v>
      </c>
      <c r="H6392" s="4" t="str">
        <f>HYPERLINK("https://www.ncbi.nlm.nih.gov/geo/query/acc.cgi?acc=GSM1362625","GSM1362625")</f>
        <v>GSM1362625</v>
      </c>
      <c r="I6392" t="s">
        <v>17</v>
      </c>
      <c r="J6392" t="s">
        <v>18</v>
      </c>
      <c r="K6392" t="s">
        <v>19</v>
      </c>
      <c r="L6392" t="s">
        <v>20</v>
      </c>
      <c r="M6392" t="s">
        <v>24</v>
      </c>
      <c r="N6392" t="s">
        <v>22</v>
      </c>
    </row>
    <row r="6393" spans="1:14">
      <c r="A6393" s="4" t="str">
        <f t="shared" si="590"/>
        <v>EXP00219</v>
      </c>
      <c r="B6393" s="4" t="str">
        <f t="shared" si="588"/>
        <v>25361981</v>
      </c>
      <c r="C6393" s="4" t="str">
        <f t="shared" si="589"/>
        <v>GSE56493</v>
      </c>
      <c r="D6393" s="1" t="s">
        <v>298</v>
      </c>
      <c r="E6393" t="s">
        <v>15</v>
      </c>
      <c r="F6393" s="1">
        <v>2</v>
      </c>
      <c r="G6393" s="1" t="s">
        <v>23</v>
      </c>
      <c r="H6393" s="4" t="str">
        <f>HYPERLINK("https://www.ncbi.nlm.nih.gov/geo/query/acc.cgi?acc=GSM1362633","GSM1362633")</f>
        <v>GSM1362633</v>
      </c>
      <c r="I6393" t="s">
        <v>17</v>
      </c>
      <c r="J6393" t="s">
        <v>18</v>
      </c>
      <c r="K6393" t="s">
        <v>19</v>
      </c>
      <c r="L6393" t="s">
        <v>20</v>
      </c>
      <c r="M6393" t="s">
        <v>24</v>
      </c>
      <c r="N6393" t="s">
        <v>22</v>
      </c>
    </row>
    <row r="6394" spans="1:14">
      <c r="A6394" s="4" t="str">
        <f t="shared" ref="A6394:A6425" si="591">HYPERLINK("http://hcmdb.i-sanger.com/experiment/details/experiment_id/EXP00220","EXP00220")</f>
        <v>EXP00220</v>
      </c>
      <c r="B6394" s="4" t="str">
        <f t="shared" si="588"/>
        <v>25361981</v>
      </c>
      <c r="C6394" s="4" t="str">
        <f t="shared" si="589"/>
        <v>GSE56493</v>
      </c>
      <c r="D6394" s="1" t="s">
        <v>298</v>
      </c>
      <c r="E6394" t="s">
        <v>15</v>
      </c>
      <c r="F6394" s="1">
        <v>1</v>
      </c>
      <c r="G6394" s="1" t="s">
        <v>63</v>
      </c>
      <c r="H6394" s="4" t="str">
        <f>HYPERLINK("https://www.ncbi.nlm.nih.gov/geo/query/acc.cgi?acc=GSM1362526","GSM1362526")</f>
        <v>GSM1362526</v>
      </c>
      <c r="I6394" t="s">
        <v>17</v>
      </c>
      <c r="J6394" t="s">
        <v>18</v>
      </c>
      <c r="K6394" t="s">
        <v>19</v>
      </c>
      <c r="L6394" t="s">
        <v>20</v>
      </c>
      <c r="M6394" t="s">
        <v>44</v>
      </c>
      <c r="N6394" t="s">
        <v>22</v>
      </c>
    </row>
    <row r="6395" spans="1:14">
      <c r="A6395" s="4" t="str">
        <f t="shared" si="591"/>
        <v>EXP00220</v>
      </c>
      <c r="B6395" s="4" t="str">
        <f t="shared" si="588"/>
        <v>25361981</v>
      </c>
      <c r="C6395" s="4" t="str">
        <f t="shared" si="589"/>
        <v>GSE56493</v>
      </c>
      <c r="D6395" s="1" t="s">
        <v>298</v>
      </c>
      <c r="E6395" t="s">
        <v>15</v>
      </c>
      <c r="F6395" s="1">
        <v>1</v>
      </c>
      <c r="G6395" s="1" t="s">
        <v>63</v>
      </c>
      <c r="H6395" s="4" t="str">
        <f>HYPERLINK("https://www.ncbi.nlm.nih.gov/geo/query/acc.cgi?acc=GSM1362530","GSM1362530")</f>
        <v>GSM1362530</v>
      </c>
      <c r="I6395" t="s">
        <v>17</v>
      </c>
      <c r="J6395" t="s">
        <v>18</v>
      </c>
      <c r="K6395" t="s">
        <v>19</v>
      </c>
      <c r="L6395" t="s">
        <v>20</v>
      </c>
      <c r="M6395" t="s">
        <v>44</v>
      </c>
      <c r="N6395" t="s">
        <v>22</v>
      </c>
    </row>
    <row r="6396" spans="1:14">
      <c r="A6396" s="4" t="str">
        <f t="shared" si="591"/>
        <v>EXP00220</v>
      </c>
      <c r="B6396" s="4" t="str">
        <f t="shared" si="588"/>
        <v>25361981</v>
      </c>
      <c r="C6396" s="4" t="str">
        <f t="shared" si="589"/>
        <v>GSE56493</v>
      </c>
      <c r="D6396" s="1" t="s">
        <v>298</v>
      </c>
      <c r="E6396" t="s">
        <v>15</v>
      </c>
      <c r="F6396" s="1">
        <v>1</v>
      </c>
      <c r="G6396" s="1" t="s">
        <v>63</v>
      </c>
      <c r="H6396" s="4" t="str">
        <f>HYPERLINK("https://www.ncbi.nlm.nih.gov/geo/query/acc.cgi?acc=GSM1362532","GSM1362532")</f>
        <v>GSM1362532</v>
      </c>
      <c r="I6396" t="s">
        <v>17</v>
      </c>
      <c r="J6396" t="s">
        <v>18</v>
      </c>
      <c r="K6396" t="s">
        <v>19</v>
      </c>
      <c r="L6396" t="s">
        <v>20</v>
      </c>
      <c r="M6396" t="s">
        <v>44</v>
      </c>
      <c r="N6396" t="s">
        <v>22</v>
      </c>
    </row>
    <row r="6397" spans="1:14">
      <c r="A6397" s="4" t="str">
        <f t="shared" si="591"/>
        <v>EXP00220</v>
      </c>
      <c r="B6397" s="4" t="str">
        <f t="shared" si="588"/>
        <v>25361981</v>
      </c>
      <c r="C6397" s="4" t="str">
        <f t="shared" si="589"/>
        <v>GSE56493</v>
      </c>
      <c r="D6397" s="1" t="s">
        <v>298</v>
      </c>
      <c r="E6397" t="s">
        <v>15</v>
      </c>
      <c r="F6397" s="1">
        <v>1</v>
      </c>
      <c r="G6397" s="1" t="s">
        <v>63</v>
      </c>
      <c r="H6397" s="4" t="str">
        <f>HYPERLINK("https://www.ncbi.nlm.nih.gov/geo/query/acc.cgi?acc=GSM1362533","GSM1362533")</f>
        <v>GSM1362533</v>
      </c>
      <c r="I6397" t="s">
        <v>17</v>
      </c>
      <c r="J6397" t="s">
        <v>18</v>
      </c>
      <c r="K6397" t="s">
        <v>19</v>
      </c>
      <c r="L6397" t="s">
        <v>20</v>
      </c>
      <c r="M6397" t="s">
        <v>44</v>
      </c>
      <c r="N6397" t="s">
        <v>22</v>
      </c>
    </row>
    <row r="6398" spans="1:14">
      <c r="A6398" s="4" t="str">
        <f t="shared" si="591"/>
        <v>EXP00220</v>
      </c>
      <c r="B6398" s="4" t="str">
        <f t="shared" si="588"/>
        <v>25361981</v>
      </c>
      <c r="C6398" s="4" t="str">
        <f t="shared" si="589"/>
        <v>GSE56493</v>
      </c>
      <c r="D6398" s="1" t="s">
        <v>298</v>
      </c>
      <c r="E6398" t="s">
        <v>15</v>
      </c>
      <c r="F6398" s="1">
        <v>1</v>
      </c>
      <c r="G6398" s="1" t="s">
        <v>63</v>
      </c>
      <c r="H6398" s="4" t="str">
        <f>HYPERLINK("https://www.ncbi.nlm.nih.gov/geo/query/acc.cgi?acc=GSM1362534","GSM1362534")</f>
        <v>GSM1362534</v>
      </c>
      <c r="I6398" t="s">
        <v>17</v>
      </c>
      <c r="J6398" t="s">
        <v>18</v>
      </c>
      <c r="K6398" t="s">
        <v>19</v>
      </c>
      <c r="L6398" t="s">
        <v>20</v>
      </c>
      <c r="M6398" t="s">
        <v>44</v>
      </c>
      <c r="N6398" t="s">
        <v>22</v>
      </c>
    </row>
    <row r="6399" spans="1:14">
      <c r="A6399" s="4" t="str">
        <f t="shared" si="591"/>
        <v>EXP00220</v>
      </c>
      <c r="B6399" s="4" t="str">
        <f t="shared" si="588"/>
        <v>25361981</v>
      </c>
      <c r="C6399" s="4" t="str">
        <f t="shared" si="589"/>
        <v>GSE56493</v>
      </c>
      <c r="D6399" s="1" t="s">
        <v>298</v>
      </c>
      <c r="E6399" t="s">
        <v>15</v>
      </c>
      <c r="F6399" s="1">
        <v>1</v>
      </c>
      <c r="G6399" s="1" t="s">
        <v>63</v>
      </c>
      <c r="H6399" s="4" t="str">
        <f>HYPERLINK("https://www.ncbi.nlm.nih.gov/geo/query/acc.cgi?acc=GSM1362535","GSM1362535")</f>
        <v>GSM1362535</v>
      </c>
      <c r="I6399" t="s">
        <v>17</v>
      </c>
      <c r="J6399" t="s">
        <v>18</v>
      </c>
      <c r="K6399" t="s">
        <v>19</v>
      </c>
      <c r="L6399" t="s">
        <v>20</v>
      </c>
      <c r="M6399" t="s">
        <v>44</v>
      </c>
      <c r="N6399" t="s">
        <v>22</v>
      </c>
    </row>
    <row r="6400" spans="1:14">
      <c r="A6400" s="4" t="str">
        <f t="shared" si="591"/>
        <v>EXP00220</v>
      </c>
      <c r="B6400" s="4" t="str">
        <f t="shared" si="588"/>
        <v>25361981</v>
      </c>
      <c r="C6400" s="4" t="str">
        <f t="shared" si="589"/>
        <v>GSE56493</v>
      </c>
      <c r="D6400" s="1" t="s">
        <v>298</v>
      </c>
      <c r="E6400" t="s">
        <v>15</v>
      </c>
      <c r="F6400" s="1">
        <v>1</v>
      </c>
      <c r="G6400" s="1" t="s">
        <v>63</v>
      </c>
      <c r="H6400" s="4" t="str">
        <f>HYPERLINK("https://www.ncbi.nlm.nih.gov/geo/query/acc.cgi?acc=GSM1362536","GSM1362536")</f>
        <v>GSM1362536</v>
      </c>
      <c r="I6400" t="s">
        <v>17</v>
      </c>
      <c r="J6400" t="s">
        <v>18</v>
      </c>
      <c r="K6400" t="s">
        <v>19</v>
      </c>
      <c r="L6400" t="s">
        <v>20</v>
      </c>
      <c r="M6400" t="s">
        <v>44</v>
      </c>
      <c r="N6400" t="s">
        <v>22</v>
      </c>
    </row>
    <row r="6401" spans="1:14">
      <c r="A6401" s="4" t="str">
        <f t="shared" si="591"/>
        <v>EXP00220</v>
      </c>
      <c r="B6401" s="4" t="str">
        <f t="shared" si="588"/>
        <v>25361981</v>
      </c>
      <c r="C6401" s="4" t="str">
        <f t="shared" si="589"/>
        <v>GSE56493</v>
      </c>
      <c r="D6401" s="1" t="s">
        <v>298</v>
      </c>
      <c r="E6401" t="s">
        <v>15</v>
      </c>
      <c r="F6401" s="1">
        <v>1</v>
      </c>
      <c r="G6401" s="1" t="s">
        <v>63</v>
      </c>
      <c r="H6401" s="4" t="str">
        <f>HYPERLINK("https://www.ncbi.nlm.nih.gov/geo/query/acc.cgi?acc=GSM1362537","GSM1362537")</f>
        <v>GSM1362537</v>
      </c>
      <c r="I6401" t="s">
        <v>17</v>
      </c>
      <c r="J6401" t="s">
        <v>18</v>
      </c>
      <c r="K6401" t="s">
        <v>19</v>
      </c>
      <c r="L6401" t="s">
        <v>20</v>
      </c>
      <c r="M6401" t="s">
        <v>44</v>
      </c>
      <c r="N6401" t="s">
        <v>22</v>
      </c>
    </row>
    <row r="6402" spans="1:14">
      <c r="A6402" s="4" t="str">
        <f t="shared" si="591"/>
        <v>EXP00220</v>
      </c>
      <c r="B6402" s="4" t="str">
        <f t="shared" si="588"/>
        <v>25361981</v>
      </c>
      <c r="C6402" s="4" t="str">
        <f t="shared" si="589"/>
        <v>GSE56493</v>
      </c>
      <c r="D6402" s="1" t="s">
        <v>298</v>
      </c>
      <c r="E6402" t="s">
        <v>15</v>
      </c>
      <c r="F6402" s="1">
        <v>1</v>
      </c>
      <c r="G6402" s="1" t="s">
        <v>63</v>
      </c>
      <c r="H6402" s="4" t="str">
        <f>HYPERLINK("https://www.ncbi.nlm.nih.gov/geo/query/acc.cgi?acc=GSM1362539","GSM1362539")</f>
        <v>GSM1362539</v>
      </c>
      <c r="I6402" t="s">
        <v>17</v>
      </c>
      <c r="J6402" t="s">
        <v>18</v>
      </c>
      <c r="K6402" t="s">
        <v>19</v>
      </c>
      <c r="L6402" t="s">
        <v>20</v>
      </c>
      <c r="M6402" t="s">
        <v>44</v>
      </c>
      <c r="N6402" t="s">
        <v>22</v>
      </c>
    </row>
    <row r="6403" spans="1:14">
      <c r="A6403" s="4" t="str">
        <f t="shared" si="591"/>
        <v>EXP00220</v>
      </c>
      <c r="B6403" s="4" t="str">
        <f t="shared" si="588"/>
        <v>25361981</v>
      </c>
      <c r="C6403" s="4" t="str">
        <f t="shared" si="589"/>
        <v>GSE56493</v>
      </c>
      <c r="D6403" s="1" t="s">
        <v>298</v>
      </c>
      <c r="E6403" t="s">
        <v>15</v>
      </c>
      <c r="F6403" s="1">
        <v>1</v>
      </c>
      <c r="G6403" s="1" t="s">
        <v>63</v>
      </c>
      <c r="H6403" s="4" t="str">
        <f>HYPERLINK("https://www.ncbi.nlm.nih.gov/geo/query/acc.cgi?acc=GSM1362544","GSM1362544")</f>
        <v>GSM1362544</v>
      </c>
      <c r="I6403" t="s">
        <v>17</v>
      </c>
      <c r="J6403" t="s">
        <v>18</v>
      </c>
      <c r="K6403" t="s">
        <v>19</v>
      </c>
      <c r="L6403" t="s">
        <v>20</v>
      </c>
      <c r="M6403" t="s">
        <v>44</v>
      </c>
      <c r="N6403" t="s">
        <v>22</v>
      </c>
    </row>
    <row r="6404" spans="1:14">
      <c r="A6404" s="4" t="str">
        <f t="shared" si="591"/>
        <v>EXP00220</v>
      </c>
      <c r="B6404" s="4" t="str">
        <f t="shared" si="588"/>
        <v>25361981</v>
      </c>
      <c r="C6404" s="4" t="str">
        <f t="shared" si="589"/>
        <v>GSE56493</v>
      </c>
      <c r="D6404" s="1" t="s">
        <v>298</v>
      </c>
      <c r="E6404" t="s">
        <v>15</v>
      </c>
      <c r="F6404" s="1">
        <v>1</v>
      </c>
      <c r="G6404" s="1" t="s">
        <v>63</v>
      </c>
      <c r="H6404" s="4" t="str">
        <f>HYPERLINK("https://www.ncbi.nlm.nih.gov/geo/query/acc.cgi?acc=GSM1362545","GSM1362545")</f>
        <v>GSM1362545</v>
      </c>
      <c r="I6404" t="s">
        <v>17</v>
      </c>
      <c r="J6404" t="s">
        <v>18</v>
      </c>
      <c r="K6404" t="s">
        <v>19</v>
      </c>
      <c r="L6404" t="s">
        <v>20</v>
      </c>
      <c r="M6404" t="s">
        <v>44</v>
      </c>
      <c r="N6404" t="s">
        <v>22</v>
      </c>
    </row>
    <row r="6405" spans="1:14">
      <c r="A6405" s="4" t="str">
        <f t="shared" si="591"/>
        <v>EXP00220</v>
      </c>
      <c r="B6405" s="4" t="str">
        <f t="shared" si="588"/>
        <v>25361981</v>
      </c>
      <c r="C6405" s="4" t="str">
        <f t="shared" si="589"/>
        <v>GSE56493</v>
      </c>
      <c r="D6405" s="1" t="s">
        <v>298</v>
      </c>
      <c r="E6405" t="s">
        <v>15</v>
      </c>
      <c r="F6405" s="1">
        <v>1</v>
      </c>
      <c r="G6405" s="1" t="s">
        <v>63</v>
      </c>
      <c r="H6405" s="4" t="str">
        <f>HYPERLINK("https://www.ncbi.nlm.nih.gov/geo/query/acc.cgi?acc=GSM1362550","GSM1362550")</f>
        <v>GSM1362550</v>
      </c>
      <c r="I6405" t="s">
        <v>17</v>
      </c>
      <c r="J6405" t="s">
        <v>18</v>
      </c>
      <c r="K6405" t="s">
        <v>19</v>
      </c>
      <c r="L6405" t="s">
        <v>20</v>
      </c>
      <c r="M6405" t="s">
        <v>44</v>
      </c>
      <c r="N6405" t="s">
        <v>22</v>
      </c>
    </row>
    <row r="6406" spans="1:14">
      <c r="A6406" s="4" t="str">
        <f t="shared" si="591"/>
        <v>EXP00220</v>
      </c>
      <c r="B6406" s="4" t="str">
        <f t="shared" si="588"/>
        <v>25361981</v>
      </c>
      <c r="C6406" s="4" t="str">
        <f t="shared" si="589"/>
        <v>GSE56493</v>
      </c>
      <c r="D6406" s="1" t="s">
        <v>298</v>
      </c>
      <c r="E6406" t="s">
        <v>15</v>
      </c>
      <c r="F6406" s="1">
        <v>1</v>
      </c>
      <c r="G6406" s="1" t="s">
        <v>63</v>
      </c>
      <c r="H6406" s="4" t="str">
        <f>HYPERLINK("https://www.ncbi.nlm.nih.gov/geo/query/acc.cgi?acc=GSM1362551","GSM1362551")</f>
        <v>GSM1362551</v>
      </c>
      <c r="I6406" t="s">
        <v>17</v>
      </c>
      <c r="J6406" t="s">
        <v>18</v>
      </c>
      <c r="K6406" t="s">
        <v>19</v>
      </c>
      <c r="L6406" t="s">
        <v>20</v>
      </c>
      <c r="M6406" t="s">
        <v>44</v>
      </c>
      <c r="N6406" t="s">
        <v>22</v>
      </c>
    </row>
    <row r="6407" spans="1:14">
      <c r="A6407" s="4" t="str">
        <f t="shared" si="591"/>
        <v>EXP00220</v>
      </c>
      <c r="B6407" s="4" t="str">
        <f t="shared" si="588"/>
        <v>25361981</v>
      </c>
      <c r="C6407" s="4" t="str">
        <f t="shared" si="589"/>
        <v>GSE56493</v>
      </c>
      <c r="D6407" s="1" t="s">
        <v>298</v>
      </c>
      <c r="E6407" t="s">
        <v>15</v>
      </c>
      <c r="F6407" s="1">
        <v>1</v>
      </c>
      <c r="G6407" s="1" t="s">
        <v>63</v>
      </c>
      <c r="H6407" s="4" t="str">
        <f>HYPERLINK("https://www.ncbi.nlm.nih.gov/geo/query/acc.cgi?acc=GSM1362554","GSM1362554")</f>
        <v>GSM1362554</v>
      </c>
      <c r="I6407" t="s">
        <v>17</v>
      </c>
      <c r="J6407" t="s">
        <v>18</v>
      </c>
      <c r="K6407" t="s">
        <v>19</v>
      </c>
      <c r="L6407" t="s">
        <v>20</v>
      </c>
      <c r="M6407" t="s">
        <v>44</v>
      </c>
      <c r="N6407" t="s">
        <v>22</v>
      </c>
    </row>
    <row r="6408" spans="1:14">
      <c r="A6408" s="4" t="str">
        <f t="shared" si="591"/>
        <v>EXP00220</v>
      </c>
      <c r="B6408" s="4" t="str">
        <f t="shared" si="588"/>
        <v>25361981</v>
      </c>
      <c r="C6408" s="4" t="str">
        <f t="shared" si="589"/>
        <v>GSE56493</v>
      </c>
      <c r="D6408" s="1" t="s">
        <v>298</v>
      </c>
      <c r="E6408" t="s">
        <v>15</v>
      </c>
      <c r="F6408" s="1">
        <v>1</v>
      </c>
      <c r="G6408" s="1" t="s">
        <v>63</v>
      </c>
      <c r="H6408" s="4" t="str">
        <f>HYPERLINK("https://www.ncbi.nlm.nih.gov/geo/query/acc.cgi?acc=GSM1362556","GSM1362556")</f>
        <v>GSM1362556</v>
      </c>
      <c r="I6408" t="s">
        <v>17</v>
      </c>
      <c r="J6408" t="s">
        <v>18</v>
      </c>
      <c r="K6408" t="s">
        <v>19</v>
      </c>
      <c r="L6408" t="s">
        <v>20</v>
      </c>
      <c r="M6408" t="s">
        <v>44</v>
      </c>
      <c r="N6408" t="s">
        <v>22</v>
      </c>
    </row>
    <row r="6409" spans="1:14">
      <c r="A6409" s="4" t="str">
        <f t="shared" si="591"/>
        <v>EXP00220</v>
      </c>
      <c r="B6409" s="4" t="str">
        <f t="shared" si="588"/>
        <v>25361981</v>
      </c>
      <c r="C6409" s="4" t="str">
        <f t="shared" si="589"/>
        <v>GSE56493</v>
      </c>
      <c r="D6409" s="1" t="s">
        <v>298</v>
      </c>
      <c r="E6409" t="s">
        <v>15</v>
      </c>
      <c r="F6409" s="1">
        <v>1</v>
      </c>
      <c r="G6409" s="1" t="s">
        <v>63</v>
      </c>
      <c r="H6409" s="4" t="str">
        <f>HYPERLINK("https://www.ncbi.nlm.nih.gov/geo/query/acc.cgi?acc=GSM1362561","GSM1362561")</f>
        <v>GSM1362561</v>
      </c>
      <c r="I6409" t="s">
        <v>17</v>
      </c>
      <c r="J6409" t="s">
        <v>18</v>
      </c>
      <c r="K6409" t="s">
        <v>19</v>
      </c>
      <c r="L6409" t="s">
        <v>20</v>
      </c>
      <c r="M6409" t="s">
        <v>44</v>
      </c>
      <c r="N6409" t="s">
        <v>22</v>
      </c>
    </row>
    <row r="6410" spans="1:14">
      <c r="A6410" s="4" t="str">
        <f t="shared" si="591"/>
        <v>EXP00220</v>
      </c>
      <c r="B6410" s="4" t="str">
        <f t="shared" si="588"/>
        <v>25361981</v>
      </c>
      <c r="C6410" s="4" t="str">
        <f t="shared" si="589"/>
        <v>GSE56493</v>
      </c>
      <c r="D6410" s="1" t="s">
        <v>298</v>
      </c>
      <c r="E6410" t="s">
        <v>15</v>
      </c>
      <c r="F6410" s="1">
        <v>1</v>
      </c>
      <c r="G6410" s="1" t="s">
        <v>63</v>
      </c>
      <c r="H6410" s="4" t="str">
        <f>HYPERLINK("https://www.ncbi.nlm.nih.gov/geo/query/acc.cgi?acc=GSM1362562","GSM1362562")</f>
        <v>GSM1362562</v>
      </c>
      <c r="I6410" t="s">
        <v>17</v>
      </c>
      <c r="J6410" t="s">
        <v>18</v>
      </c>
      <c r="K6410" t="s">
        <v>19</v>
      </c>
      <c r="L6410" t="s">
        <v>20</v>
      </c>
      <c r="M6410" t="s">
        <v>44</v>
      </c>
      <c r="N6410" t="s">
        <v>22</v>
      </c>
    </row>
    <row r="6411" spans="1:14">
      <c r="A6411" s="4" t="str">
        <f t="shared" si="591"/>
        <v>EXP00220</v>
      </c>
      <c r="B6411" s="4" t="str">
        <f t="shared" si="588"/>
        <v>25361981</v>
      </c>
      <c r="C6411" s="4" t="str">
        <f t="shared" si="589"/>
        <v>GSE56493</v>
      </c>
      <c r="D6411" s="1" t="s">
        <v>298</v>
      </c>
      <c r="E6411" t="s">
        <v>15</v>
      </c>
      <c r="F6411" s="1">
        <v>1</v>
      </c>
      <c r="G6411" s="1" t="s">
        <v>63</v>
      </c>
      <c r="H6411" s="4" t="str">
        <f>HYPERLINK("https://www.ncbi.nlm.nih.gov/geo/query/acc.cgi?acc=GSM1362571","GSM1362571")</f>
        <v>GSM1362571</v>
      </c>
      <c r="I6411" t="s">
        <v>17</v>
      </c>
      <c r="J6411" t="s">
        <v>18</v>
      </c>
      <c r="K6411" t="s">
        <v>19</v>
      </c>
      <c r="L6411" t="s">
        <v>20</v>
      </c>
      <c r="M6411" t="s">
        <v>44</v>
      </c>
      <c r="N6411" t="s">
        <v>22</v>
      </c>
    </row>
    <row r="6412" spans="1:14">
      <c r="A6412" s="4" t="str">
        <f t="shared" si="591"/>
        <v>EXP00220</v>
      </c>
      <c r="B6412" s="4" t="str">
        <f t="shared" si="588"/>
        <v>25361981</v>
      </c>
      <c r="C6412" s="4" t="str">
        <f t="shared" si="589"/>
        <v>GSE56493</v>
      </c>
      <c r="D6412" s="1" t="s">
        <v>298</v>
      </c>
      <c r="E6412" t="s">
        <v>15</v>
      </c>
      <c r="F6412" s="1">
        <v>1</v>
      </c>
      <c r="G6412" s="1" t="s">
        <v>63</v>
      </c>
      <c r="H6412" s="4" t="str">
        <f>HYPERLINK("https://www.ncbi.nlm.nih.gov/geo/query/acc.cgi?acc=GSM1362572","GSM1362572")</f>
        <v>GSM1362572</v>
      </c>
      <c r="I6412" t="s">
        <v>17</v>
      </c>
      <c r="J6412" t="s">
        <v>18</v>
      </c>
      <c r="K6412" t="s">
        <v>19</v>
      </c>
      <c r="L6412" t="s">
        <v>20</v>
      </c>
      <c r="M6412" t="s">
        <v>44</v>
      </c>
      <c r="N6412" t="s">
        <v>22</v>
      </c>
    </row>
    <row r="6413" spans="1:14">
      <c r="A6413" s="4" t="str">
        <f t="shared" si="591"/>
        <v>EXP00220</v>
      </c>
      <c r="B6413" s="4" t="str">
        <f t="shared" si="588"/>
        <v>25361981</v>
      </c>
      <c r="C6413" s="4" t="str">
        <f t="shared" si="589"/>
        <v>GSE56493</v>
      </c>
      <c r="D6413" s="1" t="s">
        <v>298</v>
      </c>
      <c r="E6413" t="s">
        <v>15</v>
      </c>
      <c r="F6413" s="1">
        <v>1</v>
      </c>
      <c r="G6413" s="1" t="s">
        <v>63</v>
      </c>
      <c r="H6413" s="4" t="str">
        <f>HYPERLINK("https://www.ncbi.nlm.nih.gov/geo/query/acc.cgi?acc=GSM1362584","GSM1362584")</f>
        <v>GSM1362584</v>
      </c>
      <c r="I6413" t="s">
        <v>17</v>
      </c>
      <c r="J6413" t="s">
        <v>18</v>
      </c>
      <c r="K6413" t="s">
        <v>19</v>
      </c>
      <c r="L6413" t="s">
        <v>20</v>
      </c>
      <c r="M6413" t="s">
        <v>44</v>
      </c>
      <c r="N6413" t="s">
        <v>22</v>
      </c>
    </row>
    <row r="6414" spans="1:14">
      <c r="A6414" s="4" t="str">
        <f t="shared" si="591"/>
        <v>EXP00220</v>
      </c>
      <c r="B6414" s="4" t="str">
        <f t="shared" si="588"/>
        <v>25361981</v>
      </c>
      <c r="C6414" s="4" t="str">
        <f t="shared" si="589"/>
        <v>GSE56493</v>
      </c>
      <c r="D6414" s="1" t="s">
        <v>298</v>
      </c>
      <c r="E6414" t="s">
        <v>15</v>
      </c>
      <c r="F6414" s="1">
        <v>1</v>
      </c>
      <c r="G6414" s="1" t="s">
        <v>63</v>
      </c>
      <c r="H6414" s="4" t="str">
        <f>HYPERLINK("https://www.ncbi.nlm.nih.gov/geo/query/acc.cgi?acc=GSM1362594","GSM1362594")</f>
        <v>GSM1362594</v>
      </c>
      <c r="I6414" t="s">
        <v>17</v>
      </c>
      <c r="J6414" t="s">
        <v>18</v>
      </c>
      <c r="K6414" t="s">
        <v>19</v>
      </c>
      <c r="L6414" t="s">
        <v>20</v>
      </c>
      <c r="M6414" t="s">
        <v>44</v>
      </c>
      <c r="N6414" t="s">
        <v>22</v>
      </c>
    </row>
    <row r="6415" spans="1:14">
      <c r="A6415" s="4" t="str">
        <f t="shared" si="591"/>
        <v>EXP00220</v>
      </c>
      <c r="B6415" s="4" t="str">
        <f t="shared" si="588"/>
        <v>25361981</v>
      </c>
      <c r="C6415" s="4" t="str">
        <f t="shared" si="589"/>
        <v>GSE56493</v>
      </c>
      <c r="D6415" s="1" t="s">
        <v>298</v>
      </c>
      <c r="E6415" t="s">
        <v>15</v>
      </c>
      <c r="F6415" s="1">
        <v>1</v>
      </c>
      <c r="G6415" s="1" t="s">
        <v>63</v>
      </c>
      <c r="H6415" s="4" t="str">
        <f>HYPERLINK("https://www.ncbi.nlm.nih.gov/geo/query/acc.cgi?acc=GSM1362596","GSM1362596")</f>
        <v>GSM1362596</v>
      </c>
      <c r="I6415" t="s">
        <v>17</v>
      </c>
      <c r="J6415" t="s">
        <v>18</v>
      </c>
      <c r="K6415" t="s">
        <v>19</v>
      </c>
      <c r="L6415" t="s">
        <v>20</v>
      </c>
      <c r="M6415" t="s">
        <v>44</v>
      </c>
      <c r="N6415" t="s">
        <v>22</v>
      </c>
    </row>
    <row r="6416" spans="1:14">
      <c r="A6416" s="4" t="str">
        <f t="shared" si="591"/>
        <v>EXP00220</v>
      </c>
      <c r="B6416" s="4" t="str">
        <f t="shared" si="588"/>
        <v>25361981</v>
      </c>
      <c r="C6416" s="4" t="str">
        <f t="shared" si="589"/>
        <v>GSE56493</v>
      </c>
      <c r="D6416" s="1" t="s">
        <v>298</v>
      </c>
      <c r="E6416" t="s">
        <v>15</v>
      </c>
      <c r="F6416" s="1">
        <v>1</v>
      </c>
      <c r="G6416" s="1" t="s">
        <v>63</v>
      </c>
      <c r="H6416" s="4" t="str">
        <f>HYPERLINK("https://www.ncbi.nlm.nih.gov/geo/query/acc.cgi?acc=GSM1362602","GSM1362602")</f>
        <v>GSM1362602</v>
      </c>
      <c r="I6416" t="s">
        <v>17</v>
      </c>
      <c r="J6416" t="s">
        <v>18</v>
      </c>
      <c r="K6416" t="s">
        <v>19</v>
      </c>
      <c r="L6416" t="s">
        <v>20</v>
      </c>
      <c r="M6416" t="s">
        <v>44</v>
      </c>
      <c r="N6416" t="s">
        <v>22</v>
      </c>
    </row>
    <row r="6417" spans="1:14">
      <c r="A6417" s="4" t="str">
        <f t="shared" si="591"/>
        <v>EXP00220</v>
      </c>
      <c r="B6417" s="4" t="str">
        <f t="shared" si="588"/>
        <v>25361981</v>
      </c>
      <c r="C6417" s="4" t="str">
        <f t="shared" si="589"/>
        <v>GSE56493</v>
      </c>
      <c r="D6417" s="1" t="s">
        <v>298</v>
      </c>
      <c r="E6417" t="s">
        <v>15</v>
      </c>
      <c r="F6417" s="1">
        <v>1</v>
      </c>
      <c r="G6417" s="1" t="s">
        <v>63</v>
      </c>
      <c r="H6417" s="4" t="str">
        <f>HYPERLINK("https://www.ncbi.nlm.nih.gov/geo/query/acc.cgi?acc=GSM1362610","GSM1362610")</f>
        <v>GSM1362610</v>
      </c>
      <c r="I6417" t="s">
        <v>17</v>
      </c>
      <c r="J6417" t="s">
        <v>18</v>
      </c>
      <c r="K6417" t="s">
        <v>19</v>
      </c>
      <c r="L6417" t="s">
        <v>20</v>
      </c>
      <c r="M6417" t="s">
        <v>44</v>
      </c>
      <c r="N6417" t="s">
        <v>22</v>
      </c>
    </row>
    <row r="6418" spans="1:14">
      <c r="A6418" s="4" t="str">
        <f t="shared" si="591"/>
        <v>EXP00220</v>
      </c>
      <c r="B6418" s="4" t="str">
        <f t="shared" si="588"/>
        <v>25361981</v>
      </c>
      <c r="C6418" s="4" t="str">
        <f t="shared" si="589"/>
        <v>GSE56493</v>
      </c>
      <c r="D6418" s="1" t="s">
        <v>298</v>
      </c>
      <c r="E6418" t="s">
        <v>15</v>
      </c>
      <c r="F6418" s="1">
        <v>1</v>
      </c>
      <c r="G6418" s="1" t="s">
        <v>63</v>
      </c>
      <c r="H6418" s="4" t="str">
        <f>HYPERLINK("https://www.ncbi.nlm.nih.gov/geo/query/acc.cgi?acc=GSM1362624","GSM1362624")</f>
        <v>GSM1362624</v>
      </c>
      <c r="I6418" t="s">
        <v>17</v>
      </c>
      <c r="J6418" t="s">
        <v>18</v>
      </c>
      <c r="K6418" t="s">
        <v>19</v>
      </c>
      <c r="L6418" t="s">
        <v>20</v>
      </c>
      <c r="M6418" t="s">
        <v>44</v>
      </c>
      <c r="N6418" t="s">
        <v>22</v>
      </c>
    </row>
    <row r="6419" spans="1:14">
      <c r="A6419" s="4" t="str">
        <f t="shared" si="591"/>
        <v>EXP00220</v>
      </c>
      <c r="B6419" s="4" t="str">
        <f t="shared" si="588"/>
        <v>25361981</v>
      </c>
      <c r="C6419" s="4" t="str">
        <f t="shared" si="589"/>
        <v>GSE56493</v>
      </c>
      <c r="D6419" s="1" t="s">
        <v>298</v>
      </c>
      <c r="E6419" t="s">
        <v>15</v>
      </c>
      <c r="F6419" s="1">
        <v>1</v>
      </c>
      <c r="G6419" s="1" t="s">
        <v>63</v>
      </c>
      <c r="H6419" s="4" t="str">
        <f>HYPERLINK("https://www.ncbi.nlm.nih.gov/geo/query/acc.cgi?acc=GSM1362630","GSM1362630")</f>
        <v>GSM1362630</v>
      </c>
      <c r="I6419" t="s">
        <v>17</v>
      </c>
      <c r="J6419" t="s">
        <v>18</v>
      </c>
      <c r="K6419" t="s">
        <v>19</v>
      </c>
      <c r="L6419" t="s">
        <v>20</v>
      </c>
      <c r="M6419" t="s">
        <v>44</v>
      </c>
      <c r="N6419" t="s">
        <v>22</v>
      </c>
    </row>
    <row r="6420" spans="1:14">
      <c r="A6420" s="4" t="str">
        <f t="shared" si="591"/>
        <v>EXP00220</v>
      </c>
      <c r="B6420" s="4" t="str">
        <f t="shared" si="588"/>
        <v>25361981</v>
      </c>
      <c r="C6420" s="4" t="str">
        <f t="shared" si="589"/>
        <v>GSE56493</v>
      </c>
      <c r="D6420" s="1" t="s">
        <v>298</v>
      </c>
      <c r="E6420" t="s">
        <v>15</v>
      </c>
      <c r="F6420" s="1">
        <v>1</v>
      </c>
      <c r="G6420" s="1" t="s">
        <v>63</v>
      </c>
      <c r="H6420" s="4" t="str">
        <f>HYPERLINK("https://www.ncbi.nlm.nih.gov/geo/query/acc.cgi?acc=GSM1362635","GSM1362635")</f>
        <v>GSM1362635</v>
      </c>
      <c r="I6420" t="s">
        <v>17</v>
      </c>
      <c r="J6420" t="s">
        <v>18</v>
      </c>
      <c r="K6420" t="s">
        <v>19</v>
      </c>
      <c r="L6420" t="s">
        <v>20</v>
      </c>
      <c r="M6420" t="s">
        <v>44</v>
      </c>
      <c r="N6420" t="s">
        <v>22</v>
      </c>
    </row>
    <row r="6421" spans="1:14">
      <c r="A6421" s="4" t="str">
        <f t="shared" si="591"/>
        <v>EXP00220</v>
      </c>
      <c r="B6421" s="4" t="str">
        <f t="shared" si="588"/>
        <v>25361981</v>
      </c>
      <c r="C6421" s="4" t="str">
        <f t="shared" si="589"/>
        <v>GSE56493</v>
      </c>
      <c r="D6421" s="1" t="s">
        <v>298</v>
      </c>
      <c r="E6421" t="s">
        <v>15</v>
      </c>
      <c r="F6421" s="1">
        <v>2</v>
      </c>
      <c r="G6421" s="1" t="s">
        <v>224</v>
      </c>
      <c r="H6421" s="4" t="str">
        <f>HYPERLINK("https://www.ncbi.nlm.nih.gov/geo/query/acc.cgi?acc=GSM1362519","GSM1362519")</f>
        <v>GSM1362519</v>
      </c>
      <c r="I6421" t="s">
        <v>17</v>
      </c>
      <c r="J6421" t="s">
        <v>18</v>
      </c>
      <c r="K6421" t="s">
        <v>19</v>
      </c>
      <c r="L6421" t="s">
        <v>20</v>
      </c>
      <c r="M6421" t="s">
        <v>27</v>
      </c>
      <c r="N6421" t="s">
        <v>22</v>
      </c>
    </row>
    <row r="6422" spans="1:14">
      <c r="A6422" s="4" t="str">
        <f t="shared" si="591"/>
        <v>EXP00220</v>
      </c>
      <c r="B6422" s="4" t="str">
        <f t="shared" si="588"/>
        <v>25361981</v>
      </c>
      <c r="C6422" s="4" t="str">
        <f t="shared" si="589"/>
        <v>GSE56493</v>
      </c>
      <c r="D6422" s="1" t="s">
        <v>298</v>
      </c>
      <c r="E6422" t="s">
        <v>15</v>
      </c>
      <c r="F6422" s="1">
        <v>2</v>
      </c>
      <c r="G6422" s="1" t="s">
        <v>224</v>
      </c>
      <c r="H6422" s="4" t="str">
        <f>HYPERLINK("https://www.ncbi.nlm.nih.gov/geo/query/acc.cgi?acc=GSM1362521","GSM1362521")</f>
        <v>GSM1362521</v>
      </c>
      <c r="I6422" t="s">
        <v>17</v>
      </c>
      <c r="J6422" t="s">
        <v>18</v>
      </c>
      <c r="K6422" t="s">
        <v>19</v>
      </c>
      <c r="L6422" t="s">
        <v>20</v>
      </c>
      <c r="M6422" t="s">
        <v>27</v>
      </c>
      <c r="N6422" t="s">
        <v>22</v>
      </c>
    </row>
    <row r="6423" spans="1:14">
      <c r="A6423" s="4" t="str">
        <f t="shared" si="591"/>
        <v>EXP00220</v>
      </c>
      <c r="B6423" s="4" t="str">
        <f t="shared" si="588"/>
        <v>25361981</v>
      </c>
      <c r="C6423" s="4" t="str">
        <f t="shared" si="589"/>
        <v>GSE56493</v>
      </c>
      <c r="D6423" s="1" t="s">
        <v>298</v>
      </c>
      <c r="E6423" t="s">
        <v>15</v>
      </c>
      <c r="F6423" s="1">
        <v>2</v>
      </c>
      <c r="G6423" s="1" t="s">
        <v>224</v>
      </c>
      <c r="H6423" s="4" t="str">
        <f>HYPERLINK("https://www.ncbi.nlm.nih.gov/geo/query/acc.cgi?acc=GSM1362524","GSM1362524")</f>
        <v>GSM1362524</v>
      </c>
      <c r="I6423" t="s">
        <v>17</v>
      </c>
      <c r="J6423" t="s">
        <v>18</v>
      </c>
      <c r="K6423" t="s">
        <v>19</v>
      </c>
      <c r="L6423" t="s">
        <v>20</v>
      </c>
      <c r="M6423" t="s">
        <v>27</v>
      </c>
      <c r="N6423" t="s">
        <v>22</v>
      </c>
    </row>
    <row r="6424" spans="1:14">
      <c r="A6424" s="4" t="str">
        <f t="shared" si="591"/>
        <v>EXP00220</v>
      </c>
      <c r="B6424" s="4" t="str">
        <f t="shared" si="588"/>
        <v>25361981</v>
      </c>
      <c r="C6424" s="4" t="str">
        <f t="shared" si="589"/>
        <v>GSE56493</v>
      </c>
      <c r="D6424" s="1" t="s">
        <v>298</v>
      </c>
      <c r="E6424" t="s">
        <v>15</v>
      </c>
      <c r="F6424" s="1">
        <v>2</v>
      </c>
      <c r="G6424" s="1" t="s">
        <v>224</v>
      </c>
      <c r="H6424" s="4" t="str">
        <f>HYPERLINK("https://www.ncbi.nlm.nih.gov/geo/query/acc.cgi?acc=GSM1362542","GSM1362542")</f>
        <v>GSM1362542</v>
      </c>
      <c r="I6424" t="s">
        <v>17</v>
      </c>
      <c r="J6424" t="s">
        <v>18</v>
      </c>
      <c r="K6424" t="s">
        <v>19</v>
      </c>
      <c r="L6424" t="s">
        <v>20</v>
      </c>
      <c r="M6424" t="s">
        <v>27</v>
      </c>
      <c r="N6424" t="s">
        <v>22</v>
      </c>
    </row>
    <row r="6425" spans="1:14">
      <c r="A6425" s="4" t="str">
        <f t="shared" si="591"/>
        <v>EXP00220</v>
      </c>
      <c r="B6425" s="4" t="str">
        <f t="shared" ref="B6425:B6488" si="592">HYPERLINK("https://www.ncbi.nlm.nih.gov/pubmed/25361981","25361981")</f>
        <v>25361981</v>
      </c>
      <c r="C6425" s="4" t="str">
        <f t="shared" ref="C6425:C6488" si="593">HYPERLINK("https://www.ncbi.nlm.nih.gov/geo/query/acc.cgi?acc=GSE56493","GSE56493")</f>
        <v>GSE56493</v>
      </c>
      <c r="D6425" s="1" t="s">
        <v>298</v>
      </c>
      <c r="E6425" t="s">
        <v>15</v>
      </c>
      <c r="F6425" s="1">
        <v>2</v>
      </c>
      <c r="G6425" s="1" t="s">
        <v>224</v>
      </c>
      <c r="H6425" s="4" t="str">
        <f>HYPERLINK("https://www.ncbi.nlm.nih.gov/geo/query/acc.cgi?acc=GSM1362563","GSM1362563")</f>
        <v>GSM1362563</v>
      </c>
      <c r="I6425" t="s">
        <v>17</v>
      </c>
      <c r="J6425" t="s">
        <v>18</v>
      </c>
      <c r="K6425" t="s">
        <v>19</v>
      </c>
      <c r="L6425" t="s">
        <v>20</v>
      </c>
      <c r="M6425" t="s">
        <v>27</v>
      </c>
      <c r="N6425" t="s">
        <v>22</v>
      </c>
    </row>
    <row r="6426" spans="1:14">
      <c r="A6426" s="4" t="str">
        <f t="shared" ref="A6426:A6442" si="594">HYPERLINK("http://hcmdb.i-sanger.com/experiment/details/experiment_id/EXP00220","EXP00220")</f>
        <v>EXP00220</v>
      </c>
      <c r="B6426" s="4" t="str">
        <f t="shared" si="592"/>
        <v>25361981</v>
      </c>
      <c r="C6426" s="4" t="str">
        <f t="shared" si="593"/>
        <v>GSE56493</v>
      </c>
      <c r="D6426" s="1" t="s">
        <v>298</v>
      </c>
      <c r="E6426" t="s">
        <v>15</v>
      </c>
      <c r="F6426" s="1">
        <v>2</v>
      </c>
      <c r="G6426" s="1" t="s">
        <v>224</v>
      </c>
      <c r="H6426" s="4" t="str">
        <f>HYPERLINK("https://www.ncbi.nlm.nih.gov/geo/query/acc.cgi?acc=GSM1362565","GSM1362565")</f>
        <v>GSM1362565</v>
      </c>
      <c r="I6426" t="s">
        <v>17</v>
      </c>
      <c r="J6426" t="s">
        <v>18</v>
      </c>
      <c r="K6426" t="s">
        <v>19</v>
      </c>
      <c r="L6426" t="s">
        <v>20</v>
      </c>
      <c r="M6426" t="s">
        <v>27</v>
      </c>
      <c r="N6426" t="s">
        <v>22</v>
      </c>
    </row>
    <row r="6427" spans="1:14">
      <c r="A6427" s="4" t="str">
        <f t="shared" si="594"/>
        <v>EXP00220</v>
      </c>
      <c r="B6427" s="4" t="str">
        <f t="shared" si="592"/>
        <v>25361981</v>
      </c>
      <c r="C6427" s="4" t="str">
        <f t="shared" si="593"/>
        <v>GSE56493</v>
      </c>
      <c r="D6427" s="1" t="s">
        <v>298</v>
      </c>
      <c r="E6427" t="s">
        <v>15</v>
      </c>
      <c r="F6427" s="1">
        <v>2</v>
      </c>
      <c r="G6427" s="1" t="s">
        <v>224</v>
      </c>
      <c r="H6427" s="4" t="str">
        <f>HYPERLINK("https://www.ncbi.nlm.nih.gov/geo/query/acc.cgi?acc=GSM1362566","GSM1362566")</f>
        <v>GSM1362566</v>
      </c>
      <c r="I6427" t="s">
        <v>17</v>
      </c>
      <c r="J6427" t="s">
        <v>18</v>
      </c>
      <c r="K6427" t="s">
        <v>19</v>
      </c>
      <c r="L6427" t="s">
        <v>20</v>
      </c>
      <c r="M6427" t="s">
        <v>27</v>
      </c>
      <c r="N6427" t="s">
        <v>22</v>
      </c>
    </row>
    <row r="6428" spans="1:14">
      <c r="A6428" s="4" t="str">
        <f t="shared" si="594"/>
        <v>EXP00220</v>
      </c>
      <c r="B6428" s="4" t="str">
        <f t="shared" si="592"/>
        <v>25361981</v>
      </c>
      <c r="C6428" s="4" t="str">
        <f t="shared" si="593"/>
        <v>GSE56493</v>
      </c>
      <c r="D6428" s="1" t="s">
        <v>298</v>
      </c>
      <c r="E6428" t="s">
        <v>15</v>
      </c>
      <c r="F6428" s="1">
        <v>2</v>
      </c>
      <c r="G6428" s="1" t="s">
        <v>224</v>
      </c>
      <c r="H6428" s="4" t="str">
        <f>HYPERLINK("https://www.ncbi.nlm.nih.gov/geo/query/acc.cgi?acc=GSM1362569","GSM1362569")</f>
        <v>GSM1362569</v>
      </c>
      <c r="I6428" t="s">
        <v>17</v>
      </c>
      <c r="J6428" t="s">
        <v>18</v>
      </c>
      <c r="K6428" t="s">
        <v>19</v>
      </c>
      <c r="L6428" t="s">
        <v>20</v>
      </c>
      <c r="M6428" t="s">
        <v>27</v>
      </c>
      <c r="N6428" t="s">
        <v>22</v>
      </c>
    </row>
    <row r="6429" spans="1:14">
      <c r="A6429" s="4" t="str">
        <f t="shared" si="594"/>
        <v>EXP00220</v>
      </c>
      <c r="B6429" s="4" t="str">
        <f t="shared" si="592"/>
        <v>25361981</v>
      </c>
      <c r="C6429" s="4" t="str">
        <f t="shared" si="593"/>
        <v>GSE56493</v>
      </c>
      <c r="D6429" s="1" t="s">
        <v>298</v>
      </c>
      <c r="E6429" t="s">
        <v>15</v>
      </c>
      <c r="F6429" s="1">
        <v>2</v>
      </c>
      <c r="G6429" s="1" t="s">
        <v>224</v>
      </c>
      <c r="H6429" s="4" t="str">
        <f>HYPERLINK("https://www.ncbi.nlm.nih.gov/geo/query/acc.cgi?acc=GSM1362570","GSM1362570")</f>
        <v>GSM1362570</v>
      </c>
      <c r="I6429" t="s">
        <v>17</v>
      </c>
      <c r="J6429" t="s">
        <v>18</v>
      </c>
      <c r="K6429" t="s">
        <v>19</v>
      </c>
      <c r="L6429" t="s">
        <v>20</v>
      </c>
      <c r="M6429" t="s">
        <v>27</v>
      </c>
      <c r="N6429" t="s">
        <v>22</v>
      </c>
    </row>
    <row r="6430" spans="1:14">
      <c r="A6430" s="4" t="str">
        <f t="shared" si="594"/>
        <v>EXP00220</v>
      </c>
      <c r="B6430" s="4" t="str">
        <f t="shared" si="592"/>
        <v>25361981</v>
      </c>
      <c r="C6430" s="4" t="str">
        <f t="shared" si="593"/>
        <v>GSE56493</v>
      </c>
      <c r="D6430" s="1" t="s">
        <v>298</v>
      </c>
      <c r="E6430" t="s">
        <v>15</v>
      </c>
      <c r="F6430" s="1">
        <v>2</v>
      </c>
      <c r="G6430" s="1" t="s">
        <v>224</v>
      </c>
      <c r="H6430" s="4" t="str">
        <f>HYPERLINK("https://www.ncbi.nlm.nih.gov/geo/query/acc.cgi?acc=GSM1362573","GSM1362573")</f>
        <v>GSM1362573</v>
      </c>
      <c r="I6430" t="s">
        <v>17</v>
      </c>
      <c r="J6430" t="s">
        <v>18</v>
      </c>
      <c r="K6430" t="s">
        <v>19</v>
      </c>
      <c r="L6430" t="s">
        <v>20</v>
      </c>
      <c r="M6430" t="s">
        <v>27</v>
      </c>
      <c r="N6430" t="s">
        <v>22</v>
      </c>
    </row>
    <row r="6431" spans="1:14">
      <c r="A6431" s="4" t="str">
        <f t="shared" si="594"/>
        <v>EXP00220</v>
      </c>
      <c r="B6431" s="4" t="str">
        <f t="shared" si="592"/>
        <v>25361981</v>
      </c>
      <c r="C6431" s="4" t="str">
        <f t="shared" si="593"/>
        <v>GSE56493</v>
      </c>
      <c r="D6431" s="1" t="s">
        <v>298</v>
      </c>
      <c r="E6431" t="s">
        <v>15</v>
      </c>
      <c r="F6431" s="1">
        <v>2</v>
      </c>
      <c r="G6431" s="1" t="s">
        <v>224</v>
      </c>
      <c r="H6431" s="4" t="str">
        <f>HYPERLINK("https://www.ncbi.nlm.nih.gov/geo/query/acc.cgi?acc=GSM1362577","GSM1362577")</f>
        <v>GSM1362577</v>
      </c>
      <c r="I6431" t="s">
        <v>17</v>
      </c>
      <c r="J6431" t="s">
        <v>18</v>
      </c>
      <c r="K6431" t="s">
        <v>19</v>
      </c>
      <c r="L6431" t="s">
        <v>20</v>
      </c>
      <c r="M6431" t="s">
        <v>27</v>
      </c>
      <c r="N6431" t="s">
        <v>22</v>
      </c>
    </row>
    <row r="6432" spans="1:14">
      <c r="A6432" s="4" t="str">
        <f t="shared" si="594"/>
        <v>EXP00220</v>
      </c>
      <c r="B6432" s="4" t="str">
        <f t="shared" si="592"/>
        <v>25361981</v>
      </c>
      <c r="C6432" s="4" t="str">
        <f t="shared" si="593"/>
        <v>GSE56493</v>
      </c>
      <c r="D6432" s="1" t="s">
        <v>298</v>
      </c>
      <c r="E6432" t="s">
        <v>15</v>
      </c>
      <c r="F6432" s="1">
        <v>2</v>
      </c>
      <c r="G6432" s="1" t="s">
        <v>224</v>
      </c>
      <c r="H6432" s="4" t="str">
        <f>HYPERLINK("https://www.ncbi.nlm.nih.gov/geo/query/acc.cgi?acc=GSM1362583","GSM1362583")</f>
        <v>GSM1362583</v>
      </c>
      <c r="I6432" t="s">
        <v>17</v>
      </c>
      <c r="J6432" t="s">
        <v>18</v>
      </c>
      <c r="K6432" t="s">
        <v>19</v>
      </c>
      <c r="L6432" t="s">
        <v>20</v>
      </c>
      <c r="M6432" t="s">
        <v>27</v>
      </c>
      <c r="N6432" t="s">
        <v>22</v>
      </c>
    </row>
    <row r="6433" spans="1:14">
      <c r="A6433" s="4" t="str">
        <f t="shared" si="594"/>
        <v>EXP00220</v>
      </c>
      <c r="B6433" s="4" t="str">
        <f t="shared" si="592"/>
        <v>25361981</v>
      </c>
      <c r="C6433" s="4" t="str">
        <f t="shared" si="593"/>
        <v>GSE56493</v>
      </c>
      <c r="D6433" s="1" t="s">
        <v>298</v>
      </c>
      <c r="E6433" t="s">
        <v>15</v>
      </c>
      <c r="F6433" s="1">
        <v>2</v>
      </c>
      <c r="G6433" s="1" t="s">
        <v>224</v>
      </c>
      <c r="H6433" s="4" t="str">
        <f>HYPERLINK("https://www.ncbi.nlm.nih.gov/geo/query/acc.cgi?acc=GSM1362585","GSM1362585")</f>
        <v>GSM1362585</v>
      </c>
      <c r="I6433" t="s">
        <v>17</v>
      </c>
      <c r="J6433" t="s">
        <v>18</v>
      </c>
      <c r="K6433" t="s">
        <v>19</v>
      </c>
      <c r="L6433" t="s">
        <v>20</v>
      </c>
      <c r="M6433" t="s">
        <v>27</v>
      </c>
      <c r="N6433" t="s">
        <v>22</v>
      </c>
    </row>
    <row r="6434" spans="1:14">
      <c r="A6434" s="4" t="str">
        <f t="shared" si="594"/>
        <v>EXP00220</v>
      </c>
      <c r="B6434" s="4" t="str">
        <f t="shared" si="592"/>
        <v>25361981</v>
      </c>
      <c r="C6434" s="4" t="str">
        <f t="shared" si="593"/>
        <v>GSE56493</v>
      </c>
      <c r="D6434" s="1" t="s">
        <v>298</v>
      </c>
      <c r="E6434" t="s">
        <v>15</v>
      </c>
      <c r="F6434" s="1">
        <v>2</v>
      </c>
      <c r="G6434" s="1" t="s">
        <v>224</v>
      </c>
      <c r="H6434" s="4" t="str">
        <f>HYPERLINK("https://www.ncbi.nlm.nih.gov/geo/query/acc.cgi?acc=GSM1362590","GSM1362590")</f>
        <v>GSM1362590</v>
      </c>
      <c r="I6434" t="s">
        <v>17</v>
      </c>
      <c r="J6434" t="s">
        <v>18</v>
      </c>
      <c r="K6434" t="s">
        <v>19</v>
      </c>
      <c r="L6434" t="s">
        <v>20</v>
      </c>
      <c r="M6434" t="s">
        <v>27</v>
      </c>
      <c r="N6434" t="s">
        <v>22</v>
      </c>
    </row>
    <row r="6435" spans="1:14">
      <c r="A6435" s="4" t="str">
        <f t="shared" si="594"/>
        <v>EXP00220</v>
      </c>
      <c r="B6435" s="4" t="str">
        <f t="shared" si="592"/>
        <v>25361981</v>
      </c>
      <c r="C6435" s="4" t="str">
        <f t="shared" si="593"/>
        <v>GSE56493</v>
      </c>
      <c r="D6435" s="1" t="s">
        <v>298</v>
      </c>
      <c r="E6435" t="s">
        <v>15</v>
      </c>
      <c r="F6435" s="1">
        <v>2</v>
      </c>
      <c r="G6435" s="1" t="s">
        <v>224</v>
      </c>
      <c r="H6435" s="4" t="str">
        <f>HYPERLINK("https://www.ncbi.nlm.nih.gov/geo/query/acc.cgi?acc=GSM1362591","GSM1362591")</f>
        <v>GSM1362591</v>
      </c>
      <c r="I6435" t="s">
        <v>17</v>
      </c>
      <c r="J6435" t="s">
        <v>18</v>
      </c>
      <c r="K6435" t="s">
        <v>19</v>
      </c>
      <c r="L6435" t="s">
        <v>20</v>
      </c>
      <c r="M6435" t="s">
        <v>27</v>
      </c>
      <c r="N6435" t="s">
        <v>22</v>
      </c>
    </row>
    <row r="6436" spans="1:14">
      <c r="A6436" s="4" t="str">
        <f t="shared" si="594"/>
        <v>EXP00220</v>
      </c>
      <c r="B6436" s="4" t="str">
        <f t="shared" si="592"/>
        <v>25361981</v>
      </c>
      <c r="C6436" s="4" t="str">
        <f t="shared" si="593"/>
        <v>GSE56493</v>
      </c>
      <c r="D6436" s="1" t="s">
        <v>298</v>
      </c>
      <c r="E6436" t="s">
        <v>15</v>
      </c>
      <c r="F6436" s="1">
        <v>2</v>
      </c>
      <c r="G6436" s="1" t="s">
        <v>224</v>
      </c>
      <c r="H6436" s="4" t="str">
        <f>HYPERLINK("https://www.ncbi.nlm.nih.gov/geo/query/acc.cgi?acc=GSM1362606","GSM1362606")</f>
        <v>GSM1362606</v>
      </c>
      <c r="I6436" t="s">
        <v>17</v>
      </c>
      <c r="J6436" t="s">
        <v>18</v>
      </c>
      <c r="K6436" t="s">
        <v>19</v>
      </c>
      <c r="L6436" t="s">
        <v>20</v>
      </c>
      <c r="M6436" t="s">
        <v>27</v>
      </c>
      <c r="N6436" t="s">
        <v>22</v>
      </c>
    </row>
    <row r="6437" spans="1:14">
      <c r="A6437" s="4" t="str">
        <f t="shared" si="594"/>
        <v>EXP00220</v>
      </c>
      <c r="B6437" s="4" t="str">
        <f t="shared" si="592"/>
        <v>25361981</v>
      </c>
      <c r="C6437" s="4" t="str">
        <f t="shared" si="593"/>
        <v>GSE56493</v>
      </c>
      <c r="D6437" s="1" t="s">
        <v>298</v>
      </c>
      <c r="E6437" t="s">
        <v>15</v>
      </c>
      <c r="F6437" s="1">
        <v>2</v>
      </c>
      <c r="G6437" s="1" t="s">
        <v>224</v>
      </c>
      <c r="H6437" s="4" t="str">
        <f>HYPERLINK("https://www.ncbi.nlm.nih.gov/geo/query/acc.cgi?acc=GSM1362611","GSM1362611")</f>
        <v>GSM1362611</v>
      </c>
      <c r="I6437" t="s">
        <v>17</v>
      </c>
      <c r="J6437" t="s">
        <v>18</v>
      </c>
      <c r="K6437" t="s">
        <v>19</v>
      </c>
      <c r="L6437" t="s">
        <v>20</v>
      </c>
      <c r="M6437" t="s">
        <v>27</v>
      </c>
      <c r="N6437" t="s">
        <v>22</v>
      </c>
    </row>
    <row r="6438" spans="1:14">
      <c r="A6438" s="4" t="str">
        <f t="shared" si="594"/>
        <v>EXP00220</v>
      </c>
      <c r="B6438" s="4" t="str">
        <f t="shared" si="592"/>
        <v>25361981</v>
      </c>
      <c r="C6438" s="4" t="str">
        <f t="shared" si="593"/>
        <v>GSE56493</v>
      </c>
      <c r="D6438" s="1" t="s">
        <v>298</v>
      </c>
      <c r="E6438" t="s">
        <v>15</v>
      </c>
      <c r="F6438" s="1">
        <v>2</v>
      </c>
      <c r="G6438" s="1" t="s">
        <v>224</v>
      </c>
      <c r="H6438" s="4" t="str">
        <f>HYPERLINK("https://www.ncbi.nlm.nih.gov/geo/query/acc.cgi?acc=GSM1362614","GSM1362614")</f>
        <v>GSM1362614</v>
      </c>
      <c r="I6438" t="s">
        <v>17</v>
      </c>
      <c r="J6438" t="s">
        <v>18</v>
      </c>
      <c r="K6438" t="s">
        <v>19</v>
      </c>
      <c r="L6438" t="s">
        <v>20</v>
      </c>
      <c r="M6438" t="s">
        <v>27</v>
      </c>
      <c r="N6438" t="s">
        <v>22</v>
      </c>
    </row>
    <row r="6439" spans="1:14">
      <c r="A6439" s="4" t="str">
        <f t="shared" si="594"/>
        <v>EXP00220</v>
      </c>
      <c r="B6439" s="4" t="str">
        <f t="shared" si="592"/>
        <v>25361981</v>
      </c>
      <c r="C6439" s="4" t="str">
        <f t="shared" si="593"/>
        <v>GSE56493</v>
      </c>
      <c r="D6439" s="1" t="s">
        <v>298</v>
      </c>
      <c r="E6439" t="s">
        <v>15</v>
      </c>
      <c r="F6439" s="1">
        <v>2</v>
      </c>
      <c r="G6439" s="1" t="s">
        <v>224</v>
      </c>
      <c r="H6439" s="4" t="str">
        <f>HYPERLINK("https://www.ncbi.nlm.nih.gov/geo/query/acc.cgi?acc=GSM1362618","GSM1362618")</f>
        <v>GSM1362618</v>
      </c>
      <c r="I6439" t="s">
        <v>17</v>
      </c>
      <c r="J6439" t="s">
        <v>18</v>
      </c>
      <c r="K6439" t="s">
        <v>19</v>
      </c>
      <c r="L6439" t="s">
        <v>20</v>
      </c>
      <c r="M6439" t="s">
        <v>27</v>
      </c>
      <c r="N6439" t="s">
        <v>22</v>
      </c>
    </row>
    <row r="6440" spans="1:14">
      <c r="A6440" s="4" t="str">
        <f t="shared" si="594"/>
        <v>EXP00220</v>
      </c>
      <c r="B6440" s="4" t="str">
        <f t="shared" si="592"/>
        <v>25361981</v>
      </c>
      <c r="C6440" s="4" t="str">
        <f t="shared" si="593"/>
        <v>GSE56493</v>
      </c>
      <c r="D6440" s="1" t="s">
        <v>298</v>
      </c>
      <c r="E6440" t="s">
        <v>15</v>
      </c>
      <c r="F6440" s="1">
        <v>2</v>
      </c>
      <c r="G6440" s="1" t="s">
        <v>224</v>
      </c>
      <c r="H6440" s="4" t="str">
        <f>HYPERLINK("https://www.ncbi.nlm.nih.gov/geo/query/acc.cgi?acc=GSM1362627","GSM1362627")</f>
        <v>GSM1362627</v>
      </c>
      <c r="I6440" t="s">
        <v>17</v>
      </c>
      <c r="J6440" t="s">
        <v>18</v>
      </c>
      <c r="K6440" t="s">
        <v>19</v>
      </c>
      <c r="L6440" t="s">
        <v>20</v>
      </c>
      <c r="M6440" t="s">
        <v>27</v>
      </c>
      <c r="N6440" t="s">
        <v>22</v>
      </c>
    </row>
    <row r="6441" spans="1:14">
      <c r="A6441" s="4" t="str">
        <f t="shared" si="594"/>
        <v>EXP00220</v>
      </c>
      <c r="B6441" s="4" t="str">
        <f t="shared" si="592"/>
        <v>25361981</v>
      </c>
      <c r="C6441" s="4" t="str">
        <f t="shared" si="593"/>
        <v>GSE56493</v>
      </c>
      <c r="D6441" s="1" t="s">
        <v>298</v>
      </c>
      <c r="E6441" t="s">
        <v>15</v>
      </c>
      <c r="F6441" s="1">
        <v>2</v>
      </c>
      <c r="G6441" s="1" t="s">
        <v>224</v>
      </c>
      <c r="H6441" s="4" t="str">
        <f>HYPERLINK("https://www.ncbi.nlm.nih.gov/geo/query/acc.cgi?acc=GSM1362628","GSM1362628")</f>
        <v>GSM1362628</v>
      </c>
      <c r="I6441" t="s">
        <v>17</v>
      </c>
      <c r="J6441" t="s">
        <v>18</v>
      </c>
      <c r="K6441" t="s">
        <v>19</v>
      </c>
      <c r="L6441" t="s">
        <v>20</v>
      </c>
      <c r="M6441" t="s">
        <v>27</v>
      </c>
      <c r="N6441" t="s">
        <v>22</v>
      </c>
    </row>
    <row r="6442" spans="1:14">
      <c r="A6442" s="4" t="str">
        <f t="shared" si="594"/>
        <v>EXP00220</v>
      </c>
      <c r="B6442" s="4" t="str">
        <f t="shared" si="592"/>
        <v>25361981</v>
      </c>
      <c r="C6442" s="4" t="str">
        <f t="shared" si="593"/>
        <v>GSE56493</v>
      </c>
      <c r="D6442" s="1" t="s">
        <v>298</v>
      </c>
      <c r="E6442" t="s">
        <v>15</v>
      </c>
      <c r="F6442" s="1">
        <v>2</v>
      </c>
      <c r="G6442" s="1" t="s">
        <v>224</v>
      </c>
      <c r="H6442" s="4" t="str">
        <f>HYPERLINK("https://www.ncbi.nlm.nih.gov/geo/query/acc.cgi?acc=GSM1362634","GSM1362634")</f>
        <v>GSM1362634</v>
      </c>
      <c r="I6442" t="s">
        <v>17</v>
      </c>
      <c r="J6442" t="s">
        <v>18</v>
      </c>
      <c r="K6442" t="s">
        <v>19</v>
      </c>
      <c r="L6442" t="s">
        <v>20</v>
      </c>
      <c r="M6442" t="s">
        <v>27</v>
      </c>
      <c r="N6442" t="s">
        <v>22</v>
      </c>
    </row>
    <row r="6443" spans="1:14">
      <c r="A6443" s="4" t="str">
        <f t="shared" ref="A6443:A6474" si="595">HYPERLINK("http://hcmdb.i-sanger.com/experiment/details/experiment_id/EXP00221","EXP00221")</f>
        <v>EXP00221</v>
      </c>
      <c r="B6443" s="4" t="str">
        <f t="shared" si="592"/>
        <v>25361981</v>
      </c>
      <c r="C6443" s="4" t="str">
        <f t="shared" si="593"/>
        <v>GSE56493</v>
      </c>
      <c r="D6443" s="1" t="s">
        <v>298</v>
      </c>
      <c r="E6443" t="s">
        <v>15</v>
      </c>
      <c r="F6443" s="1">
        <v>1</v>
      </c>
      <c r="G6443" s="1" t="s">
        <v>23</v>
      </c>
      <c r="H6443" s="4" t="str">
        <f>HYPERLINK("https://www.ncbi.nlm.nih.gov/geo/query/acc.cgi?acc=GSM1362516","GSM1362516")</f>
        <v>GSM1362516</v>
      </c>
      <c r="I6443" t="s">
        <v>17</v>
      </c>
      <c r="J6443" t="s">
        <v>18</v>
      </c>
      <c r="K6443" t="s">
        <v>19</v>
      </c>
      <c r="L6443" t="s">
        <v>20</v>
      </c>
      <c r="M6443" t="s">
        <v>24</v>
      </c>
      <c r="N6443" t="s">
        <v>22</v>
      </c>
    </row>
    <row r="6444" spans="1:14">
      <c r="A6444" s="4" t="str">
        <f t="shared" si="595"/>
        <v>EXP00221</v>
      </c>
      <c r="B6444" s="4" t="str">
        <f t="shared" si="592"/>
        <v>25361981</v>
      </c>
      <c r="C6444" s="4" t="str">
        <f t="shared" si="593"/>
        <v>GSE56493</v>
      </c>
      <c r="D6444" s="1" t="s">
        <v>298</v>
      </c>
      <c r="E6444" t="s">
        <v>15</v>
      </c>
      <c r="F6444" s="1">
        <v>1</v>
      </c>
      <c r="G6444" s="1" t="s">
        <v>23</v>
      </c>
      <c r="H6444" s="4" t="str">
        <f>HYPERLINK("https://www.ncbi.nlm.nih.gov/geo/query/acc.cgi?acc=GSM1362517","GSM1362517")</f>
        <v>GSM1362517</v>
      </c>
      <c r="I6444" t="s">
        <v>17</v>
      </c>
      <c r="J6444" t="s">
        <v>18</v>
      </c>
      <c r="K6444" t="s">
        <v>19</v>
      </c>
      <c r="L6444" t="s">
        <v>20</v>
      </c>
      <c r="M6444" t="s">
        <v>24</v>
      </c>
      <c r="N6444" t="s">
        <v>22</v>
      </c>
    </row>
    <row r="6445" spans="1:14">
      <c r="A6445" s="4" t="str">
        <f t="shared" si="595"/>
        <v>EXP00221</v>
      </c>
      <c r="B6445" s="4" t="str">
        <f t="shared" si="592"/>
        <v>25361981</v>
      </c>
      <c r="C6445" s="4" t="str">
        <f t="shared" si="593"/>
        <v>GSE56493</v>
      </c>
      <c r="D6445" s="1" t="s">
        <v>298</v>
      </c>
      <c r="E6445" t="s">
        <v>15</v>
      </c>
      <c r="F6445" s="1">
        <v>1</v>
      </c>
      <c r="G6445" s="1" t="s">
        <v>23</v>
      </c>
      <c r="H6445" s="4" t="str">
        <f>HYPERLINK("https://www.ncbi.nlm.nih.gov/geo/query/acc.cgi?acc=GSM1362522","GSM1362522")</f>
        <v>GSM1362522</v>
      </c>
      <c r="I6445" t="s">
        <v>17</v>
      </c>
      <c r="J6445" t="s">
        <v>18</v>
      </c>
      <c r="K6445" t="s">
        <v>19</v>
      </c>
      <c r="L6445" t="s">
        <v>20</v>
      </c>
      <c r="M6445" t="s">
        <v>24</v>
      </c>
      <c r="N6445" t="s">
        <v>22</v>
      </c>
    </row>
    <row r="6446" spans="1:14">
      <c r="A6446" s="4" t="str">
        <f t="shared" si="595"/>
        <v>EXP00221</v>
      </c>
      <c r="B6446" s="4" t="str">
        <f t="shared" si="592"/>
        <v>25361981</v>
      </c>
      <c r="C6446" s="4" t="str">
        <f t="shared" si="593"/>
        <v>GSE56493</v>
      </c>
      <c r="D6446" s="1" t="s">
        <v>298</v>
      </c>
      <c r="E6446" t="s">
        <v>15</v>
      </c>
      <c r="F6446" s="1">
        <v>1</v>
      </c>
      <c r="G6446" s="1" t="s">
        <v>23</v>
      </c>
      <c r="H6446" s="4" t="str">
        <f>HYPERLINK("https://www.ncbi.nlm.nih.gov/geo/query/acc.cgi?acc=GSM1362523","GSM1362523")</f>
        <v>GSM1362523</v>
      </c>
      <c r="I6446" t="s">
        <v>17</v>
      </c>
      <c r="J6446" t="s">
        <v>18</v>
      </c>
      <c r="K6446" t="s">
        <v>19</v>
      </c>
      <c r="L6446" t="s">
        <v>20</v>
      </c>
      <c r="M6446" t="s">
        <v>24</v>
      </c>
      <c r="N6446" t="s">
        <v>22</v>
      </c>
    </row>
    <row r="6447" spans="1:14">
      <c r="A6447" s="4" t="str">
        <f t="shared" si="595"/>
        <v>EXP00221</v>
      </c>
      <c r="B6447" s="4" t="str">
        <f t="shared" si="592"/>
        <v>25361981</v>
      </c>
      <c r="C6447" s="4" t="str">
        <f t="shared" si="593"/>
        <v>GSE56493</v>
      </c>
      <c r="D6447" s="1" t="s">
        <v>298</v>
      </c>
      <c r="E6447" t="s">
        <v>15</v>
      </c>
      <c r="F6447" s="1">
        <v>1</v>
      </c>
      <c r="G6447" s="1" t="s">
        <v>23</v>
      </c>
      <c r="H6447" s="4" t="str">
        <f>HYPERLINK("https://www.ncbi.nlm.nih.gov/geo/query/acc.cgi?acc=GSM1362525","GSM1362525")</f>
        <v>GSM1362525</v>
      </c>
      <c r="I6447" t="s">
        <v>17</v>
      </c>
      <c r="J6447" t="s">
        <v>18</v>
      </c>
      <c r="K6447" t="s">
        <v>19</v>
      </c>
      <c r="L6447" t="s">
        <v>20</v>
      </c>
      <c r="M6447" t="s">
        <v>24</v>
      </c>
      <c r="N6447" t="s">
        <v>22</v>
      </c>
    </row>
    <row r="6448" spans="1:14">
      <c r="A6448" s="4" t="str">
        <f t="shared" si="595"/>
        <v>EXP00221</v>
      </c>
      <c r="B6448" s="4" t="str">
        <f t="shared" si="592"/>
        <v>25361981</v>
      </c>
      <c r="C6448" s="4" t="str">
        <f t="shared" si="593"/>
        <v>GSE56493</v>
      </c>
      <c r="D6448" s="1" t="s">
        <v>298</v>
      </c>
      <c r="E6448" t="s">
        <v>15</v>
      </c>
      <c r="F6448" s="1">
        <v>1</v>
      </c>
      <c r="G6448" s="1" t="s">
        <v>23</v>
      </c>
      <c r="H6448" s="4" t="str">
        <f>HYPERLINK("https://www.ncbi.nlm.nih.gov/geo/query/acc.cgi?acc=GSM1362527","GSM1362527")</f>
        <v>GSM1362527</v>
      </c>
      <c r="I6448" t="s">
        <v>17</v>
      </c>
      <c r="J6448" t="s">
        <v>18</v>
      </c>
      <c r="K6448" t="s">
        <v>19</v>
      </c>
      <c r="L6448" t="s">
        <v>20</v>
      </c>
      <c r="M6448" t="s">
        <v>24</v>
      </c>
      <c r="N6448" t="s">
        <v>22</v>
      </c>
    </row>
    <row r="6449" spans="1:14">
      <c r="A6449" s="4" t="str">
        <f t="shared" si="595"/>
        <v>EXP00221</v>
      </c>
      <c r="B6449" s="4" t="str">
        <f t="shared" si="592"/>
        <v>25361981</v>
      </c>
      <c r="C6449" s="4" t="str">
        <f t="shared" si="593"/>
        <v>GSE56493</v>
      </c>
      <c r="D6449" s="1" t="s">
        <v>298</v>
      </c>
      <c r="E6449" t="s">
        <v>15</v>
      </c>
      <c r="F6449" s="1">
        <v>1</v>
      </c>
      <c r="G6449" s="1" t="s">
        <v>23</v>
      </c>
      <c r="H6449" s="4" t="str">
        <f>HYPERLINK("https://www.ncbi.nlm.nih.gov/geo/query/acc.cgi?acc=GSM1362528","GSM1362528")</f>
        <v>GSM1362528</v>
      </c>
      <c r="I6449" t="s">
        <v>17</v>
      </c>
      <c r="J6449" t="s">
        <v>18</v>
      </c>
      <c r="K6449" t="s">
        <v>19</v>
      </c>
      <c r="L6449" t="s">
        <v>20</v>
      </c>
      <c r="M6449" t="s">
        <v>24</v>
      </c>
      <c r="N6449" t="s">
        <v>22</v>
      </c>
    </row>
    <row r="6450" spans="1:14">
      <c r="A6450" s="4" t="str">
        <f t="shared" si="595"/>
        <v>EXP00221</v>
      </c>
      <c r="B6450" s="4" t="str">
        <f t="shared" si="592"/>
        <v>25361981</v>
      </c>
      <c r="C6450" s="4" t="str">
        <f t="shared" si="593"/>
        <v>GSE56493</v>
      </c>
      <c r="D6450" s="1" t="s">
        <v>298</v>
      </c>
      <c r="E6450" t="s">
        <v>15</v>
      </c>
      <c r="F6450" s="1">
        <v>1</v>
      </c>
      <c r="G6450" s="1" t="s">
        <v>23</v>
      </c>
      <c r="H6450" s="4" t="str">
        <f>HYPERLINK("https://www.ncbi.nlm.nih.gov/geo/query/acc.cgi?acc=GSM1362529","GSM1362529")</f>
        <v>GSM1362529</v>
      </c>
      <c r="I6450" t="s">
        <v>17</v>
      </c>
      <c r="J6450" t="s">
        <v>18</v>
      </c>
      <c r="K6450" t="s">
        <v>19</v>
      </c>
      <c r="L6450" t="s">
        <v>20</v>
      </c>
      <c r="M6450" t="s">
        <v>24</v>
      </c>
      <c r="N6450" t="s">
        <v>22</v>
      </c>
    </row>
    <row r="6451" spans="1:14">
      <c r="A6451" s="4" t="str">
        <f t="shared" si="595"/>
        <v>EXP00221</v>
      </c>
      <c r="B6451" s="4" t="str">
        <f t="shared" si="592"/>
        <v>25361981</v>
      </c>
      <c r="C6451" s="4" t="str">
        <f t="shared" si="593"/>
        <v>GSE56493</v>
      </c>
      <c r="D6451" s="1" t="s">
        <v>298</v>
      </c>
      <c r="E6451" t="s">
        <v>15</v>
      </c>
      <c r="F6451" s="1">
        <v>1</v>
      </c>
      <c r="G6451" s="1" t="s">
        <v>23</v>
      </c>
      <c r="H6451" s="4" t="str">
        <f>HYPERLINK("https://www.ncbi.nlm.nih.gov/geo/query/acc.cgi?acc=GSM1362531","GSM1362531")</f>
        <v>GSM1362531</v>
      </c>
      <c r="I6451" t="s">
        <v>17</v>
      </c>
      <c r="J6451" t="s">
        <v>18</v>
      </c>
      <c r="K6451" t="s">
        <v>19</v>
      </c>
      <c r="L6451" t="s">
        <v>20</v>
      </c>
      <c r="M6451" t="s">
        <v>24</v>
      </c>
      <c r="N6451" t="s">
        <v>22</v>
      </c>
    </row>
    <row r="6452" spans="1:14">
      <c r="A6452" s="4" t="str">
        <f t="shared" si="595"/>
        <v>EXP00221</v>
      </c>
      <c r="B6452" s="4" t="str">
        <f t="shared" si="592"/>
        <v>25361981</v>
      </c>
      <c r="C6452" s="4" t="str">
        <f t="shared" si="593"/>
        <v>GSE56493</v>
      </c>
      <c r="D6452" s="1" t="s">
        <v>298</v>
      </c>
      <c r="E6452" t="s">
        <v>15</v>
      </c>
      <c r="F6452" s="1">
        <v>1</v>
      </c>
      <c r="G6452" s="1" t="s">
        <v>23</v>
      </c>
      <c r="H6452" s="4" t="str">
        <f>HYPERLINK("https://www.ncbi.nlm.nih.gov/geo/query/acc.cgi?acc=GSM1362538","GSM1362538")</f>
        <v>GSM1362538</v>
      </c>
      <c r="I6452" t="s">
        <v>17</v>
      </c>
      <c r="J6452" t="s">
        <v>18</v>
      </c>
      <c r="K6452" t="s">
        <v>19</v>
      </c>
      <c r="L6452" t="s">
        <v>20</v>
      </c>
      <c r="M6452" t="s">
        <v>24</v>
      </c>
      <c r="N6452" t="s">
        <v>22</v>
      </c>
    </row>
    <row r="6453" spans="1:14">
      <c r="A6453" s="4" t="str">
        <f t="shared" si="595"/>
        <v>EXP00221</v>
      </c>
      <c r="B6453" s="4" t="str">
        <f t="shared" si="592"/>
        <v>25361981</v>
      </c>
      <c r="C6453" s="4" t="str">
        <f t="shared" si="593"/>
        <v>GSE56493</v>
      </c>
      <c r="D6453" s="1" t="s">
        <v>298</v>
      </c>
      <c r="E6453" t="s">
        <v>15</v>
      </c>
      <c r="F6453" s="1">
        <v>1</v>
      </c>
      <c r="G6453" s="1" t="s">
        <v>23</v>
      </c>
      <c r="H6453" s="4" t="str">
        <f>HYPERLINK("https://www.ncbi.nlm.nih.gov/geo/query/acc.cgi?acc=GSM1362540","GSM1362540")</f>
        <v>GSM1362540</v>
      </c>
      <c r="I6453" t="s">
        <v>17</v>
      </c>
      <c r="J6453" t="s">
        <v>18</v>
      </c>
      <c r="K6453" t="s">
        <v>19</v>
      </c>
      <c r="L6453" t="s">
        <v>20</v>
      </c>
      <c r="M6453" t="s">
        <v>24</v>
      </c>
      <c r="N6453" t="s">
        <v>22</v>
      </c>
    </row>
    <row r="6454" spans="1:14">
      <c r="A6454" s="4" t="str">
        <f t="shared" si="595"/>
        <v>EXP00221</v>
      </c>
      <c r="B6454" s="4" t="str">
        <f t="shared" si="592"/>
        <v>25361981</v>
      </c>
      <c r="C6454" s="4" t="str">
        <f t="shared" si="593"/>
        <v>GSE56493</v>
      </c>
      <c r="D6454" s="1" t="s">
        <v>298</v>
      </c>
      <c r="E6454" t="s">
        <v>15</v>
      </c>
      <c r="F6454" s="1">
        <v>1</v>
      </c>
      <c r="G6454" s="1" t="s">
        <v>23</v>
      </c>
      <c r="H6454" s="4" t="str">
        <f>HYPERLINK("https://www.ncbi.nlm.nih.gov/geo/query/acc.cgi?acc=GSM1362541","GSM1362541")</f>
        <v>GSM1362541</v>
      </c>
      <c r="I6454" t="s">
        <v>17</v>
      </c>
      <c r="J6454" t="s">
        <v>18</v>
      </c>
      <c r="K6454" t="s">
        <v>19</v>
      </c>
      <c r="L6454" t="s">
        <v>20</v>
      </c>
      <c r="M6454" t="s">
        <v>24</v>
      </c>
      <c r="N6454" t="s">
        <v>22</v>
      </c>
    </row>
    <row r="6455" spans="1:14">
      <c r="A6455" s="4" t="str">
        <f t="shared" si="595"/>
        <v>EXP00221</v>
      </c>
      <c r="B6455" s="4" t="str">
        <f t="shared" si="592"/>
        <v>25361981</v>
      </c>
      <c r="C6455" s="4" t="str">
        <f t="shared" si="593"/>
        <v>GSE56493</v>
      </c>
      <c r="D6455" s="1" t="s">
        <v>298</v>
      </c>
      <c r="E6455" t="s">
        <v>15</v>
      </c>
      <c r="F6455" s="1">
        <v>1</v>
      </c>
      <c r="G6455" s="1" t="s">
        <v>23</v>
      </c>
      <c r="H6455" s="4" t="str">
        <f>HYPERLINK("https://www.ncbi.nlm.nih.gov/geo/query/acc.cgi?acc=GSM1362543","GSM1362543")</f>
        <v>GSM1362543</v>
      </c>
      <c r="I6455" t="s">
        <v>17</v>
      </c>
      <c r="J6455" t="s">
        <v>18</v>
      </c>
      <c r="K6455" t="s">
        <v>19</v>
      </c>
      <c r="L6455" t="s">
        <v>20</v>
      </c>
      <c r="M6455" t="s">
        <v>24</v>
      </c>
      <c r="N6455" t="s">
        <v>22</v>
      </c>
    </row>
    <row r="6456" spans="1:14">
      <c r="A6456" s="4" t="str">
        <f t="shared" si="595"/>
        <v>EXP00221</v>
      </c>
      <c r="B6456" s="4" t="str">
        <f t="shared" si="592"/>
        <v>25361981</v>
      </c>
      <c r="C6456" s="4" t="str">
        <f t="shared" si="593"/>
        <v>GSE56493</v>
      </c>
      <c r="D6456" s="1" t="s">
        <v>298</v>
      </c>
      <c r="E6456" t="s">
        <v>15</v>
      </c>
      <c r="F6456" s="1">
        <v>1</v>
      </c>
      <c r="G6456" s="1" t="s">
        <v>23</v>
      </c>
      <c r="H6456" s="4" t="str">
        <f>HYPERLINK("https://www.ncbi.nlm.nih.gov/geo/query/acc.cgi?acc=GSM1362547","GSM1362547")</f>
        <v>GSM1362547</v>
      </c>
      <c r="I6456" t="s">
        <v>17</v>
      </c>
      <c r="J6456" t="s">
        <v>18</v>
      </c>
      <c r="K6456" t="s">
        <v>19</v>
      </c>
      <c r="L6456" t="s">
        <v>20</v>
      </c>
      <c r="M6456" t="s">
        <v>24</v>
      </c>
      <c r="N6456" t="s">
        <v>22</v>
      </c>
    </row>
    <row r="6457" spans="1:14">
      <c r="A6457" s="4" t="str">
        <f t="shared" si="595"/>
        <v>EXP00221</v>
      </c>
      <c r="B6457" s="4" t="str">
        <f t="shared" si="592"/>
        <v>25361981</v>
      </c>
      <c r="C6457" s="4" t="str">
        <f t="shared" si="593"/>
        <v>GSE56493</v>
      </c>
      <c r="D6457" s="1" t="s">
        <v>298</v>
      </c>
      <c r="E6457" t="s">
        <v>15</v>
      </c>
      <c r="F6457" s="1">
        <v>1</v>
      </c>
      <c r="G6457" s="1" t="s">
        <v>23</v>
      </c>
      <c r="H6457" s="4" t="str">
        <f>HYPERLINK("https://www.ncbi.nlm.nih.gov/geo/query/acc.cgi?acc=GSM1362548","GSM1362548")</f>
        <v>GSM1362548</v>
      </c>
      <c r="I6457" t="s">
        <v>17</v>
      </c>
      <c r="J6457" t="s">
        <v>18</v>
      </c>
      <c r="K6457" t="s">
        <v>19</v>
      </c>
      <c r="L6457" t="s">
        <v>20</v>
      </c>
      <c r="M6457" t="s">
        <v>24</v>
      </c>
      <c r="N6457" t="s">
        <v>22</v>
      </c>
    </row>
    <row r="6458" spans="1:14">
      <c r="A6458" s="4" t="str">
        <f t="shared" si="595"/>
        <v>EXP00221</v>
      </c>
      <c r="B6458" s="4" t="str">
        <f t="shared" si="592"/>
        <v>25361981</v>
      </c>
      <c r="C6458" s="4" t="str">
        <f t="shared" si="593"/>
        <v>GSE56493</v>
      </c>
      <c r="D6458" s="1" t="s">
        <v>298</v>
      </c>
      <c r="E6458" t="s">
        <v>15</v>
      </c>
      <c r="F6458" s="1">
        <v>1</v>
      </c>
      <c r="G6458" s="1" t="s">
        <v>23</v>
      </c>
      <c r="H6458" s="4" t="str">
        <f>HYPERLINK("https://www.ncbi.nlm.nih.gov/geo/query/acc.cgi?acc=GSM1362549","GSM1362549")</f>
        <v>GSM1362549</v>
      </c>
      <c r="I6458" t="s">
        <v>17</v>
      </c>
      <c r="J6458" t="s">
        <v>18</v>
      </c>
      <c r="K6458" t="s">
        <v>19</v>
      </c>
      <c r="L6458" t="s">
        <v>20</v>
      </c>
      <c r="M6458" t="s">
        <v>24</v>
      </c>
      <c r="N6458" t="s">
        <v>22</v>
      </c>
    </row>
    <row r="6459" spans="1:14">
      <c r="A6459" s="4" t="str">
        <f t="shared" si="595"/>
        <v>EXP00221</v>
      </c>
      <c r="B6459" s="4" t="str">
        <f t="shared" si="592"/>
        <v>25361981</v>
      </c>
      <c r="C6459" s="4" t="str">
        <f t="shared" si="593"/>
        <v>GSE56493</v>
      </c>
      <c r="D6459" s="1" t="s">
        <v>298</v>
      </c>
      <c r="E6459" t="s">
        <v>15</v>
      </c>
      <c r="F6459" s="1">
        <v>1</v>
      </c>
      <c r="G6459" s="1" t="s">
        <v>23</v>
      </c>
      <c r="H6459" s="4" t="str">
        <f>HYPERLINK("https://www.ncbi.nlm.nih.gov/geo/query/acc.cgi?acc=GSM1362552","GSM1362552")</f>
        <v>GSM1362552</v>
      </c>
      <c r="I6459" t="s">
        <v>17</v>
      </c>
      <c r="J6459" t="s">
        <v>18</v>
      </c>
      <c r="K6459" t="s">
        <v>19</v>
      </c>
      <c r="L6459" t="s">
        <v>20</v>
      </c>
      <c r="M6459" t="s">
        <v>24</v>
      </c>
      <c r="N6459" t="s">
        <v>22</v>
      </c>
    </row>
    <row r="6460" spans="1:14">
      <c r="A6460" s="4" t="str">
        <f t="shared" si="595"/>
        <v>EXP00221</v>
      </c>
      <c r="B6460" s="4" t="str">
        <f t="shared" si="592"/>
        <v>25361981</v>
      </c>
      <c r="C6460" s="4" t="str">
        <f t="shared" si="593"/>
        <v>GSE56493</v>
      </c>
      <c r="D6460" s="1" t="s">
        <v>298</v>
      </c>
      <c r="E6460" t="s">
        <v>15</v>
      </c>
      <c r="F6460" s="1">
        <v>1</v>
      </c>
      <c r="G6460" s="1" t="s">
        <v>23</v>
      </c>
      <c r="H6460" s="4" t="str">
        <f>HYPERLINK("https://www.ncbi.nlm.nih.gov/geo/query/acc.cgi?acc=GSM1362553","GSM1362553")</f>
        <v>GSM1362553</v>
      </c>
      <c r="I6460" t="s">
        <v>17</v>
      </c>
      <c r="J6460" t="s">
        <v>18</v>
      </c>
      <c r="K6460" t="s">
        <v>19</v>
      </c>
      <c r="L6460" t="s">
        <v>20</v>
      </c>
      <c r="M6460" t="s">
        <v>24</v>
      </c>
      <c r="N6460" t="s">
        <v>22</v>
      </c>
    </row>
    <row r="6461" spans="1:14">
      <c r="A6461" s="4" t="str">
        <f t="shared" si="595"/>
        <v>EXP00221</v>
      </c>
      <c r="B6461" s="4" t="str">
        <f t="shared" si="592"/>
        <v>25361981</v>
      </c>
      <c r="C6461" s="4" t="str">
        <f t="shared" si="593"/>
        <v>GSE56493</v>
      </c>
      <c r="D6461" s="1" t="s">
        <v>298</v>
      </c>
      <c r="E6461" t="s">
        <v>15</v>
      </c>
      <c r="F6461" s="1">
        <v>1</v>
      </c>
      <c r="G6461" s="1" t="s">
        <v>23</v>
      </c>
      <c r="H6461" s="4" t="str">
        <f>HYPERLINK("https://www.ncbi.nlm.nih.gov/geo/query/acc.cgi?acc=GSM1362557","GSM1362557")</f>
        <v>GSM1362557</v>
      </c>
      <c r="I6461" t="s">
        <v>17</v>
      </c>
      <c r="J6461" t="s">
        <v>18</v>
      </c>
      <c r="K6461" t="s">
        <v>19</v>
      </c>
      <c r="L6461" t="s">
        <v>20</v>
      </c>
      <c r="M6461" t="s">
        <v>24</v>
      </c>
      <c r="N6461" t="s">
        <v>22</v>
      </c>
    </row>
    <row r="6462" spans="1:14">
      <c r="A6462" s="4" t="str">
        <f t="shared" si="595"/>
        <v>EXP00221</v>
      </c>
      <c r="B6462" s="4" t="str">
        <f t="shared" si="592"/>
        <v>25361981</v>
      </c>
      <c r="C6462" s="4" t="str">
        <f t="shared" si="593"/>
        <v>GSE56493</v>
      </c>
      <c r="D6462" s="1" t="s">
        <v>298</v>
      </c>
      <c r="E6462" t="s">
        <v>15</v>
      </c>
      <c r="F6462" s="1">
        <v>1</v>
      </c>
      <c r="G6462" s="1" t="s">
        <v>23</v>
      </c>
      <c r="H6462" s="4" t="str">
        <f>HYPERLINK("https://www.ncbi.nlm.nih.gov/geo/query/acc.cgi?acc=GSM1362560","GSM1362560")</f>
        <v>GSM1362560</v>
      </c>
      <c r="I6462" t="s">
        <v>17</v>
      </c>
      <c r="J6462" t="s">
        <v>18</v>
      </c>
      <c r="K6462" t="s">
        <v>19</v>
      </c>
      <c r="L6462" t="s">
        <v>20</v>
      </c>
      <c r="M6462" t="s">
        <v>24</v>
      </c>
      <c r="N6462" t="s">
        <v>22</v>
      </c>
    </row>
    <row r="6463" spans="1:14">
      <c r="A6463" s="4" t="str">
        <f t="shared" si="595"/>
        <v>EXP00221</v>
      </c>
      <c r="B6463" s="4" t="str">
        <f t="shared" si="592"/>
        <v>25361981</v>
      </c>
      <c r="C6463" s="4" t="str">
        <f t="shared" si="593"/>
        <v>GSE56493</v>
      </c>
      <c r="D6463" s="1" t="s">
        <v>298</v>
      </c>
      <c r="E6463" t="s">
        <v>15</v>
      </c>
      <c r="F6463" s="1">
        <v>1</v>
      </c>
      <c r="G6463" s="1" t="s">
        <v>23</v>
      </c>
      <c r="H6463" s="4" t="str">
        <f>HYPERLINK("https://www.ncbi.nlm.nih.gov/geo/query/acc.cgi?acc=GSM1362567","GSM1362567")</f>
        <v>GSM1362567</v>
      </c>
      <c r="I6463" t="s">
        <v>17</v>
      </c>
      <c r="J6463" t="s">
        <v>18</v>
      </c>
      <c r="K6463" t="s">
        <v>19</v>
      </c>
      <c r="L6463" t="s">
        <v>20</v>
      </c>
      <c r="M6463" t="s">
        <v>24</v>
      </c>
      <c r="N6463" t="s">
        <v>22</v>
      </c>
    </row>
    <row r="6464" spans="1:14">
      <c r="A6464" s="4" t="str">
        <f t="shared" si="595"/>
        <v>EXP00221</v>
      </c>
      <c r="B6464" s="4" t="str">
        <f t="shared" si="592"/>
        <v>25361981</v>
      </c>
      <c r="C6464" s="4" t="str">
        <f t="shared" si="593"/>
        <v>GSE56493</v>
      </c>
      <c r="D6464" s="1" t="s">
        <v>298</v>
      </c>
      <c r="E6464" t="s">
        <v>15</v>
      </c>
      <c r="F6464" s="1">
        <v>1</v>
      </c>
      <c r="G6464" s="1" t="s">
        <v>23</v>
      </c>
      <c r="H6464" s="4" t="str">
        <f>HYPERLINK("https://www.ncbi.nlm.nih.gov/geo/query/acc.cgi?acc=GSM1362568","GSM1362568")</f>
        <v>GSM1362568</v>
      </c>
      <c r="I6464" t="s">
        <v>17</v>
      </c>
      <c r="J6464" t="s">
        <v>18</v>
      </c>
      <c r="K6464" t="s">
        <v>19</v>
      </c>
      <c r="L6464" t="s">
        <v>20</v>
      </c>
      <c r="M6464" t="s">
        <v>24</v>
      </c>
      <c r="N6464" t="s">
        <v>22</v>
      </c>
    </row>
    <row r="6465" spans="1:14">
      <c r="A6465" s="4" t="str">
        <f t="shared" si="595"/>
        <v>EXP00221</v>
      </c>
      <c r="B6465" s="4" t="str">
        <f t="shared" si="592"/>
        <v>25361981</v>
      </c>
      <c r="C6465" s="4" t="str">
        <f t="shared" si="593"/>
        <v>GSE56493</v>
      </c>
      <c r="D6465" s="1" t="s">
        <v>298</v>
      </c>
      <c r="E6465" t="s">
        <v>15</v>
      </c>
      <c r="F6465" s="1">
        <v>1</v>
      </c>
      <c r="G6465" s="1" t="s">
        <v>23</v>
      </c>
      <c r="H6465" s="4" t="str">
        <f>HYPERLINK("https://www.ncbi.nlm.nih.gov/geo/query/acc.cgi?acc=GSM1362574","GSM1362574")</f>
        <v>GSM1362574</v>
      </c>
      <c r="I6465" t="s">
        <v>17</v>
      </c>
      <c r="J6465" t="s">
        <v>18</v>
      </c>
      <c r="K6465" t="s">
        <v>19</v>
      </c>
      <c r="L6465" t="s">
        <v>20</v>
      </c>
      <c r="M6465" t="s">
        <v>24</v>
      </c>
      <c r="N6465" t="s">
        <v>22</v>
      </c>
    </row>
    <row r="6466" spans="1:14">
      <c r="A6466" s="4" t="str">
        <f t="shared" si="595"/>
        <v>EXP00221</v>
      </c>
      <c r="B6466" s="4" t="str">
        <f t="shared" si="592"/>
        <v>25361981</v>
      </c>
      <c r="C6466" s="4" t="str">
        <f t="shared" si="593"/>
        <v>GSE56493</v>
      </c>
      <c r="D6466" s="1" t="s">
        <v>298</v>
      </c>
      <c r="E6466" t="s">
        <v>15</v>
      </c>
      <c r="F6466" s="1">
        <v>1</v>
      </c>
      <c r="G6466" s="1" t="s">
        <v>23</v>
      </c>
      <c r="H6466" s="4" t="str">
        <f>HYPERLINK("https://www.ncbi.nlm.nih.gov/geo/query/acc.cgi?acc=GSM1362575","GSM1362575")</f>
        <v>GSM1362575</v>
      </c>
      <c r="I6466" t="s">
        <v>17</v>
      </c>
      <c r="J6466" t="s">
        <v>18</v>
      </c>
      <c r="K6466" t="s">
        <v>19</v>
      </c>
      <c r="L6466" t="s">
        <v>20</v>
      </c>
      <c r="M6466" t="s">
        <v>24</v>
      </c>
      <c r="N6466" t="s">
        <v>22</v>
      </c>
    </row>
    <row r="6467" spans="1:14">
      <c r="A6467" s="4" t="str">
        <f t="shared" si="595"/>
        <v>EXP00221</v>
      </c>
      <c r="B6467" s="4" t="str">
        <f t="shared" si="592"/>
        <v>25361981</v>
      </c>
      <c r="C6467" s="4" t="str">
        <f t="shared" si="593"/>
        <v>GSE56493</v>
      </c>
      <c r="D6467" s="1" t="s">
        <v>298</v>
      </c>
      <c r="E6467" t="s">
        <v>15</v>
      </c>
      <c r="F6467" s="1">
        <v>1</v>
      </c>
      <c r="G6467" s="1" t="s">
        <v>23</v>
      </c>
      <c r="H6467" s="4" t="str">
        <f>HYPERLINK("https://www.ncbi.nlm.nih.gov/geo/query/acc.cgi?acc=GSM1362579","GSM1362579")</f>
        <v>GSM1362579</v>
      </c>
      <c r="I6467" t="s">
        <v>17</v>
      </c>
      <c r="J6467" t="s">
        <v>18</v>
      </c>
      <c r="K6467" t="s">
        <v>19</v>
      </c>
      <c r="L6467" t="s">
        <v>20</v>
      </c>
      <c r="M6467" t="s">
        <v>24</v>
      </c>
      <c r="N6467" t="s">
        <v>22</v>
      </c>
    </row>
    <row r="6468" spans="1:14">
      <c r="A6468" s="4" t="str">
        <f t="shared" si="595"/>
        <v>EXP00221</v>
      </c>
      <c r="B6468" s="4" t="str">
        <f t="shared" si="592"/>
        <v>25361981</v>
      </c>
      <c r="C6468" s="4" t="str">
        <f t="shared" si="593"/>
        <v>GSE56493</v>
      </c>
      <c r="D6468" s="1" t="s">
        <v>298</v>
      </c>
      <c r="E6468" t="s">
        <v>15</v>
      </c>
      <c r="F6468" s="1">
        <v>1</v>
      </c>
      <c r="G6468" s="1" t="s">
        <v>23</v>
      </c>
      <c r="H6468" s="4" t="str">
        <f>HYPERLINK("https://www.ncbi.nlm.nih.gov/geo/query/acc.cgi?acc=GSM1362580","GSM1362580")</f>
        <v>GSM1362580</v>
      </c>
      <c r="I6468" t="s">
        <v>17</v>
      </c>
      <c r="J6468" t="s">
        <v>18</v>
      </c>
      <c r="K6468" t="s">
        <v>19</v>
      </c>
      <c r="L6468" t="s">
        <v>20</v>
      </c>
      <c r="M6468" t="s">
        <v>24</v>
      </c>
      <c r="N6468" t="s">
        <v>22</v>
      </c>
    </row>
    <row r="6469" spans="1:14">
      <c r="A6469" s="4" t="str">
        <f t="shared" si="595"/>
        <v>EXP00221</v>
      </c>
      <c r="B6469" s="4" t="str">
        <f t="shared" si="592"/>
        <v>25361981</v>
      </c>
      <c r="C6469" s="4" t="str">
        <f t="shared" si="593"/>
        <v>GSE56493</v>
      </c>
      <c r="D6469" s="1" t="s">
        <v>298</v>
      </c>
      <c r="E6469" t="s">
        <v>15</v>
      </c>
      <c r="F6469" s="1">
        <v>1</v>
      </c>
      <c r="G6469" s="1" t="s">
        <v>23</v>
      </c>
      <c r="H6469" s="4" t="str">
        <f>HYPERLINK("https://www.ncbi.nlm.nih.gov/geo/query/acc.cgi?acc=GSM1362581","GSM1362581")</f>
        <v>GSM1362581</v>
      </c>
      <c r="I6469" t="s">
        <v>17</v>
      </c>
      <c r="J6469" t="s">
        <v>18</v>
      </c>
      <c r="K6469" t="s">
        <v>19</v>
      </c>
      <c r="L6469" t="s">
        <v>20</v>
      </c>
      <c r="M6469" t="s">
        <v>24</v>
      </c>
      <c r="N6469" t="s">
        <v>22</v>
      </c>
    </row>
    <row r="6470" spans="1:14">
      <c r="A6470" s="4" t="str">
        <f t="shared" si="595"/>
        <v>EXP00221</v>
      </c>
      <c r="B6470" s="4" t="str">
        <f t="shared" si="592"/>
        <v>25361981</v>
      </c>
      <c r="C6470" s="4" t="str">
        <f t="shared" si="593"/>
        <v>GSE56493</v>
      </c>
      <c r="D6470" s="1" t="s">
        <v>298</v>
      </c>
      <c r="E6470" t="s">
        <v>15</v>
      </c>
      <c r="F6470" s="1">
        <v>1</v>
      </c>
      <c r="G6470" s="1" t="s">
        <v>23</v>
      </c>
      <c r="H6470" s="4" t="str">
        <f>HYPERLINK("https://www.ncbi.nlm.nih.gov/geo/query/acc.cgi?acc=GSM1362586","GSM1362586")</f>
        <v>GSM1362586</v>
      </c>
      <c r="I6470" t="s">
        <v>17</v>
      </c>
      <c r="J6470" t="s">
        <v>18</v>
      </c>
      <c r="K6470" t="s">
        <v>19</v>
      </c>
      <c r="L6470" t="s">
        <v>20</v>
      </c>
      <c r="M6470" t="s">
        <v>24</v>
      </c>
      <c r="N6470" t="s">
        <v>22</v>
      </c>
    </row>
    <row r="6471" spans="1:14">
      <c r="A6471" s="4" t="str">
        <f t="shared" si="595"/>
        <v>EXP00221</v>
      </c>
      <c r="B6471" s="4" t="str">
        <f t="shared" si="592"/>
        <v>25361981</v>
      </c>
      <c r="C6471" s="4" t="str">
        <f t="shared" si="593"/>
        <v>GSE56493</v>
      </c>
      <c r="D6471" s="1" t="s">
        <v>298</v>
      </c>
      <c r="E6471" t="s">
        <v>15</v>
      </c>
      <c r="F6471" s="1">
        <v>1</v>
      </c>
      <c r="G6471" s="1" t="s">
        <v>23</v>
      </c>
      <c r="H6471" s="4" t="str">
        <f>HYPERLINK("https://www.ncbi.nlm.nih.gov/geo/query/acc.cgi?acc=GSM1362587","GSM1362587")</f>
        <v>GSM1362587</v>
      </c>
      <c r="I6471" t="s">
        <v>17</v>
      </c>
      <c r="J6471" t="s">
        <v>18</v>
      </c>
      <c r="K6471" t="s">
        <v>19</v>
      </c>
      <c r="L6471" t="s">
        <v>20</v>
      </c>
      <c r="M6471" t="s">
        <v>24</v>
      </c>
      <c r="N6471" t="s">
        <v>22</v>
      </c>
    </row>
    <row r="6472" spans="1:14">
      <c r="A6472" s="4" t="str">
        <f t="shared" si="595"/>
        <v>EXP00221</v>
      </c>
      <c r="B6472" s="4" t="str">
        <f t="shared" si="592"/>
        <v>25361981</v>
      </c>
      <c r="C6472" s="4" t="str">
        <f t="shared" si="593"/>
        <v>GSE56493</v>
      </c>
      <c r="D6472" s="1" t="s">
        <v>298</v>
      </c>
      <c r="E6472" t="s">
        <v>15</v>
      </c>
      <c r="F6472" s="1">
        <v>1</v>
      </c>
      <c r="G6472" s="1" t="s">
        <v>23</v>
      </c>
      <c r="H6472" s="4" t="str">
        <f>HYPERLINK("https://www.ncbi.nlm.nih.gov/geo/query/acc.cgi?acc=GSM1362592","GSM1362592")</f>
        <v>GSM1362592</v>
      </c>
      <c r="I6472" t="s">
        <v>17</v>
      </c>
      <c r="J6472" t="s">
        <v>18</v>
      </c>
      <c r="K6472" t="s">
        <v>19</v>
      </c>
      <c r="L6472" t="s">
        <v>20</v>
      </c>
      <c r="M6472" t="s">
        <v>24</v>
      </c>
      <c r="N6472" t="s">
        <v>22</v>
      </c>
    </row>
    <row r="6473" spans="1:14">
      <c r="A6473" s="4" t="str">
        <f t="shared" si="595"/>
        <v>EXP00221</v>
      </c>
      <c r="B6473" s="4" t="str">
        <f t="shared" si="592"/>
        <v>25361981</v>
      </c>
      <c r="C6473" s="4" t="str">
        <f t="shared" si="593"/>
        <v>GSE56493</v>
      </c>
      <c r="D6473" s="1" t="s">
        <v>298</v>
      </c>
      <c r="E6473" t="s">
        <v>15</v>
      </c>
      <c r="F6473" s="1">
        <v>1</v>
      </c>
      <c r="G6473" s="1" t="s">
        <v>23</v>
      </c>
      <c r="H6473" s="4" t="str">
        <f>HYPERLINK("https://www.ncbi.nlm.nih.gov/geo/query/acc.cgi?acc=GSM1362595","GSM1362595")</f>
        <v>GSM1362595</v>
      </c>
      <c r="I6473" t="s">
        <v>17</v>
      </c>
      <c r="J6473" t="s">
        <v>18</v>
      </c>
      <c r="K6473" t="s">
        <v>19</v>
      </c>
      <c r="L6473" t="s">
        <v>20</v>
      </c>
      <c r="M6473" t="s">
        <v>24</v>
      </c>
      <c r="N6473" t="s">
        <v>22</v>
      </c>
    </row>
    <row r="6474" spans="1:14">
      <c r="A6474" s="4" t="str">
        <f t="shared" si="595"/>
        <v>EXP00221</v>
      </c>
      <c r="B6474" s="4" t="str">
        <f t="shared" si="592"/>
        <v>25361981</v>
      </c>
      <c r="C6474" s="4" t="str">
        <f t="shared" si="593"/>
        <v>GSE56493</v>
      </c>
      <c r="D6474" s="1" t="s">
        <v>298</v>
      </c>
      <c r="E6474" t="s">
        <v>15</v>
      </c>
      <c r="F6474" s="1">
        <v>1</v>
      </c>
      <c r="G6474" s="1" t="s">
        <v>23</v>
      </c>
      <c r="H6474" s="4" t="str">
        <f>HYPERLINK("https://www.ncbi.nlm.nih.gov/geo/query/acc.cgi?acc=GSM1362600","GSM1362600")</f>
        <v>GSM1362600</v>
      </c>
      <c r="I6474" t="s">
        <v>17</v>
      </c>
      <c r="J6474" t="s">
        <v>18</v>
      </c>
      <c r="K6474" t="s">
        <v>19</v>
      </c>
      <c r="L6474" t="s">
        <v>20</v>
      </c>
      <c r="M6474" t="s">
        <v>24</v>
      </c>
      <c r="N6474" t="s">
        <v>22</v>
      </c>
    </row>
    <row r="6475" spans="1:14">
      <c r="A6475" s="4" t="str">
        <f t="shared" ref="A6475:A6508" si="596">HYPERLINK("http://hcmdb.i-sanger.com/experiment/details/experiment_id/EXP00221","EXP00221")</f>
        <v>EXP00221</v>
      </c>
      <c r="B6475" s="4" t="str">
        <f t="shared" si="592"/>
        <v>25361981</v>
      </c>
      <c r="C6475" s="4" t="str">
        <f t="shared" si="593"/>
        <v>GSE56493</v>
      </c>
      <c r="D6475" s="1" t="s">
        <v>298</v>
      </c>
      <c r="E6475" t="s">
        <v>15</v>
      </c>
      <c r="F6475" s="1">
        <v>1</v>
      </c>
      <c r="G6475" s="1" t="s">
        <v>23</v>
      </c>
      <c r="H6475" s="4" t="str">
        <f>HYPERLINK("https://www.ncbi.nlm.nih.gov/geo/query/acc.cgi?acc=GSM1362601","GSM1362601")</f>
        <v>GSM1362601</v>
      </c>
      <c r="I6475" t="s">
        <v>17</v>
      </c>
      <c r="J6475" t="s">
        <v>18</v>
      </c>
      <c r="K6475" t="s">
        <v>19</v>
      </c>
      <c r="L6475" t="s">
        <v>20</v>
      </c>
      <c r="M6475" t="s">
        <v>24</v>
      </c>
      <c r="N6475" t="s">
        <v>22</v>
      </c>
    </row>
    <row r="6476" spans="1:14">
      <c r="A6476" s="4" t="str">
        <f t="shared" si="596"/>
        <v>EXP00221</v>
      </c>
      <c r="B6476" s="4" t="str">
        <f t="shared" si="592"/>
        <v>25361981</v>
      </c>
      <c r="C6476" s="4" t="str">
        <f t="shared" si="593"/>
        <v>GSE56493</v>
      </c>
      <c r="D6476" s="1" t="s">
        <v>298</v>
      </c>
      <c r="E6476" t="s">
        <v>15</v>
      </c>
      <c r="F6476" s="1">
        <v>1</v>
      </c>
      <c r="G6476" s="1" t="s">
        <v>23</v>
      </c>
      <c r="H6476" s="4" t="str">
        <f>HYPERLINK("https://www.ncbi.nlm.nih.gov/geo/query/acc.cgi?acc=GSM1362608","GSM1362608")</f>
        <v>GSM1362608</v>
      </c>
      <c r="I6476" t="s">
        <v>17</v>
      </c>
      <c r="J6476" t="s">
        <v>18</v>
      </c>
      <c r="K6476" t="s">
        <v>19</v>
      </c>
      <c r="L6476" t="s">
        <v>20</v>
      </c>
      <c r="M6476" t="s">
        <v>24</v>
      </c>
      <c r="N6476" t="s">
        <v>22</v>
      </c>
    </row>
    <row r="6477" spans="1:14">
      <c r="A6477" s="4" t="str">
        <f t="shared" si="596"/>
        <v>EXP00221</v>
      </c>
      <c r="B6477" s="4" t="str">
        <f t="shared" si="592"/>
        <v>25361981</v>
      </c>
      <c r="C6477" s="4" t="str">
        <f t="shared" si="593"/>
        <v>GSE56493</v>
      </c>
      <c r="D6477" s="1" t="s">
        <v>298</v>
      </c>
      <c r="E6477" t="s">
        <v>15</v>
      </c>
      <c r="F6477" s="1">
        <v>1</v>
      </c>
      <c r="G6477" s="1" t="s">
        <v>23</v>
      </c>
      <c r="H6477" s="4" t="str">
        <f>HYPERLINK("https://www.ncbi.nlm.nih.gov/geo/query/acc.cgi?acc=GSM1362609","GSM1362609")</f>
        <v>GSM1362609</v>
      </c>
      <c r="I6477" t="s">
        <v>17</v>
      </c>
      <c r="J6477" t="s">
        <v>18</v>
      </c>
      <c r="K6477" t="s">
        <v>19</v>
      </c>
      <c r="L6477" t="s">
        <v>20</v>
      </c>
      <c r="M6477" t="s">
        <v>24</v>
      </c>
      <c r="N6477" t="s">
        <v>22</v>
      </c>
    </row>
    <row r="6478" spans="1:14">
      <c r="A6478" s="4" t="str">
        <f t="shared" si="596"/>
        <v>EXP00221</v>
      </c>
      <c r="B6478" s="4" t="str">
        <f t="shared" si="592"/>
        <v>25361981</v>
      </c>
      <c r="C6478" s="4" t="str">
        <f t="shared" si="593"/>
        <v>GSE56493</v>
      </c>
      <c r="D6478" s="1" t="s">
        <v>298</v>
      </c>
      <c r="E6478" t="s">
        <v>15</v>
      </c>
      <c r="F6478" s="1">
        <v>1</v>
      </c>
      <c r="G6478" s="1" t="s">
        <v>23</v>
      </c>
      <c r="H6478" s="4" t="str">
        <f>HYPERLINK("https://www.ncbi.nlm.nih.gov/geo/query/acc.cgi?acc=GSM1362613","GSM1362613")</f>
        <v>GSM1362613</v>
      </c>
      <c r="I6478" t="s">
        <v>17</v>
      </c>
      <c r="J6478" t="s">
        <v>18</v>
      </c>
      <c r="K6478" t="s">
        <v>19</v>
      </c>
      <c r="L6478" t="s">
        <v>20</v>
      </c>
      <c r="M6478" t="s">
        <v>24</v>
      </c>
      <c r="N6478" t="s">
        <v>22</v>
      </c>
    </row>
    <row r="6479" spans="1:14">
      <c r="A6479" s="4" t="str">
        <f t="shared" si="596"/>
        <v>EXP00221</v>
      </c>
      <c r="B6479" s="4" t="str">
        <f t="shared" si="592"/>
        <v>25361981</v>
      </c>
      <c r="C6479" s="4" t="str">
        <f t="shared" si="593"/>
        <v>GSE56493</v>
      </c>
      <c r="D6479" s="1" t="s">
        <v>298</v>
      </c>
      <c r="E6479" t="s">
        <v>15</v>
      </c>
      <c r="F6479" s="1">
        <v>1</v>
      </c>
      <c r="G6479" s="1" t="s">
        <v>23</v>
      </c>
      <c r="H6479" s="4" t="str">
        <f>HYPERLINK("https://www.ncbi.nlm.nih.gov/geo/query/acc.cgi?acc=GSM1362615","GSM1362615")</f>
        <v>GSM1362615</v>
      </c>
      <c r="I6479" t="s">
        <v>17</v>
      </c>
      <c r="J6479" t="s">
        <v>18</v>
      </c>
      <c r="K6479" t="s">
        <v>19</v>
      </c>
      <c r="L6479" t="s">
        <v>20</v>
      </c>
      <c r="M6479" t="s">
        <v>24</v>
      </c>
      <c r="N6479" t="s">
        <v>22</v>
      </c>
    </row>
    <row r="6480" spans="1:14">
      <c r="A6480" s="4" t="str">
        <f t="shared" si="596"/>
        <v>EXP00221</v>
      </c>
      <c r="B6480" s="4" t="str">
        <f t="shared" si="592"/>
        <v>25361981</v>
      </c>
      <c r="C6480" s="4" t="str">
        <f t="shared" si="593"/>
        <v>GSE56493</v>
      </c>
      <c r="D6480" s="1" t="s">
        <v>298</v>
      </c>
      <c r="E6480" t="s">
        <v>15</v>
      </c>
      <c r="F6480" s="1">
        <v>1</v>
      </c>
      <c r="G6480" s="1" t="s">
        <v>23</v>
      </c>
      <c r="H6480" s="4" t="str">
        <f>HYPERLINK("https://www.ncbi.nlm.nih.gov/geo/query/acc.cgi?acc=GSM1362617","GSM1362617")</f>
        <v>GSM1362617</v>
      </c>
      <c r="I6480" t="s">
        <v>17</v>
      </c>
      <c r="J6480" t="s">
        <v>18</v>
      </c>
      <c r="K6480" t="s">
        <v>19</v>
      </c>
      <c r="L6480" t="s">
        <v>20</v>
      </c>
      <c r="M6480" t="s">
        <v>24</v>
      </c>
      <c r="N6480" t="s">
        <v>22</v>
      </c>
    </row>
    <row r="6481" spans="1:14">
      <c r="A6481" s="4" t="str">
        <f t="shared" si="596"/>
        <v>EXP00221</v>
      </c>
      <c r="B6481" s="4" t="str">
        <f t="shared" si="592"/>
        <v>25361981</v>
      </c>
      <c r="C6481" s="4" t="str">
        <f t="shared" si="593"/>
        <v>GSE56493</v>
      </c>
      <c r="D6481" s="1" t="s">
        <v>298</v>
      </c>
      <c r="E6481" t="s">
        <v>15</v>
      </c>
      <c r="F6481" s="1">
        <v>1</v>
      </c>
      <c r="G6481" s="1" t="s">
        <v>23</v>
      </c>
      <c r="H6481" s="4" t="str">
        <f>HYPERLINK("https://www.ncbi.nlm.nih.gov/geo/query/acc.cgi?acc=GSM1362619","GSM1362619")</f>
        <v>GSM1362619</v>
      </c>
      <c r="I6481" t="s">
        <v>17</v>
      </c>
      <c r="J6481" t="s">
        <v>18</v>
      </c>
      <c r="K6481" t="s">
        <v>19</v>
      </c>
      <c r="L6481" t="s">
        <v>20</v>
      </c>
      <c r="M6481" t="s">
        <v>24</v>
      </c>
      <c r="N6481" t="s">
        <v>22</v>
      </c>
    </row>
    <row r="6482" spans="1:14">
      <c r="A6482" s="4" t="str">
        <f t="shared" si="596"/>
        <v>EXP00221</v>
      </c>
      <c r="B6482" s="4" t="str">
        <f t="shared" si="592"/>
        <v>25361981</v>
      </c>
      <c r="C6482" s="4" t="str">
        <f t="shared" si="593"/>
        <v>GSE56493</v>
      </c>
      <c r="D6482" s="1" t="s">
        <v>298</v>
      </c>
      <c r="E6482" t="s">
        <v>15</v>
      </c>
      <c r="F6482" s="1">
        <v>1</v>
      </c>
      <c r="G6482" s="1" t="s">
        <v>23</v>
      </c>
      <c r="H6482" s="4" t="str">
        <f>HYPERLINK("https://www.ncbi.nlm.nih.gov/geo/query/acc.cgi?acc=GSM1362620","GSM1362620")</f>
        <v>GSM1362620</v>
      </c>
      <c r="I6482" t="s">
        <v>17</v>
      </c>
      <c r="J6482" t="s">
        <v>18</v>
      </c>
      <c r="K6482" t="s">
        <v>19</v>
      </c>
      <c r="L6482" t="s">
        <v>20</v>
      </c>
      <c r="M6482" t="s">
        <v>24</v>
      </c>
      <c r="N6482" t="s">
        <v>22</v>
      </c>
    </row>
    <row r="6483" spans="1:14">
      <c r="A6483" s="4" t="str">
        <f t="shared" si="596"/>
        <v>EXP00221</v>
      </c>
      <c r="B6483" s="4" t="str">
        <f t="shared" si="592"/>
        <v>25361981</v>
      </c>
      <c r="C6483" s="4" t="str">
        <f t="shared" si="593"/>
        <v>GSE56493</v>
      </c>
      <c r="D6483" s="1" t="s">
        <v>298</v>
      </c>
      <c r="E6483" t="s">
        <v>15</v>
      </c>
      <c r="F6483" s="1">
        <v>1</v>
      </c>
      <c r="G6483" s="1" t="s">
        <v>23</v>
      </c>
      <c r="H6483" s="4" t="str">
        <f>HYPERLINK("https://www.ncbi.nlm.nih.gov/geo/query/acc.cgi?acc=GSM1362622","GSM1362622")</f>
        <v>GSM1362622</v>
      </c>
      <c r="I6483" t="s">
        <v>17</v>
      </c>
      <c r="J6483" t="s">
        <v>18</v>
      </c>
      <c r="K6483" t="s">
        <v>19</v>
      </c>
      <c r="L6483" t="s">
        <v>20</v>
      </c>
      <c r="M6483" t="s">
        <v>24</v>
      </c>
      <c r="N6483" t="s">
        <v>22</v>
      </c>
    </row>
    <row r="6484" spans="1:14">
      <c r="A6484" s="4" t="str">
        <f t="shared" si="596"/>
        <v>EXP00221</v>
      </c>
      <c r="B6484" s="4" t="str">
        <f t="shared" si="592"/>
        <v>25361981</v>
      </c>
      <c r="C6484" s="4" t="str">
        <f t="shared" si="593"/>
        <v>GSE56493</v>
      </c>
      <c r="D6484" s="1" t="s">
        <v>298</v>
      </c>
      <c r="E6484" t="s">
        <v>15</v>
      </c>
      <c r="F6484" s="1">
        <v>1</v>
      </c>
      <c r="G6484" s="1" t="s">
        <v>23</v>
      </c>
      <c r="H6484" s="4" t="str">
        <f>HYPERLINK("https://www.ncbi.nlm.nih.gov/geo/query/acc.cgi?acc=GSM1362623","GSM1362623")</f>
        <v>GSM1362623</v>
      </c>
      <c r="I6484" t="s">
        <v>17</v>
      </c>
      <c r="J6484" t="s">
        <v>18</v>
      </c>
      <c r="K6484" t="s">
        <v>19</v>
      </c>
      <c r="L6484" t="s">
        <v>20</v>
      </c>
      <c r="M6484" t="s">
        <v>24</v>
      </c>
      <c r="N6484" t="s">
        <v>22</v>
      </c>
    </row>
    <row r="6485" spans="1:14">
      <c r="A6485" s="4" t="str">
        <f t="shared" si="596"/>
        <v>EXP00221</v>
      </c>
      <c r="B6485" s="4" t="str">
        <f t="shared" si="592"/>
        <v>25361981</v>
      </c>
      <c r="C6485" s="4" t="str">
        <f t="shared" si="593"/>
        <v>GSE56493</v>
      </c>
      <c r="D6485" s="1" t="s">
        <v>298</v>
      </c>
      <c r="E6485" t="s">
        <v>15</v>
      </c>
      <c r="F6485" s="1">
        <v>1</v>
      </c>
      <c r="G6485" s="1" t="s">
        <v>23</v>
      </c>
      <c r="H6485" s="4" t="str">
        <f>HYPERLINK("https://www.ncbi.nlm.nih.gov/geo/query/acc.cgi?acc=GSM1362625","GSM1362625")</f>
        <v>GSM1362625</v>
      </c>
      <c r="I6485" t="s">
        <v>17</v>
      </c>
      <c r="J6485" t="s">
        <v>18</v>
      </c>
      <c r="K6485" t="s">
        <v>19</v>
      </c>
      <c r="L6485" t="s">
        <v>20</v>
      </c>
      <c r="M6485" t="s">
        <v>24</v>
      </c>
      <c r="N6485" t="s">
        <v>22</v>
      </c>
    </row>
    <row r="6486" spans="1:14">
      <c r="A6486" s="4" t="str">
        <f t="shared" si="596"/>
        <v>EXP00221</v>
      </c>
      <c r="B6486" s="4" t="str">
        <f t="shared" si="592"/>
        <v>25361981</v>
      </c>
      <c r="C6486" s="4" t="str">
        <f t="shared" si="593"/>
        <v>GSE56493</v>
      </c>
      <c r="D6486" s="1" t="s">
        <v>298</v>
      </c>
      <c r="E6486" t="s">
        <v>15</v>
      </c>
      <c r="F6486" s="1">
        <v>1</v>
      </c>
      <c r="G6486" s="1" t="s">
        <v>23</v>
      </c>
      <c r="H6486" s="4" t="str">
        <f>HYPERLINK("https://www.ncbi.nlm.nih.gov/geo/query/acc.cgi?acc=GSM1362633","GSM1362633")</f>
        <v>GSM1362633</v>
      </c>
      <c r="I6486" t="s">
        <v>17</v>
      </c>
      <c r="J6486" t="s">
        <v>18</v>
      </c>
      <c r="K6486" t="s">
        <v>19</v>
      </c>
      <c r="L6486" t="s">
        <v>20</v>
      </c>
      <c r="M6486" t="s">
        <v>24</v>
      </c>
      <c r="N6486" t="s">
        <v>22</v>
      </c>
    </row>
    <row r="6487" spans="1:14">
      <c r="A6487" s="4" t="str">
        <f t="shared" si="596"/>
        <v>EXP00221</v>
      </c>
      <c r="B6487" s="4" t="str">
        <f t="shared" si="592"/>
        <v>25361981</v>
      </c>
      <c r="C6487" s="4" t="str">
        <f t="shared" si="593"/>
        <v>GSE56493</v>
      </c>
      <c r="D6487" s="1" t="s">
        <v>298</v>
      </c>
      <c r="E6487" t="s">
        <v>15</v>
      </c>
      <c r="F6487" s="1">
        <v>2</v>
      </c>
      <c r="G6487" s="1" t="s">
        <v>224</v>
      </c>
      <c r="H6487" s="4" t="str">
        <f>HYPERLINK("https://www.ncbi.nlm.nih.gov/geo/query/acc.cgi?acc=GSM1362519","GSM1362519")</f>
        <v>GSM1362519</v>
      </c>
      <c r="I6487" t="s">
        <v>17</v>
      </c>
      <c r="J6487" t="s">
        <v>18</v>
      </c>
      <c r="K6487" t="s">
        <v>19</v>
      </c>
      <c r="L6487" t="s">
        <v>20</v>
      </c>
      <c r="M6487" t="s">
        <v>27</v>
      </c>
      <c r="N6487" t="s">
        <v>22</v>
      </c>
    </row>
    <row r="6488" spans="1:14">
      <c r="A6488" s="4" t="str">
        <f t="shared" si="596"/>
        <v>EXP00221</v>
      </c>
      <c r="B6488" s="4" t="str">
        <f t="shared" si="592"/>
        <v>25361981</v>
      </c>
      <c r="C6488" s="4" t="str">
        <f t="shared" si="593"/>
        <v>GSE56493</v>
      </c>
      <c r="D6488" s="1" t="s">
        <v>298</v>
      </c>
      <c r="E6488" t="s">
        <v>15</v>
      </c>
      <c r="F6488" s="1">
        <v>2</v>
      </c>
      <c r="G6488" s="1" t="s">
        <v>224</v>
      </c>
      <c r="H6488" s="4" t="str">
        <f>HYPERLINK("https://www.ncbi.nlm.nih.gov/geo/query/acc.cgi?acc=GSM1362521","GSM1362521")</f>
        <v>GSM1362521</v>
      </c>
      <c r="I6488" t="s">
        <v>17</v>
      </c>
      <c r="J6488" t="s">
        <v>18</v>
      </c>
      <c r="K6488" t="s">
        <v>19</v>
      </c>
      <c r="L6488" t="s">
        <v>20</v>
      </c>
      <c r="M6488" t="s">
        <v>27</v>
      </c>
      <c r="N6488" t="s">
        <v>22</v>
      </c>
    </row>
    <row r="6489" spans="1:14">
      <c r="A6489" s="4" t="str">
        <f t="shared" si="596"/>
        <v>EXP00221</v>
      </c>
      <c r="B6489" s="4" t="str">
        <f t="shared" ref="B6489:B6508" si="597">HYPERLINK("https://www.ncbi.nlm.nih.gov/pubmed/25361981","25361981")</f>
        <v>25361981</v>
      </c>
      <c r="C6489" s="4" t="str">
        <f t="shared" ref="C6489:C6508" si="598">HYPERLINK("https://www.ncbi.nlm.nih.gov/geo/query/acc.cgi?acc=GSE56493","GSE56493")</f>
        <v>GSE56493</v>
      </c>
      <c r="D6489" s="1" t="s">
        <v>298</v>
      </c>
      <c r="E6489" t="s">
        <v>15</v>
      </c>
      <c r="F6489" s="1">
        <v>2</v>
      </c>
      <c r="G6489" s="1" t="s">
        <v>224</v>
      </c>
      <c r="H6489" s="4" t="str">
        <f>HYPERLINK("https://www.ncbi.nlm.nih.gov/geo/query/acc.cgi?acc=GSM1362524","GSM1362524")</f>
        <v>GSM1362524</v>
      </c>
      <c r="I6489" t="s">
        <v>17</v>
      </c>
      <c r="J6489" t="s">
        <v>18</v>
      </c>
      <c r="K6489" t="s">
        <v>19</v>
      </c>
      <c r="L6489" t="s">
        <v>20</v>
      </c>
      <c r="M6489" t="s">
        <v>27</v>
      </c>
      <c r="N6489" t="s">
        <v>22</v>
      </c>
    </row>
    <row r="6490" spans="1:14">
      <c r="A6490" s="4" t="str">
        <f t="shared" si="596"/>
        <v>EXP00221</v>
      </c>
      <c r="B6490" s="4" t="str">
        <f t="shared" si="597"/>
        <v>25361981</v>
      </c>
      <c r="C6490" s="4" t="str">
        <f t="shared" si="598"/>
        <v>GSE56493</v>
      </c>
      <c r="D6490" s="1" t="s">
        <v>298</v>
      </c>
      <c r="E6490" t="s">
        <v>15</v>
      </c>
      <c r="F6490" s="1">
        <v>2</v>
      </c>
      <c r="G6490" s="1" t="s">
        <v>224</v>
      </c>
      <c r="H6490" s="4" t="str">
        <f>HYPERLINK("https://www.ncbi.nlm.nih.gov/geo/query/acc.cgi?acc=GSM1362542","GSM1362542")</f>
        <v>GSM1362542</v>
      </c>
      <c r="I6490" t="s">
        <v>17</v>
      </c>
      <c r="J6490" t="s">
        <v>18</v>
      </c>
      <c r="K6490" t="s">
        <v>19</v>
      </c>
      <c r="L6490" t="s">
        <v>20</v>
      </c>
      <c r="M6490" t="s">
        <v>27</v>
      </c>
      <c r="N6490" t="s">
        <v>22</v>
      </c>
    </row>
    <row r="6491" spans="1:14">
      <c r="A6491" s="4" t="str">
        <f t="shared" si="596"/>
        <v>EXP00221</v>
      </c>
      <c r="B6491" s="4" t="str">
        <f t="shared" si="597"/>
        <v>25361981</v>
      </c>
      <c r="C6491" s="4" t="str">
        <f t="shared" si="598"/>
        <v>GSE56493</v>
      </c>
      <c r="D6491" s="1" t="s">
        <v>298</v>
      </c>
      <c r="E6491" t="s">
        <v>15</v>
      </c>
      <c r="F6491" s="1">
        <v>2</v>
      </c>
      <c r="G6491" s="1" t="s">
        <v>224</v>
      </c>
      <c r="H6491" s="4" t="str">
        <f>HYPERLINK("https://www.ncbi.nlm.nih.gov/geo/query/acc.cgi?acc=GSM1362563","GSM1362563")</f>
        <v>GSM1362563</v>
      </c>
      <c r="I6491" t="s">
        <v>17</v>
      </c>
      <c r="J6491" t="s">
        <v>18</v>
      </c>
      <c r="K6491" t="s">
        <v>19</v>
      </c>
      <c r="L6491" t="s">
        <v>20</v>
      </c>
      <c r="M6491" t="s">
        <v>27</v>
      </c>
      <c r="N6491" t="s">
        <v>22</v>
      </c>
    </row>
    <row r="6492" spans="1:14">
      <c r="A6492" s="4" t="str">
        <f t="shared" si="596"/>
        <v>EXP00221</v>
      </c>
      <c r="B6492" s="4" t="str">
        <f t="shared" si="597"/>
        <v>25361981</v>
      </c>
      <c r="C6492" s="4" t="str">
        <f t="shared" si="598"/>
        <v>GSE56493</v>
      </c>
      <c r="D6492" s="1" t="s">
        <v>298</v>
      </c>
      <c r="E6492" t="s">
        <v>15</v>
      </c>
      <c r="F6492" s="1">
        <v>2</v>
      </c>
      <c r="G6492" s="1" t="s">
        <v>224</v>
      </c>
      <c r="H6492" s="4" t="str">
        <f>HYPERLINK("https://www.ncbi.nlm.nih.gov/geo/query/acc.cgi?acc=GSM1362565","GSM1362565")</f>
        <v>GSM1362565</v>
      </c>
      <c r="I6492" t="s">
        <v>17</v>
      </c>
      <c r="J6492" t="s">
        <v>18</v>
      </c>
      <c r="K6492" t="s">
        <v>19</v>
      </c>
      <c r="L6492" t="s">
        <v>20</v>
      </c>
      <c r="M6492" t="s">
        <v>27</v>
      </c>
      <c r="N6492" t="s">
        <v>22</v>
      </c>
    </row>
    <row r="6493" spans="1:14">
      <c r="A6493" s="4" t="str">
        <f t="shared" si="596"/>
        <v>EXP00221</v>
      </c>
      <c r="B6493" s="4" t="str">
        <f t="shared" si="597"/>
        <v>25361981</v>
      </c>
      <c r="C6493" s="4" t="str">
        <f t="shared" si="598"/>
        <v>GSE56493</v>
      </c>
      <c r="D6493" s="1" t="s">
        <v>298</v>
      </c>
      <c r="E6493" t="s">
        <v>15</v>
      </c>
      <c r="F6493" s="1">
        <v>2</v>
      </c>
      <c r="G6493" s="1" t="s">
        <v>224</v>
      </c>
      <c r="H6493" s="4" t="str">
        <f>HYPERLINK("https://www.ncbi.nlm.nih.gov/geo/query/acc.cgi?acc=GSM1362566","GSM1362566")</f>
        <v>GSM1362566</v>
      </c>
      <c r="I6493" t="s">
        <v>17</v>
      </c>
      <c r="J6493" t="s">
        <v>18</v>
      </c>
      <c r="K6493" t="s">
        <v>19</v>
      </c>
      <c r="L6493" t="s">
        <v>20</v>
      </c>
      <c r="M6493" t="s">
        <v>27</v>
      </c>
      <c r="N6493" t="s">
        <v>22</v>
      </c>
    </row>
    <row r="6494" spans="1:14">
      <c r="A6494" s="4" t="str">
        <f t="shared" si="596"/>
        <v>EXP00221</v>
      </c>
      <c r="B6494" s="4" t="str">
        <f t="shared" si="597"/>
        <v>25361981</v>
      </c>
      <c r="C6494" s="4" t="str">
        <f t="shared" si="598"/>
        <v>GSE56493</v>
      </c>
      <c r="D6494" s="1" t="s">
        <v>298</v>
      </c>
      <c r="E6494" t="s">
        <v>15</v>
      </c>
      <c r="F6494" s="1">
        <v>2</v>
      </c>
      <c r="G6494" s="1" t="s">
        <v>224</v>
      </c>
      <c r="H6494" s="4" t="str">
        <f>HYPERLINK("https://www.ncbi.nlm.nih.gov/geo/query/acc.cgi?acc=GSM1362569","GSM1362569")</f>
        <v>GSM1362569</v>
      </c>
      <c r="I6494" t="s">
        <v>17</v>
      </c>
      <c r="J6494" t="s">
        <v>18</v>
      </c>
      <c r="K6494" t="s">
        <v>19</v>
      </c>
      <c r="L6494" t="s">
        <v>20</v>
      </c>
      <c r="M6494" t="s">
        <v>27</v>
      </c>
      <c r="N6494" t="s">
        <v>22</v>
      </c>
    </row>
    <row r="6495" spans="1:14">
      <c r="A6495" s="4" t="str">
        <f t="shared" si="596"/>
        <v>EXP00221</v>
      </c>
      <c r="B6495" s="4" t="str">
        <f t="shared" si="597"/>
        <v>25361981</v>
      </c>
      <c r="C6495" s="4" t="str">
        <f t="shared" si="598"/>
        <v>GSE56493</v>
      </c>
      <c r="D6495" s="1" t="s">
        <v>298</v>
      </c>
      <c r="E6495" t="s">
        <v>15</v>
      </c>
      <c r="F6495" s="1">
        <v>2</v>
      </c>
      <c r="G6495" s="1" t="s">
        <v>224</v>
      </c>
      <c r="H6495" s="4" t="str">
        <f>HYPERLINK("https://www.ncbi.nlm.nih.gov/geo/query/acc.cgi?acc=GSM1362570","GSM1362570")</f>
        <v>GSM1362570</v>
      </c>
      <c r="I6495" t="s">
        <v>17</v>
      </c>
      <c r="J6495" t="s">
        <v>18</v>
      </c>
      <c r="K6495" t="s">
        <v>19</v>
      </c>
      <c r="L6495" t="s">
        <v>20</v>
      </c>
      <c r="M6495" t="s">
        <v>27</v>
      </c>
      <c r="N6495" t="s">
        <v>22</v>
      </c>
    </row>
    <row r="6496" spans="1:14">
      <c r="A6496" s="4" t="str">
        <f t="shared" si="596"/>
        <v>EXP00221</v>
      </c>
      <c r="B6496" s="4" t="str">
        <f t="shared" si="597"/>
        <v>25361981</v>
      </c>
      <c r="C6496" s="4" t="str">
        <f t="shared" si="598"/>
        <v>GSE56493</v>
      </c>
      <c r="D6496" s="1" t="s">
        <v>298</v>
      </c>
      <c r="E6496" t="s">
        <v>15</v>
      </c>
      <c r="F6496" s="1">
        <v>2</v>
      </c>
      <c r="G6496" s="1" t="s">
        <v>224</v>
      </c>
      <c r="H6496" s="4" t="str">
        <f>HYPERLINK("https://www.ncbi.nlm.nih.gov/geo/query/acc.cgi?acc=GSM1362573","GSM1362573")</f>
        <v>GSM1362573</v>
      </c>
      <c r="I6496" t="s">
        <v>17</v>
      </c>
      <c r="J6496" t="s">
        <v>18</v>
      </c>
      <c r="K6496" t="s">
        <v>19</v>
      </c>
      <c r="L6496" t="s">
        <v>20</v>
      </c>
      <c r="M6496" t="s">
        <v>27</v>
      </c>
      <c r="N6496" t="s">
        <v>22</v>
      </c>
    </row>
    <row r="6497" spans="1:14">
      <c r="A6497" s="4" t="str">
        <f t="shared" si="596"/>
        <v>EXP00221</v>
      </c>
      <c r="B6497" s="4" t="str">
        <f t="shared" si="597"/>
        <v>25361981</v>
      </c>
      <c r="C6497" s="4" t="str">
        <f t="shared" si="598"/>
        <v>GSE56493</v>
      </c>
      <c r="D6497" s="1" t="s">
        <v>298</v>
      </c>
      <c r="E6497" t="s">
        <v>15</v>
      </c>
      <c r="F6497" s="1">
        <v>2</v>
      </c>
      <c r="G6497" s="1" t="s">
        <v>224</v>
      </c>
      <c r="H6497" s="4" t="str">
        <f>HYPERLINK("https://www.ncbi.nlm.nih.gov/geo/query/acc.cgi?acc=GSM1362577","GSM1362577")</f>
        <v>GSM1362577</v>
      </c>
      <c r="I6497" t="s">
        <v>17</v>
      </c>
      <c r="J6497" t="s">
        <v>18</v>
      </c>
      <c r="K6497" t="s">
        <v>19</v>
      </c>
      <c r="L6497" t="s">
        <v>20</v>
      </c>
      <c r="M6497" t="s">
        <v>27</v>
      </c>
      <c r="N6497" t="s">
        <v>22</v>
      </c>
    </row>
    <row r="6498" spans="1:14">
      <c r="A6498" s="4" t="str">
        <f t="shared" si="596"/>
        <v>EXP00221</v>
      </c>
      <c r="B6498" s="4" t="str">
        <f t="shared" si="597"/>
        <v>25361981</v>
      </c>
      <c r="C6498" s="4" t="str">
        <f t="shared" si="598"/>
        <v>GSE56493</v>
      </c>
      <c r="D6498" s="1" t="s">
        <v>298</v>
      </c>
      <c r="E6498" t="s">
        <v>15</v>
      </c>
      <c r="F6498" s="1">
        <v>2</v>
      </c>
      <c r="G6498" s="1" t="s">
        <v>224</v>
      </c>
      <c r="H6498" s="4" t="str">
        <f>HYPERLINK("https://www.ncbi.nlm.nih.gov/geo/query/acc.cgi?acc=GSM1362583","GSM1362583")</f>
        <v>GSM1362583</v>
      </c>
      <c r="I6498" t="s">
        <v>17</v>
      </c>
      <c r="J6498" t="s">
        <v>18</v>
      </c>
      <c r="K6498" t="s">
        <v>19</v>
      </c>
      <c r="L6498" t="s">
        <v>20</v>
      </c>
      <c r="M6498" t="s">
        <v>27</v>
      </c>
      <c r="N6498" t="s">
        <v>22</v>
      </c>
    </row>
    <row r="6499" spans="1:14">
      <c r="A6499" s="4" t="str">
        <f t="shared" si="596"/>
        <v>EXP00221</v>
      </c>
      <c r="B6499" s="4" t="str">
        <f t="shared" si="597"/>
        <v>25361981</v>
      </c>
      <c r="C6499" s="4" t="str">
        <f t="shared" si="598"/>
        <v>GSE56493</v>
      </c>
      <c r="D6499" s="1" t="s">
        <v>298</v>
      </c>
      <c r="E6499" t="s">
        <v>15</v>
      </c>
      <c r="F6499" s="1">
        <v>2</v>
      </c>
      <c r="G6499" s="1" t="s">
        <v>224</v>
      </c>
      <c r="H6499" s="4" t="str">
        <f>HYPERLINK("https://www.ncbi.nlm.nih.gov/geo/query/acc.cgi?acc=GSM1362585","GSM1362585")</f>
        <v>GSM1362585</v>
      </c>
      <c r="I6499" t="s">
        <v>17</v>
      </c>
      <c r="J6499" t="s">
        <v>18</v>
      </c>
      <c r="K6499" t="s">
        <v>19</v>
      </c>
      <c r="L6499" t="s">
        <v>20</v>
      </c>
      <c r="M6499" t="s">
        <v>27</v>
      </c>
      <c r="N6499" t="s">
        <v>22</v>
      </c>
    </row>
    <row r="6500" spans="1:14">
      <c r="A6500" s="4" t="str">
        <f t="shared" si="596"/>
        <v>EXP00221</v>
      </c>
      <c r="B6500" s="4" t="str">
        <f t="shared" si="597"/>
        <v>25361981</v>
      </c>
      <c r="C6500" s="4" t="str">
        <f t="shared" si="598"/>
        <v>GSE56493</v>
      </c>
      <c r="D6500" s="1" t="s">
        <v>298</v>
      </c>
      <c r="E6500" t="s">
        <v>15</v>
      </c>
      <c r="F6500" s="1">
        <v>2</v>
      </c>
      <c r="G6500" s="1" t="s">
        <v>224</v>
      </c>
      <c r="H6500" s="4" t="str">
        <f>HYPERLINK("https://www.ncbi.nlm.nih.gov/geo/query/acc.cgi?acc=GSM1362590","GSM1362590")</f>
        <v>GSM1362590</v>
      </c>
      <c r="I6500" t="s">
        <v>17</v>
      </c>
      <c r="J6500" t="s">
        <v>18</v>
      </c>
      <c r="K6500" t="s">
        <v>19</v>
      </c>
      <c r="L6500" t="s">
        <v>20</v>
      </c>
      <c r="M6500" t="s">
        <v>27</v>
      </c>
      <c r="N6500" t="s">
        <v>22</v>
      </c>
    </row>
    <row r="6501" spans="1:14">
      <c r="A6501" s="4" t="str">
        <f t="shared" si="596"/>
        <v>EXP00221</v>
      </c>
      <c r="B6501" s="4" t="str">
        <f t="shared" si="597"/>
        <v>25361981</v>
      </c>
      <c r="C6501" s="4" t="str">
        <f t="shared" si="598"/>
        <v>GSE56493</v>
      </c>
      <c r="D6501" s="1" t="s">
        <v>298</v>
      </c>
      <c r="E6501" t="s">
        <v>15</v>
      </c>
      <c r="F6501" s="1">
        <v>2</v>
      </c>
      <c r="G6501" s="1" t="s">
        <v>224</v>
      </c>
      <c r="H6501" s="4" t="str">
        <f>HYPERLINK("https://www.ncbi.nlm.nih.gov/geo/query/acc.cgi?acc=GSM1362591","GSM1362591")</f>
        <v>GSM1362591</v>
      </c>
      <c r="I6501" t="s">
        <v>17</v>
      </c>
      <c r="J6501" t="s">
        <v>18</v>
      </c>
      <c r="K6501" t="s">
        <v>19</v>
      </c>
      <c r="L6501" t="s">
        <v>20</v>
      </c>
      <c r="M6501" t="s">
        <v>27</v>
      </c>
      <c r="N6501" t="s">
        <v>22</v>
      </c>
    </row>
    <row r="6502" spans="1:14">
      <c r="A6502" s="4" t="str">
        <f t="shared" si="596"/>
        <v>EXP00221</v>
      </c>
      <c r="B6502" s="4" t="str">
        <f t="shared" si="597"/>
        <v>25361981</v>
      </c>
      <c r="C6502" s="4" t="str">
        <f t="shared" si="598"/>
        <v>GSE56493</v>
      </c>
      <c r="D6502" s="1" t="s">
        <v>298</v>
      </c>
      <c r="E6502" t="s">
        <v>15</v>
      </c>
      <c r="F6502" s="1">
        <v>2</v>
      </c>
      <c r="G6502" s="1" t="s">
        <v>224</v>
      </c>
      <c r="H6502" s="4" t="str">
        <f>HYPERLINK("https://www.ncbi.nlm.nih.gov/geo/query/acc.cgi?acc=GSM1362606","GSM1362606")</f>
        <v>GSM1362606</v>
      </c>
      <c r="I6502" t="s">
        <v>17</v>
      </c>
      <c r="J6502" t="s">
        <v>18</v>
      </c>
      <c r="K6502" t="s">
        <v>19</v>
      </c>
      <c r="L6502" t="s">
        <v>20</v>
      </c>
      <c r="M6502" t="s">
        <v>27</v>
      </c>
      <c r="N6502" t="s">
        <v>22</v>
      </c>
    </row>
    <row r="6503" spans="1:14">
      <c r="A6503" s="4" t="str">
        <f t="shared" si="596"/>
        <v>EXP00221</v>
      </c>
      <c r="B6503" s="4" t="str">
        <f t="shared" si="597"/>
        <v>25361981</v>
      </c>
      <c r="C6503" s="4" t="str">
        <f t="shared" si="598"/>
        <v>GSE56493</v>
      </c>
      <c r="D6503" s="1" t="s">
        <v>298</v>
      </c>
      <c r="E6503" t="s">
        <v>15</v>
      </c>
      <c r="F6503" s="1">
        <v>2</v>
      </c>
      <c r="G6503" s="1" t="s">
        <v>224</v>
      </c>
      <c r="H6503" s="4" t="str">
        <f>HYPERLINK("https://www.ncbi.nlm.nih.gov/geo/query/acc.cgi?acc=GSM1362611","GSM1362611")</f>
        <v>GSM1362611</v>
      </c>
      <c r="I6503" t="s">
        <v>17</v>
      </c>
      <c r="J6503" t="s">
        <v>18</v>
      </c>
      <c r="K6503" t="s">
        <v>19</v>
      </c>
      <c r="L6503" t="s">
        <v>20</v>
      </c>
      <c r="M6503" t="s">
        <v>27</v>
      </c>
      <c r="N6503" t="s">
        <v>22</v>
      </c>
    </row>
    <row r="6504" spans="1:14">
      <c r="A6504" s="4" t="str">
        <f t="shared" si="596"/>
        <v>EXP00221</v>
      </c>
      <c r="B6504" s="4" t="str">
        <f t="shared" si="597"/>
        <v>25361981</v>
      </c>
      <c r="C6504" s="4" t="str">
        <f t="shared" si="598"/>
        <v>GSE56493</v>
      </c>
      <c r="D6504" s="1" t="s">
        <v>298</v>
      </c>
      <c r="E6504" t="s">
        <v>15</v>
      </c>
      <c r="F6504" s="1">
        <v>2</v>
      </c>
      <c r="G6504" s="1" t="s">
        <v>224</v>
      </c>
      <c r="H6504" s="4" t="str">
        <f>HYPERLINK("https://www.ncbi.nlm.nih.gov/geo/query/acc.cgi?acc=GSM1362614","GSM1362614")</f>
        <v>GSM1362614</v>
      </c>
      <c r="I6504" t="s">
        <v>17</v>
      </c>
      <c r="J6504" t="s">
        <v>18</v>
      </c>
      <c r="K6504" t="s">
        <v>19</v>
      </c>
      <c r="L6504" t="s">
        <v>20</v>
      </c>
      <c r="M6504" t="s">
        <v>27</v>
      </c>
      <c r="N6504" t="s">
        <v>22</v>
      </c>
    </row>
    <row r="6505" spans="1:14">
      <c r="A6505" s="4" t="str">
        <f t="shared" si="596"/>
        <v>EXP00221</v>
      </c>
      <c r="B6505" s="4" t="str">
        <f t="shared" si="597"/>
        <v>25361981</v>
      </c>
      <c r="C6505" s="4" t="str">
        <f t="shared" si="598"/>
        <v>GSE56493</v>
      </c>
      <c r="D6505" s="1" t="s">
        <v>298</v>
      </c>
      <c r="E6505" t="s">
        <v>15</v>
      </c>
      <c r="F6505" s="1">
        <v>2</v>
      </c>
      <c r="G6505" s="1" t="s">
        <v>224</v>
      </c>
      <c r="H6505" s="4" t="str">
        <f>HYPERLINK("https://www.ncbi.nlm.nih.gov/geo/query/acc.cgi?acc=GSM1362618","GSM1362618")</f>
        <v>GSM1362618</v>
      </c>
      <c r="I6505" t="s">
        <v>17</v>
      </c>
      <c r="J6505" t="s">
        <v>18</v>
      </c>
      <c r="K6505" t="s">
        <v>19</v>
      </c>
      <c r="L6505" t="s">
        <v>20</v>
      </c>
      <c r="M6505" t="s">
        <v>27</v>
      </c>
      <c r="N6505" t="s">
        <v>22</v>
      </c>
    </row>
    <row r="6506" spans="1:14">
      <c r="A6506" s="4" t="str">
        <f t="shared" si="596"/>
        <v>EXP00221</v>
      </c>
      <c r="B6506" s="4" t="str">
        <f t="shared" si="597"/>
        <v>25361981</v>
      </c>
      <c r="C6506" s="4" t="str">
        <f t="shared" si="598"/>
        <v>GSE56493</v>
      </c>
      <c r="D6506" s="1" t="s">
        <v>298</v>
      </c>
      <c r="E6506" t="s">
        <v>15</v>
      </c>
      <c r="F6506" s="1">
        <v>2</v>
      </c>
      <c r="G6506" s="1" t="s">
        <v>224</v>
      </c>
      <c r="H6506" s="4" t="str">
        <f>HYPERLINK("https://www.ncbi.nlm.nih.gov/geo/query/acc.cgi?acc=GSM1362627","GSM1362627")</f>
        <v>GSM1362627</v>
      </c>
      <c r="I6506" t="s">
        <v>17</v>
      </c>
      <c r="J6506" t="s">
        <v>18</v>
      </c>
      <c r="K6506" t="s">
        <v>19</v>
      </c>
      <c r="L6506" t="s">
        <v>20</v>
      </c>
      <c r="M6506" t="s">
        <v>27</v>
      </c>
      <c r="N6506" t="s">
        <v>22</v>
      </c>
    </row>
    <row r="6507" spans="1:14">
      <c r="A6507" s="4" t="str">
        <f t="shared" si="596"/>
        <v>EXP00221</v>
      </c>
      <c r="B6507" s="4" t="str">
        <f t="shared" si="597"/>
        <v>25361981</v>
      </c>
      <c r="C6507" s="4" t="str">
        <f t="shared" si="598"/>
        <v>GSE56493</v>
      </c>
      <c r="D6507" s="1" t="s">
        <v>298</v>
      </c>
      <c r="E6507" t="s">
        <v>15</v>
      </c>
      <c r="F6507" s="1">
        <v>2</v>
      </c>
      <c r="G6507" s="1" t="s">
        <v>224</v>
      </c>
      <c r="H6507" s="4" t="str">
        <f>HYPERLINK("https://www.ncbi.nlm.nih.gov/geo/query/acc.cgi?acc=GSM1362628","GSM1362628")</f>
        <v>GSM1362628</v>
      </c>
      <c r="I6507" t="s">
        <v>17</v>
      </c>
      <c r="J6507" t="s">
        <v>18</v>
      </c>
      <c r="K6507" t="s">
        <v>19</v>
      </c>
      <c r="L6507" t="s">
        <v>20</v>
      </c>
      <c r="M6507" t="s">
        <v>27</v>
      </c>
      <c r="N6507" t="s">
        <v>22</v>
      </c>
    </row>
    <row r="6508" spans="1:14">
      <c r="A6508" s="4" t="str">
        <f t="shared" si="596"/>
        <v>EXP00221</v>
      </c>
      <c r="B6508" s="4" t="str">
        <f t="shared" si="597"/>
        <v>25361981</v>
      </c>
      <c r="C6508" s="4" t="str">
        <f t="shared" si="598"/>
        <v>GSE56493</v>
      </c>
      <c r="D6508" s="1" t="s">
        <v>298</v>
      </c>
      <c r="E6508" t="s">
        <v>15</v>
      </c>
      <c r="F6508" s="1">
        <v>2</v>
      </c>
      <c r="G6508" s="1" t="s">
        <v>224</v>
      </c>
      <c r="H6508" s="4" t="str">
        <f>HYPERLINK("https://www.ncbi.nlm.nih.gov/geo/query/acc.cgi?acc=GSM1362634","GSM1362634")</f>
        <v>GSM1362634</v>
      </c>
      <c r="I6508" t="s">
        <v>17</v>
      </c>
      <c r="J6508" t="s">
        <v>18</v>
      </c>
      <c r="K6508" t="s">
        <v>19</v>
      </c>
      <c r="L6508" t="s">
        <v>20</v>
      </c>
      <c r="M6508" t="s">
        <v>27</v>
      </c>
      <c r="N6508" t="s">
        <v>22</v>
      </c>
    </row>
    <row r="6509" spans="1:14">
      <c r="A6509" s="4" t="str">
        <f t="shared" ref="A6509:A6528" si="599">HYPERLINK("http://hcmdb.i-sanger.com/experiment/details/experiment_id/EXP00222","EXP00222")</f>
        <v>EXP00222</v>
      </c>
      <c r="B6509" s="4" t="str">
        <f t="shared" ref="B6509:B6540" si="600">HYPERLINK("https://www.ncbi.nlm.nih.gov/pubmed/25764000","25764000")</f>
        <v>25764000</v>
      </c>
      <c r="C6509" s="4" t="str">
        <f t="shared" ref="C6509:C6540" si="601">HYPERLINK("https://www.ncbi.nlm.nih.gov/geo/query/acc.cgi?acc=GSE57768","GSE57768")</f>
        <v>GSE57768</v>
      </c>
      <c r="D6509" s="1" t="s">
        <v>325</v>
      </c>
      <c r="E6509" t="s">
        <v>326</v>
      </c>
      <c r="F6509" s="1">
        <v>1</v>
      </c>
      <c r="G6509" s="1" t="s">
        <v>26</v>
      </c>
      <c r="H6509" s="4" t="str">
        <f>HYPERLINK("https://www.ncbi.nlm.nih.gov/geo/query/acc.cgi?acc=GSM1388279","GSM1388279")</f>
        <v>GSM1388279</v>
      </c>
      <c r="I6509" t="s">
        <v>82</v>
      </c>
      <c r="J6509" t="s">
        <v>327</v>
      </c>
      <c r="K6509" t="s">
        <v>19</v>
      </c>
      <c r="L6509" t="s">
        <v>27</v>
      </c>
      <c r="M6509" t="s">
        <v>51</v>
      </c>
      <c r="N6509" t="s">
        <v>22</v>
      </c>
    </row>
    <row r="6510" spans="1:14">
      <c r="A6510" s="4" t="str">
        <f t="shared" si="599"/>
        <v>EXP00222</v>
      </c>
      <c r="B6510" s="4" t="str">
        <f t="shared" si="600"/>
        <v>25764000</v>
      </c>
      <c r="C6510" s="4" t="str">
        <f t="shared" si="601"/>
        <v>GSE57768</v>
      </c>
      <c r="D6510" s="1" t="s">
        <v>325</v>
      </c>
      <c r="E6510" t="s">
        <v>326</v>
      </c>
      <c r="F6510" s="1">
        <v>1</v>
      </c>
      <c r="G6510" s="1" t="s">
        <v>26</v>
      </c>
      <c r="H6510" s="4" t="str">
        <f>HYPERLINK("https://www.ncbi.nlm.nih.gov/geo/query/acc.cgi?acc=GSM1388284","GSM1388284")</f>
        <v>GSM1388284</v>
      </c>
      <c r="I6510" t="s">
        <v>82</v>
      </c>
      <c r="J6510" t="s">
        <v>327</v>
      </c>
      <c r="K6510" t="s">
        <v>19</v>
      </c>
      <c r="L6510" t="s">
        <v>27</v>
      </c>
      <c r="M6510" t="s">
        <v>51</v>
      </c>
      <c r="N6510" t="s">
        <v>22</v>
      </c>
    </row>
    <row r="6511" spans="1:14">
      <c r="A6511" s="4" t="str">
        <f t="shared" si="599"/>
        <v>EXP00222</v>
      </c>
      <c r="B6511" s="4" t="str">
        <f t="shared" si="600"/>
        <v>25764000</v>
      </c>
      <c r="C6511" s="4" t="str">
        <f t="shared" si="601"/>
        <v>GSE57768</v>
      </c>
      <c r="D6511" s="1" t="s">
        <v>325</v>
      </c>
      <c r="E6511" t="s">
        <v>326</v>
      </c>
      <c r="F6511" s="1">
        <v>1</v>
      </c>
      <c r="G6511" s="1" t="s">
        <v>26</v>
      </c>
      <c r="H6511" s="4" t="str">
        <f>HYPERLINK("https://www.ncbi.nlm.nih.gov/geo/query/acc.cgi?acc=GSM1388285","GSM1388285")</f>
        <v>GSM1388285</v>
      </c>
      <c r="I6511" t="s">
        <v>82</v>
      </c>
      <c r="J6511" t="s">
        <v>327</v>
      </c>
      <c r="K6511" t="s">
        <v>19</v>
      </c>
      <c r="L6511" t="s">
        <v>27</v>
      </c>
      <c r="M6511" t="s">
        <v>51</v>
      </c>
      <c r="N6511" t="s">
        <v>22</v>
      </c>
    </row>
    <row r="6512" spans="1:14">
      <c r="A6512" s="4" t="str">
        <f t="shared" si="599"/>
        <v>EXP00222</v>
      </c>
      <c r="B6512" s="4" t="str">
        <f t="shared" si="600"/>
        <v>25764000</v>
      </c>
      <c r="C6512" s="4" t="str">
        <f t="shared" si="601"/>
        <v>GSE57768</v>
      </c>
      <c r="D6512" s="1" t="s">
        <v>325</v>
      </c>
      <c r="E6512" t="s">
        <v>326</v>
      </c>
      <c r="F6512" s="1">
        <v>1</v>
      </c>
      <c r="G6512" s="1" t="s">
        <v>26</v>
      </c>
      <c r="H6512" s="4" t="str">
        <f>HYPERLINK("https://www.ncbi.nlm.nih.gov/geo/query/acc.cgi?acc=GSM1388286","GSM1388286")</f>
        <v>GSM1388286</v>
      </c>
      <c r="I6512" t="s">
        <v>82</v>
      </c>
      <c r="J6512" t="s">
        <v>327</v>
      </c>
      <c r="K6512" t="s">
        <v>19</v>
      </c>
      <c r="L6512" t="s">
        <v>27</v>
      </c>
      <c r="M6512" t="s">
        <v>51</v>
      </c>
      <c r="N6512" t="s">
        <v>22</v>
      </c>
    </row>
    <row r="6513" spans="1:14">
      <c r="A6513" s="4" t="str">
        <f t="shared" si="599"/>
        <v>EXP00222</v>
      </c>
      <c r="B6513" s="4" t="str">
        <f t="shared" si="600"/>
        <v>25764000</v>
      </c>
      <c r="C6513" s="4" t="str">
        <f t="shared" si="601"/>
        <v>GSE57768</v>
      </c>
      <c r="D6513" s="1" t="s">
        <v>325</v>
      </c>
      <c r="E6513" t="s">
        <v>326</v>
      </c>
      <c r="F6513" s="1">
        <v>1</v>
      </c>
      <c r="G6513" s="1" t="s">
        <v>26</v>
      </c>
      <c r="H6513" s="4" t="str">
        <f>HYPERLINK("https://www.ncbi.nlm.nih.gov/geo/query/acc.cgi?acc=GSM1388297","GSM1388297")</f>
        <v>GSM1388297</v>
      </c>
      <c r="I6513" t="s">
        <v>82</v>
      </c>
      <c r="J6513" t="s">
        <v>327</v>
      </c>
      <c r="K6513" t="s">
        <v>19</v>
      </c>
      <c r="L6513" t="s">
        <v>27</v>
      </c>
      <c r="M6513" t="s">
        <v>51</v>
      </c>
      <c r="N6513" t="s">
        <v>22</v>
      </c>
    </row>
    <row r="6514" spans="1:14">
      <c r="A6514" s="4" t="str">
        <f t="shared" si="599"/>
        <v>EXP00222</v>
      </c>
      <c r="B6514" s="4" t="str">
        <f t="shared" si="600"/>
        <v>25764000</v>
      </c>
      <c r="C6514" s="4" t="str">
        <f t="shared" si="601"/>
        <v>GSE57768</v>
      </c>
      <c r="D6514" s="1" t="s">
        <v>325</v>
      </c>
      <c r="E6514" t="s">
        <v>326</v>
      </c>
      <c r="F6514" s="1">
        <v>1</v>
      </c>
      <c r="G6514" s="1" t="s">
        <v>26</v>
      </c>
      <c r="H6514" s="4" t="str">
        <f>HYPERLINK("https://www.ncbi.nlm.nih.gov/geo/query/acc.cgi?acc=GSM1388298","GSM1388298")</f>
        <v>GSM1388298</v>
      </c>
      <c r="I6514" t="s">
        <v>82</v>
      </c>
      <c r="J6514" t="s">
        <v>327</v>
      </c>
      <c r="K6514" t="s">
        <v>19</v>
      </c>
      <c r="L6514" t="s">
        <v>27</v>
      </c>
      <c r="M6514" t="s">
        <v>51</v>
      </c>
      <c r="N6514" t="s">
        <v>22</v>
      </c>
    </row>
    <row r="6515" spans="1:14">
      <c r="A6515" s="4" t="str">
        <f t="shared" si="599"/>
        <v>EXP00222</v>
      </c>
      <c r="B6515" s="4" t="str">
        <f t="shared" si="600"/>
        <v>25764000</v>
      </c>
      <c r="C6515" s="4" t="str">
        <f t="shared" si="601"/>
        <v>GSE57768</v>
      </c>
      <c r="D6515" s="1" t="s">
        <v>325</v>
      </c>
      <c r="E6515" t="s">
        <v>326</v>
      </c>
      <c r="F6515" s="1">
        <v>1</v>
      </c>
      <c r="G6515" s="1" t="s">
        <v>26</v>
      </c>
      <c r="H6515" s="4" t="str">
        <f>HYPERLINK("https://www.ncbi.nlm.nih.gov/geo/query/acc.cgi?acc=GSM1388302","GSM1388302")</f>
        <v>GSM1388302</v>
      </c>
      <c r="I6515" t="s">
        <v>82</v>
      </c>
      <c r="J6515" t="s">
        <v>327</v>
      </c>
      <c r="K6515" t="s">
        <v>19</v>
      </c>
      <c r="L6515" t="s">
        <v>27</v>
      </c>
      <c r="M6515" t="s">
        <v>51</v>
      </c>
      <c r="N6515" t="s">
        <v>22</v>
      </c>
    </row>
    <row r="6516" spans="1:14">
      <c r="A6516" s="4" t="str">
        <f t="shared" si="599"/>
        <v>EXP00222</v>
      </c>
      <c r="B6516" s="4" t="str">
        <f t="shared" si="600"/>
        <v>25764000</v>
      </c>
      <c r="C6516" s="4" t="str">
        <f t="shared" si="601"/>
        <v>GSE57768</v>
      </c>
      <c r="D6516" s="1" t="s">
        <v>325</v>
      </c>
      <c r="E6516" t="s">
        <v>326</v>
      </c>
      <c r="F6516" s="1">
        <v>1</v>
      </c>
      <c r="G6516" s="1" t="s">
        <v>26</v>
      </c>
      <c r="H6516" s="4" t="str">
        <f>HYPERLINK("https://www.ncbi.nlm.nih.gov/geo/query/acc.cgi?acc=GSM1388314","GSM1388314")</f>
        <v>GSM1388314</v>
      </c>
      <c r="I6516" t="s">
        <v>82</v>
      </c>
      <c r="J6516" t="s">
        <v>327</v>
      </c>
      <c r="K6516" t="s">
        <v>19</v>
      </c>
      <c r="L6516" t="s">
        <v>27</v>
      </c>
      <c r="M6516" t="s">
        <v>51</v>
      </c>
      <c r="N6516" t="s">
        <v>22</v>
      </c>
    </row>
    <row r="6517" spans="1:14">
      <c r="A6517" s="4" t="str">
        <f t="shared" si="599"/>
        <v>EXP00222</v>
      </c>
      <c r="B6517" s="4" t="str">
        <f t="shared" si="600"/>
        <v>25764000</v>
      </c>
      <c r="C6517" s="4" t="str">
        <f t="shared" si="601"/>
        <v>GSE57768</v>
      </c>
      <c r="D6517" s="1" t="s">
        <v>325</v>
      </c>
      <c r="E6517" t="s">
        <v>326</v>
      </c>
      <c r="F6517" s="1">
        <v>1</v>
      </c>
      <c r="G6517" s="1" t="s">
        <v>26</v>
      </c>
      <c r="H6517" s="4" t="str">
        <f>HYPERLINK("https://www.ncbi.nlm.nih.gov/geo/query/acc.cgi?acc=GSM1388317","GSM1388317")</f>
        <v>GSM1388317</v>
      </c>
      <c r="I6517" t="s">
        <v>82</v>
      </c>
      <c r="J6517" t="s">
        <v>327</v>
      </c>
      <c r="K6517" t="s">
        <v>19</v>
      </c>
      <c r="L6517" t="s">
        <v>27</v>
      </c>
      <c r="M6517" t="s">
        <v>51</v>
      </c>
      <c r="N6517" t="s">
        <v>22</v>
      </c>
    </row>
    <row r="6518" spans="1:14">
      <c r="A6518" s="4" t="str">
        <f t="shared" si="599"/>
        <v>EXP00222</v>
      </c>
      <c r="B6518" s="4" t="str">
        <f t="shared" si="600"/>
        <v>25764000</v>
      </c>
      <c r="C6518" s="4" t="str">
        <f t="shared" si="601"/>
        <v>GSE57768</v>
      </c>
      <c r="D6518" s="1" t="s">
        <v>325</v>
      </c>
      <c r="E6518" t="s">
        <v>326</v>
      </c>
      <c r="F6518" s="1">
        <v>2</v>
      </c>
      <c r="G6518" s="1" t="s">
        <v>28</v>
      </c>
      <c r="H6518" s="4" t="str">
        <f>HYPERLINK("https://www.ncbi.nlm.nih.gov/geo/query/acc.cgi?acc=GSM1388280","GSM1388280")</f>
        <v>GSM1388280</v>
      </c>
      <c r="I6518" t="s">
        <v>82</v>
      </c>
      <c r="J6518" t="s">
        <v>327</v>
      </c>
      <c r="K6518" t="s">
        <v>19</v>
      </c>
      <c r="L6518" t="s">
        <v>27</v>
      </c>
      <c r="M6518" t="s">
        <v>51</v>
      </c>
      <c r="N6518" t="s">
        <v>29</v>
      </c>
    </row>
    <row r="6519" spans="1:14">
      <c r="A6519" s="4" t="str">
        <f t="shared" si="599"/>
        <v>EXP00222</v>
      </c>
      <c r="B6519" s="4" t="str">
        <f t="shared" si="600"/>
        <v>25764000</v>
      </c>
      <c r="C6519" s="4" t="str">
        <f t="shared" si="601"/>
        <v>GSE57768</v>
      </c>
      <c r="D6519" s="1" t="s">
        <v>325</v>
      </c>
      <c r="E6519" t="s">
        <v>326</v>
      </c>
      <c r="F6519" s="1">
        <v>2</v>
      </c>
      <c r="G6519" s="1" t="s">
        <v>28</v>
      </c>
      <c r="H6519" s="4" t="str">
        <f>HYPERLINK("https://www.ncbi.nlm.nih.gov/geo/query/acc.cgi?acc=GSM1388281","GSM1388281")</f>
        <v>GSM1388281</v>
      </c>
      <c r="I6519" t="s">
        <v>82</v>
      </c>
      <c r="J6519" t="s">
        <v>327</v>
      </c>
      <c r="K6519" t="s">
        <v>19</v>
      </c>
      <c r="L6519" t="s">
        <v>27</v>
      </c>
      <c r="M6519" t="s">
        <v>51</v>
      </c>
      <c r="N6519" t="s">
        <v>29</v>
      </c>
    </row>
    <row r="6520" spans="1:14">
      <c r="A6520" s="4" t="str">
        <f t="shared" si="599"/>
        <v>EXP00222</v>
      </c>
      <c r="B6520" s="4" t="str">
        <f t="shared" si="600"/>
        <v>25764000</v>
      </c>
      <c r="C6520" s="4" t="str">
        <f t="shared" si="601"/>
        <v>GSE57768</v>
      </c>
      <c r="D6520" s="1" t="s">
        <v>325</v>
      </c>
      <c r="E6520" t="s">
        <v>326</v>
      </c>
      <c r="F6520" s="1">
        <v>2</v>
      </c>
      <c r="G6520" s="1" t="s">
        <v>28</v>
      </c>
      <c r="H6520" s="4" t="str">
        <f>HYPERLINK("https://www.ncbi.nlm.nih.gov/geo/query/acc.cgi?acc=GSM1388289","GSM1388289")</f>
        <v>GSM1388289</v>
      </c>
      <c r="I6520" t="s">
        <v>82</v>
      </c>
      <c r="J6520" t="s">
        <v>327</v>
      </c>
      <c r="K6520" t="s">
        <v>19</v>
      </c>
      <c r="L6520" t="s">
        <v>27</v>
      </c>
      <c r="M6520" t="s">
        <v>51</v>
      </c>
      <c r="N6520" t="s">
        <v>29</v>
      </c>
    </row>
    <row r="6521" spans="1:14">
      <c r="A6521" s="4" t="str">
        <f t="shared" si="599"/>
        <v>EXP00222</v>
      </c>
      <c r="B6521" s="4" t="str">
        <f t="shared" si="600"/>
        <v>25764000</v>
      </c>
      <c r="C6521" s="4" t="str">
        <f t="shared" si="601"/>
        <v>GSE57768</v>
      </c>
      <c r="D6521" s="1" t="s">
        <v>325</v>
      </c>
      <c r="E6521" t="s">
        <v>326</v>
      </c>
      <c r="F6521" s="1">
        <v>2</v>
      </c>
      <c r="G6521" s="1" t="s">
        <v>28</v>
      </c>
      <c r="H6521" s="4" t="str">
        <f>HYPERLINK("https://www.ncbi.nlm.nih.gov/geo/query/acc.cgi?acc=GSM1388293","GSM1388293")</f>
        <v>GSM1388293</v>
      </c>
      <c r="I6521" t="s">
        <v>82</v>
      </c>
      <c r="J6521" t="s">
        <v>327</v>
      </c>
      <c r="K6521" t="s">
        <v>19</v>
      </c>
      <c r="L6521" t="s">
        <v>27</v>
      </c>
      <c r="M6521" t="s">
        <v>51</v>
      </c>
      <c r="N6521" t="s">
        <v>29</v>
      </c>
    </row>
    <row r="6522" spans="1:14">
      <c r="A6522" s="4" t="str">
        <f t="shared" si="599"/>
        <v>EXP00222</v>
      </c>
      <c r="B6522" s="4" t="str">
        <f t="shared" si="600"/>
        <v>25764000</v>
      </c>
      <c r="C6522" s="4" t="str">
        <f t="shared" si="601"/>
        <v>GSE57768</v>
      </c>
      <c r="D6522" s="1" t="s">
        <v>325</v>
      </c>
      <c r="E6522" t="s">
        <v>326</v>
      </c>
      <c r="F6522" s="1">
        <v>2</v>
      </c>
      <c r="G6522" s="1" t="s">
        <v>28</v>
      </c>
      <c r="H6522" s="4" t="str">
        <f>HYPERLINK("https://www.ncbi.nlm.nih.gov/geo/query/acc.cgi?acc=GSM1388296","GSM1388296")</f>
        <v>GSM1388296</v>
      </c>
      <c r="I6522" t="s">
        <v>82</v>
      </c>
      <c r="J6522" t="s">
        <v>327</v>
      </c>
      <c r="K6522" t="s">
        <v>19</v>
      </c>
      <c r="L6522" t="s">
        <v>27</v>
      </c>
      <c r="M6522" t="s">
        <v>51</v>
      </c>
      <c r="N6522" t="s">
        <v>29</v>
      </c>
    </row>
    <row r="6523" spans="1:14">
      <c r="A6523" s="4" t="str">
        <f t="shared" si="599"/>
        <v>EXP00222</v>
      </c>
      <c r="B6523" s="4" t="str">
        <f t="shared" si="600"/>
        <v>25764000</v>
      </c>
      <c r="C6523" s="4" t="str">
        <f t="shared" si="601"/>
        <v>GSE57768</v>
      </c>
      <c r="D6523" s="1" t="s">
        <v>325</v>
      </c>
      <c r="E6523" t="s">
        <v>326</v>
      </c>
      <c r="F6523" s="1">
        <v>2</v>
      </c>
      <c r="G6523" s="1" t="s">
        <v>28</v>
      </c>
      <c r="H6523" s="4" t="str">
        <f>HYPERLINK("https://www.ncbi.nlm.nih.gov/geo/query/acc.cgi?acc=GSM1388301","GSM1388301")</f>
        <v>GSM1388301</v>
      </c>
      <c r="I6523" t="s">
        <v>82</v>
      </c>
      <c r="J6523" t="s">
        <v>327</v>
      </c>
      <c r="K6523" t="s">
        <v>19</v>
      </c>
      <c r="L6523" t="s">
        <v>27</v>
      </c>
      <c r="M6523" t="s">
        <v>51</v>
      </c>
      <c r="N6523" t="s">
        <v>29</v>
      </c>
    </row>
    <row r="6524" spans="1:14">
      <c r="A6524" s="4" t="str">
        <f t="shared" si="599"/>
        <v>EXP00222</v>
      </c>
      <c r="B6524" s="4" t="str">
        <f t="shared" si="600"/>
        <v>25764000</v>
      </c>
      <c r="C6524" s="4" t="str">
        <f t="shared" si="601"/>
        <v>GSE57768</v>
      </c>
      <c r="D6524" s="1" t="s">
        <v>325</v>
      </c>
      <c r="E6524" t="s">
        <v>326</v>
      </c>
      <c r="F6524" s="1">
        <v>2</v>
      </c>
      <c r="G6524" s="1" t="s">
        <v>28</v>
      </c>
      <c r="H6524" s="4" t="str">
        <f>HYPERLINK("https://www.ncbi.nlm.nih.gov/geo/query/acc.cgi?acc=GSM1388303","GSM1388303")</f>
        <v>GSM1388303</v>
      </c>
      <c r="I6524" t="s">
        <v>82</v>
      </c>
      <c r="J6524" t="s">
        <v>327</v>
      </c>
      <c r="K6524" t="s">
        <v>19</v>
      </c>
      <c r="L6524" t="s">
        <v>27</v>
      </c>
      <c r="M6524" t="s">
        <v>51</v>
      </c>
      <c r="N6524" t="s">
        <v>29</v>
      </c>
    </row>
    <row r="6525" spans="1:14">
      <c r="A6525" s="4" t="str">
        <f t="shared" si="599"/>
        <v>EXP00222</v>
      </c>
      <c r="B6525" s="4" t="str">
        <f t="shared" si="600"/>
        <v>25764000</v>
      </c>
      <c r="C6525" s="4" t="str">
        <f t="shared" si="601"/>
        <v>GSE57768</v>
      </c>
      <c r="D6525" s="1" t="s">
        <v>325</v>
      </c>
      <c r="E6525" t="s">
        <v>326</v>
      </c>
      <c r="F6525" s="1">
        <v>2</v>
      </c>
      <c r="G6525" s="1" t="s">
        <v>28</v>
      </c>
      <c r="H6525" s="4" t="str">
        <f>HYPERLINK("https://www.ncbi.nlm.nih.gov/geo/query/acc.cgi?acc=GSM1388306","GSM1388306")</f>
        <v>GSM1388306</v>
      </c>
      <c r="I6525" t="s">
        <v>82</v>
      </c>
      <c r="J6525" t="s">
        <v>327</v>
      </c>
      <c r="K6525" t="s">
        <v>19</v>
      </c>
      <c r="L6525" t="s">
        <v>27</v>
      </c>
      <c r="M6525" t="s">
        <v>51</v>
      </c>
      <c r="N6525" t="s">
        <v>29</v>
      </c>
    </row>
    <row r="6526" spans="1:14">
      <c r="A6526" s="4" t="str">
        <f t="shared" si="599"/>
        <v>EXP00222</v>
      </c>
      <c r="B6526" s="4" t="str">
        <f t="shared" si="600"/>
        <v>25764000</v>
      </c>
      <c r="C6526" s="4" t="str">
        <f t="shared" si="601"/>
        <v>GSE57768</v>
      </c>
      <c r="D6526" s="1" t="s">
        <v>325</v>
      </c>
      <c r="E6526" t="s">
        <v>326</v>
      </c>
      <c r="F6526" s="1">
        <v>2</v>
      </c>
      <c r="G6526" s="1" t="s">
        <v>28</v>
      </c>
      <c r="H6526" s="4" t="str">
        <f>HYPERLINK("https://www.ncbi.nlm.nih.gov/geo/query/acc.cgi?acc=GSM1388308","GSM1388308")</f>
        <v>GSM1388308</v>
      </c>
      <c r="I6526" t="s">
        <v>82</v>
      </c>
      <c r="J6526" t="s">
        <v>327</v>
      </c>
      <c r="K6526" t="s">
        <v>19</v>
      </c>
      <c r="L6526" t="s">
        <v>27</v>
      </c>
      <c r="M6526" t="s">
        <v>51</v>
      </c>
      <c r="N6526" t="s">
        <v>29</v>
      </c>
    </row>
    <row r="6527" spans="1:14">
      <c r="A6527" s="4" t="str">
        <f t="shared" si="599"/>
        <v>EXP00222</v>
      </c>
      <c r="B6527" s="4" t="str">
        <f t="shared" si="600"/>
        <v>25764000</v>
      </c>
      <c r="C6527" s="4" t="str">
        <f t="shared" si="601"/>
        <v>GSE57768</v>
      </c>
      <c r="D6527" s="1" t="s">
        <v>325</v>
      </c>
      <c r="E6527" t="s">
        <v>326</v>
      </c>
      <c r="F6527" s="1">
        <v>2</v>
      </c>
      <c r="G6527" s="1" t="s">
        <v>28</v>
      </c>
      <c r="H6527" s="4" t="str">
        <f>HYPERLINK("https://www.ncbi.nlm.nih.gov/geo/query/acc.cgi?acc=GSM1388313","GSM1388313")</f>
        <v>GSM1388313</v>
      </c>
      <c r="I6527" t="s">
        <v>82</v>
      </c>
      <c r="J6527" t="s">
        <v>327</v>
      </c>
      <c r="K6527" t="s">
        <v>19</v>
      </c>
      <c r="L6527" t="s">
        <v>27</v>
      </c>
      <c r="M6527" t="s">
        <v>51</v>
      </c>
      <c r="N6527" t="s">
        <v>29</v>
      </c>
    </row>
    <row r="6528" spans="1:14">
      <c r="A6528" s="4" t="str">
        <f t="shared" si="599"/>
        <v>EXP00222</v>
      </c>
      <c r="B6528" s="4" t="str">
        <f t="shared" si="600"/>
        <v>25764000</v>
      </c>
      <c r="C6528" s="4" t="str">
        <f t="shared" si="601"/>
        <v>GSE57768</v>
      </c>
      <c r="D6528" s="1" t="s">
        <v>325</v>
      </c>
      <c r="E6528" t="s">
        <v>326</v>
      </c>
      <c r="F6528" s="1">
        <v>2</v>
      </c>
      <c r="G6528" s="1" t="s">
        <v>28</v>
      </c>
      <c r="H6528" s="4" t="str">
        <f>HYPERLINK("https://www.ncbi.nlm.nih.gov/geo/query/acc.cgi?acc=GSM1388316","GSM1388316")</f>
        <v>GSM1388316</v>
      </c>
      <c r="I6528" t="s">
        <v>82</v>
      </c>
      <c r="J6528" t="s">
        <v>327</v>
      </c>
      <c r="K6528" t="s">
        <v>19</v>
      </c>
      <c r="L6528" t="s">
        <v>27</v>
      </c>
      <c r="M6528" t="s">
        <v>51</v>
      </c>
      <c r="N6528" t="s">
        <v>29</v>
      </c>
    </row>
    <row r="6529" spans="1:14">
      <c r="A6529" s="4" t="str">
        <f t="shared" ref="A6529:A6549" si="602">HYPERLINK("http://hcmdb.i-sanger.com/experiment/details/experiment_id/EXP00223","EXP00223")</f>
        <v>EXP00223</v>
      </c>
      <c r="B6529" s="4" t="str">
        <f t="shared" si="600"/>
        <v>25764000</v>
      </c>
      <c r="C6529" s="4" t="str">
        <f t="shared" si="601"/>
        <v>GSE57768</v>
      </c>
      <c r="D6529" s="1" t="s">
        <v>325</v>
      </c>
      <c r="E6529" t="s">
        <v>328</v>
      </c>
      <c r="F6529" s="1">
        <v>1</v>
      </c>
      <c r="G6529" s="1" t="s">
        <v>36</v>
      </c>
      <c r="H6529" s="4" t="str">
        <f>HYPERLINK("https://www.ncbi.nlm.nih.gov/geo/query/acc.cgi?acc=GSM1388283","GSM1388283")</f>
        <v>GSM1388283</v>
      </c>
      <c r="I6529" t="s">
        <v>82</v>
      </c>
      <c r="J6529" t="s">
        <v>327</v>
      </c>
      <c r="K6529" t="s">
        <v>19</v>
      </c>
      <c r="L6529" t="s">
        <v>27</v>
      </c>
      <c r="M6529" t="s">
        <v>51</v>
      </c>
      <c r="N6529" t="s">
        <v>37</v>
      </c>
    </row>
    <row r="6530" spans="1:14">
      <c r="A6530" s="4" t="str">
        <f t="shared" si="602"/>
        <v>EXP00223</v>
      </c>
      <c r="B6530" s="4" t="str">
        <f t="shared" si="600"/>
        <v>25764000</v>
      </c>
      <c r="C6530" s="4" t="str">
        <f t="shared" si="601"/>
        <v>GSE57768</v>
      </c>
      <c r="D6530" s="1" t="s">
        <v>325</v>
      </c>
      <c r="E6530" t="s">
        <v>328</v>
      </c>
      <c r="F6530" s="1">
        <v>1</v>
      </c>
      <c r="G6530" s="1" t="s">
        <v>36</v>
      </c>
      <c r="H6530" s="4" t="str">
        <f>HYPERLINK("https://www.ncbi.nlm.nih.gov/geo/query/acc.cgi?acc=GSM1388287","GSM1388287")</f>
        <v>GSM1388287</v>
      </c>
      <c r="I6530" t="s">
        <v>82</v>
      </c>
      <c r="J6530" t="s">
        <v>327</v>
      </c>
      <c r="K6530" t="s">
        <v>19</v>
      </c>
      <c r="L6530" t="s">
        <v>27</v>
      </c>
      <c r="M6530" t="s">
        <v>51</v>
      </c>
      <c r="N6530" t="s">
        <v>37</v>
      </c>
    </row>
    <row r="6531" spans="1:14">
      <c r="A6531" s="4" t="str">
        <f t="shared" si="602"/>
        <v>EXP00223</v>
      </c>
      <c r="B6531" s="4" t="str">
        <f t="shared" si="600"/>
        <v>25764000</v>
      </c>
      <c r="C6531" s="4" t="str">
        <f t="shared" si="601"/>
        <v>GSE57768</v>
      </c>
      <c r="D6531" s="1" t="s">
        <v>325</v>
      </c>
      <c r="E6531" t="s">
        <v>328</v>
      </c>
      <c r="F6531" s="1">
        <v>1</v>
      </c>
      <c r="G6531" s="1" t="s">
        <v>36</v>
      </c>
      <c r="H6531" s="4" t="str">
        <f>HYPERLINK("https://www.ncbi.nlm.nih.gov/geo/query/acc.cgi?acc=GSM1388292","GSM1388292")</f>
        <v>GSM1388292</v>
      </c>
      <c r="I6531" t="s">
        <v>82</v>
      </c>
      <c r="J6531" t="s">
        <v>327</v>
      </c>
      <c r="K6531" t="s">
        <v>19</v>
      </c>
      <c r="L6531" t="s">
        <v>27</v>
      </c>
      <c r="M6531" t="s">
        <v>51</v>
      </c>
      <c r="N6531" t="s">
        <v>37</v>
      </c>
    </row>
    <row r="6532" spans="1:14">
      <c r="A6532" s="4" t="str">
        <f t="shared" si="602"/>
        <v>EXP00223</v>
      </c>
      <c r="B6532" s="4" t="str">
        <f t="shared" si="600"/>
        <v>25764000</v>
      </c>
      <c r="C6532" s="4" t="str">
        <f t="shared" si="601"/>
        <v>GSE57768</v>
      </c>
      <c r="D6532" s="1" t="s">
        <v>325</v>
      </c>
      <c r="E6532" t="s">
        <v>328</v>
      </c>
      <c r="F6532" s="1">
        <v>1</v>
      </c>
      <c r="G6532" s="1" t="s">
        <v>36</v>
      </c>
      <c r="H6532" s="4" t="str">
        <f>HYPERLINK("https://www.ncbi.nlm.nih.gov/geo/query/acc.cgi?acc=GSM1388312","GSM1388312")</f>
        <v>GSM1388312</v>
      </c>
      <c r="I6532" t="s">
        <v>82</v>
      </c>
      <c r="J6532" t="s">
        <v>327</v>
      </c>
      <c r="K6532" t="s">
        <v>19</v>
      </c>
      <c r="L6532" t="s">
        <v>27</v>
      </c>
      <c r="M6532" t="s">
        <v>51</v>
      </c>
      <c r="N6532" t="s">
        <v>37</v>
      </c>
    </row>
    <row r="6533" spans="1:14">
      <c r="A6533" s="4" t="str">
        <f t="shared" si="602"/>
        <v>EXP00223</v>
      </c>
      <c r="B6533" s="4" t="str">
        <f t="shared" si="600"/>
        <v>25764000</v>
      </c>
      <c r="C6533" s="4" t="str">
        <f t="shared" si="601"/>
        <v>GSE57768</v>
      </c>
      <c r="D6533" s="1" t="s">
        <v>325</v>
      </c>
      <c r="E6533" t="s">
        <v>328</v>
      </c>
      <c r="F6533" s="1">
        <v>1</v>
      </c>
      <c r="G6533" s="1" t="s">
        <v>36</v>
      </c>
      <c r="H6533" s="4" t="str">
        <f>HYPERLINK("https://www.ncbi.nlm.nih.gov/geo/query/acc.cgi?acc=GSM1388315","GSM1388315")</f>
        <v>GSM1388315</v>
      </c>
      <c r="I6533" t="s">
        <v>82</v>
      </c>
      <c r="J6533" t="s">
        <v>327</v>
      </c>
      <c r="K6533" t="s">
        <v>19</v>
      </c>
      <c r="L6533" t="s">
        <v>27</v>
      </c>
      <c r="M6533" t="s">
        <v>51</v>
      </c>
      <c r="N6533" t="s">
        <v>37</v>
      </c>
    </row>
    <row r="6534" spans="1:14">
      <c r="A6534" s="4" t="str">
        <f t="shared" si="602"/>
        <v>EXP00223</v>
      </c>
      <c r="B6534" s="4" t="str">
        <f t="shared" si="600"/>
        <v>25764000</v>
      </c>
      <c r="C6534" s="4" t="str">
        <f t="shared" si="601"/>
        <v>GSE57768</v>
      </c>
      <c r="D6534" s="1" t="s">
        <v>325</v>
      </c>
      <c r="E6534" t="s">
        <v>328</v>
      </c>
      <c r="F6534" s="1">
        <v>1</v>
      </c>
      <c r="G6534" s="1" t="s">
        <v>36</v>
      </c>
      <c r="H6534" s="4" t="str">
        <f>HYPERLINK("https://www.ncbi.nlm.nih.gov/geo/query/acc.cgi?acc=GSM1388318","GSM1388318")</f>
        <v>GSM1388318</v>
      </c>
      <c r="I6534" t="s">
        <v>82</v>
      </c>
      <c r="J6534" t="s">
        <v>327</v>
      </c>
      <c r="K6534" t="s">
        <v>19</v>
      </c>
      <c r="L6534" t="s">
        <v>27</v>
      </c>
      <c r="M6534" t="s">
        <v>51</v>
      </c>
      <c r="N6534" t="s">
        <v>37</v>
      </c>
    </row>
    <row r="6535" spans="1:14">
      <c r="A6535" s="4" t="str">
        <f t="shared" si="602"/>
        <v>EXP00223</v>
      </c>
      <c r="B6535" s="4" t="str">
        <f t="shared" si="600"/>
        <v>25764000</v>
      </c>
      <c r="C6535" s="4" t="str">
        <f t="shared" si="601"/>
        <v>GSE57768</v>
      </c>
      <c r="D6535" s="1" t="s">
        <v>325</v>
      </c>
      <c r="E6535" t="s">
        <v>328</v>
      </c>
      <c r="F6535" s="1">
        <v>1</v>
      </c>
      <c r="G6535" s="1" t="s">
        <v>36</v>
      </c>
      <c r="H6535" s="4" t="str">
        <f>HYPERLINK("https://www.ncbi.nlm.nih.gov/geo/query/acc.cgi?acc=GSM1388319","GSM1388319")</f>
        <v>GSM1388319</v>
      </c>
      <c r="I6535" t="s">
        <v>82</v>
      </c>
      <c r="J6535" t="s">
        <v>327</v>
      </c>
      <c r="K6535" t="s">
        <v>19</v>
      </c>
      <c r="L6535" t="s">
        <v>27</v>
      </c>
      <c r="M6535" t="s">
        <v>51</v>
      </c>
      <c r="N6535" t="s">
        <v>37</v>
      </c>
    </row>
    <row r="6536" spans="1:14">
      <c r="A6536" s="4" t="str">
        <f t="shared" si="602"/>
        <v>EXP00223</v>
      </c>
      <c r="B6536" s="4" t="str">
        <f t="shared" si="600"/>
        <v>25764000</v>
      </c>
      <c r="C6536" s="4" t="str">
        <f t="shared" si="601"/>
        <v>GSE57768</v>
      </c>
      <c r="D6536" s="1" t="s">
        <v>325</v>
      </c>
      <c r="E6536" t="s">
        <v>328</v>
      </c>
      <c r="F6536" s="1">
        <v>1</v>
      </c>
      <c r="G6536" s="1" t="s">
        <v>36</v>
      </c>
      <c r="H6536" s="4" t="str">
        <f>HYPERLINK("https://www.ncbi.nlm.nih.gov/geo/query/acc.cgi?acc=GSM1388320","GSM1388320")</f>
        <v>GSM1388320</v>
      </c>
      <c r="I6536" t="s">
        <v>82</v>
      </c>
      <c r="J6536" t="s">
        <v>327</v>
      </c>
      <c r="K6536" t="s">
        <v>19</v>
      </c>
      <c r="L6536" t="s">
        <v>27</v>
      </c>
      <c r="M6536" t="s">
        <v>51</v>
      </c>
      <c r="N6536" t="s">
        <v>37</v>
      </c>
    </row>
    <row r="6537" spans="1:14">
      <c r="A6537" s="4" t="str">
        <f t="shared" si="602"/>
        <v>EXP00223</v>
      </c>
      <c r="B6537" s="4" t="str">
        <f t="shared" si="600"/>
        <v>25764000</v>
      </c>
      <c r="C6537" s="4" t="str">
        <f t="shared" si="601"/>
        <v>GSE57768</v>
      </c>
      <c r="D6537" s="1" t="s">
        <v>325</v>
      </c>
      <c r="E6537" t="s">
        <v>328</v>
      </c>
      <c r="F6537" s="1">
        <v>1</v>
      </c>
      <c r="G6537" s="1" t="s">
        <v>36</v>
      </c>
      <c r="H6537" s="4" t="str">
        <f>HYPERLINK("https://www.ncbi.nlm.nih.gov/geo/query/acc.cgi?acc=GSM1388321","GSM1388321")</f>
        <v>GSM1388321</v>
      </c>
      <c r="I6537" t="s">
        <v>82</v>
      </c>
      <c r="J6537" t="s">
        <v>327</v>
      </c>
      <c r="K6537" t="s">
        <v>19</v>
      </c>
      <c r="L6537" t="s">
        <v>27</v>
      </c>
      <c r="M6537" t="s">
        <v>51</v>
      </c>
      <c r="N6537" t="s">
        <v>37</v>
      </c>
    </row>
    <row r="6538" spans="1:14">
      <c r="A6538" s="4" t="str">
        <f t="shared" si="602"/>
        <v>EXP00223</v>
      </c>
      <c r="B6538" s="4" t="str">
        <f t="shared" si="600"/>
        <v>25764000</v>
      </c>
      <c r="C6538" s="4" t="str">
        <f t="shared" si="601"/>
        <v>GSE57768</v>
      </c>
      <c r="D6538" s="1" t="s">
        <v>325</v>
      </c>
      <c r="E6538" t="s">
        <v>328</v>
      </c>
      <c r="F6538" s="1">
        <v>1</v>
      </c>
      <c r="G6538" s="1" t="s">
        <v>36</v>
      </c>
      <c r="H6538" s="4" t="str">
        <f>HYPERLINK("https://www.ncbi.nlm.nih.gov/geo/query/acc.cgi?acc=GSM1388322","GSM1388322")</f>
        <v>GSM1388322</v>
      </c>
      <c r="I6538" t="s">
        <v>82</v>
      </c>
      <c r="J6538" t="s">
        <v>327</v>
      </c>
      <c r="K6538" t="s">
        <v>19</v>
      </c>
      <c r="L6538" t="s">
        <v>27</v>
      </c>
      <c r="M6538" t="s">
        <v>51</v>
      </c>
      <c r="N6538" t="s">
        <v>37</v>
      </c>
    </row>
    <row r="6539" spans="1:14">
      <c r="A6539" s="4" t="str">
        <f t="shared" si="602"/>
        <v>EXP00223</v>
      </c>
      <c r="B6539" s="4" t="str">
        <f t="shared" si="600"/>
        <v>25764000</v>
      </c>
      <c r="C6539" s="4" t="str">
        <f t="shared" si="601"/>
        <v>GSE57768</v>
      </c>
      <c r="D6539" s="1" t="s">
        <v>325</v>
      </c>
      <c r="E6539" t="s">
        <v>328</v>
      </c>
      <c r="F6539" s="1">
        <v>2</v>
      </c>
      <c r="G6539" s="1" t="s">
        <v>28</v>
      </c>
      <c r="H6539" s="4" t="str">
        <f>HYPERLINK("https://www.ncbi.nlm.nih.gov/geo/query/acc.cgi?acc=GSM1388280","GSM1388280")</f>
        <v>GSM1388280</v>
      </c>
      <c r="I6539" t="s">
        <v>82</v>
      </c>
      <c r="J6539" t="s">
        <v>327</v>
      </c>
      <c r="K6539" t="s">
        <v>19</v>
      </c>
      <c r="L6539" t="s">
        <v>27</v>
      </c>
      <c r="M6539" t="s">
        <v>51</v>
      </c>
      <c r="N6539" t="s">
        <v>29</v>
      </c>
    </row>
    <row r="6540" spans="1:14">
      <c r="A6540" s="4" t="str">
        <f t="shared" si="602"/>
        <v>EXP00223</v>
      </c>
      <c r="B6540" s="4" t="str">
        <f t="shared" si="600"/>
        <v>25764000</v>
      </c>
      <c r="C6540" s="4" t="str">
        <f t="shared" si="601"/>
        <v>GSE57768</v>
      </c>
      <c r="D6540" s="1" t="s">
        <v>325</v>
      </c>
      <c r="E6540" t="s">
        <v>328</v>
      </c>
      <c r="F6540" s="1">
        <v>2</v>
      </c>
      <c r="G6540" s="1" t="s">
        <v>28</v>
      </c>
      <c r="H6540" s="4" t="str">
        <f>HYPERLINK("https://www.ncbi.nlm.nih.gov/geo/query/acc.cgi?acc=GSM1388281","GSM1388281")</f>
        <v>GSM1388281</v>
      </c>
      <c r="I6540" t="s">
        <v>82</v>
      </c>
      <c r="J6540" t="s">
        <v>327</v>
      </c>
      <c r="K6540" t="s">
        <v>19</v>
      </c>
      <c r="L6540" t="s">
        <v>27</v>
      </c>
      <c r="M6540" t="s">
        <v>51</v>
      </c>
      <c r="N6540" t="s">
        <v>29</v>
      </c>
    </row>
    <row r="6541" spans="1:14">
      <c r="A6541" s="4" t="str">
        <f t="shared" si="602"/>
        <v>EXP00223</v>
      </c>
      <c r="B6541" s="4" t="str">
        <f t="shared" ref="B6541:B6572" si="603">HYPERLINK("https://www.ncbi.nlm.nih.gov/pubmed/25764000","25764000")</f>
        <v>25764000</v>
      </c>
      <c r="C6541" s="4" t="str">
        <f t="shared" ref="C6541:C6572" si="604">HYPERLINK("https://www.ncbi.nlm.nih.gov/geo/query/acc.cgi?acc=GSE57768","GSE57768")</f>
        <v>GSE57768</v>
      </c>
      <c r="D6541" s="1" t="s">
        <v>325</v>
      </c>
      <c r="E6541" t="s">
        <v>328</v>
      </c>
      <c r="F6541" s="1">
        <v>2</v>
      </c>
      <c r="G6541" s="1" t="s">
        <v>28</v>
      </c>
      <c r="H6541" s="4" t="str">
        <f>HYPERLINK("https://www.ncbi.nlm.nih.gov/geo/query/acc.cgi?acc=GSM1388289","GSM1388289")</f>
        <v>GSM1388289</v>
      </c>
      <c r="I6541" t="s">
        <v>82</v>
      </c>
      <c r="J6541" t="s">
        <v>327</v>
      </c>
      <c r="K6541" t="s">
        <v>19</v>
      </c>
      <c r="L6541" t="s">
        <v>27</v>
      </c>
      <c r="M6541" t="s">
        <v>51</v>
      </c>
      <c r="N6541" t="s">
        <v>29</v>
      </c>
    </row>
    <row r="6542" spans="1:14">
      <c r="A6542" s="4" t="str">
        <f t="shared" si="602"/>
        <v>EXP00223</v>
      </c>
      <c r="B6542" s="4" t="str">
        <f t="shared" si="603"/>
        <v>25764000</v>
      </c>
      <c r="C6542" s="4" t="str">
        <f t="shared" si="604"/>
        <v>GSE57768</v>
      </c>
      <c r="D6542" s="1" t="s">
        <v>325</v>
      </c>
      <c r="E6542" t="s">
        <v>328</v>
      </c>
      <c r="F6542" s="1">
        <v>2</v>
      </c>
      <c r="G6542" s="1" t="s">
        <v>28</v>
      </c>
      <c r="H6542" s="4" t="str">
        <f>HYPERLINK("https://www.ncbi.nlm.nih.gov/geo/query/acc.cgi?acc=GSM1388293","GSM1388293")</f>
        <v>GSM1388293</v>
      </c>
      <c r="I6542" t="s">
        <v>82</v>
      </c>
      <c r="J6542" t="s">
        <v>327</v>
      </c>
      <c r="K6542" t="s">
        <v>19</v>
      </c>
      <c r="L6542" t="s">
        <v>27</v>
      </c>
      <c r="M6542" t="s">
        <v>51</v>
      </c>
      <c r="N6542" t="s">
        <v>29</v>
      </c>
    </row>
    <row r="6543" spans="1:14">
      <c r="A6543" s="4" t="str">
        <f t="shared" si="602"/>
        <v>EXP00223</v>
      </c>
      <c r="B6543" s="4" t="str">
        <f t="shared" si="603"/>
        <v>25764000</v>
      </c>
      <c r="C6543" s="4" t="str">
        <f t="shared" si="604"/>
        <v>GSE57768</v>
      </c>
      <c r="D6543" s="1" t="s">
        <v>325</v>
      </c>
      <c r="E6543" t="s">
        <v>328</v>
      </c>
      <c r="F6543" s="1">
        <v>2</v>
      </c>
      <c r="G6543" s="1" t="s">
        <v>28</v>
      </c>
      <c r="H6543" s="4" t="str">
        <f>HYPERLINK("https://www.ncbi.nlm.nih.gov/geo/query/acc.cgi?acc=GSM1388296","GSM1388296")</f>
        <v>GSM1388296</v>
      </c>
      <c r="I6543" t="s">
        <v>82</v>
      </c>
      <c r="J6543" t="s">
        <v>327</v>
      </c>
      <c r="K6543" t="s">
        <v>19</v>
      </c>
      <c r="L6543" t="s">
        <v>27</v>
      </c>
      <c r="M6543" t="s">
        <v>51</v>
      </c>
      <c r="N6543" t="s">
        <v>29</v>
      </c>
    </row>
    <row r="6544" spans="1:14">
      <c r="A6544" s="4" t="str">
        <f t="shared" si="602"/>
        <v>EXP00223</v>
      </c>
      <c r="B6544" s="4" t="str">
        <f t="shared" si="603"/>
        <v>25764000</v>
      </c>
      <c r="C6544" s="4" t="str">
        <f t="shared" si="604"/>
        <v>GSE57768</v>
      </c>
      <c r="D6544" s="1" t="s">
        <v>325</v>
      </c>
      <c r="E6544" t="s">
        <v>328</v>
      </c>
      <c r="F6544" s="1">
        <v>2</v>
      </c>
      <c r="G6544" s="1" t="s">
        <v>28</v>
      </c>
      <c r="H6544" s="4" t="str">
        <f>HYPERLINK("https://www.ncbi.nlm.nih.gov/geo/query/acc.cgi?acc=GSM1388301","GSM1388301")</f>
        <v>GSM1388301</v>
      </c>
      <c r="I6544" t="s">
        <v>82</v>
      </c>
      <c r="J6544" t="s">
        <v>327</v>
      </c>
      <c r="K6544" t="s">
        <v>19</v>
      </c>
      <c r="L6544" t="s">
        <v>27</v>
      </c>
      <c r="M6544" t="s">
        <v>51</v>
      </c>
      <c r="N6544" t="s">
        <v>29</v>
      </c>
    </row>
    <row r="6545" spans="1:14">
      <c r="A6545" s="4" t="str">
        <f t="shared" si="602"/>
        <v>EXP00223</v>
      </c>
      <c r="B6545" s="4" t="str">
        <f t="shared" si="603"/>
        <v>25764000</v>
      </c>
      <c r="C6545" s="4" t="str">
        <f t="shared" si="604"/>
        <v>GSE57768</v>
      </c>
      <c r="D6545" s="1" t="s">
        <v>325</v>
      </c>
      <c r="E6545" t="s">
        <v>328</v>
      </c>
      <c r="F6545" s="1">
        <v>2</v>
      </c>
      <c r="G6545" s="1" t="s">
        <v>28</v>
      </c>
      <c r="H6545" s="4" t="str">
        <f>HYPERLINK("https://www.ncbi.nlm.nih.gov/geo/query/acc.cgi?acc=GSM1388303","GSM1388303")</f>
        <v>GSM1388303</v>
      </c>
      <c r="I6545" t="s">
        <v>82</v>
      </c>
      <c r="J6545" t="s">
        <v>327</v>
      </c>
      <c r="K6545" t="s">
        <v>19</v>
      </c>
      <c r="L6545" t="s">
        <v>27</v>
      </c>
      <c r="M6545" t="s">
        <v>51</v>
      </c>
      <c r="N6545" t="s">
        <v>29</v>
      </c>
    </row>
    <row r="6546" spans="1:14">
      <c r="A6546" s="4" t="str">
        <f t="shared" si="602"/>
        <v>EXP00223</v>
      </c>
      <c r="B6546" s="4" t="str">
        <f t="shared" si="603"/>
        <v>25764000</v>
      </c>
      <c r="C6546" s="4" t="str">
        <f t="shared" si="604"/>
        <v>GSE57768</v>
      </c>
      <c r="D6546" s="1" t="s">
        <v>325</v>
      </c>
      <c r="E6546" t="s">
        <v>328</v>
      </c>
      <c r="F6546" s="1">
        <v>2</v>
      </c>
      <c r="G6546" s="1" t="s">
        <v>28</v>
      </c>
      <c r="H6546" s="4" t="str">
        <f>HYPERLINK("https://www.ncbi.nlm.nih.gov/geo/query/acc.cgi?acc=GSM1388306","GSM1388306")</f>
        <v>GSM1388306</v>
      </c>
      <c r="I6546" t="s">
        <v>82</v>
      </c>
      <c r="J6546" t="s">
        <v>327</v>
      </c>
      <c r="K6546" t="s">
        <v>19</v>
      </c>
      <c r="L6546" t="s">
        <v>27</v>
      </c>
      <c r="M6546" t="s">
        <v>51</v>
      </c>
      <c r="N6546" t="s">
        <v>29</v>
      </c>
    </row>
    <row r="6547" spans="1:14">
      <c r="A6547" s="4" t="str">
        <f t="shared" si="602"/>
        <v>EXP00223</v>
      </c>
      <c r="B6547" s="4" t="str">
        <f t="shared" si="603"/>
        <v>25764000</v>
      </c>
      <c r="C6547" s="4" t="str">
        <f t="shared" si="604"/>
        <v>GSE57768</v>
      </c>
      <c r="D6547" s="1" t="s">
        <v>325</v>
      </c>
      <c r="E6547" t="s">
        <v>328</v>
      </c>
      <c r="F6547" s="1">
        <v>2</v>
      </c>
      <c r="G6547" s="1" t="s">
        <v>28</v>
      </c>
      <c r="H6547" s="4" t="str">
        <f>HYPERLINK("https://www.ncbi.nlm.nih.gov/geo/query/acc.cgi?acc=GSM1388308","GSM1388308")</f>
        <v>GSM1388308</v>
      </c>
      <c r="I6547" t="s">
        <v>82</v>
      </c>
      <c r="J6547" t="s">
        <v>327</v>
      </c>
      <c r="K6547" t="s">
        <v>19</v>
      </c>
      <c r="L6547" t="s">
        <v>27</v>
      </c>
      <c r="M6547" t="s">
        <v>51</v>
      </c>
      <c r="N6547" t="s">
        <v>29</v>
      </c>
    </row>
    <row r="6548" spans="1:14">
      <c r="A6548" s="4" t="str">
        <f t="shared" si="602"/>
        <v>EXP00223</v>
      </c>
      <c r="B6548" s="4" t="str">
        <f t="shared" si="603"/>
        <v>25764000</v>
      </c>
      <c r="C6548" s="4" t="str">
        <f t="shared" si="604"/>
        <v>GSE57768</v>
      </c>
      <c r="D6548" s="1" t="s">
        <v>325</v>
      </c>
      <c r="E6548" t="s">
        <v>328</v>
      </c>
      <c r="F6548" s="1">
        <v>2</v>
      </c>
      <c r="G6548" s="1" t="s">
        <v>28</v>
      </c>
      <c r="H6548" s="4" t="str">
        <f>HYPERLINK("https://www.ncbi.nlm.nih.gov/geo/query/acc.cgi?acc=GSM1388313","GSM1388313")</f>
        <v>GSM1388313</v>
      </c>
      <c r="I6548" t="s">
        <v>82</v>
      </c>
      <c r="J6548" t="s">
        <v>327</v>
      </c>
      <c r="K6548" t="s">
        <v>19</v>
      </c>
      <c r="L6548" t="s">
        <v>27</v>
      </c>
      <c r="M6548" t="s">
        <v>51</v>
      </c>
      <c r="N6548" t="s">
        <v>29</v>
      </c>
    </row>
    <row r="6549" spans="1:14">
      <c r="A6549" s="4" t="str">
        <f t="shared" si="602"/>
        <v>EXP00223</v>
      </c>
      <c r="B6549" s="4" t="str">
        <f t="shared" si="603"/>
        <v>25764000</v>
      </c>
      <c r="C6549" s="4" t="str">
        <f t="shared" si="604"/>
        <v>GSE57768</v>
      </c>
      <c r="D6549" s="1" t="s">
        <v>325</v>
      </c>
      <c r="E6549" t="s">
        <v>328</v>
      </c>
      <c r="F6549" s="1">
        <v>2</v>
      </c>
      <c r="G6549" s="1" t="s">
        <v>28</v>
      </c>
      <c r="H6549" s="4" t="str">
        <f>HYPERLINK("https://www.ncbi.nlm.nih.gov/geo/query/acc.cgi?acc=GSM1388316","GSM1388316")</f>
        <v>GSM1388316</v>
      </c>
      <c r="I6549" t="s">
        <v>82</v>
      </c>
      <c r="J6549" t="s">
        <v>327</v>
      </c>
      <c r="K6549" t="s">
        <v>19</v>
      </c>
      <c r="L6549" t="s">
        <v>27</v>
      </c>
      <c r="M6549" t="s">
        <v>51</v>
      </c>
      <c r="N6549" t="s">
        <v>29</v>
      </c>
    </row>
    <row r="6550" spans="1:14">
      <c r="A6550" s="4" t="str">
        <f t="shared" ref="A6550:A6569" si="605">HYPERLINK("http://hcmdb.i-sanger.com/experiment/details/experiment_id/EXP00224","EXP00224")</f>
        <v>EXP00224</v>
      </c>
      <c r="B6550" s="4" t="str">
        <f t="shared" si="603"/>
        <v>25764000</v>
      </c>
      <c r="C6550" s="4" t="str">
        <f t="shared" si="604"/>
        <v>GSE57768</v>
      </c>
      <c r="D6550" s="1" t="s">
        <v>325</v>
      </c>
      <c r="E6550" t="s">
        <v>329</v>
      </c>
      <c r="F6550" s="1">
        <v>1</v>
      </c>
      <c r="G6550" s="1" t="s">
        <v>31</v>
      </c>
      <c r="H6550" s="4" t="str">
        <f>HYPERLINK("https://www.ncbi.nlm.nih.gov/geo/query/acc.cgi?acc=GSM1388280","GSM1388280")</f>
        <v>GSM1388280</v>
      </c>
      <c r="I6550" t="s">
        <v>82</v>
      </c>
      <c r="J6550" t="s">
        <v>327</v>
      </c>
      <c r="K6550" t="s">
        <v>19</v>
      </c>
      <c r="L6550" t="s">
        <v>27</v>
      </c>
      <c r="M6550" t="s">
        <v>51</v>
      </c>
      <c r="N6550" t="s">
        <v>29</v>
      </c>
    </row>
    <row r="6551" spans="1:14">
      <c r="A6551" s="4" t="str">
        <f t="shared" si="605"/>
        <v>EXP00224</v>
      </c>
      <c r="B6551" s="4" t="str">
        <f t="shared" si="603"/>
        <v>25764000</v>
      </c>
      <c r="C6551" s="4" t="str">
        <f t="shared" si="604"/>
        <v>GSE57768</v>
      </c>
      <c r="D6551" s="1" t="s">
        <v>325</v>
      </c>
      <c r="E6551" t="s">
        <v>329</v>
      </c>
      <c r="F6551" s="1">
        <v>1</v>
      </c>
      <c r="G6551" s="1" t="s">
        <v>31</v>
      </c>
      <c r="H6551" s="4" t="str">
        <f>HYPERLINK("https://www.ncbi.nlm.nih.gov/geo/query/acc.cgi?acc=GSM1388281","GSM1388281")</f>
        <v>GSM1388281</v>
      </c>
      <c r="I6551" t="s">
        <v>82</v>
      </c>
      <c r="J6551" t="s">
        <v>327</v>
      </c>
      <c r="K6551" t="s">
        <v>19</v>
      </c>
      <c r="L6551" t="s">
        <v>27</v>
      </c>
      <c r="M6551" t="s">
        <v>51</v>
      </c>
      <c r="N6551" t="s">
        <v>29</v>
      </c>
    </row>
    <row r="6552" spans="1:14">
      <c r="A6552" s="4" t="str">
        <f t="shared" si="605"/>
        <v>EXP00224</v>
      </c>
      <c r="B6552" s="4" t="str">
        <f t="shared" si="603"/>
        <v>25764000</v>
      </c>
      <c r="C6552" s="4" t="str">
        <f t="shared" si="604"/>
        <v>GSE57768</v>
      </c>
      <c r="D6552" s="1" t="s">
        <v>325</v>
      </c>
      <c r="E6552" t="s">
        <v>329</v>
      </c>
      <c r="F6552" s="1">
        <v>1</v>
      </c>
      <c r="G6552" s="1" t="s">
        <v>31</v>
      </c>
      <c r="H6552" s="4" t="str">
        <f>HYPERLINK("https://www.ncbi.nlm.nih.gov/geo/query/acc.cgi?acc=GSM1388289","GSM1388289")</f>
        <v>GSM1388289</v>
      </c>
      <c r="I6552" t="s">
        <v>82</v>
      </c>
      <c r="J6552" t="s">
        <v>327</v>
      </c>
      <c r="K6552" t="s">
        <v>19</v>
      </c>
      <c r="L6552" t="s">
        <v>27</v>
      </c>
      <c r="M6552" t="s">
        <v>51</v>
      </c>
      <c r="N6552" t="s">
        <v>29</v>
      </c>
    </row>
    <row r="6553" spans="1:14">
      <c r="A6553" s="4" t="str">
        <f t="shared" si="605"/>
        <v>EXP00224</v>
      </c>
      <c r="B6553" s="4" t="str">
        <f t="shared" si="603"/>
        <v>25764000</v>
      </c>
      <c r="C6553" s="4" t="str">
        <f t="shared" si="604"/>
        <v>GSE57768</v>
      </c>
      <c r="D6553" s="1" t="s">
        <v>325</v>
      </c>
      <c r="E6553" t="s">
        <v>329</v>
      </c>
      <c r="F6553" s="1">
        <v>1</v>
      </c>
      <c r="G6553" s="1" t="s">
        <v>31</v>
      </c>
      <c r="H6553" s="4" t="str">
        <f>HYPERLINK("https://www.ncbi.nlm.nih.gov/geo/query/acc.cgi?acc=GSM1388293","GSM1388293")</f>
        <v>GSM1388293</v>
      </c>
      <c r="I6553" t="s">
        <v>82</v>
      </c>
      <c r="J6553" t="s">
        <v>327</v>
      </c>
      <c r="K6553" t="s">
        <v>19</v>
      </c>
      <c r="L6553" t="s">
        <v>27</v>
      </c>
      <c r="M6553" t="s">
        <v>51</v>
      </c>
      <c r="N6553" t="s">
        <v>29</v>
      </c>
    </row>
    <row r="6554" spans="1:14">
      <c r="A6554" s="4" t="str">
        <f t="shared" si="605"/>
        <v>EXP00224</v>
      </c>
      <c r="B6554" s="4" t="str">
        <f t="shared" si="603"/>
        <v>25764000</v>
      </c>
      <c r="C6554" s="4" t="str">
        <f t="shared" si="604"/>
        <v>GSE57768</v>
      </c>
      <c r="D6554" s="1" t="s">
        <v>325</v>
      </c>
      <c r="E6554" t="s">
        <v>329</v>
      </c>
      <c r="F6554" s="1">
        <v>1</v>
      </c>
      <c r="G6554" s="1" t="s">
        <v>31</v>
      </c>
      <c r="H6554" s="4" t="str">
        <f>HYPERLINK("https://www.ncbi.nlm.nih.gov/geo/query/acc.cgi?acc=GSM1388296","GSM1388296")</f>
        <v>GSM1388296</v>
      </c>
      <c r="I6554" t="s">
        <v>82</v>
      </c>
      <c r="J6554" t="s">
        <v>327</v>
      </c>
      <c r="K6554" t="s">
        <v>19</v>
      </c>
      <c r="L6554" t="s">
        <v>27</v>
      </c>
      <c r="M6554" t="s">
        <v>51</v>
      </c>
      <c r="N6554" t="s">
        <v>29</v>
      </c>
    </row>
    <row r="6555" spans="1:14">
      <c r="A6555" s="4" t="str">
        <f t="shared" si="605"/>
        <v>EXP00224</v>
      </c>
      <c r="B6555" s="4" t="str">
        <f t="shared" si="603"/>
        <v>25764000</v>
      </c>
      <c r="C6555" s="4" t="str">
        <f t="shared" si="604"/>
        <v>GSE57768</v>
      </c>
      <c r="D6555" s="1" t="s">
        <v>325</v>
      </c>
      <c r="E6555" t="s">
        <v>329</v>
      </c>
      <c r="F6555" s="1">
        <v>1</v>
      </c>
      <c r="G6555" s="1" t="s">
        <v>31</v>
      </c>
      <c r="H6555" s="4" t="str">
        <f>HYPERLINK("https://www.ncbi.nlm.nih.gov/geo/query/acc.cgi?acc=GSM1388301","GSM1388301")</f>
        <v>GSM1388301</v>
      </c>
      <c r="I6555" t="s">
        <v>82</v>
      </c>
      <c r="J6555" t="s">
        <v>327</v>
      </c>
      <c r="K6555" t="s">
        <v>19</v>
      </c>
      <c r="L6555" t="s">
        <v>27</v>
      </c>
      <c r="M6555" t="s">
        <v>51</v>
      </c>
      <c r="N6555" t="s">
        <v>29</v>
      </c>
    </row>
    <row r="6556" spans="1:14">
      <c r="A6556" s="4" t="str">
        <f t="shared" si="605"/>
        <v>EXP00224</v>
      </c>
      <c r="B6556" s="4" t="str">
        <f t="shared" si="603"/>
        <v>25764000</v>
      </c>
      <c r="C6556" s="4" t="str">
        <f t="shared" si="604"/>
        <v>GSE57768</v>
      </c>
      <c r="D6556" s="1" t="s">
        <v>325</v>
      </c>
      <c r="E6556" t="s">
        <v>329</v>
      </c>
      <c r="F6556" s="1">
        <v>1</v>
      </c>
      <c r="G6556" s="1" t="s">
        <v>31</v>
      </c>
      <c r="H6556" s="4" t="str">
        <f>HYPERLINK("https://www.ncbi.nlm.nih.gov/geo/query/acc.cgi?acc=GSM1388303","GSM1388303")</f>
        <v>GSM1388303</v>
      </c>
      <c r="I6556" t="s">
        <v>82</v>
      </c>
      <c r="J6556" t="s">
        <v>327</v>
      </c>
      <c r="K6556" t="s">
        <v>19</v>
      </c>
      <c r="L6556" t="s">
        <v>27</v>
      </c>
      <c r="M6556" t="s">
        <v>51</v>
      </c>
      <c r="N6556" t="s">
        <v>29</v>
      </c>
    </row>
    <row r="6557" spans="1:14">
      <c r="A6557" s="4" t="str">
        <f t="shared" si="605"/>
        <v>EXP00224</v>
      </c>
      <c r="B6557" s="4" t="str">
        <f t="shared" si="603"/>
        <v>25764000</v>
      </c>
      <c r="C6557" s="4" t="str">
        <f t="shared" si="604"/>
        <v>GSE57768</v>
      </c>
      <c r="D6557" s="1" t="s">
        <v>325</v>
      </c>
      <c r="E6557" t="s">
        <v>329</v>
      </c>
      <c r="F6557" s="1">
        <v>1</v>
      </c>
      <c r="G6557" s="1" t="s">
        <v>31</v>
      </c>
      <c r="H6557" s="4" t="str">
        <f>HYPERLINK("https://www.ncbi.nlm.nih.gov/geo/query/acc.cgi?acc=GSM1388306","GSM1388306")</f>
        <v>GSM1388306</v>
      </c>
      <c r="I6557" t="s">
        <v>82</v>
      </c>
      <c r="J6557" t="s">
        <v>327</v>
      </c>
      <c r="K6557" t="s">
        <v>19</v>
      </c>
      <c r="L6557" t="s">
        <v>27</v>
      </c>
      <c r="M6557" t="s">
        <v>51</v>
      </c>
      <c r="N6557" t="s">
        <v>29</v>
      </c>
    </row>
    <row r="6558" spans="1:14">
      <c r="A6558" s="4" t="str">
        <f t="shared" si="605"/>
        <v>EXP00224</v>
      </c>
      <c r="B6558" s="4" t="str">
        <f t="shared" si="603"/>
        <v>25764000</v>
      </c>
      <c r="C6558" s="4" t="str">
        <f t="shared" si="604"/>
        <v>GSE57768</v>
      </c>
      <c r="D6558" s="1" t="s">
        <v>325</v>
      </c>
      <c r="E6558" t="s">
        <v>329</v>
      </c>
      <c r="F6558" s="1">
        <v>1</v>
      </c>
      <c r="G6558" s="1" t="s">
        <v>31</v>
      </c>
      <c r="H6558" s="4" t="str">
        <f>HYPERLINK("https://www.ncbi.nlm.nih.gov/geo/query/acc.cgi?acc=GSM1388308","GSM1388308")</f>
        <v>GSM1388308</v>
      </c>
      <c r="I6558" t="s">
        <v>82</v>
      </c>
      <c r="J6558" t="s">
        <v>327</v>
      </c>
      <c r="K6558" t="s">
        <v>19</v>
      </c>
      <c r="L6558" t="s">
        <v>27</v>
      </c>
      <c r="M6558" t="s">
        <v>51</v>
      </c>
      <c r="N6558" t="s">
        <v>29</v>
      </c>
    </row>
    <row r="6559" spans="1:14">
      <c r="A6559" s="4" t="str">
        <f t="shared" si="605"/>
        <v>EXP00224</v>
      </c>
      <c r="B6559" s="4" t="str">
        <f t="shared" si="603"/>
        <v>25764000</v>
      </c>
      <c r="C6559" s="4" t="str">
        <f t="shared" si="604"/>
        <v>GSE57768</v>
      </c>
      <c r="D6559" s="1" t="s">
        <v>325</v>
      </c>
      <c r="E6559" t="s">
        <v>329</v>
      </c>
      <c r="F6559" s="1">
        <v>1</v>
      </c>
      <c r="G6559" s="1" t="s">
        <v>31</v>
      </c>
      <c r="H6559" s="4" t="str">
        <f>HYPERLINK("https://www.ncbi.nlm.nih.gov/geo/query/acc.cgi?acc=GSM1388313","GSM1388313")</f>
        <v>GSM1388313</v>
      </c>
      <c r="I6559" t="s">
        <v>82</v>
      </c>
      <c r="J6559" t="s">
        <v>327</v>
      </c>
      <c r="K6559" t="s">
        <v>19</v>
      </c>
      <c r="L6559" t="s">
        <v>27</v>
      </c>
      <c r="M6559" t="s">
        <v>51</v>
      </c>
      <c r="N6559" t="s">
        <v>29</v>
      </c>
    </row>
    <row r="6560" spans="1:14">
      <c r="A6560" s="4" t="str">
        <f t="shared" si="605"/>
        <v>EXP00224</v>
      </c>
      <c r="B6560" s="4" t="str">
        <f t="shared" si="603"/>
        <v>25764000</v>
      </c>
      <c r="C6560" s="4" t="str">
        <f t="shared" si="604"/>
        <v>GSE57768</v>
      </c>
      <c r="D6560" s="1" t="s">
        <v>325</v>
      </c>
      <c r="E6560" t="s">
        <v>329</v>
      </c>
      <c r="F6560" s="1">
        <v>1</v>
      </c>
      <c r="G6560" s="1" t="s">
        <v>31</v>
      </c>
      <c r="H6560" s="4" t="str">
        <f>HYPERLINK("https://www.ncbi.nlm.nih.gov/geo/query/acc.cgi?acc=GSM1388316","GSM1388316")</f>
        <v>GSM1388316</v>
      </c>
      <c r="I6560" t="s">
        <v>82</v>
      </c>
      <c r="J6560" t="s">
        <v>327</v>
      </c>
      <c r="K6560" t="s">
        <v>19</v>
      </c>
      <c r="L6560" t="s">
        <v>27</v>
      </c>
      <c r="M6560" t="s">
        <v>51</v>
      </c>
      <c r="N6560" t="s">
        <v>29</v>
      </c>
    </row>
    <row r="6561" spans="1:14">
      <c r="A6561" s="4" t="str">
        <f t="shared" si="605"/>
        <v>EXP00224</v>
      </c>
      <c r="B6561" s="4" t="str">
        <f t="shared" si="603"/>
        <v>25764000</v>
      </c>
      <c r="C6561" s="4" t="str">
        <f t="shared" si="604"/>
        <v>GSE57768</v>
      </c>
      <c r="D6561" s="1" t="s">
        <v>325</v>
      </c>
      <c r="E6561" t="s">
        <v>329</v>
      </c>
      <c r="F6561" s="1">
        <v>2</v>
      </c>
      <c r="G6561" s="1" t="s">
        <v>32</v>
      </c>
      <c r="H6561" s="4" t="str">
        <f>HYPERLINK("https://www.ncbi.nlm.nih.gov/geo/query/acc.cgi?acc=GSM1388276","GSM1388276")</f>
        <v>GSM1388276</v>
      </c>
      <c r="I6561" t="s">
        <v>82</v>
      </c>
      <c r="J6561" t="s">
        <v>327</v>
      </c>
      <c r="K6561" t="s">
        <v>33</v>
      </c>
      <c r="L6561" t="s">
        <v>27</v>
      </c>
      <c r="N6561" t="s">
        <v>29</v>
      </c>
    </row>
    <row r="6562" spans="1:14">
      <c r="A6562" s="4" t="str">
        <f t="shared" si="605"/>
        <v>EXP00224</v>
      </c>
      <c r="B6562" s="4" t="str">
        <f t="shared" si="603"/>
        <v>25764000</v>
      </c>
      <c r="C6562" s="4" t="str">
        <f t="shared" si="604"/>
        <v>GSE57768</v>
      </c>
      <c r="D6562" s="1" t="s">
        <v>325</v>
      </c>
      <c r="E6562" t="s">
        <v>329</v>
      </c>
      <c r="F6562" s="1">
        <v>2</v>
      </c>
      <c r="G6562" s="1" t="s">
        <v>32</v>
      </c>
      <c r="H6562" s="4" t="str">
        <f>HYPERLINK("https://www.ncbi.nlm.nih.gov/geo/query/acc.cgi?acc=GSM1388277","GSM1388277")</f>
        <v>GSM1388277</v>
      </c>
      <c r="I6562" t="s">
        <v>82</v>
      </c>
      <c r="J6562" t="s">
        <v>327</v>
      </c>
      <c r="K6562" t="s">
        <v>33</v>
      </c>
      <c r="L6562" t="s">
        <v>27</v>
      </c>
      <c r="N6562" t="s">
        <v>29</v>
      </c>
    </row>
    <row r="6563" spans="1:14">
      <c r="A6563" s="4" t="str">
        <f t="shared" si="605"/>
        <v>EXP00224</v>
      </c>
      <c r="B6563" s="4" t="str">
        <f t="shared" si="603"/>
        <v>25764000</v>
      </c>
      <c r="C6563" s="4" t="str">
        <f t="shared" si="604"/>
        <v>GSE57768</v>
      </c>
      <c r="D6563" s="1" t="s">
        <v>325</v>
      </c>
      <c r="E6563" t="s">
        <v>329</v>
      </c>
      <c r="F6563" s="1">
        <v>2</v>
      </c>
      <c r="G6563" s="1" t="s">
        <v>32</v>
      </c>
      <c r="H6563" s="4" t="str">
        <f>HYPERLINK("https://www.ncbi.nlm.nih.gov/geo/query/acc.cgi?acc=GSM1388282","GSM1388282")</f>
        <v>GSM1388282</v>
      </c>
      <c r="I6563" t="s">
        <v>82</v>
      </c>
      <c r="J6563" t="s">
        <v>327</v>
      </c>
      <c r="K6563" t="s">
        <v>33</v>
      </c>
      <c r="L6563" t="s">
        <v>27</v>
      </c>
      <c r="N6563" t="s">
        <v>29</v>
      </c>
    </row>
    <row r="6564" spans="1:14">
      <c r="A6564" s="4" t="str">
        <f t="shared" si="605"/>
        <v>EXP00224</v>
      </c>
      <c r="B6564" s="4" t="str">
        <f t="shared" si="603"/>
        <v>25764000</v>
      </c>
      <c r="C6564" s="4" t="str">
        <f t="shared" si="604"/>
        <v>GSE57768</v>
      </c>
      <c r="D6564" s="1" t="s">
        <v>325</v>
      </c>
      <c r="E6564" t="s">
        <v>329</v>
      </c>
      <c r="F6564" s="1">
        <v>2</v>
      </c>
      <c r="G6564" s="1" t="s">
        <v>32</v>
      </c>
      <c r="H6564" s="4" t="str">
        <f>HYPERLINK("https://www.ncbi.nlm.nih.gov/geo/query/acc.cgi?acc=GSM1388288","GSM1388288")</f>
        <v>GSM1388288</v>
      </c>
      <c r="I6564" t="s">
        <v>82</v>
      </c>
      <c r="J6564" t="s">
        <v>327</v>
      </c>
      <c r="K6564" t="s">
        <v>33</v>
      </c>
      <c r="L6564" t="s">
        <v>27</v>
      </c>
      <c r="N6564" t="s">
        <v>29</v>
      </c>
    </row>
    <row r="6565" spans="1:14">
      <c r="A6565" s="4" t="str">
        <f t="shared" si="605"/>
        <v>EXP00224</v>
      </c>
      <c r="B6565" s="4" t="str">
        <f t="shared" si="603"/>
        <v>25764000</v>
      </c>
      <c r="C6565" s="4" t="str">
        <f t="shared" si="604"/>
        <v>GSE57768</v>
      </c>
      <c r="D6565" s="1" t="s">
        <v>325</v>
      </c>
      <c r="E6565" t="s">
        <v>329</v>
      </c>
      <c r="F6565" s="1">
        <v>2</v>
      </c>
      <c r="G6565" s="1" t="s">
        <v>32</v>
      </c>
      <c r="H6565" s="4" t="str">
        <f>HYPERLINK("https://www.ncbi.nlm.nih.gov/geo/query/acc.cgi?acc=GSM1388291","GSM1388291")</f>
        <v>GSM1388291</v>
      </c>
      <c r="I6565" t="s">
        <v>82</v>
      </c>
      <c r="J6565" t="s">
        <v>327</v>
      </c>
      <c r="K6565" t="s">
        <v>33</v>
      </c>
      <c r="L6565" t="s">
        <v>27</v>
      </c>
      <c r="N6565" t="s">
        <v>29</v>
      </c>
    </row>
    <row r="6566" spans="1:14">
      <c r="A6566" s="4" t="str">
        <f t="shared" si="605"/>
        <v>EXP00224</v>
      </c>
      <c r="B6566" s="4" t="str">
        <f t="shared" si="603"/>
        <v>25764000</v>
      </c>
      <c r="C6566" s="4" t="str">
        <f t="shared" si="604"/>
        <v>GSE57768</v>
      </c>
      <c r="D6566" s="1" t="s">
        <v>325</v>
      </c>
      <c r="E6566" t="s">
        <v>329</v>
      </c>
      <c r="F6566" s="1">
        <v>2</v>
      </c>
      <c r="G6566" s="1" t="s">
        <v>32</v>
      </c>
      <c r="H6566" s="4" t="str">
        <f>HYPERLINK("https://www.ncbi.nlm.nih.gov/geo/query/acc.cgi?acc=GSM1388295","GSM1388295")</f>
        <v>GSM1388295</v>
      </c>
      <c r="I6566" t="s">
        <v>82</v>
      </c>
      <c r="J6566" t="s">
        <v>327</v>
      </c>
      <c r="K6566" t="s">
        <v>33</v>
      </c>
      <c r="L6566" t="s">
        <v>27</v>
      </c>
      <c r="N6566" t="s">
        <v>29</v>
      </c>
    </row>
    <row r="6567" spans="1:14">
      <c r="A6567" s="4" t="str">
        <f t="shared" si="605"/>
        <v>EXP00224</v>
      </c>
      <c r="B6567" s="4" t="str">
        <f t="shared" si="603"/>
        <v>25764000</v>
      </c>
      <c r="C6567" s="4" t="str">
        <f t="shared" si="604"/>
        <v>GSE57768</v>
      </c>
      <c r="D6567" s="1" t="s">
        <v>325</v>
      </c>
      <c r="E6567" t="s">
        <v>329</v>
      </c>
      <c r="F6567" s="1">
        <v>2</v>
      </c>
      <c r="G6567" s="1" t="s">
        <v>32</v>
      </c>
      <c r="H6567" s="4" t="str">
        <f>HYPERLINK("https://www.ncbi.nlm.nih.gov/geo/query/acc.cgi?acc=GSM1388299","GSM1388299")</f>
        <v>GSM1388299</v>
      </c>
      <c r="I6567" t="s">
        <v>82</v>
      </c>
      <c r="J6567" t="s">
        <v>327</v>
      </c>
      <c r="K6567" t="s">
        <v>33</v>
      </c>
      <c r="L6567" t="s">
        <v>27</v>
      </c>
      <c r="N6567" t="s">
        <v>29</v>
      </c>
    </row>
    <row r="6568" spans="1:14">
      <c r="A6568" s="4" t="str">
        <f t="shared" si="605"/>
        <v>EXP00224</v>
      </c>
      <c r="B6568" s="4" t="str">
        <f t="shared" si="603"/>
        <v>25764000</v>
      </c>
      <c r="C6568" s="4" t="str">
        <f t="shared" si="604"/>
        <v>GSE57768</v>
      </c>
      <c r="D6568" s="1" t="s">
        <v>325</v>
      </c>
      <c r="E6568" t="s">
        <v>329</v>
      </c>
      <c r="F6568" s="1">
        <v>2</v>
      </c>
      <c r="G6568" s="1" t="s">
        <v>32</v>
      </c>
      <c r="H6568" s="4" t="str">
        <f>HYPERLINK("https://www.ncbi.nlm.nih.gov/geo/query/acc.cgi?acc=GSM1388309","GSM1388309")</f>
        <v>GSM1388309</v>
      </c>
      <c r="I6568" t="s">
        <v>82</v>
      </c>
      <c r="J6568" t="s">
        <v>327</v>
      </c>
      <c r="K6568" t="s">
        <v>33</v>
      </c>
      <c r="L6568" t="s">
        <v>27</v>
      </c>
      <c r="N6568" t="s">
        <v>29</v>
      </c>
    </row>
    <row r="6569" spans="1:14">
      <c r="A6569" s="4" t="str">
        <f t="shared" si="605"/>
        <v>EXP00224</v>
      </c>
      <c r="B6569" s="4" t="str">
        <f t="shared" si="603"/>
        <v>25764000</v>
      </c>
      <c r="C6569" s="4" t="str">
        <f t="shared" si="604"/>
        <v>GSE57768</v>
      </c>
      <c r="D6569" s="1" t="s">
        <v>325</v>
      </c>
      <c r="E6569" t="s">
        <v>329</v>
      </c>
      <c r="F6569" s="1">
        <v>2</v>
      </c>
      <c r="G6569" s="1" t="s">
        <v>32</v>
      </c>
      <c r="H6569" s="4" t="str">
        <f>HYPERLINK("https://www.ncbi.nlm.nih.gov/geo/query/acc.cgi?acc=GSM1388310","GSM1388310")</f>
        <v>GSM1388310</v>
      </c>
      <c r="I6569" t="s">
        <v>82</v>
      </c>
      <c r="J6569" t="s">
        <v>327</v>
      </c>
      <c r="K6569" t="s">
        <v>33</v>
      </c>
      <c r="L6569" t="s">
        <v>27</v>
      </c>
      <c r="N6569" t="s">
        <v>29</v>
      </c>
    </row>
    <row r="6570" spans="1:14">
      <c r="A6570" s="4" t="str">
        <f t="shared" ref="A6570:A6586" si="606">HYPERLINK("http://hcmdb.i-sanger.com/experiment/details/experiment_id/EXP00225","EXP00225")</f>
        <v>EXP00225</v>
      </c>
      <c r="B6570" s="4" t="str">
        <f t="shared" si="603"/>
        <v>25764000</v>
      </c>
      <c r="C6570" s="4" t="str">
        <f t="shared" si="604"/>
        <v>GSE57768</v>
      </c>
      <c r="D6570" s="1" t="s">
        <v>325</v>
      </c>
      <c r="E6570" t="s">
        <v>330</v>
      </c>
      <c r="F6570" s="1">
        <v>1</v>
      </c>
      <c r="G6570" s="1" t="s">
        <v>36</v>
      </c>
      <c r="H6570" s="4" t="str">
        <f>HYPERLINK("https://www.ncbi.nlm.nih.gov/geo/query/acc.cgi?acc=GSM1388275","GSM1388275")</f>
        <v>GSM1388275</v>
      </c>
      <c r="I6570" t="s">
        <v>82</v>
      </c>
      <c r="J6570" t="s">
        <v>327</v>
      </c>
      <c r="K6570" t="s">
        <v>33</v>
      </c>
      <c r="L6570" t="s">
        <v>27</v>
      </c>
      <c r="N6570" t="s">
        <v>37</v>
      </c>
    </row>
    <row r="6571" spans="1:14">
      <c r="A6571" s="4" t="str">
        <f t="shared" si="606"/>
        <v>EXP00225</v>
      </c>
      <c r="B6571" s="4" t="str">
        <f t="shared" si="603"/>
        <v>25764000</v>
      </c>
      <c r="C6571" s="4" t="str">
        <f t="shared" si="604"/>
        <v>GSE57768</v>
      </c>
      <c r="D6571" s="1" t="s">
        <v>325</v>
      </c>
      <c r="E6571" t="s">
        <v>330</v>
      </c>
      <c r="F6571" s="1">
        <v>1</v>
      </c>
      <c r="G6571" s="1" t="s">
        <v>36</v>
      </c>
      <c r="H6571" s="4" t="str">
        <f>HYPERLINK("https://www.ncbi.nlm.nih.gov/geo/query/acc.cgi?acc=GSM1388278","GSM1388278")</f>
        <v>GSM1388278</v>
      </c>
      <c r="I6571" t="s">
        <v>82</v>
      </c>
      <c r="J6571" t="s">
        <v>327</v>
      </c>
      <c r="K6571" t="s">
        <v>33</v>
      </c>
      <c r="L6571" t="s">
        <v>27</v>
      </c>
      <c r="N6571" t="s">
        <v>37</v>
      </c>
    </row>
    <row r="6572" spans="1:14">
      <c r="A6572" s="4" t="str">
        <f t="shared" si="606"/>
        <v>EXP00225</v>
      </c>
      <c r="B6572" s="4" t="str">
        <f t="shared" si="603"/>
        <v>25764000</v>
      </c>
      <c r="C6572" s="4" t="str">
        <f t="shared" si="604"/>
        <v>GSE57768</v>
      </c>
      <c r="D6572" s="1" t="s">
        <v>325</v>
      </c>
      <c r="E6572" t="s">
        <v>330</v>
      </c>
      <c r="F6572" s="1">
        <v>1</v>
      </c>
      <c r="G6572" s="1" t="s">
        <v>36</v>
      </c>
      <c r="H6572" s="4" t="str">
        <f>HYPERLINK("https://www.ncbi.nlm.nih.gov/geo/query/acc.cgi?acc=GSM1388290","GSM1388290")</f>
        <v>GSM1388290</v>
      </c>
      <c r="I6572" t="s">
        <v>82</v>
      </c>
      <c r="J6572" t="s">
        <v>327</v>
      </c>
      <c r="K6572" t="s">
        <v>33</v>
      </c>
      <c r="L6572" t="s">
        <v>27</v>
      </c>
      <c r="N6572" t="s">
        <v>37</v>
      </c>
    </row>
    <row r="6573" spans="1:14">
      <c r="A6573" s="4" t="str">
        <f t="shared" si="606"/>
        <v>EXP00225</v>
      </c>
      <c r="B6573" s="4" t="str">
        <f t="shared" ref="B6573:B6586" si="607">HYPERLINK("https://www.ncbi.nlm.nih.gov/pubmed/25764000","25764000")</f>
        <v>25764000</v>
      </c>
      <c r="C6573" s="4" t="str">
        <f t="shared" ref="C6573:C6586" si="608">HYPERLINK("https://www.ncbi.nlm.nih.gov/geo/query/acc.cgi?acc=GSE57768","GSE57768")</f>
        <v>GSE57768</v>
      </c>
      <c r="D6573" s="1" t="s">
        <v>325</v>
      </c>
      <c r="E6573" t="s">
        <v>330</v>
      </c>
      <c r="F6573" s="1">
        <v>1</v>
      </c>
      <c r="G6573" s="1" t="s">
        <v>36</v>
      </c>
      <c r="H6573" s="4" t="str">
        <f>HYPERLINK("https://www.ncbi.nlm.nih.gov/geo/query/acc.cgi?acc=GSM1388294","GSM1388294")</f>
        <v>GSM1388294</v>
      </c>
      <c r="I6573" t="s">
        <v>82</v>
      </c>
      <c r="J6573" t="s">
        <v>327</v>
      </c>
      <c r="K6573" t="s">
        <v>33</v>
      </c>
      <c r="L6573" t="s">
        <v>27</v>
      </c>
      <c r="N6573" t="s">
        <v>37</v>
      </c>
    </row>
    <row r="6574" spans="1:14">
      <c r="A6574" s="4" t="str">
        <f t="shared" si="606"/>
        <v>EXP00225</v>
      </c>
      <c r="B6574" s="4" t="str">
        <f t="shared" si="607"/>
        <v>25764000</v>
      </c>
      <c r="C6574" s="4" t="str">
        <f t="shared" si="608"/>
        <v>GSE57768</v>
      </c>
      <c r="D6574" s="1" t="s">
        <v>325</v>
      </c>
      <c r="E6574" t="s">
        <v>330</v>
      </c>
      <c r="F6574" s="1">
        <v>1</v>
      </c>
      <c r="G6574" s="1" t="s">
        <v>36</v>
      </c>
      <c r="H6574" s="4" t="str">
        <f>HYPERLINK("https://www.ncbi.nlm.nih.gov/geo/query/acc.cgi?acc=GSM1388304","GSM1388304")</f>
        <v>GSM1388304</v>
      </c>
      <c r="I6574" t="s">
        <v>82</v>
      </c>
      <c r="J6574" t="s">
        <v>327</v>
      </c>
      <c r="K6574" t="s">
        <v>33</v>
      </c>
      <c r="L6574" t="s">
        <v>27</v>
      </c>
      <c r="N6574" t="s">
        <v>37</v>
      </c>
    </row>
    <row r="6575" spans="1:14">
      <c r="A6575" s="4" t="str">
        <f t="shared" si="606"/>
        <v>EXP00225</v>
      </c>
      <c r="B6575" s="4" t="str">
        <f t="shared" si="607"/>
        <v>25764000</v>
      </c>
      <c r="C6575" s="4" t="str">
        <f t="shared" si="608"/>
        <v>GSE57768</v>
      </c>
      <c r="D6575" s="1" t="s">
        <v>325</v>
      </c>
      <c r="E6575" t="s">
        <v>330</v>
      </c>
      <c r="F6575" s="1">
        <v>1</v>
      </c>
      <c r="G6575" s="1" t="s">
        <v>36</v>
      </c>
      <c r="H6575" s="4" t="str">
        <f>HYPERLINK("https://www.ncbi.nlm.nih.gov/geo/query/acc.cgi?acc=GSM1388305","GSM1388305")</f>
        <v>GSM1388305</v>
      </c>
      <c r="I6575" t="s">
        <v>82</v>
      </c>
      <c r="J6575" t="s">
        <v>327</v>
      </c>
      <c r="K6575" t="s">
        <v>33</v>
      </c>
      <c r="L6575" t="s">
        <v>27</v>
      </c>
      <c r="N6575" t="s">
        <v>37</v>
      </c>
    </row>
    <row r="6576" spans="1:14">
      <c r="A6576" s="4" t="str">
        <f t="shared" si="606"/>
        <v>EXP00225</v>
      </c>
      <c r="B6576" s="4" t="str">
        <f t="shared" si="607"/>
        <v>25764000</v>
      </c>
      <c r="C6576" s="4" t="str">
        <f t="shared" si="608"/>
        <v>GSE57768</v>
      </c>
      <c r="D6576" s="1" t="s">
        <v>325</v>
      </c>
      <c r="E6576" t="s">
        <v>330</v>
      </c>
      <c r="F6576" s="1">
        <v>1</v>
      </c>
      <c r="G6576" s="1" t="s">
        <v>36</v>
      </c>
      <c r="H6576" s="4" t="str">
        <f>HYPERLINK("https://www.ncbi.nlm.nih.gov/geo/query/acc.cgi?acc=GSM1388307","GSM1388307")</f>
        <v>GSM1388307</v>
      </c>
      <c r="I6576" t="s">
        <v>82</v>
      </c>
      <c r="J6576" t="s">
        <v>327</v>
      </c>
      <c r="K6576" t="s">
        <v>33</v>
      </c>
      <c r="L6576" t="s">
        <v>27</v>
      </c>
      <c r="N6576" t="s">
        <v>37</v>
      </c>
    </row>
    <row r="6577" spans="1:14">
      <c r="A6577" s="4" t="str">
        <f t="shared" si="606"/>
        <v>EXP00225</v>
      </c>
      <c r="B6577" s="4" t="str">
        <f t="shared" si="607"/>
        <v>25764000</v>
      </c>
      <c r="C6577" s="4" t="str">
        <f t="shared" si="608"/>
        <v>GSE57768</v>
      </c>
      <c r="D6577" s="1" t="s">
        <v>325</v>
      </c>
      <c r="E6577" t="s">
        <v>330</v>
      </c>
      <c r="F6577" s="1">
        <v>1</v>
      </c>
      <c r="G6577" s="1" t="s">
        <v>36</v>
      </c>
      <c r="H6577" s="4" t="str">
        <f>HYPERLINK("https://www.ncbi.nlm.nih.gov/geo/query/acc.cgi?acc=GSM1388311","GSM1388311")</f>
        <v>GSM1388311</v>
      </c>
      <c r="I6577" t="s">
        <v>82</v>
      </c>
      <c r="J6577" t="s">
        <v>327</v>
      </c>
      <c r="K6577" t="s">
        <v>33</v>
      </c>
      <c r="L6577" t="s">
        <v>27</v>
      </c>
      <c r="N6577" t="s">
        <v>37</v>
      </c>
    </row>
    <row r="6578" spans="1:14">
      <c r="A6578" s="4" t="str">
        <f t="shared" si="606"/>
        <v>EXP00225</v>
      </c>
      <c r="B6578" s="4" t="str">
        <f t="shared" si="607"/>
        <v>25764000</v>
      </c>
      <c r="C6578" s="4" t="str">
        <f t="shared" si="608"/>
        <v>GSE57768</v>
      </c>
      <c r="D6578" s="1" t="s">
        <v>325</v>
      </c>
      <c r="E6578" t="s">
        <v>330</v>
      </c>
      <c r="F6578" s="1">
        <v>2</v>
      </c>
      <c r="G6578" s="1" t="s">
        <v>28</v>
      </c>
      <c r="H6578" s="4" t="str">
        <f>HYPERLINK("https://www.ncbi.nlm.nih.gov/geo/query/acc.cgi?acc=GSM1388276","GSM1388276")</f>
        <v>GSM1388276</v>
      </c>
      <c r="I6578" t="s">
        <v>82</v>
      </c>
      <c r="J6578" t="s">
        <v>327</v>
      </c>
      <c r="K6578" t="s">
        <v>33</v>
      </c>
      <c r="L6578" t="s">
        <v>27</v>
      </c>
      <c r="N6578" t="s">
        <v>29</v>
      </c>
    </row>
    <row r="6579" spans="1:14">
      <c r="A6579" s="4" t="str">
        <f t="shared" si="606"/>
        <v>EXP00225</v>
      </c>
      <c r="B6579" s="4" t="str">
        <f t="shared" si="607"/>
        <v>25764000</v>
      </c>
      <c r="C6579" s="4" t="str">
        <f t="shared" si="608"/>
        <v>GSE57768</v>
      </c>
      <c r="D6579" s="1" t="s">
        <v>325</v>
      </c>
      <c r="E6579" t="s">
        <v>330</v>
      </c>
      <c r="F6579" s="1">
        <v>2</v>
      </c>
      <c r="G6579" s="1" t="s">
        <v>28</v>
      </c>
      <c r="H6579" s="4" t="str">
        <f>HYPERLINK("https://www.ncbi.nlm.nih.gov/geo/query/acc.cgi?acc=GSM1388277","GSM1388277")</f>
        <v>GSM1388277</v>
      </c>
      <c r="I6579" t="s">
        <v>82</v>
      </c>
      <c r="J6579" t="s">
        <v>327</v>
      </c>
      <c r="K6579" t="s">
        <v>33</v>
      </c>
      <c r="L6579" t="s">
        <v>27</v>
      </c>
      <c r="N6579" t="s">
        <v>29</v>
      </c>
    </row>
    <row r="6580" spans="1:14">
      <c r="A6580" s="4" t="str">
        <f t="shared" si="606"/>
        <v>EXP00225</v>
      </c>
      <c r="B6580" s="4" t="str">
        <f t="shared" si="607"/>
        <v>25764000</v>
      </c>
      <c r="C6580" s="4" t="str">
        <f t="shared" si="608"/>
        <v>GSE57768</v>
      </c>
      <c r="D6580" s="1" t="s">
        <v>325</v>
      </c>
      <c r="E6580" t="s">
        <v>330</v>
      </c>
      <c r="F6580" s="1">
        <v>2</v>
      </c>
      <c r="G6580" s="1" t="s">
        <v>28</v>
      </c>
      <c r="H6580" s="4" t="str">
        <f>HYPERLINK("https://www.ncbi.nlm.nih.gov/geo/query/acc.cgi?acc=GSM1388282","GSM1388282")</f>
        <v>GSM1388282</v>
      </c>
      <c r="I6580" t="s">
        <v>82</v>
      </c>
      <c r="J6580" t="s">
        <v>327</v>
      </c>
      <c r="K6580" t="s">
        <v>33</v>
      </c>
      <c r="L6580" t="s">
        <v>27</v>
      </c>
      <c r="N6580" t="s">
        <v>29</v>
      </c>
    </row>
    <row r="6581" spans="1:14">
      <c r="A6581" s="4" t="str">
        <f t="shared" si="606"/>
        <v>EXP00225</v>
      </c>
      <c r="B6581" s="4" t="str">
        <f t="shared" si="607"/>
        <v>25764000</v>
      </c>
      <c r="C6581" s="4" t="str">
        <f t="shared" si="608"/>
        <v>GSE57768</v>
      </c>
      <c r="D6581" s="1" t="s">
        <v>325</v>
      </c>
      <c r="E6581" t="s">
        <v>330</v>
      </c>
      <c r="F6581" s="1">
        <v>2</v>
      </c>
      <c r="G6581" s="1" t="s">
        <v>28</v>
      </c>
      <c r="H6581" s="4" t="str">
        <f>HYPERLINK("https://www.ncbi.nlm.nih.gov/geo/query/acc.cgi?acc=GSM1388288","GSM1388288")</f>
        <v>GSM1388288</v>
      </c>
      <c r="I6581" t="s">
        <v>82</v>
      </c>
      <c r="J6581" t="s">
        <v>327</v>
      </c>
      <c r="K6581" t="s">
        <v>33</v>
      </c>
      <c r="L6581" t="s">
        <v>27</v>
      </c>
      <c r="N6581" t="s">
        <v>29</v>
      </c>
    </row>
    <row r="6582" spans="1:14">
      <c r="A6582" s="4" t="str">
        <f t="shared" si="606"/>
        <v>EXP00225</v>
      </c>
      <c r="B6582" s="4" t="str">
        <f t="shared" si="607"/>
        <v>25764000</v>
      </c>
      <c r="C6582" s="4" t="str">
        <f t="shared" si="608"/>
        <v>GSE57768</v>
      </c>
      <c r="D6582" s="1" t="s">
        <v>325</v>
      </c>
      <c r="E6582" t="s">
        <v>330</v>
      </c>
      <c r="F6582" s="1">
        <v>2</v>
      </c>
      <c r="G6582" s="1" t="s">
        <v>28</v>
      </c>
      <c r="H6582" s="4" t="str">
        <f>HYPERLINK("https://www.ncbi.nlm.nih.gov/geo/query/acc.cgi?acc=GSM1388291","GSM1388291")</f>
        <v>GSM1388291</v>
      </c>
      <c r="I6582" t="s">
        <v>82</v>
      </c>
      <c r="J6582" t="s">
        <v>327</v>
      </c>
      <c r="K6582" t="s">
        <v>33</v>
      </c>
      <c r="L6582" t="s">
        <v>27</v>
      </c>
      <c r="N6582" t="s">
        <v>29</v>
      </c>
    </row>
    <row r="6583" spans="1:14">
      <c r="A6583" s="4" t="str">
        <f t="shared" si="606"/>
        <v>EXP00225</v>
      </c>
      <c r="B6583" s="4" t="str">
        <f t="shared" si="607"/>
        <v>25764000</v>
      </c>
      <c r="C6583" s="4" t="str">
        <f t="shared" si="608"/>
        <v>GSE57768</v>
      </c>
      <c r="D6583" s="1" t="s">
        <v>325</v>
      </c>
      <c r="E6583" t="s">
        <v>330</v>
      </c>
      <c r="F6583" s="1">
        <v>2</v>
      </c>
      <c r="G6583" s="1" t="s">
        <v>28</v>
      </c>
      <c r="H6583" s="4" t="str">
        <f>HYPERLINK("https://www.ncbi.nlm.nih.gov/geo/query/acc.cgi?acc=GSM1388295","GSM1388295")</f>
        <v>GSM1388295</v>
      </c>
      <c r="I6583" t="s">
        <v>82</v>
      </c>
      <c r="J6583" t="s">
        <v>327</v>
      </c>
      <c r="K6583" t="s">
        <v>33</v>
      </c>
      <c r="L6583" t="s">
        <v>27</v>
      </c>
      <c r="N6583" t="s">
        <v>29</v>
      </c>
    </row>
    <row r="6584" spans="1:14">
      <c r="A6584" s="4" t="str">
        <f t="shared" si="606"/>
        <v>EXP00225</v>
      </c>
      <c r="B6584" s="4" t="str">
        <f t="shared" si="607"/>
        <v>25764000</v>
      </c>
      <c r="C6584" s="4" t="str">
        <f t="shared" si="608"/>
        <v>GSE57768</v>
      </c>
      <c r="D6584" s="1" t="s">
        <v>325</v>
      </c>
      <c r="E6584" t="s">
        <v>330</v>
      </c>
      <c r="F6584" s="1">
        <v>2</v>
      </c>
      <c r="G6584" s="1" t="s">
        <v>28</v>
      </c>
      <c r="H6584" s="4" t="str">
        <f>HYPERLINK("https://www.ncbi.nlm.nih.gov/geo/query/acc.cgi?acc=GSM1388299","GSM1388299")</f>
        <v>GSM1388299</v>
      </c>
      <c r="I6584" t="s">
        <v>82</v>
      </c>
      <c r="J6584" t="s">
        <v>327</v>
      </c>
      <c r="K6584" t="s">
        <v>33</v>
      </c>
      <c r="L6584" t="s">
        <v>27</v>
      </c>
      <c r="N6584" t="s">
        <v>29</v>
      </c>
    </row>
    <row r="6585" spans="1:14">
      <c r="A6585" s="4" t="str">
        <f t="shared" si="606"/>
        <v>EXP00225</v>
      </c>
      <c r="B6585" s="4" t="str">
        <f t="shared" si="607"/>
        <v>25764000</v>
      </c>
      <c r="C6585" s="4" t="str">
        <f t="shared" si="608"/>
        <v>GSE57768</v>
      </c>
      <c r="D6585" s="1" t="s">
        <v>325</v>
      </c>
      <c r="E6585" t="s">
        <v>330</v>
      </c>
      <c r="F6585" s="1">
        <v>2</v>
      </c>
      <c r="G6585" s="1" t="s">
        <v>28</v>
      </c>
      <c r="H6585" s="4" t="str">
        <f>HYPERLINK("https://www.ncbi.nlm.nih.gov/geo/query/acc.cgi?acc=GSM1388309","GSM1388309")</f>
        <v>GSM1388309</v>
      </c>
      <c r="I6585" t="s">
        <v>82</v>
      </c>
      <c r="J6585" t="s">
        <v>327</v>
      </c>
      <c r="K6585" t="s">
        <v>33</v>
      </c>
      <c r="L6585" t="s">
        <v>27</v>
      </c>
      <c r="N6585" t="s">
        <v>29</v>
      </c>
    </row>
    <row r="6586" spans="1:14">
      <c r="A6586" s="4" t="str">
        <f t="shared" si="606"/>
        <v>EXP00225</v>
      </c>
      <c r="B6586" s="4" t="str">
        <f t="shared" si="607"/>
        <v>25764000</v>
      </c>
      <c r="C6586" s="4" t="str">
        <f t="shared" si="608"/>
        <v>GSE57768</v>
      </c>
      <c r="D6586" s="1" t="s">
        <v>325</v>
      </c>
      <c r="E6586" t="s">
        <v>330</v>
      </c>
      <c r="F6586" s="1">
        <v>2</v>
      </c>
      <c r="G6586" s="1" t="s">
        <v>28</v>
      </c>
      <c r="H6586" s="4" t="str">
        <f>HYPERLINK("https://www.ncbi.nlm.nih.gov/geo/query/acc.cgi?acc=GSM1388310","GSM1388310")</f>
        <v>GSM1388310</v>
      </c>
      <c r="I6586" t="s">
        <v>82</v>
      </c>
      <c r="J6586" t="s">
        <v>327</v>
      </c>
      <c r="K6586" t="s">
        <v>33</v>
      </c>
      <c r="L6586" t="s">
        <v>27</v>
      </c>
      <c r="N6586" t="s">
        <v>29</v>
      </c>
    </row>
    <row r="6587" spans="1:14">
      <c r="A6587" s="4" t="str">
        <f t="shared" ref="A6587:A6592" si="609">HYPERLINK("http://hcmdb.i-sanger.com/experiment/details/experiment_id/EXP00226","EXP00226")</f>
        <v>EXP00226</v>
      </c>
      <c r="B6587" s="3" t="s">
        <v>66</v>
      </c>
      <c r="C6587" s="4" t="str">
        <f t="shared" ref="C6587:C6598" si="610">HYPERLINK("https://www.ncbi.nlm.nih.gov/geo/query/acc.cgi?acc=GSE57780","GSE57780")</f>
        <v>GSE57780</v>
      </c>
      <c r="D6587" s="1" t="s">
        <v>331</v>
      </c>
      <c r="E6587" t="s">
        <v>332</v>
      </c>
      <c r="F6587" s="1">
        <v>1</v>
      </c>
      <c r="G6587" s="1" t="s">
        <v>26</v>
      </c>
      <c r="H6587" s="4" t="str">
        <f>HYPERLINK("https://www.ncbi.nlm.nih.gov/geo/query/acc.cgi?acc=GSM1388426","GSM1388426")</f>
        <v>GSM1388426</v>
      </c>
      <c r="I6587" t="s">
        <v>333</v>
      </c>
      <c r="J6587" t="s">
        <v>334</v>
      </c>
      <c r="K6587" t="s">
        <v>19</v>
      </c>
      <c r="L6587" t="s">
        <v>335</v>
      </c>
      <c r="M6587" t="s">
        <v>24</v>
      </c>
      <c r="N6587" t="s">
        <v>22</v>
      </c>
    </row>
    <row r="6588" spans="1:14">
      <c r="A6588" s="4" t="str">
        <f t="shared" si="609"/>
        <v>EXP00226</v>
      </c>
      <c r="B6588" s="3" t="s">
        <v>66</v>
      </c>
      <c r="C6588" s="4" t="str">
        <f t="shared" si="610"/>
        <v>GSE57780</v>
      </c>
      <c r="D6588" s="1" t="s">
        <v>331</v>
      </c>
      <c r="E6588" t="s">
        <v>332</v>
      </c>
      <c r="F6588" s="1">
        <v>1</v>
      </c>
      <c r="G6588" s="1" t="s">
        <v>26</v>
      </c>
      <c r="H6588" s="4" t="str">
        <f>HYPERLINK("https://www.ncbi.nlm.nih.gov/geo/query/acc.cgi?acc=GSM1388427","GSM1388427")</f>
        <v>GSM1388427</v>
      </c>
      <c r="I6588" t="s">
        <v>333</v>
      </c>
      <c r="J6588" t="s">
        <v>334</v>
      </c>
      <c r="K6588" t="s">
        <v>19</v>
      </c>
      <c r="L6588" t="s">
        <v>335</v>
      </c>
      <c r="M6588" t="s">
        <v>24</v>
      </c>
      <c r="N6588" t="s">
        <v>22</v>
      </c>
    </row>
    <row r="6589" spans="1:14">
      <c r="A6589" s="4" t="str">
        <f t="shared" si="609"/>
        <v>EXP00226</v>
      </c>
      <c r="B6589" s="3" t="s">
        <v>66</v>
      </c>
      <c r="C6589" s="4" t="str">
        <f t="shared" si="610"/>
        <v>GSE57780</v>
      </c>
      <c r="D6589" s="1" t="s">
        <v>331</v>
      </c>
      <c r="E6589" t="s">
        <v>332</v>
      </c>
      <c r="F6589" s="1">
        <v>1</v>
      </c>
      <c r="G6589" s="1" t="s">
        <v>26</v>
      </c>
      <c r="H6589" s="4" t="str">
        <f>HYPERLINK("https://www.ncbi.nlm.nih.gov/geo/query/acc.cgi?acc=GSM1388428","GSM1388428")</f>
        <v>GSM1388428</v>
      </c>
      <c r="I6589" t="s">
        <v>333</v>
      </c>
      <c r="J6589" t="s">
        <v>334</v>
      </c>
      <c r="K6589" t="s">
        <v>19</v>
      </c>
      <c r="L6589" t="s">
        <v>335</v>
      </c>
      <c r="M6589" t="s">
        <v>24</v>
      </c>
      <c r="N6589" t="s">
        <v>22</v>
      </c>
    </row>
    <row r="6590" spans="1:14">
      <c r="A6590" s="4" t="str">
        <f t="shared" si="609"/>
        <v>EXP00226</v>
      </c>
      <c r="B6590" s="3" t="s">
        <v>66</v>
      </c>
      <c r="C6590" s="4" t="str">
        <f t="shared" si="610"/>
        <v>GSE57780</v>
      </c>
      <c r="D6590" s="1" t="s">
        <v>331</v>
      </c>
      <c r="E6590" t="s">
        <v>332</v>
      </c>
      <c r="F6590" s="1">
        <v>2</v>
      </c>
      <c r="G6590" s="1" t="s">
        <v>28</v>
      </c>
      <c r="H6590" s="4" t="str">
        <f>HYPERLINK("https://www.ncbi.nlm.nih.gov/geo/query/acc.cgi?acc=GSM1388423","GSM1388423")</f>
        <v>GSM1388423</v>
      </c>
      <c r="I6590" t="s">
        <v>333</v>
      </c>
      <c r="J6590" t="s">
        <v>334</v>
      </c>
      <c r="K6590" t="s">
        <v>19</v>
      </c>
      <c r="L6590" t="s">
        <v>335</v>
      </c>
      <c r="M6590" t="s">
        <v>24</v>
      </c>
      <c r="N6590" t="s">
        <v>29</v>
      </c>
    </row>
    <row r="6591" spans="1:14">
      <c r="A6591" s="4" t="str">
        <f t="shared" si="609"/>
        <v>EXP00226</v>
      </c>
      <c r="B6591" s="3" t="s">
        <v>66</v>
      </c>
      <c r="C6591" s="4" t="str">
        <f t="shared" si="610"/>
        <v>GSE57780</v>
      </c>
      <c r="D6591" s="1" t="s">
        <v>331</v>
      </c>
      <c r="E6591" t="s">
        <v>332</v>
      </c>
      <c r="F6591" s="1">
        <v>2</v>
      </c>
      <c r="G6591" s="1" t="s">
        <v>28</v>
      </c>
      <c r="H6591" s="4" t="str">
        <f>HYPERLINK("https://www.ncbi.nlm.nih.gov/geo/query/acc.cgi?acc=GSM1388424","GSM1388424")</f>
        <v>GSM1388424</v>
      </c>
      <c r="I6591" t="s">
        <v>333</v>
      </c>
      <c r="J6591" t="s">
        <v>334</v>
      </c>
      <c r="K6591" t="s">
        <v>19</v>
      </c>
      <c r="L6591" t="s">
        <v>335</v>
      </c>
      <c r="M6591" t="s">
        <v>24</v>
      </c>
      <c r="N6591" t="s">
        <v>29</v>
      </c>
    </row>
    <row r="6592" spans="1:14">
      <c r="A6592" s="4" t="str">
        <f t="shared" si="609"/>
        <v>EXP00226</v>
      </c>
      <c r="B6592" s="3" t="s">
        <v>66</v>
      </c>
      <c r="C6592" s="4" t="str">
        <f t="shared" si="610"/>
        <v>GSE57780</v>
      </c>
      <c r="D6592" s="1" t="s">
        <v>331</v>
      </c>
      <c r="E6592" t="s">
        <v>332</v>
      </c>
      <c r="F6592" s="1">
        <v>2</v>
      </c>
      <c r="G6592" s="1" t="s">
        <v>28</v>
      </c>
      <c r="H6592" s="4" t="str">
        <f>HYPERLINK("https://www.ncbi.nlm.nih.gov/geo/query/acc.cgi?acc=GSM1388425","GSM1388425")</f>
        <v>GSM1388425</v>
      </c>
      <c r="I6592" t="s">
        <v>333</v>
      </c>
      <c r="J6592" t="s">
        <v>334</v>
      </c>
      <c r="K6592" t="s">
        <v>19</v>
      </c>
      <c r="L6592" t="s">
        <v>335</v>
      </c>
      <c r="M6592" t="s">
        <v>24</v>
      </c>
      <c r="N6592" t="s">
        <v>29</v>
      </c>
    </row>
    <row r="6593" spans="1:14">
      <c r="A6593" s="4" t="str">
        <f t="shared" ref="A6593:A6598" si="611">HYPERLINK("http://hcmdb.i-sanger.com/experiment/details/experiment_id/EXP00227","EXP00227")</f>
        <v>EXP00227</v>
      </c>
      <c r="B6593" s="3" t="s">
        <v>66</v>
      </c>
      <c r="C6593" s="4" t="str">
        <f t="shared" si="610"/>
        <v>GSE57780</v>
      </c>
      <c r="D6593" s="1" t="s">
        <v>331</v>
      </c>
      <c r="E6593" t="s">
        <v>336</v>
      </c>
      <c r="F6593" s="1">
        <v>1</v>
      </c>
      <c r="G6593" s="1" t="s">
        <v>36</v>
      </c>
      <c r="H6593" s="4" t="str">
        <f>HYPERLINK("https://www.ncbi.nlm.nih.gov/geo/query/acc.cgi?acc=GSM1388420","GSM1388420")</f>
        <v>GSM1388420</v>
      </c>
      <c r="I6593" t="s">
        <v>333</v>
      </c>
      <c r="J6593" t="s">
        <v>334</v>
      </c>
      <c r="K6593" t="s">
        <v>19</v>
      </c>
      <c r="L6593" t="s">
        <v>335</v>
      </c>
      <c r="M6593" t="s">
        <v>24</v>
      </c>
      <c r="N6593" t="s">
        <v>37</v>
      </c>
    </row>
    <row r="6594" spans="1:14">
      <c r="A6594" s="4" t="str">
        <f t="shared" si="611"/>
        <v>EXP00227</v>
      </c>
      <c r="B6594" s="3" t="s">
        <v>66</v>
      </c>
      <c r="C6594" s="4" t="str">
        <f t="shared" si="610"/>
        <v>GSE57780</v>
      </c>
      <c r="D6594" s="1" t="s">
        <v>331</v>
      </c>
      <c r="E6594" t="s">
        <v>336</v>
      </c>
      <c r="F6594" s="1">
        <v>1</v>
      </c>
      <c r="G6594" s="1" t="s">
        <v>36</v>
      </c>
      <c r="H6594" s="4" t="str">
        <f>HYPERLINK("https://www.ncbi.nlm.nih.gov/geo/query/acc.cgi?acc=GSM1388421","GSM1388421")</f>
        <v>GSM1388421</v>
      </c>
      <c r="I6594" t="s">
        <v>333</v>
      </c>
      <c r="J6594" t="s">
        <v>334</v>
      </c>
      <c r="K6594" t="s">
        <v>19</v>
      </c>
      <c r="L6594" t="s">
        <v>335</v>
      </c>
      <c r="M6594" t="s">
        <v>24</v>
      </c>
      <c r="N6594" t="s">
        <v>37</v>
      </c>
    </row>
    <row r="6595" spans="1:14">
      <c r="A6595" s="4" t="str">
        <f t="shared" si="611"/>
        <v>EXP00227</v>
      </c>
      <c r="B6595" s="3" t="s">
        <v>66</v>
      </c>
      <c r="C6595" s="4" t="str">
        <f t="shared" si="610"/>
        <v>GSE57780</v>
      </c>
      <c r="D6595" s="1" t="s">
        <v>331</v>
      </c>
      <c r="E6595" t="s">
        <v>336</v>
      </c>
      <c r="F6595" s="1">
        <v>1</v>
      </c>
      <c r="G6595" s="1" t="s">
        <v>36</v>
      </c>
      <c r="H6595" s="4" t="str">
        <f>HYPERLINK("https://www.ncbi.nlm.nih.gov/geo/query/acc.cgi?acc=GSM1388422","GSM1388422")</f>
        <v>GSM1388422</v>
      </c>
      <c r="I6595" t="s">
        <v>333</v>
      </c>
      <c r="J6595" t="s">
        <v>334</v>
      </c>
      <c r="K6595" t="s">
        <v>19</v>
      </c>
      <c r="L6595" t="s">
        <v>335</v>
      </c>
      <c r="M6595" t="s">
        <v>24</v>
      </c>
      <c r="N6595" t="s">
        <v>37</v>
      </c>
    </row>
    <row r="6596" spans="1:14">
      <c r="A6596" s="4" t="str">
        <f t="shared" si="611"/>
        <v>EXP00227</v>
      </c>
      <c r="B6596" s="3" t="s">
        <v>66</v>
      </c>
      <c r="C6596" s="4" t="str">
        <f t="shared" si="610"/>
        <v>GSE57780</v>
      </c>
      <c r="D6596" s="1" t="s">
        <v>331</v>
      </c>
      <c r="E6596" t="s">
        <v>336</v>
      </c>
      <c r="F6596" s="1">
        <v>2</v>
      </c>
      <c r="G6596" s="1" t="s">
        <v>28</v>
      </c>
      <c r="H6596" s="4" t="str">
        <f>HYPERLINK("https://www.ncbi.nlm.nih.gov/geo/query/acc.cgi?acc=GSM1388423","GSM1388423")</f>
        <v>GSM1388423</v>
      </c>
      <c r="I6596" t="s">
        <v>333</v>
      </c>
      <c r="J6596" t="s">
        <v>334</v>
      </c>
      <c r="K6596" t="s">
        <v>19</v>
      </c>
      <c r="L6596" t="s">
        <v>335</v>
      </c>
      <c r="M6596" t="s">
        <v>24</v>
      </c>
      <c r="N6596" t="s">
        <v>29</v>
      </c>
    </row>
    <row r="6597" spans="1:14">
      <c r="A6597" s="4" t="str">
        <f t="shared" si="611"/>
        <v>EXP00227</v>
      </c>
      <c r="B6597" s="3" t="s">
        <v>66</v>
      </c>
      <c r="C6597" s="4" t="str">
        <f t="shared" si="610"/>
        <v>GSE57780</v>
      </c>
      <c r="D6597" s="1" t="s">
        <v>331</v>
      </c>
      <c r="E6597" t="s">
        <v>336</v>
      </c>
      <c r="F6597" s="1">
        <v>2</v>
      </c>
      <c r="G6597" s="1" t="s">
        <v>28</v>
      </c>
      <c r="H6597" s="4" t="str">
        <f>HYPERLINK("https://www.ncbi.nlm.nih.gov/geo/query/acc.cgi?acc=GSM1388424","GSM1388424")</f>
        <v>GSM1388424</v>
      </c>
      <c r="I6597" t="s">
        <v>333</v>
      </c>
      <c r="J6597" t="s">
        <v>334</v>
      </c>
      <c r="K6597" t="s">
        <v>19</v>
      </c>
      <c r="L6597" t="s">
        <v>335</v>
      </c>
      <c r="M6597" t="s">
        <v>24</v>
      </c>
      <c r="N6597" t="s">
        <v>29</v>
      </c>
    </row>
    <row r="6598" spans="1:14">
      <c r="A6598" s="4" t="str">
        <f t="shared" si="611"/>
        <v>EXP00227</v>
      </c>
      <c r="B6598" s="3" t="s">
        <v>66</v>
      </c>
      <c r="C6598" s="4" t="str">
        <f t="shared" si="610"/>
        <v>GSE57780</v>
      </c>
      <c r="D6598" s="1" t="s">
        <v>331</v>
      </c>
      <c r="E6598" t="s">
        <v>336</v>
      </c>
      <c r="F6598" s="1">
        <v>2</v>
      </c>
      <c r="G6598" s="1" t="s">
        <v>28</v>
      </c>
      <c r="H6598" s="4" t="str">
        <f>HYPERLINK("https://www.ncbi.nlm.nih.gov/geo/query/acc.cgi?acc=GSM1388425","GSM1388425")</f>
        <v>GSM1388425</v>
      </c>
      <c r="I6598" t="s">
        <v>333</v>
      </c>
      <c r="J6598" t="s">
        <v>334</v>
      </c>
      <c r="K6598" t="s">
        <v>19</v>
      </c>
      <c r="L6598" t="s">
        <v>335</v>
      </c>
      <c r="M6598" t="s">
        <v>24</v>
      </c>
      <c r="N6598" t="s">
        <v>29</v>
      </c>
    </row>
    <row r="6599" spans="1:14">
      <c r="A6599" s="4" t="str">
        <f t="shared" ref="A6599:A6603" si="612">HYPERLINK("http://hcmdb.i-sanger.com/experiment/details/experiment_id/EXP00228","EXP00228")</f>
        <v>EXP00228</v>
      </c>
      <c r="B6599" s="4" t="str">
        <f t="shared" ref="B6599:B6611" si="613">HYPERLINK("https://www.ncbi.nlm.nih.gov/pubmed/26240272","26240272")</f>
        <v>26240272</v>
      </c>
      <c r="C6599" s="4" t="str">
        <f t="shared" ref="C6599:C6611" si="614">HYPERLINK("https://www.ncbi.nlm.nih.gov/geo/query/acc.cgi?acc=GSE58708","GSE58708")</f>
        <v>GSE58708</v>
      </c>
      <c r="D6599" s="1" t="s">
        <v>331</v>
      </c>
      <c r="E6599" t="s">
        <v>15</v>
      </c>
      <c r="F6599" s="1">
        <v>1</v>
      </c>
      <c r="G6599" s="1" t="s">
        <v>63</v>
      </c>
      <c r="H6599" s="4" t="str">
        <f>HYPERLINK("https://www.ncbi.nlm.nih.gov/geo/query/acc.cgi?acc=GSM1417182","GSM1417182")</f>
        <v>GSM1417182</v>
      </c>
      <c r="I6599" t="s">
        <v>17</v>
      </c>
      <c r="J6599" t="s">
        <v>18</v>
      </c>
      <c r="K6599" t="s">
        <v>19</v>
      </c>
      <c r="L6599" t="s">
        <v>20</v>
      </c>
      <c r="M6599" t="s">
        <v>44</v>
      </c>
      <c r="N6599" t="s">
        <v>22</v>
      </c>
    </row>
    <row r="6600" spans="1:14">
      <c r="A6600" s="4" t="str">
        <f t="shared" si="612"/>
        <v>EXP00228</v>
      </c>
      <c r="B6600" s="4" t="str">
        <f t="shared" si="613"/>
        <v>26240272</v>
      </c>
      <c r="C6600" s="4" t="str">
        <f t="shared" si="614"/>
        <v>GSE58708</v>
      </c>
      <c r="D6600" s="1" t="s">
        <v>331</v>
      </c>
      <c r="E6600" t="s">
        <v>15</v>
      </c>
      <c r="F6600" s="1">
        <v>1</v>
      </c>
      <c r="G6600" s="1" t="s">
        <v>63</v>
      </c>
      <c r="H6600" s="4" t="str">
        <f>HYPERLINK("https://www.ncbi.nlm.nih.gov/geo/query/acc.cgi?acc=GSM1417183","GSM1417183")</f>
        <v>GSM1417183</v>
      </c>
      <c r="I6600" t="s">
        <v>17</v>
      </c>
      <c r="J6600" t="s">
        <v>18</v>
      </c>
      <c r="K6600" t="s">
        <v>19</v>
      </c>
      <c r="L6600" t="s">
        <v>20</v>
      </c>
      <c r="M6600" t="s">
        <v>44</v>
      </c>
      <c r="N6600" t="s">
        <v>22</v>
      </c>
    </row>
    <row r="6601" spans="1:14">
      <c r="A6601" s="4" t="str">
        <f t="shared" si="612"/>
        <v>EXP00228</v>
      </c>
      <c r="B6601" s="4" t="str">
        <f t="shared" si="613"/>
        <v>26240272</v>
      </c>
      <c r="C6601" s="4" t="str">
        <f t="shared" si="614"/>
        <v>GSE58708</v>
      </c>
      <c r="D6601" s="1" t="s">
        <v>331</v>
      </c>
      <c r="E6601" t="s">
        <v>15</v>
      </c>
      <c r="F6601" s="1">
        <v>1</v>
      </c>
      <c r="G6601" s="1" t="s">
        <v>63</v>
      </c>
      <c r="H6601" s="4" t="str">
        <f>HYPERLINK("https://www.ncbi.nlm.nih.gov/geo/query/acc.cgi?acc=GSM1417184","GSM1417184")</f>
        <v>GSM1417184</v>
      </c>
      <c r="I6601" t="s">
        <v>17</v>
      </c>
      <c r="J6601" t="s">
        <v>18</v>
      </c>
      <c r="K6601" t="s">
        <v>19</v>
      </c>
      <c r="L6601" t="s">
        <v>20</v>
      </c>
      <c r="M6601" t="s">
        <v>44</v>
      </c>
      <c r="N6601" t="s">
        <v>22</v>
      </c>
    </row>
    <row r="6602" spans="1:14">
      <c r="A6602" s="4" t="str">
        <f t="shared" si="612"/>
        <v>EXP00228</v>
      </c>
      <c r="B6602" s="4" t="str">
        <f t="shared" si="613"/>
        <v>26240272</v>
      </c>
      <c r="C6602" s="4" t="str">
        <f t="shared" si="614"/>
        <v>GSE58708</v>
      </c>
      <c r="D6602" s="1" t="s">
        <v>331</v>
      </c>
      <c r="E6602" t="s">
        <v>15</v>
      </c>
      <c r="F6602" s="1">
        <v>2</v>
      </c>
      <c r="G6602" s="1" t="s">
        <v>23</v>
      </c>
      <c r="H6602" s="4" t="str">
        <f>HYPERLINK("https://www.ncbi.nlm.nih.gov/geo/query/acc.cgi?acc=GSM1417180","GSM1417180")</f>
        <v>GSM1417180</v>
      </c>
      <c r="I6602" t="s">
        <v>17</v>
      </c>
      <c r="J6602" t="s">
        <v>18</v>
      </c>
      <c r="K6602" t="s">
        <v>19</v>
      </c>
      <c r="L6602" t="s">
        <v>20</v>
      </c>
      <c r="M6602" t="s">
        <v>24</v>
      </c>
      <c r="N6602" t="s">
        <v>22</v>
      </c>
    </row>
    <row r="6603" spans="1:14">
      <c r="A6603" s="4" t="str">
        <f t="shared" si="612"/>
        <v>EXP00228</v>
      </c>
      <c r="B6603" s="4" t="str">
        <f t="shared" si="613"/>
        <v>26240272</v>
      </c>
      <c r="C6603" s="4" t="str">
        <f t="shared" si="614"/>
        <v>GSE58708</v>
      </c>
      <c r="D6603" s="1" t="s">
        <v>331</v>
      </c>
      <c r="E6603" t="s">
        <v>15</v>
      </c>
      <c r="F6603" s="1">
        <v>2</v>
      </c>
      <c r="G6603" s="1" t="s">
        <v>23</v>
      </c>
      <c r="H6603" s="4" t="str">
        <f>HYPERLINK("https://www.ncbi.nlm.nih.gov/geo/query/acc.cgi?acc=GSM1417181","GSM1417181")</f>
        <v>GSM1417181</v>
      </c>
      <c r="I6603" t="s">
        <v>17</v>
      </c>
      <c r="J6603" t="s">
        <v>18</v>
      </c>
      <c r="K6603" t="s">
        <v>19</v>
      </c>
      <c r="L6603" t="s">
        <v>20</v>
      </c>
      <c r="M6603" t="s">
        <v>24</v>
      </c>
      <c r="N6603" t="s">
        <v>22</v>
      </c>
    </row>
    <row r="6604" spans="1:14">
      <c r="A6604" s="4" t="str">
        <f t="shared" ref="A6604:A6611" si="615">HYPERLINK("http://hcmdb.i-sanger.com/experiment/details/experiment_id/EXP00229","EXP00229")</f>
        <v>EXP00229</v>
      </c>
      <c r="B6604" s="4" t="str">
        <f t="shared" si="613"/>
        <v>26240272</v>
      </c>
      <c r="C6604" s="4" t="str">
        <f t="shared" si="614"/>
        <v>GSE58708</v>
      </c>
      <c r="D6604" s="1" t="s">
        <v>331</v>
      </c>
      <c r="E6604" t="s">
        <v>25</v>
      </c>
      <c r="F6604" s="1">
        <v>1</v>
      </c>
      <c r="G6604" s="1" t="s">
        <v>26</v>
      </c>
      <c r="H6604" s="4" t="str">
        <f>HYPERLINK("https://www.ncbi.nlm.nih.gov/geo/query/acc.cgi?acc=GSM1417180","GSM1417180")</f>
        <v>GSM1417180</v>
      </c>
      <c r="I6604" t="s">
        <v>17</v>
      </c>
      <c r="J6604" t="s">
        <v>18</v>
      </c>
      <c r="K6604" t="s">
        <v>19</v>
      </c>
      <c r="L6604" t="s">
        <v>20</v>
      </c>
      <c r="M6604" t="s">
        <v>24</v>
      </c>
      <c r="N6604" t="s">
        <v>22</v>
      </c>
    </row>
    <row r="6605" spans="1:14">
      <c r="A6605" s="4" t="str">
        <f t="shared" si="615"/>
        <v>EXP00229</v>
      </c>
      <c r="B6605" s="4" t="str">
        <f t="shared" si="613"/>
        <v>26240272</v>
      </c>
      <c r="C6605" s="4" t="str">
        <f t="shared" si="614"/>
        <v>GSE58708</v>
      </c>
      <c r="D6605" s="1" t="s">
        <v>331</v>
      </c>
      <c r="E6605" t="s">
        <v>25</v>
      </c>
      <c r="F6605" s="1">
        <v>1</v>
      </c>
      <c r="G6605" s="1" t="s">
        <v>26</v>
      </c>
      <c r="H6605" s="4" t="str">
        <f>HYPERLINK("https://www.ncbi.nlm.nih.gov/geo/query/acc.cgi?acc=GSM1417181","GSM1417181")</f>
        <v>GSM1417181</v>
      </c>
      <c r="I6605" t="s">
        <v>17</v>
      </c>
      <c r="J6605" t="s">
        <v>18</v>
      </c>
      <c r="K6605" t="s">
        <v>19</v>
      </c>
      <c r="L6605" t="s">
        <v>20</v>
      </c>
      <c r="M6605" t="s">
        <v>24</v>
      </c>
      <c r="N6605" t="s">
        <v>22</v>
      </c>
    </row>
    <row r="6606" spans="1:14">
      <c r="A6606" s="4" t="str">
        <f t="shared" si="615"/>
        <v>EXP00229</v>
      </c>
      <c r="B6606" s="4" t="str">
        <f t="shared" si="613"/>
        <v>26240272</v>
      </c>
      <c r="C6606" s="4" t="str">
        <f t="shared" si="614"/>
        <v>GSE58708</v>
      </c>
      <c r="D6606" s="1" t="s">
        <v>331</v>
      </c>
      <c r="E6606" t="s">
        <v>25</v>
      </c>
      <c r="F6606" s="1">
        <v>1</v>
      </c>
      <c r="G6606" s="1" t="s">
        <v>26</v>
      </c>
      <c r="H6606" s="4" t="str">
        <f>HYPERLINK("https://www.ncbi.nlm.nih.gov/geo/query/acc.cgi?acc=GSM1417182","GSM1417182")</f>
        <v>GSM1417182</v>
      </c>
      <c r="I6606" t="s">
        <v>17</v>
      </c>
      <c r="J6606" t="s">
        <v>18</v>
      </c>
      <c r="K6606" t="s">
        <v>19</v>
      </c>
      <c r="L6606" t="s">
        <v>20</v>
      </c>
      <c r="M6606" t="s">
        <v>44</v>
      </c>
      <c r="N6606" t="s">
        <v>22</v>
      </c>
    </row>
    <row r="6607" spans="1:14">
      <c r="A6607" s="4" t="str">
        <f t="shared" si="615"/>
        <v>EXP00229</v>
      </c>
      <c r="B6607" s="4" t="str">
        <f t="shared" si="613"/>
        <v>26240272</v>
      </c>
      <c r="C6607" s="4" t="str">
        <f t="shared" si="614"/>
        <v>GSE58708</v>
      </c>
      <c r="D6607" s="1" t="s">
        <v>331</v>
      </c>
      <c r="E6607" t="s">
        <v>25</v>
      </c>
      <c r="F6607" s="1">
        <v>1</v>
      </c>
      <c r="G6607" s="1" t="s">
        <v>26</v>
      </c>
      <c r="H6607" s="4" t="str">
        <f>HYPERLINK("https://www.ncbi.nlm.nih.gov/geo/query/acc.cgi?acc=GSM1417183","GSM1417183")</f>
        <v>GSM1417183</v>
      </c>
      <c r="I6607" t="s">
        <v>17</v>
      </c>
      <c r="J6607" t="s">
        <v>18</v>
      </c>
      <c r="K6607" t="s">
        <v>19</v>
      </c>
      <c r="L6607" t="s">
        <v>20</v>
      </c>
      <c r="M6607" t="s">
        <v>44</v>
      </c>
      <c r="N6607" t="s">
        <v>22</v>
      </c>
    </row>
    <row r="6608" spans="1:14">
      <c r="A6608" s="4" t="str">
        <f t="shared" si="615"/>
        <v>EXP00229</v>
      </c>
      <c r="B6608" s="4" t="str">
        <f t="shared" si="613"/>
        <v>26240272</v>
      </c>
      <c r="C6608" s="4" t="str">
        <f t="shared" si="614"/>
        <v>GSE58708</v>
      </c>
      <c r="D6608" s="1" t="s">
        <v>331</v>
      </c>
      <c r="E6608" t="s">
        <v>25</v>
      </c>
      <c r="F6608" s="1">
        <v>1</v>
      </c>
      <c r="G6608" s="1" t="s">
        <v>26</v>
      </c>
      <c r="H6608" s="4" t="str">
        <f>HYPERLINK("https://www.ncbi.nlm.nih.gov/geo/query/acc.cgi?acc=GSM1417184","GSM1417184")</f>
        <v>GSM1417184</v>
      </c>
      <c r="I6608" t="s">
        <v>17</v>
      </c>
      <c r="J6608" t="s">
        <v>18</v>
      </c>
      <c r="K6608" t="s">
        <v>19</v>
      </c>
      <c r="L6608" t="s">
        <v>20</v>
      </c>
      <c r="M6608" t="s">
        <v>44</v>
      </c>
      <c r="N6608" t="s">
        <v>22</v>
      </c>
    </row>
    <row r="6609" spans="1:14">
      <c r="A6609" s="4" t="str">
        <f t="shared" si="615"/>
        <v>EXP00229</v>
      </c>
      <c r="B6609" s="4" t="str">
        <f t="shared" si="613"/>
        <v>26240272</v>
      </c>
      <c r="C6609" s="4" t="str">
        <f t="shared" si="614"/>
        <v>GSE58708</v>
      </c>
      <c r="D6609" s="1" t="s">
        <v>331</v>
      </c>
      <c r="E6609" t="s">
        <v>25</v>
      </c>
      <c r="F6609" s="1">
        <v>2</v>
      </c>
      <c r="G6609" s="1" t="s">
        <v>28</v>
      </c>
      <c r="H6609" s="4" t="str">
        <f>HYPERLINK("https://www.ncbi.nlm.nih.gov/geo/query/acc.cgi?acc=GSM1417177","GSM1417177")</f>
        <v>GSM1417177</v>
      </c>
      <c r="I6609" t="s">
        <v>17</v>
      </c>
      <c r="J6609" t="s">
        <v>18</v>
      </c>
      <c r="K6609" t="s">
        <v>19</v>
      </c>
      <c r="L6609" t="s">
        <v>20</v>
      </c>
      <c r="M6609" t="s">
        <v>169</v>
      </c>
      <c r="N6609" t="s">
        <v>29</v>
      </c>
    </row>
    <row r="6610" spans="1:14">
      <c r="A6610" s="4" t="str">
        <f t="shared" si="615"/>
        <v>EXP00229</v>
      </c>
      <c r="B6610" s="4" t="str">
        <f t="shared" si="613"/>
        <v>26240272</v>
      </c>
      <c r="C6610" s="4" t="str">
        <f t="shared" si="614"/>
        <v>GSE58708</v>
      </c>
      <c r="D6610" s="1" t="s">
        <v>331</v>
      </c>
      <c r="E6610" t="s">
        <v>25</v>
      </c>
      <c r="F6610" s="1">
        <v>2</v>
      </c>
      <c r="G6610" s="1" t="s">
        <v>28</v>
      </c>
      <c r="H6610" s="4" t="str">
        <f>HYPERLINK("https://www.ncbi.nlm.nih.gov/geo/query/acc.cgi?acc=GSM1417178","GSM1417178")</f>
        <v>GSM1417178</v>
      </c>
      <c r="I6610" t="s">
        <v>17</v>
      </c>
      <c r="J6610" t="s">
        <v>18</v>
      </c>
      <c r="K6610" t="s">
        <v>19</v>
      </c>
      <c r="L6610" t="s">
        <v>20</v>
      </c>
      <c r="M6610" t="s">
        <v>169</v>
      </c>
      <c r="N6610" t="s">
        <v>29</v>
      </c>
    </row>
    <row r="6611" spans="1:14">
      <c r="A6611" s="4" t="str">
        <f t="shared" si="615"/>
        <v>EXP00229</v>
      </c>
      <c r="B6611" s="4" t="str">
        <f t="shared" si="613"/>
        <v>26240272</v>
      </c>
      <c r="C6611" s="4" t="str">
        <f t="shared" si="614"/>
        <v>GSE58708</v>
      </c>
      <c r="D6611" s="1" t="s">
        <v>331</v>
      </c>
      <c r="E6611" t="s">
        <v>25</v>
      </c>
      <c r="F6611" s="1">
        <v>2</v>
      </c>
      <c r="G6611" s="1" t="s">
        <v>28</v>
      </c>
      <c r="H6611" s="4" t="str">
        <f>HYPERLINK("https://www.ncbi.nlm.nih.gov/geo/query/acc.cgi?acc=GSM1417179","GSM1417179")</f>
        <v>GSM1417179</v>
      </c>
      <c r="I6611" t="s">
        <v>17</v>
      </c>
      <c r="J6611" t="s">
        <v>18</v>
      </c>
      <c r="K6611" t="s">
        <v>19</v>
      </c>
      <c r="L6611" t="s">
        <v>20</v>
      </c>
      <c r="M6611" t="s">
        <v>169</v>
      </c>
      <c r="N6611" t="s">
        <v>29</v>
      </c>
    </row>
    <row r="6612" spans="1:14">
      <c r="A6612" s="4" t="str">
        <f t="shared" ref="A6612:A6627" si="616">HYPERLINK("http://hcmdb.i-sanger.com/experiment/details/experiment_id/EXP00230","EXP00230")</f>
        <v>EXP00230</v>
      </c>
      <c r="B6612" s="4" t="str">
        <f t="shared" ref="B6612:B6643" si="617">HYPERLINK("https://www.ncbi.nlm.nih.gov/pubmed/25686826","25686826")</f>
        <v>25686826</v>
      </c>
      <c r="C6612" s="4" t="str">
        <f t="shared" ref="C6612:C6643" si="618">HYPERLINK("https://www.ncbi.nlm.nih.gov/geo/query/acc.cgi?acc=GSE59745","GSE59745")</f>
        <v>GSE59745</v>
      </c>
      <c r="D6612" s="1" t="s">
        <v>337</v>
      </c>
      <c r="E6612" t="s">
        <v>338</v>
      </c>
      <c r="F6612" s="1">
        <v>1</v>
      </c>
      <c r="G6612" s="1" t="s">
        <v>26</v>
      </c>
      <c r="H6612" s="4" t="str">
        <f>HYPERLINK("https://www.ncbi.nlm.nih.gov/geo/query/acc.cgi?acc=GSM1445980","GSM1445980")</f>
        <v>GSM1445980</v>
      </c>
      <c r="I6612" t="s">
        <v>161</v>
      </c>
      <c r="J6612" t="s">
        <v>18</v>
      </c>
      <c r="K6612" t="s">
        <v>19</v>
      </c>
      <c r="L6612" t="s">
        <v>162</v>
      </c>
      <c r="M6612" t="s">
        <v>24</v>
      </c>
      <c r="N6612" t="s">
        <v>22</v>
      </c>
    </row>
    <row r="6613" spans="1:14">
      <c r="A6613" s="4" t="str">
        <f t="shared" si="616"/>
        <v>EXP00230</v>
      </c>
      <c r="B6613" s="4" t="str">
        <f t="shared" si="617"/>
        <v>25686826</v>
      </c>
      <c r="C6613" s="4" t="str">
        <f t="shared" si="618"/>
        <v>GSE59745</v>
      </c>
      <c r="D6613" s="1" t="s">
        <v>337</v>
      </c>
      <c r="E6613" t="s">
        <v>338</v>
      </c>
      <c r="F6613" s="1">
        <v>1</v>
      </c>
      <c r="G6613" s="1" t="s">
        <v>26</v>
      </c>
      <c r="H6613" s="4" t="str">
        <f>HYPERLINK("https://www.ncbi.nlm.nih.gov/geo/query/acc.cgi?acc=GSM1445981","GSM1445981")</f>
        <v>GSM1445981</v>
      </c>
      <c r="I6613" t="s">
        <v>161</v>
      </c>
      <c r="J6613" t="s">
        <v>18</v>
      </c>
      <c r="K6613" t="s">
        <v>19</v>
      </c>
      <c r="L6613" t="s">
        <v>162</v>
      </c>
      <c r="M6613" t="s">
        <v>24</v>
      </c>
      <c r="N6613" t="s">
        <v>22</v>
      </c>
    </row>
    <row r="6614" spans="1:14">
      <c r="A6614" s="4" t="str">
        <f t="shared" si="616"/>
        <v>EXP00230</v>
      </c>
      <c r="B6614" s="4" t="str">
        <f t="shared" si="617"/>
        <v>25686826</v>
      </c>
      <c r="C6614" s="4" t="str">
        <f t="shared" si="618"/>
        <v>GSE59745</v>
      </c>
      <c r="D6614" s="1" t="s">
        <v>337</v>
      </c>
      <c r="E6614" t="s">
        <v>338</v>
      </c>
      <c r="F6614" s="1">
        <v>1</v>
      </c>
      <c r="G6614" s="1" t="s">
        <v>26</v>
      </c>
      <c r="H6614" s="4" t="str">
        <f>HYPERLINK("https://www.ncbi.nlm.nih.gov/geo/query/acc.cgi?acc=GSM1445982","GSM1445982")</f>
        <v>GSM1445982</v>
      </c>
      <c r="I6614" t="s">
        <v>161</v>
      </c>
      <c r="J6614" t="s">
        <v>18</v>
      </c>
      <c r="K6614" t="s">
        <v>19</v>
      </c>
      <c r="L6614" t="s">
        <v>162</v>
      </c>
      <c r="M6614" t="s">
        <v>24</v>
      </c>
      <c r="N6614" t="s">
        <v>22</v>
      </c>
    </row>
    <row r="6615" spans="1:14">
      <c r="A6615" s="4" t="str">
        <f t="shared" si="616"/>
        <v>EXP00230</v>
      </c>
      <c r="B6615" s="4" t="str">
        <f t="shared" si="617"/>
        <v>25686826</v>
      </c>
      <c r="C6615" s="4" t="str">
        <f t="shared" si="618"/>
        <v>GSE59745</v>
      </c>
      <c r="D6615" s="1" t="s">
        <v>337</v>
      </c>
      <c r="E6615" t="s">
        <v>338</v>
      </c>
      <c r="F6615" s="1">
        <v>1</v>
      </c>
      <c r="G6615" s="1" t="s">
        <v>26</v>
      </c>
      <c r="H6615" s="4" t="str">
        <f>HYPERLINK("https://www.ncbi.nlm.nih.gov/geo/query/acc.cgi?acc=GSM1445983","GSM1445983")</f>
        <v>GSM1445983</v>
      </c>
      <c r="I6615" t="s">
        <v>161</v>
      </c>
      <c r="J6615" t="s">
        <v>18</v>
      </c>
      <c r="K6615" t="s">
        <v>19</v>
      </c>
      <c r="L6615" t="s">
        <v>162</v>
      </c>
      <c r="M6615" t="s">
        <v>24</v>
      </c>
      <c r="N6615" t="s">
        <v>22</v>
      </c>
    </row>
    <row r="6616" spans="1:14">
      <c r="A6616" s="4" t="str">
        <f t="shared" si="616"/>
        <v>EXP00230</v>
      </c>
      <c r="B6616" s="4" t="str">
        <f t="shared" si="617"/>
        <v>25686826</v>
      </c>
      <c r="C6616" s="4" t="str">
        <f t="shared" si="618"/>
        <v>GSE59745</v>
      </c>
      <c r="D6616" s="1" t="s">
        <v>337</v>
      </c>
      <c r="E6616" t="s">
        <v>338</v>
      </c>
      <c r="F6616" s="1">
        <v>1</v>
      </c>
      <c r="G6616" s="1" t="s">
        <v>26</v>
      </c>
      <c r="H6616" s="4" t="str">
        <f>HYPERLINK("https://www.ncbi.nlm.nih.gov/geo/query/acc.cgi?acc=GSM1445984","GSM1445984")</f>
        <v>GSM1445984</v>
      </c>
      <c r="I6616" t="s">
        <v>161</v>
      </c>
      <c r="J6616" t="s">
        <v>18</v>
      </c>
      <c r="K6616" t="s">
        <v>19</v>
      </c>
      <c r="L6616" t="s">
        <v>162</v>
      </c>
      <c r="M6616" t="s">
        <v>24</v>
      </c>
      <c r="N6616" t="s">
        <v>22</v>
      </c>
    </row>
    <row r="6617" spans="1:14">
      <c r="A6617" s="4" t="str">
        <f t="shared" si="616"/>
        <v>EXP00230</v>
      </c>
      <c r="B6617" s="4" t="str">
        <f t="shared" si="617"/>
        <v>25686826</v>
      </c>
      <c r="C6617" s="4" t="str">
        <f t="shared" si="618"/>
        <v>GSE59745</v>
      </c>
      <c r="D6617" s="1" t="s">
        <v>337</v>
      </c>
      <c r="E6617" t="s">
        <v>338</v>
      </c>
      <c r="F6617" s="1">
        <v>1</v>
      </c>
      <c r="G6617" s="1" t="s">
        <v>26</v>
      </c>
      <c r="H6617" s="4" t="str">
        <f>HYPERLINK("https://www.ncbi.nlm.nih.gov/geo/query/acc.cgi?acc=GSM1445985","GSM1445985")</f>
        <v>GSM1445985</v>
      </c>
      <c r="I6617" t="s">
        <v>161</v>
      </c>
      <c r="J6617" t="s">
        <v>18</v>
      </c>
      <c r="K6617" t="s">
        <v>19</v>
      </c>
      <c r="L6617" t="s">
        <v>162</v>
      </c>
      <c r="M6617" t="s">
        <v>24</v>
      </c>
      <c r="N6617" t="s">
        <v>22</v>
      </c>
    </row>
    <row r="6618" spans="1:14">
      <c r="A6618" s="4" t="str">
        <f t="shared" si="616"/>
        <v>EXP00230</v>
      </c>
      <c r="B6618" s="4" t="str">
        <f t="shared" si="617"/>
        <v>25686826</v>
      </c>
      <c r="C6618" s="4" t="str">
        <f t="shared" si="618"/>
        <v>GSE59745</v>
      </c>
      <c r="D6618" s="1" t="s">
        <v>337</v>
      </c>
      <c r="E6618" t="s">
        <v>338</v>
      </c>
      <c r="F6618" s="1">
        <v>1</v>
      </c>
      <c r="G6618" s="1" t="s">
        <v>26</v>
      </c>
      <c r="H6618" s="4" t="str">
        <f>HYPERLINK("https://www.ncbi.nlm.nih.gov/geo/query/acc.cgi?acc=GSM1445986","GSM1445986")</f>
        <v>GSM1445986</v>
      </c>
      <c r="I6618" t="s">
        <v>161</v>
      </c>
      <c r="J6618" t="s">
        <v>18</v>
      </c>
      <c r="K6618" t="s">
        <v>19</v>
      </c>
      <c r="L6618" t="s">
        <v>162</v>
      </c>
      <c r="M6618" t="s">
        <v>24</v>
      </c>
      <c r="N6618" t="s">
        <v>22</v>
      </c>
    </row>
    <row r="6619" spans="1:14">
      <c r="A6619" s="4" t="str">
        <f t="shared" si="616"/>
        <v>EXP00230</v>
      </c>
      <c r="B6619" s="4" t="str">
        <f t="shared" si="617"/>
        <v>25686826</v>
      </c>
      <c r="C6619" s="4" t="str">
        <f t="shared" si="618"/>
        <v>GSE59745</v>
      </c>
      <c r="D6619" s="1" t="s">
        <v>337</v>
      </c>
      <c r="E6619" t="s">
        <v>338</v>
      </c>
      <c r="F6619" s="1">
        <v>1</v>
      </c>
      <c r="G6619" s="1" t="s">
        <v>26</v>
      </c>
      <c r="H6619" s="4" t="str">
        <f>HYPERLINK("https://www.ncbi.nlm.nih.gov/geo/query/acc.cgi?acc=GSM1445987","GSM1445987")</f>
        <v>GSM1445987</v>
      </c>
      <c r="I6619" t="s">
        <v>161</v>
      </c>
      <c r="J6619" t="s">
        <v>18</v>
      </c>
      <c r="K6619" t="s">
        <v>19</v>
      </c>
      <c r="L6619" t="s">
        <v>162</v>
      </c>
      <c r="M6619" t="s">
        <v>24</v>
      </c>
      <c r="N6619" t="s">
        <v>22</v>
      </c>
    </row>
    <row r="6620" spans="1:14">
      <c r="A6620" s="4" t="str">
        <f t="shared" si="616"/>
        <v>EXP00230</v>
      </c>
      <c r="B6620" s="4" t="str">
        <f t="shared" si="617"/>
        <v>25686826</v>
      </c>
      <c r="C6620" s="4" t="str">
        <f t="shared" si="618"/>
        <v>GSE59745</v>
      </c>
      <c r="D6620" s="1" t="s">
        <v>337</v>
      </c>
      <c r="E6620" t="s">
        <v>338</v>
      </c>
      <c r="F6620" s="1">
        <v>1</v>
      </c>
      <c r="G6620" s="1" t="s">
        <v>26</v>
      </c>
      <c r="H6620" s="4" t="str">
        <f>HYPERLINK("https://www.ncbi.nlm.nih.gov/geo/query/acc.cgi?acc=GSM1445988","GSM1445988")</f>
        <v>GSM1445988</v>
      </c>
      <c r="I6620" t="s">
        <v>161</v>
      </c>
      <c r="J6620" t="s">
        <v>18</v>
      </c>
      <c r="K6620" t="s">
        <v>19</v>
      </c>
      <c r="L6620" t="s">
        <v>162</v>
      </c>
      <c r="M6620" t="s">
        <v>24</v>
      </c>
      <c r="N6620" t="s">
        <v>22</v>
      </c>
    </row>
    <row r="6621" spans="1:14">
      <c r="A6621" s="4" t="str">
        <f t="shared" si="616"/>
        <v>EXP00230</v>
      </c>
      <c r="B6621" s="4" t="str">
        <f t="shared" si="617"/>
        <v>25686826</v>
      </c>
      <c r="C6621" s="4" t="str">
        <f t="shared" si="618"/>
        <v>GSE59745</v>
      </c>
      <c r="D6621" s="1" t="s">
        <v>337</v>
      </c>
      <c r="E6621" t="s">
        <v>338</v>
      </c>
      <c r="F6621" s="1">
        <v>1</v>
      </c>
      <c r="G6621" s="1" t="s">
        <v>26</v>
      </c>
      <c r="H6621" s="4" t="str">
        <f>HYPERLINK("https://www.ncbi.nlm.nih.gov/geo/query/acc.cgi?acc=GSM1445989","GSM1445989")</f>
        <v>GSM1445989</v>
      </c>
      <c r="I6621" t="s">
        <v>161</v>
      </c>
      <c r="J6621" t="s">
        <v>18</v>
      </c>
      <c r="K6621" t="s">
        <v>19</v>
      </c>
      <c r="L6621" t="s">
        <v>162</v>
      </c>
      <c r="M6621" t="s">
        <v>24</v>
      </c>
      <c r="N6621" t="s">
        <v>22</v>
      </c>
    </row>
    <row r="6622" spans="1:14">
      <c r="A6622" s="4" t="str">
        <f t="shared" si="616"/>
        <v>EXP00230</v>
      </c>
      <c r="B6622" s="4" t="str">
        <f t="shared" si="617"/>
        <v>25686826</v>
      </c>
      <c r="C6622" s="4" t="str">
        <f t="shared" si="618"/>
        <v>GSE59745</v>
      </c>
      <c r="D6622" s="1" t="s">
        <v>337</v>
      </c>
      <c r="E6622" t="s">
        <v>338</v>
      </c>
      <c r="F6622" s="1">
        <v>1</v>
      </c>
      <c r="G6622" s="1" t="s">
        <v>26</v>
      </c>
      <c r="H6622" s="4" t="str">
        <f>HYPERLINK("https://www.ncbi.nlm.nih.gov/geo/query/acc.cgi?acc=GSM1445990","GSM1445990")</f>
        <v>GSM1445990</v>
      </c>
      <c r="I6622" t="s">
        <v>161</v>
      </c>
      <c r="J6622" t="s">
        <v>18</v>
      </c>
      <c r="K6622" t="s">
        <v>19</v>
      </c>
      <c r="L6622" t="s">
        <v>162</v>
      </c>
      <c r="M6622" t="s">
        <v>24</v>
      </c>
      <c r="N6622" t="s">
        <v>22</v>
      </c>
    </row>
    <row r="6623" spans="1:14">
      <c r="A6623" s="4" t="str">
        <f t="shared" si="616"/>
        <v>EXP00230</v>
      </c>
      <c r="B6623" s="4" t="str">
        <f t="shared" si="617"/>
        <v>25686826</v>
      </c>
      <c r="C6623" s="4" t="str">
        <f t="shared" si="618"/>
        <v>GSE59745</v>
      </c>
      <c r="D6623" s="1" t="s">
        <v>337</v>
      </c>
      <c r="E6623" t="s">
        <v>338</v>
      </c>
      <c r="F6623" s="1">
        <v>1</v>
      </c>
      <c r="G6623" s="1" t="s">
        <v>26</v>
      </c>
      <c r="H6623" s="4" t="str">
        <f>HYPERLINK("https://www.ncbi.nlm.nih.gov/geo/query/acc.cgi?acc=GSM1445991","GSM1445991")</f>
        <v>GSM1445991</v>
      </c>
      <c r="I6623" t="s">
        <v>161</v>
      </c>
      <c r="J6623" t="s">
        <v>18</v>
      </c>
      <c r="K6623" t="s">
        <v>19</v>
      </c>
      <c r="L6623" t="s">
        <v>162</v>
      </c>
      <c r="M6623" t="s">
        <v>24</v>
      </c>
      <c r="N6623" t="s">
        <v>22</v>
      </c>
    </row>
    <row r="6624" spans="1:14">
      <c r="A6624" s="4" t="str">
        <f t="shared" si="616"/>
        <v>EXP00230</v>
      </c>
      <c r="B6624" s="4" t="str">
        <f t="shared" si="617"/>
        <v>25686826</v>
      </c>
      <c r="C6624" s="4" t="str">
        <f t="shared" si="618"/>
        <v>GSE59745</v>
      </c>
      <c r="D6624" s="1" t="s">
        <v>337</v>
      </c>
      <c r="E6624" t="s">
        <v>338</v>
      </c>
      <c r="F6624" s="1">
        <v>2</v>
      </c>
      <c r="G6624" s="1" t="s">
        <v>28</v>
      </c>
      <c r="H6624" s="4" t="str">
        <f>HYPERLINK("https://www.ncbi.nlm.nih.gov/geo/query/acc.cgi?acc=GSM1445966","GSM1445966")</f>
        <v>GSM1445966</v>
      </c>
      <c r="I6624" t="s">
        <v>161</v>
      </c>
      <c r="J6624" t="s">
        <v>18</v>
      </c>
      <c r="K6624" t="s">
        <v>19</v>
      </c>
      <c r="L6624" t="s">
        <v>162</v>
      </c>
      <c r="M6624" t="s">
        <v>24</v>
      </c>
      <c r="N6624" t="s">
        <v>29</v>
      </c>
    </row>
    <row r="6625" spans="1:14">
      <c r="A6625" s="4" t="str">
        <f t="shared" si="616"/>
        <v>EXP00230</v>
      </c>
      <c r="B6625" s="4" t="str">
        <f t="shared" si="617"/>
        <v>25686826</v>
      </c>
      <c r="C6625" s="4" t="str">
        <f t="shared" si="618"/>
        <v>GSE59745</v>
      </c>
      <c r="D6625" s="1" t="s">
        <v>337</v>
      </c>
      <c r="E6625" t="s">
        <v>338</v>
      </c>
      <c r="F6625" s="1">
        <v>2</v>
      </c>
      <c r="G6625" s="1" t="s">
        <v>28</v>
      </c>
      <c r="H6625" s="4" t="str">
        <f>HYPERLINK("https://www.ncbi.nlm.nih.gov/geo/query/acc.cgi?acc=GSM1445968","GSM1445968")</f>
        <v>GSM1445968</v>
      </c>
      <c r="I6625" t="s">
        <v>161</v>
      </c>
      <c r="J6625" t="s">
        <v>18</v>
      </c>
      <c r="K6625" t="s">
        <v>19</v>
      </c>
      <c r="L6625" t="s">
        <v>162</v>
      </c>
      <c r="M6625" t="s">
        <v>24</v>
      </c>
      <c r="N6625" t="s">
        <v>29</v>
      </c>
    </row>
    <row r="6626" spans="1:14">
      <c r="A6626" s="4" t="str">
        <f t="shared" si="616"/>
        <v>EXP00230</v>
      </c>
      <c r="B6626" s="4" t="str">
        <f t="shared" si="617"/>
        <v>25686826</v>
      </c>
      <c r="C6626" s="4" t="str">
        <f t="shared" si="618"/>
        <v>GSE59745</v>
      </c>
      <c r="D6626" s="1" t="s">
        <v>337</v>
      </c>
      <c r="E6626" t="s">
        <v>338</v>
      </c>
      <c r="F6626" s="1">
        <v>2</v>
      </c>
      <c r="G6626" s="1" t="s">
        <v>28</v>
      </c>
      <c r="H6626" s="4" t="str">
        <f>HYPERLINK("https://www.ncbi.nlm.nih.gov/geo/query/acc.cgi?acc=GSM1445970","GSM1445970")</f>
        <v>GSM1445970</v>
      </c>
      <c r="I6626" t="s">
        <v>161</v>
      </c>
      <c r="J6626" t="s">
        <v>18</v>
      </c>
      <c r="K6626" t="s">
        <v>19</v>
      </c>
      <c r="L6626" t="s">
        <v>162</v>
      </c>
      <c r="M6626" t="s">
        <v>24</v>
      </c>
      <c r="N6626" t="s">
        <v>29</v>
      </c>
    </row>
    <row r="6627" spans="1:14">
      <c r="A6627" s="4" t="str">
        <f t="shared" si="616"/>
        <v>EXP00230</v>
      </c>
      <c r="B6627" s="4" t="str">
        <f t="shared" si="617"/>
        <v>25686826</v>
      </c>
      <c r="C6627" s="4" t="str">
        <f t="shared" si="618"/>
        <v>GSE59745</v>
      </c>
      <c r="D6627" s="1" t="s">
        <v>337</v>
      </c>
      <c r="E6627" t="s">
        <v>338</v>
      </c>
      <c r="F6627" s="1">
        <v>2</v>
      </c>
      <c r="G6627" s="1" t="s">
        <v>28</v>
      </c>
      <c r="H6627" s="4" t="str">
        <f>HYPERLINK("https://www.ncbi.nlm.nih.gov/geo/query/acc.cgi?acc=GSM1445972","GSM1445972")</f>
        <v>GSM1445972</v>
      </c>
      <c r="I6627" t="s">
        <v>161</v>
      </c>
      <c r="J6627" t="s">
        <v>18</v>
      </c>
      <c r="K6627" t="s">
        <v>19</v>
      </c>
      <c r="L6627" t="s">
        <v>162</v>
      </c>
      <c r="M6627" t="s">
        <v>24</v>
      </c>
      <c r="N6627" t="s">
        <v>29</v>
      </c>
    </row>
    <row r="6628" spans="1:14">
      <c r="A6628" s="4" t="str">
        <f t="shared" ref="A6628:A6645" si="619">HYPERLINK("http://hcmdb.i-sanger.com/experiment/details/experiment_id/EXP00231","EXP00231")</f>
        <v>EXP00231</v>
      </c>
      <c r="B6628" s="4" t="str">
        <f t="shared" si="617"/>
        <v>25686826</v>
      </c>
      <c r="C6628" s="4" t="str">
        <f t="shared" si="618"/>
        <v>GSE59745</v>
      </c>
      <c r="D6628" s="1" t="s">
        <v>337</v>
      </c>
      <c r="E6628" t="s">
        <v>339</v>
      </c>
      <c r="F6628" s="1">
        <v>1</v>
      </c>
      <c r="G6628" s="1" t="s">
        <v>31</v>
      </c>
      <c r="H6628" s="4" t="str">
        <f>HYPERLINK("https://www.ncbi.nlm.nih.gov/geo/query/acc.cgi?acc=GSM1445966","GSM1445966")</f>
        <v>GSM1445966</v>
      </c>
      <c r="I6628" t="s">
        <v>161</v>
      </c>
      <c r="J6628" t="s">
        <v>18</v>
      </c>
      <c r="K6628" t="s">
        <v>19</v>
      </c>
      <c r="L6628" t="s">
        <v>162</v>
      </c>
      <c r="M6628" t="s">
        <v>24</v>
      </c>
      <c r="N6628" t="s">
        <v>29</v>
      </c>
    </row>
    <row r="6629" spans="1:14">
      <c r="A6629" s="4" t="str">
        <f t="shared" si="619"/>
        <v>EXP00231</v>
      </c>
      <c r="B6629" s="4" t="str">
        <f t="shared" si="617"/>
        <v>25686826</v>
      </c>
      <c r="C6629" s="4" t="str">
        <f t="shared" si="618"/>
        <v>GSE59745</v>
      </c>
      <c r="D6629" s="1" t="s">
        <v>337</v>
      </c>
      <c r="E6629" t="s">
        <v>339</v>
      </c>
      <c r="F6629" s="1">
        <v>1</v>
      </c>
      <c r="G6629" s="1" t="s">
        <v>31</v>
      </c>
      <c r="H6629" s="4" t="str">
        <f>HYPERLINK("https://www.ncbi.nlm.nih.gov/geo/query/acc.cgi?acc=GSM1445968","GSM1445968")</f>
        <v>GSM1445968</v>
      </c>
      <c r="I6629" t="s">
        <v>161</v>
      </c>
      <c r="J6629" t="s">
        <v>18</v>
      </c>
      <c r="K6629" t="s">
        <v>19</v>
      </c>
      <c r="L6629" t="s">
        <v>162</v>
      </c>
      <c r="M6629" t="s">
        <v>24</v>
      </c>
      <c r="N6629" t="s">
        <v>29</v>
      </c>
    </row>
    <row r="6630" spans="1:14">
      <c r="A6630" s="4" t="str">
        <f t="shared" si="619"/>
        <v>EXP00231</v>
      </c>
      <c r="B6630" s="4" t="str">
        <f t="shared" si="617"/>
        <v>25686826</v>
      </c>
      <c r="C6630" s="4" t="str">
        <f t="shared" si="618"/>
        <v>GSE59745</v>
      </c>
      <c r="D6630" s="1" t="s">
        <v>337</v>
      </c>
      <c r="E6630" t="s">
        <v>339</v>
      </c>
      <c r="F6630" s="1">
        <v>1</v>
      </c>
      <c r="G6630" s="1" t="s">
        <v>31</v>
      </c>
      <c r="H6630" s="4" t="str">
        <f>HYPERLINK("https://www.ncbi.nlm.nih.gov/geo/query/acc.cgi?acc=GSM1445970","GSM1445970")</f>
        <v>GSM1445970</v>
      </c>
      <c r="I6630" t="s">
        <v>161</v>
      </c>
      <c r="J6630" t="s">
        <v>18</v>
      </c>
      <c r="K6630" t="s">
        <v>19</v>
      </c>
      <c r="L6630" t="s">
        <v>162</v>
      </c>
      <c r="M6630" t="s">
        <v>24</v>
      </c>
      <c r="N6630" t="s">
        <v>29</v>
      </c>
    </row>
    <row r="6631" spans="1:14">
      <c r="A6631" s="4" t="str">
        <f t="shared" si="619"/>
        <v>EXP00231</v>
      </c>
      <c r="B6631" s="4" t="str">
        <f t="shared" si="617"/>
        <v>25686826</v>
      </c>
      <c r="C6631" s="4" t="str">
        <f t="shared" si="618"/>
        <v>GSE59745</v>
      </c>
      <c r="D6631" s="1" t="s">
        <v>337</v>
      </c>
      <c r="E6631" t="s">
        <v>339</v>
      </c>
      <c r="F6631" s="1">
        <v>1</v>
      </c>
      <c r="G6631" s="1" t="s">
        <v>31</v>
      </c>
      <c r="H6631" s="4" t="str">
        <f>HYPERLINK("https://www.ncbi.nlm.nih.gov/geo/query/acc.cgi?acc=GSM1445972","GSM1445972")</f>
        <v>GSM1445972</v>
      </c>
      <c r="I6631" t="s">
        <v>161</v>
      </c>
      <c r="J6631" t="s">
        <v>18</v>
      </c>
      <c r="K6631" t="s">
        <v>19</v>
      </c>
      <c r="L6631" t="s">
        <v>162</v>
      </c>
      <c r="M6631" t="s">
        <v>24</v>
      </c>
      <c r="N6631" t="s">
        <v>29</v>
      </c>
    </row>
    <row r="6632" spans="1:14">
      <c r="A6632" s="4" t="str">
        <f t="shared" si="619"/>
        <v>EXP00231</v>
      </c>
      <c r="B6632" s="4" t="str">
        <f t="shared" si="617"/>
        <v>25686826</v>
      </c>
      <c r="C6632" s="4" t="str">
        <f t="shared" si="618"/>
        <v>GSE59745</v>
      </c>
      <c r="D6632" s="1" t="s">
        <v>337</v>
      </c>
      <c r="E6632" t="s">
        <v>339</v>
      </c>
      <c r="F6632" s="1">
        <v>2</v>
      </c>
      <c r="G6632" s="1" t="s">
        <v>32</v>
      </c>
      <c r="H6632" s="4" t="str">
        <f>HYPERLINK("https://www.ncbi.nlm.nih.gov/geo/query/acc.cgi?acc=GSM1445962","GSM1445962")</f>
        <v>GSM1445962</v>
      </c>
      <c r="I6632" t="s">
        <v>161</v>
      </c>
      <c r="J6632" t="s">
        <v>18</v>
      </c>
      <c r="K6632" t="s">
        <v>33</v>
      </c>
      <c r="L6632" t="s">
        <v>162</v>
      </c>
      <c r="N6632" t="s">
        <v>29</v>
      </c>
    </row>
    <row r="6633" spans="1:14">
      <c r="A6633" s="4" t="str">
        <f t="shared" si="619"/>
        <v>EXP00231</v>
      </c>
      <c r="B6633" s="4" t="str">
        <f t="shared" si="617"/>
        <v>25686826</v>
      </c>
      <c r="C6633" s="4" t="str">
        <f t="shared" si="618"/>
        <v>GSE59745</v>
      </c>
      <c r="D6633" s="1" t="s">
        <v>337</v>
      </c>
      <c r="E6633" t="s">
        <v>339</v>
      </c>
      <c r="F6633" s="1">
        <v>2</v>
      </c>
      <c r="G6633" s="1" t="s">
        <v>32</v>
      </c>
      <c r="H6633" s="4" t="str">
        <f>HYPERLINK("https://www.ncbi.nlm.nih.gov/geo/query/acc.cgi?acc=GSM1445963","GSM1445963")</f>
        <v>GSM1445963</v>
      </c>
      <c r="I6633" t="s">
        <v>161</v>
      </c>
      <c r="J6633" t="s">
        <v>18</v>
      </c>
      <c r="K6633" t="s">
        <v>33</v>
      </c>
      <c r="L6633" t="s">
        <v>162</v>
      </c>
      <c r="N6633" t="s">
        <v>29</v>
      </c>
    </row>
    <row r="6634" spans="1:14">
      <c r="A6634" s="4" t="str">
        <f t="shared" si="619"/>
        <v>EXP00231</v>
      </c>
      <c r="B6634" s="4" t="str">
        <f t="shared" si="617"/>
        <v>25686826</v>
      </c>
      <c r="C6634" s="4" t="str">
        <f t="shared" si="618"/>
        <v>GSE59745</v>
      </c>
      <c r="D6634" s="1" t="s">
        <v>337</v>
      </c>
      <c r="E6634" t="s">
        <v>339</v>
      </c>
      <c r="F6634" s="1">
        <v>2</v>
      </c>
      <c r="G6634" s="1" t="s">
        <v>32</v>
      </c>
      <c r="H6634" s="4" t="str">
        <f>HYPERLINK("https://www.ncbi.nlm.nih.gov/geo/query/acc.cgi?acc=GSM1445964","GSM1445964")</f>
        <v>GSM1445964</v>
      </c>
      <c r="I6634" t="s">
        <v>161</v>
      </c>
      <c r="J6634" t="s">
        <v>18</v>
      </c>
      <c r="K6634" t="s">
        <v>33</v>
      </c>
      <c r="L6634" t="s">
        <v>162</v>
      </c>
      <c r="N6634" t="s">
        <v>29</v>
      </c>
    </row>
    <row r="6635" spans="1:14">
      <c r="A6635" s="4" t="str">
        <f t="shared" si="619"/>
        <v>EXP00231</v>
      </c>
      <c r="B6635" s="4" t="str">
        <f t="shared" si="617"/>
        <v>25686826</v>
      </c>
      <c r="C6635" s="4" t="str">
        <f t="shared" si="618"/>
        <v>GSE59745</v>
      </c>
      <c r="D6635" s="1" t="s">
        <v>337</v>
      </c>
      <c r="E6635" t="s">
        <v>339</v>
      </c>
      <c r="F6635" s="1">
        <v>2</v>
      </c>
      <c r="G6635" s="1" t="s">
        <v>32</v>
      </c>
      <c r="H6635" s="4" t="str">
        <f>HYPERLINK("https://www.ncbi.nlm.nih.gov/geo/query/acc.cgi?acc=GSM1445965","GSM1445965")</f>
        <v>GSM1445965</v>
      </c>
      <c r="I6635" t="s">
        <v>161</v>
      </c>
      <c r="J6635" t="s">
        <v>18</v>
      </c>
      <c r="K6635" t="s">
        <v>33</v>
      </c>
      <c r="L6635" t="s">
        <v>162</v>
      </c>
      <c r="N6635" t="s">
        <v>29</v>
      </c>
    </row>
    <row r="6636" spans="1:14">
      <c r="A6636" s="4" t="str">
        <f t="shared" si="619"/>
        <v>EXP00231</v>
      </c>
      <c r="B6636" s="4" t="str">
        <f t="shared" si="617"/>
        <v>25686826</v>
      </c>
      <c r="C6636" s="4" t="str">
        <f t="shared" si="618"/>
        <v>GSE59745</v>
      </c>
      <c r="D6636" s="1" t="s">
        <v>337</v>
      </c>
      <c r="E6636" t="s">
        <v>339</v>
      </c>
      <c r="F6636" s="1">
        <v>2</v>
      </c>
      <c r="G6636" s="1" t="s">
        <v>32</v>
      </c>
      <c r="H6636" s="4" t="str">
        <f>HYPERLINK("https://www.ncbi.nlm.nih.gov/geo/query/acc.cgi?acc=GSM1445967","GSM1445967")</f>
        <v>GSM1445967</v>
      </c>
      <c r="I6636" t="s">
        <v>161</v>
      </c>
      <c r="J6636" t="s">
        <v>18</v>
      </c>
      <c r="K6636" t="s">
        <v>33</v>
      </c>
      <c r="L6636" t="s">
        <v>162</v>
      </c>
      <c r="N6636" t="s">
        <v>29</v>
      </c>
    </row>
    <row r="6637" spans="1:14">
      <c r="A6637" s="4" t="str">
        <f t="shared" si="619"/>
        <v>EXP00231</v>
      </c>
      <c r="B6637" s="4" t="str">
        <f t="shared" si="617"/>
        <v>25686826</v>
      </c>
      <c r="C6637" s="4" t="str">
        <f t="shared" si="618"/>
        <v>GSE59745</v>
      </c>
      <c r="D6637" s="1" t="s">
        <v>337</v>
      </c>
      <c r="E6637" t="s">
        <v>339</v>
      </c>
      <c r="F6637" s="1">
        <v>2</v>
      </c>
      <c r="G6637" s="1" t="s">
        <v>32</v>
      </c>
      <c r="H6637" s="4" t="str">
        <f>HYPERLINK("https://www.ncbi.nlm.nih.gov/geo/query/acc.cgi?acc=GSM1445969","GSM1445969")</f>
        <v>GSM1445969</v>
      </c>
      <c r="I6637" t="s">
        <v>161</v>
      </c>
      <c r="J6637" t="s">
        <v>18</v>
      </c>
      <c r="K6637" t="s">
        <v>33</v>
      </c>
      <c r="L6637" t="s">
        <v>162</v>
      </c>
      <c r="N6637" t="s">
        <v>29</v>
      </c>
    </row>
    <row r="6638" spans="1:14">
      <c r="A6638" s="4" t="str">
        <f t="shared" si="619"/>
        <v>EXP00231</v>
      </c>
      <c r="B6638" s="4" t="str">
        <f t="shared" si="617"/>
        <v>25686826</v>
      </c>
      <c r="C6638" s="4" t="str">
        <f t="shared" si="618"/>
        <v>GSE59745</v>
      </c>
      <c r="D6638" s="1" t="s">
        <v>337</v>
      </c>
      <c r="E6638" t="s">
        <v>339</v>
      </c>
      <c r="F6638" s="1">
        <v>2</v>
      </c>
      <c r="G6638" s="1" t="s">
        <v>32</v>
      </c>
      <c r="H6638" s="4" t="str">
        <f>HYPERLINK("https://www.ncbi.nlm.nih.gov/geo/query/acc.cgi?acc=GSM1445971","GSM1445971")</f>
        <v>GSM1445971</v>
      </c>
      <c r="I6638" t="s">
        <v>161</v>
      </c>
      <c r="J6638" t="s">
        <v>18</v>
      </c>
      <c r="K6638" t="s">
        <v>33</v>
      </c>
      <c r="L6638" t="s">
        <v>162</v>
      </c>
      <c r="N6638" t="s">
        <v>29</v>
      </c>
    </row>
    <row r="6639" spans="1:14">
      <c r="A6639" s="4" t="str">
        <f t="shared" si="619"/>
        <v>EXP00231</v>
      </c>
      <c r="B6639" s="4" t="str">
        <f t="shared" si="617"/>
        <v>25686826</v>
      </c>
      <c r="C6639" s="4" t="str">
        <f t="shared" si="618"/>
        <v>GSE59745</v>
      </c>
      <c r="D6639" s="1" t="s">
        <v>337</v>
      </c>
      <c r="E6639" t="s">
        <v>339</v>
      </c>
      <c r="F6639" s="1">
        <v>2</v>
      </c>
      <c r="G6639" s="1" t="s">
        <v>32</v>
      </c>
      <c r="H6639" s="4" t="str">
        <f>HYPERLINK("https://www.ncbi.nlm.nih.gov/geo/query/acc.cgi?acc=GSM1445973","GSM1445973")</f>
        <v>GSM1445973</v>
      </c>
      <c r="I6639" t="s">
        <v>161</v>
      </c>
      <c r="J6639" t="s">
        <v>18</v>
      </c>
      <c r="K6639" t="s">
        <v>33</v>
      </c>
      <c r="L6639" t="s">
        <v>162</v>
      </c>
      <c r="N6639" t="s">
        <v>29</v>
      </c>
    </row>
    <row r="6640" spans="1:14">
      <c r="A6640" s="4" t="str">
        <f t="shared" si="619"/>
        <v>EXP00231</v>
      </c>
      <c r="B6640" s="4" t="str">
        <f t="shared" si="617"/>
        <v>25686826</v>
      </c>
      <c r="C6640" s="4" t="str">
        <f t="shared" si="618"/>
        <v>GSE59745</v>
      </c>
      <c r="D6640" s="1" t="s">
        <v>337</v>
      </c>
      <c r="E6640" t="s">
        <v>339</v>
      </c>
      <c r="F6640" s="1">
        <v>2</v>
      </c>
      <c r="G6640" s="1" t="s">
        <v>32</v>
      </c>
      <c r="H6640" s="4" t="str">
        <f>HYPERLINK("https://www.ncbi.nlm.nih.gov/geo/query/acc.cgi?acc=GSM1445974","GSM1445974")</f>
        <v>GSM1445974</v>
      </c>
      <c r="I6640" t="s">
        <v>161</v>
      </c>
      <c r="J6640" t="s">
        <v>18</v>
      </c>
      <c r="K6640" t="s">
        <v>33</v>
      </c>
      <c r="L6640" t="s">
        <v>162</v>
      </c>
      <c r="N6640" t="s">
        <v>29</v>
      </c>
    </row>
    <row r="6641" spans="1:14">
      <c r="A6641" s="4" t="str">
        <f t="shared" si="619"/>
        <v>EXP00231</v>
      </c>
      <c r="B6641" s="4" t="str">
        <f t="shared" si="617"/>
        <v>25686826</v>
      </c>
      <c r="C6641" s="4" t="str">
        <f t="shared" si="618"/>
        <v>GSE59745</v>
      </c>
      <c r="D6641" s="1" t="s">
        <v>337</v>
      </c>
      <c r="E6641" t="s">
        <v>339</v>
      </c>
      <c r="F6641" s="1">
        <v>2</v>
      </c>
      <c r="G6641" s="1" t="s">
        <v>32</v>
      </c>
      <c r="H6641" s="4" t="str">
        <f>HYPERLINK("https://www.ncbi.nlm.nih.gov/geo/query/acc.cgi?acc=GSM1445975","GSM1445975")</f>
        <v>GSM1445975</v>
      </c>
      <c r="I6641" t="s">
        <v>161</v>
      </c>
      <c r="J6641" t="s">
        <v>18</v>
      </c>
      <c r="K6641" t="s">
        <v>33</v>
      </c>
      <c r="L6641" t="s">
        <v>162</v>
      </c>
      <c r="N6641" t="s">
        <v>29</v>
      </c>
    </row>
    <row r="6642" spans="1:14">
      <c r="A6642" s="4" t="str">
        <f t="shared" si="619"/>
        <v>EXP00231</v>
      </c>
      <c r="B6642" s="4" t="str">
        <f t="shared" si="617"/>
        <v>25686826</v>
      </c>
      <c r="C6642" s="4" t="str">
        <f t="shared" si="618"/>
        <v>GSE59745</v>
      </c>
      <c r="D6642" s="1" t="s">
        <v>337</v>
      </c>
      <c r="E6642" t="s">
        <v>339</v>
      </c>
      <c r="F6642" s="1">
        <v>2</v>
      </c>
      <c r="G6642" s="1" t="s">
        <v>32</v>
      </c>
      <c r="H6642" s="4" t="str">
        <f>HYPERLINK("https://www.ncbi.nlm.nih.gov/geo/query/acc.cgi?acc=GSM1445976","GSM1445976")</f>
        <v>GSM1445976</v>
      </c>
      <c r="I6642" t="s">
        <v>161</v>
      </c>
      <c r="J6642" t="s">
        <v>18</v>
      </c>
      <c r="K6642" t="s">
        <v>33</v>
      </c>
      <c r="L6642" t="s">
        <v>162</v>
      </c>
      <c r="N6642" t="s">
        <v>29</v>
      </c>
    </row>
    <row r="6643" spans="1:14">
      <c r="A6643" s="4" t="str">
        <f t="shared" si="619"/>
        <v>EXP00231</v>
      </c>
      <c r="B6643" s="4" t="str">
        <f t="shared" si="617"/>
        <v>25686826</v>
      </c>
      <c r="C6643" s="4" t="str">
        <f t="shared" si="618"/>
        <v>GSE59745</v>
      </c>
      <c r="D6643" s="1" t="s">
        <v>337</v>
      </c>
      <c r="E6643" t="s">
        <v>339</v>
      </c>
      <c r="F6643" s="1">
        <v>2</v>
      </c>
      <c r="G6643" s="1" t="s">
        <v>32</v>
      </c>
      <c r="H6643" s="4" t="str">
        <f>HYPERLINK("https://www.ncbi.nlm.nih.gov/geo/query/acc.cgi?acc=GSM1445977","GSM1445977")</f>
        <v>GSM1445977</v>
      </c>
      <c r="I6643" t="s">
        <v>161</v>
      </c>
      <c r="J6643" t="s">
        <v>18</v>
      </c>
      <c r="K6643" t="s">
        <v>33</v>
      </c>
      <c r="L6643" t="s">
        <v>162</v>
      </c>
      <c r="N6643" t="s">
        <v>29</v>
      </c>
    </row>
    <row r="6644" spans="1:14">
      <c r="A6644" s="4" t="str">
        <f t="shared" si="619"/>
        <v>EXP00231</v>
      </c>
      <c r="B6644" s="4" t="str">
        <f t="shared" ref="B6644:B6670" si="620">HYPERLINK("https://www.ncbi.nlm.nih.gov/pubmed/25686826","25686826")</f>
        <v>25686826</v>
      </c>
      <c r="C6644" s="4" t="str">
        <f t="shared" ref="C6644:C6670" si="621">HYPERLINK("https://www.ncbi.nlm.nih.gov/geo/query/acc.cgi?acc=GSE59745","GSE59745")</f>
        <v>GSE59745</v>
      </c>
      <c r="D6644" s="1" t="s">
        <v>337</v>
      </c>
      <c r="E6644" t="s">
        <v>339</v>
      </c>
      <c r="F6644" s="1">
        <v>2</v>
      </c>
      <c r="G6644" s="1" t="s">
        <v>32</v>
      </c>
      <c r="H6644" s="4" t="str">
        <f>HYPERLINK("https://www.ncbi.nlm.nih.gov/geo/query/acc.cgi?acc=GSM1445978","GSM1445978")</f>
        <v>GSM1445978</v>
      </c>
      <c r="I6644" t="s">
        <v>161</v>
      </c>
      <c r="J6644" t="s">
        <v>18</v>
      </c>
      <c r="K6644" t="s">
        <v>33</v>
      </c>
      <c r="L6644" t="s">
        <v>162</v>
      </c>
      <c r="N6644" t="s">
        <v>29</v>
      </c>
    </row>
    <row r="6645" spans="1:14">
      <c r="A6645" s="4" t="str">
        <f t="shared" si="619"/>
        <v>EXP00231</v>
      </c>
      <c r="B6645" s="4" t="str">
        <f t="shared" si="620"/>
        <v>25686826</v>
      </c>
      <c r="C6645" s="4" t="str">
        <f t="shared" si="621"/>
        <v>GSE59745</v>
      </c>
      <c r="D6645" s="1" t="s">
        <v>337</v>
      </c>
      <c r="E6645" t="s">
        <v>339</v>
      </c>
      <c r="F6645" s="1">
        <v>2</v>
      </c>
      <c r="G6645" s="1" t="s">
        <v>32</v>
      </c>
      <c r="H6645" s="4" t="str">
        <f>HYPERLINK("https://www.ncbi.nlm.nih.gov/geo/query/acc.cgi?acc=GSM1445979","GSM1445979")</f>
        <v>GSM1445979</v>
      </c>
      <c r="I6645" t="s">
        <v>161</v>
      </c>
      <c r="J6645" t="s">
        <v>18</v>
      </c>
      <c r="K6645" t="s">
        <v>33</v>
      </c>
      <c r="L6645" t="s">
        <v>162</v>
      </c>
      <c r="N6645" t="s">
        <v>29</v>
      </c>
    </row>
    <row r="6646" spans="1:14">
      <c r="A6646" s="4" t="str">
        <f t="shared" ref="A6646:A6670" si="622">HYPERLINK("http://hcmdb.i-sanger.com/experiment/details/experiment_id/EXP00232","EXP00232")</f>
        <v>EXP00232</v>
      </c>
      <c r="B6646" s="4" t="str">
        <f t="shared" si="620"/>
        <v>25686826</v>
      </c>
      <c r="C6646" s="4" t="str">
        <f t="shared" si="621"/>
        <v>GSE59745</v>
      </c>
      <c r="D6646" s="1" t="s">
        <v>337</v>
      </c>
      <c r="E6646" t="s">
        <v>340</v>
      </c>
      <c r="F6646" s="1">
        <v>1</v>
      </c>
      <c r="G6646" s="1" t="s">
        <v>36</v>
      </c>
      <c r="H6646" s="4" t="str">
        <f>HYPERLINK("https://www.ncbi.nlm.nih.gov/geo/query/acc.cgi?acc=GSM1445992","GSM1445992")</f>
        <v>GSM1445992</v>
      </c>
      <c r="I6646" t="s">
        <v>161</v>
      </c>
      <c r="J6646" t="s">
        <v>18</v>
      </c>
      <c r="K6646" t="s">
        <v>33</v>
      </c>
      <c r="L6646" t="s">
        <v>162</v>
      </c>
      <c r="N6646" t="s">
        <v>37</v>
      </c>
    </row>
    <row r="6647" spans="1:14">
      <c r="A6647" s="4" t="str">
        <f t="shared" si="622"/>
        <v>EXP00232</v>
      </c>
      <c r="B6647" s="4" t="str">
        <f t="shared" si="620"/>
        <v>25686826</v>
      </c>
      <c r="C6647" s="4" t="str">
        <f t="shared" si="621"/>
        <v>GSE59745</v>
      </c>
      <c r="D6647" s="1" t="s">
        <v>337</v>
      </c>
      <c r="E6647" t="s">
        <v>340</v>
      </c>
      <c r="F6647" s="1">
        <v>1</v>
      </c>
      <c r="G6647" s="1" t="s">
        <v>36</v>
      </c>
      <c r="H6647" s="4" t="str">
        <f>HYPERLINK("https://www.ncbi.nlm.nih.gov/geo/query/acc.cgi?acc=GSM1445993","GSM1445993")</f>
        <v>GSM1445993</v>
      </c>
      <c r="I6647" t="s">
        <v>161</v>
      </c>
      <c r="J6647" t="s">
        <v>18</v>
      </c>
      <c r="K6647" t="s">
        <v>33</v>
      </c>
      <c r="L6647" t="s">
        <v>162</v>
      </c>
      <c r="N6647" t="s">
        <v>37</v>
      </c>
    </row>
    <row r="6648" spans="1:14">
      <c r="A6648" s="4" t="str">
        <f t="shared" si="622"/>
        <v>EXP00232</v>
      </c>
      <c r="B6648" s="4" t="str">
        <f t="shared" si="620"/>
        <v>25686826</v>
      </c>
      <c r="C6648" s="4" t="str">
        <f t="shared" si="621"/>
        <v>GSE59745</v>
      </c>
      <c r="D6648" s="1" t="s">
        <v>337</v>
      </c>
      <c r="E6648" t="s">
        <v>340</v>
      </c>
      <c r="F6648" s="1">
        <v>1</v>
      </c>
      <c r="G6648" s="1" t="s">
        <v>36</v>
      </c>
      <c r="H6648" s="4" t="str">
        <f>HYPERLINK("https://www.ncbi.nlm.nih.gov/geo/query/acc.cgi?acc=GSM1445995","GSM1445995")</f>
        <v>GSM1445995</v>
      </c>
      <c r="I6648" t="s">
        <v>161</v>
      </c>
      <c r="J6648" t="s">
        <v>18</v>
      </c>
      <c r="K6648" t="s">
        <v>33</v>
      </c>
      <c r="L6648" t="s">
        <v>162</v>
      </c>
      <c r="N6648" t="s">
        <v>37</v>
      </c>
    </row>
    <row r="6649" spans="1:14">
      <c r="A6649" s="4" t="str">
        <f t="shared" si="622"/>
        <v>EXP00232</v>
      </c>
      <c r="B6649" s="4" t="str">
        <f t="shared" si="620"/>
        <v>25686826</v>
      </c>
      <c r="C6649" s="4" t="str">
        <f t="shared" si="621"/>
        <v>GSE59745</v>
      </c>
      <c r="D6649" s="1" t="s">
        <v>337</v>
      </c>
      <c r="E6649" t="s">
        <v>340</v>
      </c>
      <c r="F6649" s="1">
        <v>1</v>
      </c>
      <c r="G6649" s="1" t="s">
        <v>36</v>
      </c>
      <c r="H6649" s="4" t="str">
        <f>HYPERLINK("https://www.ncbi.nlm.nih.gov/geo/query/acc.cgi?acc=GSM1445996","GSM1445996")</f>
        <v>GSM1445996</v>
      </c>
      <c r="I6649" t="s">
        <v>161</v>
      </c>
      <c r="J6649" t="s">
        <v>18</v>
      </c>
      <c r="K6649" t="s">
        <v>33</v>
      </c>
      <c r="L6649" t="s">
        <v>162</v>
      </c>
      <c r="N6649" t="s">
        <v>37</v>
      </c>
    </row>
    <row r="6650" spans="1:14">
      <c r="A6650" s="4" t="str">
        <f t="shared" si="622"/>
        <v>EXP00232</v>
      </c>
      <c r="B6650" s="4" t="str">
        <f t="shared" si="620"/>
        <v>25686826</v>
      </c>
      <c r="C6650" s="4" t="str">
        <f t="shared" si="621"/>
        <v>GSE59745</v>
      </c>
      <c r="D6650" s="1" t="s">
        <v>337</v>
      </c>
      <c r="E6650" t="s">
        <v>340</v>
      </c>
      <c r="F6650" s="1">
        <v>1</v>
      </c>
      <c r="G6650" s="1" t="s">
        <v>36</v>
      </c>
      <c r="H6650" s="4" t="str">
        <f>HYPERLINK("https://www.ncbi.nlm.nih.gov/geo/query/acc.cgi?acc=GSM1445997","GSM1445997")</f>
        <v>GSM1445997</v>
      </c>
      <c r="I6650" t="s">
        <v>161</v>
      </c>
      <c r="J6650" t="s">
        <v>18</v>
      </c>
      <c r="K6650" t="s">
        <v>33</v>
      </c>
      <c r="L6650" t="s">
        <v>162</v>
      </c>
      <c r="N6650" t="s">
        <v>37</v>
      </c>
    </row>
    <row r="6651" spans="1:14">
      <c r="A6651" s="4" t="str">
        <f t="shared" si="622"/>
        <v>EXP00232</v>
      </c>
      <c r="B6651" s="4" t="str">
        <f t="shared" si="620"/>
        <v>25686826</v>
      </c>
      <c r="C6651" s="4" t="str">
        <f t="shared" si="621"/>
        <v>GSE59745</v>
      </c>
      <c r="D6651" s="1" t="s">
        <v>337</v>
      </c>
      <c r="E6651" t="s">
        <v>340</v>
      </c>
      <c r="F6651" s="1">
        <v>1</v>
      </c>
      <c r="G6651" s="1" t="s">
        <v>36</v>
      </c>
      <c r="H6651" s="4" t="str">
        <f>HYPERLINK("https://www.ncbi.nlm.nih.gov/geo/query/acc.cgi?acc=GSM1445998","GSM1445998")</f>
        <v>GSM1445998</v>
      </c>
      <c r="I6651" t="s">
        <v>161</v>
      </c>
      <c r="J6651" t="s">
        <v>18</v>
      </c>
      <c r="K6651" t="s">
        <v>33</v>
      </c>
      <c r="L6651" t="s">
        <v>162</v>
      </c>
      <c r="N6651" t="s">
        <v>37</v>
      </c>
    </row>
    <row r="6652" spans="1:14">
      <c r="A6652" s="4" t="str">
        <f t="shared" si="622"/>
        <v>EXP00232</v>
      </c>
      <c r="B6652" s="4" t="str">
        <f t="shared" si="620"/>
        <v>25686826</v>
      </c>
      <c r="C6652" s="4" t="str">
        <f t="shared" si="621"/>
        <v>GSE59745</v>
      </c>
      <c r="D6652" s="1" t="s">
        <v>337</v>
      </c>
      <c r="E6652" t="s">
        <v>340</v>
      </c>
      <c r="F6652" s="1">
        <v>1</v>
      </c>
      <c r="G6652" s="1" t="s">
        <v>36</v>
      </c>
      <c r="H6652" s="4" t="str">
        <f>HYPERLINK("https://www.ncbi.nlm.nih.gov/geo/query/acc.cgi?acc=GSM1445999","GSM1445999")</f>
        <v>GSM1445999</v>
      </c>
      <c r="I6652" t="s">
        <v>161</v>
      </c>
      <c r="J6652" t="s">
        <v>18</v>
      </c>
      <c r="K6652" t="s">
        <v>33</v>
      </c>
      <c r="L6652" t="s">
        <v>162</v>
      </c>
      <c r="N6652" t="s">
        <v>37</v>
      </c>
    </row>
    <row r="6653" spans="1:14">
      <c r="A6653" s="4" t="str">
        <f t="shared" si="622"/>
        <v>EXP00232</v>
      </c>
      <c r="B6653" s="4" t="str">
        <f t="shared" si="620"/>
        <v>25686826</v>
      </c>
      <c r="C6653" s="4" t="str">
        <f t="shared" si="621"/>
        <v>GSE59745</v>
      </c>
      <c r="D6653" s="1" t="s">
        <v>337</v>
      </c>
      <c r="E6653" t="s">
        <v>340</v>
      </c>
      <c r="F6653" s="1">
        <v>1</v>
      </c>
      <c r="G6653" s="1" t="s">
        <v>36</v>
      </c>
      <c r="H6653" s="4" t="str">
        <f>HYPERLINK("https://www.ncbi.nlm.nih.gov/geo/query/acc.cgi?acc=GSM1446000","GSM1446000")</f>
        <v>GSM1446000</v>
      </c>
      <c r="I6653" t="s">
        <v>161</v>
      </c>
      <c r="J6653" t="s">
        <v>18</v>
      </c>
      <c r="K6653" t="s">
        <v>33</v>
      </c>
      <c r="L6653" t="s">
        <v>162</v>
      </c>
      <c r="N6653" t="s">
        <v>37</v>
      </c>
    </row>
    <row r="6654" spans="1:14">
      <c r="A6654" s="4" t="str">
        <f t="shared" si="622"/>
        <v>EXP00232</v>
      </c>
      <c r="B6654" s="4" t="str">
        <f t="shared" si="620"/>
        <v>25686826</v>
      </c>
      <c r="C6654" s="4" t="str">
        <f t="shared" si="621"/>
        <v>GSE59745</v>
      </c>
      <c r="D6654" s="1" t="s">
        <v>337</v>
      </c>
      <c r="E6654" t="s">
        <v>340</v>
      </c>
      <c r="F6654" s="1">
        <v>1</v>
      </c>
      <c r="G6654" s="1" t="s">
        <v>36</v>
      </c>
      <c r="H6654" s="4" t="str">
        <f>HYPERLINK("https://www.ncbi.nlm.nih.gov/geo/query/acc.cgi?acc=GSM1446001","GSM1446001")</f>
        <v>GSM1446001</v>
      </c>
      <c r="I6654" t="s">
        <v>161</v>
      </c>
      <c r="J6654" t="s">
        <v>18</v>
      </c>
      <c r="K6654" t="s">
        <v>33</v>
      </c>
      <c r="L6654" t="s">
        <v>162</v>
      </c>
      <c r="N6654" t="s">
        <v>37</v>
      </c>
    </row>
    <row r="6655" spans="1:14">
      <c r="A6655" s="4" t="str">
        <f t="shared" si="622"/>
        <v>EXP00232</v>
      </c>
      <c r="B6655" s="4" t="str">
        <f t="shared" si="620"/>
        <v>25686826</v>
      </c>
      <c r="C6655" s="4" t="str">
        <f t="shared" si="621"/>
        <v>GSE59745</v>
      </c>
      <c r="D6655" s="1" t="s">
        <v>337</v>
      </c>
      <c r="E6655" t="s">
        <v>340</v>
      </c>
      <c r="F6655" s="1">
        <v>1</v>
      </c>
      <c r="G6655" s="1" t="s">
        <v>36</v>
      </c>
      <c r="H6655" s="4" t="str">
        <f>HYPERLINK("https://www.ncbi.nlm.nih.gov/geo/query/acc.cgi?acc=GSM1446002","GSM1446002")</f>
        <v>GSM1446002</v>
      </c>
      <c r="I6655" t="s">
        <v>161</v>
      </c>
      <c r="J6655" t="s">
        <v>18</v>
      </c>
      <c r="K6655" t="s">
        <v>33</v>
      </c>
      <c r="L6655" t="s">
        <v>162</v>
      </c>
      <c r="N6655" t="s">
        <v>37</v>
      </c>
    </row>
    <row r="6656" spans="1:14">
      <c r="A6656" s="4" t="str">
        <f t="shared" si="622"/>
        <v>EXP00232</v>
      </c>
      <c r="B6656" s="4" t="str">
        <f t="shared" si="620"/>
        <v>25686826</v>
      </c>
      <c r="C6656" s="4" t="str">
        <f t="shared" si="621"/>
        <v>GSE59745</v>
      </c>
      <c r="D6656" s="1" t="s">
        <v>337</v>
      </c>
      <c r="E6656" t="s">
        <v>340</v>
      </c>
      <c r="F6656" s="1">
        <v>1</v>
      </c>
      <c r="G6656" s="1" t="s">
        <v>36</v>
      </c>
      <c r="H6656" s="4" t="str">
        <f>HYPERLINK("https://www.ncbi.nlm.nih.gov/geo/query/acc.cgi?acc=GSM1446003","GSM1446003")</f>
        <v>GSM1446003</v>
      </c>
      <c r="I6656" t="s">
        <v>161</v>
      </c>
      <c r="J6656" t="s">
        <v>18</v>
      </c>
      <c r="K6656" t="s">
        <v>33</v>
      </c>
      <c r="L6656" t="s">
        <v>162</v>
      </c>
      <c r="N6656" t="s">
        <v>37</v>
      </c>
    </row>
    <row r="6657" spans="1:14">
      <c r="A6657" s="4" t="str">
        <f t="shared" si="622"/>
        <v>EXP00232</v>
      </c>
      <c r="B6657" s="4" t="str">
        <f t="shared" si="620"/>
        <v>25686826</v>
      </c>
      <c r="C6657" s="4" t="str">
        <f t="shared" si="621"/>
        <v>GSE59745</v>
      </c>
      <c r="D6657" s="1" t="s">
        <v>337</v>
      </c>
      <c r="E6657" t="s">
        <v>340</v>
      </c>
      <c r="F6657" s="1">
        <v>2</v>
      </c>
      <c r="G6657" s="1" t="s">
        <v>28</v>
      </c>
      <c r="H6657" s="4" t="str">
        <f>HYPERLINK("https://www.ncbi.nlm.nih.gov/geo/query/acc.cgi?acc=GSM1445962","GSM1445962")</f>
        <v>GSM1445962</v>
      </c>
      <c r="I6657" t="s">
        <v>161</v>
      </c>
      <c r="J6657" t="s">
        <v>18</v>
      </c>
      <c r="K6657" t="s">
        <v>33</v>
      </c>
      <c r="L6657" t="s">
        <v>162</v>
      </c>
      <c r="N6657" t="s">
        <v>29</v>
      </c>
    </row>
    <row r="6658" spans="1:14">
      <c r="A6658" s="4" t="str">
        <f t="shared" si="622"/>
        <v>EXP00232</v>
      </c>
      <c r="B6658" s="4" t="str">
        <f t="shared" si="620"/>
        <v>25686826</v>
      </c>
      <c r="C6658" s="4" t="str">
        <f t="shared" si="621"/>
        <v>GSE59745</v>
      </c>
      <c r="D6658" s="1" t="s">
        <v>337</v>
      </c>
      <c r="E6658" t="s">
        <v>340</v>
      </c>
      <c r="F6658" s="1">
        <v>2</v>
      </c>
      <c r="G6658" s="1" t="s">
        <v>28</v>
      </c>
      <c r="H6658" s="4" t="str">
        <f>HYPERLINK("https://www.ncbi.nlm.nih.gov/geo/query/acc.cgi?acc=GSM1445963","GSM1445963")</f>
        <v>GSM1445963</v>
      </c>
      <c r="I6658" t="s">
        <v>161</v>
      </c>
      <c r="J6658" t="s">
        <v>18</v>
      </c>
      <c r="K6658" t="s">
        <v>33</v>
      </c>
      <c r="L6658" t="s">
        <v>162</v>
      </c>
      <c r="N6658" t="s">
        <v>29</v>
      </c>
    </row>
    <row r="6659" spans="1:14">
      <c r="A6659" s="4" t="str">
        <f t="shared" si="622"/>
        <v>EXP00232</v>
      </c>
      <c r="B6659" s="4" t="str">
        <f t="shared" si="620"/>
        <v>25686826</v>
      </c>
      <c r="C6659" s="4" t="str">
        <f t="shared" si="621"/>
        <v>GSE59745</v>
      </c>
      <c r="D6659" s="1" t="s">
        <v>337</v>
      </c>
      <c r="E6659" t="s">
        <v>340</v>
      </c>
      <c r="F6659" s="1">
        <v>2</v>
      </c>
      <c r="G6659" s="1" t="s">
        <v>28</v>
      </c>
      <c r="H6659" s="4" t="str">
        <f>HYPERLINK("https://www.ncbi.nlm.nih.gov/geo/query/acc.cgi?acc=GSM1445964","GSM1445964")</f>
        <v>GSM1445964</v>
      </c>
      <c r="I6659" t="s">
        <v>161</v>
      </c>
      <c r="J6659" t="s">
        <v>18</v>
      </c>
      <c r="K6659" t="s">
        <v>33</v>
      </c>
      <c r="L6659" t="s">
        <v>162</v>
      </c>
      <c r="N6659" t="s">
        <v>29</v>
      </c>
    </row>
    <row r="6660" spans="1:14">
      <c r="A6660" s="4" t="str">
        <f t="shared" si="622"/>
        <v>EXP00232</v>
      </c>
      <c r="B6660" s="4" t="str">
        <f t="shared" si="620"/>
        <v>25686826</v>
      </c>
      <c r="C6660" s="4" t="str">
        <f t="shared" si="621"/>
        <v>GSE59745</v>
      </c>
      <c r="D6660" s="1" t="s">
        <v>337</v>
      </c>
      <c r="E6660" t="s">
        <v>340</v>
      </c>
      <c r="F6660" s="1">
        <v>2</v>
      </c>
      <c r="G6660" s="1" t="s">
        <v>28</v>
      </c>
      <c r="H6660" s="4" t="str">
        <f>HYPERLINK("https://www.ncbi.nlm.nih.gov/geo/query/acc.cgi?acc=GSM1445965","GSM1445965")</f>
        <v>GSM1445965</v>
      </c>
      <c r="I6660" t="s">
        <v>161</v>
      </c>
      <c r="J6660" t="s">
        <v>18</v>
      </c>
      <c r="K6660" t="s">
        <v>33</v>
      </c>
      <c r="L6660" t="s">
        <v>162</v>
      </c>
      <c r="N6660" t="s">
        <v>29</v>
      </c>
    </row>
    <row r="6661" spans="1:14">
      <c r="A6661" s="4" t="str">
        <f t="shared" si="622"/>
        <v>EXP00232</v>
      </c>
      <c r="B6661" s="4" t="str">
        <f t="shared" si="620"/>
        <v>25686826</v>
      </c>
      <c r="C6661" s="4" t="str">
        <f t="shared" si="621"/>
        <v>GSE59745</v>
      </c>
      <c r="D6661" s="1" t="s">
        <v>337</v>
      </c>
      <c r="E6661" t="s">
        <v>340</v>
      </c>
      <c r="F6661" s="1">
        <v>2</v>
      </c>
      <c r="G6661" s="1" t="s">
        <v>28</v>
      </c>
      <c r="H6661" s="4" t="str">
        <f>HYPERLINK("https://www.ncbi.nlm.nih.gov/geo/query/acc.cgi?acc=GSM1445967","GSM1445967")</f>
        <v>GSM1445967</v>
      </c>
      <c r="I6661" t="s">
        <v>161</v>
      </c>
      <c r="J6661" t="s">
        <v>18</v>
      </c>
      <c r="K6661" t="s">
        <v>33</v>
      </c>
      <c r="L6661" t="s">
        <v>162</v>
      </c>
      <c r="N6661" t="s">
        <v>29</v>
      </c>
    </row>
    <row r="6662" spans="1:14">
      <c r="A6662" s="4" t="str">
        <f t="shared" si="622"/>
        <v>EXP00232</v>
      </c>
      <c r="B6662" s="4" t="str">
        <f t="shared" si="620"/>
        <v>25686826</v>
      </c>
      <c r="C6662" s="4" t="str">
        <f t="shared" si="621"/>
        <v>GSE59745</v>
      </c>
      <c r="D6662" s="1" t="s">
        <v>337</v>
      </c>
      <c r="E6662" t="s">
        <v>340</v>
      </c>
      <c r="F6662" s="1">
        <v>2</v>
      </c>
      <c r="G6662" s="1" t="s">
        <v>28</v>
      </c>
      <c r="H6662" s="4" t="str">
        <f>HYPERLINK("https://www.ncbi.nlm.nih.gov/geo/query/acc.cgi?acc=GSM1445969","GSM1445969")</f>
        <v>GSM1445969</v>
      </c>
      <c r="I6662" t="s">
        <v>161</v>
      </c>
      <c r="J6662" t="s">
        <v>18</v>
      </c>
      <c r="K6662" t="s">
        <v>33</v>
      </c>
      <c r="L6662" t="s">
        <v>162</v>
      </c>
      <c r="N6662" t="s">
        <v>29</v>
      </c>
    </row>
    <row r="6663" spans="1:14">
      <c r="A6663" s="4" t="str">
        <f t="shared" si="622"/>
        <v>EXP00232</v>
      </c>
      <c r="B6663" s="4" t="str">
        <f t="shared" si="620"/>
        <v>25686826</v>
      </c>
      <c r="C6663" s="4" t="str">
        <f t="shared" si="621"/>
        <v>GSE59745</v>
      </c>
      <c r="D6663" s="1" t="s">
        <v>337</v>
      </c>
      <c r="E6663" t="s">
        <v>340</v>
      </c>
      <c r="F6663" s="1">
        <v>2</v>
      </c>
      <c r="G6663" s="1" t="s">
        <v>28</v>
      </c>
      <c r="H6663" s="4" t="str">
        <f>HYPERLINK("https://www.ncbi.nlm.nih.gov/geo/query/acc.cgi?acc=GSM1445971","GSM1445971")</f>
        <v>GSM1445971</v>
      </c>
      <c r="I6663" t="s">
        <v>161</v>
      </c>
      <c r="J6663" t="s">
        <v>18</v>
      </c>
      <c r="K6663" t="s">
        <v>33</v>
      </c>
      <c r="L6663" t="s">
        <v>162</v>
      </c>
      <c r="N6663" t="s">
        <v>29</v>
      </c>
    </row>
    <row r="6664" spans="1:14">
      <c r="A6664" s="4" t="str">
        <f t="shared" si="622"/>
        <v>EXP00232</v>
      </c>
      <c r="B6664" s="4" t="str">
        <f t="shared" si="620"/>
        <v>25686826</v>
      </c>
      <c r="C6664" s="4" t="str">
        <f t="shared" si="621"/>
        <v>GSE59745</v>
      </c>
      <c r="D6664" s="1" t="s">
        <v>337</v>
      </c>
      <c r="E6664" t="s">
        <v>340</v>
      </c>
      <c r="F6664" s="1">
        <v>2</v>
      </c>
      <c r="G6664" s="1" t="s">
        <v>28</v>
      </c>
      <c r="H6664" s="4" t="str">
        <f>HYPERLINK("https://www.ncbi.nlm.nih.gov/geo/query/acc.cgi?acc=GSM1445973","GSM1445973")</f>
        <v>GSM1445973</v>
      </c>
      <c r="I6664" t="s">
        <v>161</v>
      </c>
      <c r="J6664" t="s">
        <v>18</v>
      </c>
      <c r="K6664" t="s">
        <v>33</v>
      </c>
      <c r="L6664" t="s">
        <v>162</v>
      </c>
      <c r="N6664" t="s">
        <v>29</v>
      </c>
    </row>
    <row r="6665" spans="1:14">
      <c r="A6665" s="4" t="str">
        <f t="shared" si="622"/>
        <v>EXP00232</v>
      </c>
      <c r="B6665" s="4" t="str">
        <f t="shared" si="620"/>
        <v>25686826</v>
      </c>
      <c r="C6665" s="4" t="str">
        <f t="shared" si="621"/>
        <v>GSE59745</v>
      </c>
      <c r="D6665" s="1" t="s">
        <v>337</v>
      </c>
      <c r="E6665" t="s">
        <v>340</v>
      </c>
      <c r="F6665" s="1">
        <v>2</v>
      </c>
      <c r="G6665" s="1" t="s">
        <v>28</v>
      </c>
      <c r="H6665" s="4" t="str">
        <f>HYPERLINK("https://www.ncbi.nlm.nih.gov/geo/query/acc.cgi?acc=GSM1445974","GSM1445974")</f>
        <v>GSM1445974</v>
      </c>
      <c r="I6665" t="s">
        <v>161</v>
      </c>
      <c r="J6665" t="s">
        <v>18</v>
      </c>
      <c r="K6665" t="s">
        <v>33</v>
      </c>
      <c r="L6665" t="s">
        <v>162</v>
      </c>
      <c r="N6665" t="s">
        <v>29</v>
      </c>
    </row>
    <row r="6666" spans="1:14">
      <c r="A6666" s="4" t="str">
        <f t="shared" si="622"/>
        <v>EXP00232</v>
      </c>
      <c r="B6666" s="4" t="str">
        <f t="shared" si="620"/>
        <v>25686826</v>
      </c>
      <c r="C6666" s="4" t="str">
        <f t="shared" si="621"/>
        <v>GSE59745</v>
      </c>
      <c r="D6666" s="1" t="s">
        <v>337</v>
      </c>
      <c r="E6666" t="s">
        <v>340</v>
      </c>
      <c r="F6666" s="1">
        <v>2</v>
      </c>
      <c r="G6666" s="1" t="s">
        <v>28</v>
      </c>
      <c r="H6666" s="4" t="str">
        <f>HYPERLINK("https://www.ncbi.nlm.nih.gov/geo/query/acc.cgi?acc=GSM1445975","GSM1445975")</f>
        <v>GSM1445975</v>
      </c>
      <c r="I6666" t="s">
        <v>161</v>
      </c>
      <c r="J6666" t="s">
        <v>18</v>
      </c>
      <c r="K6666" t="s">
        <v>33</v>
      </c>
      <c r="L6666" t="s">
        <v>162</v>
      </c>
      <c r="N6666" t="s">
        <v>29</v>
      </c>
    </row>
    <row r="6667" spans="1:14">
      <c r="A6667" s="4" t="str">
        <f t="shared" si="622"/>
        <v>EXP00232</v>
      </c>
      <c r="B6667" s="4" t="str">
        <f t="shared" si="620"/>
        <v>25686826</v>
      </c>
      <c r="C6667" s="4" t="str">
        <f t="shared" si="621"/>
        <v>GSE59745</v>
      </c>
      <c r="D6667" s="1" t="s">
        <v>337</v>
      </c>
      <c r="E6667" t="s">
        <v>340</v>
      </c>
      <c r="F6667" s="1">
        <v>2</v>
      </c>
      <c r="G6667" s="1" t="s">
        <v>28</v>
      </c>
      <c r="H6667" s="4" t="str">
        <f>HYPERLINK("https://www.ncbi.nlm.nih.gov/geo/query/acc.cgi?acc=GSM1445976","GSM1445976")</f>
        <v>GSM1445976</v>
      </c>
      <c r="I6667" t="s">
        <v>161</v>
      </c>
      <c r="J6667" t="s">
        <v>18</v>
      </c>
      <c r="K6667" t="s">
        <v>33</v>
      </c>
      <c r="L6667" t="s">
        <v>162</v>
      </c>
      <c r="N6667" t="s">
        <v>29</v>
      </c>
    </row>
    <row r="6668" spans="1:14">
      <c r="A6668" s="4" t="str">
        <f t="shared" si="622"/>
        <v>EXP00232</v>
      </c>
      <c r="B6668" s="4" t="str">
        <f t="shared" si="620"/>
        <v>25686826</v>
      </c>
      <c r="C6668" s="4" t="str">
        <f t="shared" si="621"/>
        <v>GSE59745</v>
      </c>
      <c r="D6668" s="1" t="s">
        <v>337</v>
      </c>
      <c r="E6668" t="s">
        <v>340</v>
      </c>
      <c r="F6668" s="1">
        <v>2</v>
      </c>
      <c r="G6668" s="1" t="s">
        <v>28</v>
      </c>
      <c r="H6668" s="4" t="str">
        <f>HYPERLINK("https://www.ncbi.nlm.nih.gov/geo/query/acc.cgi?acc=GSM1445977","GSM1445977")</f>
        <v>GSM1445977</v>
      </c>
      <c r="I6668" t="s">
        <v>161</v>
      </c>
      <c r="J6668" t="s">
        <v>18</v>
      </c>
      <c r="K6668" t="s">
        <v>33</v>
      </c>
      <c r="L6668" t="s">
        <v>162</v>
      </c>
      <c r="N6668" t="s">
        <v>29</v>
      </c>
    </row>
    <row r="6669" spans="1:14">
      <c r="A6669" s="4" t="str">
        <f t="shared" si="622"/>
        <v>EXP00232</v>
      </c>
      <c r="B6669" s="4" t="str">
        <f t="shared" si="620"/>
        <v>25686826</v>
      </c>
      <c r="C6669" s="4" t="str">
        <f t="shared" si="621"/>
        <v>GSE59745</v>
      </c>
      <c r="D6669" s="1" t="s">
        <v>337</v>
      </c>
      <c r="E6669" t="s">
        <v>340</v>
      </c>
      <c r="F6669" s="1">
        <v>2</v>
      </c>
      <c r="G6669" s="1" t="s">
        <v>28</v>
      </c>
      <c r="H6669" s="4" t="str">
        <f>HYPERLINK("https://www.ncbi.nlm.nih.gov/geo/query/acc.cgi?acc=GSM1445978","GSM1445978")</f>
        <v>GSM1445978</v>
      </c>
      <c r="I6669" t="s">
        <v>161</v>
      </c>
      <c r="J6669" t="s">
        <v>18</v>
      </c>
      <c r="K6669" t="s">
        <v>33</v>
      </c>
      <c r="L6669" t="s">
        <v>162</v>
      </c>
      <c r="N6669" t="s">
        <v>29</v>
      </c>
    </row>
    <row r="6670" spans="1:14">
      <c r="A6670" s="4" t="str">
        <f t="shared" si="622"/>
        <v>EXP00232</v>
      </c>
      <c r="B6670" s="4" t="str">
        <f t="shared" si="620"/>
        <v>25686826</v>
      </c>
      <c r="C6670" s="4" t="str">
        <f t="shared" si="621"/>
        <v>GSE59745</v>
      </c>
      <c r="D6670" s="1" t="s">
        <v>337</v>
      </c>
      <c r="E6670" t="s">
        <v>340</v>
      </c>
      <c r="F6670" s="1">
        <v>2</v>
      </c>
      <c r="G6670" s="1" t="s">
        <v>28</v>
      </c>
      <c r="H6670" s="4" t="str">
        <f>HYPERLINK("https://www.ncbi.nlm.nih.gov/geo/query/acc.cgi?acc=GSM1445979","GSM1445979")</f>
        <v>GSM1445979</v>
      </c>
      <c r="I6670" t="s">
        <v>161</v>
      </c>
      <c r="J6670" t="s">
        <v>18</v>
      </c>
      <c r="K6670" t="s">
        <v>33</v>
      </c>
      <c r="L6670" t="s">
        <v>162</v>
      </c>
      <c r="N6670" t="s">
        <v>29</v>
      </c>
    </row>
    <row r="6671" spans="1:14">
      <c r="A6671" s="4" t="str">
        <f t="shared" ref="A6671:A6712" si="623">HYPERLINK("http://hcmdb.i-sanger.com/experiment/details/experiment_id/EXP00233","EXP00233")</f>
        <v>EXP00233</v>
      </c>
      <c r="B6671" s="4" t="str">
        <f t="shared" ref="B6671:B6712" si="624">HYPERLINK("https://www.ncbi.nlm.nih.gov/pubmed/25316811","25316811")</f>
        <v>25316811</v>
      </c>
      <c r="C6671" s="4" t="str">
        <f t="shared" ref="C6671:C6712" si="625">HYPERLINK("https://www.ncbi.nlm.nih.gov/geo/query/acc.cgi?acc=GSE60464","GSE60464")</f>
        <v>GSE60464</v>
      </c>
      <c r="D6671" s="1" t="s">
        <v>341</v>
      </c>
      <c r="E6671" t="s">
        <v>84</v>
      </c>
      <c r="F6671" s="1">
        <v>1</v>
      </c>
      <c r="G6671" s="1" t="s">
        <v>85</v>
      </c>
      <c r="H6671" s="4" t="str">
        <f>HYPERLINK("https://www.ncbi.nlm.nih.gov/geo/query/acc.cgi?acc=GSM1480415","GSM1480415")</f>
        <v>GSM1480415</v>
      </c>
      <c r="I6671" t="s">
        <v>82</v>
      </c>
      <c r="J6671" t="s">
        <v>83</v>
      </c>
      <c r="K6671" t="s">
        <v>19</v>
      </c>
      <c r="L6671" t="s">
        <v>27</v>
      </c>
      <c r="M6671" t="s">
        <v>24</v>
      </c>
      <c r="N6671" t="s">
        <v>22</v>
      </c>
    </row>
    <row r="6672" spans="1:14">
      <c r="A6672" s="4" t="str">
        <f t="shared" si="623"/>
        <v>EXP00233</v>
      </c>
      <c r="B6672" s="4" t="str">
        <f t="shared" si="624"/>
        <v>25316811</v>
      </c>
      <c r="C6672" s="4" t="str">
        <f t="shared" si="625"/>
        <v>GSE60464</v>
      </c>
      <c r="D6672" s="1" t="s">
        <v>341</v>
      </c>
      <c r="E6672" t="s">
        <v>84</v>
      </c>
      <c r="F6672" s="1">
        <v>1</v>
      </c>
      <c r="G6672" s="1" t="s">
        <v>85</v>
      </c>
      <c r="H6672" s="4" t="str">
        <f>HYPERLINK("https://www.ncbi.nlm.nih.gov/geo/query/acc.cgi?acc=GSM1480419","GSM1480419")</f>
        <v>GSM1480419</v>
      </c>
      <c r="I6672" t="s">
        <v>82</v>
      </c>
      <c r="J6672" t="s">
        <v>83</v>
      </c>
      <c r="K6672" t="s">
        <v>19</v>
      </c>
      <c r="L6672" t="s">
        <v>27</v>
      </c>
      <c r="M6672" t="s">
        <v>24</v>
      </c>
      <c r="N6672" t="s">
        <v>22</v>
      </c>
    </row>
    <row r="6673" spans="1:14">
      <c r="A6673" s="4" t="str">
        <f t="shared" si="623"/>
        <v>EXP00233</v>
      </c>
      <c r="B6673" s="4" t="str">
        <f t="shared" si="624"/>
        <v>25316811</v>
      </c>
      <c r="C6673" s="4" t="str">
        <f t="shared" si="625"/>
        <v>GSE60464</v>
      </c>
      <c r="D6673" s="1" t="s">
        <v>341</v>
      </c>
      <c r="E6673" t="s">
        <v>84</v>
      </c>
      <c r="F6673" s="1">
        <v>1</v>
      </c>
      <c r="G6673" s="1" t="s">
        <v>85</v>
      </c>
      <c r="H6673" s="4" t="str">
        <f>HYPERLINK("https://www.ncbi.nlm.nih.gov/geo/query/acc.cgi?acc=GSM1480420","GSM1480420")</f>
        <v>GSM1480420</v>
      </c>
      <c r="I6673" t="s">
        <v>82</v>
      </c>
      <c r="J6673" t="s">
        <v>83</v>
      </c>
      <c r="K6673" t="s">
        <v>19</v>
      </c>
      <c r="L6673" t="s">
        <v>27</v>
      </c>
      <c r="M6673" t="s">
        <v>24</v>
      </c>
      <c r="N6673" t="s">
        <v>22</v>
      </c>
    </row>
    <row r="6674" spans="1:14">
      <c r="A6674" s="4" t="str">
        <f t="shared" si="623"/>
        <v>EXP00233</v>
      </c>
      <c r="B6674" s="4" t="str">
        <f t="shared" si="624"/>
        <v>25316811</v>
      </c>
      <c r="C6674" s="4" t="str">
        <f t="shared" si="625"/>
        <v>GSE60464</v>
      </c>
      <c r="D6674" s="1" t="s">
        <v>341</v>
      </c>
      <c r="E6674" t="s">
        <v>84</v>
      </c>
      <c r="F6674" s="1">
        <v>1</v>
      </c>
      <c r="G6674" s="1" t="s">
        <v>85</v>
      </c>
      <c r="H6674" s="4" t="str">
        <f>HYPERLINK("https://www.ncbi.nlm.nih.gov/geo/query/acc.cgi?acc=GSM1480428","GSM1480428")</f>
        <v>GSM1480428</v>
      </c>
      <c r="I6674" t="s">
        <v>82</v>
      </c>
      <c r="J6674" t="s">
        <v>83</v>
      </c>
      <c r="K6674" t="s">
        <v>19</v>
      </c>
      <c r="L6674" t="s">
        <v>27</v>
      </c>
      <c r="M6674" t="s">
        <v>24</v>
      </c>
      <c r="N6674" t="s">
        <v>22</v>
      </c>
    </row>
    <row r="6675" spans="1:14">
      <c r="A6675" s="4" t="str">
        <f t="shared" si="623"/>
        <v>EXP00233</v>
      </c>
      <c r="B6675" s="4" t="str">
        <f t="shared" si="624"/>
        <v>25316811</v>
      </c>
      <c r="C6675" s="4" t="str">
        <f t="shared" si="625"/>
        <v>GSE60464</v>
      </c>
      <c r="D6675" s="1" t="s">
        <v>341</v>
      </c>
      <c r="E6675" t="s">
        <v>84</v>
      </c>
      <c r="F6675" s="1">
        <v>1</v>
      </c>
      <c r="G6675" s="1" t="s">
        <v>85</v>
      </c>
      <c r="H6675" s="4" t="str">
        <f>HYPERLINK("https://www.ncbi.nlm.nih.gov/geo/query/acc.cgi?acc=GSM1480429","GSM1480429")</f>
        <v>GSM1480429</v>
      </c>
      <c r="I6675" t="s">
        <v>82</v>
      </c>
      <c r="J6675" t="s">
        <v>83</v>
      </c>
      <c r="K6675" t="s">
        <v>19</v>
      </c>
      <c r="L6675" t="s">
        <v>27</v>
      </c>
      <c r="M6675" t="s">
        <v>24</v>
      </c>
      <c r="N6675" t="s">
        <v>22</v>
      </c>
    </row>
    <row r="6676" spans="1:14">
      <c r="A6676" s="4" t="str">
        <f t="shared" si="623"/>
        <v>EXP00233</v>
      </c>
      <c r="B6676" s="4" t="str">
        <f t="shared" si="624"/>
        <v>25316811</v>
      </c>
      <c r="C6676" s="4" t="str">
        <f t="shared" si="625"/>
        <v>GSE60464</v>
      </c>
      <c r="D6676" s="1" t="s">
        <v>341</v>
      </c>
      <c r="E6676" t="s">
        <v>84</v>
      </c>
      <c r="F6676" s="1">
        <v>1</v>
      </c>
      <c r="G6676" s="1" t="s">
        <v>85</v>
      </c>
      <c r="H6676" s="4" t="str">
        <f>HYPERLINK("https://www.ncbi.nlm.nih.gov/geo/query/acc.cgi?acc=GSM1480433","GSM1480433")</f>
        <v>GSM1480433</v>
      </c>
      <c r="I6676" t="s">
        <v>82</v>
      </c>
      <c r="J6676" t="s">
        <v>83</v>
      </c>
      <c r="K6676" t="s">
        <v>19</v>
      </c>
      <c r="L6676" t="s">
        <v>27</v>
      </c>
      <c r="M6676" t="s">
        <v>24</v>
      </c>
      <c r="N6676" t="s">
        <v>22</v>
      </c>
    </row>
    <row r="6677" spans="1:14">
      <c r="A6677" s="4" t="str">
        <f t="shared" si="623"/>
        <v>EXP00233</v>
      </c>
      <c r="B6677" s="4" t="str">
        <f t="shared" si="624"/>
        <v>25316811</v>
      </c>
      <c r="C6677" s="4" t="str">
        <f t="shared" si="625"/>
        <v>GSE60464</v>
      </c>
      <c r="D6677" s="1" t="s">
        <v>341</v>
      </c>
      <c r="E6677" t="s">
        <v>84</v>
      </c>
      <c r="F6677" s="1">
        <v>1</v>
      </c>
      <c r="G6677" s="1" t="s">
        <v>85</v>
      </c>
      <c r="H6677" s="4" t="str">
        <f>HYPERLINK("https://www.ncbi.nlm.nih.gov/geo/query/acc.cgi?acc=GSM1480435","GSM1480435")</f>
        <v>GSM1480435</v>
      </c>
      <c r="I6677" t="s">
        <v>82</v>
      </c>
      <c r="J6677" t="s">
        <v>83</v>
      </c>
      <c r="K6677" t="s">
        <v>19</v>
      </c>
      <c r="L6677" t="s">
        <v>27</v>
      </c>
      <c r="M6677" t="s">
        <v>24</v>
      </c>
      <c r="N6677" t="s">
        <v>22</v>
      </c>
    </row>
    <row r="6678" spans="1:14">
      <c r="A6678" s="4" t="str">
        <f t="shared" si="623"/>
        <v>EXP00233</v>
      </c>
      <c r="B6678" s="4" t="str">
        <f t="shared" si="624"/>
        <v>25316811</v>
      </c>
      <c r="C6678" s="4" t="str">
        <f t="shared" si="625"/>
        <v>GSE60464</v>
      </c>
      <c r="D6678" s="1" t="s">
        <v>341</v>
      </c>
      <c r="E6678" t="s">
        <v>84</v>
      </c>
      <c r="F6678" s="1">
        <v>1</v>
      </c>
      <c r="G6678" s="1" t="s">
        <v>85</v>
      </c>
      <c r="H6678" s="4" t="str">
        <f>HYPERLINK("https://www.ncbi.nlm.nih.gov/geo/query/acc.cgi?acc=GSM1480441","GSM1480441")</f>
        <v>GSM1480441</v>
      </c>
      <c r="I6678" t="s">
        <v>82</v>
      </c>
      <c r="J6678" t="s">
        <v>83</v>
      </c>
      <c r="K6678" t="s">
        <v>19</v>
      </c>
      <c r="L6678" t="s">
        <v>27</v>
      </c>
      <c r="M6678" t="s">
        <v>24</v>
      </c>
      <c r="N6678" t="s">
        <v>22</v>
      </c>
    </row>
    <row r="6679" spans="1:14">
      <c r="A6679" s="4" t="str">
        <f t="shared" si="623"/>
        <v>EXP00233</v>
      </c>
      <c r="B6679" s="4" t="str">
        <f t="shared" si="624"/>
        <v>25316811</v>
      </c>
      <c r="C6679" s="4" t="str">
        <f t="shared" si="625"/>
        <v>GSE60464</v>
      </c>
      <c r="D6679" s="1" t="s">
        <v>341</v>
      </c>
      <c r="E6679" t="s">
        <v>84</v>
      </c>
      <c r="F6679" s="1">
        <v>1</v>
      </c>
      <c r="G6679" s="1" t="s">
        <v>85</v>
      </c>
      <c r="H6679" s="4" t="str">
        <f>HYPERLINK("https://www.ncbi.nlm.nih.gov/geo/query/acc.cgi?acc=GSM1480450","GSM1480450")</f>
        <v>GSM1480450</v>
      </c>
      <c r="I6679" t="s">
        <v>82</v>
      </c>
      <c r="J6679" t="s">
        <v>83</v>
      </c>
      <c r="K6679" t="s">
        <v>19</v>
      </c>
      <c r="L6679" t="s">
        <v>27</v>
      </c>
      <c r="M6679" t="s">
        <v>24</v>
      </c>
      <c r="N6679" t="s">
        <v>22</v>
      </c>
    </row>
    <row r="6680" spans="1:14">
      <c r="A6680" s="4" t="str">
        <f t="shared" si="623"/>
        <v>EXP00233</v>
      </c>
      <c r="B6680" s="4" t="str">
        <f t="shared" si="624"/>
        <v>25316811</v>
      </c>
      <c r="C6680" s="4" t="str">
        <f t="shared" si="625"/>
        <v>GSE60464</v>
      </c>
      <c r="D6680" s="1" t="s">
        <v>341</v>
      </c>
      <c r="E6680" t="s">
        <v>84</v>
      </c>
      <c r="F6680" s="1">
        <v>1</v>
      </c>
      <c r="G6680" s="1" t="s">
        <v>85</v>
      </c>
      <c r="H6680" s="4" t="str">
        <f>HYPERLINK("https://www.ncbi.nlm.nih.gov/geo/query/acc.cgi?acc=GSM1480451","GSM1480451")</f>
        <v>GSM1480451</v>
      </c>
      <c r="I6680" t="s">
        <v>82</v>
      </c>
      <c r="J6680" t="s">
        <v>83</v>
      </c>
      <c r="K6680" t="s">
        <v>19</v>
      </c>
      <c r="L6680" t="s">
        <v>27</v>
      </c>
      <c r="M6680" t="s">
        <v>24</v>
      </c>
      <c r="N6680" t="s">
        <v>22</v>
      </c>
    </row>
    <row r="6681" spans="1:14">
      <c r="A6681" s="4" t="str">
        <f t="shared" si="623"/>
        <v>EXP00233</v>
      </c>
      <c r="B6681" s="4" t="str">
        <f t="shared" si="624"/>
        <v>25316811</v>
      </c>
      <c r="C6681" s="4" t="str">
        <f t="shared" si="625"/>
        <v>GSE60464</v>
      </c>
      <c r="D6681" s="1" t="s">
        <v>341</v>
      </c>
      <c r="E6681" t="s">
        <v>84</v>
      </c>
      <c r="F6681" s="1">
        <v>1</v>
      </c>
      <c r="G6681" s="1" t="s">
        <v>85</v>
      </c>
      <c r="H6681" s="4" t="str">
        <f>HYPERLINK("https://www.ncbi.nlm.nih.gov/geo/query/acc.cgi?acc=GSM1480452","GSM1480452")</f>
        <v>GSM1480452</v>
      </c>
      <c r="I6681" t="s">
        <v>82</v>
      </c>
      <c r="J6681" t="s">
        <v>83</v>
      </c>
      <c r="K6681" t="s">
        <v>19</v>
      </c>
      <c r="L6681" t="s">
        <v>27</v>
      </c>
      <c r="M6681" t="s">
        <v>24</v>
      </c>
      <c r="N6681" t="s">
        <v>22</v>
      </c>
    </row>
    <row r="6682" spans="1:14">
      <c r="A6682" s="4" t="str">
        <f t="shared" si="623"/>
        <v>EXP00233</v>
      </c>
      <c r="B6682" s="4" t="str">
        <f t="shared" si="624"/>
        <v>25316811</v>
      </c>
      <c r="C6682" s="4" t="str">
        <f t="shared" si="625"/>
        <v>GSE60464</v>
      </c>
      <c r="D6682" s="1" t="s">
        <v>341</v>
      </c>
      <c r="E6682" t="s">
        <v>84</v>
      </c>
      <c r="F6682" s="1">
        <v>1</v>
      </c>
      <c r="G6682" s="1" t="s">
        <v>85</v>
      </c>
      <c r="H6682" s="4" t="str">
        <f>HYPERLINK("https://www.ncbi.nlm.nih.gov/geo/query/acc.cgi?acc=GSM1480454","GSM1480454")</f>
        <v>GSM1480454</v>
      </c>
      <c r="I6682" t="s">
        <v>82</v>
      </c>
      <c r="J6682" t="s">
        <v>83</v>
      </c>
      <c r="K6682" t="s">
        <v>19</v>
      </c>
      <c r="L6682" t="s">
        <v>27</v>
      </c>
      <c r="M6682" t="s">
        <v>24</v>
      </c>
      <c r="N6682" t="s">
        <v>22</v>
      </c>
    </row>
    <row r="6683" spans="1:14">
      <c r="A6683" s="4" t="str">
        <f t="shared" si="623"/>
        <v>EXP00233</v>
      </c>
      <c r="B6683" s="4" t="str">
        <f t="shared" si="624"/>
        <v>25316811</v>
      </c>
      <c r="C6683" s="4" t="str">
        <f t="shared" si="625"/>
        <v>GSE60464</v>
      </c>
      <c r="D6683" s="1" t="s">
        <v>341</v>
      </c>
      <c r="E6683" t="s">
        <v>84</v>
      </c>
      <c r="F6683" s="1">
        <v>1</v>
      </c>
      <c r="G6683" s="1" t="s">
        <v>85</v>
      </c>
      <c r="H6683" s="4" t="str">
        <f>HYPERLINK("https://www.ncbi.nlm.nih.gov/geo/query/acc.cgi?acc=GSM1480455","GSM1480455")</f>
        <v>GSM1480455</v>
      </c>
      <c r="I6683" t="s">
        <v>82</v>
      </c>
      <c r="J6683" t="s">
        <v>83</v>
      </c>
      <c r="K6683" t="s">
        <v>19</v>
      </c>
      <c r="L6683" t="s">
        <v>27</v>
      </c>
      <c r="M6683" t="s">
        <v>24</v>
      </c>
      <c r="N6683" t="s">
        <v>22</v>
      </c>
    </row>
    <row r="6684" spans="1:14">
      <c r="A6684" s="4" t="str">
        <f t="shared" si="623"/>
        <v>EXP00233</v>
      </c>
      <c r="B6684" s="4" t="str">
        <f t="shared" si="624"/>
        <v>25316811</v>
      </c>
      <c r="C6684" s="4" t="str">
        <f t="shared" si="625"/>
        <v>GSE60464</v>
      </c>
      <c r="D6684" s="1" t="s">
        <v>341</v>
      </c>
      <c r="E6684" t="s">
        <v>84</v>
      </c>
      <c r="F6684" s="1">
        <v>1</v>
      </c>
      <c r="G6684" s="1" t="s">
        <v>85</v>
      </c>
      <c r="H6684" s="4" t="str">
        <f>HYPERLINK("https://www.ncbi.nlm.nih.gov/geo/query/acc.cgi?acc=GSM1480456","GSM1480456")</f>
        <v>GSM1480456</v>
      </c>
      <c r="I6684" t="s">
        <v>82</v>
      </c>
      <c r="J6684" t="s">
        <v>83</v>
      </c>
      <c r="K6684" t="s">
        <v>19</v>
      </c>
      <c r="L6684" t="s">
        <v>27</v>
      </c>
      <c r="M6684" t="s">
        <v>24</v>
      </c>
      <c r="N6684" t="s">
        <v>22</v>
      </c>
    </row>
    <row r="6685" spans="1:14">
      <c r="A6685" s="4" t="str">
        <f t="shared" si="623"/>
        <v>EXP00233</v>
      </c>
      <c r="B6685" s="4" t="str">
        <f t="shared" si="624"/>
        <v>25316811</v>
      </c>
      <c r="C6685" s="4" t="str">
        <f t="shared" si="625"/>
        <v>GSE60464</v>
      </c>
      <c r="D6685" s="1" t="s">
        <v>341</v>
      </c>
      <c r="E6685" t="s">
        <v>84</v>
      </c>
      <c r="F6685" s="1">
        <v>2</v>
      </c>
      <c r="G6685" s="1" t="s">
        <v>315</v>
      </c>
      <c r="H6685" s="4" t="str">
        <f>HYPERLINK("https://www.ncbi.nlm.nih.gov/geo/query/acc.cgi?acc=GSM1480417","GSM1480417")</f>
        <v>GSM1480417</v>
      </c>
      <c r="I6685" t="s">
        <v>82</v>
      </c>
      <c r="J6685" t="s">
        <v>83</v>
      </c>
      <c r="K6685" t="s">
        <v>19</v>
      </c>
      <c r="L6685" t="s">
        <v>27</v>
      </c>
      <c r="M6685" t="s">
        <v>27</v>
      </c>
      <c r="N6685" t="s">
        <v>22</v>
      </c>
    </row>
    <row r="6686" spans="1:14">
      <c r="A6686" s="4" t="str">
        <f t="shared" si="623"/>
        <v>EXP00233</v>
      </c>
      <c r="B6686" s="4" t="str">
        <f t="shared" si="624"/>
        <v>25316811</v>
      </c>
      <c r="C6686" s="4" t="str">
        <f t="shared" si="625"/>
        <v>GSE60464</v>
      </c>
      <c r="D6686" s="1" t="s">
        <v>341</v>
      </c>
      <c r="E6686" t="s">
        <v>84</v>
      </c>
      <c r="F6686" s="1">
        <v>2</v>
      </c>
      <c r="G6686" s="1" t="s">
        <v>315</v>
      </c>
      <c r="H6686" s="4" t="str">
        <f>HYPERLINK("https://www.ncbi.nlm.nih.gov/geo/query/acc.cgi?acc=GSM1480421","GSM1480421")</f>
        <v>GSM1480421</v>
      </c>
      <c r="I6686" t="s">
        <v>82</v>
      </c>
      <c r="J6686" t="s">
        <v>83</v>
      </c>
      <c r="K6686" t="s">
        <v>19</v>
      </c>
      <c r="L6686" t="s">
        <v>27</v>
      </c>
      <c r="M6686" t="s">
        <v>27</v>
      </c>
      <c r="N6686" t="s">
        <v>22</v>
      </c>
    </row>
    <row r="6687" spans="1:14">
      <c r="A6687" s="4" t="str">
        <f t="shared" si="623"/>
        <v>EXP00233</v>
      </c>
      <c r="B6687" s="4" t="str">
        <f t="shared" si="624"/>
        <v>25316811</v>
      </c>
      <c r="C6687" s="4" t="str">
        <f t="shared" si="625"/>
        <v>GSE60464</v>
      </c>
      <c r="D6687" s="1" t="s">
        <v>341</v>
      </c>
      <c r="E6687" t="s">
        <v>84</v>
      </c>
      <c r="F6687" s="1">
        <v>2</v>
      </c>
      <c r="G6687" s="1" t="s">
        <v>315</v>
      </c>
      <c r="H6687" s="4" t="str">
        <f>HYPERLINK("https://www.ncbi.nlm.nih.gov/geo/query/acc.cgi?acc=GSM1480424","GSM1480424")</f>
        <v>GSM1480424</v>
      </c>
      <c r="I6687" t="s">
        <v>82</v>
      </c>
      <c r="J6687" t="s">
        <v>83</v>
      </c>
      <c r="K6687" t="s">
        <v>19</v>
      </c>
      <c r="L6687" t="s">
        <v>27</v>
      </c>
      <c r="M6687" t="s">
        <v>27</v>
      </c>
      <c r="N6687" t="s">
        <v>22</v>
      </c>
    </row>
    <row r="6688" spans="1:14">
      <c r="A6688" s="4" t="str">
        <f t="shared" si="623"/>
        <v>EXP00233</v>
      </c>
      <c r="B6688" s="4" t="str">
        <f t="shared" si="624"/>
        <v>25316811</v>
      </c>
      <c r="C6688" s="4" t="str">
        <f t="shared" si="625"/>
        <v>GSE60464</v>
      </c>
      <c r="D6688" s="1" t="s">
        <v>341</v>
      </c>
      <c r="E6688" t="s">
        <v>84</v>
      </c>
      <c r="F6688" s="1">
        <v>2</v>
      </c>
      <c r="G6688" s="1" t="s">
        <v>315</v>
      </c>
      <c r="H6688" s="4" t="str">
        <f>HYPERLINK("https://www.ncbi.nlm.nih.gov/geo/query/acc.cgi?acc=GSM1480430","GSM1480430")</f>
        <v>GSM1480430</v>
      </c>
      <c r="I6688" t="s">
        <v>82</v>
      </c>
      <c r="J6688" t="s">
        <v>83</v>
      </c>
      <c r="K6688" t="s">
        <v>19</v>
      </c>
      <c r="L6688" t="s">
        <v>27</v>
      </c>
      <c r="M6688" t="s">
        <v>27</v>
      </c>
      <c r="N6688" t="s">
        <v>22</v>
      </c>
    </row>
    <row r="6689" spans="1:14">
      <c r="A6689" s="4" t="str">
        <f t="shared" si="623"/>
        <v>EXP00233</v>
      </c>
      <c r="B6689" s="4" t="str">
        <f t="shared" si="624"/>
        <v>25316811</v>
      </c>
      <c r="C6689" s="4" t="str">
        <f t="shared" si="625"/>
        <v>GSE60464</v>
      </c>
      <c r="D6689" s="1" t="s">
        <v>341</v>
      </c>
      <c r="E6689" t="s">
        <v>84</v>
      </c>
      <c r="F6689" s="1">
        <v>2</v>
      </c>
      <c r="G6689" s="1" t="s">
        <v>315</v>
      </c>
      <c r="H6689" s="4" t="str">
        <f>HYPERLINK("https://www.ncbi.nlm.nih.gov/geo/query/acc.cgi?acc=GSM1480434","GSM1480434")</f>
        <v>GSM1480434</v>
      </c>
      <c r="I6689" t="s">
        <v>82</v>
      </c>
      <c r="J6689" t="s">
        <v>83</v>
      </c>
      <c r="K6689" t="s">
        <v>19</v>
      </c>
      <c r="L6689" t="s">
        <v>27</v>
      </c>
      <c r="M6689" t="s">
        <v>27</v>
      </c>
      <c r="N6689" t="s">
        <v>22</v>
      </c>
    </row>
    <row r="6690" spans="1:14">
      <c r="A6690" s="4" t="str">
        <f t="shared" si="623"/>
        <v>EXP00233</v>
      </c>
      <c r="B6690" s="4" t="str">
        <f t="shared" si="624"/>
        <v>25316811</v>
      </c>
      <c r="C6690" s="4" t="str">
        <f t="shared" si="625"/>
        <v>GSE60464</v>
      </c>
      <c r="D6690" s="1" t="s">
        <v>341</v>
      </c>
      <c r="E6690" t="s">
        <v>84</v>
      </c>
      <c r="F6690" s="1">
        <v>2</v>
      </c>
      <c r="G6690" s="1" t="s">
        <v>315</v>
      </c>
      <c r="H6690" s="4" t="str">
        <f>HYPERLINK("https://www.ncbi.nlm.nih.gov/geo/query/acc.cgi?acc=GSM1480437","GSM1480437")</f>
        <v>GSM1480437</v>
      </c>
      <c r="I6690" t="s">
        <v>82</v>
      </c>
      <c r="J6690" t="s">
        <v>83</v>
      </c>
      <c r="K6690" t="s">
        <v>19</v>
      </c>
      <c r="L6690" t="s">
        <v>27</v>
      </c>
      <c r="M6690" t="s">
        <v>27</v>
      </c>
      <c r="N6690" t="s">
        <v>22</v>
      </c>
    </row>
    <row r="6691" spans="1:14">
      <c r="A6691" s="4" t="str">
        <f t="shared" si="623"/>
        <v>EXP00233</v>
      </c>
      <c r="B6691" s="4" t="str">
        <f t="shared" si="624"/>
        <v>25316811</v>
      </c>
      <c r="C6691" s="4" t="str">
        <f t="shared" si="625"/>
        <v>GSE60464</v>
      </c>
      <c r="D6691" s="1" t="s">
        <v>341</v>
      </c>
      <c r="E6691" t="s">
        <v>84</v>
      </c>
      <c r="F6691" s="1">
        <v>2</v>
      </c>
      <c r="G6691" s="1" t="s">
        <v>315</v>
      </c>
      <c r="H6691" s="4" t="str">
        <f>HYPERLINK("https://www.ncbi.nlm.nih.gov/geo/query/acc.cgi?acc=GSM1480442","GSM1480442")</f>
        <v>GSM1480442</v>
      </c>
      <c r="I6691" t="s">
        <v>82</v>
      </c>
      <c r="J6691" t="s">
        <v>83</v>
      </c>
      <c r="K6691" t="s">
        <v>19</v>
      </c>
      <c r="L6691" t="s">
        <v>27</v>
      </c>
      <c r="M6691" t="s">
        <v>27</v>
      </c>
      <c r="N6691" t="s">
        <v>22</v>
      </c>
    </row>
    <row r="6692" spans="1:14">
      <c r="A6692" s="4" t="str">
        <f t="shared" si="623"/>
        <v>EXP00233</v>
      </c>
      <c r="B6692" s="4" t="str">
        <f t="shared" si="624"/>
        <v>25316811</v>
      </c>
      <c r="C6692" s="4" t="str">
        <f t="shared" si="625"/>
        <v>GSE60464</v>
      </c>
      <c r="D6692" s="1" t="s">
        <v>341</v>
      </c>
      <c r="E6692" t="s">
        <v>84</v>
      </c>
      <c r="F6692" s="1">
        <v>2</v>
      </c>
      <c r="G6692" s="1" t="s">
        <v>315</v>
      </c>
      <c r="H6692" s="4" t="str">
        <f>HYPERLINK("https://www.ncbi.nlm.nih.gov/geo/query/acc.cgi?acc=GSM1480444","GSM1480444")</f>
        <v>GSM1480444</v>
      </c>
      <c r="I6692" t="s">
        <v>82</v>
      </c>
      <c r="J6692" t="s">
        <v>83</v>
      </c>
      <c r="K6692" t="s">
        <v>19</v>
      </c>
      <c r="L6692" t="s">
        <v>27</v>
      </c>
      <c r="M6692" t="s">
        <v>27</v>
      </c>
      <c r="N6692" t="s">
        <v>22</v>
      </c>
    </row>
    <row r="6693" spans="1:14">
      <c r="A6693" s="4" t="str">
        <f t="shared" si="623"/>
        <v>EXP00233</v>
      </c>
      <c r="B6693" s="4" t="str">
        <f t="shared" si="624"/>
        <v>25316811</v>
      </c>
      <c r="C6693" s="4" t="str">
        <f t="shared" si="625"/>
        <v>GSE60464</v>
      </c>
      <c r="D6693" s="1" t="s">
        <v>341</v>
      </c>
      <c r="E6693" t="s">
        <v>84</v>
      </c>
      <c r="F6693" s="1">
        <v>2</v>
      </c>
      <c r="G6693" s="1" t="s">
        <v>315</v>
      </c>
      <c r="H6693" s="4" t="str">
        <f>HYPERLINK("https://www.ncbi.nlm.nih.gov/geo/query/acc.cgi?acc=GSM1480447","GSM1480447")</f>
        <v>GSM1480447</v>
      </c>
      <c r="I6693" t="s">
        <v>82</v>
      </c>
      <c r="J6693" t="s">
        <v>83</v>
      </c>
      <c r="K6693" t="s">
        <v>19</v>
      </c>
      <c r="L6693" t="s">
        <v>27</v>
      </c>
      <c r="M6693" t="s">
        <v>27</v>
      </c>
      <c r="N6693" t="s">
        <v>22</v>
      </c>
    </row>
    <row r="6694" spans="1:14">
      <c r="A6694" s="4" t="str">
        <f t="shared" si="623"/>
        <v>EXP00233</v>
      </c>
      <c r="B6694" s="4" t="str">
        <f t="shared" si="624"/>
        <v>25316811</v>
      </c>
      <c r="C6694" s="4" t="str">
        <f t="shared" si="625"/>
        <v>GSE60464</v>
      </c>
      <c r="D6694" s="1" t="s">
        <v>341</v>
      </c>
      <c r="E6694" t="s">
        <v>84</v>
      </c>
      <c r="F6694" s="1">
        <v>2</v>
      </c>
      <c r="G6694" s="1" t="s">
        <v>315</v>
      </c>
      <c r="H6694" s="4" t="str">
        <f>HYPERLINK("https://www.ncbi.nlm.nih.gov/geo/query/acc.cgi?acc=GSM1480448","GSM1480448")</f>
        <v>GSM1480448</v>
      </c>
      <c r="I6694" t="s">
        <v>82</v>
      </c>
      <c r="J6694" t="s">
        <v>83</v>
      </c>
      <c r="K6694" t="s">
        <v>19</v>
      </c>
      <c r="L6694" t="s">
        <v>27</v>
      </c>
      <c r="M6694" t="s">
        <v>27</v>
      </c>
      <c r="N6694" t="s">
        <v>22</v>
      </c>
    </row>
    <row r="6695" spans="1:14">
      <c r="A6695" s="4" t="str">
        <f t="shared" si="623"/>
        <v>EXP00233</v>
      </c>
      <c r="B6695" s="4" t="str">
        <f t="shared" si="624"/>
        <v>25316811</v>
      </c>
      <c r="C6695" s="4" t="str">
        <f t="shared" si="625"/>
        <v>GSE60464</v>
      </c>
      <c r="D6695" s="1" t="s">
        <v>341</v>
      </c>
      <c r="E6695" t="s">
        <v>84</v>
      </c>
      <c r="F6695" s="1">
        <v>3</v>
      </c>
      <c r="G6695" s="1" t="s">
        <v>309</v>
      </c>
      <c r="H6695" s="4" t="str">
        <f>HYPERLINK("https://www.ncbi.nlm.nih.gov/geo/query/acc.cgi?acc=GSM1480416","GSM1480416")</f>
        <v>GSM1480416</v>
      </c>
      <c r="I6695" t="s">
        <v>82</v>
      </c>
      <c r="J6695" t="s">
        <v>83</v>
      </c>
      <c r="K6695" t="s">
        <v>19</v>
      </c>
      <c r="L6695" t="s">
        <v>27</v>
      </c>
      <c r="M6695" t="s">
        <v>213</v>
      </c>
      <c r="N6695" t="s">
        <v>22</v>
      </c>
    </row>
    <row r="6696" spans="1:14">
      <c r="A6696" s="4" t="str">
        <f t="shared" si="623"/>
        <v>EXP00233</v>
      </c>
      <c r="B6696" s="4" t="str">
        <f t="shared" si="624"/>
        <v>25316811</v>
      </c>
      <c r="C6696" s="4" t="str">
        <f t="shared" si="625"/>
        <v>GSE60464</v>
      </c>
      <c r="D6696" s="1" t="s">
        <v>341</v>
      </c>
      <c r="E6696" t="s">
        <v>84</v>
      </c>
      <c r="F6696" s="1">
        <v>3</v>
      </c>
      <c r="G6696" s="1" t="s">
        <v>309</v>
      </c>
      <c r="H6696" s="4" t="str">
        <f>HYPERLINK("https://www.ncbi.nlm.nih.gov/geo/query/acc.cgi?acc=GSM1480418","GSM1480418")</f>
        <v>GSM1480418</v>
      </c>
      <c r="I6696" t="s">
        <v>82</v>
      </c>
      <c r="J6696" t="s">
        <v>83</v>
      </c>
      <c r="K6696" t="s">
        <v>19</v>
      </c>
      <c r="L6696" t="s">
        <v>27</v>
      </c>
      <c r="M6696" t="s">
        <v>213</v>
      </c>
      <c r="N6696" t="s">
        <v>22</v>
      </c>
    </row>
    <row r="6697" spans="1:14">
      <c r="A6697" s="4" t="str">
        <f t="shared" si="623"/>
        <v>EXP00233</v>
      </c>
      <c r="B6697" s="4" t="str">
        <f t="shared" si="624"/>
        <v>25316811</v>
      </c>
      <c r="C6697" s="4" t="str">
        <f t="shared" si="625"/>
        <v>GSE60464</v>
      </c>
      <c r="D6697" s="1" t="s">
        <v>341</v>
      </c>
      <c r="E6697" t="s">
        <v>84</v>
      </c>
      <c r="F6697" s="1">
        <v>3</v>
      </c>
      <c r="G6697" s="1" t="s">
        <v>309</v>
      </c>
      <c r="H6697" s="4" t="str">
        <f>HYPERLINK("https://www.ncbi.nlm.nih.gov/geo/query/acc.cgi?acc=GSM1480422","GSM1480422")</f>
        <v>GSM1480422</v>
      </c>
      <c r="I6697" t="s">
        <v>82</v>
      </c>
      <c r="J6697" t="s">
        <v>83</v>
      </c>
      <c r="K6697" t="s">
        <v>19</v>
      </c>
      <c r="L6697" t="s">
        <v>27</v>
      </c>
      <c r="M6697" t="s">
        <v>213</v>
      </c>
      <c r="N6697" t="s">
        <v>22</v>
      </c>
    </row>
    <row r="6698" spans="1:14">
      <c r="A6698" s="4" t="str">
        <f t="shared" si="623"/>
        <v>EXP00233</v>
      </c>
      <c r="B6698" s="4" t="str">
        <f t="shared" si="624"/>
        <v>25316811</v>
      </c>
      <c r="C6698" s="4" t="str">
        <f t="shared" si="625"/>
        <v>GSE60464</v>
      </c>
      <c r="D6698" s="1" t="s">
        <v>341</v>
      </c>
      <c r="E6698" t="s">
        <v>84</v>
      </c>
      <c r="F6698" s="1">
        <v>3</v>
      </c>
      <c r="G6698" s="1" t="s">
        <v>309</v>
      </c>
      <c r="H6698" s="4" t="str">
        <f>HYPERLINK("https://www.ncbi.nlm.nih.gov/geo/query/acc.cgi?acc=GSM1480423","GSM1480423")</f>
        <v>GSM1480423</v>
      </c>
      <c r="I6698" t="s">
        <v>82</v>
      </c>
      <c r="J6698" t="s">
        <v>83</v>
      </c>
      <c r="K6698" t="s">
        <v>19</v>
      </c>
      <c r="L6698" t="s">
        <v>27</v>
      </c>
      <c r="M6698" t="s">
        <v>213</v>
      </c>
      <c r="N6698" t="s">
        <v>22</v>
      </c>
    </row>
    <row r="6699" spans="1:14">
      <c r="A6699" s="4" t="str">
        <f t="shared" si="623"/>
        <v>EXP00233</v>
      </c>
      <c r="B6699" s="4" t="str">
        <f t="shared" si="624"/>
        <v>25316811</v>
      </c>
      <c r="C6699" s="4" t="str">
        <f t="shared" si="625"/>
        <v>GSE60464</v>
      </c>
      <c r="D6699" s="1" t="s">
        <v>341</v>
      </c>
      <c r="E6699" t="s">
        <v>84</v>
      </c>
      <c r="F6699" s="1">
        <v>3</v>
      </c>
      <c r="G6699" s="1" t="s">
        <v>309</v>
      </c>
      <c r="H6699" s="4" t="str">
        <f>HYPERLINK("https://www.ncbi.nlm.nih.gov/geo/query/acc.cgi?acc=GSM1480425","GSM1480425")</f>
        <v>GSM1480425</v>
      </c>
      <c r="I6699" t="s">
        <v>82</v>
      </c>
      <c r="J6699" t="s">
        <v>83</v>
      </c>
      <c r="K6699" t="s">
        <v>19</v>
      </c>
      <c r="L6699" t="s">
        <v>27</v>
      </c>
      <c r="M6699" t="s">
        <v>213</v>
      </c>
      <c r="N6699" t="s">
        <v>22</v>
      </c>
    </row>
    <row r="6700" spans="1:14">
      <c r="A6700" s="4" t="str">
        <f t="shared" si="623"/>
        <v>EXP00233</v>
      </c>
      <c r="B6700" s="4" t="str">
        <f t="shared" si="624"/>
        <v>25316811</v>
      </c>
      <c r="C6700" s="4" t="str">
        <f t="shared" si="625"/>
        <v>GSE60464</v>
      </c>
      <c r="D6700" s="1" t="s">
        <v>341</v>
      </c>
      <c r="E6700" t="s">
        <v>84</v>
      </c>
      <c r="F6700" s="1">
        <v>3</v>
      </c>
      <c r="G6700" s="1" t="s">
        <v>309</v>
      </c>
      <c r="H6700" s="4" t="str">
        <f>HYPERLINK("https://www.ncbi.nlm.nih.gov/geo/query/acc.cgi?acc=GSM1480426","GSM1480426")</f>
        <v>GSM1480426</v>
      </c>
      <c r="I6700" t="s">
        <v>82</v>
      </c>
      <c r="J6700" t="s">
        <v>83</v>
      </c>
      <c r="K6700" t="s">
        <v>19</v>
      </c>
      <c r="L6700" t="s">
        <v>27</v>
      </c>
      <c r="M6700" t="s">
        <v>213</v>
      </c>
      <c r="N6700" t="s">
        <v>22</v>
      </c>
    </row>
    <row r="6701" spans="1:14">
      <c r="A6701" s="4" t="str">
        <f t="shared" si="623"/>
        <v>EXP00233</v>
      </c>
      <c r="B6701" s="4" t="str">
        <f t="shared" si="624"/>
        <v>25316811</v>
      </c>
      <c r="C6701" s="4" t="str">
        <f t="shared" si="625"/>
        <v>GSE60464</v>
      </c>
      <c r="D6701" s="1" t="s">
        <v>341</v>
      </c>
      <c r="E6701" t="s">
        <v>84</v>
      </c>
      <c r="F6701" s="1">
        <v>3</v>
      </c>
      <c r="G6701" s="1" t="s">
        <v>309</v>
      </c>
      <c r="H6701" s="4" t="str">
        <f>HYPERLINK("https://www.ncbi.nlm.nih.gov/geo/query/acc.cgi?acc=GSM1480427","GSM1480427")</f>
        <v>GSM1480427</v>
      </c>
      <c r="I6701" t="s">
        <v>82</v>
      </c>
      <c r="J6701" t="s">
        <v>83</v>
      </c>
      <c r="K6701" t="s">
        <v>19</v>
      </c>
      <c r="L6701" t="s">
        <v>27</v>
      </c>
      <c r="M6701" t="s">
        <v>213</v>
      </c>
      <c r="N6701" t="s">
        <v>22</v>
      </c>
    </row>
    <row r="6702" spans="1:14">
      <c r="A6702" s="4" t="str">
        <f t="shared" si="623"/>
        <v>EXP00233</v>
      </c>
      <c r="B6702" s="4" t="str">
        <f t="shared" si="624"/>
        <v>25316811</v>
      </c>
      <c r="C6702" s="4" t="str">
        <f t="shared" si="625"/>
        <v>GSE60464</v>
      </c>
      <c r="D6702" s="1" t="s">
        <v>341</v>
      </c>
      <c r="E6702" t="s">
        <v>84</v>
      </c>
      <c r="F6702" s="1">
        <v>3</v>
      </c>
      <c r="G6702" s="1" t="s">
        <v>309</v>
      </c>
      <c r="H6702" s="4" t="str">
        <f>HYPERLINK("https://www.ncbi.nlm.nih.gov/geo/query/acc.cgi?acc=GSM1480431","GSM1480431")</f>
        <v>GSM1480431</v>
      </c>
      <c r="I6702" t="s">
        <v>82</v>
      </c>
      <c r="J6702" t="s">
        <v>83</v>
      </c>
      <c r="K6702" t="s">
        <v>19</v>
      </c>
      <c r="L6702" t="s">
        <v>27</v>
      </c>
      <c r="M6702" t="s">
        <v>213</v>
      </c>
      <c r="N6702" t="s">
        <v>22</v>
      </c>
    </row>
    <row r="6703" spans="1:14">
      <c r="A6703" s="4" t="str">
        <f t="shared" si="623"/>
        <v>EXP00233</v>
      </c>
      <c r="B6703" s="4" t="str">
        <f t="shared" si="624"/>
        <v>25316811</v>
      </c>
      <c r="C6703" s="4" t="str">
        <f t="shared" si="625"/>
        <v>GSE60464</v>
      </c>
      <c r="D6703" s="1" t="s">
        <v>341</v>
      </c>
      <c r="E6703" t="s">
        <v>84</v>
      </c>
      <c r="F6703" s="1">
        <v>3</v>
      </c>
      <c r="G6703" s="1" t="s">
        <v>309</v>
      </c>
      <c r="H6703" s="4" t="str">
        <f>HYPERLINK("https://www.ncbi.nlm.nih.gov/geo/query/acc.cgi?acc=GSM1480432","GSM1480432")</f>
        <v>GSM1480432</v>
      </c>
      <c r="I6703" t="s">
        <v>82</v>
      </c>
      <c r="J6703" t="s">
        <v>83</v>
      </c>
      <c r="K6703" t="s">
        <v>19</v>
      </c>
      <c r="L6703" t="s">
        <v>27</v>
      </c>
      <c r="M6703" t="s">
        <v>213</v>
      </c>
      <c r="N6703" t="s">
        <v>22</v>
      </c>
    </row>
    <row r="6704" spans="1:14">
      <c r="A6704" s="4" t="str">
        <f t="shared" si="623"/>
        <v>EXP00233</v>
      </c>
      <c r="B6704" s="4" t="str">
        <f t="shared" si="624"/>
        <v>25316811</v>
      </c>
      <c r="C6704" s="4" t="str">
        <f t="shared" si="625"/>
        <v>GSE60464</v>
      </c>
      <c r="D6704" s="1" t="s">
        <v>341</v>
      </c>
      <c r="E6704" t="s">
        <v>84</v>
      </c>
      <c r="F6704" s="1">
        <v>3</v>
      </c>
      <c r="G6704" s="1" t="s">
        <v>309</v>
      </c>
      <c r="H6704" s="4" t="str">
        <f>HYPERLINK("https://www.ncbi.nlm.nih.gov/geo/query/acc.cgi?acc=GSM1480436","GSM1480436")</f>
        <v>GSM1480436</v>
      </c>
      <c r="I6704" t="s">
        <v>82</v>
      </c>
      <c r="J6704" t="s">
        <v>83</v>
      </c>
      <c r="K6704" t="s">
        <v>19</v>
      </c>
      <c r="L6704" t="s">
        <v>27</v>
      </c>
      <c r="M6704" t="s">
        <v>213</v>
      </c>
      <c r="N6704" t="s">
        <v>22</v>
      </c>
    </row>
    <row r="6705" spans="1:14">
      <c r="A6705" s="4" t="str">
        <f t="shared" si="623"/>
        <v>EXP00233</v>
      </c>
      <c r="B6705" s="4" t="str">
        <f t="shared" si="624"/>
        <v>25316811</v>
      </c>
      <c r="C6705" s="4" t="str">
        <f t="shared" si="625"/>
        <v>GSE60464</v>
      </c>
      <c r="D6705" s="1" t="s">
        <v>341</v>
      </c>
      <c r="E6705" t="s">
        <v>84</v>
      </c>
      <c r="F6705" s="1">
        <v>3</v>
      </c>
      <c r="G6705" s="1" t="s">
        <v>309</v>
      </c>
      <c r="H6705" s="4" t="str">
        <f>HYPERLINK("https://www.ncbi.nlm.nih.gov/geo/query/acc.cgi?acc=GSM1480438","GSM1480438")</f>
        <v>GSM1480438</v>
      </c>
      <c r="I6705" t="s">
        <v>82</v>
      </c>
      <c r="J6705" t="s">
        <v>83</v>
      </c>
      <c r="K6705" t="s">
        <v>19</v>
      </c>
      <c r="L6705" t="s">
        <v>27</v>
      </c>
      <c r="M6705" t="s">
        <v>213</v>
      </c>
      <c r="N6705" t="s">
        <v>22</v>
      </c>
    </row>
    <row r="6706" spans="1:14">
      <c r="A6706" s="4" t="str">
        <f t="shared" si="623"/>
        <v>EXP00233</v>
      </c>
      <c r="B6706" s="4" t="str">
        <f t="shared" si="624"/>
        <v>25316811</v>
      </c>
      <c r="C6706" s="4" t="str">
        <f t="shared" si="625"/>
        <v>GSE60464</v>
      </c>
      <c r="D6706" s="1" t="s">
        <v>341</v>
      </c>
      <c r="E6706" t="s">
        <v>84</v>
      </c>
      <c r="F6706" s="1">
        <v>3</v>
      </c>
      <c r="G6706" s="1" t="s">
        <v>309</v>
      </c>
      <c r="H6706" s="4" t="str">
        <f>HYPERLINK("https://www.ncbi.nlm.nih.gov/geo/query/acc.cgi?acc=GSM1480439","GSM1480439")</f>
        <v>GSM1480439</v>
      </c>
      <c r="I6706" t="s">
        <v>82</v>
      </c>
      <c r="J6706" t="s">
        <v>83</v>
      </c>
      <c r="K6706" t="s">
        <v>19</v>
      </c>
      <c r="L6706" t="s">
        <v>27</v>
      </c>
      <c r="M6706" t="s">
        <v>213</v>
      </c>
      <c r="N6706" t="s">
        <v>22</v>
      </c>
    </row>
    <row r="6707" spans="1:14">
      <c r="A6707" s="4" t="str">
        <f t="shared" si="623"/>
        <v>EXP00233</v>
      </c>
      <c r="B6707" s="4" t="str">
        <f t="shared" si="624"/>
        <v>25316811</v>
      </c>
      <c r="C6707" s="4" t="str">
        <f t="shared" si="625"/>
        <v>GSE60464</v>
      </c>
      <c r="D6707" s="1" t="s">
        <v>341</v>
      </c>
      <c r="E6707" t="s">
        <v>84</v>
      </c>
      <c r="F6707" s="1">
        <v>3</v>
      </c>
      <c r="G6707" s="1" t="s">
        <v>309</v>
      </c>
      <c r="H6707" s="4" t="str">
        <f>HYPERLINK("https://www.ncbi.nlm.nih.gov/geo/query/acc.cgi?acc=GSM1480440","GSM1480440")</f>
        <v>GSM1480440</v>
      </c>
      <c r="I6707" t="s">
        <v>82</v>
      </c>
      <c r="J6707" t="s">
        <v>83</v>
      </c>
      <c r="K6707" t="s">
        <v>19</v>
      </c>
      <c r="L6707" t="s">
        <v>27</v>
      </c>
      <c r="M6707" t="s">
        <v>213</v>
      </c>
      <c r="N6707" t="s">
        <v>22</v>
      </c>
    </row>
    <row r="6708" spans="1:14">
      <c r="A6708" s="4" t="str">
        <f t="shared" si="623"/>
        <v>EXP00233</v>
      </c>
      <c r="B6708" s="4" t="str">
        <f t="shared" si="624"/>
        <v>25316811</v>
      </c>
      <c r="C6708" s="4" t="str">
        <f t="shared" si="625"/>
        <v>GSE60464</v>
      </c>
      <c r="D6708" s="1" t="s">
        <v>341</v>
      </c>
      <c r="E6708" t="s">
        <v>84</v>
      </c>
      <c r="F6708" s="1">
        <v>3</v>
      </c>
      <c r="G6708" s="1" t="s">
        <v>309</v>
      </c>
      <c r="H6708" s="4" t="str">
        <f>HYPERLINK("https://www.ncbi.nlm.nih.gov/geo/query/acc.cgi?acc=GSM1480443","GSM1480443")</f>
        <v>GSM1480443</v>
      </c>
      <c r="I6708" t="s">
        <v>82</v>
      </c>
      <c r="J6708" t="s">
        <v>83</v>
      </c>
      <c r="K6708" t="s">
        <v>19</v>
      </c>
      <c r="L6708" t="s">
        <v>27</v>
      </c>
      <c r="M6708" t="s">
        <v>213</v>
      </c>
      <c r="N6708" t="s">
        <v>22</v>
      </c>
    </row>
    <row r="6709" spans="1:14">
      <c r="A6709" s="4" t="str">
        <f t="shared" si="623"/>
        <v>EXP00233</v>
      </c>
      <c r="B6709" s="4" t="str">
        <f t="shared" si="624"/>
        <v>25316811</v>
      </c>
      <c r="C6709" s="4" t="str">
        <f t="shared" si="625"/>
        <v>GSE60464</v>
      </c>
      <c r="D6709" s="1" t="s">
        <v>341</v>
      </c>
      <c r="E6709" t="s">
        <v>84</v>
      </c>
      <c r="F6709" s="1">
        <v>3</v>
      </c>
      <c r="G6709" s="1" t="s">
        <v>309</v>
      </c>
      <c r="H6709" s="4" t="str">
        <f>HYPERLINK("https://www.ncbi.nlm.nih.gov/geo/query/acc.cgi?acc=GSM1480445","GSM1480445")</f>
        <v>GSM1480445</v>
      </c>
      <c r="I6709" t="s">
        <v>82</v>
      </c>
      <c r="J6709" t="s">
        <v>83</v>
      </c>
      <c r="K6709" t="s">
        <v>19</v>
      </c>
      <c r="L6709" t="s">
        <v>27</v>
      </c>
      <c r="M6709" t="s">
        <v>213</v>
      </c>
      <c r="N6709" t="s">
        <v>22</v>
      </c>
    </row>
    <row r="6710" spans="1:14">
      <c r="A6710" s="4" t="str">
        <f t="shared" si="623"/>
        <v>EXP00233</v>
      </c>
      <c r="B6710" s="4" t="str">
        <f t="shared" si="624"/>
        <v>25316811</v>
      </c>
      <c r="C6710" s="4" t="str">
        <f t="shared" si="625"/>
        <v>GSE60464</v>
      </c>
      <c r="D6710" s="1" t="s">
        <v>341</v>
      </c>
      <c r="E6710" t="s">
        <v>84</v>
      </c>
      <c r="F6710" s="1">
        <v>3</v>
      </c>
      <c r="G6710" s="1" t="s">
        <v>309</v>
      </c>
      <c r="H6710" s="4" t="str">
        <f>HYPERLINK("https://www.ncbi.nlm.nih.gov/geo/query/acc.cgi?acc=GSM1480446","GSM1480446")</f>
        <v>GSM1480446</v>
      </c>
      <c r="I6710" t="s">
        <v>82</v>
      </c>
      <c r="J6710" t="s">
        <v>83</v>
      </c>
      <c r="K6710" t="s">
        <v>19</v>
      </c>
      <c r="L6710" t="s">
        <v>27</v>
      </c>
      <c r="M6710" t="s">
        <v>213</v>
      </c>
      <c r="N6710" t="s">
        <v>22</v>
      </c>
    </row>
    <row r="6711" spans="1:14">
      <c r="A6711" s="4" t="str">
        <f t="shared" si="623"/>
        <v>EXP00233</v>
      </c>
      <c r="B6711" s="4" t="str">
        <f t="shared" si="624"/>
        <v>25316811</v>
      </c>
      <c r="C6711" s="4" t="str">
        <f t="shared" si="625"/>
        <v>GSE60464</v>
      </c>
      <c r="D6711" s="1" t="s">
        <v>341</v>
      </c>
      <c r="E6711" t="s">
        <v>84</v>
      </c>
      <c r="F6711" s="1">
        <v>3</v>
      </c>
      <c r="G6711" s="1" t="s">
        <v>309</v>
      </c>
      <c r="H6711" s="4" t="str">
        <f>HYPERLINK("https://www.ncbi.nlm.nih.gov/geo/query/acc.cgi?acc=GSM1480449","GSM1480449")</f>
        <v>GSM1480449</v>
      </c>
      <c r="I6711" t="s">
        <v>82</v>
      </c>
      <c r="J6711" t="s">
        <v>83</v>
      </c>
      <c r="K6711" t="s">
        <v>19</v>
      </c>
      <c r="L6711" t="s">
        <v>27</v>
      </c>
      <c r="M6711" t="s">
        <v>213</v>
      </c>
      <c r="N6711" t="s">
        <v>22</v>
      </c>
    </row>
    <row r="6712" spans="1:14">
      <c r="A6712" s="4" t="str">
        <f t="shared" si="623"/>
        <v>EXP00233</v>
      </c>
      <c r="B6712" s="4" t="str">
        <f t="shared" si="624"/>
        <v>25316811</v>
      </c>
      <c r="C6712" s="4" t="str">
        <f t="shared" si="625"/>
        <v>GSE60464</v>
      </c>
      <c r="D6712" s="1" t="s">
        <v>341</v>
      </c>
      <c r="E6712" t="s">
        <v>84</v>
      </c>
      <c r="F6712" s="1">
        <v>3</v>
      </c>
      <c r="G6712" s="1" t="s">
        <v>309</v>
      </c>
      <c r="H6712" s="4" t="str">
        <f>HYPERLINK("https://www.ncbi.nlm.nih.gov/geo/query/acc.cgi?acc=GSM1480453","GSM1480453")</f>
        <v>GSM1480453</v>
      </c>
      <c r="I6712" t="s">
        <v>82</v>
      </c>
      <c r="J6712" t="s">
        <v>83</v>
      </c>
      <c r="K6712" t="s">
        <v>19</v>
      </c>
      <c r="L6712" t="s">
        <v>27</v>
      </c>
      <c r="M6712" t="s">
        <v>213</v>
      </c>
      <c r="N6712" t="s">
        <v>22</v>
      </c>
    </row>
    <row r="6713" spans="1:14">
      <c r="A6713" s="4" t="str">
        <f t="shared" ref="A6713:A6754" si="626">HYPERLINK("http://hcmdb.i-sanger.com/experiment/details/experiment_id/EXP00234","EXP00234")</f>
        <v>EXP00234</v>
      </c>
      <c r="B6713" s="4" t="str">
        <f t="shared" ref="B6713:B6776" si="627">HYPERLINK("https://www.ncbi.nlm.nih.gov/pubmed/25965298","25965298")</f>
        <v>25965298</v>
      </c>
      <c r="C6713" s="4" t="str">
        <f t="shared" ref="C6713:C6776" si="628">HYPERLINK("https://www.ncbi.nlm.nih.gov/geo/query/acc.cgi?acc=GSE60542","GSE60542")</f>
        <v>GSE60542</v>
      </c>
      <c r="D6713" s="1" t="s">
        <v>45</v>
      </c>
      <c r="E6713" t="s">
        <v>332</v>
      </c>
      <c r="F6713" s="1">
        <v>1</v>
      </c>
      <c r="G6713" s="1" t="s">
        <v>26</v>
      </c>
      <c r="H6713" s="4" t="str">
        <f>HYPERLINK("https://www.ncbi.nlm.nih.gov/geo/query/acc.cgi?acc=GSM1481840","GSM1481840")</f>
        <v>GSM1481840</v>
      </c>
      <c r="I6713" t="s">
        <v>333</v>
      </c>
      <c r="J6713" t="s">
        <v>334</v>
      </c>
      <c r="K6713" t="s">
        <v>19</v>
      </c>
      <c r="L6713" t="s">
        <v>335</v>
      </c>
      <c r="M6713" t="s">
        <v>24</v>
      </c>
      <c r="N6713" t="s">
        <v>22</v>
      </c>
    </row>
    <row r="6714" spans="1:14">
      <c r="A6714" s="4" t="str">
        <f t="shared" si="626"/>
        <v>EXP00234</v>
      </c>
      <c r="B6714" s="4" t="str">
        <f t="shared" si="627"/>
        <v>25965298</v>
      </c>
      <c r="C6714" s="4" t="str">
        <f t="shared" si="628"/>
        <v>GSE60542</v>
      </c>
      <c r="D6714" s="1" t="s">
        <v>45</v>
      </c>
      <c r="E6714" t="s">
        <v>332</v>
      </c>
      <c r="F6714" s="1">
        <v>1</v>
      </c>
      <c r="G6714" s="1" t="s">
        <v>26</v>
      </c>
      <c r="H6714" s="4" t="str">
        <f>HYPERLINK("https://www.ncbi.nlm.nih.gov/geo/query/acc.cgi?acc=GSM1481847","GSM1481847")</f>
        <v>GSM1481847</v>
      </c>
      <c r="I6714" t="s">
        <v>333</v>
      </c>
      <c r="J6714" t="s">
        <v>334</v>
      </c>
      <c r="K6714" t="s">
        <v>19</v>
      </c>
      <c r="L6714" t="s">
        <v>335</v>
      </c>
      <c r="M6714" t="s">
        <v>24</v>
      </c>
      <c r="N6714" t="s">
        <v>22</v>
      </c>
    </row>
    <row r="6715" spans="1:14">
      <c r="A6715" s="4" t="str">
        <f t="shared" si="626"/>
        <v>EXP00234</v>
      </c>
      <c r="B6715" s="4" t="str">
        <f t="shared" si="627"/>
        <v>25965298</v>
      </c>
      <c r="C6715" s="4" t="str">
        <f t="shared" si="628"/>
        <v>GSE60542</v>
      </c>
      <c r="D6715" s="1" t="s">
        <v>45</v>
      </c>
      <c r="E6715" t="s">
        <v>332</v>
      </c>
      <c r="F6715" s="1">
        <v>1</v>
      </c>
      <c r="G6715" s="1" t="s">
        <v>26</v>
      </c>
      <c r="H6715" s="4" t="str">
        <f>HYPERLINK("https://www.ncbi.nlm.nih.gov/geo/query/acc.cgi?acc=GSM1481850","GSM1481850")</f>
        <v>GSM1481850</v>
      </c>
      <c r="I6715" t="s">
        <v>333</v>
      </c>
      <c r="J6715" t="s">
        <v>334</v>
      </c>
      <c r="K6715" t="s">
        <v>19</v>
      </c>
      <c r="L6715" t="s">
        <v>335</v>
      </c>
      <c r="M6715" t="s">
        <v>24</v>
      </c>
      <c r="N6715" t="s">
        <v>22</v>
      </c>
    </row>
    <row r="6716" spans="1:14">
      <c r="A6716" s="4" t="str">
        <f t="shared" si="626"/>
        <v>EXP00234</v>
      </c>
      <c r="B6716" s="4" t="str">
        <f t="shared" si="627"/>
        <v>25965298</v>
      </c>
      <c r="C6716" s="4" t="str">
        <f t="shared" si="628"/>
        <v>GSE60542</v>
      </c>
      <c r="D6716" s="1" t="s">
        <v>45</v>
      </c>
      <c r="E6716" t="s">
        <v>332</v>
      </c>
      <c r="F6716" s="1">
        <v>1</v>
      </c>
      <c r="G6716" s="1" t="s">
        <v>26</v>
      </c>
      <c r="H6716" s="4" t="str">
        <f>HYPERLINK("https://www.ncbi.nlm.nih.gov/geo/query/acc.cgi?acc=GSM1481855","GSM1481855")</f>
        <v>GSM1481855</v>
      </c>
      <c r="I6716" t="s">
        <v>333</v>
      </c>
      <c r="J6716" t="s">
        <v>334</v>
      </c>
      <c r="K6716" t="s">
        <v>19</v>
      </c>
      <c r="L6716" t="s">
        <v>335</v>
      </c>
      <c r="M6716" t="s">
        <v>24</v>
      </c>
      <c r="N6716" t="s">
        <v>22</v>
      </c>
    </row>
    <row r="6717" spans="1:14">
      <c r="A6717" s="4" t="str">
        <f t="shared" si="626"/>
        <v>EXP00234</v>
      </c>
      <c r="B6717" s="4" t="str">
        <f t="shared" si="627"/>
        <v>25965298</v>
      </c>
      <c r="C6717" s="4" t="str">
        <f t="shared" si="628"/>
        <v>GSE60542</v>
      </c>
      <c r="D6717" s="1" t="s">
        <v>45</v>
      </c>
      <c r="E6717" t="s">
        <v>332</v>
      </c>
      <c r="F6717" s="1">
        <v>1</v>
      </c>
      <c r="G6717" s="1" t="s">
        <v>26</v>
      </c>
      <c r="H6717" s="4" t="str">
        <f>HYPERLINK("https://www.ncbi.nlm.nih.gov/geo/query/acc.cgi?acc=GSM1481857","GSM1481857")</f>
        <v>GSM1481857</v>
      </c>
      <c r="I6717" t="s">
        <v>333</v>
      </c>
      <c r="J6717" t="s">
        <v>334</v>
      </c>
      <c r="K6717" t="s">
        <v>19</v>
      </c>
      <c r="L6717" t="s">
        <v>335</v>
      </c>
      <c r="M6717" t="s">
        <v>24</v>
      </c>
      <c r="N6717" t="s">
        <v>22</v>
      </c>
    </row>
    <row r="6718" spans="1:14">
      <c r="A6718" s="4" t="str">
        <f t="shared" si="626"/>
        <v>EXP00234</v>
      </c>
      <c r="B6718" s="4" t="str">
        <f t="shared" si="627"/>
        <v>25965298</v>
      </c>
      <c r="C6718" s="4" t="str">
        <f t="shared" si="628"/>
        <v>GSE60542</v>
      </c>
      <c r="D6718" s="1" t="s">
        <v>45</v>
      </c>
      <c r="E6718" t="s">
        <v>332</v>
      </c>
      <c r="F6718" s="1">
        <v>1</v>
      </c>
      <c r="G6718" s="1" t="s">
        <v>26</v>
      </c>
      <c r="H6718" s="4" t="str">
        <f>HYPERLINK("https://www.ncbi.nlm.nih.gov/geo/query/acc.cgi?acc=GSM1481859","GSM1481859")</f>
        <v>GSM1481859</v>
      </c>
      <c r="I6718" t="s">
        <v>333</v>
      </c>
      <c r="J6718" t="s">
        <v>334</v>
      </c>
      <c r="K6718" t="s">
        <v>19</v>
      </c>
      <c r="L6718" t="s">
        <v>335</v>
      </c>
      <c r="M6718" t="s">
        <v>24</v>
      </c>
      <c r="N6718" t="s">
        <v>22</v>
      </c>
    </row>
    <row r="6719" spans="1:14">
      <c r="A6719" s="4" t="str">
        <f t="shared" si="626"/>
        <v>EXP00234</v>
      </c>
      <c r="B6719" s="4" t="str">
        <f t="shared" si="627"/>
        <v>25965298</v>
      </c>
      <c r="C6719" s="4" t="str">
        <f t="shared" si="628"/>
        <v>GSE60542</v>
      </c>
      <c r="D6719" s="1" t="s">
        <v>45</v>
      </c>
      <c r="E6719" t="s">
        <v>332</v>
      </c>
      <c r="F6719" s="1">
        <v>1</v>
      </c>
      <c r="G6719" s="1" t="s">
        <v>26</v>
      </c>
      <c r="H6719" s="4" t="str">
        <f>HYPERLINK("https://www.ncbi.nlm.nih.gov/geo/query/acc.cgi?acc=GSM1481864","GSM1481864")</f>
        <v>GSM1481864</v>
      </c>
      <c r="I6719" t="s">
        <v>333</v>
      </c>
      <c r="J6719" t="s">
        <v>334</v>
      </c>
      <c r="K6719" t="s">
        <v>19</v>
      </c>
      <c r="L6719" t="s">
        <v>335</v>
      </c>
      <c r="M6719" t="s">
        <v>24</v>
      </c>
      <c r="N6719" t="s">
        <v>22</v>
      </c>
    </row>
    <row r="6720" spans="1:14">
      <c r="A6720" s="4" t="str">
        <f t="shared" si="626"/>
        <v>EXP00234</v>
      </c>
      <c r="B6720" s="4" t="str">
        <f t="shared" si="627"/>
        <v>25965298</v>
      </c>
      <c r="C6720" s="4" t="str">
        <f t="shared" si="628"/>
        <v>GSE60542</v>
      </c>
      <c r="D6720" s="1" t="s">
        <v>45</v>
      </c>
      <c r="E6720" t="s">
        <v>332</v>
      </c>
      <c r="F6720" s="1">
        <v>1</v>
      </c>
      <c r="G6720" s="1" t="s">
        <v>26</v>
      </c>
      <c r="H6720" s="4" t="str">
        <f>HYPERLINK("https://www.ncbi.nlm.nih.gov/geo/query/acc.cgi?acc=GSM1481866","GSM1481866")</f>
        <v>GSM1481866</v>
      </c>
      <c r="I6720" t="s">
        <v>333</v>
      </c>
      <c r="J6720" t="s">
        <v>334</v>
      </c>
      <c r="K6720" t="s">
        <v>19</v>
      </c>
      <c r="L6720" t="s">
        <v>335</v>
      </c>
      <c r="M6720" t="s">
        <v>24</v>
      </c>
      <c r="N6720" t="s">
        <v>22</v>
      </c>
    </row>
    <row r="6721" spans="1:14">
      <c r="A6721" s="4" t="str">
        <f t="shared" si="626"/>
        <v>EXP00234</v>
      </c>
      <c r="B6721" s="4" t="str">
        <f t="shared" si="627"/>
        <v>25965298</v>
      </c>
      <c r="C6721" s="4" t="str">
        <f t="shared" si="628"/>
        <v>GSE60542</v>
      </c>
      <c r="D6721" s="1" t="s">
        <v>45</v>
      </c>
      <c r="E6721" t="s">
        <v>332</v>
      </c>
      <c r="F6721" s="1">
        <v>1</v>
      </c>
      <c r="G6721" s="1" t="s">
        <v>26</v>
      </c>
      <c r="H6721" s="4" t="str">
        <f>HYPERLINK("https://www.ncbi.nlm.nih.gov/geo/query/acc.cgi?acc=GSM1481869","GSM1481869")</f>
        <v>GSM1481869</v>
      </c>
      <c r="I6721" t="s">
        <v>333</v>
      </c>
      <c r="J6721" t="s">
        <v>334</v>
      </c>
      <c r="K6721" t="s">
        <v>19</v>
      </c>
      <c r="L6721" t="s">
        <v>335</v>
      </c>
      <c r="M6721" t="s">
        <v>24</v>
      </c>
      <c r="N6721" t="s">
        <v>22</v>
      </c>
    </row>
    <row r="6722" spans="1:14">
      <c r="A6722" s="4" t="str">
        <f t="shared" si="626"/>
        <v>EXP00234</v>
      </c>
      <c r="B6722" s="4" t="str">
        <f t="shared" si="627"/>
        <v>25965298</v>
      </c>
      <c r="C6722" s="4" t="str">
        <f t="shared" si="628"/>
        <v>GSE60542</v>
      </c>
      <c r="D6722" s="1" t="s">
        <v>45</v>
      </c>
      <c r="E6722" t="s">
        <v>332</v>
      </c>
      <c r="F6722" s="1">
        <v>1</v>
      </c>
      <c r="G6722" s="1" t="s">
        <v>26</v>
      </c>
      <c r="H6722" s="4" t="str">
        <f>HYPERLINK("https://www.ncbi.nlm.nih.gov/geo/query/acc.cgi?acc=GSM1481871","GSM1481871")</f>
        <v>GSM1481871</v>
      </c>
      <c r="I6722" t="s">
        <v>333</v>
      </c>
      <c r="J6722" t="s">
        <v>334</v>
      </c>
      <c r="K6722" t="s">
        <v>19</v>
      </c>
      <c r="L6722" t="s">
        <v>335</v>
      </c>
      <c r="M6722" t="s">
        <v>24</v>
      </c>
      <c r="N6722" t="s">
        <v>22</v>
      </c>
    </row>
    <row r="6723" spans="1:14">
      <c r="A6723" s="4" t="str">
        <f t="shared" si="626"/>
        <v>EXP00234</v>
      </c>
      <c r="B6723" s="4" t="str">
        <f t="shared" si="627"/>
        <v>25965298</v>
      </c>
      <c r="C6723" s="4" t="str">
        <f t="shared" si="628"/>
        <v>GSE60542</v>
      </c>
      <c r="D6723" s="1" t="s">
        <v>45</v>
      </c>
      <c r="E6723" t="s">
        <v>332</v>
      </c>
      <c r="F6723" s="1">
        <v>1</v>
      </c>
      <c r="G6723" s="1" t="s">
        <v>26</v>
      </c>
      <c r="H6723" s="4" t="str">
        <f>HYPERLINK("https://www.ncbi.nlm.nih.gov/geo/query/acc.cgi?acc=GSM1481873","GSM1481873")</f>
        <v>GSM1481873</v>
      </c>
      <c r="I6723" t="s">
        <v>333</v>
      </c>
      <c r="J6723" t="s">
        <v>334</v>
      </c>
      <c r="K6723" t="s">
        <v>19</v>
      </c>
      <c r="L6723" t="s">
        <v>335</v>
      </c>
      <c r="M6723" t="s">
        <v>24</v>
      </c>
      <c r="N6723" t="s">
        <v>22</v>
      </c>
    </row>
    <row r="6724" spans="1:14">
      <c r="A6724" s="4" t="str">
        <f t="shared" si="626"/>
        <v>EXP00234</v>
      </c>
      <c r="B6724" s="4" t="str">
        <f t="shared" si="627"/>
        <v>25965298</v>
      </c>
      <c r="C6724" s="4" t="str">
        <f t="shared" si="628"/>
        <v>GSE60542</v>
      </c>
      <c r="D6724" s="1" t="s">
        <v>45</v>
      </c>
      <c r="E6724" t="s">
        <v>332</v>
      </c>
      <c r="F6724" s="1">
        <v>1</v>
      </c>
      <c r="G6724" s="1" t="s">
        <v>26</v>
      </c>
      <c r="H6724" s="4" t="str">
        <f>HYPERLINK("https://www.ncbi.nlm.nih.gov/geo/query/acc.cgi?acc=GSM1481878","GSM1481878")</f>
        <v>GSM1481878</v>
      </c>
      <c r="I6724" t="s">
        <v>333</v>
      </c>
      <c r="J6724" t="s">
        <v>334</v>
      </c>
      <c r="K6724" t="s">
        <v>19</v>
      </c>
      <c r="L6724" t="s">
        <v>335</v>
      </c>
      <c r="M6724" t="s">
        <v>24</v>
      </c>
      <c r="N6724" t="s">
        <v>22</v>
      </c>
    </row>
    <row r="6725" spans="1:14">
      <c r="A6725" s="4" t="str">
        <f t="shared" si="626"/>
        <v>EXP00234</v>
      </c>
      <c r="B6725" s="4" t="str">
        <f t="shared" si="627"/>
        <v>25965298</v>
      </c>
      <c r="C6725" s="4" t="str">
        <f t="shared" si="628"/>
        <v>GSE60542</v>
      </c>
      <c r="D6725" s="1" t="s">
        <v>45</v>
      </c>
      <c r="E6725" t="s">
        <v>332</v>
      </c>
      <c r="F6725" s="1">
        <v>1</v>
      </c>
      <c r="G6725" s="1" t="s">
        <v>26</v>
      </c>
      <c r="H6725" s="4" t="str">
        <f>HYPERLINK("https://www.ncbi.nlm.nih.gov/geo/query/acc.cgi?acc=GSM1481879","GSM1481879")</f>
        <v>GSM1481879</v>
      </c>
      <c r="I6725" t="s">
        <v>333</v>
      </c>
      <c r="J6725" t="s">
        <v>334</v>
      </c>
      <c r="K6725" t="s">
        <v>19</v>
      </c>
      <c r="L6725" t="s">
        <v>335</v>
      </c>
      <c r="M6725" t="s">
        <v>24</v>
      </c>
      <c r="N6725" t="s">
        <v>22</v>
      </c>
    </row>
    <row r="6726" spans="1:14">
      <c r="A6726" s="4" t="str">
        <f t="shared" si="626"/>
        <v>EXP00234</v>
      </c>
      <c r="B6726" s="4" t="str">
        <f t="shared" si="627"/>
        <v>25965298</v>
      </c>
      <c r="C6726" s="4" t="str">
        <f t="shared" si="628"/>
        <v>GSE60542</v>
      </c>
      <c r="D6726" s="1" t="s">
        <v>45</v>
      </c>
      <c r="E6726" t="s">
        <v>332</v>
      </c>
      <c r="F6726" s="1">
        <v>1</v>
      </c>
      <c r="G6726" s="1" t="s">
        <v>26</v>
      </c>
      <c r="H6726" s="4" t="str">
        <f>HYPERLINK("https://www.ncbi.nlm.nih.gov/geo/query/acc.cgi?acc=GSM1481881","GSM1481881")</f>
        <v>GSM1481881</v>
      </c>
      <c r="I6726" t="s">
        <v>333</v>
      </c>
      <c r="J6726" t="s">
        <v>334</v>
      </c>
      <c r="K6726" t="s">
        <v>19</v>
      </c>
      <c r="L6726" t="s">
        <v>335</v>
      </c>
      <c r="M6726" t="s">
        <v>24</v>
      </c>
      <c r="N6726" t="s">
        <v>22</v>
      </c>
    </row>
    <row r="6727" spans="1:14">
      <c r="A6727" s="4" t="str">
        <f t="shared" si="626"/>
        <v>EXP00234</v>
      </c>
      <c r="B6727" s="4" t="str">
        <f t="shared" si="627"/>
        <v>25965298</v>
      </c>
      <c r="C6727" s="4" t="str">
        <f t="shared" si="628"/>
        <v>GSE60542</v>
      </c>
      <c r="D6727" s="1" t="s">
        <v>45</v>
      </c>
      <c r="E6727" t="s">
        <v>332</v>
      </c>
      <c r="F6727" s="1">
        <v>1</v>
      </c>
      <c r="G6727" s="1" t="s">
        <v>26</v>
      </c>
      <c r="H6727" s="4" t="str">
        <f>HYPERLINK("https://www.ncbi.nlm.nih.gov/geo/query/acc.cgi?acc=GSM1481884","GSM1481884")</f>
        <v>GSM1481884</v>
      </c>
      <c r="I6727" t="s">
        <v>333</v>
      </c>
      <c r="J6727" t="s">
        <v>334</v>
      </c>
      <c r="K6727" t="s">
        <v>19</v>
      </c>
      <c r="L6727" t="s">
        <v>335</v>
      </c>
      <c r="M6727" t="s">
        <v>24</v>
      </c>
      <c r="N6727" t="s">
        <v>22</v>
      </c>
    </row>
    <row r="6728" spans="1:14">
      <c r="A6728" s="4" t="str">
        <f t="shared" si="626"/>
        <v>EXP00234</v>
      </c>
      <c r="B6728" s="4" t="str">
        <f t="shared" si="627"/>
        <v>25965298</v>
      </c>
      <c r="C6728" s="4" t="str">
        <f t="shared" si="628"/>
        <v>GSE60542</v>
      </c>
      <c r="D6728" s="1" t="s">
        <v>45</v>
      </c>
      <c r="E6728" t="s">
        <v>332</v>
      </c>
      <c r="F6728" s="1">
        <v>1</v>
      </c>
      <c r="G6728" s="1" t="s">
        <v>26</v>
      </c>
      <c r="H6728" s="4" t="str">
        <f>HYPERLINK("https://www.ncbi.nlm.nih.gov/geo/query/acc.cgi?acc=GSM1481885","GSM1481885")</f>
        <v>GSM1481885</v>
      </c>
      <c r="I6728" t="s">
        <v>333</v>
      </c>
      <c r="J6728" t="s">
        <v>334</v>
      </c>
      <c r="K6728" t="s">
        <v>19</v>
      </c>
      <c r="L6728" t="s">
        <v>335</v>
      </c>
      <c r="M6728" t="s">
        <v>24</v>
      </c>
      <c r="N6728" t="s">
        <v>22</v>
      </c>
    </row>
    <row r="6729" spans="1:14">
      <c r="A6729" s="4" t="str">
        <f t="shared" si="626"/>
        <v>EXP00234</v>
      </c>
      <c r="B6729" s="4" t="str">
        <f t="shared" si="627"/>
        <v>25965298</v>
      </c>
      <c r="C6729" s="4" t="str">
        <f t="shared" si="628"/>
        <v>GSE60542</v>
      </c>
      <c r="D6729" s="1" t="s">
        <v>45</v>
      </c>
      <c r="E6729" t="s">
        <v>332</v>
      </c>
      <c r="F6729" s="1">
        <v>1</v>
      </c>
      <c r="G6729" s="1" t="s">
        <v>26</v>
      </c>
      <c r="H6729" s="4" t="str">
        <f>HYPERLINK("https://www.ncbi.nlm.nih.gov/geo/query/acc.cgi?acc=GSM1481886","GSM1481886")</f>
        <v>GSM1481886</v>
      </c>
      <c r="I6729" t="s">
        <v>333</v>
      </c>
      <c r="J6729" t="s">
        <v>334</v>
      </c>
      <c r="K6729" t="s">
        <v>19</v>
      </c>
      <c r="L6729" t="s">
        <v>335</v>
      </c>
      <c r="M6729" t="s">
        <v>24</v>
      </c>
      <c r="N6729" t="s">
        <v>22</v>
      </c>
    </row>
    <row r="6730" spans="1:14">
      <c r="A6730" s="4" t="str">
        <f t="shared" si="626"/>
        <v>EXP00234</v>
      </c>
      <c r="B6730" s="4" t="str">
        <f t="shared" si="627"/>
        <v>25965298</v>
      </c>
      <c r="C6730" s="4" t="str">
        <f t="shared" si="628"/>
        <v>GSE60542</v>
      </c>
      <c r="D6730" s="1" t="s">
        <v>45</v>
      </c>
      <c r="E6730" t="s">
        <v>332</v>
      </c>
      <c r="F6730" s="1">
        <v>1</v>
      </c>
      <c r="G6730" s="1" t="s">
        <v>26</v>
      </c>
      <c r="H6730" s="4" t="str">
        <f>HYPERLINK("https://www.ncbi.nlm.nih.gov/geo/query/acc.cgi?acc=GSM1481892","GSM1481892")</f>
        <v>GSM1481892</v>
      </c>
      <c r="I6730" t="s">
        <v>333</v>
      </c>
      <c r="J6730" t="s">
        <v>334</v>
      </c>
      <c r="K6730" t="s">
        <v>19</v>
      </c>
      <c r="L6730" t="s">
        <v>335</v>
      </c>
      <c r="M6730" t="s">
        <v>24</v>
      </c>
      <c r="N6730" t="s">
        <v>22</v>
      </c>
    </row>
    <row r="6731" spans="1:14">
      <c r="A6731" s="4" t="str">
        <f t="shared" si="626"/>
        <v>EXP00234</v>
      </c>
      <c r="B6731" s="4" t="str">
        <f t="shared" si="627"/>
        <v>25965298</v>
      </c>
      <c r="C6731" s="4" t="str">
        <f t="shared" si="628"/>
        <v>GSE60542</v>
      </c>
      <c r="D6731" s="1" t="s">
        <v>45</v>
      </c>
      <c r="E6731" t="s">
        <v>332</v>
      </c>
      <c r="F6731" s="1">
        <v>1</v>
      </c>
      <c r="G6731" s="1" t="s">
        <v>26</v>
      </c>
      <c r="H6731" s="4" t="str">
        <f>HYPERLINK("https://www.ncbi.nlm.nih.gov/geo/query/acc.cgi?acc=GSM1481908","GSM1481908")</f>
        <v>GSM1481908</v>
      </c>
      <c r="I6731" t="s">
        <v>333</v>
      </c>
      <c r="J6731" t="s">
        <v>334</v>
      </c>
      <c r="K6731" t="s">
        <v>19</v>
      </c>
      <c r="L6731" t="s">
        <v>335</v>
      </c>
      <c r="M6731" t="s">
        <v>24</v>
      </c>
      <c r="N6731" t="s">
        <v>22</v>
      </c>
    </row>
    <row r="6732" spans="1:14">
      <c r="A6732" s="4" t="str">
        <f t="shared" si="626"/>
        <v>EXP00234</v>
      </c>
      <c r="B6732" s="4" t="str">
        <f t="shared" si="627"/>
        <v>25965298</v>
      </c>
      <c r="C6732" s="4" t="str">
        <f t="shared" si="628"/>
        <v>GSE60542</v>
      </c>
      <c r="D6732" s="1" t="s">
        <v>45</v>
      </c>
      <c r="E6732" t="s">
        <v>332</v>
      </c>
      <c r="F6732" s="1">
        <v>1</v>
      </c>
      <c r="G6732" s="1" t="s">
        <v>26</v>
      </c>
      <c r="H6732" s="4" t="str">
        <f>HYPERLINK("https://www.ncbi.nlm.nih.gov/geo/query/acc.cgi?acc=GSM1481909","GSM1481909")</f>
        <v>GSM1481909</v>
      </c>
      <c r="I6732" t="s">
        <v>333</v>
      </c>
      <c r="J6732" t="s">
        <v>334</v>
      </c>
      <c r="K6732" t="s">
        <v>19</v>
      </c>
      <c r="L6732" t="s">
        <v>335</v>
      </c>
      <c r="M6732" t="s">
        <v>24</v>
      </c>
      <c r="N6732" t="s">
        <v>22</v>
      </c>
    </row>
    <row r="6733" spans="1:14">
      <c r="A6733" s="4" t="str">
        <f t="shared" si="626"/>
        <v>EXP00234</v>
      </c>
      <c r="B6733" s="4" t="str">
        <f t="shared" si="627"/>
        <v>25965298</v>
      </c>
      <c r="C6733" s="4" t="str">
        <f t="shared" si="628"/>
        <v>GSE60542</v>
      </c>
      <c r="D6733" s="1" t="s">
        <v>45</v>
      </c>
      <c r="E6733" t="s">
        <v>332</v>
      </c>
      <c r="F6733" s="1">
        <v>1</v>
      </c>
      <c r="G6733" s="1" t="s">
        <v>26</v>
      </c>
      <c r="H6733" s="4" t="str">
        <f>HYPERLINK("https://www.ncbi.nlm.nih.gov/geo/query/acc.cgi?acc=GSM1481925","GSM1481925")</f>
        <v>GSM1481925</v>
      </c>
      <c r="I6733" t="s">
        <v>333</v>
      </c>
      <c r="J6733" t="s">
        <v>334</v>
      </c>
      <c r="K6733" t="s">
        <v>19</v>
      </c>
      <c r="L6733" t="s">
        <v>335</v>
      </c>
      <c r="M6733" t="s">
        <v>24</v>
      </c>
      <c r="N6733" t="s">
        <v>22</v>
      </c>
    </row>
    <row r="6734" spans="1:14">
      <c r="A6734" s="4" t="str">
        <f t="shared" si="626"/>
        <v>EXP00234</v>
      </c>
      <c r="B6734" s="4" t="str">
        <f t="shared" si="627"/>
        <v>25965298</v>
      </c>
      <c r="C6734" s="4" t="str">
        <f t="shared" si="628"/>
        <v>GSE60542</v>
      </c>
      <c r="D6734" s="1" t="s">
        <v>45</v>
      </c>
      <c r="E6734" t="s">
        <v>332</v>
      </c>
      <c r="F6734" s="1">
        <v>1</v>
      </c>
      <c r="G6734" s="1" t="s">
        <v>26</v>
      </c>
      <c r="H6734" s="4" t="str">
        <f>HYPERLINK("https://www.ncbi.nlm.nih.gov/geo/query/acc.cgi?acc=GSM1481927","GSM1481927")</f>
        <v>GSM1481927</v>
      </c>
      <c r="I6734" t="s">
        <v>333</v>
      </c>
      <c r="J6734" t="s">
        <v>334</v>
      </c>
      <c r="K6734" t="s">
        <v>19</v>
      </c>
      <c r="L6734" t="s">
        <v>335</v>
      </c>
      <c r="M6734" t="s">
        <v>24</v>
      </c>
      <c r="N6734" t="s">
        <v>22</v>
      </c>
    </row>
    <row r="6735" spans="1:14">
      <c r="A6735" s="4" t="str">
        <f t="shared" si="626"/>
        <v>EXP00234</v>
      </c>
      <c r="B6735" s="4" t="str">
        <f t="shared" si="627"/>
        <v>25965298</v>
      </c>
      <c r="C6735" s="4" t="str">
        <f t="shared" si="628"/>
        <v>GSE60542</v>
      </c>
      <c r="D6735" s="1" t="s">
        <v>45</v>
      </c>
      <c r="E6735" t="s">
        <v>332</v>
      </c>
      <c r="F6735" s="1">
        <v>1</v>
      </c>
      <c r="G6735" s="1" t="s">
        <v>26</v>
      </c>
      <c r="H6735" s="4" t="str">
        <f>HYPERLINK("https://www.ncbi.nlm.nih.gov/geo/query/acc.cgi?acc=GSM1481928","GSM1481928")</f>
        <v>GSM1481928</v>
      </c>
      <c r="I6735" t="s">
        <v>333</v>
      </c>
      <c r="J6735" t="s">
        <v>334</v>
      </c>
      <c r="K6735" t="s">
        <v>19</v>
      </c>
      <c r="L6735" t="s">
        <v>335</v>
      </c>
      <c r="M6735" t="s">
        <v>24</v>
      </c>
      <c r="N6735" t="s">
        <v>22</v>
      </c>
    </row>
    <row r="6736" spans="1:14">
      <c r="A6736" s="4" t="str">
        <f t="shared" si="626"/>
        <v>EXP00234</v>
      </c>
      <c r="B6736" s="4" t="str">
        <f t="shared" si="627"/>
        <v>25965298</v>
      </c>
      <c r="C6736" s="4" t="str">
        <f t="shared" si="628"/>
        <v>GSE60542</v>
      </c>
      <c r="D6736" s="1" t="s">
        <v>45</v>
      </c>
      <c r="E6736" t="s">
        <v>332</v>
      </c>
      <c r="F6736" s="1">
        <v>2</v>
      </c>
      <c r="G6736" s="1" t="s">
        <v>28</v>
      </c>
      <c r="H6736" s="4" t="str">
        <f>HYPERLINK("https://www.ncbi.nlm.nih.gov/geo/query/acc.cgi?acc=GSM1481839","GSM1481839")</f>
        <v>GSM1481839</v>
      </c>
      <c r="I6736" t="s">
        <v>333</v>
      </c>
      <c r="J6736" t="s">
        <v>334</v>
      </c>
      <c r="K6736" t="s">
        <v>19</v>
      </c>
      <c r="L6736" t="s">
        <v>335</v>
      </c>
      <c r="M6736" t="s">
        <v>24</v>
      </c>
      <c r="N6736" t="s">
        <v>29</v>
      </c>
    </row>
    <row r="6737" spans="1:14">
      <c r="A6737" s="4" t="str">
        <f t="shared" si="626"/>
        <v>EXP00234</v>
      </c>
      <c r="B6737" s="4" t="str">
        <f t="shared" si="627"/>
        <v>25965298</v>
      </c>
      <c r="C6737" s="4" t="str">
        <f t="shared" si="628"/>
        <v>GSE60542</v>
      </c>
      <c r="D6737" s="1" t="s">
        <v>45</v>
      </c>
      <c r="E6737" t="s">
        <v>332</v>
      </c>
      <c r="F6737" s="1">
        <v>2</v>
      </c>
      <c r="G6737" s="1" t="s">
        <v>28</v>
      </c>
      <c r="H6737" s="4" t="str">
        <f>HYPERLINK("https://www.ncbi.nlm.nih.gov/geo/query/acc.cgi?acc=GSM1481844","GSM1481844")</f>
        <v>GSM1481844</v>
      </c>
      <c r="I6737" t="s">
        <v>333</v>
      </c>
      <c r="J6737" t="s">
        <v>334</v>
      </c>
      <c r="K6737" t="s">
        <v>19</v>
      </c>
      <c r="L6737" t="s">
        <v>335</v>
      </c>
      <c r="M6737" t="s">
        <v>24</v>
      </c>
      <c r="N6737" t="s">
        <v>29</v>
      </c>
    </row>
    <row r="6738" spans="1:14">
      <c r="A6738" s="4" t="str">
        <f t="shared" si="626"/>
        <v>EXP00234</v>
      </c>
      <c r="B6738" s="4" t="str">
        <f t="shared" si="627"/>
        <v>25965298</v>
      </c>
      <c r="C6738" s="4" t="str">
        <f t="shared" si="628"/>
        <v>GSE60542</v>
      </c>
      <c r="D6738" s="1" t="s">
        <v>45</v>
      </c>
      <c r="E6738" t="s">
        <v>332</v>
      </c>
      <c r="F6738" s="1">
        <v>2</v>
      </c>
      <c r="G6738" s="1" t="s">
        <v>28</v>
      </c>
      <c r="H6738" s="4" t="str">
        <f>HYPERLINK("https://www.ncbi.nlm.nih.gov/geo/query/acc.cgi?acc=GSM1481846","GSM1481846")</f>
        <v>GSM1481846</v>
      </c>
      <c r="I6738" t="s">
        <v>333</v>
      </c>
      <c r="J6738" t="s">
        <v>334</v>
      </c>
      <c r="K6738" t="s">
        <v>19</v>
      </c>
      <c r="L6738" t="s">
        <v>335</v>
      </c>
      <c r="M6738" t="s">
        <v>24</v>
      </c>
      <c r="N6738" t="s">
        <v>29</v>
      </c>
    </row>
    <row r="6739" spans="1:14">
      <c r="A6739" s="4" t="str">
        <f t="shared" si="626"/>
        <v>EXP00234</v>
      </c>
      <c r="B6739" s="4" t="str">
        <f t="shared" si="627"/>
        <v>25965298</v>
      </c>
      <c r="C6739" s="4" t="str">
        <f t="shared" si="628"/>
        <v>GSE60542</v>
      </c>
      <c r="D6739" s="1" t="s">
        <v>45</v>
      </c>
      <c r="E6739" t="s">
        <v>332</v>
      </c>
      <c r="F6739" s="1">
        <v>2</v>
      </c>
      <c r="G6739" s="1" t="s">
        <v>28</v>
      </c>
      <c r="H6739" s="4" t="str">
        <f>HYPERLINK("https://www.ncbi.nlm.nih.gov/geo/query/acc.cgi?acc=GSM1481849","GSM1481849")</f>
        <v>GSM1481849</v>
      </c>
      <c r="I6739" t="s">
        <v>333</v>
      </c>
      <c r="J6739" t="s">
        <v>334</v>
      </c>
      <c r="K6739" t="s">
        <v>19</v>
      </c>
      <c r="L6739" t="s">
        <v>335</v>
      </c>
      <c r="M6739" t="s">
        <v>24</v>
      </c>
      <c r="N6739" t="s">
        <v>29</v>
      </c>
    </row>
    <row r="6740" spans="1:14">
      <c r="A6740" s="4" t="str">
        <f t="shared" si="626"/>
        <v>EXP00234</v>
      </c>
      <c r="B6740" s="4" t="str">
        <f t="shared" si="627"/>
        <v>25965298</v>
      </c>
      <c r="C6740" s="4" t="str">
        <f t="shared" si="628"/>
        <v>GSE60542</v>
      </c>
      <c r="D6740" s="1" t="s">
        <v>45</v>
      </c>
      <c r="E6740" t="s">
        <v>332</v>
      </c>
      <c r="F6740" s="1">
        <v>2</v>
      </c>
      <c r="G6740" s="1" t="s">
        <v>28</v>
      </c>
      <c r="H6740" s="4" t="str">
        <f>HYPERLINK("https://www.ncbi.nlm.nih.gov/geo/query/acc.cgi?acc=GSM1481854","GSM1481854")</f>
        <v>GSM1481854</v>
      </c>
      <c r="I6740" t="s">
        <v>333</v>
      </c>
      <c r="J6740" t="s">
        <v>334</v>
      </c>
      <c r="K6740" t="s">
        <v>19</v>
      </c>
      <c r="L6740" t="s">
        <v>335</v>
      </c>
      <c r="M6740" t="s">
        <v>24</v>
      </c>
      <c r="N6740" t="s">
        <v>29</v>
      </c>
    </row>
    <row r="6741" spans="1:14">
      <c r="A6741" s="4" t="str">
        <f t="shared" si="626"/>
        <v>EXP00234</v>
      </c>
      <c r="B6741" s="4" t="str">
        <f t="shared" si="627"/>
        <v>25965298</v>
      </c>
      <c r="C6741" s="4" t="str">
        <f t="shared" si="628"/>
        <v>GSE60542</v>
      </c>
      <c r="D6741" s="1" t="s">
        <v>45</v>
      </c>
      <c r="E6741" t="s">
        <v>332</v>
      </c>
      <c r="F6741" s="1">
        <v>2</v>
      </c>
      <c r="G6741" s="1" t="s">
        <v>28</v>
      </c>
      <c r="H6741" s="4" t="str">
        <f>HYPERLINK("https://www.ncbi.nlm.nih.gov/geo/query/acc.cgi?acc=GSM1481861","GSM1481861")</f>
        <v>GSM1481861</v>
      </c>
      <c r="I6741" t="s">
        <v>333</v>
      </c>
      <c r="J6741" t="s">
        <v>334</v>
      </c>
      <c r="K6741" t="s">
        <v>19</v>
      </c>
      <c r="L6741" t="s">
        <v>335</v>
      </c>
      <c r="M6741" t="s">
        <v>24</v>
      </c>
      <c r="N6741" t="s">
        <v>29</v>
      </c>
    </row>
    <row r="6742" spans="1:14">
      <c r="A6742" s="4" t="str">
        <f t="shared" si="626"/>
        <v>EXP00234</v>
      </c>
      <c r="B6742" s="4" t="str">
        <f t="shared" si="627"/>
        <v>25965298</v>
      </c>
      <c r="C6742" s="4" t="str">
        <f t="shared" si="628"/>
        <v>GSE60542</v>
      </c>
      <c r="D6742" s="1" t="s">
        <v>45</v>
      </c>
      <c r="E6742" t="s">
        <v>332</v>
      </c>
      <c r="F6742" s="1">
        <v>2</v>
      </c>
      <c r="G6742" s="1" t="s">
        <v>28</v>
      </c>
      <c r="H6742" s="4" t="str">
        <f>HYPERLINK("https://www.ncbi.nlm.nih.gov/geo/query/acc.cgi?acc=GSM1481865","GSM1481865")</f>
        <v>GSM1481865</v>
      </c>
      <c r="I6742" t="s">
        <v>333</v>
      </c>
      <c r="J6742" t="s">
        <v>334</v>
      </c>
      <c r="K6742" t="s">
        <v>19</v>
      </c>
      <c r="L6742" t="s">
        <v>335</v>
      </c>
      <c r="M6742" t="s">
        <v>24</v>
      </c>
      <c r="N6742" t="s">
        <v>29</v>
      </c>
    </row>
    <row r="6743" spans="1:14">
      <c r="A6743" s="4" t="str">
        <f t="shared" si="626"/>
        <v>EXP00234</v>
      </c>
      <c r="B6743" s="4" t="str">
        <f t="shared" si="627"/>
        <v>25965298</v>
      </c>
      <c r="C6743" s="4" t="str">
        <f t="shared" si="628"/>
        <v>GSE60542</v>
      </c>
      <c r="D6743" s="1" t="s">
        <v>45</v>
      </c>
      <c r="E6743" t="s">
        <v>332</v>
      </c>
      <c r="F6743" s="1">
        <v>2</v>
      </c>
      <c r="G6743" s="1" t="s">
        <v>28</v>
      </c>
      <c r="H6743" s="4" t="str">
        <f>HYPERLINK("https://www.ncbi.nlm.nih.gov/geo/query/acc.cgi?acc=GSM1481872","GSM1481872")</f>
        <v>GSM1481872</v>
      </c>
      <c r="I6743" t="s">
        <v>333</v>
      </c>
      <c r="J6743" t="s">
        <v>334</v>
      </c>
      <c r="K6743" t="s">
        <v>19</v>
      </c>
      <c r="L6743" t="s">
        <v>335</v>
      </c>
      <c r="M6743" t="s">
        <v>24</v>
      </c>
      <c r="N6743" t="s">
        <v>29</v>
      </c>
    </row>
    <row r="6744" spans="1:14">
      <c r="A6744" s="4" t="str">
        <f t="shared" si="626"/>
        <v>EXP00234</v>
      </c>
      <c r="B6744" s="4" t="str">
        <f t="shared" si="627"/>
        <v>25965298</v>
      </c>
      <c r="C6744" s="4" t="str">
        <f t="shared" si="628"/>
        <v>GSE60542</v>
      </c>
      <c r="D6744" s="1" t="s">
        <v>45</v>
      </c>
      <c r="E6744" t="s">
        <v>332</v>
      </c>
      <c r="F6744" s="1">
        <v>2</v>
      </c>
      <c r="G6744" s="1" t="s">
        <v>28</v>
      </c>
      <c r="H6744" s="4" t="str">
        <f>HYPERLINK("https://www.ncbi.nlm.nih.gov/geo/query/acc.cgi?acc=GSM1481875","GSM1481875")</f>
        <v>GSM1481875</v>
      </c>
      <c r="I6744" t="s">
        <v>333</v>
      </c>
      <c r="J6744" t="s">
        <v>334</v>
      </c>
      <c r="K6744" t="s">
        <v>19</v>
      </c>
      <c r="L6744" t="s">
        <v>335</v>
      </c>
      <c r="M6744" t="s">
        <v>24</v>
      </c>
      <c r="N6744" t="s">
        <v>29</v>
      </c>
    </row>
    <row r="6745" spans="1:14">
      <c r="A6745" s="4" t="str">
        <f t="shared" si="626"/>
        <v>EXP00234</v>
      </c>
      <c r="B6745" s="4" t="str">
        <f t="shared" si="627"/>
        <v>25965298</v>
      </c>
      <c r="C6745" s="4" t="str">
        <f t="shared" si="628"/>
        <v>GSE60542</v>
      </c>
      <c r="D6745" s="1" t="s">
        <v>45</v>
      </c>
      <c r="E6745" t="s">
        <v>332</v>
      </c>
      <c r="F6745" s="1">
        <v>2</v>
      </c>
      <c r="G6745" s="1" t="s">
        <v>28</v>
      </c>
      <c r="H6745" s="4" t="str">
        <f>HYPERLINK("https://www.ncbi.nlm.nih.gov/geo/query/acc.cgi?acc=GSM1481882","GSM1481882")</f>
        <v>GSM1481882</v>
      </c>
      <c r="I6745" t="s">
        <v>333</v>
      </c>
      <c r="J6745" t="s">
        <v>334</v>
      </c>
      <c r="K6745" t="s">
        <v>19</v>
      </c>
      <c r="L6745" t="s">
        <v>335</v>
      </c>
      <c r="M6745" t="s">
        <v>24</v>
      </c>
      <c r="N6745" t="s">
        <v>29</v>
      </c>
    </row>
    <row r="6746" spans="1:14">
      <c r="A6746" s="4" t="str">
        <f t="shared" si="626"/>
        <v>EXP00234</v>
      </c>
      <c r="B6746" s="4" t="str">
        <f t="shared" si="627"/>
        <v>25965298</v>
      </c>
      <c r="C6746" s="4" t="str">
        <f t="shared" si="628"/>
        <v>GSE60542</v>
      </c>
      <c r="D6746" s="1" t="s">
        <v>45</v>
      </c>
      <c r="E6746" t="s">
        <v>332</v>
      </c>
      <c r="F6746" s="1">
        <v>2</v>
      </c>
      <c r="G6746" s="1" t="s">
        <v>28</v>
      </c>
      <c r="H6746" s="4" t="str">
        <f>HYPERLINK("https://www.ncbi.nlm.nih.gov/geo/query/acc.cgi?acc=GSM1481883","GSM1481883")</f>
        <v>GSM1481883</v>
      </c>
      <c r="I6746" t="s">
        <v>333</v>
      </c>
      <c r="J6746" t="s">
        <v>334</v>
      </c>
      <c r="K6746" t="s">
        <v>19</v>
      </c>
      <c r="L6746" t="s">
        <v>335</v>
      </c>
      <c r="M6746" t="s">
        <v>24</v>
      </c>
      <c r="N6746" t="s">
        <v>29</v>
      </c>
    </row>
    <row r="6747" spans="1:14">
      <c r="A6747" s="4" t="str">
        <f t="shared" si="626"/>
        <v>EXP00234</v>
      </c>
      <c r="B6747" s="4" t="str">
        <f t="shared" si="627"/>
        <v>25965298</v>
      </c>
      <c r="C6747" s="4" t="str">
        <f t="shared" si="628"/>
        <v>GSE60542</v>
      </c>
      <c r="D6747" s="1" t="s">
        <v>45</v>
      </c>
      <c r="E6747" t="s">
        <v>332</v>
      </c>
      <c r="F6747" s="1">
        <v>2</v>
      </c>
      <c r="G6747" s="1" t="s">
        <v>28</v>
      </c>
      <c r="H6747" s="4" t="str">
        <f>HYPERLINK("https://www.ncbi.nlm.nih.gov/geo/query/acc.cgi?acc=GSM1481889","GSM1481889")</f>
        <v>GSM1481889</v>
      </c>
      <c r="I6747" t="s">
        <v>333</v>
      </c>
      <c r="J6747" t="s">
        <v>334</v>
      </c>
      <c r="K6747" t="s">
        <v>19</v>
      </c>
      <c r="L6747" t="s">
        <v>335</v>
      </c>
      <c r="M6747" t="s">
        <v>24</v>
      </c>
      <c r="N6747" t="s">
        <v>29</v>
      </c>
    </row>
    <row r="6748" spans="1:14">
      <c r="A6748" s="4" t="str">
        <f t="shared" si="626"/>
        <v>EXP00234</v>
      </c>
      <c r="B6748" s="4" t="str">
        <f t="shared" si="627"/>
        <v>25965298</v>
      </c>
      <c r="C6748" s="4" t="str">
        <f t="shared" si="628"/>
        <v>GSE60542</v>
      </c>
      <c r="D6748" s="1" t="s">
        <v>45</v>
      </c>
      <c r="E6748" t="s">
        <v>332</v>
      </c>
      <c r="F6748" s="1">
        <v>2</v>
      </c>
      <c r="G6748" s="1" t="s">
        <v>28</v>
      </c>
      <c r="H6748" s="4" t="str">
        <f>HYPERLINK("https://www.ncbi.nlm.nih.gov/geo/query/acc.cgi?acc=GSM1481890","GSM1481890")</f>
        <v>GSM1481890</v>
      </c>
      <c r="I6748" t="s">
        <v>333</v>
      </c>
      <c r="J6748" t="s">
        <v>334</v>
      </c>
      <c r="K6748" t="s">
        <v>19</v>
      </c>
      <c r="L6748" t="s">
        <v>335</v>
      </c>
      <c r="M6748" t="s">
        <v>24</v>
      </c>
      <c r="N6748" t="s">
        <v>29</v>
      </c>
    </row>
    <row r="6749" spans="1:14">
      <c r="A6749" s="4" t="str">
        <f t="shared" si="626"/>
        <v>EXP00234</v>
      </c>
      <c r="B6749" s="4" t="str">
        <f t="shared" si="627"/>
        <v>25965298</v>
      </c>
      <c r="C6749" s="4" t="str">
        <f t="shared" si="628"/>
        <v>GSE60542</v>
      </c>
      <c r="D6749" s="1" t="s">
        <v>45</v>
      </c>
      <c r="E6749" t="s">
        <v>332</v>
      </c>
      <c r="F6749" s="1">
        <v>2</v>
      </c>
      <c r="G6749" s="1" t="s">
        <v>28</v>
      </c>
      <c r="H6749" s="4" t="str">
        <f>HYPERLINK("https://www.ncbi.nlm.nih.gov/geo/query/acc.cgi?acc=GSM1481903","GSM1481903")</f>
        <v>GSM1481903</v>
      </c>
      <c r="I6749" t="s">
        <v>333</v>
      </c>
      <c r="J6749" t="s">
        <v>334</v>
      </c>
      <c r="K6749" t="s">
        <v>19</v>
      </c>
      <c r="L6749" t="s">
        <v>335</v>
      </c>
      <c r="M6749" t="s">
        <v>24</v>
      </c>
      <c r="N6749" t="s">
        <v>29</v>
      </c>
    </row>
    <row r="6750" spans="1:14">
      <c r="A6750" s="4" t="str">
        <f t="shared" si="626"/>
        <v>EXP00234</v>
      </c>
      <c r="B6750" s="4" t="str">
        <f t="shared" si="627"/>
        <v>25965298</v>
      </c>
      <c r="C6750" s="4" t="str">
        <f t="shared" si="628"/>
        <v>GSE60542</v>
      </c>
      <c r="D6750" s="1" t="s">
        <v>45</v>
      </c>
      <c r="E6750" t="s">
        <v>332</v>
      </c>
      <c r="F6750" s="1">
        <v>2</v>
      </c>
      <c r="G6750" s="1" t="s">
        <v>28</v>
      </c>
      <c r="H6750" s="4" t="str">
        <f>HYPERLINK("https://www.ncbi.nlm.nih.gov/geo/query/acc.cgi?acc=GSM1481905","GSM1481905")</f>
        <v>GSM1481905</v>
      </c>
      <c r="I6750" t="s">
        <v>333</v>
      </c>
      <c r="J6750" t="s">
        <v>334</v>
      </c>
      <c r="K6750" t="s">
        <v>19</v>
      </c>
      <c r="L6750" t="s">
        <v>335</v>
      </c>
      <c r="M6750" t="s">
        <v>24</v>
      </c>
      <c r="N6750" t="s">
        <v>29</v>
      </c>
    </row>
    <row r="6751" spans="1:14">
      <c r="A6751" s="4" t="str">
        <f t="shared" si="626"/>
        <v>EXP00234</v>
      </c>
      <c r="B6751" s="4" t="str">
        <f t="shared" si="627"/>
        <v>25965298</v>
      </c>
      <c r="C6751" s="4" t="str">
        <f t="shared" si="628"/>
        <v>GSE60542</v>
      </c>
      <c r="D6751" s="1" t="s">
        <v>45</v>
      </c>
      <c r="E6751" t="s">
        <v>332</v>
      </c>
      <c r="F6751" s="1">
        <v>2</v>
      </c>
      <c r="G6751" s="1" t="s">
        <v>28</v>
      </c>
      <c r="H6751" s="4" t="str">
        <f>HYPERLINK("https://www.ncbi.nlm.nih.gov/geo/query/acc.cgi?acc=GSM1481914","GSM1481914")</f>
        <v>GSM1481914</v>
      </c>
      <c r="I6751" t="s">
        <v>333</v>
      </c>
      <c r="J6751" t="s">
        <v>334</v>
      </c>
      <c r="K6751" t="s">
        <v>19</v>
      </c>
      <c r="L6751" t="s">
        <v>335</v>
      </c>
      <c r="M6751" t="s">
        <v>24</v>
      </c>
      <c r="N6751" t="s">
        <v>29</v>
      </c>
    </row>
    <row r="6752" spans="1:14">
      <c r="A6752" s="4" t="str">
        <f t="shared" si="626"/>
        <v>EXP00234</v>
      </c>
      <c r="B6752" s="4" t="str">
        <f t="shared" si="627"/>
        <v>25965298</v>
      </c>
      <c r="C6752" s="4" t="str">
        <f t="shared" si="628"/>
        <v>GSE60542</v>
      </c>
      <c r="D6752" s="1" t="s">
        <v>45</v>
      </c>
      <c r="E6752" t="s">
        <v>332</v>
      </c>
      <c r="F6752" s="1">
        <v>2</v>
      </c>
      <c r="G6752" s="1" t="s">
        <v>28</v>
      </c>
      <c r="H6752" s="4" t="str">
        <f>HYPERLINK("https://www.ncbi.nlm.nih.gov/geo/query/acc.cgi?acc=GSM1481915","GSM1481915")</f>
        <v>GSM1481915</v>
      </c>
      <c r="I6752" t="s">
        <v>333</v>
      </c>
      <c r="J6752" t="s">
        <v>334</v>
      </c>
      <c r="K6752" t="s">
        <v>19</v>
      </c>
      <c r="L6752" t="s">
        <v>335</v>
      </c>
      <c r="M6752" t="s">
        <v>24</v>
      </c>
      <c r="N6752" t="s">
        <v>29</v>
      </c>
    </row>
    <row r="6753" spans="1:14">
      <c r="A6753" s="4" t="str">
        <f t="shared" si="626"/>
        <v>EXP00234</v>
      </c>
      <c r="B6753" s="4" t="str">
        <f t="shared" si="627"/>
        <v>25965298</v>
      </c>
      <c r="C6753" s="4" t="str">
        <f t="shared" si="628"/>
        <v>GSE60542</v>
      </c>
      <c r="D6753" s="1" t="s">
        <v>45</v>
      </c>
      <c r="E6753" t="s">
        <v>332</v>
      </c>
      <c r="F6753" s="1">
        <v>2</v>
      </c>
      <c r="G6753" s="1" t="s">
        <v>28</v>
      </c>
      <c r="H6753" s="4" t="str">
        <f>HYPERLINK("https://www.ncbi.nlm.nih.gov/geo/query/acc.cgi?acc=GSM1481926","GSM1481926")</f>
        <v>GSM1481926</v>
      </c>
      <c r="I6753" t="s">
        <v>333</v>
      </c>
      <c r="J6753" t="s">
        <v>334</v>
      </c>
      <c r="K6753" t="s">
        <v>19</v>
      </c>
      <c r="L6753" t="s">
        <v>335</v>
      </c>
      <c r="M6753" t="s">
        <v>24</v>
      </c>
      <c r="N6753" t="s">
        <v>29</v>
      </c>
    </row>
    <row r="6754" spans="1:14">
      <c r="A6754" s="4" t="str">
        <f t="shared" si="626"/>
        <v>EXP00234</v>
      </c>
      <c r="B6754" s="4" t="str">
        <f t="shared" si="627"/>
        <v>25965298</v>
      </c>
      <c r="C6754" s="4" t="str">
        <f t="shared" si="628"/>
        <v>GSE60542</v>
      </c>
      <c r="D6754" s="1" t="s">
        <v>45</v>
      </c>
      <c r="E6754" t="s">
        <v>332</v>
      </c>
      <c r="F6754" s="1">
        <v>2</v>
      </c>
      <c r="G6754" s="1" t="s">
        <v>28</v>
      </c>
      <c r="H6754" s="4" t="str">
        <f>HYPERLINK("https://www.ncbi.nlm.nih.gov/geo/query/acc.cgi?acc=GSM1481929","GSM1481929")</f>
        <v>GSM1481929</v>
      </c>
      <c r="I6754" t="s">
        <v>333</v>
      </c>
      <c r="J6754" t="s">
        <v>334</v>
      </c>
      <c r="K6754" t="s">
        <v>19</v>
      </c>
      <c r="L6754" t="s">
        <v>335</v>
      </c>
      <c r="M6754" t="s">
        <v>24</v>
      </c>
      <c r="N6754" t="s">
        <v>29</v>
      </c>
    </row>
    <row r="6755" spans="1:14">
      <c r="A6755" s="4" t="str">
        <f t="shared" ref="A6755:A6789" si="629">HYPERLINK("http://hcmdb.i-sanger.com/experiment/details/experiment_id/EXP00235","EXP00235")</f>
        <v>EXP00235</v>
      </c>
      <c r="B6755" s="4" t="str">
        <f t="shared" si="627"/>
        <v>25965298</v>
      </c>
      <c r="C6755" s="4" t="str">
        <f t="shared" si="628"/>
        <v>GSE60542</v>
      </c>
      <c r="D6755" s="1" t="s">
        <v>45</v>
      </c>
      <c r="E6755" t="s">
        <v>336</v>
      </c>
      <c r="F6755" s="1">
        <v>1</v>
      </c>
      <c r="G6755" s="1" t="s">
        <v>36</v>
      </c>
      <c r="H6755" s="4" t="str">
        <f>HYPERLINK("https://www.ncbi.nlm.nih.gov/geo/query/acc.cgi?acc=GSM1481843","GSM1481843")</f>
        <v>GSM1481843</v>
      </c>
      <c r="I6755" t="s">
        <v>333</v>
      </c>
      <c r="J6755" t="s">
        <v>334</v>
      </c>
      <c r="K6755" t="s">
        <v>19</v>
      </c>
      <c r="L6755" t="s">
        <v>335</v>
      </c>
      <c r="M6755" t="s">
        <v>24</v>
      </c>
      <c r="N6755" t="s">
        <v>37</v>
      </c>
    </row>
    <row r="6756" spans="1:14">
      <c r="A6756" s="4" t="str">
        <f t="shared" si="629"/>
        <v>EXP00235</v>
      </c>
      <c r="B6756" s="4" t="str">
        <f t="shared" si="627"/>
        <v>25965298</v>
      </c>
      <c r="C6756" s="4" t="str">
        <f t="shared" si="628"/>
        <v>GSE60542</v>
      </c>
      <c r="D6756" s="1" t="s">
        <v>45</v>
      </c>
      <c r="E6756" t="s">
        <v>336</v>
      </c>
      <c r="F6756" s="1">
        <v>1</v>
      </c>
      <c r="G6756" s="1" t="s">
        <v>36</v>
      </c>
      <c r="H6756" s="4" t="str">
        <f>HYPERLINK("https://www.ncbi.nlm.nih.gov/geo/query/acc.cgi?acc=GSM1481845","GSM1481845")</f>
        <v>GSM1481845</v>
      </c>
      <c r="I6756" t="s">
        <v>333</v>
      </c>
      <c r="J6756" t="s">
        <v>334</v>
      </c>
      <c r="K6756" t="s">
        <v>19</v>
      </c>
      <c r="L6756" t="s">
        <v>335</v>
      </c>
      <c r="M6756" t="s">
        <v>24</v>
      </c>
      <c r="N6756" t="s">
        <v>37</v>
      </c>
    </row>
    <row r="6757" spans="1:14">
      <c r="A6757" s="4" t="str">
        <f t="shared" si="629"/>
        <v>EXP00235</v>
      </c>
      <c r="B6757" s="4" t="str">
        <f t="shared" si="627"/>
        <v>25965298</v>
      </c>
      <c r="C6757" s="4" t="str">
        <f t="shared" si="628"/>
        <v>GSE60542</v>
      </c>
      <c r="D6757" s="1" t="s">
        <v>45</v>
      </c>
      <c r="E6757" t="s">
        <v>336</v>
      </c>
      <c r="F6757" s="1">
        <v>1</v>
      </c>
      <c r="G6757" s="1" t="s">
        <v>36</v>
      </c>
      <c r="H6757" s="4" t="str">
        <f>HYPERLINK("https://www.ncbi.nlm.nih.gov/geo/query/acc.cgi?acc=GSM1481848","GSM1481848")</f>
        <v>GSM1481848</v>
      </c>
      <c r="I6757" t="s">
        <v>333</v>
      </c>
      <c r="J6757" t="s">
        <v>334</v>
      </c>
      <c r="K6757" t="s">
        <v>19</v>
      </c>
      <c r="L6757" t="s">
        <v>335</v>
      </c>
      <c r="M6757" t="s">
        <v>24</v>
      </c>
      <c r="N6757" t="s">
        <v>37</v>
      </c>
    </row>
    <row r="6758" spans="1:14">
      <c r="A6758" s="4" t="str">
        <f t="shared" si="629"/>
        <v>EXP00235</v>
      </c>
      <c r="B6758" s="4" t="str">
        <f t="shared" si="627"/>
        <v>25965298</v>
      </c>
      <c r="C6758" s="4" t="str">
        <f t="shared" si="628"/>
        <v>GSE60542</v>
      </c>
      <c r="D6758" s="1" t="s">
        <v>45</v>
      </c>
      <c r="E6758" t="s">
        <v>336</v>
      </c>
      <c r="F6758" s="1">
        <v>1</v>
      </c>
      <c r="G6758" s="1" t="s">
        <v>36</v>
      </c>
      <c r="H6758" s="4" t="str">
        <f>HYPERLINK("https://www.ncbi.nlm.nih.gov/geo/query/acc.cgi?acc=GSM1481851","GSM1481851")</f>
        <v>GSM1481851</v>
      </c>
      <c r="I6758" t="s">
        <v>333</v>
      </c>
      <c r="J6758" t="s">
        <v>334</v>
      </c>
      <c r="K6758" t="s">
        <v>19</v>
      </c>
      <c r="L6758" t="s">
        <v>335</v>
      </c>
      <c r="M6758" t="s">
        <v>24</v>
      </c>
      <c r="N6758" t="s">
        <v>37</v>
      </c>
    </row>
    <row r="6759" spans="1:14">
      <c r="A6759" s="4" t="str">
        <f t="shared" si="629"/>
        <v>EXP00235</v>
      </c>
      <c r="B6759" s="4" t="str">
        <f t="shared" si="627"/>
        <v>25965298</v>
      </c>
      <c r="C6759" s="4" t="str">
        <f t="shared" si="628"/>
        <v>GSE60542</v>
      </c>
      <c r="D6759" s="1" t="s">
        <v>45</v>
      </c>
      <c r="E6759" t="s">
        <v>336</v>
      </c>
      <c r="F6759" s="1">
        <v>1</v>
      </c>
      <c r="G6759" s="1" t="s">
        <v>36</v>
      </c>
      <c r="H6759" s="4" t="str">
        <f>HYPERLINK("https://www.ncbi.nlm.nih.gov/geo/query/acc.cgi?acc=GSM1481856","GSM1481856")</f>
        <v>GSM1481856</v>
      </c>
      <c r="I6759" t="s">
        <v>333</v>
      </c>
      <c r="J6759" t="s">
        <v>334</v>
      </c>
      <c r="K6759" t="s">
        <v>19</v>
      </c>
      <c r="L6759" t="s">
        <v>335</v>
      </c>
      <c r="M6759" t="s">
        <v>24</v>
      </c>
      <c r="N6759" t="s">
        <v>37</v>
      </c>
    </row>
    <row r="6760" spans="1:14">
      <c r="A6760" s="4" t="str">
        <f t="shared" si="629"/>
        <v>EXP00235</v>
      </c>
      <c r="B6760" s="4" t="str">
        <f t="shared" si="627"/>
        <v>25965298</v>
      </c>
      <c r="C6760" s="4" t="str">
        <f t="shared" si="628"/>
        <v>GSE60542</v>
      </c>
      <c r="D6760" s="1" t="s">
        <v>45</v>
      </c>
      <c r="E6760" t="s">
        <v>336</v>
      </c>
      <c r="F6760" s="1">
        <v>1</v>
      </c>
      <c r="G6760" s="1" t="s">
        <v>36</v>
      </c>
      <c r="H6760" s="4" t="str">
        <f>HYPERLINK("https://www.ncbi.nlm.nih.gov/geo/query/acc.cgi?acc=GSM1481876","GSM1481876")</f>
        <v>GSM1481876</v>
      </c>
      <c r="I6760" t="s">
        <v>333</v>
      </c>
      <c r="J6760" t="s">
        <v>334</v>
      </c>
      <c r="K6760" t="s">
        <v>19</v>
      </c>
      <c r="L6760" t="s">
        <v>335</v>
      </c>
      <c r="M6760" t="s">
        <v>24</v>
      </c>
      <c r="N6760" t="s">
        <v>37</v>
      </c>
    </row>
    <row r="6761" spans="1:14">
      <c r="A6761" s="4" t="str">
        <f t="shared" si="629"/>
        <v>EXP00235</v>
      </c>
      <c r="B6761" s="4" t="str">
        <f t="shared" si="627"/>
        <v>25965298</v>
      </c>
      <c r="C6761" s="4" t="str">
        <f t="shared" si="628"/>
        <v>GSE60542</v>
      </c>
      <c r="D6761" s="1" t="s">
        <v>45</v>
      </c>
      <c r="E6761" t="s">
        <v>336</v>
      </c>
      <c r="F6761" s="1">
        <v>1</v>
      </c>
      <c r="G6761" s="1" t="s">
        <v>36</v>
      </c>
      <c r="H6761" s="4" t="str">
        <f>HYPERLINK("https://www.ncbi.nlm.nih.gov/geo/query/acc.cgi?acc=GSM1481880","GSM1481880")</f>
        <v>GSM1481880</v>
      </c>
      <c r="I6761" t="s">
        <v>333</v>
      </c>
      <c r="J6761" t="s">
        <v>334</v>
      </c>
      <c r="K6761" t="s">
        <v>19</v>
      </c>
      <c r="L6761" t="s">
        <v>335</v>
      </c>
      <c r="M6761" t="s">
        <v>24</v>
      </c>
      <c r="N6761" t="s">
        <v>37</v>
      </c>
    </row>
    <row r="6762" spans="1:14">
      <c r="A6762" s="4" t="str">
        <f t="shared" si="629"/>
        <v>EXP00235</v>
      </c>
      <c r="B6762" s="4" t="str">
        <f t="shared" si="627"/>
        <v>25965298</v>
      </c>
      <c r="C6762" s="4" t="str">
        <f t="shared" si="628"/>
        <v>GSE60542</v>
      </c>
      <c r="D6762" s="1" t="s">
        <v>45</v>
      </c>
      <c r="E6762" t="s">
        <v>336</v>
      </c>
      <c r="F6762" s="1">
        <v>1</v>
      </c>
      <c r="G6762" s="1" t="s">
        <v>36</v>
      </c>
      <c r="H6762" s="4" t="str">
        <f>HYPERLINK("https://www.ncbi.nlm.nih.gov/geo/query/acc.cgi?acc=GSM1481893","GSM1481893")</f>
        <v>GSM1481893</v>
      </c>
      <c r="I6762" t="s">
        <v>333</v>
      </c>
      <c r="J6762" t="s">
        <v>334</v>
      </c>
      <c r="K6762" t="s">
        <v>19</v>
      </c>
      <c r="L6762" t="s">
        <v>335</v>
      </c>
      <c r="M6762" t="s">
        <v>24</v>
      </c>
      <c r="N6762" t="s">
        <v>37</v>
      </c>
    </row>
    <row r="6763" spans="1:14">
      <c r="A6763" s="4" t="str">
        <f t="shared" si="629"/>
        <v>EXP00235</v>
      </c>
      <c r="B6763" s="4" t="str">
        <f t="shared" si="627"/>
        <v>25965298</v>
      </c>
      <c r="C6763" s="4" t="str">
        <f t="shared" si="628"/>
        <v>GSE60542</v>
      </c>
      <c r="D6763" s="1" t="s">
        <v>45</v>
      </c>
      <c r="E6763" t="s">
        <v>336</v>
      </c>
      <c r="F6763" s="1">
        <v>1</v>
      </c>
      <c r="G6763" s="1" t="s">
        <v>36</v>
      </c>
      <c r="H6763" s="4" t="str">
        <f>HYPERLINK("https://www.ncbi.nlm.nih.gov/geo/query/acc.cgi?acc=GSM1481894","GSM1481894")</f>
        <v>GSM1481894</v>
      </c>
      <c r="I6763" t="s">
        <v>333</v>
      </c>
      <c r="J6763" t="s">
        <v>334</v>
      </c>
      <c r="K6763" t="s">
        <v>19</v>
      </c>
      <c r="L6763" t="s">
        <v>335</v>
      </c>
      <c r="M6763" t="s">
        <v>24</v>
      </c>
      <c r="N6763" t="s">
        <v>37</v>
      </c>
    </row>
    <row r="6764" spans="1:14">
      <c r="A6764" s="4" t="str">
        <f t="shared" si="629"/>
        <v>EXP00235</v>
      </c>
      <c r="B6764" s="4" t="str">
        <f t="shared" si="627"/>
        <v>25965298</v>
      </c>
      <c r="C6764" s="4" t="str">
        <f t="shared" si="628"/>
        <v>GSE60542</v>
      </c>
      <c r="D6764" s="1" t="s">
        <v>45</v>
      </c>
      <c r="E6764" t="s">
        <v>336</v>
      </c>
      <c r="F6764" s="1">
        <v>1</v>
      </c>
      <c r="G6764" s="1" t="s">
        <v>36</v>
      </c>
      <c r="H6764" s="4" t="str">
        <f>HYPERLINK("https://www.ncbi.nlm.nih.gov/geo/query/acc.cgi?acc=GSM1481896","GSM1481896")</f>
        <v>GSM1481896</v>
      </c>
      <c r="I6764" t="s">
        <v>333</v>
      </c>
      <c r="J6764" t="s">
        <v>334</v>
      </c>
      <c r="K6764" t="s">
        <v>19</v>
      </c>
      <c r="L6764" t="s">
        <v>335</v>
      </c>
      <c r="M6764" t="s">
        <v>24</v>
      </c>
      <c r="N6764" t="s">
        <v>37</v>
      </c>
    </row>
    <row r="6765" spans="1:14">
      <c r="A6765" s="4" t="str">
        <f t="shared" si="629"/>
        <v>EXP00235</v>
      </c>
      <c r="B6765" s="4" t="str">
        <f t="shared" si="627"/>
        <v>25965298</v>
      </c>
      <c r="C6765" s="4" t="str">
        <f t="shared" si="628"/>
        <v>GSE60542</v>
      </c>
      <c r="D6765" s="1" t="s">
        <v>45</v>
      </c>
      <c r="E6765" t="s">
        <v>336</v>
      </c>
      <c r="F6765" s="1">
        <v>1</v>
      </c>
      <c r="G6765" s="1" t="s">
        <v>36</v>
      </c>
      <c r="H6765" s="4" t="str">
        <f>HYPERLINK("https://www.ncbi.nlm.nih.gov/geo/query/acc.cgi?acc=GSM1481900","GSM1481900")</f>
        <v>GSM1481900</v>
      </c>
      <c r="I6765" t="s">
        <v>333</v>
      </c>
      <c r="J6765" t="s">
        <v>334</v>
      </c>
      <c r="K6765" t="s">
        <v>19</v>
      </c>
      <c r="L6765" t="s">
        <v>335</v>
      </c>
      <c r="M6765" t="s">
        <v>24</v>
      </c>
      <c r="N6765" t="s">
        <v>37</v>
      </c>
    </row>
    <row r="6766" spans="1:14">
      <c r="A6766" s="4" t="str">
        <f t="shared" si="629"/>
        <v>EXP00235</v>
      </c>
      <c r="B6766" s="4" t="str">
        <f t="shared" si="627"/>
        <v>25965298</v>
      </c>
      <c r="C6766" s="4" t="str">
        <f t="shared" si="628"/>
        <v>GSE60542</v>
      </c>
      <c r="D6766" s="1" t="s">
        <v>45</v>
      </c>
      <c r="E6766" t="s">
        <v>336</v>
      </c>
      <c r="F6766" s="1">
        <v>1</v>
      </c>
      <c r="G6766" s="1" t="s">
        <v>36</v>
      </c>
      <c r="H6766" s="4" t="str">
        <f>HYPERLINK("https://www.ncbi.nlm.nih.gov/geo/query/acc.cgi?acc=GSM1481904","GSM1481904")</f>
        <v>GSM1481904</v>
      </c>
      <c r="I6766" t="s">
        <v>333</v>
      </c>
      <c r="J6766" t="s">
        <v>334</v>
      </c>
      <c r="K6766" t="s">
        <v>19</v>
      </c>
      <c r="L6766" t="s">
        <v>335</v>
      </c>
      <c r="M6766" t="s">
        <v>24</v>
      </c>
      <c r="N6766" t="s">
        <v>37</v>
      </c>
    </row>
    <row r="6767" spans="1:14">
      <c r="A6767" s="4" t="str">
        <f t="shared" si="629"/>
        <v>EXP00235</v>
      </c>
      <c r="B6767" s="4" t="str">
        <f t="shared" si="627"/>
        <v>25965298</v>
      </c>
      <c r="C6767" s="4" t="str">
        <f t="shared" si="628"/>
        <v>GSE60542</v>
      </c>
      <c r="D6767" s="1" t="s">
        <v>45</v>
      </c>
      <c r="E6767" t="s">
        <v>336</v>
      </c>
      <c r="F6767" s="1">
        <v>1</v>
      </c>
      <c r="G6767" s="1" t="s">
        <v>36</v>
      </c>
      <c r="H6767" s="4" t="str">
        <f>HYPERLINK("https://www.ncbi.nlm.nih.gov/geo/query/acc.cgi?acc=GSM1481911","GSM1481911")</f>
        <v>GSM1481911</v>
      </c>
      <c r="I6767" t="s">
        <v>333</v>
      </c>
      <c r="J6767" t="s">
        <v>334</v>
      </c>
      <c r="K6767" t="s">
        <v>19</v>
      </c>
      <c r="L6767" t="s">
        <v>335</v>
      </c>
      <c r="M6767" t="s">
        <v>24</v>
      </c>
      <c r="N6767" t="s">
        <v>37</v>
      </c>
    </row>
    <row r="6768" spans="1:14">
      <c r="A6768" s="4" t="str">
        <f t="shared" si="629"/>
        <v>EXP00235</v>
      </c>
      <c r="B6768" s="4" t="str">
        <f t="shared" si="627"/>
        <v>25965298</v>
      </c>
      <c r="C6768" s="4" t="str">
        <f t="shared" si="628"/>
        <v>GSE60542</v>
      </c>
      <c r="D6768" s="1" t="s">
        <v>45</v>
      </c>
      <c r="E6768" t="s">
        <v>336</v>
      </c>
      <c r="F6768" s="1">
        <v>1</v>
      </c>
      <c r="G6768" s="1" t="s">
        <v>36</v>
      </c>
      <c r="H6768" s="4" t="str">
        <f>HYPERLINK("https://www.ncbi.nlm.nih.gov/geo/query/acc.cgi?acc=GSM1481918","GSM1481918")</f>
        <v>GSM1481918</v>
      </c>
      <c r="I6768" t="s">
        <v>333</v>
      </c>
      <c r="J6768" t="s">
        <v>334</v>
      </c>
      <c r="K6768" t="s">
        <v>19</v>
      </c>
      <c r="L6768" t="s">
        <v>335</v>
      </c>
      <c r="M6768" t="s">
        <v>24</v>
      </c>
      <c r="N6768" t="s">
        <v>37</v>
      </c>
    </row>
    <row r="6769" spans="1:14">
      <c r="A6769" s="4" t="str">
        <f t="shared" si="629"/>
        <v>EXP00235</v>
      </c>
      <c r="B6769" s="4" t="str">
        <f t="shared" si="627"/>
        <v>25965298</v>
      </c>
      <c r="C6769" s="4" t="str">
        <f t="shared" si="628"/>
        <v>GSE60542</v>
      </c>
      <c r="D6769" s="1" t="s">
        <v>45</v>
      </c>
      <c r="E6769" t="s">
        <v>336</v>
      </c>
      <c r="F6769" s="1">
        <v>1</v>
      </c>
      <c r="G6769" s="1" t="s">
        <v>36</v>
      </c>
      <c r="H6769" s="4" t="str">
        <f>HYPERLINK("https://www.ncbi.nlm.nih.gov/geo/query/acc.cgi?acc=GSM1481921","GSM1481921")</f>
        <v>GSM1481921</v>
      </c>
      <c r="I6769" t="s">
        <v>333</v>
      </c>
      <c r="J6769" t="s">
        <v>334</v>
      </c>
      <c r="K6769" t="s">
        <v>19</v>
      </c>
      <c r="L6769" t="s">
        <v>335</v>
      </c>
      <c r="M6769" t="s">
        <v>24</v>
      </c>
      <c r="N6769" t="s">
        <v>37</v>
      </c>
    </row>
    <row r="6770" spans="1:14">
      <c r="A6770" s="4" t="str">
        <f t="shared" si="629"/>
        <v>EXP00235</v>
      </c>
      <c r="B6770" s="4" t="str">
        <f t="shared" si="627"/>
        <v>25965298</v>
      </c>
      <c r="C6770" s="4" t="str">
        <f t="shared" si="628"/>
        <v>GSE60542</v>
      </c>
      <c r="D6770" s="1" t="s">
        <v>45</v>
      </c>
      <c r="E6770" t="s">
        <v>336</v>
      </c>
      <c r="F6770" s="1">
        <v>1</v>
      </c>
      <c r="G6770" s="1" t="s">
        <v>36</v>
      </c>
      <c r="H6770" s="4" t="str">
        <f>HYPERLINK("https://www.ncbi.nlm.nih.gov/geo/query/acc.cgi?acc=GSM1481922","GSM1481922")</f>
        <v>GSM1481922</v>
      </c>
      <c r="I6770" t="s">
        <v>333</v>
      </c>
      <c r="J6770" t="s">
        <v>334</v>
      </c>
      <c r="K6770" t="s">
        <v>19</v>
      </c>
      <c r="L6770" t="s">
        <v>335</v>
      </c>
      <c r="M6770" t="s">
        <v>24</v>
      </c>
      <c r="N6770" t="s">
        <v>37</v>
      </c>
    </row>
    <row r="6771" spans="1:14">
      <c r="A6771" s="4" t="str">
        <f t="shared" si="629"/>
        <v>EXP00235</v>
      </c>
      <c r="B6771" s="4" t="str">
        <f t="shared" si="627"/>
        <v>25965298</v>
      </c>
      <c r="C6771" s="4" t="str">
        <f t="shared" si="628"/>
        <v>GSE60542</v>
      </c>
      <c r="D6771" s="1" t="s">
        <v>45</v>
      </c>
      <c r="E6771" t="s">
        <v>336</v>
      </c>
      <c r="F6771" s="1">
        <v>2</v>
      </c>
      <c r="G6771" s="1" t="s">
        <v>28</v>
      </c>
      <c r="H6771" s="4" t="str">
        <f>HYPERLINK("https://www.ncbi.nlm.nih.gov/geo/query/acc.cgi?acc=GSM1481839","GSM1481839")</f>
        <v>GSM1481839</v>
      </c>
      <c r="I6771" t="s">
        <v>333</v>
      </c>
      <c r="J6771" t="s">
        <v>334</v>
      </c>
      <c r="K6771" t="s">
        <v>19</v>
      </c>
      <c r="L6771" t="s">
        <v>335</v>
      </c>
      <c r="M6771" t="s">
        <v>24</v>
      </c>
      <c r="N6771" t="s">
        <v>29</v>
      </c>
    </row>
    <row r="6772" spans="1:14">
      <c r="A6772" s="4" t="str">
        <f t="shared" si="629"/>
        <v>EXP00235</v>
      </c>
      <c r="B6772" s="4" t="str">
        <f t="shared" si="627"/>
        <v>25965298</v>
      </c>
      <c r="C6772" s="4" t="str">
        <f t="shared" si="628"/>
        <v>GSE60542</v>
      </c>
      <c r="D6772" s="1" t="s">
        <v>45</v>
      </c>
      <c r="E6772" t="s">
        <v>336</v>
      </c>
      <c r="F6772" s="1">
        <v>2</v>
      </c>
      <c r="G6772" s="1" t="s">
        <v>28</v>
      </c>
      <c r="H6772" s="4" t="str">
        <f>HYPERLINK("https://www.ncbi.nlm.nih.gov/geo/query/acc.cgi?acc=GSM1481844","GSM1481844")</f>
        <v>GSM1481844</v>
      </c>
      <c r="I6772" t="s">
        <v>333</v>
      </c>
      <c r="J6772" t="s">
        <v>334</v>
      </c>
      <c r="K6772" t="s">
        <v>19</v>
      </c>
      <c r="L6772" t="s">
        <v>335</v>
      </c>
      <c r="M6772" t="s">
        <v>24</v>
      </c>
      <c r="N6772" t="s">
        <v>29</v>
      </c>
    </row>
    <row r="6773" spans="1:14">
      <c r="A6773" s="4" t="str">
        <f t="shared" si="629"/>
        <v>EXP00235</v>
      </c>
      <c r="B6773" s="4" t="str">
        <f t="shared" si="627"/>
        <v>25965298</v>
      </c>
      <c r="C6773" s="4" t="str">
        <f t="shared" si="628"/>
        <v>GSE60542</v>
      </c>
      <c r="D6773" s="1" t="s">
        <v>45</v>
      </c>
      <c r="E6773" t="s">
        <v>336</v>
      </c>
      <c r="F6773" s="1">
        <v>2</v>
      </c>
      <c r="G6773" s="1" t="s">
        <v>28</v>
      </c>
      <c r="H6773" s="4" t="str">
        <f>HYPERLINK("https://www.ncbi.nlm.nih.gov/geo/query/acc.cgi?acc=GSM1481846","GSM1481846")</f>
        <v>GSM1481846</v>
      </c>
      <c r="I6773" t="s">
        <v>333</v>
      </c>
      <c r="J6773" t="s">
        <v>334</v>
      </c>
      <c r="K6773" t="s">
        <v>19</v>
      </c>
      <c r="L6773" t="s">
        <v>335</v>
      </c>
      <c r="M6773" t="s">
        <v>24</v>
      </c>
      <c r="N6773" t="s">
        <v>29</v>
      </c>
    </row>
    <row r="6774" spans="1:14">
      <c r="A6774" s="4" t="str">
        <f t="shared" si="629"/>
        <v>EXP00235</v>
      </c>
      <c r="B6774" s="4" t="str">
        <f t="shared" si="627"/>
        <v>25965298</v>
      </c>
      <c r="C6774" s="4" t="str">
        <f t="shared" si="628"/>
        <v>GSE60542</v>
      </c>
      <c r="D6774" s="1" t="s">
        <v>45</v>
      </c>
      <c r="E6774" t="s">
        <v>336</v>
      </c>
      <c r="F6774" s="1">
        <v>2</v>
      </c>
      <c r="G6774" s="1" t="s">
        <v>28</v>
      </c>
      <c r="H6774" s="4" t="str">
        <f>HYPERLINK("https://www.ncbi.nlm.nih.gov/geo/query/acc.cgi?acc=GSM1481849","GSM1481849")</f>
        <v>GSM1481849</v>
      </c>
      <c r="I6774" t="s">
        <v>333</v>
      </c>
      <c r="J6774" t="s">
        <v>334</v>
      </c>
      <c r="K6774" t="s">
        <v>19</v>
      </c>
      <c r="L6774" t="s">
        <v>335</v>
      </c>
      <c r="M6774" t="s">
        <v>24</v>
      </c>
      <c r="N6774" t="s">
        <v>29</v>
      </c>
    </row>
    <row r="6775" spans="1:14">
      <c r="A6775" s="4" t="str">
        <f t="shared" si="629"/>
        <v>EXP00235</v>
      </c>
      <c r="B6775" s="4" t="str">
        <f t="shared" si="627"/>
        <v>25965298</v>
      </c>
      <c r="C6775" s="4" t="str">
        <f t="shared" si="628"/>
        <v>GSE60542</v>
      </c>
      <c r="D6775" s="1" t="s">
        <v>45</v>
      </c>
      <c r="E6775" t="s">
        <v>336</v>
      </c>
      <c r="F6775" s="1">
        <v>2</v>
      </c>
      <c r="G6775" s="1" t="s">
        <v>28</v>
      </c>
      <c r="H6775" s="4" t="str">
        <f>HYPERLINK("https://www.ncbi.nlm.nih.gov/geo/query/acc.cgi?acc=GSM1481854","GSM1481854")</f>
        <v>GSM1481854</v>
      </c>
      <c r="I6775" t="s">
        <v>333</v>
      </c>
      <c r="J6775" t="s">
        <v>334</v>
      </c>
      <c r="K6775" t="s">
        <v>19</v>
      </c>
      <c r="L6775" t="s">
        <v>335</v>
      </c>
      <c r="M6775" t="s">
        <v>24</v>
      </c>
      <c r="N6775" t="s">
        <v>29</v>
      </c>
    </row>
    <row r="6776" spans="1:14">
      <c r="A6776" s="4" t="str">
        <f t="shared" si="629"/>
        <v>EXP00235</v>
      </c>
      <c r="B6776" s="4" t="str">
        <f t="shared" si="627"/>
        <v>25965298</v>
      </c>
      <c r="C6776" s="4" t="str">
        <f t="shared" si="628"/>
        <v>GSE60542</v>
      </c>
      <c r="D6776" s="1" t="s">
        <v>45</v>
      </c>
      <c r="E6776" t="s">
        <v>336</v>
      </c>
      <c r="F6776" s="1">
        <v>2</v>
      </c>
      <c r="G6776" s="1" t="s">
        <v>28</v>
      </c>
      <c r="H6776" s="4" t="str">
        <f>HYPERLINK("https://www.ncbi.nlm.nih.gov/geo/query/acc.cgi?acc=GSM1481861","GSM1481861")</f>
        <v>GSM1481861</v>
      </c>
      <c r="I6776" t="s">
        <v>333</v>
      </c>
      <c r="J6776" t="s">
        <v>334</v>
      </c>
      <c r="K6776" t="s">
        <v>19</v>
      </c>
      <c r="L6776" t="s">
        <v>335</v>
      </c>
      <c r="M6776" t="s">
        <v>24</v>
      </c>
      <c r="N6776" t="s">
        <v>29</v>
      </c>
    </row>
    <row r="6777" spans="1:14">
      <c r="A6777" s="4" t="str">
        <f t="shared" si="629"/>
        <v>EXP00235</v>
      </c>
      <c r="B6777" s="4" t="str">
        <f t="shared" ref="B6777:B6840" si="630">HYPERLINK("https://www.ncbi.nlm.nih.gov/pubmed/25965298","25965298")</f>
        <v>25965298</v>
      </c>
      <c r="C6777" s="4" t="str">
        <f t="shared" ref="C6777:C6840" si="631">HYPERLINK("https://www.ncbi.nlm.nih.gov/geo/query/acc.cgi?acc=GSE60542","GSE60542")</f>
        <v>GSE60542</v>
      </c>
      <c r="D6777" s="1" t="s">
        <v>45</v>
      </c>
      <c r="E6777" t="s">
        <v>336</v>
      </c>
      <c r="F6777" s="1">
        <v>2</v>
      </c>
      <c r="G6777" s="1" t="s">
        <v>28</v>
      </c>
      <c r="H6777" s="4" t="str">
        <f>HYPERLINK("https://www.ncbi.nlm.nih.gov/geo/query/acc.cgi?acc=GSM1481865","GSM1481865")</f>
        <v>GSM1481865</v>
      </c>
      <c r="I6777" t="s">
        <v>333</v>
      </c>
      <c r="J6777" t="s">
        <v>334</v>
      </c>
      <c r="K6777" t="s">
        <v>19</v>
      </c>
      <c r="L6777" t="s">
        <v>335</v>
      </c>
      <c r="M6777" t="s">
        <v>24</v>
      </c>
      <c r="N6777" t="s">
        <v>29</v>
      </c>
    </row>
    <row r="6778" spans="1:14">
      <c r="A6778" s="4" t="str">
        <f t="shared" si="629"/>
        <v>EXP00235</v>
      </c>
      <c r="B6778" s="4" t="str">
        <f t="shared" si="630"/>
        <v>25965298</v>
      </c>
      <c r="C6778" s="4" t="str">
        <f t="shared" si="631"/>
        <v>GSE60542</v>
      </c>
      <c r="D6778" s="1" t="s">
        <v>45</v>
      </c>
      <c r="E6778" t="s">
        <v>336</v>
      </c>
      <c r="F6778" s="1">
        <v>2</v>
      </c>
      <c r="G6778" s="1" t="s">
        <v>28</v>
      </c>
      <c r="H6778" s="4" t="str">
        <f>HYPERLINK("https://www.ncbi.nlm.nih.gov/geo/query/acc.cgi?acc=GSM1481872","GSM1481872")</f>
        <v>GSM1481872</v>
      </c>
      <c r="I6778" t="s">
        <v>333</v>
      </c>
      <c r="J6778" t="s">
        <v>334</v>
      </c>
      <c r="K6778" t="s">
        <v>19</v>
      </c>
      <c r="L6778" t="s">
        <v>335</v>
      </c>
      <c r="M6778" t="s">
        <v>24</v>
      </c>
      <c r="N6778" t="s">
        <v>29</v>
      </c>
    </row>
    <row r="6779" spans="1:14">
      <c r="A6779" s="4" t="str">
        <f t="shared" si="629"/>
        <v>EXP00235</v>
      </c>
      <c r="B6779" s="4" t="str">
        <f t="shared" si="630"/>
        <v>25965298</v>
      </c>
      <c r="C6779" s="4" t="str">
        <f t="shared" si="631"/>
        <v>GSE60542</v>
      </c>
      <c r="D6779" s="1" t="s">
        <v>45</v>
      </c>
      <c r="E6779" t="s">
        <v>336</v>
      </c>
      <c r="F6779" s="1">
        <v>2</v>
      </c>
      <c r="G6779" s="1" t="s">
        <v>28</v>
      </c>
      <c r="H6779" s="4" t="str">
        <f>HYPERLINK("https://www.ncbi.nlm.nih.gov/geo/query/acc.cgi?acc=GSM1481875","GSM1481875")</f>
        <v>GSM1481875</v>
      </c>
      <c r="I6779" t="s">
        <v>333</v>
      </c>
      <c r="J6779" t="s">
        <v>334</v>
      </c>
      <c r="K6779" t="s">
        <v>19</v>
      </c>
      <c r="L6779" t="s">
        <v>335</v>
      </c>
      <c r="M6779" t="s">
        <v>24</v>
      </c>
      <c r="N6779" t="s">
        <v>29</v>
      </c>
    </row>
    <row r="6780" spans="1:14">
      <c r="A6780" s="4" t="str">
        <f t="shared" si="629"/>
        <v>EXP00235</v>
      </c>
      <c r="B6780" s="4" t="str">
        <f t="shared" si="630"/>
        <v>25965298</v>
      </c>
      <c r="C6780" s="4" t="str">
        <f t="shared" si="631"/>
        <v>GSE60542</v>
      </c>
      <c r="D6780" s="1" t="s">
        <v>45</v>
      </c>
      <c r="E6780" t="s">
        <v>336</v>
      </c>
      <c r="F6780" s="1">
        <v>2</v>
      </c>
      <c r="G6780" s="1" t="s">
        <v>28</v>
      </c>
      <c r="H6780" s="4" t="str">
        <f>HYPERLINK("https://www.ncbi.nlm.nih.gov/geo/query/acc.cgi?acc=GSM1481882","GSM1481882")</f>
        <v>GSM1481882</v>
      </c>
      <c r="I6780" t="s">
        <v>333</v>
      </c>
      <c r="J6780" t="s">
        <v>334</v>
      </c>
      <c r="K6780" t="s">
        <v>19</v>
      </c>
      <c r="L6780" t="s">
        <v>335</v>
      </c>
      <c r="M6780" t="s">
        <v>24</v>
      </c>
      <c r="N6780" t="s">
        <v>29</v>
      </c>
    </row>
    <row r="6781" spans="1:14">
      <c r="A6781" s="4" t="str">
        <f t="shared" si="629"/>
        <v>EXP00235</v>
      </c>
      <c r="B6781" s="4" t="str">
        <f t="shared" si="630"/>
        <v>25965298</v>
      </c>
      <c r="C6781" s="4" t="str">
        <f t="shared" si="631"/>
        <v>GSE60542</v>
      </c>
      <c r="D6781" s="1" t="s">
        <v>45</v>
      </c>
      <c r="E6781" t="s">
        <v>336</v>
      </c>
      <c r="F6781" s="1">
        <v>2</v>
      </c>
      <c r="G6781" s="1" t="s">
        <v>28</v>
      </c>
      <c r="H6781" s="4" t="str">
        <f>HYPERLINK("https://www.ncbi.nlm.nih.gov/geo/query/acc.cgi?acc=GSM1481883","GSM1481883")</f>
        <v>GSM1481883</v>
      </c>
      <c r="I6781" t="s">
        <v>333</v>
      </c>
      <c r="J6781" t="s">
        <v>334</v>
      </c>
      <c r="K6781" t="s">
        <v>19</v>
      </c>
      <c r="L6781" t="s">
        <v>335</v>
      </c>
      <c r="M6781" t="s">
        <v>24</v>
      </c>
      <c r="N6781" t="s">
        <v>29</v>
      </c>
    </row>
    <row r="6782" spans="1:14">
      <c r="A6782" s="4" t="str">
        <f t="shared" si="629"/>
        <v>EXP00235</v>
      </c>
      <c r="B6782" s="4" t="str">
        <f t="shared" si="630"/>
        <v>25965298</v>
      </c>
      <c r="C6782" s="4" t="str">
        <f t="shared" si="631"/>
        <v>GSE60542</v>
      </c>
      <c r="D6782" s="1" t="s">
        <v>45</v>
      </c>
      <c r="E6782" t="s">
        <v>336</v>
      </c>
      <c r="F6782" s="1">
        <v>2</v>
      </c>
      <c r="G6782" s="1" t="s">
        <v>28</v>
      </c>
      <c r="H6782" s="4" t="str">
        <f>HYPERLINK("https://www.ncbi.nlm.nih.gov/geo/query/acc.cgi?acc=GSM1481889","GSM1481889")</f>
        <v>GSM1481889</v>
      </c>
      <c r="I6782" t="s">
        <v>333</v>
      </c>
      <c r="J6782" t="s">
        <v>334</v>
      </c>
      <c r="K6782" t="s">
        <v>19</v>
      </c>
      <c r="L6782" t="s">
        <v>335</v>
      </c>
      <c r="M6782" t="s">
        <v>24</v>
      </c>
      <c r="N6782" t="s">
        <v>29</v>
      </c>
    </row>
    <row r="6783" spans="1:14">
      <c r="A6783" s="4" t="str">
        <f t="shared" si="629"/>
        <v>EXP00235</v>
      </c>
      <c r="B6783" s="4" t="str">
        <f t="shared" si="630"/>
        <v>25965298</v>
      </c>
      <c r="C6783" s="4" t="str">
        <f t="shared" si="631"/>
        <v>GSE60542</v>
      </c>
      <c r="D6783" s="1" t="s">
        <v>45</v>
      </c>
      <c r="E6783" t="s">
        <v>336</v>
      </c>
      <c r="F6783" s="1">
        <v>2</v>
      </c>
      <c r="G6783" s="1" t="s">
        <v>28</v>
      </c>
      <c r="H6783" s="4" t="str">
        <f>HYPERLINK("https://www.ncbi.nlm.nih.gov/geo/query/acc.cgi?acc=GSM1481890","GSM1481890")</f>
        <v>GSM1481890</v>
      </c>
      <c r="I6783" t="s">
        <v>333</v>
      </c>
      <c r="J6783" t="s">
        <v>334</v>
      </c>
      <c r="K6783" t="s">
        <v>19</v>
      </c>
      <c r="L6783" t="s">
        <v>335</v>
      </c>
      <c r="M6783" t="s">
        <v>24</v>
      </c>
      <c r="N6783" t="s">
        <v>29</v>
      </c>
    </row>
    <row r="6784" spans="1:14">
      <c r="A6784" s="4" t="str">
        <f t="shared" si="629"/>
        <v>EXP00235</v>
      </c>
      <c r="B6784" s="4" t="str">
        <f t="shared" si="630"/>
        <v>25965298</v>
      </c>
      <c r="C6784" s="4" t="str">
        <f t="shared" si="631"/>
        <v>GSE60542</v>
      </c>
      <c r="D6784" s="1" t="s">
        <v>45</v>
      </c>
      <c r="E6784" t="s">
        <v>336</v>
      </c>
      <c r="F6784" s="1">
        <v>2</v>
      </c>
      <c r="G6784" s="1" t="s">
        <v>28</v>
      </c>
      <c r="H6784" s="4" t="str">
        <f>HYPERLINK("https://www.ncbi.nlm.nih.gov/geo/query/acc.cgi?acc=GSM1481903","GSM1481903")</f>
        <v>GSM1481903</v>
      </c>
      <c r="I6784" t="s">
        <v>333</v>
      </c>
      <c r="J6784" t="s">
        <v>334</v>
      </c>
      <c r="K6784" t="s">
        <v>19</v>
      </c>
      <c r="L6784" t="s">
        <v>335</v>
      </c>
      <c r="M6784" t="s">
        <v>24</v>
      </c>
      <c r="N6784" t="s">
        <v>29</v>
      </c>
    </row>
    <row r="6785" spans="1:14">
      <c r="A6785" s="4" t="str">
        <f t="shared" si="629"/>
        <v>EXP00235</v>
      </c>
      <c r="B6785" s="4" t="str">
        <f t="shared" si="630"/>
        <v>25965298</v>
      </c>
      <c r="C6785" s="4" t="str">
        <f t="shared" si="631"/>
        <v>GSE60542</v>
      </c>
      <c r="D6785" s="1" t="s">
        <v>45</v>
      </c>
      <c r="E6785" t="s">
        <v>336</v>
      </c>
      <c r="F6785" s="1">
        <v>2</v>
      </c>
      <c r="G6785" s="1" t="s">
        <v>28</v>
      </c>
      <c r="H6785" s="4" t="str">
        <f>HYPERLINK("https://www.ncbi.nlm.nih.gov/geo/query/acc.cgi?acc=GSM1481905","GSM1481905")</f>
        <v>GSM1481905</v>
      </c>
      <c r="I6785" t="s">
        <v>333</v>
      </c>
      <c r="J6785" t="s">
        <v>334</v>
      </c>
      <c r="K6785" t="s">
        <v>19</v>
      </c>
      <c r="L6785" t="s">
        <v>335</v>
      </c>
      <c r="M6785" t="s">
        <v>24</v>
      </c>
      <c r="N6785" t="s">
        <v>29</v>
      </c>
    </row>
    <row r="6786" spans="1:14">
      <c r="A6786" s="4" t="str">
        <f t="shared" si="629"/>
        <v>EXP00235</v>
      </c>
      <c r="B6786" s="4" t="str">
        <f t="shared" si="630"/>
        <v>25965298</v>
      </c>
      <c r="C6786" s="4" t="str">
        <f t="shared" si="631"/>
        <v>GSE60542</v>
      </c>
      <c r="D6786" s="1" t="s">
        <v>45</v>
      </c>
      <c r="E6786" t="s">
        <v>336</v>
      </c>
      <c r="F6786" s="1">
        <v>2</v>
      </c>
      <c r="G6786" s="1" t="s">
        <v>28</v>
      </c>
      <c r="H6786" s="4" t="str">
        <f>HYPERLINK("https://www.ncbi.nlm.nih.gov/geo/query/acc.cgi?acc=GSM1481914","GSM1481914")</f>
        <v>GSM1481914</v>
      </c>
      <c r="I6786" t="s">
        <v>333</v>
      </c>
      <c r="J6786" t="s">
        <v>334</v>
      </c>
      <c r="K6786" t="s">
        <v>19</v>
      </c>
      <c r="L6786" t="s">
        <v>335</v>
      </c>
      <c r="M6786" t="s">
        <v>24</v>
      </c>
      <c r="N6786" t="s">
        <v>29</v>
      </c>
    </row>
    <row r="6787" spans="1:14">
      <c r="A6787" s="4" t="str">
        <f t="shared" si="629"/>
        <v>EXP00235</v>
      </c>
      <c r="B6787" s="4" t="str">
        <f t="shared" si="630"/>
        <v>25965298</v>
      </c>
      <c r="C6787" s="4" t="str">
        <f t="shared" si="631"/>
        <v>GSE60542</v>
      </c>
      <c r="D6787" s="1" t="s">
        <v>45</v>
      </c>
      <c r="E6787" t="s">
        <v>336</v>
      </c>
      <c r="F6787" s="1">
        <v>2</v>
      </c>
      <c r="G6787" s="1" t="s">
        <v>28</v>
      </c>
      <c r="H6787" s="4" t="str">
        <f>HYPERLINK("https://www.ncbi.nlm.nih.gov/geo/query/acc.cgi?acc=GSM1481915","GSM1481915")</f>
        <v>GSM1481915</v>
      </c>
      <c r="I6787" t="s">
        <v>333</v>
      </c>
      <c r="J6787" t="s">
        <v>334</v>
      </c>
      <c r="K6787" t="s">
        <v>19</v>
      </c>
      <c r="L6787" t="s">
        <v>335</v>
      </c>
      <c r="M6787" t="s">
        <v>24</v>
      </c>
      <c r="N6787" t="s">
        <v>29</v>
      </c>
    </row>
    <row r="6788" spans="1:14">
      <c r="A6788" s="4" t="str">
        <f t="shared" si="629"/>
        <v>EXP00235</v>
      </c>
      <c r="B6788" s="4" t="str">
        <f t="shared" si="630"/>
        <v>25965298</v>
      </c>
      <c r="C6788" s="4" t="str">
        <f t="shared" si="631"/>
        <v>GSE60542</v>
      </c>
      <c r="D6788" s="1" t="s">
        <v>45</v>
      </c>
      <c r="E6788" t="s">
        <v>336</v>
      </c>
      <c r="F6788" s="1">
        <v>2</v>
      </c>
      <c r="G6788" s="1" t="s">
        <v>28</v>
      </c>
      <c r="H6788" s="4" t="str">
        <f>HYPERLINK("https://www.ncbi.nlm.nih.gov/geo/query/acc.cgi?acc=GSM1481926","GSM1481926")</f>
        <v>GSM1481926</v>
      </c>
      <c r="I6788" t="s">
        <v>333</v>
      </c>
      <c r="J6788" t="s">
        <v>334</v>
      </c>
      <c r="K6788" t="s">
        <v>19</v>
      </c>
      <c r="L6788" t="s">
        <v>335</v>
      </c>
      <c r="M6788" t="s">
        <v>24</v>
      </c>
      <c r="N6788" t="s">
        <v>29</v>
      </c>
    </row>
    <row r="6789" spans="1:14">
      <c r="A6789" s="4" t="str">
        <f t="shared" si="629"/>
        <v>EXP00235</v>
      </c>
      <c r="B6789" s="4" t="str">
        <f t="shared" si="630"/>
        <v>25965298</v>
      </c>
      <c r="C6789" s="4" t="str">
        <f t="shared" si="631"/>
        <v>GSE60542</v>
      </c>
      <c r="D6789" s="1" t="s">
        <v>45</v>
      </c>
      <c r="E6789" t="s">
        <v>336</v>
      </c>
      <c r="F6789" s="1">
        <v>2</v>
      </c>
      <c r="G6789" s="1" t="s">
        <v>28</v>
      </c>
      <c r="H6789" s="4" t="str">
        <f>HYPERLINK("https://www.ncbi.nlm.nih.gov/geo/query/acc.cgi?acc=GSM1481929","GSM1481929")</f>
        <v>GSM1481929</v>
      </c>
      <c r="I6789" t="s">
        <v>333</v>
      </c>
      <c r="J6789" t="s">
        <v>334</v>
      </c>
      <c r="K6789" t="s">
        <v>19</v>
      </c>
      <c r="L6789" t="s">
        <v>335</v>
      </c>
      <c r="M6789" t="s">
        <v>24</v>
      </c>
      <c r="N6789" t="s">
        <v>29</v>
      </c>
    </row>
    <row r="6790" spans="1:14">
      <c r="A6790" s="4" t="str">
        <f t="shared" ref="A6790:A6816" si="632">HYPERLINK("http://hcmdb.i-sanger.com/experiment/details/experiment_id/EXP00236","EXP00236")</f>
        <v>EXP00236</v>
      </c>
      <c r="B6790" s="4" t="str">
        <f t="shared" si="630"/>
        <v>25965298</v>
      </c>
      <c r="C6790" s="4" t="str">
        <f t="shared" si="631"/>
        <v>GSE60542</v>
      </c>
      <c r="D6790" s="1" t="s">
        <v>45</v>
      </c>
      <c r="E6790" t="s">
        <v>342</v>
      </c>
      <c r="F6790" s="1">
        <v>1</v>
      </c>
      <c r="G6790" s="1" t="s">
        <v>75</v>
      </c>
      <c r="H6790" s="4" t="str">
        <f>HYPERLINK("https://www.ncbi.nlm.nih.gov/geo/query/acc.cgi?acc=GSM1481860","GSM1481860")</f>
        <v>GSM1481860</v>
      </c>
      <c r="I6790" t="s">
        <v>333</v>
      </c>
      <c r="J6790" t="s">
        <v>334</v>
      </c>
      <c r="K6790" t="s">
        <v>19</v>
      </c>
      <c r="L6790" t="s">
        <v>335</v>
      </c>
      <c r="M6790" t="s">
        <v>24</v>
      </c>
      <c r="N6790" t="s">
        <v>76</v>
      </c>
    </row>
    <row r="6791" spans="1:14">
      <c r="A6791" s="4" t="str">
        <f t="shared" si="632"/>
        <v>EXP00236</v>
      </c>
      <c r="B6791" s="4" t="str">
        <f t="shared" si="630"/>
        <v>25965298</v>
      </c>
      <c r="C6791" s="4" t="str">
        <f t="shared" si="631"/>
        <v>GSE60542</v>
      </c>
      <c r="D6791" s="1" t="s">
        <v>45</v>
      </c>
      <c r="E6791" t="s">
        <v>342</v>
      </c>
      <c r="F6791" s="1">
        <v>1</v>
      </c>
      <c r="G6791" s="1" t="s">
        <v>75</v>
      </c>
      <c r="H6791" s="4" t="str">
        <f>HYPERLINK("https://www.ncbi.nlm.nih.gov/geo/query/acc.cgi?acc=GSM1481870","GSM1481870")</f>
        <v>GSM1481870</v>
      </c>
      <c r="I6791" t="s">
        <v>333</v>
      </c>
      <c r="J6791" t="s">
        <v>334</v>
      </c>
      <c r="K6791" t="s">
        <v>19</v>
      </c>
      <c r="L6791" t="s">
        <v>335</v>
      </c>
      <c r="M6791" t="s">
        <v>24</v>
      </c>
      <c r="N6791" t="s">
        <v>76</v>
      </c>
    </row>
    <row r="6792" spans="1:14">
      <c r="A6792" s="4" t="str">
        <f t="shared" si="632"/>
        <v>EXP00236</v>
      </c>
      <c r="B6792" s="4" t="str">
        <f t="shared" si="630"/>
        <v>25965298</v>
      </c>
      <c r="C6792" s="4" t="str">
        <f t="shared" si="631"/>
        <v>GSE60542</v>
      </c>
      <c r="D6792" s="1" t="s">
        <v>45</v>
      </c>
      <c r="E6792" t="s">
        <v>342</v>
      </c>
      <c r="F6792" s="1">
        <v>1</v>
      </c>
      <c r="G6792" s="1" t="s">
        <v>75</v>
      </c>
      <c r="H6792" s="4" t="str">
        <f>HYPERLINK("https://www.ncbi.nlm.nih.gov/geo/query/acc.cgi?acc=GSM1481874","GSM1481874")</f>
        <v>GSM1481874</v>
      </c>
      <c r="I6792" t="s">
        <v>333</v>
      </c>
      <c r="J6792" t="s">
        <v>334</v>
      </c>
      <c r="K6792" t="s">
        <v>19</v>
      </c>
      <c r="L6792" t="s">
        <v>335</v>
      </c>
      <c r="M6792" t="s">
        <v>24</v>
      </c>
      <c r="N6792" t="s">
        <v>76</v>
      </c>
    </row>
    <row r="6793" spans="1:14">
      <c r="A6793" s="4" t="str">
        <f t="shared" si="632"/>
        <v>EXP00236</v>
      </c>
      <c r="B6793" s="4" t="str">
        <f t="shared" si="630"/>
        <v>25965298</v>
      </c>
      <c r="C6793" s="4" t="str">
        <f t="shared" si="631"/>
        <v>GSE60542</v>
      </c>
      <c r="D6793" s="1" t="s">
        <v>45</v>
      </c>
      <c r="E6793" t="s">
        <v>342</v>
      </c>
      <c r="F6793" s="1">
        <v>1</v>
      </c>
      <c r="G6793" s="1" t="s">
        <v>75</v>
      </c>
      <c r="H6793" s="4" t="str">
        <f>HYPERLINK("https://www.ncbi.nlm.nih.gov/geo/query/acc.cgi?acc=GSM1481897","GSM1481897")</f>
        <v>GSM1481897</v>
      </c>
      <c r="I6793" t="s">
        <v>333</v>
      </c>
      <c r="J6793" t="s">
        <v>334</v>
      </c>
      <c r="K6793" t="s">
        <v>19</v>
      </c>
      <c r="L6793" t="s">
        <v>335</v>
      </c>
      <c r="M6793" t="s">
        <v>24</v>
      </c>
      <c r="N6793" t="s">
        <v>76</v>
      </c>
    </row>
    <row r="6794" spans="1:14">
      <c r="A6794" s="4" t="str">
        <f t="shared" si="632"/>
        <v>EXP00236</v>
      </c>
      <c r="B6794" s="4" t="str">
        <f t="shared" si="630"/>
        <v>25965298</v>
      </c>
      <c r="C6794" s="4" t="str">
        <f t="shared" si="631"/>
        <v>GSE60542</v>
      </c>
      <c r="D6794" s="1" t="s">
        <v>45</v>
      </c>
      <c r="E6794" t="s">
        <v>342</v>
      </c>
      <c r="F6794" s="1">
        <v>2</v>
      </c>
      <c r="G6794" s="1" t="s">
        <v>26</v>
      </c>
      <c r="H6794" s="4" t="str">
        <f>HYPERLINK("https://www.ncbi.nlm.nih.gov/geo/query/acc.cgi?acc=GSM1481840","GSM1481840")</f>
        <v>GSM1481840</v>
      </c>
      <c r="I6794" t="s">
        <v>333</v>
      </c>
      <c r="J6794" t="s">
        <v>334</v>
      </c>
      <c r="K6794" t="s">
        <v>19</v>
      </c>
      <c r="L6794" t="s">
        <v>335</v>
      </c>
      <c r="M6794" t="s">
        <v>24</v>
      </c>
      <c r="N6794" t="s">
        <v>22</v>
      </c>
    </row>
    <row r="6795" spans="1:14">
      <c r="A6795" s="4" t="str">
        <f t="shared" si="632"/>
        <v>EXP00236</v>
      </c>
      <c r="B6795" s="4" t="str">
        <f t="shared" si="630"/>
        <v>25965298</v>
      </c>
      <c r="C6795" s="4" t="str">
        <f t="shared" si="631"/>
        <v>GSE60542</v>
      </c>
      <c r="D6795" s="1" t="s">
        <v>45</v>
      </c>
      <c r="E6795" t="s">
        <v>342</v>
      </c>
      <c r="F6795" s="1">
        <v>2</v>
      </c>
      <c r="G6795" s="1" t="s">
        <v>26</v>
      </c>
      <c r="H6795" s="4" t="str">
        <f>HYPERLINK("https://www.ncbi.nlm.nih.gov/geo/query/acc.cgi?acc=GSM1481847","GSM1481847")</f>
        <v>GSM1481847</v>
      </c>
      <c r="I6795" t="s">
        <v>333</v>
      </c>
      <c r="J6795" t="s">
        <v>334</v>
      </c>
      <c r="K6795" t="s">
        <v>19</v>
      </c>
      <c r="L6795" t="s">
        <v>335</v>
      </c>
      <c r="M6795" t="s">
        <v>24</v>
      </c>
      <c r="N6795" t="s">
        <v>22</v>
      </c>
    </row>
    <row r="6796" spans="1:14">
      <c r="A6796" s="4" t="str">
        <f t="shared" si="632"/>
        <v>EXP00236</v>
      </c>
      <c r="B6796" s="4" t="str">
        <f t="shared" si="630"/>
        <v>25965298</v>
      </c>
      <c r="C6796" s="4" t="str">
        <f t="shared" si="631"/>
        <v>GSE60542</v>
      </c>
      <c r="D6796" s="1" t="s">
        <v>45</v>
      </c>
      <c r="E6796" t="s">
        <v>342</v>
      </c>
      <c r="F6796" s="1">
        <v>2</v>
      </c>
      <c r="G6796" s="1" t="s">
        <v>26</v>
      </c>
      <c r="H6796" s="4" t="str">
        <f>HYPERLINK("https://www.ncbi.nlm.nih.gov/geo/query/acc.cgi?acc=GSM1481850","GSM1481850")</f>
        <v>GSM1481850</v>
      </c>
      <c r="I6796" t="s">
        <v>333</v>
      </c>
      <c r="J6796" t="s">
        <v>334</v>
      </c>
      <c r="K6796" t="s">
        <v>19</v>
      </c>
      <c r="L6796" t="s">
        <v>335</v>
      </c>
      <c r="M6796" t="s">
        <v>24</v>
      </c>
      <c r="N6796" t="s">
        <v>22</v>
      </c>
    </row>
    <row r="6797" spans="1:14">
      <c r="A6797" s="4" t="str">
        <f t="shared" si="632"/>
        <v>EXP00236</v>
      </c>
      <c r="B6797" s="4" t="str">
        <f t="shared" si="630"/>
        <v>25965298</v>
      </c>
      <c r="C6797" s="4" t="str">
        <f t="shared" si="631"/>
        <v>GSE60542</v>
      </c>
      <c r="D6797" s="1" t="s">
        <v>45</v>
      </c>
      <c r="E6797" t="s">
        <v>342</v>
      </c>
      <c r="F6797" s="1">
        <v>2</v>
      </c>
      <c r="G6797" s="1" t="s">
        <v>26</v>
      </c>
      <c r="H6797" s="4" t="str">
        <f>HYPERLINK("https://www.ncbi.nlm.nih.gov/geo/query/acc.cgi?acc=GSM1481855","GSM1481855")</f>
        <v>GSM1481855</v>
      </c>
      <c r="I6797" t="s">
        <v>333</v>
      </c>
      <c r="J6797" t="s">
        <v>334</v>
      </c>
      <c r="K6797" t="s">
        <v>19</v>
      </c>
      <c r="L6797" t="s">
        <v>335</v>
      </c>
      <c r="M6797" t="s">
        <v>24</v>
      </c>
      <c r="N6797" t="s">
        <v>22</v>
      </c>
    </row>
    <row r="6798" spans="1:14">
      <c r="A6798" s="4" t="str">
        <f t="shared" si="632"/>
        <v>EXP00236</v>
      </c>
      <c r="B6798" s="4" t="str">
        <f t="shared" si="630"/>
        <v>25965298</v>
      </c>
      <c r="C6798" s="4" t="str">
        <f t="shared" si="631"/>
        <v>GSE60542</v>
      </c>
      <c r="D6798" s="1" t="s">
        <v>45</v>
      </c>
      <c r="E6798" t="s">
        <v>342</v>
      </c>
      <c r="F6798" s="1">
        <v>2</v>
      </c>
      <c r="G6798" s="1" t="s">
        <v>26</v>
      </c>
      <c r="H6798" s="4" t="str">
        <f>HYPERLINK("https://www.ncbi.nlm.nih.gov/geo/query/acc.cgi?acc=GSM1481857","GSM1481857")</f>
        <v>GSM1481857</v>
      </c>
      <c r="I6798" t="s">
        <v>333</v>
      </c>
      <c r="J6798" t="s">
        <v>334</v>
      </c>
      <c r="K6798" t="s">
        <v>19</v>
      </c>
      <c r="L6798" t="s">
        <v>335</v>
      </c>
      <c r="M6798" t="s">
        <v>24</v>
      </c>
      <c r="N6798" t="s">
        <v>22</v>
      </c>
    </row>
    <row r="6799" spans="1:14">
      <c r="A6799" s="4" t="str">
        <f t="shared" si="632"/>
        <v>EXP00236</v>
      </c>
      <c r="B6799" s="4" t="str">
        <f t="shared" si="630"/>
        <v>25965298</v>
      </c>
      <c r="C6799" s="4" t="str">
        <f t="shared" si="631"/>
        <v>GSE60542</v>
      </c>
      <c r="D6799" s="1" t="s">
        <v>45</v>
      </c>
      <c r="E6799" t="s">
        <v>342</v>
      </c>
      <c r="F6799" s="1">
        <v>2</v>
      </c>
      <c r="G6799" s="1" t="s">
        <v>26</v>
      </c>
      <c r="H6799" s="4" t="str">
        <f>HYPERLINK("https://www.ncbi.nlm.nih.gov/geo/query/acc.cgi?acc=GSM1481859","GSM1481859")</f>
        <v>GSM1481859</v>
      </c>
      <c r="I6799" t="s">
        <v>333</v>
      </c>
      <c r="J6799" t="s">
        <v>334</v>
      </c>
      <c r="K6799" t="s">
        <v>19</v>
      </c>
      <c r="L6799" t="s">
        <v>335</v>
      </c>
      <c r="M6799" t="s">
        <v>24</v>
      </c>
      <c r="N6799" t="s">
        <v>22</v>
      </c>
    </row>
    <row r="6800" spans="1:14">
      <c r="A6800" s="4" t="str">
        <f t="shared" si="632"/>
        <v>EXP00236</v>
      </c>
      <c r="B6800" s="4" t="str">
        <f t="shared" si="630"/>
        <v>25965298</v>
      </c>
      <c r="C6800" s="4" t="str">
        <f t="shared" si="631"/>
        <v>GSE60542</v>
      </c>
      <c r="D6800" s="1" t="s">
        <v>45</v>
      </c>
      <c r="E6800" t="s">
        <v>342</v>
      </c>
      <c r="F6800" s="1">
        <v>2</v>
      </c>
      <c r="G6800" s="1" t="s">
        <v>26</v>
      </c>
      <c r="H6800" s="4" t="str">
        <f>HYPERLINK("https://www.ncbi.nlm.nih.gov/geo/query/acc.cgi?acc=GSM1481864","GSM1481864")</f>
        <v>GSM1481864</v>
      </c>
      <c r="I6800" t="s">
        <v>333</v>
      </c>
      <c r="J6800" t="s">
        <v>334</v>
      </c>
      <c r="K6800" t="s">
        <v>19</v>
      </c>
      <c r="L6800" t="s">
        <v>335</v>
      </c>
      <c r="M6800" t="s">
        <v>24</v>
      </c>
      <c r="N6800" t="s">
        <v>22</v>
      </c>
    </row>
    <row r="6801" spans="1:14">
      <c r="A6801" s="4" t="str">
        <f t="shared" si="632"/>
        <v>EXP00236</v>
      </c>
      <c r="B6801" s="4" t="str">
        <f t="shared" si="630"/>
        <v>25965298</v>
      </c>
      <c r="C6801" s="4" t="str">
        <f t="shared" si="631"/>
        <v>GSE60542</v>
      </c>
      <c r="D6801" s="1" t="s">
        <v>45</v>
      </c>
      <c r="E6801" t="s">
        <v>342</v>
      </c>
      <c r="F6801" s="1">
        <v>2</v>
      </c>
      <c r="G6801" s="1" t="s">
        <v>26</v>
      </c>
      <c r="H6801" s="4" t="str">
        <f>HYPERLINK("https://www.ncbi.nlm.nih.gov/geo/query/acc.cgi?acc=GSM1481866","GSM1481866")</f>
        <v>GSM1481866</v>
      </c>
      <c r="I6801" t="s">
        <v>333</v>
      </c>
      <c r="J6801" t="s">
        <v>334</v>
      </c>
      <c r="K6801" t="s">
        <v>19</v>
      </c>
      <c r="L6801" t="s">
        <v>335</v>
      </c>
      <c r="M6801" t="s">
        <v>24</v>
      </c>
      <c r="N6801" t="s">
        <v>22</v>
      </c>
    </row>
    <row r="6802" spans="1:14">
      <c r="A6802" s="4" t="str">
        <f t="shared" si="632"/>
        <v>EXP00236</v>
      </c>
      <c r="B6802" s="4" t="str">
        <f t="shared" si="630"/>
        <v>25965298</v>
      </c>
      <c r="C6802" s="4" t="str">
        <f t="shared" si="631"/>
        <v>GSE60542</v>
      </c>
      <c r="D6802" s="1" t="s">
        <v>45</v>
      </c>
      <c r="E6802" t="s">
        <v>342</v>
      </c>
      <c r="F6802" s="1">
        <v>2</v>
      </c>
      <c r="G6802" s="1" t="s">
        <v>26</v>
      </c>
      <c r="H6802" s="4" t="str">
        <f>HYPERLINK("https://www.ncbi.nlm.nih.gov/geo/query/acc.cgi?acc=GSM1481869","GSM1481869")</f>
        <v>GSM1481869</v>
      </c>
      <c r="I6802" t="s">
        <v>333</v>
      </c>
      <c r="J6802" t="s">
        <v>334</v>
      </c>
      <c r="K6802" t="s">
        <v>19</v>
      </c>
      <c r="L6802" t="s">
        <v>335</v>
      </c>
      <c r="M6802" t="s">
        <v>24</v>
      </c>
      <c r="N6802" t="s">
        <v>22</v>
      </c>
    </row>
    <row r="6803" spans="1:14">
      <c r="A6803" s="4" t="str">
        <f t="shared" si="632"/>
        <v>EXP00236</v>
      </c>
      <c r="B6803" s="4" t="str">
        <f t="shared" si="630"/>
        <v>25965298</v>
      </c>
      <c r="C6803" s="4" t="str">
        <f t="shared" si="631"/>
        <v>GSE60542</v>
      </c>
      <c r="D6803" s="1" t="s">
        <v>45</v>
      </c>
      <c r="E6803" t="s">
        <v>342</v>
      </c>
      <c r="F6803" s="1">
        <v>2</v>
      </c>
      <c r="G6803" s="1" t="s">
        <v>26</v>
      </c>
      <c r="H6803" s="4" t="str">
        <f>HYPERLINK("https://www.ncbi.nlm.nih.gov/geo/query/acc.cgi?acc=GSM1481871","GSM1481871")</f>
        <v>GSM1481871</v>
      </c>
      <c r="I6803" t="s">
        <v>333</v>
      </c>
      <c r="J6803" t="s">
        <v>334</v>
      </c>
      <c r="K6803" t="s">
        <v>19</v>
      </c>
      <c r="L6803" t="s">
        <v>335</v>
      </c>
      <c r="M6803" t="s">
        <v>24</v>
      </c>
      <c r="N6803" t="s">
        <v>22</v>
      </c>
    </row>
    <row r="6804" spans="1:14">
      <c r="A6804" s="4" t="str">
        <f t="shared" si="632"/>
        <v>EXP00236</v>
      </c>
      <c r="B6804" s="4" t="str">
        <f t="shared" si="630"/>
        <v>25965298</v>
      </c>
      <c r="C6804" s="4" t="str">
        <f t="shared" si="631"/>
        <v>GSE60542</v>
      </c>
      <c r="D6804" s="1" t="s">
        <v>45</v>
      </c>
      <c r="E6804" t="s">
        <v>342</v>
      </c>
      <c r="F6804" s="1">
        <v>2</v>
      </c>
      <c r="G6804" s="1" t="s">
        <v>26</v>
      </c>
      <c r="H6804" s="4" t="str">
        <f>HYPERLINK("https://www.ncbi.nlm.nih.gov/geo/query/acc.cgi?acc=GSM1481873","GSM1481873")</f>
        <v>GSM1481873</v>
      </c>
      <c r="I6804" t="s">
        <v>333</v>
      </c>
      <c r="J6804" t="s">
        <v>334</v>
      </c>
      <c r="K6804" t="s">
        <v>19</v>
      </c>
      <c r="L6804" t="s">
        <v>335</v>
      </c>
      <c r="M6804" t="s">
        <v>24</v>
      </c>
      <c r="N6804" t="s">
        <v>22</v>
      </c>
    </row>
    <row r="6805" spans="1:14">
      <c r="A6805" s="4" t="str">
        <f t="shared" si="632"/>
        <v>EXP00236</v>
      </c>
      <c r="B6805" s="4" t="str">
        <f t="shared" si="630"/>
        <v>25965298</v>
      </c>
      <c r="C6805" s="4" t="str">
        <f t="shared" si="631"/>
        <v>GSE60542</v>
      </c>
      <c r="D6805" s="1" t="s">
        <v>45</v>
      </c>
      <c r="E6805" t="s">
        <v>342</v>
      </c>
      <c r="F6805" s="1">
        <v>2</v>
      </c>
      <c r="G6805" s="1" t="s">
        <v>26</v>
      </c>
      <c r="H6805" s="4" t="str">
        <f>HYPERLINK("https://www.ncbi.nlm.nih.gov/geo/query/acc.cgi?acc=GSM1481878","GSM1481878")</f>
        <v>GSM1481878</v>
      </c>
      <c r="I6805" t="s">
        <v>333</v>
      </c>
      <c r="J6805" t="s">
        <v>334</v>
      </c>
      <c r="K6805" t="s">
        <v>19</v>
      </c>
      <c r="L6805" t="s">
        <v>335</v>
      </c>
      <c r="M6805" t="s">
        <v>24</v>
      </c>
      <c r="N6805" t="s">
        <v>22</v>
      </c>
    </row>
    <row r="6806" spans="1:14">
      <c r="A6806" s="4" t="str">
        <f t="shared" si="632"/>
        <v>EXP00236</v>
      </c>
      <c r="B6806" s="4" t="str">
        <f t="shared" si="630"/>
        <v>25965298</v>
      </c>
      <c r="C6806" s="4" t="str">
        <f t="shared" si="631"/>
        <v>GSE60542</v>
      </c>
      <c r="D6806" s="1" t="s">
        <v>45</v>
      </c>
      <c r="E6806" t="s">
        <v>342</v>
      </c>
      <c r="F6806" s="1">
        <v>2</v>
      </c>
      <c r="G6806" s="1" t="s">
        <v>26</v>
      </c>
      <c r="H6806" s="4" t="str">
        <f>HYPERLINK("https://www.ncbi.nlm.nih.gov/geo/query/acc.cgi?acc=GSM1481879","GSM1481879")</f>
        <v>GSM1481879</v>
      </c>
      <c r="I6806" t="s">
        <v>333</v>
      </c>
      <c r="J6806" t="s">
        <v>334</v>
      </c>
      <c r="K6806" t="s">
        <v>19</v>
      </c>
      <c r="L6806" t="s">
        <v>335</v>
      </c>
      <c r="M6806" t="s">
        <v>24</v>
      </c>
      <c r="N6806" t="s">
        <v>22</v>
      </c>
    </row>
    <row r="6807" spans="1:14">
      <c r="A6807" s="4" t="str">
        <f t="shared" si="632"/>
        <v>EXP00236</v>
      </c>
      <c r="B6807" s="4" t="str">
        <f t="shared" si="630"/>
        <v>25965298</v>
      </c>
      <c r="C6807" s="4" t="str">
        <f t="shared" si="631"/>
        <v>GSE60542</v>
      </c>
      <c r="D6807" s="1" t="s">
        <v>45</v>
      </c>
      <c r="E6807" t="s">
        <v>342</v>
      </c>
      <c r="F6807" s="1">
        <v>2</v>
      </c>
      <c r="G6807" s="1" t="s">
        <v>26</v>
      </c>
      <c r="H6807" s="4" t="str">
        <f>HYPERLINK("https://www.ncbi.nlm.nih.gov/geo/query/acc.cgi?acc=GSM1481881","GSM1481881")</f>
        <v>GSM1481881</v>
      </c>
      <c r="I6807" t="s">
        <v>333</v>
      </c>
      <c r="J6807" t="s">
        <v>334</v>
      </c>
      <c r="K6807" t="s">
        <v>19</v>
      </c>
      <c r="L6807" t="s">
        <v>335</v>
      </c>
      <c r="M6807" t="s">
        <v>24</v>
      </c>
      <c r="N6807" t="s">
        <v>22</v>
      </c>
    </row>
    <row r="6808" spans="1:14">
      <c r="A6808" s="4" t="str">
        <f t="shared" si="632"/>
        <v>EXP00236</v>
      </c>
      <c r="B6808" s="4" t="str">
        <f t="shared" si="630"/>
        <v>25965298</v>
      </c>
      <c r="C6808" s="4" t="str">
        <f t="shared" si="631"/>
        <v>GSE60542</v>
      </c>
      <c r="D6808" s="1" t="s">
        <v>45</v>
      </c>
      <c r="E6808" t="s">
        <v>342</v>
      </c>
      <c r="F6808" s="1">
        <v>2</v>
      </c>
      <c r="G6808" s="1" t="s">
        <v>26</v>
      </c>
      <c r="H6808" s="4" t="str">
        <f>HYPERLINK("https://www.ncbi.nlm.nih.gov/geo/query/acc.cgi?acc=GSM1481884","GSM1481884")</f>
        <v>GSM1481884</v>
      </c>
      <c r="I6808" t="s">
        <v>333</v>
      </c>
      <c r="J6808" t="s">
        <v>334</v>
      </c>
      <c r="K6808" t="s">
        <v>19</v>
      </c>
      <c r="L6808" t="s">
        <v>335</v>
      </c>
      <c r="M6808" t="s">
        <v>24</v>
      </c>
      <c r="N6808" t="s">
        <v>22</v>
      </c>
    </row>
    <row r="6809" spans="1:14">
      <c r="A6809" s="4" t="str">
        <f t="shared" si="632"/>
        <v>EXP00236</v>
      </c>
      <c r="B6809" s="4" t="str">
        <f t="shared" si="630"/>
        <v>25965298</v>
      </c>
      <c r="C6809" s="4" t="str">
        <f t="shared" si="631"/>
        <v>GSE60542</v>
      </c>
      <c r="D6809" s="1" t="s">
        <v>45</v>
      </c>
      <c r="E6809" t="s">
        <v>342</v>
      </c>
      <c r="F6809" s="1">
        <v>2</v>
      </c>
      <c r="G6809" s="1" t="s">
        <v>26</v>
      </c>
      <c r="H6809" s="4" t="str">
        <f>HYPERLINK("https://www.ncbi.nlm.nih.gov/geo/query/acc.cgi?acc=GSM1481885","GSM1481885")</f>
        <v>GSM1481885</v>
      </c>
      <c r="I6809" t="s">
        <v>333</v>
      </c>
      <c r="J6809" t="s">
        <v>334</v>
      </c>
      <c r="K6809" t="s">
        <v>19</v>
      </c>
      <c r="L6809" t="s">
        <v>335</v>
      </c>
      <c r="M6809" t="s">
        <v>24</v>
      </c>
      <c r="N6809" t="s">
        <v>22</v>
      </c>
    </row>
    <row r="6810" spans="1:14">
      <c r="A6810" s="4" t="str">
        <f t="shared" si="632"/>
        <v>EXP00236</v>
      </c>
      <c r="B6810" s="4" t="str">
        <f t="shared" si="630"/>
        <v>25965298</v>
      </c>
      <c r="C6810" s="4" t="str">
        <f t="shared" si="631"/>
        <v>GSE60542</v>
      </c>
      <c r="D6810" s="1" t="s">
        <v>45</v>
      </c>
      <c r="E6810" t="s">
        <v>342</v>
      </c>
      <c r="F6810" s="1">
        <v>2</v>
      </c>
      <c r="G6810" s="1" t="s">
        <v>26</v>
      </c>
      <c r="H6810" s="4" t="str">
        <f>HYPERLINK("https://www.ncbi.nlm.nih.gov/geo/query/acc.cgi?acc=GSM1481886","GSM1481886")</f>
        <v>GSM1481886</v>
      </c>
      <c r="I6810" t="s">
        <v>333</v>
      </c>
      <c r="J6810" t="s">
        <v>334</v>
      </c>
      <c r="K6810" t="s">
        <v>19</v>
      </c>
      <c r="L6810" t="s">
        <v>335</v>
      </c>
      <c r="M6810" t="s">
        <v>24</v>
      </c>
      <c r="N6810" t="s">
        <v>22</v>
      </c>
    </row>
    <row r="6811" spans="1:14">
      <c r="A6811" s="4" t="str">
        <f t="shared" si="632"/>
        <v>EXP00236</v>
      </c>
      <c r="B6811" s="4" t="str">
        <f t="shared" si="630"/>
        <v>25965298</v>
      </c>
      <c r="C6811" s="4" t="str">
        <f t="shared" si="631"/>
        <v>GSE60542</v>
      </c>
      <c r="D6811" s="1" t="s">
        <v>45</v>
      </c>
      <c r="E6811" t="s">
        <v>342</v>
      </c>
      <c r="F6811" s="1">
        <v>2</v>
      </c>
      <c r="G6811" s="1" t="s">
        <v>26</v>
      </c>
      <c r="H6811" s="4" t="str">
        <f>HYPERLINK("https://www.ncbi.nlm.nih.gov/geo/query/acc.cgi?acc=GSM1481892","GSM1481892")</f>
        <v>GSM1481892</v>
      </c>
      <c r="I6811" t="s">
        <v>333</v>
      </c>
      <c r="J6811" t="s">
        <v>334</v>
      </c>
      <c r="K6811" t="s">
        <v>19</v>
      </c>
      <c r="L6811" t="s">
        <v>335</v>
      </c>
      <c r="M6811" t="s">
        <v>24</v>
      </c>
      <c r="N6811" t="s">
        <v>22</v>
      </c>
    </row>
    <row r="6812" spans="1:14">
      <c r="A6812" s="4" t="str">
        <f t="shared" si="632"/>
        <v>EXP00236</v>
      </c>
      <c r="B6812" s="4" t="str">
        <f t="shared" si="630"/>
        <v>25965298</v>
      </c>
      <c r="C6812" s="4" t="str">
        <f t="shared" si="631"/>
        <v>GSE60542</v>
      </c>
      <c r="D6812" s="1" t="s">
        <v>45</v>
      </c>
      <c r="E6812" t="s">
        <v>342</v>
      </c>
      <c r="F6812" s="1">
        <v>2</v>
      </c>
      <c r="G6812" s="1" t="s">
        <v>26</v>
      </c>
      <c r="H6812" s="4" t="str">
        <f>HYPERLINK("https://www.ncbi.nlm.nih.gov/geo/query/acc.cgi?acc=GSM1481908","GSM1481908")</f>
        <v>GSM1481908</v>
      </c>
      <c r="I6812" t="s">
        <v>333</v>
      </c>
      <c r="J6812" t="s">
        <v>334</v>
      </c>
      <c r="K6812" t="s">
        <v>19</v>
      </c>
      <c r="L6812" t="s">
        <v>335</v>
      </c>
      <c r="M6812" t="s">
        <v>24</v>
      </c>
      <c r="N6812" t="s">
        <v>22</v>
      </c>
    </row>
    <row r="6813" spans="1:14">
      <c r="A6813" s="4" t="str">
        <f t="shared" si="632"/>
        <v>EXP00236</v>
      </c>
      <c r="B6813" s="4" t="str">
        <f t="shared" si="630"/>
        <v>25965298</v>
      </c>
      <c r="C6813" s="4" t="str">
        <f t="shared" si="631"/>
        <v>GSE60542</v>
      </c>
      <c r="D6813" s="1" t="s">
        <v>45</v>
      </c>
      <c r="E6813" t="s">
        <v>342</v>
      </c>
      <c r="F6813" s="1">
        <v>2</v>
      </c>
      <c r="G6813" s="1" t="s">
        <v>26</v>
      </c>
      <c r="H6813" s="4" t="str">
        <f>HYPERLINK("https://www.ncbi.nlm.nih.gov/geo/query/acc.cgi?acc=GSM1481909","GSM1481909")</f>
        <v>GSM1481909</v>
      </c>
      <c r="I6813" t="s">
        <v>333</v>
      </c>
      <c r="J6813" t="s">
        <v>334</v>
      </c>
      <c r="K6813" t="s">
        <v>19</v>
      </c>
      <c r="L6813" t="s">
        <v>335</v>
      </c>
      <c r="M6813" t="s">
        <v>24</v>
      </c>
      <c r="N6813" t="s">
        <v>22</v>
      </c>
    </row>
    <row r="6814" spans="1:14">
      <c r="A6814" s="4" t="str">
        <f t="shared" si="632"/>
        <v>EXP00236</v>
      </c>
      <c r="B6814" s="4" t="str">
        <f t="shared" si="630"/>
        <v>25965298</v>
      </c>
      <c r="C6814" s="4" t="str">
        <f t="shared" si="631"/>
        <v>GSE60542</v>
      </c>
      <c r="D6814" s="1" t="s">
        <v>45</v>
      </c>
      <c r="E6814" t="s">
        <v>342</v>
      </c>
      <c r="F6814" s="1">
        <v>2</v>
      </c>
      <c r="G6814" s="1" t="s">
        <v>26</v>
      </c>
      <c r="H6814" s="4" t="str">
        <f>HYPERLINK("https://www.ncbi.nlm.nih.gov/geo/query/acc.cgi?acc=GSM1481925","GSM1481925")</f>
        <v>GSM1481925</v>
      </c>
      <c r="I6814" t="s">
        <v>333</v>
      </c>
      <c r="J6814" t="s">
        <v>334</v>
      </c>
      <c r="K6814" t="s">
        <v>19</v>
      </c>
      <c r="L6814" t="s">
        <v>335</v>
      </c>
      <c r="M6814" t="s">
        <v>24</v>
      </c>
      <c r="N6814" t="s">
        <v>22</v>
      </c>
    </row>
    <row r="6815" spans="1:14">
      <c r="A6815" s="4" t="str">
        <f t="shared" si="632"/>
        <v>EXP00236</v>
      </c>
      <c r="B6815" s="4" t="str">
        <f t="shared" si="630"/>
        <v>25965298</v>
      </c>
      <c r="C6815" s="4" t="str">
        <f t="shared" si="631"/>
        <v>GSE60542</v>
      </c>
      <c r="D6815" s="1" t="s">
        <v>45</v>
      </c>
      <c r="E6815" t="s">
        <v>342</v>
      </c>
      <c r="F6815" s="1">
        <v>2</v>
      </c>
      <c r="G6815" s="1" t="s">
        <v>26</v>
      </c>
      <c r="H6815" s="4" t="str">
        <f>HYPERLINK("https://www.ncbi.nlm.nih.gov/geo/query/acc.cgi?acc=GSM1481927","GSM1481927")</f>
        <v>GSM1481927</v>
      </c>
      <c r="I6815" t="s">
        <v>333</v>
      </c>
      <c r="J6815" t="s">
        <v>334</v>
      </c>
      <c r="K6815" t="s">
        <v>19</v>
      </c>
      <c r="L6815" t="s">
        <v>335</v>
      </c>
      <c r="M6815" t="s">
        <v>24</v>
      </c>
      <c r="N6815" t="s">
        <v>22</v>
      </c>
    </row>
    <row r="6816" spans="1:14">
      <c r="A6816" s="4" t="str">
        <f t="shared" si="632"/>
        <v>EXP00236</v>
      </c>
      <c r="B6816" s="4" t="str">
        <f t="shared" si="630"/>
        <v>25965298</v>
      </c>
      <c r="C6816" s="4" t="str">
        <f t="shared" si="631"/>
        <v>GSE60542</v>
      </c>
      <c r="D6816" s="1" t="s">
        <v>45</v>
      </c>
      <c r="E6816" t="s">
        <v>342</v>
      </c>
      <c r="F6816" s="1">
        <v>2</v>
      </c>
      <c r="G6816" s="1" t="s">
        <v>26</v>
      </c>
      <c r="H6816" s="4" t="str">
        <f>HYPERLINK("https://www.ncbi.nlm.nih.gov/geo/query/acc.cgi?acc=GSM1481928","GSM1481928")</f>
        <v>GSM1481928</v>
      </c>
      <c r="I6816" t="s">
        <v>333</v>
      </c>
      <c r="J6816" t="s">
        <v>334</v>
      </c>
      <c r="K6816" t="s">
        <v>19</v>
      </c>
      <c r="L6816" t="s">
        <v>335</v>
      </c>
      <c r="M6816" t="s">
        <v>24</v>
      </c>
      <c r="N6816" t="s">
        <v>22</v>
      </c>
    </row>
    <row r="6817" spans="1:14">
      <c r="A6817" s="4" t="str">
        <f t="shared" ref="A6817:A6859" si="633">HYPERLINK("http://hcmdb.i-sanger.com/experiment/details/experiment_id/EXP00237","EXP00237")</f>
        <v>EXP00237</v>
      </c>
      <c r="B6817" s="4" t="str">
        <f t="shared" si="630"/>
        <v>25965298</v>
      </c>
      <c r="C6817" s="4" t="str">
        <f t="shared" si="631"/>
        <v>GSE60542</v>
      </c>
      <c r="D6817" s="1" t="s">
        <v>45</v>
      </c>
      <c r="E6817" t="s">
        <v>343</v>
      </c>
      <c r="F6817" s="1">
        <v>1</v>
      </c>
      <c r="G6817" s="1" t="s">
        <v>26</v>
      </c>
      <c r="H6817" s="4" t="str">
        <f>HYPERLINK("https://www.ncbi.nlm.nih.gov/geo/query/acc.cgi?acc=GSM1481840","GSM1481840")</f>
        <v>GSM1481840</v>
      </c>
      <c r="I6817" t="s">
        <v>333</v>
      </c>
      <c r="J6817" t="s">
        <v>334</v>
      </c>
      <c r="K6817" t="s">
        <v>19</v>
      </c>
      <c r="L6817" t="s">
        <v>335</v>
      </c>
      <c r="M6817" t="s">
        <v>24</v>
      </c>
      <c r="N6817" t="s">
        <v>22</v>
      </c>
    </row>
    <row r="6818" spans="1:14">
      <c r="A6818" s="4" t="str">
        <f t="shared" si="633"/>
        <v>EXP00237</v>
      </c>
      <c r="B6818" s="4" t="str">
        <f t="shared" si="630"/>
        <v>25965298</v>
      </c>
      <c r="C6818" s="4" t="str">
        <f t="shared" si="631"/>
        <v>GSE60542</v>
      </c>
      <c r="D6818" s="1" t="s">
        <v>45</v>
      </c>
      <c r="E6818" t="s">
        <v>343</v>
      </c>
      <c r="F6818" s="1">
        <v>1</v>
      </c>
      <c r="G6818" s="1" t="s">
        <v>26</v>
      </c>
      <c r="H6818" s="4" t="str">
        <f>HYPERLINK("https://www.ncbi.nlm.nih.gov/geo/query/acc.cgi?acc=GSM1481847","GSM1481847")</f>
        <v>GSM1481847</v>
      </c>
      <c r="I6818" t="s">
        <v>333</v>
      </c>
      <c r="J6818" t="s">
        <v>334</v>
      </c>
      <c r="K6818" t="s">
        <v>19</v>
      </c>
      <c r="L6818" t="s">
        <v>335</v>
      </c>
      <c r="M6818" t="s">
        <v>24</v>
      </c>
      <c r="N6818" t="s">
        <v>22</v>
      </c>
    </row>
    <row r="6819" spans="1:14">
      <c r="A6819" s="4" t="str">
        <f t="shared" si="633"/>
        <v>EXP00237</v>
      </c>
      <c r="B6819" s="4" t="str">
        <f t="shared" si="630"/>
        <v>25965298</v>
      </c>
      <c r="C6819" s="4" t="str">
        <f t="shared" si="631"/>
        <v>GSE60542</v>
      </c>
      <c r="D6819" s="1" t="s">
        <v>45</v>
      </c>
      <c r="E6819" t="s">
        <v>343</v>
      </c>
      <c r="F6819" s="1">
        <v>1</v>
      </c>
      <c r="G6819" s="1" t="s">
        <v>26</v>
      </c>
      <c r="H6819" s="4" t="str">
        <f>HYPERLINK("https://www.ncbi.nlm.nih.gov/geo/query/acc.cgi?acc=GSM1481850","GSM1481850")</f>
        <v>GSM1481850</v>
      </c>
      <c r="I6819" t="s">
        <v>333</v>
      </c>
      <c r="J6819" t="s">
        <v>334</v>
      </c>
      <c r="K6819" t="s">
        <v>19</v>
      </c>
      <c r="L6819" t="s">
        <v>335</v>
      </c>
      <c r="M6819" t="s">
        <v>24</v>
      </c>
      <c r="N6819" t="s">
        <v>22</v>
      </c>
    </row>
    <row r="6820" spans="1:14">
      <c r="A6820" s="4" t="str">
        <f t="shared" si="633"/>
        <v>EXP00237</v>
      </c>
      <c r="B6820" s="4" t="str">
        <f t="shared" si="630"/>
        <v>25965298</v>
      </c>
      <c r="C6820" s="4" t="str">
        <f t="shared" si="631"/>
        <v>GSE60542</v>
      </c>
      <c r="D6820" s="1" t="s">
        <v>45</v>
      </c>
      <c r="E6820" t="s">
        <v>343</v>
      </c>
      <c r="F6820" s="1">
        <v>1</v>
      </c>
      <c r="G6820" s="1" t="s">
        <v>26</v>
      </c>
      <c r="H6820" s="4" t="str">
        <f>HYPERLINK("https://www.ncbi.nlm.nih.gov/geo/query/acc.cgi?acc=GSM1481855","GSM1481855")</f>
        <v>GSM1481855</v>
      </c>
      <c r="I6820" t="s">
        <v>333</v>
      </c>
      <c r="J6820" t="s">
        <v>334</v>
      </c>
      <c r="K6820" t="s">
        <v>19</v>
      </c>
      <c r="L6820" t="s">
        <v>335</v>
      </c>
      <c r="M6820" t="s">
        <v>24</v>
      </c>
      <c r="N6820" t="s">
        <v>22</v>
      </c>
    </row>
    <row r="6821" spans="1:14">
      <c r="A6821" s="4" t="str">
        <f t="shared" si="633"/>
        <v>EXP00237</v>
      </c>
      <c r="B6821" s="4" t="str">
        <f t="shared" si="630"/>
        <v>25965298</v>
      </c>
      <c r="C6821" s="4" t="str">
        <f t="shared" si="631"/>
        <v>GSE60542</v>
      </c>
      <c r="D6821" s="1" t="s">
        <v>45</v>
      </c>
      <c r="E6821" t="s">
        <v>343</v>
      </c>
      <c r="F6821" s="1">
        <v>1</v>
      </c>
      <c r="G6821" s="1" t="s">
        <v>26</v>
      </c>
      <c r="H6821" s="4" t="str">
        <f>HYPERLINK("https://www.ncbi.nlm.nih.gov/geo/query/acc.cgi?acc=GSM1481857","GSM1481857")</f>
        <v>GSM1481857</v>
      </c>
      <c r="I6821" t="s">
        <v>333</v>
      </c>
      <c r="J6821" t="s">
        <v>334</v>
      </c>
      <c r="K6821" t="s">
        <v>19</v>
      </c>
      <c r="L6821" t="s">
        <v>335</v>
      </c>
      <c r="M6821" t="s">
        <v>24</v>
      </c>
      <c r="N6821" t="s">
        <v>22</v>
      </c>
    </row>
    <row r="6822" spans="1:14">
      <c r="A6822" s="4" t="str">
        <f t="shared" si="633"/>
        <v>EXP00237</v>
      </c>
      <c r="B6822" s="4" t="str">
        <f t="shared" si="630"/>
        <v>25965298</v>
      </c>
      <c r="C6822" s="4" t="str">
        <f t="shared" si="631"/>
        <v>GSE60542</v>
      </c>
      <c r="D6822" s="1" t="s">
        <v>45</v>
      </c>
      <c r="E6822" t="s">
        <v>343</v>
      </c>
      <c r="F6822" s="1">
        <v>1</v>
      </c>
      <c r="G6822" s="1" t="s">
        <v>26</v>
      </c>
      <c r="H6822" s="4" t="str">
        <f>HYPERLINK("https://www.ncbi.nlm.nih.gov/geo/query/acc.cgi?acc=GSM1481859","GSM1481859")</f>
        <v>GSM1481859</v>
      </c>
      <c r="I6822" t="s">
        <v>333</v>
      </c>
      <c r="J6822" t="s">
        <v>334</v>
      </c>
      <c r="K6822" t="s">
        <v>19</v>
      </c>
      <c r="L6822" t="s">
        <v>335</v>
      </c>
      <c r="M6822" t="s">
        <v>24</v>
      </c>
      <c r="N6822" t="s">
        <v>22</v>
      </c>
    </row>
    <row r="6823" spans="1:14">
      <c r="A6823" s="4" t="str">
        <f t="shared" si="633"/>
        <v>EXP00237</v>
      </c>
      <c r="B6823" s="4" t="str">
        <f t="shared" si="630"/>
        <v>25965298</v>
      </c>
      <c r="C6823" s="4" t="str">
        <f t="shared" si="631"/>
        <v>GSE60542</v>
      </c>
      <c r="D6823" s="1" t="s">
        <v>45</v>
      </c>
      <c r="E6823" t="s">
        <v>343</v>
      </c>
      <c r="F6823" s="1">
        <v>1</v>
      </c>
      <c r="G6823" s="1" t="s">
        <v>26</v>
      </c>
      <c r="H6823" s="4" t="str">
        <f>HYPERLINK("https://www.ncbi.nlm.nih.gov/geo/query/acc.cgi?acc=GSM1481864","GSM1481864")</f>
        <v>GSM1481864</v>
      </c>
      <c r="I6823" t="s">
        <v>333</v>
      </c>
      <c r="J6823" t="s">
        <v>334</v>
      </c>
      <c r="K6823" t="s">
        <v>19</v>
      </c>
      <c r="L6823" t="s">
        <v>335</v>
      </c>
      <c r="M6823" t="s">
        <v>24</v>
      </c>
      <c r="N6823" t="s">
        <v>22</v>
      </c>
    </row>
    <row r="6824" spans="1:14">
      <c r="A6824" s="4" t="str">
        <f t="shared" si="633"/>
        <v>EXP00237</v>
      </c>
      <c r="B6824" s="4" t="str">
        <f t="shared" si="630"/>
        <v>25965298</v>
      </c>
      <c r="C6824" s="4" t="str">
        <f t="shared" si="631"/>
        <v>GSE60542</v>
      </c>
      <c r="D6824" s="1" t="s">
        <v>45</v>
      </c>
      <c r="E6824" t="s">
        <v>343</v>
      </c>
      <c r="F6824" s="1">
        <v>1</v>
      </c>
      <c r="G6824" s="1" t="s">
        <v>26</v>
      </c>
      <c r="H6824" s="4" t="str">
        <f>HYPERLINK("https://www.ncbi.nlm.nih.gov/geo/query/acc.cgi?acc=GSM1481866","GSM1481866")</f>
        <v>GSM1481866</v>
      </c>
      <c r="I6824" t="s">
        <v>333</v>
      </c>
      <c r="J6824" t="s">
        <v>334</v>
      </c>
      <c r="K6824" t="s">
        <v>19</v>
      </c>
      <c r="L6824" t="s">
        <v>335</v>
      </c>
      <c r="M6824" t="s">
        <v>24</v>
      </c>
      <c r="N6824" t="s">
        <v>22</v>
      </c>
    </row>
    <row r="6825" spans="1:14">
      <c r="A6825" s="4" t="str">
        <f t="shared" si="633"/>
        <v>EXP00237</v>
      </c>
      <c r="B6825" s="4" t="str">
        <f t="shared" si="630"/>
        <v>25965298</v>
      </c>
      <c r="C6825" s="4" t="str">
        <f t="shared" si="631"/>
        <v>GSE60542</v>
      </c>
      <c r="D6825" s="1" t="s">
        <v>45</v>
      </c>
      <c r="E6825" t="s">
        <v>343</v>
      </c>
      <c r="F6825" s="1">
        <v>1</v>
      </c>
      <c r="G6825" s="1" t="s">
        <v>26</v>
      </c>
      <c r="H6825" s="4" t="str">
        <f>HYPERLINK("https://www.ncbi.nlm.nih.gov/geo/query/acc.cgi?acc=GSM1481869","GSM1481869")</f>
        <v>GSM1481869</v>
      </c>
      <c r="I6825" t="s">
        <v>333</v>
      </c>
      <c r="J6825" t="s">
        <v>334</v>
      </c>
      <c r="K6825" t="s">
        <v>19</v>
      </c>
      <c r="L6825" t="s">
        <v>335</v>
      </c>
      <c r="M6825" t="s">
        <v>24</v>
      </c>
      <c r="N6825" t="s">
        <v>22</v>
      </c>
    </row>
    <row r="6826" spans="1:14">
      <c r="A6826" s="4" t="str">
        <f t="shared" si="633"/>
        <v>EXP00237</v>
      </c>
      <c r="B6826" s="4" t="str">
        <f t="shared" si="630"/>
        <v>25965298</v>
      </c>
      <c r="C6826" s="4" t="str">
        <f t="shared" si="631"/>
        <v>GSE60542</v>
      </c>
      <c r="D6826" s="1" t="s">
        <v>45</v>
      </c>
      <c r="E6826" t="s">
        <v>343</v>
      </c>
      <c r="F6826" s="1">
        <v>1</v>
      </c>
      <c r="G6826" s="1" t="s">
        <v>26</v>
      </c>
      <c r="H6826" s="4" t="str">
        <f>HYPERLINK("https://www.ncbi.nlm.nih.gov/geo/query/acc.cgi?acc=GSM1481871","GSM1481871")</f>
        <v>GSM1481871</v>
      </c>
      <c r="I6826" t="s">
        <v>333</v>
      </c>
      <c r="J6826" t="s">
        <v>334</v>
      </c>
      <c r="K6826" t="s">
        <v>19</v>
      </c>
      <c r="L6826" t="s">
        <v>335</v>
      </c>
      <c r="M6826" t="s">
        <v>24</v>
      </c>
      <c r="N6826" t="s">
        <v>22</v>
      </c>
    </row>
    <row r="6827" spans="1:14">
      <c r="A6827" s="4" t="str">
        <f t="shared" si="633"/>
        <v>EXP00237</v>
      </c>
      <c r="B6827" s="4" t="str">
        <f t="shared" si="630"/>
        <v>25965298</v>
      </c>
      <c r="C6827" s="4" t="str">
        <f t="shared" si="631"/>
        <v>GSE60542</v>
      </c>
      <c r="D6827" s="1" t="s">
        <v>45</v>
      </c>
      <c r="E6827" t="s">
        <v>343</v>
      </c>
      <c r="F6827" s="1">
        <v>1</v>
      </c>
      <c r="G6827" s="1" t="s">
        <v>26</v>
      </c>
      <c r="H6827" s="4" t="str">
        <f>HYPERLINK("https://www.ncbi.nlm.nih.gov/geo/query/acc.cgi?acc=GSM1481873","GSM1481873")</f>
        <v>GSM1481873</v>
      </c>
      <c r="I6827" t="s">
        <v>333</v>
      </c>
      <c r="J6827" t="s">
        <v>334</v>
      </c>
      <c r="K6827" t="s">
        <v>19</v>
      </c>
      <c r="L6827" t="s">
        <v>335</v>
      </c>
      <c r="M6827" t="s">
        <v>24</v>
      </c>
      <c r="N6827" t="s">
        <v>22</v>
      </c>
    </row>
    <row r="6828" spans="1:14">
      <c r="A6828" s="4" t="str">
        <f t="shared" si="633"/>
        <v>EXP00237</v>
      </c>
      <c r="B6828" s="4" t="str">
        <f t="shared" si="630"/>
        <v>25965298</v>
      </c>
      <c r="C6828" s="4" t="str">
        <f t="shared" si="631"/>
        <v>GSE60542</v>
      </c>
      <c r="D6828" s="1" t="s">
        <v>45</v>
      </c>
      <c r="E6828" t="s">
        <v>343</v>
      </c>
      <c r="F6828" s="1">
        <v>1</v>
      </c>
      <c r="G6828" s="1" t="s">
        <v>26</v>
      </c>
      <c r="H6828" s="4" t="str">
        <f>HYPERLINK("https://www.ncbi.nlm.nih.gov/geo/query/acc.cgi?acc=GSM1481878","GSM1481878")</f>
        <v>GSM1481878</v>
      </c>
      <c r="I6828" t="s">
        <v>333</v>
      </c>
      <c r="J6828" t="s">
        <v>334</v>
      </c>
      <c r="K6828" t="s">
        <v>19</v>
      </c>
      <c r="L6828" t="s">
        <v>335</v>
      </c>
      <c r="M6828" t="s">
        <v>24</v>
      </c>
      <c r="N6828" t="s">
        <v>22</v>
      </c>
    </row>
    <row r="6829" spans="1:14">
      <c r="A6829" s="4" t="str">
        <f t="shared" si="633"/>
        <v>EXP00237</v>
      </c>
      <c r="B6829" s="4" t="str">
        <f t="shared" si="630"/>
        <v>25965298</v>
      </c>
      <c r="C6829" s="4" t="str">
        <f t="shared" si="631"/>
        <v>GSE60542</v>
      </c>
      <c r="D6829" s="1" t="s">
        <v>45</v>
      </c>
      <c r="E6829" t="s">
        <v>343</v>
      </c>
      <c r="F6829" s="1">
        <v>1</v>
      </c>
      <c r="G6829" s="1" t="s">
        <v>26</v>
      </c>
      <c r="H6829" s="4" t="str">
        <f>HYPERLINK("https://www.ncbi.nlm.nih.gov/geo/query/acc.cgi?acc=GSM1481879","GSM1481879")</f>
        <v>GSM1481879</v>
      </c>
      <c r="I6829" t="s">
        <v>333</v>
      </c>
      <c r="J6829" t="s">
        <v>334</v>
      </c>
      <c r="K6829" t="s">
        <v>19</v>
      </c>
      <c r="L6829" t="s">
        <v>335</v>
      </c>
      <c r="M6829" t="s">
        <v>24</v>
      </c>
      <c r="N6829" t="s">
        <v>22</v>
      </c>
    </row>
    <row r="6830" spans="1:14">
      <c r="A6830" s="4" t="str">
        <f t="shared" si="633"/>
        <v>EXP00237</v>
      </c>
      <c r="B6830" s="4" t="str">
        <f t="shared" si="630"/>
        <v>25965298</v>
      </c>
      <c r="C6830" s="4" t="str">
        <f t="shared" si="631"/>
        <v>GSE60542</v>
      </c>
      <c r="D6830" s="1" t="s">
        <v>45</v>
      </c>
      <c r="E6830" t="s">
        <v>343</v>
      </c>
      <c r="F6830" s="1">
        <v>1</v>
      </c>
      <c r="G6830" s="1" t="s">
        <v>26</v>
      </c>
      <c r="H6830" s="4" t="str">
        <f>HYPERLINK("https://www.ncbi.nlm.nih.gov/geo/query/acc.cgi?acc=GSM1481881","GSM1481881")</f>
        <v>GSM1481881</v>
      </c>
      <c r="I6830" t="s">
        <v>333</v>
      </c>
      <c r="J6830" t="s">
        <v>334</v>
      </c>
      <c r="K6830" t="s">
        <v>19</v>
      </c>
      <c r="L6830" t="s">
        <v>335</v>
      </c>
      <c r="M6830" t="s">
        <v>24</v>
      </c>
      <c r="N6830" t="s">
        <v>22</v>
      </c>
    </row>
    <row r="6831" spans="1:14">
      <c r="A6831" s="4" t="str">
        <f t="shared" si="633"/>
        <v>EXP00237</v>
      </c>
      <c r="B6831" s="4" t="str">
        <f t="shared" si="630"/>
        <v>25965298</v>
      </c>
      <c r="C6831" s="4" t="str">
        <f t="shared" si="631"/>
        <v>GSE60542</v>
      </c>
      <c r="D6831" s="1" t="s">
        <v>45</v>
      </c>
      <c r="E6831" t="s">
        <v>343</v>
      </c>
      <c r="F6831" s="1">
        <v>1</v>
      </c>
      <c r="G6831" s="1" t="s">
        <v>26</v>
      </c>
      <c r="H6831" s="4" t="str">
        <f>HYPERLINK("https://www.ncbi.nlm.nih.gov/geo/query/acc.cgi?acc=GSM1481884","GSM1481884")</f>
        <v>GSM1481884</v>
      </c>
      <c r="I6831" t="s">
        <v>333</v>
      </c>
      <c r="J6831" t="s">
        <v>334</v>
      </c>
      <c r="K6831" t="s">
        <v>19</v>
      </c>
      <c r="L6831" t="s">
        <v>335</v>
      </c>
      <c r="M6831" t="s">
        <v>24</v>
      </c>
      <c r="N6831" t="s">
        <v>22</v>
      </c>
    </row>
    <row r="6832" spans="1:14">
      <c r="A6832" s="4" t="str">
        <f t="shared" si="633"/>
        <v>EXP00237</v>
      </c>
      <c r="B6832" s="4" t="str">
        <f t="shared" si="630"/>
        <v>25965298</v>
      </c>
      <c r="C6832" s="4" t="str">
        <f t="shared" si="631"/>
        <v>GSE60542</v>
      </c>
      <c r="D6832" s="1" t="s">
        <v>45</v>
      </c>
      <c r="E6832" t="s">
        <v>343</v>
      </c>
      <c r="F6832" s="1">
        <v>1</v>
      </c>
      <c r="G6832" s="1" t="s">
        <v>26</v>
      </c>
      <c r="H6832" s="4" t="str">
        <f>HYPERLINK("https://www.ncbi.nlm.nih.gov/geo/query/acc.cgi?acc=GSM1481885","GSM1481885")</f>
        <v>GSM1481885</v>
      </c>
      <c r="I6832" t="s">
        <v>333</v>
      </c>
      <c r="J6832" t="s">
        <v>334</v>
      </c>
      <c r="K6832" t="s">
        <v>19</v>
      </c>
      <c r="L6832" t="s">
        <v>335</v>
      </c>
      <c r="M6832" t="s">
        <v>24</v>
      </c>
      <c r="N6832" t="s">
        <v>22</v>
      </c>
    </row>
    <row r="6833" spans="1:14">
      <c r="A6833" s="4" t="str">
        <f t="shared" si="633"/>
        <v>EXP00237</v>
      </c>
      <c r="B6833" s="4" t="str">
        <f t="shared" si="630"/>
        <v>25965298</v>
      </c>
      <c r="C6833" s="4" t="str">
        <f t="shared" si="631"/>
        <v>GSE60542</v>
      </c>
      <c r="D6833" s="1" t="s">
        <v>45</v>
      </c>
      <c r="E6833" t="s">
        <v>343</v>
      </c>
      <c r="F6833" s="1">
        <v>1</v>
      </c>
      <c r="G6833" s="1" t="s">
        <v>26</v>
      </c>
      <c r="H6833" s="4" t="str">
        <f>HYPERLINK("https://www.ncbi.nlm.nih.gov/geo/query/acc.cgi?acc=GSM1481886","GSM1481886")</f>
        <v>GSM1481886</v>
      </c>
      <c r="I6833" t="s">
        <v>333</v>
      </c>
      <c r="J6833" t="s">
        <v>334</v>
      </c>
      <c r="K6833" t="s">
        <v>19</v>
      </c>
      <c r="L6833" t="s">
        <v>335</v>
      </c>
      <c r="M6833" t="s">
        <v>24</v>
      </c>
      <c r="N6833" t="s">
        <v>22</v>
      </c>
    </row>
    <row r="6834" spans="1:14">
      <c r="A6834" s="4" t="str">
        <f t="shared" si="633"/>
        <v>EXP00237</v>
      </c>
      <c r="B6834" s="4" t="str">
        <f t="shared" si="630"/>
        <v>25965298</v>
      </c>
      <c r="C6834" s="4" t="str">
        <f t="shared" si="631"/>
        <v>GSE60542</v>
      </c>
      <c r="D6834" s="1" t="s">
        <v>45</v>
      </c>
      <c r="E6834" t="s">
        <v>343</v>
      </c>
      <c r="F6834" s="1">
        <v>1</v>
      </c>
      <c r="G6834" s="1" t="s">
        <v>26</v>
      </c>
      <c r="H6834" s="4" t="str">
        <f>HYPERLINK("https://www.ncbi.nlm.nih.gov/geo/query/acc.cgi?acc=GSM1481887","GSM1481887")</f>
        <v>GSM1481887</v>
      </c>
      <c r="I6834" t="s">
        <v>333</v>
      </c>
      <c r="J6834" t="s">
        <v>334</v>
      </c>
      <c r="K6834" t="s">
        <v>19</v>
      </c>
      <c r="L6834" t="s">
        <v>335</v>
      </c>
      <c r="M6834" t="s">
        <v>344</v>
      </c>
      <c r="N6834" t="s">
        <v>22</v>
      </c>
    </row>
    <row r="6835" spans="1:14">
      <c r="A6835" s="4" t="str">
        <f t="shared" si="633"/>
        <v>EXP00237</v>
      </c>
      <c r="B6835" s="4" t="str">
        <f t="shared" si="630"/>
        <v>25965298</v>
      </c>
      <c r="C6835" s="4" t="str">
        <f t="shared" si="631"/>
        <v>GSE60542</v>
      </c>
      <c r="D6835" s="1" t="s">
        <v>45</v>
      </c>
      <c r="E6835" t="s">
        <v>343</v>
      </c>
      <c r="F6835" s="1">
        <v>1</v>
      </c>
      <c r="G6835" s="1" t="s">
        <v>26</v>
      </c>
      <c r="H6835" s="4" t="str">
        <f>HYPERLINK("https://www.ncbi.nlm.nih.gov/geo/query/acc.cgi?acc=GSM1481892","GSM1481892")</f>
        <v>GSM1481892</v>
      </c>
      <c r="I6835" t="s">
        <v>333</v>
      </c>
      <c r="J6835" t="s">
        <v>334</v>
      </c>
      <c r="K6835" t="s">
        <v>19</v>
      </c>
      <c r="L6835" t="s">
        <v>335</v>
      </c>
      <c r="M6835" t="s">
        <v>24</v>
      </c>
      <c r="N6835" t="s">
        <v>22</v>
      </c>
    </row>
    <row r="6836" spans="1:14">
      <c r="A6836" s="4" t="str">
        <f t="shared" si="633"/>
        <v>EXP00237</v>
      </c>
      <c r="B6836" s="4" t="str">
        <f t="shared" si="630"/>
        <v>25965298</v>
      </c>
      <c r="C6836" s="4" t="str">
        <f t="shared" si="631"/>
        <v>GSE60542</v>
      </c>
      <c r="D6836" s="1" t="s">
        <v>45</v>
      </c>
      <c r="E6836" t="s">
        <v>343</v>
      </c>
      <c r="F6836" s="1">
        <v>1</v>
      </c>
      <c r="G6836" s="1" t="s">
        <v>26</v>
      </c>
      <c r="H6836" s="4" t="str">
        <f>HYPERLINK("https://www.ncbi.nlm.nih.gov/geo/query/acc.cgi?acc=GSM1481908","GSM1481908")</f>
        <v>GSM1481908</v>
      </c>
      <c r="I6836" t="s">
        <v>333</v>
      </c>
      <c r="J6836" t="s">
        <v>334</v>
      </c>
      <c r="K6836" t="s">
        <v>19</v>
      </c>
      <c r="L6836" t="s">
        <v>335</v>
      </c>
      <c r="M6836" t="s">
        <v>24</v>
      </c>
      <c r="N6836" t="s">
        <v>22</v>
      </c>
    </row>
    <row r="6837" spans="1:14">
      <c r="A6837" s="4" t="str">
        <f t="shared" si="633"/>
        <v>EXP00237</v>
      </c>
      <c r="B6837" s="4" t="str">
        <f t="shared" si="630"/>
        <v>25965298</v>
      </c>
      <c r="C6837" s="4" t="str">
        <f t="shared" si="631"/>
        <v>GSE60542</v>
      </c>
      <c r="D6837" s="1" t="s">
        <v>45</v>
      </c>
      <c r="E6837" t="s">
        <v>343</v>
      </c>
      <c r="F6837" s="1">
        <v>1</v>
      </c>
      <c r="G6837" s="1" t="s">
        <v>26</v>
      </c>
      <c r="H6837" s="4" t="str">
        <f>HYPERLINK("https://www.ncbi.nlm.nih.gov/geo/query/acc.cgi?acc=GSM1481909","GSM1481909")</f>
        <v>GSM1481909</v>
      </c>
      <c r="I6837" t="s">
        <v>333</v>
      </c>
      <c r="J6837" t="s">
        <v>334</v>
      </c>
      <c r="K6837" t="s">
        <v>19</v>
      </c>
      <c r="L6837" t="s">
        <v>335</v>
      </c>
      <c r="M6837" t="s">
        <v>24</v>
      </c>
      <c r="N6837" t="s">
        <v>22</v>
      </c>
    </row>
    <row r="6838" spans="1:14">
      <c r="A6838" s="4" t="str">
        <f t="shared" si="633"/>
        <v>EXP00237</v>
      </c>
      <c r="B6838" s="4" t="str">
        <f t="shared" si="630"/>
        <v>25965298</v>
      </c>
      <c r="C6838" s="4" t="str">
        <f t="shared" si="631"/>
        <v>GSE60542</v>
      </c>
      <c r="D6838" s="1" t="s">
        <v>45</v>
      </c>
      <c r="E6838" t="s">
        <v>343</v>
      </c>
      <c r="F6838" s="1">
        <v>1</v>
      </c>
      <c r="G6838" s="1" t="s">
        <v>26</v>
      </c>
      <c r="H6838" s="4" t="str">
        <f>HYPERLINK("https://www.ncbi.nlm.nih.gov/geo/query/acc.cgi?acc=GSM1481925","GSM1481925")</f>
        <v>GSM1481925</v>
      </c>
      <c r="I6838" t="s">
        <v>333</v>
      </c>
      <c r="J6838" t="s">
        <v>334</v>
      </c>
      <c r="K6838" t="s">
        <v>19</v>
      </c>
      <c r="L6838" t="s">
        <v>335</v>
      </c>
      <c r="M6838" t="s">
        <v>24</v>
      </c>
      <c r="N6838" t="s">
        <v>22</v>
      </c>
    </row>
    <row r="6839" spans="1:14">
      <c r="A6839" s="4" t="str">
        <f t="shared" si="633"/>
        <v>EXP00237</v>
      </c>
      <c r="B6839" s="4" t="str">
        <f t="shared" si="630"/>
        <v>25965298</v>
      </c>
      <c r="C6839" s="4" t="str">
        <f t="shared" si="631"/>
        <v>GSE60542</v>
      </c>
      <c r="D6839" s="1" t="s">
        <v>45</v>
      </c>
      <c r="E6839" t="s">
        <v>343</v>
      </c>
      <c r="F6839" s="1">
        <v>1</v>
      </c>
      <c r="G6839" s="1" t="s">
        <v>26</v>
      </c>
      <c r="H6839" s="4" t="str">
        <f>HYPERLINK("https://www.ncbi.nlm.nih.gov/geo/query/acc.cgi?acc=GSM1481927","GSM1481927")</f>
        <v>GSM1481927</v>
      </c>
      <c r="I6839" t="s">
        <v>333</v>
      </c>
      <c r="J6839" t="s">
        <v>334</v>
      </c>
      <c r="K6839" t="s">
        <v>19</v>
      </c>
      <c r="L6839" t="s">
        <v>335</v>
      </c>
      <c r="M6839" t="s">
        <v>24</v>
      </c>
      <c r="N6839" t="s">
        <v>22</v>
      </c>
    </row>
    <row r="6840" spans="1:14">
      <c r="A6840" s="4" t="str">
        <f t="shared" si="633"/>
        <v>EXP00237</v>
      </c>
      <c r="B6840" s="4" t="str">
        <f t="shared" si="630"/>
        <v>25965298</v>
      </c>
      <c r="C6840" s="4" t="str">
        <f t="shared" si="631"/>
        <v>GSE60542</v>
      </c>
      <c r="D6840" s="1" t="s">
        <v>45</v>
      </c>
      <c r="E6840" t="s">
        <v>343</v>
      </c>
      <c r="F6840" s="1">
        <v>1</v>
      </c>
      <c r="G6840" s="1" t="s">
        <v>26</v>
      </c>
      <c r="H6840" s="4" t="str">
        <f>HYPERLINK("https://www.ncbi.nlm.nih.gov/geo/query/acc.cgi?acc=GSM1481928","GSM1481928")</f>
        <v>GSM1481928</v>
      </c>
      <c r="I6840" t="s">
        <v>333</v>
      </c>
      <c r="J6840" t="s">
        <v>334</v>
      </c>
      <c r="K6840" t="s">
        <v>19</v>
      </c>
      <c r="L6840" t="s">
        <v>335</v>
      </c>
      <c r="M6840" t="s">
        <v>24</v>
      </c>
      <c r="N6840" t="s">
        <v>22</v>
      </c>
    </row>
    <row r="6841" spans="1:14">
      <c r="A6841" s="4" t="str">
        <f t="shared" si="633"/>
        <v>EXP00237</v>
      </c>
      <c r="B6841" s="4" t="str">
        <f t="shared" ref="B6841:B6904" si="634">HYPERLINK("https://www.ncbi.nlm.nih.gov/pubmed/25965298","25965298")</f>
        <v>25965298</v>
      </c>
      <c r="C6841" s="4" t="str">
        <f t="shared" ref="C6841:C6904" si="635">HYPERLINK("https://www.ncbi.nlm.nih.gov/geo/query/acc.cgi?acc=GSE60542","GSE60542")</f>
        <v>GSE60542</v>
      </c>
      <c r="D6841" s="1" t="s">
        <v>45</v>
      </c>
      <c r="E6841" t="s">
        <v>343</v>
      </c>
      <c r="F6841" s="1">
        <v>2</v>
      </c>
      <c r="G6841" s="1" t="s">
        <v>28</v>
      </c>
      <c r="H6841" s="4" t="str">
        <f>HYPERLINK("https://www.ncbi.nlm.nih.gov/geo/query/acc.cgi?acc=GSM1481839","GSM1481839")</f>
        <v>GSM1481839</v>
      </c>
      <c r="I6841" t="s">
        <v>333</v>
      </c>
      <c r="J6841" t="s">
        <v>334</v>
      </c>
      <c r="K6841" t="s">
        <v>19</v>
      </c>
      <c r="L6841" t="s">
        <v>335</v>
      </c>
      <c r="M6841" t="s">
        <v>24</v>
      </c>
      <c r="N6841" t="s">
        <v>29</v>
      </c>
    </row>
    <row r="6842" spans="1:14">
      <c r="A6842" s="4" t="str">
        <f t="shared" si="633"/>
        <v>EXP00237</v>
      </c>
      <c r="B6842" s="4" t="str">
        <f t="shared" si="634"/>
        <v>25965298</v>
      </c>
      <c r="C6842" s="4" t="str">
        <f t="shared" si="635"/>
        <v>GSE60542</v>
      </c>
      <c r="D6842" s="1" t="s">
        <v>45</v>
      </c>
      <c r="E6842" t="s">
        <v>343</v>
      </c>
      <c r="F6842" s="1">
        <v>2</v>
      </c>
      <c r="G6842" s="1" t="s">
        <v>28</v>
      </c>
      <c r="H6842" s="4" t="str">
        <f>HYPERLINK("https://www.ncbi.nlm.nih.gov/geo/query/acc.cgi?acc=GSM1481844","GSM1481844")</f>
        <v>GSM1481844</v>
      </c>
      <c r="I6842" t="s">
        <v>333</v>
      </c>
      <c r="J6842" t="s">
        <v>334</v>
      </c>
      <c r="K6842" t="s">
        <v>19</v>
      </c>
      <c r="L6842" t="s">
        <v>335</v>
      </c>
      <c r="M6842" t="s">
        <v>24</v>
      </c>
      <c r="N6842" t="s">
        <v>29</v>
      </c>
    </row>
    <row r="6843" spans="1:14">
      <c r="A6843" s="4" t="str">
        <f t="shared" si="633"/>
        <v>EXP00237</v>
      </c>
      <c r="B6843" s="4" t="str">
        <f t="shared" si="634"/>
        <v>25965298</v>
      </c>
      <c r="C6843" s="4" t="str">
        <f t="shared" si="635"/>
        <v>GSE60542</v>
      </c>
      <c r="D6843" s="1" t="s">
        <v>45</v>
      </c>
      <c r="E6843" t="s">
        <v>343</v>
      </c>
      <c r="F6843" s="1">
        <v>2</v>
      </c>
      <c r="G6843" s="1" t="s">
        <v>28</v>
      </c>
      <c r="H6843" s="4" t="str">
        <f>HYPERLINK("https://www.ncbi.nlm.nih.gov/geo/query/acc.cgi?acc=GSM1481846","GSM1481846")</f>
        <v>GSM1481846</v>
      </c>
      <c r="I6843" t="s">
        <v>333</v>
      </c>
      <c r="J6843" t="s">
        <v>334</v>
      </c>
      <c r="K6843" t="s">
        <v>19</v>
      </c>
      <c r="L6843" t="s">
        <v>335</v>
      </c>
      <c r="M6843" t="s">
        <v>24</v>
      </c>
      <c r="N6843" t="s">
        <v>29</v>
      </c>
    </row>
    <row r="6844" spans="1:14">
      <c r="A6844" s="4" t="str">
        <f t="shared" si="633"/>
        <v>EXP00237</v>
      </c>
      <c r="B6844" s="4" t="str">
        <f t="shared" si="634"/>
        <v>25965298</v>
      </c>
      <c r="C6844" s="4" t="str">
        <f t="shared" si="635"/>
        <v>GSE60542</v>
      </c>
      <c r="D6844" s="1" t="s">
        <v>45</v>
      </c>
      <c r="E6844" t="s">
        <v>343</v>
      </c>
      <c r="F6844" s="1">
        <v>2</v>
      </c>
      <c r="G6844" s="1" t="s">
        <v>28</v>
      </c>
      <c r="H6844" s="4" t="str">
        <f>HYPERLINK("https://www.ncbi.nlm.nih.gov/geo/query/acc.cgi?acc=GSM1481849","GSM1481849")</f>
        <v>GSM1481849</v>
      </c>
      <c r="I6844" t="s">
        <v>333</v>
      </c>
      <c r="J6844" t="s">
        <v>334</v>
      </c>
      <c r="K6844" t="s">
        <v>19</v>
      </c>
      <c r="L6844" t="s">
        <v>335</v>
      </c>
      <c r="M6844" t="s">
        <v>24</v>
      </c>
      <c r="N6844" t="s">
        <v>29</v>
      </c>
    </row>
    <row r="6845" spans="1:14">
      <c r="A6845" s="4" t="str">
        <f t="shared" si="633"/>
        <v>EXP00237</v>
      </c>
      <c r="B6845" s="4" t="str">
        <f t="shared" si="634"/>
        <v>25965298</v>
      </c>
      <c r="C6845" s="4" t="str">
        <f t="shared" si="635"/>
        <v>GSE60542</v>
      </c>
      <c r="D6845" s="1" t="s">
        <v>45</v>
      </c>
      <c r="E6845" t="s">
        <v>343</v>
      </c>
      <c r="F6845" s="1">
        <v>2</v>
      </c>
      <c r="G6845" s="1" t="s">
        <v>28</v>
      </c>
      <c r="H6845" s="4" t="str">
        <f>HYPERLINK("https://www.ncbi.nlm.nih.gov/geo/query/acc.cgi?acc=GSM1481854","GSM1481854")</f>
        <v>GSM1481854</v>
      </c>
      <c r="I6845" t="s">
        <v>333</v>
      </c>
      <c r="J6845" t="s">
        <v>334</v>
      </c>
      <c r="K6845" t="s">
        <v>19</v>
      </c>
      <c r="L6845" t="s">
        <v>335</v>
      </c>
      <c r="M6845" t="s">
        <v>24</v>
      </c>
      <c r="N6845" t="s">
        <v>29</v>
      </c>
    </row>
    <row r="6846" spans="1:14">
      <c r="A6846" s="4" t="str">
        <f t="shared" si="633"/>
        <v>EXP00237</v>
      </c>
      <c r="B6846" s="4" t="str">
        <f t="shared" si="634"/>
        <v>25965298</v>
      </c>
      <c r="C6846" s="4" t="str">
        <f t="shared" si="635"/>
        <v>GSE60542</v>
      </c>
      <c r="D6846" s="1" t="s">
        <v>45</v>
      </c>
      <c r="E6846" t="s">
        <v>343</v>
      </c>
      <c r="F6846" s="1">
        <v>2</v>
      </c>
      <c r="G6846" s="1" t="s">
        <v>28</v>
      </c>
      <c r="H6846" s="4" t="str">
        <f>HYPERLINK("https://www.ncbi.nlm.nih.gov/geo/query/acc.cgi?acc=GSM1481861","GSM1481861")</f>
        <v>GSM1481861</v>
      </c>
      <c r="I6846" t="s">
        <v>333</v>
      </c>
      <c r="J6846" t="s">
        <v>334</v>
      </c>
      <c r="K6846" t="s">
        <v>19</v>
      </c>
      <c r="L6846" t="s">
        <v>335</v>
      </c>
      <c r="M6846" t="s">
        <v>24</v>
      </c>
      <c r="N6846" t="s">
        <v>29</v>
      </c>
    </row>
    <row r="6847" spans="1:14">
      <c r="A6847" s="4" t="str">
        <f t="shared" si="633"/>
        <v>EXP00237</v>
      </c>
      <c r="B6847" s="4" t="str">
        <f t="shared" si="634"/>
        <v>25965298</v>
      </c>
      <c r="C6847" s="4" t="str">
        <f t="shared" si="635"/>
        <v>GSE60542</v>
      </c>
      <c r="D6847" s="1" t="s">
        <v>45</v>
      </c>
      <c r="E6847" t="s">
        <v>343</v>
      </c>
      <c r="F6847" s="1">
        <v>2</v>
      </c>
      <c r="G6847" s="1" t="s">
        <v>28</v>
      </c>
      <c r="H6847" s="4" t="str">
        <f>HYPERLINK("https://www.ncbi.nlm.nih.gov/geo/query/acc.cgi?acc=GSM1481865","GSM1481865")</f>
        <v>GSM1481865</v>
      </c>
      <c r="I6847" t="s">
        <v>333</v>
      </c>
      <c r="J6847" t="s">
        <v>334</v>
      </c>
      <c r="K6847" t="s">
        <v>19</v>
      </c>
      <c r="L6847" t="s">
        <v>335</v>
      </c>
      <c r="M6847" t="s">
        <v>24</v>
      </c>
      <c r="N6847" t="s">
        <v>29</v>
      </c>
    </row>
    <row r="6848" spans="1:14">
      <c r="A6848" s="4" t="str">
        <f t="shared" si="633"/>
        <v>EXP00237</v>
      </c>
      <c r="B6848" s="4" t="str">
        <f t="shared" si="634"/>
        <v>25965298</v>
      </c>
      <c r="C6848" s="4" t="str">
        <f t="shared" si="635"/>
        <v>GSE60542</v>
      </c>
      <c r="D6848" s="1" t="s">
        <v>45</v>
      </c>
      <c r="E6848" t="s">
        <v>343</v>
      </c>
      <c r="F6848" s="1">
        <v>2</v>
      </c>
      <c r="G6848" s="1" t="s">
        <v>28</v>
      </c>
      <c r="H6848" s="4" t="str">
        <f>HYPERLINK("https://www.ncbi.nlm.nih.gov/geo/query/acc.cgi?acc=GSM1481872","GSM1481872")</f>
        <v>GSM1481872</v>
      </c>
      <c r="I6848" t="s">
        <v>333</v>
      </c>
      <c r="J6848" t="s">
        <v>334</v>
      </c>
      <c r="K6848" t="s">
        <v>19</v>
      </c>
      <c r="L6848" t="s">
        <v>335</v>
      </c>
      <c r="M6848" t="s">
        <v>24</v>
      </c>
      <c r="N6848" t="s">
        <v>29</v>
      </c>
    </row>
    <row r="6849" spans="1:14">
      <c r="A6849" s="4" t="str">
        <f t="shared" si="633"/>
        <v>EXP00237</v>
      </c>
      <c r="B6849" s="4" t="str">
        <f t="shared" si="634"/>
        <v>25965298</v>
      </c>
      <c r="C6849" s="4" t="str">
        <f t="shared" si="635"/>
        <v>GSE60542</v>
      </c>
      <c r="D6849" s="1" t="s">
        <v>45</v>
      </c>
      <c r="E6849" t="s">
        <v>343</v>
      </c>
      <c r="F6849" s="1">
        <v>2</v>
      </c>
      <c r="G6849" s="1" t="s">
        <v>28</v>
      </c>
      <c r="H6849" s="4" t="str">
        <f>HYPERLINK("https://www.ncbi.nlm.nih.gov/geo/query/acc.cgi?acc=GSM1481875","GSM1481875")</f>
        <v>GSM1481875</v>
      </c>
      <c r="I6849" t="s">
        <v>333</v>
      </c>
      <c r="J6849" t="s">
        <v>334</v>
      </c>
      <c r="K6849" t="s">
        <v>19</v>
      </c>
      <c r="L6849" t="s">
        <v>335</v>
      </c>
      <c r="M6849" t="s">
        <v>24</v>
      </c>
      <c r="N6849" t="s">
        <v>29</v>
      </c>
    </row>
    <row r="6850" spans="1:14">
      <c r="A6850" s="4" t="str">
        <f t="shared" si="633"/>
        <v>EXP00237</v>
      </c>
      <c r="B6850" s="4" t="str">
        <f t="shared" si="634"/>
        <v>25965298</v>
      </c>
      <c r="C6850" s="4" t="str">
        <f t="shared" si="635"/>
        <v>GSE60542</v>
      </c>
      <c r="D6850" s="1" t="s">
        <v>45</v>
      </c>
      <c r="E6850" t="s">
        <v>343</v>
      </c>
      <c r="F6850" s="1">
        <v>2</v>
      </c>
      <c r="G6850" s="1" t="s">
        <v>28</v>
      </c>
      <c r="H6850" s="4" t="str">
        <f>HYPERLINK("https://www.ncbi.nlm.nih.gov/geo/query/acc.cgi?acc=GSM1481882","GSM1481882")</f>
        <v>GSM1481882</v>
      </c>
      <c r="I6850" t="s">
        <v>333</v>
      </c>
      <c r="J6850" t="s">
        <v>334</v>
      </c>
      <c r="K6850" t="s">
        <v>19</v>
      </c>
      <c r="L6850" t="s">
        <v>335</v>
      </c>
      <c r="M6850" t="s">
        <v>24</v>
      </c>
      <c r="N6850" t="s">
        <v>29</v>
      </c>
    </row>
    <row r="6851" spans="1:14">
      <c r="A6851" s="4" t="str">
        <f t="shared" si="633"/>
        <v>EXP00237</v>
      </c>
      <c r="B6851" s="4" t="str">
        <f t="shared" si="634"/>
        <v>25965298</v>
      </c>
      <c r="C6851" s="4" t="str">
        <f t="shared" si="635"/>
        <v>GSE60542</v>
      </c>
      <c r="D6851" s="1" t="s">
        <v>45</v>
      </c>
      <c r="E6851" t="s">
        <v>343</v>
      </c>
      <c r="F6851" s="1">
        <v>2</v>
      </c>
      <c r="G6851" s="1" t="s">
        <v>28</v>
      </c>
      <c r="H6851" s="4" t="str">
        <f>HYPERLINK("https://www.ncbi.nlm.nih.gov/geo/query/acc.cgi?acc=GSM1481883","GSM1481883")</f>
        <v>GSM1481883</v>
      </c>
      <c r="I6851" t="s">
        <v>333</v>
      </c>
      <c r="J6851" t="s">
        <v>334</v>
      </c>
      <c r="K6851" t="s">
        <v>19</v>
      </c>
      <c r="L6851" t="s">
        <v>335</v>
      </c>
      <c r="M6851" t="s">
        <v>24</v>
      </c>
      <c r="N6851" t="s">
        <v>29</v>
      </c>
    </row>
    <row r="6852" spans="1:14">
      <c r="A6852" s="4" t="str">
        <f t="shared" si="633"/>
        <v>EXP00237</v>
      </c>
      <c r="B6852" s="4" t="str">
        <f t="shared" si="634"/>
        <v>25965298</v>
      </c>
      <c r="C6852" s="4" t="str">
        <f t="shared" si="635"/>
        <v>GSE60542</v>
      </c>
      <c r="D6852" s="1" t="s">
        <v>45</v>
      </c>
      <c r="E6852" t="s">
        <v>343</v>
      </c>
      <c r="F6852" s="1">
        <v>2</v>
      </c>
      <c r="G6852" s="1" t="s">
        <v>28</v>
      </c>
      <c r="H6852" s="4" t="str">
        <f>HYPERLINK("https://www.ncbi.nlm.nih.gov/geo/query/acc.cgi?acc=GSM1481889","GSM1481889")</f>
        <v>GSM1481889</v>
      </c>
      <c r="I6852" t="s">
        <v>333</v>
      </c>
      <c r="J6852" t="s">
        <v>334</v>
      </c>
      <c r="K6852" t="s">
        <v>19</v>
      </c>
      <c r="L6852" t="s">
        <v>335</v>
      </c>
      <c r="M6852" t="s">
        <v>24</v>
      </c>
      <c r="N6852" t="s">
        <v>29</v>
      </c>
    </row>
    <row r="6853" spans="1:14">
      <c r="A6853" s="4" t="str">
        <f t="shared" si="633"/>
        <v>EXP00237</v>
      </c>
      <c r="B6853" s="4" t="str">
        <f t="shared" si="634"/>
        <v>25965298</v>
      </c>
      <c r="C6853" s="4" t="str">
        <f t="shared" si="635"/>
        <v>GSE60542</v>
      </c>
      <c r="D6853" s="1" t="s">
        <v>45</v>
      </c>
      <c r="E6853" t="s">
        <v>343</v>
      </c>
      <c r="F6853" s="1">
        <v>2</v>
      </c>
      <c r="G6853" s="1" t="s">
        <v>28</v>
      </c>
      <c r="H6853" s="4" t="str">
        <f>HYPERLINK("https://www.ncbi.nlm.nih.gov/geo/query/acc.cgi?acc=GSM1481890","GSM1481890")</f>
        <v>GSM1481890</v>
      </c>
      <c r="I6853" t="s">
        <v>333</v>
      </c>
      <c r="J6853" t="s">
        <v>334</v>
      </c>
      <c r="K6853" t="s">
        <v>19</v>
      </c>
      <c r="L6853" t="s">
        <v>335</v>
      </c>
      <c r="M6853" t="s">
        <v>24</v>
      </c>
      <c r="N6853" t="s">
        <v>29</v>
      </c>
    </row>
    <row r="6854" spans="1:14">
      <c r="A6854" s="4" t="str">
        <f t="shared" si="633"/>
        <v>EXP00237</v>
      </c>
      <c r="B6854" s="4" t="str">
        <f t="shared" si="634"/>
        <v>25965298</v>
      </c>
      <c r="C6854" s="4" t="str">
        <f t="shared" si="635"/>
        <v>GSE60542</v>
      </c>
      <c r="D6854" s="1" t="s">
        <v>45</v>
      </c>
      <c r="E6854" t="s">
        <v>343</v>
      </c>
      <c r="F6854" s="1">
        <v>2</v>
      </c>
      <c r="G6854" s="1" t="s">
        <v>28</v>
      </c>
      <c r="H6854" s="4" t="str">
        <f>HYPERLINK("https://www.ncbi.nlm.nih.gov/geo/query/acc.cgi?acc=GSM1481903","GSM1481903")</f>
        <v>GSM1481903</v>
      </c>
      <c r="I6854" t="s">
        <v>333</v>
      </c>
      <c r="J6854" t="s">
        <v>334</v>
      </c>
      <c r="K6854" t="s">
        <v>19</v>
      </c>
      <c r="L6854" t="s">
        <v>335</v>
      </c>
      <c r="M6854" t="s">
        <v>24</v>
      </c>
      <c r="N6854" t="s">
        <v>29</v>
      </c>
    </row>
    <row r="6855" spans="1:14">
      <c r="A6855" s="4" t="str">
        <f t="shared" si="633"/>
        <v>EXP00237</v>
      </c>
      <c r="B6855" s="4" t="str">
        <f t="shared" si="634"/>
        <v>25965298</v>
      </c>
      <c r="C6855" s="4" t="str">
        <f t="shared" si="635"/>
        <v>GSE60542</v>
      </c>
      <c r="D6855" s="1" t="s">
        <v>45</v>
      </c>
      <c r="E6855" t="s">
        <v>343</v>
      </c>
      <c r="F6855" s="1">
        <v>2</v>
      </c>
      <c r="G6855" s="1" t="s">
        <v>28</v>
      </c>
      <c r="H6855" s="4" t="str">
        <f>HYPERLINK("https://www.ncbi.nlm.nih.gov/geo/query/acc.cgi?acc=GSM1481905","GSM1481905")</f>
        <v>GSM1481905</v>
      </c>
      <c r="I6855" t="s">
        <v>333</v>
      </c>
      <c r="J6855" t="s">
        <v>334</v>
      </c>
      <c r="K6855" t="s">
        <v>19</v>
      </c>
      <c r="L6855" t="s">
        <v>335</v>
      </c>
      <c r="M6855" t="s">
        <v>24</v>
      </c>
      <c r="N6855" t="s">
        <v>29</v>
      </c>
    </row>
    <row r="6856" spans="1:14">
      <c r="A6856" s="4" t="str">
        <f t="shared" si="633"/>
        <v>EXP00237</v>
      </c>
      <c r="B6856" s="4" t="str">
        <f t="shared" si="634"/>
        <v>25965298</v>
      </c>
      <c r="C6856" s="4" t="str">
        <f t="shared" si="635"/>
        <v>GSE60542</v>
      </c>
      <c r="D6856" s="1" t="s">
        <v>45</v>
      </c>
      <c r="E6856" t="s">
        <v>343</v>
      </c>
      <c r="F6856" s="1">
        <v>2</v>
      </c>
      <c r="G6856" s="1" t="s">
        <v>28</v>
      </c>
      <c r="H6856" s="4" t="str">
        <f>HYPERLINK("https://www.ncbi.nlm.nih.gov/geo/query/acc.cgi?acc=GSM1481914","GSM1481914")</f>
        <v>GSM1481914</v>
      </c>
      <c r="I6856" t="s">
        <v>333</v>
      </c>
      <c r="J6856" t="s">
        <v>334</v>
      </c>
      <c r="K6856" t="s">
        <v>19</v>
      </c>
      <c r="L6856" t="s">
        <v>335</v>
      </c>
      <c r="M6856" t="s">
        <v>24</v>
      </c>
      <c r="N6856" t="s">
        <v>29</v>
      </c>
    </row>
    <row r="6857" spans="1:14">
      <c r="A6857" s="4" t="str">
        <f t="shared" si="633"/>
        <v>EXP00237</v>
      </c>
      <c r="B6857" s="4" t="str">
        <f t="shared" si="634"/>
        <v>25965298</v>
      </c>
      <c r="C6857" s="4" t="str">
        <f t="shared" si="635"/>
        <v>GSE60542</v>
      </c>
      <c r="D6857" s="1" t="s">
        <v>45</v>
      </c>
      <c r="E6857" t="s">
        <v>343</v>
      </c>
      <c r="F6857" s="1">
        <v>2</v>
      </c>
      <c r="G6857" s="1" t="s">
        <v>28</v>
      </c>
      <c r="H6857" s="4" t="str">
        <f>HYPERLINK("https://www.ncbi.nlm.nih.gov/geo/query/acc.cgi?acc=GSM1481915","GSM1481915")</f>
        <v>GSM1481915</v>
      </c>
      <c r="I6857" t="s">
        <v>333</v>
      </c>
      <c r="J6857" t="s">
        <v>334</v>
      </c>
      <c r="K6857" t="s">
        <v>19</v>
      </c>
      <c r="L6857" t="s">
        <v>335</v>
      </c>
      <c r="M6857" t="s">
        <v>24</v>
      </c>
      <c r="N6857" t="s">
        <v>29</v>
      </c>
    </row>
    <row r="6858" spans="1:14">
      <c r="A6858" s="4" t="str">
        <f t="shared" si="633"/>
        <v>EXP00237</v>
      </c>
      <c r="B6858" s="4" t="str">
        <f t="shared" si="634"/>
        <v>25965298</v>
      </c>
      <c r="C6858" s="4" t="str">
        <f t="shared" si="635"/>
        <v>GSE60542</v>
      </c>
      <c r="D6858" s="1" t="s">
        <v>45</v>
      </c>
      <c r="E6858" t="s">
        <v>343</v>
      </c>
      <c r="F6858" s="1">
        <v>2</v>
      </c>
      <c r="G6858" s="1" t="s">
        <v>28</v>
      </c>
      <c r="H6858" s="4" t="str">
        <f>HYPERLINK("https://www.ncbi.nlm.nih.gov/geo/query/acc.cgi?acc=GSM1481926","GSM1481926")</f>
        <v>GSM1481926</v>
      </c>
      <c r="I6858" t="s">
        <v>333</v>
      </c>
      <c r="J6858" t="s">
        <v>334</v>
      </c>
      <c r="K6858" t="s">
        <v>19</v>
      </c>
      <c r="L6858" t="s">
        <v>335</v>
      </c>
      <c r="M6858" t="s">
        <v>24</v>
      </c>
      <c r="N6858" t="s">
        <v>29</v>
      </c>
    </row>
    <row r="6859" spans="1:14">
      <c r="A6859" s="4" t="str">
        <f t="shared" si="633"/>
        <v>EXP00237</v>
      </c>
      <c r="B6859" s="4" t="str">
        <f t="shared" si="634"/>
        <v>25965298</v>
      </c>
      <c r="C6859" s="4" t="str">
        <f t="shared" si="635"/>
        <v>GSE60542</v>
      </c>
      <c r="D6859" s="1" t="s">
        <v>45</v>
      </c>
      <c r="E6859" t="s">
        <v>343</v>
      </c>
      <c r="F6859" s="1">
        <v>2</v>
      </c>
      <c r="G6859" s="1" t="s">
        <v>28</v>
      </c>
      <c r="H6859" s="4" t="str">
        <f>HYPERLINK("https://www.ncbi.nlm.nih.gov/geo/query/acc.cgi?acc=GSM1481929","GSM1481929")</f>
        <v>GSM1481929</v>
      </c>
      <c r="I6859" t="s">
        <v>333</v>
      </c>
      <c r="J6859" t="s">
        <v>334</v>
      </c>
      <c r="K6859" t="s">
        <v>19</v>
      </c>
      <c r="L6859" t="s">
        <v>335</v>
      </c>
      <c r="M6859" t="s">
        <v>24</v>
      </c>
      <c r="N6859" t="s">
        <v>29</v>
      </c>
    </row>
    <row r="6860" spans="1:14">
      <c r="A6860" s="4" t="str">
        <f t="shared" ref="A6860:A6887" si="636">HYPERLINK("http://hcmdb.i-sanger.com/experiment/details/experiment_id/EXP00238","EXP00238")</f>
        <v>EXP00238</v>
      </c>
      <c r="B6860" s="4" t="str">
        <f t="shared" si="634"/>
        <v>25965298</v>
      </c>
      <c r="C6860" s="4" t="str">
        <f t="shared" si="635"/>
        <v>GSE60542</v>
      </c>
      <c r="D6860" s="1" t="s">
        <v>45</v>
      </c>
      <c r="E6860" t="s">
        <v>345</v>
      </c>
      <c r="F6860" s="1">
        <v>1</v>
      </c>
      <c r="G6860" s="1" t="s">
        <v>75</v>
      </c>
      <c r="H6860" s="4" t="str">
        <f>HYPERLINK("https://www.ncbi.nlm.nih.gov/geo/query/acc.cgi?acc=GSM1481860","GSM1481860")</f>
        <v>GSM1481860</v>
      </c>
      <c r="I6860" t="s">
        <v>333</v>
      </c>
      <c r="J6860" t="s">
        <v>334</v>
      </c>
      <c r="K6860" t="s">
        <v>19</v>
      </c>
      <c r="L6860" t="s">
        <v>335</v>
      </c>
      <c r="M6860" t="s">
        <v>24</v>
      </c>
      <c r="N6860" t="s">
        <v>76</v>
      </c>
    </row>
    <row r="6861" spans="1:14">
      <c r="A6861" s="4" t="str">
        <f t="shared" si="636"/>
        <v>EXP00238</v>
      </c>
      <c r="B6861" s="4" t="str">
        <f t="shared" si="634"/>
        <v>25965298</v>
      </c>
      <c r="C6861" s="4" t="str">
        <f t="shared" si="635"/>
        <v>GSE60542</v>
      </c>
      <c r="D6861" s="1" t="s">
        <v>45</v>
      </c>
      <c r="E6861" t="s">
        <v>345</v>
      </c>
      <c r="F6861" s="1">
        <v>1</v>
      </c>
      <c r="G6861" s="1" t="s">
        <v>75</v>
      </c>
      <c r="H6861" s="4" t="str">
        <f>HYPERLINK("https://www.ncbi.nlm.nih.gov/geo/query/acc.cgi?acc=GSM1481870","GSM1481870")</f>
        <v>GSM1481870</v>
      </c>
      <c r="I6861" t="s">
        <v>333</v>
      </c>
      <c r="J6861" t="s">
        <v>334</v>
      </c>
      <c r="K6861" t="s">
        <v>19</v>
      </c>
      <c r="L6861" t="s">
        <v>335</v>
      </c>
      <c r="M6861" t="s">
        <v>24</v>
      </c>
      <c r="N6861" t="s">
        <v>76</v>
      </c>
    </row>
    <row r="6862" spans="1:14">
      <c r="A6862" s="4" t="str">
        <f t="shared" si="636"/>
        <v>EXP00238</v>
      </c>
      <c r="B6862" s="4" t="str">
        <f t="shared" si="634"/>
        <v>25965298</v>
      </c>
      <c r="C6862" s="4" t="str">
        <f t="shared" si="635"/>
        <v>GSE60542</v>
      </c>
      <c r="D6862" s="1" t="s">
        <v>45</v>
      </c>
      <c r="E6862" t="s">
        <v>345</v>
      </c>
      <c r="F6862" s="1">
        <v>1</v>
      </c>
      <c r="G6862" s="1" t="s">
        <v>75</v>
      </c>
      <c r="H6862" s="4" t="str">
        <f>HYPERLINK("https://www.ncbi.nlm.nih.gov/geo/query/acc.cgi?acc=GSM1481874","GSM1481874")</f>
        <v>GSM1481874</v>
      </c>
      <c r="I6862" t="s">
        <v>333</v>
      </c>
      <c r="J6862" t="s">
        <v>334</v>
      </c>
      <c r="K6862" t="s">
        <v>19</v>
      </c>
      <c r="L6862" t="s">
        <v>335</v>
      </c>
      <c r="M6862" t="s">
        <v>24</v>
      </c>
      <c r="N6862" t="s">
        <v>76</v>
      </c>
    </row>
    <row r="6863" spans="1:14">
      <c r="A6863" s="4" t="str">
        <f t="shared" si="636"/>
        <v>EXP00238</v>
      </c>
      <c r="B6863" s="4" t="str">
        <f t="shared" si="634"/>
        <v>25965298</v>
      </c>
      <c r="C6863" s="4" t="str">
        <f t="shared" si="635"/>
        <v>GSE60542</v>
      </c>
      <c r="D6863" s="1" t="s">
        <v>45</v>
      </c>
      <c r="E6863" t="s">
        <v>345</v>
      </c>
      <c r="F6863" s="1">
        <v>1</v>
      </c>
      <c r="G6863" s="1" t="s">
        <v>75</v>
      </c>
      <c r="H6863" s="4" t="str">
        <f>HYPERLINK("https://www.ncbi.nlm.nih.gov/geo/query/acc.cgi?acc=GSM1481897","GSM1481897")</f>
        <v>GSM1481897</v>
      </c>
      <c r="I6863" t="s">
        <v>333</v>
      </c>
      <c r="J6863" t="s">
        <v>334</v>
      </c>
      <c r="K6863" t="s">
        <v>19</v>
      </c>
      <c r="L6863" t="s">
        <v>335</v>
      </c>
      <c r="M6863" t="s">
        <v>24</v>
      </c>
      <c r="N6863" t="s">
        <v>76</v>
      </c>
    </row>
    <row r="6864" spans="1:14">
      <c r="A6864" s="4" t="str">
        <f t="shared" si="636"/>
        <v>EXP00238</v>
      </c>
      <c r="B6864" s="4" t="str">
        <f t="shared" si="634"/>
        <v>25965298</v>
      </c>
      <c r="C6864" s="4" t="str">
        <f t="shared" si="635"/>
        <v>GSE60542</v>
      </c>
      <c r="D6864" s="1" t="s">
        <v>45</v>
      </c>
      <c r="E6864" t="s">
        <v>345</v>
      </c>
      <c r="F6864" s="1">
        <v>2</v>
      </c>
      <c r="G6864" s="1" t="s">
        <v>26</v>
      </c>
      <c r="H6864" s="4" t="str">
        <f>HYPERLINK("https://www.ncbi.nlm.nih.gov/geo/query/acc.cgi?acc=GSM1481840","GSM1481840")</f>
        <v>GSM1481840</v>
      </c>
      <c r="I6864" t="s">
        <v>333</v>
      </c>
      <c r="J6864" t="s">
        <v>334</v>
      </c>
      <c r="K6864" t="s">
        <v>19</v>
      </c>
      <c r="L6864" t="s">
        <v>335</v>
      </c>
      <c r="M6864" t="s">
        <v>24</v>
      </c>
      <c r="N6864" t="s">
        <v>22</v>
      </c>
    </row>
    <row r="6865" spans="1:14">
      <c r="A6865" s="4" t="str">
        <f t="shared" si="636"/>
        <v>EXP00238</v>
      </c>
      <c r="B6865" s="4" t="str">
        <f t="shared" si="634"/>
        <v>25965298</v>
      </c>
      <c r="C6865" s="4" t="str">
        <f t="shared" si="635"/>
        <v>GSE60542</v>
      </c>
      <c r="D6865" s="1" t="s">
        <v>45</v>
      </c>
      <c r="E6865" t="s">
        <v>345</v>
      </c>
      <c r="F6865" s="1">
        <v>2</v>
      </c>
      <c r="G6865" s="1" t="s">
        <v>26</v>
      </c>
      <c r="H6865" s="4" t="str">
        <f>HYPERLINK("https://www.ncbi.nlm.nih.gov/geo/query/acc.cgi?acc=GSM1481847","GSM1481847")</f>
        <v>GSM1481847</v>
      </c>
      <c r="I6865" t="s">
        <v>333</v>
      </c>
      <c r="J6865" t="s">
        <v>334</v>
      </c>
      <c r="K6865" t="s">
        <v>19</v>
      </c>
      <c r="L6865" t="s">
        <v>335</v>
      </c>
      <c r="M6865" t="s">
        <v>24</v>
      </c>
      <c r="N6865" t="s">
        <v>22</v>
      </c>
    </row>
    <row r="6866" spans="1:14">
      <c r="A6866" s="4" t="str">
        <f t="shared" si="636"/>
        <v>EXP00238</v>
      </c>
      <c r="B6866" s="4" t="str">
        <f t="shared" si="634"/>
        <v>25965298</v>
      </c>
      <c r="C6866" s="4" t="str">
        <f t="shared" si="635"/>
        <v>GSE60542</v>
      </c>
      <c r="D6866" s="1" t="s">
        <v>45</v>
      </c>
      <c r="E6866" t="s">
        <v>345</v>
      </c>
      <c r="F6866" s="1">
        <v>2</v>
      </c>
      <c r="G6866" s="1" t="s">
        <v>26</v>
      </c>
      <c r="H6866" s="4" t="str">
        <f>HYPERLINK("https://www.ncbi.nlm.nih.gov/geo/query/acc.cgi?acc=GSM1481850","GSM1481850")</f>
        <v>GSM1481850</v>
      </c>
      <c r="I6866" t="s">
        <v>333</v>
      </c>
      <c r="J6866" t="s">
        <v>334</v>
      </c>
      <c r="K6866" t="s">
        <v>19</v>
      </c>
      <c r="L6866" t="s">
        <v>335</v>
      </c>
      <c r="M6866" t="s">
        <v>24</v>
      </c>
      <c r="N6866" t="s">
        <v>22</v>
      </c>
    </row>
    <row r="6867" spans="1:14">
      <c r="A6867" s="4" t="str">
        <f t="shared" si="636"/>
        <v>EXP00238</v>
      </c>
      <c r="B6867" s="4" t="str">
        <f t="shared" si="634"/>
        <v>25965298</v>
      </c>
      <c r="C6867" s="4" t="str">
        <f t="shared" si="635"/>
        <v>GSE60542</v>
      </c>
      <c r="D6867" s="1" t="s">
        <v>45</v>
      </c>
      <c r="E6867" t="s">
        <v>345</v>
      </c>
      <c r="F6867" s="1">
        <v>2</v>
      </c>
      <c r="G6867" s="1" t="s">
        <v>26</v>
      </c>
      <c r="H6867" s="4" t="str">
        <f>HYPERLINK("https://www.ncbi.nlm.nih.gov/geo/query/acc.cgi?acc=GSM1481855","GSM1481855")</f>
        <v>GSM1481855</v>
      </c>
      <c r="I6867" t="s">
        <v>333</v>
      </c>
      <c r="J6867" t="s">
        <v>334</v>
      </c>
      <c r="K6867" t="s">
        <v>19</v>
      </c>
      <c r="L6867" t="s">
        <v>335</v>
      </c>
      <c r="M6867" t="s">
        <v>24</v>
      </c>
      <c r="N6867" t="s">
        <v>22</v>
      </c>
    </row>
    <row r="6868" spans="1:14">
      <c r="A6868" s="4" t="str">
        <f t="shared" si="636"/>
        <v>EXP00238</v>
      </c>
      <c r="B6868" s="4" t="str">
        <f t="shared" si="634"/>
        <v>25965298</v>
      </c>
      <c r="C6868" s="4" t="str">
        <f t="shared" si="635"/>
        <v>GSE60542</v>
      </c>
      <c r="D6868" s="1" t="s">
        <v>45</v>
      </c>
      <c r="E6868" t="s">
        <v>345</v>
      </c>
      <c r="F6868" s="1">
        <v>2</v>
      </c>
      <c r="G6868" s="1" t="s">
        <v>26</v>
      </c>
      <c r="H6868" s="4" t="str">
        <f>HYPERLINK("https://www.ncbi.nlm.nih.gov/geo/query/acc.cgi?acc=GSM1481857","GSM1481857")</f>
        <v>GSM1481857</v>
      </c>
      <c r="I6868" t="s">
        <v>333</v>
      </c>
      <c r="J6868" t="s">
        <v>334</v>
      </c>
      <c r="K6868" t="s">
        <v>19</v>
      </c>
      <c r="L6868" t="s">
        <v>335</v>
      </c>
      <c r="M6868" t="s">
        <v>24</v>
      </c>
      <c r="N6868" t="s">
        <v>22</v>
      </c>
    </row>
    <row r="6869" spans="1:14">
      <c r="A6869" s="4" t="str">
        <f t="shared" si="636"/>
        <v>EXP00238</v>
      </c>
      <c r="B6869" s="4" t="str">
        <f t="shared" si="634"/>
        <v>25965298</v>
      </c>
      <c r="C6869" s="4" t="str">
        <f t="shared" si="635"/>
        <v>GSE60542</v>
      </c>
      <c r="D6869" s="1" t="s">
        <v>45</v>
      </c>
      <c r="E6869" t="s">
        <v>345</v>
      </c>
      <c r="F6869" s="1">
        <v>2</v>
      </c>
      <c r="G6869" s="1" t="s">
        <v>26</v>
      </c>
      <c r="H6869" s="4" t="str">
        <f>HYPERLINK("https://www.ncbi.nlm.nih.gov/geo/query/acc.cgi?acc=GSM1481859","GSM1481859")</f>
        <v>GSM1481859</v>
      </c>
      <c r="I6869" t="s">
        <v>333</v>
      </c>
      <c r="J6869" t="s">
        <v>334</v>
      </c>
      <c r="K6869" t="s">
        <v>19</v>
      </c>
      <c r="L6869" t="s">
        <v>335</v>
      </c>
      <c r="M6869" t="s">
        <v>24</v>
      </c>
      <c r="N6869" t="s">
        <v>22</v>
      </c>
    </row>
    <row r="6870" spans="1:14">
      <c r="A6870" s="4" t="str">
        <f t="shared" si="636"/>
        <v>EXP00238</v>
      </c>
      <c r="B6870" s="4" t="str">
        <f t="shared" si="634"/>
        <v>25965298</v>
      </c>
      <c r="C6870" s="4" t="str">
        <f t="shared" si="635"/>
        <v>GSE60542</v>
      </c>
      <c r="D6870" s="1" t="s">
        <v>45</v>
      </c>
      <c r="E6870" t="s">
        <v>345</v>
      </c>
      <c r="F6870" s="1">
        <v>2</v>
      </c>
      <c r="G6870" s="1" t="s">
        <v>26</v>
      </c>
      <c r="H6870" s="4" t="str">
        <f>HYPERLINK("https://www.ncbi.nlm.nih.gov/geo/query/acc.cgi?acc=GSM1481864","GSM1481864")</f>
        <v>GSM1481864</v>
      </c>
      <c r="I6870" t="s">
        <v>333</v>
      </c>
      <c r="J6870" t="s">
        <v>334</v>
      </c>
      <c r="K6870" t="s">
        <v>19</v>
      </c>
      <c r="L6870" t="s">
        <v>335</v>
      </c>
      <c r="M6870" t="s">
        <v>24</v>
      </c>
      <c r="N6870" t="s">
        <v>22</v>
      </c>
    </row>
    <row r="6871" spans="1:14">
      <c r="A6871" s="4" t="str">
        <f t="shared" si="636"/>
        <v>EXP00238</v>
      </c>
      <c r="B6871" s="4" t="str">
        <f t="shared" si="634"/>
        <v>25965298</v>
      </c>
      <c r="C6871" s="4" t="str">
        <f t="shared" si="635"/>
        <v>GSE60542</v>
      </c>
      <c r="D6871" s="1" t="s">
        <v>45</v>
      </c>
      <c r="E6871" t="s">
        <v>345</v>
      </c>
      <c r="F6871" s="1">
        <v>2</v>
      </c>
      <c r="G6871" s="1" t="s">
        <v>26</v>
      </c>
      <c r="H6871" s="4" t="str">
        <f>HYPERLINK("https://www.ncbi.nlm.nih.gov/geo/query/acc.cgi?acc=GSM1481866","GSM1481866")</f>
        <v>GSM1481866</v>
      </c>
      <c r="I6871" t="s">
        <v>333</v>
      </c>
      <c r="J6871" t="s">
        <v>334</v>
      </c>
      <c r="K6871" t="s">
        <v>19</v>
      </c>
      <c r="L6871" t="s">
        <v>335</v>
      </c>
      <c r="M6871" t="s">
        <v>24</v>
      </c>
      <c r="N6871" t="s">
        <v>22</v>
      </c>
    </row>
    <row r="6872" spans="1:14">
      <c r="A6872" s="4" t="str">
        <f t="shared" si="636"/>
        <v>EXP00238</v>
      </c>
      <c r="B6872" s="4" t="str">
        <f t="shared" si="634"/>
        <v>25965298</v>
      </c>
      <c r="C6872" s="4" t="str">
        <f t="shared" si="635"/>
        <v>GSE60542</v>
      </c>
      <c r="D6872" s="1" t="s">
        <v>45</v>
      </c>
      <c r="E6872" t="s">
        <v>345</v>
      </c>
      <c r="F6872" s="1">
        <v>2</v>
      </c>
      <c r="G6872" s="1" t="s">
        <v>26</v>
      </c>
      <c r="H6872" s="4" t="str">
        <f>HYPERLINK("https://www.ncbi.nlm.nih.gov/geo/query/acc.cgi?acc=GSM1481869","GSM1481869")</f>
        <v>GSM1481869</v>
      </c>
      <c r="I6872" t="s">
        <v>333</v>
      </c>
      <c r="J6872" t="s">
        <v>334</v>
      </c>
      <c r="K6872" t="s">
        <v>19</v>
      </c>
      <c r="L6872" t="s">
        <v>335</v>
      </c>
      <c r="M6872" t="s">
        <v>24</v>
      </c>
      <c r="N6872" t="s">
        <v>22</v>
      </c>
    </row>
    <row r="6873" spans="1:14">
      <c r="A6873" s="4" t="str">
        <f t="shared" si="636"/>
        <v>EXP00238</v>
      </c>
      <c r="B6873" s="4" t="str">
        <f t="shared" si="634"/>
        <v>25965298</v>
      </c>
      <c r="C6873" s="4" t="str">
        <f t="shared" si="635"/>
        <v>GSE60542</v>
      </c>
      <c r="D6873" s="1" t="s">
        <v>45</v>
      </c>
      <c r="E6873" t="s">
        <v>345</v>
      </c>
      <c r="F6873" s="1">
        <v>2</v>
      </c>
      <c r="G6873" s="1" t="s">
        <v>26</v>
      </c>
      <c r="H6873" s="4" t="str">
        <f>HYPERLINK("https://www.ncbi.nlm.nih.gov/geo/query/acc.cgi?acc=GSM1481871","GSM1481871")</f>
        <v>GSM1481871</v>
      </c>
      <c r="I6873" t="s">
        <v>333</v>
      </c>
      <c r="J6873" t="s">
        <v>334</v>
      </c>
      <c r="K6873" t="s">
        <v>19</v>
      </c>
      <c r="L6873" t="s">
        <v>335</v>
      </c>
      <c r="M6873" t="s">
        <v>24</v>
      </c>
      <c r="N6873" t="s">
        <v>22</v>
      </c>
    </row>
    <row r="6874" spans="1:14">
      <c r="A6874" s="4" t="str">
        <f t="shared" si="636"/>
        <v>EXP00238</v>
      </c>
      <c r="B6874" s="4" t="str">
        <f t="shared" si="634"/>
        <v>25965298</v>
      </c>
      <c r="C6874" s="4" t="str">
        <f t="shared" si="635"/>
        <v>GSE60542</v>
      </c>
      <c r="D6874" s="1" t="s">
        <v>45</v>
      </c>
      <c r="E6874" t="s">
        <v>345</v>
      </c>
      <c r="F6874" s="1">
        <v>2</v>
      </c>
      <c r="G6874" s="1" t="s">
        <v>26</v>
      </c>
      <c r="H6874" s="4" t="str">
        <f>HYPERLINK("https://www.ncbi.nlm.nih.gov/geo/query/acc.cgi?acc=GSM1481873","GSM1481873")</f>
        <v>GSM1481873</v>
      </c>
      <c r="I6874" t="s">
        <v>333</v>
      </c>
      <c r="J6874" t="s">
        <v>334</v>
      </c>
      <c r="K6874" t="s">
        <v>19</v>
      </c>
      <c r="L6874" t="s">
        <v>335</v>
      </c>
      <c r="M6874" t="s">
        <v>24</v>
      </c>
      <c r="N6874" t="s">
        <v>22</v>
      </c>
    </row>
    <row r="6875" spans="1:14">
      <c r="A6875" s="4" t="str">
        <f t="shared" si="636"/>
        <v>EXP00238</v>
      </c>
      <c r="B6875" s="4" t="str">
        <f t="shared" si="634"/>
        <v>25965298</v>
      </c>
      <c r="C6875" s="4" t="str">
        <f t="shared" si="635"/>
        <v>GSE60542</v>
      </c>
      <c r="D6875" s="1" t="s">
        <v>45</v>
      </c>
      <c r="E6875" t="s">
        <v>345</v>
      </c>
      <c r="F6875" s="1">
        <v>2</v>
      </c>
      <c r="G6875" s="1" t="s">
        <v>26</v>
      </c>
      <c r="H6875" s="4" t="str">
        <f>HYPERLINK("https://www.ncbi.nlm.nih.gov/geo/query/acc.cgi?acc=GSM1481878","GSM1481878")</f>
        <v>GSM1481878</v>
      </c>
      <c r="I6875" t="s">
        <v>333</v>
      </c>
      <c r="J6875" t="s">
        <v>334</v>
      </c>
      <c r="K6875" t="s">
        <v>19</v>
      </c>
      <c r="L6875" t="s">
        <v>335</v>
      </c>
      <c r="M6875" t="s">
        <v>24</v>
      </c>
      <c r="N6875" t="s">
        <v>22</v>
      </c>
    </row>
    <row r="6876" spans="1:14">
      <c r="A6876" s="4" t="str">
        <f t="shared" si="636"/>
        <v>EXP00238</v>
      </c>
      <c r="B6876" s="4" t="str">
        <f t="shared" si="634"/>
        <v>25965298</v>
      </c>
      <c r="C6876" s="4" t="str">
        <f t="shared" si="635"/>
        <v>GSE60542</v>
      </c>
      <c r="D6876" s="1" t="s">
        <v>45</v>
      </c>
      <c r="E6876" t="s">
        <v>345</v>
      </c>
      <c r="F6876" s="1">
        <v>2</v>
      </c>
      <c r="G6876" s="1" t="s">
        <v>26</v>
      </c>
      <c r="H6876" s="4" t="str">
        <f>HYPERLINK("https://www.ncbi.nlm.nih.gov/geo/query/acc.cgi?acc=GSM1481879","GSM1481879")</f>
        <v>GSM1481879</v>
      </c>
      <c r="I6876" t="s">
        <v>333</v>
      </c>
      <c r="J6876" t="s">
        <v>334</v>
      </c>
      <c r="K6876" t="s">
        <v>19</v>
      </c>
      <c r="L6876" t="s">
        <v>335</v>
      </c>
      <c r="M6876" t="s">
        <v>24</v>
      </c>
      <c r="N6876" t="s">
        <v>22</v>
      </c>
    </row>
    <row r="6877" spans="1:14">
      <c r="A6877" s="4" t="str">
        <f t="shared" si="636"/>
        <v>EXP00238</v>
      </c>
      <c r="B6877" s="4" t="str">
        <f t="shared" si="634"/>
        <v>25965298</v>
      </c>
      <c r="C6877" s="4" t="str">
        <f t="shared" si="635"/>
        <v>GSE60542</v>
      </c>
      <c r="D6877" s="1" t="s">
        <v>45</v>
      </c>
      <c r="E6877" t="s">
        <v>345</v>
      </c>
      <c r="F6877" s="1">
        <v>2</v>
      </c>
      <c r="G6877" s="1" t="s">
        <v>26</v>
      </c>
      <c r="H6877" s="4" t="str">
        <f>HYPERLINK("https://www.ncbi.nlm.nih.gov/geo/query/acc.cgi?acc=GSM1481881","GSM1481881")</f>
        <v>GSM1481881</v>
      </c>
      <c r="I6877" t="s">
        <v>333</v>
      </c>
      <c r="J6877" t="s">
        <v>334</v>
      </c>
      <c r="K6877" t="s">
        <v>19</v>
      </c>
      <c r="L6877" t="s">
        <v>335</v>
      </c>
      <c r="M6877" t="s">
        <v>24</v>
      </c>
      <c r="N6877" t="s">
        <v>22</v>
      </c>
    </row>
    <row r="6878" spans="1:14">
      <c r="A6878" s="4" t="str">
        <f t="shared" si="636"/>
        <v>EXP00238</v>
      </c>
      <c r="B6878" s="4" t="str">
        <f t="shared" si="634"/>
        <v>25965298</v>
      </c>
      <c r="C6878" s="4" t="str">
        <f t="shared" si="635"/>
        <v>GSE60542</v>
      </c>
      <c r="D6878" s="1" t="s">
        <v>45</v>
      </c>
      <c r="E6878" t="s">
        <v>345</v>
      </c>
      <c r="F6878" s="1">
        <v>2</v>
      </c>
      <c r="G6878" s="1" t="s">
        <v>26</v>
      </c>
      <c r="H6878" s="4" t="str">
        <f>HYPERLINK("https://www.ncbi.nlm.nih.gov/geo/query/acc.cgi?acc=GSM1481884","GSM1481884")</f>
        <v>GSM1481884</v>
      </c>
      <c r="I6878" t="s">
        <v>333</v>
      </c>
      <c r="J6878" t="s">
        <v>334</v>
      </c>
      <c r="K6878" t="s">
        <v>19</v>
      </c>
      <c r="L6878" t="s">
        <v>335</v>
      </c>
      <c r="M6878" t="s">
        <v>24</v>
      </c>
      <c r="N6878" t="s">
        <v>22</v>
      </c>
    </row>
    <row r="6879" spans="1:14">
      <c r="A6879" s="4" t="str">
        <f t="shared" si="636"/>
        <v>EXP00238</v>
      </c>
      <c r="B6879" s="4" t="str">
        <f t="shared" si="634"/>
        <v>25965298</v>
      </c>
      <c r="C6879" s="4" t="str">
        <f t="shared" si="635"/>
        <v>GSE60542</v>
      </c>
      <c r="D6879" s="1" t="s">
        <v>45</v>
      </c>
      <c r="E6879" t="s">
        <v>345</v>
      </c>
      <c r="F6879" s="1">
        <v>2</v>
      </c>
      <c r="G6879" s="1" t="s">
        <v>26</v>
      </c>
      <c r="H6879" s="4" t="str">
        <f>HYPERLINK("https://www.ncbi.nlm.nih.gov/geo/query/acc.cgi?acc=GSM1481885","GSM1481885")</f>
        <v>GSM1481885</v>
      </c>
      <c r="I6879" t="s">
        <v>333</v>
      </c>
      <c r="J6879" t="s">
        <v>334</v>
      </c>
      <c r="K6879" t="s">
        <v>19</v>
      </c>
      <c r="L6879" t="s">
        <v>335</v>
      </c>
      <c r="M6879" t="s">
        <v>24</v>
      </c>
      <c r="N6879" t="s">
        <v>22</v>
      </c>
    </row>
    <row r="6880" spans="1:14">
      <c r="A6880" s="4" t="str">
        <f t="shared" si="636"/>
        <v>EXP00238</v>
      </c>
      <c r="B6880" s="4" t="str">
        <f t="shared" si="634"/>
        <v>25965298</v>
      </c>
      <c r="C6880" s="4" t="str">
        <f t="shared" si="635"/>
        <v>GSE60542</v>
      </c>
      <c r="D6880" s="1" t="s">
        <v>45</v>
      </c>
      <c r="E6880" t="s">
        <v>345</v>
      </c>
      <c r="F6880" s="1">
        <v>2</v>
      </c>
      <c r="G6880" s="1" t="s">
        <v>26</v>
      </c>
      <c r="H6880" s="4" t="str">
        <f>HYPERLINK("https://www.ncbi.nlm.nih.gov/geo/query/acc.cgi?acc=GSM1481886","GSM1481886")</f>
        <v>GSM1481886</v>
      </c>
      <c r="I6880" t="s">
        <v>333</v>
      </c>
      <c r="J6880" t="s">
        <v>334</v>
      </c>
      <c r="K6880" t="s">
        <v>19</v>
      </c>
      <c r="L6880" t="s">
        <v>335</v>
      </c>
      <c r="M6880" t="s">
        <v>24</v>
      </c>
      <c r="N6880" t="s">
        <v>22</v>
      </c>
    </row>
    <row r="6881" spans="1:14">
      <c r="A6881" s="4" t="str">
        <f t="shared" si="636"/>
        <v>EXP00238</v>
      </c>
      <c r="B6881" s="4" t="str">
        <f t="shared" si="634"/>
        <v>25965298</v>
      </c>
      <c r="C6881" s="4" t="str">
        <f t="shared" si="635"/>
        <v>GSE60542</v>
      </c>
      <c r="D6881" s="1" t="s">
        <v>45</v>
      </c>
      <c r="E6881" t="s">
        <v>345</v>
      </c>
      <c r="F6881" s="1">
        <v>2</v>
      </c>
      <c r="G6881" s="1" t="s">
        <v>26</v>
      </c>
      <c r="H6881" s="4" t="str">
        <f>HYPERLINK("https://www.ncbi.nlm.nih.gov/geo/query/acc.cgi?acc=GSM1481887","GSM1481887")</f>
        <v>GSM1481887</v>
      </c>
      <c r="I6881" t="s">
        <v>333</v>
      </c>
      <c r="J6881" t="s">
        <v>334</v>
      </c>
      <c r="K6881" t="s">
        <v>19</v>
      </c>
      <c r="L6881" t="s">
        <v>335</v>
      </c>
      <c r="M6881" t="s">
        <v>344</v>
      </c>
      <c r="N6881" t="s">
        <v>22</v>
      </c>
    </row>
    <row r="6882" spans="1:14">
      <c r="A6882" s="4" t="str">
        <f t="shared" si="636"/>
        <v>EXP00238</v>
      </c>
      <c r="B6882" s="4" t="str">
        <f t="shared" si="634"/>
        <v>25965298</v>
      </c>
      <c r="C6882" s="4" t="str">
        <f t="shared" si="635"/>
        <v>GSE60542</v>
      </c>
      <c r="D6882" s="1" t="s">
        <v>45</v>
      </c>
      <c r="E6882" t="s">
        <v>345</v>
      </c>
      <c r="F6882" s="1">
        <v>2</v>
      </c>
      <c r="G6882" s="1" t="s">
        <v>26</v>
      </c>
      <c r="H6882" s="4" t="str">
        <f>HYPERLINK("https://www.ncbi.nlm.nih.gov/geo/query/acc.cgi?acc=GSM1481892","GSM1481892")</f>
        <v>GSM1481892</v>
      </c>
      <c r="I6882" t="s">
        <v>333</v>
      </c>
      <c r="J6882" t="s">
        <v>334</v>
      </c>
      <c r="K6882" t="s">
        <v>19</v>
      </c>
      <c r="L6882" t="s">
        <v>335</v>
      </c>
      <c r="M6882" t="s">
        <v>24</v>
      </c>
      <c r="N6882" t="s">
        <v>22</v>
      </c>
    </row>
    <row r="6883" spans="1:14">
      <c r="A6883" s="4" t="str">
        <f t="shared" si="636"/>
        <v>EXP00238</v>
      </c>
      <c r="B6883" s="4" t="str">
        <f t="shared" si="634"/>
        <v>25965298</v>
      </c>
      <c r="C6883" s="4" t="str">
        <f t="shared" si="635"/>
        <v>GSE60542</v>
      </c>
      <c r="D6883" s="1" t="s">
        <v>45</v>
      </c>
      <c r="E6883" t="s">
        <v>345</v>
      </c>
      <c r="F6883" s="1">
        <v>2</v>
      </c>
      <c r="G6883" s="1" t="s">
        <v>26</v>
      </c>
      <c r="H6883" s="4" t="str">
        <f>HYPERLINK("https://www.ncbi.nlm.nih.gov/geo/query/acc.cgi?acc=GSM1481908","GSM1481908")</f>
        <v>GSM1481908</v>
      </c>
      <c r="I6883" t="s">
        <v>333</v>
      </c>
      <c r="J6883" t="s">
        <v>334</v>
      </c>
      <c r="K6883" t="s">
        <v>19</v>
      </c>
      <c r="L6883" t="s">
        <v>335</v>
      </c>
      <c r="M6883" t="s">
        <v>24</v>
      </c>
      <c r="N6883" t="s">
        <v>22</v>
      </c>
    </row>
    <row r="6884" spans="1:14">
      <c r="A6884" s="4" t="str">
        <f t="shared" si="636"/>
        <v>EXP00238</v>
      </c>
      <c r="B6884" s="4" t="str">
        <f t="shared" si="634"/>
        <v>25965298</v>
      </c>
      <c r="C6884" s="4" t="str">
        <f t="shared" si="635"/>
        <v>GSE60542</v>
      </c>
      <c r="D6884" s="1" t="s">
        <v>45</v>
      </c>
      <c r="E6884" t="s">
        <v>345</v>
      </c>
      <c r="F6884" s="1">
        <v>2</v>
      </c>
      <c r="G6884" s="1" t="s">
        <v>26</v>
      </c>
      <c r="H6884" s="4" t="str">
        <f>HYPERLINK("https://www.ncbi.nlm.nih.gov/geo/query/acc.cgi?acc=GSM1481909","GSM1481909")</f>
        <v>GSM1481909</v>
      </c>
      <c r="I6884" t="s">
        <v>333</v>
      </c>
      <c r="J6884" t="s">
        <v>334</v>
      </c>
      <c r="K6884" t="s">
        <v>19</v>
      </c>
      <c r="L6884" t="s">
        <v>335</v>
      </c>
      <c r="M6884" t="s">
        <v>24</v>
      </c>
      <c r="N6884" t="s">
        <v>22</v>
      </c>
    </row>
    <row r="6885" spans="1:14">
      <c r="A6885" s="4" t="str">
        <f t="shared" si="636"/>
        <v>EXP00238</v>
      </c>
      <c r="B6885" s="4" t="str">
        <f t="shared" si="634"/>
        <v>25965298</v>
      </c>
      <c r="C6885" s="4" t="str">
        <f t="shared" si="635"/>
        <v>GSE60542</v>
      </c>
      <c r="D6885" s="1" t="s">
        <v>45</v>
      </c>
      <c r="E6885" t="s">
        <v>345</v>
      </c>
      <c r="F6885" s="1">
        <v>2</v>
      </c>
      <c r="G6885" s="1" t="s">
        <v>26</v>
      </c>
      <c r="H6885" s="4" t="str">
        <f>HYPERLINK("https://www.ncbi.nlm.nih.gov/geo/query/acc.cgi?acc=GSM1481925","GSM1481925")</f>
        <v>GSM1481925</v>
      </c>
      <c r="I6885" t="s">
        <v>333</v>
      </c>
      <c r="J6885" t="s">
        <v>334</v>
      </c>
      <c r="K6885" t="s">
        <v>19</v>
      </c>
      <c r="L6885" t="s">
        <v>335</v>
      </c>
      <c r="M6885" t="s">
        <v>24</v>
      </c>
      <c r="N6885" t="s">
        <v>22</v>
      </c>
    </row>
    <row r="6886" spans="1:14">
      <c r="A6886" s="4" t="str">
        <f t="shared" si="636"/>
        <v>EXP00238</v>
      </c>
      <c r="B6886" s="4" t="str">
        <f t="shared" si="634"/>
        <v>25965298</v>
      </c>
      <c r="C6886" s="4" t="str">
        <f t="shared" si="635"/>
        <v>GSE60542</v>
      </c>
      <c r="D6886" s="1" t="s">
        <v>45</v>
      </c>
      <c r="E6886" t="s">
        <v>345</v>
      </c>
      <c r="F6886" s="1">
        <v>2</v>
      </c>
      <c r="G6886" s="1" t="s">
        <v>26</v>
      </c>
      <c r="H6886" s="4" t="str">
        <f>HYPERLINK("https://www.ncbi.nlm.nih.gov/geo/query/acc.cgi?acc=GSM1481927","GSM1481927")</f>
        <v>GSM1481927</v>
      </c>
      <c r="I6886" t="s">
        <v>333</v>
      </c>
      <c r="J6886" t="s">
        <v>334</v>
      </c>
      <c r="K6886" t="s">
        <v>19</v>
      </c>
      <c r="L6886" t="s">
        <v>335</v>
      </c>
      <c r="M6886" t="s">
        <v>24</v>
      </c>
      <c r="N6886" t="s">
        <v>22</v>
      </c>
    </row>
    <row r="6887" spans="1:14">
      <c r="A6887" s="4" t="str">
        <f t="shared" si="636"/>
        <v>EXP00238</v>
      </c>
      <c r="B6887" s="4" t="str">
        <f t="shared" si="634"/>
        <v>25965298</v>
      </c>
      <c r="C6887" s="4" t="str">
        <f t="shared" si="635"/>
        <v>GSE60542</v>
      </c>
      <c r="D6887" s="1" t="s">
        <v>45</v>
      </c>
      <c r="E6887" t="s">
        <v>345</v>
      </c>
      <c r="F6887" s="1">
        <v>2</v>
      </c>
      <c r="G6887" s="1" t="s">
        <v>26</v>
      </c>
      <c r="H6887" s="4" t="str">
        <f>HYPERLINK("https://www.ncbi.nlm.nih.gov/geo/query/acc.cgi?acc=GSM1481928","GSM1481928")</f>
        <v>GSM1481928</v>
      </c>
      <c r="I6887" t="s">
        <v>333</v>
      </c>
      <c r="J6887" t="s">
        <v>334</v>
      </c>
      <c r="K6887" t="s">
        <v>19</v>
      </c>
      <c r="L6887" t="s">
        <v>335</v>
      </c>
      <c r="M6887" t="s">
        <v>24</v>
      </c>
      <c r="N6887" t="s">
        <v>22</v>
      </c>
    </row>
    <row r="6888" spans="1:14">
      <c r="A6888" s="4" t="str">
        <f t="shared" ref="A6888:A6920" si="637">HYPERLINK("http://hcmdb.i-sanger.com/experiment/details/experiment_id/EXP00239","EXP00239")</f>
        <v>EXP00239</v>
      </c>
      <c r="B6888" s="4" t="str">
        <f t="shared" si="634"/>
        <v>25965298</v>
      </c>
      <c r="C6888" s="4" t="str">
        <f t="shared" si="635"/>
        <v>GSE60542</v>
      </c>
      <c r="D6888" s="1" t="s">
        <v>45</v>
      </c>
      <c r="E6888" t="s">
        <v>346</v>
      </c>
      <c r="F6888" s="1">
        <v>1</v>
      </c>
      <c r="G6888" s="1" t="s">
        <v>31</v>
      </c>
      <c r="H6888" s="4" t="str">
        <f>HYPERLINK("https://www.ncbi.nlm.nih.gov/geo/query/acc.cgi?acc=GSM1481839","GSM1481839")</f>
        <v>GSM1481839</v>
      </c>
      <c r="I6888" t="s">
        <v>333</v>
      </c>
      <c r="J6888" t="s">
        <v>334</v>
      </c>
      <c r="K6888" t="s">
        <v>19</v>
      </c>
      <c r="L6888" t="s">
        <v>335</v>
      </c>
      <c r="M6888" t="s">
        <v>24</v>
      </c>
      <c r="N6888" t="s">
        <v>29</v>
      </c>
    </row>
    <row r="6889" spans="1:14">
      <c r="A6889" s="4" t="str">
        <f t="shared" si="637"/>
        <v>EXP00239</v>
      </c>
      <c r="B6889" s="4" t="str">
        <f t="shared" si="634"/>
        <v>25965298</v>
      </c>
      <c r="C6889" s="4" t="str">
        <f t="shared" si="635"/>
        <v>GSE60542</v>
      </c>
      <c r="D6889" s="1" t="s">
        <v>45</v>
      </c>
      <c r="E6889" t="s">
        <v>346</v>
      </c>
      <c r="F6889" s="1">
        <v>1</v>
      </c>
      <c r="G6889" s="1" t="s">
        <v>31</v>
      </c>
      <c r="H6889" s="4" t="str">
        <f>HYPERLINK("https://www.ncbi.nlm.nih.gov/geo/query/acc.cgi?acc=GSM1481844","GSM1481844")</f>
        <v>GSM1481844</v>
      </c>
      <c r="I6889" t="s">
        <v>333</v>
      </c>
      <c r="J6889" t="s">
        <v>334</v>
      </c>
      <c r="K6889" t="s">
        <v>19</v>
      </c>
      <c r="L6889" t="s">
        <v>335</v>
      </c>
      <c r="M6889" t="s">
        <v>24</v>
      </c>
      <c r="N6889" t="s">
        <v>29</v>
      </c>
    </row>
    <row r="6890" spans="1:14">
      <c r="A6890" s="4" t="str">
        <f t="shared" si="637"/>
        <v>EXP00239</v>
      </c>
      <c r="B6890" s="4" t="str">
        <f t="shared" si="634"/>
        <v>25965298</v>
      </c>
      <c r="C6890" s="4" t="str">
        <f t="shared" si="635"/>
        <v>GSE60542</v>
      </c>
      <c r="D6890" s="1" t="s">
        <v>45</v>
      </c>
      <c r="E6890" t="s">
        <v>346</v>
      </c>
      <c r="F6890" s="1">
        <v>1</v>
      </c>
      <c r="G6890" s="1" t="s">
        <v>31</v>
      </c>
      <c r="H6890" s="4" t="str">
        <f>HYPERLINK("https://www.ncbi.nlm.nih.gov/geo/query/acc.cgi?acc=GSM1481846","GSM1481846")</f>
        <v>GSM1481846</v>
      </c>
      <c r="I6890" t="s">
        <v>333</v>
      </c>
      <c r="J6890" t="s">
        <v>334</v>
      </c>
      <c r="K6890" t="s">
        <v>19</v>
      </c>
      <c r="L6890" t="s">
        <v>335</v>
      </c>
      <c r="M6890" t="s">
        <v>24</v>
      </c>
      <c r="N6890" t="s">
        <v>29</v>
      </c>
    </row>
    <row r="6891" spans="1:14">
      <c r="A6891" s="4" t="str">
        <f t="shared" si="637"/>
        <v>EXP00239</v>
      </c>
      <c r="B6891" s="4" t="str">
        <f t="shared" si="634"/>
        <v>25965298</v>
      </c>
      <c r="C6891" s="4" t="str">
        <f t="shared" si="635"/>
        <v>GSE60542</v>
      </c>
      <c r="D6891" s="1" t="s">
        <v>45</v>
      </c>
      <c r="E6891" t="s">
        <v>346</v>
      </c>
      <c r="F6891" s="1">
        <v>1</v>
      </c>
      <c r="G6891" s="1" t="s">
        <v>31</v>
      </c>
      <c r="H6891" s="4" t="str">
        <f>HYPERLINK("https://www.ncbi.nlm.nih.gov/geo/query/acc.cgi?acc=GSM1481849","GSM1481849")</f>
        <v>GSM1481849</v>
      </c>
      <c r="I6891" t="s">
        <v>333</v>
      </c>
      <c r="J6891" t="s">
        <v>334</v>
      </c>
      <c r="K6891" t="s">
        <v>19</v>
      </c>
      <c r="L6891" t="s">
        <v>335</v>
      </c>
      <c r="M6891" t="s">
        <v>24</v>
      </c>
      <c r="N6891" t="s">
        <v>29</v>
      </c>
    </row>
    <row r="6892" spans="1:14">
      <c r="A6892" s="4" t="str">
        <f t="shared" si="637"/>
        <v>EXP00239</v>
      </c>
      <c r="B6892" s="4" t="str">
        <f t="shared" si="634"/>
        <v>25965298</v>
      </c>
      <c r="C6892" s="4" t="str">
        <f t="shared" si="635"/>
        <v>GSE60542</v>
      </c>
      <c r="D6892" s="1" t="s">
        <v>45</v>
      </c>
      <c r="E6892" t="s">
        <v>346</v>
      </c>
      <c r="F6892" s="1">
        <v>1</v>
      </c>
      <c r="G6892" s="1" t="s">
        <v>31</v>
      </c>
      <c r="H6892" s="4" t="str">
        <f>HYPERLINK("https://www.ncbi.nlm.nih.gov/geo/query/acc.cgi?acc=GSM1481854","GSM1481854")</f>
        <v>GSM1481854</v>
      </c>
      <c r="I6892" t="s">
        <v>333</v>
      </c>
      <c r="J6892" t="s">
        <v>334</v>
      </c>
      <c r="K6892" t="s">
        <v>19</v>
      </c>
      <c r="L6892" t="s">
        <v>335</v>
      </c>
      <c r="M6892" t="s">
        <v>24</v>
      </c>
      <c r="N6892" t="s">
        <v>29</v>
      </c>
    </row>
    <row r="6893" spans="1:14">
      <c r="A6893" s="4" t="str">
        <f t="shared" si="637"/>
        <v>EXP00239</v>
      </c>
      <c r="B6893" s="4" t="str">
        <f t="shared" si="634"/>
        <v>25965298</v>
      </c>
      <c r="C6893" s="4" t="str">
        <f t="shared" si="635"/>
        <v>GSE60542</v>
      </c>
      <c r="D6893" s="1" t="s">
        <v>45</v>
      </c>
      <c r="E6893" t="s">
        <v>346</v>
      </c>
      <c r="F6893" s="1">
        <v>1</v>
      </c>
      <c r="G6893" s="1" t="s">
        <v>31</v>
      </c>
      <c r="H6893" s="4" t="str">
        <f>HYPERLINK("https://www.ncbi.nlm.nih.gov/geo/query/acc.cgi?acc=GSM1481861","GSM1481861")</f>
        <v>GSM1481861</v>
      </c>
      <c r="I6893" t="s">
        <v>333</v>
      </c>
      <c r="J6893" t="s">
        <v>334</v>
      </c>
      <c r="K6893" t="s">
        <v>19</v>
      </c>
      <c r="L6893" t="s">
        <v>335</v>
      </c>
      <c r="M6893" t="s">
        <v>24</v>
      </c>
      <c r="N6893" t="s">
        <v>29</v>
      </c>
    </row>
    <row r="6894" spans="1:14">
      <c r="A6894" s="4" t="str">
        <f t="shared" si="637"/>
        <v>EXP00239</v>
      </c>
      <c r="B6894" s="4" t="str">
        <f t="shared" si="634"/>
        <v>25965298</v>
      </c>
      <c r="C6894" s="4" t="str">
        <f t="shared" si="635"/>
        <v>GSE60542</v>
      </c>
      <c r="D6894" s="1" t="s">
        <v>45</v>
      </c>
      <c r="E6894" t="s">
        <v>346</v>
      </c>
      <c r="F6894" s="1">
        <v>1</v>
      </c>
      <c r="G6894" s="1" t="s">
        <v>31</v>
      </c>
      <c r="H6894" s="4" t="str">
        <f>HYPERLINK("https://www.ncbi.nlm.nih.gov/geo/query/acc.cgi?acc=GSM1481865","GSM1481865")</f>
        <v>GSM1481865</v>
      </c>
      <c r="I6894" t="s">
        <v>333</v>
      </c>
      <c r="J6894" t="s">
        <v>334</v>
      </c>
      <c r="K6894" t="s">
        <v>19</v>
      </c>
      <c r="L6894" t="s">
        <v>335</v>
      </c>
      <c r="M6894" t="s">
        <v>24</v>
      </c>
      <c r="N6894" t="s">
        <v>29</v>
      </c>
    </row>
    <row r="6895" spans="1:14">
      <c r="A6895" s="4" t="str">
        <f t="shared" si="637"/>
        <v>EXP00239</v>
      </c>
      <c r="B6895" s="4" t="str">
        <f t="shared" si="634"/>
        <v>25965298</v>
      </c>
      <c r="C6895" s="4" t="str">
        <f t="shared" si="635"/>
        <v>GSE60542</v>
      </c>
      <c r="D6895" s="1" t="s">
        <v>45</v>
      </c>
      <c r="E6895" t="s">
        <v>346</v>
      </c>
      <c r="F6895" s="1">
        <v>1</v>
      </c>
      <c r="G6895" s="1" t="s">
        <v>31</v>
      </c>
      <c r="H6895" s="4" t="str">
        <f>HYPERLINK("https://www.ncbi.nlm.nih.gov/geo/query/acc.cgi?acc=GSM1481872","GSM1481872")</f>
        <v>GSM1481872</v>
      </c>
      <c r="I6895" t="s">
        <v>333</v>
      </c>
      <c r="J6895" t="s">
        <v>334</v>
      </c>
      <c r="K6895" t="s">
        <v>19</v>
      </c>
      <c r="L6895" t="s">
        <v>335</v>
      </c>
      <c r="M6895" t="s">
        <v>24</v>
      </c>
      <c r="N6895" t="s">
        <v>29</v>
      </c>
    </row>
    <row r="6896" spans="1:14">
      <c r="A6896" s="4" t="str">
        <f t="shared" si="637"/>
        <v>EXP00239</v>
      </c>
      <c r="B6896" s="4" t="str">
        <f t="shared" si="634"/>
        <v>25965298</v>
      </c>
      <c r="C6896" s="4" t="str">
        <f t="shared" si="635"/>
        <v>GSE60542</v>
      </c>
      <c r="D6896" s="1" t="s">
        <v>45</v>
      </c>
      <c r="E6896" t="s">
        <v>346</v>
      </c>
      <c r="F6896" s="1">
        <v>1</v>
      </c>
      <c r="G6896" s="1" t="s">
        <v>31</v>
      </c>
      <c r="H6896" s="4" t="str">
        <f>HYPERLINK("https://www.ncbi.nlm.nih.gov/geo/query/acc.cgi?acc=GSM1481875","GSM1481875")</f>
        <v>GSM1481875</v>
      </c>
      <c r="I6896" t="s">
        <v>333</v>
      </c>
      <c r="J6896" t="s">
        <v>334</v>
      </c>
      <c r="K6896" t="s">
        <v>19</v>
      </c>
      <c r="L6896" t="s">
        <v>335</v>
      </c>
      <c r="M6896" t="s">
        <v>24</v>
      </c>
      <c r="N6896" t="s">
        <v>29</v>
      </c>
    </row>
    <row r="6897" spans="1:14">
      <c r="A6897" s="4" t="str">
        <f t="shared" si="637"/>
        <v>EXP00239</v>
      </c>
      <c r="B6897" s="4" t="str">
        <f t="shared" si="634"/>
        <v>25965298</v>
      </c>
      <c r="C6897" s="4" t="str">
        <f t="shared" si="635"/>
        <v>GSE60542</v>
      </c>
      <c r="D6897" s="1" t="s">
        <v>45</v>
      </c>
      <c r="E6897" t="s">
        <v>346</v>
      </c>
      <c r="F6897" s="1">
        <v>1</v>
      </c>
      <c r="G6897" s="1" t="s">
        <v>31</v>
      </c>
      <c r="H6897" s="4" t="str">
        <f>HYPERLINK("https://www.ncbi.nlm.nih.gov/geo/query/acc.cgi?acc=GSM1481882","GSM1481882")</f>
        <v>GSM1481882</v>
      </c>
      <c r="I6897" t="s">
        <v>333</v>
      </c>
      <c r="J6897" t="s">
        <v>334</v>
      </c>
      <c r="K6897" t="s">
        <v>19</v>
      </c>
      <c r="L6897" t="s">
        <v>335</v>
      </c>
      <c r="M6897" t="s">
        <v>24</v>
      </c>
      <c r="N6897" t="s">
        <v>29</v>
      </c>
    </row>
    <row r="6898" spans="1:14">
      <c r="A6898" s="4" t="str">
        <f t="shared" si="637"/>
        <v>EXP00239</v>
      </c>
      <c r="B6898" s="4" t="str">
        <f t="shared" si="634"/>
        <v>25965298</v>
      </c>
      <c r="C6898" s="4" t="str">
        <f t="shared" si="635"/>
        <v>GSE60542</v>
      </c>
      <c r="D6898" s="1" t="s">
        <v>45</v>
      </c>
      <c r="E6898" t="s">
        <v>346</v>
      </c>
      <c r="F6898" s="1">
        <v>1</v>
      </c>
      <c r="G6898" s="1" t="s">
        <v>31</v>
      </c>
      <c r="H6898" s="4" t="str">
        <f>HYPERLINK("https://www.ncbi.nlm.nih.gov/geo/query/acc.cgi?acc=GSM1481883","GSM1481883")</f>
        <v>GSM1481883</v>
      </c>
      <c r="I6898" t="s">
        <v>333</v>
      </c>
      <c r="J6898" t="s">
        <v>334</v>
      </c>
      <c r="K6898" t="s">
        <v>19</v>
      </c>
      <c r="L6898" t="s">
        <v>335</v>
      </c>
      <c r="M6898" t="s">
        <v>24</v>
      </c>
      <c r="N6898" t="s">
        <v>29</v>
      </c>
    </row>
    <row r="6899" spans="1:14">
      <c r="A6899" s="4" t="str">
        <f t="shared" si="637"/>
        <v>EXP00239</v>
      </c>
      <c r="B6899" s="4" t="str">
        <f t="shared" si="634"/>
        <v>25965298</v>
      </c>
      <c r="C6899" s="4" t="str">
        <f t="shared" si="635"/>
        <v>GSE60542</v>
      </c>
      <c r="D6899" s="1" t="s">
        <v>45</v>
      </c>
      <c r="E6899" t="s">
        <v>346</v>
      </c>
      <c r="F6899" s="1">
        <v>1</v>
      </c>
      <c r="G6899" s="1" t="s">
        <v>31</v>
      </c>
      <c r="H6899" s="4" t="str">
        <f>HYPERLINK("https://www.ncbi.nlm.nih.gov/geo/query/acc.cgi?acc=GSM1481889","GSM1481889")</f>
        <v>GSM1481889</v>
      </c>
      <c r="I6899" t="s">
        <v>333</v>
      </c>
      <c r="J6899" t="s">
        <v>334</v>
      </c>
      <c r="K6899" t="s">
        <v>19</v>
      </c>
      <c r="L6899" t="s">
        <v>335</v>
      </c>
      <c r="M6899" t="s">
        <v>24</v>
      </c>
      <c r="N6899" t="s">
        <v>29</v>
      </c>
    </row>
    <row r="6900" spans="1:14">
      <c r="A6900" s="4" t="str">
        <f t="shared" si="637"/>
        <v>EXP00239</v>
      </c>
      <c r="B6900" s="4" t="str">
        <f t="shared" si="634"/>
        <v>25965298</v>
      </c>
      <c r="C6900" s="4" t="str">
        <f t="shared" si="635"/>
        <v>GSE60542</v>
      </c>
      <c r="D6900" s="1" t="s">
        <v>45</v>
      </c>
      <c r="E6900" t="s">
        <v>346</v>
      </c>
      <c r="F6900" s="1">
        <v>1</v>
      </c>
      <c r="G6900" s="1" t="s">
        <v>31</v>
      </c>
      <c r="H6900" s="4" t="str">
        <f>HYPERLINK("https://www.ncbi.nlm.nih.gov/geo/query/acc.cgi?acc=GSM1481890","GSM1481890")</f>
        <v>GSM1481890</v>
      </c>
      <c r="I6900" t="s">
        <v>333</v>
      </c>
      <c r="J6900" t="s">
        <v>334</v>
      </c>
      <c r="K6900" t="s">
        <v>19</v>
      </c>
      <c r="L6900" t="s">
        <v>335</v>
      </c>
      <c r="M6900" t="s">
        <v>24</v>
      </c>
      <c r="N6900" t="s">
        <v>29</v>
      </c>
    </row>
    <row r="6901" spans="1:14">
      <c r="A6901" s="4" t="str">
        <f t="shared" si="637"/>
        <v>EXP00239</v>
      </c>
      <c r="B6901" s="4" t="str">
        <f t="shared" si="634"/>
        <v>25965298</v>
      </c>
      <c r="C6901" s="4" t="str">
        <f t="shared" si="635"/>
        <v>GSE60542</v>
      </c>
      <c r="D6901" s="1" t="s">
        <v>45</v>
      </c>
      <c r="E6901" t="s">
        <v>346</v>
      </c>
      <c r="F6901" s="1">
        <v>1</v>
      </c>
      <c r="G6901" s="1" t="s">
        <v>31</v>
      </c>
      <c r="H6901" s="4" t="str">
        <f>HYPERLINK("https://www.ncbi.nlm.nih.gov/geo/query/acc.cgi?acc=GSM1481903","GSM1481903")</f>
        <v>GSM1481903</v>
      </c>
      <c r="I6901" t="s">
        <v>333</v>
      </c>
      <c r="J6901" t="s">
        <v>334</v>
      </c>
      <c r="K6901" t="s">
        <v>19</v>
      </c>
      <c r="L6901" t="s">
        <v>335</v>
      </c>
      <c r="M6901" t="s">
        <v>24</v>
      </c>
      <c r="N6901" t="s">
        <v>29</v>
      </c>
    </row>
    <row r="6902" spans="1:14">
      <c r="A6902" s="4" t="str">
        <f t="shared" si="637"/>
        <v>EXP00239</v>
      </c>
      <c r="B6902" s="4" t="str">
        <f t="shared" si="634"/>
        <v>25965298</v>
      </c>
      <c r="C6902" s="4" t="str">
        <f t="shared" si="635"/>
        <v>GSE60542</v>
      </c>
      <c r="D6902" s="1" t="s">
        <v>45</v>
      </c>
      <c r="E6902" t="s">
        <v>346</v>
      </c>
      <c r="F6902" s="1">
        <v>1</v>
      </c>
      <c r="G6902" s="1" t="s">
        <v>31</v>
      </c>
      <c r="H6902" s="4" t="str">
        <f>HYPERLINK("https://www.ncbi.nlm.nih.gov/geo/query/acc.cgi?acc=GSM1481905","GSM1481905")</f>
        <v>GSM1481905</v>
      </c>
      <c r="I6902" t="s">
        <v>333</v>
      </c>
      <c r="J6902" t="s">
        <v>334</v>
      </c>
      <c r="K6902" t="s">
        <v>19</v>
      </c>
      <c r="L6902" t="s">
        <v>335</v>
      </c>
      <c r="M6902" t="s">
        <v>24</v>
      </c>
      <c r="N6902" t="s">
        <v>29</v>
      </c>
    </row>
    <row r="6903" spans="1:14">
      <c r="A6903" s="4" t="str">
        <f t="shared" si="637"/>
        <v>EXP00239</v>
      </c>
      <c r="B6903" s="4" t="str">
        <f t="shared" si="634"/>
        <v>25965298</v>
      </c>
      <c r="C6903" s="4" t="str">
        <f t="shared" si="635"/>
        <v>GSE60542</v>
      </c>
      <c r="D6903" s="1" t="s">
        <v>45</v>
      </c>
      <c r="E6903" t="s">
        <v>346</v>
      </c>
      <c r="F6903" s="1">
        <v>1</v>
      </c>
      <c r="G6903" s="1" t="s">
        <v>31</v>
      </c>
      <c r="H6903" s="4" t="str">
        <f>HYPERLINK("https://www.ncbi.nlm.nih.gov/geo/query/acc.cgi?acc=GSM1481914","GSM1481914")</f>
        <v>GSM1481914</v>
      </c>
      <c r="I6903" t="s">
        <v>333</v>
      </c>
      <c r="J6903" t="s">
        <v>334</v>
      </c>
      <c r="K6903" t="s">
        <v>19</v>
      </c>
      <c r="L6903" t="s">
        <v>335</v>
      </c>
      <c r="M6903" t="s">
        <v>24</v>
      </c>
      <c r="N6903" t="s">
        <v>29</v>
      </c>
    </row>
    <row r="6904" spans="1:14">
      <c r="A6904" s="4" t="str">
        <f t="shared" si="637"/>
        <v>EXP00239</v>
      </c>
      <c r="B6904" s="4" t="str">
        <f t="shared" si="634"/>
        <v>25965298</v>
      </c>
      <c r="C6904" s="4" t="str">
        <f t="shared" si="635"/>
        <v>GSE60542</v>
      </c>
      <c r="D6904" s="1" t="s">
        <v>45</v>
      </c>
      <c r="E6904" t="s">
        <v>346</v>
      </c>
      <c r="F6904" s="1">
        <v>1</v>
      </c>
      <c r="G6904" s="1" t="s">
        <v>31</v>
      </c>
      <c r="H6904" s="4" t="str">
        <f>HYPERLINK("https://www.ncbi.nlm.nih.gov/geo/query/acc.cgi?acc=GSM1481915","GSM1481915")</f>
        <v>GSM1481915</v>
      </c>
      <c r="I6904" t="s">
        <v>333</v>
      </c>
      <c r="J6904" t="s">
        <v>334</v>
      </c>
      <c r="K6904" t="s">
        <v>19</v>
      </c>
      <c r="L6904" t="s">
        <v>335</v>
      </c>
      <c r="M6904" t="s">
        <v>24</v>
      </c>
      <c r="N6904" t="s">
        <v>29</v>
      </c>
    </row>
    <row r="6905" spans="1:14">
      <c r="A6905" s="4" t="str">
        <f t="shared" si="637"/>
        <v>EXP00239</v>
      </c>
      <c r="B6905" s="4" t="str">
        <f t="shared" ref="B6905:B6948" si="638">HYPERLINK("https://www.ncbi.nlm.nih.gov/pubmed/25965298","25965298")</f>
        <v>25965298</v>
      </c>
      <c r="C6905" s="4" t="str">
        <f t="shared" ref="C6905:C6948" si="639">HYPERLINK("https://www.ncbi.nlm.nih.gov/geo/query/acc.cgi?acc=GSE60542","GSE60542")</f>
        <v>GSE60542</v>
      </c>
      <c r="D6905" s="1" t="s">
        <v>45</v>
      </c>
      <c r="E6905" t="s">
        <v>346</v>
      </c>
      <c r="F6905" s="1">
        <v>1</v>
      </c>
      <c r="G6905" s="1" t="s">
        <v>31</v>
      </c>
      <c r="H6905" s="4" t="str">
        <f>HYPERLINK("https://www.ncbi.nlm.nih.gov/geo/query/acc.cgi?acc=GSM1481926","GSM1481926")</f>
        <v>GSM1481926</v>
      </c>
      <c r="I6905" t="s">
        <v>333</v>
      </c>
      <c r="J6905" t="s">
        <v>334</v>
      </c>
      <c r="K6905" t="s">
        <v>19</v>
      </c>
      <c r="L6905" t="s">
        <v>335</v>
      </c>
      <c r="M6905" t="s">
        <v>24</v>
      </c>
      <c r="N6905" t="s">
        <v>29</v>
      </c>
    </row>
    <row r="6906" spans="1:14">
      <c r="A6906" s="4" t="str">
        <f t="shared" si="637"/>
        <v>EXP00239</v>
      </c>
      <c r="B6906" s="4" t="str">
        <f t="shared" si="638"/>
        <v>25965298</v>
      </c>
      <c r="C6906" s="4" t="str">
        <f t="shared" si="639"/>
        <v>GSE60542</v>
      </c>
      <c r="D6906" s="1" t="s">
        <v>45</v>
      </c>
      <c r="E6906" t="s">
        <v>346</v>
      </c>
      <c r="F6906" s="1">
        <v>1</v>
      </c>
      <c r="G6906" s="1" t="s">
        <v>31</v>
      </c>
      <c r="H6906" s="4" t="str">
        <f>HYPERLINK("https://www.ncbi.nlm.nih.gov/geo/query/acc.cgi?acc=GSM1481929","GSM1481929")</f>
        <v>GSM1481929</v>
      </c>
      <c r="I6906" t="s">
        <v>333</v>
      </c>
      <c r="J6906" t="s">
        <v>334</v>
      </c>
      <c r="K6906" t="s">
        <v>19</v>
      </c>
      <c r="L6906" t="s">
        <v>335</v>
      </c>
      <c r="M6906" t="s">
        <v>24</v>
      </c>
      <c r="N6906" t="s">
        <v>29</v>
      </c>
    </row>
    <row r="6907" spans="1:14">
      <c r="A6907" s="4" t="str">
        <f t="shared" si="637"/>
        <v>EXP00239</v>
      </c>
      <c r="B6907" s="4" t="str">
        <f t="shared" si="638"/>
        <v>25965298</v>
      </c>
      <c r="C6907" s="4" t="str">
        <f t="shared" si="639"/>
        <v>GSE60542</v>
      </c>
      <c r="D6907" s="1" t="s">
        <v>45</v>
      </c>
      <c r="E6907" t="s">
        <v>346</v>
      </c>
      <c r="F6907" s="1">
        <v>2</v>
      </c>
      <c r="G6907" s="1" t="s">
        <v>32</v>
      </c>
      <c r="H6907" s="4" t="str">
        <f>HYPERLINK("https://www.ncbi.nlm.nih.gov/geo/query/acc.cgi?acc=GSM1481841","GSM1481841")</f>
        <v>GSM1481841</v>
      </c>
      <c r="I6907" t="s">
        <v>333</v>
      </c>
      <c r="J6907" t="s">
        <v>334</v>
      </c>
      <c r="K6907" t="s">
        <v>33</v>
      </c>
      <c r="L6907" t="s">
        <v>335</v>
      </c>
      <c r="N6907" t="s">
        <v>29</v>
      </c>
    </row>
    <row r="6908" spans="1:14">
      <c r="A6908" s="4" t="str">
        <f t="shared" si="637"/>
        <v>EXP00239</v>
      </c>
      <c r="B6908" s="4" t="str">
        <f t="shared" si="638"/>
        <v>25965298</v>
      </c>
      <c r="C6908" s="4" t="str">
        <f t="shared" si="639"/>
        <v>GSE60542</v>
      </c>
      <c r="D6908" s="1" t="s">
        <v>45</v>
      </c>
      <c r="E6908" t="s">
        <v>346</v>
      </c>
      <c r="F6908" s="1">
        <v>2</v>
      </c>
      <c r="G6908" s="1" t="s">
        <v>32</v>
      </c>
      <c r="H6908" s="4" t="str">
        <f>HYPERLINK("https://www.ncbi.nlm.nih.gov/geo/query/acc.cgi?acc=GSM1481853","GSM1481853")</f>
        <v>GSM1481853</v>
      </c>
      <c r="I6908" t="s">
        <v>333</v>
      </c>
      <c r="J6908" t="s">
        <v>334</v>
      </c>
      <c r="K6908" t="s">
        <v>33</v>
      </c>
      <c r="L6908" t="s">
        <v>335</v>
      </c>
      <c r="N6908" t="s">
        <v>29</v>
      </c>
    </row>
    <row r="6909" spans="1:14">
      <c r="A6909" s="4" t="str">
        <f t="shared" si="637"/>
        <v>EXP00239</v>
      </c>
      <c r="B6909" s="4" t="str">
        <f t="shared" si="638"/>
        <v>25965298</v>
      </c>
      <c r="C6909" s="4" t="str">
        <f t="shared" si="639"/>
        <v>GSE60542</v>
      </c>
      <c r="D6909" s="1" t="s">
        <v>45</v>
      </c>
      <c r="E6909" t="s">
        <v>346</v>
      </c>
      <c r="F6909" s="1">
        <v>2</v>
      </c>
      <c r="G6909" s="1" t="s">
        <v>32</v>
      </c>
      <c r="H6909" s="4" t="str">
        <f>HYPERLINK("https://www.ncbi.nlm.nih.gov/geo/query/acc.cgi?acc=GSM1481858","GSM1481858")</f>
        <v>GSM1481858</v>
      </c>
      <c r="I6909" t="s">
        <v>333</v>
      </c>
      <c r="J6909" t="s">
        <v>334</v>
      </c>
      <c r="K6909" t="s">
        <v>33</v>
      </c>
      <c r="L6909" t="s">
        <v>335</v>
      </c>
      <c r="N6909" t="s">
        <v>29</v>
      </c>
    </row>
    <row r="6910" spans="1:14">
      <c r="A6910" s="4" t="str">
        <f t="shared" si="637"/>
        <v>EXP00239</v>
      </c>
      <c r="B6910" s="4" t="str">
        <f t="shared" si="638"/>
        <v>25965298</v>
      </c>
      <c r="C6910" s="4" t="str">
        <f t="shared" si="639"/>
        <v>GSE60542</v>
      </c>
      <c r="D6910" s="1" t="s">
        <v>45</v>
      </c>
      <c r="E6910" t="s">
        <v>346</v>
      </c>
      <c r="F6910" s="1">
        <v>2</v>
      </c>
      <c r="G6910" s="1" t="s">
        <v>32</v>
      </c>
      <c r="H6910" s="4" t="str">
        <f>HYPERLINK("https://www.ncbi.nlm.nih.gov/geo/query/acc.cgi?acc=GSM1481863","GSM1481863")</f>
        <v>GSM1481863</v>
      </c>
      <c r="I6910" t="s">
        <v>333</v>
      </c>
      <c r="J6910" t="s">
        <v>334</v>
      </c>
      <c r="K6910" t="s">
        <v>33</v>
      </c>
      <c r="L6910" t="s">
        <v>335</v>
      </c>
      <c r="N6910" t="s">
        <v>29</v>
      </c>
    </row>
    <row r="6911" spans="1:14">
      <c r="A6911" s="4" t="str">
        <f t="shared" si="637"/>
        <v>EXP00239</v>
      </c>
      <c r="B6911" s="4" t="str">
        <f t="shared" si="638"/>
        <v>25965298</v>
      </c>
      <c r="C6911" s="4" t="str">
        <f t="shared" si="639"/>
        <v>GSE60542</v>
      </c>
      <c r="D6911" s="1" t="s">
        <v>45</v>
      </c>
      <c r="E6911" t="s">
        <v>346</v>
      </c>
      <c r="F6911" s="1">
        <v>2</v>
      </c>
      <c r="G6911" s="1" t="s">
        <v>32</v>
      </c>
      <c r="H6911" s="4" t="str">
        <f>HYPERLINK("https://www.ncbi.nlm.nih.gov/geo/query/acc.cgi?acc=GSM1481868","GSM1481868")</f>
        <v>GSM1481868</v>
      </c>
      <c r="I6911" t="s">
        <v>333</v>
      </c>
      <c r="J6911" t="s">
        <v>334</v>
      </c>
      <c r="K6911" t="s">
        <v>33</v>
      </c>
      <c r="L6911" t="s">
        <v>335</v>
      </c>
      <c r="N6911" t="s">
        <v>29</v>
      </c>
    </row>
    <row r="6912" spans="1:14">
      <c r="A6912" s="4" t="str">
        <f t="shared" si="637"/>
        <v>EXP00239</v>
      </c>
      <c r="B6912" s="4" t="str">
        <f t="shared" si="638"/>
        <v>25965298</v>
      </c>
      <c r="C6912" s="4" t="str">
        <f t="shared" si="639"/>
        <v>GSE60542</v>
      </c>
      <c r="D6912" s="1" t="s">
        <v>45</v>
      </c>
      <c r="E6912" t="s">
        <v>346</v>
      </c>
      <c r="F6912" s="1">
        <v>2</v>
      </c>
      <c r="G6912" s="1" t="s">
        <v>32</v>
      </c>
      <c r="H6912" s="4" t="str">
        <f>HYPERLINK("https://www.ncbi.nlm.nih.gov/geo/query/acc.cgi?acc=GSM1481888","GSM1481888")</f>
        <v>GSM1481888</v>
      </c>
      <c r="I6912" t="s">
        <v>333</v>
      </c>
      <c r="J6912" t="s">
        <v>334</v>
      </c>
      <c r="K6912" t="s">
        <v>33</v>
      </c>
      <c r="L6912" t="s">
        <v>335</v>
      </c>
      <c r="N6912" t="s">
        <v>29</v>
      </c>
    </row>
    <row r="6913" spans="1:14">
      <c r="A6913" s="4" t="str">
        <f t="shared" si="637"/>
        <v>EXP00239</v>
      </c>
      <c r="B6913" s="4" t="str">
        <f t="shared" si="638"/>
        <v>25965298</v>
      </c>
      <c r="C6913" s="4" t="str">
        <f t="shared" si="639"/>
        <v>GSE60542</v>
      </c>
      <c r="D6913" s="1" t="s">
        <v>45</v>
      </c>
      <c r="E6913" t="s">
        <v>346</v>
      </c>
      <c r="F6913" s="1">
        <v>2</v>
      </c>
      <c r="G6913" s="1" t="s">
        <v>32</v>
      </c>
      <c r="H6913" s="4" t="str">
        <f>HYPERLINK("https://www.ncbi.nlm.nih.gov/geo/query/acc.cgi?acc=GSM1481898","GSM1481898")</f>
        <v>GSM1481898</v>
      </c>
      <c r="I6913" t="s">
        <v>333</v>
      </c>
      <c r="J6913" t="s">
        <v>334</v>
      </c>
      <c r="K6913" t="s">
        <v>33</v>
      </c>
      <c r="L6913" t="s">
        <v>335</v>
      </c>
      <c r="N6913" t="s">
        <v>29</v>
      </c>
    </row>
    <row r="6914" spans="1:14">
      <c r="A6914" s="4" t="str">
        <f t="shared" si="637"/>
        <v>EXP00239</v>
      </c>
      <c r="B6914" s="4" t="str">
        <f t="shared" si="638"/>
        <v>25965298</v>
      </c>
      <c r="C6914" s="4" t="str">
        <f t="shared" si="639"/>
        <v>GSE60542</v>
      </c>
      <c r="D6914" s="1" t="s">
        <v>45</v>
      </c>
      <c r="E6914" t="s">
        <v>346</v>
      </c>
      <c r="F6914" s="1">
        <v>2</v>
      </c>
      <c r="G6914" s="1" t="s">
        <v>32</v>
      </c>
      <c r="H6914" s="4" t="str">
        <f>HYPERLINK("https://www.ncbi.nlm.nih.gov/geo/query/acc.cgi?acc=GSM1481902","GSM1481902")</f>
        <v>GSM1481902</v>
      </c>
      <c r="I6914" t="s">
        <v>333</v>
      </c>
      <c r="J6914" t="s">
        <v>334</v>
      </c>
      <c r="K6914" t="s">
        <v>33</v>
      </c>
      <c r="L6914" t="s">
        <v>335</v>
      </c>
      <c r="N6914" t="s">
        <v>29</v>
      </c>
    </row>
    <row r="6915" spans="1:14">
      <c r="A6915" s="4" t="str">
        <f t="shared" si="637"/>
        <v>EXP00239</v>
      </c>
      <c r="B6915" s="4" t="str">
        <f t="shared" si="638"/>
        <v>25965298</v>
      </c>
      <c r="C6915" s="4" t="str">
        <f t="shared" si="639"/>
        <v>GSE60542</v>
      </c>
      <c r="D6915" s="1" t="s">
        <v>45</v>
      </c>
      <c r="E6915" t="s">
        <v>346</v>
      </c>
      <c r="F6915" s="1">
        <v>2</v>
      </c>
      <c r="G6915" s="1" t="s">
        <v>32</v>
      </c>
      <c r="H6915" s="4" t="str">
        <f>HYPERLINK("https://www.ncbi.nlm.nih.gov/geo/query/acc.cgi?acc=GSM1481906","GSM1481906")</f>
        <v>GSM1481906</v>
      </c>
      <c r="I6915" t="s">
        <v>333</v>
      </c>
      <c r="J6915" t="s">
        <v>334</v>
      </c>
      <c r="K6915" t="s">
        <v>33</v>
      </c>
      <c r="L6915" t="s">
        <v>335</v>
      </c>
      <c r="N6915" t="s">
        <v>29</v>
      </c>
    </row>
    <row r="6916" spans="1:14">
      <c r="A6916" s="4" t="str">
        <f t="shared" si="637"/>
        <v>EXP00239</v>
      </c>
      <c r="B6916" s="4" t="str">
        <f t="shared" si="638"/>
        <v>25965298</v>
      </c>
      <c r="C6916" s="4" t="str">
        <f t="shared" si="639"/>
        <v>GSE60542</v>
      </c>
      <c r="D6916" s="1" t="s">
        <v>45</v>
      </c>
      <c r="E6916" t="s">
        <v>346</v>
      </c>
      <c r="F6916" s="1">
        <v>2</v>
      </c>
      <c r="G6916" s="1" t="s">
        <v>32</v>
      </c>
      <c r="H6916" s="4" t="str">
        <f>HYPERLINK("https://www.ncbi.nlm.nih.gov/geo/query/acc.cgi?acc=GSM1481910","GSM1481910")</f>
        <v>GSM1481910</v>
      </c>
      <c r="I6916" t="s">
        <v>333</v>
      </c>
      <c r="J6916" t="s">
        <v>334</v>
      </c>
      <c r="K6916" t="s">
        <v>33</v>
      </c>
      <c r="L6916" t="s">
        <v>335</v>
      </c>
      <c r="N6916" t="s">
        <v>29</v>
      </c>
    </row>
    <row r="6917" spans="1:14">
      <c r="A6917" s="4" t="str">
        <f t="shared" si="637"/>
        <v>EXP00239</v>
      </c>
      <c r="B6917" s="4" t="str">
        <f t="shared" si="638"/>
        <v>25965298</v>
      </c>
      <c r="C6917" s="4" t="str">
        <f t="shared" si="639"/>
        <v>GSE60542</v>
      </c>
      <c r="D6917" s="1" t="s">
        <v>45</v>
      </c>
      <c r="E6917" t="s">
        <v>346</v>
      </c>
      <c r="F6917" s="1">
        <v>2</v>
      </c>
      <c r="G6917" s="1" t="s">
        <v>32</v>
      </c>
      <c r="H6917" s="4" t="str">
        <f>HYPERLINK("https://www.ncbi.nlm.nih.gov/geo/query/acc.cgi?acc=GSM1481912","GSM1481912")</f>
        <v>GSM1481912</v>
      </c>
      <c r="I6917" t="s">
        <v>333</v>
      </c>
      <c r="J6917" t="s">
        <v>334</v>
      </c>
      <c r="K6917" t="s">
        <v>33</v>
      </c>
      <c r="L6917" t="s">
        <v>335</v>
      </c>
      <c r="N6917" t="s">
        <v>29</v>
      </c>
    </row>
    <row r="6918" spans="1:14">
      <c r="A6918" s="4" t="str">
        <f t="shared" si="637"/>
        <v>EXP00239</v>
      </c>
      <c r="B6918" s="4" t="str">
        <f t="shared" si="638"/>
        <v>25965298</v>
      </c>
      <c r="C6918" s="4" t="str">
        <f t="shared" si="639"/>
        <v>GSE60542</v>
      </c>
      <c r="D6918" s="1" t="s">
        <v>45</v>
      </c>
      <c r="E6918" t="s">
        <v>346</v>
      </c>
      <c r="F6918" s="1">
        <v>2</v>
      </c>
      <c r="G6918" s="1" t="s">
        <v>32</v>
      </c>
      <c r="H6918" s="4" t="str">
        <f>HYPERLINK("https://www.ncbi.nlm.nih.gov/geo/query/acc.cgi?acc=GSM1481917","GSM1481917")</f>
        <v>GSM1481917</v>
      </c>
      <c r="I6918" t="s">
        <v>333</v>
      </c>
      <c r="J6918" t="s">
        <v>334</v>
      </c>
      <c r="K6918" t="s">
        <v>33</v>
      </c>
      <c r="L6918" t="s">
        <v>335</v>
      </c>
      <c r="N6918" t="s">
        <v>29</v>
      </c>
    </row>
    <row r="6919" spans="1:14">
      <c r="A6919" s="4" t="str">
        <f t="shared" si="637"/>
        <v>EXP00239</v>
      </c>
      <c r="B6919" s="4" t="str">
        <f t="shared" si="638"/>
        <v>25965298</v>
      </c>
      <c r="C6919" s="4" t="str">
        <f t="shared" si="639"/>
        <v>GSE60542</v>
      </c>
      <c r="D6919" s="1" t="s">
        <v>45</v>
      </c>
      <c r="E6919" t="s">
        <v>346</v>
      </c>
      <c r="F6919" s="1">
        <v>2</v>
      </c>
      <c r="G6919" s="1" t="s">
        <v>32</v>
      </c>
      <c r="H6919" s="4" t="str">
        <f>HYPERLINK("https://www.ncbi.nlm.nih.gov/geo/query/acc.cgi?acc=GSM1481923","GSM1481923")</f>
        <v>GSM1481923</v>
      </c>
      <c r="I6919" t="s">
        <v>333</v>
      </c>
      <c r="J6919" t="s">
        <v>334</v>
      </c>
      <c r="K6919" t="s">
        <v>33</v>
      </c>
      <c r="L6919" t="s">
        <v>335</v>
      </c>
      <c r="N6919" t="s">
        <v>29</v>
      </c>
    </row>
    <row r="6920" spans="1:14">
      <c r="A6920" s="4" t="str">
        <f t="shared" si="637"/>
        <v>EXP00239</v>
      </c>
      <c r="B6920" s="4" t="str">
        <f t="shared" si="638"/>
        <v>25965298</v>
      </c>
      <c r="C6920" s="4" t="str">
        <f t="shared" si="639"/>
        <v>GSE60542</v>
      </c>
      <c r="D6920" s="1" t="s">
        <v>45</v>
      </c>
      <c r="E6920" t="s">
        <v>346</v>
      </c>
      <c r="F6920" s="1">
        <v>2</v>
      </c>
      <c r="G6920" s="1" t="s">
        <v>32</v>
      </c>
      <c r="H6920" s="4" t="str">
        <f>HYPERLINK("https://www.ncbi.nlm.nih.gov/geo/query/acc.cgi?acc=GSM1481924","GSM1481924")</f>
        <v>GSM1481924</v>
      </c>
      <c r="I6920" t="s">
        <v>333</v>
      </c>
      <c r="J6920" t="s">
        <v>334</v>
      </c>
      <c r="K6920" t="s">
        <v>33</v>
      </c>
      <c r="L6920" t="s">
        <v>335</v>
      </c>
      <c r="N6920" t="s">
        <v>29</v>
      </c>
    </row>
    <row r="6921" spans="1:14">
      <c r="A6921" s="4" t="str">
        <f t="shared" ref="A6921:A6948" si="640">HYPERLINK("http://hcmdb.i-sanger.com/experiment/details/experiment_id/EXP00240","EXP00240")</f>
        <v>EXP00240</v>
      </c>
      <c r="B6921" s="4" t="str">
        <f t="shared" si="638"/>
        <v>25965298</v>
      </c>
      <c r="C6921" s="4" t="str">
        <f t="shared" si="639"/>
        <v>GSE60542</v>
      </c>
      <c r="D6921" s="1" t="s">
        <v>45</v>
      </c>
      <c r="E6921" t="s">
        <v>347</v>
      </c>
      <c r="F6921" s="1">
        <v>1</v>
      </c>
      <c r="G6921" s="1" t="s">
        <v>36</v>
      </c>
      <c r="H6921" s="4" t="str">
        <f>HYPERLINK("https://www.ncbi.nlm.nih.gov/geo/query/acc.cgi?acc=GSM1481838","GSM1481838")</f>
        <v>GSM1481838</v>
      </c>
      <c r="I6921" t="s">
        <v>333</v>
      </c>
      <c r="J6921" t="s">
        <v>334</v>
      </c>
      <c r="K6921" t="s">
        <v>33</v>
      </c>
      <c r="L6921" t="s">
        <v>335</v>
      </c>
      <c r="N6921" t="s">
        <v>37</v>
      </c>
    </row>
    <row r="6922" spans="1:14">
      <c r="A6922" s="4" t="str">
        <f t="shared" si="640"/>
        <v>EXP00240</v>
      </c>
      <c r="B6922" s="4" t="str">
        <f t="shared" si="638"/>
        <v>25965298</v>
      </c>
      <c r="C6922" s="4" t="str">
        <f t="shared" si="639"/>
        <v>GSE60542</v>
      </c>
      <c r="D6922" s="1" t="s">
        <v>45</v>
      </c>
      <c r="E6922" t="s">
        <v>347</v>
      </c>
      <c r="F6922" s="1">
        <v>1</v>
      </c>
      <c r="G6922" s="1" t="s">
        <v>36</v>
      </c>
      <c r="H6922" s="4" t="str">
        <f>HYPERLINK("https://www.ncbi.nlm.nih.gov/geo/query/acc.cgi?acc=GSM1481842","GSM1481842")</f>
        <v>GSM1481842</v>
      </c>
      <c r="I6922" t="s">
        <v>333</v>
      </c>
      <c r="J6922" t="s">
        <v>334</v>
      </c>
      <c r="K6922" t="s">
        <v>33</v>
      </c>
      <c r="L6922" t="s">
        <v>335</v>
      </c>
      <c r="N6922" t="s">
        <v>37</v>
      </c>
    </row>
    <row r="6923" spans="1:14">
      <c r="A6923" s="4" t="str">
        <f t="shared" si="640"/>
        <v>EXP00240</v>
      </c>
      <c r="B6923" s="4" t="str">
        <f t="shared" si="638"/>
        <v>25965298</v>
      </c>
      <c r="C6923" s="4" t="str">
        <f t="shared" si="639"/>
        <v>GSE60542</v>
      </c>
      <c r="D6923" s="1" t="s">
        <v>45</v>
      </c>
      <c r="E6923" t="s">
        <v>347</v>
      </c>
      <c r="F6923" s="1">
        <v>1</v>
      </c>
      <c r="G6923" s="1" t="s">
        <v>36</v>
      </c>
      <c r="H6923" s="4" t="str">
        <f>HYPERLINK("https://www.ncbi.nlm.nih.gov/geo/query/acc.cgi?acc=GSM1481852","GSM1481852")</f>
        <v>GSM1481852</v>
      </c>
      <c r="I6923" t="s">
        <v>333</v>
      </c>
      <c r="J6923" t="s">
        <v>334</v>
      </c>
      <c r="K6923" t="s">
        <v>33</v>
      </c>
      <c r="L6923" t="s">
        <v>335</v>
      </c>
      <c r="N6923" t="s">
        <v>37</v>
      </c>
    </row>
    <row r="6924" spans="1:14">
      <c r="A6924" s="4" t="str">
        <f t="shared" si="640"/>
        <v>EXP00240</v>
      </c>
      <c r="B6924" s="4" t="str">
        <f t="shared" si="638"/>
        <v>25965298</v>
      </c>
      <c r="C6924" s="4" t="str">
        <f t="shared" si="639"/>
        <v>GSE60542</v>
      </c>
      <c r="D6924" s="1" t="s">
        <v>45</v>
      </c>
      <c r="E6924" t="s">
        <v>347</v>
      </c>
      <c r="F6924" s="1">
        <v>1</v>
      </c>
      <c r="G6924" s="1" t="s">
        <v>36</v>
      </c>
      <c r="H6924" s="4" t="str">
        <f>HYPERLINK("https://www.ncbi.nlm.nih.gov/geo/query/acc.cgi?acc=GSM1481862","GSM1481862")</f>
        <v>GSM1481862</v>
      </c>
      <c r="I6924" t="s">
        <v>333</v>
      </c>
      <c r="J6924" t="s">
        <v>334</v>
      </c>
      <c r="K6924" t="s">
        <v>33</v>
      </c>
      <c r="L6924" t="s">
        <v>335</v>
      </c>
      <c r="N6924" t="s">
        <v>37</v>
      </c>
    </row>
    <row r="6925" spans="1:14">
      <c r="A6925" s="4" t="str">
        <f t="shared" si="640"/>
        <v>EXP00240</v>
      </c>
      <c r="B6925" s="4" t="str">
        <f t="shared" si="638"/>
        <v>25965298</v>
      </c>
      <c r="C6925" s="4" t="str">
        <f t="shared" si="639"/>
        <v>GSE60542</v>
      </c>
      <c r="D6925" s="1" t="s">
        <v>45</v>
      </c>
      <c r="E6925" t="s">
        <v>347</v>
      </c>
      <c r="F6925" s="1">
        <v>1</v>
      </c>
      <c r="G6925" s="1" t="s">
        <v>36</v>
      </c>
      <c r="H6925" s="4" t="str">
        <f>HYPERLINK("https://www.ncbi.nlm.nih.gov/geo/query/acc.cgi?acc=GSM1481867","GSM1481867")</f>
        <v>GSM1481867</v>
      </c>
      <c r="I6925" t="s">
        <v>333</v>
      </c>
      <c r="J6925" t="s">
        <v>334</v>
      </c>
      <c r="K6925" t="s">
        <v>33</v>
      </c>
      <c r="L6925" t="s">
        <v>335</v>
      </c>
      <c r="N6925" t="s">
        <v>37</v>
      </c>
    </row>
    <row r="6926" spans="1:14">
      <c r="A6926" s="4" t="str">
        <f t="shared" si="640"/>
        <v>EXP00240</v>
      </c>
      <c r="B6926" s="4" t="str">
        <f t="shared" si="638"/>
        <v>25965298</v>
      </c>
      <c r="C6926" s="4" t="str">
        <f t="shared" si="639"/>
        <v>GSE60542</v>
      </c>
      <c r="D6926" s="1" t="s">
        <v>45</v>
      </c>
      <c r="E6926" t="s">
        <v>347</v>
      </c>
      <c r="F6926" s="1">
        <v>1</v>
      </c>
      <c r="G6926" s="1" t="s">
        <v>36</v>
      </c>
      <c r="H6926" s="4" t="str">
        <f>HYPERLINK("https://www.ncbi.nlm.nih.gov/geo/query/acc.cgi?acc=GSM1481877","GSM1481877")</f>
        <v>GSM1481877</v>
      </c>
      <c r="I6926" t="s">
        <v>333</v>
      </c>
      <c r="J6926" t="s">
        <v>334</v>
      </c>
      <c r="K6926" t="s">
        <v>33</v>
      </c>
      <c r="L6926" t="s">
        <v>335</v>
      </c>
      <c r="N6926" t="s">
        <v>37</v>
      </c>
    </row>
    <row r="6927" spans="1:14">
      <c r="A6927" s="4" t="str">
        <f t="shared" si="640"/>
        <v>EXP00240</v>
      </c>
      <c r="B6927" s="4" t="str">
        <f t="shared" si="638"/>
        <v>25965298</v>
      </c>
      <c r="C6927" s="4" t="str">
        <f t="shared" si="639"/>
        <v>GSE60542</v>
      </c>
      <c r="D6927" s="1" t="s">
        <v>45</v>
      </c>
      <c r="E6927" t="s">
        <v>347</v>
      </c>
      <c r="F6927" s="1">
        <v>1</v>
      </c>
      <c r="G6927" s="1" t="s">
        <v>36</v>
      </c>
      <c r="H6927" s="4" t="str">
        <f>HYPERLINK("https://www.ncbi.nlm.nih.gov/geo/query/acc.cgi?acc=GSM1481891","GSM1481891")</f>
        <v>GSM1481891</v>
      </c>
      <c r="I6927" t="s">
        <v>333</v>
      </c>
      <c r="J6927" t="s">
        <v>334</v>
      </c>
      <c r="K6927" t="s">
        <v>33</v>
      </c>
      <c r="L6927" t="s">
        <v>335</v>
      </c>
      <c r="N6927" t="s">
        <v>37</v>
      </c>
    </row>
    <row r="6928" spans="1:14">
      <c r="A6928" s="4" t="str">
        <f t="shared" si="640"/>
        <v>EXP00240</v>
      </c>
      <c r="B6928" s="4" t="str">
        <f t="shared" si="638"/>
        <v>25965298</v>
      </c>
      <c r="C6928" s="4" t="str">
        <f t="shared" si="639"/>
        <v>GSE60542</v>
      </c>
      <c r="D6928" s="1" t="s">
        <v>45</v>
      </c>
      <c r="E6928" t="s">
        <v>347</v>
      </c>
      <c r="F6928" s="1">
        <v>1</v>
      </c>
      <c r="G6928" s="1" t="s">
        <v>36</v>
      </c>
      <c r="H6928" s="4" t="str">
        <f>HYPERLINK("https://www.ncbi.nlm.nih.gov/geo/query/acc.cgi?acc=GSM1481895","GSM1481895")</f>
        <v>GSM1481895</v>
      </c>
      <c r="I6928" t="s">
        <v>333</v>
      </c>
      <c r="J6928" t="s">
        <v>334</v>
      </c>
      <c r="K6928" t="s">
        <v>33</v>
      </c>
      <c r="L6928" t="s">
        <v>335</v>
      </c>
      <c r="N6928" t="s">
        <v>37</v>
      </c>
    </row>
    <row r="6929" spans="1:14">
      <c r="A6929" s="4" t="str">
        <f t="shared" si="640"/>
        <v>EXP00240</v>
      </c>
      <c r="B6929" s="4" t="str">
        <f t="shared" si="638"/>
        <v>25965298</v>
      </c>
      <c r="C6929" s="4" t="str">
        <f t="shared" si="639"/>
        <v>GSE60542</v>
      </c>
      <c r="D6929" s="1" t="s">
        <v>45</v>
      </c>
      <c r="E6929" t="s">
        <v>347</v>
      </c>
      <c r="F6929" s="1">
        <v>1</v>
      </c>
      <c r="G6929" s="1" t="s">
        <v>36</v>
      </c>
      <c r="H6929" s="4" t="str">
        <f>HYPERLINK("https://www.ncbi.nlm.nih.gov/geo/query/acc.cgi?acc=GSM1481901","GSM1481901")</f>
        <v>GSM1481901</v>
      </c>
      <c r="I6929" t="s">
        <v>333</v>
      </c>
      <c r="J6929" t="s">
        <v>334</v>
      </c>
      <c r="K6929" t="s">
        <v>33</v>
      </c>
      <c r="L6929" t="s">
        <v>335</v>
      </c>
      <c r="N6929" t="s">
        <v>37</v>
      </c>
    </row>
    <row r="6930" spans="1:14">
      <c r="A6930" s="4" t="str">
        <f t="shared" si="640"/>
        <v>EXP00240</v>
      </c>
      <c r="B6930" s="4" t="str">
        <f t="shared" si="638"/>
        <v>25965298</v>
      </c>
      <c r="C6930" s="4" t="str">
        <f t="shared" si="639"/>
        <v>GSE60542</v>
      </c>
      <c r="D6930" s="1" t="s">
        <v>45</v>
      </c>
      <c r="E6930" t="s">
        <v>347</v>
      </c>
      <c r="F6930" s="1">
        <v>1</v>
      </c>
      <c r="G6930" s="1" t="s">
        <v>36</v>
      </c>
      <c r="H6930" s="4" t="str">
        <f>HYPERLINK("https://www.ncbi.nlm.nih.gov/geo/query/acc.cgi?acc=GSM1481907","GSM1481907")</f>
        <v>GSM1481907</v>
      </c>
      <c r="I6930" t="s">
        <v>333</v>
      </c>
      <c r="J6930" t="s">
        <v>334</v>
      </c>
      <c r="K6930" t="s">
        <v>33</v>
      </c>
      <c r="L6930" t="s">
        <v>335</v>
      </c>
      <c r="N6930" t="s">
        <v>37</v>
      </c>
    </row>
    <row r="6931" spans="1:14">
      <c r="A6931" s="4" t="str">
        <f t="shared" si="640"/>
        <v>EXP00240</v>
      </c>
      <c r="B6931" s="4" t="str">
        <f t="shared" si="638"/>
        <v>25965298</v>
      </c>
      <c r="C6931" s="4" t="str">
        <f t="shared" si="639"/>
        <v>GSE60542</v>
      </c>
      <c r="D6931" s="1" t="s">
        <v>45</v>
      </c>
      <c r="E6931" t="s">
        <v>347</v>
      </c>
      <c r="F6931" s="1">
        <v>1</v>
      </c>
      <c r="G6931" s="1" t="s">
        <v>36</v>
      </c>
      <c r="H6931" s="4" t="str">
        <f>HYPERLINK("https://www.ncbi.nlm.nih.gov/geo/query/acc.cgi?acc=GSM1481913","GSM1481913")</f>
        <v>GSM1481913</v>
      </c>
      <c r="I6931" t="s">
        <v>333</v>
      </c>
      <c r="J6931" t="s">
        <v>334</v>
      </c>
      <c r="K6931" t="s">
        <v>33</v>
      </c>
      <c r="L6931" t="s">
        <v>335</v>
      </c>
      <c r="N6931" t="s">
        <v>37</v>
      </c>
    </row>
    <row r="6932" spans="1:14">
      <c r="A6932" s="4" t="str">
        <f t="shared" si="640"/>
        <v>EXP00240</v>
      </c>
      <c r="B6932" s="4" t="str">
        <f t="shared" si="638"/>
        <v>25965298</v>
      </c>
      <c r="C6932" s="4" t="str">
        <f t="shared" si="639"/>
        <v>GSE60542</v>
      </c>
      <c r="D6932" s="1" t="s">
        <v>45</v>
      </c>
      <c r="E6932" t="s">
        <v>347</v>
      </c>
      <c r="F6932" s="1">
        <v>1</v>
      </c>
      <c r="G6932" s="1" t="s">
        <v>36</v>
      </c>
      <c r="H6932" s="4" t="str">
        <f>HYPERLINK("https://www.ncbi.nlm.nih.gov/geo/query/acc.cgi?acc=GSM1481916","GSM1481916")</f>
        <v>GSM1481916</v>
      </c>
      <c r="I6932" t="s">
        <v>333</v>
      </c>
      <c r="J6932" t="s">
        <v>334</v>
      </c>
      <c r="K6932" t="s">
        <v>33</v>
      </c>
      <c r="L6932" t="s">
        <v>335</v>
      </c>
      <c r="N6932" t="s">
        <v>37</v>
      </c>
    </row>
    <row r="6933" spans="1:14">
      <c r="A6933" s="4" t="str">
        <f t="shared" si="640"/>
        <v>EXP00240</v>
      </c>
      <c r="B6933" s="4" t="str">
        <f t="shared" si="638"/>
        <v>25965298</v>
      </c>
      <c r="C6933" s="4" t="str">
        <f t="shared" si="639"/>
        <v>GSE60542</v>
      </c>
      <c r="D6933" s="1" t="s">
        <v>45</v>
      </c>
      <c r="E6933" t="s">
        <v>347</v>
      </c>
      <c r="F6933" s="1">
        <v>1</v>
      </c>
      <c r="G6933" s="1" t="s">
        <v>36</v>
      </c>
      <c r="H6933" s="4" t="str">
        <f>HYPERLINK("https://www.ncbi.nlm.nih.gov/geo/query/acc.cgi?acc=GSM1481919","GSM1481919")</f>
        <v>GSM1481919</v>
      </c>
      <c r="I6933" t="s">
        <v>333</v>
      </c>
      <c r="J6933" t="s">
        <v>334</v>
      </c>
      <c r="K6933" t="s">
        <v>33</v>
      </c>
      <c r="L6933" t="s">
        <v>335</v>
      </c>
      <c r="N6933" t="s">
        <v>37</v>
      </c>
    </row>
    <row r="6934" spans="1:14">
      <c r="A6934" s="4" t="str">
        <f t="shared" si="640"/>
        <v>EXP00240</v>
      </c>
      <c r="B6934" s="4" t="str">
        <f t="shared" si="638"/>
        <v>25965298</v>
      </c>
      <c r="C6934" s="4" t="str">
        <f t="shared" si="639"/>
        <v>GSE60542</v>
      </c>
      <c r="D6934" s="1" t="s">
        <v>45</v>
      </c>
      <c r="E6934" t="s">
        <v>347</v>
      </c>
      <c r="F6934" s="1">
        <v>1</v>
      </c>
      <c r="G6934" s="1" t="s">
        <v>36</v>
      </c>
      <c r="H6934" s="4" t="str">
        <f>HYPERLINK("https://www.ncbi.nlm.nih.gov/geo/query/acc.cgi?acc=GSM1481920","GSM1481920")</f>
        <v>GSM1481920</v>
      </c>
      <c r="I6934" t="s">
        <v>333</v>
      </c>
      <c r="J6934" t="s">
        <v>334</v>
      </c>
      <c r="K6934" t="s">
        <v>33</v>
      </c>
      <c r="L6934" t="s">
        <v>335</v>
      </c>
      <c r="N6934" t="s">
        <v>37</v>
      </c>
    </row>
    <row r="6935" spans="1:14">
      <c r="A6935" s="4" t="str">
        <f t="shared" si="640"/>
        <v>EXP00240</v>
      </c>
      <c r="B6935" s="4" t="str">
        <f t="shared" si="638"/>
        <v>25965298</v>
      </c>
      <c r="C6935" s="4" t="str">
        <f t="shared" si="639"/>
        <v>GSE60542</v>
      </c>
      <c r="D6935" s="1" t="s">
        <v>45</v>
      </c>
      <c r="E6935" t="s">
        <v>347</v>
      </c>
      <c r="F6935" s="1">
        <v>2</v>
      </c>
      <c r="G6935" s="1" t="s">
        <v>28</v>
      </c>
      <c r="H6935" s="4" t="str">
        <f>HYPERLINK("https://www.ncbi.nlm.nih.gov/geo/query/acc.cgi?acc=GSM1481841","GSM1481841")</f>
        <v>GSM1481841</v>
      </c>
      <c r="I6935" t="s">
        <v>333</v>
      </c>
      <c r="J6935" t="s">
        <v>334</v>
      </c>
      <c r="K6935" t="s">
        <v>33</v>
      </c>
      <c r="L6935" t="s">
        <v>335</v>
      </c>
      <c r="N6935" t="s">
        <v>29</v>
      </c>
    </row>
    <row r="6936" spans="1:14">
      <c r="A6936" s="4" t="str">
        <f t="shared" si="640"/>
        <v>EXP00240</v>
      </c>
      <c r="B6936" s="4" t="str">
        <f t="shared" si="638"/>
        <v>25965298</v>
      </c>
      <c r="C6936" s="4" t="str">
        <f t="shared" si="639"/>
        <v>GSE60542</v>
      </c>
      <c r="D6936" s="1" t="s">
        <v>45</v>
      </c>
      <c r="E6936" t="s">
        <v>347</v>
      </c>
      <c r="F6936" s="1">
        <v>2</v>
      </c>
      <c r="G6936" s="1" t="s">
        <v>28</v>
      </c>
      <c r="H6936" s="4" t="str">
        <f>HYPERLINK("https://www.ncbi.nlm.nih.gov/geo/query/acc.cgi?acc=GSM1481853","GSM1481853")</f>
        <v>GSM1481853</v>
      </c>
      <c r="I6936" t="s">
        <v>333</v>
      </c>
      <c r="J6936" t="s">
        <v>334</v>
      </c>
      <c r="K6936" t="s">
        <v>33</v>
      </c>
      <c r="L6936" t="s">
        <v>335</v>
      </c>
      <c r="N6936" t="s">
        <v>29</v>
      </c>
    </row>
    <row r="6937" spans="1:14">
      <c r="A6937" s="4" t="str">
        <f t="shared" si="640"/>
        <v>EXP00240</v>
      </c>
      <c r="B6937" s="4" t="str">
        <f t="shared" si="638"/>
        <v>25965298</v>
      </c>
      <c r="C6937" s="4" t="str">
        <f t="shared" si="639"/>
        <v>GSE60542</v>
      </c>
      <c r="D6937" s="1" t="s">
        <v>45</v>
      </c>
      <c r="E6937" t="s">
        <v>347</v>
      </c>
      <c r="F6937" s="1">
        <v>2</v>
      </c>
      <c r="G6937" s="1" t="s">
        <v>28</v>
      </c>
      <c r="H6937" s="4" t="str">
        <f>HYPERLINK("https://www.ncbi.nlm.nih.gov/geo/query/acc.cgi?acc=GSM1481858","GSM1481858")</f>
        <v>GSM1481858</v>
      </c>
      <c r="I6937" t="s">
        <v>333</v>
      </c>
      <c r="J6937" t="s">
        <v>334</v>
      </c>
      <c r="K6937" t="s">
        <v>33</v>
      </c>
      <c r="L6937" t="s">
        <v>335</v>
      </c>
      <c r="N6937" t="s">
        <v>29</v>
      </c>
    </row>
    <row r="6938" spans="1:14">
      <c r="A6938" s="4" t="str">
        <f t="shared" si="640"/>
        <v>EXP00240</v>
      </c>
      <c r="B6938" s="4" t="str">
        <f t="shared" si="638"/>
        <v>25965298</v>
      </c>
      <c r="C6938" s="4" t="str">
        <f t="shared" si="639"/>
        <v>GSE60542</v>
      </c>
      <c r="D6938" s="1" t="s">
        <v>45</v>
      </c>
      <c r="E6938" t="s">
        <v>347</v>
      </c>
      <c r="F6938" s="1">
        <v>2</v>
      </c>
      <c r="G6938" s="1" t="s">
        <v>28</v>
      </c>
      <c r="H6938" s="4" t="str">
        <f>HYPERLINK("https://www.ncbi.nlm.nih.gov/geo/query/acc.cgi?acc=GSM1481863","GSM1481863")</f>
        <v>GSM1481863</v>
      </c>
      <c r="I6938" t="s">
        <v>333</v>
      </c>
      <c r="J6938" t="s">
        <v>334</v>
      </c>
      <c r="K6938" t="s">
        <v>33</v>
      </c>
      <c r="L6938" t="s">
        <v>335</v>
      </c>
      <c r="N6938" t="s">
        <v>29</v>
      </c>
    </row>
    <row r="6939" spans="1:14">
      <c r="A6939" s="4" t="str">
        <f t="shared" si="640"/>
        <v>EXP00240</v>
      </c>
      <c r="B6939" s="4" t="str">
        <f t="shared" si="638"/>
        <v>25965298</v>
      </c>
      <c r="C6939" s="4" t="str">
        <f t="shared" si="639"/>
        <v>GSE60542</v>
      </c>
      <c r="D6939" s="1" t="s">
        <v>45</v>
      </c>
      <c r="E6939" t="s">
        <v>347</v>
      </c>
      <c r="F6939" s="1">
        <v>2</v>
      </c>
      <c r="G6939" s="1" t="s">
        <v>28</v>
      </c>
      <c r="H6939" s="4" t="str">
        <f>HYPERLINK("https://www.ncbi.nlm.nih.gov/geo/query/acc.cgi?acc=GSM1481868","GSM1481868")</f>
        <v>GSM1481868</v>
      </c>
      <c r="I6939" t="s">
        <v>333</v>
      </c>
      <c r="J6939" t="s">
        <v>334</v>
      </c>
      <c r="K6939" t="s">
        <v>33</v>
      </c>
      <c r="L6939" t="s">
        <v>335</v>
      </c>
      <c r="N6939" t="s">
        <v>29</v>
      </c>
    </row>
    <row r="6940" spans="1:14">
      <c r="A6940" s="4" t="str">
        <f t="shared" si="640"/>
        <v>EXP00240</v>
      </c>
      <c r="B6940" s="4" t="str">
        <f t="shared" si="638"/>
        <v>25965298</v>
      </c>
      <c r="C6940" s="4" t="str">
        <f t="shared" si="639"/>
        <v>GSE60542</v>
      </c>
      <c r="D6940" s="1" t="s">
        <v>45</v>
      </c>
      <c r="E6940" t="s">
        <v>347</v>
      </c>
      <c r="F6940" s="1">
        <v>2</v>
      </c>
      <c r="G6940" s="1" t="s">
        <v>28</v>
      </c>
      <c r="H6940" s="4" t="str">
        <f>HYPERLINK("https://www.ncbi.nlm.nih.gov/geo/query/acc.cgi?acc=GSM1481888","GSM1481888")</f>
        <v>GSM1481888</v>
      </c>
      <c r="I6940" t="s">
        <v>333</v>
      </c>
      <c r="J6940" t="s">
        <v>334</v>
      </c>
      <c r="K6940" t="s">
        <v>33</v>
      </c>
      <c r="L6940" t="s">
        <v>335</v>
      </c>
      <c r="N6940" t="s">
        <v>29</v>
      </c>
    </row>
    <row r="6941" spans="1:14">
      <c r="A6941" s="4" t="str">
        <f t="shared" si="640"/>
        <v>EXP00240</v>
      </c>
      <c r="B6941" s="4" t="str">
        <f t="shared" si="638"/>
        <v>25965298</v>
      </c>
      <c r="C6941" s="4" t="str">
        <f t="shared" si="639"/>
        <v>GSE60542</v>
      </c>
      <c r="D6941" s="1" t="s">
        <v>45</v>
      </c>
      <c r="E6941" t="s">
        <v>347</v>
      </c>
      <c r="F6941" s="1">
        <v>2</v>
      </c>
      <c r="G6941" s="1" t="s">
        <v>28</v>
      </c>
      <c r="H6941" s="4" t="str">
        <f>HYPERLINK("https://www.ncbi.nlm.nih.gov/geo/query/acc.cgi?acc=GSM1481898","GSM1481898")</f>
        <v>GSM1481898</v>
      </c>
      <c r="I6941" t="s">
        <v>333</v>
      </c>
      <c r="J6941" t="s">
        <v>334</v>
      </c>
      <c r="K6941" t="s">
        <v>33</v>
      </c>
      <c r="L6941" t="s">
        <v>335</v>
      </c>
      <c r="N6941" t="s">
        <v>29</v>
      </c>
    </row>
    <row r="6942" spans="1:14">
      <c r="A6942" s="4" t="str">
        <f t="shared" si="640"/>
        <v>EXP00240</v>
      </c>
      <c r="B6942" s="4" t="str">
        <f t="shared" si="638"/>
        <v>25965298</v>
      </c>
      <c r="C6942" s="4" t="str">
        <f t="shared" si="639"/>
        <v>GSE60542</v>
      </c>
      <c r="D6942" s="1" t="s">
        <v>45</v>
      </c>
      <c r="E6942" t="s">
        <v>347</v>
      </c>
      <c r="F6942" s="1">
        <v>2</v>
      </c>
      <c r="G6942" s="1" t="s">
        <v>28</v>
      </c>
      <c r="H6942" s="4" t="str">
        <f>HYPERLINK("https://www.ncbi.nlm.nih.gov/geo/query/acc.cgi?acc=GSM1481902","GSM1481902")</f>
        <v>GSM1481902</v>
      </c>
      <c r="I6942" t="s">
        <v>333</v>
      </c>
      <c r="J6942" t="s">
        <v>334</v>
      </c>
      <c r="K6942" t="s">
        <v>33</v>
      </c>
      <c r="L6942" t="s">
        <v>335</v>
      </c>
      <c r="N6942" t="s">
        <v>29</v>
      </c>
    </row>
    <row r="6943" spans="1:14">
      <c r="A6943" s="4" t="str">
        <f t="shared" si="640"/>
        <v>EXP00240</v>
      </c>
      <c r="B6943" s="4" t="str">
        <f t="shared" si="638"/>
        <v>25965298</v>
      </c>
      <c r="C6943" s="4" t="str">
        <f t="shared" si="639"/>
        <v>GSE60542</v>
      </c>
      <c r="D6943" s="1" t="s">
        <v>45</v>
      </c>
      <c r="E6943" t="s">
        <v>347</v>
      </c>
      <c r="F6943" s="1">
        <v>2</v>
      </c>
      <c r="G6943" s="1" t="s">
        <v>28</v>
      </c>
      <c r="H6943" s="4" t="str">
        <f>HYPERLINK("https://www.ncbi.nlm.nih.gov/geo/query/acc.cgi?acc=GSM1481906","GSM1481906")</f>
        <v>GSM1481906</v>
      </c>
      <c r="I6943" t="s">
        <v>333</v>
      </c>
      <c r="J6943" t="s">
        <v>334</v>
      </c>
      <c r="K6943" t="s">
        <v>33</v>
      </c>
      <c r="L6943" t="s">
        <v>335</v>
      </c>
      <c r="N6943" t="s">
        <v>29</v>
      </c>
    </row>
    <row r="6944" spans="1:14">
      <c r="A6944" s="4" t="str">
        <f t="shared" si="640"/>
        <v>EXP00240</v>
      </c>
      <c r="B6944" s="4" t="str">
        <f t="shared" si="638"/>
        <v>25965298</v>
      </c>
      <c r="C6944" s="4" t="str">
        <f t="shared" si="639"/>
        <v>GSE60542</v>
      </c>
      <c r="D6944" s="1" t="s">
        <v>45</v>
      </c>
      <c r="E6944" t="s">
        <v>347</v>
      </c>
      <c r="F6944" s="1">
        <v>2</v>
      </c>
      <c r="G6944" s="1" t="s">
        <v>28</v>
      </c>
      <c r="H6944" s="4" t="str">
        <f>HYPERLINK("https://www.ncbi.nlm.nih.gov/geo/query/acc.cgi?acc=GSM1481910","GSM1481910")</f>
        <v>GSM1481910</v>
      </c>
      <c r="I6944" t="s">
        <v>333</v>
      </c>
      <c r="J6944" t="s">
        <v>334</v>
      </c>
      <c r="K6944" t="s">
        <v>33</v>
      </c>
      <c r="L6944" t="s">
        <v>335</v>
      </c>
      <c r="N6944" t="s">
        <v>29</v>
      </c>
    </row>
    <row r="6945" spans="1:14">
      <c r="A6945" s="4" t="str">
        <f t="shared" si="640"/>
        <v>EXP00240</v>
      </c>
      <c r="B6945" s="4" t="str">
        <f t="shared" si="638"/>
        <v>25965298</v>
      </c>
      <c r="C6945" s="4" t="str">
        <f t="shared" si="639"/>
        <v>GSE60542</v>
      </c>
      <c r="D6945" s="1" t="s">
        <v>45</v>
      </c>
      <c r="E6945" t="s">
        <v>347</v>
      </c>
      <c r="F6945" s="1">
        <v>2</v>
      </c>
      <c r="G6945" s="1" t="s">
        <v>28</v>
      </c>
      <c r="H6945" s="4" t="str">
        <f>HYPERLINK("https://www.ncbi.nlm.nih.gov/geo/query/acc.cgi?acc=GSM1481912","GSM1481912")</f>
        <v>GSM1481912</v>
      </c>
      <c r="I6945" t="s">
        <v>333</v>
      </c>
      <c r="J6945" t="s">
        <v>334</v>
      </c>
      <c r="K6945" t="s">
        <v>33</v>
      </c>
      <c r="L6945" t="s">
        <v>335</v>
      </c>
      <c r="N6945" t="s">
        <v>29</v>
      </c>
    </row>
    <row r="6946" spans="1:14">
      <c r="A6946" s="4" t="str">
        <f t="shared" si="640"/>
        <v>EXP00240</v>
      </c>
      <c r="B6946" s="4" t="str">
        <f t="shared" si="638"/>
        <v>25965298</v>
      </c>
      <c r="C6946" s="4" t="str">
        <f t="shared" si="639"/>
        <v>GSE60542</v>
      </c>
      <c r="D6946" s="1" t="s">
        <v>45</v>
      </c>
      <c r="E6946" t="s">
        <v>347</v>
      </c>
      <c r="F6946" s="1">
        <v>2</v>
      </c>
      <c r="G6946" s="1" t="s">
        <v>28</v>
      </c>
      <c r="H6946" s="4" t="str">
        <f>HYPERLINK("https://www.ncbi.nlm.nih.gov/geo/query/acc.cgi?acc=GSM1481917","GSM1481917")</f>
        <v>GSM1481917</v>
      </c>
      <c r="I6946" t="s">
        <v>333</v>
      </c>
      <c r="J6946" t="s">
        <v>334</v>
      </c>
      <c r="K6946" t="s">
        <v>33</v>
      </c>
      <c r="L6946" t="s">
        <v>335</v>
      </c>
      <c r="N6946" t="s">
        <v>29</v>
      </c>
    </row>
    <row r="6947" spans="1:14">
      <c r="A6947" s="4" t="str">
        <f t="shared" si="640"/>
        <v>EXP00240</v>
      </c>
      <c r="B6947" s="4" t="str">
        <f t="shared" si="638"/>
        <v>25965298</v>
      </c>
      <c r="C6947" s="4" t="str">
        <f t="shared" si="639"/>
        <v>GSE60542</v>
      </c>
      <c r="D6947" s="1" t="s">
        <v>45</v>
      </c>
      <c r="E6947" t="s">
        <v>347</v>
      </c>
      <c r="F6947" s="1">
        <v>2</v>
      </c>
      <c r="G6947" s="1" t="s">
        <v>28</v>
      </c>
      <c r="H6947" s="4" t="str">
        <f>HYPERLINK("https://www.ncbi.nlm.nih.gov/geo/query/acc.cgi?acc=GSM1481923","GSM1481923")</f>
        <v>GSM1481923</v>
      </c>
      <c r="I6947" t="s">
        <v>333</v>
      </c>
      <c r="J6947" t="s">
        <v>334</v>
      </c>
      <c r="K6947" t="s">
        <v>33</v>
      </c>
      <c r="L6947" t="s">
        <v>335</v>
      </c>
      <c r="N6947" t="s">
        <v>29</v>
      </c>
    </row>
    <row r="6948" spans="1:14">
      <c r="A6948" s="4" t="str">
        <f t="shared" si="640"/>
        <v>EXP00240</v>
      </c>
      <c r="B6948" s="4" t="str">
        <f t="shared" si="638"/>
        <v>25965298</v>
      </c>
      <c r="C6948" s="4" t="str">
        <f t="shared" si="639"/>
        <v>GSE60542</v>
      </c>
      <c r="D6948" s="1" t="s">
        <v>45</v>
      </c>
      <c r="E6948" t="s">
        <v>347</v>
      </c>
      <c r="F6948" s="1">
        <v>2</v>
      </c>
      <c r="G6948" s="1" t="s">
        <v>28</v>
      </c>
      <c r="H6948" s="4" t="str">
        <f>HYPERLINK("https://www.ncbi.nlm.nih.gov/geo/query/acc.cgi?acc=GSM1481924","GSM1481924")</f>
        <v>GSM1481924</v>
      </c>
      <c r="I6948" t="s">
        <v>333</v>
      </c>
      <c r="J6948" t="s">
        <v>334</v>
      </c>
      <c r="K6948" t="s">
        <v>33</v>
      </c>
      <c r="L6948" t="s">
        <v>335</v>
      </c>
      <c r="N6948" t="s">
        <v>29</v>
      </c>
    </row>
    <row r="6949" spans="1:14">
      <c r="A6949" s="4" t="str">
        <f t="shared" ref="A6949:A6976" si="641">HYPERLINK("http://hcmdb.i-sanger.com/experiment/details/experiment_id/EXP00241","EXP00241")</f>
        <v>EXP00241</v>
      </c>
      <c r="B6949" s="4" t="str">
        <f t="shared" ref="B6949:B7012" si="642">HYPERLINK("https://www.ncbi.nlm.nih.gov/pubmed/26537449","26537449")</f>
        <v>26537449</v>
      </c>
      <c r="C6949" s="4" t="str">
        <f t="shared" ref="C6949:C7012" si="643">HYPERLINK("https://www.ncbi.nlm.nih.gov/geo/query/acc.cgi?acc=GSE61723","GSE61723")</f>
        <v>GSE61723</v>
      </c>
      <c r="D6949" s="1" t="s">
        <v>348</v>
      </c>
      <c r="E6949" t="s">
        <v>39</v>
      </c>
      <c r="F6949" s="1">
        <v>1</v>
      </c>
      <c r="G6949" s="1" t="s">
        <v>26</v>
      </c>
      <c r="H6949" s="4" t="str">
        <f>HYPERLINK("https://www.ncbi.nlm.nih.gov/geo/query/acc.cgi?acc=GSM1511742","GSM1511742")</f>
        <v>GSM1511742</v>
      </c>
      <c r="I6949" t="s">
        <v>17</v>
      </c>
      <c r="J6949" t="s">
        <v>349</v>
      </c>
      <c r="K6949" t="s">
        <v>19</v>
      </c>
      <c r="L6949" t="s">
        <v>20</v>
      </c>
      <c r="M6949" t="s">
        <v>24</v>
      </c>
      <c r="N6949" t="s">
        <v>22</v>
      </c>
    </row>
    <row r="6950" spans="1:14">
      <c r="A6950" s="4" t="str">
        <f t="shared" si="641"/>
        <v>EXP00241</v>
      </c>
      <c r="B6950" s="4" t="str">
        <f t="shared" si="642"/>
        <v>26537449</v>
      </c>
      <c r="C6950" s="4" t="str">
        <f t="shared" si="643"/>
        <v>GSE61723</v>
      </c>
      <c r="D6950" s="1" t="s">
        <v>348</v>
      </c>
      <c r="E6950" t="s">
        <v>39</v>
      </c>
      <c r="F6950" s="1">
        <v>1</v>
      </c>
      <c r="G6950" s="1" t="s">
        <v>26</v>
      </c>
      <c r="H6950" s="4" t="str">
        <f>HYPERLINK("https://www.ncbi.nlm.nih.gov/geo/query/acc.cgi?acc=GSM1511744","GSM1511744")</f>
        <v>GSM1511744</v>
      </c>
      <c r="I6950" t="s">
        <v>17</v>
      </c>
      <c r="J6950" t="s">
        <v>350</v>
      </c>
      <c r="K6950" t="s">
        <v>19</v>
      </c>
      <c r="L6950" t="s">
        <v>20</v>
      </c>
      <c r="M6950" t="s">
        <v>24</v>
      </c>
      <c r="N6950" t="s">
        <v>22</v>
      </c>
    </row>
    <row r="6951" spans="1:14">
      <c r="A6951" s="4" t="str">
        <f t="shared" si="641"/>
        <v>EXP00241</v>
      </c>
      <c r="B6951" s="4" t="str">
        <f t="shared" si="642"/>
        <v>26537449</v>
      </c>
      <c r="C6951" s="4" t="str">
        <f t="shared" si="643"/>
        <v>GSE61723</v>
      </c>
      <c r="D6951" s="1" t="s">
        <v>348</v>
      </c>
      <c r="E6951" t="s">
        <v>39</v>
      </c>
      <c r="F6951" s="1">
        <v>1</v>
      </c>
      <c r="G6951" s="1" t="s">
        <v>26</v>
      </c>
      <c r="H6951" s="4" t="str">
        <f>HYPERLINK("https://www.ncbi.nlm.nih.gov/geo/query/acc.cgi?acc=GSM1511749","GSM1511749")</f>
        <v>GSM1511749</v>
      </c>
      <c r="I6951" t="s">
        <v>17</v>
      </c>
      <c r="J6951" t="s">
        <v>350</v>
      </c>
      <c r="K6951" t="s">
        <v>19</v>
      </c>
      <c r="L6951" t="s">
        <v>20</v>
      </c>
      <c r="M6951" t="s">
        <v>24</v>
      </c>
      <c r="N6951" t="s">
        <v>22</v>
      </c>
    </row>
    <row r="6952" spans="1:14">
      <c r="A6952" s="4" t="str">
        <f t="shared" si="641"/>
        <v>EXP00241</v>
      </c>
      <c r="B6952" s="4" t="str">
        <f t="shared" si="642"/>
        <v>26537449</v>
      </c>
      <c r="C6952" s="4" t="str">
        <f t="shared" si="643"/>
        <v>GSE61723</v>
      </c>
      <c r="D6952" s="1" t="s">
        <v>348</v>
      </c>
      <c r="E6952" t="s">
        <v>39</v>
      </c>
      <c r="F6952" s="1">
        <v>1</v>
      </c>
      <c r="G6952" s="1" t="s">
        <v>26</v>
      </c>
      <c r="H6952" s="4" t="str">
        <f>HYPERLINK("https://www.ncbi.nlm.nih.gov/geo/query/acc.cgi?acc=GSM1511754","GSM1511754")</f>
        <v>GSM1511754</v>
      </c>
      <c r="I6952" t="s">
        <v>17</v>
      </c>
      <c r="J6952" t="s">
        <v>350</v>
      </c>
      <c r="K6952" t="s">
        <v>19</v>
      </c>
      <c r="L6952" t="s">
        <v>20</v>
      </c>
      <c r="M6952" t="s">
        <v>24</v>
      </c>
      <c r="N6952" t="s">
        <v>22</v>
      </c>
    </row>
    <row r="6953" spans="1:14">
      <c r="A6953" s="4" t="str">
        <f t="shared" si="641"/>
        <v>EXP00241</v>
      </c>
      <c r="B6953" s="4" t="str">
        <f t="shared" si="642"/>
        <v>26537449</v>
      </c>
      <c r="C6953" s="4" t="str">
        <f t="shared" si="643"/>
        <v>GSE61723</v>
      </c>
      <c r="D6953" s="1" t="s">
        <v>348</v>
      </c>
      <c r="E6953" t="s">
        <v>39</v>
      </c>
      <c r="F6953" s="1">
        <v>1</v>
      </c>
      <c r="G6953" s="1" t="s">
        <v>26</v>
      </c>
      <c r="H6953" s="4" t="str">
        <f>HYPERLINK("https://www.ncbi.nlm.nih.gov/geo/query/acc.cgi?acc=GSM1511759","GSM1511759")</f>
        <v>GSM1511759</v>
      </c>
      <c r="I6953" t="s">
        <v>17</v>
      </c>
      <c r="J6953" t="s">
        <v>350</v>
      </c>
      <c r="K6953" t="s">
        <v>19</v>
      </c>
      <c r="L6953" t="s">
        <v>20</v>
      </c>
      <c r="M6953" t="s">
        <v>24</v>
      </c>
      <c r="N6953" t="s">
        <v>22</v>
      </c>
    </row>
    <row r="6954" spans="1:14">
      <c r="A6954" s="4" t="str">
        <f t="shared" si="641"/>
        <v>EXP00241</v>
      </c>
      <c r="B6954" s="4" t="str">
        <f t="shared" si="642"/>
        <v>26537449</v>
      </c>
      <c r="C6954" s="4" t="str">
        <f t="shared" si="643"/>
        <v>GSE61723</v>
      </c>
      <c r="D6954" s="1" t="s">
        <v>348</v>
      </c>
      <c r="E6954" t="s">
        <v>39</v>
      </c>
      <c r="F6954" s="1">
        <v>1</v>
      </c>
      <c r="G6954" s="1" t="s">
        <v>26</v>
      </c>
      <c r="H6954" s="4" t="str">
        <f>HYPERLINK("https://www.ncbi.nlm.nih.gov/geo/query/acc.cgi?acc=GSM1511765","GSM1511765")</f>
        <v>GSM1511765</v>
      </c>
      <c r="I6954" t="s">
        <v>17</v>
      </c>
      <c r="J6954" t="s">
        <v>350</v>
      </c>
      <c r="K6954" t="s">
        <v>19</v>
      </c>
      <c r="L6954" t="s">
        <v>20</v>
      </c>
      <c r="M6954" t="s">
        <v>24</v>
      </c>
      <c r="N6954" t="s">
        <v>22</v>
      </c>
    </row>
    <row r="6955" spans="1:14">
      <c r="A6955" s="4" t="str">
        <f t="shared" si="641"/>
        <v>EXP00241</v>
      </c>
      <c r="B6955" s="4" t="str">
        <f t="shared" si="642"/>
        <v>26537449</v>
      </c>
      <c r="C6955" s="4" t="str">
        <f t="shared" si="643"/>
        <v>GSE61723</v>
      </c>
      <c r="D6955" s="1" t="s">
        <v>348</v>
      </c>
      <c r="E6955" t="s">
        <v>39</v>
      </c>
      <c r="F6955" s="1">
        <v>1</v>
      </c>
      <c r="G6955" s="1" t="s">
        <v>26</v>
      </c>
      <c r="H6955" s="4" t="str">
        <f>HYPERLINK("https://www.ncbi.nlm.nih.gov/geo/query/acc.cgi?acc=GSM1511768","GSM1511768")</f>
        <v>GSM1511768</v>
      </c>
      <c r="I6955" t="s">
        <v>17</v>
      </c>
      <c r="J6955" t="s">
        <v>350</v>
      </c>
      <c r="K6955" t="s">
        <v>19</v>
      </c>
      <c r="L6955" t="s">
        <v>20</v>
      </c>
      <c r="M6955" t="s">
        <v>24</v>
      </c>
      <c r="N6955" t="s">
        <v>22</v>
      </c>
    </row>
    <row r="6956" spans="1:14">
      <c r="A6956" s="4" t="str">
        <f t="shared" si="641"/>
        <v>EXP00241</v>
      </c>
      <c r="B6956" s="4" t="str">
        <f t="shared" si="642"/>
        <v>26537449</v>
      </c>
      <c r="C6956" s="4" t="str">
        <f t="shared" si="643"/>
        <v>GSE61723</v>
      </c>
      <c r="D6956" s="1" t="s">
        <v>348</v>
      </c>
      <c r="E6956" t="s">
        <v>39</v>
      </c>
      <c r="F6956" s="1">
        <v>1</v>
      </c>
      <c r="G6956" s="1" t="s">
        <v>26</v>
      </c>
      <c r="H6956" s="4" t="str">
        <f>HYPERLINK("https://www.ncbi.nlm.nih.gov/geo/query/acc.cgi?acc=GSM1511771","GSM1511771")</f>
        <v>GSM1511771</v>
      </c>
      <c r="I6956" t="s">
        <v>17</v>
      </c>
      <c r="J6956" t="s">
        <v>350</v>
      </c>
      <c r="K6956" t="s">
        <v>19</v>
      </c>
      <c r="L6956" t="s">
        <v>20</v>
      </c>
      <c r="M6956" t="s">
        <v>24</v>
      </c>
      <c r="N6956" t="s">
        <v>22</v>
      </c>
    </row>
    <row r="6957" spans="1:14">
      <c r="A6957" s="4" t="str">
        <f t="shared" si="641"/>
        <v>EXP00241</v>
      </c>
      <c r="B6957" s="4" t="str">
        <f t="shared" si="642"/>
        <v>26537449</v>
      </c>
      <c r="C6957" s="4" t="str">
        <f t="shared" si="643"/>
        <v>GSE61723</v>
      </c>
      <c r="D6957" s="1" t="s">
        <v>348</v>
      </c>
      <c r="E6957" t="s">
        <v>39</v>
      </c>
      <c r="F6957" s="1">
        <v>1</v>
      </c>
      <c r="G6957" s="1" t="s">
        <v>26</v>
      </c>
      <c r="H6957" s="4" t="str">
        <f>HYPERLINK("https://www.ncbi.nlm.nih.gov/geo/query/acc.cgi?acc=GSM1511776","GSM1511776")</f>
        <v>GSM1511776</v>
      </c>
      <c r="I6957" t="s">
        <v>17</v>
      </c>
      <c r="J6957" t="s">
        <v>350</v>
      </c>
      <c r="K6957" t="s">
        <v>19</v>
      </c>
      <c r="L6957" t="s">
        <v>20</v>
      </c>
      <c r="M6957" t="s">
        <v>24</v>
      </c>
      <c r="N6957" t="s">
        <v>22</v>
      </c>
    </row>
    <row r="6958" spans="1:14">
      <c r="A6958" s="4" t="str">
        <f t="shared" si="641"/>
        <v>EXP00241</v>
      </c>
      <c r="B6958" s="4" t="str">
        <f t="shared" si="642"/>
        <v>26537449</v>
      </c>
      <c r="C6958" s="4" t="str">
        <f t="shared" si="643"/>
        <v>GSE61723</v>
      </c>
      <c r="D6958" s="1" t="s">
        <v>348</v>
      </c>
      <c r="E6958" t="s">
        <v>39</v>
      </c>
      <c r="F6958" s="1">
        <v>1</v>
      </c>
      <c r="G6958" s="1" t="s">
        <v>26</v>
      </c>
      <c r="H6958" s="4" t="str">
        <f>HYPERLINK("https://www.ncbi.nlm.nih.gov/geo/query/acc.cgi?acc=GSM1511783","GSM1511783")</f>
        <v>GSM1511783</v>
      </c>
      <c r="I6958" t="s">
        <v>17</v>
      </c>
      <c r="J6958" t="s">
        <v>350</v>
      </c>
      <c r="K6958" t="s">
        <v>19</v>
      </c>
      <c r="L6958" t="s">
        <v>20</v>
      </c>
      <c r="M6958" t="s">
        <v>24</v>
      </c>
      <c r="N6958" t="s">
        <v>22</v>
      </c>
    </row>
    <row r="6959" spans="1:14">
      <c r="A6959" s="4" t="str">
        <f t="shared" si="641"/>
        <v>EXP00241</v>
      </c>
      <c r="B6959" s="4" t="str">
        <f t="shared" si="642"/>
        <v>26537449</v>
      </c>
      <c r="C6959" s="4" t="str">
        <f t="shared" si="643"/>
        <v>GSE61723</v>
      </c>
      <c r="D6959" s="1" t="s">
        <v>348</v>
      </c>
      <c r="E6959" t="s">
        <v>39</v>
      </c>
      <c r="F6959" s="1">
        <v>1</v>
      </c>
      <c r="G6959" s="1" t="s">
        <v>26</v>
      </c>
      <c r="H6959" s="4" t="str">
        <f>HYPERLINK("https://www.ncbi.nlm.nih.gov/geo/query/acc.cgi?acc=GSM1511791","GSM1511791")</f>
        <v>GSM1511791</v>
      </c>
      <c r="I6959" t="s">
        <v>17</v>
      </c>
      <c r="J6959" t="s">
        <v>350</v>
      </c>
      <c r="K6959" t="s">
        <v>19</v>
      </c>
      <c r="L6959" t="s">
        <v>20</v>
      </c>
      <c r="M6959" t="s">
        <v>24</v>
      </c>
      <c r="N6959" t="s">
        <v>22</v>
      </c>
    </row>
    <row r="6960" spans="1:14">
      <c r="A6960" s="4" t="str">
        <f t="shared" si="641"/>
        <v>EXP00241</v>
      </c>
      <c r="B6960" s="4" t="str">
        <f t="shared" si="642"/>
        <v>26537449</v>
      </c>
      <c r="C6960" s="4" t="str">
        <f t="shared" si="643"/>
        <v>GSE61723</v>
      </c>
      <c r="D6960" s="1" t="s">
        <v>348</v>
      </c>
      <c r="E6960" t="s">
        <v>39</v>
      </c>
      <c r="F6960" s="1">
        <v>1</v>
      </c>
      <c r="G6960" s="1" t="s">
        <v>26</v>
      </c>
      <c r="H6960" s="4" t="str">
        <f>HYPERLINK("https://www.ncbi.nlm.nih.gov/geo/query/acc.cgi?acc=GSM1511793","GSM1511793")</f>
        <v>GSM1511793</v>
      </c>
      <c r="I6960" t="s">
        <v>17</v>
      </c>
      <c r="J6960" t="s">
        <v>350</v>
      </c>
      <c r="K6960" t="s">
        <v>19</v>
      </c>
      <c r="L6960" t="s">
        <v>20</v>
      </c>
      <c r="M6960" t="s">
        <v>24</v>
      </c>
      <c r="N6960" t="s">
        <v>22</v>
      </c>
    </row>
    <row r="6961" spans="1:14">
      <c r="A6961" s="4" t="str">
        <f t="shared" si="641"/>
        <v>EXP00241</v>
      </c>
      <c r="B6961" s="4" t="str">
        <f t="shared" si="642"/>
        <v>26537449</v>
      </c>
      <c r="C6961" s="4" t="str">
        <f t="shared" si="643"/>
        <v>GSE61723</v>
      </c>
      <c r="D6961" s="1" t="s">
        <v>348</v>
      </c>
      <c r="E6961" t="s">
        <v>39</v>
      </c>
      <c r="F6961" s="1">
        <v>1</v>
      </c>
      <c r="G6961" s="1" t="s">
        <v>26</v>
      </c>
      <c r="H6961" s="4" t="str">
        <f>HYPERLINK("https://www.ncbi.nlm.nih.gov/geo/query/acc.cgi?acc=GSM1511795","GSM1511795")</f>
        <v>GSM1511795</v>
      </c>
      <c r="I6961" t="s">
        <v>17</v>
      </c>
      <c r="J6961" t="s">
        <v>350</v>
      </c>
      <c r="K6961" t="s">
        <v>19</v>
      </c>
      <c r="L6961" t="s">
        <v>20</v>
      </c>
      <c r="M6961" t="s">
        <v>24</v>
      </c>
      <c r="N6961" t="s">
        <v>22</v>
      </c>
    </row>
    <row r="6962" spans="1:14">
      <c r="A6962" s="4" t="str">
        <f t="shared" si="641"/>
        <v>EXP00241</v>
      </c>
      <c r="B6962" s="4" t="str">
        <f t="shared" si="642"/>
        <v>26537449</v>
      </c>
      <c r="C6962" s="4" t="str">
        <f t="shared" si="643"/>
        <v>GSE61723</v>
      </c>
      <c r="D6962" s="1" t="s">
        <v>348</v>
      </c>
      <c r="E6962" t="s">
        <v>39</v>
      </c>
      <c r="F6962" s="1">
        <v>1</v>
      </c>
      <c r="G6962" s="1" t="s">
        <v>26</v>
      </c>
      <c r="H6962" s="4" t="str">
        <f>HYPERLINK("https://www.ncbi.nlm.nih.gov/geo/query/acc.cgi?acc=GSM1511798","GSM1511798")</f>
        <v>GSM1511798</v>
      </c>
      <c r="I6962" t="s">
        <v>17</v>
      </c>
      <c r="J6962" t="s">
        <v>350</v>
      </c>
      <c r="K6962" t="s">
        <v>19</v>
      </c>
      <c r="L6962" t="s">
        <v>20</v>
      </c>
      <c r="M6962" t="s">
        <v>24</v>
      </c>
      <c r="N6962" t="s">
        <v>22</v>
      </c>
    </row>
    <row r="6963" spans="1:14">
      <c r="A6963" s="4" t="str">
        <f t="shared" si="641"/>
        <v>EXP00241</v>
      </c>
      <c r="B6963" s="4" t="str">
        <f t="shared" si="642"/>
        <v>26537449</v>
      </c>
      <c r="C6963" s="4" t="str">
        <f t="shared" si="643"/>
        <v>GSE61723</v>
      </c>
      <c r="D6963" s="1" t="s">
        <v>348</v>
      </c>
      <c r="E6963" t="s">
        <v>39</v>
      </c>
      <c r="F6963" s="1">
        <v>1</v>
      </c>
      <c r="G6963" s="1" t="s">
        <v>26</v>
      </c>
      <c r="H6963" s="4" t="str">
        <f>HYPERLINK("https://www.ncbi.nlm.nih.gov/geo/query/acc.cgi?acc=GSM1511801","GSM1511801")</f>
        <v>GSM1511801</v>
      </c>
      <c r="I6963" t="s">
        <v>17</v>
      </c>
      <c r="J6963" t="s">
        <v>350</v>
      </c>
      <c r="K6963" t="s">
        <v>19</v>
      </c>
      <c r="L6963" t="s">
        <v>20</v>
      </c>
      <c r="M6963" t="s">
        <v>24</v>
      </c>
      <c r="N6963" t="s">
        <v>22</v>
      </c>
    </row>
    <row r="6964" spans="1:14">
      <c r="A6964" s="4" t="str">
        <f t="shared" si="641"/>
        <v>EXP00241</v>
      </c>
      <c r="B6964" s="4" t="str">
        <f t="shared" si="642"/>
        <v>26537449</v>
      </c>
      <c r="C6964" s="4" t="str">
        <f t="shared" si="643"/>
        <v>GSE61723</v>
      </c>
      <c r="D6964" s="1" t="s">
        <v>348</v>
      </c>
      <c r="E6964" t="s">
        <v>39</v>
      </c>
      <c r="F6964" s="1">
        <v>2</v>
      </c>
      <c r="G6964" s="1" t="s">
        <v>28</v>
      </c>
      <c r="H6964" s="4" t="str">
        <f>HYPERLINK("https://www.ncbi.nlm.nih.gov/geo/query/acc.cgi?acc=GSM1511741","GSM1511741")</f>
        <v>GSM1511741</v>
      </c>
      <c r="I6964" t="s">
        <v>17</v>
      </c>
      <c r="J6964" t="s">
        <v>349</v>
      </c>
      <c r="K6964" t="s">
        <v>19</v>
      </c>
      <c r="L6964" t="s">
        <v>20</v>
      </c>
      <c r="M6964" t="s">
        <v>24</v>
      </c>
      <c r="N6964" t="s">
        <v>29</v>
      </c>
    </row>
    <row r="6965" spans="1:14">
      <c r="A6965" s="4" t="str">
        <f t="shared" si="641"/>
        <v>EXP00241</v>
      </c>
      <c r="B6965" s="4" t="str">
        <f t="shared" si="642"/>
        <v>26537449</v>
      </c>
      <c r="C6965" s="4" t="str">
        <f t="shared" si="643"/>
        <v>GSE61723</v>
      </c>
      <c r="D6965" s="1" t="s">
        <v>348</v>
      </c>
      <c r="E6965" t="s">
        <v>39</v>
      </c>
      <c r="F6965" s="1">
        <v>2</v>
      </c>
      <c r="G6965" s="1" t="s">
        <v>28</v>
      </c>
      <c r="H6965" s="4" t="str">
        <f>HYPERLINK("https://www.ncbi.nlm.nih.gov/geo/query/acc.cgi?acc=GSM1511743","GSM1511743")</f>
        <v>GSM1511743</v>
      </c>
      <c r="I6965" t="s">
        <v>17</v>
      </c>
      <c r="J6965" t="s">
        <v>350</v>
      </c>
      <c r="K6965" t="s">
        <v>19</v>
      </c>
      <c r="L6965" t="s">
        <v>20</v>
      </c>
      <c r="M6965" t="s">
        <v>24</v>
      </c>
      <c r="N6965" t="s">
        <v>29</v>
      </c>
    </row>
    <row r="6966" spans="1:14">
      <c r="A6966" s="4" t="str">
        <f t="shared" si="641"/>
        <v>EXP00241</v>
      </c>
      <c r="B6966" s="4" t="str">
        <f t="shared" si="642"/>
        <v>26537449</v>
      </c>
      <c r="C6966" s="4" t="str">
        <f t="shared" si="643"/>
        <v>GSE61723</v>
      </c>
      <c r="D6966" s="1" t="s">
        <v>348</v>
      </c>
      <c r="E6966" t="s">
        <v>39</v>
      </c>
      <c r="F6966" s="1">
        <v>2</v>
      </c>
      <c r="G6966" s="1" t="s">
        <v>28</v>
      </c>
      <c r="H6966" s="4" t="str">
        <f>HYPERLINK("https://www.ncbi.nlm.nih.gov/geo/query/acc.cgi?acc=GSM1511748","GSM1511748")</f>
        <v>GSM1511748</v>
      </c>
      <c r="I6966" t="s">
        <v>17</v>
      </c>
      <c r="J6966" t="s">
        <v>350</v>
      </c>
      <c r="K6966" t="s">
        <v>19</v>
      </c>
      <c r="L6966" t="s">
        <v>20</v>
      </c>
      <c r="M6966" t="s">
        <v>24</v>
      </c>
      <c r="N6966" t="s">
        <v>29</v>
      </c>
    </row>
    <row r="6967" spans="1:14">
      <c r="A6967" s="4" t="str">
        <f t="shared" si="641"/>
        <v>EXP00241</v>
      </c>
      <c r="B6967" s="4" t="str">
        <f t="shared" si="642"/>
        <v>26537449</v>
      </c>
      <c r="C6967" s="4" t="str">
        <f t="shared" si="643"/>
        <v>GSE61723</v>
      </c>
      <c r="D6967" s="1" t="s">
        <v>348</v>
      </c>
      <c r="E6967" t="s">
        <v>39</v>
      </c>
      <c r="F6967" s="1">
        <v>2</v>
      </c>
      <c r="G6967" s="1" t="s">
        <v>28</v>
      </c>
      <c r="H6967" s="4" t="str">
        <f>HYPERLINK("https://www.ncbi.nlm.nih.gov/geo/query/acc.cgi?acc=GSM1511753","GSM1511753")</f>
        <v>GSM1511753</v>
      </c>
      <c r="I6967" t="s">
        <v>17</v>
      </c>
      <c r="J6967" t="s">
        <v>350</v>
      </c>
      <c r="K6967" t="s">
        <v>19</v>
      </c>
      <c r="L6967" t="s">
        <v>20</v>
      </c>
      <c r="M6967" t="s">
        <v>24</v>
      </c>
      <c r="N6967" t="s">
        <v>29</v>
      </c>
    </row>
    <row r="6968" spans="1:14">
      <c r="A6968" s="4" t="str">
        <f t="shared" si="641"/>
        <v>EXP00241</v>
      </c>
      <c r="B6968" s="4" t="str">
        <f t="shared" si="642"/>
        <v>26537449</v>
      </c>
      <c r="C6968" s="4" t="str">
        <f t="shared" si="643"/>
        <v>GSE61723</v>
      </c>
      <c r="D6968" s="1" t="s">
        <v>348</v>
      </c>
      <c r="E6968" t="s">
        <v>39</v>
      </c>
      <c r="F6968" s="1">
        <v>2</v>
      </c>
      <c r="G6968" s="1" t="s">
        <v>28</v>
      </c>
      <c r="H6968" s="4" t="str">
        <f>HYPERLINK("https://www.ncbi.nlm.nih.gov/geo/query/acc.cgi?acc=GSM1511758","GSM1511758")</f>
        <v>GSM1511758</v>
      </c>
      <c r="I6968" t="s">
        <v>17</v>
      </c>
      <c r="J6968" t="s">
        <v>350</v>
      </c>
      <c r="K6968" t="s">
        <v>19</v>
      </c>
      <c r="L6968" t="s">
        <v>20</v>
      </c>
      <c r="M6968" t="s">
        <v>24</v>
      </c>
      <c r="N6968" t="s">
        <v>29</v>
      </c>
    </row>
    <row r="6969" spans="1:14">
      <c r="A6969" s="4" t="str">
        <f t="shared" si="641"/>
        <v>EXP00241</v>
      </c>
      <c r="B6969" s="4" t="str">
        <f t="shared" si="642"/>
        <v>26537449</v>
      </c>
      <c r="C6969" s="4" t="str">
        <f t="shared" si="643"/>
        <v>GSE61723</v>
      </c>
      <c r="D6969" s="1" t="s">
        <v>348</v>
      </c>
      <c r="E6969" t="s">
        <v>39</v>
      </c>
      <c r="F6969" s="1">
        <v>2</v>
      </c>
      <c r="G6969" s="1" t="s">
        <v>28</v>
      </c>
      <c r="H6969" s="4" t="str">
        <f>HYPERLINK("https://www.ncbi.nlm.nih.gov/geo/query/acc.cgi?acc=GSM1511764","GSM1511764")</f>
        <v>GSM1511764</v>
      </c>
      <c r="I6969" t="s">
        <v>17</v>
      </c>
      <c r="J6969" t="s">
        <v>350</v>
      </c>
      <c r="K6969" t="s">
        <v>19</v>
      </c>
      <c r="L6969" t="s">
        <v>20</v>
      </c>
      <c r="M6969" t="s">
        <v>24</v>
      </c>
      <c r="N6969" t="s">
        <v>29</v>
      </c>
    </row>
    <row r="6970" spans="1:14">
      <c r="A6970" s="4" t="str">
        <f t="shared" si="641"/>
        <v>EXP00241</v>
      </c>
      <c r="B6970" s="4" t="str">
        <f t="shared" si="642"/>
        <v>26537449</v>
      </c>
      <c r="C6970" s="4" t="str">
        <f t="shared" si="643"/>
        <v>GSE61723</v>
      </c>
      <c r="D6970" s="1" t="s">
        <v>348</v>
      </c>
      <c r="E6970" t="s">
        <v>39</v>
      </c>
      <c r="F6970" s="1">
        <v>2</v>
      </c>
      <c r="G6970" s="1" t="s">
        <v>28</v>
      </c>
      <c r="H6970" s="4" t="str">
        <f>HYPERLINK("https://www.ncbi.nlm.nih.gov/geo/query/acc.cgi?acc=GSM1511767","GSM1511767")</f>
        <v>GSM1511767</v>
      </c>
      <c r="I6970" t="s">
        <v>17</v>
      </c>
      <c r="J6970" t="s">
        <v>350</v>
      </c>
      <c r="K6970" t="s">
        <v>19</v>
      </c>
      <c r="L6970" t="s">
        <v>20</v>
      </c>
      <c r="M6970" t="s">
        <v>24</v>
      </c>
      <c r="N6970" t="s">
        <v>29</v>
      </c>
    </row>
    <row r="6971" spans="1:14">
      <c r="A6971" s="4" t="str">
        <f t="shared" si="641"/>
        <v>EXP00241</v>
      </c>
      <c r="B6971" s="4" t="str">
        <f t="shared" si="642"/>
        <v>26537449</v>
      </c>
      <c r="C6971" s="4" t="str">
        <f t="shared" si="643"/>
        <v>GSE61723</v>
      </c>
      <c r="D6971" s="1" t="s">
        <v>348</v>
      </c>
      <c r="E6971" t="s">
        <v>39</v>
      </c>
      <c r="F6971" s="1">
        <v>2</v>
      </c>
      <c r="G6971" s="1" t="s">
        <v>28</v>
      </c>
      <c r="H6971" s="4" t="str">
        <f>HYPERLINK("https://www.ncbi.nlm.nih.gov/geo/query/acc.cgi?acc=GSM1511770","GSM1511770")</f>
        <v>GSM1511770</v>
      </c>
      <c r="I6971" t="s">
        <v>17</v>
      </c>
      <c r="J6971" t="s">
        <v>350</v>
      </c>
      <c r="K6971" t="s">
        <v>19</v>
      </c>
      <c r="L6971" t="s">
        <v>20</v>
      </c>
      <c r="M6971" t="s">
        <v>24</v>
      </c>
      <c r="N6971" t="s">
        <v>29</v>
      </c>
    </row>
    <row r="6972" spans="1:14">
      <c r="A6972" s="4" t="str">
        <f t="shared" si="641"/>
        <v>EXP00241</v>
      </c>
      <c r="B6972" s="4" t="str">
        <f t="shared" si="642"/>
        <v>26537449</v>
      </c>
      <c r="C6972" s="4" t="str">
        <f t="shared" si="643"/>
        <v>GSE61723</v>
      </c>
      <c r="D6972" s="1" t="s">
        <v>348</v>
      </c>
      <c r="E6972" t="s">
        <v>39</v>
      </c>
      <c r="F6972" s="1">
        <v>2</v>
      </c>
      <c r="G6972" s="1" t="s">
        <v>28</v>
      </c>
      <c r="H6972" s="4" t="str">
        <f>HYPERLINK("https://www.ncbi.nlm.nih.gov/geo/query/acc.cgi?acc=GSM1511775","GSM1511775")</f>
        <v>GSM1511775</v>
      </c>
      <c r="I6972" t="s">
        <v>17</v>
      </c>
      <c r="J6972" t="s">
        <v>350</v>
      </c>
      <c r="K6972" t="s">
        <v>19</v>
      </c>
      <c r="L6972" t="s">
        <v>20</v>
      </c>
      <c r="M6972" t="s">
        <v>24</v>
      </c>
      <c r="N6972" t="s">
        <v>29</v>
      </c>
    </row>
    <row r="6973" spans="1:14">
      <c r="A6973" s="4" t="str">
        <f t="shared" si="641"/>
        <v>EXP00241</v>
      </c>
      <c r="B6973" s="4" t="str">
        <f t="shared" si="642"/>
        <v>26537449</v>
      </c>
      <c r="C6973" s="4" t="str">
        <f t="shared" si="643"/>
        <v>GSE61723</v>
      </c>
      <c r="D6973" s="1" t="s">
        <v>348</v>
      </c>
      <c r="E6973" t="s">
        <v>39</v>
      </c>
      <c r="F6973" s="1">
        <v>2</v>
      </c>
      <c r="G6973" s="1" t="s">
        <v>28</v>
      </c>
      <c r="H6973" s="4" t="str">
        <f>HYPERLINK("https://www.ncbi.nlm.nih.gov/geo/query/acc.cgi?acc=GSM1511782","GSM1511782")</f>
        <v>GSM1511782</v>
      </c>
      <c r="I6973" t="s">
        <v>17</v>
      </c>
      <c r="J6973" t="s">
        <v>350</v>
      </c>
      <c r="K6973" t="s">
        <v>19</v>
      </c>
      <c r="L6973" t="s">
        <v>20</v>
      </c>
      <c r="M6973" t="s">
        <v>24</v>
      </c>
      <c r="N6973" t="s">
        <v>29</v>
      </c>
    </row>
    <row r="6974" spans="1:14">
      <c r="A6974" s="4" t="str">
        <f t="shared" si="641"/>
        <v>EXP00241</v>
      </c>
      <c r="B6974" s="4" t="str">
        <f t="shared" si="642"/>
        <v>26537449</v>
      </c>
      <c r="C6974" s="4" t="str">
        <f t="shared" si="643"/>
        <v>GSE61723</v>
      </c>
      <c r="D6974" s="1" t="s">
        <v>348</v>
      </c>
      <c r="E6974" t="s">
        <v>39</v>
      </c>
      <c r="F6974" s="1">
        <v>2</v>
      </c>
      <c r="G6974" s="1" t="s">
        <v>28</v>
      </c>
      <c r="H6974" s="4" t="str">
        <f>HYPERLINK("https://www.ncbi.nlm.nih.gov/geo/query/acc.cgi?acc=GSM1511790","GSM1511790")</f>
        <v>GSM1511790</v>
      </c>
      <c r="I6974" t="s">
        <v>17</v>
      </c>
      <c r="J6974" t="s">
        <v>350</v>
      </c>
      <c r="K6974" t="s">
        <v>19</v>
      </c>
      <c r="L6974" t="s">
        <v>20</v>
      </c>
      <c r="M6974" t="s">
        <v>24</v>
      </c>
      <c r="N6974" t="s">
        <v>29</v>
      </c>
    </row>
    <row r="6975" spans="1:14">
      <c r="A6975" s="4" t="str">
        <f t="shared" si="641"/>
        <v>EXP00241</v>
      </c>
      <c r="B6975" s="4" t="str">
        <f t="shared" si="642"/>
        <v>26537449</v>
      </c>
      <c r="C6975" s="4" t="str">
        <f t="shared" si="643"/>
        <v>GSE61723</v>
      </c>
      <c r="D6975" s="1" t="s">
        <v>348</v>
      </c>
      <c r="E6975" t="s">
        <v>39</v>
      </c>
      <c r="F6975" s="1">
        <v>2</v>
      </c>
      <c r="G6975" s="1" t="s">
        <v>28</v>
      </c>
      <c r="H6975" s="4" t="str">
        <f>HYPERLINK("https://www.ncbi.nlm.nih.gov/geo/query/acc.cgi?acc=GSM1511794","GSM1511794")</f>
        <v>GSM1511794</v>
      </c>
      <c r="I6975" t="s">
        <v>17</v>
      </c>
      <c r="J6975" t="s">
        <v>350</v>
      </c>
      <c r="K6975" t="s">
        <v>19</v>
      </c>
      <c r="L6975" t="s">
        <v>20</v>
      </c>
      <c r="M6975" t="s">
        <v>24</v>
      </c>
      <c r="N6975" t="s">
        <v>29</v>
      </c>
    </row>
    <row r="6976" spans="1:14">
      <c r="A6976" s="4" t="str">
        <f t="shared" si="641"/>
        <v>EXP00241</v>
      </c>
      <c r="B6976" s="4" t="str">
        <f t="shared" si="642"/>
        <v>26537449</v>
      </c>
      <c r="C6976" s="4" t="str">
        <f t="shared" si="643"/>
        <v>GSE61723</v>
      </c>
      <c r="D6976" s="1" t="s">
        <v>348</v>
      </c>
      <c r="E6976" t="s">
        <v>39</v>
      </c>
      <c r="F6976" s="1">
        <v>2</v>
      </c>
      <c r="G6976" s="1" t="s">
        <v>28</v>
      </c>
      <c r="H6976" s="4" t="str">
        <f>HYPERLINK("https://www.ncbi.nlm.nih.gov/geo/query/acc.cgi?acc=GSM1511797","GSM1511797")</f>
        <v>GSM1511797</v>
      </c>
      <c r="I6976" t="s">
        <v>17</v>
      </c>
      <c r="J6976" t="s">
        <v>350</v>
      </c>
      <c r="K6976" t="s">
        <v>19</v>
      </c>
      <c r="L6976" t="s">
        <v>20</v>
      </c>
      <c r="M6976" t="s">
        <v>24</v>
      </c>
      <c r="N6976" t="s">
        <v>29</v>
      </c>
    </row>
    <row r="6977" spans="1:14">
      <c r="A6977" s="4" t="str">
        <f t="shared" ref="A6977:A6997" si="644">HYPERLINK("http://hcmdb.i-sanger.com/experiment/details/experiment_id/EXP00242","EXP00242")</f>
        <v>EXP00242</v>
      </c>
      <c r="B6977" s="4" t="str">
        <f t="shared" si="642"/>
        <v>26537449</v>
      </c>
      <c r="C6977" s="4" t="str">
        <f t="shared" si="643"/>
        <v>GSE61723</v>
      </c>
      <c r="D6977" s="1" t="s">
        <v>348</v>
      </c>
      <c r="E6977" t="s">
        <v>351</v>
      </c>
      <c r="F6977" s="1">
        <v>1</v>
      </c>
      <c r="G6977" s="1" t="s">
        <v>36</v>
      </c>
      <c r="H6977" s="4" t="str">
        <f>HYPERLINK("https://www.ncbi.nlm.nih.gov/geo/query/acc.cgi?acc=GSM1511745","GSM1511745")</f>
        <v>GSM1511745</v>
      </c>
      <c r="I6977" t="s">
        <v>17</v>
      </c>
      <c r="J6977" t="s">
        <v>350</v>
      </c>
      <c r="K6977" t="s">
        <v>19</v>
      </c>
      <c r="L6977" t="s">
        <v>20</v>
      </c>
      <c r="M6977" t="s">
        <v>24</v>
      </c>
      <c r="N6977" t="s">
        <v>37</v>
      </c>
    </row>
    <row r="6978" spans="1:14">
      <c r="A6978" s="4" t="str">
        <f t="shared" si="644"/>
        <v>EXP00242</v>
      </c>
      <c r="B6978" s="4" t="str">
        <f t="shared" si="642"/>
        <v>26537449</v>
      </c>
      <c r="C6978" s="4" t="str">
        <f t="shared" si="643"/>
        <v>GSE61723</v>
      </c>
      <c r="D6978" s="1" t="s">
        <v>348</v>
      </c>
      <c r="E6978" t="s">
        <v>351</v>
      </c>
      <c r="F6978" s="1">
        <v>1</v>
      </c>
      <c r="G6978" s="1" t="s">
        <v>36</v>
      </c>
      <c r="H6978" s="4" t="str">
        <f>HYPERLINK("https://www.ncbi.nlm.nih.gov/geo/query/acc.cgi?acc=GSM1511750","GSM1511750")</f>
        <v>GSM1511750</v>
      </c>
      <c r="I6978" t="s">
        <v>17</v>
      </c>
      <c r="J6978" t="s">
        <v>350</v>
      </c>
      <c r="K6978" t="s">
        <v>19</v>
      </c>
      <c r="L6978" t="s">
        <v>20</v>
      </c>
      <c r="M6978" t="s">
        <v>24</v>
      </c>
      <c r="N6978" t="s">
        <v>37</v>
      </c>
    </row>
    <row r="6979" spans="1:14">
      <c r="A6979" s="4" t="str">
        <f t="shared" si="644"/>
        <v>EXP00242</v>
      </c>
      <c r="B6979" s="4" t="str">
        <f t="shared" si="642"/>
        <v>26537449</v>
      </c>
      <c r="C6979" s="4" t="str">
        <f t="shared" si="643"/>
        <v>GSE61723</v>
      </c>
      <c r="D6979" s="1" t="s">
        <v>348</v>
      </c>
      <c r="E6979" t="s">
        <v>351</v>
      </c>
      <c r="F6979" s="1">
        <v>1</v>
      </c>
      <c r="G6979" s="1" t="s">
        <v>36</v>
      </c>
      <c r="H6979" s="4" t="str">
        <f>HYPERLINK("https://www.ncbi.nlm.nih.gov/geo/query/acc.cgi?acc=GSM1511755","GSM1511755")</f>
        <v>GSM1511755</v>
      </c>
      <c r="I6979" t="s">
        <v>17</v>
      </c>
      <c r="J6979" t="s">
        <v>350</v>
      </c>
      <c r="K6979" t="s">
        <v>19</v>
      </c>
      <c r="L6979" t="s">
        <v>20</v>
      </c>
      <c r="M6979" t="s">
        <v>24</v>
      </c>
      <c r="N6979" t="s">
        <v>37</v>
      </c>
    </row>
    <row r="6980" spans="1:14">
      <c r="A6980" s="4" t="str">
        <f t="shared" si="644"/>
        <v>EXP00242</v>
      </c>
      <c r="B6980" s="4" t="str">
        <f t="shared" si="642"/>
        <v>26537449</v>
      </c>
      <c r="C6980" s="4" t="str">
        <f t="shared" si="643"/>
        <v>GSE61723</v>
      </c>
      <c r="D6980" s="1" t="s">
        <v>348</v>
      </c>
      <c r="E6980" t="s">
        <v>351</v>
      </c>
      <c r="F6980" s="1">
        <v>1</v>
      </c>
      <c r="G6980" s="1" t="s">
        <v>36</v>
      </c>
      <c r="H6980" s="4" t="str">
        <f>HYPERLINK("https://www.ncbi.nlm.nih.gov/geo/query/acc.cgi?acc=GSM1511760","GSM1511760")</f>
        <v>GSM1511760</v>
      </c>
      <c r="I6980" t="s">
        <v>17</v>
      </c>
      <c r="J6980" t="s">
        <v>350</v>
      </c>
      <c r="K6980" t="s">
        <v>19</v>
      </c>
      <c r="L6980" t="s">
        <v>20</v>
      </c>
      <c r="M6980" t="s">
        <v>24</v>
      </c>
      <c r="N6980" t="s">
        <v>37</v>
      </c>
    </row>
    <row r="6981" spans="1:14">
      <c r="A6981" s="4" t="str">
        <f t="shared" si="644"/>
        <v>EXP00242</v>
      </c>
      <c r="B6981" s="4" t="str">
        <f t="shared" si="642"/>
        <v>26537449</v>
      </c>
      <c r="C6981" s="4" t="str">
        <f t="shared" si="643"/>
        <v>GSE61723</v>
      </c>
      <c r="D6981" s="1" t="s">
        <v>348</v>
      </c>
      <c r="E6981" t="s">
        <v>351</v>
      </c>
      <c r="F6981" s="1">
        <v>1</v>
      </c>
      <c r="G6981" s="1" t="s">
        <v>36</v>
      </c>
      <c r="H6981" s="4" t="str">
        <f>HYPERLINK("https://www.ncbi.nlm.nih.gov/geo/query/acc.cgi?acc=GSM1511772","GSM1511772")</f>
        <v>GSM1511772</v>
      </c>
      <c r="I6981" t="s">
        <v>17</v>
      </c>
      <c r="J6981" t="s">
        <v>350</v>
      </c>
      <c r="K6981" t="s">
        <v>19</v>
      </c>
      <c r="L6981" t="s">
        <v>20</v>
      </c>
      <c r="M6981" t="s">
        <v>24</v>
      </c>
      <c r="N6981" t="s">
        <v>37</v>
      </c>
    </row>
    <row r="6982" spans="1:14">
      <c r="A6982" s="4" t="str">
        <f t="shared" si="644"/>
        <v>EXP00242</v>
      </c>
      <c r="B6982" s="4" t="str">
        <f t="shared" si="642"/>
        <v>26537449</v>
      </c>
      <c r="C6982" s="4" t="str">
        <f t="shared" si="643"/>
        <v>GSE61723</v>
      </c>
      <c r="D6982" s="1" t="s">
        <v>348</v>
      </c>
      <c r="E6982" t="s">
        <v>351</v>
      </c>
      <c r="F6982" s="1">
        <v>1</v>
      </c>
      <c r="G6982" s="1" t="s">
        <v>36</v>
      </c>
      <c r="H6982" s="4" t="str">
        <f>HYPERLINK("https://www.ncbi.nlm.nih.gov/geo/query/acc.cgi?acc=GSM1511792","GSM1511792")</f>
        <v>GSM1511792</v>
      </c>
      <c r="I6982" t="s">
        <v>17</v>
      </c>
      <c r="J6982" t="s">
        <v>350</v>
      </c>
      <c r="K6982" t="s">
        <v>19</v>
      </c>
      <c r="L6982" t="s">
        <v>20</v>
      </c>
      <c r="M6982" t="s">
        <v>24</v>
      </c>
      <c r="N6982" t="s">
        <v>37</v>
      </c>
    </row>
    <row r="6983" spans="1:14">
      <c r="A6983" s="4" t="str">
        <f t="shared" si="644"/>
        <v>EXP00242</v>
      </c>
      <c r="B6983" s="4" t="str">
        <f t="shared" si="642"/>
        <v>26537449</v>
      </c>
      <c r="C6983" s="4" t="str">
        <f t="shared" si="643"/>
        <v>GSE61723</v>
      </c>
      <c r="D6983" s="1" t="s">
        <v>348</v>
      </c>
      <c r="E6983" t="s">
        <v>351</v>
      </c>
      <c r="F6983" s="1">
        <v>1</v>
      </c>
      <c r="G6983" s="1" t="s">
        <v>36</v>
      </c>
      <c r="H6983" s="4" t="str">
        <f>HYPERLINK("https://www.ncbi.nlm.nih.gov/geo/query/acc.cgi?acc=GSM1511796","GSM1511796")</f>
        <v>GSM1511796</v>
      </c>
      <c r="I6983" t="s">
        <v>17</v>
      </c>
      <c r="J6983" t="s">
        <v>350</v>
      </c>
      <c r="K6983" t="s">
        <v>19</v>
      </c>
      <c r="L6983" t="s">
        <v>20</v>
      </c>
      <c r="M6983" t="s">
        <v>24</v>
      </c>
      <c r="N6983" t="s">
        <v>37</v>
      </c>
    </row>
    <row r="6984" spans="1:14">
      <c r="A6984" s="4" t="str">
        <f t="shared" si="644"/>
        <v>EXP00242</v>
      </c>
      <c r="B6984" s="4" t="str">
        <f t="shared" si="642"/>
        <v>26537449</v>
      </c>
      <c r="C6984" s="4" t="str">
        <f t="shared" si="643"/>
        <v>GSE61723</v>
      </c>
      <c r="D6984" s="1" t="s">
        <v>348</v>
      </c>
      <c r="E6984" t="s">
        <v>351</v>
      </c>
      <c r="F6984" s="1">
        <v>1</v>
      </c>
      <c r="G6984" s="1" t="s">
        <v>36</v>
      </c>
      <c r="H6984" s="4" t="str">
        <f>HYPERLINK("https://www.ncbi.nlm.nih.gov/geo/query/acc.cgi?acc=GSM1511799","GSM1511799")</f>
        <v>GSM1511799</v>
      </c>
      <c r="I6984" t="s">
        <v>17</v>
      </c>
      <c r="J6984" t="s">
        <v>350</v>
      </c>
      <c r="K6984" t="s">
        <v>19</v>
      </c>
      <c r="L6984" t="s">
        <v>20</v>
      </c>
      <c r="M6984" t="s">
        <v>24</v>
      </c>
      <c r="N6984" t="s">
        <v>37</v>
      </c>
    </row>
    <row r="6985" spans="1:14">
      <c r="A6985" s="4" t="str">
        <f t="shared" si="644"/>
        <v>EXP00242</v>
      </c>
      <c r="B6985" s="4" t="str">
        <f t="shared" si="642"/>
        <v>26537449</v>
      </c>
      <c r="C6985" s="4" t="str">
        <f t="shared" si="643"/>
        <v>GSE61723</v>
      </c>
      <c r="D6985" s="1" t="s">
        <v>348</v>
      </c>
      <c r="E6985" t="s">
        <v>351</v>
      </c>
      <c r="F6985" s="1">
        <v>2</v>
      </c>
      <c r="G6985" s="1" t="s">
        <v>28</v>
      </c>
      <c r="H6985" s="4" t="str">
        <f>HYPERLINK("https://www.ncbi.nlm.nih.gov/geo/query/acc.cgi?acc=GSM1511741","GSM1511741")</f>
        <v>GSM1511741</v>
      </c>
      <c r="I6985" t="s">
        <v>17</v>
      </c>
      <c r="J6985" t="s">
        <v>349</v>
      </c>
      <c r="K6985" t="s">
        <v>19</v>
      </c>
      <c r="L6985" t="s">
        <v>20</v>
      </c>
      <c r="M6985" t="s">
        <v>24</v>
      </c>
      <c r="N6985" t="s">
        <v>29</v>
      </c>
    </row>
    <row r="6986" spans="1:14">
      <c r="A6986" s="4" t="str">
        <f t="shared" si="644"/>
        <v>EXP00242</v>
      </c>
      <c r="B6986" s="4" t="str">
        <f t="shared" si="642"/>
        <v>26537449</v>
      </c>
      <c r="C6986" s="4" t="str">
        <f t="shared" si="643"/>
        <v>GSE61723</v>
      </c>
      <c r="D6986" s="1" t="s">
        <v>348</v>
      </c>
      <c r="E6986" t="s">
        <v>351</v>
      </c>
      <c r="F6986" s="1">
        <v>2</v>
      </c>
      <c r="G6986" s="1" t="s">
        <v>28</v>
      </c>
      <c r="H6986" s="4" t="str">
        <f>HYPERLINK("https://www.ncbi.nlm.nih.gov/geo/query/acc.cgi?acc=GSM1511743","GSM1511743")</f>
        <v>GSM1511743</v>
      </c>
      <c r="I6986" t="s">
        <v>17</v>
      </c>
      <c r="J6986" t="s">
        <v>350</v>
      </c>
      <c r="K6986" t="s">
        <v>19</v>
      </c>
      <c r="L6986" t="s">
        <v>20</v>
      </c>
      <c r="M6986" t="s">
        <v>24</v>
      </c>
      <c r="N6986" t="s">
        <v>29</v>
      </c>
    </row>
    <row r="6987" spans="1:14">
      <c r="A6987" s="4" t="str">
        <f t="shared" si="644"/>
        <v>EXP00242</v>
      </c>
      <c r="B6987" s="4" t="str">
        <f t="shared" si="642"/>
        <v>26537449</v>
      </c>
      <c r="C6987" s="4" t="str">
        <f t="shared" si="643"/>
        <v>GSE61723</v>
      </c>
      <c r="D6987" s="1" t="s">
        <v>348</v>
      </c>
      <c r="E6987" t="s">
        <v>351</v>
      </c>
      <c r="F6987" s="1">
        <v>2</v>
      </c>
      <c r="G6987" s="1" t="s">
        <v>28</v>
      </c>
      <c r="H6987" s="4" t="str">
        <f>HYPERLINK("https://www.ncbi.nlm.nih.gov/geo/query/acc.cgi?acc=GSM1511748","GSM1511748")</f>
        <v>GSM1511748</v>
      </c>
      <c r="I6987" t="s">
        <v>17</v>
      </c>
      <c r="J6987" t="s">
        <v>350</v>
      </c>
      <c r="K6987" t="s">
        <v>19</v>
      </c>
      <c r="L6987" t="s">
        <v>20</v>
      </c>
      <c r="M6987" t="s">
        <v>24</v>
      </c>
      <c r="N6987" t="s">
        <v>29</v>
      </c>
    </row>
    <row r="6988" spans="1:14">
      <c r="A6988" s="4" t="str">
        <f t="shared" si="644"/>
        <v>EXP00242</v>
      </c>
      <c r="B6988" s="4" t="str">
        <f t="shared" si="642"/>
        <v>26537449</v>
      </c>
      <c r="C6988" s="4" t="str">
        <f t="shared" si="643"/>
        <v>GSE61723</v>
      </c>
      <c r="D6988" s="1" t="s">
        <v>348</v>
      </c>
      <c r="E6988" t="s">
        <v>351</v>
      </c>
      <c r="F6988" s="1">
        <v>2</v>
      </c>
      <c r="G6988" s="1" t="s">
        <v>28</v>
      </c>
      <c r="H6988" s="4" t="str">
        <f>HYPERLINK("https://www.ncbi.nlm.nih.gov/geo/query/acc.cgi?acc=GSM1511753","GSM1511753")</f>
        <v>GSM1511753</v>
      </c>
      <c r="I6988" t="s">
        <v>17</v>
      </c>
      <c r="J6988" t="s">
        <v>350</v>
      </c>
      <c r="K6988" t="s">
        <v>19</v>
      </c>
      <c r="L6988" t="s">
        <v>20</v>
      </c>
      <c r="M6988" t="s">
        <v>24</v>
      </c>
      <c r="N6988" t="s">
        <v>29</v>
      </c>
    </row>
    <row r="6989" spans="1:14">
      <c r="A6989" s="4" t="str">
        <f t="shared" si="644"/>
        <v>EXP00242</v>
      </c>
      <c r="B6989" s="4" t="str">
        <f t="shared" si="642"/>
        <v>26537449</v>
      </c>
      <c r="C6989" s="4" t="str">
        <f t="shared" si="643"/>
        <v>GSE61723</v>
      </c>
      <c r="D6989" s="1" t="s">
        <v>348</v>
      </c>
      <c r="E6989" t="s">
        <v>351</v>
      </c>
      <c r="F6989" s="1">
        <v>2</v>
      </c>
      <c r="G6989" s="1" t="s">
        <v>28</v>
      </c>
      <c r="H6989" s="4" t="str">
        <f>HYPERLINK("https://www.ncbi.nlm.nih.gov/geo/query/acc.cgi?acc=GSM1511758","GSM1511758")</f>
        <v>GSM1511758</v>
      </c>
      <c r="I6989" t="s">
        <v>17</v>
      </c>
      <c r="J6989" t="s">
        <v>350</v>
      </c>
      <c r="K6989" t="s">
        <v>19</v>
      </c>
      <c r="L6989" t="s">
        <v>20</v>
      </c>
      <c r="M6989" t="s">
        <v>24</v>
      </c>
      <c r="N6989" t="s">
        <v>29</v>
      </c>
    </row>
    <row r="6990" spans="1:14">
      <c r="A6990" s="4" t="str">
        <f t="shared" si="644"/>
        <v>EXP00242</v>
      </c>
      <c r="B6990" s="4" t="str">
        <f t="shared" si="642"/>
        <v>26537449</v>
      </c>
      <c r="C6990" s="4" t="str">
        <f t="shared" si="643"/>
        <v>GSE61723</v>
      </c>
      <c r="D6990" s="1" t="s">
        <v>348</v>
      </c>
      <c r="E6990" t="s">
        <v>351</v>
      </c>
      <c r="F6990" s="1">
        <v>2</v>
      </c>
      <c r="G6990" s="1" t="s">
        <v>28</v>
      </c>
      <c r="H6990" s="4" t="str">
        <f>HYPERLINK("https://www.ncbi.nlm.nih.gov/geo/query/acc.cgi?acc=GSM1511764","GSM1511764")</f>
        <v>GSM1511764</v>
      </c>
      <c r="I6990" t="s">
        <v>17</v>
      </c>
      <c r="J6990" t="s">
        <v>350</v>
      </c>
      <c r="K6990" t="s">
        <v>19</v>
      </c>
      <c r="L6990" t="s">
        <v>20</v>
      </c>
      <c r="M6990" t="s">
        <v>24</v>
      </c>
      <c r="N6990" t="s">
        <v>29</v>
      </c>
    </row>
    <row r="6991" spans="1:14">
      <c r="A6991" s="4" t="str">
        <f t="shared" si="644"/>
        <v>EXP00242</v>
      </c>
      <c r="B6991" s="4" t="str">
        <f t="shared" si="642"/>
        <v>26537449</v>
      </c>
      <c r="C6991" s="4" t="str">
        <f t="shared" si="643"/>
        <v>GSE61723</v>
      </c>
      <c r="D6991" s="1" t="s">
        <v>348</v>
      </c>
      <c r="E6991" t="s">
        <v>351</v>
      </c>
      <c r="F6991" s="1">
        <v>2</v>
      </c>
      <c r="G6991" s="1" t="s">
        <v>28</v>
      </c>
      <c r="H6991" s="4" t="str">
        <f>HYPERLINK("https://www.ncbi.nlm.nih.gov/geo/query/acc.cgi?acc=GSM1511767","GSM1511767")</f>
        <v>GSM1511767</v>
      </c>
      <c r="I6991" t="s">
        <v>17</v>
      </c>
      <c r="J6991" t="s">
        <v>350</v>
      </c>
      <c r="K6991" t="s">
        <v>19</v>
      </c>
      <c r="L6991" t="s">
        <v>20</v>
      </c>
      <c r="M6991" t="s">
        <v>24</v>
      </c>
      <c r="N6991" t="s">
        <v>29</v>
      </c>
    </row>
    <row r="6992" spans="1:14">
      <c r="A6992" s="4" t="str">
        <f t="shared" si="644"/>
        <v>EXP00242</v>
      </c>
      <c r="B6992" s="4" t="str">
        <f t="shared" si="642"/>
        <v>26537449</v>
      </c>
      <c r="C6992" s="4" t="str">
        <f t="shared" si="643"/>
        <v>GSE61723</v>
      </c>
      <c r="D6992" s="1" t="s">
        <v>348</v>
      </c>
      <c r="E6992" t="s">
        <v>351</v>
      </c>
      <c r="F6992" s="1">
        <v>2</v>
      </c>
      <c r="G6992" s="1" t="s">
        <v>28</v>
      </c>
      <c r="H6992" s="4" t="str">
        <f>HYPERLINK("https://www.ncbi.nlm.nih.gov/geo/query/acc.cgi?acc=GSM1511770","GSM1511770")</f>
        <v>GSM1511770</v>
      </c>
      <c r="I6992" t="s">
        <v>17</v>
      </c>
      <c r="J6992" t="s">
        <v>350</v>
      </c>
      <c r="K6992" t="s">
        <v>19</v>
      </c>
      <c r="L6992" t="s">
        <v>20</v>
      </c>
      <c r="M6992" t="s">
        <v>24</v>
      </c>
      <c r="N6992" t="s">
        <v>29</v>
      </c>
    </row>
    <row r="6993" spans="1:14">
      <c r="A6993" s="4" t="str">
        <f t="shared" si="644"/>
        <v>EXP00242</v>
      </c>
      <c r="B6993" s="4" t="str">
        <f t="shared" si="642"/>
        <v>26537449</v>
      </c>
      <c r="C6993" s="4" t="str">
        <f t="shared" si="643"/>
        <v>GSE61723</v>
      </c>
      <c r="D6993" s="1" t="s">
        <v>348</v>
      </c>
      <c r="E6993" t="s">
        <v>351</v>
      </c>
      <c r="F6993" s="1">
        <v>2</v>
      </c>
      <c r="G6993" s="1" t="s">
        <v>28</v>
      </c>
      <c r="H6993" s="4" t="str">
        <f>HYPERLINK("https://www.ncbi.nlm.nih.gov/geo/query/acc.cgi?acc=GSM1511775","GSM1511775")</f>
        <v>GSM1511775</v>
      </c>
      <c r="I6993" t="s">
        <v>17</v>
      </c>
      <c r="J6993" t="s">
        <v>350</v>
      </c>
      <c r="K6993" t="s">
        <v>19</v>
      </c>
      <c r="L6993" t="s">
        <v>20</v>
      </c>
      <c r="M6993" t="s">
        <v>24</v>
      </c>
      <c r="N6993" t="s">
        <v>29</v>
      </c>
    </row>
    <row r="6994" spans="1:14">
      <c r="A6994" s="4" t="str">
        <f t="shared" si="644"/>
        <v>EXP00242</v>
      </c>
      <c r="B6994" s="4" t="str">
        <f t="shared" si="642"/>
        <v>26537449</v>
      </c>
      <c r="C6994" s="4" t="str">
        <f t="shared" si="643"/>
        <v>GSE61723</v>
      </c>
      <c r="D6994" s="1" t="s">
        <v>348</v>
      </c>
      <c r="E6994" t="s">
        <v>351</v>
      </c>
      <c r="F6994" s="1">
        <v>2</v>
      </c>
      <c r="G6994" s="1" t="s">
        <v>28</v>
      </c>
      <c r="H6994" s="4" t="str">
        <f>HYPERLINK("https://www.ncbi.nlm.nih.gov/geo/query/acc.cgi?acc=GSM1511782","GSM1511782")</f>
        <v>GSM1511782</v>
      </c>
      <c r="I6994" t="s">
        <v>17</v>
      </c>
      <c r="J6994" t="s">
        <v>350</v>
      </c>
      <c r="K6994" t="s">
        <v>19</v>
      </c>
      <c r="L6994" t="s">
        <v>20</v>
      </c>
      <c r="M6994" t="s">
        <v>24</v>
      </c>
      <c r="N6994" t="s">
        <v>29</v>
      </c>
    </row>
    <row r="6995" spans="1:14">
      <c r="A6995" s="4" t="str">
        <f t="shared" si="644"/>
        <v>EXP00242</v>
      </c>
      <c r="B6995" s="4" t="str">
        <f t="shared" si="642"/>
        <v>26537449</v>
      </c>
      <c r="C6995" s="4" t="str">
        <f t="shared" si="643"/>
        <v>GSE61723</v>
      </c>
      <c r="D6995" s="1" t="s">
        <v>348</v>
      </c>
      <c r="E6995" t="s">
        <v>351</v>
      </c>
      <c r="F6995" s="1">
        <v>2</v>
      </c>
      <c r="G6995" s="1" t="s">
        <v>28</v>
      </c>
      <c r="H6995" s="4" t="str">
        <f>HYPERLINK("https://www.ncbi.nlm.nih.gov/geo/query/acc.cgi?acc=GSM1511790","GSM1511790")</f>
        <v>GSM1511790</v>
      </c>
      <c r="I6995" t="s">
        <v>17</v>
      </c>
      <c r="J6995" t="s">
        <v>350</v>
      </c>
      <c r="K6995" t="s">
        <v>19</v>
      </c>
      <c r="L6995" t="s">
        <v>20</v>
      </c>
      <c r="M6995" t="s">
        <v>24</v>
      </c>
      <c r="N6995" t="s">
        <v>29</v>
      </c>
    </row>
    <row r="6996" spans="1:14">
      <c r="A6996" s="4" t="str">
        <f t="shared" si="644"/>
        <v>EXP00242</v>
      </c>
      <c r="B6996" s="4" t="str">
        <f t="shared" si="642"/>
        <v>26537449</v>
      </c>
      <c r="C6996" s="4" t="str">
        <f t="shared" si="643"/>
        <v>GSE61723</v>
      </c>
      <c r="D6996" s="1" t="s">
        <v>348</v>
      </c>
      <c r="E6996" t="s">
        <v>351</v>
      </c>
      <c r="F6996" s="1">
        <v>2</v>
      </c>
      <c r="G6996" s="1" t="s">
        <v>28</v>
      </c>
      <c r="H6996" s="4" t="str">
        <f>HYPERLINK("https://www.ncbi.nlm.nih.gov/geo/query/acc.cgi?acc=GSM1511794","GSM1511794")</f>
        <v>GSM1511794</v>
      </c>
      <c r="I6996" t="s">
        <v>17</v>
      </c>
      <c r="J6996" t="s">
        <v>350</v>
      </c>
      <c r="K6996" t="s">
        <v>19</v>
      </c>
      <c r="L6996" t="s">
        <v>20</v>
      </c>
      <c r="M6996" t="s">
        <v>24</v>
      </c>
      <c r="N6996" t="s">
        <v>29</v>
      </c>
    </row>
    <row r="6997" spans="1:14">
      <c r="A6997" s="4" t="str">
        <f t="shared" si="644"/>
        <v>EXP00242</v>
      </c>
      <c r="B6997" s="4" t="str">
        <f t="shared" si="642"/>
        <v>26537449</v>
      </c>
      <c r="C6997" s="4" t="str">
        <f t="shared" si="643"/>
        <v>GSE61723</v>
      </c>
      <c r="D6997" s="1" t="s">
        <v>348</v>
      </c>
      <c r="E6997" t="s">
        <v>351</v>
      </c>
      <c r="F6997" s="1">
        <v>2</v>
      </c>
      <c r="G6997" s="1" t="s">
        <v>28</v>
      </c>
      <c r="H6997" s="4" t="str">
        <f>HYPERLINK("https://www.ncbi.nlm.nih.gov/geo/query/acc.cgi?acc=GSM1511797","GSM1511797")</f>
        <v>GSM1511797</v>
      </c>
      <c r="I6997" t="s">
        <v>17</v>
      </c>
      <c r="J6997" t="s">
        <v>350</v>
      </c>
      <c r="K6997" t="s">
        <v>19</v>
      </c>
      <c r="L6997" t="s">
        <v>20</v>
      </c>
      <c r="M6997" t="s">
        <v>24</v>
      </c>
      <c r="N6997" t="s">
        <v>29</v>
      </c>
    </row>
    <row r="6998" spans="1:14">
      <c r="A6998" s="4" t="str">
        <f t="shared" ref="A6998:A7030" si="645">HYPERLINK("http://hcmdb.i-sanger.com/experiment/details/experiment_id/EXP00243","EXP00243")</f>
        <v>EXP00243</v>
      </c>
      <c r="B6998" s="4" t="str">
        <f t="shared" si="642"/>
        <v>26537449</v>
      </c>
      <c r="C6998" s="4" t="str">
        <f t="shared" si="643"/>
        <v>GSE61723</v>
      </c>
      <c r="D6998" s="1" t="s">
        <v>348</v>
      </c>
      <c r="E6998" t="s">
        <v>30</v>
      </c>
      <c r="F6998" s="1">
        <v>1</v>
      </c>
      <c r="G6998" s="1" t="s">
        <v>31</v>
      </c>
      <c r="H6998" s="4" t="str">
        <f>HYPERLINK("https://www.ncbi.nlm.nih.gov/geo/query/acc.cgi?acc=GSM1511741","GSM1511741")</f>
        <v>GSM1511741</v>
      </c>
      <c r="I6998" t="s">
        <v>17</v>
      </c>
      <c r="J6998" t="s">
        <v>349</v>
      </c>
      <c r="K6998" t="s">
        <v>19</v>
      </c>
      <c r="L6998" t="s">
        <v>20</v>
      </c>
      <c r="M6998" t="s">
        <v>24</v>
      </c>
      <c r="N6998" t="s">
        <v>29</v>
      </c>
    </row>
    <row r="6999" spans="1:14">
      <c r="A6999" s="4" t="str">
        <f t="shared" si="645"/>
        <v>EXP00243</v>
      </c>
      <c r="B6999" s="4" t="str">
        <f t="shared" si="642"/>
        <v>26537449</v>
      </c>
      <c r="C6999" s="4" t="str">
        <f t="shared" si="643"/>
        <v>GSE61723</v>
      </c>
      <c r="D6999" s="1" t="s">
        <v>348</v>
      </c>
      <c r="E6999" t="s">
        <v>30</v>
      </c>
      <c r="F6999" s="1">
        <v>1</v>
      </c>
      <c r="G6999" s="1" t="s">
        <v>31</v>
      </c>
      <c r="H6999" s="4" t="str">
        <f>HYPERLINK("https://www.ncbi.nlm.nih.gov/geo/query/acc.cgi?acc=GSM1511743","GSM1511743")</f>
        <v>GSM1511743</v>
      </c>
      <c r="I6999" t="s">
        <v>17</v>
      </c>
      <c r="J6999" t="s">
        <v>350</v>
      </c>
      <c r="K6999" t="s">
        <v>19</v>
      </c>
      <c r="L6999" t="s">
        <v>20</v>
      </c>
      <c r="M6999" t="s">
        <v>24</v>
      </c>
      <c r="N6999" t="s">
        <v>29</v>
      </c>
    </row>
    <row r="7000" spans="1:14">
      <c r="A7000" s="4" t="str">
        <f t="shared" si="645"/>
        <v>EXP00243</v>
      </c>
      <c r="B7000" s="4" t="str">
        <f t="shared" si="642"/>
        <v>26537449</v>
      </c>
      <c r="C7000" s="4" t="str">
        <f t="shared" si="643"/>
        <v>GSE61723</v>
      </c>
      <c r="D7000" s="1" t="s">
        <v>348</v>
      </c>
      <c r="E7000" t="s">
        <v>30</v>
      </c>
      <c r="F7000" s="1">
        <v>1</v>
      </c>
      <c r="G7000" s="1" t="s">
        <v>31</v>
      </c>
      <c r="H7000" s="4" t="str">
        <f>HYPERLINK("https://www.ncbi.nlm.nih.gov/geo/query/acc.cgi?acc=GSM1511748","GSM1511748")</f>
        <v>GSM1511748</v>
      </c>
      <c r="I7000" t="s">
        <v>17</v>
      </c>
      <c r="J7000" t="s">
        <v>350</v>
      </c>
      <c r="K7000" t="s">
        <v>19</v>
      </c>
      <c r="L7000" t="s">
        <v>20</v>
      </c>
      <c r="M7000" t="s">
        <v>24</v>
      </c>
      <c r="N7000" t="s">
        <v>29</v>
      </c>
    </row>
    <row r="7001" spans="1:14">
      <c r="A7001" s="4" t="str">
        <f t="shared" si="645"/>
        <v>EXP00243</v>
      </c>
      <c r="B7001" s="4" t="str">
        <f t="shared" si="642"/>
        <v>26537449</v>
      </c>
      <c r="C7001" s="4" t="str">
        <f t="shared" si="643"/>
        <v>GSE61723</v>
      </c>
      <c r="D7001" s="1" t="s">
        <v>348</v>
      </c>
      <c r="E7001" t="s">
        <v>30</v>
      </c>
      <c r="F7001" s="1">
        <v>1</v>
      </c>
      <c r="G7001" s="1" t="s">
        <v>31</v>
      </c>
      <c r="H7001" s="4" t="str">
        <f>HYPERLINK("https://www.ncbi.nlm.nih.gov/geo/query/acc.cgi?acc=GSM1511753","GSM1511753")</f>
        <v>GSM1511753</v>
      </c>
      <c r="I7001" t="s">
        <v>17</v>
      </c>
      <c r="J7001" t="s">
        <v>350</v>
      </c>
      <c r="K7001" t="s">
        <v>19</v>
      </c>
      <c r="L7001" t="s">
        <v>20</v>
      </c>
      <c r="M7001" t="s">
        <v>24</v>
      </c>
      <c r="N7001" t="s">
        <v>29</v>
      </c>
    </row>
    <row r="7002" spans="1:14">
      <c r="A7002" s="4" t="str">
        <f t="shared" si="645"/>
        <v>EXP00243</v>
      </c>
      <c r="B7002" s="4" t="str">
        <f t="shared" si="642"/>
        <v>26537449</v>
      </c>
      <c r="C7002" s="4" t="str">
        <f t="shared" si="643"/>
        <v>GSE61723</v>
      </c>
      <c r="D7002" s="1" t="s">
        <v>348</v>
      </c>
      <c r="E7002" t="s">
        <v>30</v>
      </c>
      <c r="F7002" s="1">
        <v>1</v>
      </c>
      <c r="G7002" s="1" t="s">
        <v>31</v>
      </c>
      <c r="H7002" s="4" t="str">
        <f>HYPERLINK("https://www.ncbi.nlm.nih.gov/geo/query/acc.cgi?acc=GSM1511758","GSM1511758")</f>
        <v>GSM1511758</v>
      </c>
      <c r="I7002" t="s">
        <v>17</v>
      </c>
      <c r="J7002" t="s">
        <v>350</v>
      </c>
      <c r="K7002" t="s">
        <v>19</v>
      </c>
      <c r="L7002" t="s">
        <v>20</v>
      </c>
      <c r="M7002" t="s">
        <v>24</v>
      </c>
      <c r="N7002" t="s">
        <v>29</v>
      </c>
    </row>
    <row r="7003" spans="1:14">
      <c r="A7003" s="4" t="str">
        <f t="shared" si="645"/>
        <v>EXP00243</v>
      </c>
      <c r="B7003" s="4" t="str">
        <f t="shared" si="642"/>
        <v>26537449</v>
      </c>
      <c r="C7003" s="4" t="str">
        <f t="shared" si="643"/>
        <v>GSE61723</v>
      </c>
      <c r="D7003" s="1" t="s">
        <v>348</v>
      </c>
      <c r="E7003" t="s">
        <v>30</v>
      </c>
      <c r="F7003" s="1">
        <v>1</v>
      </c>
      <c r="G7003" s="1" t="s">
        <v>31</v>
      </c>
      <c r="H7003" s="4" t="str">
        <f>HYPERLINK("https://www.ncbi.nlm.nih.gov/geo/query/acc.cgi?acc=GSM1511764","GSM1511764")</f>
        <v>GSM1511764</v>
      </c>
      <c r="I7003" t="s">
        <v>17</v>
      </c>
      <c r="J7003" t="s">
        <v>350</v>
      </c>
      <c r="K7003" t="s">
        <v>19</v>
      </c>
      <c r="L7003" t="s">
        <v>20</v>
      </c>
      <c r="M7003" t="s">
        <v>24</v>
      </c>
      <c r="N7003" t="s">
        <v>29</v>
      </c>
    </row>
    <row r="7004" spans="1:14">
      <c r="A7004" s="4" t="str">
        <f t="shared" si="645"/>
        <v>EXP00243</v>
      </c>
      <c r="B7004" s="4" t="str">
        <f t="shared" si="642"/>
        <v>26537449</v>
      </c>
      <c r="C7004" s="4" t="str">
        <f t="shared" si="643"/>
        <v>GSE61723</v>
      </c>
      <c r="D7004" s="1" t="s">
        <v>348</v>
      </c>
      <c r="E7004" t="s">
        <v>30</v>
      </c>
      <c r="F7004" s="1">
        <v>1</v>
      </c>
      <c r="G7004" s="1" t="s">
        <v>31</v>
      </c>
      <c r="H7004" s="4" t="str">
        <f>HYPERLINK("https://www.ncbi.nlm.nih.gov/geo/query/acc.cgi?acc=GSM1511767","GSM1511767")</f>
        <v>GSM1511767</v>
      </c>
      <c r="I7004" t="s">
        <v>17</v>
      </c>
      <c r="J7004" t="s">
        <v>350</v>
      </c>
      <c r="K7004" t="s">
        <v>19</v>
      </c>
      <c r="L7004" t="s">
        <v>20</v>
      </c>
      <c r="M7004" t="s">
        <v>24</v>
      </c>
      <c r="N7004" t="s">
        <v>29</v>
      </c>
    </row>
    <row r="7005" spans="1:14">
      <c r="A7005" s="4" t="str">
        <f t="shared" si="645"/>
        <v>EXP00243</v>
      </c>
      <c r="B7005" s="4" t="str">
        <f t="shared" si="642"/>
        <v>26537449</v>
      </c>
      <c r="C7005" s="4" t="str">
        <f t="shared" si="643"/>
        <v>GSE61723</v>
      </c>
      <c r="D7005" s="1" t="s">
        <v>348</v>
      </c>
      <c r="E7005" t="s">
        <v>30</v>
      </c>
      <c r="F7005" s="1">
        <v>1</v>
      </c>
      <c r="G7005" s="1" t="s">
        <v>31</v>
      </c>
      <c r="H7005" s="4" t="str">
        <f>HYPERLINK("https://www.ncbi.nlm.nih.gov/geo/query/acc.cgi?acc=GSM1511770","GSM1511770")</f>
        <v>GSM1511770</v>
      </c>
      <c r="I7005" t="s">
        <v>17</v>
      </c>
      <c r="J7005" t="s">
        <v>350</v>
      </c>
      <c r="K7005" t="s">
        <v>19</v>
      </c>
      <c r="L7005" t="s">
        <v>20</v>
      </c>
      <c r="M7005" t="s">
        <v>24</v>
      </c>
      <c r="N7005" t="s">
        <v>29</v>
      </c>
    </row>
    <row r="7006" spans="1:14">
      <c r="A7006" s="4" t="str">
        <f t="shared" si="645"/>
        <v>EXP00243</v>
      </c>
      <c r="B7006" s="4" t="str">
        <f t="shared" si="642"/>
        <v>26537449</v>
      </c>
      <c r="C7006" s="4" t="str">
        <f t="shared" si="643"/>
        <v>GSE61723</v>
      </c>
      <c r="D7006" s="1" t="s">
        <v>348</v>
      </c>
      <c r="E7006" t="s">
        <v>30</v>
      </c>
      <c r="F7006" s="1">
        <v>1</v>
      </c>
      <c r="G7006" s="1" t="s">
        <v>31</v>
      </c>
      <c r="H7006" s="4" t="str">
        <f>HYPERLINK("https://www.ncbi.nlm.nih.gov/geo/query/acc.cgi?acc=GSM1511775","GSM1511775")</f>
        <v>GSM1511775</v>
      </c>
      <c r="I7006" t="s">
        <v>17</v>
      </c>
      <c r="J7006" t="s">
        <v>350</v>
      </c>
      <c r="K7006" t="s">
        <v>19</v>
      </c>
      <c r="L7006" t="s">
        <v>20</v>
      </c>
      <c r="M7006" t="s">
        <v>24</v>
      </c>
      <c r="N7006" t="s">
        <v>29</v>
      </c>
    </row>
    <row r="7007" spans="1:14">
      <c r="A7007" s="4" t="str">
        <f t="shared" si="645"/>
        <v>EXP00243</v>
      </c>
      <c r="B7007" s="4" t="str">
        <f t="shared" si="642"/>
        <v>26537449</v>
      </c>
      <c r="C7007" s="4" t="str">
        <f t="shared" si="643"/>
        <v>GSE61723</v>
      </c>
      <c r="D7007" s="1" t="s">
        <v>348</v>
      </c>
      <c r="E7007" t="s">
        <v>30</v>
      </c>
      <c r="F7007" s="1">
        <v>1</v>
      </c>
      <c r="G7007" s="1" t="s">
        <v>31</v>
      </c>
      <c r="H7007" s="4" t="str">
        <f>HYPERLINK("https://www.ncbi.nlm.nih.gov/geo/query/acc.cgi?acc=GSM1511782","GSM1511782")</f>
        <v>GSM1511782</v>
      </c>
      <c r="I7007" t="s">
        <v>17</v>
      </c>
      <c r="J7007" t="s">
        <v>350</v>
      </c>
      <c r="K7007" t="s">
        <v>19</v>
      </c>
      <c r="L7007" t="s">
        <v>20</v>
      </c>
      <c r="M7007" t="s">
        <v>24</v>
      </c>
      <c r="N7007" t="s">
        <v>29</v>
      </c>
    </row>
    <row r="7008" spans="1:14">
      <c r="A7008" s="4" t="str">
        <f t="shared" si="645"/>
        <v>EXP00243</v>
      </c>
      <c r="B7008" s="4" t="str">
        <f t="shared" si="642"/>
        <v>26537449</v>
      </c>
      <c r="C7008" s="4" t="str">
        <f t="shared" si="643"/>
        <v>GSE61723</v>
      </c>
      <c r="D7008" s="1" t="s">
        <v>348</v>
      </c>
      <c r="E7008" t="s">
        <v>30</v>
      </c>
      <c r="F7008" s="1">
        <v>1</v>
      </c>
      <c r="G7008" s="1" t="s">
        <v>31</v>
      </c>
      <c r="H7008" s="4" t="str">
        <f>HYPERLINK("https://www.ncbi.nlm.nih.gov/geo/query/acc.cgi?acc=GSM1511790","GSM1511790")</f>
        <v>GSM1511790</v>
      </c>
      <c r="I7008" t="s">
        <v>17</v>
      </c>
      <c r="J7008" t="s">
        <v>350</v>
      </c>
      <c r="K7008" t="s">
        <v>19</v>
      </c>
      <c r="L7008" t="s">
        <v>20</v>
      </c>
      <c r="M7008" t="s">
        <v>24</v>
      </c>
      <c r="N7008" t="s">
        <v>29</v>
      </c>
    </row>
    <row r="7009" spans="1:14">
      <c r="A7009" s="4" t="str">
        <f t="shared" si="645"/>
        <v>EXP00243</v>
      </c>
      <c r="B7009" s="4" t="str">
        <f t="shared" si="642"/>
        <v>26537449</v>
      </c>
      <c r="C7009" s="4" t="str">
        <f t="shared" si="643"/>
        <v>GSE61723</v>
      </c>
      <c r="D7009" s="1" t="s">
        <v>348</v>
      </c>
      <c r="E7009" t="s">
        <v>30</v>
      </c>
      <c r="F7009" s="1">
        <v>1</v>
      </c>
      <c r="G7009" s="1" t="s">
        <v>31</v>
      </c>
      <c r="H7009" s="4" t="str">
        <f>HYPERLINK("https://www.ncbi.nlm.nih.gov/geo/query/acc.cgi?acc=GSM1511794","GSM1511794")</f>
        <v>GSM1511794</v>
      </c>
      <c r="I7009" t="s">
        <v>17</v>
      </c>
      <c r="J7009" t="s">
        <v>350</v>
      </c>
      <c r="K7009" t="s">
        <v>19</v>
      </c>
      <c r="L7009" t="s">
        <v>20</v>
      </c>
      <c r="M7009" t="s">
        <v>24</v>
      </c>
      <c r="N7009" t="s">
        <v>29</v>
      </c>
    </row>
    <row r="7010" spans="1:14">
      <c r="A7010" s="4" t="str">
        <f t="shared" si="645"/>
        <v>EXP00243</v>
      </c>
      <c r="B7010" s="4" t="str">
        <f t="shared" si="642"/>
        <v>26537449</v>
      </c>
      <c r="C7010" s="4" t="str">
        <f t="shared" si="643"/>
        <v>GSE61723</v>
      </c>
      <c r="D7010" s="1" t="s">
        <v>348</v>
      </c>
      <c r="E7010" t="s">
        <v>30</v>
      </c>
      <c r="F7010" s="1">
        <v>1</v>
      </c>
      <c r="G7010" s="1" t="s">
        <v>31</v>
      </c>
      <c r="H7010" s="4" t="str">
        <f>HYPERLINK("https://www.ncbi.nlm.nih.gov/geo/query/acc.cgi?acc=GSM1511797","GSM1511797")</f>
        <v>GSM1511797</v>
      </c>
      <c r="I7010" t="s">
        <v>17</v>
      </c>
      <c r="J7010" t="s">
        <v>350</v>
      </c>
      <c r="K7010" t="s">
        <v>19</v>
      </c>
      <c r="L7010" t="s">
        <v>20</v>
      </c>
      <c r="M7010" t="s">
        <v>24</v>
      </c>
      <c r="N7010" t="s">
        <v>29</v>
      </c>
    </row>
    <row r="7011" spans="1:14">
      <c r="A7011" s="4" t="str">
        <f t="shared" si="645"/>
        <v>EXP00243</v>
      </c>
      <c r="B7011" s="4" t="str">
        <f t="shared" si="642"/>
        <v>26537449</v>
      </c>
      <c r="C7011" s="4" t="str">
        <f t="shared" si="643"/>
        <v>GSE61723</v>
      </c>
      <c r="D7011" s="1" t="s">
        <v>348</v>
      </c>
      <c r="E7011" t="s">
        <v>30</v>
      </c>
      <c r="F7011" s="1">
        <v>2</v>
      </c>
      <c r="G7011" s="1" t="s">
        <v>32</v>
      </c>
      <c r="H7011" s="4" t="str">
        <f>HYPERLINK("https://www.ncbi.nlm.nih.gov/geo/query/acc.cgi?acc=GSM1511737","GSM1511737")</f>
        <v>GSM1511737</v>
      </c>
      <c r="I7011" t="s">
        <v>17</v>
      </c>
      <c r="J7011" t="s">
        <v>349</v>
      </c>
      <c r="K7011" t="s">
        <v>33</v>
      </c>
      <c r="L7011" t="s">
        <v>20</v>
      </c>
      <c r="N7011" t="s">
        <v>29</v>
      </c>
    </row>
    <row r="7012" spans="1:14">
      <c r="A7012" s="4" t="str">
        <f t="shared" si="645"/>
        <v>EXP00243</v>
      </c>
      <c r="B7012" s="4" t="str">
        <f t="shared" si="642"/>
        <v>26537449</v>
      </c>
      <c r="C7012" s="4" t="str">
        <f t="shared" si="643"/>
        <v>GSE61723</v>
      </c>
      <c r="D7012" s="1" t="s">
        <v>348</v>
      </c>
      <c r="E7012" t="s">
        <v>30</v>
      </c>
      <c r="F7012" s="1">
        <v>2</v>
      </c>
      <c r="G7012" s="1" t="s">
        <v>32</v>
      </c>
      <c r="H7012" s="4" t="str">
        <f>HYPERLINK("https://www.ncbi.nlm.nih.gov/geo/query/acc.cgi?acc=GSM1511738","GSM1511738")</f>
        <v>GSM1511738</v>
      </c>
      <c r="I7012" t="s">
        <v>17</v>
      </c>
      <c r="J7012" t="s">
        <v>349</v>
      </c>
      <c r="K7012" t="s">
        <v>33</v>
      </c>
      <c r="L7012" t="s">
        <v>20</v>
      </c>
      <c r="N7012" t="s">
        <v>29</v>
      </c>
    </row>
    <row r="7013" spans="1:14">
      <c r="A7013" s="4" t="str">
        <f t="shared" si="645"/>
        <v>EXP00243</v>
      </c>
      <c r="B7013" s="4" t="str">
        <f t="shared" ref="B7013:B7076" si="646">HYPERLINK("https://www.ncbi.nlm.nih.gov/pubmed/26537449","26537449")</f>
        <v>26537449</v>
      </c>
      <c r="C7013" s="4" t="str">
        <f t="shared" ref="C7013:C7076" si="647">HYPERLINK("https://www.ncbi.nlm.nih.gov/geo/query/acc.cgi?acc=GSE61723","GSE61723")</f>
        <v>GSE61723</v>
      </c>
      <c r="D7013" s="1" t="s">
        <v>348</v>
      </c>
      <c r="E7013" t="s">
        <v>30</v>
      </c>
      <c r="F7013" s="1">
        <v>2</v>
      </c>
      <c r="G7013" s="1" t="s">
        <v>32</v>
      </c>
      <c r="H7013" s="4" t="str">
        <f>HYPERLINK("https://www.ncbi.nlm.nih.gov/geo/query/acc.cgi?acc=GSM1511739","GSM1511739")</f>
        <v>GSM1511739</v>
      </c>
      <c r="I7013" t="s">
        <v>17</v>
      </c>
      <c r="J7013" t="s">
        <v>349</v>
      </c>
      <c r="K7013" t="s">
        <v>33</v>
      </c>
      <c r="L7013" t="s">
        <v>20</v>
      </c>
      <c r="N7013" t="s">
        <v>29</v>
      </c>
    </row>
    <row r="7014" spans="1:14">
      <c r="A7014" s="4" t="str">
        <f t="shared" si="645"/>
        <v>EXP00243</v>
      </c>
      <c r="B7014" s="4" t="str">
        <f t="shared" si="646"/>
        <v>26537449</v>
      </c>
      <c r="C7014" s="4" t="str">
        <f t="shared" si="647"/>
        <v>GSE61723</v>
      </c>
      <c r="D7014" s="1" t="s">
        <v>348</v>
      </c>
      <c r="E7014" t="s">
        <v>30</v>
      </c>
      <c r="F7014" s="1">
        <v>2</v>
      </c>
      <c r="G7014" s="1" t="s">
        <v>32</v>
      </c>
      <c r="H7014" s="4" t="str">
        <f>HYPERLINK("https://www.ncbi.nlm.nih.gov/geo/query/acc.cgi?acc=GSM1511746","GSM1511746")</f>
        <v>GSM1511746</v>
      </c>
      <c r="I7014" t="s">
        <v>17</v>
      </c>
      <c r="J7014" t="s">
        <v>350</v>
      </c>
      <c r="K7014" t="s">
        <v>33</v>
      </c>
      <c r="L7014" t="s">
        <v>20</v>
      </c>
      <c r="N7014" t="s">
        <v>29</v>
      </c>
    </row>
    <row r="7015" spans="1:14">
      <c r="A7015" s="4" t="str">
        <f t="shared" si="645"/>
        <v>EXP00243</v>
      </c>
      <c r="B7015" s="4" t="str">
        <f t="shared" si="646"/>
        <v>26537449</v>
      </c>
      <c r="C7015" s="4" t="str">
        <f t="shared" si="647"/>
        <v>GSE61723</v>
      </c>
      <c r="D7015" s="1" t="s">
        <v>348</v>
      </c>
      <c r="E7015" t="s">
        <v>30</v>
      </c>
      <c r="F7015" s="1">
        <v>2</v>
      </c>
      <c r="G7015" s="1" t="s">
        <v>32</v>
      </c>
      <c r="H7015" s="4" t="str">
        <f>HYPERLINK("https://www.ncbi.nlm.nih.gov/geo/query/acc.cgi?acc=GSM1511751","GSM1511751")</f>
        <v>GSM1511751</v>
      </c>
      <c r="I7015" t="s">
        <v>17</v>
      </c>
      <c r="J7015" t="s">
        <v>350</v>
      </c>
      <c r="K7015" t="s">
        <v>33</v>
      </c>
      <c r="L7015" t="s">
        <v>20</v>
      </c>
      <c r="N7015" t="s">
        <v>29</v>
      </c>
    </row>
    <row r="7016" spans="1:14">
      <c r="A7016" s="4" t="str">
        <f t="shared" si="645"/>
        <v>EXP00243</v>
      </c>
      <c r="B7016" s="4" t="str">
        <f t="shared" si="646"/>
        <v>26537449</v>
      </c>
      <c r="C7016" s="4" t="str">
        <f t="shared" si="647"/>
        <v>GSE61723</v>
      </c>
      <c r="D7016" s="1" t="s">
        <v>348</v>
      </c>
      <c r="E7016" t="s">
        <v>30</v>
      </c>
      <c r="F7016" s="1">
        <v>2</v>
      </c>
      <c r="G7016" s="1" t="s">
        <v>32</v>
      </c>
      <c r="H7016" s="4" t="str">
        <f>HYPERLINK("https://www.ncbi.nlm.nih.gov/geo/query/acc.cgi?acc=GSM1511756","GSM1511756")</f>
        <v>GSM1511756</v>
      </c>
      <c r="I7016" t="s">
        <v>17</v>
      </c>
      <c r="J7016" t="s">
        <v>350</v>
      </c>
      <c r="K7016" t="s">
        <v>33</v>
      </c>
      <c r="L7016" t="s">
        <v>20</v>
      </c>
      <c r="N7016" t="s">
        <v>29</v>
      </c>
    </row>
    <row r="7017" spans="1:14">
      <c r="A7017" s="4" t="str">
        <f t="shared" si="645"/>
        <v>EXP00243</v>
      </c>
      <c r="B7017" s="4" t="str">
        <f t="shared" si="646"/>
        <v>26537449</v>
      </c>
      <c r="C7017" s="4" t="str">
        <f t="shared" si="647"/>
        <v>GSE61723</v>
      </c>
      <c r="D7017" s="1" t="s">
        <v>348</v>
      </c>
      <c r="E7017" t="s">
        <v>30</v>
      </c>
      <c r="F7017" s="1">
        <v>2</v>
      </c>
      <c r="G7017" s="1" t="s">
        <v>32</v>
      </c>
      <c r="H7017" s="4" t="str">
        <f>HYPERLINK("https://www.ncbi.nlm.nih.gov/geo/query/acc.cgi?acc=GSM1511761","GSM1511761")</f>
        <v>GSM1511761</v>
      </c>
      <c r="I7017" t="s">
        <v>17</v>
      </c>
      <c r="J7017" t="s">
        <v>350</v>
      </c>
      <c r="K7017" t="s">
        <v>33</v>
      </c>
      <c r="L7017" t="s">
        <v>20</v>
      </c>
      <c r="N7017" t="s">
        <v>29</v>
      </c>
    </row>
    <row r="7018" spans="1:14">
      <c r="A7018" s="4" t="str">
        <f t="shared" si="645"/>
        <v>EXP00243</v>
      </c>
      <c r="B7018" s="4" t="str">
        <f t="shared" si="646"/>
        <v>26537449</v>
      </c>
      <c r="C7018" s="4" t="str">
        <f t="shared" si="647"/>
        <v>GSE61723</v>
      </c>
      <c r="D7018" s="1" t="s">
        <v>348</v>
      </c>
      <c r="E7018" t="s">
        <v>30</v>
      </c>
      <c r="F7018" s="1">
        <v>2</v>
      </c>
      <c r="G7018" s="1" t="s">
        <v>32</v>
      </c>
      <c r="H7018" s="4" t="str">
        <f>HYPERLINK("https://www.ncbi.nlm.nih.gov/geo/query/acc.cgi?acc=GSM1511763","GSM1511763")</f>
        <v>GSM1511763</v>
      </c>
      <c r="I7018" t="s">
        <v>17</v>
      </c>
      <c r="J7018" t="s">
        <v>350</v>
      </c>
      <c r="K7018" t="s">
        <v>33</v>
      </c>
      <c r="L7018" t="s">
        <v>20</v>
      </c>
      <c r="N7018" t="s">
        <v>29</v>
      </c>
    </row>
    <row r="7019" spans="1:14">
      <c r="A7019" s="4" t="str">
        <f t="shared" si="645"/>
        <v>EXP00243</v>
      </c>
      <c r="B7019" s="4" t="str">
        <f t="shared" si="646"/>
        <v>26537449</v>
      </c>
      <c r="C7019" s="4" t="str">
        <f t="shared" si="647"/>
        <v>GSE61723</v>
      </c>
      <c r="D7019" s="1" t="s">
        <v>348</v>
      </c>
      <c r="E7019" t="s">
        <v>30</v>
      </c>
      <c r="F7019" s="1">
        <v>2</v>
      </c>
      <c r="G7019" s="1" t="s">
        <v>32</v>
      </c>
      <c r="H7019" s="4" t="str">
        <f>HYPERLINK("https://www.ncbi.nlm.nih.gov/geo/query/acc.cgi?acc=GSM1511766","GSM1511766")</f>
        <v>GSM1511766</v>
      </c>
      <c r="I7019" t="s">
        <v>17</v>
      </c>
      <c r="J7019" t="s">
        <v>350</v>
      </c>
      <c r="K7019" t="s">
        <v>33</v>
      </c>
      <c r="L7019" t="s">
        <v>20</v>
      </c>
      <c r="N7019" t="s">
        <v>29</v>
      </c>
    </row>
    <row r="7020" spans="1:14">
      <c r="A7020" s="4" t="str">
        <f t="shared" si="645"/>
        <v>EXP00243</v>
      </c>
      <c r="B7020" s="4" t="str">
        <f t="shared" si="646"/>
        <v>26537449</v>
      </c>
      <c r="C7020" s="4" t="str">
        <f t="shared" si="647"/>
        <v>GSE61723</v>
      </c>
      <c r="D7020" s="1" t="s">
        <v>348</v>
      </c>
      <c r="E7020" t="s">
        <v>30</v>
      </c>
      <c r="F7020" s="1">
        <v>2</v>
      </c>
      <c r="G7020" s="1" t="s">
        <v>32</v>
      </c>
      <c r="H7020" s="4" t="str">
        <f>HYPERLINK("https://www.ncbi.nlm.nih.gov/geo/query/acc.cgi?acc=GSM1511769","GSM1511769")</f>
        <v>GSM1511769</v>
      </c>
      <c r="I7020" t="s">
        <v>17</v>
      </c>
      <c r="J7020" t="s">
        <v>350</v>
      </c>
      <c r="K7020" t="s">
        <v>33</v>
      </c>
      <c r="L7020" t="s">
        <v>20</v>
      </c>
      <c r="N7020" t="s">
        <v>29</v>
      </c>
    </row>
    <row r="7021" spans="1:14">
      <c r="A7021" s="4" t="str">
        <f t="shared" si="645"/>
        <v>EXP00243</v>
      </c>
      <c r="B7021" s="4" t="str">
        <f t="shared" si="646"/>
        <v>26537449</v>
      </c>
      <c r="C7021" s="4" t="str">
        <f t="shared" si="647"/>
        <v>GSE61723</v>
      </c>
      <c r="D7021" s="1" t="s">
        <v>348</v>
      </c>
      <c r="E7021" t="s">
        <v>30</v>
      </c>
      <c r="F7021" s="1">
        <v>2</v>
      </c>
      <c r="G7021" s="1" t="s">
        <v>32</v>
      </c>
      <c r="H7021" s="4" t="str">
        <f>HYPERLINK("https://www.ncbi.nlm.nih.gov/geo/query/acc.cgi?acc=GSM1511773","GSM1511773")</f>
        <v>GSM1511773</v>
      </c>
      <c r="I7021" t="s">
        <v>17</v>
      </c>
      <c r="J7021" t="s">
        <v>350</v>
      </c>
      <c r="K7021" t="s">
        <v>33</v>
      </c>
      <c r="L7021" t="s">
        <v>20</v>
      </c>
      <c r="N7021" t="s">
        <v>29</v>
      </c>
    </row>
    <row r="7022" spans="1:14">
      <c r="A7022" s="4" t="str">
        <f t="shared" si="645"/>
        <v>EXP00243</v>
      </c>
      <c r="B7022" s="4" t="str">
        <f t="shared" si="646"/>
        <v>26537449</v>
      </c>
      <c r="C7022" s="4" t="str">
        <f t="shared" si="647"/>
        <v>GSE61723</v>
      </c>
      <c r="D7022" s="1" t="s">
        <v>348</v>
      </c>
      <c r="E7022" t="s">
        <v>30</v>
      </c>
      <c r="F7022" s="1">
        <v>2</v>
      </c>
      <c r="G7022" s="1" t="s">
        <v>32</v>
      </c>
      <c r="H7022" s="4" t="str">
        <f>HYPERLINK("https://www.ncbi.nlm.nih.gov/geo/query/acc.cgi?acc=GSM1511777","GSM1511777")</f>
        <v>GSM1511777</v>
      </c>
      <c r="I7022" t="s">
        <v>17</v>
      </c>
      <c r="J7022" t="s">
        <v>350</v>
      </c>
      <c r="K7022" t="s">
        <v>33</v>
      </c>
      <c r="L7022" t="s">
        <v>20</v>
      </c>
      <c r="N7022" t="s">
        <v>29</v>
      </c>
    </row>
    <row r="7023" spans="1:14">
      <c r="A7023" s="4" t="str">
        <f t="shared" si="645"/>
        <v>EXP00243</v>
      </c>
      <c r="B7023" s="4" t="str">
        <f t="shared" si="646"/>
        <v>26537449</v>
      </c>
      <c r="C7023" s="4" t="str">
        <f t="shared" si="647"/>
        <v>GSE61723</v>
      </c>
      <c r="D7023" s="1" t="s">
        <v>348</v>
      </c>
      <c r="E7023" t="s">
        <v>30</v>
      </c>
      <c r="F7023" s="1">
        <v>2</v>
      </c>
      <c r="G7023" s="1" t="s">
        <v>32</v>
      </c>
      <c r="H7023" s="4" t="str">
        <f>HYPERLINK("https://www.ncbi.nlm.nih.gov/geo/query/acc.cgi?acc=GSM1511778","GSM1511778")</f>
        <v>GSM1511778</v>
      </c>
      <c r="I7023" t="s">
        <v>17</v>
      </c>
      <c r="J7023" t="s">
        <v>350</v>
      </c>
      <c r="K7023" t="s">
        <v>33</v>
      </c>
      <c r="L7023" t="s">
        <v>20</v>
      </c>
      <c r="N7023" t="s">
        <v>29</v>
      </c>
    </row>
    <row r="7024" spans="1:14">
      <c r="A7024" s="4" t="str">
        <f t="shared" si="645"/>
        <v>EXP00243</v>
      </c>
      <c r="B7024" s="4" t="str">
        <f t="shared" si="646"/>
        <v>26537449</v>
      </c>
      <c r="C7024" s="4" t="str">
        <f t="shared" si="647"/>
        <v>GSE61723</v>
      </c>
      <c r="D7024" s="1" t="s">
        <v>348</v>
      </c>
      <c r="E7024" t="s">
        <v>30</v>
      </c>
      <c r="F7024" s="1">
        <v>2</v>
      </c>
      <c r="G7024" s="1" t="s">
        <v>32</v>
      </c>
      <c r="H7024" s="4" t="str">
        <f>HYPERLINK("https://www.ncbi.nlm.nih.gov/geo/query/acc.cgi?acc=GSM1511779","GSM1511779")</f>
        <v>GSM1511779</v>
      </c>
      <c r="I7024" t="s">
        <v>17</v>
      </c>
      <c r="J7024" t="s">
        <v>350</v>
      </c>
      <c r="K7024" t="s">
        <v>33</v>
      </c>
      <c r="L7024" t="s">
        <v>20</v>
      </c>
      <c r="N7024" t="s">
        <v>29</v>
      </c>
    </row>
    <row r="7025" spans="1:14">
      <c r="A7025" s="4" t="str">
        <f t="shared" si="645"/>
        <v>EXP00243</v>
      </c>
      <c r="B7025" s="4" t="str">
        <f t="shared" si="646"/>
        <v>26537449</v>
      </c>
      <c r="C7025" s="4" t="str">
        <f t="shared" si="647"/>
        <v>GSE61723</v>
      </c>
      <c r="D7025" s="1" t="s">
        <v>348</v>
      </c>
      <c r="E7025" t="s">
        <v>30</v>
      </c>
      <c r="F7025" s="1">
        <v>2</v>
      </c>
      <c r="G7025" s="1" t="s">
        <v>32</v>
      </c>
      <c r="H7025" s="4" t="str">
        <f>HYPERLINK("https://www.ncbi.nlm.nih.gov/geo/query/acc.cgi?acc=GSM1511781","GSM1511781")</f>
        <v>GSM1511781</v>
      </c>
      <c r="I7025" t="s">
        <v>17</v>
      </c>
      <c r="J7025" t="s">
        <v>350</v>
      </c>
      <c r="K7025" t="s">
        <v>33</v>
      </c>
      <c r="L7025" t="s">
        <v>20</v>
      </c>
      <c r="N7025" t="s">
        <v>29</v>
      </c>
    </row>
    <row r="7026" spans="1:14">
      <c r="A7026" s="4" t="str">
        <f t="shared" si="645"/>
        <v>EXP00243</v>
      </c>
      <c r="B7026" s="4" t="str">
        <f t="shared" si="646"/>
        <v>26537449</v>
      </c>
      <c r="C7026" s="4" t="str">
        <f t="shared" si="647"/>
        <v>GSE61723</v>
      </c>
      <c r="D7026" s="1" t="s">
        <v>348</v>
      </c>
      <c r="E7026" t="s">
        <v>30</v>
      </c>
      <c r="F7026" s="1">
        <v>2</v>
      </c>
      <c r="G7026" s="1" t="s">
        <v>32</v>
      </c>
      <c r="H7026" s="4" t="str">
        <f>HYPERLINK("https://www.ncbi.nlm.nih.gov/geo/query/acc.cgi?acc=GSM1511784","GSM1511784")</f>
        <v>GSM1511784</v>
      </c>
      <c r="I7026" t="s">
        <v>17</v>
      </c>
      <c r="J7026" t="s">
        <v>350</v>
      </c>
      <c r="K7026" t="s">
        <v>33</v>
      </c>
      <c r="L7026" t="s">
        <v>20</v>
      </c>
      <c r="N7026" t="s">
        <v>29</v>
      </c>
    </row>
    <row r="7027" spans="1:14">
      <c r="A7027" s="4" t="str">
        <f t="shared" si="645"/>
        <v>EXP00243</v>
      </c>
      <c r="B7027" s="4" t="str">
        <f t="shared" si="646"/>
        <v>26537449</v>
      </c>
      <c r="C7027" s="4" t="str">
        <f t="shared" si="647"/>
        <v>GSE61723</v>
      </c>
      <c r="D7027" s="1" t="s">
        <v>348</v>
      </c>
      <c r="E7027" t="s">
        <v>30</v>
      </c>
      <c r="F7027" s="1">
        <v>2</v>
      </c>
      <c r="G7027" s="1" t="s">
        <v>32</v>
      </c>
      <c r="H7027" s="4" t="str">
        <f>HYPERLINK("https://www.ncbi.nlm.nih.gov/geo/query/acc.cgi?acc=GSM1511786","GSM1511786")</f>
        <v>GSM1511786</v>
      </c>
      <c r="I7027" t="s">
        <v>17</v>
      </c>
      <c r="J7027" t="s">
        <v>350</v>
      </c>
      <c r="K7027" t="s">
        <v>33</v>
      </c>
      <c r="L7027" t="s">
        <v>20</v>
      </c>
      <c r="N7027" t="s">
        <v>29</v>
      </c>
    </row>
    <row r="7028" spans="1:14">
      <c r="A7028" s="4" t="str">
        <f t="shared" si="645"/>
        <v>EXP00243</v>
      </c>
      <c r="B7028" s="4" t="str">
        <f t="shared" si="646"/>
        <v>26537449</v>
      </c>
      <c r="C7028" s="4" t="str">
        <f t="shared" si="647"/>
        <v>GSE61723</v>
      </c>
      <c r="D7028" s="1" t="s">
        <v>348</v>
      </c>
      <c r="E7028" t="s">
        <v>30</v>
      </c>
      <c r="F7028" s="1">
        <v>2</v>
      </c>
      <c r="G7028" s="1" t="s">
        <v>32</v>
      </c>
      <c r="H7028" s="4" t="str">
        <f>HYPERLINK("https://www.ncbi.nlm.nih.gov/geo/query/acc.cgi?acc=GSM1511787","GSM1511787")</f>
        <v>GSM1511787</v>
      </c>
      <c r="I7028" t="s">
        <v>17</v>
      </c>
      <c r="J7028" t="s">
        <v>350</v>
      </c>
      <c r="K7028" t="s">
        <v>33</v>
      </c>
      <c r="L7028" t="s">
        <v>20</v>
      </c>
      <c r="N7028" t="s">
        <v>29</v>
      </c>
    </row>
    <row r="7029" spans="1:14">
      <c r="A7029" s="4" t="str">
        <f t="shared" si="645"/>
        <v>EXP00243</v>
      </c>
      <c r="B7029" s="4" t="str">
        <f t="shared" si="646"/>
        <v>26537449</v>
      </c>
      <c r="C7029" s="4" t="str">
        <f t="shared" si="647"/>
        <v>GSE61723</v>
      </c>
      <c r="D7029" s="1" t="s">
        <v>348</v>
      </c>
      <c r="E7029" t="s">
        <v>30</v>
      </c>
      <c r="F7029" s="1">
        <v>2</v>
      </c>
      <c r="G7029" s="1" t="s">
        <v>32</v>
      </c>
      <c r="H7029" s="4" t="str">
        <f>HYPERLINK("https://www.ncbi.nlm.nih.gov/geo/query/acc.cgi?acc=GSM1511789","GSM1511789")</f>
        <v>GSM1511789</v>
      </c>
      <c r="I7029" t="s">
        <v>17</v>
      </c>
      <c r="J7029" t="s">
        <v>350</v>
      </c>
      <c r="K7029" t="s">
        <v>33</v>
      </c>
      <c r="L7029" t="s">
        <v>20</v>
      </c>
      <c r="N7029" t="s">
        <v>29</v>
      </c>
    </row>
    <row r="7030" spans="1:14">
      <c r="A7030" s="4" t="str">
        <f t="shared" si="645"/>
        <v>EXP00243</v>
      </c>
      <c r="B7030" s="4" t="str">
        <f t="shared" si="646"/>
        <v>26537449</v>
      </c>
      <c r="C7030" s="4" t="str">
        <f t="shared" si="647"/>
        <v>GSE61723</v>
      </c>
      <c r="D7030" s="1" t="s">
        <v>348</v>
      </c>
      <c r="E7030" t="s">
        <v>30</v>
      </c>
      <c r="F7030" s="1">
        <v>2</v>
      </c>
      <c r="G7030" s="1" t="s">
        <v>32</v>
      </c>
      <c r="H7030" s="4" t="str">
        <f>HYPERLINK("https://www.ncbi.nlm.nih.gov/geo/query/acc.cgi?acc=GSM1511800","GSM1511800")</f>
        <v>GSM1511800</v>
      </c>
      <c r="I7030" t="s">
        <v>17</v>
      </c>
      <c r="J7030" t="s">
        <v>350</v>
      </c>
      <c r="K7030" t="s">
        <v>33</v>
      </c>
      <c r="L7030" t="s">
        <v>20</v>
      </c>
      <c r="N7030" t="s">
        <v>29</v>
      </c>
    </row>
    <row r="7031" spans="1:14">
      <c r="A7031" s="4" t="str">
        <f t="shared" ref="A7031:A7059" si="648">HYPERLINK("http://hcmdb.i-sanger.com/experiment/details/experiment_id/EXP00244","EXP00244")</f>
        <v>EXP00244</v>
      </c>
      <c r="B7031" s="4" t="str">
        <f t="shared" si="646"/>
        <v>26537449</v>
      </c>
      <c r="C7031" s="4" t="str">
        <f t="shared" si="647"/>
        <v>GSE61723</v>
      </c>
      <c r="D7031" s="1" t="s">
        <v>348</v>
      </c>
      <c r="E7031" t="s">
        <v>35</v>
      </c>
      <c r="F7031" s="1">
        <v>1</v>
      </c>
      <c r="G7031" s="1" t="s">
        <v>36</v>
      </c>
      <c r="H7031" s="4" t="str">
        <f>HYPERLINK("https://www.ncbi.nlm.nih.gov/geo/query/acc.cgi?acc=GSM1511740","GSM1511740")</f>
        <v>GSM1511740</v>
      </c>
      <c r="I7031" t="s">
        <v>17</v>
      </c>
      <c r="J7031" t="s">
        <v>349</v>
      </c>
      <c r="K7031" t="s">
        <v>33</v>
      </c>
      <c r="L7031" t="s">
        <v>20</v>
      </c>
      <c r="N7031" t="s">
        <v>37</v>
      </c>
    </row>
    <row r="7032" spans="1:14">
      <c r="A7032" s="4" t="str">
        <f t="shared" si="648"/>
        <v>EXP00244</v>
      </c>
      <c r="B7032" s="4" t="str">
        <f t="shared" si="646"/>
        <v>26537449</v>
      </c>
      <c r="C7032" s="4" t="str">
        <f t="shared" si="647"/>
        <v>GSE61723</v>
      </c>
      <c r="D7032" s="1" t="s">
        <v>348</v>
      </c>
      <c r="E7032" t="s">
        <v>35</v>
      </c>
      <c r="F7032" s="1">
        <v>1</v>
      </c>
      <c r="G7032" s="1" t="s">
        <v>36</v>
      </c>
      <c r="H7032" s="4" t="str">
        <f>HYPERLINK("https://www.ncbi.nlm.nih.gov/geo/query/acc.cgi?acc=GSM1511747","GSM1511747")</f>
        <v>GSM1511747</v>
      </c>
      <c r="I7032" t="s">
        <v>17</v>
      </c>
      <c r="J7032" t="s">
        <v>350</v>
      </c>
      <c r="K7032" t="s">
        <v>33</v>
      </c>
      <c r="L7032" t="s">
        <v>20</v>
      </c>
      <c r="N7032" t="s">
        <v>37</v>
      </c>
    </row>
    <row r="7033" spans="1:14">
      <c r="A7033" s="4" t="str">
        <f t="shared" si="648"/>
        <v>EXP00244</v>
      </c>
      <c r="B7033" s="4" t="str">
        <f t="shared" si="646"/>
        <v>26537449</v>
      </c>
      <c r="C7033" s="4" t="str">
        <f t="shared" si="647"/>
        <v>GSE61723</v>
      </c>
      <c r="D7033" s="1" t="s">
        <v>348</v>
      </c>
      <c r="E7033" t="s">
        <v>35</v>
      </c>
      <c r="F7033" s="1">
        <v>1</v>
      </c>
      <c r="G7033" s="1" t="s">
        <v>36</v>
      </c>
      <c r="H7033" s="4" t="str">
        <f>HYPERLINK("https://www.ncbi.nlm.nih.gov/geo/query/acc.cgi?acc=GSM1511752","GSM1511752")</f>
        <v>GSM1511752</v>
      </c>
      <c r="I7033" t="s">
        <v>17</v>
      </c>
      <c r="J7033" t="s">
        <v>350</v>
      </c>
      <c r="K7033" t="s">
        <v>33</v>
      </c>
      <c r="L7033" t="s">
        <v>20</v>
      </c>
      <c r="N7033" t="s">
        <v>37</v>
      </c>
    </row>
    <row r="7034" spans="1:14">
      <c r="A7034" s="4" t="str">
        <f t="shared" si="648"/>
        <v>EXP00244</v>
      </c>
      <c r="B7034" s="4" t="str">
        <f t="shared" si="646"/>
        <v>26537449</v>
      </c>
      <c r="C7034" s="4" t="str">
        <f t="shared" si="647"/>
        <v>GSE61723</v>
      </c>
      <c r="D7034" s="1" t="s">
        <v>348</v>
      </c>
      <c r="E7034" t="s">
        <v>35</v>
      </c>
      <c r="F7034" s="1">
        <v>1</v>
      </c>
      <c r="G7034" s="1" t="s">
        <v>36</v>
      </c>
      <c r="H7034" s="4" t="str">
        <f>HYPERLINK("https://www.ncbi.nlm.nih.gov/geo/query/acc.cgi?acc=GSM1511757","GSM1511757")</f>
        <v>GSM1511757</v>
      </c>
      <c r="I7034" t="s">
        <v>17</v>
      </c>
      <c r="J7034" t="s">
        <v>350</v>
      </c>
      <c r="K7034" t="s">
        <v>33</v>
      </c>
      <c r="L7034" t="s">
        <v>20</v>
      </c>
      <c r="N7034" t="s">
        <v>37</v>
      </c>
    </row>
    <row r="7035" spans="1:14">
      <c r="A7035" s="4" t="str">
        <f t="shared" si="648"/>
        <v>EXP00244</v>
      </c>
      <c r="B7035" s="4" t="str">
        <f t="shared" si="646"/>
        <v>26537449</v>
      </c>
      <c r="C7035" s="4" t="str">
        <f t="shared" si="647"/>
        <v>GSE61723</v>
      </c>
      <c r="D7035" s="1" t="s">
        <v>348</v>
      </c>
      <c r="E7035" t="s">
        <v>35</v>
      </c>
      <c r="F7035" s="1">
        <v>1</v>
      </c>
      <c r="G7035" s="1" t="s">
        <v>36</v>
      </c>
      <c r="H7035" s="4" t="str">
        <f>HYPERLINK("https://www.ncbi.nlm.nih.gov/geo/query/acc.cgi?acc=GSM1511762","GSM1511762")</f>
        <v>GSM1511762</v>
      </c>
      <c r="I7035" t="s">
        <v>17</v>
      </c>
      <c r="J7035" t="s">
        <v>350</v>
      </c>
      <c r="K7035" t="s">
        <v>33</v>
      </c>
      <c r="L7035" t="s">
        <v>20</v>
      </c>
      <c r="N7035" t="s">
        <v>37</v>
      </c>
    </row>
    <row r="7036" spans="1:14">
      <c r="A7036" s="4" t="str">
        <f t="shared" si="648"/>
        <v>EXP00244</v>
      </c>
      <c r="B7036" s="4" t="str">
        <f t="shared" si="646"/>
        <v>26537449</v>
      </c>
      <c r="C7036" s="4" t="str">
        <f t="shared" si="647"/>
        <v>GSE61723</v>
      </c>
      <c r="D7036" s="1" t="s">
        <v>348</v>
      </c>
      <c r="E7036" t="s">
        <v>35</v>
      </c>
      <c r="F7036" s="1">
        <v>1</v>
      </c>
      <c r="G7036" s="1" t="s">
        <v>36</v>
      </c>
      <c r="H7036" s="4" t="str">
        <f>HYPERLINK("https://www.ncbi.nlm.nih.gov/geo/query/acc.cgi?acc=GSM1511774","GSM1511774")</f>
        <v>GSM1511774</v>
      </c>
      <c r="I7036" t="s">
        <v>17</v>
      </c>
      <c r="J7036" t="s">
        <v>350</v>
      </c>
      <c r="K7036" t="s">
        <v>33</v>
      </c>
      <c r="L7036" t="s">
        <v>20</v>
      </c>
      <c r="N7036" t="s">
        <v>37</v>
      </c>
    </row>
    <row r="7037" spans="1:14">
      <c r="A7037" s="4" t="str">
        <f t="shared" si="648"/>
        <v>EXP00244</v>
      </c>
      <c r="B7037" s="4" t="str">
        <f t="shared" si="646"/>
        <v>26537449</v>
      </c>
      <c r="C7037" s="4" t="str">
        <f t="shared" si="647"/>
        <v>GSE61723</v>
      </c>
      <c r="D7037" s="1" t="s">
        <v>348</v>
      </c>
      <c r="E7037" t="s">
        <v>35</v>
      </c>
      <c r="F7037" s="1">
        <v>1</v>
      </c>
      <c r="G7037" s="1" t="s">
        <v>36</v>
      </c>
      <c r="H7037" s="4" t="str">
        <f>HYPERLINK("https://www.ncbi.nlm.nih.gov/geo/query/acc.cgi?acc=GSM1511780","GSM1511780")</f>
        <v>GSM1511780</v>
      </c>
      <c r="I7037" t="s">
        <v>17</v>
      </c>
      <c r="J7037" t="s">
        <v>350</v>
      </c>
      <c r="K7037" t="s">
        <v>33</v>
      </c>
      <c r="L7037" t="s">
        <v>20</v>
      </c>
      <c r="N7037" t="s">
        <v>37</v>
      </c>
    </row>
    <row r="7038" spans="1:14">
      <c r="A7038" s="4" t="str">
        <f t="shared" si="648"/>
        <v>EXP00244</v>
      </c>
      <c r="B7038" s="4" t="str">
        <f t="shared" si="646"/>
        <v>26537449</v>
      </c>
      <c r="C7038" s="4" t="str">
        <f t="shared" si="647"/>
        <v>GSE61723</v>
      </c>
      <c r="D7038" s="1" t="s">
        <v>348</v>
      </c>
      <c r="E7038" t="s">
        <v>35</v>
      </c>
      <c r="F7038" s="1">
        <v>1</v>
      </c>
      <c r="G7038" s="1" t="s">
        <v>36</v>
      </c>
      <c r="H7038" s="4" t="str">
        <f>HYPERLINK("https://www.ncbi.nlm.nih.gov/geo/query/acc.cgi?acc=GSM1511785","GSM1511785")</f>
        <v>GSM1511785</v>
      </c>
      <c r="I7038" t="s">
        <v>17</v>
      </c>
      <c r="J7038" t="s">
        <v>350</v>
      </c>
      <c r="K7038" t="s">
        <v>33</v>
      </c>
      <c r="L7038" t="s">
        <v>20</v>
      </c>
      <c r="N7038" t="s">
        <v>37</v>
      </c>
    </row>
    <row r="7039" spans="1:14">
      <c r="A7039" s="4" t="str">
        <f t="shared" si="648"/>
        <v>EXP00244</v>
      </c>
      <c r="B7039" s="4" t="str">
        <f t="shared" si="646"/>
        <v>26537449</v>
      </c>
      <c r="C7039" s="4" t="str">
        <f t="shared" si="647"/>
        <v>GSE61723</v>
      </c>
      <c r="D7039" s="1" t="s">
        <v>348</v>
      </c>
      <c r="E7039" t="s">
        <v>35</v>
      </c>
      <c r="F7039" s="1">
        <v>1</v>
      </c>
      <c r="G7039" s="1" t="s">
        <v>36</v>
      </c>
      <c r="H7039" s="4" t="str">
        <f>HYPERLINK("https://www.ncbi.nlm.nih.gov/geo/query/acc.cgi?acc=GSM1511788","GSM1511788")</f>
        <v>GSM1511788</v>
      </c>
      <c r="I7039" t="s">
        <v>17</v>
      </c>
      <c r="J7039" t="s">
        <v>350</v>
      </c>
      <c r="K7039" t="s">
        <v>33</v>
      </c>
      <c r="L7039" t="s">
        <v>20</v>
      </c>
      <c r="N7039" t="s">
        <v>37</v>
      </c>
    </row>
    <row r="7040" spans="1:14">
      <c r="A7040" s="4" t="str">
        <f t="shared" si="648"/>
        <v>EXP00244</v>
      </c>
      <c r="B7040" s="4" t="str">
        <f t="shared" si="646"/>
        <v>26537449</v>
      </c>
      <c r="C7040" s="4" t="str">
        <f t="shared" si="647"/>
        <v>GSE61723</v>
      </c>
      <c r="D7040" s="1" t="s">
        <v>348</v>
      </c>
      <c r="E7040" t="s">
        <v>35</v>
      </c>
      <c r="F7040" s="1">
        <v>2</v>
      </c>
      <c r="G7040" s="1" t="s">
        <v>28</v>
      </c>
      <c r="H7040" s="4" t="str">
        <f>HYPERLINK("https://www.ncbi.nlm.nih.gov/geo/query/acc.cgi?acc=GSM1511737","GSM1511737")</f>
        <v>GSM1511737</v>
      </c>
      <c r="I7040" t="s">
        <v>17</v>
      </c>
      <c r="J7040" t="s">
        <v>349</v>
      </c>
      <c r="K7040" t="s">
        <v>33</v>
      </c>
      <c r="L7040" t="s">
        <v>20</v>
      </c>
      <c r="N7040" t="s">
        <v>29</v>
      </c>
    </row>
    <row r="7041" spans="1:14">
      <c r="A7041" s="4" t="str">
        <f t="shared" si="648"/>
        <v>EXP00244</v>
      </c>
      <c r="B7041" s="4" t="str">
        <f t="shared" si="646"/>
        <v>26537449</v>
      </c>
      <c r="C7041" s="4" t="str">
        <f t="shared" si="647"/>
        <v>GSE61723</v>
      </c>
      <c r="D7041" s="1" t="s">
        <v>348</v>
      </c>
      <c r="E7041" t="s">
        <v>35</v>
      </c>
      <c r="F7041" s="1">
        <v>2</v>
      </c>
      <c r="G7041" s="1" t="s">
        <v>28</v>
      </c>
      <c r="H7041" s="4" t="str">
        <f>HYPERLINK("https://www.ncbi.nlm.nih.gov/geo/query/acc.cgi?acc=GSM1511738","GSM1511738")</f>
        <v>GSM1511738</v>
      </c>
      <c r="I7041" t="s">
        <v>17</v>
      </c>
      <c r="J7041" t="s">
        <v>349</v>
      </c>
      <c r="K7041" t="s">
        <v>33</v>
      </c>
      <c r="L7041" t="s">
        <v>20</v>
      </c>
      <c r="N7041" t="s">
        <v>29</v>
      </c>
    </row>
    <row r="7042" spans="1:14">
      <c r="A7042" s="4" t="str">
        <f t="shared" si="648"/>
        <v>EXP00244</v>
      </c>
      <c r="B7042" s="4" t="str">
        <f t="shared" si="646"/>
        <v>26537449</v>
      </c>
      <c r="C7042" s="4" t="str">
        <f t="shared" si="647"/>
        <v>GSE61723</v>
      </c>
      <c r="D7042" s="1" t="s">
        <v>348</v>
      </c>
      <c r="E7042" t="s">
        <v>35</v>
      </c>
      <c r="F7042" s="1">
        <v>2</v>
      </c>
      <c r="G7042" s="1" t="s">
        <v>28</v>
      </c>
      <c r="H7042" s="4" t="str">
        <f>HYPERLINK("https://www.ncbi.nlm.nih.gov/geo/query/acc.cgi?acc=GSM1511739","GSM1511739")</f>
        <v>GSM1511739</v>
      </c>
      <c r="I7042" t="s">
        <v>17</v>
      </c>
      <c r="J7042" t="s">
        <v>349</v>
      </c>
      <c r="K7042" t="s">
        <v>33</v>
      </c>
      <c r="L7042" t="s">
        <v>20</v>
      </c>
      <c r="N7042" t="s">
        <v>29</v>
      </c>
    </row>
    <row r="7043" spans="1:14">
      <c r="A7043" s="4" t="str">
        <f t="shared" si="648"/>
        <v>EXP00244</v>
      </c>
      <c r="B7043" s="4" t="str">
        <f t="shared" si="646"/>
        <v>26537449</v>
      </c>
      <c r="C7043" s="4" t="str">
        <f t="shared" si="647"/>
        <v>GSE61723</v>
      </c>
      <c r="D7043" s="1" t="s">
        <v>348</v>
      </c>
      <c r="E7043" t="s">
        <v>35</v>
      </c>
      <c r="F7043" s="1">
        <v>2</v>
      </c>
      <c r="G7043" s="1" t="s">
        <v>28</v>
      </c>
      <c r="H7043" s="4" t="str">
        <f>HYPERLINK("https://www.ncbi.nlm.nih.gov/geo/query/acc.cgi?acc=GSM1511746","GSM1511746")</f>
        <v>GSM1511746</v>
      </c>
      <c r="I7043" t="s">
        <v>17</v>
      </c>
      <c r="J7043" t="s">
        <v>350</v>
      </c>
      <c r="K7043" t="s">
        <v>33</v>
      </c>
      <c r="L7043" t="s">
        <v>20</v>
      </c>
      <c r="N7043" t="s">
        <v>29</v>
      </c>
    </row>
    <row r="7044" spans="1:14">
      <c r="A7044" s="4" t="str">
        <f t="shared" si="648"/>
        <v>EXP00244</v>
      </c>
      <c r="B7044" s="4" t="str">
        <f t="shared" si="646"/>
        <v>26537449</v>
      </c>
      <c r="C7044" s="4" t="str">
        <f t="shared" si="647"/>
        <v>GSE61723</v>
      </c>
      <c r="D7044" s="1" t="s">
        <v>348</v>
      </c>
      <c r="E7044" t="s">
        <v>35</v>
      </c>
      <c r="F7044" s="1">
        <v>2</v>
      </c>
      <c r="G7044" s="1" t="s">
        <v>28</v>
      </c>
      <c r="H7044" s="4" t="str">
        <f>HYPERLINK("https://www.ncbi.nlm.nih.gov/geo/query/acc.cgi?acc=GSM1511751","GSM1511751")</f>
        <v>GSM1511751</v>
      </c>
      <c r="I7044" t="s">
        <v>17</v>
      </c>
      <c r="J7044" t="s">
        <v>350</v>
      </c>
      <c r="K7044" t="s">
        <v>33</v>
      </c>
      <c r="L7044" t="s">
        <v>20</v>
      </c>
      <c r="N7044" t="s">
        <v>29</v>
      </c>
    </row>
    <row r="7045" spans="1:14">
      <c r="A7045" s="4" t="str">
        <f t="shared" si="648"/>
        <v>EXP00244</v>
      </c>
      <c r="B7045" s="4" t="str">
        <f t="shared" si="646"/>
        <v>26537449</v>
      </c>
      <c r="C7045" s="4" t="str">
        <f t="shared" si="647"/>
        <v>GSE61723</v>
      </c>
      <c r="D7045" s="1" t="s">
        <v>348</v>
      </c>
      <c r="E7045" t="s">
        <v>35</v>
      </c>
      <c r="F7045" s="1">
        <v>2</v>
      </c>
      <c r="G7045" s="1" t="s">
        <v>28</v>
      </c>
      <c r="H7045" s="4" t="str">
        <f>HYPERLINK("https://www.ncbi.nlm.nih.gov/geo/query/acc.cgi?acc=GSM1511756","GSM1511756")</f>
        <v>GSM1511756</v>
      </c>
      <c r="I7045" t="s">
        <v>17</v>
      </c>
      <c r="J7045" t="s">
        <v>350</v>
      </c>
      <c r="K7045" t="s">
        <v>33</v>
      </c>
      <c r="L7045" t="s">
        <v>20</v>
      </c>
      <c r="N7045" t="s">
        <v>29</v>
      </c>
    </row>
    <row r="7046" spans="1:14">
      <c r="A7046" s="4" t="str">
        <f t="shared" si="648"/>
        <v>EXP00244</v>
      </c>
      <c r="B7046" s="4" t="str">
        <f t="shared" si="646"/>
        <v>26537449</v>
      </c>
      <c r="C7046" s="4" t="str">
        <f t="shared" si="647"/>
        <v>GSE61723</v>
      </c>
      <c r="D7046" s="1" t="s">
        <v>348</v>
      </c>
      <c r="E7046" t="s">
        <v>35</v>
      </c>
      <c r="F7046" s="1">
        <v>2</v>
      </c>
      <c r="G7046" s="1" t="s">
        <v>28</v>
      </c>
      <c r="H7046" s="4" t="str">
        <f>HYPERLINK("https://www.ncbi.nlm.nih.gov/geo/query/acc.cgi?acc=GSM1511761","GSM1511761")</f>
        <v>GSM1511761</v>
      </c>
      <c r="I7046" t="s">
        <v>17</v>
      </c>
      <c r="J7046" t="s">
        <v>350</v>
      </c>
      <c r="K7046" t="s">
        <v>33</v>
      </c>
      <c r="L7046" t="s">
        <v>20</v>
      </c>
      <c r="N7046" t="s">
        <v>29</v>
      </c>
    </row>
    <row r="7047" spans="1:14">
      <c r="A7047" s="4" t="str">
        <f t="shared" si="648"/>
        <v>EXP00244</v>
      </c>
      <c r="B7047" s="4" t="str">
        <f t="shared" si="646"/>
        <v>26537449</v>
      </c>
      <c r="C7047" s="4" t="str">
        <f t="shared" si="647"/>
        <v>GSE61723</v>
      </c>
      <c r="D7047" s="1" t="s">
        <v>348</v>
      </c>
      <c r="E7047" t="s">
        <v>35</v>
      </c>
      <c r="F7047" s="1">
        <v>2</v>
      </c>
      <c r="G7047" s="1" t="s">
        <v>28</v>
      </c>
      <c r="H7047" s="4" t="str">
        <f>HYPERLINK("https://www.ncbi.nlm.nih.gov/geo/query/acc.cgi?acc=GSM1511763","GSM1511763")</f>
        <v>GSM1511763</v>
      </c>
      <c r="I7047" t="s">
        <v>17</v>
      </c>
      <c r="J7047" t="s">
        <v>350</v>
      </c>
      <c r="K7047" t="s">
        <v>33</v>
      </c>
      <c r="L7047" t="s">
        <v>20</v>
      </c>
      <c r="N7047" t="s">
        <v>29</v>
      </c>
    </row>
    <row r="7048" spans="1:14">
      <c r="A7048" s="4" t="str">
        <f t="shared" si="648"/>
        <v>EXP00244</v>
      </c>
      <c r="B7048" s="4" t="str">
        <f t="shared" si="646"/>
        <v>26537449</v>
      </c>
      <c r="C7048" s="4" t="str">
        <f t="shared" si="647"/>
        <v>GSE61723</v>
      </c>
      <c r="D7048" s="1" t="s">
        <v>348</v>
      </c>
      <c r="E7048" t="s">
        <v>35</v>
      </c>
      <c r="F7048" s="1">
        <v>2</v>
      </c>
      <c r="G7048" s="1" t="s">
        <v>28</v>
      </c>
      <c r="H7048" s="4" t="str">
        <f>HYPERLINK("https://www.ncbi.nlm.nih.gov/geo/query/acc.cgi?acc=GSM1511766","GSM1511766")</f>
        <v>GSM1511766</v>
      </c>
      <c r="I7048" t="s">
        <v>17</v>
      </c>
      <c r="J7048" t="s">
        <v>350</v>
      </c>
      <c r="K7048" t="s">
        <v>33</v>
      </c>
      <c r="L7048" t="s">
        <v>20</v>
      </c>
      <c r="N7048" t="s">
        <v>29</v>
      </c>
    </row>
    <row r="7049" spans="1:14">
      <c r="A7049" s="4" t="str">
        <f t="shared" si="648"/>
        <v>EXP00244</v>
      </c>
      <c r="B7049" s="4" t="str">
        <f t="shared" si="646"/>
        <v>26537449</v>
      </c>
      <c r="C7049" s="4" t="str">
        <f t="shared" si="647"/>
        <v>GSE61723</v>
      </c>
      <c r="D7049" s="1" t="s">
        <v>348</v>
      </c>
      <c r="E7049" t="s">
        <v>35</v>
      </c>
      <c r="F7049" s="1">
        <v>2</v>
      </c>
      <c r="G7049" s="1" t="s">
        <v>28</v>
      </c>
      <c r="H7049" s="4" t="str">
        <f>HYPERLINK("https://www.ncbi.nlm.nih.gov/geo/query/acc.cgi?acc=GSM1511769","GSM1511769")</f>
        <v>GSM1511769</v>
      </c>
      <c r="I7049" t="s">
        <v>17</v>
      </c>
      <c r="J7049" t="s">
        <v>350</v>
      </c>
      <c r="K7049" t="s">
        <v>33</v>
      </c>
      <c r="L7049" t="s">
        <v>20</v>
      </c>
      <c r="N7049" t="s">
        <v>29</v>
      </c>
    </row>
    <row r="7050" spans="1:14">
      <c r="A7050" s="4" t="str">
        <f t="shared" si="648"/>
        <v>EXP00244</v>
      </c>
      <c r="B7050" s="4" t="str">
        <f t="shared" si="646"/>
        <v>26537449</v>
      </c>
      <c r="C7050" s="4" t="str">
        <f t="shared" si="647"/>
        <v>GSE61723</v>
      </c>
      <c r="D7050" s="1" t="s">
        <v>348</v>
      </c>
      <c r="E7050" t="s">
        <v>35</v>
      </c>
      <c r="F7050" s="1">
        <v>2</v>
      </c>
      <c r="G7050" s="1" t="s">
        <v>28</v>
      </c>
      <c r="H7050" s="4" t="str">
        <f>HYPERLINK("https://www.ncbi.nlm.nih.gov/geo/query/acc.cgi?acc=GSM1511773","GSM1511773")</f>
        <v>GSM1511773</v>
      </c>
      <c r="I7050" t="s">
        <v>17</v>
      </c>
      <c r="J7050" t="s">
        <v>350</v>
      </c>
      <c r="K7050" t="s">
        <v>33</v>
      </c>
      <c r="L7050" t="s">
        <v>20</v>
      </c>
      <c r="N7050" t="s">
        <v>29</v>
      </c>
    </row>
    <row r="7051" spans="1:14">
      <c r="A7051" s="4" t="str">
        <f t="shared" si="648"/>
        <v>EXP00244</v>
      </c>
      <c r="B7051" s="4" t="str">
        <f t="shared" si="646"/>
        <v>26537449</v>
      </c>
      <c r="C7051" s="4" t="str">
        <f t="shared" si="647"/>
        <v>GSE61723</v>
      </c>
      <c r="D7051" s="1" t="s">
        <v>348</v>
      </c>
      <c r="E7051" t="s">
        <v>35</v>
      </c>
      <c r="F7051" s="1">
        <v>2</v>
      </c>
      <c r="G7051" s="1" t="s">
        <v>28</v>
      </c>
      <c r="H7051" s="4" t="str">
        <f>HYPERLINK("https://www.ncbi.nlm.nih.gov/geo/query/acc.cgi?acc=GSM1511777","GSM1511777")</f>
        <v>GSM1511777</v>
      </c>
      <c r="I7051" t="s">
        <v>17</v>
      </c>
      <c r="J7051" t="s">
        <v>350</v>
      </c>
      <c r="K7051" t="s">
        <v>33</v>
      </c>
      <c r="L7051" t="s">
        <v>20</v>
      </c>
      <c r="N7051" t="s">
        <v>29</v>
      </c>
    </row>
    <row r="7052" spans="1:14">
      <c r="A7052" s="4" t="str">
        <f t="shared" si="648"/>
        <v>EXP00244</v>
      </c>
      <c r="B7052" s="4" t="str">
        <f t="shared" si="646"/>
        <v>26537449</v>
      </c>
      <c r="C7052" s="4" t="str">
        <f t="shared" si="647"/>
        <v>GSE61723</v>
      </c>
      <c r="D7052" s="1" t="s">
        <v>348</v>
      </c>
      <c r="E7052" t="s">
        <v>35</v>
      </c>
      <c r="F7052" s="1">
        <v>2</v>
      </c>
      <c r="G7052" s="1" t="s">
        <v>28</v>
      </c>
      <c r="H7052" s="4" t="str">
        <f>HYPERLINK("https://www.ncbi.nlm.nih.gov/geo/query/acc.cgi?acc=GSM1511778","GSM1511778")</f>
        <v>GSM1511778</v>
      </c>
      <c r="I7052" t="s">
        <v>17</v>
      </c>
      <c r="J7052" t="s">
        <v>350</v>
      </c>
      <c r="K7052" t="s">
        <v>33</v>
      </c>
      <c r="L7052" t="s">
        <v>20</v>
      </c>
      <c r="N7052" t="s">
        <v>29</v>
      </c>
    </row>
    <row r="7053" spans="1:14">
      <c r="A7053" s="4" t="str">
        <f t="shared" si="648"/>
        <v>EXP00244</v>
      </c>
      <c r="B7053" s="4" t="str">
        <f t="shared" si="646"/>
        <v>26537449</v>
      </c>
      <c r="C7053" s="4" t="str">
        <f t="shared" si="647"/>
        <v>GSE61723</v>
      </c>
      <c r="D7053" s="1" t="s">
        <v>348</v>
      </c>
      <c r="E7053" t="s">
        <v>35</v>
      </c>
      <c r="F7053" s="1">
        <v>2</v>
      </c>
      <c r="G7053" s="1" t="s">
        <v>28</v>
      </c>
      <c r="H7053" s="4" t="str">
        <f>HYPERLINK("https://www.ncbi.nlm.nih.gov/geo/query/acc.cgi?acc=GSM1511779","GSM1511779")</f>
        <v>GSM1511779</v>
      </c>
      <c r="I7053" t="s">
        <v>17</v>
      </c>
      <c r="J7053" t="s">
        <v>350</v>
      </c>
      <c r="K7053" t="s">
        <v>33</v>
      </c>
      <c r="L7053" t="s">
        <v>20</v>
      </c>
      <c r="N7053" t="s">
        <v>29</v>
      </c>
    </row>
    <row r="7054" spans="1:14">
      <c r="A7054" s="4" t="str">
        <f t="shared" si="648"/>
        <v>EXP00244</v>
      </c>
      <c r="B7054" s="4" t="str">
        <f t="shared" si="646"/>
        <v>26537449</v>
      </c>
      <c r="C7054" s="4" t="str">
        <f t="shared" si="647"/>
        <v>GSE61723</v>
      </c>
      <c r="D7054" s="1" t="s">
        <v>348</v>
      </c>
      <c r="E7054" t="s">
        <v>35</v>
      </c>
      <c r="F7054" s="1">
        <v>2</v>
      </c>
      <c r="G7054" s="1" t="s">
        <v>28</v>
      </c>
      <c r="H7054" s="4" t="str">
        <f>HYPERLINK("https://www.ncbi.nlm.nih.gov/geo/query/acc.cgi?acc=GSM1511781","GSM1511781")</f>
        <v>GSM1511781</v>
      </c>
      <c r="I7054" t="s">
        <v>17</v>
      </c>
      <c r="J7054" t="s">
        <v>350</v>
      </c>
      <c r="K7054" t="s">
        <v>33</v>
      </c>
      <c r="L7054" t="s">
        <v>20</v>
      </c>
      <c r="N7054" t="s">
        <v>29</v>
      </c>
    </row>
    <row r="7055" spans="1:14">
      <c r="A7055" s="4" t="str">
        <f t="shared" si="648"/>
        <v>EXP00244</v>
      </c>
      <c r="B7055" s="4" t="str">
        <f t="shared" si="646"/>
        <v>26537449</v>
      </c>
      <c r="C7055" s="4" t="str">
        <f t="shared" si="647"/>
        <v>GSE61723</v>
      </c>
      <c r="D7055" s="1" t="s">
        <v>348</v>
      </c>
      <c r="E7055" t="s">
        <v>35</v>
      </c>
      <c r="F7055" s="1">
        <v>2</v>
      </c>
      <c r="G7055" s="1" t="s">
        <v>28</v>
      </c>
      <c r="H7055" s="4" t="str">
        <f>HYPERLINK("https://www.ncbi.nlm.nih.gov/geo/query/acc.cgi?acc=GSM1511784","GSM1511784")</f>
        <v>GSM1511784</v>
      </c>
      <c r="I7055" t="s">
        <v>17</v>
      </c>
      <c r="J7055" t="s">
        <v>350</v>
      </c>
      <c r="K7055" t="s">
        <v>33</v>
      </c>
      <c r="L7055" t="s">
        <v>20</v>
      </c>
      <c r="N7055" t="s">
        <v>29</v>
      </c>
    </row>
    <row r="7056" spans="1:14">
      <c r="A7056" s="4" t="str">
        <f t="shared" si="648"/>
        <v>EXP00244</v>
      </c>
      <c r="B7056" s="4" t="str">
        <f t="shared" si="646"/>
        <v>26537449</v>
      </c>
      <c r="C7056" s="4" t="str">
        <f t="shared" si="647"/>
        <v>GSE61723</v>
      </c>
      <c r="D7056" s="1" t="s">
        <v>348</v>
      </c>
      <c r="E7056" t="s">
        <v>35</v>
      </c>
      <c r="F7056" s="1">
        <v>2</v>
      </c>
      <c r="G7056" s="1" t="s">
        <v>28</v>
      </c>
      <c r="H7056" s="4" t="str">
        <f>HYPERLINK("https://www.ncbi.nlm.nih.gov/geo/query/acc.cgi?acc=GSM1511786","GSM1511786")</f>
        <v>GSM1511786</v>
      </c>
      <c r="I7056" t="s">
        <v>17</v>
      </c>
      <c r="J7056" t="s">
        <v>350</v>
      </c>
      <c r="K7056" t="s">
        <v>33</v>
      </c>
      <c r="L7056" t="s">
        <v>20</v>
      </c>
      <c r="N7056" t="s">
        <v>29</v>
      </c>
    </row>
    <row r="7057" spans="1:14">
      <c r="A7057" s="4" t="str">
        <f t="shared" si="648"/>
        <v>EXP00244</v>
      </c>
      <c r="B7057" s="4" t="str">
        <f t="shared" si="646"/>
        <v>26537449</v>
      </c>
      <c r="C7057" s="4" t="str">
        <f t="shared" si="647"/>
        <v>GSE61723</v>
      </c>
      <c r="D7057" s="1" t="s">
        <v>348</v>
      </c>
      <c r="E7057" t="s">
        <v>35</v>
      </c>
      <c r="F7057" s="1">
        <v>2</v>
      </c>
      <c r="G7057" s="1" t="s">
        <v>28</v>
      </c>
      <c r="H7057" s="4" t="str">
        <f>HYPERLINK("https://www.ncbi.nlm.nih.gov/geo/query/acc.cgi?acc=GSM1511787","GSM1511787")</f>
        <v>GSM1511787</v>
      </c>
      <c r="I7057" t="s">
        <v>17</v>
      </c>
      <c r="J7057" t="s">
        <v>350</v>
      </c>
      <c r="K7057" t="s">
        <v>33</v>
      </c>
      <c r="L7057" t="s">
        <v>20</v>
      </c>
      <c r="N7057" t="s">
        <v>29</v>
      </c>
    </row>
    <row r="7058" spans="1:14">
      <c r="A7058" s="4" t="str">
        <f t="shared" si="648"/>
        <v>EXP00244</v>
      </c>
      <c r="B7058" s="4" t="str">
        <f t="shared" si="646"/>
        <v>26537449</v>
      </c>
      <c r="C7058" s="4" t="str">
        <f t="shared" si="647"/>
        <v>GSE61723</v>
      </c>
      <c r="D7058" s="1" t="s">
        <v>348</v>
      </c>
      <c r="E7058" t="s">
        <v>35</v>
      </c>
      <c r="F7058" s="1">
        <v>2</v>
      </c>
      <c r="G7058" s="1" t="s">
        <v>28</v>
      </c>
      <c r="H7058" s="4" t="str">
        <f>HYPERLINK("https://www.ncbi.nlm.nih.gov/geo/query/acc.cgi?acc=GSM1511789","GSM1511789")</f>
        <v>GSM1511789</v>
      </c>
      <c r="I7058" t="s">
        <v>17</v>
      </c>
      <c r="J7058" t="s">
        <v>350</v>
      </c>
      <c r="K7058" t="s">
        <v>33</v>
      </c>
      <c r="L7058" t="s">
        <v>20</v>
      </c>
      <c r="N7058" t="s">
        <v>29</v>
      </c>
    </row>
    <row r="7059" spans="1:14">
      <c r="A7059" s="4" t="str">
        <f t="shared" si="648"/>
        <v>EXP00244</v>
      </c>
      <c r="B7059" s="4" t="str">
        <f t="shared" si="646"/>
        <v>26537449</v>
      </c>
      <c r="C7059" s="4" t="str">
        <f t="shared" si="647"/>
        <v>GSE61723</v>
      </c>
      <c r="D7059" s="1" t="s">
        <v>348</v>
      </c>
      <c r="E7059" t="s">
        <v>35</v>
      </c>
      <c r="F7059" s="1">
        <v>2</v>
      </c>
      <c r="G7059" s="1" t="s">
        <v>28</v>
      </c>
      <c r="H7059" s="4" t="str">
        <f>HYPERLINK("https://www.ncbi.nlm.nih.gov/geo/query/acc.cgi?acc=GSM1511800","GSM1511800")</f>
        <v>GSM1511800</v>
      </c>
      <c r="I7059" t="s">
        <v>17</v>
      </c>
      <c r="J7059" t="s">
        <v>350</v>
      </c>
      <c r="K7059" t="s">
        <v>33</v>
      </c>
      <c r="L7059" t="s">
        <v>20</v>
      </c>
      <c r="N7059" t="s">
        <v>29</v>
      </c>
    </row>
    <row r="7060" spans="1:14">
      <c r="A7060" s="4" t="str">
        <f t="shared" ref="A7060:A7085" si="649">HYPERLINK("http://hcmdb.i-sanger.com/experiment/details/experiment_id/EXP00245","EXP00245")</f>
        <v>EXP00245</v>
      </c>
      <c r="B7060" s="4" t="str">
        <f t="shared" si="646"/>
        <v>26537449</v>
      </c>
      <c r="C7060" s="4" t="str">
        <f t="shared" si="647"/>
        <v>GSE61723</v>
      </c>
      <c r="D7060" s="1" t="s">
        <v>348</v>
      </c>
      <c r="E7060" t="s">
        <v>352</v>
      </c>
      <c r="F7060" s="1">
        <v>1</v>
      </c>
      <c r="G7060" s="1" t="s">
        <v>26</v>
      </c>
      <c r="H7060" s="4" t="str">
        <f>HYPERLINK("https://www.ncbi.nlm.nih.gov/geo/query/acc.cgi?acc=GSM1511744","GSM1511744")</f>
        <v>GSM1511744</v>
      </c>
      <c r="I7060" t="s">
        <v>17</v>
      </c>
      <c r="J7060" t="s">
        <v>350</v>
      </c>
      <c r="K7060" t="s">
        <v>19</v>
      </c>
      <c r="L7060" t="s">
        <v>20</v>
      </c>
      <c r="M7060" t="s">
        <v>24</v>
      </c>
      <c r="N7060" t="s">
        <v>22</v>
      </c>
    </row>
    <row r="7061" spans="1:14">
      <c r="A7061" s="4" t="str">
        <f t="shared" si="649"/>
        <v>EXP00245</v>
      </c>
      <c r="B7061" s="4" t="str">
        <f t="shared" si="646"/>
        <v>26537449</v>
      </c>
      <c r="C7061" s="4" t="str">
        <f t="shared" si="647"/>
        <v>GSE61723</v>
      </c>
      <c r="D7061" s="1" t="s">
        <v>348</v>
      </c>
      <c r="E7061" t="s">
        <v>352</v>
      </c>
      <c r="F7061" s="1">
        <v>1</v>
      </c>
      <c r="G7061" s="1" t="s">
        <v>26</v>
      </c>
      <c r="H7061" s="4" t="str">
        <f>HYPERLINK("https://www.ncbi.nlm.nih.gov/geo/query/acc.cgi?acc=GSM1511749","GSM1511749")</f>
        <v>GSM1511749</v>
      </c>
      <c r="I7061" t="s">
        <v>17</v>
      </c>
      <c r="J7061" t="s">
        <v>350</v>
      </c>
      <c r="K7061" t="s">
        <v>19</v>
      </c>
      <c r="L7061" t="s">
        <v>20</v>
      </c>
      <c r="M7061" t="s">
        <v>24</v>
      </c>
      <c r="N7061" t="s">
        <v>22</v>
      </c>
    </row>
    <row r="7062" spans="1:14">
      <c r="A7062" s="4" t="str">
        <f t="shared" si="649"/>
        <v>EXP00245</v>
      </c>
      <c r="B7062" s="4" t="str">
        <f t="shared" si="646"/>
        <v>26537449</v>
      </c>
      <c r="C7062" s="4" t="str">
        <f t="shared" si="647"/>
        <v>GSE61723</v>
      </c>
      <c r="D7062" s="1" t="s">
        <v>348</v>
      </c>
      <c r="E7062" t="s">
        <v>352</v>
      </c>
      <c r="F7062" s="1">
        <v>1</v>
      </c>
      <c r="G7062" s="1" t="s">
        <v>26</v>
      </c>
      <c r="H7062" s="4" t="str">
        <f>HYPERLINK("https://www.ncbi.nlm.nih.gov/geo/query/acc.cgi?acc=GSM1511754","GSM1511754")</f>
        <v>GSM1511754</v>
      </c>
      <c r="I7062" t="s">
        <v>17</v>
      </c>
      <c r="J7062" t="s">
        <v>350</v>
      </c>
      <c r="K7062" t="s">
        <v>19</v>
      </c>
      <c r="L7062" t="s">
        <v>20</v>
      </c>
      <c r="M7062" t="s">
        <v>24</v>
      </c>
      <c r="N7062" t="s">
        <v>22</v>
      </c>
    </row>
    <row r="7063" spans="1:14">
      <c r="A7063" s="4" t="str">
        <f t="shared" si="649"/>
        <v>EXP00245</v>
      </c>
      <c r="B7063" s="4" t="str">
        <f t="shared" si="646"/>
        <v>26537449</v>
      </c>
      <c r="C7063" s="4" t="str">
        <f t="shared" si="647"/>
        <v>GSE61723</v>
      </c>
      <c r="D7063" s="1" t="s">
        <v>348</v>
      </c>
      <c r="E7063" t="s">
        <v>352</v>
      </c>
      <c r="F7063" s="1">
        <v>1</v>
      </c>
      <c r="G7063" s="1" t="s">
        <v>26</v>
      </c>
      <c r="H7063" s="4" t="str">
        <f>HYPERLINK("https://www.ncbi.nlm.nih.gov/geo/query/acc.cgi?acc=GSM1511759","GSM1511759")</f>
        <v>GSM1511759</v>
      </c>
      <c r="I7063" t="s">
        <v>17</v>
      </c>
      <c r="J7063" t="s">
        <v>350</v>
      </c>
      <c r="K7063" t="s">
        <v>19</v>
      </c>
      <c r="L7063" t="s">
        <v>20</v>
      </c>
      <c r="M7063" t="s">
        <v>24</v>
      </c>
      <c r="N7063" t="s">
        <v>22</v>
      </c>
    </row>
    <row r="7064" spans="1:14">
      <c r="A7064" s="4" t="str">
        <f t="shared" si="649"/>
        <v>EXP00245</v>
      </c>
      <c r="B7064" s="4" t="str">
        <f t="shared" si="646"/>
        <v>26537449</v>
      </c>
      <c r="C7064" s="4" t="str">
        <f t="shared" si="647"/>
        <v>GSE61723</v>
      </c>
      <c r="D7064" s="1" t="s">
        <v>348</v>
      </c>
      <c r="E7064" t="s">
        <v>352</v>
      </c>
      <c r="F7064" s="1">
        <v>1</v>
      </c>
      <c r="G7064" s="1" t="s">
        <v>26</v>
      </c>
      <c r="H7064" s="4" t="str">
        <f>HYPERLINK("https://www.ncbi.nlm.nih.gov/geo/query/acc.cgi?acc=GSM1511765","GSM1511765")</f>
        <v>GSM1511765</v>
      </c>
      <c r="I7064" t="s">
        <v>17</v>
      </c>
      <c r="J7064" t="s">
        <v>350</v>
      </c>
      <c r="K7064" t="s">
        <v>19</v>
      </c>
      <c r="L7064" t="s">
        <v>20</v>
      </c>
      <c r="M7064" t="s">
        <v>24</v>
      </c>
      <c r="N7064" t="s">
        <v>22</v>
      </c>
    </row>
    <row r="7065" spans="1:14">
      <c r="A7065" s="4" t="str">
        <f t="shared" si="649"/>
        <v>EXP00245</v>
      </c>
      <c r="B7065" s="4" t="str">
        <f t="shared" si="646"/>
        <v>26537449</v>
      </c>
      <c r="C7065" s="4" t="str">
        <f t="shared" si="647"/>
        <v>GSE61723</v>
      </c>
      <c r="D7065" s="1" t="s">
        <v>348</v>
      </c>
      <c r="E7065" t="s">
        <v>352</v>
      </c>
      <c r="F7065" s="1">
        <v>1</v>
      </c>
      <c r="G7065" s="1" t="s">
        <v>26</v>
      </c>
      <c r="H7065" s="4" t="str">
        <f>HYPERLINK("https://www.ncbi.nlm.nih.gov/geo/query/acc.cgi?acc=GSM1511768","GSM1511768")</f>
        <v>GSM1511768</v>
      </c>
      <c r="I7065" t="s">
        <v>17</v>
      </c>
      <c r="J7065" t="s">
        <v>350</v>
      </c>
      <c r="K7065" t="s">
        <v>19</v>
      </c>
      <c r="L7065" t="s">
        <v>20</v>
      </c>
      <c r="M7065" t="s">
        <v>24</v>
      </c>
      <c r="N7065" t="s">
        <v>22</v>
      </c>
    </row>
    <row r="7066" spans="1:14">
      <c r="A7066" s="4" t="str">
        <f t="shared" si="649"/>
        <v>EXP00245</v>
      </c>
      <c r="B7066" s="4" t="str">
        <f t="shared" si="646"/>
        <v>26537449</v>
      </c>
      <c r="C7066" s="4" t="str">
        <f t="shared" si="647"/>
        <v>GSE61723</v>
      </c>
      <c r="D7066" s="1" t="s">
        <v>348</v>
      </c>
      <c r="E7066" t="s">
        <v>352</v>
      </c>
      <c r="F7066" s="1">
        <v>1</v>
      </c>
      <c r="G7066" s="1" t="s">
        <v>26</v>
      </c>
      <c r="H7066" s="4" t="str">
        <f>HYPERLINK("https://www.ncbi.nlm.nih.gov/geo/query/acc.cgi?acc=GSM1511771","GSM1511771")</f>
        <v>GSM1511771</v>
      </c>
      <c r="I7066" t="s">
        <v>17</v>
      </c>
      <c r="J7066" t="s">
        <v>350</v>
      </c>
      <c r="K7066" t="s">
        <v>19</v>
      </c>
      <c r="L7066" t="s">
        <v>20</v>
      </c>
      <c r="M7066" t="s">
        <v>24</v>
      </c>
      <c r="N7066" t="s">
        <v>22</v>
      </c>
    </row>
    <row r="7067" spans="1:14">
      <c r="A7067" s="4" t="str">
        <f t="shared" si="649"/>
        <v>EXP00245</v>
      </c>
      <c r="B7067" s="4" t="str">
        <f t="shared" si="646"/>
        <v>26537449</v>
      </c>
      <c r="C7067" s="4" t="str">
        <f t="shared" si="647"/>
        <v>GSE61723</v>
      </c>
      <c r="D7067" s="1" t="s">
        <v>348</v>
      </c>
      <c r="E7067" t="s">
        <v>352</v>
      </c>
      <c r="F7067" s="1">
        <v>1</v>
      </c>
      <c r="G7067" s="1" t="s">
        <v>26</v>
      </c>
      <c r="H7067" s="4" t="str">
        <f>HYPERLINK("https://www.ncbi.nlm.nih.gov/geo/query/acc.cgi?acc=GSM1511776","GSM1511776")</f>
        <v>GSM1511776</v>
      </c>
      <c r="I7067" t="s">
        <v>17</v>
      </c>
      <c r="J7067" t="s">
        <v>350</v>
      </c>
      <c r="K7067" t="s">
        <v>19</v>
      </c>
      <c r="L7067" t="s">
        <v>20</v>
      </c>
      <c r="M7067" t="s">
        <v>24</v>
      </c>
      <c r="N7067" t="s">
        <v>22</v>
      </c>
    </row>
    <row r="7068" spans="1:14">
      <c r="A7068" s="4" t="str">
        <f t="shared" si="649"/>
        <v>EXP00245</v>
      </c>
      <c r="B7068" s="4" t="str">
        <f t="shared" si="646"/>
        <v>26537449</v>
      </c>
      <c r="C7068" s="4" t="str">
        <f t="shared" si="647"/>
        <v>GSE61723</v>
      </c>
      <c r="D7068" s="1" t="s">
        <v>348</v>
      </c>
      <c r="E7068" t="s">
        <v>352</v>
      </c>
      <c r="F7068" s="1">
        <v>1</v>
      </c>
      <c r="G7068" s="1" t="s">
        <v>26</v>
      </c>
      <c r="H7068" s="4" t="str">
        <f>HYPERLINK("https://www.ncbi.nlm.nih.gov/geo/query/acc.cgi?acc=GSM1511783","GSM1511783")</f>
        <v>GSM1511783</v>
      </c>
      <c r="I7068" t="s">
        <v>17</v>
      </c>
      <c r="J7068" t="s">
        <v>350</v>
      </c>
      <c r="K7068" t="s">
        <v>19</v>
      </c>
      <c r="L7068" t="s">
        <v>20</v>
      </c>
      <c r="M7068" t="s">
        <v>24</v>
      </c>
      <c r="N7068" t="s">
        <v>22</v>
      </c>
    </row>
    <row r="7069" spans="1:14">
      <c r="A7069" s="4" t="str">
        <f t="shared" si="649"/>
        <v>EXP00245</v>
      </c>
      <c r="B7069" s="4" t="str">
        <f t="shared" si="646"/>
        <v>26537449</v>
      </c>
      <c r="C7069" s="4" t="str">
        <f t="shared" si="647"/>
        <v>GSE61723</v>
      </c>
      <c r="D7069" s="1" t="s">
        <v>348</v>
      </c>
      <c r="E7069" t="s">
        <v>352</v>
      </c>
      <c r="F7069" s="1">
        <v>1</v>
      </c>
      <c r="G7069" s="1" t="s">
        <v>26</v>
      </c>
      <c r="H7069" s="4" t="str">
        <f>HYPERLINK("https://www.ncbi.nlm.nih.gov/geo/query/acc.cgi?acc=GSM1511791","GSM1511791")</f>
        <v>GSM1511791</v>
      </c>
      <c r="I7069" t="s">
        <v>17</v>
      </c>
      <c r="J7069" t="s">
        <v>350</v>
      </c>
      <c r="K7069" t="s">
        <v>19</v>
      </c>
      <c r="L7069" t="s">
        <v>20</v>
      </c>
      <c r="M7069" t="s">
        <v>24</v>
      </c>
      <c r="N7069" t="s">
        <v>22</v>
      </c>
    </row>
    <row r="7070" spans="1:14">
      <c r="A7070" s="4" t="str">
        <f t="shared" si="649"/>
        <v>EXP00245</v>
      </c>
      <c r="B7070" s="4" t="str">
        <f t="shared" si="646"/>
        <v>26537449</v>
      </c>
      <c r="C7070" s="4" t="str">
        <f t="shared" si="647"/>
        <v>GSE61723</v>
      </c>
      <c r="D7070" s="1" t="s">
        <v>348</v>
      </c>
      <c r="E7070" t="s">
        <v>352</v>
      </c>
      <c r="F7070" s="1">
        <v>1</v>
      </c>
      <c r="G7070" s="1" t="s">
        <v>26</v>
      </c>
      <c r="H7070" s="4" t="str">
        <f>HYPERLINK("https://www.ncbi.nlm.nih.gov/geo/query/acc.cgi?acc=GSM1511793","GSM1511793")</f>
        <v>GSM1511793</v>
      </c>
      <c r="I7070" t="s">
        <v>17</v>
      </c>
      <c r="J7070" t="s">
        <v>350</v>
      </c>
      <c r="K7070" t="s">
        <v>19</v>
      </c>
      <c r="L7070" t="s">
        <v>20</v>
      </c>
      <c r="M7070" t="s">
        <v>24</v>
      </c>
      <c r="N7070" t="s">
        <v>22</v>
      </c>
    </row>
    <row r="7071" spans="1:14">
      <c r="A7071" s="4" t="str">
        <f t="shared" si="649"/>
        <v>EXP00245</v>
      </c>
      <c r="B7071" s="4" t="str">
        <f t="shared" si="646"/>
        <v>26537449</v>
      </c>
      <c r="C7071" s="4" t="str">
        <f t="shared" si="647"/>
        <v>GSE61723</v>
      </c>
      <c r="D7071" s="1" t="s">
        <v>348</v>
      </c>
      <c r="E7071" t="s">
        <v>352</v>
      </c>
      <c r="F7071" s="1">
        <v>1</v>
      </c>
      <c r="G7071" s="1" t="s">
        <v>26</v>
      </c>
      <c r="H7071" s="4" t="str">
        <f>HYPERLINK("https://www.ncbi.nlm.nih.gov/geo/query/acc.cgi?acc=GSM1511795","GSM1511795")</f>
        <v>GSM1511795</v>
      </c>
      <c r="I7071" t="s">
        <v>17</v>
      </c>
      <c r="J7071" t="s">
        <v>350</v>
      </c>
      <c r="K7071" t="s">
        <v>19</v>
      </c>
      <c r="L7071" t="s">
        <v>20</v>
      </c>
      <c r="M7071" t="s">
        <v>24</v>
      </c>
      <c r="N7071" t="s">
        <v>22</v>
      </c>
    </row>
    <row r="7072" spans="1:14">
      <c r="A7072" s="4" t="str">
        <f t="shared" si="649"/>
        <v>EXP00245</v>
      </c>
      <c r="B7072" s="4" t="str">
        <f t="shared" si="646"/>
        <v>26537449</v>
      </c>
      <c r="C7072" s="4" t="str">
        <f t="shared" si="647"/>
        <v>GSE61723</v>
      </c>
      <c r="D7072" s="1" t="s">
        <v>348</v>
      </c>
      <c r="E7072" t="s">
        <v>352</v>
      </c>
      <c r="F7072" s="1">
        <v>1</v>
      </c>
      <c r="G7072" s="1" t="s">
        <v>26</v>
      </c>
      <c r="H7072" s="4" t="str">
        <f>HYPERLINK("https://www.ncbi.nlm.nih.gov/geo/query/acc.cgi?acc=GSM1511798","GSM1511798")</f>
        <v>GSM1511798</v>
      </c>
      <c r="I7072" t="s">
        <v>17</v>
      </c>
      <c r="J7072" t="s">
        <v>350</v>
      </c>
      <c r="K7072" t="s">
        <v>19</v>
      </c>
      <c r="L7072" t="s">
        <v>20</v>
      </c>
      <c r="M7072" t="s">
        <v>24</v>
      </c>
      <c r="N7072" t="s">
        <v>22</v>
      </c>
    </row>
    <row r="7073" spans="1:14">
      <c r="A7073" s="4" t="str">
        <f t="shared" si="649"/>
        <v>EXP00245</v>
      </c>
      <c r="B7073" s="4" t="str">
        <f t="shared" si="646"/>
        <v>26537449</v>
      </c>
      <c r="C7073" s="4" t="str">
        <f t="shared" si="647"/>
        <v>GSE61723</v>
      </c>
      <c r="D7073" s="1" t="s">
        <v>348</v>
      </c>
      <c r="E7073" t="s">
        <v>352</v>
      </c>
      <c r="F7073" s="1">
        <v>1</v>
      </c>
      <c r="G7073" s="1" t="s">
        <v>26</v>
      </c>
      <c r="H7073" s="4" t="str">
        <f>HYPERLINK("https://www.ncbi.nlm.nih.gov/geo/query/acc.cgi?acc=GSM1511801","GSM1511801")</f>
        <v>GSM1511801</v>
      </c>
      <c r="I7073" t="s">
        <v>17</v>
      </c>
      <c r="J7073" t="s">
        <v>350</v>
      </c>
      <c r="K7073" t="s">
        <v>19</v>
      </c>
      <c r="L7073" t="s">
        <v>20</v>
      </c>
      <c r="M7073" t="s">
        <v>24</v>
      </c>
      <c r="N7073" t="s">
        <v>22</v>
      </c>
    </row>
    <row r="7074" spans="1:14">
      <c r="A7074" s="4" t="str">
        <f t="shared" si="649"/>
        <v>EXP00245</v>
      </c>
      <c r="B7074" s="4" t="str">
        <f t="shared" si="646"/>
        <v>26537449</v>
      </c>
      <c r="C7074" s="4" t="str">
        <f t="shared" si="647"/>
        <v>GSE61723</v>
      </c>
      <c r="D7074" s="1" t="s">
        <v>348</v>
      </c>
      <c r="E7074" t="s">
        <v>352</v>
      </c>
      <c r="F7074" s="1">
        <v>2</v>
      </c>
      <c r="G7074" s="1" t="s">
        <v>28</v>
      </c>
      <c r="H7074" s="4" t="str">
        <f>HYPERLINK("https://www.ncbi.nlm.nih.gov/geo/query/acc.cgi?acc=GSM1511743","GSM1511743")</f>
        <v>GSM1511743</v>
      </c>
      <c r="I7074" t="s">
        <v>17</v>
      </c>
      <c r="J7074" t="s">
        <v>350</v>
      </c>
      <c r="K7074" t="s">
        <v>19</v>
      </c>
      <c r="L7074" t="s">
        <v>20</v>
      </c>
      <c r="M7074" t="s">
        <v>24</v>
      </c>
      <c r="N7074" t="s">
        <v>29</v>
      </c>
    </row>
    <row r="7075" spans="1:14">
      <c r="A7075" s="4" t="str">
        <f t="shared" si="649"/>
        <v>EXP00245</v>
      </c>
      <c r="B7075" s="4" t="str">
        <f t="shared" si="646"/>
        <v>26537449</v>
      </c>
      <c r="C7075" s="4" t="str">
        <f t="shared" si="647"/>
        <v>GSE61723</v>
      </c>
      <c r="D7075" s="1" t="s">
        <v>348</v>
      </c>
      <c r="E7075" t="s">
        <v>352</v>
      </c>
      <c r="F7075" s="1">
        <v>2</v>
      </c>
      <c r="G7075" s="1" t="s">
        <v>28</v>
      </c>
      <c r="H7075" s="4" t="str">
        <f>HYPERLINK("https://www.ncbi.nlm.nih.gov/geo/query/acc.cgi?acc=GSM1511748","GSM1511748")</f>
        <v>GSM1511748</v>
      </c>
      <c r="I7075" t="s">
        <v>17</v>
      </c>
      <c r="J7075" t="s">
        <v>350</v>
      </c>
      <c r="K7075" t="s">
        <v>19</v>
      </c>
      <c r="L7075" t="s">
        <v>20</v>
      </c>
      <c r="M7075" t="s">
        <v>24</v>
      </c>
      <c r="N7075" t="s">
        <v>29</v>
      </c>
    </row>
    <row r="7076" spans="1:14">
      <c r="A7076" s="4" t="str">
        <f t="shared" si="649"/>
        <v>EXP00245</v>
      </c>
      <c r="B7076" s="4" t="str">
        <f t="shared" si="646"/>
        <v>26537449</v>
      </c>
      <c r="C7076" s="4" t="str">
        <f t="shared" si="647"/>
        <v>GSE61723</v>
      </c>
      <c r="D7076" s="1" t="s">
        <v>348</v>
      </c>
      <c r="E7076" t="s">
        <v>352</v>
      </c>
      <c r="F7076" s="1">
        <v>2</v>
      </c>
      <c r="G7076" s="1" t="s">
        <v>28</v>
      </c>
      <c r="H7076" s="4" t="str">
        <f>HYPERLINK("https://www.ncbi.nlm.nih.gov/geo/query/acc.cgi?acc=GSM1511753","GSM1511753")</f>
        <v>GSM1511753</v>
      </c>
      <c r="I7076" t="s">
        <v>17</v>
      </c>
      <c r="J7076" t="s">
        <v>350</v>
      </c>
      <c r="K7076" t="s">
        <v>19</v>
      </c>
      <c r="L7076" t="s">
        <v>20</v>
      </c>
      <c r="M7076" t="s">
        <v>24</v>
      </c>
      <c r="N7076" t="s">
        <v>29</v>
      </c>
    </row>
    <row r="7077" spans="1:14">
      <c r="A7077" s="4" t="str">
        <f t="shared" si="649"/>
        <v>EXP00245</v>
      </c>
      <c r="B7077" s="4" t="str">
        <f t="shared" ref="B7077:B7140" si="650">HYPERLINK("https://www.ncbi.nlm.nih.gov/pubmed/26537449","26537449")</f>
        <v>26537449</v>
      </c>
      <c r="C7077" s="4" t="str">
        <f t="shared" ref="C7077:C7140" si="651">HYPERLINK("https://www.ncbi.nlm.nih.gov/geo/query/acc.cgi?acc=GSE61723","GSE61723")</f>
        <v>GSE61723</v>
      </c>
      <c r="D7077" s="1" t="s">
        <v>348</v>
      </c>
      <c r="E7077" t="s">
        <v>352</v>
      </c>
      <c r="F7077" s="1">
        <v>2</v>
      </c>
      <c r="G7077" s="1" t="s">
        <v>28</v>
      </c>
      <c r="H7077" s="4" t="str">
        <f>HYPERLINK("https://www.ncbi.nlm.nih.gov/geo/query/acc.cgi?acc=GSM1511758","GSM1511758")</f>
        <v>GSM1511758</v>
      </c>
      <c r="I7077" t="s">
        <v>17</v>
      </c>
      <c r="J7077" t="s">
        <v>350</v>
      </c>
      <c r="K7077" t="s">
        <v>19</v>
      </c>
      <c r="L7077" t="s">
        <v>20</v>
      </c>
      <c r="M7077" t="s">
        <v>24</v>
      </c>
      <c r="N7077" t="s">
        <v>29</v>
      </c>
    </row>
    <row r="7078" spans="1:14">
      <c r="A7078" s="4" t="str">
        <f t="shared" si="649"/>
        <v>EXP00245</v>
      </c>
      <c r="B7078" s="4" t="str">
        <f t="shared" si="650"/>
        <v>26537449</v>
      </c>
      <c r="C7078" s="4" t="str">
        <f t="shared" si="651"/>
        <v>GSE61723</v>
      </c>
      <c r="D7078" s="1" t="s">
        <v>348</v>
      </c>
      <c r="E7078" t="s">
        <v>352</v>
      </c>
      <c r="F7078" s="1">
        <v>2</v>
      </c>
      <c r="G7078" s="1" t="s">
        <v>28</v>
      </c>
      <c r="H7078" s="4" t="str">
        <f>HYPERLINK("https://www.ncbi.nlm.nih.gov/geo/query/acc.cgi?acc=GSM1511764","GSM1511764")</f>
        <v>GSM1511764</v>
      </c>
      <c r="I7078" t="s">
        <v>17</v>
      </c>
      <c r="J7078" t="s">
        <v>350</v>
      </c>
      <c r="K7078" t="s">
        <v>19</v>
      </c>
      <c r="L7078" t="s">
        <v>20</v>
      </c>
      <c r="M7078" t="s">
        <v>24</v>
      </c>
      <c r="N7078" t="s">
        <v>29</v>
      </c>
    </row>
    <row r="7079" spans="1:14">
      <c r="A7079" s="4" t="str">
        <f t="shared" si="649"/>
        <v>EXP00245</v>
      </c>
      <c r="B7079" s="4" t="str">
        <f t="shared" si="650"/>
        <v>26537449</v>
      </c>
      <c r="C7079" s="4" t="str">
        <f t="shared" si="651"/>
        <v>GSE61723</v>
      </c>
      <c r="D7079" s="1" t="s">
        <v>348</v>
      </c>
      <c r="E7079" t="s">
        <v>352</v>
      </c>
      <c r="F7079" s="1">
        <v>2</v>
      </c>
      <c r="G7079" s="1" t="s">
        <v>28</v>
      </c>
      <c r="H7079" s="4" t="str">
        <f>HYPERLINK("https://www.ncbi.nlm.nih.gov/geo/query/acc.cgi?acc=GSM1511767","GSM1511767")</f>
        <v>GSM1511767</v>
      </c>
      <c r="I7079" t="s">
        <v>17</v>
      </c>
      <c r="J7079" t="s">
        <v>350</v>
      </c>
      <c r="K7079" t="s">
        <v>19</v>
      </c>
      <c r="L7079" t="s">
        <v>20</v>
      </c>
      <c r="M7079" t="s">
        <v>24</v>
      </c>
      <c r="N7079" t="s">
        <v>29</v>
      </c>
    </row>
    <row r="7080" spans="1:14">
      <c r="A7080" s="4" t="str">
        <f t="shared" si="649"/>
        <v>EXP00245</v>
      </c>
      <c r="B7080" s="4" t="str">
        <f t="shared" si="650"/>
        <v>26537449</v>
      </c>
      <c r="C7080" s="4" t="str">
        <f t="shared" si="651"/>
        <v>GSE61723</v>
      </c>
      <c r="D7080" s="1" t="s">
        <v>348</v>
      </c>
      <c r="E7080" t="s">
        <v>352</v>
      </c>
      <c r="F7080" s="1">
        <v>2</v>
      </c>
      <c r="G7080" s="1" t="s">
        <v>28</v>
      </c>
      <c r="H7080" s="4" t="str">
        <f>HYPERLINK("https://www.ncbi.nlm.nih.gov/geo/query/acc.cgi?acc=GSM1511770","GSM1511770")</f>
        <v>GSM1511770</v>
      </c>
      <c r="I7080" t="s">
        <v>17</v>
      </c>
      <c r="J7080" t="s">
        <v>350</v>
      </c>
      <c r="K7080" t="s">
        <v>19</v>
      </c>
      <c r="L7080" t="s">
        <v>20</v>
      </c>
      <c r="M7080" t="s">
        <v>24</v>
      </c>
      <c r="N7080" t="s">
        <v>29</v>
      </c>
    </row>
    <row r="7081" spans="1:14">
      <c r="A7081" s="4" t="str">
        <f t="shared" si="649"/>
        <v>EXP00245</v>
      </c>
      <c r="B7081" s="4" t="str">
        <f t="shared" si="650"/>
        <v>26537449</v>
      </c>
      <c r="C7081" s="4" t="str">
        <f t="shared" si="651"/>
        <v>GSE61723</v>
      </c>
      <c r="D7081" s="1" t="s">
        <v>348</v>
      </c>
      <c r="E7081" t="s">
        <v>352</v>
      </c>
      <c r="F7081" s="1">
        <v>2</v>
      </c>
      <c r="G7081" s="1" t="s">
        <v>28</v>
      </c>
      <c r="H7081" s="4" t="str">
        <f>HYPERLINK("https://www.ncbi.nlm.nih.gov/geo/query/acc.cgi?acc=GSM1511775","GSM1511775")</f>
        <v>GSM1511775</v>
      </c>
      <c r="I7081" t="s">
        <v>17</v>
      </c>
      <c r="J7081" t="s">
        <v>350</v>
      </c>
      <c r="K7081" t="s">
        <v>19</v>
      </c>
      <c r="L7081" t="s">
        <v>20</v>
      </c>
      <c r="M7081" t="s">
        <v>24</v>
      </c>
      <c r="N7081" t="s">
        <v>29</v>
      </c>
    </row>
    <row r="7082" spans="1:14">
      <c r="A7082" s="4" t="str">
        <f t="shared" si="649"/>
        <v>EXP00245</v>
      </c>
      <c r="B7082" s="4" t="str">
        <f t="shared" si="650"/>
        <v>26537449</v>
      </c>
      <c r="C7082" s="4" t="str">
        <f t="shared" si="651"/>
        <v>GSE61723</v>
      </c>
      <c r="D7082" s="1" t="s">
        <v>348</v>
      </c>
      <c r="E7082" t="s">
        <v>352</v>
      </c>
      <c r="F7082" s="1">
        <v>2</v>
      </c>
      <c r="G7082" s="1" t="s">
        <v>28</v>
      </c>
      <c r="H7082" s="4" t="str">
        <f>HYPERLINK("https://www.ncbi.nlm.nih.gov/geo/query/acc.cgi?acc=GSM1511782","GSM1511782")</f>
        <v>GSM1511782</v>
      </c>
      <c r="I7082" t="s">
        <v>17</v>
      </c>
      <c r="J7082" t="s">
        <v>350</v>
      </c>
      <c r="K7082" t="s">
        <v>19</v>
      </c>
      <c r="L7082" t="s">
        <v>20</v>
      </c>
      <c r="M7082" t="s">
        <v>24</v>
      </c>
      <c r="N7082" t="s">
        <v>29</v>
      </c>
    </row>
    <row r="7083" spans="1:14">
      <c r="A7083" s="4" t="str">
        <f t="shared" si="649"/>
        <v>EXP00245</v>
      </c>
      <c r="B7083" s="4" t="str">
        <f t="shared" si="650"/>
        <v>26537449</v>
      </c>
      <c r="C7083" s="4" t="str">
        <f t="shared" si="651"/>
        <v>GSE61723</v>
      </c>
      <c r="D7083" s="1" t="s">
        <v>348</v>
      </c>
      <c r="E7083" t="s">
        <v>352</v>
      </c>
      <c r="F7083" s="1">
        <v>2</v>
      </c>
      <c r="G7083" s="1" t="s">
        <v>28</v>
      </c>
      <c r="H7083" s="4" t="str">
        <f>HYPERLINK("https://www.ncbi.nlm.nih.gov/geo/query/acc.cgi?acc=GSM1511790","GSM1511790")</f>
        <v>GSM1511790</v>
      </c>
      <c r="I7083" t="s">
        <v>17</v>
      </c>
      <c r="J7083" t="s">
        <v>350</v>
      </c>
      <c r="K7083" t="s">
        <v>19</v>
      </c>
      <c r="L7083" t="s">
        <v>20</v>
      </c>
      <c r="M7083" t="s">
        <v>24</v>
      </c>
      <c r="N7083" t="s">
        <v>29</v>
      </c>
    </row>
    <row r="7084" spans="1:14">
      <c r="A7084" s="4" t="str">
        <f t="shared" si="649"/>
        <v>EXP00245</v>
      </c>
      <c r="B7084" s="4" t="str">
        <f t="shared" si="650"/>
        <v>26537449</v>
      </c>
      <c r="C7084" s="4" t="str">
        <f t="shared" si="651"/>
        <v>GSE61723</v>
      </c>
      <c r="D7084" s="1" t="s">
        <v>348</v>
      </c>
      <c r="E7084" t="s">
        <v>352</v>
      </c>
      <c r="F7084" s="1">
        <v>2</v>
      </c>
      <c r="G7084" s="1" t="s">
        <v>28</v>
      </c>
      <c r="H7084" s="4" t="str">
        <f>HYPERLINK("https://www.ncbi.nlm.nih.gov/geo/query/acc.cgi?acc=GSM1511794","GSM1511794")</f>
        <v>GSM1511794</v>
      </c>
      <c r="I7084" t="s">
        <v>17</v>
      </c>
      <c r="J7084" t="s">
        <v>350</v>
      </c>
      <c r="K7084" t="s">
        <v>19</v>
      </c>
      <c r="L7084" t="s">
        <v>20</v>
      </c>
      <c r="M7084" t="s">
        <v>24</v>
      </c>
      <c r="N7084" t="s">
        <v>29</v>
      </c>
    </row>
    <row r="7085" spans="1:14">
      <c r="A7085" s="4" t="str">
        <f t="shared" si="649"/>
        <v>EXP00245</v>
      </c>
      <c r="B7085" s="4" t="str">
        <f t="shared" si="650"/>
        <v>26537449</v>
      </c>
      <c r="C7085" s="4" t="str">
        <f t="shared" si="651"/>
        <v>GSE61723</v>
      </c>
      <c r="D7085" s="1" t="s">
        <v>348</v>
      </c>
      <c r="E7085" t="s">
        <v>352</v>
      </c>
      <c r="F7085" s="1">
        <v>2</v>
      </c>
      <c r="G7085" s="1" t="s">
        <v>28</v>
      </c>
      <c r="H7085" s="4" t="str">
        <f>HYPERLINK("https://www.ncbi.nlm.nih.gov/geo/query/acc.cgi?acc=GSM1511797","GSM1511797")</f>
        <v>GSM1511797</v>
      </c>
      <c r="I7085" t="s">
        <v>17</v>
      </c>
      <c r="J7085" t="s">
        <v>350</v>
      </c>
      <c r="K7085" t="s">
        <v>19</v>
      </c>
      <c r="L7085" t="s">
        <v>20</v>
      </c>
      <c r="M7085" t="s">
        <v>24</v>
      </c>
      <c r="N7085" t="s">
        <v>29</v>
      </c>
    </row>
    <row r="7086" spans="1:14">
      <c r="A7086" s="4" t="str">
        <f t="shared" ref="A7086:A7105" si="652">HYPERLINK("http://hcmdb.i-sanger.com/experiment/details/experiment_id/EXP00246","EXP00246")</f>
        <v>EXP00246</v>
      </c>
      <c r="B7086" s="4" t="str">
        <f t="shared" si="650"/>
        <v>26537449</v>
      </c>
      <c r="C7086" s="4" t="str">
        <f t="shared" si="651"/>
        <v>GSE61723</v>
      </c>
      <c r="D7086" s="1" t="s">
        <v>348</v>
      </c>
      <c r="E7086" t="s">
        <v>353</v>
      </c>
      <c r="F7086" s="1">
        <v>1</v>
      </c>
      <c r="G7086" s="1" t="s">
        <v>36</v>
      </c>
      <c r="H7086" s="4" t="str">
        <f>HYPERLINK("https://www.ncbi.nlm.nih.gov/geo/query/acc.cgi?acc=GSM1511745","GSM1511745")</f>
        <v>GSM1511745</v>
      </c>
      <c r="I7086" t="s">
        <v>17</v>
      </c>
      <c r="J7086" t="s">
        <v>350</v>
      </c>
      <c r="K7086" t="s">
        <v>19</v>
      </c>
      <c r="L7086" t="s">
        <v>20</v>
      </c>
      <c r="M7086" t="s">
        <v>24</v>
      </c>
      <c r="N7086" t="s">
        <v>37</v>
      </c>
    </row>
    <row r="7087" spans="1:14">
      <c r="A7087" s="4" t="str">
        <f t="shared" si="652"/>
        <v>EXP00246</v>
      </c>
      <c r="B7087" s="4" t="str">
        <f t="shared" si="650"/>
        <v>26537449</v>
      </c>
      <c r="C7087" s="4" t="str">
        <f t="shared" si="651"/>
        <v>GSE61723</v>
      </c>
      <c r="D7087" s="1" t="s">
        <v>348</v>
      </c>
      <c r="E7087" t="s">
        <v>353</v>
      </c>
      <c r="F7087" s="1">
        <v>1</v>
      </c>
      <c r="G7087" s="1" t="s">
        <v>36</v>
      </c>
      <c r="H7087" s="4" t="str">
        <f>HYPERLINK("https://www.ncbi.nlm.nih.gov/geo/query/acc.cgi?acc=GSM1511750","GSM1511750")</f>
        <v>GSM1511750</v>
      </c>
      <c r="I7087" t="s">
        <v>17</v>
      </c>
      <c r="J7087" t="s">
        <v>350</v>
      </c>
      <c r="K7087" t="s">
        <v>19</v>
      </c>
      <c r="L7087" t="s">
        <v>20</v>
      </c>
      <c r="M7087" t="s">
        <v>24</v>
      </c>
      <c r="N7087" t="s">
        <v>37</v>
      </c>
    </row>
    <row r="7088" spans="1:14">
      <c r="A7088" s="4" t="str">
        <f t="shared" si="652"/>
        <v>EXP00246</v>
      </c>
      <c r="B7088" s="4" t="str">
        <f t="shared" si="650"/>
        <v>26537449</v>
      </c>
      <c r="C7088" s="4" t="str">
        <f t="shared" si="651"/>
        <v>GSE61723</v>
      </c>
      <c r="D7088" s="1" t="s">
        <v>348</v>
      </c>
      <c r="E7088" t="s">
        <v>353</v>
      </c>
      <c r="F7088" s="1">
        <v>1</v>
      </c>
      <c r="G7088" s="1" t="s">
        <v>36</v>
      </c>
      <c r="H7088" s="4" t="str">
        <f>HYPERLINK("https://www.ncbi.nlm.nih.gov/geo/query/acc.cgi?acc=GSM1511755","GSM1511755")</f>
        <v>GSM1511755</v>
      </c>
      <c r="I7088" t="s">
        <v>17</v>
      </c>
      <c r="J7088" t="s">
        <v>350</v>
      </c>
      <c r="K7088" t="s">
        <v>19</v>
      </c>
      <c r="L7088" t="s">
        <v>20</v>
      </c>
      <c r="M7088" t="s">
        <v>24</v>
      </c>
      <c r="N7088" t="s">
        <v>37</v>
      </c>
    </row>
    <row r="7089" spans="1:14">
      <c r="A7089" s="4" t="str">
        <f t="shared" si="652"/>
        <v>EXP00246</v>
      </c>
      <c r="B7089" s="4" t="str">
        <f t="shared" si="650"/>
        <v>26537449</v>
      </c>
      <c r="C7089" s="4" t="str">
        <f t="shared" si="651"/>
        <v>GSE61723</v>
      </c>
      <c r="D7089" s="1" t="s">
        <v>348</v>
      </c>
      <c r="E7089" t="s">
        <v>353</v>
      </c>
      <c r="F7089" s="1">
        <v>1</v>
      </c>
      <c r="G7089" s="1" t="s">
        <v>36</v>
      </c>
      <c r="H7089" s="4" t="str">
        <f>HYPERLINK("https://www.ncbi.nlm.nih.gov/geo/query/acc.cgi?acc=GSM1511760","GSM1511760")</f>
        <v>GSM1511760</v>
      </c>
      <c r="I7089" t="s">
        <v>17</v>
      </c>
      <c r="J7089" t="s">
        <v>350</v>
      </c>
      <c r="K7089" t="s">
        <v>19</v>
      </c>
      <c r="L7089" t="s">
        <v>20</v>
      </c>
      <c r="M7089" t="s">
        <v>24</v>
      </c>
      <c r="N7089" t="s">
        <v>37</v>
      </c>
    </row>
    <row r="7090" spans="1:14">
      <c r="A7090" s="4" t="str">
        <f t="shared" si="652"/>
        <v>EXP00246</v>
      </c>
      <c r="B7090" s="4" t="str">
        <f t="shared" si="650"/>
        <v>26537449</v>
      </c>
      <c r="C7090" s="4" t="str">
        <f t="shared" si="651"/>
        <v>GSE61723</v>
      </c>
      <c r="D7090" s="1" t="s">
        <v>348</v>
      </c>
      <c r="E7090" t="s">
        <v>353</v>
      </c>
      <c r="F7090" s="1">
        <v>1</v>
      </c>
      <c r="G7090" s="1" t="s">
        <v>36</v>
      </c>
      <c r="H7090" s="4" t="str">
        <f>HYPERLINK("https://www.ncbi.nlm.nih.gov/geo/query/acc.cgi?acc=GSM1511772","GSM1511772")</f>
        <v>GSM1511772</v>
      </c>
      <c r="I7090" t="s">
        <v>17</v>
      </c>
      <c r="J7090" t="s">
        <v>350</v>
      </c>
      <c r="K7090" t="s">
        <v>19</v>
      </c>
      <c r="L7090" t="s">
        <v>20</v>
      </c>
      <c r="M7090" t="s">
        <v>24</v>
      </c>
      <c r="N7090" t="s">
        <v>37</v>
      </c>
    </row>
    <row r="7091" spans="1:14">
      <c r="A7091" s="4" t="str">
        <f t="shared" si="652"/>
        <v>EXP00246</v>
      </c>
      <c r="B7091" s="4" t="str">
        <f t="shared" si="650"/>
        <v>26537449</v>
      </c>
      <c r="C7091" s="4" t="str">
        <f t="shared" si="651"/>
        <v>GSE61723</v>
      </c>
      <c r="D7091" s="1" t="s">
        <v>348</v>
      </c>
      <c r="E7091" t="s">
        <v>353</v>
      </c>
      <c r="F7091" s="1">
        <v>1</v>
      </c>
      <c r="G7091" s="1" t="s">
        <v>36</v>
      </c>
      <c r="H7091" s="4" t="str">
        <f>HYPERLINK("https://www.ncbi.nlm.nih.gov/geo/query/acc.cgi?acc=GSM1511792","GSM1511792")</f>
        <v>GSM1511792</v>
      </c>
      <c r="I7091" t="s">
        <v>17</v>
      </c>
      <c r="J7091" t="s">
        <v>350</v>
      </c>
      <c r="K7091" t="s">
        <v>19</v>
      </c>
      <c r="L7091" t="s">
        <v>20</v>
      </c>
      <c r="M7091" t="s">
        <v>24</v>
      </c>
      <c r="N7091" t="s">
        <v>37</v>
      </c>
    </row>
    <row r="7092" spans="1:14">
      <c r="A7092" s="4" t="str">
        <f t="shared" si="652"/>
        <v>EXP00246</v>
      </c>
      <c r="B7092" s="4" t="str">
        <f t="shared" si="650"/>
        <v>26537449</v>
      </c>
      <c r="C7092" s="4" t="str">
        <f t="shared" si="651"/>
        <v>GSE61723</v>
      </c>
      <c r="D7092" s="1" t="s">
        <v>348</v>
      </c>
      <c r="E7092" t="s">
        <v>353</v>
      </c>
      <c r="F7092" s="1">
        <v>1</v>
      </c>
      <c r="G7092" s="1" t="s">
        <v>36</v>
      </c>
      <c r="H7092" s="4" t="str">
        <f>HYPERLINK("https://www.ncbi.nlm.nih.gov/geo/query/acc.cgi?acc=GSM1511796","GSM1511796")</f>
        <v>GSM1511796</v>
      </c>
      <c r="I7092" t="s">
        <v>17</v>
      </c>
      <c r="J7092" t="s">
        <v>350</v>
      </c>
      <c r="K7092" t="s">
        <v>19</v>
      </c>
      <c r="L7092" t="s">
        <v>20</v>
      </c>
      <c r="M7092" t="s">
        <v>24</v>
      </c>
      <c r="N7092" t="s">
        <v>37</v>
      </c>
    </row>
    <row r="7093" spans="1:14">
      <c r="A7093" s="4" t="str">
        <f t="shared" si="652"/>
        <v>EXP00246</v>
      </c>
      <c r="B7093" s="4" t="str">
        <f t="shared" si="650"/>
        <v>26537449</v>
      </c>
      <c r="C7093" s="4" t="str">
        <f t="shared" si="651"/>
        <v>GSE61723</v>
      </c>
      <c r="D7093" s="1" t="s">
        <v>348</v>
      </c>
      <c r="E7093" t="s">
        <v>353</v>
      </c>
      <c r="F7093" s="1">
        <v>1</v>
      </c>
      <c r="G7093" s="1" t="s">
        <v>36</v>
      </c>
      <c r="H7093" s="4" t="str">
        <f>HYPERLINK("https://www.ncbi.nlm.nih.gov/geo/query/acc.cgi?acc=GSM1511799","GSM1511799")</f>
        <v>GSM1511799</v>
      </c>
      <c r="I7093" t="s">
        <v>17</v>
      </c>
      <c r="J7093" t="s">
        <v>350</v>
      </c>
      <c r="K7093" t="s">
        <v>19</v>
      </c>
      <c r="L7093" t="s">
        <v>20</v>
      </c>
      <c r="M7093" t="s">
        <v>24</v>
      </c>
      <c r="N7093" t="s">
        <v>37</v>
      </c>
    </row>
    <row r="7094" spans="1:14">
      <c r="A7094" s="4" t="str">
        <f t="shared" si="652"/>
        <v>EXP00246</v>
      </c>
      <c r="B7094" s="4" t="str">
        <f t="shared" si="650"/>
        <v>26537449</v>
      </c>
      <c r="C7094" s="4" t="str">
        <f t="shared" si="651"/>
        <v>GSE61723</v>
      </c>
      <c r="D7094" s="1" t="s">
        <v>348</v>
      </c>
      <c r="E7094" t="s">
        <v>353</v>
      </c>
      <c r="F7094" s="1">
        <v>2</v>
      </c>
      <c r="G7094" s="1" t="s">
        <v>28</v>
      </c>
      <c r="H7094" s="4" t="str">
        <f>HYPERLINK("https://www.ncbi.nlm.nih.gov/geo/query/acc.cgi?acc=GSM1511743","GSM1511743")</f>
        <v>GSM1511743</v>
      </c>
      <c r="I7094" t="s">
        <v>17</v>
      </c>
      <c r="J7094" t="s">
        <v>350</v>
      </c>
      <c r="K7094" t="s">
        <v>19</v>
      </c>
      <c r="L7094" t="s">
        <v>20</v>
      </c>
      <c r="M7094" t="s">
        <v>24</v>
      </c>
      <c r="N7094" t="s">
        <v>29</v>
      </c>
    </row>
    <row r="7095" spans="1:14">
      <c r="A7095" s="4" t="str">
        <f t="shared" si="652"/>
        <v>EXP00246</v>
      </c>
      <c r="B7095" s="4" t="str">
        <f t="shared" si="650"/>
        <v>26537449</v>
      </c>
      <c r="C7095" s="4" t="str">
        <f t="shared" si="651"/>
        <v>GSE61723</v>
      </c>
      <c r="D7095" s="1" t="s">
        <v>348</v>
      </c>
      <c r="E7095" t="s">
        <v>353</v>
      </c>
      <c r="F7095" s="1">
        <v>2</v>
      </c>
      <c r="G7095" s="1" t="s">
        <v>28</v>
      </c>
      <c r="H7095" s="4" t="str">
        <f>HYPERLINK("https://www.ncbi.nlm.nih.gov/geo/query/acc.cgi?acc=GSM1511748","GSM1511748")</f>
        <v>GSM1511748</v>
      </c>
      <c r="I7095" t="s">
        <v>17</v>
      </c>
      <c r="J7095" t="s">
        <v>350</v>
      </c>
      <c r="K7095" t="s">
        <v>19</v>
      </c>
      <c r="L7095" t="s">
        <v>20</v>
      </c>
      <c r="M7095" t="s">
        <v>24</v>
      </c>
      <c r="N7095" t="s">
        <v>29</v>
      </c>
    </row>
    <row r="7096" spans="1:14">
      <c r="A7096" s="4" t="str">
        <f t="shared" si="652"/>
        <v>EXP00246</v>
      </c>
      <c r="B7096" s="4" t="str">
        <f t="shared" si="650"/>
        <v>26537449</v>
      </c>
      <c r="C7096" s="4" t="str">
        <f t="shared" si="651"/>
        <v>GSE61723</v>
      </c>
      <c r="D7096" s="1" t="s">
        <v>348</v>
      </c>
      <c r="E7096" t="s">
        <v>353</v>
      </c>
      <c r="F7096" s="1">
        <v>2</v>
      </c>
      <c r="G7096" s="1" t="s">
        <v>28</v>
      </c>
      <c r="H7096" s="4" t="str">
        <f>HYPERLINK("https://www.ncbi.nlm.nih.gov/geo/query/acc.cgi?acc=GSM1511753","GSM1511753")</f>
        <v>GSM1511753</v>
      </c>
      <c r="I7096" t="s">
        <v>17</v>
      </c>
      <c r="J7096" t="s">
        <v>350</v>
      </c>
      <c r="K7096" t="s">
        <v>19</v>
      </c>
      <c r="L7096" t="s">
        <v>20</v>
      </c>
      <c r="M7096" t="s">
        <v>24</v>
      </c>
      <c r="N7096" t="s">
        <v>29</v>
      </c>
    </row>
    <row r="7097" spans="1:14">
      <c r="A7097" s="4" t="str">
        <f t="shared" si="652"/>
        <v>EXP00246</v>
      </c>
      <c r="B7097" s="4" t="str">
        <f t="shared" si="650"/>
        <v>26537449</v>
      </c>
      <c r="C7097" s="4" t="str">
        <f t="shared" si="651"/>
        <v>GSE61723</v>
      </c>
      <c r="D7097" s="1" t="s">
        <v>348</v>
      </c>
      <c r="E7097" t="s">
        <v>353</v>
      </c>
      <c r="F7097" s="1">
        <v>2</v>
      </c>
      <c r="G7097" s="1" t="s">
        <v>28</v>
      </c>
      <c r="H7097" s="4" t="str">
        <f>HYPERLINK("https://www.ncbi.nlm.nih.gov/geo/query/acc.cgi?acc=GSM1511758","GSM1511758")</f>
        <v>GSM1511758</v>
      </c>
      <c r="I7097" t="s">
        <v>17</v>
      </c>
      <c r="J7097" t="s">
        <v>350</v>
      </c>
      <c r="K7097" t="s">
        <v>19</v>
      </c>
      <c r="L7097" t="s">
        <v>20</v>
      </c>
      <c r="M7097" t="s">
        <v>24</v>
      </c>
      <c r="N7097" t="s">
        <v>29</v>
      </c>
    </row>
    <row r="7098" spans="1:14">
      <c r="A7098" s="4" t="str">
        <f t="shared" si="652"/>
        <v>EXP00246</v>
      </c>
      <c r="B7098" s="4" t="str">
        <f t="shared" si="650"/>
        <v>26537449</v>
      </c>
      <c r="C7098" s="4" t="str">
        <f t="shared" si="651"/>
        <v>GSE61723</v>
      </c>
      <c r="D7098" s="1" t="s">
        <v>348</v>
      </c>
      <c r="E7098" t="s">
        <v>353</v>
      </c>
      <c r="F7098" s="1">
        <v>2</v>
      </c>
      <c r="G7098" s="1" t="s">
        <v>28</v>
      </c>
      <c r="H7098" s="4" t="str">
        <f>HYPERLINK("https://www.ncbi.nlm.nih.gov/geo/query/acc.cgi?acc=GSM1511764","GSM1511764")</f>
        <v>GSM1511764</v>
      </c>
      <c r="I7098" t="s">
        <v>17</v>
      </c>
      <c r="J7098" t="s">
        <v>350</v>
      </c>
      <c r="K7098" t="s">
        <v>19</v>
      </c>
      <c r="L7098" t="s">
        <v>20</v>
      </c>
      <c r="M7098" t="s">
        <v>24</v>
      </c>
      <c r="N7098" t="s">
        <v>29</v>
      </c>
    </row>
    <row r="7099" spans="1:14">
      <c r="A7099" s="4" t="str">
        <f t="shared" si="652"/>
        <v>EXP00246</v>
      </c>
      <c r="B7099" s="4" t="str">
        <f t="shared" si="650"/>
        <v>26537449</v>
      </c>
      <c r="C7099" s="4" t="str">
        <f t="shared" si="651"/>
        <v>GSE61723</v>
      </c>
      <c r="D7099" s="1" t="s">
        <v>348</v>
      </c>
      <c r="E7099" t="s">
        <v>353</v>
      </c>
      <c r="F7099" s="1">
        <v>2</v>
      </c>
      <c r="G7099" s="1" t="s">
        <v>28</v>
      </c>
      <c r="H7099" s="4" t="str">
        <f>HYPERLINK("https://www.ncbi.nlm.nih.gov/geo/query/acc.cgi?acc=GSM1511767","GSM1511767")</f>
        <v>GSM1511767</v>
      </c>
      <c r="I7099" t="s">
        <v>17</v>
      </c>
      <c r="J7099" t="s">
        <v>350</v>
      </c>
      <c r="K7099" t="s">
        <v>19</v>
      </c>
      <c r="L7099" t="s">
        <v>20</v>
      </c>
      <c r="M7099" t="s">
        <v>24</v>
      </c>
      <c r="N7099" t="s">
        <v>29</v>
      </c>
    </row>
    <row r="7100" spans="1:14">
      <c r="A7100" s="4" t="str">
        <f t="shared" si="652"/>
        <v>EXP00246</v>
      </c>
      <c r="B7100" s="4" t="str">
        <f t="shared" si="650"/>
        <v>26537449</v>
      </c>
      <c r="C7100" s="4" t="str">
        <f t="shared" si="651"/>
        <v>GSE61723</v>
      </c>
      <c r="D7100" s="1" t="s">
        <v>348</v>
      </c>
      <c r="E7100" t="s">
        <v>353</v>
      </c>
      <c r="F7100" s="1">
        <v>2</v>
      </c>
      <c r="G7100" s="1" t="s">
        <v>28</v>
      </c>
      <c r="H7100" s="4" t="str">
        <f>HYPERLINK("https://www.ncbi.nlm.nih.gov/geo/query/acc.cgi?acc=GSM1511770","GSM1511770")</f>
        <v>GSM1511770</v>
      </c>
      <c r="I7100" t="s">
        <v>17</v>
      </c>
      <c r="J7100" t="s">
        <v>350</v>
      </c>
      <c r="K7100" t="s">
        <v>19</v>
      </c>
      <c r="L7100" t="s">
        <v>20</v>
      </c>
      <c r="M7100" t="s">
        <v>24</v>
      </c>
      <c r="N7100" t="s">
        <v>29</v>
      </c>
    </row>
    <row r="7101" spans="1:14">
      <c r="A7101" s="4" t="str">
        <f t="shared" si="652"/>
        <v>EXP00246</v>
      </c>
      <c r="B7101" s="4" t="str">
        <f t="shared" si="650"/>
        <v>26537449</v>
      </c>
      <c r="C7101" s="4" t="str">
        <f t="shared" si="651"/>
        <v>GSE61723</v>
      </c>
      <c r="D7101" s="1" t="s">
        <v>348</v>
      </c>
      <c r="E7101" t="s">
        <v>353</v>
      </c>
      <c r="F7101" s="1">
        <v>2</v>
      </c>
      <c r="G7101" s="1" t="s">
        <v>28</v>
      </c>
      <c r="H7101" s="4" t="str">
        <f>HYPERLINK("https://www.ncbi.nlm.nih.gov/geo/query/acc.cgi?acc=GSM1511775","GSM1511775")</f>
        <v>GSM1511775</v>
      </c>
      <c r="I7101" t="s">
        <v>17</v>
      </c>
      <c r="J7101" t="s">
        <v>350</v>
      </c>
      <c r="K7101" t="s">
        <v>19</v>
      </c>
      <c r="L7101" t="s">
        <v>20</v>
      </c>
      <c r="M7101" t="s">
        <v>24</v>
      </c>
      <c r="N7101" t="s">
        <v>29</v>
      </c>
    </row>
    <row r="7102" spans="1:14">
      <c r="A7102" s="4" t="str">
        <f t="shared" si="652"/>
        <v>EXP00246</v>
      </c>
      <c r="B7102" s="4" t="str">
        <f t="shared" si="650"/>
        <v>26537449</v>
      </c>
      <c r="C7102" s="4" t="str">
        <f t="shared" si="651"/>
        <v>GSE61723</v>
      </c>
      <c r="D7102" s="1" t="s">
        <v>348</v>
      </c>
      <c r="E7102" t="s">
        <v>353</v>
      </c>
      <c r="F7102" s="1">
        <v>2</v>
      </c>
      <c r="G7102" s="1" t="s">
        <v>28</v>
      </c>
      <c r="H7102" s="4" t="str">
        <f>HYPERLINK("https://www.ncbi.nlm.nih.gov/geo/query/acc.cgi?acc=GSM1511782","GSM1511782")</f>
        <v>GSM1511782</v>
      </c>
      <c r="I7102" t="s">
        <v>17</v>
      </c>
      <c r="J7102" t="s">
        <v>350</v>
      </c>
      <c r="K7102" t="s">
        <v>19</v>
      </c>
      <c r="L7102" t="s">
        <v>20</v>
      </c>
      <c r="M7102" t="s">
        <v>24</v>
      </c>
      <c r="N7102" t="s">
        <v>29</v>
      </c>
    </row>
    <row r="7103" spans="1:14">
      <c r="A7103" s="4" t="str">
        <f t="shared" si="652"/>
        <v>EXP00246</v>
      </c>
      <c r="B7103" s="4" t="str">
        <f t="shared" si="650"/>
        <v>26537449</v>
      </c>
      <c r="C7103" s="4" t="str">
        <f t="shared" si="651"/>
        <v>GSE61723</v>
      </c>
      <c r="D7103" s="1" t="s">
        <v>348</v>
      </c>
      <c r="E7103" t="s">
        <v>353</v>
      </c>
      <c r="F7103" s="1">
        <v>2</v>
      </c>
      <c r="G7103" s="1" t="s">
        <v>28</v>
      </c>
      <c r="H7103" s="4" t="str">
        <f>HYPERLINK("https://www.ncbi.nlm.nih.gov/geo/query/acc.cgi?acc=GSM1511790","GSM1511790")</f>
        <v>GSM1511790</v>
      </c>
      <c r="I7103" t="s">
        <v>17</v>
      </c>
      <c r="J7103" t="s">
        <v>350</v>
      </c>
      <c r="K7103" t="s">
        <v>19</v>
      </c>
      <c r="L7103" t="s">
        <v>20</v>
      </c>
      <c r="M7103" t="s">
        <v>24</v>
      </c>
      <c r="N7103" t="s">
        <v>29</v>
      </c>
    </row>
    <row r="7104" spans="1:14">
      <c r="A7104" s="4" t="str">
        <f t="shared" si="652"/>
        <v>EXP00246</v>
      </c>
      <c r="B7104" s="4" t="str">
        <f t="shared" si="650"/>
        <v>26537449</v>
      </c>
      <c r="C7104" s="4" t="str">
        <f t="shared" si="651"/>
        <v>GSE61723</v>
      </c>
      <c r="D7104" s="1" t="s">
        <v>348</v>
      </c>
      <c r="E7104" t="s">
        <v>353</v>
      </c>
      <c r="F7104" s="1">
        <v>2</v>
      </c>
      <c r="G7104" s="1" t="s">
        <v>28</v>
      </c>
      <c r="H7104" s="4" t="str">
        <f>HYPERLINK("https://www.ncbi.nlm.nih.gov/geo/query/acc.cgi?acc=GSM1511794","GSM1511794")</f>
        <v>GSM1511794</v>
      </c>
      <c r="I7104" t="s">
        <v>17</v>
      </c>
      <c r="J7104" t="s">
        <v>350</v>
      </c>
      <c r="K7104" t="s">
        <v>19</v>
      </c>
      <c r="L7104" t="s">
        <v>20</v>
      </c>
      <c r="M7104" t="s">
        <v>24</v>
      </c>
      <c r="N7104" t="s">
        <v>29</v>
      </c>
    </row>
    <row r="7105" spans="1:14">
      <c r="A7105" s="4" t="str">
        <f t="shared" si="652"/>
        <v>EXP00246</v>
      </c>
      <c r="B7105" s="4" t="str">
        <f t="shared" si="650"/>
        <v>26537449</v>
      </c>
      <c r="C7105" s="4" t="str">
        <f t="shared" si="651"/>
        <v>GSE61723</v>
      </c>
      <c r="D7105" s="1" t="s">
        <v>348</v>
      </c>
      <c r="E7105" t="s">
        <v>353</v>
      </c>
      <c r="F7105" s="1">
        <v>2</v>
      </c>
      <c r="G7105" s="1" t="s">
        <v>28</v>
      </c>
      <c r="H7105" s="4" t="str">
        <f>HYPERLINK("https://www.ncbi.nlm.nih.gov/geo/query/acc.cgi?acc=GSM1511797","GSM1511797")</f>
        <v>GSM1511797</v>
      </c>
      <c r="I7105" t="s">
        <v>17</v>
      </c>
      <c r="J7105" t="s">
        <v>350</v>
      </c>
      <c r="K7105" t="s">
        <v>19</v>
      </c>
      <c r="L7105" t="s">
        <v>20</v>
      </c>
      <c r="M7105" t="s">
        <v>24</v>
      </c>
      <c r="N7105" t="s">
        <v>29</v>
      </c>
    </row>
    <row r="7106" spans="1:14">
      <c r="A7106" s="4" t="str">
        <f t="shared" ref="A7106:A7134" si="653">HYPERLINK("http://hcmdb.i-sanger.com/experiment/details/experiment_id/EXP00247","EXP00247")</f>
        <v>EXP00247</v>
      </c>
      <c r="B7106" s="4" t="str">
        <f t="shared" si="650"/>
        <v>26537449</v>
      </c>
      <c r="C7106" s="4" t="str">
        <f t="shared" si="651"/>
        <v>GSE61723</v>
      </c>
      <c r="D7106" s="1" t="s">
        <v>348</v>
      </c>
      <c r="E7106" t="s">
        <v>354</v>
      </c>
      <c r="F7106" s="1">
        <v>1</v>
      </c>
      <c r="G7106" s="1" t="s">
        <v>31</v>
      </c>
      <c r="H7106" s="4" t="str">
        <f>HYPERLINK("https://www.ncbi.nlm.nih.gov/geo/query/acc.cgi?acc=GSM1511743","GSM1511743")</f>
        <v>GSM1511743</v>
      </c>
      <c r="I7106" t="s">
        <v>17</v>
      </c>
      <c r="J7106" t="s">
        <v>350</v>
      </c>
      <c r="K7106" t="s">
        <v>19</v>
      </c>
      <c r="L7106" t="s">
        <v>20</v>
      </c>
      <c r="M7106" t="s">
        <v>24</v>
      </c>
      <c r="N7106" t="s">
        <v>29</v>
      </c>
    </row>
    <row r="7107" spans="1:14">
      <c r="A7107" s="4" t="str">
        <f t="shared" si="653"/>
        <v>EXP00247</v>
      </c>
      <c r="B7107" s="4" t="str">
        <f t="shared" si="650"/>
        <v>26537449</v>
      </c>
      <c r="C7107" s="4" t="str">
        <f t="shared" si="651"/>
        <v>GSE61723</v>
      </c>
      <c r="D7107" s="1" t="s">
        <v>348</v>
      </c>
      <c r="E7107" t="s">
        <v>354</v>
      </c>
      <c r="F7107" s="1">
        <v>1</v>
      </c>
      <c r="G7107" s="1" t="s">
        <v>31</v>
      </c>
      <c r="H7107" s="4" t="str">
        <f>HYPERLINK("https://www.ncbi.nlm.nih.gov/geo/query/acc.cgi?acc=GSM1511748","GSM1511748")</f>
        <v>GSM1511748</v>
      </c>
      <c r="I7107" t="s">
        <v>17</v>
      </c>
      <c r="J7107" t="s">
        <v>350</v>
      </c>
      <c r="K7107" t="s">
        <v>19</v>
      </c>
      <c r="L7107" t="s">
        <v>20</v>
      </c>
      <c r="M7107" t="s">
        <v>24</v>
      </c>
      <c r="N7107" t="s">
        <v>29</v>
      </c>
    </row>
    <row r="7108" spans="1:14">
      <c r="A7108" s="4" t="str">
        <f t="shared" si="653"/>
        <v>EXP00247</v>
      </c>
      <c r="B7108" s="4" t="str">
        <f t="shared" si="650"/>
        <v>26537449</v>
      </c>
      <c r="C7108" s="4" t="str">
        <f t="shared" si="651"/>
        <v>GSE61723</v>
      </c>
      <c r="D7108" s="1" t="s">
        <v>348</v>
      </c>
      <c r="E7108" t="s">
        <v>354</v>
      </c>
      <c r="F7108" s="1">
        <v>1</v>
      </c>
      <c r="G7108" s="1" t="s">
        <v>31</v>
      </c>
      <c r="H7108" s="4" t="str">
        <f>HYPERLINK("https://www.ncbi.nlm.nih.gov/geo/query/acc.cgi?acc=GSM1511753","GSM1511753")</f>
        <v>GSM1511753</v>
      </c>
      <c r="I7108" t="s">
        <v>17</v>
      </c>
      <c r="J7108" t="s">
        <v>350</v>
      </c>
      <c r="K7108" t="s">
        <v>19</v>
      </c>
      <c r="L7108" t="s">
        <v>20</v>
      </c>
      <c r="M7108" t="s">
        <v>24</v>
      </c>
      <c r="N7108" t="s">
        <v>29</v>
      </c>
    </row>
    <row r="7109" spans="1:14">
      <c r="A7109" s="4" t="str">
        <f t="shared" si="653"/>
        <v>EXP00247</v>
      </c>
      <c r="B7109" s="4" t="str">
        <f t="shared" si="650"/>
        <v>26537449</v>
      </c>
      <c r="C7109" s="4" t="str">
        <f t="shared" si="651"/>
        <v>GSE61723</v>
      </c>
      <c r="D7109" s="1" t="s">
        <v>348</v>
      </c>
      <c r="E7109" t="s">
        <v>354</v>
      </c>
      <c r="F7109" s="1">
        <v>1</v>
      </c>
      <c r="G7109" s="1" t="s">
        <v>31</v>
      </c>
      <c r="H7109" s="4" t="str">
        <f>HYPERLINK("https://www.ncbi.nlm.nih.gov/geo/query/acc.cgi?acc=GSM1511758","GSM1511758")</f>
        <v>GSM1511758</v>
      </c>
      <c r="I7109" t="s">
        <v>17</v>
      </c>
      <c r="J7109" t="s">
        <v>350</v>
      </c>
      <c r="K7109" t="s">
        <v>19</v>
      </c>
      <c r="L7109" t="s">
        <v>20</v>
      </c>
      <c r="M7109" t="s">
        <v>24</v>
      </c>
      <c r="N7109" t="s">
        <v>29</v>
      </c>
    </row>
    <row r="7110" spans="1:14">
      <c r="A7110" s="4" t="str">
        <f t="shared" si="653"/>
        <v>EXP00247</v>
      </c>
      <c r="B7110" s="4" t="str">
        <f t="shared" si="650"/>
        <v>26537449</v>
      </c>
      <c r="C7110" s="4" t="str">
        <f t="shared" si="651"/>
        <v>GSE61723</v>
      </c>
      <c r="D7110" s="1" t="s">
        <v>348</v>
      </c>
      <c r="E7110" t="s">
        <v>354</v>
      </c>
      <c r="F7110" s="1">
        <v>1</v>
      </c>
      <c r="G7110" s="1" t="s">
        <v>31</v>
      </c>
      <c r="H7110" s="4" t="str">
        <f>HYPERLINK("https://www.ncbi.nlm.nih.gov/geo/query/acc.cgi?acc=GSM1511764","GSM1511764")</f>
        <v>GSM1511764</v>
      </c>
      <c r="I7110" t="s">
        <v>17</v>
      </c>
      <c r="J7110" t="s">
        <v>350</v>
      </c>
      <c r="K7110" t="s">
        <v>19</v>
      </c>
      <c r="L7110" t="s">
        <v>20</v>
      </c>
      <c r="M7110" t="s">
        <v>24</v>
      </c>
      <c r="N7110" t="s">
        <v>29</v>
      </c>
    </row>
    <row r="7111" spans="1:14">
      <c r="A7111" s="4" t="str">
        <f t="shared" si="653"/>
        <v>EXP00247</v>
      </c>
      <c r="B7111" s="4" t="str">
        <f t="shared" si="650"/>
        <v>26537449</v>
      </c>
      <c r="C7111" s="4" t="str">
        <f t="shared" si="651"/>
        <v>GSE61723</v>
      </c>
      <c r="D7111" s="1" t="s">
        <v>348</v>
      </c>
      <c r="E7111" t="s">
        <v>354</v>
      </c>
      <c r="F7111" s="1">
        <v>1</v>
      </c>
      <c r="G7111" s="1" t="s">
        <v>31</v>
      </c>
      <c r="H7111" s="4" t="str">
        <f>HYPERLINK("https://www.ncbi.nlm.nih.gov/geo/query/acc.cgi?acc=GSM1511767","GSM1511767")</f>
        <v>GSM1511767</v>
      </c>
      <c r="I7111" t="s">
        <v>17</v>
      </c>
      <c r="J7111" t="s">
        <v>350</v>
      </c>
      <c r="K7111" t="s">
        <v>19</v>
      </c>
      <c r="L7111" t="s">
        <v>20</v>
      </c>
      <c r="M7111" t="s">
        <v>24</v>
      </c>
      <c r="N7111" t="s">
        <v>29</v>
      </c>
    </row>
    <row r="7112" spans="1:14">
      <c r="A7112" s="4" t="str">
        <f t="shared" si="653"/>
        <v>EXP00247</v>
      </c>
      <c r="B7112" s="4" t="str">
        <f t="shared" si="650"/>
        <v>26537449</v>
      </c>
      <c r="C7112" s="4" t="str">
        <f t="shared" si="651"/>
        <v>GSE61723</v>
      </c>
      <c r="D7112" s="1" t="s">
        <v>348</v>
      </c>
      <c r="E7112" t="s">
        <v>354</v>
      </c>
      <c r="F7112" s="1">
        <v>1</v>
      </c>
      <c r="G7112" s="1" t="s">
        <v>31</v>
      </c>
      <c r="H7112" s="4" t="str">
        <f>HYPERLINK("https://www.ncbi.nlm.nih.gov/geo/query/acc.cgi?acc=GSM1511770","GSM1511770")</f>
        <v>GSM1511770</v>
      </c>
      <c r="I7112" t="s">
        <v>17</v>
      </c>
      <c r="J7112" t="s">
        <v>350</v>
      </c>
      <c r="K7112" t="s">
        <v>19</v>
      </c>
      <c r="L7112" t="s">
        <v>20</v>
      </c>
      <c r="M7112" t="s">
        <v>24</v>
      </c>
      <c r="N7112" t="s">
        <v>29</v>
      </c>
    </row>
    <row r="7113" spans="1:14">
      <c r="A7113" s="4" t="str">
        <f t="shared" si="653"/>
        <v>EXP00247</v>
      </c>
      <c r="B7113" s="4" t="str">
        <f t="shared" si="650"/>
        <v>26537449</v>
      </c>
      <c r="C7113" s="4" t="str">
        <f t="shared" si="651"/>
        <v>GSE61723</v>
      </c>
      <c r="D7113" s="1" t="s">
        <v>348</v>
      </c>
      <c r="E7113" t="s">
        <v>354</v>
      </c>
      <c r="F7113" s="1">
        <v>1</v>
      </c>
      <c r="G7113" s="1" t="s">
        <v>31</v>
      </c>
      <c r="H7113" s="4" t="str">
        <f>HYPERLINK("https://www.ncbi.nlm.nih.gov/geo/query/acc.cgi?acc=GSM1511775","GSM1511775")</f>
        <v>GSM1511775</v>
      </c>
      <c r="I7113" t="s">
        <v>17</v>
      </c>
      <c r="J7113" t="s">
        <v>350</v>
      </c>
      <c r="K7113" t="s">
        <v>19</v>
      </c>
      <c r="L7113" t="s">
        <v>20</v>
      </c>
      <c r="M7113" t="s">
        <v>24</v>
      </c>
      <c r="N7113" t="s">
        <v>29</v>
      </c>
    </row>
    <row r="7114" spans="1:14">
      <c r="A7114" s="4" t="str">
        <f t="shared" si="653"/>
        <v>EXP00247</v>
      </c>
      <c r="B7114" s="4" t="str">
        <f t="shared" si="650"/>
        <v>26537449</v>
      </c>
      <c r="C7114" s="4" t="str">
        <f t="shared" si="651"/>
        <v>GSE61723</v>
      </c>
      <c r="D7114" s="1" t="s">
        <v>348</v>
      </c>
      <c r="E7114" t="s">
        <v>354</v>
      </c>
      <c r="F7114" s="1">
        <v>1</v>
      </c>
      <c r="G7114" s="1" t="s">
        <v>31</v>
      </c>
      <c r="H7114" s="4" t="str">
        <f>HYPERLINK("https://www.ncbi.nlm.nih.gov/geo/query/acc.cgi?acc=GSM1511782","GSM1511782")</f>
        <v>GSM1511782</v>
      </c>
      <c r="I7114" t="s">
        <v>17</v>
      </c>
      <c r="J7114" t="s">
        <v>350</v>
      </c>
      <c r="K7114" t="s">
        <v>19</v>
      </c>
      <c r="L7114" t="s">
        <v>20</v>
      </c>
      <c r="M7114" t="s">
        <v>24</v>
      </c>
      <c r="N7114" t="s">
        <v>29</v>
      </c>
    </row>
    <row r="7115" spans="1:14">
      <c r="A7115" s="4" t="str">
        <f t="shared" si="653"/>
        <v>EXP00247</v>
      </c>
      <c r="B7115" s="4" t="str">
        <f t="shared" si="650"/>
        <v>26537449</v>
      </c>
      <c r="C7115" s="4" t="str">
        <f t="shared" si="651"/>
        <v>GSE61723</v>
      </c>
      <c r="D7115" s="1" t="s">
        <v>348</v>
      </c>
      <c r="E7115" t="s">
        <v>354</v>
      </c>
      <c r="F7115" s="1">
        <v>1</v>
      </c>
      <c r="G7115" s="1" t="s">
        <v>31</v>
      </c>
      <c r="H7115" s="4" t="str">
        <f>HYPERLINK("https://www.ncbi.nlm.nih.gov/geo/query/acc.cgi?acc=GSM1511790","GSM1511790")</f>
        <v>GSM1511790</v>
      </c>
      <c r="I7115" t="s">
        <v>17</v>
      </c>
      <c r="J7115" t="s">
        <v>350</v>
      </c>
      <c r="K7115" t="s">
        <v>19</v>
      </c>
      <c r="L7115" t="s">
        <v>20</v>
      </c>
      <c r="M7115" t="s">
        <v>24</v>
      </c>
      <c r="N7115" t="s">
        <v>29</v>
      </c>
    </row>
    <row r="7116" spans="1:14">
      <c r="A7116" s="4" t="str">
        <f t="shared" si="653"/>
        <v>EXP00247</v>
      </c>
      <c r="B7116" s="4" t="str">
        <f t="shared" si="650"/>
        <v>26537449</v>
      </c>
      <c r="C7116" s="4" t="str">
        <f t="shared" si="651"/>
        <v>GSE61723</v>
      </c>
      <c r="D7116" s="1" t="s">
        <v>348</v>
      </c>
      <c r="E7116" t="s">
        <v>354</v>
      </c>
      <c r="F7116" s="1">
        <v>1</v>
      </c>
      <c r="G7116" s="1" t="s">
        <v>31</v>
      </c>
      <c r="H7116" s="4" t="str">
        <f>HYPERLINK("https://www.ncbi.nlm.nih.gov/geo/query/acc.cgi?acc=GSM1511794","GSM1511794")</f>
        <v>GSM1511794</v>
      </c>
      <c r="I7116" t="s">
        <v>17</v>
      </c>
      <c r="J7116" t="s">
        <v>350</v>
      </c>
      <c r="K7116" t="s">
        <v>19</v>
      </c>
      <c r="L7116" t="s">
        <v>20</v>
      </c>
      <c r="M7116" t="s">
        <v>24</v>
      </c>
      <c r="N7116" t="s">
        <v>29</v>
      </c>
    </row>
    <row r="7117" spans="1:14">
      <c r="A7117" s="4" t="str">
        <f t="shared" si="653"/>
        <v>EXP00247</v>
      </c>
      <c r="B7117" s="4" t="str">
        <f t="shared" si="650"/>
        <v>26537449</v>
      </c>
      <c r="C7117" s="4" t="str">
        <f t="shared" si="651"/>
        <v>GSE61723</v>
      </c>
      <c r="D7117" s="1" t="s">
        <v>348</v>
      </c>
      <c r="E7117" t="s">
        <v>354</v>
      </c>
      <c r="F7117" s="1">
        <v>1</v>
      </c>
      <c r="G7117" s="1" t="s">
        <v>31</v>
      </c>
      <c r="H7117" s="4" t="str">
        <f>HYPERLINK("https://www.ncbi.nlm.nih.gov/geo/query/acc.cgi?acc=GSM1511797","GSM1511797")</f>
        <v>GSM1511797</v>
      </c>
      <c r="I7117" t="s">
        <v>17</v>
      </c>
      <c r="J7117" t="s">
        <v>350</v>
      </c>
      <c r="K7117" t="s">
        <v>19</v>
      </c>
      <c r="L7117" t="s">
        <v>20</v>
      </c>
      <c r="M7117" t="s">
        <v>24</v>
      </c>
      <c r="N7117" t="s">
        <v>29</v>
      </c>
    </row>
    <row r="7118" spans="1:14">
      <c r="A7118" s="4" t="str">
        <f t="shared" si="653"/>
        <v>EXP00247</v>
      </c>
      <c r="B7118" s="4" t="str">
        <f t="shared" si="650"/>
        <v>26537449</v>
      </c>
      <c r="C7118" s="4" t="str">
        <f t="shared" si="651"/>
        <v>GSE61723</v>
      </c>
      <c r="D7118" s="1" t="s">
        <v>348</v>
      </c>
      <c r="E7118" t="s">
        <v>354</v>
      </c>
      <c r="F7118" s="1">
        <v>2</v>
      </c>
      <c r="G7118" s="1" t="s">
        <v>32</v>
      </c>
      <c r="H7118" s="4" t="str">
        <f>HYPERLINK("https://www.ncbi.nlm.nih.gov/geo/query/acc.cgi?acc=GSM1511746","GSM1511746")</f>
        <v>GSM1511746</v>
      </c>
      <c r="I7118" t="s">
        <v>17</v>
      </c>
      <c r="J7118" t="s">
        <v>350</v>
      </c>
      <c r="K7118" t="s">
        <v>33</v>
      </c>
      <c r="L7118" t="s">
        <v>20</v>
      </c>
      <c r="N7118" t="s">
        <v>29</v>
      </c>
    </row>
    <row r="7119" spans="1:14">
      <c r="A7119" s="4" t="str">
        <f t="shared" si="653"/>
        <v>EXP00247</v>
      </c>
      <c r="B7119" s="4" t="str">
        <f t="shared" si="650"/>
        <v>26537449</v>
      </c>
      <c r="C7119" s="4" t="str">
        <f t="shared" si="651"/>
        <v>GSE61723</v>
      </c>
      <c r="D7119" s="1" t="s">
        <v>348</v>
      </c>
      <c r="E7119" t="s">
        <v>354</v>
      </c>
      <c r="F7119" s="1">
        <v>2</v>
      </c>
      <c r="G7119" s="1" t="s">
        <v>32</v>
      </c>
      <c r="H7119" s="4" t="str">
        <f>HYPERLINK("https://www.ncbi.nlm.nih.gov/geo/query/acc.cgi?acc=GSM1511751","GSM1511751")</f>
        <v>GSM1511751</v>
      </c>
      <c r="I7119" t="s">
        <v>17</v>
      </c>
      <c r="J7119" t="s">
        <v>350</v>
      </c>
      <c r="K7119" t="s">
        <v>33</v>
      </c>
      <c r="L7119" t="s">
        <v>20</v>
      </c>
      <c r="N7119" t="s">
        <v>29</v>
      </c>
    </row>
    <row r="7120" spans="1:14">
      <c r="A7120" s="4" t="str">
        <f t="shared" si="653"/>
        <v>EXP00247</v>
      </c>
      <c r="B7120" s="4" t="str">
        <f t="shared" si="650"/>
        <v>26537449</v>
      </c>
      <c r="C7120" s="4" t="str">
        <f t="shared" si="651"/>
        <v>GSE61723</v>
      </c>
      <c r="D7120" s="1" t="s">
        <v>348</v>
      </c>
      <c r="E7120" t="s">
        <v>354</v>
      </c>
      <c r="F7120" s="1">
        <v>2</v>
      </c>
      <c r="G7120" s="1" t="s">
        <v>32</v>
      </c>
      <c r="H7120" s="4" t="str">
        <f>HYPERLINK("https://www.ncbi.nlm.nih.gov/geo/query/acc.cgi?acc=GSM1511756","GSM1511756")</f>
        <v>GSM1511756</v>
      </c>
      <c r="I7120" t="s">
        <v>17</v>
      </c>
      <c r="J7120" t="s">
        <v>350</v>
      </c>
      <c r="K7120" t="s">
        <v>33</v>
      </c>
      <c r="L7120" t="s">
        <v>20</v>
      </c>
      <c r="N7120" t="s">
        <v>29</v>
      </c>
    </row>
    <row r="7121" spans="1:14">
      <c r="A7121" s="4" t="str">
        <f t="shared" si="653"/>
        <v>EXP00247</v>
      </c>
      <c r="B7121" s="4" t="str">
        <f t="shared" si="650"/>
        <v>26537449</v>
      </c>
      <c r="C7121" s="4" t="str">
        <f t="shared" si="651"/>
        <v>GSE61723</v>
      </c>
      <c r="D7121" s="1" t="s">
        <v>348</v>
      </c>
      <c r="E7121" t="s">
        <v>354</v>
      </c>
      <c r="F7121" s="1">
        <v>2</v>
      </c>
      <c r="G7121" s="1" t="s">
        <v>32</v>
      </c>
      <c r="H7121" s="4" t="str">
        <f>HYPERLINK("https://www.ncbi.nlm.nih.gov/geo/query/acc.cgi?acc=GSM1511761","GSM1511761")</f>
        <v>GSM1511761</v>
      </c>
      <c r="I7121" t="s">
        <v>17</v>
      </c>
      <c r="J7121" t="s">
        <v>350</v>
      </c>
      <c r="K7121" t="s">
        <v>33</v>
      </c>
      <c r="L7121" t="s">
        <v>20</v>
      </c>
      <c r="N7121" t="s">
        <v>29</v>
      </c>
    </row>
    <row r="7122" spans="1:14">
      <c r="A7122" s="4" t="str">
        <f t="shared" si="653"/>
        <v>EXP00247</v>
      </c>
      <c r="B7122" s="4" t="str">
        <f t="shared" si="650"/>
        <v>26537449</v>
      </c>
      <c r="C7122" s="4" t="str">
        <f t="shared" si="651"/>
        <v>GSE61723</v>
      </c>
      <c r="D7122" s="1" t="s">
        <v>348</v>
      </c>
      <c r="E7122" t="s">
        <v>354</v>
      </c>
      <c r="F7122" s="1">
        <v>2</v>
      </c>
      <c r="G7122" s="1" t="s">
        <v>32</v>
      </c>
      <c r="H7122" s="4" t="str">
        <f>HYPERLINK("https://www.ncbi.nlm.nih.gov/geo/query/acc.cgi?acc=GSM1511763","GSM1511763")</f>
        <v>GSM1511763</v>
      </c>
      <c r="I7122" t="s">
        <v>17</v>
      </c>
      <c r="J7122" t="s">
        <v>350</v>
      </c>
      <c r="K7122" t="s">
        <v>33</v>
      </c>
      <c r="L7122" t="s">
        <v>20</v>
      </c>
      <c r="N7122" t="s">
        <v>29</v>
      </c>
    </row>
    <row r="7123" spans="1:14">
      <c r="A7123" s="4" t="str">
        <f t="shared" si="653"/>
        <v>EXP00247</v>
      </c>
      <c r="B7123" s="4" t="str">
        <f t="shared" si="650"/>
        <v>26537449</v>
      </c>
      <c r="C7123" s="4" t="str">
        <f t="shared" si="651"/>
        <v>GSE61723</v>
      </c>
      <c r="D7123" s="1" t="s">
        <v>348</v>
      </c>
      <c r="E7123" t="s">
        <v>354</v>
      </c>
      <c r="F7123" s="1">
        <v>2</v>
      </c>
      <c r="G7123" s="1" t="s">
        <v>32</v>
      </c>
      <c r="H7123" s="4" t="str">
        <f>HYPERLINK("https://www.ncbi.nlm.nih.gov/geo/query/acc.cgi?acc=GSM1511766","GSM1511766")</f>
        <v>GSM1511766</v>
      </c>
      <c r="I7123" t="s">
        <v>17</v>
      </c>
      <c r="J7123" t="s">
        <v>350</v>
      </c>
      <c r="K7123" t="s">
        <v>33</v>
      </c>
      <c r="L7123" t="s">
        <v>20</v>
      </c>
      <c r="N7123" t="s">
        <v>29</v>
      </c>
    </row>
    <row r="7124" spans="1:14">
      <c r="A7124" s="4" t="str">
        <f t="shared" si="653"/>
        <v>EXP00247</v>
      </c>
      <c r="B7124" s="4" t="str">
        <f t="shared" si="650"/>
        <v>26537449</v>
      </c>
      <c r="C7124" s="4" t="str">
        <f t="shared" si="651"/>
        <v>GSE61723</v>
      </c>
      <c r="D7124" s="1" t="s">
        <v>348</v>
      </c>
      <c r="E7124" t="s">
        <v>354</v>
      </c>
      <c r="F7124" s="1">
        <v>2</v>
      </c>
      <c r="G7124" s="1" t="s">
        <v>32</v>
      </c>
      <c r="H7124" s="4" t="str">
        <f>HYPERLINK("https://www.ncbi.nlm.nih.gov/geo/query/acc.cgi?acc=GSM1511769","GSM1511769")</f>
        <v>GSM1511769</v>
      </c>
      <c r="I7124" t="s">
        <v>17</v>
      </c>
      <c r="J7124" t="s">
        <v>350</v>
      </c>
      <c r="K7124" t="s">
        <v>33</v>
      </c>
      <c r="L7124" t="s">
        <v>20</v>
      </c>
      <c r="N7124" t="s">
        <v>29</v>
      </c>
    </row>
    <row r="7125" spans="1:14">
      <c r="A7125" s="4" t="str">
        <f t="shared" si="653"/>
        <v>EXP00247</v>
      </c>
      <c r="B7125" s="4" t="str">
        <f t="shared" si="650"/>
        <v>26537449</v>
      </c>
      <c r="C7125" s="4" t="str">
        <f t="shared" si="651"/>
        <v>GSE61723</v>
      </c>
      <c r="D7125" s="1" t="s">
        <v>348</v>
      </c>
      <c r="E7125" t="s">
        <v>354</v>
      </c>
      <c r="F7125" s="1">
        <v>2</v>
      </c>
      <c r="G7125" s="1" t="s">
        <v>32</v>
      </c>
      <c r="H7125" s="4" t="str">
        <f>HYPERLINK("https://www.ncbi.nlm.nih.gov/geo/query/acc.cgi?acc=GSM1511773","GSM1511773")</f>
        <v>GSM1511773</v>
      </c>
      <c r="I7125" t="s">
        <v>17</v>
      </c>
      <c r="J7125" t="s">
        <v>350</v>
      </c>
      <c r="K7125" t="s">
        <v>33</v>
      </c>
      <c r="L7125" t="s">
        <v>20</v>
      </c>
      <c r="N7125" t="s">
        <v>29</v>
      </c>
    </row>
    <row r="7126" spans="1:14">
      <c r="A7126" s="4" t="str">
        <f t="shared" si="653"/>
        <v>EXP00247</v>
      </c>
      <c r="B7126" s="4" t="str">
        <f t="shared" si="650"/>
        <v>26537449</v>
      </c>
      <c r="C7126" s="4" t="str">
        <f t="shared" si="651"/>
        <v>GSE61723</v>
      </c>
      <c r="D7126" s="1" t="s">
        <v>348</v>
      </c>
      <c r="E7126" t="s">
        <v>354</v>
      </c>
      <c r="F7126" s="1">
        <v>2</v>
      </c>
      <c r="G7126" s="1" t="s">
        <v>32</v>
      </c>
      <c r="H7126" s="4" t="str">
        <f>HYPERLINK("https://www.ncbi.nlm.nih.gov/geo/query/acc.cgi?acc=GSM1511777","GSM1511777")</f>
        <v>GSM1511777</v>
      </c>
      <c r="I7126" t="s">
        <v>17</v>
      </c>
      <c r="J7126" t="s">
        <v>350</v>
      </c>
      <c r="K7126" t="s">
        <v>33</v>
      </c>
      <c r="L7126" t="s">
        <v>20</v>
      </c>
      <c r="N7126" t="s">
        <v>29</v>
      </c>
    </row>
    <row r="7127" spans="1:14">
      <c r="A7127" s="4" t="str">
        <f t="shared" si="653"/>
        <v>EXP00247</v>
      </c>
      <c r="B7127" s="4" t="str">
        <f t="shared" si="650"/>
        <v>26537449</v>
      </c>
      <c r="C7127" s="4" t="str">
        <f t="shared" si="651"/>
        <v>GSE61723</v>
      </c>
      <c r="D7127" s="1" t="s">
        <v>348</v>
      </c>
      <c r="E7127" t="s">
        <v>354</v>
      </c>
      <c r="F7127" s="1">
        <v>2</v>
      </c>
      <c r="G7127" s="1" t="s">
        <v>32</v>
      </c>
      <c r="H7127" s="4" t="str">
        <f>HYPERLINK("https://www.ncbi.nlm.nih.gov/geo/query/acc.cgi?acc=GSM1511778","GSM1511778")</f>
        <v>GSM1511778</v>
      </c>
      <c r="I7127" t="s">
        <v>17</v>
      </c>
      <c r="J7127" t="s">
        <v>350</v>
      </c>
      <c r="K7127" t="s">
        <v>33</v>
      </c>
      <c r="L7127" t="s">
        <v>20</v>
      </c>
      <c r="N7127" t="s">
        <v>29</v>
      </c>
    </row>
    <row r="7128" spans="1:14">
      <c r="A7128" s="4" t="str">
        <f t="shared" si="653"/>
        <v>EXP00247</v>
      </c>
      <c r="B7128" s="4" t="str">
        <f t="shared" si="650"/>
        <v>26537449</v>
      </c>
      <c r="C7128" s="4" t="str">
        <f t="shared" si="651"/>
        <v>GSE61723</v>
      </c>
      <c r="D7128" s="1" t="s">
        <v>348</v>
      </c>
      <c r="E7128" t="s">
        <v>354</v>
      </c>
      <c r="F7128" s="1">
        <v>2</v>
      </c>
      <c r="G7128" s="1" t="s">
        <v>32</v>
      </c>
      <c r="H7128" s="4" t="str">
        <f>HYPERLINK("https://www.ncbi.nlm.nih.gov/geo/query/acc.cgi?acc=GSM1511779","GSM1511779")</f>
        <v>GSM1511779</v>
      </c>
      <c r="I7128" t="s">
        <v>17</v>
      </c>
      <c r="J7128" t="s">
        <v>350</v>
      </c>
      <c r="K7128" t="s">
        <v>33</v>
      </c>
      <c r="L7128" t="s">
        <v>20</v>
      </c>
      <c r="N7128" t="s">
        <v>29</v>
      </c>
    </row>
    <row r="7129" spans="1:14">
      <c r="A7129" s="4" t="str">
        <f t="shared" si="653"/>
        <v>EXP00247</v>
      </c>
      <c r="B7129" s="4" t="str">
        <f t="shared" si="650"/>
        <v>26537449</v>
      </c>
      <c r="C7129" s="4" t="str">
        <f t="shared" si="651"/>
        <v>GSE61723</v>
      </c>
      <c r="D7129" s="1" t="s">
        <v>348</v>
      </c>
      <c r="E7129" t="s">
        <v>354</v>
      </c>
      <c r="F7129" s="1">
        <v>2</v>
      </c>
      <c r="G7129" s="1" t="s">
        <v>32</v>
      </c>
      <c r="H7129" s="4" t="str">
        <f>HYPERLINK("https://www.ncbi.nlm.nih.gov/geo/query/acc.cgi?acc=GSM1511781","GSM1511781")</f>
        <v>GSM1511781</v>
      </c>
      <c r="I7129" t="s">
        <v>17</v>
      </c>
      <c r="J7129" t="s">
        <v>350</v>
      </c>
      <c r="K7129" t="s">
        <v>33</v>
      </c>
      <c r="L7129" t="s">
        <v>20</v>
      </c>
      <c r="N7129" t="s">
        <v>29</v>
      </c>
    </row>
    <row r="7130" spans="1:14">
      <c r="A7130" s="4" t="str">
        <f t="shared" si="653"/>
        <v>EXP00247</v>
      </c>
      <c r="B7130" s="4" t="str">
        <f t="shared" si="650"/>
        <v>26537449</v>
      </c>
      <c r="C7130" s="4" t="str">
        <f t="shared" si="651"/>
        <v>GSE61723</v>
      </c>
      <c r="D7130" s="1" t="s">
        <v>348</v>
      </c>
      <c r="E7130" t="s">
        <v>354</v>
      </c>
      <c r="F7130" s="1">
        <v>2</v>
      </c>
      <c r="G7130" s="1" t="s">
        <v>32</v>
      </c>
      <c r="H7130" s="4" t="str">
        <f>HYPERLINK("https://www.ncbi.nlm.nih.gov/geo/query/acc.cgi?acc=GSM1511784","GSM1511784")</f>
        <v>GSM1511784</v>
      </c>
      <c r="I7130" t="s">
        <v>17</v>
      </c>
      <c r="J7130" t="s">
        <v>350</v>
      </c>
      <c r="K7130" t="s">
        <v>33</v>
      </c>
      <c r="L7130" t="s">
        <v>20</v>
      </c>
      <c r="N7130" t="s">
        <v>29</v>
      </c>
    </row>
    <row r="7131" spans="1:14">
      <c r="A7131" s="4" t="str">
        <f t="shared" si="653"/>
        <v>EXP00247</v>
      </c>
      <c r="B7131" s="4" t="str">
        <f t="shared" si="650"/>
        <v>26537449</v>
      </c>
      <c r="C7131" s="4" t="str">
        <f t="shared" si="651"/>
        <v>GSE61723</v>
      </c>
      <c r="D7131" s="1" t="s">
        <v>348</v>
      </c>
      <c r="E7131" t="s">
        <v>354</v>
      </c>
      <c r="F7131" s="1">
        <v>2</v>
      </c>
      <c r="G7131" s="1" t="s">
        <v>32</v>
      </c>
      <c r="H7131" s="4" t="str">
        <f>HYPERLINK("https://www.ncbi.nlm.nih.gov/geo/query/acc.cgi?acc=GSM1511786","GSM1511786")</f>
        <v>GSM1511786</v>
      </c>
      <c r="I7131" t="s">
        <v>17</v>
      </c>
      <c r="J7131" t="s">
        <v>350</v>
      </c>
      <c r="K7131" t="s">
        <v>33</v>
      </c>
      <c r="L7131" t="s">
        <v>20</v>
      </c>
      <c r="N7131" t="s">
        <v>29</v>
      </c>
    </row>
    <row r="7132" spans="1:14">
      <c r="A7132" s="4" t="str">
        <f t="shared" si="653"/>
        <v>EXP00247</v>
      </c>
      <c r="B7132" s="4" t="str">
        <f t="shared" si="650"/>
        <v>26537449</v>
      </c>
      <c r="C7132" s="4" t="str">
        <f t="shared" si="651"/>
        <v>GSE61723</v>
      </c>
      <c r="D7132" s="1" t="s">
        <v>348</v>
      </c>
      <c r="E7132" t="s">
        <v>354</v>
      </c>
      <c r="F7132" s="1">
        <v>2</v>
      </c>
      <c r="G7132" s="1" t="s">
        <v>32</v>
      </c>
      <c r="H7132" s="4" t="str">
        <f>HYPERLINK("https://www.ncbi.nlm.nih.gov/geo/query/acc.cgi?acc=GSM1511787","GSM1511787")</f>
        <v>GSM1511787</v>
      </c>
      <c r="I7132" t="s">
        <v>17</v>
      </c>
      <c r="J7132" t="s">
        <v>350</v>
      </c>
      <c r="K7132" t="s">
        <v>33</v>
      </c>
      <c r="L7132" t="s">
        <v>20</v>
      </c>
      <c r="N7132" t="s">
        <v>29</v>
      </c>
    </row>
    <row r="7133" spans="1:14">
      <c r="A7133" s="4" t="str">
        <f t="shared" si="653"/>
        <v>EXP00247</v>
      </c>
      <c r="B7133" s="4" t="str">
        <f t="shared" si="650"/>
        <v>26537449</v>
      </c>
      <c r="C7133" s="4" t="str">
        <f t="shared" si="651"/>
        <v>GSE61723</v>
      </c>
      <c r="D7133" s="1" t="s">
        <v>348</v>
      </c>
      <c r="E7133" t="s">
        <v>354</v>
      </c>
      <c r="F7133" s="1">
        <v>2</v>
      </c>
      <c r="G7133" s="1" t="s">
        <v>32</v>
      </c>
      <c r="H7133" s="4" t="str">
        <f>HYPERLINK("https://www.ncbi.nlm.nih.gov/geo/query/acc.cgi?acc=GSM1511789","GSM1511789")</f>
        <v>GSM1511789</v>
      </c>
      <c r="I7133" t="s">
        <v>17</v>
      </c>
      <c r="J7133" t="s">
        <v>350</v>
      </c>
      <c r="K7133" t="s">
        <v>33</v>
      </c>
      <c r="L7133" t="s">
        <v>20</v>
      </c>
      <c r="N7133" t="s">
        <v>29</v>
      </c>
    </row>
    <row r="7134" spans="1:14">
      <c r="A7134" s="4" t="str">
        <f t="shared" si="653"/>
        <v>EXP00247</v>
      </c>
      <c r="B7134" s="4" t="str">
        <f t="shared" si="650"/>
        <v>26537449</v>
      </c>
      <c r="C7134" s="4" t="str">
        <f t="shared" si="651"/>
        <v>GSE61723</v>
      </c>
      <c r="D7134" s="1" t="s">
        <v>348</v>
      </c>
      <c r="E7134" t="s">
        <v>354</v>
      </c>
      <c r="F7134" s="1">
        <v>2</v>
      </c>
      <c r="G7134" s="1" t="s">
        <v>32</v>
      </c>
      <c r="H7134" s="4" t="str">
        <f>HYPERLINK("https://www.ncbi.nlm.nih.gov/geo/query/acc.cgi?acc=GSM1511800","GSM1511800")</f>
        <v>GSM1511800</v>
      </c>
      <c r="I7134" t="s">
        <v>17</v>
      </c>
      <c r="J7134" t="s">
        <v>350</v>
      </c>
      <c r="K7134" t="s">
        <v>33</v>
      </c>
      <c r="L7134" t="s">
        <v>20</v>
      </c>
      <c r="N7134" t="s">
        <v>29</v>
      </c>
    </row>
    <row r="7135" spans="1:14">
      <c r="A7135" s="4" t="str">
        <f t="shared" ref="A7135:A7159" si="654">HYPERLINK("http://hcmdb.i-sanger.com/experiment/details/experiment_id/EXP00248","EXP00248")</f>
        <v>EXP00248</v>
      </c>
      <c r="B7135" s="4" t="str">
        <f t="shared" si="650"/>
        <v>26537449</v>
      </c>
      <c r="C7135" s="4" t="str">
        <f t="shared" si="651"/>
        <v>GSE61723</v>
      </c>
      <c r="D7135" s="1" t="s">
        <v>348</v>
      </c>
      <c r="E7135" t="s">
        <v>355</v>
      </c>
      <c r="F7135" s="1">
        <v>1</v>
      </c>
      <c r="G7135" s="1" t="s">
        <v>36</v>
      </c>
      <c r="H7135" s="4" t="str">
        <f>HYPERLINK("https://www.ncbi.nlm.nih.gov/geo/query/acc.cgi?acc=GSM1511747","GSM1511747")</f>
        <v>GSM1511747</v>
      </c>
      <c r="I7135" t="s">
        <v>17</v>
      </c>
      <c r="J7135" t="s">
        <v>350</v>
      </c>
      <c r="K7135" t="s">
        <v>33</v>
      </c>
      <c r="L7135" t="s">
        <v>20</v>
      </c>
      <c r="N7135" t="s">
        <v>37</v>
      </c>
    </row>
    <row r="7136" spans="1:14">
      <c r="A7136" s="4" t="str">
        <f t="shared" si="654"/>
        <v>EXP00248</v>
      </c>
      <c r="B7136" s="4" t="str">
        <f t="shared" si="650"/>
        <v>26537449</v>
      </c>
      <c r="C7136" s="4" t="str">
        <f t="shared" si="651"/>
        <v>GSE61723</v>
      </c>
      <c r="D7136" s="1" t="s">
        <v>348</v>
      </c>
      <c r="E7136" t="s">
        <v>355</v>
      </c>
      <c r="F7136" s="1">
        <v>1</v>
      </c>
      <c r="G7136" s="1" t="s">
        <v>36</v>
      </c>
      <c r="H7136" s="4" t="str">
        <f>HYPERLINK("https://www.ncbi.nlm.nih.gov/geo/query/acc.cgi?acc=GSM1511752","GSM1511752")</f>
        <v>GSM1511752</v>
      </c>
      <c r="I7136" t="s">
        <v>17</v>
      </c>
      <c r="J7136" t="s">
        <v>350</v>
      </c>
      <c r="K7136" t="s">
        <v>33</v>
      </c>
      <c r="L7136" t="s">
        <v>20</v>
      </c>
      <c r="N7136" t="s">
        <v>37</v>
      </c>
    </row>
    <row r="7137" spans="1:14">
      <c r="A7137" s="4" t="str">
        <f t="shared" si="654"/>
        <v>EXP00248</v>
      </c>
      <c r="B7137" s="4" t="str">
        <f t="shared" si="650"/>
        <v>26537449</v>
      </c>
      <c r="C7137" s="4" t="str">
        <f t="shared" si="651"/>
        <v>GSE61723</v>
      </c>
      <c r="D7137" s="1" t="s">
        <v>348</v>
      </c>
      <c r="E7137" t="s">
        <v>355</v>
      </c>
      <c r="F7137" s="1">
        <v>1</v>
      </c>
      <c r="G7137" s="1" t="s">
        <v>36</v>
      </c>
      <c r="H7137" s="4" t="str">
        <f>HYPERLINK("https://www.ncbi.nlm.nih.gov/geo/query/acc.cgi?acc=GSM1511757","GSM1511757")</f>
        <v>GSM1511757</v>
      </c>
      <c r="I7137" t="s">
        <v>17</v>
      </c>
      <c r="J7137" t="s">
        <v>350</v>
      </c>
      <c r="K7137" t="s">
        <v>33</v>
      </c>
      <c r="L7137" t="s">
        <v>20</v>
      </c>
      <c r="N7137" t="s">
        <v>37</v>
      </c>
    </row>
    <row r="7138" spans="1:14">
      <c r="A7138" s="4" t="str">
        <f t="shared" si="654"/>
        <v>EXP00248</v>
      </c>
      <c r="B7138" s="4" t="str">
        <f t="shared" si="650"/>
        <v>26537449</v>
      </c>
      <c r="C7138" s="4" t="str">
        <f t="shared" si="651"/>
        <v>GSE61723</v>
      </c>
      <c r="D7138" s="1" t="s">
        <v>348</v>
      </c>
      <c r="E7138" t="s">
        <v>355</v>
      </c>
      <c r="F7138" s="1">
        <v>1</v>
      </c>
      <c r="G7138" s="1" t="s">
        <v>36</v>
      </c>
      <c r="H7138" s="4" t="str">
        <f>HYPERLINK("https://www.ncbi.nlm.nih.gov/geo/query/acc.cgi?acc=GSM1511762","GSM1511762")</f>
        <v>GSM1511762</v>
      </c>
      <c r="I7138" t="s">
        <v>17</v>
      </c>
      <c r="J7138" t="s">
        <v>350</v>
      </c>
      <c r="K7138" t="s">
        <v>33</v>
      </c>
      <c r="L7138" t="s">
        <v>20</v>
      </c>
      <c r="N7138" t="s">
        <v>37</v>
      </c>
    </row>
    <row r="7139" spans="1:14">
      <c r="A7139" s="4" t="str">
        <f t="shared" si="654"/>
        <v>EXP00248</v>
      </c>
      <c r="B7139" s="4" t="str">
        <f t="shared" si="650"/>
        <v>26537449</v>
      </c>
      <c r="C7139" s="4" t="str">
        <f t="shared" si="651"/>
        <v>GSE61723</v>
      </c>
      <c r="D7139" s="1" t="s">
        <v>348</v>
      </c>
      <c r="E7139" t="s">
        <v>355</v>
      </c>
      <c r="F7139" s="1">
        <v>1</v>
      </c>
      <c r="G7139" s="1" t="s">
        <v>36</v>
      </c>
      <c r="H7139" s="4" t="str">
        <f>HYPERLINK("https://www.ncbi.nlm.nih.gov/geo/query/acc.cgi?acc=GSM1511774","GSM1511774")</f>
        <v>GSM1511774</v>
      </c>
      <c r="I7139" t="s">
        <v>17</v>
      </c>
      <c r="J7139" t="s">
        <v>350</v>
      </c>
      <c r="K7139" t="s">
        <v>33</v>
      </c>
      <c r="L7139" t="s">
        <v>20</v>
      </c>
      <c r="N7139" t="s">
        <v>37</v>
      </c>
    </row>
    <row r="7140" spans="1:14">
      <c r="A7140" s="4" t="str">
        <f t="shared" si="654"/>
        <v>EXP00248</v>
      </c>
      <c r="B7140" s="4" t="str">
        <f t="shared" si="650"/>
        <v>26537449</v>
      </c>
      <c r="C7140" s="4" t="str">
        <f t="shared" si="651"/>
        <v>GSE61723</v>
      </c>
      <c r="D7140" s="1" t="s">
        <v>348</v>
      </c>
      <c r="E7140" t="s">
        <v>355</v>
      </c>
      <c r="F7140" s="1">
        <v>1</v>
      </c>
      <c r="G7140" s="1" t="s">
        <v>36</v>
      </c>
      <c r="H7140" s="4" t="str">
        <f>HYPERLINK("https://www.ncbi.nlm.nih.gov/geo/query/acc.cgi?acc=GSM1511780","GSM1511780")</f>
        <v>GSM1511780</v>
      </c>
      <c r="I7140" t="s">
        <v>17</v>
      </c>
      <c r="J7140" t="s">
        <v>350</v>
      </c>
      <c r="K7140" t="s">
        <v>33</v>
      </c>
      <c r="L7140" t="s">
        <v>20</v>
      </c>
      <c r="N7140" t="s">
        <v>37</v>
      </c>
    </row>
    <row r="7141" spans="1:14">
      <c r="A7141" s="4" t="str">
        <f t="shared" si="654"/>
        <v>EXP00248</v>
      </c>
      <c r="B7141" s="4" t="str">
        <f t="shared" ref="B7141:B7159" si="655">HYPERLINK("https://www.ncbi.nlm.nih.gov/pubmed/26537449","26537449")</f>
        <v>26537449</v>
      </c>
      <c r="C7141" s="4" t="str">
        <f t="shared" ref="C7141:C7159" si="656">HYPERLINK("https://www.ncbi.nlm.nih.gov/geo/query/acc.cgi?acc=GSE61723","GSE61723")</f>
        <v>GSE61723</v>
      </c>
      <c r="D7141" s="1" t="s">
        <v>348</v>
      </c>
      <c r="E7141" t="s">
        <v>355</v>
      </c>
      <c r="F7141" s="1">
        <v>1</v>
      </c>
      <c r="G7141" s="1" t="s">
        <v>36</v>
      </c>
      <c r="H7141" s="4" t="str">
        <f>HYPERLINK("https://www.ncbi.nlm.nih.gov/geo/query/acc.cgi?acc=GSM1511785","GSM1511785")</f>
        <v>GSM1511785</v>
      </c>
      <c r="I7141" t="s">
        <v>17</v>
      </c>
      <c r="J7141" t="s">
        <v>350</v>
      </c>
      <c r="K7141" t="s">
        <v>33</v>
      </c>
      <c r="L7141" t="s">
        <v>20</v>
      </c>
      <c r="N7141" t="s">
        <v>37</v>
      </c>
    </row>
    <row r="7142" spans="1:14">
      <c r="A7142" s="4" t="str">
        <f t="shared" si="654"/>
        <v>EXP00248</v>
      </c>
      <c r="B7142" s="4" t="str">
        <f t="shared" si="655"/>
        <v>26537449</v>
      </c>
      <c r="C7142" s="4" t="str">
        <f t="shared" si="656"/>
        <v>GSE61723</v>
      </c>
      <c r="D7142" s="1" t="s">
        <v>348</v>
      </c>
      <c r="E7142" t="s">
        <v>355</v>
      </c>
      <c r="F7142" s="1">
        <v>1</v>
      </c>
      <c r="G7142" s="1" t="s">
        <v>36</v>
      </c>
      <c r="H7142" s="4" t="str">
        <f>HYPERLINK("https://www.ncbi.nlm.nih.gov/geo/query/acc.cgi?acc=GSM1511788","GSM1511788")</f>
        <v>GSM1511788</v>
      </c>
      <c r="I7142" t="s">
        <v>17</v>
      </c>
      <c r="J7142" t="s">
        <v>350</v>
      </c>
      <c r="K7142" t="s">
        <v>33</v>
      </c>
      <c r="L7142" t="s">
        <v>20</v>
      </c>
      <c r="N7142" t="s">
        <v>37</v>
      </c>
    </row>
    <row r="7143" spans="1:14">
      <c r="A7143" s="4" t="str">
        <f t="shared" si="654"/>
        <v>EXP00248</v>
      </c>
      <c r="B7143" s="4" t="str">
        <f t="shared" si="655"/>
        <v>26537449</v>
      </c>
      <c r="C7143" s="4" t="str">
        <f t="shared" si="656"/>
        <v>GSE61723</v>
      </c>
      <c r="D7143" s="1" t="s">
        <v>348</v>
      </c>
      <c r="E7143" t="s">
        <v>355</v>
      </c>
      <c r="F7143" s="1">
        <v>2</v>
      </c>
      <c r="G7143" s="1" t="s">
        <v>28</v>
      </c>
      <c r="H7143" s="4" t="str">
        <f>HYPERLINK("https://www.ncbi.nlm.nih.gov/geo/query/acc.cgi?acc=GSM1511746","GSM1511746")</f>
        <v>GSM1511746</v>
      </c>
      <c r="I7143" t="s">
        <v>17</v>
      </c>
      <c r="J7143" t="s">
        <v>350</v>
      </c>
      <c r="K7143" t="s">
        <v>33</v>
      </c>
      <c r="L7143" t="s">
        <v>20</v>
      </c>
      <c r="N7143" t="s">
        <v>29</v>
      </c>
    </row>
    <row r="7144" spans="1:14">
      <c r="A7144" s="4" t="str">
        <f t="shared" si="654"/>
        <v>EXP00248</v>
      </c>
      <c r="B7144" s="4" t="str">
        <f t="shared" si="655"/>
        <v>26537449</v>
      </c>
      <c r="C7144" s="4" t="str">
        <f t="shared" si="656"/>
        <v>GSE61723</v>
      </c>
      <c r="D7144" s="1" t="s">
        <v>348</v>
      </c>
      <c r="E7144" t="s">
        <v>355</v>
      </c>
      <c r="F7144" s="1">
        <v>2</v>
      </c>
      <c r="G7144" s="1" t="s">
        <v>28</v>
      </c>
      <c r="H7144" s="4" t="str">
        <f>HYPERLINK("https://www.ncbi.nlm.nih.gov/geo/query/acc.cgi?acc=GSM1511751","GSM1511751")</f>
        <v>GSM1511751</v>
      </c>
      <c r="I7144" t="s">
        <v>17</v>
      </c>
      <c r="J7144" t="s">
        <v>350</v>
      </c>
      <c r="K7144" t="s">
        <v>33</v>
      </c>
      <c r="L7144" t="s">
        <v>20</v>
      </c>
      <c r="N7144" t="s">
        <v>29</v>
      </c>
    </row>
    <row r="7145" spans="1:14">
      <c r="A7145" s="4" t="str">
        <f t="shared" si="654"/>
        <v>EXP00248</v>
      </c>
      <c r="B7145" s="4" t="str">
        <f t="shared" si="655"/>
        <v>26537449</v>
      </c>
      <c r="C7145" s="4" t="str">
        <f t="shared" si="656"/>
        <v>GSE61723</v>
      </c>
      <c r="D7145" s="1" t="s">
        <v>348</v>
      </c>
      <c r="E7145" t="s">
        <v>355</v>
      </c>
      <c r="F7145" s="1">
        <v>2</v>
      </c>
      <c r="G7145" s="1" t="s">
        <v>28</v>
      </c>
      <c r="H7145" s="4" t="str">
        <f>HYPERLINK("https://www.ncbi.nlm.nih.gov/geo/query/acc.cgi?acc=GSM1511756","GSM1511756")</f>
        <v>GSM1511756</v>
      </c>
      <c r="I7145" t="s">
        <v>17</v>
      </c>
      <c r="J7145" t="s">
        <v>350</v>
      </c>
      <c r="K7145" t="s">
        <v>33</v>
      </c>
      <c r="L7145" t="s">
        <v>20</v>
      </c>
      <c r="N7145" t="s">
        <v>29</v>
      </c>
    </row>
    <row r="7146" spans="1:14">
      <c r="A7146" s="4" t="str">
        <f t="shared" si="654"/>
        <v>EXP00248</v>
      </c>
      <c r="B7146" s="4" t="str">
        <f t="shared" si="655"/>
        <v>26537449</v>
      </c>
      <c r="C7146" s="4" t="str">
        <f t="shared" si="656"/>
        <v>GSE61723</v>
      </c>
      <c r="D7146" s="1" t="s">
        <v>348</v>
      </c>
      <c r="E7146" t="s">
        <v>355</v>
      </c>
      <c r="F7146" s="1">
        <v>2</v>
      </c>
      <c r="G7146" s="1" t="s">
        <v>28</v>
      </c>
      <c r="H7146" s="4" t="str">
        <f>HYPERLINK("https://www.ncbi.nlm.nih.gov/geo/query/acc.cgi?acc=GSM1511761","GSM1511761")</f>
        <v>GSM1511761</v>
      </c>
      <c r="I7146" t="s">
        <v>17</v>
      </c>
      <c r="J7146" t="s">
        <v>350</v>
      </c>
      <c r="K7146" t="s">
        <v>33</v>
      </c>
      <c r="L7146" t="s">
        <v>20</v>
      </c>
      <c r="N7146" t="s">
        <v>29</v>
      </c>
    </row>
    <row r="7147" spans="1:14">
      <c r="A7147" s="4" t="str">
        <f t="shared" si="654"/>
        <v>EXP00248</v>
      </c>
      <c r="B7147" s="4" t="str">
        <f t="shared" si="655"/>
        <v>26537449</v>
      </c>
      <c r="C7147" s="4" t="str">
        <f t="shared" si="656"/>
        <v>GSE61723</v>
      </c>
      <c r="D7147" s="1" t="s">
        <v>348</v>
      </c>
      <c r="E7147" t="s">
        <v>355</v>
      </c>
      <c r="F7147" s="1">
        <v>2</v>
      </c>
      <c r="G7147" s="1" t="s">
        <v>28</v>
      </c>
      <c r="H7147" s="4" t="str">
        <f>HYPERLINK("https://www.ncbi.nlm.nih.gov/geo/query/acc.cgi?acc=GSM1511763","GSM1511763")</f>
        <v>GSM1511763</v>
      </c>
      <c r="I7147" t="s">
        <v>17</v>
      </c>
      <c r="J7147" t="s">
        <v>350</v>
      </c>
      <c r="K7147" t="s">
        <v>33</v>
      </c>
      <c r="L7147" t="s">
        <v>20</v>
      </c>
      <c r="N7147" t="s">
        <v>29</v>
      </c>
    </row>
    <row r="7148" spans="1:14">
      <c r="A7148" s="4" t="str">
        <f t="shared" si="654"/>
        <v>EXP00248</v>
      </c>
      <c r="B7148" s="4" t="str">
        <f t="shared" si="655"/>
        <v>26537449</v>
      </c>
      <c r="C7148" s="4" t="str">
        <f t="shared" si="656"/>
        <v>GSE61723</v>
      </c>
      <c r="D7148" s="1" t="s">
        <v>348</v>
      </c>
      <c r="E7148" t="s">
        <v>355</v>
      </c>
      <c r="F7148" s="1">
        <v>2</v>
      </c>
      <c r="G7148" s="1" t="s">
        <v>28</v>
      </c>
      <c r="H7148" s="4" t="str">
        <f>HYPERLINK("https://www.ncbi.nlm.nih.gov/geo/query/acc.cgi?acc=GSM1511766","GSM1511766")</f>
        <v>GSM1511766</v>
      </c>
      <c r="I7148" t="s">
        <v>17</v>
      </c>
      <c r="J7148" t="s">
        <v>350</v>
      </c>
      <c r="K7148" t="s">
        <v>33</v>
      </c>
      <c r="L7148" t="s">
        <v>20</v>
      </c>
      <c r="N7148" t="s">
        <v>29</v>
      </c>
    </row>
    <row r="7149" spans="1:14">
      <c r="A7149" s="4" t="str">
        <f t="shared" si="654"/>
        <v>EXP00248</v>
      </c>
      <c r="B7149" s="4" t="str">
        <f t="shared" si="655"/>
        <v>26537449</v>
      </c>
      <c r="C7149" s="4" t="str">
        <f t="shared" si="656"/>
        <v>GSE61723</v>
      </c>
      <c r="D7149" s="1" t="s">
        <v>348</v>
      </c>
      <c r="E7149" t="s">
        <v>355</v>
      </c>
      <c r="F7149" s="1">
        <v>2</v>
      </c>
      <c r="G7149" s="1" t="s">
        <v>28</v>
      </c>
      <c r="H7149" s="4" t="str">
        <f>HYPERLINK("https://www.ncbi.nlm.nih.gov/geo/query/acc.cgi?acc=GSM1511769","GSM1511769")</f>
        <v>GSM1511769</v>
      </c>
      <c r="I7149" t="s">
        <v>17</v>
      </c>
      <c r="J7149" t="s">
        <v>350</v>
      </c>
      <c r="K7149" t="s">
        <v>33</v>
      </c>
      <c r="L7149" t="s">
        <v>20</v>
      </c>
      <c r="N7149" t="s">
        <v>29</v>
      </c>
    </row>
    <row r="7150" spans="1:14">
      <c r="A7150" s="4" t="str">
        <f t="shared" si="654"/>
        <v>EXP00248</v>
      </c>
      <c r="B7150" s="4" t="str">
        <f t="shared" si="655"/>
        <v>26537449</v>
      </c>
      <c r="C7150" s="4" t="str">
        <f t="shared" si="656"/>
        <v>GSE61723</v>
      </c>
      <c r="D7150" s="1" t="s">
        <v>348</v>
      </c>
      <c r="E7150" t="s">
        <v>355</v>
      </c>
      <c r="F7150" s="1">
        <v>2</v>
      </c>
      <c r="G7150" s="1" t="s">
        <v>28</v>
      </c>
      <c r="H7150" s="4" t="str">
        <f>HYPERLINK("https://www.ncbi.nlm.nih.gov/geo/query/acc.cgi?acc=GSM1511773","GSM1511773")</f>
        <v>GSM1511773</v>
      </c>
      <c r="I7150" t="s">
        <v>17</v>
      </c>
      <c r="J7150" t="s">
        <v>350</v>
      </c>
      <c r="K7150" t="s">
        <v>33</v>
      </c>
      <c r="L7150" t="s">
        <v>20</v>
      </c>
      <c r="N7150" t="s">
        <v>29</v>
      </c>
    </row>
    <row r="7151" spans="1:14">
      <c r="A7151" s="4" t="str">
        <f t="shared" si="654"/>
        <v>EXP00248</v>
      </c>
      <c r="B7151" s="4" t="str">
        <f t="shared" si="655"/>
        <v>26537449</v>
      </c>
      <c r="C7151" s="4" t="str">
        <f t="shared" si="656"/>
        <v>GSE61723</v>
      </c>
      <c r="D7151" s="1" t="s">
        <v>348</v>
      </c>
      <c r="E7151" t="s">
        <v>355</v>
      </c>
      <c r="F7151" s="1">
        <v>2</v>
      </c>
      <c r="G7151" s="1" t="s">
        <v>28</v>
      </c>
      <c r="H7151" s="4" t="str">
        <f>HYPERLINK("https://www.ncbi.nlm.nih.gov/geo/query/acc.cgi?acc=GSM1511777","GSM1511777")</f>
        <v>GSM1511777</v>
      </c>
      <c r="I7151" t="s">
        <v>17</v>
      </c>
      <c r="J7151" t="s">
        <v>350</v>
      </c>
      <c r="K7151" t="s">
        <v>33</v>
      </c>
      <c r="L7151" t="s">
        <v>20</v>
      </c>
      <c r="N7151" t="s">
        <v>29</v>
      </c>
    </row>
    <row r="7152" spans="1:14">
      <c r="A7152" s="4" t="str">
        <f t="shared" si="654"/>
        <v>EXP00248</v>
      </c>
      <c r="B7152" s="4" t="str">
        <f t="shared" si="655"/>
        <v>26537449</v>
      </c>
      <c r="C7152" s="4" t="str">
        <f t="shared" si="656"/>
        <v>GSE61723</v>
      </c>
      <c r="D7152" s="1" t="s">
        <v>348</v>
      </c>
      <c r="E7152" t="s">
        <v>355</v>
      </c>
      <c r="F7152" s="1">
        <v>2</v>
      </c>
      <c r="G7152" s="1" t="s">
        <v>28</v>
      </c>
      <c r="H7152" s="4" t="str">
        <f>HYPERLINK("https://www.ncbi.nlm.nih.gov/geo/query/acc.cgi?acc=GSM1511778","GSM1511778")</f>
        <v>GSM1511778</v>
      </c>
      <c r="I7152" t="s">
        <v>17</v>
      </c>
      <c r="J7152" t="s">
        <v>350</v>
      </c>
      <c r="K7152" t="s">
        <v>33</v>
      </c>
      <c r="L7152" t="s">
        <v>20</v>
      </c>
      <c r="N7152" t="s">
        <v>29</v>
      </c>
    </row>
    <row r="7153" spans="1:14">
      <c r="A7153" s="4" t="str">
        <f t="shared" si="654"/>
        <v>EXP00248</v>
      </c>
      <c r="B7153" s="4" t="str">
        <f t="shared" si="655"/>
        <v>26537449</v>
      </c>
      <c r="C7153" s="4" t="str">
        <f t="shared" si="656"/>
        <v>GSE61723</v>
      </c>
      <c r="D7153" s="1" t="s">
        <v>348</v>
      </c>
      <c r="E7153" t="s">
        <v>355</v>
      </c>
      <c r="F7153" s="1">
        <v>2</v>
      </c>
      <c r="G7153" s="1" t="s">
        <v>28</v>
      </c>
      <c r="H7153" s="4" t="str">
        <f>HYPERLINK("https://www.ncbi.nlm.nih.gov/geo/query/acc.cgi?acc=GSM1511779","GSM1511779")</f>
        <v>GSM1511779</v>
      </c>
      <c r="I7153" t="s">
        <v>17</v>
      </c>
      <c r="J7153" t="s">
        <v>350</v>
      </c>
      <c r="K7153" t="s">
        <v>33</v>
      </c>
      <c r="L7153" t="s">
        <v>20</v>
      </c>
      <c r="N7153" t="s">
        <v>29</v>
      </c>
    </row>
    <row r="7154" spans="1:14">
      <c r="A7154" s="4" t="str">
        <f t="shared" si="654"/>
        <v>EXP00248</v>
      </c>
      <c r="B7154" s="4" t="str">
        <f t="shared" si="655"/>
        <v>26537449</v>
      </c>
      <c r="C7154" s="4" t="str">
        <f t="shared" si="656"/>
        <v>GSE61723</v>
      </c>
      <c r="D7154" s="1" t="s">
        <v>348</v>
      </c>
      <c r="E7154" t="s">
        <v>355</v>
      </c>
      <c r="F7154" s="1">
        <v>2</v>
      </c>
      <c r="G7154" s="1" t="s">
        <v>28</v>
      </c>
      <c r="H7154" s="4" t="str">
        <f>HYPERLINK("https://www.ncbi.nlm.nih.gov/geo/query/acc.cgi?acc=GSM1511781","GSM1511781")</f>
        <v>GSM1511781</v>
      </c>
      <c r="I7154" t="s">
        <v>17</v>
      </c>
      <c r="J7154" t="s">
        <v>350</v>
      </c>
      <c r="K7154" t="s">
        <v>33</v>
      </c>
      <c r="L7154" t="s">
        <v>20</v>
      </c>
      <c r="N7154" t="s">
        <v>29</v>
      </c>
    </row>
    <row r="7155" spans="1:14">
      <c r="A7155" s="4" t="str">
        <f t="shared" si="654"/>
        <v>EXP00248</v>
      </c>
      <c r="B7155" s="4" t="str">
        <f t="shared" si="655"/>
        <v>26537449</v>
      </c>
      <c r="C7155" s="4" t="str">
        <f t="shared" si="656"/>
        <v>GSE61723</v>
      </c>
      <c r="D7155" s="1" t="s">
        <v>348</v>
      </c>
      <c r="E7155" t="s">
        <v>355</v>
      </c>
      <c r="F7155" s="1">
        <v>2</v>
      </c>
      <c r="G7155" s="1" t="s">
        <v>28</v>
      </c>
      <c r="H7155" s="4" t="str">
        <f>HYPERLINK("https://www.ncbi.nlm.nih.gov/geo/query/acc.cgi?acc=GSM1511784","GSM1511784")</f>
        <v>GSM1511784</v>
      </c>
      <c r="I7155" t="s">
        <v>17</v>
      </c>
      <c r="J7155" t="s">
        <v>350</v>
      </c>
      <c r="K7155" t="s">
        <v>33</v>
      </c>
      <c r="L7155" t="s">
        <v>20</v>
      </c>
      <c r="N7155" t="s">
        <v>29</v>
      </c>
    </row>
    <row r="7156" spans="1:14">
      <c r="A7156" s="4" t="str">
        <f t="shared" si="654"/>
        <v>EXP00248</v>
      </c>
      <c r="B7156" s="4" t="str">
        <f t="shared" si="655"/>
        <v>26537449</v>
      </c>
      <c r="C7156" s="4" t="str">
        <f t="shared" si="656"/>
        <v>GSE61723</v>
      </c>
      <c r="D7156" s="1" t="s">
        <v>348</v>
      </c>
      <c r="E7156" t="s">
        <v>355</v>
      </c>
      <c r="F7156" s="1">
        <v>2</v>
      </c>
      <c r="G7156" s="1" t="s">
        <v>28</v>
      </c>
      <c r="H7156" s="4" t="str">
        <f>HYPERLINK("https://www.ncbi.nlm.nih.gov/geo/query/acc.cgi?acc=GSM1511786","GSM1511786")</f>
        <v>GSM1511786</v>
      </c>
      <c r="I7156" t="s">
        <v>17</v>
      </c>
      <c r="J7156" t="s">
        <v>350</v>
      </c>
      <c r="K7156" t="s">
        <v>33</v>
      </c>
      <c r="L7156" t="s">
        <v>20</v>
      </c>
      <c r="N7156" t="s">
        <v>29</v>
      </c>
    </row>
    <row r="7157" spans="1:14">
      <c r="A7157" s="4" t="str">
        <f t="shared" si="654"/>
        <v>EXP00248</v>
      </c>
      <c r="B7157" s="4" t="str">
        <f t="shared" si="655"/>
        <v>26537449</v>
      </c>
      <c r="C7157" s="4" t="str">
        <f t="shared" si="656"/>
        <v>GSE61723</v>
      </c>
      <c r="D7157" s="1" t="s">
        <v>348</v>
      </c>
      <c r="E7157" t="s">
        <v>355</v>
      </c>
      <c r="F7157" s="1">
        <v>2</v>
      </c>
      <c r="G7157" s="1" t="s">
        <v>28</v>
      </c>
      <c r="H7157" s="4" t="str">
        <f>HYPERLINK("https://www.ncbi.nlm.nih.gov/geo/query/acc.cgi?acc=GSM1511787","GSM1511787")</f>
        <v>GSM1511787</v>
      </c>
      <c r="I7157" t="s">
        <v>17</v>
      </c>
      <c r="J7157" t="s">
        <v>350</v>
      </c>
      <c r="K7157" t="s">
        <v>33</v>
      </c>
      <c r="L7157" t="s">
        <v>20</v>
      </c>
      <c r="N7157" t="s">
        <v>29</v>
      </c>
    </row>
    <row r="7158" spans="1:14">
      <c r="A7158" s="4" t="str">
        <f t="shared" si="654"/>
        <v>EXP00248</v>
      </c>
      <c r="B7158" s="4" t="str">
        <f t="shared" si="655"/>
        <v>26537449</v>
      </c>
      <c r="C7158" s="4" t="str">
        <f t="shared" si="656"/>
        <v>GSE61723</v>
      </c>
      <c r="D7158" s="1" t="s">
        <v>348</v>
      </c>
      <c r="E7158" t="s">
        <v>355</v>
      </c>
      <c r="F7158" s="1">
        <v>2</v>
      </c>
      <c r="G7158" s="1" t="s">
        <v>28</v>
      </c>
      <c r="H7158" s="4" t="str">
        <f>HYPERLINK("https://www.ncbi.nlm.nih.gov/geo/query/acc.cgi?acc=GSM1511789","GSM1511789")</f>
        <v>GSM1511789</v>
      </c>
      <c r="I7158" t="s">
        <v>17</v>
      </c>
      <c r="J7158" t="s">
        <v>350</v>
      </c>
      <c r="K7158" t="s">
        <v>33</v>
      </c>
      <c r="L7158" t="s">
        <v>20</v>
      </c>
      <c r="N7158" t="s">
        <v>29</v>
      </c>
    </row>
    <row r="7159" spans="1:14">
      <c r="A7159" s="4" t="str">
        <f t="shared" si="654"/>
        <v>EXP00248</v>
      </c>
      <c r="B7159" s="4" t="str">
        <f t="shared" si="655"/>
        <v>26537449</v>
      </c>
      <c r="C7159" s="4" t="str">
        <f t="shared" si="656"/>
        <v>GSE61723</v>
      </c>
      <c r="D7159" s="1" t="s">
        <v>348</v>
      </c>
      <c r="E7159" t="s">
        <v>355</v>
      </c>
      <c r="F7159" s="1">
        <v>2</v>
      </c>
      <c r="G7159" s="1" t="s">
        <v>28</v>
      </c>
      <c r="H7159" s="4" t="str">
        <f>HYPERLINK("https://www.ncbi.nlm.nih.gov/geo/query/acc.cgi?acc=GSM1511800","GSM1511800")</f>
        <v>GSM1511800</v>
      </c>
      <c r="I7159" t="s">
        <v>17</v>
      </c>
      <c r="J7159" t="s">
        <v>350</v>
      </c>
      <c r="K7159" t="s">
        <v>33</v>
      </c>
      <c r="L7159" t="s">
        <v>20</v>
      </c>
      <c r="N7159" t="s">
        <v>29</v>
      </c>
    </row>
    <row r="7160" spans="1:14">
      <c r="A7160" s="4" t="str">
        <f t="shared" ref="A7160:A7191" si="657">HYPERLINK("http://hcmdb.i-sanger.com/experiment/details/experiment_id/EXP00249","EXP00249")</f>
        <v>EXP00249</v>
      </c>
      <c r="B7160" s="4" t="str">
        <f t="shared" ref="B7160:B7191" si="658">HYPERLINK("https://www.ncbi.nlm.nih.gov/pubmed/17327601","17327601")</f>
        <v>17327601</v>
      </c>
      <c r="C7160" s="4" t="str">
        <f t="shared" ref="C7160:C7191" si="659">HYPERLINK("https://www.ncbi.nlm.nih.gov/geo/query/acc.cgi?acc=GSE62321","GSE62321")</f>
        <v>GSE62321</v>
      </c>
      <c r="D7160" s="1" t="s">
        <v>116</v>
      </c>
      <c r="E7160" t="s">
        <v>72</v>
      </c>
      <c r="F7160" s="1">
        <v>1</v>
      </c>
      <c r="G7160" s="1" t="s">
        <v>26</v>
      </c>
      <c r="H7160" s="4" t="str">
        <f>HYPERLINK("https://www.ncbi.nlm.nih.gov/geo/query/acc.cgi?acc=GSM1525236","GSM1525236")</f>
        <v>GSM1525236</v>
      </c>
      <c r="I7160" t="s">
        <v>69</v>
      </c>
      <c r="J7160" t="s">
        <v>18</v>
      </c>
      <c r="K7160" t="s">
        <v>19</v>
      </c>
      <c r="L7160" t="s">
        <v>70</v>
      </c>
      <c r="M7160" t="s">
        <v>44</v>
      </c>
      <c r="N7160" t="s">
        <v>22</v>
      </c>
    </row>
    <row r="7161" spans="1:14">
      <c r="A7161" s="4" t="str">
        <f t="shared" si="657"/>
        <v>EXP00249</v>
      </c>
      <c r="B7161" s="4" t="str">
        <f t="shared" si="658"/>
        <v>17327601</v>
      </c>
      <c r="C7161" s="4" t="str">
        <f t="shared" si="659"/>
        <v>GSE62321</v>
      </c>
      <c r="D7161" s="1" t="s">
        <v>116</v>
      </c>
      <c r="E7161" t="s">
        <v>72</v>
      </c>
      <c r="F7161" s="1">
        <v>1</v>
      </c>
      <c r="G7161" s="1" t="s">
        <v>26</v>
      </c>
      <c r="H7161" s="4" t="str">
        <f>HYPERLINK("https://www.ncbi.nlm.nih.gov/geo/query/acc.cgi?acc=GSM1525237","GSM1525237")</f>
        <v>GSM1525237</v>
      </c>
      <c r="I7161" t="s">
        <v>69</v>
      </c>
      <c r="J7161" t="s">
        <v>18</v>
      </c>
      <c r="K7161" t="s">
        <v>19</v>
      </c>
      <c r="L7161" t="s">
        <v>70</v>
      </c>
      <c r="M7161" t="s">
        <v>44</v>
      </c>
      <c r="N7161" t="s">
        <v>22</v>
      </c>
    </row>
    <row r="7162" spans="1:14">
      <c r="A7162" s="4" t="str">
        <f t="shared" si="657"/>
        <v>EXP00249</v>
      </c>
      <c r="B7162" s="4" t="str">
        <f t="shared" si="658"/>
        <v>17327601</v>
      </c>
      <c r="C7162" s="4" t="str">
        <f t="shared" si="659"/>
        <v>GSE62321</v>
      </c>
      <c r="D7162" s="1" t="s">
        <v>116</v>
      </c>
      <c r="E7162" t="s">
        <v>72</v>
      </c>
      <c r="F7162" s="1">
        <v>1</v>
      </c>
      <c r="G7162" s="1" t="s">
        <v>26</v>
      </c>
      <c r="H7162" s="4" t="str">
        <f>HYPERLINK("https://www.ncbi.nlm.nih.gov/geo/query/acc.cgi?acc=GSM1525238","GSM1525238")</f>
        <v>GSM1525238</v>
      </c>
      <c r="I7162" t="s">
        <v>69</v>
      </c>
      <c r="J7162" t="s">
        <v>18</v>
      </c>
      <c r="K7162" t="s">
        <v>19</v>
      </c>
      <c r="L7162" t="s">
        <v>70</v>
      </c>
      <c r="M7162" t="s">
        <v>44</v>
      </c>
      <c r="N7162" t="s">
        <v>22</v>
      </c>
    </row>
    <row r="7163" spans="1:14">
      <c r="A7163" s="4" t="str">
        <f t="shared" si="657"/>
        <v>EXP00249</v>
      </c>
      <c r="B7163" s="4" t="str">
        <f t="shared" si="658"/>
        <v>17327601</v>
      </c>
      <c r="C7163" s="4" t="str">
        <f t="shared" si="659"/>
        <v>GSE62321</v>
      </c>
      <c r="D7163" s="1" t="s">
        <v>116</v>
      </c>
      <c r="E7163" t="s">
        <v>72</v>
      </c>
      <c r="F7163" s="1">
        <v>1</v>
      </c>
      <c r="G7163" s="1" t="s">
        <v>26</v>
      </c>
      <c r="H7163" s="4" t="str">
        <f>HYPERLINK("https://www.ncbi.nlm.nih.gov/geo/query/acc.cgi?acc=GSM1525239","GSM1525239")</f>
        <v>GSM1525239</v>
      </c>
      <c r="I7163" t="s">
        <v>69</v>
      </c>
      <c r="J7163" t="s">
        <v>18</v>
      </c>
      <c r="K7163" t="s">
        <v>19</v>
      </c>
      <c r="L7163" t="s">
        <v>70</v>
      </c>
      <c r="M7163" t="s">
        <v>44</v>
      </c>
      <c r="N7163" t="s">
        <v>22</v>
      </c>
    </row>
    <row r="7164" spans="1:14">
      <c r="A7164" s="4" t="str">
        <f t="shared" si="657"/>
        <v>EXP00249</v>
      </c>
      <c r="B7164" s="4" t="str">
        <f t="shared" si="658"/>
        <v>17327601</v>
      </c>
      <c r="C7164" s="4" t="str">
        <f t="shared" si="659"/>
        <v>GSE62321</v>
      </c>
      <c r="D7164" s="1" t="s">
        <v>116</v>
      </c>
      <c r="E7164" t="s">
        <v>72</v>
      </c>
      <c r="F7164" s="1">
        <v>1</v>
      </c>
      <c r="G7164" s="1" t="s">
        <v>26</v>
      </c>
      <c r="H7164" s="4" t="str">
        <f>HYPERLINK("https://www.ncbi.nlm.nih.gov/geo/query/acc.cgi?acc=GSM1525240","GSM1525240")</f>
        <v>GSM1525240</v>
      </c>
      <c r="I7164" t="s">
        <v>69</v>
      </c>
      <c r="J7164" t="s">
        <v>18</v>
      </c>
      <c r="K7164" t="s">
        <v>19</v>
      </c>
      <c r="L7164" t="s">
        <v>70</v>
      </c>
      <c r="M7164" t="s">
        <v>44</v>
      </c>
      <c r="N7164" t="s">
        <v>22</v>
      </c>
    </row>
    <row r="7165" spans="1:14">
      <c r="A7165" s="4" t="str">
        <f t="shared" si="657"/>
        <v>EXP00249</v>
      </c>
      <c r="B7165" s="4" t="str">
        <f t="shared" si="658"/>
        <v>17327601</v>
      </c>
      <c r="C7165" s="4" t="str">
        <f t="shared" si="659"/>
        <v>GSE62321</v>
      </c>
      <c r="D7165" s="1" t="s">
        <v>116</v>
      </c>
      <c r="E7165" t="s">
        <v>72</v>
      </c>
      <c r="F7165" s="1">
        <v>1</v>
      </c>
      <c r="G7165" s="1" t="s">
        <v>26</v>
      </c>
      <c r="H7165" s="4" t="str">
        <f>HYPERLINK("https://www.ncbi.nlm.nih.gov/geo/query/acc.cgi?acc=GSM1525241","GSM1525241")</f>
        <v>GSM1525241</v>
      </c>
      <c r="I7165" t="s">
        <v>69</v>
      </c>
      <c r="J7165" t="s">
        <v>18</v>
      </c>
      <c r="K7165" t="s">
        <v>19</v>
      </c>
      <c r="L7165" t="s">
        <v>70</v>
      </c>
      <c r="M7165" t="s">
        <v>44</v>
      </c>
      <c r="N7165" t="s">
        <v>22</v>
      </c>
    </row>
    <row r="7166" spans="1:14">
      <c r="A7166" s="4" t="str">
        <f t="shared" si="657"/>
        <v>EXP00249</v>
      </c>
      <c r="B7166" s="4" t="str">
        <f t="shared" si="658"/>
        <v>17327601</v>
      </c>
      <c r="C7166" s="4" t="str">
        <f t="shared" si="659"/>
        <v>GSE62321</v>
      </c>
      <c r="D7166" s="1" t="s">
        <v>116</v>
      </c>
      <c r="E7166" t="s">
        <v>72</v>
      </c>
      <c r="F7166" s="1">
        <v>1</v>
      </c>
      <c r="G7166" s="1" t="s">
        <v>26</v>
      </c>
      <c r="H7166" s="4" t="str">
        <f>HYPERLINK("https://www.ncbi.nlm.nih.gov/geo/query/acc.cgi?acc=GSM1525242","GSM1525242")</f>
        <v>GSM1525242</v>
      </c>
      <c r="I7166" t="s">
        <v>69</v>
      </c>
      <c r="J7166" t="s">
        <v>18</v>
      </c>
      <c r="K7166" t="s">
        <v>19</v>
      </c>
      <c r="L7166" t="s">
        <v>70</v>
      </c>
      <c r="M7166" t="s">
        <v>44</v>
      </c>
      <c r="N7166" t="s">
        <v>22</v>
      </c>
    </row>
    <row r="7167" spans="1:14">
      <c r="A7167" s="4" t="str">
        <f t="shared" si="657"/>
        <v>EXP00249</v>
      </c>
      <c r="B7167" s="4" t="str">
        <f t="shared" si="658"/>
        <v>17327601</v>
      </c>
      <c r="C7167" s="4" t="str">
        <f t="shared" si="659"/>
        <v>GSE62321</v>
      </c>
      <c r="D7167" s="1" t="s">
        <v>116</v>
      </c>
      <c r="E7167" t="s">
        <v>72</v>
      </c>
      <c r="F7167" s="1">
        <v>1</v>
      </c>
      <c r="G7167" s="1" t="s">
        <v>26</v>
      </c>
      <c r="H7167" s="4" t="str">
        <f>HYPERLINK("https://www.ncbi.nlm.nih.gov/geo/query/acc.cgi?acc=GSM1525243","GSM1525243")</f>
        <v>GSM1525243</v>
      </c>
      <c r="I7167" t="s">
        <v>69</v>
      </c>
      <c r="J7167" t="s">
        <v>18</v>
      </c>
      <c r="K7167" t="s">
        <v>19</v>
      </c>
      <c r="L7167" t="s">
        <v>70</v>
      </c>
      <c r="M7167" t="s">
        <v>44</v>
      </c>
      <c r="N7167" t="s">
        <v>22</v>
      </c>
    </row>
    <row r="7168" spans="1:14">
      <c r="A7168" s="4" t="str">
        <f t="shared" si="657"/>
        <v>EXP00249</v>
      </c>
      <c r="B7168" s="4" t="str">
        <f t="shared" si="658"/>
        <v>17327601</v>
      </c>
      <c r="C7168" s="4" t="str">
        <f t="shared" si="659"/>
        <v>GSE62321</v>
      </c>
      <c r="D7168" s="1" t="s">
        <v>116</v>
      </c>
      <c r="E7168" t="s">
        <v>72</v>
      </c>
      <c r="F7168" s="1">
        <v>1</v>
      </c>
      <c r="G7168" s="1" t="s">
        <v>26</v>
      </c>
      <c r="H7168" s="4" t="str">
        <f>HYPERLINK("https://www.ncbi.nlm.nih.gov/geo/query/acc.cgi?acc=GSM1525244","GSM1525244")</f>
        <v>GSM1525244</v>
      </c>
      <c r="I7168" t="s">
        <v>69</v>
      </c>
      <c r="J7168" t="s">
        <v>18</v>
      </c>
      <c r="K7168" t="s">
        <v>19</v>
      </c>
      <c r="L7168" t="s">
        <v>70</v>
      </c>
      <c r="M7168" t="s">
        <v>44</v>
      </c>
      <c r="N7168" t="s">
        <v>22</v>
      </c>
    </row>
    <row r="7169" spans="1:14">
      <c r="A7169" s="4" t="str">
        <f t="shared" si="657"/>
        <v>EXP00249</v>
      </c>
      <c r="B7169" s="4" t="str">
        <f t="shared" si="658"/>
        <v>17327601</v>
      </c>
      <c r="C7169" s="4" t="str">
        <f t="shared" si="659"/>
        <v>GSE62321</v>
      </c>
      <c r="D7169" s="1" t="s">
        <v>116</v>
      </c>
      <c r="E7169" t="s">
        <v>72</v>
      </c>
      <c r="F7169" s="1">
        <v>1</v>
      </c>
      <c r="G7169" s="1" t="s">
        <v>26</v>
      </c>
      <c r="H7169" s="4" t="str">
        <f>HYPERLINK("https://www.ncbi.nlm.nih.gov/geo/query/acc.cgi?acc=GSM1525245","GSM1525245")</f>
        <v>GSM1525245</v>
      </c>
      <c r="I7169" t="s">
        <v>69</v>
      </c>
      <c r="J7169" t="s">
        <v>18</v>
      </c>
      <c r="K7169" t="s">
        <v>19</v>
      </c>
      <c r="L7169" t="s">
        <v>70</v>
      </c>
      <c r="M7169" t="s">
        <v>44</v>
      </c>
      <c r="N7169" t="s">
        <v>22</v>
      </c>
    </row>
    <row r="7170" spans="1:14">
      <c r="A7170" s="4" t="str">
        <f t="shared" si="657"/>
        <v>EXP00249</v>
      </c>
      <c r="B7170" s="4" t="str">
        <f t="shared" si="658"/>
        <v>17327601</v>
      </c>
      <c r="C7170" s="4" t="str">
        <f t="shared" si="659"/>
        <v>GSE62321</v>
      </c>
      <c r="D7170" s="1" t="s">
        <v>116</v>
      </c>
      <c r="E7170" t="s">
        <v>72</v>
      </c>
      <c r="F7170" s="1">
        <v>1</v>
      </c>
      <c r="G7170" s="1" t="s">
        <v>26</v>
      </c>
      <c r="H7170" s="4" t="str">
        <f>HYPERLINK("https://www.ncbi.nlm.nih.gov/geo/query/acc.cgi?acc=GSM1525246","GSM1525246")</f>
        <v>GSM1525246</v>
      </c>
      <c r="I7170" t="s">
        <v>69</v>
      </c>
      <c r="J7170" t="s">
        <v>18</v>
      </c>
      <c r="K7170" t="s">
        <v>19</v>
      </c>
      <c r="L7170" t="s">
        <v>70</v>
      </c>
      <c r="M7170" t="s">
        <v>44</v>
      </c>
      <c r="N7170" t="s">
        <v>22</v>
      </c>
    </row>
    <row r="7171" spans="1:14">
      <c r="A7171" s="4" t="str">
        <f t="shared" si="657"/>
        <v>EXP00249</v>
      </c>
      <c r="B7171" s="4" t="str">
        <f t="shared" si="658"/>
        <v>17327601</v>
      </c>
      <c r="C7171" s="4" t="str">
        <f t="shared" si="659"/>
        <v>GSE62321</v>
      </c>
      <c r="D7171" s="1" t="s">
        <v>116</v>
      </c>
      <c r="E7171" t="s">
        <v>72</v>
      </c>
      <c r="F7171" s="1">
        <v>1</v>
      </c>
      <c r="G7171" s="1" t="s">
        <v>26</v>
      </c>
      <c r="H7171" s="4" t="str">
        <f>HYPERLINK("https://www.ncbi.nlm.nih.gov/geo/query/acc.cgi?acc=GSM1525247","GSM1525247")</f>
        <v>GSM1525247</v>
      </c>
      <c r="I7171" t="s">
        <v>69</v>
      </c>
      <c r="J7171" t="s">
        <v>18</v>
      </c>
      <c r="K7171" t="s">
        <v>19</v>
      </c>
      <c r="L7171" t="s">
        <v>70</v>
      </c>
      <c r="M7171" t="s">
        <v>44</v>
      </c>
      <c r="N7171" t="s">
        <v>22</v>
      </c>
    </row>
    <row r="7172" spans="1:14">
      <c r="A7172" s="4" t="str">
        <f t="shared" si="657"/>
        <v>EXP00249</v>
      </c>
      <c r="B7172" s="4" t="str">
        <f t="shared" si="658"/>
        <v>17327601</v>
      </c>
      <c r="C7172" s="4" t="str">
        <f t="shared" si="659"/>
        <v>GSE62321</v>
      </c>
      <c r="D7172" s="1" t="s">
        <v>116</v>
      </c>
      <c r="E7172" t="s">
        <v>72</v>
      </c>
      <c r="F7172" s="1">
        <v>1</v>
      </c>
      <c r="G7172" s="1" t="s">
        <v>26</v>
      </c>
      <c r="H7172" s="4" t="str">
        <f>HYPERLINK("https://www.ncbi.nlm.nih.gov/geo/query/acc.cgi?acc=GSM1525248","GSM1525248")</f>
        <v>GSM1525248</v>
      </c>
      <c r="I7172" t="s">
        <v>69</v>
      </c>
      <c r="J7172" t="s">
        <v>18</v>
      </c>
      <c r="K7172" t="s">
        <v>19</v>
      </c>
      <c r="L7172" t="s">
        <v>70</v>
      </c>
      <c r="M7172" t="s">
        <v>44</v>
      </c>
      <c r="N7172" t="s">
        <v>22</v>
      </c>
    </row>
    <row r="7173" spans="1:14">
      <c r="A7173" s="4" t="str">
        <f t="shared" si="657"/>
        <v>EXP00249</v>
      </c>
      <c r="B7173" s="4" t="str">
        <f t="shared" si="658"/>
        <v>17327601</v>
      </c>
      <c r="C7173" s="4" t="str">
        <f t="shared" si="659"/>
        <v>GSE62321</v>
      </c>
      <c r="D7173" s="1" t="s">
        <v>116</v>
      </c>
      <c r="E7173" t="s">
        <v>72</v>
      </c>
      <c r="F7173" s="1">
        <v>1</v>
      </c>
      <c r="G7173" s="1" t="s">
        <v>26</v>
      </c>
      <c r="H7173" s="4" t="str">
        <f>HYPERLINK("https://www.ncbi.nlm.nih.gov/geo/query/acc.cgi?acc=GSM1525249","GSM1525249")</f>
        <v>GSM1525249</v>
      </c>
      <c r="I7173" t="s">
        <v>69</v>
      </c>
      <c r="J7173" t="s">
        <v>18</v>
      </c>
      <c r="K7173" t="s">
        <v>19</v>
      </c>
      <c r="L7173" t="s">
        <v>70</v>
      </c>
      <c r="M7173" t="s">
        <v>44</v>
      </c>
      <c r="N7173" t="s">
        <v>22</v>
      </c>
    </row>
    <row r="7174" spans="1:14">
      <c r="A7174" s="4" t="str">
        <f t="shared" si="657"/>
        <v>EXP00249</v>
      </c>
      <c r="B7174" s="4" t="str">
        <f t="shared" si="658"/>
        <v>17327601</v>
      </c>
      <c r="C7174" s="4" t="str">
        <f t="shared" si="659"/>
        <v>GSE62321</v>
      </c>
      <c r="D7174" s="1" t="s">
        <v>116</v>
      </c>
      <c r="E7174" t="s">
        <v>72</v>
      </c>
      <c r="F7174" s="1">
        <v>1</v>
      </c>
      <c r="G7174" s="1" t="s">
        <v>26</v>
      </c>
      <c r="H7174" s="4" t="str">
        <f>HYPERLINK("https://www.ncbi.nlm.nih.gov/geo/query/acc.cgi?acc=GSM1525250","GSM1525250")</f>
        <v>GSM1525250</v>
      </c>
      <c r="I7174" t="s">
        <v>69</v>
      </c>
      <c r="J7174" t="s">
        <v>18</v>
      </c>
      <c r="K7174" t="s">
        <v>19</v>
      </c>
      <c r="L7174" t="s">
        <v>70</v>
      </c>
      <c r="M7174" t="s">
        <v>44</v>
      </c>
      <c r="N7174" t="s">
        <v>22</v>
      </c>
    </row>
    <row r="7175" spans="1:14">
      <c r="A7175" s="4" t="str">
        <f t="shared" si="657"/>
        <v>EXP00249</v>
      </c>
      <c r="B7175" s="4" t="str">
        <f t="shared" si="658"/>
        <v>17327601</v>
      </c>
      <c r="C7175" s="4" t="str">
        <f t="shared" si="659"/>
        <v>GSE62321</v>
      </c>
      <c r="D7175" s="1" t="s">
        <v>116</v>
      </c>
      <c r="E7175" t="s">
        <v>72</v>
      </c>
      <c r="F7175" s="1">
        <v>1</v>
      </c>
      <c r="G7175" s="1" t="s">
        <v>26</v>
      </c>
      <c r="H7175" s="4" t="str">
        <f>HYPERLINK("https://www.ncbi.nlm.nih.gov/geo/query/acc.cgi?acc=GSM1525251","GSM1525251")</f>
        <v>GSM1525251</v>
      </c>
      <c r="I7175" t="s">
        <v>69</v>
      </c>
      <c r="J7175" t="s">
        <v>18</v>
      </c>
      <c r="K7175" t="s">
        <v>19</v>
      </c>
      <c r="L7175" t="s">
        <v>70</v>
      </c>
      <c r="M7175" t="s">
        <v>44</v>
      </c>
      <c r="N7175" t="s">
        <v>22</v>
      </c>
    </row>
    <row r="7176" spans="1:14">
      <c r="A7176" s="4" t="str">
        <f t="shared" si="657"/>
        <v>EXP00249</v>
      </c>
      <c r="B7176" s="4" t="str">
        <f t="shared" si="658"/>
        <v>17327601</v>
      </c>
      <c r="C7176" s="4" t="str">
        <f t="shared" si="659"/>
        <v>GSE62321</v>
      </c>
      <c r="D7176" s="1" t="s">
        <v>116</v>
      </c>
      <c r="E7176" t="s">
        <v>72</v>
      </c>
      <c r="F7176" s="1">
        <v>1</v>
      </c>
      <c r="G7176" s="1" t="s">
        <v>26</v>
      </c>
      <c r="H7176" s="4" t="str">
        <f>HYPERLINK("https://www.ncbi.nlm.nih.gov/geo/query/acc.cgi?acc=GSM1525252","GSM1525252")</f>
        <v>GSM1525252</v>
      </c>
      <c r="I7176" t="s">
        <v>69</v>
      </c>
      <c r="J7176" t="s">
        <v>18</v>
      </c>
      <c r="K7176" t="s">
        <v>19</v>
      </c>
      <c r="L7176" t="s">
        <v>70</v>
      </c>
      <c r="M7176" t="s">
        <v>44</v>
      </c>
      <c r="N7176" t="s">
        <v>22</v>
      </c>
    </row>
    <row r="7177" spans="1:14">
      <c r="A7177" s="4" t="str">
        <f t="shared" si="657"/>
        <v>EXP00249</v>
      </c>
      <c r="B7177" s="4" t="str">
        <f t="shared" si="658"/>
        <v>17327601</v>
      </c>
      <c r="C7177" s="4" t="str">
        <f t="shared" si="659"/>
        <v>GSE62321</v>
      </c>
      <c r="D7177" s="1" t="s">
        <v>116</v>
      </c>
      <c r="E7177" t="s">
        <v>72</v>
      </c>
      <c r="F7177" s="1">
        <v>1</v>
      </c>
      <c r="G7177" s="1" t="s">
        <v>26</v>
      </c>
      <c r="H7177" s="4" t="str">
        <f>HYPERLINK("https://www.ncbi.nlm.nih.gov/geo/query/acc.cgi?acc=GSM1525253","GSM1525253")</f>
        <v>GSM1525253</v>
      </c>
      <c r="I7177" t="s">
        <v>69</v>
      </c>
      <c r="J7177" t="s">
        <v>18</v>
      </c>
      <c r="K7177" t="s">
        <v>19</v>
      </c>
      <c r="L7177" t="s">
        <v>70</v>
      </c>
      <c r="M7177" t="s">
        <v>44</v>
      </c>
      <c r="N7177" t="s">
        <v>22</v>
      </c>
    </row>
    <row r="7178" spans="1:14">
      <c r="A7178" s="4" t="str">
        <f t="shared" si="657"/>
        <v>EXP00249</v>
      </c>
      <c r="B7178" s="4" t="str">
        <f t="shared" si="658"/>
        <v>17327601</v>
      </c>
      <c r="C7178" s="4" t="str">
        <f t="shared" si="659"/>
        <v>GSE62321</v>
      </c>
      <c r="D7178" s="1" t="s">
        <v>116</v>
      </c>
      <c r="E7178" t="s">
        <v>72</v>
      </c>
      <c r="F7178" s="1">
        <v>1</v>
      </c>
      <c r="G7178" s="1" t="s">
        <v>26</v>
      </c>
      <c r="H7178" s="4" t="str">
        <f>HYPERLINK("https://www.ncbi.nlm.nih.gov/geo/query/acc.cgi?acc=GSM1525254","GSM1525254")</f>
        <v>GSM1525254</v>
      </c>
      <c r="I7178" t="s">
        <v>69</v>
      </c>
      <c r="J7178" t="s">
        <v>18</v>
      </c>
      <c r="K7178" t="s">
        <v>19</v>
      </c>
      <c r="L7178" t="s">
        <v>70</v>
      </c>
      <c r="M7178" t="s">
        <v>44</v>
      </c>
      <c r="N7178" t="s">
        <v>22</v>
      </c>
    </row>
    <row r="7179" spans="1:14">
      <c r="A7179" s="4" t="str">
        <f t="shared" si="657"/>
        <v>EXP00249</v>
      </c>
      <c r="B7179" s="4" t="str">
        <f t="shared" si="658"/>
        <v>17327601</v>
      </c>
      <c r="C7179" s="4" t="str">
        <f t="shared" si="659"/>
        <v>GSE62321</v>
      </c>
      <c r="D7179" s="1" t="s">
        <v>116</v>
      </c>
      <c r="E7179" t="s">
        <v>72</v>
      </c>
      <c r="F7179" s="1">
        <v>2</v>
      </c>
      <c r="G7179" s="1" t="s">
        <v>28</v>
      </c>
      <c r="H7179" s="4" t="str">
        <f>HYPERLINK("https://www.ncbi.nlm.nih.gov/geo/query/acc.cgi?acc=GSM1525216","GSM1525216")</f>
        <v>GSM1525216</v>
      </c>
      <c r="I7179" t="s">
        <v>69</v>
      </c>
      <c r="J7179" t="s">
        <v>18</v>
      </c>
      <c r="K7179" t="s">
        <v>19</v>
      </c>
      <c r="L7179" t="s">
        <v>70</v>
      </c>
      <c r="M7179" t="s">
        <v>44</v>
      </c>
      <c r="N7179" t="s">
        <v>29</v>
      </c>
    </row>
    <row r="7180" spans="1:14">
      <c r="A7180" s="4" t="str">
        <f t="shared" si="657"/>
        <v>EXP00249</v>
      </c>
      <c r="B7180" s="4" t="str">
        <f t="shared" si="658"/>
        <v>17327601</v>
      </c>
      <c r="C7180" s="4" t="str">
        <f t="shared" si="659"/>
        <v>GSE62321</v>
      </c>
      <c r="D7180" s="1" t="s">
        <v>116</v>
      </c>
      <c r="E7180" t="s">
        <v>72</v>
      </c>
      <c r="F7180" s="1">
        <v>2</v>
      </c>
      <c r="G7180" s="1" t="s">
        <v>28</v>
      </c>
      <c r="H7180" s="4" t="str">
        <f>HYPERLINK("https://www.ncbi.nlm.nih.gov/geo/query/acc.cgi?acc=GSM1525218","GSM1525218")</f>
        <v>GSM1525218</v>
      </c>
      <c r="I7180" t="s">
        <v>69</v>
      </c>
      <c r="J7180" t="s">
        <v>18</v>
      </c>
      <c r="K7180" t="s">
        <v>19</v>
      </c>
      <c r="L7180" t="s">
        <v>70</v>
      </c>
      <c r="M7180" t="s">
        <v>44</v>
      </c>
      <c r="N7180" t="s">
        <v>29</v>
      </c>
    </row>
    <row r="7181" spans="1:14">
      <c r="A7181" s="4" t="str">
        <f t="shared" si="657"/>
        <v>EXP00249</v>
      </c>
      <c r="B7181" s="4" t="str">
        <f t="shared" si="658"/>
        <v>17327601</v>
      </c>
      <c r="C7181" s="4" t="str">
        <f t="shared" si="659"/>
        <v>GSE62321</v>
      </c>
      <c r="D7181" s="1" t="s">
        <v>116</v>
      </c>
      <c r="E7181" t="s">
        <v>72</v>
      </c>
      <c r="F7181" s="1">
        <v>2</v>
      </c>
      <c r="G7181" s="1" t="s">
        <v>28</v>
      </c>
      <c r="H7181" s="4" t="str">
        <f>HYPERLINK("https://www.ncbi.nlm.nih.gov/geo/query/acc.cgi?acc=GSM1525220","GSM1525220")</f>
        <v>GSM1525220</v>
      </c>
      <c r="I7181" t="s">
        <v>69</v>
      </c>
      <c r="J7181" t="s">
        <v>18</v>
      </c>
      <c r="K7181" t="s">
        <v>19</v>
      </c>
      <c r="L7181" t="s">
        <v>70</v>
      </c>
      <c r="M7181" t="s">
        <v>44</v>
      </c>
      <c r="N7181" t="s">
        <v>29</v>
      </c>
    </row>
    <row r="7182" spans="1:14">
      <c r="A7182" s="4" t="str">
        <f t="shared" si="657"/>
        <v>EXP00249</v>
      </c>
      <c r="B7182" s="4" t="str">
        <f t="shared" si="658"/>
        <v>17327601</v>
      </c>
      <c r="C7182" s="4" t="str">
        <f t="shared" si="659"/>
        <v>GSE62321</v>
      </c>
      <c r="D7182" s="1" t="s">
        <v>116</v>
      </c>
      <c r="E7182" t="s">
        <v>72</v>
      </c>
      <c r="F7182" s="1">
        <v>2</v>
      </c>
      <c r="G7182" s="1" t="s">
        <v>28</v>
      </c>
      <c r="H7182" s="4" t="str">
        <f>HYPERLINK("https://www.ncbi.nlm.nih.gov/geo/query/acc.cgi?acc=GSM1525221","GSM1525221")</f>
        <v>GSM1525221</v>
      </c>
      <c r="I7182" t="s">
        <v>69</v>
      </c>
      <c r="J7182" t="s">
        <v>18</v>
      </c>
      <c r="K7182" t="s">
        <v>19</v>
      </c>
      <c r="L7182" t="s">
        <v>70</v>
      </c>
      <c r="M7182" t="s">
        <v>44</v>
      </c>
      <c r="N7182" t="s">
        <v>29</v>
      </c>
    </row>
    <row r="7183" spans="1:14">
      <c r="A7183" s="4" t="str">
        <f t="shared" si="657"/>
        <v>EXP00249</v>
      </c>
      <c r="B7183" s="4" t="str">
        <f t="shared" si="658"/>
        <v>17327601</v>
      </c>
      <c r="C7183" s="4" t="str">
        <f t="shared" si="659"/>
        <v>GSE62321</v>
      </c>
      <c r="D7183" s="1" t="s">
        <v>116</v>
      </c>
      <c r="E7183" t="s">
        <v>72</v>
      </c>
      <c r="F7183" s="1">
        <v>2</v>
      </c>
      <c r="G7183" s="1" t="s">
        <v>28</v>
      </c>
      <c r="H7183" s="4" t="str">
        <f>HYPERLINK("https://www.ncbi.nlm.nih.gov/geo/query/acc.cgi?acc=GSM1525223","GSM1525223")</f>
        <v>GSM1525223</v>
      </c>
      <c r="I7183" t="s">
        <v>69</v>
      </c>
      <c r="J7183" t="s">
        <v>18</v>
      </c>
      <c r="K7183" t="s">
        <v>19</v>
      </c>
      <c r="L7183" t="s">
        <v>70</v>
      </c>
      <c r="M7183" t="s">
        <v>44</v>
      </c>
      <c r="N7183" t="s">
        <v>29</v>
      </c>
    </row>
    <row r="7184" spans="1:14">
      <c r="A7184" s="4" t="str">
        <f t="shared" si="657"/>
        <v>EXP00249</v>
      </c>
      <c r="B7184" s="4" t="str">
        <f t="shared" si="658"/>
        <v>17327601</v>
      </c>
      <c r="C7184" s="4" t="str">
        <f t="shared" si="659"/>
        <v>GSE62321</v>
      </c>
      <c r="D7184" s="1" t="s">
        <v>116</v>
      </c>
      <c r="E7184" t="s">
        <v>72</v>
      </c>
      <c r="F7184" s="1">
        <v>2</v>
      </c>
      <c r="G7184" s="1" t="s">
        <v>28</v>
      </c>
      <c r="H7184" s="4" t="str">
        <f>HYPERLINK("https://www.ncbi.nlm.nih.gov/geo/query/acc.cgi?acc=GSM1525224","GSM1525224")</f>
        <v>GSM1525224</v>
      </c>
      <c r="I7184" t="s">
        <v>69</v>
      </c>
      <c r="J7184" t="s">
        <v>18</v>
      </c>
      <c r="K7184" t="s">
        <v>19</v>
      </c>
      <c r="L7184" t="s">
        <v>70</v>
      </c>
      <c r="M7184" t="s">
        <v>44</v>
      </c>
      <c r="N7184" t="s">
        <v>29</v>
      </c>
    </row>
    <row r="7185" spans="1:14">
      <c r="A7185" s="4" t="str">
        <f t="shared" si="657"/>
        <v>EXP00249</v>
      </c>
      <c r="B7185" s="4" t="str">
        <f t="shared" si="658"/>
        <v>17327601</v>
      </c>
      <c r="C7185" s="4" t="str">
        <f t="shared" si="659"/>
        <v>GSE62321</v>
      </c>
      <c r="D7185" s="1" t="s">
        <v>116</v>
      </c>
      <c r="E7185" t="s">
        <v>72</v>
      </c>
      <c r="F7185" s="1">
        <v>2</v>
      </c>
      <c r="G7185" s="1" t="s">
        <v>28</v>
      </c>
      <c r="H7185" s="4" t="str">
        <f>HYPERLINK("https://www.ncbi.nlm.nih.gov/geo/query/acc.cgi?acc=GSM1525225","GSM1525225")</f>
        <v>GSM1525225</v>
      </c>
      <c r="I7185" t="s">
        <v>69</v>
      </c>
      <c r="J7185" t="s">
        <v>18</v>
      </c>
      <c r="K7185" t="s">
        <v>19</v>
      </c>
      <c r="L7185" t="s">
        <v>70</v>
      </c>
      <c r="M7185" t="s">
        <v>44</v>
      </c>
      <c r="N7185" t="s">
        <v>29</v>
      </c>
    </row>
    <row r="7186" spans="1:14">
      <c r="A7186" s="4" t="str">
        <f t="shared" si="657"/>
        <v>EXP00249</v>
      </c>
      <c r="B7186" s="4" t="str">
        <f t="shared" si="658"/>
        <v>17327601</v>
      </c>
      <c r="C7186" s="4" t="str">
        <f t="shared" si="659"/>
        <v>GSE62321</v>
      </c>
      <c r="D7186" s="1" t="s">
        <v>116</v>
      </c>
      <c r="E7186" t="s">
        <v>72</v>
      </c>
      <c r="F7186" s="1">
        <v>2</v>
      </c>
      <c r="G7186" s="1" t="s">
        <v>28</v>
      </c>
      <c r="H7186" s="4" t="str">
        <f>HYPERLINK("https://www.ncbi.nlm.nih.gov/geo/query/acc.cgi?acc=GSM1525228","GSM1525228")</f>
        <v>GSM1525228</v>
      </c>
      <c r="I7186" t="s">
        <v>69</v>
      </c>
      <c r="J7186" t="s">
        <v>18</v>
      </c>
      <c r="K7186" t="s">
        <v>19</v>
      </c>
      <c r="L7186" t="s">
        <v>70</v>
      </c>
      <c r="M7186" t="s">
        <v>44</v>
      </c>
      <c r="N7186" t="s">
        <v>29</v>
      </c>
    </row>
    <row r="7187" spans="1:14">
      <c r="A7187" s="4" t="str">
        <f t="shared" si="657"/>
        <v>EXP00249</v>
      </c>
      <c r="B7187" s="4" t="str">
        <f t="shared" si="658"/>
        <v>17327601</v>
      </c>
      <c r="C7187" s="4" t="str">
        <f t="shared" si="659"/>
        <v>GSE62321</v>
      </c>
      <c r="D7187" s="1" t="s">
        <v>116</v>
      </c>
      <c r="E7187" t="s">
        <v>72</v>
      </c>
      <c r="F7187" s="1">
        <v>2</v>
      </c>
      <c r="G7187" s="1" t="s">
        <v>28</v>
      </c>
      <c r="H7187" s="4" t="str">
        <f>HYPERLINK("https://www.ncbi.nlm.nih.gov/geo/query/acc.cgi?acc=GSM1525230","GSM1525230")</f>
        <v>GSM1525230</v>
      </c>
      <c r="I7187" t="s">
        <v>69</v>
      </c>
      <c r="J7187" t="s">
        <v>18</v>
      </c>
      <c r="K7187" t="s">
        <v>19</v>
      </c>
      <c r="L7187" t="s">
        <v>70</v>
      </c>
      <c r="M7187" t="s">
        <v>44</v>
      </c>
      <c r="N7187" t="s">
        <v>29</v>
      </c>
    </row>
    <row r="7188" spans="1:14">
      <c r="A7188" s="4" t="str">
        <f t="shared" si="657"/>
        <v>EXP00249</v>
      </c>
      <c r="B7188" s="4" t="str">
        <f t="shared" si="658"/>
        <v>17327601</v>
      </c>
      <c r="C7188" s="4" t="str">
        <f t="shared" si="659"/>
        <v>GSE62321</v>
      </c>
      <c r="D7188" s="1" t="s">
        <v>116</v>
      </c>
      <c r="E7188" t="s">
        <v>72</v>
      </c>
      <c r="F7188" s="1">
        <v>2</v>
      </c>
      <c r="G7188" s="1" t="s">
        <v>28</v>
      </c>
      <c r="H7188" s="4" t="str">
        <f>HYPERLINK("https://www.ncbi.nlm.nih.gov/geo/query/acc.cgi?acc=GSM1525231","GSM1525231")</f>
        <v>GSM1525231</v>
      </c>
      <c r="I7188" t="s">
        <v>69</v>
      </c>
      <c r="J7188" t="s">
        <v>18</v>
      </c>
      <c r="K7188" t="s">
        <v>19</v>
      </c>
      <c r="L7188" t="s">
        <v>70</v>
      </c>
      <c r="M7188" t="s">
        <v>44</v>
      </c>
      <c r="N7188" t="s">
        <v>29</v>
      </c>
    </row>
    <row r="7189" spans="1:14">
      <c r="A7189" s="4" t="str">
        <f t="shared" si="657"/>
        <v>EXP00249</v>
      </c>
      <c r="B7189" s="4" t="str">
        <f t="shared" si="658"/>
        <v>17327601</v>
      </c>
      <c r="C7189" s="4" t="str">
        <f t="shared" si="659"/>
        <v>GSE62321</v>
      </c>
      <c r="D7189" s="1" t="s">
        <v>116</v>
      </c>
      <c r="E7189" t="s">
        <v>72</v>
      </c>
      <c r="F7189" s="1">
        <v>2</v>
      </c>
      <c r="G7189" s="1" t="s">
        <v>28</v>
      </c>
      <c r="H7189" s="4" t="str">
        <f>HYPERLINK("https://www.ncbi.nlm.nih.gov/geo/query/acc.cgi?acc=GSM1525232","GSM1525232")</f>
        <v>GSM1525232</v>
      </c>
      <c r="I7189" t="s">
        <v>69</v>
      </c>
      <c r="J7189" t="s">
        <v>18</v>
      </c>
      <c r="K7189" t="s">
        <v>19</v>
      </c>
      <c r="L7189" t="s">
        <v>70</v>
      </c>
      <c r="M7189" t="s">
        <v>44</v>
      </c>
      <c r="N7189" t="s">
        <v>29</v>
      </c>
    </row>
    <row r="7190" spans="1:14">
      <c r="A7190" s="4" t="str">
        <f t="shared" si="657"/>
        <v>EXP00249</v>
      </c>
      <c r="B7190" s="4" t="str">
        <f t="shared" si="658"/>
        <v>17327601</v>
      </c>
      <c r="C7190" s="4" t="str">
        <f t="shared" si="659"/>
        <v>GSE62321</v>
      </c>
      <c r="D7190" s="1" t="s">
        <v>116</v>
      </c>
      <c r="E7190" t="s">
        <v>72</v>
      </c>
      <c r="F7190" s="1">
        <v>2</v>
      </c>
      <c r="G7190" s="1" t="s">
        <v>28</v>
      </c>
      <c r="H7190" s="4" t="str">
        <f>HYPERLINK("https://www.ncbi.nlm.nih.gov/geo/query/acc.cgi?acc=GSM1525233","GSM1525233")</f>
        <v>GSM1525233</v>
      </c>
      <c r="I7190" t="s">
        <v>69</v>
      </c>
      <c r="J7190" t="s">
        <v>18</v>
      </c>
      <c r="K7190" t="s">
        <v>19</v>
      </c>
      <c r="L7190" t="s">
        <v>70</v>
      </c>
      <c r="M7190" t="s">
        <v>44</v>
      </c>
      <c r="N7190" t="s">
        <v>29</v>
      </c>
    </row>
    <row r="7191" spans="1:14">
      <c r="A7191" s="4" t="str">
        <f t="shared" si="657"/>
        <v>EXP00249</v>
      </c>
      <c r="B7191" s="4" t="str">
        <f t="shared" si="658"/>
        <v>17327601</v>
      </c>
      <c r="C7191" s="4" t="str">
        <f t="shared" si="659"/>
        <v>GSE62321</v>
      </c>
      <c r="D7191" s="1" t="s">
        <v>116</v>
      </c>
      <c r="E7191" t="s">
        <v>72</v>
      </c>
      <c r="F7191" s="1">
        <v>2</v>
      </c>
      <c r="G7191" s="1" t="s">
        <v>28</v>
      </c>
      <c r="H7191" s="4" t="str">
        <f>HYPERLINK("https://www.ncbi.nlm.nih.gov/geo/query/acc.cgi?acc=GSM1525235","GSM1525235")</f>
        <v>GSM1525235</v>
      </c>
      <c r="I7191" t="s">
        <v>69</v>
      </c>
      <c r="J7191" t="s">
        <v>18</v>
      </c>
      <c r="K7191" t="s">
        <v>19</v>
      </c>
      <c r="L7191" t="s">
        <v>70</v>
      </c>
      <c r="M7191" t="s">
        <v>44</v>
      </c>
      <c r="N7191" t="s">
        <v>29</v>
      </c>
    </row>
    <row r="7192" spans="1:14">
      <c r="A7192" s="4" t="str">
        <f t="shared" ref="A7192:A7215" si="660">HYPERLINK("http://hcmdb.i-sanger.com/experiment/details/experiment_id/EXP00250","EXP00250")</f>
        <v>EXP00250</v>
      </c>
      <c r="B7192" s="4" t="str">
        <f t="shared" ref="B7192:B7223" si="661">HYPERLINK("https://www.ncbi.nlm.nih.gov/pubmed/17327601","17327601")</f>
        <v>17327601</v>
      </c>
      <c r="C7192" s="4" t="str">
        <f t="shared" ref="C7192:C7223" si="662">HYPERLINK("https://www.ncbi.nlm.nih.gov/geo/query/acc.cgi?acc=GSE62321","GSE62321")</f>
        <v>GSE62321</v>
      </c>
      <c r="D7192" s="1" t="s">
        <v>116</v>
      </c>
      <c r="E7192" t="s">
        <v>73</v>
      </c>
      <c r="F7192" s="1">
        <v>1</v>
      </c>
      <c r="G7192" s="1" t="s">
        <v>36</v>
      </c>
      <c r="H7192" s="4" t="str">
        <f>HYPERLINK("https://www.ncbi.nlm.nih.gov/geo/query/acc.cgi?acc=GSM1525198","GSM1525198")</f>
        <v>GSM1525198</v>
      </c>
      <c r="I7192" t="s">
        <v>69</v>
      </c>
      <c r="J7192" t="s">
        <v>18</v>
      </c>
      <c r="K7192" t="s">
        <v>19</v>
      </c>
      <c r="L7192" t="s">
        <v>70</v>
      </c>
      <c r="M7192" t="s">
        <v>44</v>
      </c>
      <c r="N7192" t="s">
        <v>37</v>
      </c>
    </row>
    <row r="7193" spans="1:14">
      <c r="A7193" s="4" t="str">
        <f t="shared" si="660"/>
        <v>EXP00250</v>
      </c>
      <c r="B7193" s="4" t="str">
        <f t="shared" si="661"/>
        <v>17327601</v>
      </c>
      <c r="C7193" s="4" t="str">
        <f t="shared" si="662"/>
        <v>GSE62321</v>
      </c>
      <c r="D7193" s="1" t="s">
        <v>116</v>
      </c>
      <c r="E7193" t="s">
        <v>73</v>
      </c>
      <c r="F7193" s="1">
        <v>1</v>
      </c>
      <c r="G7193" s="1" t="s">
        <v>36</v>
      </c>
      <c r="H7193" s="4" t="str">
        <f>HYPERLINK("https://www.ncbi.nlm.nih.gov/geo/query/acc.cgi?acc=GSM1525201","GSM1525201")</f>
        <v>GSM1525201</v>
      </c>
      <c r="I7193" t="s">
        <v>69</v>
      </c>
      <c r="J7193" t="s">
        <v>18</v>
      </c>
      <c r="K7193" t="s">
        <v>19</v>
      </c>
      <c r="L7193" t="s">
        <v>70</v>
      </c>
      <c r="M7193" t="s">
        <v>44</v>
      </c>
      <c r="N7193" t="s">
        <v>37</v>
      </c>
    </row>
    <row r="7194" spans="1:14">
      <c r="A7194" s="4" t="str">
        <f t="shared" si="660"/>
        <v>EXP00250</v>
      </c>
      <c r="B7194" s="4" t="str">
        <f t="shared" si="661"/>
        <v>17327601</v>
      </c>
      <c r="C7194" s="4" t="str">
        <f t="shared" si="662"/>
        <v>GSE62321</v>
      </c>
      <c r="D7194" s="1" t="s">
        <v>116</v>
      </c>
      <c r="E7194" t="s">
        <v>73</v>
      </c>
      <c r="F7194" s="1">
        <v>1</v>
      </c>
      <c r="G7194" s="1" t="s">
        <v>36</v>
      </c>
      <c r="H7194" s="4" t="str">
        <f>HYPERLINK("https://www.ncbi.nlm.nih.gov/geo/query/acc.cgi?acc=GSM1525202","GSM1525202")</f>
        <v>GSM1525202</v>
      </c>
      <c r="I7194" t="s">
        <v>69</v>
      </c>
      <c r="J7194" t="s">
        <v>18</v>
      </c>
      <c r="K7194" t="s">
        <v>19</v>
      </c>
      <c r="L7194" t="s">
        <v>70</v>
      </c>
      <c r="M7194" t="s">
        <v>44</v>
      </c>
      <c r="N7194" t="s">
        <v>37</v>
      </c>
    </row>
    <row r="7195" spans="1:14">
      <c r="A7195" s="4" t="str">
        <f t="shared" si="660"/>
        <v>EXP00250</v>
      </c>
      <c r="B7195" s="4" t="str">
        <f t="shared" si="661"/>
        <v>17327601</v>
      </c>
      <c r="C7195" s="4" t="str">
        <f t="shared" si="662"/>
        <v>GSE62321</v>
      </c>
      <c r="D7195" s="1" t="s">
        <v>116</v>
      </c>
      <c r="E7195" t="s">
        <v>73</v>
      </c>
      <c r="F7195" s="1">
        <v>1</v>
      </c>
      <c r="G7195" s="1" t="s">
        <v>36</v>
      </c>
      <c r="H7195" s="4" t="str">
        <f>HYPERLINK("https://www.ncbi.nlm.nih.gov/geo/query/acc.cgi?acc=GSM1525204","GSM1525204")</f>
        <v>GSM1525204</v>
      </c>
      <c r="I7195" t="s">
        <v>69</v>
      </c>
      <c r="J7195" t="s">
        <v>18</v>
      </c>
      <c r="K7195" t="s">
        <v>19</v>
      </c>
      <c r="L7195" t="s">
        <v>70</v>
      </c>
      <c r="M7195" t="s">
        <v>44</v>
      </c>
      <c r="N7195" t="s">
        <v>37</v>
      </c>
    </row>
    <row r="7196" spans="1:14">
      <c r="A7196" s="4" t="str">
        <f t="shared" si="660"/>
        <v>EXP00250</v>
      </c>
      <c r="B7196" s="4" t="str">
        <f t="shared" si="661"/>
        <v>17327601</v>
      </c>
      <c r="C7196" s="4" t="str">
        <f t="shared" si="662"/>
        <v>GSE62321</v>
      </c>
      <c r="D7196" s="1" t="s">
        <v>116</v>
      </c>
      <c r="E7196" t="s">
        <v>73</v>
      </c>
      <c r="F7196" s="1">
        <v>1</v>
      </c>
      <c r="G7196" s="1" t="s">
        <v>36</v>
      </c>
      <c r="H7196" s="4" t="str">
        <f>HYPERLINK("https://www.ncbi.nlm.nih.gov/geo/query/acc.cgi?acc=GSM1525205","GSM1525205")</f>
        <v>GSM1525205</v>
      </c>
      <c r="I7196" t="s">
        <v>69</v>
      </c>
      <c r="J7196" t="s">
        <v>18</v>
      </c>
      <c r="K7196" t="s">
        <v>19</v>
      </c>
      <c r="L7196" t="s">
        <v>70</v>
      </c>
      <c r="M7196" t="s">
        <v>44</v>
      </c>
      <c r="N7196" t="s">
        <v>37</v>
      </c>
    </row>
    <row r="7197" spans="1:14">
      <c r="A7197" s="4" t="str">
        <f t="shared" si="660"/>
        <v>EXP00250</v>
      </c>
      <c r="B7197" s="4" t="str">
        <f t="shared" si="661"/>
        <v>17327601</v>
      </c>
      <c r="C7197" s="4" t="str">
        <f t="shared" si="662"/>
        <v>GSE62321</v>
      </c>
      <c r="D7197" s="1" t="s">
        <v>116</v>
      </c>
      <c r="E7197" t="s">
        <v>73</v>
      </c>
      <c r="F7197" s="1">
        <v>1</v>
      </c>
      <c r="G7197" s="1" t="s">
        <v>36</v>
      </c>
      <c r="H7197" s="4" t="str">
        <f>HYPERLINK("https://www.ncbi.nlm.nih.gov/geo/query/acc.cgi?acc=GSM1525206","GSM1525206")</f>
        <v>GSM1525206</v>
      </c>
      <c r="I7197" t="s">
        <v>69</v>
      </c>
      <c r="J7197" t="s">
        <v>18</v>
      </c>
      <c r="K7197" t="s">
        <v>19</v>
      </c>
      <c r="L7197" t="s">
        <v>70</v>
      </c>
      <c r="M7197" t="s">
        <v>44</v>
      </c>
      <c r="N7197" t="s">
        <v>37</v>
      </c>
    </row>
    <row r="7198" spans="1:14">
      <c r="A7198" s="4" t="str">
        <f t="shared" si="660"/>
        <v>EXP00250</v>
      </c>
      <c r="B7198" s="4" t="str">
        <f t="shared" si="661"/>
        <v>17327601</v>
      </c>
      <c r="C7198" s="4" t="str">
        <f t="shared" si="662"/>
        <v>GSE62321</v>
      </c>
      <c r="D7198" s="1" t="s">
        <v>116</v>
      </c>
      <c r="E7198" t="s">
        <v>73</v>
      </c>
      <c r="F7198" s="1">
        <v>1</v>
      </c>
      <c r="G7198" s="1" t="s">
        <v>36</v>
      </c>
      <c r="H7198" s="4" t="str">
        <f>HYPERLINK("https://www.ncbi.nlm.nih.gov/geo/query/acc.cgi?acc=GSM1525208","GSM1525208")</f>
        <v>GSM1525208</v>
      </c>
      <c r="I7198" t="s">
        <v>69</v>
      </c>
      <c r="J7198" t="s">
        <v>18</v>
      </c>
      <c r="K7198" t="s">
        <v>19</v>
      </c>
      <c r="L7198" t="s">
        <v>70</v>
      </c>
      <c r="M7198" t="s">
        <v>44</v>
      </c>
      <c r="N7198" t="s">
        <v>37</v>
      </c>
    </row>
    <row r="7199" spans="1:14">
      <c r="A7199" s="4" t="str">
        <f t="shared" si="660"/>
        <v>EXP00250</v>
      </c>
      <c r="B7199" s="4" t="str">
        <f t="shared" si="661"/>
        <v>17327601</v>
      </c>
      <c r="C7199" s="4" t="str">
        <f t="shared" si="662"/>
        <v>GSE62321</v>
      </c>
      <c r="D7199" s="1" t="s">
        <v>116</v>
      </c>
      <c r="E7199" t="s">
        <v>73</v>
      </c>
      <c r="F7199" s="1">
        <v>1</v>
      </c>
      <c r="G7199" s="1" t="s">
        <v>36</v>
      </c>
      <c r="H7199" s="4" t="str">
        <f>HYPERLINK("https://www.ncbi.nlm.nih.gov/geo/query/acc.cgi?acc=GSM1525210","GSM1525210")</f>
        <v>GSM1525210</v>
      </c>
      <c r="I7199" t="s">
        <v>69</v>
      </c>
      <c r="J7199" t="s">
        <v>18</v>
      </c>
      <c r="K7199" t="s">
        <v>19</v>
      </c>
      <c r="L7199" t="s">
        <v>70</v>
      </c>
      <c r="M7199" t="s">
        <v>44</v>
      </c>
      <c r="N7199" t="s">
        <v>37</v>
      </c>
    </row>
    <row r="7200" spans="1:14">
      <c r="A7200" s="4" t="str">
        <f t="shared" si="660"/>
        <v>EXP00250</v>
      </c>
      <c r="B7200" s="4" t="str">
        <f t="shared" si="661"/>
        <v>17327601</v>
      </c>
      <c r="C7200" s="4" t="str">
        <f t="shared" si="662"/>
        <v>GSE62321</v>
      </c>
      <c r="D7200" s="1" t="s">
        <v>116</v>
      </c>
      <c r="E7200" t="s">
        <v>73</v>
      </c>
      <c r="F7200" s="1">
        <v>1</v>
      </c>
      <c r="G7200" s="1" t="s">
        <v>36</v>
      </c>
      <c r="H7200" s="4" t="str">
        <f>HYPERLINK("https://www.ncbi.nlm.nih.gov/geo/query/acc.cgi?acc=GSM1525211","GSM1525211")</f>
        <v>GSM1525211</v>
      </c>
      <c r="I7200" t="s">
        <v>69</v>
      </c>
      <c r="J7200" t="s">
        <v>18</v>
      </c>
      <c r="K7200" t="s">
        <v>19</v>
      </c>
      <c r="L7200" t="s">
        <v>70</v>
      </c>
      <c r="M7200" t="s">
        <v>44</v>
      </c>
      <c r="N7200" t="s">
        <v>37</v>
      </c>
    </row>
    <row r="7201" spans="1:14">
      <c r="A7201" s="4" t="str">
        <f t="shared" si="660"/>
        <v>EXP00250</v>
      </c>
      <c r="B7201" s="4" t="str">
        <f t="shared" si="661"/>
        <v>17327601</v>
      </c>
      <c r="C7201" s="4" t="str">
        <f t="shared" si="662"/>
        <v>GSE62321</v>
      </c>
      <c r="D7201" s="1" t="s">
        <v>116</v>
      </c>
      <c r="E7201" t="s">
        <v>73</v>
      </c>
      <c r="F7201" s="1">
        <v>1</v>
      </c>
      <c r="G7201" s="1" t="s">
        <v>36</v>
      </c>
      <c r="H7201" s="4" t="str">
        <f>HYPERLINK("https://www.ncbi.nlm.nih.gov/geo/query/acc.cgi?acc=GSM1525212","GSM1525212")</f>
        <v>GSM1525212</v>
      </c>
      <c r="I7201" t="s">
        <v>69</v>
      </c>
      <c r="J7201" t="s">
        <v>18</v>
      </c>
      <c r="K7201" t="s">
        <v>19</v>
      </c>
      <c r="L7201" t="s">
        <v>70</v>
      </c>
      <c r="M7201" t="s">
        <v>44</v>
      </c>
      <c r="N7201" t="s">
        <v>37</v>
      </c>
    </row>
    <row r="7202" spans="1:14">
      <c r="A7202" s="4" t="str">
        <f t="shared" si="660"/>
        <v>EXP00250</v>
      </c>
      <c r="B7202" s="4" t="str">
        <f t="shared" si="661"/>
        <v>17327601</v>
      </c>
      <c r="C7202" s="4" t="str">
        <f t="shared" si="662"/>
        <v>GSE62321</v>
      </c>
      <c r="D7202" s="1" t="s">
        <v>116</v>
      </c>
      <c r="E7202" t="s">
        <v>73</v>
      </c>
      <c r="F7202" s="1">
        <v>1</v>
      </c>
      <c r="G7202" s="1" t="s">
        <v>36</v>
      </c>
      <c r="H7202" s="4" t="str">
        <f>HYPERLINK("https://www.ncbi.nlm.nih.gov/geo/query/acc.cgi?acc=GSM1525213","GSM1525213")</f>
        <v>GSM1525213</v>
      </c>
      <c r="I7202" t="s">
        <v>69</v>
      </c>
      <c r="J7202" t="s">
        <v>18</v>
      </c>
      <c r="K7202" t="s">
        <v>19</v>
      </c>
      <c r="L7202" t="s">
        <v>70</v>
      </c>
      <c r="M7202" t="s">
        <v>44</v>
      </c>
      <c r="N7202" t="s">
        <v>37</v>
      </c>
    </row>
    <row r="7203" spans="1:14">
      <c r="A7203" s="4" t="str">
        <f t="shared" si="660"/>
        <v>EXP00250</v>
      </c>
      <c r="B7203" s="4" t="str">
        <f t="shared" si="661"/>
        <v>17327601</v>
      </c>
      <c r="C7203" s="4" t="str">
        <f t="shared" si="662"/>
        <v>GSE62321</v>
      </c>
      <c r="D7203" s="1" t="s">
        <v>116</v>
      </c>
      <c r="E7203" t="s">
        <v>73</v>
      </c>
      <c r="F7203" s="1">
        <v>2</v>
      </c>
      <c r="G7203" s="1" t="s">
        <v>28</v>
      </c>
      <c r="H7203" s="4" t="str">
        <f>HYPERLINK("https://www.ncbi.nlm.nih.gov/geo/query/acc.cgi?acc=GSM1525216","GSM1525216")</f>
        <v>GSM1525216</v>
      </c>
      <c r="I7203" t="s">
        <v>69</v>
      </c>
      <c r="J7203" t="s">
        <v>18</v>
      </c>
      <c r="K7203" t="s">
        <v>19</v>
      </c>
      <c r="L7203" t="s">
        <v>70</v>
      </c>
      <c r="M7203" t="s">
        <v>44</v>
      </c>
      <c r="N7203" t="s">
        <v>29</v>
      </c>
    </row>
    <row r="7204" spans="1:14">
      <c r="A7204" s="4" t="str">
        <f t="shared" si="660"/>
        <v>EXP00250</v>
      </c>
      <c r="B7204" s="4" t="str">
        <f t="shared" si="661"/>
        <v>17327601</v>
      </c>
      <c r="C7204" s="4" t="str">
        <f t="shared" si="662"/>
        <v>GSE62321</v>
      </c>
      <c r="D7204" s="1" t="s">
        <v>116</v>
      </c>
      <c r="E7204" t="s">
        <v>73</v>
      </c>
      <c r="F7204" s="1">
        <v>2</v>
      </c>
      <c r="G7204" s="1" t="s">
        <v>28</v>
      </c>
      <c r="H7204" s="4" t="str">
        <f>HYPERLINK("https://www.ncbi.nlm.nih.gov/geo/query/acc.cgi?acc=GSM1525218","GSM1525218")</f>
        <v>GSM1525218</v>
      </c>
      <c r="I7204" t="s">
        <v>69</v>
      </c>
      <c r="J7204" t="s">
        <v>18</v>
      </c>
      <c r="K7204" t="s">
        <v>19</v>
      </c>
      <c r="L7204" t="s">
        <v>70</v>
      </c>
      <c r="M7204" t="s">
        <v>44</v>
      </c>
      <c r="N7204" t="s">
        <v>29</v>
      </c>
    </row>
    <row r="7205" spans="1:14">
      <c r="A7205" s="4" t="str">
        <f t="shared" si="660"/>
        <v>EXP00250</v>
      </c>
      <c r="B7205" s="4" t="str">
        <f t="shared" si="661"/>
        <v>17327601</v>
      </c>
      <c r="C7205" s="4" t="str">
        <f t="shared" si="662"/>
        <v>GSE62321</v>
      </c>
      <c r="D7205" s="1" t="s">
        <v>116</v>
      </c>
      <c r="E7205" t="s">
        <v>73</v>
      </c>
      <c r="F7205" s="1">
        <v>2</v>
      </c>
      <c r="G7205" s="1" t="s">
        <v>28</v>
      </c>
      <c r="H7205" s="4" t="str">
        <f>HYPERLINK("https://www.ncbi.nlm.nih.gov/geo/query/acc.cgi?acc=GSM1525220","GSM1525220")</f>
        <v>GSM1525220</v>
      </c>
      <c r="I7205" t="s">
        <v>69</v>
      </c>
      <c r="J7205" t="s">
        <v>18</v>
      </c>
      <c r="K7205" t="s">
        <v>19</v>
      </c>
      <c r="L7205" t="s">
        <v>70</v>
      </c>
      <c r="M7205" t="s">
        <v>44</v>
      </c>
      <c r="N7205" t="s">
        <v>29</v>
      </c>
    </row>
    <row r="7206" spans="1:14">
      <c r="A7206" s="4" t="str">
        <f t="shared" si="660"/>
        <v>EXP00250</v>
      </c>
      <c r="B7206" s="4" t="str">
        <f t="shared" si="661"/>
        <v>17327601</v>
      </c>
      <c r="C7206" s="4" t="str">
        <f t="shared" si="662"/>
        <v>GSE62321</v>
      </c>
      <c r="D7206" s="1" t="s">
        <v>116</v>
      </c>
      <c r="E7206" t="s">
        <v>73</v>
      </c>
      <c r="F7206" s="1">
        <v>2</v>
      </c>
      <c r="G7206" s="1" t="s">
        <v>28</v>
      </c>
      <c r="H7206" s="4" t="str">
        <f>HYPERLINK("https://www.ncbi.nlm.nih.gov/geo/query/acc.cgi?acc=GSM1525221","GSM1525221")</f>
        <v>GSM1525221</v>
      </c>
      <c r="I7206" t="s">
        <v>69</v>
      </c>
      <c r="J7206" t="s">
        <v>18</v>
      </c>
      <c r="K7206" t="s">
        <v>19</v>
      </c>
      <c r="L7206" t="s">
        <v>70</v>
      </c>
      <c r="M7206" t="s">
        <v>44</v>
      </c>
      <c r="N7206" t="s">
        <v>29</v>
      </c>
    </row>
    <row r="7207" spans="1:14">
      <c r="A7207" s="4" t="str">
        <f t="shared" si="660"/>
        <v>EXP00250</v>
      </c>
      <c r="B7207" s="4" t="str">
        <f t="shared" si="661"/>
        <v>17327601</v>
      </c>
      <c r="C7207" s="4" t="str">
        <f t="shared" si="662"/>
        <v>GSE62321</v>
      </c>
      <c r="D7207" s="1" t="s">
        <v>116</v>
      </c>
      <c r="E7207" t="s">
        <v>73</v>
      </c>
      <c r="F7207" s="1">
        <v>2</v>
      </c>
      <c r="G7207" s="1" t="s">
        <v>28</v>
      </c>
      <c r="H7207" s="4" t="str">
        <f>HYPERLINK("https://www.ncbi.nlm.nih.gov/geo/query/acc.cgi?acc=GSM1525223","GSM1525223")</f>
        <v>GSM1525223</v>
      </c>
      <c r="I7207" t="s">
        <v>69</v>
      </c>
      <c r="J7207" t="s">
        <v>18</v>
      </c>
      <c r="K7207" t="s">
        <v>19</v>
      </c>
      <c r="L7207" t="s">
        <v>70</v>
      </c>
      <c r="M7207" t="s">
        <v>44</v>
      </c>
      <c r="N7207" t="s">
        <v>29</v>
      </c>
    </row>
    <row r="7208" spans="1:14">
      <c r="A7208" s="4" t="str">
        <f t="shared" si="660"/>
        <v>EXP00250</v>
      </c>
      <c r="B7208" s="4" t="str">
        <f t="shared" si="661"/>
        <v>17327601</v>
      </c>
      <c r="C7208" s="4" t="str">
        <f t="shared" si="662"/>
        <v>GSE62321</v>
      </c>
      <c r="D7208" s="1" t="s">
        <v>116</v>
      </c>
      <c r="E7208" t="s">
        <v>73</v>
      </c>
      <c r="F7208" s="1">
        <v>2</v>
      </c>
      <c r="G7208" s="1" t="s">
        <v>28</v>
      </c>
      <c r="H7208" s="4" t="str">
        <f>HYPERLINK("https://www.ncbi.nlm.nih.gov/geo/query/acc.cgi?acc=GSM1525224","GSM1525224")</f>
        <v>GSM1525224</v>
      </c>
      <c r="I7208" t="s">
        <v>69</v>
      </c>
      <c r="J7208" t="s">
        <v>18</v>
      </c>
      <c r="K7208" t="s">
        <v>19</v>
      </c>
      <c r="L7208" t="s">
        <v>70</v>
      </c>
      <c r="M7208" t="s">
        <v>44</v>
      </c>
      <c r="N7208" t="s">
        <v>29</v>
      </c>
    </row>
    <row r="7209" spans="1:14">
      <c r="A7209" s="4" t="str">
        <f t="shared" si="660"/>
        <v>EXP00250</v>
      </c>
      <c r="B7209" s="4" t="str">
        <f t="shared" si="661"/>
        <v>17327601</v>
      </c>
      <c r="C7209" s="4" t="str">
        <f t="shared" si="662"/>
        <v>GSE62321</v>
      </c>
      <c r="D7209" s="1" t="s">
        <v>116</v>
      </c>
      <c r="E7209" t="s">
        <v>73</v>
      </c>
      <c r="F7209" s="1">
        <v>2</v>
      </c>
      <c r="G7209" s="1" t="s">
        <v>28</v>
      </c>
      <c r="H7209" s="4" t="str">
        <f>HYPERLINK("https://www.ncbi.nlm.nih.gov/geo/query/acc.cgi?acc=GSM1525225","GSM1525225")</f>
        <v>GSM1525225</v>
      </c>
      <c r="I7209" t="s">
        <v>69</v>
      </c>
      <c r="J7209" t="s">
        <v>18</v>
      </c>
      <c r="K7209" t="s">
        <v>19</v>
      </c>
      <c r="L7209" t="s">
        <v>70</v>
      </c>
      <c r="M7209" t="s">
        <v>44</v>
      </c>
      <c r="N7209" t="s">
        <v>29</v>
      </c>
    </row>
    <row r="7210" spans="1:14">
      <c r="A7210" s="4" t="str">
        <f t="shared" si="660"/>
        <v>EXP00250</v>
      </c>
      <c r="B7210" s="4" t="str">
        <f t="shared" si="661"/>
        <v>17327601</v>
      </c>
      <c r="C7210" s="4" t="str">
        <f t="shared" si="662"/>
        <v>GSE62321</v>
      </c>
      <c r="D7210" s="1" t="s">
        <v>116</v>
      </c>
      <c r="E7210" t="s">
        <v>73</v>
      </c>
      <c r="F7210" s="1">
        <v>2</v>
      </c>
      <c r="G7210" s="1" t="s">
        <v>28</v>
      </c>
      <c r="H7210" s="4" t="str">
        <f>HYPERLINK("https://www.ncbi.nlm.nih.gov/geo/query/acc.cgi?acc=GSM1525228","GSM1525228")</f>
        <v>GSM1525228</v>
      </c>
      <c r="I7210" t="s">
        <v>69</v>
      </c>
      <c r="J7210" t="s">
        <v>18</v>
      </c>
      <c r="K7210" t="s">
        <v>19</v>
      </c>
      <c r="L7210" t="s">
        <v>70</v>
      </c>
      <c r="M7210" t="s">
        <v>44</v>
      </c>
      <c r="N7210" t="s">
        <v>29</v>
      </c>
    </row>
    <row r="7211" spans="1:14">
      <c r="A7211" s="4" t="str">
        <f t="shared" si="660"/>
        <v>EXP00250</v>
      </c>
      <c r="B7211" s="4" t="str">
        <f t="shared" si="661"/>
        <v>17327601</v>
      </c>
      <c r="C7211" s="4" t="str">
        <f t="shared" si="662"/>
        <v>GSE62321</v>
      </c>
      <c r="D7211" s="1" t="s">
        <v>116</v>
      </c>
      <c r="E7211" t="s">
        <v>73</v>
      </c>
      <c r="F7211" s="1">
        <v>2</v>
      </c>
      <c r="G7211" s="1" t="s">
        <v>28</v>
      </c>
      <c r="H7211" s="4" t="str">
        <f>HYPERLINK("https://www.ncbi.nlm.nih.gov/geo/query/acc.cgi?acc=GSM1525230","GSM1525230")</f>
        <v>GSM1525230</v>
      </c>
      <c r="I7211" t="s">
        <v>69</v>
      </c>
      <c r="J7211" t="s">
        <v>18</v>
      </c>
      <c r="K7211" t="s">
        <v>19</v>
      </c>
      <c r="L7211" t="s">
        <v>70</v>
      </c>
      <c r="M7211" t="s">
        <v>44</v>
      </c>
      <c r="N7211" t="s">
        <v>29</v>
      </c>
    </row>
    <row r="7212" spans="1:14">
      <c r="A7212" s="4" t="str">
        <f t="shared" si="660"/>
        <v>EXP00250</v>
      </c>
      <c r="B7212" s="4" t="str">
        <f t="shared" si="661"/>
        <v>17327601</v>
      </c>
      <c r="C7212" s="4" t="str">
        <f t="shared" si="662"/>
        <v>GSE62321</v>
      </c>
      <c r="D7212" s="1" t="s">
        <v>116</v>
      </c>
      <c r="E7212" t="s">
        <v>73</v>
      </c>
      <c r="F7212" s="1">
        <v>2</v>
      </c>
      <c r="G7212" s="1" t="s">
        <v>28</v>
      </c>
      <c r="H7212" s="4" t="str">
        <f>HYPERLINK("https://www.ncbi.nlm.nih.gov/geo/query/acc.cgi?acc=GSM1525231","GSM1525231")</f>
        <v>GSM1525231</v>
      </c>
      <c r="I7212" t="s">
        <v>69</v>
      </c>
      <c r="J7212" t="s">
        <v>18</v>
      </c>
      <c r="K7212" t="s">
        <v>19</v>
      </c>
      <c r="L7212" t="s">
        <v>70</v>
      </c>
      <c r="M7212" t="s">
        <v>44</v>
      </c>
      <c r="N7212" t="s">
        <v>29</v>
      </c>
    </row>
    <row r="7213" spans="1:14">
      <c r="A7213" s="4" t="str">
        <f t="shared" si="660"/>
        <v>EXP00250</v>
      </c>
      <c r="B7213" s="4" t="str">
        <f t="shared" si="661"/>
        <v>17327601</v>
      </c>
      <c r="C7213" s="4" t="str">
        <f t="shared" si="662"/>
        <v>GSE62321</v>
      </c>
      <c r="D7213" s="1" t="s">
        <v>116</v>
      </c>
      <c r="E7213" t="s">
        <v>73</v>
      </c>
      <c r="F7213" s="1">
        <v>2</v>
      </c>
      <c r="G7213" s="1" t="s">
        <v>28</v>
      </c>
      <c r="H7213" s="4" t="str">
        <f>HYPERLINK("https://www.ncbi.nlm.nih.gov/geo/query/acc.cgi?acc=GSM1525232","GSM1525232")</f>
        <v>GSM1525232</v>
      </c>
      <c r="I7213" t="s">
        <v>69</v>
      </c>
      <c r="J7213" t="s">
        <v>18</v>
      </c>
      <c r="K7213" t="s">
        <v>19</v>
      </c>
      <c r="L7213" t="s">
        <v>70</v>
      </c>
      <c r="M7213" t="s">
        <v>44</v>
      </c>
      <c r="N7213" t="s">
        <v>29</v>
      </c>
    </row>
    <row r="7214" spans="1:14">
      <c r="A7214" s="4" t="str">
        <f t="shared" si="660"/>
        <v>EXP00250</v>
      </c>
      <c r="B7214" s="4" t="str">
        <f t="shared" si="661"/>
        <v>17327601</v>
      </c>
      <c r="C7214" s="4" t="str">
        <f t="shared" si="662"/>
        <v>GSE62321</v>
      </c>
      <c r="D7214" s="1" t="s">
        <v>116</v>
      </c>
      <c r="E7214" t="s">
        <v>73</v>
      </c>
      <c r="F7214" s="1">
        <v>2</v>
      </c>
      <c r="G7214" s="1" t="s">
        <v>28</v>
      </c>
      <c r="H7214" s="4" t="str">
        <f>HYPERLINK("https://www.ncbi.nlm.nih.gov/geo/query/acc.cgi?acc=GSM1525233","GSM1525233")</f>
        <v>GSM1525233</v>
      </c>
      <c r="I7214" t="s">
        <v>69</v>
      </c>
      <c r="J7214" t="s">
        <v>18</v>
      </c>
      <c r="K7214" t="s">
        <v>19</v>
      </c>
      <c r="L7214" t="s">
        <v>70</v>
      </c>
      <c r="M7214" t="s">
        <v>44</v>
      </c>
      <c r="N7214" t="s">
        <v>29</v>
      </c>
    </row>
    <row r="7215" spans="1:14">
      <c r="A7215" s="4" t="str">
        <f t="shared" si="660"/>
        <v>EXP00250</v>
      </c>
      <c r="B7215" s="4" t="str">
        <f t="shared" si="661"/>
        <v>17327601</v>
      </c>
      <c r="C7215" s="4" t="str">
        <f t="shared" si="662"/>
        <v>GSE62321</v>
      </c>
      <c r="D7215" s="1" t="s">
        <v>116</v>
      </c>
      <c r="E7215" t="s">
        <v>73</v>
      </c>
      <c r="F7215" s="1">
        <v>2</v>
      </c>
      <c r="G7215" s="1" t="s">
        <v>28</v>
      </c>
      <c r="H7215" s="4" t="str">
        <f>HYPERLINK("https://www.ncbi.nlm.nih.gov/geo/query/acc.cgi?acc=GSM1525235","GSM1525235")</f>
        <v>GSM1525235</v>
      </c>
      <c r="I7215" t="s">
        <v>69</v>
      </c>
      <c r="J7215" t="s">
        <v>18</v>
      </c>
      <c r="K7215" t="s">
        <v>19</v>
      </c>
      <c r="L7215" t="s">
        <v>70</v>
      </c>
      <c r="M7215" t="s">
        <v>44</v>
      </c>
      <c r="N7215" t="s">
        <v>29</v>
      </c>
    </row>
    <row r="7216" spans="1:14">
      <c r="A7216" s="4" t="str">
        <f t="shared" ref="A7216:A7235" si="663">HYPERLINK("http://hcmdb.i-sanger.com/experiment/details/experiment_id/EXP00251","EXP00251")</f>
        <v>EXP00251</v>
      </c>
      <c r="B7216" s="4" t="str">
        <f t="shared" si="661"/>
        <v>17327601</v>
      </c>
      <c r="C7216" s="4" t="str">
        <f t="shared" si="662"/>
        <v>GSE62321</v>
      </c>
      <c r="D7216" s="1" t="s">
        <v>116</v>
      </c>
      <c r="E7216" t="s">
        <v>68</v>
      </c>
      <c r="F7216" s="1">
        <v>1</v>
      </c>
      <c r="G7216" s="1" t="s">
        <v>31</v>
      </c>
      <c r="H7216" s="4" t="str">
        <f>HYPERLINK("https://www.ncbi.nlm.nih.gov/geo/query/acc.cgi?acc=GSM1525216","GSM1525216")</f>
        <v>GSM1525216</v>
      </c>
      <c r="I7216" t="s">
        <v>69</v>
      </c>
      <c r="J7216" t="s">
        <v>18</v>
      </c>
      <c r="K7216" t="s">
        <v>19</v>
      </c>
      <c r="L7216" t="s">
        <v>70</v>
      </c>
      <c r="M7216" t="s">
        <v>44</v>
      </c>
      <c r="N7216" t="s">
        <v>29</v>
      </c>
    </row>
    <row r="7217" spans="1:14">
      <c r="A7217" s="4" t="str">
        <f t="shared" si="663"/>
        <v>EXP00251</v>
      </c>
      <c r="B7217" s="4" t="str">
        <f t="shared" si="661"/>
        <v>17327601</v>
      </c>
      <c r="C7217" s="4" t="str">
        <f t="shared" si="662"/>
        <v>GSE62321</v>
      </c>
      <c r="D7217" s="1" t="s">
        <v>116</v>
      </c>
      <c r="E7217" t="s">
        <v>68</v>
      </c>
      <c r="F7217" s="1">
        <v>1</v>
      </c>
      <c r="G7217" s="1" t="s">
        <v>31</v>
      </c>
      <c r="H7217" s="4" t="str">
        <f>HYPERLINK("https://www.ncbi.nlm.nih.gov/geo/query/acc.cgi?acc=GSM1525218","GSM1525218")</f>
        <v>GSM1525218</v>
      </c>
      <c r="I7217" t="s">
        <v>69</v>
      </c>
      <c r="J7217" t="s">
        <v>18</v>
      </c>
      <c r="K7217" t="s">
        <v>19</v>
      </c>
      <c r="L7217" t="s">
        <v>70</v>
      </c>
      <c r="M7217" t="s">
        <v>44</v>
      </c>
      <c r="N7217" t="s">
        <v>29</v>
      </c>
    </row>
    <row r="7218" spans="1:14">
      <c r="A7218" s="4" t="str">
        <f t="shared" si="663"/>
        <v>EXP00251</v>
      </c>
      <c r="B7218" s="4" t="str">
        <f t="shared" si="661"/>
        <v>17327601</v>
      </c>
      <c r="C7218" s="4" t="str">
        <f t="shared" si="662"/>
        <v>GSE62321</v>
      </c>
      <c r="D7218" s="1" t="s">
        <v>116</v>
      </c>
      <c r="E7218" t="s">
        <v>68</v>
      </c>
      <c r="F7218" s="1">
        <v>1</v>
      </c>
      <c r="G7218" s="1" t="s">
        <v>31</v>
      </c>
      <c r="H7218" s="4" t="str">
        <f>HYPERLINK("https://www.ncbi.nlm.nih.gov/geo/query/acc.cgi?acc=GSM1525220","GSM1525220")</f>
        <v>GSM1525220</v>
      </c>
      <c r="I7218" t="s">
        <v>69</v>
      </c>
      <c r="J7218" t="s">
        <v>18</v>
      </c>
      <c r="K7218" t="s">
        <v>19</v>
      </c>
      <c r="L7218" t="s">
        <v>70</v>
      </c>
      <c r="M7218" t="s">
        <v>44</v>
      </c>
      <c r="N7218" t="s">
        <v>29</v>
      </c>
    </row>
    <row r="7219" spans="1:14">
      <c r="A7219" s="4" t="str">
        <f t="shared" si="663"/>
        <v>EXP00251</v>
      </c>
      <c r="B7219" s="4" t="str">
        <f t="shared" si="661"/>
        <v>17327601</v>
      </c>
      <c r="C7219" s="4" t="str">
        <f t="shared" si="662"/>
        <v>GSE62321</v>
      </c>
      <c r="D7219" s="1" t="s">
        <v>116</v>
      </c>
      <c r="E7219" t="s">
        <v>68</v>
      </c>
      <c r="F7219" s="1">
        <v>1</v>
      </c>
      <c r="G7219" s="1" t="s">
        <v>31</v>
      </c>
      <c r="H7219" s="4" t="str">
        <f>HYPERLINK("https://www.ncbi.nlm.nih.gov/geo/query/acc.cgi?acc=GSM1525221","GSM1525221")</f>
        <v>GSM1525221</v>
      </c>
      <c r="I7219" t="s">
        <v>69</v>
      </c>
      <c r="J7219" t="s">
        <v>18</v>
      </c>
      <c r="K7219" t="s">
        <v>19</v>
      </c>
      <c r="L7219" t="s">
        <v>70</v>
      </c>
      <c r="M7219" t="s">
        <v>44</v>
      </c>
      <c r="N7219" t="s">
        <v>29</v>
      </c>
    </row>
    <row r="7220" spans="1:14">
      <c r="A7220" s="4" t="str">
        <f t="shared" si="663"/>
        <v>EXP00251</v>
      </c>
      <c r="B7220" s="4" t="str">
        <f t="shared" si="661"/>
        <v>17327601</v>
      </c>
      <c r="C7220" s="4" t="str">
        <f t="shared" si="662"/>
        <v>GSE62321</v>
      </c>
      <c r="D7220" s="1" t="s">
        <v>116</v>
      </c>
      <c r="E7220" t="s">
        <v>68</v>
      </c>
      <c r="F7220" s="1">
        <v>1</v>
      </c>
      <c r="G7220" s="1" t="s">
        <v>31</v>
      </c>
      <c r="H7220" s="4" t="str">
        <f>HYPERLINK("https://www.ncbi.nlm.nih.gov/geo/query/acc.cgi?acc=GSM1525223","GSM1525223")</f>
        <v>GSM1525223</v>
      </c>
      <c r="I7220" t="s">
        <v>69</v>
      </c>
      <c r="J7220" t="s">
        <v>18</v>
      </c>
      <c r="K7220" t="s">
        <v>19</v>
      </c>
      <c r="L7220" t="s">
        <v>70</v>
      </c>
      <c r="M7220" t="s">
        <v>44</v>
      </c>
      <c r="N7220" t="s">
        <v>29</v>
      </c>
    </row>
    <row r="7221" spans="1:14">
      <c r="A7221" s="4" t="str">
        <f t="shared" si="663"/>
        <v>EXP00251</v>
      </c>
      <c r="B7221" s="4" t="str">
        <f t="shared" si="661"/>
        <v>17327601</v>
      </c>
      <c r="C7221" s="4" t="str">
        <f t="shared" si="662"/>
        <v>GSE62321</v>
      </c>
      <c r="D7221" s="1" t="s">
        <v>116</v>
      </c>
      <c r="E7221" t="s">
        <v>68</v>
      </c>
      <c r="F7221" s="1">
        <v>1</v>
      </c>
      <c r="G7221" s="1" t="s">
        <v>31</v>
      </c>
      <c r="H7221" s="4" t="str">
        <f>HYPERLINK("https://www.ncbi.nlm.nih.gov/geo/query/acc.cgi?acc=GSM1525224","GSM1525224")</f>
        <v>GSM1525224</v>
      </c>
      <c r="I7221" t="s">
        <v>69</v>
      </c>
      <c r="J7221" t="s">
        <v>18</v>
      </c>
      <c r="K7221" t="s">
        <v>19</v>
      </c>
      <c r="L7221" t="s">
        <v>70</v>
      </c>
      <c r="M7221" t="s">
        <v>44</v>
      </c>
      <c r="N7221" t="s">
        <v>29</v>
      </c>
    </row>
    <row r="7222" spans="1:14">
      <c r="A7222" s="4" t="str">
        <f t="shared" si="663"/>
        <v>EXP00251</v>
      </c>
      <c r="B7222" s="4" t="str">
        <f t="shared" si="661"/>
        <v>17327601</v>
      </c>
      <c r="C7222" s="4" t="str">
        <f t="shared" si="662"/>
        <v>GSE62321</v>
      </c>
      <c r="D7222" s="1" t="s">
        <v>116</v>
      </c>
      <c r="E7222" t="s">
        <v>68</v>
      </c>
      <c r="F7222" s="1">
        <v>1</v>
      </c>
      <c r="G7222" s="1" t="s">
        <v>31</v>
      </c>
      <c r="H7222" s="4" t="str">
        <f>HYPERLINK("https://www.ncbi.nlm.nih.gov/geo/query/acc.cgi?acc=GSM1525225","GSM1525225")</f>
        <v>GSM1525225</v>
      </c>
      <c r="I7222" t="s">
        <v>69</v>
      </c>
      <c r="J7222" t="s">
        <v>18</v>
      </c>
      <c r="K7222" t="s">
        <v>19</v>
      </c>
      <c r="L7222" t="s">
        <v>70</v>
      </c>
      <c r="M7222" t="s">
        <v>44</v>
      </c>
      <c r="N7222" t="s">
        <v>29</v>
      </c>
    </row>
    <row r="7223" spans="1:14">
      <c r="A7223" s="4" t="str">
        <f t="shared" si="663"/>
        <v>EXP00251</v>
      </c>
      <c r="B7223" s="4" t="str">
        <f t="shared" si="661"/>
        <v>17327601</v>
      </c>
      <c r="C7223" s="4" t="str">
        <f t="shared" si="662"/>
        <v>GSE62321</v>
      </c>
      <c r="D7223" s="1" t="s">
        <v>116</v>
      </c>
      <c r="E7223" t="s">
        <v>68</v>
      </c>
      <c r="F7223" s="1">
        <v>1</v>
      </c>
      <c r="G7223" s="1" t="s">
        <v>31</v>
      </c>
      <c r="H7223" s="4" t="str">
        <f>HYPERLINK("https://www.ncbi.nlm.nih.gov/geo/query/acc.cgi?acc=GSM1525228","GSM1525228")</f>
        <v>GSM1525228</v>
      </c>
      <c r="I7223" t="s">
        <v>69</v>
      </c>
      <c r="J7223" t="s">
        <v>18</v>
      </c>
      <c r="K7223" t="s">
        <v>19</v>
      </c>
      <c r="L7223" t="s">
        <v>70</v>
      </c>
      <c r="M7223" t="s">
        <v>44</v>
      </c>
      <c r="N7223" t="s">
        <v>29</v>
      </c>
    </row>
    <row r="7224" spans="1:14">
      <c r="A7224" s="4" t="str">
        <f t="shared" si="663"/>
        <v>EXP00251</v>
      </c>
      <c r="B7224" s="4" t="str">
        <f t="shared" ref="B7224:B7249" si="664">HYPERLINK("https://www.ncbi.nlm.nih.gov/pubmed/17327601","17327601")</f>
        <v>17327601</v>
      </c>
      <c r="C7224" s="4" t="str">
        <f t="shared" ref="C7224:C7249" si="665">HYPERLINK("https://www.ncbi.nlm.nih.gov/geo/query/acc.cgi?acc=GSE62321","GSE62321")</f>
        <v>GSE62321</v>
      </c>
      <c r="D7224" s="1" t="s">
        <v>116</v>
      </c>
      <c r="E7224" t="s">
        <v>68</v>
      </c>
      <c r="F7224" s="1">
        <v>1</v>
      </c>
      <c r="G7224" s="1" t="s">
        <v>31</v>
      </c>
      <c r="H7224" s="4" t="str">
        <f>HYPERLINK("https://www.ncbi.nlm.nih.gov/geo/query/acc.cgi?acc=GSM1525230","GSM1525230")</f>
        <v>GSM1525230</v>
      </c>
      <c r="I7224" t="s">
        <v>69</v>
      </c>
      <c r="J7224" t="s">
        <v>18</v>
      </c>
      <c r="K7224" t="s">
        <v>19</v>
      </c>
      <c r="L7224" t="s">
        <v>70</v>
      </c>
      <c r="M7224" t="s">
        <v>44</v>
      </c>
      <c r="N7224" t="s">
        <v>29</v>
      </c>
    </row>
    <row r="7225" spans="1:14">
      <c r="A7225" s="4" t="str">
        <f t="shared" si="663"/>
        <v>EXP00251</v>
      </c>
      <c r="B7225" s="4" t="str">
        <f t="shared" si="664"/>
        <v>17327601</v>
      </c>
      <c r="C7225" s="4" t="str">
        <f t="shared" si="665"/>
        <v>GSE62321</v>
      </c>
      <c r="D7225" s="1" t="s">
        <v>116</v>
      </c>
      <c r="E7225" t="s">
        <v>68</v>
      </c>
      <c r="F7225" s="1">
        <v>1</v>
      </c>
      <c r="G7225" s="1" t="s">
        <v>31</v>
      </c>
      <c r="H7225" s="4" t="str">
        <f>HYPERLINK("https://www.ncbi.nlm.nih.gov/geo/query/acc.cgi?acc=GSM1525231","GSM1525231")</f>
        <v>GSM1525231</v>
      </c>
      <c r="I7225" t="s">
        <v>69</v>
      </c>
      <c r="J7225" t="s">
        <v>18</v>
      </c>
      <c r="K7225" t="s">
        <v>19</v>
      </c>
      <c r="L7225" t="s">
        <v>70</v>
      </c>
      <c r="M7225" t="s">
        <v>44</v>
      </c>
      <c r="N7225" t="s">
        <v>29</v>
      </c>
    </row>
    <row r="7226" spans="1:14">
      <c r="A7226" s="4" t="str">
        <f t="shared" si="663"/>
        <v>EXP00251</v>
      </c>
      <c r="B7226" s="4" t="str">
        <f t="shared" si="664"/>
        <v>17327601</v>
      </c>
      <c r="C7226" s="4" t="str">
        <f t="shared" si="665"/>
        <v>GSE62321</v>
      </c>
      <c r="D7226" s="1" t="s">
        <v>116</v>
      </c>
      <c r="E7226" t="s">
        <v>68</v>
      </c>
      <c r="F7226" s="1">
        <v>1</v>
      </c>
      <c r="G7226" s="1" t="s">
        <v>31</v>
      </c>
      <c r="H7226" s="4" t="str">
        <f>HYPERLINK("https://www.ncbi.nlm.nih.gov/geo/query/acc.cgi?acc=GSM1525232","GSM1525232")</f>
        <v>GSM1525232</v>
      </c>
      <c r="I7226" t="s">
        <v>69</v>
      </c>
      <c r="J7226" t="s">
        <v>18</v>
      </c>
      <c r="K7226" t="s">
        <v>19</v>
      </c>
      <c r="L7226" t="s">
        <v>70</v>
      </c>
      <c r="M7226" t="s">
        <v>44</v>
      </c>
      <c r="N7226" t="s">
        <v>29</v>
      </c>
    </row>
    <row r="7227" spans="1:14">
      <c r="A7227" s="4" t="str">
        <f t="shared" si="663"/>
        <v>EXP00251</v>
      </c>
      <c r="B7227" s="4" t="str">
        <f t="shared" si="664"/>
        <v>17327601</v>
      </c>
      <c r="C7227" s="4" t="str">
        <f t="shared" si="665"/>
        <v>GSE62321</v>
      </c>
      <c r="D7227" s="1" t="s">
        <v>116</v>
      </c>
      <c r="E7227" t="s">
        <v>68</v>
      </c>
      <c r="F7227" s="1">
        <v>1</v>
      </c>
      <c r="G7227" s="1" t="s">
        <v>31</v>
      </c>
      <c r="H7227" s="4" t="str">
        <f>HYPERLINK("https://www.ncbi.nlm.nih.gov/geo/query/acc.cgi?acc=GSM1525233","GSM1525233")</f>
        <v>GSM1525233</v>
      </c>
      <c r="I7227" t="s">
        <v>69</v>
      </c>
      <c r="J7227" t="s">
        <v>18</v>
      </c>
      <c r="K7227" t="s">
        <v>19</v>
      </c>
      <c r="L7227" t="s">
        <v>70</v>
      </c>
      <c r="M7227" t="s">
        <v>44</v>
      </c>
      <c r="N7227" t="s">
        <v>29</v>
      </c>
    </row>
    <row r="7228" spans="1:14">
      <c r="A7228" s="4" t="str">
        <f t="shared" si="663"/>
        <v>EXP00251</v>
      </c>
      <c r="B7228" s="4" t="str">
        <f t="shared" si="664"/>
        <v>17327601</v>
      </c>
      <c r="C7228" s="4" t="str">
        <f t="shared" si="665"/>
        <v>GSE62321</v>
      </c>
      <c r="D7228" s="1" t="s">
        <v>116</v>
      </c>
      <c r="E7228" t="s">
        <v>68</v>
      </c>
      <c r="F7228" s="1">
        <v>1</v>
      </c>
      <c r="G7228" s="1" t="s">
        <v>31</v>
      </c>
      <c r="H7228" s="4" t="str">
        <f>HYPERLINK("https://www.ncbi.nlm.nih.gov/geo/query/acc.cgi?acc=GSM1525235","GSM1525235")</f>
        <v>GSM1525235</v>
      </c>
      <c r="I7228" t="s">
        <v>69</v>
      </c>
      <c r="J7228" t="s">
        <v>18</v>
      </c>
      <c r="K7228" t="s">
        <v>19</v>
      </c>
      <c r="L7228" t="s">
        <v>70</v>
      </c>
      <c r="M7228" t="s">
        <v>44</v>
      </c>
      <c r="N7228" t="s">
        <v>29</v>
      </c>
    </row>
    <row r="7229" spans="1:14">
      <c r="A7229" s="4" t="str">
        <f t="shared" si="663"/>
        <v>EXP00251</v>
      </c>
      <c r="B7229" s="4" t="str">
        <f t="shared" si="664"/>
        <v>17327601</v>
      </c>
      <c r="C7229" s="4" t="str">
        <f t="shared" si="665"/>
        <v>GSE62321</v>
      </c>
      <c r="D7229" s="1" t="s">
        <v>116</v>
      </c>
      <c r="E7229" t="s">
        <v>68</v>
      </c>
      <c r="F7229" s="1">
        <v>2</v>
      </c>
      <c r="G7229" s="1" t="s">
        <v>32</v>
      </c>
      <c r="H7229" s="4" t="str">
        <f>HYPERLINK("https://www.ncbi.nlm.nih.gov/geo/query/acc.cgi?acc=GSM1525217","GSM1525217")</f>
        <v>GSM1525217</v>
      </c>
      <c r="I7229" t="s">
        <v>69</v>
      </c>
      <c r="J7229" t="s">
        <v>18</v>
      </c>
      <c r="K7229" t="s">
        <v>33</v>
      </c>
      <c r="L7229" t="s">
        <v>70</v>
      </c>
      <c r="N7229" t="s">
        <v>29</v>
      </c>
    </row>
    <row r="7230" spans="1:14">
      <c r="A7230" s="4" t="str">
        <f t="shared" si="663"/>
        <v>EXP00251</v>
      </c>
      <c r="B7230" s="4" t="str">
        <f t="shared" si="664"/>
        <v>17327601</v>
      </c>
      <c r="C7230" s="4" t="str">
        <f t="shared" si="665"/>
        <v>GSE62321</v>
      </c>
      <c r="D7230" s="1" t="s">
        <v>116</v>
      </c>
      <c r="E7230" t="s">
        <v>68</v>
      </c>
      <c r="F7230" s="1">
        <v>2</v>
      </c>
      <c r="G7230" s="1" t="s">
        <v>32</v>
      </c>
      <c r="H7230" s="4" t="str">
        <f>HYPERLINK("https://www.ncbi.nlm.nih.gov/geo/query/acc.cgi?acc=GSM1525219","GSM1525219")</f>
        <v>GSM1525219</v>
      </c>
      <c r="I7230" t="s">
        <v>69</v>
      </c>
      <c r="J7230" t="s">
        <v>18</v>
      </c>
      <c r="K7230" t="s">
        <v>33</v>
      </c>
      <c r="L7230" t="s">
        <v>70</v>
      </c>
      <c r="N7230" t="s">
        <v>29</v>
      </c>
    </row>
    <row r="7231" spans="1:14">
      <c r="A7231" s="4" t="str">
        <f t="shared" si="663"/>
        <v>EXP00251</v>
      </c>
      <c r="B7231" s="4" t="str">
        <f t="shared" si="664"/>
        <v>17327601</v>
      </c>
      <c r="C7231" s="4" t="str">
        <f t="shared" si="665"/>
        <v>GSE62321</v>
      </c>
      <c r="D7231" s="1" t="s">
        <v>116</v>
      </c>
      <c r="E7231" t="s">
        <v>68</v>
      </c>
      <c r="F7231" s="1">
        <v>2</v>
      </c>
      <c r="G7231" s="1" t="s">
        <v>32</v>
      </c>
      <c r="H7231" s="4" t="str">
        <f>HYPERLINK("https://www.ncbi.nlm.nih.gov/geo/query/acc.cgi?acc=GSM1525222","GSM1525222")</f>
        <v>GSM1525222</v>
      </c>
      <c r="I7231" t="s">
        <v>69</v>
      </c>
      <c r="J7231" t="s">
        <v>18</v>
      </c>
      <c r="K7231" t="s">
        <v>33</v>
      </c>
      <c r="L7231" t="s">
        <v>70</v>
      </c>
      <c r="N7231" t="s">
        <v>29</v>
      </c>
    </row>
    <row r="7232" spans="1:14">
      <c r="A7232" s="4" t="str">
        <f t="shared" si="663"/>
        <v>EXP00251</v>
      </c>
      <c r="B7232" s="4" t="str">
        <f t="shared" si="664"/>
        <v>17327601</v>
      </c>
      <c r="C7232" s="4" t="str">
        <f t="shared" si="665"/>
        <v>GSE62321</v>
      </c>
      <c r="D7232" s="1" t="s">
        <v>116</v>
      </c>
      <c r="E7232" t="s">
        <v>68</v>
      </c>
      <c r="F7232" s="1">
        <v>2</v>
      </c>
      <c r="G7232" s="1" t="s">
        <v>32</v>
      </c>
      <c r="H7232" s="4" t="str">
        <f>HYPERLINK("https://www.ncbi.nlm.nih.gov/geo/query/acc.cgi?acc=GSM1525226","GSM1525226")</f>
        <v>GSM1525226</v>
      </c>
      <c r="I7232" t="s">
        <v>69</v>
      </c>
      <c r="J7232" t="s">
        <v>18</v>
      </c>
      <c r="K7232" t="s">
        <v>33</v>
      </c>
      <c r="L7232" t="s">
        <v>70</v>
      </c>
      <c r="N7232" t="s">
        <v>29</v>
      </c>
    </row>
    <row r="7233" spans="1:14">
      <c r="A7233" s="4" t="str">
        <f t="shared" si="663"/>
        <v>EXP00251</v>
      </c>
      <c r="B7233" s="4" t="str">
        <f t="shared" si="664"/>
        <v>17327601</v>
      </c>
      <c r="C7233" s="4" t="str">
        <f t="shared" si="665"/>
        <v>GSE62321</v>
      </c>
      <c r="D7233" s="1" t="s">
        <v>116</v>
      </c>
      <c r="E7233" t="s">
        <v>68</v>
      </c>
      <c r="F7233" s="1">
        <v>2</v>
      </c>
      <c r="G7233" s="1" t="s">
        <v>32</v>
      </c>
      <c r="H7233" s="4" t="str">
        <f>HYPERLINK("https://www.ncbi.nlm.nih.gov/geo/query/acc.cgi?acc=GSM1525227","GSM1525227")</f>
        <v>GSM1525227</v>
      </c>
      <c r="I7233" t="s">
        <v>69</v>
      </c>
      <c r="J7233" t="s">
        <v>18</v>
      </c>
      <c r="K7233" t="s">
        <v>33</v>
      </c>
      <c r="L7233" t="s">
        <v>70</v>
      </c>
      <c r="N7233" t="s">
        <v>29</v>
      </c>
    </row>
    <row r="7234" spans="1:14">
      <c r="A7234" s="4" t="str">
        <f t="shared" si="663"/>
        <v>EXP00251</v>
      </c>
      <c r="B7234" s="4" t="str">
        <f t="shared" si="664"/>
        <v>17327601</v>
      </c>
      <c r="C7234" s="4" t="str">
        <f t="shared" si="665"/>
        <v>GSE62321</v>
      </c>
      <c r="D7234" s="1" t="s">
        <v>116</v>
      </c>
      <c r="E7234" t="s">
        <v>68</v>
      </c>
      <c r="F7234" s="1">
        <v>2</v>
      </c>
      <c r="G7234" s="1" t="s">
        <v>32</v>
      </c>
      <c r="H7234" s="4" t="str">
        <f>HYPERLINK("https://www.ncbi.nlm.nih.gov/geo/query/acc.cgi?acc=GSM1525229","GSM1525229")</f>
        <v>GSM1525229</v>
      </c>
      <c r="I7234" t="s">
        <v>69</v>
      </c>
      <c r="J7234" t="s">
        <v>18</v>
      </c>
      <c r="K7234" t="s">
        <v>33</v>
      </c>
      <c r="L7234" t="s">
        <v>70</v>
      </c>
      <c r="N7234" t="s">
        <v>29</v>
      </c>
    </row>
    <row r="7235" spans="1:14">
      <c r="A7235" s="4" t="str">
        <f t="shared" si="663"/>
        <v>EXP00251</v>
      </c>
      <c r="B7235" s="4" t="str">
        <f t="shared" si="664"/>
        <v>17327601</v>
      </c>
      <c r="C7235" s="4" t="str">
        <f t="shared" si="665"/>
        <v>GSE62321</v>
      </c>
      <c r="D7235" s="1" t="s">
        <v>116</v>
      </c>
      <c r="E7235" t="s">
        <v>68</v>
      </c>
      <c r="F7235" s="1">
        <v>2</v>
      </c>
      <c r="G7235" s="1" t="s">
        <v>32</v>
      </c>
      <c r="H7235" s="4" t="str">
        <f>HYPERLINK("https://www.ncbi.nlm.nih.gov/geo/query/acc.cgi?acc=GSM1525234","GSM1525234")</f>
        <v>GSM1525234</v>
      </c>
      <c r="I7235" t="s">
        <v>69</v>
      </c>
      <c r="J7235" t="s">
        <v>18</v>
      </c>
      <c r="K7235" t="s">
        <v>33</v>
      </c>
      <c r="L7235" t="s">
        <v>70</v>
      </c>
      <c r="N7235" t="s">
        <v>29</v>
      </c>
    </row>
    <row r="7236" spans="1:14">
      <c r="A7236" s="4" t="str">
        <f t="shared" ref="A7236:A7249" si="666">HYPERLINK("http://hcmdb.i-sanger.com/experiment/details/experiment_id/EXP00252","EXP00252")</f>
        <v>EXP00252</v>
      </c>
      <c r="B7236" s="4" t="str">
        <f t="shared" si="664"/>
        <v>17327601</v>
      </c>
      <c r="C7236" s="4" t="str">
        <f t="shared" si="665"/>
        <v>GSE62321</v>
      </c>
      <c r="D7236" s="1" t="s">
        <v>116</v>
      </c>
      <c r="E7236" t="s">
        <v>96</v>
      </c>
      <c r="F7236" s="1">
        <v>1</v>
      </c>
      <c r="G7236" s="1" t="s">
        <v>36</v>
      </c>
      <c r="H7236" s="4" t="str">
        <f>HYPERLINK("https://www.ncbi.nlm.nih.gov/geo/query/acc.cgi?acc=GSM1525199","GSM1525199")</f>
        <v>GSM1525199</v>
      </c>
      <c r="I7236" t="s">
        <v>69</v>
      </c>
      <c r="J7236" t="s">
        <v>18</v>
      </c>
      <c r="K7236" t="s">
        <v>33</v>
      </c>
      <c r="L7236" t="s">
        <v>70</v>
      </c>
      <c r="N7236" t="s">
        <v>37</v>
      </c>
    </row>
    <row r="7237" spans="1:14">
      <c r="A7237" s="4" t="str">
        <f t="shared" si="666"/>
        <v>EXP00252</v>
      </c>
      <c r="B7237" s="4" t="str">
        <f t="shared" si="664"/>
        <v>17327601</v>
      </c>
      <c r="C7237" s="4" t="str">
        <f t="shared" si="665"/>
        <v>GSE62321</v>
      </c>
      <c r="D7237" s="1" t="s">
        <v>116</v>
      </c>
      <c r="E7237" t="s">
        <v>96</v>
      </c>
      <c r="F7237" s="1">
        <v>1</v>
      </c>
      <c r="G7237" s="1" t="s">
        <v>36</v>
      </c>
      <c r="H7237" s="4" t="str">
        <f>HYPERLINK("https://www.ncbi.nlm.nih.gov/geo/query/acc.cgi?acc=GSM1525200","GSM1525200")</f>
        <v>GSM1525200</v>
      </c>
      <c r="I7237" t="s">
        <v>69</v>
      </c>
      <c r="J7237" t="s">
        <v>18</v>
      </c>
      <c r="K7237" t="s">
        <v>33</v>
      </c>
      <c r="L7237" t="s">
        <v>70</v>
      </c>
      <c r="N7237" t="s">
        <v>37</v>
      </c>
    </row>
    <row r="7238" spans="1:14">
      <c r="A7238" s="4" t="str">
        <f t="shared" si="666"/>
        <v>EXP00252</v>
      </c>
      <c r="B7238" s="4" t="str">
        <f t="shared" si="664"/>
        <v>17327601</v>
      </c>
      <c r="C7238" s="4" t="str">
        <f t="shared" si="665"/>
        <v>GSE62321</v>
      </c>
      <c r="D7238" s="1" t="s">
        <v>116</v>
      </c>
      <c r="E7238" t="s">
        <v>96</v>
      </c>
      <c r="F7238" s="1">
        <v>1</v>
      </c>
      <c r="G7238" s="1" t="s">
        <v>36</v>
      </c>
      <c r="H7238" s="4" t="str">
        <f>HYPERLINK("https://www.ncbi.nlm.nih.gov/geo/query/acc.cgi?acc=GSM1525203","GSM1525203")</f>
        <v>GSM1525203</v>
      </c>
      <c r="I7238" t="s">
        <v>69</v>
      </c>
      <c r="J7238" t="s">
        <v>18</v>
      </c>
      <c r="K7238" t="s">
        <v>33</v>
      </c>
      <c r="L7238" t="s">
        <v>70</v>
      </c>
      <c r="N7238" t="s">
        <v>37</v>
      </c>
    </row>
    <row r="7239" spans="1:14">
      <c r="A7239" s="4" t="str">
        <f t="shared" si="666"/>
        <v>EXP00252</v>
      </c>
      <c r="B7239" s="4" t="str">
        <f t="shared" si="664"/>
        <v>17327601</v>
      </c>
      <c r="C7239" s="4" t="str">
        <f t="shared" si="665"/>
        <v>GSE62321</v>
      </c>
      <c r="D7239" s="1" t="s">
        <v>116</v>
      </c>
      <c r="E7239" t="s">
        <v>96</v>
      </c>
      <c r="F7239" s="1">
        <v>1</v>
      </c>
      <c r="G7239" s="1" t="s">
        <v>36</v>
      </c>
      <c r="H7239" s="4" t="str">
        <f>HYPERLINK("https://www.ncbi.nlm.nih.gov/geo/query/acc.cgi?acc=GSM1525207","GSM1525207")</f>
        <v>GSM1525207</v>
      </c>
      <c r="I7239" t="s">
        <v>69</v>
      </c>
      <c r="J7239" t="s">
        <v>18</v>
      </c>
      <c r="K7239" t="s">
        <v>33</v>
      </c>
      <c r="L7239" t="s">
        <v>70</v>
      </c>
      <c r="N7239" t="s">
        <v>37</v>
      </c>
    </row>
    <row r="7240" spans="1:14">
      <c r="A7240" s="4" t="str">
        <f t="shared" si="666"/>
        <v>EXP00252</v>
      </c>
      <c r="B7240" s="4" t="str">
        <f t="shared" si="664"/>
        <v>17327601</v>
      </c>
      <c r="C7240" s="4" t="str">
        <f t="shared" si="665"/>
        <v>GSE62321</v>
      </c>
      <c r="D7240" s="1" t="s">
        <v>116</v>
      </c>
      <c r="E7240" t="s">
        <v>96</v>
      </c>
      <c r="F7240" s="1">
        <v>1</v>
      </c>
      <c r="G7240" s="1" t="s">
        <v>36</v>
      </c>
      <c r="H7240" s="4" t="str">
        <f>HYPERLINK("https://www.ncbi.nlm.nih.gov/geo/query/acc.cgi?acc=GSM1525209","GSM1525209")</f>
        <v>GSM1525209</v>
      </c>
      <c r="I7240" t="s">
        <v>69</v>
      </c>
      <c r="J7240" t="s">
        <v>18</v>
      </c>
      <c r="K7240" t="s">
        <v>33</v>
      </c>
      <c r="L7240" t="s">
        <v>70</v>
      </c>
      <c r="N7240" t="s">
        <v>37</v>
      </c>
    </row>
    <row r="7241" spans="1:14">
      <c r="A7241" s="4" t="str">
        <f t="shared" si="666"/>
        <v>EXP00252</v>
      </c>
      <c r="B7241" s="4" t="str">
        <f t="shared" si="664"/>
        <v>17327601</v>
      </c>
      <c r="C7241" s="4" t="str">
        <f t="shared" si="665"/>
        <v>GSE62321</v>
      </c>
      <c r="D7241" s="1" t="s">
        <v>116</v>
      </c>
      <c r="E7241" t="s">
        <v>96</v>
      </c>
      <c r="F7241" s="1">
        <v>1</v>
      </c>
      <c r="G7241" s="1" t="s">
        <v>36</v>
      </c>
      <c r="H7241" s="4" t="str">
        <f>HYPERLINK("https://www.ncbi.nlm.nih.gov/geo/query/acc.cgi?acc=GSM1525214","GSM1525214")</f>
        <v>GSM1525214</v>
      </c>
      <c r="I7241" t="s">
        <v>69</v>
      </c>
      <c r="J7241" t="s">
        <v>18</v>
      </c>
      <c r="K7241" t="s">
        <v>33</v>
      </c>
      <c r="L7241" t="s">
        <v>70</v>
      </c>
      <c r="N7241" t="s">
        <v>37</v>
      </c>
    </row>
    <row r="7242" spans="1:14">
      <c r="A7242" s="4" t="str">
        <f t="shared" si="666"/>
        <v>EXP00252</v>
      </c>
      <c r="B7242" s="4" t="str">
        <f t="shared" si="664"/>
        <v>17327601</v>
      </c>
      <c r="C7242" s="4" t="str">
        <f t="shared" si="665"/>
        <v>GSE62321</v>
      </c>
      <c r="D7242" s="1" t="s">
        <v>116</v>
      </c>
      <c r="E7242" t="s">
        <v>96</v>
      </c>
      <c r="F7242" s="1">
        <v>1</v>
      </c>
      <c r="G7242" s="1" t="s">
        <v>36</v>
      </c>
      <c r="H7242" s="4" t="str">
        <f>HYPERLINK("https://www.ncbi.nlm.nih.gov/geo/query/acc.cgi?acc=GSM1525215","GSM1525215")</f>
        <v>GSM1525215</v>
      </c>
      <c r="I7242" t="s">
        <v>69</v>
      </c>
      <c r="J7242" t="s">
        <v>18</v>
      </c>
      <c r="K7242" t="s">
        <v>33</v>
      </c>
      <c r="L7242" t="s">
        <v>70</v>
      </c>
      <c r="N7242" t="s">
        <v>37</v>
      </c>
    </row>
    <row r="7243" spans="1:14">
      <c r="A7243" s="4" t="str">
        <f t="shared" si="666"/>
        <v>EXP00252</v>
      </c>
      <c r="B7243" s="4" t="str">
        <f t="shared" si="664"/>
        <v>17327601</v>
      </c>
      <c r="C7243" s="4" t="str">
        <f t="shared" si="665"/>
        <v>GSE62321</v>
      </c>
      <c r="D7243" s="1" t="s">
        <v>116</v>
      </c>
      <c r="E7243" t="s">
        <v>96</v>
      </c>
      <c r="F7243" s="1">
        <v>2</v>
      </c>
      <c r="G7243" s="1" t="s">
        <v>28</v>
      </c>
      <c r="H7243" s="4" t="str">
        <f>HYPERLINK("https://www.ncbi.nlm.nih.gov/geo/query/acc.cgi?acc=GSM1525217","GSM1525217")</f>
        <v>GSM1525217</v>
      </c>
      <c r="I7243" t="s">
        <v>69</v>
      </c>
      <c r="J7243" t="s">
        <v>18</v>
      </c>
      <c r="K7243" t="s">
        <v>33</v>
      </c>
      <c r="L7243" t="s">
        <v>70</v>
      </c>
      <c r="N7243" t="s">
        <v>29</v>
      </c>
    </row>
    <row r="7244" spans="1:14">
      <c r="A7244" s="4" t="str">
        <f t="shared" si="666"/>
        <v>EXP00252</v>
      </c>
      <c r="B7244" s="4" t="str">
        <f t="shared" si="664"/>
        <v>17327601</v>
      </c>
      <c r="C7244" s="4" t="str">
        <f t="shared" si="665"/>
        <v>GSE62321</v>
      </c>
      <c r="D7244" s="1" t="s">
        <v>116</v>
      </c>
      <c r="E7244" t="s">
        <v>96</v>
      </c>
      <c r="F7244" s="1">
        <v>2</v>
      </c>
      <c r="G7244" s="1" t="s">
        <v>28</v>
      </c>
      <c r="H7244" s="4" t="str">
        <f>HYPERLINK("https://www.ncbi.nlm.nih.gov/geo/query/acc.cgi?acc=GSM1525219","GSM1525219")</f>
        <v>GSM1525219</v>
      </c>
      <c r="I7244" t="s">
        <v>69</v>
      </c>
      <c r="J7244" t="s">
        <v>18</v>
      </c>
      <c r="K7244" t="s">
        <v>33</v>
      </c>
      <c r="L7244" t="s">
        <v>70</v>
      </c>
      <c r="N7244" t="s">
        <v>29</v>
      </c>
    </row>
    <row r="7245" spans="1:14">
      <c r="A7245" s="4" t="str">
        <f t="shared" si="666"/>
        <v>EXP00252</v>
      </c>
      <c r="B7245" s="4" t="str">
        <f t="shared" si="664"/>
        <v>17327601</v>
      </c>
      <c r="C7245" s="4" t="str">
        <f t="shared" si="665"/>
        <v>GSE62321</v>
      </c>
      <c r="D7245" s="1" t="s">
        <v>116</v>
      </c>
      <c r="E7245" t="s">
        <v>96</v>
      </c>
      <c r="F7245" s="1">
        <v>2</v>
      </c>
      <c r="G7245" s="1" t="s">
        <v>28</v>
      </c>
      <c r="H7245" s="4" t="str">
        <f>HYPERLINK("https://www.ncbi.nlm.nih.gov/geo/query/acc.cgi?acc=GSM1525222","GSM1525222")</f>
        <v>GSM1525222</v>
      </c>
      <c r="I7245" t="s">
        <v>69</v>
      </c>
      <c r="J7245" t="s">
        <v>18</v>
      </c>
      <c r="K7245" t="s">
        <v>33</v>
      </c>
      <c r="L7245" t="s">
        <v>70</v>
      </c>
      <c r="N7245" t="s">
        <v>29</v>
      </c>
    </row>
    <row r="7246" spans="1:14">
      <c r="A7246" s="4" t="str">
        <f t="shared" si="666"/>
        <v>EXP00252</v>
      </c>
      <c r="B7246" s="4" t="str">
        <f t="shared" si="664"/>
        <v>17327601</v>
      </c>
      <c r="C7246" s="4" t="str">
        <f t="shared" si="665"/>
        <v>GSE62321</v>
      </c>
      <c r="D7246" s="1" t="s">
        <v>116</v>
      </c>
      <c r="E7246" t="s">
        <v>96</v>
      </c>
      <c r="F7246" s="1">
        <v>2</v>
      </c>
      <c r="G7246" s="1" t="s">
        <v>28</v>
      </c>
      <c r="H7246" s="4" t="str">
        <f>HYPERLINK("https://www.ncbi.nlm.nih.gov/geo/query/acc.cgi?acc=GSM1525226","GSM1525226")</f>
        <v>GSM1525226</v>
      </c>
      <c r="I7246" t="s">
        <v>69</v>
      </c>
      <c r="J7246" t="s">
        <v>18</v>
      </c>
      <c r="K7246" t="s">
        <v>33</v>
      </c>
      <c r="L7246" t="s">
        <v>70</v>
      </c>
      <c r="N7246" t="s">
        <v>29</v>
      </c>
    </row>
    <row r="7247" spans="1:14">
      <c r="A7247" s="4" t="str">
        <f t="shared" si="666"/>
        <v>EXP00252</v>
      </c>
      <c r="B7247" s="4" t="str">
        <f t="shared" si="664"/>
        <v>17327601</v>
      </c>
      <c r="C7247" s="4" t="str">
        <f t="shared" si="665"/>
        <v>GSE62321</v>
      </c>
      <c r="D7247" s="1" t="s">
        <v>116</v>
      </c>
      <c r="E7247" t="s">
        <v>96</v>
      </c>
      <c r="F7247" s="1">
        <v>2</v>
      </c>
      <c r="G7247" s="1" t="s">
        <v>28</v>
      </c>
      <c r="H7247" s="4" t="str">
        <f>HYPERLINK("https://www.ncbi.nlm.nih.gov/geo/query/acc.cgi?acc=GSM1525227","GSM1525227")</f>
        <v>GSM1525227</v>
      </c>
      <c r="I7247" t="s">
        <v>69</v>
      </c>
      <c r="J7247" t="s">
        <v>18</v>
      </c>
      <c r="K7247" t="s">
        <v>33</v>
      </c>
      <c r="L7247" t="s">
        <v>70</v>
      </c>
      <c r="N7247" t="s">
        <v>29</v>
      </c>
    </row>
    <row r="7248" spans="1:14">
      <c r="A7248" s="4" t="str">
        <f t="shared" si="666"/>
        <v>EXP00252</v>
      </c>
      <c r="B7248" s="4" t="str">
        <f t="shared" si="664"/>
        <v>17327601</v>
      </c>
      <c r="C7248" s="4" t="str">
        <f t="shared" si="665"/>
        <v>GSE62321</v>
      </c>
      <c r="D7248" s="1" t="s">
        <v>116</v>
      </c>
      <c r="E7248" t="s">
        <v>96</v>
      </c>
      <c r="F7248" s="1">
        <v>2</v>
      </c>
      <c r="G7248" s="1" t="s">
        <v>28</v>
      </c>
      <c r="H7248" s="4" t="str">
        <f>HYPERLINK("https://www.ncbi.nlm.nih.gov/geo/query/acc.cgi?acc=GSM1525229","GSM1525229")</f>
        <v>GSM1525229</v>
      </c>
      <c r="I7248" t="s">
        <v>69</v>
      </c>
      <c r="J7248" t="s">
        <v>18</v>
      </c>
      <c r="K7248" t="s">
        <v>33</v>
      </c>
      <c r="L7248" t="s">
        <v>70</v>
      </c>
      <c r="N7248" t="s">
        <v>29</v>
      </c>
    </row>
    <row r="7249" spans="1:14">
      <c r="A7249" s="4" t="str">
        <f t="shared" si="666"/>
        <v>EXP00252</v>
      </c>
      <c r="B7249" s="4" t="str">
        <f t="shared" si="664"/>
        <v>17327601</v>
      </c>
      <c r="C7249" s="4" t="str">
        <f t="shared" si="665"/>
        <v>GSE62321</v>
      </c>
      <c r="D7249" s="1" t="s">
        <v>116</v>
      </c>
      <c r="E7249" t="s">
        <v>96</v>
      </c>
      <c r="F7249" s="1">
        <v>2</v>
      </c>
      <c r="G7249" s="1" t="s">
        <v>28</v>
      </c>
      <c r="H7249" s="4" t="str">
        <f>HYPERLINK("https://www.ncbi.nlm.nih.gov/geo/query/acc.cgi?acc=GSM1525234","GSM1525234")</f>
        <v>GSM1525234</v>
      </c>
      <c r="I7249" t="s">
        <v>69</v>
      </c>
      <c r="J7249" t="s">
        <v>18</v>
      </c>
      <c r="K7249" t="s">
        <v>33</v>
      </c>
      <c r="L7249" t="s">
        <v>70</v>
      </c>
      <c r="N7249" t="s">
        <v>29</v>
      </c>
    </row>
    <row r="7250" spans="1:14">
      <c r="A7250" s="4" t="str">
        <f t="shared" ref="A7250:A7254" si="667">HYPERLINK("http://hcmdb.i-sanger.com/experiment/details/experiment_id/EXP00253","EXP00253")</f>
        <v>EXP00253</v>
      </c>
      <c r="B7250" s="4" t="str">
        <f t="shared" ref="B7250:B7254" si="668">HYPERLINK("https://www.ncbi.nlm.nih.gov/pubmed/26083413","26083413")</f>
        <v>26083413</v>
      </c>
      <c r="C7250" s="4" t="str">
        <f t="shared" ref="C7250:C7254" si="669">HYPERLINK("https://www.ncbi.nlm.nih.gov/geo/query/acc.cgi?acc=GSE62837","GSE62837")</f>
        <v>GSE62837</v>
      </c>
      <c r="D7250" s="1" t="s">
        <v>45</v>
      </c>
      <c r="E7250" t="s">
        <v>356</v>
      </c>
      <c r="F7250" s="1">
        <v>1</v>
      </c>
      <c r="G7250" s="1" t="s">
        <v>26</v>
      </c>
      <c r="H7250" s="4" t="str">
        <f>HYPERLINK("https://www.ncbi.nlm.nih.gov/geo/query/acc.cgi?acc=GSM1534301","GSM1534301")</f>
        <v>GSM1534301</v>
      </c>
      <c r="I7250" t="s">
        <v>82</v>
      </c>
      <c r="J7250" t="s">
        <v>83</v>
      </c>
      <c r="K7250" t="s">
        <v>19</v>
      </c>
      <c r="L7250" t="s">
        <v>27</v>
      </c>
      <c r="M7250" t="s">
        <v>27</v>
      </c>
      <c r="N7250" t="s">
        <v>22</v>
      </c>
    </row>
    <row r="7251" spans="1:14">
      <c r="A7251" s="4" t="str">
        <f t="shared" si="667"/>
        <v>EXP00253</v>
      </c>
      <c r="B7251" s="4" t="str">
        <f t="shared" si="668"/>
        <v>26083413</v>
      </c>
      <c r="C7251" s="4" t="str">
        <f t="shared" si="669"/>
        <v>GSE62837</v>
      </c>
      <c r="D7251" s="1" t="s">
        <v>45</v>
      </c>
      <c r="E7251" t="s">
        <v>356</v>
      </c>
      <c r="F7251" s="1">
        <v>1</v>
      </c>
      <c r="G7251" s="1" t="s">
        <v>26</v>
      </c>
      <c r="H7251" s="4" t="str">
        <f>HYPERLINK("https://www.ncbi.nlm.nih.gov/geo/query/acc.cgi?acc=GSM1534302","GSM1534302")</f>
        <v>GSM1534302</v>
      </c>
      <c r="I7251" t="s">
        <v>82</v>
      </c>
      <c r="J7251" t="s">
        <v>83</v>
      </c>
      <c r="K7251" t="s">
        <v>19</v>
      </c>
      <c r="L7251" t="s">
        <v>27</v>
      </c>
      <c r="M7251" t="s">
        <v>27</v>
      </c>
      <c r="N7251" t="s">
        <v>22</v>
      </c>
    </row>
    <row r="7252" spans="1:14">
      <c r="A7252" s="4" t="str">
        <f t="shared" si="667"/>
        <v>EXP00253</v>
      </c>
      <c r="B7252" s="4" t="str">
        <f t="shared" si="668"/>
        <v>26083413</v>
      </c>
      <c r="C7252" s="4" t="str">
        <f t="shared" si="669"/>
        <v>GSE62837</v>
      </c>
      <c r="D7252" s="1" t="s">
        <v>45</v>
      </c>
      <c r="E7252" t="s">
        <v>356</v>
      </c>
      <c r="F7252" s="1">
        <v>2</v>
      </c>
      <c r="G7252" s="1" t="s">
        <v>28</v>
      </c>
      <c r="H7252" s="4" t="str">
        <f>HYPERLINK("https://www.ncbi.nlm.nih.gov/geo/query/acc.cgi?acc=GSM1534298","GSM1534298")</f>
        <v>GSM1534298</v>
      </c>
      <c r="I7252" t="s">
        <v>82</v>
      </c>
      <c r="J7252" t="s">
        <v>83</v>
      </c>
      <c r="K7252" t="s">
        <v>19</v>
      </c>
      <c r="L7252" t="s">
        <v>27</v>
      </c>
      <c r="M7252" t="s">
        <v>27</v>
      </c>
      <c r="N7252" t="s">
        <v>29</v>
      </c>
    </row>
    <row r="7253" spans="1:14">
      <c r="A7253" s="4" t="str">
        <f t="shared" si="667"/>
        <v>EXP00253</v>
      </c>
      <c r="B7253" s="4" t="str">
        <f t="shared" si="668"/>
        <v>26083413</v>
      </c>
      <c r="C7253" s="4" t="str">
        <f t="shared" si="669"/>
        <v>GSE62837</v>
      </c>
      <c r="D7253" s="1" t="s">
        <v>45</v>
      </c>
      <c r="E7253" t="s">
        <v>356</v>
      </c>
      <c r="F7253" s="1">
        <v>2</v>
      </c>
      <c r="G7253" s="1" t="s">
        <v>28</v>
      </c>
      <c r="H7253" s="4" t="str">
        <f>HYPERLINK("https://www.ncbi.nlm.nih.gov/geo/query/acc.cgi?acc=GSM1534299","GSM1534299")</f>
        <v>GSM1534299</v>
      </c>
      <c r="I7253" t="s">
        <v>82</v>
      </c>
      <c r="J7253" t="s">
        <v>83</v>
      </c>
      <c r="K7253" t="s">
        <v>19</v>
      </c>
      <c r="L7253" t="s">
        <v>27</v>
      </c>
      <c r="M7253" t="s">
        <v>27</v>
      </c>
      <c r="N7253" t="s">
        <v>29</v>
      </c>
    </row>
    <row r="7254" spans="1:14">
      <c r="A7254" s="4" t="str">
        <f t="shared" si="667"/>
        <v>EXP00253</v>
      </c>
      <c r="B7254" s="4" t="str">
        <f t="shared" si="668"/>
        <v>26083413</v>
      </c>
      <c r="C7254" s="4" t="str">
        <f t="shared" si="669"/>
        <v>GSE62837</v>
      </c>
      <c r="D7254" s="1" t="s">
        <v>45</v>
      </c>
      <c r="E7254" t="s">
        <v>356</v>
      </c>
      <c r="F7254" s="1">
        <v>2</v>
      </c>
      <c r="G7254" s="1" t="s">
        <v>28</v>
      </c>
      <c r="H7254" s="4" t="str">
        <f>HYPERLINK("https://www.ncbi.nlm.nih.gov/geo/query/acc.cgi?acc=GSM1534300","GSM1534300")</f>
        <v>GSM1534300</v>
      </c>
      <c r="I7254" t="s">
        <v>82</v>
      </c>
      <c r="J7254" t="s">
        <v>83</v>
      </c>
      <c r="K7254" t="s">
        <v>19</v>
      </c>
      <c r="L7254" t="s">
        <v>27</v>
      </c>
      <c r="M7254" t="s">
        <v>27</v>
      </c>
      <c r="N7254" t="s">
        <v>29</v>
      </c>
    </row>
    <row r="7255" spans="1:14">
      <c r="A7255" s="4" t="str">
        <f t="shared" ref="A7255:A7286" si="670">HYPERLINK("http://hcmdb.i-sanger.com/experiment/details/experiment_id/EXP00254","EXP00254")</f>
        <v>EXP00254</v>
      </c>
      <c r="B7255" s="4" t="str">
        <f t="shared" ref="B7255:B7286" si="671">HYPERLINK("https://www.ncbi.nlm.nih.gov/pubmed/25315964","25315964")</f>
        <v>25315964</v>
      </c>
      <c r="C7255" s="4" t="str">
        <f t="shared" ref="C7255:C7286" si="672">HYPERLINK("https://www.ncbi.nlm.nih.gov/geo/query/acc.cgi?acc=GSE63119","GSE63119")</f>
        <v>GSE63119</v>
      </c>
      <c r="D7255" s="1" t="s">
        <v>331</v>
      </c>
      <c r="E7255" t="s">
        <v>357</v>
      </c>
      <c r="F7255" s="1">
        <v>1</v>
      </c>
      <c r="G7255" s="1" t="s">
        <v>31</v>
      </c>
      <c r="H7255" s="4" t="str">
        <f>HYPERLINK("https://www.ncbi.nlm.nih.gov/geo/query/acc.cgi?acc=GSM1541627","GSM1541627")</f>
        <v>GSM1541627</v>
      </c>
      <c r="I7255" t="s">
        <v>69</v>
      </c>
      <c r="J7255" t="s">
        <v>245</v>
      </c>
      <c r="K7255" t="s">
        <v>19</v>
      </c>
      <c r="L7255" t="s">
        <v>70</v>
      </c>
      <c r="M7255" t="s">
        <v>51</v>
      </c>
      <c r="N7255" t="s">
        <v>29</v>
      </c>
    </row>
    <row r="7256" spans="1:14">
      <c r="A7256" s="4" t="str">
        <f t="shared" si="670"/>
        <v>EXP00254</v>
      </c>
      <c r="B7256" s="4" t="str">
        <f t="shared" si="671"/>
        <v>25315964</v>
      </c>
      <c r="C7256" s="4" t="str">
        <f t="shared" si="672"/>
        <v>GSE63119</v>
      </c>
      <c r="D7256" s="1" t="s">
        <v>331</v>
      </c>
      <c r="E7256" t="s">
        <v>357</v>
      </c>
      <c r="F7256" s="1">
        <v>1</v>
      </c>
      <c r="G7256" s="1" t="s">
        <v>31</v>
      </c>
      <c r="H7256" s="4" t="str">
        <f>HYPERLINK("https://www.ncbi.nlm.nih.gov/geo/query/acc.cgi?acc=GSM1541628","GSM1541628")</f>
        <v>GSM1541628</v>
      </c>
      <c r="I7256" t="s">
        <v>69</v>
      </c>
      <c r="J7256" t="s">
        <v>245</v>
      </c>
      <c r="K7256" t="s">
        <v>19</v>
      </c>
      <c r="L7256" t="s">
        <v>70</v>
      </c>
      <c r="M7256" t="s">
        <v>51</v>
      </c>
      <c r="N7256" t="s">
        <v>29</v>
      </c>
    </row>
    <row r="7257" spans="1:14">
      <c r="A7257" s="4" t="str">
        <f t="shared" si="670"/>
        <v>EXP00254</v>
      </c>
      <c r="B7257" s="4" t="str">
        <f t="shared" si="671"/>
        <v>25315964</v>
      </c>
      <c r="C7257" s="4" t="str">
        <f t="shared" si="672"/>
        <v>GSE63119</v>
      </c>
      <c r="D7257" s="1" t="s">
        <v>331</v>
      </c>
      <c r="E7257" t="s">
        <v>357</v>
      </c>
      <c r="F7257" s="1">
        <v>1</v>
      </c>
      <c r="G7257" s="1" t="s">
        <v>31</v>
      </c>
      <c r="H7257" s="4" t="str">
        <f>HYPERLINK("https://www.ncbi.nlm.nih.gov/geo/query/acc.cgi?acc=GSM1541630","GSM1541630")</f>
        <v>GSM1541630</v>
      </c>
      <c r="I7257" t="s">
        <v>69</v>
      </c>
      <c r="J7257" t="s">
        <v>245</v>
      </c>
      <c r="K7257" t="s">
        <v>19</v>
      </c>
      <c r="L7257" t="s">
        <v>70</v>
      </c>
      <c r="M7257" t="s">
        <v>51</v>
      </c>
      <c r="N7257" t="s">
        <v>29</v>
      </c>
    </row>
    <row r="7258" spans="1:14">
      <c r="A7258" s="4" t="str">
        <f t="shared" si="670"/>
        <v>EXP00254</v>
      </c>
      <c r="B7258" s="4" t="str">
        <f t="shared" si="671"/>
        <v>25315964</v>
      </c>
      <c r="C7258" s="4" t="str">
        <f t="shared" si="672"/>
        <v>GSE63119</v>
      </c>
      <c r="D7258" s="1" t="s">
        <v>331</v>
      </c>
      <c r="E7258" t="s">
        <v>357</v>
      </c>
      <c r="F7258" s="1">
        <v>1</v>
      </c>
      <c r="G7258" s="1" t="s">
        <v>31</v>
      </c>
      <c r="H7258" s="4" t="str">
        <f>HYPERLINK("https://www.ncbi.nlm.nih.gov/geo/query/acc.cgi?acc=GSM1541633","GSM1541633")</f>
        <v>GSM1541633</v>
      </c>
      <c r="I7258" t="s">
        <v>69</v>
      </c>
      <c r="J7258" t="s">
        <v>245</v>
      </c>
      <c r="K7258" t="s">
        <v>19</v>
      </c>
      <c r="L7258" t="s">
        <v>70</v>
      </c>
      <c r="M7258" t="s">
        <v>51</v>
      </c>
      <c r="N7258" t="s">
        <v>29</v>
      </c>
    </row>
    <row r="7259" spans="1:14">
      <c r="A7259" s="4" t="str">
        <f t="shared" si="670"/>
        <v>EXP00254</v>
      </c>
      <c r="B7259" s="4" t="str">
        <f t="shared" si="671"/>
        <v>25315964</v>
      </c>
      <c r="C7259" s="4" t="str">
        <f t="shared" si="672"/>
        <v>GSE63119</v>
      </c>
      <c r="D7259" s="1" t="s">
        <v>331</v>
      </c>
      <c r="E7259" t="s">
        <v>357</v>
      </c>
      <c r="F7259" s="1">
        <v>1</v>
      </c>
      <c r="G7259" s="1" t="s">
        <v>31</v>
      </c>
      <c r="H7259" s="4" t="str">
        <f>HYPERLINK("https://www.ncbi.nlm.nih.gov/geo/query/acc.cgi?acc=GSM1541639","GSM1541639")</f>
        <v>GSM1541639</v>
      </c>
      <c r="I7259" t="s">
        <v>69</v>
      </c>
      <c r="J7259" t="s">
        <v>245</v>
      </c>
      <c r="K7259" t="s">
        <v>19</v>
      </c>
      <c r="L7259" t="s">
        <v>70</v>
      </c>
      <c r="M7259" t="s">
        <v>51</v>
      </c>
      <c r="N7259" t="s">
        <v>29</v>
      </c>
    </row>
    <row r="7260" spans="1:14">
      <c r="A7260" s="4" t="str">
        <f t="shared" si="670"/>
        <v>EXP00254</v>
      </c>
      <c r="B7260" s="4" t="str">
        <f t="shared" si="671"/>
        <v>25315964</v>
      </c>
      <c r="C7260" s="4" t="str">
        <f t="shared" si="672"/>
        <v>GSE63119</v>
      </c>
      <c r="D7260" s="1" t="s">
        <v>331</v>
      </c>
      <c r="E7260" t="s">
        <v>357</v>
      </c>
      <c r="F7260" s="1">
        <v>1</v>
      </c>
      <c r="G7260" s="1" t="s">
        <v>31</v>
      </c>
      <c r="H7260" s="4" t="str">
        <f>HYPERLINK("https://www.ncbi.nlm.nih.gov/geo/query/acc.cgi?acc=GSM1541642","GSM1541642")</f>
        <v>GSM1541642</v>
      </c>
      <c r="I7260" t="s">
        <v>69</v>
      </c>
      <c r="J7260" t="s">
        <v>245</v>
      </c>
      <c r="K7260" t="s">
        <v>19</v>
      </c>
      <c r="L7260" t="s">
        <v>70</v>
      </c>
      <c r="M7260" t="s">
        <v>51</v>
      </c>
      <c r="N7260" t="s">
        <v>29</v>
      </c>
    </row>
    <row r="7261" spans="1:14">
      <c r="A7261" s="4" t="str">
        <f t="shared" si="670"/>
        <v>EXP00254</v>
      </c>
      <c r="B7261" s="4" t="str">
        <f t="shared" si="671"/>
        <v>25315964</v>
      </c>
      <c r="C7261" s="4" t="str">
        <f t="shared" si="672"/>
        <v>GSE63119</v>
      </c>
      <c r="D7261" s="1" t="s">
        <v>331</v>
      </c>
      <c r="E7261" t="s">
        <v>357</v>
      </c>
      <c r="F7261" s="1">
        <v>1</v>
      </c>
      <c r="G7261" s="1" t="s">
        <v>31</v>
      </c>
      <c r="H7261" s="4" t="str">
        <f>HYPERLINK("https://www.ncbi.nlm.nih.gov/geo/query/acc.cgi?acc=GSM1541644","GSM1541644")</f>
        <v>GSM1541644</v>
      </c>
      <c r="I7261" t="s">
        <v>69</v>
      </c>
      <c r="J7261" t="s">
        <v>245</v>
      </c>
      <c r="K7261" t="s">
        <v>19</v>
      </c>
      <c r="L7261" t="s">
        <v>70</v>
      </c>
      <c r="M7261" t="s">
        <v>51</v>
      </c>
      <c r="N7261" t="s">
        <v>29</v>
      </c>
    </row>
    <row r="7262" spans="1:14">
      <c r="A7262" s="4" t="str">
        <f t="shared" si="670"/>
        <v>EXP00254</v>
      </c>
      <c r="B7262" s="4" t="str">
        <f t="shared" si="671"/>
        <v>25315964</v>
      </c>
      <c r="C7262" s="4" t="str">
        <f t="shared" si="672"/>
        <v>GSE63119</v>
      </c>
      <c r="D7262" s="1" t="s">
        <v>331</v>
      </c>
      <c r="E7262" t="s">
        <v>357</v>
      </c>
      <c r="F7262" s="1">
        <v>1</v>
      </c>
      <c r="G7262" s="1" t="s">
        <v>31</v>
      </c>
      <c r="H7262" s="4" t="str">
        <f>HYPERLINK("https://www.ncbi.nlm.nih.gov/geo/query/acc.cgi?acc=GSM1541645","GSM1541645")</f>
        <v>GSM1541645</v>
      </c>
      <c r="I7262" t="s">
        <v>69</v>
      </c>
      <c r="J7262" t="s">
        <v>245</v>
      </c>
      <c r="K7262" t="s">
        <v>19</v>
      </c>
      <c r="L7262" t="s">
        <v>70</v>
      </c>
      <c r="M7262" t="s">
        <v>51</v>
      </c>
      <c r="N7262" t="s">
        <v>29</v>
      </c>
    </row>
    <row r="7263" spans="1:14">
      <c r="A7263" s="4" t="str">
        <f t="shared" si="670"/>
        <v>EXP00254</v>
      </c>
      <c r="B7263" s="4" t="str">
        <f t="shared" si="671"/>
        <v>25315964</v>
      </c>
      <c r="C7263" s="4" t="str">
        <f t="shared" si="672"/>
        <v>GSE63119</v>
      </c>
      <c r="D7263" s="1" t="s">
        <v>331</v>
      </c>
      <c r="E7263" t="s">
        <v>357</v>
      </c>
      <c r="F7263" s="1">
        <v>1</v>
      </c>
      <c r="G7263" s="1" t="s">
        <v>31</v>
      </c>
      <c r="H7263" s="4" t="str">
        <f>HYPERLINK("https://www.ncbi.nlm.nih.gov/geo/query/acc.cgi?acc=GSM1541649","GSM1541649")</f>
        <v>GSM1541649</v>
      </c>
      <c r="I7263" t="s">
        <v>69</v>
      </c>
      <c r="J7263" t="s">
        <v>245</v>
      </c>
      <c r="K7263" t="s">
        <v>19</v>
      </c>
      <c r="L7263" t="s">
        <v>70</v>
      </c>
      <c r="M7263" t="s">
        <v>51</v>
      </c>
      <c r="N7263" t="s">
        <v>29</v>
      </c>
    </row>
    <row r="7264" spans="1:14">
      <c r="A7264" s="4" t="str">
        <f t="shared" si="670"/>
        <v>EXP00254</v>
      </c>
      <c r="B7264" s="4" t="str">
        <f t="shared" si="671"/>
        <v>25315964</v>
      </c>
      <c r="C7264" s="4" t="str">
        <f t="shared" si="672"/>
        <v>GSE63119</v>
      </c>
      <c r="D7264" s="1" t="s">
        <v>331</v>
      </c>
      <c r="E7264" t="s">
        <v>357</v>
      </c>
      <c r="F7264" s="1">
        <v>1</v>
      </c>
      <c r="G7264" s="1" t="s">
        <v>31</v>
      </c>
      <c r="H7264" s="4" t="str">
        <f>HYPERLINK("https://www.ncbi.nlm.nih.gov/geo/query/acc.cgi?acc=GSM1541650","GSM1541650")</f>
        <v>GSM1541650</v>
      </c>
      <c r="I7264" t="s">
        <v>69</v>
      </c>
      <c r="J7264" t="s">
        <v>245</v>
      </c>
      <c r="K7264" t="s">
        <v>19</v>
      </c>
      <c r="L7264" t="s">
        <v>70</v>
      </c>
      <c r="M7264" t="s">
        <v>51</v>
      </c>
      <c r="N7264" t="s">
        <v>29</v>
      </c>
    </row>
    <row r="7265" spans="1:14">
      <c r="A7265" s="4" t="str">
        <f t="shared" si="670"/>
        <v>EXP00254</v>
      </c>
      <c r="B7265" s="4" t="str">
        <f t="shared" si="671"/>
        <v>25315964</v>
      </c>
      <c r="C7265" s="4" t="str">
        <f t="shared" si="672"/>
        <v>GSE63119</v>
      </c>
      <c r="D7265" s="1" t="s">
        <v>331</v>
      </c>
      <c r="E7265" t="s">
        <v>357</v>
      </c>
      <c r="F7265" s="1">
        <v>1</v>
      </c>
      <c r="G7265" s="1" t="s">
        <v>31</v>
      </c>
      <c r="H7265" s="4" t="str">
        <f>HYPERLINK("https://www.ncbi.nlm.nih.gov/geo/query/acc.cgi?acc=GSM1541651","GSM1541651")</f>
        <v>GSM1541651</v>
      </c>
      <c r="I7265" t="s">
        <v>69</v>
      </c>
      <c r="J7265" t="s">
        <v>245</v>
      </c>
      <c r="K7265" t="s">
        <v>19</v>
      </c>
      <c r="L7265" t="s">
        <v>70</v>
      </c>
      <c r="M7265" t="s">
        <v>51</v>
      </c>
      <c r="N7265" t="s">
        <v>29</v>
      </c>
    </row>
    <row r="7266" spans="1:14">
      <c r="A7266" s="4" t="str">
        <f t="shared" si="670"/>
        <v>EXP00254</v>
      </c>
      <c r="B7266" s="4" t="str">
        <f t="shared" si="671"/>
        <v>25315964</v>
      </c>
      <c r="C7266" s="4" t="str">
        <f t="shared" si="672"/>
        <v>GSE63119</v>
      </c>
      <c r="D7266" s="1" t="s">
        <v>331</v>
      </c>
      <c r="E7266" t="s">
        <v>357</v>
      </c>
      <c r="F7266" s="1">
        <v>1</v>
      </c>
      <c r="G7266" s="1" t="s">
        <v>31</v>
      </c>
      <c r="H7266" s="4" t="str">
        <f>HYPERLINK("https://www.ncbi.nlm.nih.gov/geo/query/acc.cgi?acc=GSM1541652","GSM1541652")</f>
        <v>GSM1541652</v>
      </c>
      <c r="I7266" t="s">
        <v>69</v>
      </c>
      <c r="J7266" t="s">
        <v>245</v>
      </c>
      <c r="K7266" t="s">
        <v>19</v>
      </c>
      <c r="L7266" t="s">
        <v>70</v>
      </c>
      <c r="M7266" t="s">
        <v>51</v>
      </c>
      <c r="N7266" t="s">
        <v>29</v>
      </c>
    </row>
    <row r="7267" spans="1:14">
      <c r="A7267" s="4" t="str">
        <f t="shared" si="670"/>
        <v>EXP00254</v>
      </c>
      <c r="B7267" s="4" t="str">
        <f t="shared" si="671"/>
        <v>25315964</v>
      </c>
      <c r="C7267" s="4" t="str">
        <f t="shared" si="672"/>
        <v>GSE63119</v>
      </c>
      <c r="D7267" s="1" t="s">
        <v>331</v>
      </c>
      <c r="E7267" t="s">
        <v>357</v>
      </c>
      <c r="F7267" s="1">
        <v>1</v>
      </c>
      <c r="G7267" s="1" t="s">
        <v>31</v>
      </c>
      <c r="H7267" s="4" t="str">
        <f>HYPERLINK("https://www.ncbi.nlm.nih.gov/geo/query/acc.cgi?acc=GSM1541653","GSM1541653")</f>
        <v>GSM1541653</v>
      </c>
      <c r="I7267" t="s">
        <v>69</v>
      </c>
      <c r="J7267" t="s">
        <v>245</v>
      </c>
      <c r="K7267" t="s">
        <v>19</v>
      </c>
      <c r="L7267" t="s">
        <v>70</v>
      </c>
      <c r="M7267" t="s">
        <v>51</v>
      </c>
      <c r="N7267" t="s">
        <v>29</v>
      </c>
    </row>
    <row r="7268" spans="1:14">
      <c r="A7268" s="4" t="str">
        <f t="shared" si="670"/>
        <v>EXP00254</v>
      </c>
      <c r="B7268" s="4" t="str">
        <f t="shared" si="671"/>
        <v>25315964</v>
      </c>
      <c r="C7268" s="4" t="str">
        <f t="shared" si="672"/>
        <v>GSE63119</v>
      </c>
      <c r="D7268" s="1" t="s">
        <v>331</v>
      </c>
      <c r="E7268" t="s">
        <v>357</v>
      </c>
      <c r="F7268" s="1">
        <v>1</v>
      </c>
      <c r="G7268" s="1" t="s">
        <v>31</v>
      </c>
      <c r="H7268" s="4" t="str">
        <f>HYPERLINK("https://www.ncbi.nlm.nih.gov/geo/query/acc.cgi?acc=GSM1541654","GSM1541654")</f>
        <v>GSM1541654</v>
      </c>
      <c r="I7268" t="s">
        <v>69</v>
      </c>
      <c r="J7268" t="s">
        <v>245</v>
      </c>
      <c r="K7268" t="s">
        <v>19</v>
      </c>
      <c r="L7268" t="s">
        <v>70</v>
      </c>
      <c r="M7268" t="s">
        <v>51</v>
      </c>
      <c r="N7268" t="s">
        <v>29</v>
      </c>
    </row>
    <row r="7269" spans="1:14">
      <c r="A7269" s="4" t="str">
        <f t="shared" si="670"/>
        <v>EXP00254</v>
      </c>
      <c r="B7269" s="4" t="str">
        <f t="shared" si="671"/>
        <v>25315964</v>
      </c>
      <c r="C7269" s="4" t="str">
        <f t="shared" si="672"/>
        <v>GSE63119</v>
      </c>
      <c r="D7269" s="1" t="s">
        <v>331</v>
      </c>
      <c r="E7269" t="s">
        <v>357</v>
      </c>
      <c r="F7269" s="1">
        <v>1</v>
      </c>
      <c r="G7269" s="1" t="s">
        <v>31</v>
      </c>
      <c r="H7269" s="4" t="str">
        <f>HYPERLINK("https://www.ncbi.nlm.nih.gov/geo/query/acc.cgi?acc=GSM1541655","GSM1541655")</f>
        <v>GSM1541655</v>
      </c>
      <c r="I7269" t="s">
        <v>69</v>
      </c>
      <c r="J7269" t="s">
        <v>245</v>
      </c>
      <c r="K7269" t="s">
        <v>19</v>
      </c>
      <c r="L7269" t="s">
        <v>70</v>
      </c>
      <c r="M7269" t="s">
        <v>51</v>
      </c>
      <c r="N7269" t="s">
        <v>29</v>
      </c>
    </row>
    <row r="7270" spans="1:14">
      <c r="A7270" s="4" t="str">
        <f t="shared" si="670"/>
        <v>EXP00254</v>
      </c>
      <c r="B7270" s="4" t="str">
        <f t="shared" si="671"/>
        <v>25315964</v>
      </c>
      <c r="C7270" s="4" t="str">
        <f t="shared" si="672"/>
        <v>GSE63119</v>
      </c>
      <c r="D7270" s="1" t="s">
        <v>331</v>
      </c>
      <c r="E7270" t="s">
        <v>357</v>
      </c>
      <c r="F7270" s="1">
        <v>1</v>
      </c>
      <c r="G7270" s="1" t="s">
        <v>31</v>
      </c>
      <c r="H7270" s="4" t="str">
        <f>HYPERLINK("https://www.ncbi.nlm.nih.gov/geo/query/acc.cgi?acc=GSM1541656","GSM1541656")</f>
        <v>GSM1541656</v>
      </c>
      <c r="I7270" t="s">
        <v>69</v>
      </c>
      <c r="J7270" t="s">
        <v>245</v>
      </c>
      <c r="K7270" t="s">
        <v>19</v>
      </c>
      <c r="L7270" t="s">
        <v>70</v>
      </c>
      <c r="M7270" t="s">
        <v>51</v>
      </c>
      <c r="N7270" t="s">
        <v>29</v>
      </c>
    </row>
    <row r="7271" spans="1:14">
      <c r="A7271" s="4" t="str">
        <f t="shared" si="670"/>
        <v>EXP00254</v>
      </c>
      <c r="B7271" s="4" t="str">
        <f t="shared" si="671"/>
        <v>25315964</v>
      </c>
      <c r="C7271" s="4" t="str">
        <f t="shared" si="672"/>
        <v>GSE63119</v>
      </c>
      <c r="D7271" s="1" t="s">
        <v>331</v>
      </c>
      <c r="E7271" t="s">
        <v>357</v>
      </c>
      <c r="F7271" s="1">
        <v>1</v>
      </c>
      <c r="G7271" s="1" t="s">
        <v>31</v>
      </c>
      <c r="H7271" s="4" t="str">
        <f>HYPERLINK("https://www.ncbi.nlm.nih.gov/geo/query/acc.cgi?acc=GSM1541658","GSM1541658")</f>
        <v>GSM1541658</v>
      </c>
      <c r="I7271" t="s">
        <v>69</v>
      </c>
      <c r="J7271" t="s">
        <v>245</v>
      </c>
      <c r="K7271" t="s">
        <v>19</v>
      </c>
      <c r="L7271" t="s">
        <v>70</v>
      </c>
      <c r="M7271" t="s">
        <v>51</v>
      </c>
      <c r="N7271" t="s">
        <v>29</v>
      </c>
    </row>
    <row r="7272" spans="1:14">
      <c r="A7272" s="4" t="str">
        <f t="shared" si="670"/>
        <v>EXP00254</v>
      </c>
      <c r="B7272" s="4" t="str">
        <f t="shared" si="671"/>
        <v>25315964</v>
      </c>
      <c r="C7272" s="4" t="str">
        <f t="shared" si="672"/>
        <v>GSE63119</v>
      </c>
      <c r="D7272" s="1" t="s">
        <v>331</v>
      </c>
      <c r="E7272" t="s">
        <v>357</v>
      </c>
      <c r="F7272" s="1">
        <v>1</v>
      </c>
      <c r="G7272" s="1" t="s">
        <v>31</v>
      </c>
      <c r="H7272" s="4" t="str">
        <f>HYPERLINK("https://www.ncbi.nlm.nih.gov/geo/query/acc.cgi?acc=GSM1541659","GSM1541659")</f>
        <v>GSM1541659</v>
      </c>
      <c r="I7272" t="s">
        <v>69</v>
      </c>
      <c r="J7272" t="s">
        <v>245</v>
      </c>
      <c r="K7272" t="s">
        <v>19</v>
      </c>
      <c r="L7272" t="s">
        <v>70</v>
      </c>
      <c r="M7272" t="s">
        <v>51</v>
      </c>
      <c r="N7272" t="s">
        <v>29</v>
      </c>
    </row>
    <row r="7273" spans="1:14">
      <c r="A7273" s="4" t="str">
        <f t="shared" si="670"/>
        <v>EXP00254</v>
      </c>
      <c r="B7273" s="4" t="str">
        <f t="shared" si="671"/>
        <v>25315964</v>
      </c>
      <c r="C7273" s="4" t="str">
        <f t="shared" si="672"/>
        <v>GSE63119</v>
      </c>
      <c r="D7273" s="1" t="s">
        <v>331</v>
      </c>
      <c r="E7273" t="s">
        <v>357</v>
      </c>
      <c r="F7273" s="1">
        <v>1</v>
      </c>
      <c r="G7273" s="1" t="s">
        <v>31</v>
      </c>
      <c r="H7273" s="4" t="str">
        <f>HYPERLINK("https://www.ncbi.nlm.nih.gov/geo/query/acc.cgi?acc=GSM1541662","GSM1541662")</f>
        <v>GSM1541662</v>
      </c>
      <c r="I7273" t="s">
        <v>69</v>
      </c>
      <c r="J7273" t="s">
        <v>245</v>
      </c>
      <c r="K7273" t="s">
        <v>19</v>
      </c>
      <c r="L7273" t="s">
        <v>70</v>
      </c>
      <c r="M7273" t="s">
        <v>51</v>
      </c>
      <c r="N7273" t="s">
        <v>29</v>
      </c>
    </row>
    <row r="7274" spans="1:14">
      <c r="A7274" s="4" t="str">
        <f t="shared" si="670"/>
        <v>EXP00254</v>
      </c>
      <c r="B7274" s="4" t="str">
        <f t="shared" si="671"/>
        <v>25315964</v>
      </c>
      <c r="C7274" s="4" t="str">
        <f t="shared" si="672"/>
        <v>GSE63119</v>
      </c>
      <c r="D7274" s="1" t="s">
        <v>331</v>
      </c>
      <c r="E7274" t="s">
        <v>357</v>
      </c>
      <c r="F7274" s="1">
        <v>1</v>
      </c>
      <c r="G7274" s="1" t="s">
        <v>31</v>
      </c>
      <c r="H7274" s="4" t="str">
        <f>HYPERLINK("https://www.ncbi.nlm.nih.gov/geo/query/acc.cgi?acc=GSM1541665","GSM1541665")</f>
        <v>GSM1541665</v>
      </c>
      <c r="I7274" t="s">
        <v>69</v>
      </c>
      <c r="J7274" t="s">
        <v>245</v>
      </c>
      <c r="K7274" t="s">
        <v>19</v>
      </c>
      <c r="L7274" t="s">
        <v>70</v>
      </c>
      <c r="M7274" t="s">
        <v>51</v>
      </c>
      <c r="N7274" t="s">
        <v>29</v>
      </c>
    </row>
    <row r="7275" spans="1:14">
      <c r="A7275" s="4" t="str">
        <f t="shared" si="670"/>
        <v>EXP00254</v>
      </c>
      <c r="B7275" s="4" t="str">
        <f t="shared" si="671"/>
        <v>25315964</v>
      </c>
      <c r="C7275" s="4" t="str">
        <f t="shared" si="672"/>
        <v>GSE63119</v>
      </c>
      <c r="D7275" s="1" t="s">
        <v>331</v>
      </c>
      <c r="E7275" t="s">
        <v>357</v>
      </c>
      <c r="F7275" s="1">
        <v>1</v>
      </c>
      <c r="G7275" s="1" t="s">
        <v>31</v>
      </c>
      <c r="H7275" s="4" t="str">
        <f>HYPERLINK("https://www.ncbi.nlm.nih.gov/geo/query/acc.cgi?acc=GSM1541667","GSM1541667")</f>
        <v>GSM1541667</v>
      </c>
      <c r="I7275" t="s">
        <v>69</v>
      </c>
      <c r="J7275" t="s">
        <v>245</v>
      </c>
      <c r="K7275" t="s">
        <v>19</v>
      </c>
      <c r="L7275" t="s">
        <v>70</v>
      </c>
      <c r="M7275" t="s">
        <v>51</v>
      </c>
      <c r="N7275" t="s">
        <v>29</v>
      </c>
    </row>
    <row r="7276" spans="1:14">
      <c r="A7276" s="4" t="str">
        <f t="shared" si="670"/>
        <v>EXP00254</v>
      </c>
      <c r="B7276" s="4" t="str">
        <f t="shared" si="671"/>
        <v>25315964</v>
      </c>
      <c r="C7276" s="4" t="str">
        <f t="shared" si="672"/>
        <v>GSE63119</v>
      </c>
      <c r="D7276" s="1" t="s">
        <v>331</v>
      </c>
      <c r="E7276" t="s">
        <v>357</v>
      </c>
      <c r="F7276" s="1">
        <v>1</v>
      </c>
      <c r="G7276" s="1" t="s">
        <v>31</v>
      </c>
      <c r="H7276" s="4" t="str">
        <f>HYPERLINK("https://www.ncbi.nlm.nih.gov/geo/query/acc.cgi?acc=GSM1541671","GSM1541671")</f>
        <v>GSM1541671</v>
      </c>
      <c r="I7276" t="s">
        <v>69</v>
      </c>
      <c r="J7276" t="s">
        <v>245</v>
      </c>
      <c r="K7276" t="s">
        <v>19</v>
      </c>
      <c r="L7276" t="s">
        <v>70</v>
      </c>
      <c r="M7276" t="s">
        <v>51</v>
      </c>
      <c r="N7276" t="s">
        <v>29</v>
      </c>
    </row>
    <row r="7277" spans="1:14">
      <c r="A7277" s="4" t="str">
        <f t="shared" si="670"/>
        <v>EXP00254</v>
      </c>
      <c r="B7277" s="4" t="str">
        <f t="shared" si="671"/>
        <v>25315964</v>
      </c>
      <c r="C7277" s="4" t="str">
        <f t="shared" si="672"/>
        <v>GSE63119</v>
      </c>
      <c r="D7277" s="1" t="s">
        <v>331</v>
      </c>
      <c r="E7277" t="s">
        <v>357</v>
      </c>
      <c r="F7277" s="1">
        <v>1</v>
      </c>
      <c r="G7277" s="1" t="s">
        <v>31</v>
      </c>
      <c r="H7277" s="4" t="str">
        <f>HYPERLINK("https://www.ncbi.nlm.nih.gov/geo/query/acc.cgi?acc=GSM1541672","GSM1541672")</f>
        <v>GSM1541672</v>
      </c>
      <c r="I7277" t="s">
        <v>69</v>
      </c>
      <c r="J7277" t="s">
        <v>245</v>
      </c>
      <c r="K7277" t="s">
        <v>19</v>
      </c>
      <c r="L7277" t="s">
        <v>70</v>
      </c>
      <c r="M7277" t="s">
        <v>51</v>
      </c>
      <c r="N7277" t="s">
        <v>29</v>
      </c>
    </row>
    <row r="7278" spans="1:14">
      <c r="A7278" s="4" t="str">
        <f t="shared" si="670"/>
        <v>EXP00254</v>
      </c>
      <c r="B7278" s="4" t="str">
        <f t="shared" si="671"/>
        <v>25315964</v>
      </c>
      <c r="C7278" s="4" t="str">
        <f t="shared" si="672"/>
        <v>GSE63119</v>
      </c>
      <c r="D7278" s="1" t="s">
        <v>331</v>
      </c>
      <c r="E7278" t="s">
        <v>357</v>
      </c>
      <c r="F7278" s="1">
        <v>1</v>
      </c>
      <c r="G7278" s="1" t="s">
        <v>31</v>
      </c>
      <c r="H7278" s="4" t="str">
        <f>HYPERLINK("https://www.ncbi.nlm.nih.gov/geo/query/acc.cgi?acc=GSM1541674","GSM1541674")</f>
        <v>GSM1541674</v>
      </c>
      <c r="I7278" t="s">
        <v>69</v>
      </c>
      <c r="J7278" t="s">
        <v>245</v>
      </c>
      <c r="K7278" t="s">
        <v>19</v>
      </c>
      <c r="L7278" t="s">
        <v>70</v>
      </c>
      <c r="M7278" t="s">
        <v>51</v>
      </c>
      <c r="N7278" t="s">
        <v>29</v>
      </c>
    </row>
    <row r="7279" spans="1:14">
      <c r="A7279" s="4" t="str">
        <f t="shared" si="670"/>
        <v>EXP00254</v>
      </c>
      <c r="B7279" s="4" t="str">
        <f t="shared" si="671"/>
        <v>25315964</v>
      </c>
      <c r="C7279" s="4" t="str">
        <f t="shared" si="672"/>
        <v>GSE63119</v>
      </c>
      <c r="D7279" s="1" t="s">
        <v>331</v>
      </c>
      <c r="E7279" t="s">
        <v>357</v>
      </c>
      <c r="F7279" s="1">
        <v>2</v>
      </c>
      <c r="G7279" s="1" t="s">
        <v>32</v>
      </c>
      <c r="H7279" s="4" t="str">
        <f>HYPERLINK("https://www.ncbi.nlm.nih.gov/geo/query/acc.cgi?acc=GSM1541629","GSM1541629")</f>
        <v>GSM1541629</v>
      </c>
      <c r="I7279" t="s">
        <v>69</v>
      </c>
      <c r="J7279" t="s">
        <v>245</v>
      </c>
      <c r="K7279" t="s">
        <v>33</v>
      </c>
      <c r="L7279" t="s">
        <v>70</v>
      </c>
      <c r="N7279" t="s">
        <v>29</v>
      </c>
    </row>
    <row r="7280" spans="1:14">
      <c r="A7280" s="4" t="str">
        <f t="shared" si="670"/>
        <v>EXP00254</v>
      </c>
      <c r="B7280" s="4" t="str">
        <f t="shared" si="671"/>
        <v>25315964</v>
      </c>
      <c r="C7280" s="4" t="str">
        <f t="shared" si="672"/>
        <v>GSE63119</v>
      </c>
      <c r="D7280" s="1" t="s">
        <v>331</v>
      </c>
      <c r="E7280" t="s">
        <v>357</v>
      </c>
      <c r="F7280" s="1">
        <v>2</v>
      </c>
      <c r="G7280" s="1" t="s">
        <v>32</v>
      </c>
      <c r="H7280" s="4" t="str">
        <f>HYPERLINK("https://www.ncbi.nlm.nih.gov/geo/query/acc.cgi?acc=GSM1541631","GSM1541631")</f>
        <v>GSM1541631</v>
      </c>
      <c r="I7280" t="s">
        <v>69</v>
      </c>
      <c r="J7280" t="s">
        <v>245</v>
      </c>
      <c r="K7280" t="s">
        <v>33</v>
      </c>
      <c r="L7280" t="s">
        <v>70</v>
      </c>
      <c r="N7280" t="s">
        <v>29</v>
      </c>
    </row>
    <row r="7281" spans="1:14">
      <c r="A7281" s="4" t="str">
        <f t="shared" si="670"/>
        <v>EXP00254</v>
      </c>
      <c r="B7281" s="4" t="str">
        <f t="shared" si="671"/>
        <v>25315964</v>
      </c>
      <c r="C7281" s="4" t="str">
        <f t="shared" si="672"/>
        <v>GSE63119</v>
      </c>
      <c r="D7281" s="1" t="s">
        <v>331</v>
      </c>
      <c r="E7281" t="s">
        <v>357</v>
      </c>
      <c r="F7281" s="1">
        <v>2</v>
      </c>
      <c r="G7281" s="1" t="s">
        <v>32</v>
      </c>
      <c r="H7281" s="4" t="str">
        <f>HYPERLINK("https://www.ncbi.nlm.nih.gov/geo/query/acc.cgi?acc=GSM1541632","GSM1541632")</f>
        <v>GSM1541632</v>
      </c>
      <c r="I7281" t="s">
        <v>69</v>
      </c>
      <c r="J7281" t="s">
        <v>245</v>
      </c>
      <c r="K7281" t="s">
        <v>33</v>
      </c>
      <c r="L7281" t="s">
        <v>70</v>
      </c>
      <c r="N7281" t="s">
        <v>29</v>
      </c>
    </row>
    <row r="7282" spans="1:14">
      <c r="A7282" s="4" t="str">
        <f t="shared" si="670"/>
        <v>EXP00254</v>
      </c>
      <c r="B7282" s="4" t="str">
        <f t="shared" si="671"/>
        <v>25315964</v>
      </c>
      <c r="C7282" s="4" t="str">
        <f t="shared" si="672"/>
        <v>GSE63119</v>
      </c>
      <c r="D7282" s="1" t="s">
        <v>331</v>
      </c>
      <c r="E7282" t="s">
        <v>357</v>
      </c>
      <c r="F7282" s="1">
        <v>2</v>
      </c>
      <c r="G7282" s="1" t="s">
        <v>32</v>
      </c>
      <c r="H7282" s="4" t="str">
        <f>HYPERLINK("https://www.ncbi.nlm.nih.gov/geo/query/acc.cgi?acc=GSM1541634","GSM1541634")</f>
        <v>GSM1541634</v>
      </c>
      <c r="I7282" t="s">
        <v>69</v>
      </c>
      <c r="J7282" t="s">
        <v>245</v>
      </c>
      <c r="K7282" t="s">
        <v>33</v>
      </c>
      <c r="L7282" t="s">
        <v>70</v>
      </c>
      <c r="N7282" t="s">
        <v>29</v>
      </c>
    </row>
    <row r="7283" spans="1:14">
      <c r="A7283" s="4" t="str">
        <f t="shared" si="670"/>
        <v>EXP00254</v>
      </c>
      <c r="B7283" s="4" t="str">
        <f t="shared" si="671"/>
        <v>25315964</v>
      </c>
      <c r="C7283" s="4" t="str">
        <f t="shared" si="672"/>
        <v>GSE63119</v>
      </c>
      <c r="D7283" s="1" t="s">
        <v>331</v>
      </c>
      <c r="E7283" t="s">
        <v>357</v>
      </c>
      <c r="F7283" s="1">
        <v>2</v>
      </c>
      <c r="G7283" s="1" t="s">
        <v>32</v>
      </c>
      <c r="H7283" s="4" t="str">
        <f>HYPERLINK("https://www.ncbi.nlm.nih.gov/geo/query/acc.cgi?acc=GSM1541635","GSM1541635")</f>
        <v>GSM1541635</v>
      </c>
      <c r="I7283" t="s">
        <v>69</v>
      </c>
      <c r="J7283" t="s">
        <v>245</v>
      </c>
      <c r="K7283" t="s">
        <v>33</v>
      </c>
      <c r="L7283" t="s">
        <v>70</v>
      </c>
      <c r="N7283" t="s">
        <v>29</v>
      </c>
    </row>
    <row r="7284" spans="1:14">
      <c r="A7284" s="4" t="str">
        <f t="shared" si="670"/>
        <v>EXP00254</v>
      </c>
      <c r="B7284" s="4" t="str">
        <f t="shared" si="671"/>
        <v>25315964</v>
      </c>
      <c r="C7284" s="4" t="str">
        <f t="shared" si="672"/>
        <v>GSE63119</v>
      </c>
      <c r="D7284" s="1" t="s">
        <v>331</v>
      </c>
      <c r="E7284" t="s">
        <v>357</v>
      </c>
      <c r="F7284" s="1">
        <v>2</v>
      </c>
      <c r="G7284" s="1" t="s">
        <v>32</v>
      </c>
      <c r="H7284" s="4" t="str">
        <f>HYPERLINK("https://www.ncbi.nlm.nih.gov/geo/query/acc.cgi?acc=GSM1541636","GSM1541636")</f>
        <v>GSM1541636</v>
      </c>
      <c r="I7284" t="s">
        <v>69</v>
      </c>
      <c r="J7284" t="s">
        <v>245</v>
      </c>
      <c r="K7284" t="s">
        <v>33</v>
      </c>
      <c r="L7284" t="s">
        <v>70</v>
      </c>
      <c r="N7284" t="s">
        <v>29</v>
      </c>
    </row>
    <row r="7285" spans="1:14">
      <c r="A7285" s="4" t="str">
        <f t="shared" si="670"/>
        <v>EXP00254</v>
      </c>
      <c r="B7285" s="4" t="str">
        <f t="shared" si="671"/>
        <v>25315964</v>
      </c>
      <c r="C7285" s="4" t="str">
        <f t="shared" si="672"/>
        <v>GSE63119</v>
      </c>
      <c r="D7285" s="1" t="s">
        <v>331</v>
      </c>
      <c r="E7285" t="s">
        <v>357</v>
      </c>
      <c r="F7285" s="1">
        <v>2</v>
      </c>
      <c r="G7285" s="1" t="s">
        <v>32</v>
      </c>
      <c r="H7285" s="4" t="str">
        <f>HYPERLINK("https://www.ncbi.nlm.nih.gov/geo/query/acc.cgi?acc=GSM1541637","GSM1541637")</f>
        <v>GSM1541637</v>
      </c>
      <c r="I7285" t="s">
        <v>69</v>
      </c>
      <c r="J7285" t="s">
        <v>245</v>
      </c>
      <c r="K7285" t="s">
        <v>33</v>
      </c>
      <c r="L7285" t="s">
        <v>70</v>
      </c>
      <c r="N7285" t="s">
        <v>29</v>
      </c>
    </row>
    <row r="7286" spans="1:14">
      <c r="A7286" s="4" t="str">
        <f t="shared" si="670"/>
        <v>EXP00254</v>
      </c>
      <c r="B7286" s="4" t="str">
        <f t="shared" si="671"/>
        <v>25315964</v>
      </c>
      <c r="C7286" s="4" t="str">
        <f t="shared" si="672"/>
        <v>GSE63119</v>
      </c>
      <c r="D7286" s="1" t="s">
        <v>331</v>
      </c>
      <c r="E7286" t="s">
        <v>357</v>
      </c>
      <c r="F7286" s="1">
        <v>2</v>
      </c>
      <c r="G7286" s="1" t="s">
        <v>32</v>
      </c>
      <c r="H7286" s="4" t="str">
        <f>HYPERLINK("https://www.ncbi.nlm.nih.gov/geo/query/acc.cgi?acc=GSM1541638","GSM1541638")</f>
        <v>GSM1541638</v>
      </c>
      <c r="I7286" t="s">
        <v>69</v>
      </c>
      <c r="J7286" t="s">
        <v>245</v>
      </c>
      <c r="K7286" t="s">
        <v>33</v>
      </c>
      <c r="L7286" t="s">
        <v>70</v>
      </c>
      <c r="N7286" t="s">
        <v>29</v>
      </c>
    </row>
    <row r="7287" spans="1:14">
      <c r="A7287" s="4" t="str">
        <f t="shared" ref="A7287:A7303" si="673">HYPERLINK("http://hcmdb.i-sanger.com/experiment/details/experiment_id/EXP00254","EXP00254")</f>
        <v>EXP00254</v>
      </c>
      <c r="B7287" s="4" t="str">
        <f t="shared" ref="B7287:B7303" si="674">HYPERLINK("https://www.ncbi.nlm.nih.gov/pubmed/25315964","25315964")</f>
        <v>25315964</v>
      </c>
      <c r="C7287" s="4" t="str">
        <f t="shared" ref="C7287:C7303" si="675">HYPERLINK("https://www.ncbi.nlm.nih.gov/geo/query/acc.cgi?acc=GSE63119","GSE63119")</f>
        <v>GSE63119</v>
      </c>
      <c r="D7287" s="1" t="s">
        <v>331</v>
      </c>
      <c r="E7287" t="s">
        <v>357</v>
      </c>
      <c r="F7287" s="1">
        <v>2</v>
      </c>
      <c r="G7287" s="1" t="s">
        <v>32</v>
      </c>
      <c r="H7287" s="4" t="str">
        <f>HYPERLINK("https://www.ncbi.nlm.nih.gov/geo/query/acc.cgi?acc=GSM1541640","GSM1541640")</f>
        <v>GSM1541640</v>
      </c>
      <c r="I7287" t="s">
        <v>69</v>
      </c>
      <c r="J7287" t="s">
        <v>245</v>
      </c>
      <c r="K7287" t="s">
        <v>33</v>
      </c>
      <c r="L7287" t="s">
        <v>70</v>
      </c>
      <c r="N7287" t="s">
        <v>29</v>
      </c>
    </row>
    <row r="7288" spans="1:14">
      <c r="A7288" s="4" t="str">
        <f t="shared" si="673"/>
        <v>EXP00254</v>
      </c>
      <c r="B7288" s="4" t="str">
        <f t="shared" si="674"/>
        <v>25315964</v>
      </c>
      <c r="C7288" s="4" t="str">
        <f t="shared" si="675"/>
        <v>GSE63119</v>
      </c>
      <c r="D7288" s="1" t="s">
        <v>331</v>
      </c>
      <c r="E7288" t="s">
        <v>357</v>
      </c>
      <c r="F7288" s="1">
        <v>2</v>
      </c>
      <c r="G7288" s="1" t="s">
        <v>32</v>
      </c>
      <c r="H7288" s="4" t="str">
        <f>HYPERLINK("https://www.ncbi.nlm.nih.gov/geo/query/acc.cgi?acc=GSM1541641","GSM1541641")</f>
        <v>GSM1541641</v>
      </c>
      <c r="I7288" t="s">
        <v>69</v>
      </c>
      <c r="J7288" t="s">
        <v>245</v>
      </c>
      <c r="K7288" t="s">
        <v>33</v>
      </c>
      <c r="L7288" t="s">
        <v>70</v>
      </c>
      <c r="N7288" t="s">
        <v>29</v>
      </c>
    </row>
    <row r="7289" spans="1:14">
      <c r="A7289" s="4" t="str">
        <f t="shared" si="673"/>
        <v>EXP00254</v>
      </c>
      <c r="B7289" s="4" t="str">
        <f t="shared" si="674"/>
        <v>25315964</v>
      </c>
      <c r="C7289" s="4" t="str">
        <f t="shared" si="675"/>
        <v>GSE63119</v>
      </c>
      <c r="D7289" s="1" t="s">
        <v>331</v>
      </c>
      <c r="E7289" t="s">
        <v>357</v>
      </c>
      <c r="F7289" s="1">
        <v>2</v>
      </c>
      <c r="G7289" s="1" t="s">
        <v>32</v>
      </c>
      <c r="H7289" s="4" t="str">
        <f>HYPERLINK("https://www.ncbi.nlm.nih.gov/geo/query/acc.cgi?acc=GSM1541643","GSM1541643")</f>
        <v>GSM1541643</v>
      </c>
      <c r="I7289" t="s">
        <v>69</v>
      </c>
      <c r="J7289" t="s">
        <v>245</v>
      </c>
      <c r="K7289" t="s">
        <v>33</v>
      </c>
      <c r="L7289" t="s">
        <v>70</v>
      </c>
      <c r="N7289" t="s">
        <v>29</v>
      </c>
    </row>
    <row r="7290" spans="1:14">
      <c r="A7290" s="4" t="str">
        <f t="shared" si="673"/>
        <v>EXP00254</v>
      </c>
      <c r="B7290" s="4" t="str">
        <f t="shared" si="674"/>
        <v>25315964</v>
      </c>
      <c r="C7290" s="4" t="str">
        <f t="shared" si="675"/>
        <v>GSE63119</v>
      </c>
      <c r="D7290" s="1" t="s">
        <v>331</v>
      </c>
      <c r="E7290" t="s">
        <v>357</v>
      </c>
      <c r="F7290" s="1">
        <v>2</v>
      </c>
      <c r="G7290" s="1" t="s">
        <v>32</v>
      </c>
      <c r="H7290" s="4" t="str">
        <f>HYPERLINK("https://www.ncbi.nlm.nih.gov/geo/query/acc.cgi?acc=GSM1541646","GSM1541646")</f>
        <v>GSM1541646</v>
      </c>
      <c r="I7290" t="s">
        <v>69</v>
      </c>
      <c r="J7290" t="s">
        <v>245</v>
      </c>
      <c r="K7290" t="s">
        <v>33</v>
      </c>
      <c r="L7290" t="s">
        <v>70</v>
      </c>
      <c r="N7290" t="s">
        <v>29</v>
      </c>
    </row>
    <row r="7291" spans="1:14">
      <c r="A7291" s="4" t="str">
        <f t="shared" si="673"/>
        <v>EXP00254</v>
      </c>
      <c r="B7291" s="4" t="str">
        <f t="shared" si="674"/>
        <v>25315964</v>
      </c>
      <c r="C7291" s="4" t="str">
        <f t="shared" si="675"/>
        <v>GSE63119</v>
      </c>
      <c r="D7291" s="1" t="s">
        <v>331</v>
      </c>
      <c r="E7291" t="s">
        <v>357</v>
      </c>
      <c r="F7291" s="1">
        <v>2</v>
      </c>
      <c r="G7291" s="1" t="s">
        <v>32</v>
      </c>
      <c r="H7291" s="4" t="str">
        <f>HYPERLINK("https://www.ncbi.nlm.nih.gov/geo/query/acc.cgi?acc=GSM1541647","GSM1541647")</f>
        <v>GSM1541647</v>
      </c>
      <c r="I7291" t="s">
        <v>69</v>
      </c>
      <c r="J7291" t="s">
        <v>245</v>
      </c>
      <c r="K7291" t="s">
        <v>33</v>
      </c>
      <c r="L7291" t="s">
        <v>70</v>
      </c>
      <c r="N7291" t="s">
        <v>29</v>
      </c>
    </row>
    <row r="7292" spans="1:14">
      <c r="A7292" s="4" t="str">
        <f t="shared" si="673"/>
        <v>EXP00254</v>
      </c>
      <c r="B7292" s="4" t="str">
        <f t="shared" si="674"/>
        <v>25315964</v>
      </c>
      <c r="C7292" s="4" t="str">
        <f t="shared" si="675"/>
        <v>GSE63119</v>
      </c>
      <c r="D7292" s="1" t="s">
        <v>331</v>
      </c>
      <c r="E7292" t="s">
        <v>357</v>
      </c>
      <c r="F7292" s="1">
        <v>2</v>
      </c>
      <c r="G7292" s="1" t="s">
        <v>32</v>
      </c>
      <c r="H7292" s="4" t="str">
        <f>HYPERLINK("https://www.ncbi.nlm.nih.gov/geo/query/acc.cgi?acc=GSM1541648","GSM1541648")</f>
        <v>GSM1541648</v>
      </c>
      <c r="I7292" t="s">
        <v>69</v>
      </c>
      <c r="J7292" t="s">
        <v>245</v>
      </c>
      <c r="K7292" t="s">
        <v>33</v>
      </c>
      <c r="L7292" t="s">
        <v>70</v>
      </c>
      <c r="N7292" t="s">
        <v>29</v>
      </c>
    </row>
    <row r="7293" spans="1:14">
      <c r="A7293" s="4" t="str">
        <f t="shared" si="673"/>
        <v>EXP00254</v>
      </c>
      <c r="B7293" s="4" t="str">
        <f t="shared" si="674"/>
        <v>25315964</v>
      </c>
      <c r="C7293" s="4" t="str">
        <f t="shared" si="675"/>
        <v>GSE63119</v>
      </c>
      <c r="D7293" s="1" t="s">
        <v>331</v>
      </c>
      <c r="E7293" t="s">
        <v>357</v>
      </c>
      <c r="F7293" s="1">
        <v>2</v>
      </c>
      <c r="G7293" s="1" t="s">
        <v>32</v>
      </c>
      <c r="H7293" s="4" t="str">
        <f>HYPERLINK("https://www.ncbi.nlm.nih.gov/geo/query/acc.cgi?acc=GSM1541657","GSM1541657")</f>
        <v>GSM1541657</v>
      </c>
      <c r="I7293" t="s">
        <v>69</v>
      </c>
      <c r="J7293" t="s">
        <v>245</v>
      </c>
      <c r="K7293" t="s">
        <v>33</v>
      </c>
      <c r="L7293" t="s">
        <v>70</v>
      </c>
      <c r="N7293" t="s">
        <v>29</v>
      </c>
    </row>
    <row r="7294" spans="1:14">
      <c r="A7294" s="4" t="str">
        <f t="shared" si="673"/>
        <v>EXP00254</v>
      </c>
      <c r="B7294" s="4" t="str">
        <f t="shared" si="674"/>
        <v>25315964</v>
      </c>
      <c r="C7294" s="4" t="str">
        <f t="shared" si="675"/>
        <v>GSE63119</v>
      </c>
      <c r="D7294" s="1" t="s">
        <v>331</v>
      </c>
      <c r="E7294" t="s">
        <v>357</v>
      </c>
      <c r="F7294" s="1">
        <v>2</v>
      </c>
      <c r="G7294" s="1" t="s">
        <v>32</v>
      </c>
      <c r="H7294" s="4" t="str">
        <f>HYPERLINK("https://www.ncbi.nlm.nih.gov/geo/query/acc.cgi?acc=GSM1541660","GSM1541660")</f>
        <v>GSM1541660</v>
      </c>
      <c r="I7294" t="s">
        <v>69</v>
      </c>
      <c r="J7294" t="s">
        <v>245</v>
      </c>
      <c r="K7294" t="s">
        <v>33</v>
      </c>
      <c r="L7294" t="s">
        <v>70</v>
      </c>
      <c r="N7294" t="s">
        <v>29</v>
      </c>
    </row>
    <row r="7295" spans="1:14">
      <c r="A7295" s="4" t="str">
        <f t="shared" si="673"/>
        <v>EXP00254</v>
      </c>
      <c r="B7295" s="4" t="str">
        <f t="shared" si="674"/>
        <v>25315964</v>
      </c>
      <c r="C7295" s="4" t="str">
        <f t="shared" si="675"/>
        <v>GSE63119</v>
      </c>
      <c r="D7295" s="1" t="s">
        <v>331</v>
      </c>
      <c r="E7295" t="s">
        <v>357</v>
      </c>
      <c r="F7295" s="1">
        <v>2</v>
      </c>
      <c r="G7295" s="1" t="s">
        <v>32</v>
      </c>
      <c r="H7295" s="4" t="str">
        <f>HYPERLINK("https://www.ncbi.nlm.nih.gov/geo/query/acc.cgi?acc=GSM1541661","GSM1541661")</f>
        <v>GSM1541661</v>
      </c>
      <c r="I7295" t="s">
        <v>69</v>
      </c>
      <c r="J7295" t="s">
        <v>245</v>
      </c>
      <c r="K7295" t="s">
        <v>33</v>
      </c>
      <c r="L7295" t="s">
        <v>70</v>
      </c>
      <c r="N7295" t="s">
        <v>29</v>
      </c>
    </row>
    <row r="7296" spans="1:14">
      <c r="A7296" s="4" t="str">
        <f t="shared" si="673"/>
        <v>EXP00254</v>
      </c>
      <c r="B7296" s="4" t="str">
        <f t="shared" si="674"/>
        <v>25315964</v>
      </c>
      <c r="C7296" s="4" t="str">
        <f t="shared" si="675"/>
        <v>GSE63119</v>
      </c>
      <c r="D7296" s="1" t="s">
        <v>331</v>
      </c>
      <c r="E7296" t="s">
        <v>357</v>
      </c>
      <c r="F7296" s="1">
        <v>2</v>
      </c>
      <c r="G7296" s="1" t="s">
        <v>32</v>
      </c>
      <c r="H7296" s="4" t="str">
        <f>HYPERLINK("https://www.ncbi.nlm.nih.gov/geo/query/acc.cgi?acc=GSM1541663","GSM1541663")</f>
        <v>GSM1541663</v>
      </c>
      <c r="I7296" t="s">
        <v>69</v>
      </c>
      <c r="J7296" t="s">
        <v>245</v>
      </c>
      <c r="K7296" t="s">
        <v>33</v>
      </c>
      <c r="L7296" t="s">
        <v>70</v>
      </c>
      <c r="N7296" t="s">
        <v>29</v>
      </c>
    </row>
    <row r="7297" spans="1:14">
      <c r="A7297" s="4" t="str">
        <f t="shared" si="673"/>
        <v>EXP00254</v>
      </c>
      <c r="B7297" s="4" t="str">
        <f t="shared" si="674"/>
        <v>25315964</v>
      </c>
      <c r="C7297" s="4" t="str">
        <f t="shared" si="675"/>
        <v>GSE63119</v>
      </c>
      <c r="D7297" s="1" t="s">
        <v>331</v>
      </c>
      <c r="E7297" t="s">
        <v>357</v>
      </c>
      <c r="F7297" s="1">
        <v>2</v>
      </c>
      <c r="G7297" s="1" t="s">
        <v>32</v>
      </c>
      <c r="H7297" s="4" t="str">
        <f>HYPERLINK("https://www.ncbi.nlm.nih.gov/geo/query/acc.cgi?acc=GSM1541664","GSM1541664")</f>
        <v>GSM1541664</v>
      </c>
      <c r="I7297" t="s">
        <v>69</v>
      </c>
      <c r="J7297" t="s">
        <v>245</v>
      </c>
      <c r="K7297" t="s">
        <v>33</v>
      </c>
      <c r="L7297" t="s">
        <v>70</v>
      </c>
      <c r="N7297" t="s">
        <v>29</v>
      </c>
    </row>
    <row r="7298" spans="1:14">
      <c r="A7298" s="4" t="str">
        <f t="shared" si="673"/>
        <v>EXP00254</v>
      </c>
      <c r="B7298" s="4" t="str">
        <f t="shared" si="674"/>
        <v>25315964</v>
      </c>
      <c r="C7298" s="4" t="str">
        <f t="shared" si="675"/>
        <v>GSE63119</v>
      </c>
      <c r="D7298" s="1" t="s">
        <v>331</v>
      </c>
      <c r="E7298" t="s">
        <v>357</v>
      </c>
      <c r="F7298" s="1">
        <v>2</v>
      </c>
      <c r="G7298" s="1" t="s">
        <v>32</v>
      </c>
      <c r="H7298" s="4" t="str">
        <f>HYPERLINK("https://www.ncbi.nlm.nih.gov/geo/query/acc.cgi?acc=GSM1541666","GSM1541666")</f>
        <v>GSM1541666</v>
      </c>
      <c r="I7298" t="s">
        <v>69</v>
      </c>
      <c r="J7298" t="s">
        <v>245</v>
      </c>
      <c r="K7298" t="s">
        <v>33</v>
      </c>
      <c r="L7298" t="s">
        <v>70</v>
      </c>
      <c r="N7298" t="s">
        <v>29</v>
      </c>
    </row>
    <row r="7299" spans="1:14">
      <c r="A7299" s="4" t="str">
        <f t="shared" si="673"/>
        <v>EXP00254</v>
      </c>
      <c r="B7299" s="4" t="str">
        <f t="shared" si="674"/>
        <v>25315964</v>
      </c>
      <c r="C7299" s="4" t="str">
        <f t="shared" si="675"/>
        <v>GSE63119</v>
      </c>
      <c r="D7299" s="1" t="s">
        <v>331</v>
      </c>
      <c r="E7299" t="s">
        <v>357</v>
      </c>
      <c r="F7299" s="1">
        <v>2</v>
      </c>
      <c r="G7299" s="1" t="s">
        <v>32</v>
      </c>
      <c r="H7299" s="4" t="str">
        <f>HYPERLINK("https://www.ncbi.nlm.nih.gov/geo/query/acc.cgi?acc=GSM1541668","GSM1541668")</f>
        <v>GSM1541668</v>
      </c>
      <c r="I7299" t="s">
        <v>69</v>
      </c>
      <c r="J7299" t="s">
        <v>245</v>
      </c>
      <c r="K7299" t="s">
        <v>33</v>
      </c>
      <c r="L7299" t="s">
        <v>70</v>
      </c>
      <c r="N7299" t="s">
        <v>29</v>
      </c>
    </row>
    <row r="7300" spans="1:14">
      <c r="A7300" s="4" t="str">
        <f t="shared" si="673"/>
        <v>EXP00254</v>
      </c>
      <c r="B7300" s="4" t="str">
        <f t="shared" si="674"/>
        <v>25315964</v>
      </c>
      <c r="C7300" s="4" t="str">
        <f t="shared" si="675"/>
        <v>GSE63119</v>
      </c>
      <c r="D7300" s="1" t="s">
        <v>331</v>
      </c>
      <c r="E7300" t="s">
        <v>357</v>
      </c>
      <c r="F7300" s="1">
        <v>2</v>
      </c>
      <c r="G7300" s="1" t="s">
        <v>32</v>
      </c>
      <c r="H7300" s="4" t="str">
        <f>HYPERLINK("https://www.ncbi.nlm.nih.gov/geo/query/acc.cgi?acc=GSM1541669","GSM1541669")</f>
        <v>GSM1541669</v>
      </c>
      <c r="I7300" t="s">
        <v>69</v>
      </c>
      <c r="J7300" t="s">
        <v>245</v>
      </c>
      <c r="K7300" t="s">
        <v>33</v>
      </c>
      <c r="L7300" t="s">
        <v>70</v>
      </c>
      <c r="N7300" t="s">
        <v>29</v>
      </c>
    </row>
    <row r="7301" spans="1:14">
      <c r="A7301" s="4" t="str">
        <f t="shared" si="673"/>
        <v>EXP00254</v>
      </c>
      <c r="B7301" s="4" t="str">
        <f t="shared" si="674"/>
        <v>25315964</v>
      </c>
      <c r="C7301" s="4" t="str">
        <f t="shared" si="675"/>
        <v>GSE63119</v>
      </c>
      <c r="D7301" s="1" t="s">
        <v>331</v>
      </c>
      <c r="E7301" t="s">
        <v>357</v>
      </c>
      <c r="F7301" s="1">
        <v>2</v>
      </c>
      <c r="G7301" s="1" t="s">
        <v>32</v>
      </c>
      <c r="H7301" s="4" t="str">
        <f>HYPERLINK("https://www.ncbi.nlm.nih.gov/geo/query/acc.cgi?acc=GSM1541670","GSM1541670")</f>
        <v>GSM1541670</v>
      </c>
      <c r="I7301" t="s">
        <v>69</v>
      </c>
      <c r="J7301" t="s">
        <v>245</v>
      </c>
      <c r="K7301" t="s">
        <v>33</v>
      </c>
      <c r="L7301" t="s">
        <v>70</v>
      </c>
      <c r="N7301" t="s">
        <v>29</v>
      </c>
    </row>
    <row r="7302" spans="1:14">
      <c r="A7302" s="4" t="str">
        <f t="shared" si="673"/>
        <v>EXP00254</v>
      </c>
      <c r="B7302" s="4" t="str">
        <f t="shared" si="674"/>
        <v>25315964</v>
      </c>
      <c r="C7302" s="4" t="str">
        <f t="shared" si="675"/>
        <v>GSE63119</v>
      </c>
      <c r="D7302" s="1" t="s">
        <v>331</v>
      </c>
      <c r="E7302" t="s">
        <v>357</v>
      </c>
      <c r="F7302" s="1">
        <v>2</v>
      </c>
      <c r="G7302" s="1" t="s">
        <v>32</v>
      </c>
      <c r="H7302" s="4" t="str">
        <f>HYPERLINK("https://www.ncbi.nlm.nih.gov/geo/query/acc.cgi?acc=GSM1541673","GSM1541673")</f>
        <v>GSM1541673</v>
      </c>
      <c r="I7302" t="s">
        <v>69</v>
      </c>
      <c r="J7302" t="s">
        <v>245</v>
      </c>
      <c r="K7302" t="s">
        <v>33</v>
      </c>
      <c r="L7302" t="s">
        <v>70</v>
      </c>
      <c r="N7302" t="s">
        <v>29</v>
      </c>
    </row>
    <row r="7303" spans="1:14">
      <c r="A7303" s="4" t="str">
        <f t="shared" si="673"/>
        <v>EXP00254</v>
      </c>
      <c r="B7303" s="4" t="str">
        <f t="shared" si="674"/>
        <v>25315964</v>
      </c>
      <c r="C7303" s="4" t="str">
        <f t="shared" si="675"/>
        <v>GSE63119</v>
      </c>
      <c r="D7303" s="1" t="s">
        <v>331</v>
      </c>
      <c r="E7303" t="s">
        <v>357</v>
      </c>
      <c r="F7303" s="1">
        <v>2</v>
      </c>
      <c r="G7303" s="1" t="s">
        <v>32</v>
      </c>
      <c r="H7303" s="4" t="str">
        <f>HYPERLINK("https://www.ncbi.nlm.nih.gov/geo/query/acc.cgi?acc=GSM1541675","GSM1541675")</f>
        <v>GSM1541675</v>
      </c>
      <c r="I7303" t="s">
        <v>69</v>
      </c>
      <c r="J7303" t="s">
        <v>245</v>
      </c>
      <c r="K7303" t="s">
        <v>33</v>
      </c>
      <c r="L7303" t="s">
        <v>70</v>
      </c>
      <c r="N7303" t="s">
        <v>29</v>
      </c>
    </row>
    <row r="7304" spans="1:14">
      <c r="A7304" s="4" t="str">
        <f t="shared" ref="A7304:A7315" si="676">HYPERLINK("http://hcmdb.i-sanger.com/experiment/details/experiment_id/EXP00255","EXP00255")</f>
        <v>EXP00255</v>
      </c>
      <c r="B7304" s="3" t="s">
        <v>66</v>
      </c>
      <c r="C7304" s="4" t="str">
        <f t="shared" ref="C7304:C7343" si="677">HYPERLINK("https://www.ncbi.nlm.nih.gov/geo/query/acc.cgi?acc=GSE63124","GSE63124")</f>
        <v>GSE63124</v>
      </c>
      <c r="D7304" s="1" t="s">
        <v>331</v>
      </c>
      <c r="E7304" t="s">
        <v>358</v>
      </c>
      <c r="F7304" s="1">
        <v>1</v>
      </c>
      <c r="G7304" s="1" t="s">
        <v>26</v>
      </c>
      <c r="H7304" s="4" t="str">
        <f>HYPERLINK("https://www.ncbi.nlm.nih.gov/geo/query/acc.cgi?acc=GSM1541796","GSM1541796")</f>
        <v>GSM1541796</v>
      </c>
      <c r="I7304" t="s">
        <v>111</v>
      </c>
      <c r="J7304" t="s">
        <v>18</v>
      </c>
      <c r="K7304" t="s">
        <v>19</v>
      </c>
      <c r="L7304" t="s">
        <v>113</v>
      </c>
      <c r="M7304" t="s">
        <v>41</v>
      </c>
      <c r="N7304" t="s">
        <v>22</v>
      </c>
    </row>
    <row r="7305" spans="1:14">
      <c r="A7305" s="4" t="str">
        <f t="shared" si="676"/>
        <v>EXP00255</v>
      </c>
      <c r="B7305" s="3" t="s">
        <v>66</v>
      </c>
      <c r="C7305" s="4" t="str">
        <f t="shared" si="677"/>
        <v>GSE63124</v>
      </c>
      <c r="D7305" s="1" t="s">
        <v>331</v>
      </c>
      <c r="E7305" t="s">
        <v>358</v>
      </c>
      <c r="F7305" s="1">
        <v>1</v>
      </c>
      <c r="G7305" s="1" t="s">
        <v>26</v>
      </c>
      <c r="H7305" s="4" t="str">
        <f>HYPERLINK("https://www.ncbi.nlm.nih.gov/geo/query/acc.cgi?acc=GSM1541797","GSM1541797")</f>
        <v>GSM1541797</v>
      </c>
      <c r="I7305" t="s">
        <v>111</v>
      </c>
      <c r="J7305" t="s">
        <v>18</v>
      </c>
      <c r="K7305" t="s">
        <v>19</v>
      </c>
      <c r="L7305" t="s">
        <v>113</v>
      </c>
      <c r="M7305" t="s">
        <v>41</v>
      </c>
      <c r="N7305" t="s">
        <v>22</v>
      </c>
    </row>
    <row r="7306" spans="1:14">
      <c r="A7306" s="4" t="str">
        <f t="shared" si="676"/>
        <v>EXP00255</v>
      </c>
      <c r="B7306" s="3" t="s">
        <v>66</v>
      </c>
      <c r="C7306" s="4" t="str">
        <f t="shared" si="677"/>
        <v>GSE63124</v>
      </c>
      <c r="D7306" s="1" t="s">
        <v>331</v>
      </c>
      <c r="E7306" t="s">
        <v>358</v>
      </c>
      <c r="F7306" s="1">
        <v>1</v>
      </c>
      <c r="G7306" s="1" t="s">
        <v>26</v>
      </c>
      <c r="H7306" s="4" t="str">
        <f>HYPERLINK("https://www.ncbi.nlm.nih.gov/geo/query/acc.cgi?acc=GSM2131248","GSM2131248")</f>
        <v>GSM2131248</v>
      </c>
      <c r="I7306" t="s">
        <v>111</v>
      </c>
      <c r="J7306" t="s">
        <v>18</v>
      </c>
      <c r="K7306" t="s">
        <v>19</v>
      </c>
      <c r="L7306" t="s">
        <v>113</v>
      </c>
      <c r="M7306" t="s">
        <v>41</v>
      </c>
      <c r="N7306" t="s">
        <v>22</v>
      </c>
    </row>
    <row r="7307" spans="1:14">
      <c r="A7307" s="4" t="str">
        <f t="shared" si="676"/>
        <v>EXP00255</v>
      </c>
      <c r="B7307" s="3" t="s">
        <v>66</v>
      </c>
      <c r="C7307" s="4" t="str">
        <f t="shared" si="677"/>
        <v>GSE63124</v>
      </c>
      <c r="D7307" s="1" t="s">
        <v>331</v>
      </c>
      <c r="E7307" t="s">
        <v>358</v>
      </c>
      <c r="F7307" s="1">
        <v>1</v>
      </c>
      <c r="G7307" s="1" t="s">
        <v>26</v>
      </c>
      <c r="H7307" s="4" t="str">
        <f>HYPERLINK("https://www.ncbi.nlm.nih.gov/geo/query/acc.cgi?acc=GSM2131249","GSM2131249")</f>
        <v>GSM2131249</v>
      </c>
      <c r="I7307" t="s">
        <v>111</v>
      </c>
      <c r="J7307" t="s">
        <v>18</v>
      </c>
      <c r="K7307" t="s">
        <v>19</v>
      </c>
      <c r="L7307" t="s">
        <v>113</v>
      </c>
      <c r="M7307" t="s">
        <v>41</v>
      </c>
      <c r="N7307" t="s">
        <v>22</v>
      </c>
    </row>
    <row r="7308" spans="1:14">
      <c r="A7308" s="4" t="str">
        <f t="shared" si="676"/>
        <v>EXP00255</v>
      </c>
      <c r="B7308" s="3" t="s">
        <v>66</v>
      </c>
      <c r="C7308" s="4" t="str">
        <f t="shared" si="677"/>
        <v>GSE63124</v>
      </c>
      <c r="D7308" s="1" t="s">
        <v>331</v>
      </c>
      <c r="E7308" t="s">
        <v>358</v>
      </c>
      <c r="F7308" s="1">
        <v>1</v>
      </c>
      <c r="G7308" s="1" t="s">
        <v>26</v>
      </c>
      <c r="H7308" s="4" t="str">
        <f>HYPERLINK("https://www.ncbi.nlm.nih.gov/geo/query/acc.cgi?acc=GSM2131250","GSM2131250")</f>
        <v>GSM2131250</v>
      </c>
      <c r="I7308" t="s">
        <v>111</v>
      </c>
      <c r="J7308" t="s">
        <v>18</v>
      </c>
      <c r="K7308" t="s">
        <v>19</v>
      </c>
      <c r="L7308" t="s">
        <v>113</v>
      </c>
      <c r="M7308" t="s">
        <v>41</v>
      </c>
      <c r="N7308" t="s">
        <v>22</v>
      </c>
    </row>
    <row r="7309" spans="1:14">
      <c r="A7309" s="4" t="str">
        <f t="shared" si="676"/>
        <v>EXP00255</v>
      </c>
      <c r="B7309" s="3" t="s">
        <v>66</v>
      </c>
      <c r="C7309" s="4" t="str">
        <f t="shared" si="677"/>
        <v>GSE63124</v>
      </c>
      <c r="D7309" s="1" t="s">
        <v>331</v>
      </c>
      <c r="E7309" t="s">
        <v>358</v>
      </c>
      <c r="F7309" s="1">
        <v>1</v>
      </c>
      <c r="G7309" s="1" t="s">
        <v>26</v>
      </c>
      <c r="H7309" s="4" t="str">
        <f>HYPERLINK("https://www.ncbi.nlm.nih.gov/geo/query/acc.cgi?acc=GSM2131251","GSM2131251")</f>
        <v>GSM2131251</v>
      </c>
      <c r="I7309" t="s">
        <v>111</v>
      </c>
      <c r="J7309" t="s">
        <v>18</v>
      </c>
      <c r="K7309" t="s">
        <v>19</v>
      </c>
      <c r="L7309" t="s">
        <v>113</v>
      </c>
      <c r="M7309" t="s">
        <v>41</v>
      </c>
      <c r="N7309" t="s">
        <v>22</v>
      </c>
    </row>
    <row r="7310" spans="1:14">
      <c r="A7310" s="4" t="str">
        <f t="shared" si="676"/>
        <v>EXP00255</v>
      </c>
      <c r="B7310" s="3" t="s">
        <v>66</v>
      </c>
      <c r="C7310" s="4" t="str">
        <f t="shared" si="677"/>
        <v>GSE63124</v>
      </c>
      <c r="D7310" s="1" t="s">
        <v>331</v>
      </c>
      <c r="E7310" t="s">
        <v>358</v>
      </c>
      <c r="F7310" s="1">
        <v>1</v>
      </c>
      <c r="G7310" s="1" t="s">
        <v>26</v>
      </c>
      <c r="H7310" s="4" t="str">
        <f>HYPERLINK("https://www.ncbi.nlm.nih.gov/geo/query/acc.cgi?acc=GSM2131256","GSM2131256")</f>
        <v>GSM2131256</v>
      </c>
      <c r="I7310" t="s">
        <v>111</v>
      </c>
      <c r="J7310" t="s">
        <v>18</v>
      </c>
      <c r="K7310" t="s">
        <v>19</v>
      </c>
      <c r="L7310" t="s">
        <v>113</v>
      </c>
      <c r="M7310" t="s">
        <v>41</v>
      </c>
      <c r="N7310" t="s">
        <v>22</v>
      </c>
    </row>
    <row r="7311" spans="1:14">
      <c r="A7311" s="4" t="str">
        <f t="shared" si="676"/>
        <v>EXP00255</v>
      </c>
      <c r="B7311" s="3" t="s">
        <v>66</v>
      </c>
      <c r="C7311" s="4" t="str">
        <f t="shared" si="677"/>
        <v>GSE63124</v>
      </c>
      <c r="D7311" s="1" t="s">
        <v>331</v>
      </c>
      <c r="E7311" t="s">
        <v>358</v>
      </c>
      <c r="F7311" s="1">
        <v>1</v>
      </c>
      <c r="G7311" s="1" t="s">
        <v>26</v>
      </c>
      <c r="H7311" s="4" t="str">
        <f>HYPERLINK("https://www.ncbi.nlm.nih.gov/geo/query/acc.cgi?acc=GSM2131257","GSM2131257")</f>
        <v>GSM2131257</v>
      </c>
      <c r="I7311" t="s">
        <v>111</v>
      </c>
      <c r="J7311" t="s">
        <v>18</v>
      </c>
      <c r="K7311" t="s">
        <v>19</v>
      </c>
      <c r="L7311" t="s">
        <v>113</v>
      </c>
      <c r="M7311" t="s">
        <v>41</v>
      </c>
      <c r="N7311" t="s">
        <v>22</v>
      </c>
    </row>
    <row r="7312" spans="1:14">
      <c r="A7312" s="4" t="str">
        <f t="shared" si="676"/>
        <v>EXP00255</v>
      </c>
      <c r="B7312" s="3" t="s">
        <v>66</v>
      </c>
      <c r="C7312" s="4" t="str">
        <f t="shared" si="677"/>
        <v>GSE63124</v>
      </c>
      <c r="D7312" s="1" t="s">
        <v>331</v>
      </c>
      <c r="E7312" t="s">
        <v>358</v>
      </c>
      <c r="F7312" s="1">
        <v>2</v>
      </c>
      <c r="G7312" s="1" t="s">
        <v>28</v>
      </c>
      <c r="H7312" s="4" t="str">
        <f>HYPERLINK("https://www.ncbi.nlm.nih.gov/geo/query/acc.cgi?acc=GSM2131252","GSM2131252")</f>
        <v>GSM2131252</v>
      </c>
      <c r="I7312" t="s">
        <v>111</v>
      </c>
      <c r="J7312" t="s">
        <v>18</v>
      </c>
      <c r="K7312" t="s">
        <v>19</v>
      </c>
      <c r="L7312" t="s">
        <v>113</v>
      </c>
      <c r="M7312" t="s">
        <v>41</v>
      </c>
      <c r="N7312" t="s">
        <v>29</v>
      </c>
    </row>
    <row r="7313" spans="1:14">
      <c r="A7313" s="4" t="str">
        <f t="shared" si="676"/>
        <v>EXP00255</v>
      </c>
      <c r="B7313" s="3" t="s">
        <v>66</v>
      </c>
      <c r="C7313" s="4" t="str">
        <f t="shared" si="677"/>
        <v>GSE63124</v>
      </c>
      <c r="D7313" s="1" t="s">
        <v>331</v>
      </c>
      <c r="E7313" t="s">
        <v>358</v>
      </c>
      <c r="F7313" s="1">
        <v>2</v>
      </c>
      <c r="G7313" s="1" t="s">
        <v>28</v>
      </c>
      <c r="H7313" s="4" t="str">
        <f>HYPERLINK("https://www.ncbi.nlm.nih.gov/geo/query/acc.cgi?acc=GSM2131253","GSM2131253")</f>
        <v>GSM2131253</v>
      </c>
      <c r="I7313" t="s">
        <v>111</v>
      </c>
      <c r="J7313" t="s">
        <v>18</v>
      </c>
      <c r="K7313" t="s">
        <v>19</v>
      </c>
      <c r="L7313" t="s">
        <v>113</v>
      </c>
      <c r="M7313" t="s">
        <v>41</v>
      </c>
      <c r="N7313" t="s">
        <v>29</v>
      </c>
    </row>
    <row r="7314" spans="1:14">
      <c r="A7314" s="4" t="str">
        <f t="shared" si="676"/>
        <v>EXP00255</v>
      </c>
      <c r="B7314" s="3" t="s">
        <v>66</v>
      </c>
      <c r="C7314" s="4" t="str">
        <f t="shared" si="677"/>
        <v>GSE63124</v>
      </c>
      <c r="D7314" s="1" t="s">
        <v>331</v>
      </c>
      <c r="E7314" t="s">
        <v>358</v>
      </c>
      <c r="F7314" s="1">
        <v>2</v>
      </c>
      <c r="G7314" s="1" t="s">
        <v>28</v>
      </c>
      <c r="H7314" s="4" t="str">
        <f>HYPERLINK("https://www.ncbi.nlm.nih.gov/geo/query/acc.cgi?acc=GSM2131254","GSM2131254")</f>
        <v>GSM2131254</v>
      </c>
      <c r="I7314" t="s">
        <v>111</v>
      </c>
      <c r="J7314" t="s">
        <v>18</v>
      </c>
      <c r="K7314" t="s">
        <v>19</v>
      </c>
      <c r="L7314" t="s">
        <v>113</v>
      </c>
      <c r="M7314" t="s">
        <v>41</v>
      </c>
      <c r="N7314" t="s">
        <v>29</v>
      </c>
    </row>
    <row r="7315" spans="1:14">
      <c r="A7315" s="4" t="str">
        <f t="shared" si="676"/>
        <v>EXP00255</v>
      </c>
      <c r="B7315" s="3" t="s">
        <v>66</v>
      </c>
      <c r="C7315" s="4" t="str">
        <f t="shared" si="677"/>
        <v>GSE63124</v>
      </c>
      <c r="D7315" s="1" t="s">
        <v>331</v>
      </c>
      <c r="E7315" t="s">
        <v>358</v>
      </c>
      <c r="F7315" s="1">
        <v>2</v>
      </c>
      <c r="G7315" s="1" t="s">
        <v>28</v>
      </c>
      <c r="H7315" s="4" t="str">
        <f>HYPERLINK("https://www.ncbi.nlm.nih.gov/geo/query/acc.cgi?acc=GSM2131255","GSM2131255")</f>
        <v>GSM2131255</v>
      </c>
      <c r="I7315" t="s">
        <v>111</v>
      </c>
      <c r="J7315" t="s">
        <v>18</v>
      </c>
      <c r="K7315" t="s">
        <v>19</v>
      </c>
      <c r="L7315" t="s">
        <v>113</v>
      </c>
      <c r="M7315" t="s">
        <v>41</v>
      </c>
      <c r="N7315" t="s">
        <v>29</v>
      </c>
    </row>
    <row r="7316" spans="1:14">
      <c r="A7316" s="4" t="str">
        <f t="shared" ref="A7316:A7327" si="678">HYPERLINK("http://hcmdb.i-sanger.com/experiment/details/experiment_id/EXP00256","EXP00256")</f>
        <v>EXP00256</v>
      </c>
      <c r="B7316" s="3" t="s">
        <v>66</v>
      </c>
      <c r="C7316" s="4" t="str">
        <f t="shared" si="677"/>
        <v>GSE63124</v>
      </c>
      <c r="D7316" s="1" t="s">
        <v>331</v>
      </c>
      <c r="E7316" t="s">
        <v>215</v>
      </c>
      <c r="F7316" s="1">
        <v>1</v>
      </c>
      <c r="G7316" s="1" t="s">
        <v>218</v>
      </c>
      <c r="H7316" s="4" t="str">
        <f>HYPERLINK("https://www.ncbi.nlm.nih.gov/geo/query/acc.cgi?acc=GSM2131242","GSM2131242")</f>
        <v>GSM2131242</v>
      </c>
      <c r="I7316" t="s">
        <v>111</v>
      </c>
      <c r="J7316" t="s">
        <v>18</v>
      </c>
      <c r="K7316" t="s">
        <v>19</v>
      </c>
      <c r="L7316" t="s">
        <v>113</v>
      </c>
      <c r="M7316" t="s">
        <v>44</v>
      </c>
      <c r="N7316" t="s">
        <v>22</v>
      </c>
    </row>
    <row r="7317" spans="1:14">
      <c r="A7317" s="4" t="str">
        <f t="shared" si="678"/>
        <v>EXP00256</v>
      </c>
      <c r="B7317" s="3" t="s">
        <v>66</v>
      </c>
      <c r="C7317" s="4" t="str">
        <f t="shared" si="677"/>
        <v>GSE63124</v>
      </c>
      <c r="D7317" s="1" t="s">
        <v>331</v>
      </c>
      <c r="E7317" t="s">
        <v>215</v>
      </c>
      <c r="F7317" s="1">
        <v>1</v>
      </c>
      <c r="G7317" s="1" t="s">
        <v>218</v>
      </c>
      <c r="H7317" s="4" t="str">
        <f>HYPERLINK("https://www.ncbi.nlm.nih.gov/geo/query/acc.cgi?acc=GSM2131243","GSM2131243")</f>
        <v>GSM2131243</v>
      </c>
      <c r="I7317" t="s">
        <v>111</v>
      </c>
      <c r="J7317" t="s">
        <v>18</v>
      </c>
      <c r="K7317" t="s">
        <v>19</v>
      </c>
      <c r="L7317" t="s">
        <v>113</v>
      </c>
      <c r="M7317" t="s">
        <v>44</v>
      </c>
      <c r="N7317" t="s">
        <v>22</v>
      </c>
    </row>
    <row r="7318" spans="1:14">
      <c r="A7318" s="4" t="str">
        <f t="shared" si="678"/>
        <v>EXP00256</v>
      </c>
      <c r="B7318" s="3" t="s">
        <v>66</v>
      </c>
      <c r="C7318" s="4" t="str">
        <f t="shared" si="677"/>
        <v>GSE63124</v>
      </c>
      <c r="D7318" s="1" t="s">
        <v>331</v>
      </c>
      <c r="E7318" t="s">
        <v>215</v>
      </c>
      <c r="F7318" s="1">
        <v>2</v>
      </c>
      <c r="G7318" s="1" t="s">
        <v>219</v>
      </c>
      <c r="H7318" s="4" t="str">
        <f>HYPERLINK("https://www.ncbi.nlm.nih.gov/geo/query/acc.cgi?acc=GSM1541796","GSM1541796")</f>
        <v>GSM1541796</v>
      </c>
      <c r="I7318" t="s">
        <v>111</v>
      </c>
      <c r="J7318" t="s">
        <v>18</v>
      </c>
      <c r="K7318" t="s">
        <v>19</v>
      </c>
      <c r="L7318" t="s">
        <v>113</v>
      </c>
      <c r="M7318" t="s">
        <v>41</v>
      </c>
      <c r="N7318" t="s">
        <v>22</v>
      </c>
    </row>
    <row r="7319" spans="1:14">
      <c r="A7319" s="4" t="str">
        <f t="shared" si="678"/>
        <v>EXP00256</v>
      </c>
      <c r="B7319" s="3" t="s">
        <v>66</v>
      </c>
      <c r="C7319" s="4" t="str">
        <f t="shared" si="677"/>
        <v>GSE63124</v>
      </c>
      <c r="D7319" s="1" t="s">
        <v>331</v>
      </c>
      <c r="E7319" t="s">
        <v>215</v>
      </c>
      <c r="F7319" s="1">
        <v>2</v>
      </c>
      <c r="G7319" s="1" t="s">
        <v>219</v>
      </c>
      <c r="H7319" s="4" t="str">
        <f>HYPERLINK("https://www.ncbi.nlm.nih.gov/geo/query/acc.cgi?acc=GSM1541797","GSM1541797")</f>
        <v>GSM1541797</v>
      </c>
      <c r="I7319" t="s">
        <v>111</v>
      </c>
      <c r="J7319" t="s">
        <v>18</v>
      </c>
      <c r="K7319" t="s">
        <v>19</v>
      </c>
      <c r="L7319" t="s">
        <v>113</v>
      </c>
      <c r="M7319" t="s">
        <v>41</v>
      </c>
      <c r="N7319" t="s">
        <v>22</v>
      </c>
    </row>
    <row r="7320" spans="1:14">
      <c r="A7320" s="4" t="str">
        <f t="shared" si="678"/>
        <v>EXP00256</v>
      </c>
      <c r="B7320" s="3" t="s">
        <v>66</v>
      </c>
      <c r="C7320" s="4" t="str">
        <f t="shared" si="677"/>
        <v>GSE63124</v>
      </c>
      <c r="D7320" s="1" t="s">
        <v>331</v>
      </c>
      <c r="E7320" t="s">
        <v>215</v>
      </c>
      <c r="F7320" s="1">
        <v>2</v>
      </c>
      <c r="G7320" s="1" t="s">
        <v>219</v>
      </c>
      <c r="H7320" s="4" t="str">
        <f>HYPERLINK("https://www.ncbi.nlm.nih.gov/geo/query/acc.cgi?acc=GSM2131248","GSM2131248")</f>
        <v>GSM2131248</v>
      </c>
      <c r="I7320" t="s">
        <v>111</v>
      </c>
      <c r="J7320" t="s">
        <v>18</v>
      </c>
      <c r="K7320" t="s">
        <v>19</v>
      </c>
      <c r="L7320" t="s">
        <v>113</v>
      </c>
      <c r="M7320" t="s">
        <v>41</v>
      </c>
      <c r="N7320" t="s">
        <v>22</v>
      </c>
    </row>
    <row r="7321" spans="1:14">
      <c r="A7321" s="4" t="str">
        <f t="shared" si="678"/>
        <v>EXP00256</v>
      </c>
      <c r="B7321" s="3" t="s">
        <v>66</v>
      </c>
      <c r="C7321" s="4" t="str">
        <f t="shared" si="677"/>
        <v>GSE63124</v>
      </c>
      <c r="D7321" s="1" t="s">
        <v>331</v>
      </c>
      <c r="E7321" t="s">
        <v>215</v>
      </c>
      <c r="F7321" s="1">
        <v>2</v>
      </c>
      <c r="G7321" s="1" t="s">
        <v>219</v>
      </c>
      <c r="H7321" s="4" t="str">
        <f>HYPERLINK("https://www.ncbi.nlm.nih.gov/geo/query/acc.cgi?acc=GSM2131249","GSM2131249")</f>
        <v>GSM2131249</v>
      </c>
      <c r="I7321" t="s">
        <v>111</v>
      </c>
      <c r="J7321" t="s">
        <v>18</v>
      </c>
      <c r="K7321" t="s">
        <v>19</v>
      </c>
      <c r="L7321" t="s">
        <v>113</v>
      </c>
      <c r="M7321" t="s">
        <v>41</v>
      </c>
      <c r="N7321" t="s">
        <v>22</v>
      </c>
    </row>
    <row r="7322" spans="1:14">
      <c r="A7322" s="4" t="str">
        <f t="shared" si="678"/>
        <v>EXP00256</v>
      </c>
      <c r="B7322" s="3" t="s">
        <v>66</v>
      </c>
      <c r="C7322" s="4" t="str">
        <f t="shared" si="677"/>
        <v>GSE63124</v>
      </c>
      <c r="D7322" s="1" t="s">
        <v>331</v>
      </c>
      <c r="E7322" t="s">
        <v>215</v>
      </c>
      <c r="F7322" s="1">
        <v>2</v>
      </c>
      <c r="G7322" s="1" t="s">
        <v>219</v>
      </c>
      <c r="H7322" s="4" t="str">
        <f>HYPERLINK("https://www.ncbi.nlm.nih.gov/geo/query/acc.cgi?acc=GSM2131250","GSM2131250")</f>
        <v>GSM2131250</v>
      </c>
      <c r="I7322" t="s">
        <v>111</v>
      </c>
      <c r="J7322" t="s">
        <v>18</v>
      </c>
      <c r="K7322" t="s">
        <v>19</v>
      </c>
      <c r="L7322" t="s">
        <v>113</v>
      </c>
      <c r="M7322" t="s">
        <v>41</v>
      </c>
      <c r="N7322" t="s">
        <v>22</v>
      </c>
    </row>
    <row r="7323" spans="1:14">
      <c r="A7323" s="4" t="str">
        <f t="shared" si="678"/>
        <v>EXP00256</v>
      </c>
      <c r="B7323" s="3" t="s">
        <v>66</v>
      </c>
      <c r="C7323" s="4" t="str">
        <f t="shared" si="677"/>
        <v>GSE63124</v>
      </c>
      <c r="D7323" s="1" t="s">
        <v>331</v>
      </c>
      <c r="E7323" t="s">
        <v>215</v>
      </c>
      <c r="F7323" s="1">
        <v>2</v>
      </c>
      <c r="G7323" s="1" t="s">
        <v>219</v>
      </c>
      <c r="H7323" s="4" t="str">
        <f>HYPERLINK("https://www.ncbi.nlm.nih.gov/geo/query/acc.cgi?acc=GSM2131251","GSM2131251")</f>
        <v>GSM2131251</v>
      </c>
      <c r="I7323" t="s">
        <v>111</v>
      </c>
      <c r="J7323" t="s">
        <v>18</v>
      </c>
      <c r="K7323" t="s">
        <v>19</v>
      </c>
      <c r="L7323" t="s">
        <v>113</v>
      </c>
      <c r="M7323" t="s">
        <v>41</v>
      </c>
      <c r="N7323" t="s">
        <v>22</v>
      </c>
    </row>
    <row r="7324" spans="1:14">
      <c r="A7324" s="4" t="str">
        <f t="shared" si="678"/>
        <v>EXP00256</v>
      </c>
      <c r="B7324" s="3" t="s">
        <v>66</v>
      </c>
      <c r="C7324" s="4" t="str">
        <f t="shared" si="677"/>
        <v>GSE63124</v>
      </c>
      <c r="D7324" s="1" t="s">
        <v>331</v>
      </c>
      <c r="E7324" t="s">
        <v>215</v>
      </c>
      <c r="F7324" s="1">
        <v>2</v>
      </c>
      <c r="G7324" s="1" t="s">
        <v>219</v>
      </c>
      <c r="H7324" s="4" t="str">
        <f>HYPERLINK("https://www.ncbi.nlm.nih.gov/geo/query/acc.cgi?acc=GSM2131256","GSM2131256")</f>
        <v>GSM2131256</v>
      </c>
      <c r="I7324" t="s">
        <v>111</v>
      </c>
      <c r="J7324" t="s">
        <v>18</v>
      </c>
      <c r="K7324" t="s">
        <v>19</v>
      </c>
      <c r="L7324" t="s">
        <v>113</v>
      </c>
      <c r="M7324" t="s">
        <v>41</v>
      </c>
      <c r="N7324" t="s">
        <v>22</v>
      </c>
    </row>
    <row r="7325" spans="1:14">
      <c r="A7325" s="4" t="str">
        <f t="shared" si="678"/>
        <v>EXP00256</v>
      </c>
      <c r="B7325" s="3" t="s">
        <v>66</v>
      </c>
      <c r="C7325" s="4" t="str">
        <f t="shared" si="677"/>
        <v>GSE63124</v>
      </c>
      <c r="D7325" s="1" t="s">
        <v>331</v>
      </c>
      <c r="E7325" t="s">
        <v>215</v>
      </c>
      <c r="F7325" s="1">
        <v>2</v>
      </c>
      <c r="G7325" s="1" t="s">
        <v>219</v>
      </c>
      <c r="H7325" s="4" t="str">
        <f>HYPERLINK("https://www.ncbi.nlm.nih.gov/geo/query/acc.cgi?acc=GSM2131257","GSM2131257")</f>
        <v>GSM2131257</v>
      </c>
      <c r="I7325" t="s">
        <v>111</v>
      </c>
      <c r="J7325" t="s">
        <v>18</v>
      </c>
      <c r="K7325" t="s">
        <v>19</v>
      </c>
      <c r="L7325" t="s">
        <v>113</v>
      </c>
      <c r="M7325" t="s">
        <v>41</v>
      </c>
      <c r="N7325" t="s">
        <v>22</v>
      </c>
    </row>
    <row r="7326" spans="1:14">
      <c r="A7326" s="4" t="str">
        <f t="shared" si="678"/>
        <v>EXP00256</v>
      </c>
      <c r="B7326" s="3" t="s">
        <v>66</v>
      </c>
      <c r="C7326" s="4" t="str">
        <f t="shared" si="677"/>
        <v>GSE63124</v>
      </c>
      <c r="D7326" s="1" t="s">
        <v>331</v>
      </c>
      <c r="E7326" t="s">
        <v>215</v>
      </c>
      <c r="F7326" s="1">
        <v>3</v>
      </c>
      <c r="G7326" s="1" t="s">
        <v>359</v>
      </c>
      <c r="H7326" s="4" t="str">
        <f>HYPERLINK("https://www.ncbi.nlm.nih.gov/geo/query/acc.cgi?acc=GSM1541792","GSM1541792")</f>
        <v>GSM1541792</v>
      </c>
      <c r="I7326" t="s">
        <v>111</v>
      </c>
      <c r="J7326" t="s">
        <v>18</v>
      </c>
      <c r="K7326" t="s">
        <v>19</v>
      </c>
      <c r="L7326" t="s">
        <v>113</v>
      </c>
      <c r="M7326" t="s">
        <v>292</v>
      </c>
      <c r="N7326" t="s">
        <v>22</v>
      </c>
    </row>
    <row r="7327" spans="1:14">
      <c r="A7327" s="4" t="str">
        <f t="shared" si="678"/>
        <v>EXP00256</v>
      </c>
      <c r="B7327" s="3" t="s">
        <v>66</v>
      </c>
      <c r="C7327" s="4" t="str">
        <f t="shared" si="677"/>
        <v>GSE63124</v>
      </c>
      <c r="D7327" s="1" t="s">
        <v>331</v>
      </c>
      <c r="E7327" t="s">
        <v>215</v>
      </c>
      <c r="F7327" s="1">
        <v>3</v>
      </c>
      <c r="G7327" s="1" t="s">
        <v>359</v>
      </c>
      <c r="H7327" s="4" t="str">
        <f>HYPERLINK("https://www.ncbi.nlm.nih.gov/geo/query/acc.cgi?acc=GSM1541793","GSM1541793")</f>
        <v>GSM1541793</v>
      </c>
      <c r="I7327" t="s">
        <v>111</v>
      </c>
      <c r="J7327" t="s">
        <v>18</v>
      </c>
      <c r="K7327" t="s">
        <v>19</v>
      </c>
      <c r="L7327" t="s">
        <v>113</v>
      </c>
      <c r="M7327" t="s">
        <v>292</v>
      </c>
      <c r="N7327" t="s">
        <v>22</v>
      </c>
    </row>
    <row r="7328" spans="1:14">
      <c r="A7328" s="4" t="str">
        <f t="shared" ref="A7328:A7343" si="679">HYPERLINK("http://hcmdb.i-sanger.com/experiment/details/experiment_id/EXP00257","EXP00257")</f>
        <v>EXP00257</v>
      </c>
      <c r="B7328" s="3" t="s">
        <v>66</v>
      </c>
      <c r="C7328" s="4" t="str">
        <f t="shared" si="677"/>
        <v>GSE63124</v>
      </c>
      <c r="D7328" s="1" t="s">
        <v>331</v>
      </c>
      <c r="E7328" t="s">
        <v>360</v>
      </c>
      <c r="F7328" s="1">
        <v>1</v>
      </c>
      <c r="G7328" s="1" t="s">
        <v>26</v>
      </c>
      <c r="H7328" s="4" t="str">
        <f>HYPERLINK("https://www.ncbi.nlm.nih.gov/geo/query/acc.cgi?acc=GSM1541792","GSM1541792")</f>
        <v>GSM1541792</v>
      </c>
      <c r="I7328" t="s">
        <v>111</v>
      </c>
      <c r="J7328" t="s">
        <v>18</v>
      </c>
      <c r="K7328" t="s">
        <v>19</v>
      </c>
      <c r="L7328" t="s">
        <v>113</v>
      </c>
      <c r="M7328" t="s">
        <v>292</v>
      </c>
      <c r="N7328" t="s">
        <v>22</v>
      </c>
    </row>
    <row r="7329" spans="1:14">
      <c r="A7329" s="4" t="str">
        <f t="shared" si="679"/>
        <v>EXP00257</v>
      </c>
      <c r="B7329" s="3" t="s">
        <v>66</v>
      </c>
      <c r="C7329" s="4" t="str">
        <f t="shared" si="677"/>
        <v>GSE63124</v>
      </c>
      <c r="D7329" s="1" t="s">
        <v>331</v>
      </c>
      <c r="E7329" t="s">
        <v>360</v>
      </c>
      <c r="F7329" s="1">
        <v>1</v>
      </c>
      <c r="G7329" s="1" t="s">
        <v>26</v>
      </c>
      <c r="H7329" s="4" t="str">
        <f>HYPERLINK("https://www.ncbi.nlm.nih.gov/geo/query/acc.cgi?acc=GSM1541793","GSM1541793")</f>
        <v>GSM1541793</v>
      </c>
      <c r="I7329" t="s">
        <v>111</v>
      </c>
      <c r="J7329" t="s">
        <v>18</v>
      </c>
      <c r="K7329" t="s">
        <v>19</v>
      </c>
      <c r="L7329" t="s">
        <v>113</v>
      </c>
      <c r="M7329" t="s">
        <v>292</v>
      </c>
      <c r="N7329" t="s">
        <v>22</v>
      </c>
    </row>
    <row r="7330" spans="1:14">
      <c r="A7330" s="4" t="str">
        <f t="shared" si="679"/>
        <v>EXP00257</v>
      </c>
      <c r="B7330" s="3" t="s">
        <v>66</v>
      </c>
      <c r="C7330" s="4" t="str">
        <f t="shared" si="677"/>
        <v>GSE63124</v>
      </c>
      <c r="D7330" s="1" t="s">
        <v>331</v>
      </c>
      <c r="E7330" t="s">
        <v>360</v>
      </c>
      <c r="F7330" s="1">
        <v>1</v>
      </c>
      <c r="G7330" s="1" t="s">
        <v>26</v>
      </c>
      <c r="H7330" s="4" t="str">
        <f>HYPERLINK("https://www.ncbi.nlm.nih.gov/geo/query/acc.cgi?acc=GSM1541796","GSM1541796")</f>
        <v>GSM1541796</v>
      </c>
      <c r="I7330" t="s">
        <v>111</v>
      </c>
      <c r="J7330" t="s">
        <v>18</v>
      </c>
      <c r="K7330" t="s">
        <v>19</v>
      </c>
      <c r="L7330" t="s">
        <v>113</v>
      </c>
      <c r="M7330" t="s">
        <v>41</v>
      </c>
      <c r="N7330" t="s">
        <v>22</v>
      </c>
    </row>
    <row r="7331" spans="1:14">
      <c r="A7331" s="4" t="str">
        <f t="shared" si="679"/>
        <v>EXP00257</v>
      </c>
      <c r="B7331" s="3" t="s">
        <v>66</v>
      </c>
      <c r="C7331" s="4" t="str">
        <f t="shared" si="677"/>
        <v>GSE63124</v>
      </c>
      <c r="D7331" s="1" t="s">
        <v>331</v>
      </c>
      <c r="E7331" t="s">
        <v>360</v>
      </c>
      <c r="F7331" s="1">
        <v>1</v>
      </c>
      <c r="G7331" s="1" t="s">
        <v>26</v>
      </c>
      <c r="H7331" s="4" t="str">
        <f>HYPERLINK("https://www.ncbi.nlm.nih.gov/geo/query/acc.cgi?acc=GSM1541797","GSM1541797")</f>
        <v>GSM1541797</v>
      </c>
      <c r="I7331" t="s">
        <v>111</v>
      </c>
      <c r="J7331" t="s">
        <v>18</v>
      </c>
      <c r="K7331" t="s">
        <v>19</v>
      </c>
      <c r="L7331" t="s">
        <v>113</v>
      </c>
      <c r="M7331" t="s">
        <v>41</v>
      </c>
      <c r="N7331" t="s">
        <v>22</v>
      </c>
    </row>
    <row r="7332" spans="1:14">
      <c r="A7332" s="4" t="str">
        <f t="shared" si="679"/>
        <v>EXP00257</v>
      </c>
      <c r="B7332" s="3" t="s">
        <v>66</v>
      </c>
      <c r="C7332" s="4" t="str">
        <f t="shared" si="677"/>
        <v>GSE63124</v>
      </c>
      <c r="D7332" s="1" t="s">
        <v>331</v>
      </c>
      <c r="E7332" t="s">
        <v>360</v>
      </c>
      <c r="F7332" s="1">
        <v>1</v>
      </c>
      <c r="G7332" s="1" t="s">
        <v>26</v>
      </c>
      <c r="H7332" s="4" t="str">
        <f>HYPERLINK("https://www.ncbi.nlm.nih.gov/geo/query/acc.cgi?acc=GSM2131242","GSM2131242")</f>
        <v>GSM2131242</v>
      </c>
      <c r="I7332" t="s">
        <v>111</v>
      </c>
      <c r="J7332" t="s">
        <v>18</v>
      </c>
      <c r="K7332" t="s">
        <v>19</v>
      </c>
      <c r="L7332" t="s">
        <v>113</v>
      </c>
      <c r="M7332" t="s">
        <v>44</v>
      </c>
      <c r="N7332" t="s">
        <v>22</v>
      </c>
    </row>
    <row r="7333" spans="1:14">
      <c r="A7333" s="4" t="str">
        <f t="shared" si="679"/>
        <v>EXP00257</v>
      </c>
      <c r="B7333" s="3" t="s">
        <v>66</v>
      </c>
      <c r="C7333" s="4" t="str">
        <f t="shared" si="677"/>
        <v>GSE63124</v>
      </c>
      <c r="D7333" s="1" t="s">
        <v>331</v>
      </c>
      <c r="E7333" t="s">
        <v>360</v>
      </c>
      <c r="F7333" s="1">
        <v>1</v>
      </c>
      <c r="G7333" s="1" t="s">
        <v>26</v>
      </c>
      <c r="H7333" s="4" t="str">
        <f>HYPERLINK("https://www.ncbi.nlm.nih.gov/geo/query/acc.cgi?acc=GSM2131243","GSM2131243")</f>
        <v>GSM2131243</v>
      </c>
      <c r="I7333" t="s">
        <v>111</v>
      </c>
      <c r="J7333" t="s">
        <v>18</v>
      </c>
      <c r="K7333" t="s">
        <v>19</v>
      </c>
      <c r="L7333" t="s">
        <v>113</v>
      </c>
      <c r="M7333" t="s">
        <v>44</v>
      </c>
      <c r="N7333" t="s">
        <v>22</v>
      </c>
    </row>
    <row r="7334" spans="1:14">
      <c r="A7334" s="4" t="str">
        <f t="shared" si="679"/>
        <v>EXP00257</v>
      </c>
      <c r="B7334" s="3" t="s">
        <v>66</v>
      </c>
      <c r="C7334" s="4" t="str">
        <f t="shared" si="677"/>
        <v>GSE63124</v>
      </c>
      <c r="D7334" s="1" t="s">
        <v>331</v>
      </c>
      <c r="E7334" t="s">
        <v>360</v>
      </c>
      <c r="F7334" s="1">
        <v>1</v>
      </c>
      <c r="G7334" s="1" t="s">
        <v>26</v>
      </c>
      <c r="H7334" s="4" t="str">
        <f>HYPERLINK("https://www.ncbi.nlm.nih.gov/geo/query/acc.cgi?acc=GSM2131248","GSM2131248")</f>
        <v>GSM2131248</v>
      </c>
      <c r="I7334" t="s">
        <v>111</v>
      </c>
      <c r="J7334" t="s">
        <v>18</v>
      </c>
      <c r="K7334" t="s">
        <v>19</v>
      </c>
      <c r="L7334" t="s">
        <v>113</v>
      </c>
      <c r="M7334" t="s">
        <v>41</v>
      </c>
      <c r="N7334" t="s">
        <v>22</v>
      </c>
    </row>
    <row r="7335" spans="1:14">
      <c r="A7335" s="4" t="str">
        <f t="shared" si="679"/>
        <v>EXP00257</v>
      </c>
      <c r="B7335" s="3" t="s">
        <v>66</v>
      </c>
      <c r="C7335" s="4" t="str">
        <f t="shared" si="677"/>
        <v>GSE63124</v>
      </c>
      <c r="D7335" s="1" t="s">
        <v>331</v>
      </c>
      <c r="E7335" t="s">
        <v>360</v>
      </c>
      <c r="F7335" s="1">
        <v>1</v>
      </c>
      <c r="G7335" s="1" t="s">
        <v>26</v>
      </c>
      <c r="H7335" s="4" t="str">
        <f>HYPERLINK("https://www.ncbi.nlm.nih.gov/geo/query/acc.cgi?acc=GSM2131249","GSM2131249")</f>
        <v>GSM2131249</v>
      </c>
      <c r="I7335" t="s">
        <v>111</v>
      </c>
      <c r="J7335" t="s">
        <v>18</v>
      </c>
      <c r="K7335" t="s">
        <v>19</v>
      </c>
      <c r="L7335" t="s">
        <v>113</v>
      </c>
      <c r="M7335" t="s">
        <v>41</v>
      </c>
      <c r="N7335" t="s">
        <v>22</v>
      </c>
    </row>
    <row r="7336" spans="1:14">
      <c r="A7336" s="4" t="str">
        <f t="shared" si="679"/>
        <v>EXP00257</v>
      </c>
      <c r="B7336" s="3" t="s">
        <v>66</v>
      </c>
      <c r="C7336" s="4" t="str">
        <f t="shared" si="677"/>
        <v>GSE63124</v>
      </c>
      <c r="D7336" s="1" t="s">
        <v>331</v>
      </c>
      <c r="E7336" t="s">
        <v>360</v>
      </c>
      <c r="F7336" s="1">
        <v>1</v>
      </c>
      <c r="G7336" s="1" t="s">
        <v>26</v>
      </c>
      <c r="H7336" s="4" t="str">
        <f>HYPERLINK("https://www.ncbi.nlm.nih.gov/geo/query/acc.cgi?acc=GSM2131250","GSM2131250")</f>
        <v>GSM2131250</v>
      </c>
      <c r="I7336" t="s">
        <v>111</v>
      </c>
      <c r="J7336" t="s">
        <v>18</v>
      </c>
      <c r="K7336" t="s">
        <v>19</v>
      </c>
      <c r="L7336" t="s">
        <v>113</v>
      </c>
      <c r="M7336" t="s">
        <v>41</v>
      </c>
      <c r="N7336" t="s">
        <v>22</v>
      </c>
    </row>
    <row r="7337" spans="1:14">
      <c r="A7337" s="4" t="str">
        <f t="shared" si="679"/>
        <v>EXP00257</v>
      </c>
      <c r="B7337" s="3" t="s">
        <v>66</v>
      </c>
      <c r="C7337" s="4" t="str">
        <f t="shared" si="677"/>
        <v>GSE63124</v>
      </c>
      <c r="D7337" s="1" t="s">
        <v>331</v>
      </c>
      <c r="E7337" t="s">
        <v>360</v>
      </c>
      <c r="F7337" s="1">
        <v>1</v>
      </c>
      <c r="G7337" s="1" t="s">
        <v>26</v>
      </c>
      <c r="H7337" s="4" t="str">
        <f>HYPERLINK("https://www.ncbi.nlm.nih.gov/geo/query/acc.cgi?acc=GSM2131251","GSM2131251")</f>
        <v>GSM2131251</v>
      </c>
      <c r="I7337" t="s">
        <v>111</v>
      </c>
      <c r="J7337" t="s">
        <v>18</v>
      </c>
      <c r="K7337" t="s">
        <v>19</v>
      </c>
      <c r="L7337" t="s">
        <v>113</v>
      </c>
      <c r="M7337" t="s">
        <v>41</v>
      </c>
      <c r="N7337" t="s">
        <v>22</v>
      </c>
    </row>
    <row r="7338" spans="1:14">
      <c r="A7338" s="4" t="str">
        <f t="shared" si="679"/>
        <v>EXP00257</v>
      </c>
      <c r="B7338" s="3" t="s">
        <v>66</v>
      </c>
      <c r="C7338" s="4" t="str">
        <f t="shared" si="677"/>
        <v>GSE63124</v>
      </c>
      <c r="D7338" s="1" t="s">
        <v>331</v>
      </c>
      <c r="E7338" t="s">
        <v>360</v>
      </c>
      <c r="F7338" s="1">
        <v>1</v>
      </c>
      <c r="G7338" s="1" t="s">
        <v>26</v>
      </c>
      <c r="H7338" s="4" t="str">
        <f>HYPERLINK("https://www.ncbi.nlm.nih.gov/geo/query/acc.cgi?acc=GSM2131256","GSM2131256")</f>
        <v>GSM2131256</v>
      </c>
      <c r="I7338" t="s">
        <v>111</v>
      </c>
      <c r="J7338" t="s">
        <v>18</v>
      </c>
      <c r="K7338" t="s">
        <v>19</v>
      </c>
      <c r="L7338" t="s">
        <v>113</v>
      </c>
      <c r="M7338" t="s">
        <v>41</v>
      </c>
      <c r="N7338" t="s">
        <v>22</v>
      </c>
    </row>
    <row r="7339" spans="1:14">
      <c r="A7339" s="4" t="str">
        <f t="shared" si="679"/>
        <v>EXP00257</v>
      </c>
      <c r="B7339" s="3" t="s">
        <v>66</v>
      </c>
      <c r="C7339" s="4" t="str">
        <f t="shared" si="677"/>
        <v>GSE63124</v>
      </c>
      <c r="D7339" s="1" t="s">
        <v>331</v>
      </c>
      <c r="E7339" t="s">
        <v>360</v>
      </c>
      <c r="F7339" s="1">
        <v>1</v>
      </c>
      <c r="G7339" s="1" t="s">
        <v>26</v>
      </c>
      <c r="H7339" s="4" t="str">
        <f>HYPERLINK("https://www.ncbi.nlm.nih.gov/geo/query/acc.cgi?acc=GSM2131257","GSM2131257")</f>
        <v>GSM2131257</v>
      </c>
      <c r="I7339" t="s">
        <v>111</v>
      </c>
      <c r="J7339" t="s">
        <v>18</v>
      </c>
      <c r="K7339" t="s">
        <v>19</v>
      </c>
      <c r="L7339" t="s">
        <v>113</v>
      </c>
      <c r="M7339" t="s">
        <v>41</v>
      </c>
      <c r="N7339" t="s">
        <v>22</v>
      </c>
    </row>
    <row r="7340" spans="1:14">
      <c r="A7340" s="4" t="str">
        <f t="shared" si="679"/>
        <v>EXP00257</v>
      </c>
      <c r="B7340" s="3" t="s">
        <v>66</v>
      </c>
      <c r="C7340" s="4" t="str">
        <f t="shared" si="677"/>
        <v>GSE63124</v>
      </c>
      <c r="D7340" s="1" t="s">
        <v>331</v>
      </c>
      <c r="E7340" t="s">
        <v>360</v>
      </c>
      <c r="F7340" s="1">
        <v>2</v>
      </c>
      <c r="G7340" s="1" t="s">
        <v>28</v>
      </c>
      <c r="H7340" s="4" t="str">
        <f>HYPERLINK("https://www.ncbi.nlm.nih.gov/geo/query/acc.cgi?acc=GSM2131252","GSM2131252")</f>
        <v>GSM2131252</v>
      </c>
      <c r="I7340" t="s">
        <v>111</v>
      </c>
      <c r="J7340" t="s">
        <v>18</v>
      </c>
      <c r="K7340" t="s">
        <v>19</v>
      </c>
      <c r="L7340" t="s">
        <v>113</v>
      </c>
      <c r="M7340" t="s">
        <v>41</v>
      </c>
      <c r="N7340" t="s">
        <v>29</v>
      </c>
    </row>
    <row r="7341" spans="1:14">
      <c r="A7341" s="4" t="str">
        <f t="shared" si="679"/>
        <v>EXP00257</v>
      </c>
      <c r="B7341" s="3" t="s">
        <v>66</v>
      </c>
      <c r="C7341" s="4" t="str">
        <f t="shared" si="677"/>
        <v>GSE63124</v>
      </c>
      <c r="D7341" s="1" t="s">
        <v>331</v>
      </c>
      <c r="E7341" t="s">
        <v>360</v>
      </c>
      <c r="F7341" s="1">
        <v>2</v>
      </c>
      <c r="G7341" s="1" t="s">
        <v>28</v>
      </c>
      <c r="H7341" s="4" t="str">
        <f>HYPERLINK("https://www.ncbi.nlm.nih.gov/geo/query/acc.cgi?acc=GSM2131253","GSM2131253")</f>
        <v>GSM2131253</v>
      </c>
      <c r="I7341" t="s">
        <v>111</v>
      </c>
      <c r="J7341" t="s">
        <v>18</v>
      </c>
      <c r="K7341" t="s">
        <v>19</v>
      </c>
      <c r="L7341" t="s">
        <v>113</v>
      </c>
      <c r="M7341" t="s">
        <v>41</v>
      </c>
      <c r="N7341" t="s">
        <v>29</v>
      </c>
    </row>
    <row r="7342" spans="1:14">
      <c r="A7342" s="4" t="str">
        <f t="shared" si="679"/>
        <v>EXP00257</v>
      </c>
      <c r="B7342" s="3" t="s">
        <v>66</v>
      </c>
      <c r="C7342" s="4" t="str">
        <f t="shared" si="677"/>
        <v>GSE63124</v>
      </c>
      <c r="D7342" s="1" t="s">
        <v>331</v>
      </c>
      <c r="E7342" t="s">
        <v>360</v>
      </c>
      <c r="F7342" s="1">
        <v>2</v>
      </c>
      <c r="G7342" s="1" t="s">
        <v>28</v>
      </c>
      <c r="H7342" s="4" t="str">
        <f>HYPERLINK("https://www.ncbi.nlm.nih.gov/geo/query/acc.cgi?acc=GSM2131254","GSM2131254")</f>
        <v>GSM2131254</v>
      </c>
      <c r="I7342" t="s">
        <v>111</v>
      </c>
      <c r="J7342" t="s">
        <v>18</v>
      </c>
      <c r="K7342" t="s">
        <v>19</v>
      </c>
      <c r="L7342" t="s">
        <v>113</v>
      </c>
      <c r="M7342" t="s">
        <v>41</v>
      </c>
      <c r="N7342" t="s">
        <v>29</v>
      </c>
    </row>
    <row r="7343" spans="1:14">
      <c r="A7343" s="4" t="str">
        <f t="shared" si="679"/>
        <v>EXP00257</v>
      </c>
      <c r="B7343" s="3" t="s">
        <v>66</v>
      </c>
      <c r="C7343" s="4" t="str">
        <f t="shared" si="677"/>
        <v>GSE63124</v>
      </c>
      <c r="D7343" s="1" t="s">
        <v>331</v>
      </c>
      <c r="E7343" t="s">
        <v>360</v>
      </c>
      <c r="F7343" s="1">
        <v>2</v>
      </c>
      <c r="G7343" s="1" t="s">
        <v>28</v>
      </c>
      <c r="H7343" s="4" t="str">
        <f>HYPERLINK("https://www.ncbi.nlm.nih.gov/geo/query/acc.cgi?acc=GSM2131255","GSM2131255")</f>
        <v>GSM2131255</v>
      </c>
      <c r="I7343" t="s">
        <v>111</v>
      </c>
      <c r="J7343" t="s">
        <v>18</v>
      </c>
      <c r="K7343" t="s">
        <v>19</v>
      </c>
      <c r="L7343" t="s">
        <v>113</v>
      </c>
      <c r="M7343" t="s">
        <v>41</v>
      </c>
      <c r="N7343" t="s">
        <v>29</v>
      </c>
    </row>
    <row r="7344" spans="1:14">
      <c r="A7344" s="4" t="str">
        <f t="shared" ref="A7344:A7365" si="680">HYPERLINK("http://hcmdb.i-sanger.com/experiment/details/experiment_id/EXP00258","EXP00258")</f>
        <v>EXP00258</v>
      </c>
      <c r="B7344" s="4" t="str">
        <f t="shared" ref="B7344:B7365" si="681">HYPERLINK("https://www.ncbi.nlm.nih.gov/pubmed/25689980","25689980")</f>
        <v>25689980</v>
      </c>
      <c r="C7344" s="4" t="str">
        <f t="shared" ref="C7344:C7365" si="682">HYPERLINK("https://www.ncbi.nlm.nih.gov/geo/query/acc.cgi?acc=GSE63668","GSE63668")</f>
        <v>GSE63668</v>
      </c>
      <c r="D7344" s="1" t="s">
        <v>348</v>
      </c>
      <c r="E7344" t="s">
        <v>361</v>
      </c>
      <c r="F7344" s="1">
        <v>1</v>
      </c>
      <c r="G7344" s="1" t="s">
        <v>26</v>
      </c>
      <c r="H7344" s="4" t="str">
        <f>HYPERLINK("https://www.ncbi.nlm.nih.gov/geo/query/acc.cgi?acc=GSM1554990","GSM1554990")</f>
        <v>GSM1554990</v>
      </c>
      <c r="I7344" t="s">
        <v>362</v>
      </c>
      <c r="J7344" t="s">
        <v>363</v>
      </c>
      <c r="K7344" t="s">
        <v>19</v>
      </c>
      <c r="L7344" t="s">
        <v>21</v>
      </c>
      <c r="M7344" t="s">
        <v>21</v>
      </c>
      <c r="N7344" t="s">
        <v>22</v>
      </c>
    </row>
    <row r="7345" spans="1:14">
      <c r="A7345" s="4" t="str">
        <f t="shared" si="680"/>
        <v>EXP00258</v>
      </c>
      <c r="B7345" s="4" t="str">
        <f t="shared" si="681"/>
        <v>25689980</v>
      </c>
      <c r="C7345" s="4" t="str">
        <f t="shared" si="682"/>
        <v>GSE63668</v>
      </c>
      <c r="D7345" s="1" t="s">
        <v>348</v>
      </c>
      <c r="E7345" t="s">
        <v>361</v>
      </c>
      <c r="F7345" s="1">
        <v>1</v>
      </c>
      <c r="G7345" s="1" t="s">
        <v>26</v>
      </c>
      <c r="H7345" s="4" t="str">
        <f>HYPERLINK("https://www.ncbi.nlm.nih.gov/geo/query/acc.cgi?acc=GSM1554992","GSM1554992")</f>
        <v>GSM1554992</v>
      </c>
      <c r="I7345" t="s">
        <v>362</v>
      </c>
      <c r="J7345" t="s">
        <v>363</v>
      </c>
      <c r="K7345" t="s">
        <v>19</v>
      </c>
      <c r="L7345" t="s">
        <v>21</v>
      </c>
      <c r="M7345" t="s">
        <v>21</v>
      </c>
      <c r="N7345" t="s">
        <v>22</v>
      </c>
    </row>
    <row r="7346" spans="1:14">
      <c r="A7346" s="4" t="str">
        <f t="shared" si="680"/>
        <v>EXP00258</v>
      </c>
      <c r="B7346" s="4" t="str">
        <f t="shared" si="681"/>
        <v>25689980</v>
      </c>
      <c r="C7346" s="4" t="str">
        <f t="shared" si="682"/>
        <v>GSE63668</v>
      </c>
      <c r="D7346" s="1" t="s">
        <v>348</v>
      </c>
      <c r="E7346" t="s">
        <v>361</v>
      </c>
      <c r="F7346" s="1">
        <v>1</v>
      </c>
      <c r="G7346" s="1" t="s">
        <v>26</v>
      </c>
      <c r="H7346" s="4" t="str">
        <f>HYPERLINK("https://www.ncbi.nlm.nih.gov/geo/query/acc.cgi?acc=GSM1554993","GSM1554993")</f>
        <v>GSM1554993</v>
      </c>
      <c r="I7346" t="s">
        <v>362</v>
      </c>
      <c r="J7346" t="s">
        <v>363</v>
      </c>
      <c r="K7346" t="s">
        <v>19</v>
      </c>
      <c r="L7346" t="s">
        <v>21</v>
      </c>
      <c r="M7346" t="s">
        <v>21</v>
      </c>
      <c r="N7346" t="s">
        <v>22</v>
      </c>
    </row>
    <row r="7347" spans="1:14">
      <c r="A7347" s="4" t="str">
        <f t="shared" si="680"/>
        <v>EXP00258</v>
      </c>
      <c r="B7347" s="4" t="str">
        <f t="shared" si="681"/>
        <v>25689980</v>
      </c>
      <c r="C7347" s="4" t="str">
        <f t="shared" si="682"/>
        <v>GSE63668</v>
      </c>
      <c r="D7347" s="1" t="s">
        <v>348</v>
      </c>
      <c r="E7347" t="s">
        <v>361</v>
      </c>
      <c r="F7347" s="1">
        <v>1</v>
      </c>
      <c r="G7347" s="1" t="s">
        <v>26</v>
      </c>
      <c r="H7347" s="4" t="str">
        <f>HYPERLINK("https://www.ncbi.nlm.nih.gov/geo/query/acc.cgi?acc=GSM1554995","GSM1554995")</f>
        <v>GSM1554995</v>
      </c>
      <c r="I7347" t="s">
        <v>362</v>
      </c>
      <c r="J7347" t="s">
        <v>363</v>
      </c>
      <c r="K7347" t="s">
        <v>19</v>
      </c>
      <c r="L7347" t="s">
        <v>21</v>
      </c>
      <c r="M7347" t="s">
        <v>21</v>
      </c>
      <c r="N7347" t="s">
        <v>22</v>
      </c>
    </row>
    <row r="7348" spans="1:14">
      <c r="A7348" s="4" t="str">
        <f t="shared" si="680"/>
        <v>EXP00258</v>
      </c>
      <c r="B7348" s="4" t="str">
        <f t="shared" si="681"/>
        <v>25689980</v>
      </c>
      <c r="C7348" s="4" t="str">
        <f t="shared" si="682"/>
        <v>GSE63668</v>
      </c>
      <c r="D7348" s="1" t="s">
        <v>348</v>
      </c>
      <c r="E7348" t="s">
        <v>361</v>
      </c>
      <c r="F7348" s="1">
        <v>1</v>
      </c>
      <c r="G7348" s="1" t="s">
        <v>26</v>
      </c>
      <c r="H7348" s="4" t="str">
        <f>HYPERLINK("https://www.ncbi.nlm.nih.gov/geo/query/acc.cgi?acc=GSM1554996","GSM1554996")</f>
        <v>GSM1554996</v>
      </c>
      <c r="I7348" t="s">
        <v>362</v>
      </c>
      <c r="J7348" t="s">
        <v>363</v>
      </c>
      <c r="K7348" t="s">
        <v>19</v>
      </c>
      <c r="L7348" t="s">
        <v>21</v>
      </c>
      <c r="M7348" t="s">
        <v>21</v>
      </c>
      <c r="N7348" t="s">
        <v>22</v>
      </c>
    </row>
    <row r="7349" spans="1:14">
      <c r="A7349" s="4" t="str">
        <f t="shared" si="680"/>
        <v>EXP00258</v>
      </c>
      <c r="B7349" s="4" t="str">
        <f t="shared" si="681"/>
        <v>25689980</v>
      </c>
      <c r="C7349" s="4" t="str">
        <f t="shared" si="682"/>
        <v>GSE63668</v>
      </c>
      <c r="D7349" s="1" t="s">
        <v>348</v>
      </c>
      <c r="E7349" t="s">
        <v>361</v>
      </c>
      <c r="F7349" s="1">
        <v>1</v>
      </c>
      <c r="G7349" s="1" t="s">
        <v>26</v>
      </c>
      <c r="H7349" s="4" t="str">
        <f>HYPERLINK("https://www.ncbi.nlm.nih.gov/geo/query/acc.cgi?acc=GSM1554998","GSM1554998")</f>
        <v>GSM1554998</v>
      </c>
      <c r="I7349" t="s">
        <v>362</v>
      </c>
      <c r="J7349" t="s">
        <v>363</v>
      </c>
      <c r="K7349" t="s">
        <v>19</v>
      </c>
      <c r="L7349" t="s">
        <v>21</v>
      </c>
      <c r="M7349" t="s">
        <v>21</v>
      </c>
      <c r="N7349" t="s">
        <v>22</v>
      </c>
    </row>
    <row r="7350" spans="1:14">
      <c r="A7350" s="4" t="str">
        <f t="shared" si="680"/>
        <v>EXP00258</v>
      </c>
      <c r="B7350" s="4" t="str">
        <f t="shared" si="681"/>
        <v>25689980</v>
      </c>
      <c r="C7350" s="4" t="str">
        <f t="shared" si="682"/>
        <v>GSE63668</v>
      </c>
      <c r="D7350" s="1" t="s">
        <v>348</v>
      </c>
      <c r="E7350" t="s">
        <v>361</v>
      </c>
      <c r="F7350" s="1">
        <v>1</v>
      </c>
      <c r="G7350" s="1" t="s">
        <v>26</v>
      </c>
      <c r="H7350" s="4" t="str">
        <f>HYPERLINK("https://www.ncbi.nlm.nih.gov/geo/query/acc.cgi?acc=GSM1554999","GSM1554999")</f>
        <v>GSM1554999</v>
      </c>
      <c r="I7350" t="s">
        <v>362</v>
      </c>
      <c r="J7350" t="s">
        <v>363</v>
      </c>
      <c r="K7350" t="s">
        <v>19</v>
      </c>
      <c r="L7350" t="s">
        <v>21</v>
      </c>
      <c r="M7350" t="s">
        <v>21</v>
      </c>
      <c r="N7350" t="s">
        <v>22</v>
      </c>
    </row>
    <row r="7351" spans="1:14">
      <c r="A7351" s="4" t="str">
        <f t="shared" si="680"/>
        <v>EXP00258</v>
      </c>
      <c r="B7351" s="4" t="str">
        <f t="shared" si="681"/>
        <v>25689980</v>
      </c>
      <c r="C7351" s="4" t="str">
        <f t="shared" si="682"/>
        <v>GSE63668</v>
      </c>
      <c r="D7351" s="1" t="s">
        <v>348</v>
      </c>
      <c r="E7351" t="s">
        <v>361</v>
      </c>
      <c r="F7351" s="1">
        <v>1</v>
      </c>
      <c r="G7351" s="1" t="s">
        <v>26</v>
      </c>
      <c r="H7351" s="4" t="str">
        <f>HYPERLINK("https://www.ncbi.nlm.nih.gov/geo/query/acc.cgi?acc=GSM1555000","GSM1555000")</f>
        <v>GSM1555000</v>
      </c>
      <c r="I7351" t="s">
        <v>362</v>
      </c>
      <c r="J7351" t="s">
        <v>363</v>
      </c>
      <c r="K7351" t="s">
        <v>19</v>
      </c>
      <c r="L7351" t="s">
        <v>21</v>
      </c>
      <c r="M7351" t="s">
        <v>21</v>
      </c>
      <c r="N7351" t="s">
        <v>22</v>
      </c>
    </row>
    <row r="7352" spans="1:14">
      <c r="A7352" s="4" t="str">
        <f t="shared" si="680"/>
        <v>EXP00258</v>
      </c>
      <c r="B7352" s="4" t="str">
        <f t="shared" si="681"/>
        <v>25689980</v>
      </c>
      <c r="C7352" s="4" t="str">
        <f t="shared" si="682"/>
        <v>GSE63668</v>
      </c>
      <c r="D7352" s="1" t="s">
        <v>348</v>
      </c>
      <c r="E7352" t="s">
        <v>361</v>
      </c>
      <c r="F7352" s="1">
        <v>1</v>
      </c>
      <c r="G7352" s="1" t="s">
        <v>26</v>
      </c>
      <c r="H7352" s="4" t="str">
        <f>HYPERLINK("https://www.ncbi.nlm.nih.gov/geo/query/acc.cgi?acc=GSM1555002","GSM1555002")</f>
        <v>GSM1555002</v>
      </c>
      <c r="I7352" t="s">
        <v>362</v>
      </c>
      <c r="J7352" t="s">
        <v>363</v>
      </c>
      <c r="K7352" t="s">
        <v>19</v>
      </c>
      <c r="L7352" t="s">
        <v>21</v>
      </c>
      <c r="M7352" t="s">
        <v>21</v>
      </c>
      <c r="N7352" t="s">
        <v>22</v>
      </c>
    </row>
    <row r="7353" spans="1:14">
      <c r="A7353" s="4" t="str">
        <f t="shared" si="680"/>
        <v>EXP00258</v>
      </c>
      <c r="B7353" s="4" t="str">
        <f t="shared" si="681"/>
        <v>25689980</v>
      </c>
      <c r="C7353" s="4" t="str">
        <f t="shared" si="682"/>
        <v>GSE63668</v>
      </c>
      <c r="D7353" s="1" t="s">
        <v>348</v>
      </c>
      <c r="E7353" t="s">
        <v>361</v>
      </c>
      <c r="F7353" s="1">
        <v>1</v>
      </c>
      <c r="G7353" s="1" t="s">
        <v>26</v>
      </c>
      <c r="H7353" s="4" t="str">
        <f>HYPERLINK("https://www.ncbi.nlm.nih.gov/geo/query/acc.cgi?acc=GSM1555004","GSM1555004")</f>
        <v>GSM1555004</v>
      </c>
      <c r="I7353" t="s">
        <v>362</v>
      </c>
      <c r="J7353" t="s">
        <v>363</v>
      </c>
      <c r="K7353" t="s">
        <v>19</v>
      </c>
      <c r="L7353" t="s">
        <v>21</v>
      </c>
      <c r="M7353" t="s">
        <v>21</v>
      </c>
      <c r="N7353" t="s">
        <v>22</v>
      </c>
    </row>
    <row r="7354" spans="1:14">
      <c r="A7354" s="4" t="str">
        <f t="shared" si="680"/>
        <v>EXP00258</v>
      </c>
      <c r="B7354" s="4" t="str">
        <f t="shared" si="681"/>
        <v>25689980</v>
      </c>
      <c r="C7354" s="4" t="str">
        <f t="shared" si="682"/>
        <v>GSE63668</v>
      </c>
      <c r="D7354" s="1" t="s">
        <v>348</v>
      </c>
      <c r="E7354" t="s">
        <v>361</v>
      </c>
      <c r="F7354" s="1">
        <v>1</v>
      </c>
      <c r="G7354" s="1" t="s">
        <v>26</v>
      </c>
      <c r="H7354" s="4" t="str">
        <f>HYPERLINK("https://www.ncbi.nlm.nih.gov/geo/query/acc.cgi?acc=GSM1555006","GSM1555006")</f>
        <v>GSM1555006</v>
      </c>
      <c r="I7354" t="s">
        <v>362</v>
      </c>
      <c r="J7354" t="s">
        <v>363</v>
      </c>
      <c r="K7354" t="s">
        <v>19</v>
      </c>
      <c r="L7354" t="s">
        <v>21</v>
      </c>
      <c r="M7354" t="s">
        <v>21</v>
      </c>
      <c r="N7354" t="s">
        <v>22</v>
      </c>
    </row>
    <row r="7355" spans="1:14">
      <c r="A7355" s="4" t="str">
        <f t="shared" si="680"/>
        <v>EXP00258</v>
      </c>
      <c r="B7355" s="4" t="str">
        <f t="shared" si="681"/>
        <v>25689980</v>
      </c>
      <c r="C7355" s="4" t="str">
        <f t="shared" si="682"/>
        <v>GSE63668</v>
      </c>
      <c r="D7355" s="1" t="s">
        <v>348</v>
      </c>
      <c r="E7355" t="s">
        <v>361</v>
      </c>
      <c r="F7355" s="1">
        <v>1</v>
      </c>
      <c r="G7355" s="1" t="s">
        <v>26</v>
      </c>
      <c r="H7355" s="4" t="str">
        <f>HYPERLINK("https://www.ncbi.nlm.nih.gov/geo/query/acc.cgi?acc=GSM1555008","GSM1555008")</f>
        <v>GSM1555008</v>
      </c>
      <c r="I7355" t="s">
        <v>362</v>
      </c>
      <c r="J7355" t="s">
        <v>363</v>
      </c>
      <c r="K7355" t="s">
        <v>19</v>
      </c>
      <c r="L7355" t="s">
        <v>21</v>
      </c>
      <c r="M7355" t="s">
        <v>21</v>
      </c>
      <c r="N7355" t="s">
        <v>22</v>
      </c>
    </row>
    <row r="7356" spans="1:14">
      <c r="A7356" s="4" t="str">
        <f t="shared" si="680"/>
        <v>EXP00258</v>
      </c>
      <c r="B7356" s="4" t="str">
        <f t="shared" si="681"/>
        <v>25689980</v>
      </c>
      <c r="C7356" s="4" t="str">
        <f t="shared" si="682"/>
        <v>GSE63668</v>
      </c>
      <c r="D7356" s="1" t="s">
        <v>348</v>
      </c>
      <c r="E7356" t="s">
        <v>361</v>
      </c>
      <c r="F7356" s="1">
        <v>1</v>
      </c>
      <c r="G7356" s="1" t="s">
        <v>26</v>
      </c>
      <c r="H7356" s="4" t="str">
        <f>HYPERLINK("https://www.ncbi.nlm.nih.gov/geo/query/acc.cgi?acc=GSM1555010","GSM1555010")</f>
        <v>GSM1555010</v>
      </c>
      <c r="I7356" t="s">
        <v>362</v>
      </c>
      <c r="J7356" t="s">
        <v>363</v>
      </c>
      <c r="K7356" t="s">
        <v>19</v>
      </c>
      <c r="L7356" t="s">
        <v>21</v>
      </c>
      <c r="M7356" t="s">
        <v>21</v>
      </c>
      <c r="N7356" t="s">
        <v>22</v>
      </c>
    </row>
    <row r="7357" spans="1:14">
      <c r="A7357" s="4" t="str">
        <f t="shared" si="680"/>
        <v>EXP00258</v>
      </c>
      <c r="B7357" s="4" t="str">
        <f t="shared" si="681"/>
        <v>25689980</v>
      </c>
      <c r="C7357" s="4" t="str">
        <f t="shared" si="682"/>
        <v>GSE63668</v>
      </c>
      <c r="D7357" s="1" t="s">
        <v>348</v>
      </c>
      <c r="E7357" t="s">
        <v>361</v>
      </c>
      <c r="F7357" s="1">
        <v>2</v>
      </c>
      <c r="G7357" s="1" t="s">
        <v>28</v>
      </c>
      <c r="H7357" s="4" t="str">
        <f>HYPERLINK("https://www.ncbi.nlm.nih.gov/geo/query/acc.cgi?acc=GSM1554989","GSM1554989")</f>
        <v>GSM1554989</v>
      </c>
      <c r="I7357" t="s">
        <v>362</v>
      </c>
      <c r="J7357" t="s">
        <v>363</v>
      </c>
      <c r="K7357" t="s">
        <v>19</v>
      </c>
      <c r="L7357" t="s">
        <v>21</v>
      </c>
      <c r="M7357" t="s">
        <v>21</v>
      </c>
      <c r="N7357" t="s">
        <v>29</v>
      </c>
    </row>
    <row r="7358" spans="1:14">
      <c r="A7358" s="4" t="str">
        <f t="shared" si="680"/>
        <v>EXP00258</v>
      </c>
      <c r="B7358" s="4" t="str">
        <f t="shared" si="681"/>
        <v>25689980</v>
      </c>
      <c r="C7358" s="4" t="str">
        <f t="shared" si="682"/>
        <v>GSE63668</v>
      </c>
      <c r="D7358" s="1" t="s">
        <v>348</v>
      </c>
      <c r="E7358" t="s">
        <v>361</v>
      </c>
      <c r="F7358" s="1">
        <v>2</v>
      </c>
      <c r="G7358" s="1" t="s">
        <v>28</v>
      </c>
      <c r="H7358" s="4" t="str">
        <f>HYPERLINK("https://www.ncbi.nlm.nih.gov/geo/query/acc.cgi?acc=GSM1554991","GSM1554991")</f>
        <v>GSM1554991</v>
      </c>
      <c r="I7358" t="s">
        <v>362</v>
      </c>
      <c r="J7358" t="s">
        <v>363</v>
      </c>
      <c r="K7358" t="s">
        <v>19</v>
      </c>
      <c r="L7358" t="s">
        <v>21</v>
      </c>
      <c r="M7358" t="s">
        <v>21</v>
      </c>
      <c r="N7358" t="s">
        <v>29</v>
      </c>
    </row>
    <row r="7359" spans="1:14">
      <c r="A7359" s="4" t="str">
        <f t="shared" si="680"/>
        <v>EXP00258</v>
      </c>
      <c r="B7359" s="4" t="str">
        <f t="shared" si="681"/>
        <v>25689980</v>
      </c>
      <c r="C7359" s="4" t="str">
        <f t="shared" si="682"/>
        <v>GSE63668</v>
      </c>
      <c r="D7359" s="1" t="s">
        <v>348</v>
      </c>
      <c r="E7359" t="s">
        <v>361</v>
      </c>
      <c r="F7359" s="1">
        <v>2</v>
      </c>
      <c r="G7359" s="1" t="s">
        <v>28</v>
      </c>
      <c r="H7359" s="4" t="str">
        <f>HYPERLINK("https://www.ncbi.nlm.nih.gov/geo/query/acc.cgi?acc=GSM1554994","GSM1554994")</f>
        <v>GSM1554994</v>
      </c>
      <c r="I7359" t="s">
        <v>362</v>
      </c>
      <c r="J7359" t="s">
        <v>363</v>
      </c>
      <c r="K7359" t="s">
        <v>19</v>
      </c>
      <c r="L7359" t="s">
        <v>21</v>
      </c>
      <c r="M7359" t="s">
        <v>21</v>
      </c>
      <c r="N7359" t="s">
        <v>29</v>
      </c>
    </row>
    <row r="7360" spans="1:14">
      <c r="A7360" s="4" t="str">
        <f t="shared" si="680"/>
        <v>EXP00258</v>
      </c>
      <c r="B7360" s="4" t="str">
        <f t="shared" si="681"/>
        <v>25689980</v>
      </c>
      <c r="C7360" s="4" t="str">
        <f t="shared" si="682"/>
        <v>GSE63668</v>
      </c>
      <c r="D7360" s="1" t="s">
        <v>348</v>
      </c>
      <c r="E7360" t="s">
        <v>361</v>
      </c>
      <c r="F7360" s="1">
        <v>2</v>
      </c>
      <c r="G7360" s="1" t="s">
        <v>28</v>
      </c>
      <c r="H7360" s="4" t="str">
        <f>HYPERLINK("https://www.ncbi.nlm.nih.gov/geo/query/acc.cgi?acc=GSM1554997","GSM1554997")</f>
        <v>GSM1554997</v>
      </c>
      <c r="I7360" t="s">
        <v>362</v>
      </c>
      <c r="J7360" t="s">
        <v>363</v>
      </c>
      <c r="K7360" t="s">
        <v>19</v>
      </c>
      <c r="L7360" t="s">
        <v>21</v>
      </c>
      <c r="M7360" t="s">
        <v>21</v>
      </c>
      <c r="N7360" t="s">
        <v>29</v>
      </c>
    </row>
    <row r="7361" spans="1:14">
      <c r="A7361" s="4" t="str">
        <f t="shared" si="680"/>
        <v>EXP00258</v>
      </c>
      <c r="B7361" s="4" t="str">
        <f t="shared" si="681"/>
        <v>25689980</v>
      </c>
      <c r="C7361" s="4" t="str">
        <f t="shared" si="682"/>
        <v>GSE63668</v>
      </c>
      <c r="D7361" s="1" t="s">
        <v>348</v>
      </c>
      <c r="E7361" t="s">
        <v>361</v>
      </c>
      <c r="F7361" s="1">
        <v>2</v>
      </c>
      <c r="G7361" s="1" t="s">
        <v>28</v>
      </c>
      <c r="H7361" s="4" t="str">
        <f>HYPERLINK("https://www.ncbi.nlm.nih.gov/geo/query/acc.cgi?acc=GSM1555001","GSM1555001")</f>
        <v>GSM1555001</v>
      </c>
      <c r="I7361" t="s">
        <v>362</v>
      </c>
      <c r="J7361" t="s">
        <v>363</v>
      </c>
      <c r="K7361" t="s">
        <v>19</v>
      </c>
      <c r="L7361" t="s">
        <v>21</v>
      </c>
      <c r="M7361" t="s">
        <v>21</v>
      </c>
      <c r="N7361" t="s">
        <v>29</v>
      </c>
    </row>
    <row r="7362" spans="1:14">
      <c r="A7362" s="4" t="str">
        <f t="shared" si="680"/>
        <v>EXP00258</v>
      </c>
      <c r="B7362" s="4" t="str">
        <f t="shared" si="681"/>
        <v>25689980</v>
      </c>
      <c r="C7362" s="4" t="str">
        <f t="shared" si="682"/>
        <v>GSE63668</v>
      </c>
      <c r="D7362" s="1" t="s">
        <v>348</v>
      </c>
      <c r="E7362" t="s">
        <v>361</v>
      </c>
      <c r="F7362" s="1">
        <v>2</v>
      </c>
      <c r="G7362" s="1" t="s">
        <v>28</v>
      </c>
      <c r="H7362" s="4" t="str">
        <f>HYPERLINK("https://www.ncbi.nlm.nih.gov/geo/query/acc.cgi?acc=GSM1555003","GSM1555003")</f>
        <v>GSM1555003</v>
      </c>
      <c r="I7362" t="s">
        <v>362</v>
      </c>
      <c r="J7362" t="s">
        <v>363</v>
      </c>
      <c r="K7362" t="s">
        <v>19</v>
      </c>
      <c r="L7362" t="s">
        <v>21</v>
      </c>
      <c r="M7362" t="s">
        <v>21</v>
      </c>
      <c r="N7362" t="s">
        <v>29</v>
      </c>
    </row>
    <row r="7363" spans="1:14">
      <c r="A7363" s="4" t="str">
        <f t="shared" si="680"/>
        <v>EXP00258</v>
      </c>
      <c r="B7363" s="4" t="str">
        <f t="shared" si="681"/>
        <v>25689980</v>
      </c>
      <c r="C7363" s="4" t="str">
        <f t="shared" si="682"/>
        <v>GSE63668</v>
      </c>
      <c r="D7363" s="1" t="s">
        <v>348</v>
      </c>
      <c r="E7363" t="s">
        <v>361</v>
      </c>
      <c r="F7363" s="1">
        <v>2</v>
      </c>
      <c r="G7363" s="1" t="s">
        <v>28</v>
      </c>
      <c r="H7363" s="4" t="str">
        <f>HYPERLINK("https://www.ncbi.nlm.nih.gov/geo/query/acc.cgi?acc=GSM1555005","GSM1555005")</f>
        <v>GSM1555005</v>
      </c>
      <c r="I7363" t="s">
        <v>362</v>
      </c>
      <c r="J7363" t="s">
        <v>363</v>
      </c>
      <c r="K7363" t="s">
        <v>19</v>
      </c>
      <c r="L7363" t="s">
        <v>21</v>
      </c>
      <c r="M7363" t="s">
        <v>21</v>
      </c>
      <c r="N7363" t="s">
        <v>29</v>
      </c>
    </row>
    <row r="7364" spans="1:14">
      <c r="A7364" s="4" t="str">
        <f t="shared" si="680"/>
        <v>EXP00258</v>
      </c>
      <c r="B7364" s="4" t="str">
        <f t="shared" si="681"/>
        <v>25689980</v>
      </c>
      <c r="C7364" s="4" t="str">
        <f t="shared" si="682"/>
        <v>GSE63668</v>
      </c>
      <c r="D7364" s="1" t="s">
        <v>348</v>
      </c>
      <c r="E7364" t="s">
        <v>361</v>
      </c>
      <c r="F7364" s="1">
        <v>2</v>
      </c>
      <c r="G7364" s="1" t="s">
        <v>28</v>
      </c>
      <c r="H7364" s="4" t="str">
        <f>HYPERLINK("https://www.ncbi.nlm.nih.gov/geo/query/acc.cgi?acc=GSM1555007","GSM1555007")</f>
        <v>GSM1555007</v>
      </c>
      <c r="I7364" t="s">
        <v>362</v>
      </c>
      <c r="J7364" t="s">
        <v>363</v>
      </c>
      <c r="K7364" t="s">
        <v>19</v>
      </c>
      <c r="L7364" t="s">
        <v>21</v>
      </c>
      <c r="M7364" t="s">
        <v>21</v>
      </c>
      <c r="N7364" t="s">
        <v>29</v>
      </c>
    </row>
    <row r="7365" spans="1:14">
      <c r="A7365" s="4" t="str">
        <f t="shared" si="680"/>
        <v>EXP00258</v>
      </c>
      <c r="B7365" s="4" t="str">
        <f t="shared" si="681"/>
        <v>25689980</v>
      </c>
      <c r="C7365" s="4" t="str">
        <f t="shared" si="682"/>
        <v>GSE63668</v>
      </c>
      <c r="D7365" s="1" t="s">
        <v>348</v>
      </c>
      <c r="E7365" t="s">
        <v>361</v>
      </c>
      <c r="F7365" s="1">
        <v>2</v>
      </c>
      <c r="G7365" s="1" t="s">
        <v>28</v>
      </c>
      <c r="H7365" s="4" t="str">
        <f>HYPERLINK("https://www.ncbi.nlm.nih.gov/geo/query/acc.cgi?acc=GSM1555009","GSM1555009")</f>
        <v>GSM1555009</v>
      </c>
      <c r="I7365" t="s">
        <v>362</v>
      </c>
      <c r="J7365" t="s">
        <v>363</v>
      </c>
      <c r="K7365" t="s">
        <v>19</v>
      </c>
      <c r="L7365" t="s">
        <v>21</v>
      </c>
      <c r="M7365" t="s">
        <v>21</v>
      </c>
      <c r="N7365" t="s">
        <v>29</v>
      </c>
    </row>
    <row r="7366" spans="1:14">
      <c r="A7366" s="4" t="str">
        <f t="shared" ref="A7366:A7397" si="683">HYPERLINK("http://hcmdb.i-sanger.com/experiment/details/experiment_id/EXP00259","EXP00259")</f>
        <v>EXP00259</v>
      </c>
      <c r="B7366" s="4" t="str">
        <f t="shared" ref="B7366:B7397" si="684">HYPERLINK("https://www.ncbi.nlm.nih.gov/pubmed/26499327","26499327")</f>
        <v>26499327</v>
      </c>
      <c r="C7366" s="4" t="str">
        <f t="shared" ref="C7366:C7397" si="685">HYPERLINK("https://www.ncbi.nlm.nih.gov/geo/query/acc.cgi?acc=GSE64256","GSE64256")</f>
        <v>GSE64256</v>
      </c>
      <c r="D7366" s="1" t="s">
        <v>45</v>
      </c>
      <c r="E7366" t="s">
        <v>68</v>
      </c>
      <c r="F7366" s="1">
        <v>1</v>
      </c>
      <c r="G7366" s="1" t="s">
        <v>31</v>
      </c>
      <c r="H7366" s="4" t="str">
        <f>HYPERLINK("https://www.ncbi.nlm.nih.gov/geo/query/acc.cgi?acc=GSM1567092","GSM1567092")</f>
        <v>GSM1567092</v>
      </c>
      <c r="I7366" t="s">
        <v>69</v>
      </c>
      <c r="J7366" t="s">
        <v>18</v>
      </c>
      <c r="K7366" t="s">
        <v>19</v>
      </c>
      <c r="L7366" t="s">
        <v>70</v>
      </c>
      <c r="M7366" t="s">
        <v>51</v>
      </c>
      <c r="N7366" t="s">
        <v>29</v>
      </c>
    </row>
    <row r="7367" spans="1:14">
      <c r="A7367" s="4" t="str">
        <f t="shared" si="683"/>
        <v>EXP00259</v>
      </c>
      <c r="B7367" s="4" t="str">
        <f t="shared" si="684"/>
        <v>26499327</v>
      </c>
      <c r="C7367" s="4" t="str">
        <f t="shared" si="685"/>
        <v>GSE64256</v>
      </c>
      <c r="D7367" s="1" t="s">
        <v>45</v>
      </c>
      <c r="E7367" t="s">
        <v>68</v>
      </c>
      <c r="F7367" s="1">
        <v>1</v>
      </c>
      <c r="G7367" s="1" t="s">
        <v>31</v>
      </c>
      <c r="H7367" s="4" t="str">
        <f>HYPERLINK("https://www.ncbi.nlm.nih.gov/geo/query/acc.cgi?acc=GSM1567097","GSM1567097")</f>
        <v>GSM1567097</v>
      </c>
      <c r="I7367" t="s">
        <v>69</v>
      </c>
      <c r="J7367" t="s">
        <v>18</v>
      </c>
      <c r="K7367" t="s">
        <v>19</v>
      </c>
      <c r="L7367" t="s">
        <v>70</v>
      </c>
      <c r="M7367" t="s">
        <v>51</v>
      </c>
      <c r="N7367" t="s">
        <v>29</v>
      </c>
    </row>
    <row r="7368" spans="1:14">
      <c r="A7368" s="4" t="str">
        <f t="shared" si="683"/>
        <v>EXP00259</v>
      </c>
      <c r="B7368" s="4" t="str">
        <f t="shared" si="684"/>
        <v>26499327</v>
      </c>
      <c r="C7368" s="4" t="str">
        <f t="shared" si="685"/>
        <v>GSE64256</v>
      </c>
      <c r="D7368" s="1" t="s">
        <v>45</v>
      </c>
      <c r="E7368" t="s">
        <v>68</v>
      </c>
      <c r="F7368" s="1">
        <v>1</v>
      </c>
      <c r="G7368" s="1" t="s">
        <v>31</v>
      </c>
      <c r="H7368" s="4" t="str">
        <f>HYPERLINK("https://www.ncbi.nlm.nih.gov/geo/query/acc.cgi?acc=GSM1567102","GSM1567102")</f>
        <v>GSM1567102</v>
      </c>
      <c r="I7368" t="s">
        <v>69</v>
      </c>
      <c r="J7368" t="s">
        <v>18</v>
      </c>
      <c r="K7368" t="s">
        <v>19</v>
      </c>
      <c r="L7368" t="s">
        <v>70</v>
      </c>
      <c r="M7368" t="s">
        <v>51</v>
      </c>
      <c r="N7368" t="s">
        <v>29</v>
      </c>
    </row>
    <row r="7369" spans="1:14">
      <c r="A7369" s="4" t="str">
        <f t="shared" si="683"/>
        <v>EXP00259</v>
      </c>
      <c r="B7369" s="4" t="str">
        <f t="shared" si="684"/>
        <v>26499327</v>
      </c>
      <c r="C7369" s="4" t="str">
        <f t="shared" si="685"/>
        <v>GSE64256</v>
      </c>
      <c r="D7369" s="1" t="s">
        <v>45</v>
      </c>
      <c r="E7369" t="s">
        <v>68</v>
      </c>
      <c r="F7369" s="1">
        <v>1</v>
      </c>
      <c r="G7369" s="1" t="s">
        <v>31</v>
      </c>
      <c r="H7369" s="4" t="str">
        <f>HYPERLINK("https://www.ncbi.nlm.nih.gov/geo/query/acc.cgi?acc=GSM1567112","GSM1567112")</f>
        <v>GSM1567112</v>
      </c>
      <c r="I7369" t="s">
        <v>69</v>
      </c>
      <c r="J7369" t="s">
        <v>18</v>
      </c>
      <c r="K7369" t="s">
        <v>19</v>
      </c>
      <c r="L7369" t="s">
        <v>70</v>
      </c>
      <c r="M7369" t="s">
        <v>51</v>
      </c>
      <c r="N7369" t="s">
        <v>29</v>
      </c>
    </row>
    <row r="7370" spans="1:14">
      <c r="A7370" s="4" t="str">
        <f t="shared" si="683"/>
        <v>EXP00259</v>
      </c>
      <c r="B7370" s="4" t="str">
        <f t="shared" si="684"/>
        <v>26499327</v>
      </c>
      <c r="C7370" s="4" t="str">
        <f t="shared" si="685"/>
        <v>GSE64256</v>
      </c>
      <c r="D7370" s="1" t="s">
        <v>45</v>
      </c>
      <c r="E7370" t="s">
        <v>68</v>
      </c>
      <c r="F7370" s="1">
        <v>1</v>
      </c>
      <c r="G7370" s="1" t="s">
        <v>31</v>
      </c>
      <c r="H7370" s="4" t="str">
        <f>HYPERLINK("https://www.ncbi.nlm.nih.gov/geo/query/acc.cgi?acc=GSM1567114","GSM1567114")</f>
        <v>GSM1567114</v>
      </c>
      <c r="I7370" t="s">
        <v>69</v>
      </c>
      <c r="J7370" t="s">
        <v>18</v>
      </c>
      <c r="K7370" t="s">
        <v>19</v>
      </c>
      <c r="L7370" t="s">
        <v>70</v>
      </c>
      <c r="M7370" t="s">
        <v>51</v>
      </c>
      <c r="N7370" t="s">
        <v>29</v>
      </c>
    </row>
    <row r="7371" spans="1:14">
      <c r="A7371" s="4" t="str">
        <f t="shared" si="683"/>
        <v>EXP00259</v>
      </c>
      <c r="B7371" s="4" t="str">
        <f t="shared" si="684"/>
        <v>26499327</v>
      </c>
      <c r="C7371" s="4" t="str">
        <f t="shared" si="685"/>
        <v>GSE64256</v>
      </c>
      <c r="D7371" s="1" t="s">
        <v>45</v>
      </c>
      <c r="E7371" t="s">
        <v>68</v>
      </c>
      <c r="F7371" s="1">
        <v>1</v>
      </c>
      <c r="G7371" s="1" t="s">
        <v>31</v>
      </c>
      <c r="H7371" s="4" t="str">
        <f>HYPERLINK("https://www.ncbi.nlm.nih.gov/geo/query/acc.cgi?acc=GSM1567117","GSM1567117")</f>
        <v>GSM1567117</v>
      </c>
      <c r="I7371" t="s">
        <v>69</v>
      </c>
      <c r="J7371" t="s">
        <v>18</v>
      </c>
      <c r="K7371" t="s">
        <v>19</v>
      </c>
      <c r="L7371" t="s">
        <v>70</v>
      </c>
      <c r="M7371" t="s">
        <v>51</v>
      </c>
      <c r="N7371" t="s">
        <v>29</v>
      </c>
    </row>
    <row r="7372" spans="1:14">
      <c r="A7372" s="4" t="str">
        <f t="shared" si="683"/>
        <v>EXP00259</v>
      </c>
      <c r="B7372" s="4" t="str">
        <f t="shared" si="684"/>
        <v>26499327</v>
      </c>
      <c r="C7372" s="4" t="str">
        <f t="shared" si="685"/>
        <v>GSE64256</v>
      </c>
      <c r="D7372" s="1" t="s">
        <v>45</v>
      </c>
      <c r="E7372" t="s">
        <v>68</v>
      </c>
      <c r="F7372" s="1">
        <v>1</v>
      </c>
      <c r="G7372" s="1" t="s">
        <v>31</v>
      </c>
      <c r="H7372" s="4" t="str">
        <f>HYPERLINK("https://www.ncbi.nlm.nih.gov/geo/query/acc.cgi?acc=GSM1567118","GSM1567118")</f>
        <v>GSM1567118</v>
      </c>
      <c r="I7372" t="s">
        <v>69</v>
      </c>
      <c r="J7372" t="s">
        <v>18</v>
      </c>
      <c r="K7372" t="s">
        <v>19</v>
      </c>
      <c r="L7372" t="s">
        <v>70</v>
      </c>
      <c r="M7372" t="s">
        <v>51</v>
      </c>
      <c r="N7372" t="s">
        <v>29</v>
      </c>
    </row>
    <row r="7373" spans="1:14">
      <c r="A7373" s="4" t="str">
        <f t="shared" si="683"/>
        <v>EXP00259</v>
      </c>
      <c r="B7373" s="4" t="str">
        <f t="shared" si="684"/>
        <v>26499327</v>
      </c>
      <c r="C7373" s="4" t="str">
        <f t="shared" si="685"/>
        <v>GSE64256</v>
      </c>
      <c r="D7373" s="1" t="s">
        <v>45</v>
      </c>
      <c r="E7373" t="s">
        <v>68</v>
      </c>
      <c r="F7373" s="1">
        <v>1</v>
      </c>
      <c r="G7373" s="1" t="s">
        <v>31</v>
      </c>
      <c r="H7373" s="4" t="str">
        <f>HYPERLINK("https://www.ncbi.nlm.nih.gov/geo/query/acc.cgi?acc=GSM1567122","GSM1567122")</f>
        <v>GSM1567122</v>
      </c>
      <c r="I7373" t="s">
        <v>69</v>
      </c>
      <c r="J7373" t="s">
        <v>18</v>
      </c>
      <c r="K7373" t="s">
        <v>19</v>
      </c>
      <c r="L7373" t="s">
        <v>70</v>
      </c>
      <c r="M7373" t="s">
        <v>51</v>
      </c>
      <c r="N7373" t="s">
        <v>29</v>
      </c>
    </row>
    <row r="7374" spans="1:14">
      <c r="A7374" s="4" t="str">
        <f t="shared" si="683"/>
        <v>EXP00259</v>
      </c>
      <c r="B7374" s="4" t="str">
        <f t="shared" si="684"/>
        <v>26499327</v>
      </c>
      <c r="C7374" s="4" t="str">
        <f t="shared" si="685"/>
        <v>GSE64256</v>
      </c>
      <c r="D7374" s="1" t="s">
        <v>45</v>
      </c>
      <c r="E7374" t="s">
        <v>68</v>
      </c>
      <c r="F7374" s="1">
        <v>1</v>
      </c>
      <c r="G7374" s="1" t="s">
        <v>31</v>
      </c>
      <c r="H7374" s="4" t="str">
        <f>HYPERLINK("https://www.ncbi.nlm.nih.gov/geo/query/acc.cgi?acc=GSM1567125","GSM1567125")</f>
        <v>GSM1567125</v>
      </c>
      <c r="I7374" t="s">
        <v>69</v>
      </c>
      <c r="J7374" t="s">
        <v>18</v>
      </c>
      <c r="K7374" t="s">
        <v>19</v>
      </c>
      <c r="L7374" t="s">
        <v>70</v>
      </c>
      <c r="M7374" t="s">
        <v>51</v>
      </c>
      <c r="N7374" t="s">
        <v>29</v>
      </c>
    </row>
    <row r="7375" spans="1:14">
      <c r="A7375" s="4" t="str">
        <f t="shared" si="683"/>
        <v>EXP00259</v>
      </c>
      <c r="B7375" s="4" t="str">
        <f t="shared" si="684"/>
        <v>26499327</v>
      </c>
      <c r="C7375" s="4" t="str">
        <f t="shared" si="685"/>
        <v>GSE64256</v>
      </c>
      <c r="D7375" s="1" t="s">
        <v>45</v>
      </c>
      <c r="E7375" t="s">
        <v>68</v>
      </c>
      <c r="F7375" s="1">
        <v>1</v>
      </c>
      <c r="G7375" s="1" t="s">
        <v>31</v>
      </c>
      <c r="H7375" s="4" t="str">
        <f>HYPERLINK("https://www.ncbi.nlm.nih.gov/geo/query/acc.cgi?acc=GSM1567136","GSM1567136")</f>
        <v>GSM1567136</v>
      </c>
      <c r="I7375" t="s">
        <v>69</v>
      </c>
      <c r="J7375" t="s">
        <v>18</v>
      </c>
      <c r="K7375" t="s">
        <v>19</v>
      </c>
      <c r="L7375" t="s">
        <v>70</v>
      </c>
      <c r="M7375" t="s">
        <v>51</v>
      </c>
      <c r="N7375" t="s">
        <v>29</v>
      </c>
    </row>
    <row r="7376" spans="1:14">
      <c r="A7376" s="4" t="str">
        <f t="shared" si="683"/>
        <v>EXP00259</v>
      </c>
      <c r="B7376" s="4" t="str">
        <f t="shared" si="684"/>
        <v>26499327</v>
      </c>
      <c r="C7376" s="4" t="str">
        <f t="shared" si="685"/>
        <v>GSE64256</v>
      </c>
      <c r="D7376" s="1" t="s">
        <v>45</v>
      </c>
      <c r="E7376" t="s">
        <v>68</v>
      </c>
      <c r="F7376" s="1">
        <v>1</v>
      </c>
      <c r="G7376" s="1" t="s">
        <v>31</v>
      </c>
      <c r="H7376" s="4" t="str">
        <f>HYPERLINK("https://www.ncbi.nlm.nih.gov/geo/query/acc.cgi?acc=GSM1567137","GSM1567137")</f>
        <v>GSM1567137</v>
      </c>
      <c r="I7376" t="s">
        <v>69</v>
      </c>
      <c r="J7376" t="s">
        <v>18</v>
      </c>
      <c r="K7376" t="s">
        <v>19</v>
      </c>
      <c r="L7376" t="s">
        <v>70</v>
      </c>
      <c r="M7376" t="s">
        <v>51</v>
      </c>
      <c r="N7376" t="s">
        <v>29</v>
      </c>
    </row>
    <row r="7377" spans="1:14">
      <c r="A7377" s="4" t="str">
        <f t="shared" si="683"/>
        <v>EXP00259</v>
      </c>
      <c r="B7377" s="4" t="str">
        <f t="shared" si="684"/>
        <v>26499327</v>
      </c>
      <c r="C7377" s="4" t="str">
        <f t="shared" si="685"/>
        <v>GSE64256</v>
      </c>
      <c r="D7377" s="1" t="s">
        <v>45</v>
      </c>
      <c r="E7377" t="s">
        <v>68</v>
      </c>
      <c r="F7377" s="1">
        <v>1</v>
      </c>
      <c r="G7377" s="1" t="s">
        <v>31</v>
      </c>
      <c r="H7377" s="4" t="str">
        <f>HYPERLINK("https://www.ncbi.nlm.nih.gov/geo/query/acc.cgi?acc=GSM1567141","GSM1567141")</f>
        <v>GSM1567141</v>
      </c>
      <c r="I7377" t="s">
        <v>69</v>
      </c>
      <c r="J7377" t="s">
        <v>18</v>
      </c>
      <c r="K7377" t="s">
        <v>19</v>
      </c>
      <c r="L7377" t="s">
        <v>70</v>
      </c>
      <c r="M7377" t="s">
        <v>51</v>
      </c>
      <c r="N7377" t="s">
        <v>29</v>
      </c>
    </row>
    <row r="7378" spans="1:14">
      <c r="A7378" s="4" t="str">
        <f t="shared" si="683"/>
        <v>EXP00259</v>
      </c>
      <c r="B7378" s="4" t="str">
        <f t="shared" si="684"/>
        <v>26499327</v>
      </c>
      <c r="C7378" s="4" t="str">
        <f t="shared" si="685"/>
        <v>GSE64256</v>
      </c>
      <c r="D7378" s="1" t="s">
        <v>45</v>
      </c>
      <c r="E7378" t="s">
        <v>68</v>
      </c>
      <c r="F7378" s="1">
        <v>1</v>
      </c>
      <c r="G7378" s="1" t="s">
        <v>31</v>
      </c>
      <c r="H7378" s="4" t="str">
        <f>HYPERLINK("https://www.ncbi.nlm.nih.gov/geo/query/acc.cgi?acc=GSM1567155","GSM1567155")</f>
        <v>GSM1567155</v>
      </c>
      <c r="I7378" t="s">
        <v>69</v>
      </c>
      <c r="J7378" t="s">
        <v>18</v>
      </c>
      <c r="K7378" t="s">
        <v>19</v>
      </c>
      <c r="L7378" t="s">
        <v>70</v>
      </c>
      <c r="M7378" t="s">
        <v>51</v>
      </c>
      <c r="N7378" t="s">
        <v>29</v>
      </c>
    </row>
    <row r="7379" spans="1:14">
      <c r="A7379" s="4" t="str">
        <f t="shared" si="683"/>
        <v>EXP00259</v>
      </c>
      <c r="B7379" s="4" t="str">
        <f t="shared" si="684"/>
        <v>26499327</v>
      </c>
      <c r="C7379" s="4" t="str">
        <f t="shared" si="685"/>
        <v>GSE64256</v>
      </c>
      <c r="D7379" s="1" t="s">
        <v>45</v>
      </c>
      <c r="E7379" t="s">
        <v>68</v>
      </c>
      <c r="F7379" s="1">
        <v>1</v>
      </c>
      <c r="G7379" s="1" t="s">
        <v>31</v>
      </c>
      <c r="H7379" s="4" t="str">
        <f>HYPERLINK("https://www.ncbi.nlm.nih.gov/geo/query/acc.cgi?acc=GSM1567157","GSM1567157")</f>
        <v>GSM1567157</v>
      </c>
      <c r="I7379" t="s">
        <v>69</v>
      </c>
      <c r="J7379" t="s">
        <v>18</v>
      </c>
      <c r="K7379" t="s">
        <v>19</v>
      </c>
      <c r="L7379" t="s">
        <v>70</v>
      </c>
      <c r="M7379" t="s">
        <v>51</v>
      </c>
      <c r="N7379" t="s">
        <v>29</v>
      </c>
    </row>
    <row r="7380" spans="1:14">
      <c r="A7380" s="4" t="str">
        <f t="shared" si="683"/>
        <v>EXP00259</v>
      </c>
      <c r="B7380" s="4" t="str">
        <f t="shared" si="684"/>
        <v>26499327</v>
      </c>
      <c r="C7380" s="4" t="str">
        <f t="shared" si="685"/>
        <v>GSE64256</v>
      </c>
      <c r="D7380" s="1" t="s">
        <v>45</v>
      </c>
      <c r="E7380" t="s">
        <v>68</v>
      </c>
      <c r="F7380" s="1">
        <v>1</v>
      </c>
      <c r="G7380" s="1" t="s">
        <v>31</v>
      </c>
      <c r="H7380" s="4" t="str">
        <f>HYPERLINK("https://www.ncbi.nlm.nih.gov/geo/query/acc.cgi?acc=GSM1567161","GSM1567161")</f>
        <v>GSM1567161</v>
      </c>
      <c r="I7380" t="s">
        <v>69</v>
      </c>
      <c r="J7380" t="s">
        <v>18</v>
      </c>
      <c r="K7380" t="s">
        <v>19</v>
      </c>
      <c r="L7380" t="s">
        <v>70</v>
      </c>
      <c r="M7380" t="s">
        <v>51</v>
      </c>
      <c r="N7380" t="s">
        <v>29</v>
      </c>
    </row>
    <row r="7381" spans="1:14">
      <c r="A7381" s="4" t="str">
        <f t="shared" si="683"/>
        <v>EXP00259</v>
      </c>
      <c r="B7381" s="4" t="str">
        <f t="shared" si="684"/>
        <v>26499327</v>
      </c>
      <c r="C7381" s="4" t="str">
        <f t="shared" si="685"/>
        <v>GSE64256</v>
      </c>
      <c r="D7381" s="1" t="s">
        <v>45</v>
      </c>
      <c r="E7381" t="s">
        <v>68</v>
      </c>
      <c r="F7381" s="1">
        <v>1</v>
      </c>
      <c r="G7381" s="1" t="s">
        <v>31</v>
      </c>
      <c r="H7381" s="4" t="str">
        <f>HYPERLINK("https://www.ncbi.nlm.nih.gov/geo/query/acc.cgi?acc=GSM1567173","GSM1567173")</f>
        <v>GSM1567173</v>
      </c>
      <c r="I7381" t="s">
        <v>69</v>
      </c>
      <c r="J7381" t="s">
        <v>18</v>
      </c>
      <c r="K7381" t="s">
        <v>19</v>
      </c>
      <c r="L7381" t="s">
        <v>70</v>
      </c>
      <c r="M7381" t="s">
        <v>51</v>
      </c>
      <c r="N7381" t="s">
        <v>29</v>
      </c>
    </row>
    <row r="7382" spans="1:14">
      <c r="A7382" s="4" t="str">
        <f t="shared" si="683"/>
        <v>EXP00259</v>
      </c>
      <c r="B7382" s="4" t="str">
        <f t="shared" si="684"/>
        <v>26499327</v>
      </c>
      <c r="C7382" s="4" t="str">
        <f t="shared" si="685"/>
        <v>GSE64256</v>
      </c>
      <c r="D7382" s="1" t="s">
        <v>45</v>
      </c>
      <c r="E7382" t="s">
        <v>68</v>
      </c>
      <c r="F7382" s="1">
        <v>1</v>
      </c>
      <c r="G7382" s="1" t="s">
        <v>31</v>
      </c>
      <c r="H7382" s="4" t="str">
        <f>HYPERLINK("https://www.ncbi.nlm.nih.gov/geo/query/acc.cgi?acc=GSM1567180","GSM1567180")</f>
        <v>GSM1567180</v>
      </c>
      <c r="I7382" t="s">
        <v>69</v>
      </c>
      <c r="J7382" t="s">
        <v>18</v>
      </c>
      <c r="K7382" t="s">
        <v>19</v>
      </c>
      <c r="L7382" t="s">
        <v>70</v>
      </c>
      <c r="M7382" t="s">
        <v>51</v>
      </c>
      <c r="N7382" t="s">
        <v>29</v>
      </c>
    </row>
    <row r="7383" spans="1:14">
      <c r="A7383" s="4" t="str">
        <f t="shared" si="683"/>
        <v>EXP00259</v>
      </c>
      <c r="B7383" s="4" t="str">
        <f t="shared" si="684"/>
        <v>26499327</v>
      </c>
      <c r="C7383" s="4" t="str">
        <f t="shared" si="685"/>
        <v>GSE64256</v>
      </c>
      <c r="D7383" s="1" t="s">
        <v>45</v>
      </c>
      <c r="E7383" t="s">
        <v>68</v>
      </c>
      <c r="F7383" s="1">
        <v>1</v>
      </c>
      <c r="G7383" s="1" t="s">
        <v>31</v>
      </c>
      <c r="H7383" s="4" t="str">
        <f>HYPERLINK("https://www.ncbi.nlm.nih.gov/geo/query/acc.cgi?acc=GSM1567191","GSM1567191")</f>
        <v>GSM1567191</v>
      </c>
      <c r="I7383" t="s">
        <v>69</v>
      </c>
      <c r="J7383" t="s">
        <v>18</v>
      </c>
      <c r="K7383" t="s">
        <v>19</v>
      </c>
      <c r="L7383" t="s">
        <v>70</v>
      </c>
      <c r="M7383" t="s">
        <v>51</v>
      </c>
      <c r="N7383" t="s">
        <v>29</v>
      </c>
    </row>
    <row r="7384" spans="1:14">
      <c r="A7384" s="4" t="str">
        <f t="shared" si="683"/>
        <v>EXP00259</v>
      </c>
      <c r="B7384" s="4" t="str">
        <f t="shared" si="684"/>
        <v>26499327</v>
      </c>
      <c r="C7384" s="4" t="str">
        <f t="shared" si="685"/>
        <v>GSE64256</v>
      </c>
      <c r="D7384" s="1" t="s">
        <v>45</v>
      </c>
      <c r="E7384" t="s">
        <v>68</v>
      </c>
      <c r="F7384" s="1">
        <v>1</v>
      </c>
      <c r="G7384" s="1" t="s">
        <v>31</v>
      </c>
      <c r="H7384" s="4" t="str">
        <f>HYPERLINK("https://www.ncbi.nlm.nih.gov/geo/query/acc.cgi?acc=GSM1567194","GSM1567194")</f>
        <v>GSM1567194</v>
      </c>
      <c r="I7384" t="s">
        <v>69</v>
      </c>
      <c r="J7384" t="s">
        <v>18</v>
      </c>
      <c r="K7384" t="s">
        <v>19</v>
      </c>
      <c r="L7384" t="s">
        <v>70</v>
      </c>
      <c r="M7384" t="s">
        <v>51</v>
      </c>
      <c r="N7384" t="s">
        <v>29</v>
      </c>
    </row>
    <row r="7385" spans="1:14">
      <c r="A7385" s="4" t="str">
        <f t="shared" si="683"/>
        <v>EXP00259</v>
      </c>
      <c r="B7385" s="4" t="str">
        <f t="shared" si="684"/>
        <v>26499327</v>
      </c>
      <c r="C7385" s="4" t="str">
        <f t="shared" si="685"/>
        <v>GSE64256</v>
      </c>
      <c r="D7385" s="1" t="s">
        <v>45</v>
      </c>
      <c r="E7385" t="s">
        <v>68</v>
      </c>
      <c r="F7385" s="1">
        <v>1</v>
      </c>
      <c r="G7385" s="1" t="s">
        <v>31</v>
      </c>
      <c r="H7385" s="4" t="str">
        <f>HYPERLINK("https://www.ncbi.nlm.nih.gov/geo/query/acc.cgi?acc=GSM1567198","GSM1567198")</f>
        <v>GSM1567198</v>
      </c>
      <c r="I7385" t="s">
        <v>69</v>
      </c>
      <c r="J7385" t="s">
        <v>18</v>
      </c>
      <c r="K7385" t="s">
        <v>19</v>
      </c>
      <c r="L7385" t="s">
        <v>70</v>
      </c>
      <c r="M7385" t="s">
        <v>51</v>
      </c>
      <c r="N7385" t="s">
        <v>29</v>
      </c>
    </row>
    <row r="7386" spans="1:14">
      <c r="A7386" s="4" t="str">
        <f t="shared" si="683"/>
        <v>EXP00259</v>
      </c>
      <c r="B7386" s="4" t="str">
        <f t="shared" si="684"/>
        <v>26499327</v>
      </c>
      <c r="C7386" s="4" t="str">
        <f t="shared" si="685"/>
        <v>GSE64256</v>
      </c>
      <c r="D7386" s="1" t="s">
        <v>45</v>
      </c>
      <c r="E7386" t="s">
        <v>68</v>
      </c>
      <c r="F7386" s="1">
        <v>1</v>
      </c>
      <c r="G7386" s="1" t="s">
        <v>31</v>
      </c>
      <c r="H7386" s="4" t="str">
        <f>HYPERLINK("https://www.ncbi.nlm.nih.gov/geo/query/acc.cgi?acc=GSM1567204","GSM1567204")</f>
        <v>GSM1567204</v>
      </c>
      <c r="I7386" t="s">
        <v>69</v>
      </c>
      <c r="J7386" t="s">
        <v>18</v>
      </c>
      <c r="K7386" t="s">
        <v>19</v>
      </c>
      <c r="L7386" t="s">
        <v>70</v>
      </c>
      <c r="M7386" t="s">
        <v>51</v>
      </c>
      <c r="N7386" t="s">
        <v>29</v>
      </c>
    </row>
    <row r="7387" spans="1:14">
      <c r="A7387" s="4" t="str">
        <f t="shared" si="683"/>
        <v>EXP00259</v>
      </c>
      <c r="B7387" s="4" t="str">
        <f t="shared" si="684"/>
        <v>26499327</v>
      </c>
      <c r="C7387" s="4" t="str">
        <f t="shared" si="685"/>
        <v>GSE64256</v>
      </c>
      <c r="D7387" s="1" t="s">
        <v>45</v>
      </c>
      <c r="E7387" t="s">
        <v>68</v>
      </c>
      <c r="F7387" s="1">
        <v>1</v>
      </c>
      <c r="G7387" s="1" t="s">
        <v>31</v>
      </c>
      <c r="H7387" s="4" t="str">
        <f>HYPERLINK("https://www.ncbi.nlm.nih.gov/geo/query/acc.cgi?acc=GSM1567207","GSM1567207")</f>
        <v>GSM1567207</v>
      </c>
      <c r="I7387" t="s">
        <v>69</v>
      </c>
      <c r="J7387" t="s">
        <v>18</v>
      </c>
      <c r="K7387" t="s">
        <v>19</v>
      </c>
      <c r="L7387" t="s">
        <v>70</v>
      </c>
      <c r="M7387" t="s">
        <v>51</v>
      </c>
      <c r="N7387" t="s">
        <v>29</v>
      </c>
    </row>
    <row r="7388" spans="1:14">
      <c r="A7388" s="4" t="str">
        <f t="shared" si="683"/>
        <v>EXP00259</v>
      </c>
      <c r="B7388" s="4" t="str">
        <f t="shared" si="684"/>
        <v>26499327</v>
      </c>
      <c r="C7388" s="4" t="str">
        <f t="shared" si="685"/>
        <v>GSE64256</v>
      </c>
      <c r="D7388" s="1" t="s">
        <v>45</v>
      </c>
      <c r="E7388" t="s">
        <v>68</v>
      </c>
      <c r="F7388" s="1">
        <v>1</v>
      </c>
      <c r="G7388" s="1" t="s">
        <v>31</v>
      </c>
      <c r="H7388" s="4" t="str">
        <f>HYPERLINK("https://www.ncbi.nlm.nih.gov/geo/query/acc.cgi?acc=GSM1567209","GSM1567209")</f>
        <v>GSM1567209</v>
      </c>
      <c r="I7388" t="s">
        <v>69</v>
      </c>
      <c r="J7388" t="s">
        <v>18</v>
      </c>
      <c r="K7388" t="s">
        <v>19</v>
      </c>
      <c r="L7388" t="s">
        <v>70</v>
      </c>
      <c r="M7388" t="s">
        <v>51</v>
      </c>
      <c r="N7388" t="s">
        <v>29</v>
      </c>
    </row>
    <row r="7389" spans="1:14">
      <c r="A7389" s="4" t="str">
        <f t="shared" si="683"/>
        <v>EXP00259</v>
      </c>
      <c r="B7389" s="4" t="str">
        <f t="shared" si="684"/>
        <v>26499327</v>
      </c>
      <c r="C7389" s="4" t="str">
        <f t="shared" si="685"/>
        <v>GSE64256</v>
      </c>
      <c r="D7389" s="1" t="s">
        <v>45</v>
      </c>
      <c r="E7389" t="s">
        <v>68</v>
      </c>
      <c r="F7389" s="1">
        <v>1</v>
      </c>
      <c r="G7389" s="1" t="s">
        <v>31</v>
      </c>
      <c r="H7389" s="4" t="str">
        <f>HYPERLINK("https://www.ncbi.nlm.nih.gov/geo/query/acc.cgi?acc=GSM1567210","GSM1567210")</f>
        <v>GSM1567210</v>
      </c>
      <c r="I7389" t="s">
        <v>69</v>
      </c>
      <c r="J7389" t="s">
        <v>18</v>
      </c>
      <c r="K7389" t="s">
        <v>19</v>
      </c>
      <c r="L7389" t="s">
        <v>70</v>
      </c>
      <c r="M7389" t="s">
        <v>51</v>
      </c>
      <c r="N7389" t="s">
        <v>29</v>
      </c>
    </row>
    <row r="7390" spans="1:14">
      <c r="A7390" s="4" t="str">
        <f t="shared" si="683"/>
        <v>EXP00259</v>
      </c>
      <c r="B7390" s="4" t="str">
        <f t="shared" si="684"/>
        <v>26499327</v>
      </c>
      <c r="C7390" s="4" t="str">
        <f t="shared" si="685"/>
        <v>GSE64256</v>
      </c>
      <c r="D7390" s="1" t="s">
        <v>45</v>
      </c>
      <c r="E7390" t="s">
        <v>68</v>
      </c>
      <c r="F7390" s="1">
        <v>1</v>
      </c>
      <c r="G7390" s="1" t="s">
        <v>31</v>
      </c>
      <c r="H7390" s="4" t="str">
        <f>HYPERLINK("https://www.ncbi.nlm.nih.gov/geo/query/acc.cgi?acc=GSM1567213","GSM1567213")</f>
        <v>GSM1567213</v>
      </c>
      <c r="I7390" t="s">
        <v>69</v>
      </c>
      <c r="J7390" t="s">
        <v>18</v>
      </c>
      <c r="K7390" t="s">
        <v>19</v>
      </c>
      <c r="L7390" t="s">
        <v>70</v>
      </c>
      <c r="M7390" t="s">
        <v>51</v>
      </c>
      <c r="N7390" t="s">
        <v>29</v>
      </c>
    </row>
    <row r="7391" spans="1:14">
      <c r="A7391" s="4" t="str">
        <f t="shared" si="683"/>
        <v>EXP00259</v>
      </c>
      <c r="B7391" s="4" t="str">
        <f t="shared" si="684"/>
        <v>26499327</v>
      </c>
      <c r="C7391" s="4" t="str">
        <f t="shared" si="685"/>
        <v>GSE64256</v>
      </c>
      <c r="D7391" s="1" t="s">
        <v>45</v>
      </c>
      <c r="E7391" t="s">
        <v>68</v>
      </c>
      <c r="F7391" s="1">
        <v>1</v>
      </c>
      <c r="G7391" s="1" t="s">
        <v>31</v>
      </c>
      <c r="H7391" s="4" t="str">
        <f>HYPERLINK("https://www.ncbi.nlm.nih.gov/geo/query/acc.cgi?acc=GSM1567216","GSM1567216")</f>
        <v>GSM1567216</v>
      </c>
      <c r="I7391" t="s">
        <v>69</v>
      </c>
      <c r="J7391" t="s">
        <v>18</v>
      </c>
      <c r="K7391" t="s">
        <v>19</v>
      </c>
      <c r="L7391" t="s">
        <v>70</v>
      </c>
      <c r="M7391" t="s">
        <v>51</v>
      </c>
      <c r="N7391" t="s">
        <v>29</v>
      </c>
    </row>
    <row r="7392" spans="1:14">
      <c r="A7392" s="4" t="str">
        <f t="shared" si="683"/>
        <v>EXP00259</v>
      </c>
      <c r="B7392" s="4" t="str">
        <f t="shared" si="684"/>
        <v>26499327</v>
      </c>
      <c r="C7392" s="4" t="str">
        <f t="shared" si="685"/>
        <v>GSE64256</v>
      </c>
      <c r="D7392" s="1" t="s">
        <v>45</v>
      </c>
      <c r="E7392" t="s">
        <v>68</v>
      </c>
      <c r="F7392" s="1">
        <v>2</v>
      </c>
      <c r="G7392" s="1" t="s">
        <v>32</v>
      </c>
      <c r="H7392" s="4" t="str">
        <f>HYPERLINK("https://www.ncbi.nlm.nih.gov/geo/query/acc.cgi?acc=GSM1567093","GSM1567093")</f>
        <v>GSM1567093</v>
      </c>
      <c r="I7392" t="s">
        <v>69</v>
      </c>
      <c r="J7392" t="s">
        <v>18</v>
      </c>
      <c r="K7392" t="s">
        <v>33</v>
      </c>
      <c r="L7392" t="s">
        <v>70</v>
      </c>
      <c r="N7392" t="s">
        <v>29</v>
      </c>
    </row>
    <row r="7393" spans="1:14">
      <c r="A7393" s="4" t="str">
        <f t="shared" si="683"/>
        <v>EXP00259</v>
      </c>
      <c r="B7393" s="4" t="str">
        <f t="shared" si="684"/>
        <v>26499327</v>
      </c>
      <c r="C7393" s="4" t="str">
        <f t="shared" si="685"/>
        <v>GSE64256</v>
      </c>
      <c r="D7393" s="1" t="s">
        <v>45</v>
      </c>
      <c r="E7393" t="s">
        <v>68</v>
      </c>
      <c r="F7393" s="1">
        <v>2</v>
      </c>
      <c r="G7393" s="1" t="s">
        <v>32</v>
      </c>
      <c r="H7393" s="4" t="str">
        <f>HYPERLINK("https://www.ncbi.nlm.nih.gov/geo/query/acc.cgi?acc=GSM1567094","GSM1567094")</f>
        <v>GSM1567094</v>
      </c>
      <c r="I7393" t="s">
        <v>69</v>
      </c>
      <c r="J7393" t="s">
        <v>18</v>
      </c>
      <c r="K7393" t="s">
        <v>33</v>
      </c>
      <c r="L7393" t="s">
        <v>70</v>
      </c>
      <c r="N7393" t="s">
        <v>29</v>
      </c>
    </row>
    <row r="7394" spans="1:14">
      <c r="A7394" s="4" t="str">
        <f t="shared" si="683"/>
        <v>EXP00259</v>
      </c>
      <c r="B7394" s="4" t="str">
        <f t="shared" si="684"/>
        <v>26499327</v>
      </c>
      <c r="C7394" s="4" t="str">
        <f t="shared" si="685"/>
        <v>GSE64256</v>
      </c>
      <c r="D7394" s="1" t="s">
        <v>45</v>
      </c>
      <c r="E7394" t="s">
        <v>68</v>
      </c>
      <c r="F7394" s="1">
        <v>2</v>
      </c>
      <c r="G7394" s="1" t="s">
        <v>32</v>
      </c>
      <c r="H7394" s="4" t="str">
        <f>HYPERLINK("https://www.ncbi.nlm.nih.gov/geo/query/acc.cgi?acc=GSM1567095","GSM1567095")</f>
        <v>GSM1567095</v>
      </c>
      <c r="I7394" t="s">
        <v>69</v>
      </c>
      <c r="J7394" t="s">
        <v>18</v>
      </c>
      <c r="K7394" t="s">
        <v>33</v>
      </c>
      <c r="L7394" t="s">
        <v>70</v>
      </c>
      <c r="N7394" t="s">
        <v>29</v>
      </c>
    </row>
    <row r="7395" spans="1:14">
      <c r="A7395" s="4" t="str">
        <f t="shared" si="683"/>
        <v>EXP00259</v>
      </c>
      <c r="B7395" s="4" t="str">
        <f t="shared" si="684"/>
        <v>26499327</v>
      </c>
      <c r="C7395" s="4" t="str">
        <f t="shared" si="685"/>
        <v>GSE64256</v>
      </c>
      <c r="D7395" s="1" t="s">
        <v>45</v>
      </c>
      <c r="E7395" t="s">
        <v>68</v>
      </c>
      <c r="F7395" s="1">
        <v>2</v>
      </c>
      <c r="G7395" s="1" t="s">
        <v>32</v>
      </c>
      <c r="H7395" s="4" t="str">
        <f>HYPERLINK("https://www.ncbi.nlm.nih.gov/geo/query/acc.cgi?acc=GSM1567096","GSM1567096")</f>
        <v>GSM1567096</v>
      </c>
      <c r="I7395" t="s">
        <v>69</v>
      </c>
      <c r="J7395" t="s">
        <v>18</v>
      </c>
      <c r="K7395" t="s">
        <v>33</v>
      </c>
      <c r="L7395" t="s">
        <v>70</v>
      </c>
      <c r="N7395" t="s">
        <v>29</v>
      </c>
    </row>
    <row r="7396" spans="1:14">
      <c r="A7396" s="4" t="str">
        <f t="shared" si="683"/>
        <v>EXP00259</v>
      </c>
      <c r="B7396" s="4" t="str">
        <f t="shared" si="684"/>
        <v>26499327</v>
      </c>
      <c r="C7396" s="4" t="str">
        <f t="shared" si="685"/>
        <v>GSE64256</v>
      </c>
      <c r="D7396" s="1" t="s">
        <v>45</v>
      </c>
      <c r="E7396" t="s">
        <v>68</v>
      </c>
      <c r="F7396" s="1">
        <v>2</v>
      </c>
      <c r="G7396" s="1" t="s">
        <v>32</v>
      </c>
      <c r="H7396" s="4" t="str">
        <f>HYPERLINK("https://www.ncbi.nlm.nih.gov/geo/query/acc.cgi?acc=GSM1567098","GSM1567098")</f>
        <v>GSM1567098</v>
      </c>
      <c r="I7396" t="s">
        <v>69</v>
      </c>
      <c r="J7396" t="s">
        <v>18</v>
      </c>
      <c r="K7396" t="s">
        <v>33</v>
      </c>
      <c r="L7396" t="s">
        <v>70</v>
      </c>
      <c r="N7396" t="s">
        <v>29</v>
      </c>
    </row>
    <row r="7397" spans="1:14">
      <c r="A7397" s="4" t="str">
        <f t="shared" si="683"/>
        <v>EXP00259</v>
      </c>
      <c r="B7397" s="4" t="str">
        <f t="shared" si="684"/>
        <v>26499327</v>
      </c>
      <c r="C7397" s="4" t="str">
        <f t="shared" si="685"/>
        <v>GSE64256</v>
      </c>
      <c r="D7397" s="1" t="s">
        <v>45</v>
      </c>
      <c r="E7397" t="s">
        <v>68</v>
      </c>
      <c r="F7397" s="1">
        <v>2</v>
      </c>
      <c r="G7397" s="1" t="s">
        <v>32</v>
      </c>
      <c r="H7397" s="4" t="str">
        <f>HYPERLINK("https://www.ncbi.nlm.nih.gov/geo/query/acc.cgi?acc=GSM1567099","GSM1567099")</f>
        <v>GSM1567099</v>
      </c>
      <c r="I7397" t="s">
        <v>69</v>
      </c>
      <c r="J7397" t="s">
        <v>18</v>
      </c>
      <c r="K7397" t="s">
        <v>33</v>
      </c>
      <c r="L7397" t="s">
        <v>70</v>
      </c>
      <c r="N7397" t="s">
        <v>29</v>
      </c>
    </row>
    <row r="7398" spans="1:14">
      <c r="A7398" s="4" t="str">
        <f t="shared" ref="A7398:A7429" si="686">HYPERLINK("http://hcmdb.i-sanger.com/experiment/details/experiment_id/EXP00259","EXP00259")</f>
        <v>EXP00259</v>
      </c>
      <c r="B7398" s="4" t="str">
        <f t="shared" ref="B7398:B7429" si="687">HYPERLINK("https://www.ncbi.nlm.nih.gov/pubmed/26499327","26499327")</f>
        <v>26499327</v>
      </c>
      <c r="C7398" s="4" t="str">
        <f t="shared" ref="C7398:C7429" si="688">HYPERLINK("https://www.ncbi.nlm.nih.gov/geo/query/acc.cgi?acc=GSE64256","GSE64256")</f>
        <v>GSE64256</v>
      </c>
      <c r="D7398" s="1" t="s">
        <v>45</v>
      </c>
      <c r="E7398" t="s">
        <v>68</v>
      </c>
      <c r="F7398" s="1">
        <v>2</v>
      </c>
      <c r="G7398" s="1" t="s">
        <v>32</v>
      </c>
      <c r="H7398" s="4" t="str">
        <f>HYPERLINK("https://www.ncbi.nlm.nih.gov/geo/query/acc.cgi?acc=GSM1567100","GSM1567100")</f>
        <v>GSM1567100</v>
      </c>
      <c r="I7398" t="s">
        <v>69</v>
      </c>
      <c r="J7398" t="s">
        <v>18</v>
      </c>
      <c r="K7398" t="s">
        <v>33</v>
      </c>
      <c r="L7398" t="s">
        <v>70</v>
      </c>
      <c r="N7398" t="s">
        <v>29</v>
      </c>
    </row>
    <row r="7399" spans="1:14">
      <c r="A7399" s="4" t="str">
        <f t="shared" si="686"/>
        <v>EXP00259</v>
      </c>
      <c r="B7399" s="4" t="str">
        <f t="shared" si="687"/>
        <v>26499327</v>
      </c>
      <c r="C7399" s="4" t="str">
        <f t="shared" si="688"/>
        <v>GSE64256</v>
      </c>
      <c r="D7399" s="1" t="s">
        <v>45</v>
      </c>
      <c r="E7399" t="s">
        <v>68</v>
      </c>
      <c r="F7399" s="1">
        <v>2</v>
      </c>
      <c r="G7399" s="1" t="s">
        <v>32</v>
      </c>
      <c r="H7399" s="4" t="str">
        <f>HYPERLINK("https://www.ncbi.nlm.nih.gov/geo/query/acc.cgi?acc=GSM1567101","GSM1567101")</f>
        <v>GSM1567101</v>
      </c>
      <c r="I7399" t="s">
        <v>69</v>
      </c>
      <c r="J7399" t="s">
        <v>18</v>
      </c>
      <c r="K7399" t="s">
        <v>33</v>
      </c>
      <c r="L7399" t="s">
        <v>70</v>
      </c>
      <c r="N7399" t="s">
        <v>29</v>
      </c>
    </row>
    <row r="7400" spans="1:14">
      <c r="A7400" s="4" t="str">
        <f t="shared" si="686"/>
        <v>EXP00259</v>
      </c>
      <c r="B7400" s="4" t="str">
        <f t="shared" si="687"/>
        <v>26499327</v>
      </c>
      <c r="C7400" s="4" t="str">
        <f t="shared" si="688"/>
        <v>GSE64256</v>
      </c>
      <c r="D7400" s="1" t="s">
        <v>45</v>
      </c>
      <c r="E7400" t="s">
        <v>68</v>
      </c>
      <c r="F7400" s="1">
        <v>2</v>
      </c>
      <c r="G7400" s="1" t="s">
        <v>32</v>
      </c>
      <c r="H7400" s="4" t="str">
        <f>HYPERLINK("https://www.ncbi.nlm.nih.gov/geo/query/acc.cgi?acc=GSM1567103","GSM1567103")</f>
        <v>GSM1567103</v>
      </c>
      <c r="I7400" t="s">
        <v>69</v>
      </c>
      <c r="J7400" t="s">
        <v>18</v>
      </c>
      <c r="K7400" t="s">
        <v>33</v>
      </c>
      <c r="L7400" t="s">
        <v>70</v>
      </c>
      <c r="N7400" t="s">
        <v>29</v>
      </c>
    </row>
    <row r="7401" spans="1:14">
      <c r="A7401" s="4" t="str">
        <f t="shared" si="686"/>
        <v>EXP00259</v>
      </c>
      <c r="B7401" s="4" t="str">
        <f t="shared" si="687"/>
        <v>26499327</v>
      </c>
      <c r="C7401" s="4" t="str">
        <f t="shared" si="688"/>
        <v>GSE64256</v>
      </c>
      <c r="D7401" s="1" t="s">
        <v>45</v>
      </c>
      <c r="E7401" t="s">
        <v>68</v>
      </c>
      <c r="F7401" s="1">
        <v>2</v>
      </c>
      <c r="G7401" s="1" t="s">
        <v>32</v>
      </c>
      <c r="H7401" s="4" t="str">
        <f>HYPERLINK("https://www.ncbi.nlm.nih.gov/geo/query/acc.cgi?acc=GSM1567104","GSM1567104")</f>
        <v>GSM1567104</v>
      </c>
      <c r="I7401" t="s">
        <v>69</v>
      </c>
      <c r="J7401" t="s">
        <v>18</v>
      </c>
      <c r="K7401" t="s">
        <v>33</v>
      </c>
      <c r="L7401" t="s">
        <v>70</v>
      </c>
      <c r="N7401" t="s">
        <v>29</v>
      </c>
    </row>
    <row r="7402" spans="1:14">
      <c r="A7402" s="4" t="str">
        <f t="shared" si="686"/>
        <v>EXP00259</v>
      </c>
      <c r="B7402" s="4" t="str">
        <f t="shared" si="687"/>
        <v>26499327</v>
      </c>
      <c r="C7402" s="4" t="str">
        <f t="shared" si="688"/>
        <v>GSE64256</v>
      </c>
      <c r="D7402" s="1" t="s">
        <v>45</v>
      </c>
      <c r="E7402" t="s">
        <v>68</v>
      </c>
      <c r="F7402" s="1">
        <v>2</v>
      </c>
      <c r="G7402" s="1" t="s">
        <v>32</v>
      </c>
      <c r="H7402" s="4" t="str">
        <f>HYPERLINK("https://www.ncbi.nlm.nih.gov/geo/query/acc.cgi?acc=GSM1567105","GSM1567105")</f>
        <v>GSM1567105</v>
      </c>
      <c r="I7402" t="s">
        <v>69</v>
      </c>
      <c r="J7402" t="s">
        <v>18</v>
      </c>
      <c r="K7402" t="s">
        <v>33</v>
      </c>
      <c r="L7402" t="s">
        <v>70</v>
      </c>
      <c r="N7402" t="s">
        <v>29</v>
      </c>
    </row>
    <row r="7403" spans="1:14">
      <c r="A7403" s="4" t="str">
        <f t="shared" si="686"/>
        <v>EXP00259</v>
      </c>
      <c r="B7403" s="4" t="str">
        <f t="shared" si="687"/>
        <v>26499327</v>
      </c>
      <c r="C7403" s="4" t="str">
        <f t="shared" si="688"/>
        <v>GSE64256</v>
      </c>
      <c r="D7403" s="1" t="s">
        <v>45</v>
      </c>
      <c r="E7403" t="s">
        <v>68</v>
      </c>
      <c r="F7403" s="1">
        <v>2</v>
      </c>
      <c r="G7403" s="1" t="s">
        <v>32</v>
      </c>
      <c r="H7403" s="4" t="str">
        <f>HYPERLINK("https://www.ncbi.nlm.nih.gov/geo/query/acc.cgi?acc=GSM1567106","GSM1567106")</f>
        <v>GSM1567106</v>
      </c>
      <c r="I7403" t="s">
        <v>69</v>
      </c>
      <c r="J7403" t="s">
        <v>18</v>
      </c>
      <c r="K7403" t="s">
        <v>33</v>
      </c>
      <c r="L7403" t="s">
        <v>70</v>
      </c>
      <c r="N7403" t="s">
        <v>29</v>
      </c>
    </row>
    <row r="7404" spans="1:14">
      <c r="A7404" s="4" t="str">
        <f t="shared" si="686"/>
        <v>EXP00259</v>
      </c>
      <c r="B7404" s="4" t="str">
        <f t="shared" si="687"/>
        <v>26499327</v>
      </c>
      <c r="C7404" s="4" t="str">
        <f t="shared" si="688"/>
        <v>GSE64256</v>
      </c>
      <c r="D7404" s="1" t="s">
        <v>45</v>
      </c>
      <c r="E7404" t="s">
        <v>68</v>
      </c>
      <c r="F7404" s="1">
        <v>2</v>
      </c>
      <c r="G7404" s="1" t="s">
        <v>32</v>
      </c>
      <c r="H7404" s="4" t="str">
        <f>HYPERLINK("https://www.ncbi.nlm.nih.gov/geo/query/acc.cgi?acc=GSM1567107","GSM1567107")</f>
        <v>GSM1567107</v>
      </c>
      <c r="I7404" t="s">
        <v>69</v>
      </c>
      <c r="J7404" t="s">
        <v>18</v>
      </c>
      <c r="K7404" t="s">
        <v>33</v>
      </c>
      <c r="L7404" t="s">
        <v>70</v>
      </c>
      <c r="N7404" t="s">
        <v>29</v>
      </c>
    </row>
    <row r="7405" spans="1:14">
      <c r="A7405" s="4" t="str">
        <f t="shared" si="686"/>
        <v>EXP00259</v>
      </c>
      <c r="B7405" s="4" t="str">
        <f t="shared" si="687"/>
        <v>26499327</v>
      </c>
      <c r="C7405" s="4" t="str">
        <f t="shared" si="688"/>
        <v>GSE64256</v>
      </c>
      <c r="D7405" s="1" t="s">
        <v>45</v>
      </c>
      <c r="E7405" t="s">
        <v>68</v>
      </c>
      <c r="F7405" s="1">
        <v>2</v>
      </c>
      <c r="G7405" s="1" t="s">
        <v>32</v>
      </c>
      <c r="H7405" s="4" t="str">
        <f>HYPERLINK("https://www.ncbi.nlm.nih.gov/geo/query/acc.cgi?acc=GSM1567108","GSM1567108")</f>
        <v>GSM1567108</v>
      </c>
      <c r="I7405" t="s">
        <v>69</v>
      </c>
      <c r="J7405" t="s">
        <v>18</v>
      </c>
      <c r="K7405" t="s">
        <v>33</v>
      </c>
      <c r="L7405" t="s">
        <v>70</v>
      </c>
      <c r="N7405" t="s">
        <v>29</v>
      </c>
    </row>
    <row r="7406" spans="1:14">
      <c r="A7406" s="4" t="str">
        <f t="shared" si="686"/>
        <v>EXP00259</v>
      </c>
      <c r="B7406" s="4" t="str">
        <f t="shared" si="687"/>
        <v>26499327</v>
      </c>
      <c r="C7406" s="4" t="str">
        <f t="shared" si="688"/>
        <v>GSE64256</v>
      </c>
      <c r="D7406" s="1" t="s">
        <v>45</v>
      </c>
      <c r="E7406" t="s">
        <v>68</v>
      </c>
      <c r="F7406" s="1">
        <v>2</v>
      </c>
      <c r="G7406" s="1" t="s">
        <v>32</v>
      </c>
      <c r="H7406" s="4" t="str">
        <f>HYPERLINK("https://www.ncbi.nlm.nih.gov/geo/query/acc.cgi?acc=GSM1567109","GSM1567109")</f>
        <v>GSM1567109</v>
      </c>
      <c r="I7406" t="s">
        <v>69</v>
      </c>
      <c r="J7406" t="s">
        <v>18</v>
      </c>
      <c r="K7406" t="s">
        <v>33</v>
      </c>
      <c r="L7406" t="s">
        <v>70</v>
      </c>
      <c r="N7406" t="s">
        <v>29</v>
      </c>
    </row>
    <row r="7407" spans="1:14">
      <c r="A7407" s="4" t="str">
        <f t="shared" si="686"/>
        <v>EXP00259</v>
      </c>
      <c r="B7407" s="4" t="str">
        <f t="shared" si="687"/>
        <v>26499327</v>
      </c>
      <c r="C7407" s="4" t="str">
        <f t="shared" si="688"/>
        <v>GSE64256</v>
      </c>
      <c r="D7407" s="1" t="s">
        <v>45</v>
      </c>
      <c r="E7407" t="s">
        <v>68</v>
      </c>
      <c r="F7407" s="1">
        <v>2</v>
      </c>
      <c r="G7407" s="1" t="s">
        <v>32</v>
      </c>
      <c r="H7407" s="4" t="str">
        <f>HYPERLINK("https://www.ncbi.nlm.nih.gov/geo/query/acc.cgi?acc=GSM1567110","GSM1567110")</f>
        <v>GSM1567110</v>
      </c>
      <c r="I7407" t="s">
        <v>69</v>
      </c>
      <c r="J7407" t="s">
        <v>18</v>
      </c>
      <c r="K7407" t="s">
        <v>33</v>
      </c>
      <c r="L7407" t="s">
        <v>70</v>
      </c>
      <c r="N7407" t="s">
        <v>29</v>
      </c>
    </row>
    <row r="7408" spans="1:14">
      <c r="A7408" s="4" t="str">
        <f t="shared" si="686"/>
        <v>EXP00259</v>
      </c>
      <c r="B7408" s="4" t="str">
        <f t="shared" si="687"/>
        <v>26499327</v>
      </c>
      <c r="C7408" s="4" t="str">
        <f t="shared" si="688"/>
        <v>GSE64256</v>
      </c>
      <c r="D7408" s="1" t="s">
        <v>45</v>
      </c>
      <c r="E7408" t="s">
        <v>68</v>
      </c>
      <c r="F7408" s="1">
        <v>2</v>
      </c>
      <c r="G7408" s="1" t="s">
        <v>32</v>
      </c>
      <c r="H7408" s="4" t="str">
        <f>HYPERLINK("https://www.ncbi.nlm.nih.gov/geo/query/acc.cgi?acc=GSM1567111","GSM1567111")</f>
        <v>GSM1567111</v>
      </c>
      <c r="I7408" t="s">
        <v>69</v>
      </c>
      <c r="J7408" t="s">
        <v>18</v>
      </c>
      <c r="K7408" t="s">
        <v>33</v>
      </c>
      <c r="L7408" t="s">
        <v>70</v>
      </c>
      <c r="N7408" t="s">
        <v>29</v>
      </c>
    </row>
    <row r="7409" spans="1:14">
      <c r="A7409" s="4" t="str">
        <f t="shared" si="686"/>
        <v>EXP00259</v>
      </c>
      <c r="B7409" s="4" t="str">
        <f t="shared" si="687"/>
        <v>26499327</v>
      </c>
      <c r="C7409" s="4" t="str">
        <f t="shared" si="688"/>
        <v>GSE64256</v>
      </c>
      <c r="D7409" s="1" t="s">
        <v>45</v>
      </c>
      <c r="E7409" t="s">
        <v>68</v>
      </c>
      <c r="F7409" s="1">
        <v>2</v>
      </c>
      <c r="G7409" s="1" t="s">
        <v>32</v>
      </c>
      <c r="H7409" s="4" t="str">
        <f>HYPERLINK("https://www.ncbi.nlm.nih.gov/geo/query/acc.cgi?acc=GSM1567113","GSM1567113")</f>
        <v>GSM1567113</v>
      </c>
      <c r="I7409" t="s">
        <v>69</v>
      </c>
      <c r="J7409" t="s">
        <v>18</v>
      </c>
      <c r="K7409" t="s">
        <v>33</v>
      </c>
      <c r="L7409" t="s">
        <v>70</v>
      </c>
      <c r="N7409" t="s">
        <v>29</v>
      </c>
    </row>
    <row r="7410" spans="1:14">
      <c r="A7410" s="4" t="str">
        <f t="shared" si="686"/>
        <v>EXP00259</v>
      </c>
      <c r="B7410" s="4" t="str">
        <f t="shared" si="687"/>
        <v>26499327</v>
      </c>
      <c r="C7410" s="4" t="str">
        <f t="shared" si="688"/>
        <v>GSE64256</v>
      </c>
      <c r="D7410" s="1" t="s">
        <v>45</v>
      </c>
      <c r="E7410" t="s">
        <v>68</v>
      </c>
      <c r="F7410" s="1">
        <v>2</v>
      </c>
      <c r="G7410" s="1" t="s">
        <v>32</v>
      </c>
      <c r="H7410" s="4" t="str">
        <f>HYPERLINK("https://www.ncbi.nlm.nih.gov/geo/query/acc.cgi?acc=GSM1567115","GSM1567115")</f>
        <v>GSM1567115</v>
      </c>
      <c r="I7410" t="s">
        <v>69</v>
      </c>
      <c r="J7410" t="s">
        <v>18</v>
      </c>
      <c r="K7410" t="s">
        <v>33</v>
      </c>
      <c r="L7410" t="s">
        <v>70</v>
      </c>
      <c r="N7410" t="s">
        <v>29</v>
      </c>
    </row>
    <row r="7411" spans="1:14">
      <c r="A7411" s="4" t="str">
        <f t="shared" si="686"/>
        <v>EXP00259</v>
      </c>
      <c r="B7411" s="4" t="str">
        <f t="shared" si="687"/>
        <v>26499327</v>
      </c>
      <c r="C7411" s="4" t="str">
        <f t="shared" si="688"/>
        <v>GSE64256</v>
      </c>
      <c r="D7411" s="1" t="s">
        <v>45</v>
      </c>
      <c r="E7411" t="s">
        <v>68</v>
      </c>
      <c r="F7411" s="1">
        <v>2</v>
      </c>
      <c r="G7411" s="1" t="s">
        <v>32</v>
      </c>
      <c r="H7411" s="4" t="str">
        <f>HYPERLINK("https://www.ncbi.nlm.nih.gov/geo/query/acc.cgi?acc=GSM1567116","GSM1567116")</f>
        <v>GSM1567116</v>
      </c>
      <c r="I7411" t="s">
        <v>69</v>
      </c>
      <c r="J7411" t="s">
        <v>18</v>
      </c>
      <c r="K7411" t="s">
        <v>33</v>
      </c>
      <c r="L7411" t="s">
        <v>70</v>
      </c>
      <c r="N7411" t="s">
        <v>29</v>
      </c>
    </row>
    <row r="7412" spans="1:14">
      <c r="A7412" s="4" t="str">
        <f t="shared" si="686"/>
        <v>EXP00259</v>
      </c>
      <c r="B7412" s="4" t="str">
        <f t="shared" si="687"/>
        <v>26499327</v>
      </c>
      <c r="C7412" s="4" t="str">
        <f t="shared" si="688"/>
        <v>GSE64256</v>
      </c>
      <c r="D7412" s="1" t="s">
        <v>45</v>
      </c>
      <c r="E7412" t="s">
        <v>68</v>
      </c>
      <c r="F7412" s="1">
        <v>2</v>
      </c>
      <c r="G7412" s="1" t="s">
        <v>32</v>
      </c>
      <c r="H7412" s="4" t="str">
        <f>HYPERLINK("https://www.ncbi.nlm.nih.gov/geo/query/acc.cgi?acc=GSM1567119","GSM1567119")</f>
        <v>GSM1567119</v>
      </c>
      <c r="I7412" t="s">
        <v>69</v>
      </c>
      <c r="J7412" t="s">
        <v>18</v>
      </c>
      <c r="K7412" t="s">
        <v>33</v>
      </c>
      <c r="L7412" t="s">
        <v>70</v>
      </c>
      <c r="N7412" t="s">
        <v>29</v>
      </c>
    </row>
    <row r="7413" spans="1:14">
      <c r="A7413" s="4" t="str">
        <f t="shared" si="686"/>
        <v>EXP00259</v>
      </c>
      <c r="B7413" s="4" t="str">
        <f t="shared" si="687"/>
        <v>26499327</v>
      </c>
      <c r="C7413" s="4" t="str">
        <f t="shared" si="688"/>
        <v>GSE64256</v>
      </c>
      <c r="D7413" s="1" t="s">
        <v>45</v>
      </c>
      <c r="E7413" t="s">
        <v>68</v>
      </c>
      <c r="F7413" s="1">
        <v>2</v>
      </c>
      <c r="G7413" s="1" t="s">
        <v>32</v>
      </c>
      <c r="H7413" s="4" t="str">
        <f>HYPERLINK("https://www.ncbi.nlm.nih.gov/geo/query/acc.cgi?acc=GSM1567120","GSM1567120")</f>
        <v>GSM1567120</v>
      </c>
      <c r="I7413" t="s">
        <v>69</v>
      </c>
      <c r="J7413" t="s">
        <v>18</v>
      </c>
      <c r="K7413" t="s">
        <v>33</v>
      </c>
      <c r="L7413" t="s">
        <v>70</v>
      </c>
      <c r="N7413" t="s">
        <v>29</v>
      </c>
    </row>
    <row r="7414" spans="1:14">
      <c r="A7414" s="4" t="str">
        <f t="shared" si="686"/>
        <v>EXP00259</v>
      </c>
      <c r="B7414" s="4" t="str">
        <f t="shared" si="687"/>
        <v>26499327</v>
      </c>
      <c r="C7414" s="4" t="str">
        <f t="shared" si="688"/>
        <v>GSE64256</v>
      </c>
      <c r="D7414" s="1" t="s">
        <v>45</v>
      </c>
      <c r="E7414" t="s">
        <v>68</v>
      </c>
      <c r="F7414" s="1">
        <v>2</v>
      </c>
      <c r="G7414" s="1" t="s">
        <v>32</v>
      </c>
      <c r="H7414" s="4" t="str">
        <f>HYPERLINK("https://www.ncbi.nlm.nih.gov/geo/query/acc.cgi?acc=GSM1567121","GSM1567121")</f>
        <v>GSM1567121</v>
      </c>
      <c r="I7414" t="s">
        <v>69</v>
      </c>
      <c r="J7414" t="s">
        <v>18</v>
      </c>
      <c r="K7414" t="s">
        <v>33</v>
      </c>
      <c r="L7414" t="s">
        <v>70</v>
      </c>
      <c r="N7414" t="s">
        <v>29</v>
      </c>
    </row>
    <row r="7415" spans="1:14">
      <c r="A7415" s="4" t="str">
        <f t="shared" si="686"/>
        <v>EXP00259</v>
      </c>
      <c r="B7415" s="4" t="str">
        <f t="shared" si="687"/>
        <v>26499327</v>
      </c>
      <c r="C7415" s="4" t="str">
        <f t="shared" si="688"/>
        <v>GSE64256</v>
      </c>
      <c r="D7415" s="1" t="s">
        <v>45</v>
      </c>
      <c r="E7415" t="s">
        <v>68</v>
      </c>
      <c r="F7415" s="1">
        <v>2</v>
      </c>
      <c r="G7415" s="1" t="s">
        <v>32</v>
      </c>
      <c r="H7415" s="4" t="str">
        <f>HYPERLINK("https://www.ncbi.nlm.nih.gov/geo/query/acc.cgi?acc=GSM1567123","GSM1567123")</f>
        <v>GSM1567123</v>
      </c>
      <c r="I7415" t="s">
        <v>69</v>
      </c>
      <c r="J7415" t="s">
        <v>18</v>
      </c>
      <c r="K7415" t="s">
        <v>33</v>
      </c>
      <c r="L7415" t="s">
        <v>70</v>
      </c>
      <c r="N7415" t="s">
        <v>29</v>
      </c>
    </row>
    <row r="7416" spans="1:14">
      <c r="A7416" s="4" t="str">
        <f t="shared" si="686"/>
        <v>EXP00259</v>
      </c>
      <c r="B7416" s="4" t="str">
        <f t="shared" si="687"/>
        <v>26499327</v>
      </c>
      <c r="C7416" s="4" t="str">
        <f t="shared" si="688"/>
        <v>GSE64256</v>
      </c>
      <c r="D7416" s="1" t="s">
        <v>45</v>
      </c>
      <c r="E7416" t="s">
        <v>68</v>
      </c>
      <c r="F7416" s="1">
        <v>2</v>
      </c>
      <c r="G7416" s="1" t="s">
        <v>32</v>
      </c>
      <c r="H7416" s="4" t="str">
        <f>HYPERLINK("https://www.ncbi.nlm.nih.gov/geo/query/acc.cgi?acc=GSM1567124","GSM1567124")</f>
        <v>GSM1567124</v>
      </c>
      <c r="I7416" t="s">
        <v>69</v>
      </c>
      <c r="J7416" t="s">
        <v>18</v>
      </c>
      <c r="K7416" t="s">
        <v>33</v>
      </c>
      <c r="L7416" t="s">
        <v>70</v>
      </c>
      <c r="N7416" t="s">
        <v>29</v>
      </c>
    </row>
    <row r="7417" spans="1:14">
      <c r="A7417" s="4" t="str">
        <f t="shared" si="686"/>
        <v>EXP00259</v>
      </c>
      <c r="B7417" s="4" t="str">
        <f t="shared" si="687"/>
        <v>26499327</v>
      </c>
      <c r="C7417" s="4" t="str">
        <f t="shared" si="688"/>
        <v>GSE64256</v>
      </c>
      <c r="D7417" s="1" t="s">
        <v>45</v>
      </c>
      <c r="E7417" t="s">
        <v>68</v>
      </c>
      <c r="F7417" s="1">
        <v>2</v>
      </c>
      <c r="G7417" s="1" t="s">
        <v>32</v>
      </c>
      <c r="H7417" s="4" t="str">
        <f>HYPERLINK("https://www.ncbi.nlm.nih.gov/geo/query/acc.cgi?acc=GSM1567126","GSM1567126")</f>
        <v>GSM1567126</v>
      </c>
      <c r="I7417" t="s">
        <v>69</v>
      </c>
      <c r="J7417" t="s">
        <v>18</v>
      </c>
      <c r="K7417" t="s">
        <v>33</v>
      </c>
      <c r="L7417" t="s">
        <v>70</v>
      </c>
      <c r="N7417" t="s">
        <v>29</v>
      </c>
    </row>
    <row r="7418" spans="1:14">
      <c r="A7418" s="4" t="str">
        <f t="shared" si="686"/>
        <v>EXP00259</v>
      </c>
      <c r="B7418" s="4" t="str">
        <f t="shared" si="687"/>
        <v>26499327</v>
      </c>
      <c r="C7418" s="4" t="str">
        <f t="shared" si="688"/>
        <v>GSE64256</v>
      </c>
      <c r="D7418" s="1" t="s">
        <v>45</v>
      </c>
      <c r="E7418" t="s">
        <v>68</v>
      </c>
      <c r="F7418" s="1">
        <v>2</v>
      </c>
      <c r="G7418" s="1" t="s">
        <v>32</v>
      </c>
      <c r="H7418" s="4" t="str">
        <f>HYPERLINK("https://www.ncbi.nlm.nih.gov/geo/query/acc.cgi?acc=GSM1567127","GSM1567127")</f>
        <v>GSM1567127</v>
      </c>
      <c r="I7418" t="s">
        <v>69</v>
      </c>
      <c r="J7418" t="s">
        <v>18</v>
      </c>
      <c r="K7418" t="s">
        <v>33</v>
      </c>
      <c r="L7418" t="s">
        <v>70</v>
      </c>
      <c r="N7418" t="s">
        <v>29</v>
      </c>
    </row>
    <row r="7419" spans="1:14">
      <c r="A7419" s="4" t="str">
        <f t="shared" si="686"/>
        <v>EXP00259</v>
      </c>
      <c r="B7419" s="4" t="str">
        <f t="shared" si="687"/>
        <v>26499327</v>
      </c>
      <c r="C7419" s="4" t="str">
        <f t="shared" si="688"/>
        <v>GSE64256</v>
      </c>
      <c r="D7419" s="1" t="s">
        <v>45</v>
      </c>
      <c r="E7419" t="s">
        <v>68</v>
      </c>
      <c r="F7419" s="1">
        <v>2</v>
      </c>
      <c r="G7419" s="1" t="s">
        <v>32</v>
      </c>
      <c r="H7419" s="4" t="str">
        <f>HYPERLINK("https://www.ncbi.nlm.nih.gov/geo/query/acc.cgi?acc=GSM1567128","GSM1567128")</f>
        <v>GSM1567128</v>
      </c>
      <c r="I7419" t="s">
        <v>69</v>
      </c>
      <c r="J7419" t="s">
        <v>18</v>
      </c>
      <c r="K7419" t="s">
        <v>33</v>
      </c>
      <c r="L7419" t="s">
        <v>70</v>
      </c>
      <c r="N7419" t="s">
        <v>29</v>
      </c>
    </row>
    <row r="7420" spans="1:14">
      <c r="A7420" s="4" t="str">
        <f t="shared" si="686"/>
        <v>EXP00259</v>
      </c>
      <c r="B7420" s="4" t="str">
        <f t="shared" si="687"/>
        <v>26499327</v>
      </c>
      <c r="C7420" s="4" t="str">
        <f t="shared" si="688"/>
        <v>GSE64256</v>
      </c>
      <c r="D7420" s="1" t="s">
        <v>45</v>
      </c>
      <c r="E7420" t="s">
        <v>68</v>
      </c>
      <c r="F7420" s="1">
        <v>2</v>
      </c>
      <c r="G7420" s="1" t="s">
        <v>32</v>
      </c>
      <c r="H7420" s="4" t="str">
        <f>HYPERLINK("https://www.ncbi.nlm.nih.gov/geo/query/acc.cgi?acc=GSM1567129","GSM1567129")</f>
        <v>GSM1567129</v>
      </c>
      <c r="I7420" t="s">
        <v>69</v>
      </c>
      <c r="J7420" t="s">
        <v>18</v>
      </c>
      <c r="K7420" t="s">
        <v>33</v>
      </c>
      <c r="L7420" t="s">
        <v>70</v>
      </c>
      <c r="N7420" t="s">
        <v>29</v>
      </c>
    </row>
    <row r="7421" spans="1:14">
      <c r="A7421" s="4" t="str">
        <f t="shared" si="686"/>
        <v>EXP00259</v>
      </c>
      <c r="B7421" s="4" t="str">
        <f t="shared" si="687"/>
        <v>26499327</v>
      </c>
      <c r="C7421" s="4" t="str">
        <f t="shared" si="688"/>
        <v>GSE64256</v>
      </c>
      <c r="D7421" s="1" t="s">
        <v>45</v>
      </c>
      <c r="E7421" t="s">
        <v>68</v>
      </c>
      <c r="F7421" s="1">
        <v>2</v>
      </c>
      <c r="G7421" s="1" t="s">
        <v>32</v>
      </c>
      <c r="H7421" s="4" t="str">
        <f>HYPERLINK("https://www.ncbi.nlm.nih.gov/geo/query/acc.cgi?acc=GSM1567130","GSM1567130")</f>
        <v>GSM1567130</v>
      </c>
      <c r="I7421" t="s">
        <v>69</v>
      </c>
      <c r="J7421" t="s">
        <v>18</v>
      </c>
      <c r="K7421" t="s">
        <v>33</v>
      </c>
      <c r="L7421" t="s">
        <v>70</v>
      </c>
      <c r="N7421" t="s">
        <v>29</v>
      </c>
    </row>
    <row r="7422" spans="1:14">
      <c r="A7422" s="4" t="str">
        <f t="shared" si="686"/>
        <v>EXP00259</v>
      </c>
      <c r="B7422" s="4" t="str">
        <f t="shared" si="687"/>
        <v>26499327</v>
      </c>
      <c r="C7422" s="4" t="str">
        <f t="shared" si="688"/>
        <v>GSE64256</v>
      </c>
      <c r="D7422" s="1" t="s">
        <v>45</v>
      </c>
      <c r="E7422" t="s">
        <v>68</v>
      </c>
      <c r="F7422" s="1">
        <v>2</v>
      </c>
      <c r="G7422" s="1" t="s">
        <v>32</v>
      </c>
      <c r="H7422" s="4" t="str">
        <f>HYPERLINK("https://www.ncbi.nlm.nih.gov/geo/query/acc.cgi?acc=GSM1567131","GSM1567131")</f>
        <v>GSM1567131</v>
      </c>
      <c r="I7422" t="s">
        <v>69</v>
      </c>
      <c r="J7422" t="s">
        <v>18</v>
      </c>
      <c r="K7422" t="s">
        <v>33</v>
      </c>
      <c r="L7422" t="s">
        <v>70</v>
      </c>
      <c r="N7422" t="s">
        <v>29</v>
      </c>
    </row>
    <row r="7423" spans="1:14">
      <c r="A7423" s="4" t="str">
        <f t="shared" si="686"/>
        <v>EXP00259</v>
      </c>
      <c r="B7423" s="4" t="str">
        <f t="shared" si="687"/>
        <v>26499327</v>
      </c>
      <c r="C7423" s="4" t="str">
        <f t="shared" si="688"/>
        <v>GSE64256</v>
      </c>
      <c r="D7423" s="1" t="s">
        <v>45</v>
      </c>
      <c r="E7423" t="s">
        <v>68</v>
      </c>
      <c r="F7423" s="1">
        <v>2</v>
      </c>
      <c r="G7423" s="1" t="s">
        <v>32</v>
      </c>
      <c r="H7423" s="4" t="str">
        <f>HYPERLINK("https://www.ncbi.nlm.nih.gov/geo/query/acc.cgi?acc=GSM1567132","GSM1567132")</f>
        <v>GSM1567132</v>
      </c>
      <c r="I7423" t="s">
        <v>69</v>
      </c>
      <c r="J7423" t="s">
        <v>18</v>
      </c>
      <c r="K7423" t="s">
        <v>33</v>
      </c>
      <c r="L7423" t="s">
        <v>70</v>
      </c>
      <c r="N7423" t="s">
        <v>29</v>
      </c>
    </row>
    <row r="7424" spans="1:14">
      <c r="A7424" s="4" t="str">
        <f t="shared" si="686"/>
        <v>EXP00259</v>
      </c>
      <c r="B7424" s="4" t="str">
        <f t="shared" si="687"/>
        <v>26499327</v>
      </c>
      <c r="C7424" s="4" t="str">
        <f t="shared" si="688"/>
        <v>GSE64256</v>
      </c>
      <c r="D7424" s="1" t="s">
        <v>45</v>
      </c>
      <c r="E7424" t="s">
        <v>68</v>
      </c>
      <c r="F7424" s="1">
        <v>2</v>
      </c>
      <c r="G7424" s="1" t="s">
        <v>32</v>
      </c>
      <c r="H7424" s="4" t="str">
        <f>HYPERLINK("https://www.ncbi.nlm.nih.gov/geo/query/acc.cgi?acc=GSM1567133","GSM1567133")</f>
        <v>GSM1567133</v>
      </c>
      <c r="I7424" t="s">
        <v>69</v>
      </c>
      <c r="J7424" t="s">
        <v>18</v>
      </c>
      <c r="K7424" t="s">
        <v>33</v>
      </c>
      <c r="L7424" t="s">
        <v>70</v>
      </c>
      <c r="N7424" t="s">
        <v>29</v>
      </c>
    </row>
    <row r="7425" spans="1:14">
      <c r="A7425" s="4" t="str">
        <f t="shared" si="686"/>
        <v>EXP00259</v>
      </c>
      <c r="B7425" s="4" t="str">
        <f t="shared" si="687"/>
        <v>26499327</v>
      </c>
      <c r="C7425" s="4" t="str">
        <f t="shared" si="688"/>
        <v>GSE64256</v>
      </c>
      <c r="D7425" s="1" t="s">
        <v>45</v>
      </c>
      <c r="E7425" t="s">
        <v>68</v>
      </c>
      <c r="F7425" s="1">
        <v>2</v>
      </c>
      <c r="G7425" s="1" t="s">
        <v>32</v>
      </c>
      <c r="H7425" s="4" t="str">
        <f>HYPERLINK("https://www.ncbi.nlm.nih.gov/geo/query/acc.cgi?acc=GSM1567134","GSM1567134")</f>
        <v>GSM1567134</v>
      </c>
      <c r="I7425" t="s">
        <v>69</v>
      </c>
      <c r="J7425" t="s">
        <v>18</v>
      </c>
      <c r="K7425" t="s">
        <v>33</v>
      </c>
      <c r="L7425" t="s">
        <v>70</v>
      </c>
      <c r="N7425" t="s">
        <v>29</v>
      </c>
    </row>
    <row r="7426" spans="1:14">
      <c r="A7426" s="4" t="str">
        <f t="shared" si="686"/>
        <v>EXP00259</v>
      </c>
      <c r="B7426" s="4" t="str">
        <f t="shared" si="687"/>
        <v>26499327</v>
      </c>
      <c r="C7426" s="4" t="str">
        <f t="shared" si="688"/>
        <v>GSE64256</v>
      </c>
      <c r="D7426" s="1" t="s">
        <v>45</v>
      </c>
      <c r="E7426" t="s">
        <v>68</v>
      </c>
      <c r="F7426" s="1">
        <v>2</v>
      </c>
      <c r="G7426" s="1" t="s">
        <v>32</v>
      </c>
      <c r="H7426" s="4" t="str">
        <f>HYPERLINK("https://www.ncbi.nlm.nih.gov/geo/query/acc.cgi?acc=GSM1567135","GSM1567135")</f>
        <v>GSM1567135</v>
      </c>
      <c r="I7426" t="s">
        <v>69</v>
      </c>
      <c r="J7426" t="s">
        <v>18</v>
      </c>
      <c r="K7426" t="s">
        <v>33</v>
      </c>
      <c r="L7426" t="s">
        <v>70</v>
      </c>
      <c r="N7426" t="s">
        <v>29</v>
      </c>
    </row>
    <row r="7427" spans="1:14">
      <c r="A7427" s="4" t="str">
        <f t="shared" si="686"/>
        <v>EXP00259</v>
      </c>
      <c r="B7427" s="4" t="str">
        <f t="shared" si="687"/>
        <v>26499327</v>
      </c>
      <c r="C7427" s="4" t="str">
        <f t="shared" si="688"/>
        <v>GSE64256</v>
      </c>
      <c r="D7427" s="1" t="s">
        <v>45</v>
      </c>
      <c r="E7427" t="s">
        <v>68</v>
      </c>
      <c r="F7427" s="1">
        <v>2</v>
      </c>
      <c r="G7427" s="1" t="s">
        <v>32</v>
      </c>
      <c r="H7427" s="4" t="str">
        <f>HYPERLINK("https://www.ncbi.nlm.nih.gov/geo/query/acc.cgi?acc=GSM1567138","GSM1567138")</f>
        <v>GSM1567138</v>
      </c>
      <c r="I7427" t="s">
        <v>69</v>
      </c>
      <c r="J7427" t="s">
        <v>18</v>
      </c>
      <c r="K7427" t="s">
        <v>33</v>
      </c>
      <c r="L7427" t="s">
        <v>70</v>
      </c>
      <c r="N7427" t="s">
        <v>29</v>
      </c>
    </row>
    <row r="7428" spans="1:14">
      <c r="A7428" s="4" t="str">
        <f t="shared" si="686"/>
        <v>EXP00259</v>
      </c>
      <c r="B7428" s="4" t="str">
        <f t="shared" si="687"/>
        <v>26499327</v>
      </c>
      <c r="C7428" s="4" t="str">
        <f t="shared" si="688"/>
        <v>GSE64256</v>
      </c>
      <c r="D7428" s="1" t="s">
        <v>45</v>
      </c>
      <c r="E7428" t="s">
        <v>68</v>
      </c>
      <c r="F7428" s="1">
        <v>2</v>
      </c>
      <c r="G7428" s="1" t="s">
        <v>32</v>
      </c>
      <c r="H7428" s="4" t="str">
        <f>HYPERLINK("https://www.ncbi.nlm.nih.gov/geo/query/acc.cgi?acc=GSM1567139","GSM1567139")</f>
        <v>GSM1567139</v>
      </c>
      <c r="I7428" t="s">
        <v>69</v>
      </c>
      <c r="J7428" t="s">
        <v>18</v>
      </c>
      <c r="K7428" t="s">
        <v>33</v>
      </c>
      <c r="L7428" t="s">
        <v>70</v>
      </c>
      <c r="N7428" t="s">
        <v>29</v>
      </c>
    </row>
    <row r="7429" spans="1:14">
      <c r="A7429" s="4" t="str">
        <f t="shared" si="686"/>
        <v>EXP00259</v>
      </c>
      <c r="B7429" s="4" t="str">
        <f t="shared" si="687"/>
        <v>26499327</v>
      </c>
      <c r="C7429" s="4" t="str">
        <f t="shared" si="688"/>
        <v>GSE64256</v>
      </c>
      <c r="D7429" s="1" t="s">
        <v>45</v>
      </c>
      <c r="E7429" t="s">
        <v>68</v>
      </c>
      <c r="F7429" s="1">
        <v>2</v>
      </c>
      <c r="G7429" s="1" t="s">
        <v>32</v>
      </c>
      <c r="H7429" s="4" t="str">
        <f>HYPERLINK("https://www.ncbi.nlm.nih.gov/geo/query/acc.cgi?acc=GSM1567140","GSM1567140")</f>
        <v>GSM1567140</v>
      </c>
      <c r="I7429" t="s">
        <v>69</v>
      </c>
      <c r="J7429" t="s">
        <v>18</v>
      </c>
      <c r="K7429" t="s">
        <v>33</v>
      </c>
      <c r="L7429" t="s">
        <v>70</v>
      </c>
      <c r="N7429" t="s">
        <v>29</v>
      </c>
    </row>
    <row r="7430" spans="1:14">
      <c r="A7430" s="4" t="str">
        <f t="shared" ref="A7430:A7461" si="689">HYPERLINK("http://hcmdb.i-sanger.com/experiment/details/experiment_id/EXP00259","EXP00259")</f>
        <v>EXP00259</v>
      </c>
      <c r="B7430" s="4" t="str">
        <f t="shared" ref="B7430:B7461" si="690">HYPERLINK("https://www.ncbi.nlm.nih.gov/pubmed/26499327","26499327")</f>
        <v>26499327</v>
      </c>
      <c r="C7430" s="4" t="str">
        <f t="shared" ref="C7430:C7461" si="691">HYPERLINK("https://www.ncbi.nlm.nih.gov/geo/query/acc.cgi?acc=GSE64256","GSE64256")</f>
        <v>GSE64256</v>
      </c>
      <c r="D7430" s="1" t="s">
        <v>45</v>
      </c>
      <c r="E7430" t="s">
        <v>68</v>
      </c>
      <c r="F7430" s="1">
        <v>2</v>
      </c>
      <c r="G7430" s="1" t="s">
        <v>32</v>
      </c>
      <c r="H7430" s="4" t="str">
        <f>HYPERLINK("https://www.ncbi.nlm.nih.gov/geo/query/acc.cgi?acc=GSM1567142","GSM1567142")</f>
        <v>GSM1567142</v>
      </c>
      <c r="I7430" t="s">
        <v>69</v>
      </c>
      <c r="J7430" t="s">
        <v>18</v>
      </c>
      <c r="K7430" t="s">
        <v>33</v>
      </c>
      <c r="L7430" t="s">
        <v>70</v>
      </c>
      <c r="N7430" t="s">
        <v>29</v>
      </c>
    </row>
    <row r="7431" spans="1:14">
      <c r="A7431" s="4" t="str">
        <f t="shared" si="689"/>
        <v>EXP00259</v>
      </c>
      <c r="B7431" s="4" t="str">
        <f t="shared" si="690"/>
        <v>26499327</v>
      </c>
      <c r="C7431" s="4" t="str">
        <f t="shared" si="691"/>
        <v>GSE64256</v>
      </c>
      <c r="D7431" s="1" t="s">
        <v>45</v>
      </c>
      <c r="E7431" t="s">
        <v>68</v>
      </c>
      <c r="F7431" s="1">
        <v>2</v>
      </c>
      <c r="G7431" s="1" t="s">
        <v>32</v>
      </c>
      <c r="H7431" s="4" t="str">
        <f>HYPERLINK("https://www.ncbi.nlm.nih.gov/geo/query/acc.cgi?acc=GSM1567143","GSM1567143")</f>
        <v>GSM1567143</v>
      </c>
      <c r="I7431" t="s">
        <v>69</v>
      </c>
      <c r="J7431" t="s">
        <v>18</v>
      </c>
      <c r="K7431" t="s">
        <v>33</v>
      </c>
      <c r="L7431" t="s">
        <v>70</v>
      </c>
      <c r="N7431" t="s">
        <v>29</v>
      </c>
    </row>
    <row r="7432" spans="1:14">
      <c r="A7432" s="4" t="str">
        <f t="shared" si="689"/>
        <v>EXP00259</v>
      </c>
      <c r="B7432" s="4" t="str">
        <f t="shared" si="690"/>
        <v>26499327</v>
      </c>
      <c r="C7432" s="4" t="str">
        <f t="shared" si="691"/>
        <v>GSE64256</v>
      </c>
      <c r="D7432" s="1" t="s">
        <v>45</v>
      </c>
      <c r="E7432" t="s">
        <v>68</v>
      </c>
      <c r="F7432" s="1">
        <v>2</v>
      </c>
      <c r="G7432" s="1" t="s">
        <v>32</v>
      </c>
      <c r="H7432" s="4" t="str">
        <f>HYPERLINK("https://www.ncbi.nlm.nih.gov/geo/query/acc.cgi?acc=GSM1567144","GSM1567144")</f>
        <v>GSM1567144</v>
      </c>
      <c r="I7432" t="s">
        <v>69</v>
      </c>
      <c r="J7432" t="s">
        <v>18</v>
      </c>
      <c r="K7432" t="s">
        <v>33</v>
      </c>
      <c r="L7432" t="s">
        <v>70</v>
      </c>
      <c r="N7432" t="s">
        <v>29</v>
      </c>
    </row>
    <row r="7433" spans="1:14">
      <c r="A7433" s="4" t="str">
        <f t="shared" si="689"/>
        <v>EXP00259</v>
      </c>
      <c r="B7433" s="4" t="str">
        <f t="shared" si="690"/>
        <v>26499327</v>
      </c>
      <c r="C7433" s="4" t="str">
        <f t="shared" si="691"/>
        <v>GSE64256</v>
      </c>
      <c r="D7433" s="1" t="s">
        <v>45</v>
      </c>
      <c r="E7433" t="s">
        <v>68</v>
      </c>
      <c r="F7433" s="1">
        <v>2</v>
      </c>
      <c r="G7433" s="1" t="s">
        <v>32</v>
      </c>
      <c r="H7433" s="4" t="str">
        <f>HYPERLINK("https://www.ncbi.nlm.nih.gov/geo/query/acc.cgi?acc=GSM1567145","GSM1567145")</f>
        <v>GSM1567145</v>
      </c>
      <c r="I7433" t="s">
        <v>69</v>
      </c>
      <c r="J7433" t="s">
        <v>18</v>
      </c>
      <c r="K7433" t="s">
        <v>33</v>
      </c>
      <c r="L7433" t="s">
        <v>70</v>
      </c>
      <c r="N7433" t="s">
        <v>29</v>
      </c>
    </row>
    <row r="7434" spans="1:14">
      <c r="A7434" s="4" t="str">
        <f t="shared" si="689"/>
        <v>EXP00259</v>
      </c>
      <c r="B7434" s="4" t="str">
        <f t="shared" si="690"/>
        <v>26499327</v>
      </c>
      <c r="C7434" s="4" t="str">
        <f t="shared" si="691"/>
        <v>GSE64256</v>
      </c>
      <c r="D7434" s="1" t="s">
        <v>45</v>
      </c>
      <c r="E7434" t="s">
        <v>68</v>
      </c>
      <c r="F7434" s="1">
        <v>2</v>
      </c>
      <c r="G7434" s="1" t="s">
        <v>32</v>
      </c>
      <c r="H7434" s="4" t="str">
        <f>HYPERLINK("https://www.ncbi.nlm.nih.gov/geo/query/acc.cgi?acc=GSM1567146","GSM1567146")</f>
        <v>GSM1567146</v>
      </c>
      <c r="I7434" t="s">
        <v>69</v>
      </c>
      <c r="J7434" t="s">
        <v>18</v>
      </c>
      <c r="K7434" t="s">
        <v>33</v>
      </c>
      <c r="L7434" t="s">
        <v>70</v>
      </c>
      <c r="N7434" t="s">
        <v>29</v>
      </c>
    </row>
    <row r="7435" spans="1:14">
      <c r="A7435" s="4" t="str">
        <f t="shared" si="689"/>
        <v>EXP00259</v>
      </c>
      <c r="B7435" s="4" t="str">
        <f t="shared" si="690"/>
        <v>26499327</v>
      </c>
      <c r="C7435" s="4" t="str">
        <f t="shared" si="691"/>
        <v>GSE64256</v>
      </c>
      <c r="D7435" s="1" t="s">
        <v>45</v>
      </c>
      <c r="E7435" t="s">
        <v>68</v>
      </c>
      <c r="F7435" s="1">
        <v>2</v>
      </c>
      <c r="G7435" s="1" t="s">
        <v>32</v>
      </c>
      <c r="H7435" s="4" t="str">
        <f>HYPERLINK("https://www.ncbi.nlm.nih.gov/geo/query/acc.cgi?acc=GSM1567147","GSM1567147")</f>
        <v>GSM1567147</v>
      </c>
      <c r="I7435" t="s">
        <v>69</v>
      </c>
      <c r="J7435" t="s">
        <v>18</v>
      </c>
      <c r="K7435" t="s">
        <v>33</v>
      </c>
      <c r="L7435" t="s">
        <v>70</v>
      </c>
      <c r="N7435" t="s">
        <v>29</v>
      </c>
    </row>
    <row r="7436" spans="1:14">
      <c r="A7436" s="4" t="str">
        <f t="shared" si="689"/>
        <v>EXP00259</v>
      </c>
      <c r="B7436" s="4" t="str">
        <f t="shared" si="690"/>
        <v>26499327</v>
      </c>
      <c r="C7436" s="4" t="str">
        <f t="shared" si="691"/>
        <v>GSE64256</v>
      </c>
      <c r="D7436" s="1" t="s">
        <v>45</v>
      </c>
      <c r="E7436" t="s">
        <v>68</v>
      </c>
      <c r="F7436" s="1">
        <v>2</v>
      </c>
      <c r="G7436" s="1" t="s">
        <v>32</v>
      </c>
      <c r="H7436" s="4" t="str">
        <f>HYPERLINK("https://www.ncbi.nlm.nih.gov/geo/query/acc.cgi?acc=GSM1567148","GSM1567148")</f>
        <v>GSM1567148</v>
      </c>
      <c r="I7436" t="s">
        <v>69</v>
      </c>
      <c r="J7436" t="s">
        <v>18</v>
      </c>
      <c r="K7436" t="s">
        <v>33</v>
      </c>
      <c r="L7436" t="s">
        <v>70</v>
      </c>
      <c r="N7436" t="s">
        <v>29</v>
      </c>
    </row>
    <row r="7437" spans="1:14">
      <c r="A7437" s="4" t="str">
        <f t="shared" si="689"/>
        <v>EXP00259</v>
      </c>
      <c r="B7437" s="4" t="str">
        <f t="shared" si="690"/>
        <v>26499327</v>
      </c>
      <c r="C7437" s="4" t="str">
        <f t="shared" si="691"/>
        <v>GSE64256</v>
      </c>
      <c r="D7437" s="1" t="s">
        <v>45</v>
      </c>
      <c r="E7437" t="s">
        <v>68</v>
      </c>
      <c r="F7437" s="1">
        <v>2</v>
      </c>
      <c r="G7437" s="1" t="s">
        <v>32</v>
      </c>
      <c r="H7437" s="4" t="str">
        <f>HYPERLINK("https://www.ncbi.nlm.nih.gov/geo/query/acc.cgi?acc=GSM1567149","GSM1567149")</f>
        <v>GSM1567149</v>
      </c>
      <c r="I7437" t="s">
        <v>69</v>
      </c>
      <c r="J7437" t="s">
        <v>18</v>
      </c>
      <c r="K7437" t="s">
        <v>33</v>
      </c>
      <c r="L7437" t="s">
        <v>70</v>
      </c>
      <c r="N7437" t="s">
        <v>29</v>
      </c>
    </row>
    <row r="7438" spans="1:14">
      <c r="A7438" s="4" t="str">
        <f t="shared" si="689"/>
        <v>EXP00259</v>
      </c>
      <c r="B7438" s="4" t="str">
        <f t="shared" si="690"/>
        <v>26499327</v>
      </c>
      <c r="C7438" s="4" t="str">
        <f t="shared" si="691"/>
        <v>GSE64256</v>
      </c>
      <c r="D7438" s="1" t="s">
        <v>45</v>
      </c>
      <c r="E7438" t="s">
        <v>68</v>
      </c>
      <c r="F7438" s="1">
        <v>2</v>
      </c>
      <c r="G7438" s="1" t="s">
        <v>32</v>
      </c>
      <c r="H7438" s="4" t="str">
        <f>HYPERLINK("https://www.ncbi.nlm.nih.gov/geo/query/acc.cgi?acc=GSM1567150","GSM1567150")</f>
        <v>GSM1567150</v>
      </c>
      <c r="I7438" t="s">
        <v>69</v>
      </c>
      <c r="J7438" t="s">
        <v>18</v>
      </c>
      <c r="K7438" t="s">
        <v>33</v>
      </c>
      <c r="L7438" t="s">
        <v>70</v>
      </c>
      <c r="N7438" t="s">
        <v>29</v>
      </c>
    </row>
    <row r="7439" spans="1:14">
      <c r="A7439" s="4" t="str">
        <f t="shared" si="689"/>
        <v>EXP00259</v>
      </c>
      <c r="B7439" s="4" t="str">
        <f t="shared" si="690"/>
        <v>26499327</v>
      </c>
      <c r="C7439" s="4" t="str">
        <f t="shared" si="691"/>
        <v>GSE64256</v>
      </c>
      <c r="D7439" s="1" t="s">
        <v>45</v>
      </c>
      <c r="E7439" t="s">
        <v>68</v>
      </c>
      <c r="F7439" s="1">
        <v>2</v>
      </c>
      <c r="G7439" s="1" t="s">
        <v>32</v>
      </c>
      <c r="H7439" s="4" t="str">
        <f>HYPERLINK("https://www.ncbi.nlm.nih.gov/geo/query/acc.cgi?acc=GSM1567151","GSM1567151")</f>
        <v>GSM1567151</v>
      </c>
      <c r="I7439" t="s">
        <v>69</v>
      </c>
      <c r="J7439" t="s">
        <v>18</v>
      </c>
      <c r="K7439" t="s">
        <v>33</v>
      </c>
      <c r="L7439" t="s">
        <v>70</v>
      </c>
      <c r="N7439" t="s">
        <v>29</v>
      </c>
    </row>
    <row r="7440" spans="1:14">
      <c r="A7440" s="4" t="str">
        <f t="shared" si="689"/>
        <v>EXP00259</v>
      </c>
      <c r="B7440" s="4" t="str">
        <f t="shared" si="690"/>
        <v>26499327</v>
      </c>
      <c r="C7440" s="4" t="str">
        <f t="shared" si="691"/>
        <v>GSE64256</v>
      </c>
      <c r="D7440" s="1" t="s">
        <v>45</v>
      </c>
      <c r="E7440" t="s">
        <v>68</v>
      </c>
      <c r="F7440" s="1">
        <v>2</v>
      </c>
      <c r="G7440" s="1" t="s">
        <v>32</v>
      </c>
      <c r="H7440" s="4" t="str">
        <f>HYPERLINK("https://www.ncbi.nlm.nih.gov/geo/query/acc.cgi?acc=GSM1567152","GSM1567152")</f>
        <v>GSM1567152</v>
      </c>
      <c r="I7440" t="s">
        <v>69</v>
      </c>
      <c r="J7440" t="s">
        <v>18</v>
      </c>
      <c r="K7440" t="s">
        <v>33</v>
      </c>
      <c r="L7440" t="s">
        <v>70</v>
      </c>
      <c r="N7440" t="s">
        <v>29</v>
      </c>
    </row>
    <row r="7441" spans="1:14">
      <c r="A7441" s="4" t="str">
        <f t="shared" si="689"/>
        <v>EXP00259</v>
      </c>
      <c r="B7441" s="4" t="str">
        <f t="shared" si="690"/>
        <v>26499327</v>
      </c>
      <c r="C7441" s="4" t="str">
        <f t="shared" si="691"/>
        <v>GSE64256</v>
      </c>
      <c r="D7441" s="1" t="s">
        <v>45</v>
      </c>
      <c r="E7441" t="s">
        <v>68</v>
      </c>
      <c r="F7441" s="1">
        <v>2</v>
      </c>
      <c r="G7441" s="1" t="s">
        <v>32</v>
      </c>
      <c r="H7441" s="4" t="str">
        <f>HYPERLINK("https://www.ncbi.nlm.nih.gov/geo/query/acc.cgi?acc=GSM1567153","GSM1567153")</f>
        <v>GSM1567153</v>
      </c>
      <c r="I7441" t="s">
        <v>69</v>
      </c>
      <c r="J7441" t="s">
        <v>18</v>
      </c>
      <c r="K7441" t="s">
        <v>33</v>
      </c>
      <c r="L7441" t="s">
        <v>70</v>
      </c>
      <c r="N7441" t="s">
        <v>29</v>
      </c>
    </row>
    <row r="7442" spans="1:14">
      <c r="A7442" s="4" t="str">
        <f t="shared" si="689"/>
        <v>EXP00259</v>
      </c>
      <c r="B7442" s="4" t="str">
        <f t="shared" si="690"/>
        <v>26499327</v>
      </c>
      <c r="C7442" s="4" t="str">
        <f t="shared" si="691"/>
        <v>GSE64256</v>
      </c>
      <c r="D7442" s="1" t="s">
        <v>45</v>
      </c>
      <c r="E7442" t="s">
        <v>68</v>
      </c>
      <c r="F7442" s="1">
        <v>2</v>
      </c>
      <c r="G7442" s="1" t="s">
        <v>32</v>
      </c>
      <c r="H7442" s="4" t="str">
        <f>HYPERLINK("https://www.ncbi.nlm.nih.gov/geo/query/acc.cgi?acc=GSM1567154","GSM1567154")</f>
        <v>GSM1567154</v>
      </c>
      <c r="I7442" t="s">
        <v>69</v>
      </c>
      <c r="J7442" t="s">
        <v>18</v>
      </c>
      <c r="K7442" t="s">
        <v>33</v>
      </c>
      <c r="L7442" t="s">
        <v>70</v>
      </c>
      <c r="N7442" t="s">
        <v>29</v>
      </c>
    </row>
    <row r="7443" spans="1:14">
      <c r="A7443" s="4" t="str">
        <f t="shared" si="689"/>
        <v>EXP00259</v>
      </c>
      <c r="B7443" s="4" t="str">
        <f t="shared" si="690"/>
        <v>26499327</v>
      </c>
      <c r="C7443" s="4" t="str">
        <f t="shared" si="691"/>
        <v>GSE64256</v>
      </c>
      <c r="D7443" s="1" t="s">
        <v>45</v>
      </c>
      <c r="E7443" t="s">
        <v>68</v>
      </c>
      <c r="F7443" s="1">
        <v>2</v>
      </c>
      <c r="G7443" s="1" t="s">
        <v>32</v>
      </c>
      <c r="H7443" s="4" t="str">
        <f>HYPERLINK("https://www.ncbi.nlm.nih.gov/geo/query/acc.cgi?acc=GSM1567156","GSM1567156")</f>
        <v>GSM1567156</v>
      </c>
      <c r="I7443" t="s">
        <v>69</v>
      </c>
      <c r="J7443" t="s">
        <v>18</v>
      </c>
      <c r="K7443" t="s">
        <v>33</v>
      </c>
      <c r="L7443" t="s">
        <v>70</v>
      </c>
      <c r="N7443" t="s">
        <v>29</v>
      </c>
    </row>
    <row r="7444" spans="1:14">
      <c r="A7444" s="4" t="str">
        <f t="shared" si="689"/>
        <v>EXP00259</v>
      </c>
      <c r="B7444" s="4" t="str">
        <f t="shared" si="690"/>
        <v>26499327</v>
      </c>
      <c r="C7444" s="4" t="str">
        <f t="shared" si="691"/>
        <v>GSE64256</v>
      </c>
      <c r="D7444" s="1" t="s">
        <v>45</v>
      </c>
      <c r="E7444" t="s">
        <v>68</v>
      </c>
      <c r="F7444" s="1">
        <v>2</v>
      </c>
      <c r="G7444" s="1" t="s">
        <v>32</v>
      </c>
      <c r="H7444" s="4" t="str">
        <f>HYPERLINK("https://www.ncbi.nlm.nih.gov/geo/query/acc.cgi?acc=GSM1567158","GSM1567158")</f>
        <v>GSM1567158</v>
      </c>
      <c r="I7444" t="s">
        <v>69</v>
      </c>
      <c r="J7444" t="s">
        <v>18</v>
      </c>
      <c r="K7444" t="s">
        <v>33</v>
      </c>
      <c r="L7444" t="s">
        <v>70</v>
      </c>
      <c r="N7444" t="s">
        <v>29</v>
      </c>
    </row>
    <row r="7445" spans="1:14">
      <c r="A7445" s="4" t="str">
        <f t="shared" si="689"/>
        <v>EXP00259</v>
      </c>
      <c r="B7445" s="4" t="str">
        <f t="shared" si="690"/>
        <v>26499327</v>
      </c>
      <c r="C7445" s="4" t="str">
        <f t="shared" si="691"/>
        <v>GSE64256</v>
      </c>
      <c r="D7445" s="1" t="s">
        <v>45</v>
      </c>
      <c r="E7445" t="s">
        <v>68</v>
      </c>
      <c r="F7445" s="1">
        <v>2</v>
      </c>
      <c r="G7445" s="1" t="s">
        <v>32</v>
      </c>
      <c r="H7445" s="4" t="str">
        <f>HYPERLINK("https://www.ncbi.nlm.nih.gov/geo/query/acc.cgi?acc=GSM1567159","GSM1567159")</f>
        <v>GSM1567159</v>
      </c>
      <c r="I7445" t="s">
        <v>69</v>
      </c>
      <c r="J7445" t="s">
        <v>18</v>
      </c>
      <c r="K7445" t="s">
        <v>33</v>
      </c>
      <c r="L7445" t="s">
        <v>70</v>
      </c>
      <c r="N7445" t="s">
        <v>29</v>
      </c>
    </row>
    <row r="7446" spans="1:14">
      <c r="A7446" s="4" t="str">
        <f t="shared" si="689"/>
        <v>EXP00259</v>
      </c>
      <c r="B7446" s="4" t="str">
        <f t="shared" si="690"/>
        <v>26499327</v>
      </c>
      <c r="C7446" s="4" t="str">
        <f t="shared" si="691"/>
        <v>GSE64256</v>
      </c>
      <c r="D7446" s="1" t="s">
        <v>45</v>
      </c>
      <c r="E7446" t="s">
        <v>68</v>
      </c>
      <c r="F7446" s="1">
        <v>2</v>
      </c>
      <c r="G7446" s="1" t="s">
        <v>32</v>
      </c>
      <c r="H7446" s="4" t="str">
        <f>HYPERLINK("https://www.ncbi.nlm.nih.gov/geo/query/acc.cgi?acc=GSM1567160","GSM1567160")</f>
        <v>GSM1567160</v>
      </c>
      <c r="I7446" t="s">
        <v>69</v>
      </c>
      <c r="J7446" t="s">
        <v>18</v>
      </c>
      <c r="K7446" t="s">
        <v>33</v>
      </c>
      <c r="L7446" t="s">
        <v>70</v>
      </c>
      <c r="N7446" t="s">
        <v>29</v>
      </c>
    </row>
    <row r="7447" spans="1:14">
      <c r="A7447" s="4" t="str">
        <f t="shared" si="689"/>
        <v>EXP00259</v>
      </c>
      <c r="B7447" s="4" t="str">
        <f t="shared" si="690"/>
        <v>26499327</v>
      </c>
      <c r="C7447" s="4" t="str">
        <f t="shared" si="691"/>
        <v>GSE64256</v>
      </c>
      <c r="D7447" s="1" t="s">
        <v>45</v>
      </c>
      <c r="E7447" t="s">
        <v>68</v>
      </c>
      <c r="F7447" s="1">
        <v>2</v>
      </c>
      <c r="G7447" s="1" t="s">
        <v>32</v>
      </c>
      <c r="H7447" s="4" t="str">
        <f>HYPERLINK("https://www.ncbi.nlm.nih.gov/geo/query/acc.cgi?acc=GSM1567162","GSM1567162")</f>
        <v>GSM1567162</v>
      </c>
      <c r="I7447" t="s">
        <v>69</v>
      </c>
      <c r="J7447" t="s">
        <v>18</v>
      </c>
      <c r="K7447" t="s">
        <v>33</v>
      </c>
      <c r="L7447" t="s">
        <v>70</v>
      </c>
      <c r="N7447" t="s">
        <v>29</v>
      </c>
    </row>
    <row r="7448" spans="1:14">
      <c r="A7448" s="4" t="str">
        <f t="shared" si="689"/>
        <v>EXP00259</v>
      </c>
      <c r="B7448" s="4" t="str">
        <f t="shared" si="690"/>
        <v>26499327</v>
      </c>
      <c r="C7448" s="4" t="str">
        <f t="shared" si="691"/>
        <v>GSE64256</v>
      </c>
      <c r="D7448" s="1" t="s">
        <v>45</v>
      </c>
      <c r="E7448" t="s">
        <v>68</v>
      </c>
      <c r="F7448" s="1">
        <v>2</v>
      </c>
      <c r="G7448" s="1" t="s">
        <v>32</v>
      </c>
      <c r="H7448" s="4" t="str">
        <f>HYPERLINK("https://www.ncbi.nlm.nih.gov/geo/query/acc.cgi?acc=GSM1567163","GSM1567163")</f>
        <v>GSM1567163</v>
      </c>
      <c r="I7448" t="s">
        <v>69</v>
      </c>
      <c r="J7448" t="s">
        <v>18</v>
      </c>
      <c r="K7448" t="s">
        <v>33</v>
      </c>
      <c r="L7448" t="s">
        <v>70</v>
      </c>
      <c r="N7448" t="s">
        <v>29</v>
      </c>
    </row>
    <row r="7449" spans="1:14">
      <c r="A7449" s="4" t="str">
        <f t="shared" si="689"/>
        <v>EXP00259</v>
      </c>
      <c r="B7449" s="4" t="str">
        <f t="shared" si="690"/>
        <v>26499327</v>
      </c>
      <c r="C7449" s="4" t="str">
        <f t="shared" si="691"/>
        <v>GSE64256</v>
      </c>
      <c r="D7449" s="1" t="s">
        <v>45</v>
      </c>
      <c r="E7449" t="s">
        <v>68</v>
      </c>
      <c r="F7449" s="1">
        <v>2</v>
      </c>
      <c r="G7449" s="1" t="s">
        <v>32</v>
      </c>
      <c r="H7449" s="4" t="str">
        <f>HYPERLINK("https://www.ncbi.nlm.nih.gov/geo/query/acc.cgi?acc=GSM1567164","GSM1567164")</f>
        <v>GSM1567164</v>
      </c>
      <c r="I7449" t="s">
        <v>69</v>
      </c>
      <c r="J7449" t="s">
        <v>18</v>
      </c>
      <c r="K7449" t="s">
        <v>33</v>
      </c>
      <c r="L7449" t="s">
        <v>70</v>
      </c>
      <c r="N7449" t="s">
        <v>29</v>
      </c>
    </row>
    <row r="7450" spans="1:14">
      <c r="A7450" s="4" t="str">
        <f t="shared" si="689"/>
        <v>EXP00259</v>
      </c>
      <c r="B7450" s="4" t="str">
        <f t="shared" si="690"/>
        <v>26499327</v>
      </c>
      <c r="C7450" s="4" t="str">
        <f t="shared" si="691"/>
        <v>GSE64256</v>
      </c>
      <c r="D7450" s="1" t="s">
        <v>45</v>
      </c>
      <c r="E7450" t="s">
        <v>68</v>
      </c>
      <c r="F7450" s="1">
        <v>2</v>
      </c>
      <c r="G7450" s="1" t="s">
        <v>32</v>
      </c>
      <c r="H7450" s="4" t="str">
        <f>HYPERLINK("https://www.ncbi.nlm.nih.gov/geo/query/acc.cgi?acc=GSM1567165","GSM1567165")</f>
        <v>GSM1567165</v>
      </c>
      <c r="I7450" t="s">
        <v>69</v>
      </c>
      <c r="J7450" t="s">
        <v>18</v>
      </c>
      <c r="K7450" t="s">
        <v>33</v>
      </c>
      <c r="L7450" t="s">
        <v>70</v>
      </c>
      <c r="N7450" t="s">
        <v>29</v>
      </c>
    </row>
    <row r="7451" spans="1:14">
      <c r="A7451" s="4" t="str">
        <f t="shared" si="689"/>
        <v>EXP00259</v>
      </c>
      <c r="B7451" s="4" t="str">
        <f t="shared" si="690"/>
        <v>26499327</v>
      </c>
      <c r="C7451" s="4" t="str">
        <f t="shared" si="691"/>
        <v>GSE64256</v>
      </c>
      <c r="D7451" s="1" t="s">
        <v>45</v>
      </c>
      <c r="E7451" t="s">
        <v>68</v>
      </c>
      <c r="F7451" s="1">
        <v>2</v>
      </c>
      <c r="G7451" s="1" t="s">
        <v>32</v>
      </c>
      <c r="H7451" s="4" t="str">
        <f>HYPERLINK("https://www.ncbi.nlm.nih.gov/geo/query/acc.cgi?acc=GSM1567166","GSM1567166")</f>
        <v>GSM1567166</v>
      </c>
      <c r="I7451" t="s">
        <v>69</v>
      </c>
      <c r="J7451" t="s">
        <v>18</v>
      </c>
      <c r="K7451" t="s">
        <v>33</v>
      </c>
      <c r="L7451" t="s">
        <v>70</v>
      </c>
      <c r="N7451" t="s">
        <v>29</v>
      </c>
    </row>
    <row r="7452" spans="1:14">
      <c r="A7452" s="4" t="str">
        <f t="shared" si="689"/>
        <v>EXP00259</v>
      </c>
      <c r="B7452" s="4" t="str">
        <f t="shared" si="690"/>
        <v>26499327</v>
      </c>
      <c r="C7452" s="4" t="str">
        <f t="shared" si="691"/>
        <v>GSE64256</v>
      </c>
      <c r="D7452" s="1" t="s">
        <v>45</v>
      </c>
      <c r="E7452" t="s">
        <v>68</v>
      </c>
      <c r="F7452" s="1">
        <v>2</v>
      </c>
      <c r="G7452" s="1" t="s">
        <v>32</v>
      </c>
      <c r="H7452" s="4" t="str">
        <f>HYPERLINK("https://www.ncbi.nlm.nih.gov/geo/query/acc.cgi?acc=GSM1567167","GSM1567167")</f>
        <v>GSM1567167</v>
      </c>
      <c r="I7452" t="s">
        <v>69</v>
      </c>
      <c r="J7452" t="s">
        <v>18</v>
      </c>
      <c r="K7452" t="s">
        <v>33</v>
      </c>
      <c r="L7452" t="s">
        <v>70</v>
      </c>
      <c r="N7452" t="s">
        <v>29</v>
      </c>
    </row>
    <row r="7453" spans="1:14">
      <c r="A7453" s="4" t="str">
        <f t="shared" si="689"/>
        <v>EXP00259</v>
      </c>
      <c r="B7453" s="4" t="str">
        <f t="shared" si="690"/>
        <v>26499327</v>
      </c>
      <c r="C7453" s="4" t="str">
        <f t="shared" si="691"/>
        <v>GSE64256</v>
      </c>
      <c r="D7453" s="1" t="s">
        <v>45</v>
      </c>
      <c r="E7453" t="s">
        <v>68</v>
      </c>
      <c r="F7453" s="1">
        <v>2</v>
      </c>
      <c r="G7453" s="1" t="s">
        <v>32</v>
      </c>
      <c r="H7453" s="4" t="str">
        <f>HYPERLINK("https://www.ncbi.nlm.nih.gov/geo/query/acc.cgi?acc=GSM1567168","GSM1567168")</f>
        <v>GSM1567168</v>
      </c>
      <c r="I7453" t="s">
        <v>69</v>
      </c>
      <c r="J7453" t="s">
        <v>18</v>
      </c>
      <c r="K7453" t="s">
        <v>33</v>
      </c>
      <c r="L7453" t="s">
        <v>70</v>
      </c>
      <c r="N7453" t="s">
        <v>29</v>
      </c>
    </row>
    <row r="7454" spans="1:14">
      <c r="A7454" s="4" t="str">
        <f t="shared" si="689"/>
        <v>EXP00259</v>
      </c>
      <c r="B7454" s="4" t="str">
        <f t="shared" si="690"/>
        <v>26499327</v>
      </c>
      <c r="C7454" s="4" t="str">
        <f t="shared" si="691"/>
        <v>GSE64256</v>
      </c>
      <c r="D7454" s="1" t="s">
        <v>45</v>
      </c>
      <c r="E7454" t="s">
        <v>68</v>
      </c>
      <c r="F7454" s="1">
        <v>2</v>
      </c>
      <c r="G7454" s="1" t="s">
        <v>32</v>
      </c>
      <c r="H7454" s="4" t="str">
        <f>HYPERLINK("https://www.ncbi.nlm.nih.gov/geo/query/acc.cgi?acc=GSM1567169","GSM1567169")</f>
        <v>GSM1567169</v>
      </c>
      <c r="I7454" t="s">
        <v>69</v>
      </c>
      <c r="J7454" t="s">
        <v>18</v>
      </c>
      <c r="K7454" t="s">
        <v>33</v>
      </c>
      <c r="L7454" t="s">
        <v>70</v>
      </c>
      <c r="N7454" t="s">
        <v>29</v>
      </c>
    </row>
    <row r="7455" spans="1:14">
      <c r="A7455" s="4" t="str">
        <f t="shared" si="689"/>
        <v>EXP00259</v>
      </c>
      <c r="B7455" s="4" t="str">
        <f t="shared" si="690"/>
        <v>26499327</v>
      </c>
      <c r="C7455" s="4" t="str">
        <f t="shared" si="691"/>
        <v>GSE64256</v>
      </c>
      <c r="D7455" s="1" t="s">
        <v>45</v>
      </c>
      <c r="E7455" t="s">
        <v>68</v>
      </c>
      <c r="F7455" s="1">
        <v>2</v>
      </c>
      <c r="G7455" s="1" t="s">
        <v>32</v>
      </c>
      <c r="H7455" s="4" t="str">
        <f>HYPERLINK("https://www.ncbi.nlm.nih.gov/geo/query/acc.cgi?acc=GSM1567170","GSM1567170")</f>
        <v>GSM1567170</v>
      </c>
      <c r="I7455" t="s">
        <v>69</v>
      </c>
      <c r="J7455" t="s">
        <v>18</v>
      </c>
      <c r="K7455" t="s">
        <v>33</v>
      </c>
      <c r="L7455" t="s">
        <v>70</v>
      </c>
      <c r="N7455" t="s">
        <v>29</v>
      </c>
    </row>
    <row r="7456" spans="1:14">
      <c r="A7456" s="4" t="str">
        <f t="shared" si="689"/>
        <v>EXP00259</v>
      </c>
      <c r="B7456" s="4" t="str">
        <f t="shared" si="690"/>
        <v>26499327</v>
      </c>
      <c r="C7456" s="4" t="str">
        <f t="shared" si="691"/>
        <v>GSE64256</v>
      </c>
      <c r="D7456" s="1" t="s">
        <v>45</v>
      </c>
      <c r="E7456" t="s">
        <v>68</v>
      </c>
      <c r="F7456" s="1">
        <v>2</v>
      </c>
      <c r="G7456" s="1" t="s">
        <v>32</v>
      </c>
      <c r="H7456" s="4" t="str">
        <f>HYPERLINK("https://www.ncbi.nlm.nih.gov/geo/query/acc.cgi?acc=GSM1567171","GSM1567171")</f>
        <v>GSM1567171</v>
      </c>
      <c r="I7456" t="s">
        <v>69</v>
      </c>
      <c r="J7456" t="s">
        <v>18</v>
      </c>
      <c r="K7456" t="s">
        <v>33</v>
      </c>
      <c r="L7456" t="s">
        <v>70</v>
      </c>
      <c r="N7456" t="s">
        <v>29</v>
      </c>
    </row>
    <row r="7457" spans="1:14">
      <c r="A7457" s="4" t="str">
        <f t="shared" si="689"/>
        <v>EXP00259</v>
      </c>
      <c r="B7457" s="4" t="str">
        <f t="shared" si="690"/>
        <v>26499327</v>
      </c>
      <c r="C7457" s="4" t="str">
        <f t="shared" si="691"/>
        <v>GSE64256</v>
      </c>
      <c r="D7457" s="1" t="s">
        <v>45</v>
      </c>
      <c r="E7457" t="s">
        <v>68</v>
      </c>
      <c r="F7457" s="1">
        <v>2</v>
      </c>
      <c r="G7457" s="1" t="s">
        <v>32</v>
      </c>
      <c r="H7457" s="4" t="str">
        <f>HYPERLINK("https://www.ncbi.nlm.nih.gov/geo/query/acc.cgi?acc=GSM1567172","GSM1567172")</f>
        <v>GSM1567172</v>
      </c>
      <c r="I7457" t="s">
        <v>69</v>
      </c>
      <c r="J7457" t="s">
        <v>18</v>
      </c>
      <c r="K7457" t="s">
        <v>33</v>
      </c>
      <c r="L7457" t="s">
        <v>70</v>
      </c>
      <c r="N7457" t="s">
        <v>29</v>
      </c>
    </row>
    <row r="7458" spans="1:14">
      <c r="A7458" s="4" t="str">
        <f t="shared" si="689"/>
        <v>EXP00259</v>
      </c>
      <c r="B7458" s="4" t="str">
        <f t="shared" si="690"/>
        <v>26499327</v>
      </c>
      <c r="C7458" s="4" t="str">
        <f t="shared" si="691"/>
        <v>GSE64256</v>
      </c>
      <c r="D7458" s="1" t="s">
        <v>45</v>
      </c>
      <c r="E7458" t="s">
        <v>68</v>
      </c>
      <c r="F7458" s="1">
        <v>2</v>
      </c>
      <c r="G7458" s="1" t="s">
        <v>32</v>
      </c>
      <c r="H7458" s="4" t="str">
        <f>HYPERLINK("https://www.ncbi.nlm.nih.gov/geo/query/acc.cgi?acc=GSM1567174","GSM1567174")</f>
        <v>GSM1567174</v>
      </c>
      <c r="I7458" t="s">
        <v>69</v>
      </c>
      <c r="J7458" t="s">
        <v>18</v>
      </c>
      <c r="K7458" t="s">
        <v>33</v>
      </c>
      <c r="L7458" t="s">
        <v>70</v>
      </c>
      <c r="N7458" t="s">
        <v>29</v>
      </c>
    </row>
    <row r="7459" spans="1:14">
      <c r="A7459" s="4" t="str">
        <f t="shared" si="689"/>
        <v>EXP00259</v>
      </c>
      <c r="B7459" s="4" t="str">
        <f t="shared" si="690"/>
        <v>26499327</v>
      </c>
      <c r="C7459" s="4" t="str">
        <f t="shared" si="691"/>
        <v>GSE64256</v>
      </c>
      <c r="D7459" s="1" t="s">
        <v>45</v>
      </c>
      <c r="E7459" t="s">
        <v>68</v>
      </c>
      <c r="F7459" s="1">
        <v>2</v>
      </c>
      <c r="G7459" s="1" t="s">
        <v>32</v>
      </c>
      <c r="H7459" s="4" t="str">
        <f>HYPERLINK("https://www.ncbi.nlm.nih.gov/geo/query/acc.cgi?acc=GSM1567175","GSM1567175")</f>
        <v>GSM1567175</v>
      </c>
      <c r="I7459" t="s">
        <v>69</v>
      </c>
      <c r="J7459" t="s">
        <v>18</v>
      </c>
      <c r="K7459" t="s">
        <v>33</v>
      </c>
      <c r="L7459" t="s">
        <v>70</v>
      </c>
      <c r="N7459" t="s">
        <v>29</v>
      </c>
    </row>
    <row r="7460" spans="1:14">
      <c r="A7460" s="4" t="str">
        <f t="shared" si="689"/>
        <v>EXP00259</v>
      </c>
      <c r="B7460" s="4" t="str">
        <f t="shared" si="690"/>
        <v>26499327</v>
      </c>
      <c r="C7460" s="4" t="str">
        <f t="shared" si="691"/>
        <v>GSE64256</v>
      </c>
      <c r="D7460" s="1" t="s">
        <v>45</v>
      </c>
      <c r="E7460" t="s">
        <v>68</v>
      </c>
      <c r="F7460" s="1">
        <v>2</v>
      </c>
      <c r="G7460" s="1" t="s">
        <v>32</v>
      </c>
      <c r="H7460" s="4" t="str">
        <f>HYPERLINK("https://www.ncbi.nlm.nih.gov/geo/query/acc.cgi?acc=GSM1567176","GSM1567176")</f>
        <v>GSM1567176</v>
      </c>
      <c r="I7460" t="s">
        <v>69</v>
      </c>
      <c r="J7460" t="s">
        <v>18</v>
      </c>
      <c r="K7460" t="s">
        <v>33</v>
      </c>
      <c r="L7460" t="s">
        <v>70</v>
      </c>
      <c r="N7460" t="s">
        <v>29</v>
      </c>
    </row>
    <row r="7461" spans="1:14">
      <c r="A7461" s="4" t="str">
        <f t="shared" si="689"/>
        <v>EXP00259</v>
      </c>
      <c r="B7461" s="4" t="str">
        <f t="shared" si="690"/>
        <v>26499327</v>
      </c>
      <c r="C7461" s="4" t="str">
        <f t="shared" si="691"/>
        <v>GSE64256</v>
      </c>
      <c r="D7461" s="1" t="s">
        <v>45</v>
      </c>
      <c r="E7461" t="s">
        <v>68</v>
      </c>
      <c r="F7461" s="1">
        <v>2</v>
      </c>
      <c r="G7461" s="1" t="s">
        <v>32</v>
      </c>
      <c r="H7461" s="4" t="str">
        <f>HYPERLINK("https://www.ncbi.nlm.nih.gov/geo/query/acc.cgi?acc=GSM1567177","GSM1567177")</f>
        <v>GSM1567177</v>
      </c>
      <c r="I7461" t="s">
        <v>69</v>
      </c>
      <c r="J7461" t="s">
        <v>18</v>
      </c>
      <c r="K7461" t="s">
        <v>33</v>
      </c>
      <c r="L7461" t="s">
        <v>70</v>
      </c>
      <c r="N7461" t="s">
        <v>29</v>
      </c>
    </row>
    <row r="7462" spans="1:14">
      <c r="A7462" s="4" t="str">
        <f t="shared" ref="A7462:A7490" si="692">HYPERLINK("http://hcmdb.i-sanger.com/experiment/details/experiment_id/EXP00259","EXP00259")</f>
        <v>EXP00259</v>
      </c>
      <c r="B7462" s="4" t="str">
        <f t="shared" ref="B7462:B7490" si="693">HYPERLINK("https://www.ncbi.nlm.nih.gov/pubmed/26499327","26499327")</f>
        <v>26499327</v>
      </c>
      <c r="C7462" s="4" t="str">
        <f t="shared" ref="C7462:C7490" si="694">HYPERLINK("https://www.ncbi.nlm.nih.gov/geo/query/acc.cgi?acc=GSE64256","GSE64256")</f>
        <v>GSE64256</v>
      </c>
      <c r="D7462" s="1" t="s">
        <v>45</v>
      </c>
      <c r="E7462" t="s">
        <v>68</v>
      </c>
      <c r="F7462" s="1">
        <v>2</v>
      </c>
      <c r="G7462" s="1" t="s">
        <v>32</v>
      </c>
      <c r="H7462" s="4" t="str">
        <f>HYPERLINK("https://www.ncbi.nlm.nih.gov/geo/query/acc.cgi?acc=GSM1567178","GSM1567178")</f>
        <v>GSM1567178</v>
      </c>
      <c r="I7462" t="s">
        <v>69</v>
      </c>
      <c r="J7462" t="s">
        <v>18</v>
      </c>
      <c r="K7462" t="s">
        <v>33</v>
      </c>
      <c r="L7462" t="s">
        <v>70</v>
      </c>
      <c r="N7462" t="s">
        <v>29</v>
      </c>
    </row>
    <row r="7463" spans="1:14">
      <c r="A7463" s="4" t="str">
        <f t="shared" si="692"/>
        <v>EXP00259</v>
      </c>
      <c r="B7463" s="4" t="str">
        <f t="shared" si="693"/>
        <v>26499327</v>
      </c>
      <c r="C7463" s="4" t="str">
        <f t="shared" si="694"/>
        <v>GSE64256</v>
      </c>
      <c r="D7463" s="1" t="s">
        <v>45</v>
      </c>
      <c r="E7463" t="s">
        <v>68</v>
      </c>
      <c r="F7463" s="1">
        <v>2</v>
      </c>
      <c r="G7463" s="1" t="s">
        <v>32</v>
      </c>
      <c r="H7463" s="4" t="str">
        <f>HYPERLINK("https://www.ncbi.nlm.nih.gov/geo/query/acc.cgi?acc=GSM1567179","GSM1567179")</f>
        <v>GSM1567179</v>
      </c>
      <c r="I7463" t="s">
        <v>69</v>
      </c>
      <c r="J7463" t="s">
        <v>18</v>
      </c>
      <c r="K7463" t="s">
        <v>33</v>
      </c>
      <c r="L7463" t="s">
        <v>70</v>
      </c>
      <c r="N7463" t="s">
        <v>29</v>
      </c>
    </row>
    <row r="7464" spans="1:14">
      <c r="A7464" s="4" t="str">
        <f t="shared" si="692"/>
        <v>EXP00259</v>
      </c>
      <c r="B7464" s="4" t="str">
        <f t="shared" si="693"/>
        <v>26499327</v>
      </c>
      <c r="C7464" s="4" t="str">
        <f t="shared" si="694"/>
        <v>GSE64256</v>
      </c>
      <c r="D7464" s="1" t="s">
        <v>45</v>
      </c>
      <c r="E7464" t="s">
        <v>68</v>
      </c>
      <c r="F7464" s="1">
        <v>2</v>
      </c>
      <c r="G7464" s="1" t="s">
        <v>32</v>
      </c>
      <c r="H7464" s="4" t="str">
        <f>HYPERLINK("https://www.ncbi.nlm.nih.gov/geo/query/acc.cgi?acc=GSM1567181","GSM1567181")</f>
        <v>GSM1567181</v>
      </c>
      <c r="I7464" t="s">
        <v>69</v>
      </c>
      <c r="J7464" t="s">
        <v>18</v>
      </c>
      <c r="K7464" t="s">
        <v>33</v>
      </c>
      <c r="L7464" t="s">
        <v>70</v>
      </c>
      <c r="N7464" t="s">
        <v>29</v>
      </c>
    </row>
    <row r="7465" spans="1:14">
      <c r="A7465" s="4" t="str">
        <f t="shared" si="692"/>
        <v>EXP00259</v>
      </c>
      <c r="B7465" s="4" t="str">
        <f t="shared" si="693"/>
        <v>26499327</v>
      </c>
      <c r="C7465" s="4" t="str">
        <f t="shared" si="694"/>
        <v>GSE64256</v>
      </c>
      <c r="D7465" s="1" t="s">
        <v>45</v>
      </c>
      <c r="E7465" t="s">
        <v>68</v>
      </c>
      <c r="F7465" s="1">
        <v>2</v>
      </c>
      <c r="G7465" s="1" t="s">
        <v>32</v>
      </c>
      <c r="H7465" s="4" t="str">
        <f>HYPERLINK("https://www.ncbi.nlm.nih.gov/geo/query/acc.cgi?acc=GSM1567182","GSM1567182")</f>
        <v>GSM1567182</v>
      </c>
      <c r="I7465" t="s">
        <v>69</v>
      </c>
      <c r="J7465" t="s">
        <v>18</v>
      </c>
      <c r="K7465" t="s">
        <v>33</v>
      </c>
      <c r="L7465" t="s">
        <v>70</v>
      </c>
      <c r="N7465" t="s">
        <v>29</v>
      </c>
    </row>
    <row r="7466" spans="1:14">
      <c r="A7466" s="4" t="str">
        <f t="shared" si="692"/>
        <v>EXP00259</v>
      </c>
      <c r="B7466" s="4" t="str">
        <f t="shared" si="693"/>
        <v>26499327</v>
      </c>
      <c r="C7466" s="4" t="str">
        <f t="shared" si="694"/>
        <v>GSE64256</v>
      </c>
      <c r="D7466" s="1" t="s">
        <v>45</v>
      </c>
      <c r="E7466" t="s">
        <v>68</v>
      </c>
      <c r="F7466" s="1">
        <v>2</v>
      </c>
      <c r="G7466" s="1" t="s">
        <v>32</v>
      </c>
      <c r="H7466" s="4" t="str">
        <f>HYPERLINK("https://www.ncbi.nlm.nih.gov/geo/query/acc.cgi?acc=GSM1567183","GSM1567183")</f>
        <v>GSM1567183</v>
      </c>
      <c r="I7466" t="s">
        <v>69</v>
      </c>
      <c r="J7466" t="s">
        <v>18</v>
      </c>
      <c r="K7466" t="s">
        <v>33</v>
      </c>
      <c r="L7466" t="s">
        <v>70</v>
      </c>
      <c r="N7466" t="s">
        <v>29</v>
      </c>
    </row>
    <row r="7467" spans="1:14">
      <c r="A7467" s="4" t="str">
        <f t="shared" si="692"/>
        <v>EXP00259</v>
      </c>
      <c r="B7467" s="4" t="str">
        <f t="shared" si="693"/>
        <v>26499327</v>
      </c>
      <c r="C7467" s="4" t="str">
        <f t="shared" si="694"/>
        <v>GSE64256</v>
      </c>
      <c r="D7467" s="1" t="s">
        <v>45</v>
      </c>
      <c r="E7467" t="s">
        <v>68</v>
      </c>
      <c r="F7467" s="1">
        <v>2</v>
      </c>
      <c r="G7467" s="1" t="s">
        <v>32</v>
      </c>
      <c r="H7467" s="4" t="str">
        <f>HYPERLINK("https://www.ncbi.nlm.nih.gov/geo/query/acc.cgi?acc=GSM1567184","GSM1567184")</f>
        <v>GSM1567184</v>
      </c>
      <c r="I7467" t="s">
        <v>69</v>
      </c>
      <c r="J7467" t="s">
        <v>18</v>
      </c>
      <c r="K7467" t="s">
        <v>33</v>
      </c>
      <c r="L7467" t="s">
        <v>70</v>
      </c>
      <c r="N7467" t="s">
        <v>29</v>
      </c>
    </row>
    <row r="7468" spans="1:14">
      <c r="A7468" s="4" t="str">
        <f t="shared" si="692"/>
        <v>EXP00259</v>
      </c>
      <c r="B7468" s="4" t="str">
        <f t="shared" si="693"/>
        <v>26499327</v>
      </c>
      <c r="C7468" s="4" t="str">
        <f t="shared" si="694"/>
        <v>GSE64256</v>
      </c>
      <c r="D7468" s="1" t="s">
        <v>45</v>
      </c>
      <c r="E7468" t="s">
        <v>68</v>
      </c>
      <c r="F7468" s="1">
        <v>2</v>
      </c>
      <c r="G7468" s="1" t="s">
        <v>32</v>
      </c>
      <c r="H7468" s="4" t="str">
        <f>HYPERLINK("https://www.ncbi.nlm.nih.gov/geo/query/acc.cgi?acc=GSM1567185","GSM1567185")</f>
        <v>GSM1567185</v>
      </c>
      <c r="I7468" t="s">
        <v>69</v>
      </c>
      <c r="J7468" t="s">
        <v>18</v>
      </c>
      <c r="K7468" t="s">
        <v>33</v>
      </c>
      <c r="L7468" t="s">
        <v>70</v>
      </c>
      <c r="N7468" t="s">
        <v>29</v>
      </c>
    </row>
    <row r="7469" spans="1:14">
      <c r="A7469" s="4" t="str">
        <f t="shared" si="692"/>
        <v>EXP00259</v>
      </c>
      <c r="B7469" s="4" t="str">
        <f t="shared" si="693"/>
        <v>26499327</v>
      </c>
      <c r="C7469" s="4" t="str">
        <f t="shared" si="694"/>
        <v>GSE64256</v>
      </c>
      <c r="D7469" s="1" t="s">
        <v>45</v>
      </c>
      <c r="E7469" t="s">
        <v>68</v>
      </c>
      <c r="F7469" s="1">
        <v>2</v>
      </c>
      <c r="G7469" s="1" t="s">
        <v>32</v>
      </c>
      <c r="H7469" s="4" t="str">
        <f>HYPERLINK("https://www.ncbi.nlm.nih.gov/geo/query/acc.cgi?acc=GSM1567186","GSM1567186")</f>
        <v>GSM1567186</v>
      </c>
      <c r="I7469" t="s">
        <v>69</v>
      </c>
      <c r="J7469" t="s">
        <v>18</v>
      </c>
      <c r="K7469" t="s">
        <v>33</v>
      </c>
      <c r="L7469" t="s">
        <v>70</v>
      </c>
      <c r="N7469" t="s">
        <v>29</v>
      </c>
    </row>
    <row r="7470" spans="1:14">
      <c r="A7470" s="4" t="str">
        <f t="shared" si="692"/>
        <v>EXP00259</v>
      </c>
      <c r="B7470" s="4" t="str">
        <f t="shared" si="693"/>
        <v>26499327</v>
      </c>
      <c r="C7470" s="4" t="str">
        <f t="shared" si="694"/>
        <v>GSE64256</v>
      </c>
      <c r="D7470" s="1" t="s">
        <v>45</v>
      </c>
      <c r="E7470" t="s">
        <v>68</v>
      </c>
      <c r="F7470" s="1">
        <v>2</v>
      </c>
      <c r="G7470" s="1" t="s">
        <v>32</v>
      </c>
      <c r="H7470" s="4" t="str">
        <f>HYPERLINK("https://www.ncbi.nlm.nih.gov/geo/query/acc.cgi?acc=GSM1567187","GSM1567187")</f>
        <v>GSM1567187</v>
      </c>
      <c r="I7470" t="s">
        <v>69</v>
      </c>
      <c r="J7470" t="s">
        <v>18</v>
      </c>
      <c r="K7470" t="s">
        <v>33</v>
      </c>
      <c r="L7470" t="s">
        <v>70</v>
      </c>
      <c r="N7470" t="s">
        <v>29</v>
      </c>
    </row>
    <row r="7471" spans="1:14">
      <c r="A7471" s="4" t="str">
        <f t="shared" si="692"/>
        <v>EXP00259</v>
      </c>
      <c r="B7471" s="4" t="str">
        <f t="shared" si="693"/>
        <v>26499327</v>
      </c>
      <c r="C7471" s="4" t="str">
        <f t="shared" si="694"/>
        <v>GSE64256</v>
      </c>
      <c r="D7471" s="1" t="s">
        <v>45</v>
      </c>
      <c r="E7471" t="s">
        <v>68</v>
      </c>
      <c r="F7471" s="1">
        <v>2</v>
      </c>
      <c r="G7471" s="1" t="s">
        <v>32</v>
      </c>
      <c r="H7471" s="4" t="str">
        <f>HYPERLINK("https://www.ncbi.nlm.nih.gov/geo/query/acc.cgi?acc=GSM1567188","GSM1567188")</f>
        <v>GSM1567188</v>
      </c>
      <c r="I7471" t="s">
        <v>69</v>
      </c>
      <c r="J7471" t="s">
        <v>18</v>
      </c>
      <c r="K7471" t="s">
        <v>33</v>
      </c>
      <c r="L7471" t="s">
        <v>70</v>
      </c>
      <c r="N7471" t="s">
        <v>29</v>
      </c>
    </row>
    <row r="7472" spans="1:14">
      <c r="A7472" s="4" t="str">
        <f t="shared" si="692"/>
        <v>EXP00259</v>
      </c>
      <c r="B7472" s="4" t="str">
        <f t="shared" si="693"/>
        <v>26499327</v>
      </c>
      <c r="C7472" s="4" t="str">
        <f t="shared" si="694"/>
        <v>GSE64256</v>
      </c>
      <c r="D7472" s="1" t="s">
        <v>45</v>
      </c>
      <c r="E7472" t="s">
        <v>68</v>
      </c>
      <c r="F7472" s="1">
        <v>2</v>
      </c>
      <c r="G7472" s="1" t="s">
        <v>32</v>
      </c>
      <c r="H7472" s="4" t="str">
        <f>HYPERLINK("https://www.ncbi.nlm.nih.gov/geo/query/acc.cgi?acc=GSM1567189","GSM1567189")</f>
        <v>GSM1567189</v>
      </c>
      <c r="I7472" t="s">
        <v>69</v>
      </c>
      <c r="J7472" t="s">
        <v>18</v>
      </c>
      <c r="K7472" t="s">
        <v>33</v>
      </c>
      <c r="L7472" t="s">
        <v>70</v>
      </c>
      <c r="N7472" t="s">
        <v>29</v>
      </c>
    </row>
    <row r="7473" spans="1:14">
      <c r="A7473" s="4" t="str">
        <f t="shared" si="692"/>
        <v>EXP00259</v>
      </c>
      <c r="B7473" s="4" t="str">
        <f t="shared" si="693"/>
        <v>26499327</v>
      </c>
      <c r="C7473" s="4" t="str">
        <f t="shared" si="694"/>
        <v>GSE64256</v>
      </c>
      <c r="D7473" s="1" t="s">
        <v>45</v>
      </c>
      <c r="E7473" t="s">
        <v>68</v>
      </c>
      <c r="F7473" s="1">
        <v>2</v>
      </c>
      <c r="G7473" s="1" t="s">
        <v>32</v>
      </c>
      <c r="H7473" s="4" t="str">
        <f>HYPERLINK("https://www.ncbi.nlm.nih.gov/geo/query/acc.cgi?acc=GSM1567190","GSM1567190")</f>
        <v>GSM1567190</v>
      </c>
      <c r="I7473" t="s">
        <v>69</v>
      </c>
      <c r="J7473" t="s">
        <v>18</v>
      </c>
      <c r="K7473" t="s">
        <v>33</v>
      </c>
      <c r="L7473" t="s">
        <v>70</v>
      </c>
      <c r="N7473" t="s">
        <v>29</v>
      </c>
    </row>
    <row r="7474" spans="1:14">
      <c r="A7474" s="4" t="str">
        <f t="shared" si="692"/>
        <v>EXP00259</v>
      </c>
      <c r="B7474" s="4" t="str">
        <f t="shared" si="693"/>
        <v>26499327</v>
      </c>
      <c r="C7474" s="4" t="str">
        <f t="shared" si="694"/>
        <v>GSE64256</v>
      </c>
      <c r="D7474" s="1" t="s">
        <v>45</v>
      </c>
      <c r="E7474" t="s">
        <v>68</v>
      </c>
      <c r="F7474" s="1">
        <v>2</v>
      </c>
      <c r="G7474" s="1" t="s">
        <v>32</v>
      </c>
      <c r="H7474" s="4" t="str">
        <f>HYPERLINK("https://www.ncbi.nlm.nih.gov/geo/query/acc.cgi?acc=GSM1567192","GSM1567192")</f>
        <v>GSM1567192</v>
      </c>
      <c r="I7474" t="s">
        <v>69</v>
      </c>
      <c r="J7474" t="s">
        <v>18</v>
      </c>
      <c r="K7474" t="s">
        <v>33</v>
      </c>
      <c r="L7474" t="s">
        <v>70</v>
      </c>
      <c r="N7474" t="s">
        <v>29</v>
      </c>
    </row>
    <row r="7475" spans="1:14">
      <c r="A7475" s="4" t="str">
        <f t="shared" si="692"/>
        <v>EXP00259</v>
      </c>
      <c r="B7475" s="4" t="str">
        <f t="shared" si="693"/>
        <v>26499327</v>
      </c>
      <c r="C7475" s="4" t="str">
        <f t="shared" si="694"/>
        <v>GSE64256</v>
      </c>
      <c r="D7475" s="1" t="s">
        <v>45</v>
      </c>
      <c r="E7475" t="s">
        <v>68</v>
      </c>
      <c r="F7475" s="1">
        <v>2</v>
      </c>
      <c r="G7475" s="1" t="s">
        <v>32</v>
      </c>
      <c r="H7475" s="4" t="str">
        <f>HYPERLINK("https://www.ncbi.nlm.nih.gov/geo/query/acc.cgi?acc=GSM1567193","GSM1567193")</f>
        <v>GSM1567193</v>
      </c>
      <c r="I7475" t="s">
        <v>69</v>
      </c>
      <c r="J7475" t="s">
        <v>18</v>
      </c>
      <c r="K7475" t="s">
        <v>33</v>
      </c>
      <c r="L7475" t="s">
        <v>70</v>
      </c>
      <c r="N7475" t="s">
        <v>29</v>
      </c>
    </row>
    <row r="7476" spans="1:14">
      <c r="A7476" s="4" t="str">
        <f t="shared" si="692"/>
        <v>EXP00259</v>
      </c>
      <c r="B7476" s="4" t="str">
        <f t="shared" si="693"/>
        <v>26499327</v>
      </c>
      <c r="C7476" s="4" t="str">
        <f t="shared" si="694"/>
        <v>GSE64256</v>
      </c>
      <c r="D7476" s="1" t="s">
        <v>45</v>
      </c>
      <c r="E7476" t="s">
        <v>68</v>
      </c>
      <c r="F7476" s="1">
        <v>2</v>
      </c>
      <c r="G7476" s="1" t="s">
        <v>32</v>
      </c>
      <c r="H7476" s="4" t="str">
        <f>HYPERLINK("https://www.ncbi.nlm.nih.gov/geo/query/acc.cgi?acc=GSM1567195","GSM1567195")</f>
        <v>GSM1567195</v>
      </c>
      <c r="I7476" t="s">
        <v>69</v>
      </c>
      <c r="J7476" t="s">
        <v>18</v>
      </c>
      <c r="K7476" t="s">
        <v>33</v>
      </c>
      <c r="L7476" t="s">
        <v>70</v>
      </c>
      <c r="N7476" t="s">
        <v>29</v>
      </c>
    </row>
    <row r="7477" spans="1:14">
      <c r="A7477" s="4" t="str">
        <f t="shared" si="692"/>
        <v>EXP00259</v>
      </c>
      <c r="B7477" s="4" t="str">
        <f t="shared" si="693"/>
        <v>26499327</v>
      </c>
      <c r="C7477" s="4" t="str">
        <f t="shared" si="694"/>
        <v>GSE64256</v>
      </c>
      <c r="D7477" s="1" t="s">
        <v>45</v>
      </c>
      <c r="E7477" t="s">
        <v>68</v>
      </c>
      <c r="F7477" s="1">
        <v>2</v>
      </c>
      <c r="G7477" s="1" t="s">
        <v>32</v>
      </c>
      <c r="H7477" s="4" t="str">
        <f>HYPERLINK("https://www.ncbi.nlm.nih.gov/geo/query/acc.cgi?acc=GSM1567196","GSM1567196")</f>
        <v>GSM1567196</v>
      </c>
      <c r="I7477" t="s">
        <v>69</v>
      </c>
      <c r="J7477" t="s">
        <v>18</v>
      </c>
      <c r="K7477" t="s">
        <v>33</v>
      </c>
      <c r="L7477" t="s">
        <v>70</v>
      </c>
      <c r="N7477" t="s">
        <v>29</v>
      </c>
    </row>
    <row r="7478" spans="1:14">
      <c r="A7478" s="4" t="str">
        <f t="shared" si="692"/>
        <v>EXP00259</v>
      </c>
      <c r="B7478" s="4" t="str">
        <f t="shared" si="693"/>
        <v>26499327</v>
      </c>
      <c r="C7478" s="4" t="str">
        <f t="shared" si="694"/>
        <v>GSE64256</v>
      </c>
      <c r="D7478" s="1" t="s">
        <v>45</v>
      </c>
      <c r="E7478" t="s">
        <v>68</v>
      </c>
      <c r="F7478" s="1">
        <v>2</v>
      </c>
      <c r="G7478" s="1" t="s">
        <v>32</v>
      </c>
      <c r="H7478" s="4" t="str">
        <f>HYPERLINK("https://www.ncbi.nlm.nih.gov/geo/query/acc.cgi?acc=GSM1567197","GSM1567197")</f>
        <v>GSM1567197</v>
      </c>
      <c r="I7478" t="s">
        <v>69</v>
      </c>
      <c r="J7478" t="s">
        <v>18</v>
      </c>
      <c r="K7478" t="s">
        <v>33</v>
      </c>
      <c r="L7478" t="s">
        <v>70</v>
      </c>
      <c r="N7478" t="s">
        <v>29</v>
      </c>
    </row>
    <row r="7479" spans="1:14">
      <c r="A7479" s="4" t="str">
        <f t="shared" si="692"/>
        <v>EXP00259</v>
      </c>
      <c r="B7479" s="4" t="str">
        <f t="shared" si="693"/>
        <v>26499327</v>
      </c>
      <c r="C7479" s="4" t="str">
        <f t="shared" si="694"/>
        <v>GSE64256</v>
      </c>
      <c r="D7479" s="1" t="s">
        <v>45</v>
      </c>
      <c r="E7479" t="s">
        <v>68</v>
      </c>
      <c r="F7479" s="1">
        <v>2</v>
      </c>
      <c r="G7479" s="1" t="s">
        <v>32</v>
      </c>
      <c r="H7479" s="4" t="str">
        <f>HYPERLINK("https://www.ncbi.nlm.nih.gov/geo/query/acc.cgi?acc=GSM1567199","GSM1567199")</f>
        <v>GSM1567199</v>
      </c>
      <c r="I7479" t="s">
        <v>69</v>
      </c>
      <c r="J7479" t="s">
        <v>18</v>
      </c>
      <c r="K7479" t="s">
        <v>33</v>
      </c>
      <c r="L7479" t="s">
        <v>70</v>
      </c>
      <c r="N7479" t="s">
        <v>29</v>
      </c>
    </row>
    <row r="7480" spans="1:14">
      <c r="A7480" s="4" t="str">
        <f t="shared" si="692"/>
        <v>EXP00259</v>
      </c>
      <c r="B7480" s="4" t="str">
        <f t="shared" si="693"/>
        <v>26499327</v>
      </c>
      <c r="C7480" s="4" t="str">
        <f t="shared" si="694"/>
        <v>GSE64256</v>
      </c>
      <c r="D7480" s="1" t="s">
        <v>45</v>
      </c>
      <c r="E7480" t="s">
        <v>68</v>
      </c>
      <c r="F7480" s="1">
        <v>2</v>
      </c>
      <c r="G7480" s="1" t="s">
        <v>32</v>
      </c>
      <c r="H7480" s="4" t="str">
        <f>HYPERLINK("https://www.ncbi.nlm.nih.gov/geo/query/acc.cgi?acc=GSM1567200","GSM1567200")</f>
        <v>GSM1567200</v>
      </c>
      <c r="I7480" t="s">
        <v>69</v>
      </c>
      <c r="J7480" t="s">
        <v>18</v>
      </c>
      <c r="K7480" t="s">
        <v>33</v>
      </c>
      <c r="L7480" t="s">
        <v>70</v>
      </c>
      <c r="N7480" t="s">
        <v>29</v>
      </c>
    </row>
    <row r="7481" spans="1:14">
      <c r="A7481" s="4" t="str">
        <f t="shared" si="692"/>
        <v>EXP00259</v>
      </c>
      <c r="B7481" s="4" t="str">
        <f t="shared" si="693"/>
        <v>26499327</v>
      </c>
      <c r="C7481" s="4" t="str">
        <f t="shared" si="694"/>
        <v>GSE64256</v>
      </c>
      <c r="D7481" s="1" t="s">
        <v>45</v>
      </c>
      <c r="E7481" t="s">
        <v>68</v>
      </c>
      <c r="F7481" s="1">
        <v>2</v>
      </c>
      <c r="G7481" s="1" t="s">
        <v>32</v>
      </c>
      <c r="H7481" s="4" t="str">
        <f>HYPERLINK("https://www.ncbi.nlm.nih.gov/geo/query/acc.cgi?acc=GSM1567201","GSM1567201")</f>
        <v>GSM1567201</v>
      </c>
      <c r="I7481" t="s">
        <v>69</v>
      </c>
      <c r="J7481" t="s">
        <v>18</v>
      </c>
      <c r="K7481" t="s">
        <v>33</v>
      </c>
      <c r="L7481" t="s">
        <v>70</v>
      </c>
      <c r="N7481" t="s">
        <v>29</v>
      </c>
    </row>
    <row r="7482" spans="1:14">
      <c r="A7482" s="4" t="str">
        <f t="shared" si="692"/>
        <v>EXP00259</v>
      </c>
      <c r="B7482" s="4" t="str">
        <f t="shared" si="693"/>
        <v>26499327</v>
      </c>
      <c r="C7482" s="4" t="str">
        <f t="shared" si="694"/>
        <v>GSE64256</v>
      </c>
      <c r="D7482" s="1" t="s">
        <v>45</v>
      </c>
      <c r="E7482" t="s">
        <v>68</v>
      </c>
      <c r="F7482" s="1">
        <v>2</v>
      </c>
      <c r="G7482" s="1" t="s">
        <v>32</v>
      </c>
      <c r="H7482" s="4" t="str">
        <f>HYPERLINK("https://www.ncbi.nlm.nih.gov/geo/query/acc.cgi?acc=GSM1567202","GSM1567202")</f>
        <v>GSM1567202</v>
      </c>
      <c r="I7482" t="s">
        <v>69</v>
      </c>
      <c r="J7482" t="s">
        <v>18</v>
      </c>
      <c r="K7482" t="s">
        <v>33</v>
      </c>
      <c r="L7482" t="s">
        <v>70</v>
      </c>
      <c r="N7482" t="s">
        <v>29</v>
      </c>
    </row>
    <row r="7483" spans="1:14">
      <c r="A7483" s="4" t="str">
        <f t="shared" si="692"/>
        <v>EXP00259</v>
      </c>
      <c r="B7483" s="4" t="str">
        <f t="shared" si="693"/>
        <v>26499327</v>
      </c>
      <c r="C7483" s="4" t="str">
        <f t="shared" si="694"/>
        <v>GSE64256</v>
      </c>
      <c r="D7483" s="1" t="s">
        <v>45</v>
      </c>
      <c r="E7483" t="s">
        <v>68</v>
      </c>
      <c r="F7483" s="1">
        <v>2</v>
      </c>
      <c r="G7483" s="1" t="s">
        <v>32</v>
      </c>
      <c r="H7483" s="4" t="str">
        <f>HYPERLINK("https://www.ncbi.nlm.nih.gov/geo/query/acc.cgi?acc=GSM1567203","GSM1567203")</f>
        <v>GSM1567203</v>
      </c>
      <c r="I7483" t="s">
        <v>69</v>
      </c>
      <c r="J7483" t="s">
        <v>18</v>
      </c>
      <c r="K7483" t="s">
        <v>33</v>
      </c>
      <c r="L7483" t="s">
        <v>70</v>
      </c>
      <c r="N7483" t="s">
        <v>29</v>
      </c>
    </row>
    <row r="7484" spans="1:14">
      <c r="A7484" s="4" t="str">
        <f t="shared" si="692"/>
        <v>EXP00259</v>
      </c>
      <c r="B7484" s="4" t="str">
        <f t="shared" si="693"/>
        <v>26499327</v>
      </c>
      <c r="C7484" s="4" t="str">
        <f t="shared" si="694"/>
        <v>GSE64256</v>
      </c>
      <c r="D7484" s="1" t="s">
        <v>45</v>
      </c>
      <c r="E7484" t="s">
        <v>68</v>
      </c>
      <c r="F7484" s="1">
        <v>2</v>
      </c>
      <c r="G7484" s="1" t="s">
        <v>32</v>
      </c>
      <c r="H7484" s="4" t="str">
        <f>HYPERLINK("https://www.ncbi.nlm.nih.gov/geo/query/acc.cgi?acc=GSM1567205","GSM1567205")</f>
        <v>GSM1567205</v>
      </c>
      <c r="I7484" t="s">
        <v>69</v>
      </c>
      <c r="J7484" t="s">
        <v>18</v>
      </c>
      <c r="K7484" t="s">
        <v>33</v>
      </c>
      <c r="L7484" t="s">
        <v>70</v>
      </c>
      <c r="N7484" t="s">
        <v>29</v>
      </c>
    </row>
    <row r="7485" spans="1:14">
      <c r="A7485" s="4" t="str">
        <f t="shared" si="692"/>
        <v>EXP00259</v>
      </c>
      <c r="B7485" s="4" t="str">
        <f t="shared" si="693"/>
        <v>26499327</v>
      </c>
      <c r="C7485" s="4" t="str">
        <f t="shared" si="694"/>
        <v>GSE64256</v>
      </c>
      <c r="D7485" s="1" t="s">
        <v>45</v>
      </c>
      <c r="E7485" t="s">
        <v>68</v>
      </c>
      <c r="F7485" s="1">
        <v>2</v>
      </c>
      <c r="G7485" s="1" t="s">
        <v>32</v>
      </c>
      <c r="H7485" s="4" t="str">
        <f>HYPERLINK("https://www.ncbi.nlm.nih.gov/geo/query/acc.cgi?acc=GSM1567206","GSM1567206")</f>
        <v>GSM1567206</v>
      </c>
      <c r="I7485" t="s">
        <v>69</v>
      </c>
      <c r="J7485" t="s">
        <v>18</v>
      </c>
      <c r="K7485" t="s">
        <v>33</v>
      </c>
      <c r="L7485" t="s">
        <v>70</v>
      </c>
      <c r="N7485" t="s">
        <v>29</v>
      </c>
    </row>
    <row r="7486" spans="1:14">
      <c r="A7486" s="4" t="str">
        <f t="shared" si="692"/>
        <v>EXP00259</v>
      </c>
      <c r="B7486" s="4" t="str">
        <f t="shared" si="693"/>
        <v>26499327</v>
      </c>
      <c r="C7486" s="4" t="str">
        <f t="shared" si="694"/>
        <v>GSE64256</v>
      </c>
      <c r="D7486" s="1" t="s">
        <v>45</v>
      </c>
      <c r="E7486" t="s">
        <v>68</v>
      </c>
      <c r="F7486" s="1">
        <v>2</v>
      </c>
      <c r="G7486" s="1" t="s">
        <v>32</v>
      </c>
      <c r="H7486" s="4" t="str">
        <f>HYPERLINK("https://www.ncbi.nlm.nih.gov/geo/query/acc.cgi?acc=GSM1567208","GSM1567208")</f>
        <v>GSM1567208</v>
      </c>
      <c r="I7486" t="s">
        <v>69</v>
      </c>
      <c r="J7486" t="s">
        <v>18</v>
      </c>
      <c r="K7486" t="s">
        <v>33</v>
      </c>
      <c r="L7486" t="s">
        <v>70</v>
      </c>
      <c r="N7486" t="s">
        <v>29</v>
      </c>
    </row>
    <row r="7487" spans="1:14">
      <c r="A7487" s="4" t="str">
        <f t="shared" si="692"/>
        <v>EXP00259</v>
      </c>
      <c r="B7487" s="4" t="str">
        <f t="shared" si="693"/>
        <v>26499327</v>
      </c>
      <c r="C7487" s="4" t="str">
        <f t="shared" si="694"/>
        <v>GSE64256</v>
      </c>
      <c r="D7487" s="1" t="s">
        <v>45</v>
      </c>
      <c r="E7487" t="s">
        <v>68</v>
      </c>
      <c r="F7487" s="1">
        <v>2</v>
      </c>
      <c r="G7487" s="1" t="s">
        <v>32</v>
      </c>
      <c r="H7487" s="4" t="str">
        <f>HYPERLINK("https://www.ncbi.nlm.nih.gov/geo/query/acc.cgi?acc=GSM1567211","GSM1567211")</f>
        <v>GSM1567211</v>
      </c>
      <c r="I7487" t="s">
        <v>69</v>
      </c>
      <c r="J7487" t="s">
        <v>18</v>
      </c>
      <c r="K7487" t="s">
        <v>33</v>
      </c>
      <c r="L7487" t="s">
        <v>70</v>
      </c>
      <c r="N7487" t="s">
        <v>29</v>
      </c>
    </row>
    <row r="7488" spans="1:14">
      <c r="A7488" s="4" t="str">
        <f t="shared" si="692"/>
        <v>EXP00259</v>
      </c>
      <c r="B7488" s="4" t="str">
        <f t="shared" si="693"/>
        <v>26499327</v>
      </c>
      <c r="C7488" s="4" t="str">
        <f t="shared" si="694"/>
        <v>GSE64256</v>
      </c>
      <c r="D7488" s="1" t="s">
        <v>45</v>
      </c>
      <c r="E7488" t="s">
        <v>68</v>
      </c>
      <c r="F7488" s="1">
        <v>2</v>
      </c>
      <c r="G7488" s="1" t="s">
        <v>32</v>
      </c>
      <c r="H7488" s="4" t="str">
        <f>HYPERLINK("https://www.ncbi.nlm.nih.gov/geo/query/acc.cgi?acc=GSM1567212","GSM1567212")</f>
        <v>GSM1567212</v>
      </c>
      <c r="I7488" t="s">
        <v>69</v>
      </c>
      <c r="J7488" t="s">
        <v>18</v>
      </c>
      <c r="K7488" t="s">
        <v>33</v>
      </c>
      <c r="L7488" t="s">
        <v>70</v>
      </c>
      <c r="N7488" t="s">
        <v>29</v>
      </c>
    </row>
    <row r="7489" spans="1:14">
      <c r="A7489" s="4" t="str">
        <f t="shared" si="692"/>
        <v>EXP00259</v>
      </c>
      <c r="B7489" s="4" t="str">
        <f t="shared" si="693"/>
        <v>26499327</v>
      </c>
      <c r="C7489" s="4" t="str">
        <f t="shared" si="694"/>
        <v>GSE64256</v>
      </c>
      <c r="D7489" s="1" t="s">
        <v>45</v>
      </c>
      <c r="E7489" t="s">
        <v>68</v>
      </c>
      <c r="F7489" s="1">
        <v>2</v>
      </c>
      <c r="G7489" s="1" t="s">
        <v>32</v>
      </c>
      <c r="H7489" s="4" t="str">
        <f>HYPERLINK("https://www.ncbi.nlm.nih.gov/geo/query/acc.cgi?acc=GSM1567214","GSM1567214")</f>
        <v>GSM1567214</v>
      </c>
      <c r="I7489" t="s">
        <v>69</v>
      </c>
      <c r="J7489" t="s">
        <v>18</v>
      </c>
      <c r="K7489" t="s">
        <v>33</v>
      </c>
      <c r="L7489" t="s">
        <v>70</v>
      </c>
      <c r="N7489" t="s">
        <v>29</v>
      </c>
    </row>
    <row r="7490" spans="1:14">
      <c r="A7490" s="4" t="str">
        <f t="shared" si="692"/>
        <v>EXP00259</v>
      </c>
      <c r="B7490" s="4" t="str">
        <f t="shared" si="693"/>
        <v>26499327</v>
      </c>
      <c r="C7490" s="4" t="str">
        <f t="shared" si="694"/>
        <v>GSE64256</v>
      </c>
      <c r="D7490" s="1" t="s">
        <v>45</v>
      </c>
      <c r="E7490" t="s">
        <v>68</v>
      </c>
      <c r="F7490" s="1">
        <v>2</v>
      </c>
      <c r="G7490" s="1" t="s">
        <v>32</v>
      </c>
      <c r="H7490" s="4" t="str">
        <f>HYPERLINK("https://www.ncbi.nlm.nih.gov/geo/query/acc.cgi?acc=GSM1567215","GSM1567215")</f>
        <v>GSM1567215</v>
      </c>
      <c r="I7490" t="s">
        <v>69</v>
      </c>
      <c r="J7490" t="s">
        <v>18</v>
      </c>
      <c r="K7490" t="s">
        <v>33</v>
      </c>
      <c r="L7490" t="s">
        <v>70</v>
      </c>
      <c r="N7490" t="s">
        <v>29</v>
      </c>
    </row>
    <row r="7491" spans="1:14">
      <c r="A7491" s="4" t="str">
        <f t="shared" ref="A7491:A7522" si="695">HYPERLINK("http://hcmdb.i-sanger.com/experiment/details/experiment_id/EXP00260","EXP00260")</f>
        <v>EXP00260</v>
      </c>
      <c r="B7491" s="4" t="str">
        <f t="shared" ref="B7491:B7522" si="696">HYPERLINK("https://www.ncbi.nlm.nih.gov/pubmed/25909218","25909218")</f>
        <v>25909218</v>
      </c>
      <c r="C7491" s="4" t="str">
        <f t="shared" ref="C7491:C7522" si="697">HYPERLINK("https://www.ncbi.nlm.nih.gov/geo/query/acc.cgi?acc=GSE65904","GSE65904")</f>
        <v>GSE65904</v>
      </c>
      <c r="D7491" s="1" t="s">
        <v>303</v>
      </c>
      <c r="E7491" t="s">
        <v>84</v>
      </c>
      <c r="F7491" s="1">
        <v>1</v>
      </c>
      <c r="G7491" s="1" t="s">
        <v>85</v>
      </c>
      <c r="H7491" s="4" t="str">
        <f>HYPERLINK("https://www.ncbi.nlm.nih.gov/geo/query/acc.cgi?acc=GSM1608593","GSM1608593")</f>
        <v>GSM1608593</v>
      </c>
      <c r="I7491" t="s">
        <v>82</v>
      </c>
      <c r="J7491" t="s">
        <v>83</v>
      </c>
      <c r="K7491" t="s">
        <v>19</v>
      </c>
      <c r="L7491" t="s">
        <v>27</v>
      </c>
      <c r="M7491" t="s">
        <v>24</v>
      </c>
      <c r="N7491" t="s">
        <v>22</v>
      </c>
    </row>
    <row r="7492" spans="1:14">
      <c r="A7492" s="4" t="str">
        <f t="shared" si="695"/>
        <v>EXP00260</v>
      </c>
      <c r="B7492" s="4" t="str">
        <f t="shared" si="696"/>
        <v>25909218</v>
      </c>
      <c r="C7492" s="4" t="str">
        <f t="shared" si="697"/>
        <v>GSE65904</v>
      </c>
      <c r="D7492" s="1" t="s">
        <v>303</v>
      </c>
      <c r="E7492" t="s">
        <v>84</v>
      </c>
      <c r="F7492" s="1">
        <v>1</v>
      </c>
      <c r="G7492" s="1" t="s">
        <v>85</v>
      </c>
      <c r="H7492" s="4" t="str">
        <f>HYPERLINK("https://www.ncbi.nlm.nih.gov/geo/query/acc.cgi?acc=GSM1608594","GSM1608594")</f>
        <v>GSM1608594</v>
      </c>
      <c r="I7492" t="s">
        <v>82</v>
      </c>
      <c r="J7492" t="s">
        <v>83</v>
      </c>
      <c r="K7492" t="s">
        <v>19</v>
      </c>
      <c r="L7492" t="s">
        <v>27</v>
      </c>
      <c r="M7492" t="s">
        <v>24</v>
      </c>
      <c r="N7492" t="s">
        <v>22</v>
      </c>
    </row>
    <row r="7493" spans="1:14">
      <c r="A7493" s="4" t="str">
        <f t="shared" si="695"/>
        <v>EXP00260</v>
      </c>
      <c r="B7493" s="4" t="str">
        <f t="shared" si="696"/>
        <v>25909218</v>
      </c>
      <c r="C7493" s="4" t="str">
        <f t="shared" si="697"/>
        <v>GSE65904</v>
      </c>
      <c r="D7493" s="1" t="s">
        <v>303</v>
      </c>
      <c r="E7493" t="s">
        <v>84</v>
      </c>
      <c r="F7493" s="1">
        <v>1</v>
      </c>
      <c r="G7493" s="1" t="s">
        <v>85</v>
      </c>
      <c r="H7493" s="4" t="str">
        <f>HYPERLINK("https://www.ncbi.nlm.nih.gov/geo/query/acc.cgi?acc=GSM1608596","GSM1608596")</f>
        <v>GSM1608596</v>
      </c>
      <c r="I7493" t="s">
        <v>82</v>
      </c>
      <c r="J7493" t="s">
        <v>83</v>
      </c>
      <c r="K7493" t="s">
        <v>19</v>
      </c>
      <c r="L7493" t="s">
        <v>27</v>
      </c>
      <c r="M7493" t="s">
        <v>24</v>
      </c>
      <c r="N7493" t="s">
        <v>22</v>
      </c>
    </row>
    <row r="7494" spans="1:14">
      <c r="A7494" s="4" t="str">
        <f t="shared" si="695"/>
        <v>EXP00260</v>
      </c>
      <c r="B7494" s="4" t="str">
        <f t="shared" si="696"/>
        <v>25909218</v>
      </c>
      <c r="C7494" s="4" t="str">
        <f t="shared" si="697"/>
        <v>GSE65904</v>
      </c>
      <c r="D7494" s="1" t="s">
        <v>303</v>
      </c>
      <c r="E7494" t="s">
        <v>84</v>
      </c>
      <c r="F7494" s="1">
        <v>1</v>
      </c>
      <c r="G7494" s="1" t="s">
        <v>85</v>
      </c>
      <c r="H7494" s="4" t="str">
        <f>HYPERLINK("https://www.ncbi.nlm.nih.gov/geo/query/acc.cgi?acc=GSM1608598","GSM1608598")</f>
        <v>GSM1608598</v>
      </c>
      <c r="I7494" t="s">
        <v>82</v>
      </c>
      <c r="J7494" t="s">
        <v>83</v>
      </c>
      <c r="K7494" t="s">
        <v>19</v>
      </c>
      <c r="L7494" t="s">
        <v>27</v>
      </c>
      <c r="M7494" t="s">
        <v>24</v>
      </c>
      <c r="N7494" t="s">
        <v>22</v>
      </c>
    </row>
    <row r="7495" spans="1:14">
      <c r="A7495" s="4" t="str">
        <f t="shared" si="695"/>
        <v>EXP00260</v>
      </c>
      <c r="B7495" s="4" t="str">
        <f t="shared" si="696"/>
        <v>25909218</v>
      </c>
      <c r="C7495" s="4" t="str">
        <f t="shared" si="697"/>
        <v>GSE65904</v>
      </c>
      <c r="D7495" s="1" t="s">
        <v>303</v>
      </c>
      <c r="E7495" t="s">
        <v>84</v>
      </c>
      <c r="F7495" s="1">
        <v>1</v>
      </c>
      <c r="G7495" s="1" t="s">
        <v>85</v>
      </c>
      <c r="H7495" s="4" t="str">
        <f>HYPERLINK("https://www.ncbi.nlm.nih.gov/geo/query/acc.cgi?acc=GSM1608599","GSM1608599")</f>
        <v>GSM1608599</v>
      </c>
      <c r="I7495" t="s">
        <v>82</v>
      </c>
      <c r="J7495" t="s">
        <v>83</v>
      </c>
      <c r="K7495" t="s">
        <v>19</v>
      </c>
      <c r="L7495" t="s">
        <v>27</v>
      </c>
      <c r="M7495" t="s">
        <v>24</v>
      </c>
      <c r="N7495" t="s">
        <v>22</v>
      </c>
    </row>
    <row r="7496" spans="1:14">
      <c r="A7496" s="4" t="str">
        <f t="shared" si="695"/>
        <v>EXP00260</v>
      </c>
      <c r="B7496" s="4" t="str">
        <f t="shared" si="696"/>
        <v>25909218</v>
      </c>
      <c r="C7496" s="4" t="str">
        <f t="shared" si="697"/>
        <v>GSE65904</v>
      </c>
      <c r="D7496" s="1" t="s">
        <v>303</v>
      </c>
      <c r="E7496" t="s">
        <v>84</v>
      </c>
      <c r="F7496" s="1">
        <v>1</v>
      </c>
      <c r="G7496" s="1" t="s">
        <v>85</v>
      </c>
      <c r="H7496" s="4" t="str">
        <f>HYPERLINK("https://www.ncbi.nlm.nih.gov/geo/query/acc.cgi?acc=GSM1608601","GSM1608601")</f>
        <v>GSM1608601</v>
      </c>
      <c r="I7496" t="s">
        <v>82</v>
      </c>
      <c r="J7496" t="s">
        <v>83</v>
      </c>
      <c r="K7496" t="s">
        <v>19</v>
      </c>
      <c r="L7496" t="s">
        <v>27</v>
      </c>
      <c r="M7496" t="s">
        <v>24</v>
      </c>
      <c r="N7496" t="s">
        <v>22</v>
      </c>
    </row>
    <row r="7497" spans="1:14">
      <c r="A7497" s="4" t="str">
        <f t="shared" si="695"/>
        <v>EXP00260</v>
      </c>
      <c r="B7497" s="4" t="str">
        <f t="shared" si="696"/>
        <v>25909218</v>
      </c>
      <c r="C7497" s="4" t="str">
        <f t="shared" si="697"/>
        <v>GSE65904</v>
      </c>
      <c r="D7497" s="1" t="s">
        <v>303</v>
      </c>
      <c r="E7497" t="s">
        <v>84</v>
      </c>
      <c r="F7497" s="1">
        <v>1</v>
      </c>
      <c r="G7497" s="1" t="s">
        <v>85</v>
      </c>
      <c r="H7497" s="4" t="str">
        <f>HYPERLINK("https://www.ncbi.nlm.nih.gov/geo/query/acc.cgi?acc=GSM1608602","GSM1608602")</f>
        <v>GSM1608602</v>
      </c>
      <c r="I7497" t="s">
        <v>82</v>
      </c>
      <c r="J7497" t="s">
        <v>83</v>
      </c>
      <c r="K7497" t="s">
        <v>19</v>
      </c>
      <c r="L7497" t="s">
        <v>27</v>
      </c>
      <c r="M7497" t="s">
        <v>24</v>
      </c>
      <c r="N7497" t="s">
        <v>22</v>
      </c>
    </row>
    <row r="7498" spans="1:14">
      <c r="A7498" s="4" t="str">
        <f t="shared" si="695"/>
        <v>EXP00260</v>
      </c>
      <c r="B7498" s="4" t="str">
        <f t="shared" si="696"/>
        <v>25909218</v>
      </c>
      <c r="C7498" s="4" t="str">
        <f t="shared" si="697"/>
        <v>GSE65904</v>
      </c>
      <c r="D7498" s="1" t="s">
        <v>303</v>
      </c>
      <c r="E7498" t="s">
        <v>84</v>
      </c>
      <c r="F7498" s="1">
        <v>1</v>
      </c>
      <c r="G7498" s="1" t="s">
        <v>85</v>
      </c>
      <c r="H7498" s="4" t="str">
        <f>HYPERLINK("https://www.ncbi.nlm.nih.gov/geo/query/acc.cgi?acc=GSM1608604","GSM1608604")</f>
        <v>GSM1608604</v>
      </c>
      <c r="I7498" t="s">
        <v>82</v>
      </c>
      <c r="J7498" t="s">
        <v>83</v>
      </c>
      <c r="K7498" t="s">
        <v>19</v>
      </c>
      <c r="L7498" t="s">
        <v>27</v>
      </c>
      <c r="M7498" t="s">
        <v>24</v>
      </c>
      <c r="N7498" t="s">
        <v>22</v>
      </c>
    </row>
    <row r="7499" spans="1:14">
      <c r="A7499" s="4" t="str">
        <f t="shared" si="695"/>
        <v>EXP00260</v>
      </c>
      <c r="B7499" s="4" t="str">
        <f t="shared" si="696"/>
        <v>25909218</v>
      </c>
      <c r="C7499" s="4" t="str">
        <f t="shared" si="697"/>
        <v>GSE65904</v>
      </c>
      <c r="D7499" s="1" t="s">
        <v>303</v>
      </c>
      <c r="E7499" t="s">
        <v>84</v>
      </c>
      <c r="F7499" s="1">
        <v>1</v>
      </c>
      <c r="G7499" s="1" t="s">
        <v>85</v>
      </c>
      <c r="H7499" s="4" t="str">
        <f>HYPERLINK("https://www.ncbi.nlm.nih.gov/geo/query/acc.cgi?acc=GSM1608606","GSM1608606")</f>
        <v>GSM1608606</v>
      </c>
      <c r="I7499" t="s">
        <v>82</v>
      </c>
      <c r="J7499" t="s">
        <v>83</v>
      </c>
      <c r="K7499" t="s">
        <v>19</v>
      </c>
      <c r="L7499" t="s">
        <v>27</v>
      </c>
      <c r="M7499" t="s">
        <v>24</v>
      </c>
      <c r="N7499" t="s">
        <v>22</v>
      </c>
    </row>
    <row r="7500" spans="1:14">
      <c r="A7500" s="4" t="str">
        <f t="shared" si="695"/>
        <v>EXP00260</v>
      </c>
      <c r="B7500" s="4" t="str">
        <f t="shared" si="696"/>
        <v>25909218</v>
      </c>
      <c r="C7500" s="4" t="str">
        <f t="shared" si="697"/>
        <v>GSE65904</v>
      </c>
      <c r="D7500" s="1" t="s">
        <v>303</v>
      </c>
      <c r="E7500" t="s">
        <v>84</v>
      </c>
      <c r="F7500" s="1">
        <v>1</v>
      </c>
      <c r="G7500" s="1" t="s">
        <v>85</v>
      </c>
      <c r="H7500" s="4" t="str">
        <f>HYPERLINK("https://www.ncbi.nlm.nih.gov/geo/query/acc.cgi?acc=GSM1608607","GSM1608607")</f>
        <v>GSM1608607</v>
      </c>
      <c r="I7500" t="s">
        <v>82</v>
      </c>
      <c r="J7500" t="s">
        <v>83</v>
      </c>
      <c r="K7500" t="s">
        <v>19</v>
      </c>
      <c r="L7500" t="s">
        <v>27</v>
      </c>
      <c r="M7500" t="s">
        <v>24</v>
      </c>
      <c r="N7500" t="s">
        <v>22</v>
      </c>
    </row>
    <row r="7501" spans="1:14">
      <c r="A7501" s="4" t="str">
        <f t="shared" si="695"/>
        <v>EXP00260</v>
      </c>
      <c r="B7501" s="4" t="str">
        <f t="shared" si="696"/>
        <v>25909218</v>
      </c>
      <c r="C7501" s="4" t="str">
        <f t="shared" si="697"/>
        <v>GSE65904</v>
      </c>
      <c r="D7501" s="1" t="s">
        <v>303</v>
      </c>
      <c r="E7501" t="s">
        <v>84</v>
      </c>
      <c r="F7501" s="1">
        <v>1</v>
      </c>
      <c r="G7501" s="1" t="s">
        <v>85</v>
      </c>
      <c r="H7501" s="4" t="str">
        <f>HYPERLINK("https://www.ncbi.nlm.nih.gov/geo/query/acc.cgi?acc=GSM1608609","GSM1608609")</f>
        <v>GSM1608609</v>
      </c>
      <c r="I7501" t="s">
        <v>82</v>
      </c>
      <c r="J7501" t="s">
        <v>83</v>
      </c>
      <c r="K7501" t="s">
        <v>19</v>
      </c>
      <c r="L7501" t="s">
        <v>27</v>
      </c>
      <c r="M7501" t="s">
        <v>24</v>
      </c>
      <c r="N7501" t="s">
        <v>22</v>
      </c>
    </row>
    <row r="7502" spans="1:14">
      <c r="A7502" s="4" t="str">
        <f t="shared" si="695"/>
        <v>EXP00260</v>
      </c>
      <c r="B7502" s="4" t="str">
        <f t="shared" si="696"/>
        <v>25909218</v>
      </c>
      <c r="C7502" s="4" t="str">
        <f t="shared" si="697"/>
        <v>GSE65904</v>
      </c>
      <c r="D7502" s="1" t="s">
        <v>303</v>
      </c>
      <c r="E7502" t="s">
        <v>84</v>
      </c>
      <c r="F7502" s="1">
        <v>1</v>
      </c>
      <c r="G7502" s="1" t="s">
        <v>85</v>
      </c>
      <c r="H7502" s="4" t="str">
        <f>HYPERLINK("https://www.ncbi.nlm.nih.gov/geo/query/acc.cgi?acc=GSM1608611","GSM1608611")</f>
        <v>GSM1608611</v>
      </c>
      <c r="I7502" t="s">
        <v>82</v>
      </c>
      <c r="J7502" t="s">
        <v>83</v>
      </c>
      <c r="K7502" t="s">
        <v>19</v>
      </c>
      <c r="L7502" t="s">
        <v>27</v>
      </c>
      <c r="M7502" t="s">
        <v>24</v>
      </c>
      <c r="N7502" t="s">
        <v>22</v>
      </c>
    </row>
    <row r="7503" spans="1:14">
      <c r="A7503" s="4" t="str">
        <f t="shared" si="695"/>
        <v>EXP00260</v>
      </c>
      <c r="B7503" s="4" t="str">
        <f t="shared" si="696"/>
        <v>25909218</v>
      </c>
      <c r="C7503" s="4" t="str">
        <f t="shared" si="697"/>
        <v>GSE65904</v>
      </c>
      <c r="D7503" s="1" t="s">
        <v>303</v>
      </c>
      <c r="E7503" t="s">
        <v>84</v>
      </c>
      <c r="F7503" s="1">
        <v>1</v>
      </c>
      <c r="G7503" s="1" t="s">
        <v>85</v>
      </c>
      <c r="H7503" s="4" t="str">
        <f>HYPERLINK("https://www.ncbi.nlm.nih.gov/geo/query/acc.cgi?acc=GSM1608612","GSM1608612")</f>
        <v>GSM1608612</v>
      </c>
      <c r="I7503" t="s">
        <v>82</v>
      </c>
      <c r="J7503" t="s">
        <v>83</v>
      </c>
      <c r="K7503" t="s">
        <v>19</v>
      </c>
      <c r="L7503" t="s">
        <v>27</v>
      </c>
      <c r="M7503" t="s">
        <v>24</v>
      </c>
      <c r="N7503" t="s">
        <v>22</v>
      </c>
    </row>
    <row r="7504" spans="1:14">
      <c r="A7504" s="4" t="str">
        <f t="shared" si="695"/>
        <v>EXP00260</v>
      </c>
      <c r="B7504" s="4" t="str">
        <f t="shared" si="696"/>
        <v>25909218</v>
      </c>
      <c r="C7504" s="4" t="str">
        <f t="shared" si="697"/>
        <v>GSE65904</v>
      </c>
      <c r="D7504" s="1" t="s">
        <v>303</v>
      </c>
      <c r="E7504" t="s">
        <v>84</v>
      </c>
      <c r="F7504" s="1">
        <v>1</v>
      </c>
      <c r="G7504" s="1" t="s">
        <v>85</v>
      </c>
      <c r="H7504" s="4" t="str">
        <f>HYPERLINK("https://www.ncbi.nlm.nih.gov/geo/query/acc.cgi?acc=GSM1608614","GSM1608614")</f>
        <v>GSM1608614</v>
      </c>
      <c r="I7504" t="s">
        <v>82</v>
      </c>
      <c r="J7504" t="s">
        <v>83</v>
      </c>
      <c r="K7504" t="s">
        <v>19</v>
      </c>
      <c r="L7504" t="s">
        <v>27</v>
      </c>
      <c r="M7504" t="s">
        <v>24</v>
      </c>
      <c r="N7504" t="s">
        <v>22</v>
      </c>
    </row>
    <row r="7505" spans="1:14">
      <c r="A7505" s="4" t="str">
        <f t="shared" si="695"/>
        <v>EXP00260</v>
      </c>
      <c r="B7505" s="4" t="str">
        <f t="shared" si="696"/>
        <v>25909218</v>
      </c>
      <c r="C7505" s="4" t="str">
        <f t="shared" si="697"/>
        <v>GSE65904</v>
      </c>
      <c r="D7505" s="1" t="s">
        <v>303</v>
      </c>
      <c r="E7505" t="s">
        <v>84</v>
      </c>
      <c r="F7505" s="1">
        <v>1</v>
      </c>
      <c r="G7505" s="1" t="s">
        <v>85</v>
      </c>
      <c r="H7505" s="4" t="str">
        <f>HYPERLINK("https://www.ncbi.nlm.nih.gov/geo/query/acc.cgi?acc=GSM1608616","GSM1608616")</f>
        <v>GSM1608616</v>
      </c>
      <c r="I7505" t="s">
        <v>82</v>
      </c>
      <c r="J7505" t="s">
        <v>83</v>
      </c>
      <c r="K7505" t="s">
        <v>19</v>
      </c>
      <c r="L7505" t="s">
        <v>27</v>
      </c>
      <c r="M7505" t="s">
        <v>24</v>
      </c>
      <c r="N7505" t="s">
        <v>22</v>
      </c>
    </row>
    <row r="7506" spans="1:14">
      <c r="A7506" s="4" t="str">
        <f t="shared" si="695"/>
        <v>EXP00260</v>
      </c>
      <c r="B7506" s="4" t="str">
        <f t="shared" si="696"/>
        <v>25909218</v>
      </c>
      <c r="C7506" s="4" t="str">
        <f t="shared" si="697"/>
        <v>GSE65904</v>
      </c>
      <c r="D7506" s="1" t="s">
        <v>303</v>
      </c>
      <c r="E7506" t="s">
        <v>84</v>
      </c>
      <c r="F7506" s="1">
        <v>1</v>
      </c>
      <c r="G7506" s="1" t="s">
        <v>85</v>
      </c>
      <c r="H7506" s="4" t="str">
        <f>HYPERLINK("https://www.ncbi.nlm.nih.gov/geo/query/acc.cgi?acc=GSM1608617","GSM1608617")</f>
        <v>GSM1608617</v>
      </c>
      <c r="I7506" t="s">
        <v>82</v>
      </c>
      <c r="J7506" t="s">
        <v>83</v>
      </c>
      <c r="K7506" t="s">
        <v>19</v>
      </c>
      <c r="L7506" t="s">
        <v>27</v>
      </c>
      <c r="M7506" t="s">
        <v>24</v>
      </c>
      <c r="N7506" t="s">
        <v>22</v>
      </c>
    </row>
    <row r="7507" spans="1:14">
      <c r="A7507" s="4" t="str">
        <f t="shared" si="695"/>
        <v>EXP00260</v>
      </c>
      <c r="B7507" s="4" t="str">
        <f t="shared" si="696"/>
        <v>25909218</v>
      </c>
      <c r="C7507" s="4" t="str">
        <f t="shared" si="697"/>
        <v>GSE65904</v>
      </c>
      <c r="D7507" s="1" t="s">
        <v>303</v>
      </c>
      <c r="E7507" t="s">
        <v>84</v>
      </c>
      <c r="F7507" s="1">
        <v>1</v>
      </c>
      <c r="G7507" s="1" t="s">
        <v>85</v>
      </c>
      <c r="H7507" s="4" t="str">
        <f>HYPERLINK("https://www.ncbi.nlm.nih.gov/geo/query/acc.cgi?acc=GSM1608619","GSM1608619")</f>
        <v>GSM1608619</v>
      </c>
      <c r="I7507" t="s">
        <v>82</v>
      </c>
      <c r="J7507" t="s">
        <v>83</v>
      </c>
      <c r="K7507" t="s">
        <v>19</v>
      </c>
      <c r="L7507" t="s">
        <v>27</v>
      </c>
      <c r="M7507" t="s">
        <v>24</v>
      </c>
      <c r="N7507" t="s">
        <v>22</v>
      </c>
    </row>
    <row r="7508" spans="1:14">
      <c r="A7508" s="4" t="str">
        <f t="shared" si="695"/>
        <v>EXP00260</v>
      </c>
      <c r="B7508" s="4" t="str">
        <f t="shared" si="696"/>
        <v>25909218</v>
      </c>
      <c r="C7508" s="4" t="str">
        <f t="shared" si="697"/>
        <v>GSE65904</v>
      </c>
      <c r="D7508" s="1" t="s">
        <v>303</v>
      </c>
      <c r="E7508" t="s">
        <v>84</v>
      </c>
      <c r="F7508" s="1">
        <v>1</v>
      </c>
      <c r="G7508" s="1" t="s">
        <v>85</v>
      </c>
      <c r="H7508" s="4" t="str">
        <f>HYPERLINK("https://www.ncbi.nlm.nih.gov/geo/query/acc.cgi?acc=GSM1608620","GSM1608620")</f>
        <v>GSM1608620</v>
      </c>
      <c r="I7508" t="s">
        <v>82</v>
      </c>
      <c r="J7508" t="s">
        <v>83</v>
      </c>
      <c r="K7508" t="s">
        <v>19</v>
      </c>
      <c r="L7508" t="s">
        <v>27</v>
      </c>
      <c r="M7508" t="s">
        <v>24</v>
      </c>
      <c r="N7508" t="s">
        <v>22</v>
      </c>
    </row>
    <row r="7509" spans="1:14">
      <c r="A7509" s="4" t="str">
        <f t="shared" si="695"/>
        <v>EXP00260</v>
      </c>
      <c r="B7509" s="4" t="str">
        <f t="shared" si="696"/>
        <v>25909218</v>
      </c>
      <c r="C7509" s="4" t="str">
        <f t="shared" si="697"/>
        <v>GSE65904</v>
      </c>
      <c r="D7509" s="1" t="s">
        <v>303</v>
      </c>
      <c r="E7509" t="s">
        <v>84</v>
      </c>
      <c r="F7509" s="1">
        <v>1</v>
      </c>
      <c r="G7509" s="1" t="s">
        <v>85</v>
      </c>
      <c r="H7509" s="4" t="str">
        <f>HYPERLINK("https://www.ncbi.nlm.nih.gov/geo/query/acc.cgi?acc=GSM1608623","GSM1608623")</f>
        <v>GSM1608623</v>
      </c>
      <c r="I7509" t="s">
        <v>82</v>
      </c>
      <c r="J7509" t="s">
        <v>83</v>
      </c>
      <c r="K7509" t="s">
        <v>19</v>
      </c>
      <c r="L7509" t="s">
        <v>27</v>
      </c>
      <c r="M7509" t="s">
        <v>24</v>
      </c>
      <c r="N7509" t="s">
        <v>22</v>
      </c>
    </row>
    <row r="7510" spans="1:14">
      <c r="A7510" s="4" t="str">
        <f t="shared" si="695"/>
        <v>EXP00260</v>
      </c>
      <c r="B7510" s="4" t="str">
        <f t="shared" si="696"/>
        <v>25909218</v>
      </c>
      <c r="C7510" s="4" t="str">
        <f t="shared" si="697"/>
        <v>GSE65904</v>
      </c>
      <c r="D7510" s="1" t="s">
        <v>303</v>
      </c>
      <c r="E7510" t="s">
        <v>84</v>
      </c>
      <c r="F7510" s="1">
        <v>1</v>
      </c>
      <c r="G7510" s="1" t="s">
        <v>85</v>
      </c>
      <c r="H7510" s="4" t="str">
        <f>HYPERLINK("https://www.ncbi.nlm.nih.gov/geo/query/acc.cgi?acc=GSM1608624","GSM1608624")</f>
        <v>GSM1608624</v>
      </c>
      <c r="I7510" t="s">
        <v>82</v>
      </c>
      <c r="J7510" t="s">
        <v>83</v>
      </c>
      <c r="K7510" t="s">
        <v>19</v>
      </c>
      <c r="L7510" t="s">
        <v>27</v>
      </c>
      <c r="M7510" t="s">
        <v>24</v>
      </c>
      <c r="N7510" t="s">
        <v>22</v>
      </c>
    </row>
    <row r="7511" spans="1:14">
      <c r="A7511" s="4" t="str">
        <f t="shared" si="695"/>
        <v>EXP00260</v>
      </c>
      <c r="B7511" s="4" t="str">
        <f t="shared" si="696"/>
        <v>25909218</v>
      </c>
      <c r="C7511" s="4" t="str">
        <f t="shared" si="697"/>
        <v>GSE65904</v>
      </c>
      <c r="D7511" s="1" t="s">
        <v>303</v>
      </c>
      <c r="E7511" t="s">
        <v>84</v>
      </c>
      <c r="F7511" s="1">
        <v>1</v>
      </c>
      <c r="G7511" s="1" t="s">
        <v>85</v>
      </c>
      <c r="H7511" s="4" t="str">
        <f>HYPERLINK("https://www.ncbi.nlm.nih.gov/geo/query/acc.cgi?acc=GSM1608625","GSM1608625")</f>
        <v>GSM1608625</v>
      </c>
      <c r="I7511" t="s">
        <v>82</v>
      </c>
      <c r="J7511" t="s">
        <v>83</v>
      </c>
      <c r="K7511" t="s">
        <v>19</v>
      </c>
      <c r="L7511" t="s">
        <v>27</v>
      </c>
      <c r="M7511" t="s">
        <v>24</v>
      </c>
      <c r="N7511" t="s">
        <v>22</v>
      </c>
    </row>
    <row r="7512" spans="1:14">
      <c r="A7512" s="4" t="str">
        <f t="shared" si="695"/>
        <v>EXP00260</v>
      </c>
      <c r="B7512" s="4" t="str">
        <f t="shared" si="696"/>
        <v>25909218</v>
      </c>
      <c r="C7512" s="4" t="str">
        <f t="shared" si="697"/>
        <v>GSE65904</v>
      </c>
      <c r="D7512" s="1" t="s">
        <v>303</v>
      </c>
      <c r="E7512" t="s">
        <v>84</v>
      </c>
      <c r="F7512" s="1">
        <v>1</v>
      </c>
      <c r="G7512" s="1" t="s">
        <v>85</v>
      </c>
      <c r="H7512" s="4" t="str">
        <f>HYPERLINK("https://www.ncbi.nlm.nih.gov/geo/query/acc.cgi?acc=GSM1608626","GSM1608626")</f>
        <v>GSM1608626</v>
      </c>
      <c r="I7512" t="s">
        <v>82</v>
      </c>
      <c r="J7512" t="s">
        <v>83</v>
      </c>
      <c r="K7512" t="s">
        <v>19</v>
      </c>
      <c r="L7512" t="s">
        <v>27</v>
      </c>
      <c r="M7512" t="s">
        <v>24</v>
      </c>
      <c r="N7512" t="s">
        <v>22</v>
      </c>
    </row>
    <row r="7513" spans="1:14">
      <c r="A7513" s="4" t="str">
        <f t="shared" si="695"/>
        <v>EXP00260</v>
      </c>
      <c r="B7513" s="4" t="str">
        <f t="shared" si="696"/>
        <v>25909218</v>
      </c>
      <c r="C7513" s="4" t="str">
        <f t="shared" si="697"/>
        <v>GSE65904</v>
      </c>
      <c r="D7513" s="1" t="s">
        <v>303</v>
      </c>
      <c r="E7513" t="s">
        <v>84</v>
      </c>
      <c r="F7513" s="1">
        <v>1</v>
      </c>
      <c r="G7513" s="1" t="s">
        <v>85</v>
      </c>
      <c r="H7513" s="4" t="str">
        <f>HYPERLINK("https://www.ncbi.nlm.nih.gov/geo/query/acc.cgi?acc=GSM1608629","GSM1608629")</f>
        <v>GSM1608629</v>
      </c>
      <c r="I7513" t="s">
        <v>82</v>
      </c>
      <c r="J7513" t="s">
        <v>83</v>
      </c>
      <c r="K7513" t="s">
        <v>19</v>
      </c>
      <c r="L7513" t="s">
        <v>27</v>
      </c>
      <c r="M7513" t="s">
        <v>24</v>
      </c>
      <c r="N7513" t="s">
        <v>22</v>
      </c>
    </row>
    <row r="7514" spans="1:14">
      <c r="A7514" s="4" t="str">
        <f t="shared" si="695"/>
        <v>EXP00260</v>
      </c>
      <c r="B7514" s="4" t="str">
        <f t="shared" si="696"/>
        <v>25909218</v>
      </c>
      <c r="C7514" s="4" t="str">
        <f t="shared" si="697"/>
        <v>GSE65904</v>
      </c>
      <c r="D7514" s="1" t="s">
        <v>303</v>
      </c>
      <c r="E7514" t="s">
        <v>84</v>
      </c>
      <c r="F7514" s="1">
        <v>1</v>
      </c>
      <c r="G7514" s="1" t="s">
        <v>85</v>
      </c>
      <c r="H7514" s="4" t="str">
        <f>HYPERLINK("https://www.ncbi.nlm.nih.gov/geo/query/acc.cgi?acc=GSM1608630","GSM1608630")</f>
        <v>GSM1608630</v>
      </c>
      <c r="I7514" t="s">
        <v>82</v>
      </c>
      <c r="J7514" t="s">
        <v>83</v>
      </c>
      <c r="K7514" t="s">
        <v>19</v>
      </c>
      <c r="L7514" t="s">
        <v>27</v>
      </c>
      <c r="M7514" t="s">
        <v>24</v>
      </c>
      <c r="N7514" t="s">
        <v>22</v>
      </c>
    </row>
    <row r="7515" spans="1:14">
      <c r="A7515" s="4" t="str">
        <f t="shared" si="695"/>
        <v>EXP00260</v>
      </c>
      <c r="B7515" s="4" t="str">
        <f t="shared" si="696"/>
        <v>25909218</v>
      </c>
      <c r="C7515" s="4" t="str">
        <f t="shared" si="697"/>
        <v>GSE65904</v>
      </c>
      <c r="D7515" s="1" t="s">
        <v>303</v>
      </c>
      <c r="E7515" t="s">
        <v>84</v>
      </c>
      <c r="F7515" s="1">
        <v>1</v>
      </c>
      <c r="G7515" s="1" t="s">
        <v>85</v>
      </c>
      <c r="H7515" s="4" t="str">
        <f>HYPERLINK("https://www.ncbi.nlm.nih.gov/geo/query/acc.cgi?acc=GSM1608634","GSM1608634")</f>
        <v>GSM1608634</v>
      </c>
      <c r="I7515" t="s">
        <v>82</v>
      </c>
      <c r="J7515" t="s">
        <v>83</v>
      </c>
      <c r="K7515" t="s">
        <v>19</v>
      </c>
      <c r="L7515" t="s">
        <v>27</v>
      </c>
      <c r="M7515" t="s">
        <v>24</v>
      </c>
      <c r="N7515" t="s">
        <v>22</v>
      </c>
    </row>
    <row r="7516" spans="1:14">
      <c r="A7516" s="4" t="str">
        <f t="shared" si="695"/>
        <v>EXP00260</v>
      </c>
      <c r="B7516" s="4" t="str">
        <f t="shared" si="696"/>
        <v>25909218</v>
      </c>
      <c r="C7516" s="4" t="str">
        <f t="shared" si="697"/>
        <v>GSE65904</v>
      </c>
      <c r="D7516" s="1" t="s">
        <v>303</v>
      </c>
      <c r="E7516" t="s">
        <v>84</v>
      </c>
      <c r="F7516" s="1">
        <v>1</v>
      </c>
      <c r="G7516" s="1" t="s">
        <v>85</v>
      </c>
      <c r="H7516" s="4" t="str">
        <f>HYPERLINK("https://www.ncbi.nlm.nih.gov/geo/query/acc.cgi?acc=GSM1608638","GSM1608638")</f>
        <v>GSM1608638</v>
      </c>
      <c r="I7516" t="s">
        <v>82</v>
      </c>
      <c r="J7516" t="s">
        <v>83</v>
      </c>
      <c r="K7516" t="s">
        <v>19</v>
      </c>
      <c r="L7516" t="s">
        <v>27</v>
      </c>
      <c r="M7516" t="s">
        <v>24</v>
      </c>
      <c r="N7516" t="s">
        <v>22</v>
      </c>
    </row>
    <row r="7517" spans="1:14">
      <c r="A7517" s="4" t="str">
        <f t="shared" si="695"/>
        <v>EXP00260</v>
      </c>
      <c r="B7517" s="4" t="str">
        <f t="shared" si="696"/>
        <v>25909218</v>
      </c>
      <c r="C7517" s="4" t="str">
        <f t="shared" si="697"/>
        <v>GSE65904</v>
      </c>
      <c r="D7517" s="1" t="s">
        <v>303</v>
      </c>
      <c r="E7517" t="s">
        <v>84</v>
      </c>
      <c r="F7517" s="1">
        <v>1</v>
      </c>
      <c r="G7517" s="1" t="s">
        <v>85</v>
      </c>
      <c r="H7517" s="4" t="str">
        <f>HYPERLINK("https://www.ncbi.nlm.nih.gov/geo/query/acc.cgi?acc=GSM1608641","GSM1608641")</f>
        <v>GSM1608641</v>
      </c>
      <c r="I7517" t="s">
        <v>82</v>
      </c>
      <c r="J7517" t="s">
        <v>83</v>
      </c>
      <c r="K7517" t="s">
        <v>19</v>
      </c>
      <c r="L7517" t="s">
        <v>27</v>
      </c>
      <c r="M7517" t="s">
        <v>24</v>
      </c>
      <c r="N7517" t="s">
        <v>22</v>
      </c>
    </row>
    <row r="7518" spans="1:14">
      <c r="A7518" s="4" t="str">
        <f t="shared" si="695"/>
        <v>EXP00260</v>
      </c>
      <c r="B7518" s="4" t="str">
        <f t="shared" si="696"/>
        <v>25909218</v>
      </c>
      <c r="C7518" s="4" t="str">
        <f t="shared" si="697"/>
        <v>GSE65904</v>
      </c>
      <c r="D7518" s="1" t="s">
        <v>303</v>
      </c>
      <c r="E7518" t="s">
        <v>84</v>
      </c>
      <c r="F7518" s="1">
        <v>1</v>
      </c>
      <c r="G7518" s="1" t="s">
        <v>85</v>
      </c>
      <c r="H7518" s="4" t="str">
        <f>HYPERLINK("https://www.ncbi.nlm.nih.gov/geo/query/acc.cgi?acc=GSM1608642","GSM1608642")</f>
        <v>GSM1608642</v>
      </c>
      <c r="I7518" t="s">
        <v>82</v>
      </c>
      <c r="J7518" t="s">
        <v>83</v>
      </c>
      <c r="K7518" t="s">
        <v>19</v>
      </c>
      <c r="L7518" t="s">
        <v>27</v>
      </c>
      <c r="M7518" t="s">
        <v>24</v>
      </c>
      <c r="N7518" t="s">
        <v>22</v>
      </c>
    </row>
    <row r="7519" spans="1:14">
      <c r="A7519" s="4" t="str">
        <f t="shared" si="695"/>
        <v>EXP00260</v>
      </c>
      <c r="B7519" s="4" t="str">
        <f t="shared" si="696"/>
        <v>25909218</v>
      </c>
      <c r="C7519" s="4" t="str">
        <f t="shared" si="697"/>
        <v>GSE65904</v>
      </c>
      <c r="D7519" s="1" t="s">
        <v>303</v>
      </c>
      <c r="E7519" t="s">
        <v>84</v>
      </c>
      <c r="F7519" s="1">
        <v>1</v>
      </c>
      <c r="G7519" s="1" t="s">
        <v>85</v>
      </c>
      <c r="H7519" s="4" t="str">
        <f>HYPERLINK("https://www.ncbi.nlm.nih.gov/geo/query/acc.cgi?acc=GSM1608645","GSM1608645")</f>
        <v>GSM1608645</v>
      </c>
      <c r="I7519" t="s">
        <v>82</v>
      </c>
      <c r="J7519" t="s">
        <v>83</v>
      </c>
      <c r="K7519" t="s">
        <v>19</v>
      </c>
      <c r="L7519" t="s">
        <v>27</v>
      </c>
      <c r="M7519" t="s">
        <v>24</v>
      </c>
      <c r="N7519" t="s">
        <v>22</v>
      </c>
    </row>
    <row r="7520" spans="1:14">
      <c r="A7520" s="4" t="str">
        <f t="shared" si="695"/>
        <v>EXP00260</v>
      </c>
      <c r="B7520" s="4" t="str">
        <f t="shared" si="696"/>
        <v>25909218</v>
      </c>
      <c r="C7520" s="4" t="str">
        <f t="shared" si="697"/>
        <v>GSE65904</v>
      </c>
      <c r="D7520" s="1" t="s">
        <v>303</v>
      </c>
      <c r="E7520" t="s">
        <v>84</v>
      </c>
      <c r="F7520" s="1">
        <v>1</v>
      </c>
      <c r="G7520" s="1" t="s">
        <v>85</v>
      </c>
      <c r="H7520" s="4" t="str">
        <f>HYPERLINK("https://www.ncbi.nlm.nih.gov/geo/query/acc.cgi?acc=GSM1608647","GSM1608647")</f>
        <v>GSM1608647</v>
      </c>
      <c r="I7520" t="s">
        <v>82</v>
      </c>
      <c r="J7520" t="s">
        <v>83</v>
      </c>
      <c r="K7520" t="s">
        <v>19</v>
      </c>
      <c r="L7520" t="s">
        <v>27</v>
      </c>
      <c r="M7520" t="s">
        <v>24</v>
      </c>
      <c r="N7520" t="s">
        <v>22</v>
      </c>
    </row>
    <row r="7521" spans="1:14">
      <c r="A7521" s="4" t="str">
        <f t="shared" si="695"/>
        <v>EXP00260</v>
      </c>
      <c r="B7521" s="4" t="str">
        <f t="shared" si="696"/>
        <v>25909218</v>
      </c>
      <c r="C7521" s="4" t="str">
        <f t="shared" si="697"/>
        <v>GSE65904</v>
      </c>
      <c r="D7521" s="1" t="s">
        <v>303</v>
      </c>
      <c r="E7521" t="s">
        <v>84</v>
      </c>
      <c r="F7521" s="1">
        <v>1</v>
      </c>
      <c r="G7521" s="1" t="s">
        <v>85</v>
      </c>
      <c r="H7521" s="4" t="str">
        <f>HYPERLINK("https://www.ncbi.nlm.nih.gov/geo/query/acc.cgi?acc=GSM1608648","GSM1608648")</f>
        <v>GSM1608648</v>
      </c>
      <c r="I7521" t="s">
        <v>82</v>
      </c>
      <c r="J7521" t="s">
        <v>83</v>
      </c>
      <c r="K7521" t="s">
        <v>19</v>
      </c>
      <c r="L7521" t="s">
        <v>27</v>
      </c>
      <c r="M7521" t="s">
        <v>24</v>
      </c>
      <c r="N7521" t="s">
        <v>22</v>
      </c>
    </row>
    <row r="7522" spans="1:14">
      <c r="A7522" s="4" t="str">
        <f t="shared" si="695"/>
        <v>EXP00260</v>
      </c>
      <c r="B7522" s="4" t="str">
        <f t="shared" si="696"/>
        <v>25909218</v>
      </c>
      <c r="C7522" s="4" t="str">
        <f t="shared" si="697"/>
        <v>GSE65904</v>
      </c>
      <c r="D7522" s="1" t="s">
        <v>303</v>
      </c>
      <c r="E7522" t="s">
        <v>84</v>
      </c>
      <c r="F7522" s="1">
        <v>1</v>
      </c>
      <c r="G7522" s="1" t="s">
        <v>85</v>
      </c>
      <c r="H7522" s="4" t="str">
        <f>HYPERLINK("https://www.ncbi.nlm.nih.gov/geo/query/acc.cgi?acc=GSM1608650","GSM1608650")</f>
        <v>GSM1608650</v>
      </c>
      <c r="I7522" t="s">
        <v>82</v>
      </c>
      <c r="J7522" t="s">
        <v>83</v>
      </c>
      <c r="K7522" t="s">
        <v>19</v>
      </c>
      <c r="L7522" t="s">
        <v>27</v>
      </c>
      <c r="M7522" t="s">
        <v>24</v>
      </c>
      <c r="N7522" t="s">
        <v>22</v>
      </c>
    </row>
    <row r="7523" spans="1:14">
      <c r="A7523" s="4" t="str">
        <f t="shared" ref="A7523:A7554" si="698">HYPERLINK("http://hcmdb.i-sanger.com/experiment/details/experiment_id/EXP00260","EXP00260")</f>
        <v>EXP00260</v>
      </c>
      <c r="B7523" s="4" t="str">
        <f t="shared" ref="B7523:B7554" si="699">HYPERLINK("https://www.ncbi.nlm.nih.gov/pubmed/25909218","25909218")</f>
        <v>25909218</v>
      </c>
      <c r="C7523" s="4" t="str">
        <f t="shared" ref="C7523:C7554" si="700">HYPERLINK("https://www.ncbi.nlm.nih.gov/geo/query/acc.cgi?acc=GSE65904","GSE65904")</f>
        <v>GSE65904</v>
      </c>
      <c r="D7523" s="1" t="s">
        <v>303</v>
      </c>
      <c r="E7523" t="s">
        <v>84</v>
      </c>
      <c r="F7523" s="1">
        <v>1</v>
      </c>
      <c r="G7523" s="1" t="s">
        <v>85</v>
      </c>
      <c r="H7523" s="4" t="str">
        <f>HYPERLINK("https://www.ncbi.nlm.nih.gov/geo/query/acc.cgi?acc=GSM1608652","GSM1608652")</f>
        <v>GSM1608652</v>
      </c>
      <c r="I7523" t="s">
        <v>82</v>
      </c>
      <c r="J7523" t="s">
        <v>83</v>
      </c>
      <c r="K7523" t="s">
        <v>19</v>
      </c>
      <c r="L7523" t="s">
        <v>27</v>
      </c>
      <c r="M7523" t="s">
        <v>24</v>
      </c>
      <c r="N7523" t="s">
        <v>22</v>
      </c>
    </row>
    <row r="7524" spans="1:14">
      <c r="A7524" s="4" t="str">
        <f t="shared" si="698"/>
        <v>EXP00260</v>
      </c>
      <c r="B7524" s="4" t="str">
        <f t="shared" si="699"/>
        <v>25909218</v>
      </c>
      <c r="C7524" s="4" t="str">
        <f t="shared" si="700"/>
        <v>GSE65904</v>
      </c>
      <c r="D7524" s="1" t="s">
        <v>303</v>
      </c>
      <c r="E7524" t="s">
        <v>84</v>
      </c>
      <c r="F7524" s="1">
        <v>1</v>
      </c>
      <c r="G7524" s="1" t="s">
        <v>85</v>
      </c>
      <c r="H7524" s="4" t="str">
        <f>HYPERLINK("https://www.ncbi.nlm.nih.gov/geo/query/acc.cgi?acc=GSM1608653","GSM1608653")</f>
        <v>GSM1608653</v>
      </c>
      <c r="I7524" t="s">
        <v>82</v>
      </c>
      <c r="J7524" t="s">
        <v>83</v>
      </c>
      <c r="K7524" t="s">
        <v>19</v>
      </c>
      <c r="L7524" t="s">
        <v>27</v>
      </c>
      <c r="M7524" t="s">
        <v>24</v>
      </c>
      <c r="N7524" t="s">
        <v>22</v>
      </c>
    </row>
    <row r="7525" spans="1:14">
      <c r="A7525" s="4" t="str">
        <f t="shared" si="698"/>
        <v>EXP00260</v>
      </c>
      <c r="B7525" s="4" t="str">
        <f t="shared" si="699"/>
        <v>25909218</v>
      </c>
      <c r="C7525" s="4" t="str">
        <f t="shared" si="700"/>
        <v>GSE65904</v>
      </c>
      <c r="D7525" s="1" t="s">
        <v>303</v>
      </c>
      <c r="E7525" t="s">
        <v>84</v>
      </c>
      <c r="F7525" s="1">
        <v>1</v>
      </c>
      <c r="G7525" s="1" t="s">
        <v>85</v>
      </c>
      <c r="H7525" s="4" t="str">
        <f>HYPERLINK("https://www.ncbi.nlm.nih.gov/geo/query/acc.cgi?acc=GSM1608655","GSM1608655")</f>
        <v>GSM1608655</v>
      </c>
      <c r="I7525" t="s">
        <v>82</v>
      </c>
      <c r="J7525" t="s">
        <v>83</v>
      </c>
      <c r="K7525" t="s">
        <v>19</v>
      </c>
      <c r="L7525" t="s">
        <v>27</v>
      </c>
      <c r="M7525" t="s">
        <v>24</v>
      </c>
      <c r="N7525" t="s">
        <v>22</v>
      </c>
    </row>
    <row r="7526" spans="1:14">
      <c r="A7526" s="4" t="str">
        <f t="shared" si="698"/>
        <v>EXP00260</v>
      </c>
      <c r="B7526" s="4" t="str">
        <f t="shared" si="699"/>
        <v>25909218</v>
      </c>
      <c r="C7526" s="4" t="str">
        <f t="shared" si="700"/>
        <v>GSE65904</v>
      </c>
      <c r="D7526" s="1" t="s">
        <v>303</v>
      </c>
      <c r="E7526" t="s">
        <v>84</v>
      </c>
      <c r="F7526" s="1">
        <v>1</v>
      </c>
      <c r="G7526" s="1" t="s">
        <v>85</v>
      </c>
      <c r="H7526" s="4" t="str">
        <f>HYPERLINK("https://www.ncbi.nlm.nih.gov/geo/query/acc.cgi?acc=GSM1608656","GSM1608656")</f>
        <v>GSM1608656</v>
      </c>
      <c r="I7526" t="s">
        <v>82</v>
      </c>
      <c r="J7526" t="s">
        <v>83</v>
      </c>
      <c r="K7526" t="s">
        <v>19</v>
      </c>
      <c r="L7526" t="s">
        <v>27</v>
      </c>
      <c r="M7526" t="s">
        <v>24</v>
      </c>
      <c r="N7526" t="s">
        <v>22</v>
      </c>
    </row>
    <row r="7527" spans="1:14">
      <c r="A7527" s="4" t="str">
        <f t="shared" si="698"/>
        <v>EXP00260</v>
      </c>
      <c r="B7527" s="4" t="str">
        <f t="shared" si="699"/>
        <v>25909218</v>
      </c>
      <c r="C7527" s="4" t="str">
        <f t="shared" si="700"/>
        <v>GSE65904</v>
      </c>
      <c r="D7527" s="1" t="s">
        <v>303</v>
      </c>
      <c r="E7527" t="s">
        <v>84</v>
      </c>
      <c r="F7527" s="1">
        <v>1</v>
      </c>
      <c r="G7527" s="1" t="s">
        <v>85</v>
      </c>
      <c r="H7527" s="4" t="str">
        <f>HYPERLINK("https://www.ncbi.nlm.nih.gov/geo/query/acc.cgi?acc=GSM1608657","GSM1608657")</f>
        <v>GSM1608657</v>
      </c>
      <c r="I7527" t="s">
        <v>82</v>
      </c>
      <c r="J7527" t="s">
        <v>83</v>
      </c>
      <c r="K7527" t="s">
        <v>19</v>
      </c>
      <c r="L7527" t="s">
        <v>27</v>
      </c>
      <c r="M7527" t="s">
        <v>24</v>
      </c>
      <c r="N7527" t="s">
        <v>22</v>
      </c>
    </row>
    <row r="7528" spans="1:14">
      <c r="A7528" s="4" t="str">
        <f t="shared" si="698"/>
        <v>EXP00260</v>
      </c>
      <c r="B7528" s="4" t="str">
        <f t="shared" si="699"/>
        <v>25909218</v>
      </c>
      <c r="C7528" s="4" t="str">
        <f t="shared" si="700"/>
        <v>GSE65904</v>
      </c>
      <c r="D7528" s="1" t="s">
        <v>303</v>
      </c>
      <c r="E7528" t="s">
        <v>84</v>
      </c>
      <c r="F7528" s="1">
        <v>1</v>
      </c>
      <c r="G7528" s="1" t="s">
        <v>85</v>
      </c>
      <c r="H7528" s="4" t="str">
        <f>HYPERLINK("https://www.ncbi.nlm.nih.gov/geo/query/acc.cgi?acc=GSM1608658","GSM1608658")</f>
        <v>GSM1608658</v>
      </c>
      <c r="I7528" t="s">
        <v>82</v>
      </c>
      <c r="J7528" t="s">
        <v>83</v>
      </c>
      <c r="K7528" t="s">
        <v>19</v>
      </c>
      <c r="L7528" t="s">
        <v>27</v>
      </c>
      <c r="M7528" t="s">
        <v>24</v>
      </c>
      <c r="N7528" t="s">
        <v>22</v>
      </c>
    </row>
    <row r="7529" spans="1:14">
      <c r="A7529" s="4" t="str">
        <f t="shared" si="698"/>
        <v>EXP00260</v>
      </c>
      <c r="B7529" s="4" t="str">
        <f t="shared" si="699"/>
        <v>25909218</v>
      </c>
      <c r="C7529" s="4" t="str">
        <f t="shared" si="700"/>
        <v>GSE65904</v>
      </c>
      <c r="D7529" s="1" t="s">
        <v>303</v>
      </c>
      <c r="E7529" t="s">
        <v>84</v>
      </c>
      <c r="F7529" s="1">
        <v>1</v>
      </c>
      <c r="G7529" s="1" t="s">
        <v>85</v>
      </c>
      <c r="H7529" s="4" t="str">
        <f>HYPERLINK("https://www.ncbi.nlm.nih.gov/geo/query/acc.cgi?acc=GSM1608660","GSM1608660")</f>
        <v>GSM1608660</v>
      </c>
      <c r="I7529" t="s">
        <v>82</v>
      </c>
      <c r="J7529" t="s">
        <v>83</v>
      </c>
      <c r="K7529" t="s">
        <v>19</v>
      </c>
      <c r="L7529" t="s">
        <v>27</v>
      </c>
      <c r="M7529" t="s">
        <v>24</v>
      </c>
      <c r="N7529" t="s">
        <v>22</v>
      </c>
    </row>
    <row r="7530" spans="1:14">
      <c r="A7530" s="4" t="str">
        <f t="shared" si="698"/>
        <v>EXP00260</v>
      </c>
      <c r="B7530" s="4" t="str">
        <f t="shared" si="699"/>
        <v>25909218</v>
      </c>
      <c r="C7530" s="4" t="str">
        <f t="shared" si="700"/>
        <v>GSE65904</v>
      </c>
      <c r="D7530" s="1" t="s">
        <v>303</v>
      </c>
      <c r="E7530" t="s">
        <v>84</v>
      </c>
      <c r="F7530" s="1">
        <v>1</v>
      </c>
      <c r="G7530" s="1" t="s">
        <v>85</v>
      </c>
      <c r="H7530" s="4" t="str">
        <f>HYPERLINK("https://www.ncbi.nlm.nih.gov/geo/query/acc.cgi?acc=GSM1608662","GSM1608662")</f>
        <v>GSM1608662</v>
      </c>
      <c r="I7530" t="s">
        <v>82</v>
      </c>
      <c r="J7530" t="s">
        <v>83</v>
      </c>
      <c r="K7530" t="s">
        <v>19</v>
      </c>
      <c r="L7530" t="s">
        <v>27</v>
      </c>
      <c r="M7530" t="s">
        <v>24</v>
      </c>
      <c r="N7530" t="s">
        <v>22</v>
      </c>
    </row>
    <row r="7531" spans="1:14">
      <c r="A7531" s="4" t="str">
        <f t="shared" si="698"/>
        <v>EXP00260</v>
      </c>
      <c r="B7531" s="4" t="str">
        <f t="shared" si="699"/>
        <v>25909218</v>
      </c>
      <c r="C7531" s="4" t="str">
        <f t="shared" si="700"/>
        <v>GSE65904</v>
      </c>
      <c r="D7531" s="1" t="s">
        <v>303</v>
      </c>
      <c r="E7531" t="s">
        <v>84</v>
      </c>
      <c r="F7531" s="1">
        <v>1</v>
      </c>
      <c r="G7531" s="1" t="s">
        <v>85</v>
      </c>
      <c r="H7531" s="4" t="str">
        <f>HYPERLINK("https://www.ncbi.nlm.nih.gov/geo/query/acc.cgi?acc=GSM1608663","GSM1608663")</f>
        <v>GSM1608663</v>
      </c>
      <c r="I7531" t="s">
        <v>82</v>
      </c>
      <c r="J7531" t="s">
        <v>83</v>
      </c>
      <c r="K7531" t="s">
        <v>19</v>
      </c>
      <c r="L7531" t="s">
        <v>27</v>
      </c>
      <c r="M7531" t="s">
        <v>24</v>
      </c>
      <c r="N7531" t="s">
        <v>22</v>
      </c>
    </row>
    <row r="7532" spans="1:14">
      <c r="A7532" s="4" t="str">
        <f t="shared" si="698"/>
        <v>EXP00260</v>
      </c>
      <c r="B7532" s="4" t="str">
        <f t="shared" si="699"/>
        <v>25909218</v>
      </c>
      <c r="C7532" s="4" t="str">
        <f t="shared" si="700"/>
        <v>GSE65904</v>
      </c>
      <c r="D7532" s="1" t="s">
        <v>303</v>
      </c>
      <c r="E7532" t="s">
        <v>84</v>
      </c>
      <c r="F7532" s="1">
        <v>1</v>
      </c>
      <c r="G7532" s="1" t="s">
        <v>85</v>
      </c>
      <c r="H7532" s="4" t="str">
        <f>HYPERLINK("https://www.ncbi.nlm.nih.gov/geo/query/acc.cgi?acc=GSM1608664","GSM1608664")</f>
        <v>GSM1608664</v>
      </c>
      <c r="I7532" t="s">
        <v>82</v>
      </c>
      <c r="J7532" t="s">
        <v>83</v>
      </c>
      <c r="K7532" t="s">
        <v>19</v>
      </c>
      <c r="L7532" t="s">
        <v>27</v>
      </c>
      <c r="M7532" t="s">
        <v>24</v>
      </c>
      <c r="N7532" t="s">
        <v>22</v>
      </c>
    </row>
    <row r="7533" spans="1:14">
      <c r="A7533" s="4" t="str">
        <f t="shared" si="698"/>
        <v>EXP00260</v>
      </c>
      <c r="B7533" s="4" t="str">
        <f t="shared" si="699"/>
        <v>25909218</v>
      </c>
      <c r="C7533" s="4" t="str">
        <f t="shared" si="700"/>
        <v>GSE65904</v>
      </c>
      <c r="D7533" s="1" t="s">
        <v>303</v>
      </c>
      <c r="E7533" t="s">
        <v>84</v>
      </c>
      <c r="F7533" s="1">
        <v>1</v>
      </c>
      <c r="G7533" s="1" t="s">
        <v>85</v>
      </c>
      <c r="H7533" s="4" t="str">
        <f>HYPERLINK("https://www.ncbi.nlm.nih.gov/geo/query/acc.cgi?acc=GSM1608665","GSM1608665")</f>
        <v>GSM1608665</v>
      </c>
      <c r="I7533" t="s">
        <v>82</v>
      </c>
      <c r="J7533" t="s">
        <v>83</v>
      </c>
      <c r="K7533" t="s">
        <v>19</v>
      </c>
      <c r="L7533" t="s">
        <v>27</v>
      </c>
      <c r="M7533" t="s">
        <v>24</v>
      </c>
      <c r="N7533" t="s">
        <v>22</v>
      </c>
    </row>
    <row r="7534" spans="1:14">
      <c r="A7534" s="4" t="str">
        <f t="shared" si="698"/>
        <v>EXP00260</v>
      </c>
      <c r="B7534" s="4" t="str">
        <f t="shared" si="699"/>
        <v>25909218</v>
      </c>
      <c r="C7534" s="4" t="str">
        <f t="shared" si="700"/>
        <v>GSE65904</v>
      </c>
      <c r="D7534" s="1" t="s">
        <v>303</v>
      </c>
      <c r="E7534" t="s">
        <v>84</v>
      </c>
      <c r="F7534" s="1">
        <v>1</v>
      </c>
      <c r="G7534" s="1" t="s">
        <v>85</v>
      </c>
      <c r="H7534" s="4" t="str">
        <f>HYPERLINK("https://www.ncbi.nlm.nih.gov/geo/query/acc.cgi?acc=GSM1608666","GSM1608666")</f>
        <v>GSM1608666</v>
      </c>
      <c r="I7534" t="s">
        <v>82</v>
      </c>
      <c r="J7534" t="s">
        <v>83</v>
      </c>
      <c r="K7534" t="s">
        <v>19</v>
      </c>
      <c r="L7534" t="s">
        <v>27</v>
      </c>
      <c r="M7534" t="s">
        <v>24</v>
      </c>
      <c r="N7534" t="s">
        <v>22</v>
      </c>
    </row>
    <row r="7535" spans="1:14">
      <c r="A7535" s="4" t="str">
        <f t="shared" si="698"/>
        <v>EXP00260</v>
      </c>
      <c r="B7535" s="4" t="str">
        <f t="shared" si="699"/>
        <v>25909218</v>
      </c>
      <c r="C7535" s="4" t="str">
        <f t="shared" si="700"/>
        <v>GSE65904</v>
      </c>
      <c r="D7535" s="1" t="s">
        <v>303</v>
      </c>
      <c r="E7535" t="s">
        <v>84</v>
      </c>
      <c r="F7535" s="1">
        <v>1</v>
      </c>
      <c r="G7535" s="1" t="s">
        <v>85</v>
      </c>
      <c r="H7535" s="4" t="str">
        <f>HYPERLINK("https://www.ncbi.nlm.nih.gov/geo/query/acc.cgi?acc=GSM1608668","GSM1608668")</f>
        <v>GSM1608668</v>
      </c>
      <c r="I7535" t="s">
        <v>82</v>
      </c>
      <c r="J7535" t="s">
        <v>83</v>
      </c>
      <c r="K7535" t="s">
        <v>19</v>
      </c>
      <c r="L7535" t="s">
        <v>27</v>
      </c>
      <c r="M7535" t="s">
        <v>24</v>
      </c>
      <c r="N7535" t="s">
        <v>22</v>
      </c>
    </row>
    <row r="7536" spans="1:14">
      <c r="A7536" s="4" t="str">
        <f t="shared" si="698"/>
        <v>EXP00260</v>
      </c>
      <c r="B7536" s="4" t="str">
        <f t="shared" si="699"/>
        <v>25909218</v>
      </c>
      <c r="C7536" s="4" t="str">
        <f t="shared" si="700"/>
        <v>GSE65904</v>
      </c>
      <c r="D7536" s="1" t="s">
        <v>303</v>
      </c>
      <c r="E7536" t="s">
        <v>84</v>
      </c>
      <c r="F7536" s="1">
        <v>1</v>
      </c>
      <c r="G7536" s="1" t="s">
        <v>85</v>
      </c>
      <c r="H7536" s="4" t="str">
        <f>HYPERLINK("https://www.ncbi.nlm.nih.gov/geo/query/acc.cgi?acc=GSM1608671","GSM1608671")</f>
        <v>GSM1608671</v>
      </c>
      <c r="I7536" t="s">
        <v>82</v>
      </c>
      <c r="J7536" t="s">
        <v>83</v>
      </c>
      <c r="K7536" t="s">
        <v>19</v>
      </c>
      <c r="L7536" t="s">
        <v>27</v>
      </c>
      <c r="M7536" t="s">
        <v>24</v>
      </c>
      <c r="N7536" t="s">
        <v>22</v>
      </c>
    </row>
    <row r="7537" spans="1:14">
      <c r="A7537" s="4" t="str">
        <f t="shared" si="698"/>
        <v>EXP00260</v>
      </c>
      <c r="B7537" s="4" t="str">
        <f t="shared" si="699"/>
        <v>25909218</v>
      </c>
      <c r="C7537" s="4" t="str">
        <f t="shared" si="700"/>
        <v>GSE65904</v>
      </c>
      <c r="D7537" s="1" t="s">
        <v>303</v>
      </c>
      <c r="E7537" t="s">
        <v>84</v>
      </c>
      <c r="F7537" s="1">
        <v>1</v>
      </c>
      <c r="G7537" s="1" t="s">
        <v>85</v>
      </c>
      <c r="H7537" s="4" t="str">
        <f>HYPERLINK("https://www.ncbi.nlm.nih.gov/geo/query/acc.cgi?acc=GSM1608672","GSM1608672")</f>
        <v>GSM1608672</v>
      </c>
      <c r="I7537" t="s">
        <v>82</v>
      </c>
      <c r="J7537" t="s">
        <v>83</v>
      </c>
      <c r="K7537" t="s">
        <v>19</v>
      </c>
      <c r="L7537" t="s">
        <v>27</v>
      </c>
      <c r="M7537" t="s">
        <v>24</v>
      </c>
      <c r="N7537" t="s">
        <v>22</v>
      </c>
    </row>
    <row r="7538" spans="1:14">
      <c r="A7538" s="4" t="str">
        <f t="shared" si="698"/>
        <v>EXP00260</v>
      </c>
      <c r="B7538" s="4" t="str">
        <f t="shared" si="699"/>
        <v>25909218</v>
      </c>
      <c r="C7538" s="4" t="str">
        <f t="shared" si="700"/>
        <v>GSE65904</v>
      </c>
      <c r="D7538" s="1" t="s">
        <v>303</v>
      </c>
      <c r="E7538" t="s">
        <v>84</v>
      </c>
      <c r="F7538" s="1">
        <v>1</v>
      </c>
      <c r="G7538" s="1" t="s">
        <v>85</v>
      </c>
      <c r="H7538" s="4" t="str">
        <f>HYPERLINK("https://www.ncbi.nlm.nih.gov/geo/query/acc.cgi?acc=GSM1608677","GSM1608677")</f>
        <v>GSM1608677</v>
      </c>
      <c r="I7538" t="s">
        <v>82</v>
      </c>
      <c r="J7538" t="s">
        <v>83</v>
      </c>
      <c r="K7538" t="s">
        <v>19</v>
      </c>
      <c r="L7538" t="s">
        <v>27</v>
      </c>
      <c r="M7538" t="s">
        <v>24</v>
      </c>
      <c r="N7538" t="s">
        <v>22</v>
      </c>
    </row>
    <row r="7539" spans="1:14">
      <c r="A7539" s="4" t="str">
        <f t="shared" si="698"/>
        <v>EXP00260</v>
      </c>
      <c r="B7539" s="4" t="str">
        <f t="shared" si="699"/>
        <v>25909218</v>
      </c>
      <c r="C7539" s="4" t="str">
        <f t="shared" si="700"/>
        <v>GSE65904</v>
      </c>
      <c r="D7539" s="1" t="s">
        <v>303</v>
      </c>
      <c r="E7539" t="s">
        <v>84</v>
      </c>
      <c r="F7539" s="1">
        <v>1</v>
      </c>
      <c r="G7539" s="1" t="s">
        <v>85</v>
      </c>
      <c r="H7539" s="4" t="str">
        <f>HYPERLINK("https://www.ncbi.nlm.nih.gov/geo/query/acc.cgi?acc=GSM1608681","GSM1608681")</f>
        <v>GSM1608681</v>
      </c>
      <c r="I7539" t="s">
        <v>82</v>
      </c>
      <c r="J7539" t="s">
        <v>83</v>
      </c>
      <c r="K7539" t="s">
        <v>19</v>
      </c>
      <c r="L7539" t="s">
        <v>27</v>
      </c>
      <c r="M7539" t="s">
        <v>24</v>
      </c>
      <c r="N7539" t="s">
        <v>22</v>
      </c>
    </row>
    <row r="7540" spans="1:14">
      <c r="A7540" s="4" t="str">
        <f t="shared" si="698"/>
        <v>EXP00260</v>
      </c>
      <c r="B7540" s="4" t="str">
        <f t="shared" si="699"/>
        <v>25909218</v>
      </c>
      <c r="C7540" s="4" t="str">
        <f t="shared" si="700"/>
        <v>GSE65904</v>
      </c>
      <c r="D7540" s="1" t="s">
        <v>303</v>
      </c>
      <c r="E7540" t="s">
        <v>84</v>
      </c>
      <c r="F7540" s="1">
        <v>1</v>
      </c>
      <c r="G7540" s="1" t="s">
        <v>85</v>
      </c>
      <c r="H7540" s="4" t="str">
        <f>HYPERLINK("https://www.ncbi.nlm.nih.gov/geo/query/acc.cgi?acc=GSM1608684","GSM1608684")</f>
        <v>GSM1608684</v>
      </c>
      <c r="I7540" t="s">
        <v>82</v>
      </c>
      <c r="J7540" t="s">
        <v>83</v>
      </c>
      <c r="K7540" t="s">
        <v>19</v>
      </c>
      <c r="L7540" t="s">
        <v>27</v>
      </c>
      <c r="M7540" t="s">
        <v>24</v>
      </c>
      <c r="N7540" t="s">
        <v>22</v>
      </c>
    </row>
    <row r="7541" spans="1:14">
      <c r="A7541" s="4" t="str">
        <f t="shared" si="698"/>
        <v>EXP00260</v>
      </c>
      <c r="B7541" s="4" t="str">
        <f t="shared" si="699"/>
        <v>25909218</v>
      </c>
      <c r="C7541" s="4" t="str">
        <f t="shared" si="700"/>
        <v>GSE65904</v>
      </c>
      <c r="D7541" s="1" t="s">
        <v>303</v>
      </c>
      <c r="E7541" t="s">
        <v>84</v>
      </c>
      <c r="F7541" s="1">
        <v>1</v>
      </c>
      <c r="G7541" s="1" t="s">
        <v>85</v>
      </c>
      <c r="H7541" s="4" t="str">
        <f>HYPERLINK("https://www.ncbi.nlm.nih.gov/geo/query/acc.cgi?acc=GSM1608685","GSM1608685")</f>
        <v>GSM1608685</v>
      </c>
      <c r="I7541" t="s">
        <v>82</v>
      </c>
      <c r="J7541" t="s">
        <v>83</v>
      </c>
      <c r="K7541" t="s">
        <v>19</v>
      </c>
      <c r="L7541" t="s">
        <v>27</v>
      </c>
      <c r="M7541" t="s">
        <v>24</v>
      </c>
      <c r="N7541" t="s">
        <v>22</v>
      </c>
    </row>
    <row r="7542" spans="1:14">
      <c r="A7542" s="4" t="str">
        <f t="shared" si="698"/>
        <v>EXP00260</v>
      </c>
      <c r="B7542" s="4" t="str">
        <f t="shared" si="699"/>
        <v>25909218</v>
      </c>
      <c r="C7542" s="4" t="str">
        <f t="shared" si="700"/>
        <v>GSE65904</v>
      </c>
      <c r="D7542" s="1" t="s">
        <v>303</v>
      </c>
      <c r="E7542" t="s">
        <v>84</v>
      </c>
      <c r="F7542" s="1">
        <v>1</v>
      </c>
      <c r="G7542" s="1" t="s">
        <v>85</v>
      </c>
      <c r="H7542" s="4" t="str">
        <f>HYPERLINK("https://www.ncbi.nlm.nih.gov/geo/query/acc.cgi?acc=GSM1608688","GSM1608688")</f>
        <v>GSM1608688</v>
      </c>
      <c r="I7542" t="s">
        <v>82</v>
      </c>
      <c r="J7542" t="s">
        <v>83</v>
      </c>
      <c r="K7542" t="s">
        <v>19</v>
      </c>
      <c r="L7542" t="s">
        <v>27</v>
      </c>
      <c r="M7542" t="s">
        <v>24</v>
      </c>
      <c r="N7542" t="s">
        <v>22</v>
      </c>
    </row>
    <row r="7543" spans="1:14">
      <c r="A7543" s="4" t="str">
        <f t="shared" si="698"/>
        <v>EXP00260</v>
      </c>
      <c r="B7543" s="4" t="str">
        <f t="shared" si="699"/>
        <v>25909218</v>
      </c>
      <c r="C7543" s="4" t="str">
        <f t="shared" si="700"/>
        <v>GSE65904</v>
      </c>
      <c r="D7543" s="1" t="s">
        <v>303</v>
      </c>
      <c r="E7543" t="s">
        <v>84</v>
      </c>
      <c r="F7543" s="1">
        <v>1</v>
      </c>
      <c r="G7543" s="1" t="s">
        <v>85</v>
      </c>
      <c r="H7543" s="4" t="str">
        <f>HYPERLINK("https://www.ncbi.nlm.nih.gov/geo/query/acc.cgi?acc=GSM1608692","GSM1608692")</f>
        <v>GSM1608692</v>
      </c>
      <c r="I7543" t="s">
        <v>82</v>
      </c>
      <c r="J7543" t="s">
        <v>83</v>
      </c>
      <c r="K7543" t="s">
        <v>19</v>
      </c>
      <c r="L7543" t="s">
        <v>27</v>
      </c>
      <c r="M7543" t="s">
        <v>24</v>
      </c>
      <c r="N7543" t="s">
        <v>22</v>
      </c>
    </row>
    <row r="7544" spans="1:14">
      <c r="A7544" s="4" t="str">
        <f t="shared" si="698"/>
        <v>EXP00260</v>
      </c>
      <c r="B7544" s="4" t="str">
        <f t="shared" si="699"/>
        <v>25909218</v>
      </c>
      <c r="C7544" s="4" t="str">
        <f t="shared" si="700"/>
        <v>GSE65904</v>
      </c>
      <c r="D7544" s="1" t="s">
        <v>303</v>
      </c>
      <c r="E7544" t="s">
        <v>84</v>
      </c>
      <c r="F7544" s="1">
        <v>1</v>
      </c>
      <c r="G7544" s="1" t="s">
        <v>85</v>
      </c>
      <c r="H7544" s="4" t="str">
        <f>HYPERLINK("https://www.ncbi.nlm.nih.gov/geo/query/acc.cgi?acc=GSM1608693","GSM1608693")</f>
        <v>GSM1608693</v>
      </c>
      <c r="I7544" t="s">
        <v>82</v>
      </c>
      <c r="J7544" t="s">
        <v>83</v>
      </c>
      <c r="K7544" t="s">
        <v>19</v>
      </c>
      <c r="L7544" t="s">
        <v>27</v>
      </c>
      <c r="M7544" t="s">
        <v>24</v>
      </c>
      <c r="N7544" t="s">
        <v>22</v>
      </c>
    </row>
    <row r="7545" spans="1:14">
      <c r="A7545" s="4" t="str">
        <f t="shared" si="698"/>
        <v>EXP00260</v>
      </c>
      <c r="B7545" s="4" t="str">
        <f t="shared" si="699"/>
        <v>25909218</v>
      </c>
      <c r="C7545" s="4" t="str">
        <f t="shared" si="700"/>
        <v>GSE65904</v>
      </c>
      <c r="D7545" s="1" t="s">
        <v>303</v>
      </c>
      <c r="E7545" t="s">
        <v>84</v>
      </c>
      <c r="F7545" s="1">
        <v>1</v>
      </c>
      <c r="G7545" s="1" t="s">
        <v>85</v>
      </c>
      <c r="H7545" s="4" t="str">
        <f>HYPERLINK("https://www.ncbi.nlm.nih.gov/geo/query/acc.cgi?acc=GSM1608694","GSM1608694")</f>
        <v>GSM1608694</v>
      </c>
      <c r="I7545" t="s">
        <v>82</v>
      </c>
      <c r="J7545" t="s">
        <v>83</v>
      </c>
      <c r="K7545" t="s">
        <v>19</v>
      </c>
      <c r="L7545" t="s">
        <v>27</v>
      </c>
      <c r="M7545" t="s">
        <v>24</v>
      </c>
      <c r="N7545" t="s">
        <v>22</v>
      </c>
    </row>
    <row r="7546" spans="1:14">
      <c r="A7546" s="4" t="str">
        <f t="shared" si="698"/>
        <v>EXP00260</v>
      </c>
      <c r="B7546" s="4" t="str">
        <f t="shared" si="699"/>
        <v>25909218</v>
      </c>
      <c r="C7546" s="4" t="str">
        <f t="shared" si="700"/>
        <v>GSE65904</v>
      </c>
      <c r="D7546" s="1" t="s">
        <v>303</v>
      </c>
      <c r="E7546" t="s">
        <v>84</v>
      </c>
      <c r="F7546" s="1">
        <v>1</v>
      </c>
      <c r="G7546" s="1" t="s">
        <v>85</v>
      </c>
      <c r="H7546" s="4" t="str">
        <f>HYPERLINK("https://www.ncbi.nlm.nih.gov/geo/query/acc.cgi?acc=GSM1608696","GSM1608696")</f>
        <v>GSM1608696</v>
      </c>
      <c r="I7546" t="s">
        <v>82</v>
      </c>
      <c r="J7546" t="s">
        <v>83</v>
      </c>
      <c r="K7546" t="s">
        <v>19</v>
      </c>
      <c r="L7546" t="s">
        <v>27</v>
      </c>
      <c r="M7546" t="s">
        <v>24</v>
      </c>
      <c r="N7546" t="s">
        <v>22</v>
      </c>
    </row>
    <row r="7547" spans="1:14">
      <c r="A7547" s="4" t="str">
        <f t="shared" si="698"/>
        <v>EXP00260</v>
      </c>
      <c r="B7547" s="4" t="str">
        <f t="shared" si="699"/>
        <v>25909218</v>
      </c>
      <c r="C7547" s="4" t="str">
        <f t="shared" si="700"/>
        <v>GSE65904</v>
      </c>
      <c r="D7547" s="1" t="s">
        <v>303</v>
      </c>
      <c r="E7547" t="s">
        <v>84</v>
      </c>
      <c r="F7547" s="1">
        <v>1</v>
      </c>
      <c r="G7547" s="1" t="s">
        <v>85</v>
      </c>
      <c r="H7547" s="4" t="str">
        <f>HYPERLINK("https://www.ncbi.nlm.nih.gov/geo/query/acc.cgi?acc=GSM1608697","GSM1608697")</f>
        <v>GSM1608697</v>
      </c>
      <c r="I7547" t="s">
        <v>82</v>
      </c>
      <c r="J7547" t="s">
        <v>83</v>
      </c>
      <c r="K7547" t="s">
        <v>19</v>
      </c>
      <c r="L7547" t="s">
        <v>27</v>
      </c>
      <c r="M7547" t="s">
        <v>24</v>
      </c>
      <c r="N7547" t="s">
        <v>22</v>
      </c>
    </row>
    <row r="7548" spans="1:14">
      <c r="A7548" s="4" t="str">
        <f t="shared" si="698"/>
        <v>EXP00260</v>
      </c>
      <c r="B7548" s="4" t="str">
        <f t="shared" si="699"/>
        <v>25909218</v>
      </c>
      <c r="C7548" s="4" t="str">
        <f t="shared" si="700"/>
        <v>GSE65904</v>
      </c>
      <c r="D7548" s="1" t="s">
        <v>303</v>
      </c>
      <c r="E7548" t="s">
        <v>84</v>
      </c>
      <c r="F7548" s="1">
        <v>1</v>
      </c>
      <c r="G7548" s="1" t="s">
        <v>85</v>
      </c>
      <c r="H7548" s="4" t="str">
        <f>HYPERLINK("https://www.ncbi.nlm.nih.gov/geo/query/acc.cgi?acc=GSM1608698","GSM1608698")</f>
        <v>GSM1608698</v>
      </c>
      <c r="I7548" t="s">
        <v>82</v>
      </c>
      <c r="J7548" t="s">
        <v>83</v>
      </c>
      <c r="K7548" t="s">
        <v>19</v>
      </c>
      <c r="L7548" t="s">
        <v>27</v>
      </c>
      <c r="M7548" t="s">
        <v>24</v>
      </c>
      <c r="N7548" t="s">
        <v>22</v>
      </c>
    </row>
    <row r="7549" spans="1:14">
      <c r="A7549" s="4" t="str">
        <f t="shared" si="698"/>
        <v>EXP00260</v>
      </c>
      <c r="B7549" s="4" t="str">
        <f t="shared" si="699"/>
        <v>25909218</v>
      </c>
      <c r="C7549" s="4" t="str">
        <f t="shared" si="700"/>
        <v>GSE65904</v>
      </c>
      <c r="D7549" s="1" t="s">
        <v>303</v>
      </c>
      <c r="E7549" t="s">
        <v>84</v>
      </c>
      <c r="F7549" s="1">
        <v>1</v>
      </c>
      <c r="G7549" s="1" t="s">
        <v>85</v>
      </c>
      <c r="H7549" s="4" t="str">
        <f>HYPERLINK("https://www.ncbi.nlm.nih.gov/geo/query/acc.cgi?acc=GSM1608700","GSM1608700")</f>
        <v>GSM1608700</v>
      </c>
      <c r="I7549" t="s">
        <v>82</v>
      </c>
      <c r="J7549" t="s">
        <v>83</v>
      </c>
      <c r="K7549" t="s">
        <v>19</v>
      </c>
      <c r="L7549" t="s">
        <v>27</v>
      </c>
      <c r="M7549" t="s">
        <v>24</v>
      </c>
      <c r="N7549" t="s">
        <v>22</v>
      </c>
    </row>
    <row r="7550" spans="1:14">
      <c r="A7550" s="4" t="str">
        <f t="shared" si="698"/>
        <v>EXP00260</v>
      </c>
      <c r="B7550" s="4" t="str">
        <f t="shared" si="699"/>
        <v>25909218</v>
      </c>
      <c r="C7550" s="4" t="str">
        <f t="shared" si="700"/>
        <v>GSE65904</v>
      </c>
      <c r="D7550" s="1" t="s">
        <v>303</v>
      </c>
      <c r="E7550" t="s">
        <v>84</v>
      </c>
      <c r="F7550" s="1">
        <v>1</v>
      </c>
      <c r="G7550" s="1" t="s">
        <v>85</v>
      </c>
      <c r="H7550" s="4" t="str">
        <f>HYPERLINK("https://www.ncbi.nlm.nih.gov/geo/query/acc.cgi?acc=GSM1608702","GSM1608702")</f>
        <v>GSM1608702</v>
      </c>
      <c r="I7550" t="s">
        <v>82</v>
      </c>
      <c r="J7550" t="s">
        <v>83</v>
      </c>
      <c r="K7550" t="s">
        <v>19</v>
      </c>
      <c r="L7550" t="s">
        <v>27</v>
      </c>
      <c r="M7550" t="s">
        <v>24</v>
      </c>
      <c r="N7550" t="s">
        <v>22</v>
      </c>
    </row>
    <row r="7551" spans="1:14">
      <c r="A7551" s="4" t="str">
        <f t="shared" si="698"/>
        <v>EXP00260</v>
      </c>
      <c r="B7551" s="4" t="str">
        <f t="shared" si="699"/>
        <v>25909218</v>
      </c>
      <c r="C7551" s="4" t="str">
        <f t="shared" si="700"/>
        <v>GSE65904</v>
      </c>
      <c r="D7551" s="1" t="s">
        <v>303</v>
      </c>
      <c r="E7551" t="s">
        <v>84</v>
      </c>
      <c r="F7551" s="1">
        <v>1</v>
      </c>
      <c r="G7551" s="1" t="s">
        <v>85</v>
      </c>
      <c r="H7551" s="4" t="str">
        <f>HYPERLINK("https://www.ncbi.nlm.nih.gov/geo/query/acc.cgi?acc=GSM1608703","GSM1608703")</f>
        <v>GSM1608703</v>
      </c>
      <c r="I7551" t="s">
        <v>82</v>
      </c>
      <c r="J7551" t="s">
        <v>83</v>
      </c>
      <c r="K7551" t="s">
        <v>19</v>
      </c>
      <c r="L7551" t="s">
        <v>27</v>
      </c>
      <c r="M7551" t="s">
        <v>24</v>
      </c>
      <c r="N7551" t="s">
        <v>22</v>
      </c>
    </row>
    <row r="7552" spans="1:14">
      <c r="A7552" s="4" t="str">
        <f t="shared" si="698"/>
        <v>EXP00260</v>
      </c>
      <c r="B7552" s="4" t="str">
        <f t="shared" si="699"/>
        <v>25909218</v>
      </c>
      <c r="C7552" s="4" t="str">
        <f t="shared" si="700"/>
        <v>GSE65904</v>
      </c>
      <c r="D7552" s="1" t="s">
        <v>303</v>
      </c>
      <c r="E7552" t="s">
        <v>84</v>
      </c>
      <c r="F7552" s="1">
        <v>1</v>
      </c>
      <c r="G7552" s="1" t="s">
        <v>85</v>
      </c>
      <c r="H7552" s="4" t="str">
        <f>HYPERLINK("https://www.ncbi.nlm.nih.gov/geo/query/acc.cgi?acc=GSM1608704","GSM1608704")</f>
        <v>GSM1608704</v>
      </c>
      <c r="I7552" t="s">
        <v>82</v>
      </c>
      <c r="J7552" t="s">
        <v>83</v>
      </c>
      <c r="K7552" t="s">
        <v>19</v>
      </c>
      <c r="L7552" t="s">
        <v>27</v>
      </c>
      <c r="M7552" t="s">
        <v>24</v>
      </c>
      <c r="N7552" t="s">
        <v>22</v>
      </c>
    </row>
    <row r="7553" spans="1:14">
      <c r="A7553" s="4" t="str">
        <f t="shared" si="698"/>
        <v>EXP00260</v>
      </c>
      <c r="B7553" s="4" t="str">
        <f t="shared" si="699"/>
        <v>25909218</v>
      </c>
      <c r="C7553" s="4" t="str">
        <f t="shared" si="700"/>
        <v>GSE65904</v>
      </c>
      <c r="D7553" s="1" t="s">
        <v>303</v>
      </c>
      <c r="E7553" t="s">
        <v>84</v>
      </c>
      <c r="F7553" s="1">
        <v>1</v>
      </c>
      <c r="G7553" s="1" t="s">
        <v>85</v>
      </c>
      <c r="H7553" s="4" t="str">
        <f>HYPERLINK("https://www.ncbi.nlm.nih.gov/geo/query/acc.cgi?acc=GSM1608707","GSM1608707")</f>
        <v>GSM1608707</v>
      </c>
      <c r="I7553" t="s">
        <v>82</v>
      </c>
      <c r="J7553" t="s">
        <v>83</v>
      </c>
      <c r="K7553" t="s">
        <v>19</v>
      </c>
      <c r="L7553" t="s">
        <v>27</v>
      </c>
      <c r="M7553" t="s">
        <v>24</v>
      </c>
      <c r="N7553" t="s">
        <v>22</v>
      </c>
    </row>
    <row r="7554" spans="1:14">
      <c r="A7554" s="4" t="str">
        <f t="shared" si="698"/>
        <v>EXP00260</v>
      </c>
      <c r="B7554" s="4" t="str">
        <f t="shared" si="699"/>
        <v>25909218</v>
      </c>
      <c r="C7554" s="4" t="str">
        <f t="shared" si="700"/>
        <v>GSE65904</v>
      </c>
      <c r="D7554" s="1" t="s">
        <v>303</v>
      </c>
      <c r="E7554" t="s">
        <v>84</v>
      </c>
      <c r="F7554" s="1">
        <v>1</v>
      </c>
      <c r="G7554" s="1" t="s">
        <v>85</v>
      </c>
      <c r="H7554" s="4" t="str">
        <f>HYPERLINK("https://www.ncbi.nlm.nih.gov/geo/query/acc.cgi?acc=GSM1608708","GSM1608708")</f>
        <v>GSM1608708</v>
      </c>
      <c r="I7554" t="s">
        <v>82</v>
      </c>
      <c r="J7554" t="s">
        <v>83</v>
      </c>
      <c r="K7554" t="s">
        <v>19</v>
      </c>
      <c r="L7554" t="s">
        <v>27</v>
      </c>
      <c r="M7554" t="s">
        <v>24</v>
      </c>
      <c r="N7554" t="s">
        <v>22</v>
      </c>
    </row>
    <row r="7555" spans="1:14">
      <c r="A7555" s="4" t="str">
        <f t="shared" ref="A7555:A7586" si="701">HYPERLINK("http://hcmdb.i-sanger.com/experiment/details/experiment_id/EXP00260","EXP00260")</f>
        <v>EXP00260</v>
      </c>
      <c r="B7555" s="4" t="str">
        <f t="shared" ref="B7555:B7586" si="702">HYPERLINK("https://www.ncbi.nlm.nih.gov/pubmed/25909218","25909218")</f>
        <v>25909218</v>
      </c>
      <c r="C7555" s="4" t="str">
        <f t="shared" ref="C7555:C7586" si="703">HYPERLINK("https://www.ncbi.nlm.nih.gov/geo/query/acc.cgi?acc=GSE65904","GSE65904")</f>
        <v>GSE65904</v>
      </c>
      <c r="D7555" s="1" t="s">
        <v>303</v>
      </c>
      <c r="E7555" t="s">
        <v>84</v>
      </c>
      <c r="F7555" s="1">
        <v>1</v>
      </c>
      <c r="G7555" s="1" t="s">
        <v>85</v>
      </c>
      <c r="H7555" s="4" t="str">
        <f>HYPERLINK("https://www.ncbi.nlm.nih.gov/geo/query/acc.cgi?acc=GSM1608709","GSM1608709")</f>
        <v>GSM1608709</v>
      </c>
      <c r="I7555" t="s">
        <v>82</v>
      </c>
      <c r="J7555" t="s">
        <v>83</v>
      </c>
      <c r="K7555" t="s">
        <v>19</v>
      </c>
      <c r="L7555" t="s">
        <v>27</v>
      </c>
      <c r="M7555" t="s">
        <v>24</v>
      </c>
      <c r="N7555" t="s">
        <v>22</v>
      </c>
    </row>
    <row r="7556" spans="1:14">
      <c r="A7556" s="4" t="str">
        <f t="shared" si="701"/>
        <v>EXP00260</v>
      </c>
      <c r="B7556" s="4" t="str">
        <f t="shared" si="702"/>
        <v>25909218</v>
      </c>
      <c r="C7556" s="4" t="str">
        <f t="shared" si="703"/>
        <v>GSE65904</v>
      </c>
      <c r="D7556" s="1" t="s">
        <v>303</v>
      </c>
      <c r="E7556" t="s">
        <v>84</v>
      </c>
      <c r="F7556" s="1">
        <v>1</v>
      </c>
      <c r="G7556" s="1" t="s">
        <v>85</v>
      </c>
      <c r="H7556" s="4" t="str">
        <f>HYPERLINK("https://www.ncbi.nlm.nih.gov/geo/query/acc.cgi?acc=GSM1608712","GSM1608712")</f>
        <v>GSM1608712</v>
      </c>
      <c r="I7556" t="s">
        <v>82</v>
      </c>
      <c r="J7556" t="s">
        <v>83</v>
      </c>
      <c r="K7556" t="s">
        <v>19</v>
      </c>
      <c r="L7556" t="s">
        <v>27</v>
      </c>
      <c r="M7556" t="s">
        <v>24</v>
      </c>
      <c r="N7556" t="s">
        <v>22</v>
      </c>
    </row>
    <row r="7557" spans="1:14">
      <c r="A7557" s="4" t="str">
        <f t="shared" si="701"/>
        <v>EXP00260</v>
      </c>
      <c r="B7557" s="4" t="str">
        <f t="shared" si="702"/>
        <v>25909218</v>
      </c>
      <c r="C7557" s="4" t="str">
        <f t="shared" si="703"/>
        <v>GSE65904</v>
      </c>
      <c r="D7557" s="1" t="s">
        <v>303</v>
      </c>
      <c r="E7557" t="s">
        <v>84</v>
      </c>
      <c r="F7557" s="1">
        <v>1</v>
      </c>
      <c r="G7557" s="1" t="s">
        <v>85</v>
      </c>
      <c r="H7557" s="4" t="str">
        <f>HYPERLINK("https://www.ncbi.nlm.nih.gov/geo/query/acc.cgi?acc=GSM1608713","GSM1608713")</f>
        <v>GSM1608713</v>
      </c>
      <c r="I7557" t="s">
        <v>82</v>
      </c>
      <c r="J7557" t="s">
        <v>83</v>
      </c>
      <c r="K7557" t="s">
        <v>19</v>
      </c>
      <c r="L7557" t="s">
        <v>27</v>
      </c>
      <c r="M7557" t="s">
        <v>24</v>
      </c>
      <c r="N7557" t="s">
        <v>22</v>
      </c>
    </row>
    <row r="7558" spans="1:14">
      <c r="A7558" s="4" t="str">
        <f t="shared" si="701"/>
        <v>EXP00260</v>
      </c>
      <c r="B7558" s="4" t="str">
        <f t="shared" si="702"/>
        <v>25909218</v>
      </c>
      <c r="C7558" s="4" t="str">
        <f t="shared" si="703"/>
        <v>GSE65904</v>
      </c>
      <c r="D7558" s="1" t="s">
        <v>303</v>
      </c>
      <c r="E7558" t="s">
        <v>84</v>
      </c>
      <c r="F7558" s="1">
        <v>1</v>
      </c>
      <c r="G7558" s="1" t="s">
        <v>85</v>
      </c>
      <c r="H7558" s="4" t="str">
        <f>HYPERLINK("https://www.ncbi.nlm.nih.gov/geo/query/acc.cgi?acc=GSM1608714","GSM1608714")</f>
        <v>GSM1608714</v>
      </c>
      <c r="I7558" t="s">
        <v>82</v>
      </c>
      <c r="J7558" t="s">
        <v>83</v>
      </c>
      <c r="K7558" t="s">
        <v>19</v>
      </c>
      <c r="L7558" t="s">
        <v>27</v>
      </c>
      <c r="M7558" t="s">
        <v>24</v>
      </c>
      <c r="N7558" t="s">
        <v>22</v>
      </c>
    </row>
    <row r="7559" spans="1:14">
      <c r="A7559" s="4" t="str">
        <f t="shared" si="701"/>
        <v>EXP00260</v>
      </c>
      <c r="B7559" s="4" t="str">
        <f t="shared" si="702"/>
        <v>25909218</v>
      </c>
      <c r="C7559" s="4" t="str">
        <f t="shared" si="703"/>
        <v>GSE65904</v>
      </c>
      <c r="D7559" s="1" t="s">
        <v>303</v>
      </c>
      <c r="E7559" t="s">
        <v>84</v>
      </c>
      <c r="F7559" s="1">
        <v>1</v>
      </c>
      <c r="G7559" s="1" t="s">
        <v>85</v>
      </c>
      <c r="H7559" s="4" t="str">
        <f>HYPERLINK("https://www.ncbi.nlm.nih.gov/geo/query/acc.cgi?acc=GSM1608715","GSM1608715")</f>
        <v>GSM1608715</v>
      </c>
      <c r="I7559" t="s">
        <v>82</v>
      </c>
      <c r="J7559" t="s">
        <v>83</v>
      </c>
      <c r="K7559" t="s">
        <v>19</v>
      </c>
      <c r="L7559" t="s">
        <v>27</v>
      </c>
      <c r="M7559" t="s">
        <v>24</v>
      </c>
      <c r="N7559" t="s">
        <v>22</v>
      </c>
    </row>
    <row r="7560" spans="1:14">
      <c r="A7560" s="4" t="str">
        <f t="shared" si="701"/>
        <v>EXP00260</v>
      </c>
      <c r="B7560" s="4" t="str">
        <f t="shared" si="702"/>
        <v>25909218</v>
      </c>
      <c r="C7560" s="4" t="str">
        <f t="shared" si="703"/>
        <v>GSE65904</v>
      </c>
      <c r="D7560" s="1" t="s">
        <v>303</v>
      </c>
      <c r="E7560" t="s">
        <v>84</v>
      </c>
      <c r="F7560" s="1">
        <v>1</v>
      </c>
      <c r="G7560" s="1" t="s">
        <v>85</v>
      </c>
      <c r="H7560" s="4" t="str">
        <f>HYPERLINK("https://www.ncbi.nlm.nih.gov/geo/query/acc.cgi?acc=GSM1608717","GSM1608717")</f>
        <v>GSM1608717</v>
      </c>
      <c r="I7560" t="s">
        <v>82</v>
      </c>
      <c r="J7560" t="s">
        <v>83</v>
      </c>
      <c r="K7560" t="s">
        <v>19</v>
      </c>
      <c r="L7560" t="s">
        <v>27</v>
      </c>
      <c r="M7560" t="s">
        <v>24</v>
      </c>
      <c r="N7560" t="s">
        <v>22</v>
      </c>
    </row>
    <row r="7561" spans="1:14">
      <c r="A7561" s="4" t="str">
        <f t="shared" si="701"/>
        <v>EXP00260</v>
      </c>
      <c r="B7561" s="4" t="str">
        <f t="shared" si="702"/>
        <v>25909218</v>
      </c>
      <c r="C7561" s="4" t="str">
        <f t="shared" si="703"/>
        <v>GSE65904</v>
      </c>
      <c r="D7561" s="1" t="s">
        <v>303</v>
      </c>
      <c r="E7561" t="s">
        <v>84</v>
      </c>
      <c r="F7561" s="1">
        <v>1</v>
      </c>
      <c r="G7561" s="1" t="s">
        <v>85</v>
      </c>
      <c r="H7561" s="4" t="str">
        <f>HYPERLINK("https://www.ncbi.nlm.nih.gov/geo/query/acc.cgi?acc=GSM1608718","GSM1608718")</f>
        <v>GSM1608718</v>
      </c>
      <c r="I7561" t="s">
        <v>82</v>
      </c>
      <c r="J7561" t="s">
        <v>83</v>
      </c>
      <c r="K7561" t="s">
        <v>19</v>
      </c>
      <c r="L7561" t="s">
        <v>27</v>
      </c>
      <c r="M7561" t="s">
        <v>24</v>
      </c>
      <c r="N7561" t="s">
        <v>22</v>
      </c>
    </row>
    <row r="7562" spans="1:14">
      <c r="A7562" s="4" t="str">
        <f t="shared" si="701"/>
        <v>EXP00260</v>
      </c>
      <c r="B7562" s="4" t="str">
        <f t="shared" si="702"/>
        <v>25909218</v>
      </c>
      <c r="C7562" s="4" t="str">
        <f t="shared" si="703"/>
        <v>GSE65904</v>
      </c>
      <c r="D7562" s="1" t="s">
        <v>303</v>
      </c>
      <c r="E7562" t="s">
        <v>84</v>
      </c>
      <c r="F7562" s="1">
        <v>1</v>
      </c>
      <c r="G7562" s="1" t="s">
        <v>85</v>
      </c>
      <c r="H7562" s="4" t="str">
        <f>HYPERLINK("https://www.ncbi.nlm.nih.gov/geo/query/acc.cgi?acc=GSM1608719","GSM1608719")</f>
        <v>GSM1608719</v>
      </c>
      <c r="I7562" t="s">
        <v>82</v>
      </c>
      <c r="J7562" t="s">
        <v>83</v>
      </c>
      <c r="K7562" t="s">
        <v>19</v>
      </c>
      <c r="L7562" t="s">
        <v>27</v>
      </c>
      <c r="M7562" t="s">
        <v>24</v>
      </c>
      <c r="N7562" t="s">
        <v>22</v>
      </c>
    </row>
    <row r="7563" spans="1:14">
      <c r="A7563" s="4" t="str">
        <f t="shared" si="701"/>
        <v>EXP00260</v>
      </c>
      <c r="B7563" s="4" t="str">
        <f t="shared" si="702"/>
        <v>25909218</v>
      </c>
      <c r="C7563" s="4" t="str">
        <f t="shared" si="703"/>
        <v>GSE65904</v>
      </c>
      <c r="D7563" s="1" t="s">
        <v>303</v>
      </c>
      <c r="E7563" t="s">
        <v>84</v>
      </c>
      <c r="F7563" s="1">
        <v>1</v>
      </c>
      <c r="G7563" s="1" t="s">
        <v>85</v>
      </c>
      <c r="H7563" s="4" t="str">
        <f>HYPERLINK("https://www.ncbi.nlm.nih.gov/geo/query/acc.cgi?acc=GSM1608720","GSM1608720")</f>
        <v>GSM1608720</v>
      </c>
      <c r="I7563" t="s">
        <v>82</v>
      </c>
      <c r="J7563" t="s">
        <v>83</v>
      </c>
      <c r="K7563" t="s">
        <v>19</v>
      </c>
      <c r="L7563" t="s">
        <v>27</v>
      </c>
      <c r="M7563" t="s">
        <v>24</v>
      </c>
      <c r="N7563" t="s">
        <v>22</v>
      </c>
    </row>
    <row r="7564" spans="1:14">
      <c r="A7564" s="4" t="str">
        <f t="shared" si="701"/>
        <v>EXP00260</v>
      </c>
      <c r="B7564" s="4" t="str">
        <f t="shared" si="702"/>
        <v>25909218</v>
      </c>
      <c r="C7564" s="4" t="str">
        <f t="shared" si="703"/>
        <v>GSE65904</v>
      </c>
      <c r="D7564" s="1" t="s">
        <v>303</v>
      </c>
      <c r="E7564" t="s">
        <v>84</v>
      </c>
      <c r="F7564" s="1">
        <v>1</v>
      </c>
      <c r="G7564" s="1" t="s">
        <v>85</v>
      </c>
      <c r="H7564" s="4" t="str">
        <f>HYPERLINK("https://www.ncbi.nlm.nih.gov/geo/query/acc.cgi?acc=GSM1608721","GSM1608721")</f>
        <v>GSM1608721</v>
      </c>
      <c r="I7564" t="s">
        <v>82</v>
      </c>
      <c r="J7564" t="s">
        <v>83</v>
      </c>
      <c r="K7564" t="s">
        <v>19</v>
      </c>
      <c r="L7564" t="s">
        <v>27</v>
      </c>
      <c r="M7564" t="s">
        <v>24</v>
      </c>
      <c r="N7564" t="s">
        <v>22</v>
      </c>
    </row>
    <row r="7565" spans="1:14">
      <c r="A7565" s="4" t="str">
        <f t="shared" si="701"/>
        <v>EXP00260</v>
      </c>
      <c r="B7565" s="4" t="str">
        <f t="shared" si="702"/>
        <v>25909218</v>
      </c>
      <c r="C7565" s="4" t="str">
        <f t="shared" si="703"/>
        <v>GSE65904</v>
      </c>
      <c r="D7565" s="1" t="s">
        <v>303</v>
      </c>
      <c r="E7565" t="s">
        <v>84</v>
      </c>
      <c r="F7565" s="1">
        <v>1</v>
      </c>
      <c r="G7565" s="1" t="s">
        <v>85</v>
      </c>
      <c r="H7565" s="4" t="str">
        <f>HYPERLINK("https://www.ncbi.nlm.nih.gov/geo/query/acc.cgi?acc=GSM1608723","GSM1608723")</f>
        <v>GSM1608723</v>
      </c>
      <c r="I7565" t="s">
        <v>82</v>
      </c>
      <c r="J7565" t="s">
        <v>83</v>
      </c>
      <c r="K7565" t="s">
        <v>19</v>
      </c>
      <c r="L7565" t="s">
        <v>27</v>
      </c>
      <c r="M7565" t="s">
        <v>24</v>
      </c>
      <c r="N7565" t="s">
        <v>22</v>
      </c>
    </row>
    <row r="7566" spans="1:14">
      <c r="A7566" s="4" t="str">
        <f t="shared" si="701"/>
        <v>EXP00260</v>
      </c>
      <c r="B7566" s="4" t="str">
        <f t="shared" si="702"/>
        <v>25909218</v>
      </c>
      <c r="C7566" s="4" t="str">
        <f t="shared" si="703"/>
        <v>GSE65904</v>
      </c>
      <c r="D7566" s="1" t="s">
        <v>303</v>
      </c>
      <c r="E7566" t="s">
        <v>84</v>
      </c>
      <c r="F7566" s="1">
        <v>1</v>
      </c>
      <c r="G7566" s="1" t="s">
        <v>85</v>
      </c>
      <c r="H7566" s="4" t="str">
        <f>HYPERLINK("https://www.ncbi.nlm.nih.gov/geo/query/acc.cgi?acc=GSM1608724","GSM1608724")</f>
        <v>GSM1608724</v>
      </c>
      <c r="I7566" t="s">
        <v>82</v>
      </c>
      <c r="J7566" t="s">
        <v>83</v>
      </c>
      <c r="K7566" t="s">
        <v>19</v>
      </c>
      <c r="L7566" t="s">
        <v>27</v>
      </c>
      <c r="M7566" t="s">
        <v>24</v>
      </c>
      <c r="N7566" t="s">
        <v>22</v>
      </c>
    </row>
    <row r="7567" spans="1:14">
      <c r="A7567" s="4" t="str">
        <f t="shared" si="701"/>
        <v>EXP00260</v>
      </c>
      <c r="B7567" s="4" t="str">
        <f t="shared" si="702"/>
        <v>25909218</v>
      </c>
      <c r="C7567" s="4" t="str">
        <f t="shared" si="703"/>
        <v>GSE65904</v>
      </c>
      <c r="D7567" s="1" t="s">
        <v>303</v>
      </c>
      <c r="E7567" t="s">
        <v>84</v>
      </c>
      <c r="F7567" s="1">
        <v>1</v>
      </c>
      <c r="G7567" s="1" t="s">
        <v>85</v>
      </c>
      <c r="H7567" s="4" t="str">
        <f>HYPERLINK("https://www.ncbi.nlm.nih.gov/geo/query/acc.cgi?acc=GSM1608726","GSM1608726")</f>
        <v>GSM1608726</v>
      </c>
      <c r="I7567" t="s">
        <v>82</v>
      </c>
      <c r="J7567" t="s">
        <v>83</v>
      </c>
      <c r="K7567" t="s">
        <v>19</v>
      </c>
      <c r="L7567" t="s">
        <v>27</v>
      </c>
      <c r="M7567" t="s">
        <v>24</v>
      </c>
      <c r="N7567" t="s">
        <v>22</v>
      </c>
    </row>
    <row r="7568" spans="1:14">
      <c r="A7568" s="4" t="str">
        <f t="shared" si="701"/>
        <v>EXP00260</v>
      </c>
      <c r="B7568" s="4" t="str">
        <f t="shared" si="702"/>
        <v>25909218</v>
      </c>
      <c r="C7568" s="4" t="str">
        <f t="shared" si="703"/>
        <v>GSE65904</v>
      </c>
      <c r="D7568" s="1" t="s">
        <v>303</v>
      </c>
      <c r="E7568" t="s">
        <v>84</v>
      </c>
      <c r="F7568" s="1">
        <v>1</v>
      </c>
      <c r="G7568" s="1" t="s">
        <v>85</v>
      </c>
      <c r="H7568" s="4" t="str">
        <f>HYPERLINK("https://www.ncbi.nlm.nih.gov/geo/query/acc.cgi?acc=GSM1608727","GSM1608727")</f>
        <v>GSM1608727</v>
      </c>
      <c r="I7568" t="s">
        <v>82</v>
      </c>
      <c r="J7568" t="s">
        <v>83</v>
      </c>
      <c r="K7568" t="s">
        <v>19</v>
      </c>
      <c r="L7568" t="s">
        <v>27</v>
      </c>
      <c r="M7568" t="s">
        <v>24</v>
      </c>
      <c r="N7568" t="s">
        <v>22</v>
      </c>
    </row>
    <row r="7569" spans="1:14">
      <c r="A7569" s="4" t="str">
        <f t="shared" si="701"/>
        <v>EXP00260</v>
      </c>
      <c r="B7569" s="4" t="str">
        <f t="shared" si="702"/>
        <v>25909218</v>
      </c>
      <c r="C7569" s="4" t="str">
        <f t="shared" si="703"/>
        <v>GSE65904</v>
      </c>
      <c r="D7569" s="1" t="s">
        <v>303</v>
      </c>
      <c r="E7569" t="s">
        <v>84</v>
      </c>
      <c r="F7569" s="1">
        <v>1</v>
      </c>
      <c r="G7569" s="1" t="s">
        <v>85</v>
      </c>
      <c r="H7569" s="4" t="str">
        <f>HYPERLINK("https://www.ncbi.nlm.nih.gov/geo/query/acc.cgi?acc=GSM1608728","GSM1608728")</f>
        <v>GSM1608728</v>
      </c>
      <c r="I7569" t="s">
        <v>82</v>
      </c>
      <c r="J7569" t="s">
        <v>83</v>
      </c>
      <c r="K7569" t="s">
        <v>19</v>
      </c>
      <c r="L7569" t="s">
        <v>27</v>
      </c>
      <c r="M7569" t="s">
        <v>24</v>
      </c>
      <c r="N7569" t="s">
        <v>22</v>
      </c>
    </row>
    <row r="7570" spans="1:14">
      <c r="A7570" s="4" t="str">
        <f t="shared" si="701"/>
        <v>EXP00260</v>
      </c>
      <c r="B7570" s="4" t="str">
        <f t="shared" si="702"/>
        <v>25909218</v>
      </c>
      <c r="C7570" s="4" t="str">
        <f t="shared" si="703"/>
        <v>GSE65904</v>
      </c>
      <c r="D7570" s="1" t="s">
        <v>303</v>
      </c>
      <c r="E7570" t="s">
        <v>84</v>
      </c>
      <c r="F7570" s="1">
        <v>1</v>
      </c>
      <c r="G7570" s="1" t="s">
        <v>85</v>
      </c>
      <c r="H7570" s="4" t="str">
        <f>HYPERLINK("https://www.ncbi.nlm.nih.gov/geo/query/acc.cgi?acc=GSM1608731","GSM1608731")</f>
        <v>GSM1608731</v>
      </c>
      <c r="I7570" t="s">
        <v>82</v>
      </c>
      <c r="J7570" t="s">
        <v>83</v>
      </c>
      <c r="K7570" t="s">
        <v>19</v>
      </c>
      <c r="L7570" t="s">
        <v>27</v>
      </c>
      <c r="M7570" t="s">
        <v>24</v>
      </c>
      <c r="N7570" t="s">
        <v>22</v>
      </c>
    </row>
    <row r="7571" spans="1:14">
      <c r="A7571" s="4" t="str">
        <f t="shared" si="701"/>
        <v>EXP00260</v>
      </c>
      <c r="B7571" s="4" t="str">
        <f t="shared" si="702"/>
        <v>25909218</v>
      </c>
      <c r="C7571" s="4" t="str">
        <f t="shared" si="703"/>
        <v>GSE65904</v>
      </c>
      <c r="D7571" s="1" t="s">
        <v>303</v>
      </c>
      <c r="E7571" t="s">
        <v>84</v>
      </c>
      <c r="F7571" s="1">
        <v>1</v>
      </c>
      <c r="G7571" s="1" t="s">
        <v>85</v>
      </c>
      <c r="H7571" s="4" t="str">
        <f>HYPERLINK("https://www.ncbi.nlm.nih.gov/geo/query/acc.cgi?acc=GSM1608732","GSM1608732")</f>
        <v>GSM1608732</v>
      </c>
      <c r="I7571" t="s">
        <v>82</v>
      </c>
      <c r="J7571" t="s">
        <v>83</v>
      </c>
      <c r="K7571" t="s">
        <v>19</v>
      </c>
      <c r="L7571" t="s">
        <v>27</v>
      </c>
      <c r="M7571" t="s">
        <v>24</v>
      </c>
      <c r="N7571" t="s">
        <v>22</v>
      </c>
    </row>
    <row r="7572" spans="1:14">
      <c r="A7572" s="4" t="str">
        <f t="shared" si="701"/>
        <v>EXP00260</v>
      </c>
      <c r="B7572" s="4" t="str">
        <f t="shared" si="702"/>
        <v>25909218</v>
      </c>
      <c r="C7572" s="4" t="str">
        <f t="shared" si="703"/>
        <v>GSE65904</v>
      </c>
      <c r="D7572" s="1" t="s">
        <v>303</v>
      </c>
      <c r="E7572" t="s">
        <v>84</v>
      </c>
      <c r="F7572" s="1">
        <v>1</v>
      </c>
      <c r="G7572" s="1" t="s">
        <v>85</v>
      </c>
      <c r="H7572" s="4" t="str">
        <f>HYPERLINK("https://www.ncbi.nlm.nih.gov/geo/query/acc.cgi?acc=GSM1608734","GSM1608734")</f>
        <v>GSM1608734</v>
      </c>
      <c r="I7572" t="s">
        <v>82</v>
      </c>
      <c r="J7572" t="s">
        <v>83</v>
      </c>
      <c r="K7572" t="s">
        <v>19</v>
      </c>
      <c r="L7572" t="s">
        <v>27</v>
      </c>
      <c r="M7572" t="s">
        <v>24</v>
      </c>
      <c r="N7572" t="s">
        <v>22</v>
      </c>
    </row>
    <row r="7573" spans="1:14">
      <c r="A7573" s="4" t="str">
        <f t="shared" si="701"/>
        <v>EXP00260</v>
      </c>
      <c r="B7573" s="4" t="str">
        <f t="shared" si="702"/>
        <v>25909218</v>
      </c>
      <c r="C7573" s="4" t="str">
        <f t="shared" si="703"/>
        <v>GSE65904</v>
      </c>
      <c r="D7573" s="1" t="s">
        <v>303</v>
      </c>
      <c r="E7573" t="s">
        <v>84</v>
      </c>
      <c r="F7573" s="1">
        <v>1</v>
      </c>
      <c r="G7573" s="1" t="s">
        <v>85</v>
      </c>
      <c r="H7573" s="4" t="str">
        <f>HYPERLINK("https://www.ncbi.nlm.nih.gov/geo/query/acc.cgi?acc=GSM1608735","GSM1608735")</f>
        <v>GSM1608735</v>
      </c>
      <c r="I7573" t="s">
        <v>82</v>
      </c>
      <c r="J7573" t="s">
        <v>83</v>
      </c>
      <c r="K7573" t="s">
        <v>19</v>
      </c>
      <c r="L7573" t="s">
        <v>27</v>
      </c>
      <c r="M7573" t="s">
        <v>24</v>
      </c>
      <c r="N7573" t="s">
        <v>22</v>
      </c>
    </row>
    <row r="7574" spans="1:14">
      <c r="A7574" s="4" t="str">
        <f t="shared" si="701"/>
        <v>EXP00260</v>
      </c>
      <c r="B7574" s="4" t="str">
        <f t="shared" si="702"/>
        <v>25909218</v>
      </c>
      <c r="C7574" s="4" t="str">
        <f t="shared" si="703"/>
        <v>GSE65904</v>
      </c>
      <c r="D7574" s="1" t="s">
        <v>303</v>
      </c>
      <c r="E7574" t="s">
        <v>84</v>
      </c>
      <c r="F7574" s="1">
        <v>1</v>
      </c>
      <c r="G7574" s="1" t="s">
        <v>85</v>
      </c>
      <c r="H7574" s="4" t="str">
        <f>HYPERLINK("https://www.ncbi.nlm.nih.gov/geo/query/acc.cgi?acc=GSM1608739","GSM1608739")</f>
        <v>GSM1608739</v>
      </c>
      <c r="I7574" t="s">
        <v>82</v>
      </c>
      <c r="J7574" t="s">
        <v>83</v>
      </c>
      <c r="K7574" t="s">
        <v>19</v>
      </c>
      <c r="L7574" t="s">
        <v>27</v>
      </c>
      <c r="M7574" t="s">
        <v>24</v>
      </c>
      <c r="N7574" t="s">
        <v>22</v>
      </c>
    </row>
    <row r="7575" spans="1:14">
      <c r="A7575" s="4" t="str">
        <f t="shared" si="701"/>
        <v>EXP00260</v>
      </c>
      <c r="B7575" s="4" t="str">
        <f t="shared" si="702"/>
        <v>25909218</v>
      </c>
      <c r="C7575" s="4" t="str">
        <f t="shared" si="703"/>
        <v>GSE65904</v>
      </c>
      <c r="D7575" s="1" t="s">
        <v>303</v>
      </c>
      <c r="E7575" t="s">
        <v>84</v>
      </c>
      <c r="F7575" s="1">
        <v>1</v>
      </c>
      <c r="G7575" s="1" t="s">
        <v>85</v>
      </c>
      <c r="H7575" s="4" t="str">
        <f>HYPERLINK("https://www.ncbi.nlm.nih.gov/geo/query/acc.cgi?acc=GSM1608740","GSM1608740")</f>
        <v>GSM1608740</v>
      </c>
      <c r="I7575" t="s">
        <v>82</v>
      </c>
      <c r="J7575" t="s">
        <v>83</v>
      </c>
      <c r="K7575" t="s">
        <v>19</v>
      </c>
      <c r="L7575" t="s">
        <v>27</v>
      </c>
      <c r="M7575" t="s">
        <v>24</v>
      </c>
      <c r="N7575" t="s">
        <v>22</v>
      </c>
    </row>
    <row r="7576" spans="1:14">
      <c r="A7576" s="4" t="str">
        <f t="shared" si="701"/>
        <v>EXP00260</v>
      </c>
      <c r="B7576" s="4" t="str">
        <f t="shared" si="702"/>
        <v>25909218</v>
      </c>
      <c r="C7576" s="4" t="str">
        <f t="shared" si="703"/>
        <v>GSE65904</v>
      </c>
      <c r="D7576" s="1" t="s">
        <v>303</v>
      </c>
      <c r="E7576" t="s">
        <v>84</v>
      </c>
      <c r="F7576" s="1">
        <v>1</v>
      </c>
      <c r="G7576" s="1" t="s">
        <v>85</v>
      </c>
      <c r="H7576" s="4" t="str">
        <f>HYPERLINK("https://www.ncbi.nlm.nih.gov/geo/query/acc.cgi?acc=GSM1608742","GSM1608742")</f>
        <v>GSM1608742</v>
      </c>
      <c r="I7576" t="s">
        <v>82</v>
      </c>
      <c r="J7576" t="s">
        <v>83</v>
      </c>
      <c r="K7576" t="s">
        <v>19</v>
      </c>
      <c r="L7576" t="s">
        <v>27</v>
      </c>
      <c r="M7576" t="s">
        <v>24</v>
      </c>
      <c r="N7576" t="s">
        <v>22</v>
      </c>
    </row>
    <row r="7577" spans="1:14">
      <c r="A7577" s="4" t="str">
        <f t="shared" si="701"/>
        <v>EXP00260</v>
      </c>
      <c r="B7577" s="4" t="str">
        <f t="shared" si="702"/>
        <v>25909218</v>
      </c>
      <c r="C7577" s="4" t="str">
        <f t="shared" si="703"/>
        <v>GSE65904</v>
      </c>
      <c r="D7577" s="1" t="s">
        <v>303</v>
      </c>
      <c r="E7577" t="s">
        <v>84</v>
      </c>
      <c r="F7577" s="1">
        <v>1</v>
      </c>
      <c r="G7577" s="1" t="s">
        <v>85</v>
      </c>
      <c r="H7577" s="4" t="str">
        <f>HYPERLINK("https://www.ncbi.nlm.nih.gov/geo/query/acc.cgi?acc=GSM1608745","GSM1608745")</f>
        <v>GSM1608745</v>
      </c>
      <c r="I7577" t="s">
        <v>82</v>
      </c>
      <c r="J7577" t="s">
        <v>83</v>
      </c>
      <c r="K7577" t="s">
        <v>19</v>
      </c>
      <c r="L7577" t="s">
        <v>27</v>
      </c>
      <c r="M7577" t="s">
        <v>24</v>
      </c>
      <c r="N7577" t="s">
        <v>22</v>
      </c>
    </row>
    <row r="7578" spans="1:14">
      <c r="A7578" s="4" t="str">
        <f t="shared" si="701"/>
        <v>EXP00260</v>
      </c>
      <c r="B7578" s="4" t="str">
        <f t="shared" si="702"/>
        <v>25909218</v>
      </c>
      <c r="C7578" s="4" t="str">
        <f t="shared" si="703"/>
        <v>GSE65904</v>
      </c>
      <c r="D7578" s="1" t="s">
        <v>303</v>
      </c>
      <c r="E7578" t="s">
        <v>84</v>
      </c>
      <c r="F7578" s="1">
        <v>1</v>
      </c>
      <c r="G7578" s="1" t="s">
        <v>85</v>
      </c>
      <c r="H7578" s="4" t="str">
        <f>HYPERLINK("https://www.ncbi.nlm.nih.gov/geo/query/acc.cgi?acc=GSM1608746","GSM1608746")</f>
        <v>GSM1608746</v>
      </c>
      <c r="I7578" t="s">
        <v>82</v>
      </c>
      <c r="J7578" t="s">
        <v>83</v>
      </c>
      <c r="K7578" t="s">
        <v>19</v>
      </c>
      <c r="L7578" t="s">
        <v>27</v>
      </c>
      <c r="M7578" t="s">
        <v>24</v>
      </c>
      <c r="N7578" t="s">
        <v>22</v>
      </c>
    </row>
    <row r="7579" spans="1:14">
      <c r="A7579" s="4" t="str">
        <f t="shared" si="701"/>
        <v>EXP00260</v>
      </c>
      <c r="B7579" s="4" t="str">
        <f t="shared" si="702"/>
        <v>25909218</v>
      </c>
      <c r="C7579" s="4" t="str">
        <f t="shared" si="703"/>
        <v>GSE65904</v>
      </c>
      <c r="D7579" s="1" t="s">
        <v>303</v>
      </c>
      <c r="E7579" t="s">
        <v>84</v>
      </c>
      <c r="F7579" s="1">
        <v>1</v>
      </c>
      <c r="G7579" s="1" t="s">
        <v>85</v>
      </c>
      <c r="H7579" s="4" t="str">
        <f>HYPERLINK("https://www.ncbi.nlm.nih.gov/geo/query/acc.cgi?acc=GSM1608747","GSM1608747")</f>
        <v>GSM1608747</v>
      </c>
      <c r="I7579" t="s">
        <v>82</v>
      </c>
      <c r="J7579" t="s">
        <v>83</v>
      </c>
      <c r="K7579" t="s">
        <v>19</v>
      </c>
      <c r="L7579" t="s">
        <v>27</v>
      </c>
      <c r="M7579" t="s">
        <v>24</v>
      </c>
      <c r="N7579" t="s">
        <v>22</v>
      </c>
    </row>
    <row r="7580" spans="1:14">
      <c r="A7580" s="4" t="str">
        <f t="shared" si="701"/>
        <v>EXP00260</v>
      </c>
      <c r="B7580" s="4" t="str">
        <f t="shared" si="702"/>
        <v>25909218</v>
      </c>
      <c r="C7580" s="4" t="str">
        <f t="shared" si="703"/>
        <v>GSE65904</v>
      </c>
      <c r="D7580" s="1" t="s">
        <v>303</v>
      </c>
      <c r="E7580" t="s">
        <v>84</v>
      </c>
      <c r="F7580" s="1">
        <v>1</v>
      </c>
      <c r="G7580" s="1" t="s">
        <v>85</v>
      </c>
      <c r="H7580" s="4" t="str">
        <f>HYPERLINK("https://www.ncbi.nlm.nih.gov/geo/query/acc.cgi?acc=GSM1608750","GSM1608750")</f>
        <v>GSM1608750</v>
      </c>
      <c r="I7580" t="s">
        <v>82</v>
      </c>
      <c r="J7580" t="s">
        <v>83</v>
      </c>
      <c r="K7580" t="s">
        <v>19</v>
      </c>
      <c r="L7580" t="s">
        <v>27</v>
      </c>
      <c r="M7580" t="s">
        <v>24</v>
      </c>
      <c r="N7580" t="s">
        <v>22</v>
      </c>
    </row>
    <row r="7581" spans="1:14">
      <c r="A7581" s="4" t="str">
        <f t="shared" si="701"/>
        <v>EXP00260</v>
      </c>
      <c r="B7581" s="4" t="str">
        <f t="shared" si="702"/>
        <v>25909218</v>
      </c>
      <c r="C7581" s="4" t="str">
        <f t="shared" si="703"/>
        <v>GSE65904</v>
      </c>
      <c r="D7581" s="1" t="s">
        <v>303</v>
      </c>
      <c r="E7581" t="s">
        <v>84</v>
      </c>
      <c r="F7581" s="1">
        <v>1</v>
      </c>
      <c r="G7581" s="1" t="s">
        <v>85</v>
      </c>
      <c r="H7581" s="4" t="str">
        <f>HYPERLINK("https://www.ncbi.nlm.nih.gov/geo/query/acc.cgi?acc=GSM1608751","GSM1608751")</f>
        <v>GSM1608751</v>
      </c>
      <c r="I7581" t="s">
        <v>82</v>
      </c>
      <c r="J7581" t="s">
        <v>83</v>
      </c>
      <c r="K7581" t="s">
        <v>19</v>
      </c>
      <c r="L7581" t="s">
        <v>27</v>
      </c>
      <c r="M7581" t="s">
        <v>24</v>
      </c>
      <c r="N7581" t="s">
        <v>22</v>
      </c>
    </row>
    <row r="7582" spans="1:14">
      <c r="A7582" s="4" t="str">
        <f t="shared" si="701"/>
        <v>EXP00260</v>
      </c>
      <c r="B7582" s="4" t="str">
        <f t="shared" si="702"/>
        <v>25909218</v>
      </c>
      <c r="C7582" s="4" t="str">
        <f t="shared" si="703"/>
        <v>GSE65904</v>
      </c>
      <c r="D7582" s="1" t="s">
        <v>303</v>
      </c>
      <c r="E7582" t="s">
        <v>84</v>
      </c>
      <c r="F7582" s="1">
        <v>1</v>
      </c>
      <c r="G7582" s="1" t="s">
        <v>85</v>
      </c>
      <c r="H7582" s="4" t="str">
        <f>HYPERLINK("https://www.ncbi.nlm.nih.gov/geo/query/acc.cgi?acc=GSM1608753","GSM1608753")</f>
        <v>GSM1608753</v>
      </c>
      <c r="I7582" t="s">
        <v>82</v>
      </c>
      <c r="J7582" t="s">
        <v>83</v>
      </c>
      <c r="K7582" t="s">
        <v>19</v>
      </c>
      <c r="L7582" t="s">
        <v>27</v>
      </c>
      <c r="M7582" t="s">
        <v>24</v>
      </c>
      <c r="N7582" t="s">
        <v>22</v>
      </c>
    </row>
    <row r="7583" spans="1:14">
      <c r="A7583" s="4" t="str">
        <f t="shared" si="701"/>
        <v>EXP00260</v>
      </c>
      <c r="B7583" s="4" t="str">
        <f t="shared" si="702"/>
        <v>25909218</v>
      </c>
      <c r="C7583" s="4" t="str">
        <f t="shared" si="703"/>
        <v>GSE65904</v>
      </c>
      <c r="D7583" s="1" t="s">
        <v>303</v>
      </c>
      <c r="E7583" t="s">
        <v>84</v>
      </c>
      <c r="F7583" s="1">
        <v>1</v>
      </c>
      <c r="G7583" s="1" t="s">
        <v>85</v>
      </c>
      <c r="H7583" s="4" t="str">
        <f>HYPERLINK("https://www.ncbi.nlm.nih.gov/geo/query/acc.cgi?acc=GSM1608754","GSM1608754")</f>
        <v>GSM1608754</v>
      </c>
      <c r="I7583" t="s">
        <v>82</v>
      </c>
      <c r="J7583" t="s">
        <v>83</v>
      </c>
      <c r="K7583" t="s">
        <v>19</v>
      </c>
      <c r="L7583" t="s">
        <v>27</v>
      </c>
      <c r="M7583" t="s">
        <v>24</v>
      </c>
      <c r="N7583" t="s">
        <v>22</v>
      </c>
    </row>
    <row r="7584" spans="1:14">
      <c r="A7584" s="4" t="str">
        <f t="shared" si="701"/>
        <v>EXP00260</v>
      </c>
      <c r="B7584" s="4" t="str">
        <f t="shared" si="702"/>
        <v>25909218</v>
      </c>
      <c r="C7584" s="4" t="str">
        <f t="shared" si="703"/>
        <v>GSE65904</v>
      </c>
      <c r="D7584" s="1" t="s">
        <v>303</v>
      </c>
      <c r="E7584" t="s">
        <v>84</v>
      </c>
      <c r="F7584" s="1">
        <v>1</v>
      </c>
      <c r="G7584" s="1" t="s">
        <v>85</v>
      </c>
      <c r="H7584" s="4" t="str">
        <f>HYPERLINK("https://www.ncbi.nlm.nih.gov/geo/query/acc.cgi?acc=GSM1608755","GSM1608755")</f>
        <v>GSM1608755</v>
      </c>
      <c r="I7584" t="s">
        <v>82</v>
      </c>
      <c r="J7584" t="s">
        <v>83</v>
      </c>
      <c r="K7584" t="s">
        <v>19</v>
      </c>
      <c r="L7584" t="s">
        <v>27</v>
      </c>
      <c r="M7584" t="s">
        <v>24</v>
      </c>
      <c r="N7584" t="s">
        <v>22</v>
      </c>
    </row>
    <row r="7585" spans="1:14">
      <c r="A7585" s="4" t="str">
        <f t="shared" si="701"/>
        <v>EXP00260</v>
      </c>
      <c r="B7585" s="4" t="str">
        <f t="shared" si="702"/>
        <v>25909218</v>
      </c>
      <c r="C7585" s="4" t="str">
        <f t="shared" si="703"/>
        <v>GSE65904</v>
      </c>
      <c r="D7585" s="1" t="s">
        <v>303</v>
      </c>
      <c r="E7585" t="s">
        <v>84</v>
      </c>
      <c r="F7585" s="1">
        <v>1</v>
      </c>
      <c r="G7585" s="1" t="s">
        <v>85</v>
      </c>
      <c r="H7585" s="4" t="str">
        <f>HYPERLINK("https://www.ncbi.nlm.nih.gov/geo/query/acc.cgi?acc=GSM1608756","GSM1608756")</f>
        <v>GSM1608756</v>
      </c>
      <c r="I7585" t="s">
        <v>82</v>
      </c>
      <c r="J7585" t="s">
        <v>83</v>
      </c>
      <c r="K7585" t="s">
        <v>19</v>
      </c>
      <c r="L7585" t="s">
        <v>27</v>
      </c>
      <c r="M7585" t="s">
        <v>24</v>
      </c>
      <c r="N7585" t="s">
        <v>22</v>
      </c>
    </row>
    <row r="7586" spans="1:14">
      <c r="A7586" s="4" t="str">
        <f t="shared" si="701"/>
        <v>EXP00260</v>
      </c>
      <c r="B7586" s="4" t="str">
        <f t="shared" si="702"/>
        <v>25909218</v>
      </c>
      <c r="C7586" s="4" t="str">
        <f t="shared" si="703"/>
        <v>GSE65904</v>
      </c>
      <c r="D7586" s="1" t="s">
        <v>303</v>
      </c>
      <c r="E7586" t="s">
        <v>84</v>
      </c>
      <c r="F7586" s="1">
        <v>1</v>
      </c>
      <c r="G7586" s="1" t="s">
        <v>85</v>
      </c>
      <c r="H7586" s="4" t="str">
        <f>HYPERLINK("https://www.ncbi.nlm.nih.gov/geo/query/acc.cgi?acc=GSM1608757","GSM1608757")</f>
        <v>GSM1608757</v>
      </c>
      <c r="I7586" t="s">
        <v>82</v>
      </c>
      <c r="J7586" t="s">
        <v>83</v>
      </c>
      <c r="K7586" t="s">
        <v>19</v>
      </c>
      <c r="L7586" t="s">
        <v>27</v>
      </c>
      <c r="M7586" t="s">
        <v>24</v>
      </c>
      <c r="N7586" t="s">
        <v>22</v>
      </c>
    </row>
    <row r="7587" spans="1:14">
      <c r="A7587" s="4" t="str">
        <f t="shared" ref="A7587:A7618" si="704">HYPERLINK("http://hcmdb.i-sanger.com/experiment/details/experiment_id/EXP00260","EXP00260")</f>
        <v>EXP00260</v>
      </c>
      <c r="B7587" s="4" t="str">
        <f t="shared" ref="B7587:B7618" si="705">HYPERLINK("https://www.ncbi.nlm.nih.gov/pubmed/25909218","25909218")</f>
        <v>25909218</v>
      </c>
      <c r="C7587" s="4" t="str">
        <f t="shared" ref="C7587:C7618" si="706">HYPERLINK("https://www.ncbi.nlm.nih.gov/geo/query/acc.cgi?acc=GSE65904","GSE65904")</f>
        <v>GSE65904</v>
      </c>
      <c r="D7587" s="1" t="s">
        <v>303</v>
      </c>
      <c r="E7587" t="s">
        <v>84</v>
      </c>
      <c r="F7587" s="1">
        <v>1</v>
      </c>
      <c r="G7587" s="1" t="s">
        <v>85</v>
      </c>
      <c r="H7587" s="4" t="str">
        <f>HYPERLINK("https://www.ncbi.nlm.nih.gov/geo/query/acc.cgi?acc=GSM1608759","GSM1608759")</f>
        <v>GSM1608759</v>
      </c>
      <c r="I7587" t="s">
        <v>82</v>
      </c>
      <c r="J7587" t="s">
        <v>83</v>
      </c>
      <c r="K7587" t="s">
        <v>19</v>
      </c>
      <c r="L7587" t="s">
        <v>27</v>
      </c>
      <c r="M7587" t="s">
        <v>24</v>
      </c>
      <c r="N7587" t="s">
        <v>22</v>
      </c>
    </row>
    <row r="7588" spans="1:14">
      <c r="A7588" s="4" t="str">
        <f t="shared" si="704"/>
        <v>EXP00260</v>
      </c>
      <c r="B7588" s="4" t="str">
        <f t="shared" si="705"/>
        <v>25909218</v>
      </c>
      <c r="C7588" s="4" t="str">
        <f t="shared" si="706"/>
        <v>GSE65904</v>
      </c>
      <c r="D7588" s="1" t="s">
        <v>303</v>
      </c>
      <c r="E7588" t="s">
        <v>84</v>
      </c>
      <c r="F7588" s="1">
        <v>1</v>
      </c>
      <c r="G7588" s="1" t="s">
        <v>85</v>
      </c>
      <c r="H7588" s="4" t="str">
        <f>HYPERLINK("https://www.ncbi.nlm.nih.gov/geo/query/acc.cgi?acc=GSM1608761","GSM1608761")</f>
        <v>GSM1608761</v>
      </c>
      <c r="I7588" t="s">
        <v>82</v>
      </c>
      <c r="J7588" t="s">
        <v>83</v>
      </c>
      <c r="K7588" t="s">
        <v>19</v>
      </c>
      <c r="L7588" t="s">
        <v>27</v>
      </c>
      <c r="M7588" t="s">
        <v>24</v>
      </c>
      <c r="N7588" t="s">
        <v>22</v>
      </c>
    </row>
    <row r="7589" spans="1:14">
      <c r="A7589" s="4" t="str">
        <f t="shared" si="704"/>
        <v>EXP00260</v>
      </c>
      <c r="B7589" s="4" t="str">
        <f t="shared" si="705"/>
        <v>25909218</v>
      </c>
      <c r="C7589" s="4" t="str">
        <f t="shared" si="706"/>
        <v>GSE65904</v>
      </c>
      <c r="D7589" s="1" t="s">
        <v>303</v>
      </c>
      <c r="E7589" t="s">
        <v>84</v>
      </c>
      <c r="F7589" s="1">
        <v>1</v>
      </c>
      <c r="G7589" s="1" t="s">
        <v>85</v>
      </c>
      <c r="H7589" s="4" t="str">
        <f>HYPERLINK("https://www.ncbi.nlm.nih.gov/geo/query/acc.cgi?acc=GSM1608763","GSM1608763")</f>
        <v>GSM1608763</v>
      </c>
      <c r="I7589" t="s">
        <v>82</v>
      </c>
      <c r="J7589" t="s">
        <v>83</v>
      </c>
      <c r="K7589" t="s">
        <v>19</v>
      </c>
      <c r="L7589" t="s">
        <v>27</v>
      </c>
      <c r="M7589" t="s">
        <v>24</v>
      </c>
      <c r="N7589" t="s">
        <v>22</v>
      </c>
    </row>
    <row r="7590" spans="1:14">
      <c r="A7590" s="4" t="str">
        <f t="shared" si="704"/>
        <v>EXP00260</v>
      </c>
      <c r="B7590" s="4" t="str">
        <f t="shared" si="705"/>
        <v>25909218</v>
      </c>
      <c r="C7590" s="4" t="str">
        <f t="shared" si="706"/>
        <v>GSE65904</v>
      </c>
      <c r="D7590" s="1" t="s">
        <v>303</v>
      </c>
      <c r="E7590" t="s">
        <v>84</v>
      </c>
      <c r="F7590" s="1">
        <v>1</v>
      </c>
      <c r="G7590" s="1" t="s">
        <v>85</v>
      </c>
      <c r="H7590" s="4" t="str">
        <f>HYPERLINK("https://www.ncbi.nlm.nih.gov/geo/query/acc.cgi?acc=GSM1608764","GSM1608764")</f>
        <v>GSM1608764</v>
      </c>
      <c r="I7590" t="s">
        <v>82</v>
      </c>
      <c r="J7590" t="s">
        <v>83</v>
      </c>
      <c r="K7590" t="s">
        <v>19</v>
      </c>
      <c r="L7590" t="s">
        <v>27</v>
      </c>
      <c r="M7590" t="s">
        <v>24</v>
      </c>
      <c r="N7590" t="s">
        <v>22</v>
      </c>
    </row>
    <row r="7591" spans="1:14">
      <c r="A7591" s="4" t="str">
        <f t="shared" si="704"/>
        <v>EXP00260</v>
      </c>
      <c r="B7591" s="4" t="str">
        <f t="shared" si="705"/>
        <v>25909218</v>
      </c>
      <c r="C7591" s="4" t="str">
        <f t="shared" si="706"/>
        <v>GSE65904</v>
      </c>
      <c r="D7591" s="1" t="s">
        <v>303</v>
      </c>
      <c r="E7591" t="s">
        <v>84</v>
      </c>
      <c r="F7591" s="1">
        <v>1</v>
      </c>
      <c r="G7591" s="1" t="s">
        <v>85</v>
      </c>
      <c r="H7591" s="4" t="str">
        <f>HYPERLINK("https://www.ncbi.nlm.nih.gov/geo/query/acc.cgi?acc=GSM1608765","GSM1608765")</f>
        <v>GSM1608765</v>
      </c>
      <c r="I7591" t="s">
        <v>82</v>
      </c>
      <c r="J7591" t="s">
        <v>83</v>
      </c>
      <c r="K7591" t="s">
        <v>19</v>
      </c>
      <c r="L7591" t="s">
        <v>27</v>
      </c>
      <c r="M7591" t="s">
        <v>24</v>
      </c>
      <c r="N7591" t="s">
        <v>22</v>
      </c>
    </row>
    <row r="7592" spans="1:14">
      <c r="A7592" s="4" t="str">
        <f t="shared" si="704"/>
        <v>EXP00260</v>
      </c>
      <c r="B7592" s="4" t="str">
        <f t="shared" si="705"/>
        <v>25909218</v>
      </c>
      <c r="C7592" s="4" t="str">
        <f t="shared" si="706"/>
        <v>GSE65904</v>
      </c>
      <c r="D7592" s="1" t="s">
        <v>303</v>
      </c>
      <c r="E7592" t="s">
        <v>84</v>
      </c>
      <c r="F7592" s="1">
        <v>1</v>
      </c>
      <c r="G7592" s="1" t="s">
        <v>85</v>
      </c>
      <c r="H7592" s="4" t="str">
        <f>HYPERLINK("https://www.ncbi.nlm.nih.gov/geo/query/acc.cgi?acc=GSM1608767","GSM1608767")</f>
        <v>GSM1608767</v>
      </c>
      <c r="I7592" t="s">
        <v>82</v>
      </c>
      <c r="J7592" t="s">
        <v>83</v>
      </c>
      <c r="K7592" t="s">
        <v>19</v>
      </c>
      <c r="L7592" t="s">
        <v>27</v>
      </c>
      <c r="M7592" t="s">
        <v>24</v>
      </c>
      <c r="N7592" t="s">
        <v>22</v>
      </c>
    </row>
    <row r="7593" spans="1:14">
      <c r="A7593" s="4" t="str">
        <f t="shared" si="704"/>
        <v>EXP00260</v>
      </c>
      <c r="B7593" s="4" t="str">
        <f t="shared" si="705"/>
        <v>25909218</v>
      </c>
      <c r="C7593" s="4" t="str">
        <f t="shared" si="706"/>
        <v>GSE65904</v>
      </c>
      <c r="D7593" s="1" t="s">
        <v>303</v>
      </c>
      <c r="E7593" t="s">
        <v>84</v>
      </c>
      <c r="F7593" s="1">
        <v>1</v>
      </c>
      <c r="G7593" s="1" t="s">
        <v>85</v>
      </c>
      <c r="H7593" s="4" t="str">
        <f>HYPERLINK("https://www.ncbi.nlm.nih.gov/geo/query/acc.cgi?acc=GSM1608768","GSM1608768")</f>
        <v>GSM1608768</v>
      </c>
      <c r="I7593" t="s">
        <v>82</v>
      </c>
      <c r="J7593" t="s">
        <v>83</v>
      </c>
      <c r="K7593" t="s">
        <v>19</v>
      </c>
      <c r="L7593" t="s">
        <v>27</v>
      </c>
      <c r="M7593" t="s">
        <v>24</v>
      </c>
      <c r="N7593" t="s">
        <v>22</v>
      </c>
    </row>
    <row r="7594" spans="1:14">
      <c r="A7594" s="4" t="str">
        <f t="shared" si="704"/>
        <v>EXP00260</v>
      </c>
      <c r="B7594" s="4" t="str">
        <f t="shared" si="705"/>
        <v>25909218</v>
      </c>
      <c r="C7594" s="4" t="str">
        <f t="shared" si="706"/>
        <v>GSE65904</v>
      </c>
      <c r="D7594" s="1" t="s">
        <v>303</v>
      </c>
      <c r="E7594" t="s">
        <v>84</v>
      </c>
      <c r="F7594" s="1">
        <v>1</v>
      </c>
      <c r="G7594" s="1" t="s">
        <v>85</v>
      </c>
      <c r="H7594" s="4" t="str">
        <f>HYPERLINK("https://www.ncbi.nlm.nih.gov/geo/query/acc.cgi?acc=GSM1608769","GSM1608769")</f>
        <v>GSM1608769</v>
      </c>
      <c r="I7594" t="s">
        <v>82</v>
      </c>
      <c r="J7594" t="s">
        <v>83</v>
      </c>
      <c r="K7594" t="s">
        <v>19</v>
      </c>
      <c r="L7594" t="s">
        <v>27</v>
      </c>
      <c r="M7594" t="s">
        <v>24</v>
      </c>
      <c r="N7594" t="s">
        <v>22</v>
      </c>
    </row>
    <row r="7595" spans="1:14">
      <c r="A7595" s="4" t="str">
        <f t="shared" si="704"/>
        <v>EXP00260</v>
      </c>
      <c r="B7595" s="4" t="str">
        <f t="shared" si="705"/>
        <v>25909218</v>
      </c>
      <c r="C7595" s="4" t="str">
        <f t="shared" si="706"/>
        <v>GSE65904</v>
      </c>
      <c r="D7595" s="1" t="s">
        <v>303</v>
      </c>
      <c r="E7595" t="s">
        <v>84</v>
      </c>
      <c r="F7595" s="1">
        <v>1</v>
      </c>
      <c r="G7595" s="1" t="s">
        <v>85</v>
      </c>
      <c r="H7595" s="4" t="str">
        <f>HYPERLINK("https://www.ncbi.nlm.nih.gov/geo/query/acc.cgi?acc=GSM1608770","GSM1608770")</f>
        <v>GSM1608770</v>
      </c>
      <c r="I7595" t="s">
        <v>82</v>
      </c>
      <c r="J7595" t="s">
        <v>83</v>
      </c>
      <c r="K7595" t="s">
        <v>19</v>
      </c>
      <c r="L7595" t="s">
        <v>27</v>
      </c>
      <c r="M7595" t="s">
        <v>24</v>
      </c>
      <c r="N7595" t="s">
        <v>22</v>
      </c>
    </row>
    <row r="7596" spans="1:14">
      <c r="A7596" s="4" t="str">
        <f t="shared" si="704"/>
        <v>EXP00260</v>
      </c>
      <c r="B7596" s="4" t="str">
        <f t="shared" si="705"/>
        <v>25909218</v>
      </c>
      <c r="C7596" s="4" t="str">
        <f t="shared" si="706"/>
        <v>GSE65904</v>
      </c>
      <c r="D7596" s="1" t="s">
        <v>303</v>
      </c>
      <c r="E7596" t="s">
        <v>84</v>
      </c>
      <c r="F7596" s="1">
        <v>1</v>
      </c>
      <c r="G7596" s="1" t="s">
        <v>85</v>
      </c>
      <c r="H7596" s="4" t="str">
        <f>HYPERLINK("https://www.ncbi.nlm.nih.gov/geo/query/acc.cgi?acc=GSM1608771","GSM1608771")</f>
        <v>GSM1608771</v>
      </c>
      <c r="I7596" t="s">
        <v>82</v>
      </c>
      <c r="J7596" t="s">
        <v>83</v>
      </c>
      <c r="K7596" t="s">
        <v>19</v>
      </c>
      <c r="L7596" t="s">
        <v>27</v>
      </c>
      <c r="M7596" t="s">
        <v>24</v>
      </c>
      <c r="N7596" t="s">
        <v>22</v>
      </c>
    </row>
    <row r="7597" spans="1:14">
      <c r="A7597" s="4" t="str">
        <f t="shared" si="704"/>
        <v>EXP00260</v>
      </c>
      <c r="B7597" s="4" t="str">
        <f t="shared" si="705"/>
        <v>25909218</v>
      </c>
      <c r="C7597" s="4" t="str">
        <f t="shared" si="706"/>
        <v>GSE65904</v>
      </c>
      <c r="D7597" s="1" t="s">
        <v>303</v>
      </c>
      <c r="E7597" t="s">
        <v>84</v>
      </c>
      <c r="F7597" s="1">
        <v>1</v>
      </c>
      <c r="G7597" s="1" t="s">
        <v>85</v>
      </c>
      <c r="H7597" s="4" t="str">
        <f>HYPERLINK("https://www.ncbi.nlm.nih.gov/geo/query/acc.cgi?acc=GSM1608772","GSM1608772")</f>
        <v>GSM1608772</v>
      </c>
      <c r="I7597" t="s">
        <v>82</v>
      </c>
      <c r="J7597" t="s">
        <v>83</v>
      </c>
      <c r="K7597" t="s">
        <v>19</v>
      </c>
      <c r="L7597" t="s">
        <v>27</v>
      </c>
      <c r="M7597" t="s">
        <v>24</v>
      </c>
      <c r="N7597" t="s">
        <v>22</v>
      </c>
    </row>
    <row r="7598" spans="1:14">
      <c r="A7598" s="4" t="str">
        <f t="shared" si="704"/>
        <v>EXP00260</v>
      </c>
      <c r="B7598" s="4" t="str">
        <f t="shared" si="705"/>
        <v>25909218</v>
      </c>
      <c r="C7598" s="4" t="str">
        <f t="shared" si="706"/>
        <v>GSE65904</v>
      </c>
      <c r="D7598" s="1" t="s">
        <v>303</v>
      </c>
      <c r="E7598" t="s">
        <v>84</v>
      </c>
      <c r="F7598" s="1">
        <v>1</v>
      </c>
      <c r="G7598" s="1" t="s">
        <v>85</v>
      </c>
      <c r="H7598" s="4" t="str">
        <f>HYPERLINK("https://www.ncbi.nlm.nih.gov/geo/query/acc.cgi?acc=GSM1608774","GSM1608774")</f>
        <v>GSM1608774</v>
      </c>
      <c r="I7598" t="s">
        <v>82</v>
      </c>
      <c r="J7598" t="s">
        <v>83</v>
      </c>
      <c r="K7598" t="s">
        <v>19</v>
      </c>
      <c r="L7598" t="s">
        <v>27</v>
      </c>
      <c r="M7598" t="s">
        <v>24</v>
      </c>
      <c r="N7598" t="s">
        <v>22</v>
      </c>
    </row>
    <row r="7599" spans="1:14">
      <c r="A7599" s="4" t="str">
        <f t="shared" si="704"/>
        <v>EXP00260</v>
      </c>
      <c r="B7599" s="4" t="str">
        <f t="shared" si="705"/>
        <v>25909218</v>
      </c>
      <c r="C7599" s="4" t="str">
        <f t="shared" si="706"/>
        <v>GSE65904</v>
      </c>
      <c r="D7599" s="1" t="s">
        <v>303</v>
      </c>
      <c r="E7599" t="s">
        <v>84</v>
      </c>
      <c r="F7599" s="1">
        <v>1</v>
      </c>
      <c r="G7599" s="1" t="s">
        <v>85</v>
      </c>
      <c r="H7599" s="4" t="str">
        <f>HYPERLINK("https://www.ncbi.nlm.nih.gov/geo/query/acc.cgi?acc=GSM1608775","GSM1608775")</f>
        <v>GSM1608775</v>
      </c>
      <c r="I7599" t="s">
        <v>82</v>
      </c>
      <c r="J7599" t="s">
        <v>83</v>
      </c>
      <c r="K7599" t="s">
        <v>19</v>
      </c>
      <c r="L7599" t="s">
        <v>27</v>
      </c>
      <c r="M7599" t="s">
        <v>24</v>
      </c>
      <c r="N7599" t="s">
        <v>22</v>
      </c>
    </row>
    <row r="7600" spans="1:14">
      <c r="A7600" s="4" t="str">
        <f t="shared" si="704"/>
        <v>EXP00260</v>
      </c>
      <c r="B7600" s="4" t="str">
        <f t="shared" si="705"/>
        <v>25909218</v>
      </c>
      <c r="C7600" s="4" t="str">
        <f t="shared" si="706"/>
        <v>GSE65904</v>
      </c>
      <c r="D7600" s="1" t="s">
        <v>303</v>
      </c>
      <c r="E7600" t="s">
        <v>84</v>
      </c>
      <c r="F7600" s="1">
        <v>1</v>
      </c>
      <c r="G7600" s="1" t="s">
        <v>85</v>
      </c>
      <c r="H7600" s="4" t="str">
        <f>HYPERLINK("https://www.ncbi.nlm.nih.gov/geo/query/acc.cgi?acc=GSM1608777","GSM1608777")</f>
        <v>GSM1608777</v>
      </c>
      <c r="I7600" t="s">
        <v>82</v>
      </c>
      <c r="J7600" t="s">
        <v>83</v>
      </c>
      <c r="K7600" t="s">
        <v>19</v>
      </c>
      <c r="L7600" t="s">
        <v>27</v>
      </c>
      <c r="M7600" t="s">
        <v>24</v>
      </c>
      <c r="N7600" t="s">
        <v>22</v>
      </c>
    </row>
    <row r="7601" spans="1:14">
      <c r="A7601" s="4" t="str">
        <f t="shared" si="704"/>
        <v>EXP00260</v>
      </c>
      <c r="B7601" s="4" t="str">
        <f t="shared" si="705"/>
        <v>25909218</v>
      </c>
      <c r="C7601" s="4" t="str">
        <f t="shared" si="706"/>
        <v>GSE65904</v>
      </c>
      <c r="D7601" s="1" t="s">
        <v>303</v>
      </c>
      <c r="E7601" t="s">
        <v>84</v>
      </c>
      <c r="F7601" s="1">
        <v>1</v>
      </c>
      <c r="G7601" s="1" t="s">
        <v>85</v>
      </c>
      <c r="H7601" s="4" t="str">
        <f>HYPERLINK("https://www.ncbi.nlm.nih.gov/geo/query/acc.cgi?acc=GSM1608778","GSM1608778")</f>
        <v>GSM1608778</v>
      </c>
      <c r="I7601" t="s">
        <v>82</v>
      </c>
      <c r="J7601" t="s">
        <v>83</v>
      </c>
      <c r="K7601" t="s">
        <v>19</v>
      </c>
      <c r="L7601" t="s">
        <v>27</v>
      </c>
      <c r="M7601" t="s">
        <v>24</v>
      </c>
      <c r="N7601" t="s">
        <v>22</v>
      </c>
    </row>
    <row r="7602" spans="1:14">
      <c r="A7602" s="4" t="str">
        <f t="shared" si="704"/>
        <v>EXP00260</v>
      </c>
      <c r="B7602" s="4" t="str">
        <f t="shared" si="705"/>
        <v>25909218</v>
      </c>
      <c r="C7602" s="4" t="str">
        <f t="shared" si="706"/>
        <v>GSE65904</v>
      </c>
      <c r="D7602" s="1" t="s">
        <v>303</v>
      </c>
      <c r="E7602" t="s">
        <v>84</v>
      </c>
      <c r="F7602" s="1">
        <v>1</v>
      </c>
      <c r="G7602" s="1" t="s">
        <v>85</v>
      </c>
      <c r="H7602" s="4" t="str">
        <f>HYPERLINK("https://www.ncbi.nlm.nih.gov/geo/query/acc.cgi?acc=GSM1608779","GSM1608779")</f>
        <v>GSM1608779</v>
      </c>
      <c r="I7602" t="s">
        <v>82</v>
      </c>
      <c r="J7602" t="s">
        <v>83</v>
      </c>
      <c r="K7602" t="s">
        <v>19</v>
      </c>
      <c r="L7602" t="s">
        <v>27</v>
      </c>
      <c r="M7602" t="s">
        <v>24</v>
      </c>
      <c r="N7602" t="s">
        <v>22</v>
      </c>
    </row>
    <row r="7603" spans="1:14">
      <c r="A7603" s="4" t="str">
        <f t="shared" si="704"/>
        <v>EXP00260</v>
      </c>
      <c r="B7603" s="4" t="str">
        <f t="shared" si="705"/>
        <v>25909218</v>
      </c>
      <c r="C7603" s="4" t="str">
        <f t="shared" si="706"/>
        <v>GSE65904</v>
      </c>
      <c r="D7603" s="1" t="s">
        <v>303</v>
      </c>
      <c r="E7603" t="s">
        <v>84</v>
      </c>
      <c r="F7603" s="1">
        <v>1</v>
      </c>
      <c r="G7603" s="1" t="s">
        <v>85</v>
      </c>
      <c r="H7603" s="4" t="str">
        <f>HYPERLINK("https://www.ncbi.nlm.nih.gov/geo/query/acc.cgi?acc=GSM1608781","GSM1608781")</f>
        <v>GSM1608781</v>
      </c>
      <c r="I7603" t="s">
        <v>82</v>
      </c>
      <c r="J7603" t="s">
        <v>83</v>
      </c>
      <c r="K7603" t="s">
        <v>19</v>
      </c>
      <c r="L7603" t="s">
        <v>27</v>
      </c>
      <c r="M7603" t="s">
        <v>24</v>
      </c>
      <c r="N7603" t="s">
        <v>22</v>
      </c>
    </row>
    <row r="7604" spans="1:14">
      <c r="A7604" s="4" t="str">
        <f t="shared" si="704"/>
        <v>EXP00260</v>
      </c>
      <c r="B7604" s="4" t="str">
        <f t="shared" si="705"/>
        <v>25909218</v>
      </c>
      <c r="C7604" s="4" t="str">
        <f t="shared" si="706"/>
        <v>GSE65904</v>
      </c>
      <c r="D7604" s="1" t="s">
        <v>303</v>
      </c>
      <c r="E7604" t="s">
        <v>84</v>
      </c>
      <c r="F7604" s="1">
        <v>1</v>
      </c>
      <c r="G7604" s="1" t="s">
        <v>85</v>
      </c>
      <c r="H7604" s="4" t="str">
        <f>HYPERLINK("https://www.ncbi.nlm.nih.gov/geo/query/acc.cgi?acc=GSM1608782","GSM1608782")</f>
        <v>GSM1608782</v>
      </c>
      <c r="I7604" t="s">
        <v>82</v>
      </c>
      <c r="J7604" t="s">
        <v>83</v>
      </c>
      <c r="K7604" t="s">
        <v>19</v>
      </c>
      <c r="L7604" t="s">
        <v>27</v>
      </c>
      <c r="M7604" t="s">
        <v>24</v>
      </c>
      <c r="N7604" t="s">
        <v>22</v>
      </c>
    </row>
    <row r="7605" spans="1:14">
      <c r="A7605" s="4" t="str">
        <f t="shared" si="704"/>
        <v>EXP00260</v>
      </c>
      <c r="B7605" s="4" t="str">
        <f t="shared" si="705"/>
        <v>25909218</v>
      </c>
      <c r="C7605" s="4" t="str">
        <f t="shared" si="706"/>
        <v>GSE65904</v>
      </c>
      <c r="D7605" s="1" t="s">
        <v>303</v>
      </c>
      <c r="E7605" t="s">
        <v>84</v>
      </c>
      <c r="F7605" s="1">
        <v>1</v>
      </c>
      <c r="G7605" s="1" t="s">
        <v>85</v>
      </c>
      <c r="H7605" s="4" t="str">
        <f>HYPERLINK("https://www.ncbi.nlm.nih.gov/geo/query/acc.cgi?acc=GSM1608784","GSM1608784")</f>
        <v>GSM1608784</v>
      </c>
      <c r="I7605" t="s">
        <v>82</v>
      </c>
      <c r="J7605" t="s">
        <v>83</v>
      </c>
      <c r="K7605" t="s">
        <v>19</v>
      </c>
      <c r="L7605" t="s">
        <v>27</v>
      </c>
      <c r="M7605" t="s">
        <v>24</v>
      </c>
      <c r="N7605" t="s">
        <v>22</v>
      </c>
    </row>
    <row r="7606" spans="1:14">
      <c r="A7606" s="4" t="str">
        <f t="shared" si="704"/>
        <v>EXP00260</v>
      </c>
      <c r="B7606" s="4" t="str">
        <f t="shared" si="705"/>
        <v>25909218</v>
      </c>
      <c r="C7606" s="4" t="str">
        <f t="shared" si="706"/>
        <v>GSE65904</v>
      </c>
      <c r="D7606" s="1" t="s">
        <v>303</v>
      </c>
      <c r="E7606" t="s">
        <v>84</v>
      </c>
      <c r="F7606" s="1">
        <v>1</v>
      </c>
      <c r="G7606" s="1" t="s">
        <v>85</v>
      </c>
      <c r="H7606" s="4" t="str">
        <f>HYPERLINK("https://www.ncbi.nlm.nih.gov/geo/query/acc.cgi?acc=GSM1608785","GSM1608785")</f>
        <v>GSM1608785</v>
      </c>
      <c r="I7606" t="s">
        <v>82</v>
      </c>
      <c r="J7606" t="s">
        <v>83</v>
      </c>
      <c r="K7606" t="s">
        <v>19</v>
      </c>
      <c r="L7606" t="s">
        <v>27</v>
      </c>
      <c r="M7606" t="s">
        <v>24</v>
      </c>
      <c r="N7606" t="s">
        <v>22</v>
      </c>
    </row>
    <row r="7607" spans="1:14">
      <c r="A7607" s="4" t="str">
        <f t="shared" si="704"/>
        <v>EXP00260</v>
      </c>
      <c r="B7607" s="4" t="str">
        <f t="shared" si="705"/>
        <v>25909218</v>
      </c>
      <c r="C7607" s="4" t="str">
        <f t="shared" si="706"/>
        <v>GSE65904</v>
      </c>
      <c r="D7607" s="1" t="s">
        <v>303</v>
      </c>
      <c r="E7607" t="s">
        <v>84</v>
      </c>
      <c r="F7607" s="1">
        <v>1</v>
      </c>
      <c r="G7607" s="1" t="s">
        <v>85</v>
      </c>
      <c r="H7607" s="4" t="str">
        <f>HYPERLINK("https://www.ncbi.nlm.nih.gov/geo/query/acc.cgi?acc=GSM1608786","GSM1608786")</f>
        <v>GSM1608786</v>
      </c>
      <c r="I7607" t="s">
        <v>82</v>
      </c>
      <c r="J7607" t="s">
        <v>83</v>
      </c>
      <c r="K7607" t="s">
        <v>19</v>
      </c>
      <c r="L7607" t="s">
        <v>27</v>
      </c>
      <c r="M7607" t="s">
        <v>24</v>
      </c>
      <c r="N7607" t="s">
        <v>22</v>
      </c>
    </row>
    <row r="7608" spans="1:14">
      <c r="A7608" s="4" t="str">
        <f t="shared" si="704"/>
        <v>EXP00260</v>
      </c>
      <c r="B7608" s="4" t="str">
        <f t="shared" si="705"/>
        <v>25909218</v>
      </c>
      <c r="C7608" s="4" t="str">
        <f t="shared" si="706"/>
        <v>GSE65904</v>
      </c>
      <c r="D7608" s="1" t="s">
        <v>303</v>
      </c>
      <c r="E7608" t="s">
        <v>84</v>
      </c>
      <c r="F7608" s="1">
        <v>1</v>
      </c>
      <c r="G7608" s="1" t="s">
        <v>85</v>
      </c>
      <c r="H7608" s="4" t="str">
        <f>HYPERLINK("https://www.ncbi.nlm.nih.gov/geo/query/acc.cgi?acc=GSM1608789","GSM1608789")</f>
        <v>GSM1608789</v>
      </c>
      <c r="I7608" t="s">
        <v>82</v>
      </c>
      <c r="J7608" t="s">
        <v>83</v>
      </c>
      <c r="K7608" t="s">
        <v>19</v>
      </c>
      <c r="L7608" t="s">
        <v>27</v>
      </c>
      <c r="M7608" t="s">
        <v>24</v>
      </c>
      <c r="N7608" t="s">
        <v>22</v>
      </c>
    </row>
    <row r="7609" spans="1:14">
      <c r="A7609" s="4" t="str">
        <f t="shared" si="704"/>
        <v>EXP00260</v>
      </c>
      <c r="B7609" s="4" t="str">
        <f t="shared" si="705"/>
        <v>25909218</v>
      </c>
      <c r="C7609" s="4" t="str">
        <f t="shared" si="706"/>
        <v>GSE65904</v>
      </c>
      <c r="D7609" s="1" t="s">
        <v>303</v>
      </c>
      <c r="E7609" t="s">
        <v>84</v>
      </c>
      <c r="F7609" s="1">
        <v>1</v>
      </c>
      <c r="G7609" s="1" t="s">
        <v>85</v>
      </c>
      <c r="H7609" s="4" t="str">
        <f>HYPERLINK("https://www.ncbi.nlm.nih.gov/geo/query/acc.cgi?acc=GSM1608790","GSM1608790")</f>
        <v>GSM1608790</v>
      </c>
      <c r="I7609" t="s">
        <v>82</v>
      </c>
      <c r="J7609" t="s">
        <v>83</v>
      </c>
      <c r="K7609" t="s">
        <v>19</v>
      </c>
      <c r="L7609" t="s">
        <v>27</v>
      </c>
      <c r="M7609" t="s">
        <v>24</v>
      </c>
      <c r="N7609" t="s">
        <v>22</v>
      </c>
    </row>
    <row r="7610" spans="1:14">
      <c r="A7610" s="4" t="str">
        <f t="shared" si="704"/>
        <v>EXP00260</v>
      </c>
      <c r="B7610" s="4" t="str">
        <f t="shared" si="705"/>
        <v>25909218</v>
      </c>
      <c r="C7610" s="4" t="str">
        <f t="shared" si="706"/>
        <v>GSE65904</v>
      </c>
      <c r="D7610" s="1" t="s">
        <v>303</v>
      </c>
      <c r="E7610" t="s">
        <v>84</v>
      </c>
      <c r="F7610" s="1">
        <v>1</v>
      </c>
      <c r="G7610" s="1" t="s">
        <v>85</v>
      </c>
      <c r="H7610" s="4" t="str">
        <f>HYPERLINK("https://www.ncbi.nlm.nih.gov/geo/query/acc.cgi?acc=GSM1608791","GSM1608791")</f>
        <v>GSM1608791</v>
      </c>
      <c r="I7610" t="s">
        <v>82</v>
      </c>
      <c r="J7610" t="s">
        <v>83</v>
      </c>
      <c r="K7610" t="s">
        <v>19</v>
      </c>
      <c r="L7610" t="s">
        <v>27</v>
      </c>
      <c r="M7610" t="s">
        <v>24</v>
      </c>
      <c r="N7610" t="s">
        <v>22</v>
      </c>
    </row>
    <row r="7611" spans="1:14">
      <c r="A7611" s="4" t="str">
        <f t="shared" si="704"/>
        <v>EXP00260</v>
      </c>
      <c r="B7611" s="4" t="str">
        <f t="shared" si="705"/>
        <v>25909218</v>
      </c>
      <c r="C7611" s="4" t="str">
        <f t="shared" si="706"/>
        <v>GSE65904</v>
      </c>
      <c r="D7611" s="1" t="s">
        <v>303</v>
      </c>
      <c r="E7611" t="s">
        <v>84</v>
      </c>
      <c r="F7611" s="1">
        <v>1</v>
      </c>
      <c r="G7611" s="1" t="s">
        <v>85</v>
      </c>
      <c r="H7611" s="4" t="str">
        <f>HYPERLINK("https://www.ncbi.nlm.nih.gov/geo/query/acc.cgi?acc=GSM1608792","GSM1608792")</f>
        <v>GSM1608792</v>
      </c>
      <c r="I7611" t="s">
        <v>82</v>
      </c>
      <c r="J7611" t="s">
        <v>83</v>
      </c>
      <c r="K7611" t="s">
        <v>19</v>
      </c>
      <c r="L7611" t="s">
        <v>27</v>
      </c>
      <c r="M7611" t="s">
        <v>24</v>
      </c>
      <c r="N7611" t="s">
        <v>22</v>
      </c>
    </row>
    <row r="7612" spans="1:14">
      <c r="A7612" s="4" t="str">
        <f t="shared" si="704"/>
        <v>EXP00260</v>
      </c>
      <c r="B7612" s="4" t="str">
        <f t="shared" si="705"/>
        <v>25909218</v>
      </c>
      <c r="C7612" s="4" t="str">
        <f t="shared" si="706"/>
        <v>GSE65904</v>
      </c>
      <c r="D7612" s="1" t="s">
        <v>303</v>
      </c>
      <c r="E7612" t="s">
        <v>84</v>
      </c>
      <c r="F7612" s="1">
        <v>1</v>
      </c>
      <c r="G7612" s="1" t="s">
        <v>85</v>
      </c>
      <c r="H7612" s="4" t="str">
        <f>HYPERLINK("https://www.ncbi.nlm.nih.gov/geo/query/acc.cgi?acc=GSM1608793","GSM1608793")</f>
        <v>GSM1608793</v>
      </c>
      <c r="I7612" t="s">
        <v>82</v>
      </c>
      <c r="J7612" t="s">
        <v>83</v>
      </c>
      <c r="K7612" t="s">
        <v>19</v>
      </c>
      <c r="L7612" t="s">
        <v>27</v>
      </c>
      <c r="M7612" t="s">
        <v>24</v>
      </c>
      <c r="N7612" t="s">
        <v>22</v>
      </c>
    </row>
    <row r="7613" spans="1:14">
      <c r="A7613" s="4" t="str">
        <f t="shared" si="704"/>
        <v>EXP00260</v>
      </c>
      <c r="B7613" s="4" t="str">
        <f t="shared" si="705"/>
        <v>25909218</v>
      </c>
      <c r="C7613" s="4" t="str">
        <f t="shared" si="706"/>
        <v>GSE65904</v>
      </c>
      <c r="D7613" s="1" t="s">
        <v>303</v>
      </c>
      <c r="E7613" t="s">
        <v>84</v>
      </c>
      <c r="F7613" s="1">
        <v>1</v>
      </c>
      <c r="G7613" s="1" t="s">
        <v>85</v>
      </c>
      <c r="H7613" s="4" t="str">
        <f>HYPERLINK("https://www.ncbi.nlm.nih.gov/geo/query/acc.cgi?acc=GSM1608794","GSM1608794")</f>
        <v>GSM1608794</v>
      </c>
      <c r="I7613" t="s">
        <v>82</v>
      </c>
      <c r="J7613" t="s">
        <v>83</v>
      </c>
      <c r="K7613" t="s">
        <v>19</v>
      </c>
      <c r="L7613" t="s">
        <v>27</v>
      </c>
      <c r="M7613" t="s">
        <v>24</v>
      </c>
      <c r="N7613" t="s">
        <v>22</v>
      </c>
    </row>
    <row r="7614" spans="1:14">
      <c r="A7614" s="4" t="str">
        <f t="shared" si="704"/>
        <v>EXP00260</v>
      </c>
      <c r="B7614" s="4" t="str">
        <f t="shared" si="705"/>
        <v>25909218</v>
      </c>
      <c r="C7614" s="4" t="str">
        <f t="shared" si="706"/>
        <v>GSE65904</v>
      </c>
      <c r="D7614" s="1" t="s">
        <v>303</v>
      </c>
      <c r="E7614" t="s">
        <v>84</v>
      </c>
      <c r="F7614" s="1">
        <v>1</v>
      </c>
      <c r="G7614" s="1" t="s">
        <v>85</v>
      </c>
      <c r="H7614" s="4" t="str">
        <f>HYPERLINK("https://www.ncbi.nlm.nih.gov/geo/query/acc.cgi?acc=GSM1608795","GSM1608795")</f>
        <v>GSM1608795</v>
      </c>
      <c r="I7614" t="s">
        <v>82</v>
      </c>
      <c r="J7614" t="s">
        <v>83</v>
      </c>
      <c r="K7614" t="s">
        <v>19</v>
      </c>
      <c r="L7614" t="s">
        <v>27</v>
      </c>
      <c r="M7614" t="s">
        <v>24</v>
      </c>
      <c r="N7614" t="s">
        <v>22</v>
      </c>
    </row>
    <row r="7615" spans="1:14">
      <c r="A7615" s="4" t="str">
        <f t="shared" si="704"/>
        <v>EXP00260</v>
      </c>
      <c r="B7615" s="4" t="str">
        <f t="shared" si="705"/>
        <v>25909218</v>
      </c>
      <c r="C7615" s="4" t="str">
        <f t="shared" si="706"/>
        <v>GSE65904</v>
      </c>
      <c r="D7615" s="1" t="s">
        <v>303</v>
      </c>
      <c r="E7615" t="s">
        <v>84</v>
      </c>
      <c r="F7615" s="1">
        <v>1</v>
      </c>
      <c r="G7615" s="1" t="s">
        <v>85</v>
      </c>
      <c r="H7615" s="4" t="str">
        <f>HYPERLINK("https://www.ncbi.nlm.nih.gov/geo/query/acc.cgi?acc=GSM1608799","GSM1608799")</f>
        <v>GSM1608799</v>
      </c>
      <c r="I7615" t="s">
        <v>82</v>
      </c>
      <c r="J7615" t="s">
        <v>83</v>
      </c>
      <c r="K7615" t="s">
        <v>19</v>
      </c>
      <c r="L7615" t="s">
        <v>27</v>
      </c>
      <c r="M7615" t="s">
        <v>24</v>
      </c>
      <c r="N7615" t="s">
        <v>22</v>
      </c>
    </row>
    <row r="7616" spans="1:14">
      <c r="A7616" s="4" t="str">
        <f t="shared" si="704"/>
        <v>EXP00260</v>
      </c>
      <c r="B7616" s="4" t="str">
        <f t="shared" si="705"/>
        <v>25909218</v>
      </c>
      <c r="C7616" s="4" t="str">
        <f t="shared" si="706"/>
        <v>GSE65904</v>
      </c>
      <c r="D7616" s="1" t="s">
        <v>303</v>
      </c>
      <c r="E7616" t="s">
        <v>84</v>
      </c>
      <c r="F7616" s="1">
        <v>1</v>
      </c>
      <c r="G7616" s="1" t="s">
        <v>85</v>
      </c>
      <c r="H7616" s="4" t="str">
        <f>HYPERLINK("https://www.ncbi.nlm.nih.gov/geo/query/acc.cgi?acc=GSM1608801","GSM1608801")</f>
        <v>GSM1608801</v>
      </c>
      <c r="I7616" t="s">
        <v>82</v>
      </c>
      <c r="J7616" t="s">
        <v>83</v>
      </c>
      <c r="K7616" t="s">
        <v>19</v>
      </c>
      <c r="L7616" t="s">
        <v>27</v>
      </c>
      <c r="M7616" t="s">
        <v>24</v>
      </c>
      <c r="N7616" t="s">
        <v>22</v>
      </c>
    </row>
    <row r="7617" spans="1:14">
      <c r="A7617" s="4" t="str">
        <f t="shared" si="704"/>
        <v>EXP00260</v>
      </c>
      <c r="B7617" s="4" t="str">
        <f t="shared" si="705"/>
        <v>25909218</v>
      </c>
      <c r="C7617" s="4" t="str">
        <f t="shared" si="706"/>
        <v>GSE65904</v>
      </c>
      <c r="D7617" s="1" t="s">
        <v>303</v>
      </c>
      <c r="E7617" t="s">
        <v>84</v>
      </c>
      <c r="F7617" s="1">
        <v>1</v>
      </c>
      <c r="G7617" s="1" t="s">
        <v>85</v>
      </c>
      <c r="H7617" s="4" t="str">
        <f>HYPERLINK("https://www.ncbi.nlm.nih.gov/geo/query/acc.cgi?acc=GSM1608802","GSM1608802")</f>
        <v>GSM1608802</v>
      </c>
      <c r="I7617" t="s">
        <v>82</v>
      </c>
      <c r="J7617" t="s">
        <v>83</v>
      </c>
      <c r="K7617" t="s">
        <v>19</v>
      </c>
      <c r="L7617" t="s">
        <v>27</v>
      </c>
      <c r="M7617" t="s">
        <v>24</v>
      </c>
      <c r="N7617" t="s">
        <v>22</v>
      </c>
    </row>
    <row r="7618" spans="1:14">
      <c r="A7618" s="4" t="str">
        <f t="shared" si="704"/>
        <v>EXP00260</v>
      </c>
      <c r="B7618" s="4" t="str">
        <f t="shared" si="705"/>
        <v>25909218</v>
      </c>
      <c r="C7618" s="4" t="str">
        <f t="shared" si="706"/>
        <v>GSE65904</v>
      </c>
      <c r="D7618" s="1" t="s">
        <v>303</v>
      </c>
      <c r="E7618" t="s">
        <v>84</v>
      </c>
      <c r="F7618" s="1">
        <v>1</v>
      </c>
      <c r="G7618" s="1" t="s">
        <v>85</v>
      </c>
      <c r="H7618" s="4" t="str">
        <f>HYPERLINK("https://www.ncbi.nlm.nih.gov/geo/query/acc.cgi?acc=GSM1608803","GSM1608803")</f>
        <v>GSM1608803</v>
      </c>
      <c r="I7618" t="s">
        <v>82</v>
      </c>
      <c r="J7618" t="s">
        <v>83</v>
      </c>
      <c r="K7618" t="s">
        <v>19</v>
      </c>
      <c r="L7618" t="s">
        <v>27</v>
      </c>
      <c r="M7618" t="s">
        <v>24</v>
      </c>
      <c r="N7618" t="s">
        <v>22</v>
      </c>
    </row>
    <row r="7619" spans="1:14">
      <c r="A7619" s="4" t="str">
        <f t="shared" ref="A7619:A7650" si="707">HYPERLINK("http://hcmdb.i-sanger.com/experiment/details/experiment_id/EXP00260","EXP00260")</f>
        <v>EXP00260</v>
      </c>
      <c r="B7619" s="4" t="str">
        <f t="shared" ref="B7619:B7650" si="708">HYPERLINK("https://www.ncbi.nlm.nih.gov/pubmed/25909218","25909218")</f>
        <v>25909218</v>
      </c>
      <c r="C7619" s="4" t="str">
        <f t="shared" ref="C7619:C7650" si="709">HYPERLINK("https://www.ncbi.nlm.nih.gov/geo/query/acc.cgi?acc=GSE65904","GSE65904")</f>
        <v>GSE65904</v>
      </c>
      <c r="D7619" s="1" t="s">
        <v>303</v>
      </c>
      <c r="E7619" t="s">
        <v>84</v>
      </c>
      <c r="F7619" s="1">
        <v>1</v>
      </c>
      <c r="G7619" s="1" t="s">
        <v>85</v>
      </c>
      <c r="H7619" s="4" t="str">
        <f>HYPERLINK("https://www.ncbi.nlm.nih.gov/geo/query/acc.cgi?acc=GSM1608805","GSM1608805")</f>
        <v>GSM1608805</v>
      </c>
      <c r="I7619" t="s">
        <v>82</v>
      </c>
      <c r="J7619" t="s">
        <v>83</v>
      </c>
      <c r="K7619" t="s">
        <v>19</v>
      </c>
      <c r="L7619" t="s">
        <v>27</v>
      </c>
      <c r="M7619" t="s">
        <v>24</v>
      </c>
      <c r="N7619" t="s">
        <v>22</v>
      </c>
    </row>
    <row r="7620" spans="1:14">
      <c r="A7620" s="4" t="str">
        <f t="shared" si="707"/>
        <v>EXP00260</v>
      </c>
      <c r="B7620" s="4" t="str">
        <f t="shared" si="708"/>
        <v>25909218</v>
      </c>
      <c r="C7620" s="4" t="str">
        <f t="shared" si="709"/>
        <v>GSE65904</v>
      </c>
      <c r="D7620" s="1" t="s">
        <v>303</v>
      </c>
      <c r="E7620" t="s">
        <v>84</v>
      </c>
      <c r="F7620" s="1">
        <v>1</v>
      </c>
      <c r="G7620" s="1" t="s">
        <v>85</v>
      </c>
      <c r="H7620" s="4" t="str">
        <f>HYPERLINK("https://www.ncbi.nlm.nih.gov/geo/query/acc.cgi?acc=GSM1608806","GSM1608806")</f>
        <v>GSM1608806</v>
      </c>
      <c r="I7620" t="s">
        <v>82</v>
      </c>
      <c r="J7620" t="s">
        <v>83</v>
      </c>
      <c r="K7620" t="s">
        <v>19</v>
      </c>
      <c r="L7620" t="s">
        <v>27</v>
      </c>
      <c r="M7620" t="s">
        <v>24</v>
      </c>
      <c r="N7620" t="s">
        <v>22</v>
      </c>
    </row>
    <row r="7621" spans="1:14">
      <c r="A7621" s="4" t="str">
        <f t="shared" si="707"/>
        <v>EXP00260</v>
      </c>
      <c r="B7621" s="4" t="str">
        <f t="shared" si="708"/>
        <v>25909218</v>
      </c>
      <c r="C7621" s="4" t="str">
        <f t="shared" si="709"/>
        <v>GSE65904</v>
      </c>
      <c r="D7621" s="1" t="s">
        <v>303</v>
      </c>
      <c r="E7621" t="s">
        <v>84</v>
      </c>
      <c r="F7621" s="1">
        <v>2</v>
      </c>
      <c r="G7621" s="1" t="s">
        <v>315</v>
      </c>
      <c r="H7621" s="4" t="str">
        <f>HYPERLINK("https://www.ncbi.nlm.nih.gov/geo/query/acc.cgi?acc=GSM1608595","GSM1608595")</f>
        <v>GSM1608595</v>
      </c>
      <c r="I7621" t="s">
        <v>82</v>
      </c>
      <c r="J7621" t="s">
        <v>83</v>
      </c>
      <c r="K7621" t="s">
        <v>19</v>
      </c>
      <c r="L7621" t="s">
        <v>27</v>
      </c>
      <c r="M7621" t="s">
        <v>27</v>
      </c>
      <c r="N7621" t="s">
        <v>22</v>
      </c>
    </row>
    <row r="7622" spans="1:14">
      <c r="A7622" s="4" t="str">
        <f t="shared" si="707"/>
        <v>EXP00260</v>
      </c>
      <c r="B7622" s="4" t="str">
        <f t="shared" si="708"/>
        <v>25909218</v>
      </c>
      <c r="C7622" s="4" t="str">
        <f t="shared" si="709"/>
        <v>GSE65904</v>
      </c>
      <c r="D7622" s="1" t="s">
        <v>303</v>
      </c>
      <c r="E7622" t="s">
        <v>84</v>
      </c>
      <c r="F7622" s="1">
        <v>2</v>
      </c>
      <c r="G7622" s="1" t="s">
        <v>315</v>
      </c>
      <c r="H7622" s="4" t="str">
        <f>HYPERLINK("https://www.ncbi.nlm.nih.gov/geo/query/acc.cgi?acc=GSM1608600","GSM1608600")</f>
        <v>GSM1608600</v>
      </c>
      <c r="I7622" t="s">
        <v>82</v>
      </c>
      <c r="J7622" t="s">
        <v>83</v>
      </c>
      <c r="K7622" t="s">
        <v>19</v>
      </c>
      <c r="L7622" t="s">
        <v>27</v>
      </c>
      <c r="M7622" t="s">
        <v>27</v>
      </c>
      <c r="N7622" t="s">
        <v>22</v>
      </c>
    </row>
    <row r="7623" spans="1:14">
      <c r="A7623" s="4" t="str">
        <f t="shared" si="707"/>
        <v>EXP00260</v>
      </c>
      <c r="B7623" s="4" t="str">
        <f t="shared" si="708"/>
        <v>25909218</v>
      </c>
      <c r="C7623" s="4" t="str">
        <f t="shared" si="709"/>
        <v>GSE65904</v>
      </c>
      <c r="D7623" s="1" t="s">
        <v>303</v>
      </c>
      <c r="E7623" t="s">
        <v>84</v>
      </c>
      <c r="F7623" s="1">
        <v>2</v>
      </c>
      <c r="G7623" s="1" t="s">
        <v>315</v>
      </c>
      <c r="H7623" s="4" t="str">
        <f>HYPERLINK("https://www.ncbi.nlm.nih.gov/geo/query/acc.cgi?acc=GSM1608603","GSM1608603")</f>
        <v>GSM1608603</v>
      </c>
      <c r="I7623" t="s">
        <v>82</v>
      </c>
      <c r="J7623" t="s">
        <v>83</v>
      </c>
      <c r="K7623" t="s">
        <v>19</v>
      </c>
      <c r="L7623" t="s">
        <v>27</v>
      </c>
      <c r="M7623" t="s">
        <v>27</v>
      </c>
      <c r="N7623" t="s">
        <v>22</v>
      </c>
    </row>
    <row r="7624" spans="1:14">
      <c r="A7624" s="4" t="str">
        <f t="shared" si="707"/>
        <v>EXP00260</v>
      </c>
      <c r="B7624" s="4" t="str">
        <f t="shared" si="708"/>
        <v>25909218</v>
      </c>
      <c r="C7624" s="4" t="str">
        <f t="shared" si="709"/>
        <v>GSE65904</v>
      </c>
      <c r="D7624" s="1" t="s">
        <v>303</v>
      </c>
      <c r="E7624" t="s">
        <v>84</v>
      </c>
      <c r="F7624" s="1">
        <v>2</v>
      </c>
      <c r="G7624" s="1" t="s">
        <v>315</v>
      </c>
      <c r="H7624" s="4" t="str">
        <f>HYPERLINK("https://www.ncbi.nlm.nih.gov/geo/query/acc.cgi?acc=GSM1608628","GSM1608628")</f>
        <v>GSM1608628</v>
      </c>
      <c r="I7624" t="s">
        <v>82</v>
      </c>
      <c r="J7624" t="s">
        <v>83</v>
      </c>
      <c r="K7624" t="s">
        <v>19</v>
      </c>
      <c r="L7624" t="s">
        <v>27</v>
      </c>
      <c r="M7624" t="s">
        <v>27</v>
      </c>
      <c r="N7624" t="s">
        <v>22</v>
      </c>
    </row>
    <row r="7625" spans="1:14">
      <c r="A7625" s="4" t="str">
        <f t="shared" si="707"/>
        <v>EXP00260</v>
      </c>
      <c r="B7625" s="4" t="str">
        <f t="shared" si="708"/>
        <v>25909218</v>
      </c>
      <c r="C7625" s="4" t="str">
        <f t="shared" si="709"/>
        <v>GSE65904</v>
      </c>
      <c r="D7625" s="1" t="s">
        <v>303</v>
      </c>
      <c r="E7625" t="s">
        <v>84</v>
      </c>
      <c r="F7625" s="1">
        <v>2</v>
      </c>
      <c r="G7625" s="1" t="s">
        <v>315</v>
      </c>
      <c r="H7625" s="4" t="str">
        <f>HYPERLINK("https://www.ncbi.nlm.nih.gov/geo/query/acc.cgi?acc=GSM1608644","GSM1608644")</f>
        <v>GSM1608644</v>
      </c>
      <c r="I7625" t="s">
        <v>82</v>
      </c>
      <c r="J7625" t="s">
        <v>83</v>
      </c>
      <c r="K7625" t="s">
        <v>19</v>
      </c>
      <c r="L7625" t="s">
        <v>27</v>
      </c>
      <c r="M7625" t="s">
        <v>27</v>
      </c>
      <c r="N7625" t="s">
        <v>22</v>
      </c>
    </row>
    <row r="7626" spans="1:14">
      <c r="A7626" s="4" t="str">
        <f t="shared" si="707"/>
        <v>EXP00260</v>
      </c>
      <c r="B7626" s="4" t="str">
        <f t="shared" si="708"/>
        <v>25909218</v>
      </c>
      <c r="C7626" s="4" t="str">
        <f t="shared" si="709"/>
        <v>GSE65904</v>
      </c>
      <c r="D7626" s="1" t="s">
        <v>303</v>
      </c>
      <c r="E7626" t="s">
        <v>84</v>
      </c>
      <c r="F7626" s="1">
        <v>2</v>
      </c>
      <c r="G7626" s="1" t="s">
        <v>315</v>
      </c>
      <c r="H7626" s="4" t="str">
        <f>HYPERLINK("https://www.ncbi.nlm.nih.gov/geo/query/acc.cgi?acc=GSM1608654","GSM1608654")</f>
        <v>GSM1608654</v>
      </c>
      <c r="I7626" t="s">
        <v>82</v>
      </c>
      <c r="J7626" t="s">
        <v>83</v>
      </c>
      <c r="K7626" t="s">
        <v>19</v>
      </c>
      <c r="L7626" t="s">
        <v>27</v>
      </c>
      <c r="M7626" t="s">
        <v>27</v>
      </c>
      <c r="N7626" t="s">
        <v>22</v>
      </c>
    </row>
    <row r="7627" spans="1:14">
      <c r="A7627" s="4" t="str">
        <f t="shared" si="707"/>
        <v>EXP00260</v>
      </c>
      <c r="B7627" s="4" t="str">
        <f t="shared" si="708"/>
        <v>25909218</v>
      </c>
      <c r="C7627" s="4" t="str">
        <f t="shared" si="709"/>
        <v>GSE65904</v>
      </c>
      <c r="D7627" s="1" t="s">
        <v>303</v>
      </c>
      <c r="E7627" t="s">
        <v>84</v>
      </c>
      <c r="F7627" s="1">
        <v>2</v>
      </c>
      <c r="G7627" s="1" t="s">
        <v>315</v>
      </c>
      <c r="H7627" s="4" t="str">
        <f>HYPERLINK("https://www.ncbi.nlm.nih.gov/geo/query/acc.cgi?acc=GSM1608659","GSM1608659")</f>
        <v>GSM1608659</v>
      </c>
      <c r="I7627" t="s">
        <v>82</v>
      </c>
      <c r="J7627" t="s">
        <v>83</v>
      </c>
      <c r="K7627" t="s">
        <v>19</v>
      </c>
      <c r="L7627" t="s">
        <v>27</v>
      </c>
      <c r="M7627" t="s">
        <v>27</v>
      </c>
      <c r="N7627" t="s">
        <v>22</v>
      </c>
    </row>
    <row r="7628" spans="1:14">
      <c r="A7628" s="4" t="str">
        <f t="shared" si="707"/>
        <v>EXP00260</v>
      </c>
      <c r="B7628" s="4" t="str">
        <f t="shared" si="708"/>
        <v>25909218</v>
      </c>
      <c r="C7628" s="4" t="str">
        <f t="shared" si="709"/>
        <v>GSE65904</v>
      </c>
      <c r="D7628" s="1" t="s">
        <v>303</v>
      </c>
      <c r="E7628" t="s">
        <v>84</v>
      </c>
      <c r="F7628" s="1">
        <v>2</v>
      </c>
      <c r="G7628" s="1" t="s">
        <v>315</v>
      </c>
      <c r="H7628" s="4" t="str">
        <f>HYPERLINK("https://www.ncbi.nlm.nih.gov/geo/query/acc.cgi?acc=GSM1608673","GSM1608673")</f>
        <v>GSM1608673</v>
      </c>
      <c r="I7628" t="s">
        <v>82</v>
      </c>
      <c r="J7628" t="s">
        <v>83</v>
      </c>
      <c r="K7628" t="s">
        <v>19</v>
      </c>
      <c r="L7628" t="s">
        <v>27</v>
      </c>
      <c r="M7628" t="s">
        <v>27</v>
      </c>
      <c r="N7628" t="s">
        <v>22</v>
      </c>
    </row>
    <row r="7629" spans="1:14">
      <c r="A7629" s="4" t="str">
        <f t="shared" si="707"/>
        <v>EXP00260</v>
      </c>
      <c r="B7629" s="4" t="str">
        <f t="shared" si="708"/>
        <v>25909218</v>
      </c>
      <c r="C7629" s="4" t="str">
        <f t="shared" si="709"/>
        <v>GSE65904</v>
      </c>
      <c r="D7629" s="1" t="s">
        <v>303</v>
      </c>
      <c r="E7629" t="s">
        <v>84</v>
      </c>
      <c r="F7629" s="1">
        <v>2</v>
      </c>
      <c r="G7629" s="1" t="s">
        <v>315</v>
      </c>
      <c r="H7629" s="4" t="str">
        <f>HYPERLINK("https://www.ncbi.nlm.nih.gov/geo/query/acc.cgi?acc=GSM1608674","GSM1608674")</f>
        <v>GSM1608674</v>
      </c>
      <c r="I7629" t="s">
        <v>82</v>
      </c>
      <c r="J7629" t="s">
        <v>83</v>
      </c>
      <c r="K7629" t="s">
        <v>19</v>
      </c>
      <c r="L7629" t="s">
        <v>27</v>
      </c>
      <c r="M7629" t="s">
        <v>27</v>
      </c>
      <c r="N7629" t="s">
        <v>22</v>
      </c>
    </row>
    <row r="7630" spans="1:14">
      <c r="A7630" s="4" t="str">
        <f t="shared" si="707"/>
        <v>EXP00260</v>
      </c>
      <c r="B7630" s="4" t="str">
        <f t="shared" si="708"/>
        <v>25909218</v>
      </c>
      <c r="C7630" s="4" t="str">
        <f t="shared" si="709"/>
        <v>GSE65904</v>
      </c>
      <c r="D7630" s="1" t="s">
        <v>303</v>
      </c>
      <c r="E7630" t="s">
        <v>84</v>
      </c>
      <c r="F7630" s="1">
        <v>2</v>
      </c>
      <c r="G7630" s="1" t="s">
        <v>315</v>
      </c>
      <c r="H7630" s="4" t="str">
        <f>HYPERLINK("https://www.ncbi.nlm.nih.gov/geo/query/acc.cgi?acc=GSM1608678","GSM1608678")</f>
        <v>GSM1608678</v>
      </c>
      <c r="I7630" t="s">
        <v>82</v>
      </c>
      <c r="J7630" t="s">
        <v>83</v>
      </c>
      <c r="K7630" t="s">
        <v>19</v>
      </c>
      <c r="L7630" t="s">
        <v>27</v>
      </c>
      <c r="M7630" t="s">
        <v>27</v>
      </c>
      <c r="N7630" t="s">
        <v>22</v>
      </c>
    </row>
    <row r="7631" spans="1:14">
      <c r="A7631" s="4" t="str">
        <f t="shared" si="707"/>
        <v>EXP00260</v>
      </c>
      <c r="B7631" s="4" t="str">
        <f t="shared" si="708"/>
        <v>25909218</v>
      </c>
      <c r="C7631" s="4" t="str">
        <f t="shared" si="709"/>
        <v>GSE65904</v>
      </c>
      <c r="D7631" s="1" t="s">
        <v>303</v>
      </c>
      <c r="E7631" t="s">
        <v>84</v>
      </c>
      <c r="F7631" s="1">
        <v>2</v>
      </c>
      <c r="G7631" s="1" t="s">
        <v>315</v>
      </c>
      <c r="H7631" s="4" t="str">
        <f>HYPERLINK("https://www.ncbi.nlm.nih.gov/geo/query/acc.cgi?acc=GSM1608679","GSM1608679")</f>
        <v>GSM1608679</v>
      </c>
      <c r="I7631" t="s">
        <v>82</v>
      </c>
      <c r="J7631" t="s">
        <v>83</v>
      </c>
      <c r="K7631" t="s">
        <v>19</v>
      </c>
      <c r="L7631" t="s">
        <v>27</v>
      </c>
      <c r="M7631" t="s">
        <v>27</v>
      </c>
      <c r="N7631" t="s">
        <v>22</v>
      </c>
    </row>
    <row r="7632" spans="1:14">
      <c r="A7632" s="4" t="str">
        <f t="shared" si="707"/>
        <v>EXP00260</v>
      </c>
      <c r="B7632" s="4" t="str">
        <f t="shared" si="708"/>
        <v>25909218</v>
      </c>
      <c r="C7632" s="4" t="str">
        <f t="shared" si="709"/>
        <v>GSE65904</v>
      </c>
      <c r="D7632" s="1" t="s">
        <v>303</v>
      </c>
      <c r="E7632" t="s">
        <v>84</v>
      </c>
      <c r="F7632" s="1">
        <v>2</v>
      </c>
      <c r="G7632" s="1" t="s">
        <v>315</v>
      </c>
      <c r="H7632" s="4" t="str">
        <f>HYPERLINK("https://www.ncbi.nlm.nih.gov/geo/query/acc.cgi?acc=GSM1608689","GSM1608689")</f>
        <v>GSM1608689</v>
      </c>
      <c r="I7632" t="s">
        <v>82</v>
      </c>
      <c r="J7632" t="s">
        <v>83</v>
      </c>
      <c r="K7632" t="s">
        <v>19</v>
      </c>
      <c r="L7632" t="s">
        <v>27</v>
      </c>
      <c r="M7632" t="s">
        <v>27</v>
      </c>
      <c r="N7632" t="s">
        <v>22</v>
      </c>
    </row>
    <row r="7633" spans="1:14">
      <c r="A7633" s="4" t="str">
        <f t="shared" si="707"/>
        <v>EXP00260</v>
      </c>
      <c r="B7633" s="4" t="str">
        <f t="shared" si="708"/>
        <v>25909218</v>
      </c>
      <c r="C7633" s="4" t="str">
        <f t="shared" si="709"/>
        <v>GSE65904</v>
      </c>
      <c r="D7633" s="1" t="s">
        <v>303</v>
      </c>
      <c r="E7633" t="s">
        <v>84</v>
      </c>
      <c r="F7633" s="1">
        <v>2</v>
      </c>
      <c r="G7633" s="1" t="s">
        <v>315</v>
      </c>
      <c r="H7633" s="4" t="str">
        <f>HYPERLINK("https://www.ncbi.nlm.nih.gov/geo/query/acc.cgi?acc=GSM1608701","GSM1608701")</f>
        <v>GSM1608701</v>
      </c>
      <c r="I7633" t="s">
        <v>82</v>
      </c>
      <c r="J7633" t="s">
        <v>83</v>
      </c>
      <c r="K7633" t="s">
        <v>19</v>
      </c>
      <c r="L7633" t="s">
        <v>27</v>
      </c>
      <c r="M7633" t="s">
        <v>27</v>
      </c>
      <c r="N7633" t="s">
        <v>22</v>
      </c>
    </row>
    <row r="7634" spans="1:14">
      <c r="A7634" s="4" t="str">
        <f t="shared" si="707"/>
        <v>EXP00260</v>
      </c>
      <c r="B7634" s="4" t="str">
        <f t="shared" si="708"/>
        <v>25909218</v>
      </c>
      <c r="C7634" s="4" t="str">
        <f t="shared" si="709"/>
        <v>GSE65904</v>
      </c>
      <c r="D7634" s="1" t="s">
        <v>303</v>
      </c>
      <c r="E7634" t="s">
        <v>84</v>
      </c>
      <c r="F7634" s="1">
        <v>2</v>
      </c>
      <c r="G7634" s="1" t="s">
        <v>315</v>
      </c>
      <c r="H7634" s="4" t="str">
        <f>HYPERLINK("https://www.ncbi.nlm.nih.gov/geo/query/acc.cgi?acc=GSM1608706","GSM1608706")</f>
        <v>GSM1608706</v>
      </c>
      <c r="I7634" t="s">
        <v>82</v>
      </c>
      <c r="J7634" t="s">
        <v>83</v>
      </c>
      <c r="K7634" t="s">
        <v>19</v>
      </c>
      <c r="L7634" t="s">
        <v>27</v>
      </c>
      <c r="M7634" t="s">
        <v>27</v>
      </c>
      <c r="N7634" t="s">
        <v>22</v>
      </c>
    </row>
    <row r="7635" spans="1:14">
      <c r="A7635" s="4" t="str">
        <f t="shared" si="707"/>
        <v>EXP00260</v>
      </c>
      <c r="B7635" s="4" t="str">
        <f t="shared" si="708"/>
        <v>25909218</v>
      </c>
      <c r="C7635" s="4" t="str">
        <f t="shared" si="709"/>
        <v>GSE65904</v>
      </c>
      <c r="D7635" s="1" t="s">
        <v>303</v>
      </c>
      <c r="E7635" t="s">
        <v>84</v>
      </c>
      <c r="F7635" s="1">
        <v>2</v>
      </c>
      <c r="G7635" s="1" t="s">
        <v>315</v>
      </c>
      <c r="H7635" s="4" t="str">
        <f>HYPERLINK("https://www.ncbi.nlm.nih.gov/geo/query/acc.cgi?acc=GSM1608729","GSM1608729")</f>
        <v>GSM1608729</v>
      </c>
      <c r="I7635" t="s">
        <v>82</v>
      </c>
      <c r="J7635" t="s">
        <v>83</v>
      </c>
      <c r="K7635" t="s">
        <v>19</v>
      </c>
      <c r="L7635" t="s">
        <v>27</v>
      </c>
      <c r="M7635" t="s">
        <v>27</v>
      </c>
      <c r="N7635" t="s">
        <v>22</v>
      </c>
    </row>
    <row r="7636" spans="1:14">
      <c r="A7636" s="4" t="str">
        <f t="shared" si="707"/>
        <v>EXP00260</v>
      </c>
      <c r="B7636" s="4" t="str">
        <f t="shared" si="708"/>
        <v>25909218</v>
      </c>
      <c r="C7636" s="4" t="str">
        <f t="shared" si="709"/>
        <v>GSE65904</v>
      </c>
      <c r="D7636" s="1" t="s">
        <v>303</v>
      </c>
      <c r="E7636" t="s">
        <v>84</v>
      </c>
      <c r="F7636" s="1">
        <v>2</v>
      </c>
      <c r="G7636" s="1" t="s">
        <v>315</v>
      </c>
      <c r="H7636" s="4" t="str">
        <f>HYPERLINK("https://www.ncbi.nlm.nih.gov/geo/query/acc.cgi?acc=GSM1608738","GSM1608738")</f>
        <v>GSM1608738</v>
      </c>
      <c r="I7636" t="s">
        <v>82</v>
      </c>
      <c r="J7636" t="s">
        <v>83</v>
      </c>
      <c r="K7636" t="s">
        <v>19</v>
      </c>
      <c r="L7636" t="s">
        <v>27</v>
      </c>
      <c r="M7636" t="s">
        <v>27</v>
      </c>
      <c r="N7636" t="s">
        <v>22</v>
      </c>
    </row>
    <row r="7637" spans="1:14">
      <c r="A7637" s="4" t="str">
        <f t="shared" si="707"/>
        <v>EXP00260</v>
      </c>
      <c r="B7637" s="4" t="str">
        <f t="shared" si="708"/>
        <v>25909218</v>
      </c>
      <c r="C7637" s="4" t="str">
        <f t="shared" si="709"/>
        <v>GSE65904</v>
      </c>
      <c r="D7637" s="1" t="s">
        <v>303</v>
      </c>
      <c r="E7637" t="s">
        <v>84</v>
      </c>
      <c r="F7637" s="1">
        <v>2</v>
      </c>
      <c r="G7637" s="1" t="s">
        <v>315</v>
      </c>
      <c r="H7637" s="4" t="str">
        <f>HYPERLINK("https://www.ncbi.nlm.nih.gov/geo/query/acc.cgi?acc=GSM1608741","GSM1608741")</f>
        <v>GSM1608741</v>
      </c>
      <c r="I7637" t="s">
        <v>82</v>
      </c>
      <c r="J7637" t="s">
        <v>83</v>
      </c>
      <c r="K7637" t="s">
        <v>19</v>
      </c>
      <c r="L7637" t="s">
        <v>27</v>
      </c>
      <c r="M7637" t="s">
        <v>27</v>
      </c>
      <c r="N7637" t="s">
        <v>22</v>
      </c>
    </row>
    <row r="7638" spans="1:14">
      <c r="A7638" s="4" t="str">
        <f t="shared" si="707"/>
        <v>EXP00260</v>
      </c>
      <c r="B7638" s="4" t="str">
        <f t="shared" si="708"/>
        <v>25909218</v>
      </c>
      <c r="C7638" s="4" t="str">
        <f t="shared" si="709"/>
        <v>GSE65904</v>
      </c>
      <c r="D7638" s="1" t="s">
        <v>303</v>
      </c>
      <c r="E7638" t="s">
        <v>84</v>
      </c>
      <c r="F7638" s="1">
        <v>2</v>
      </c>
      <c r="G7638" s="1" t="s">
        <v>315</v>
      </c>
      <c r="H7638" s="4" t="str">
        <f>HYPERLINK("https://www.ncbi.nlm.nih.gov/geo/query/acc.cgi?acc=GSM1608748","GSM1608748")</f>
        <v>GSM1608748</v>
      </c>
      <c r="I7638" t="s">
        <v>82</v>
      </c>
      <c r="J7638" t="s">
        <v>83</v>
      </c>
      <c r="K7638" t="s">
        <v>19</v>
      </c>
      <c r="L7638" t="s">
        <v>27</v>
      </c>
      <c r="M7638" t="s">
        <v>27</v>
      </c>
      <c r="N7638" t="s">
        <v>22</v>
      </c>
    </row>
    <row r="7639" spans="1:14">
      <c r="A7639" s="4" t="str">
        <f t="shared" si="707"/>
        <v>EXP00260</v>
      </c>
      <c r="B7639" s="4" t="str">
        <f t="shared" si="708"/>
        <v>25909218</v>
      </c>
      <c r="C7639" s="4" t="str">
        <f t="shared" si="709"/>
        <v>GSE65904</v>
      </c>
      <c r="D7639" s="1" t="s">
        <v>303</v>
      </c>
      <c r="E7639" t="s">
        <v>84</v>
      </c>
      <c r="F7639" s="1">
        <v>2</v>
      </c>
      <c r="G7639" s="1" t="s">
        <v>315</v>
      </c>
      <c r="H7639" s="4" t="str">
        <f>HYPERLINK("https://www.ncbi.nlm.nih.gov/geo/query/acc.cgi?acc=GSM1608752","GSM1608752")</f>
        <v>GSM1608752</v>
      </c>
      <c r="I7639" t="s">
        <v>82</v>
      </c>
      <c r="J7639" t="s">
        <v>83</v>
      </c>
      <c r="K7639" t="s">
        <v>19</v>
      </c>
      <c r="L7639" t="s">
        <v>27</v>
      </c>
      <c r="M7639" t="s">
        <v>27</v>
      </c>
      <c r="N7639" t="s">
        <v>22</v>
      </c>
    </row>
    <row r="7640" spans="1:14">
      <c r="A7640" s="4" t="str">
        <f t="shared" si="707"/>
        <v>EXP00260</v>
      </c>
      <c r="B7640" s="4" t="str">
        <f t="shared" si="708"/>
        <v>25909218</v>
      </c>
      <c r="C7640" s="4" t="str">
        <f t="shared" si="709"/>
        <v>GSE65904</v>
      </c>
      <c r="D7640" s="1" t="s">
        <v>303</v>
      </c>
      <c r="E7640" t="s">
        <v>84</v>
      </c>
      <c r="F7640" s="1">
        <v>2</v>
      </c>
      <c r="G7640" s="1" t="s">
        <v>315</v>
      </c>
      <c r="H7640" s="4" t="str">
        <f>HYPERLINK("https://www.ncbi.nlm.nih.gov/geo/query/acc.cgi?acc=GSM1608766","GSM1608766")</f>
        <v>GSM1608766</v>
      </c>
      <c r="I7640" t="s">
        <v>82</v>
      </c>
      <c r="J7640" t="s">
        <v>83</v>
      </c>
      <c r="K7640" t="s">
        <v>19</v>
      </c>
      <c r="L7640" t="s">
        <v>27</v>
      </c>
      <c r="M7640" t="s">
        <v>27</v>
      </c>
      <c r="N7640" t="s">
        <v>22</v>
      </c>
    </row>
    <row r="7641" spans="1:14">
      <c r="A7641" s="4" t="str">
        <f t="shared" si="707"/>
        <v>EXP00260</v>
      </c>
      <c r="B7641" s="4" t="str">
        <f t="shared" si="708"/>
        <v>25909218</v>
      </c>
      <c r="C7641" s="4" t="str">
        <f t="shared" si="709"/>
        <v>GSE65904</v>
      </c>
      <c r="D7641" s="1" t="s">
        <v>303</v>
      </c>
      <c r="E7641" t="s">
        <v>84</v>
      </c>
      <c r="F7641" s="1">
        <v>2</v>
      </c>
      <c r="G7641" s="1" t="s">
        <v>315</v>
      </c>
      <c r="H7641" s="4" t="str">
        <f>HYPERLINK("https://www.ncbi.nlm.nih.gov/geo/query/acc.cgi?acc=GSM1608787","GSM1608787")</f>
        <v>GSM1608787</v>
      </c>
      <c r="I7641" t="s">
        <v>82</v>
      </c>
      <c r="J7641" t="s">
        <v>83</v>
      </c>
      <c r="K7641" t="s">
        <v>19</v>
      </c>
      <c r="L7641" t="s">
        <v>27</v>
      </c>
      <c r="M7641" t="s">
        <v>27</v>
      </c>
      <c r="N7641" t="s">
        <v>22</v>
      </c>
    </row>
    <row r="7642" spans="1:14">
      <c r="A7642" s="4" t="str">
        <f t="shared" si="707"/>
        <v>EXP00260</v>
      </c>
      <c r="B7642" s="4" t="str">
        <f t="shared" si="708"/>
        <v>25909218</v>
      </c>
      <c r="C7642" s="4" t="str">
        <f t="shared" si="709"/>
        <v>GSE65904</v>
      </c>
      <c r="D7642" s="1" t="s">
        <v>303</v>
      </c>
      <c r="E7642" t="s">
        <v>84</v>
      </c>
      <c r="F7642" s="1">
        <v>2</v>
      </c>
      <c r="G7642" s="1" t="s">
        <v>315</v>
      </c>
      <c r="H7642" s="4" t="str">
        <f>HYPERLINK("https://www.ncbi.nlm.nih.gov/geo/query/acc.cgi?acc=GSM1608800","GSM1608800")</f>
        <v>GSM1608800</v>
      </c>
      <c r="I7642" t="s">
        <v>82</v>
      </c>
      <c r="J7642" t="s">
        <v>83</v>
      </c>
      <c r="K7642" t="s">
        <v>19</v>
      </c>
      <c r="L7642" t="s">
        <v>27</v>
      </c>
      <c r="M7642" t="s">
        <v>27</v>
      </c>
      <c r="N7642" t="s">
        <v>22</v>
      </c>
    </row>
    <row r="7643" spans="1:14">
      <c r="A7643" s="4" t="str">
        <f t="shared" si="707"/>
        <v>EXP00260</v>
      </c>
      <c r="B7643" s="4" t="str">
        <f t="shared" si="708"/>
        <v>25909218</v>
      </c>
      <c r="C7643" s="4" t="str">
        <f t="shared" si="709"/>
        <v>GSE65904</v>
      </c>
      <c r="D7643" s="1" t="s">
        <v>303</v>
      </c>
      <c r="E7643" t="s">
        <v>84</v>
      </c>
      <c r="F7643" s="1">
        <v>3</v>
      </c>
      <c r="G7643" s="1" t="s">
        <v>123</v>
      </c>
      <c r="H7643" s="4" t="str">
        <f>HYPERLINK("https://www.ncbi.nlm.nih.gov/geo/query/acc.cgi?acc=GSM1608605","GSM1608605")</f>
        <v>GSM1608605</v>
      </c>
      <c r="I7643" t="s">
        <v>82</v>
      </c>
      <c r="J7643" t="s">
        <v>83</v>
      </c>
      <c r="K7643" t="s">
        <v>19</v>
      </c>
      <c r="L7643" t="s">
        <v>27</v>
      </c>
      <c r="M7643" t="s">
        <v>124</v>
      </c>
      <c r="N7643" t="s">
        <v>22</v>
      </c>
    </row>
    <row r="7644" spans="1:14">
      <c r="A7644" s="4" t="str">
        <f t="shared" si="707"/>
        <v>EXP00260</v>
      </c>
      <c r="B7644" s="4" t="str">
        <f t="shared" si="708"/>
        <v>25909218</v>
      </c>
      <c r="C7644" s="4" t="str">
        <f t="shared" si="709"/>
        <v>GSE65904</v>
      </c>
      <c r="D7644" s="1" t="s">
        <v>303</v>
      </c>
      <c r="E7644" t="s">
        <v>84</v>
      </c>
      <c r="F7644" s="1">
        <v>3</v>
      </c>
      <c r="G7644" s="1" t="s">
        <v>123</v>
      </c>
      <c r="H7644" s="4" t="str">
        <f>HYPERLINK("https://www.ncbi.nlm.nih.gov/geo/query/acc.cgi?acc=GSM1608608","GSM1608608")</f>
        <v>GSM1608608</v>
      </c>
      <c r="I7644" t="s">
        <v>82</v>
      </c>
      <c r="J7644" t="s">
        <v>83</v>
      </c>
      <c r="K7644" t="s">
        <v>19</v>
      </c>
      <c r="L7644" t="s">
        <v>27</v>
      </c>
      <c r="M7644" t="s">
        <v>124</v>
      </c>
      <c r="N7644" t="s">
        <v>22</v>
      </c>
    </row>
    <row r="7645" spans="1:14">
      <c r="A7645" s="4" t="str">
        <f t="shared" si="707"/>
        <v>EXP00260</v>
      </c>
      <c r="B7645" s="4" t="str">
        <f t="shared" si="708"/>
        <v>25909218</v>
      </c>
      <c r="C7645" s="4" t="str">
        <f t="shared" si="709"/>
        <v>GSE65904</v>
      </c>
      <c r="D7645" s="1" t="s">
        <v>303</v>
      </c>
      <c r="E7645" t="s">
        <v>84</v>
      </c>
      <c r="F7645" s="1">
        <v>3</v>
      </c>
      <c r="G7645" s="1" t="s">
        <v>123</v>
      </c>
      <c r="H7645" s="4" t="str">
        <f>HYPERLINK("https://www.ncbi.nlm.nih.gov/geo/query/acc.cgi?acc=GSM1608613","GSM1608613")</f>
        <v>GSM1608613</v>
      </c>
      <c r="I7645" t="s">
        <v>82</v>
      </c>
      <c r="J7645" t="s">
        <v>83</v>
      </c>
      <c r="K7645" t="s">
        <v>19</v>
      </c>
      <c r="L7645" t="s">
        <v>27</v>
      </c>
      <c r="M7645" t="s">
        <v>124</v>
      </c>
      <c r="N7645" t="s">
        <v>22</v>
      </c>
    </row>
    <row r="7646" spans="1:14">
      <c r="A7646" s="4" t="str">
        <f t="shared" si="707"/>
        <v>EXP00260</v>
      </c>
      <c r="B7646" s="4" t="str">
        <f t="shared" si="708"/>
        <v>25909218</v>
      </c>
      <c r="C7646" s="4" t="str">
        <f t="shared" si="709"/>
        <v>GSE65904</v>
      </c>
      <c r="D7646" s="1" t="s">
        <v>303</v>
      </c>
      <c r="E7646" t="s">
        <v>84</v>
      </c>
      <c r="F7646" s="1">
        <v>3</v>
      </c>
      <c r="G7646" s="1" t="s">
        <v>123</v>
      </c>
      <c r="H7646" s="4" t="str">
        <f>HYPERLINK("https://www.ncbi.nlm.nih.gov/geo/query/acc.cgi?acc=GSM1608615","GSM1608615")</f>
        <v>GSM1608615</v>
      </c>
      <c r="I7646" t="s">
        <v>82</v>
      </c>
      <c r="J7646" t="s">
        <v>83</v>
      </c>
      <c r="K7646" t="s">
        <v>19</v>
      </c>
      <c r="L7646" t="s">
        <v>27</v>
      </c>
      <c r="M7646" t="s">
        <v>124</v>
      </c>
      <c r="N7646" t="s">
        <v>22</v>
      </c>
    </row>
    <row r="7647" spans="1:14">
      <c r="A7647" s="4" t="str">
        <f t="shared" si="707"/>
        <v>EXP00260</v>
      </c>
      <c r="B7647" s="4" t="str">
        <f t="shared" si="708"/>
        <v>25909218</v>
      </c>
      <c r="C7647" s="4" t="str">
        <f t="shared" si="709"/>
        <v>GSE65904</v>
      </c>
      <c r="D7647" s="1" t="s">
        <v>303</v>
      </c>
      <c r="E7647" t="s">
        <v>84</v>
      </c>
      <c r="F7647" s="1">
        <v>3</v>
      </c>
      <c r="G7647" s="1" t="s">
        <v>123</v>
      </c>
      <c r="H7647" s="4" t="str">
        <f>HYPERLINK("https://www.ncbi.nlm.nih.gov/geo/query/acc.cgi?acc=GSM1608621","GSM1608621")</f>
        <v>GSM1608621</v>
      </c>
      <c r="I7647" t="s">
        <v>82</v>
      </c>
      <c r="J7647" t="s">
        <v>83</v>
      </c>
      <c r="K7647" t="s">
        <v>19</v>
      </c>
      <c r="L7647" t="s">
        <v>27</v>
      </c>
      <c r="M7647" t="s">
        <v>124</v>
      </c>
      <c r="N7647" t="s">
        <v>22</v>
      </c>
    </row>
    <row r="7648" spans="1:14">
      <c r="A7648" s="4" t="str">
        <f t="shared" si="707"/>
        <v>EXP00260</v>
      </c>
      <c r="B7648" s="4" t="str">
        <f t="shared" si="708"/>
        <v>25909218</v>
      </c>
      <c r="C7648" s="4" t="str">
        <f t="shared" si="709"/>
        <v>GSE65904</v>
      </c>
      <c r="D7648" s="1" t="s">
        <v>303</v>
      </c>
      <c r="E7648" t="s">
        <v>84</v>
      </c>
      <c r="F7648" s="1">
        <v>3</v>
      </c>
      <c r="G7648" s="1" t="s">
        <v>123</v>
      </c>
      <c r="H7648" s="4" t="str">
        <f>HYPERLINK("https://www.ncbi.nlm.nih.gov/geo/query/acc.cgi?acc=GSM1608627","GSM1608627")</f>
        <v>GSM1608627</v>
      </c>
      <c r="I7648" t="s">
        <v>82</v>
      </c>
      <c r="J7648" t="s">
        <v>83</v>
      </c>
      <c r="K7648" t="s">
        <v>19</v>
      </c>
      <c r="L7648" t="s">
        <v>27</v>
      </c>
      <c r="M7648" t="s">
        <v>124</v>
      </c>
      <c r="N7648" t="s">
        <v>22</v>
      </c>
    </row>
    <row r="7649" spans="1:14">
      <c r="A7649" s="4" t="str">
        <f t="shared" si="707"/>
        <v>EXP00260</v>
      </c>
      <c r="B7649" s="4" t="str">
        <f t="shared" si="708"/>
        <v>25909218</v>
      </c>
      <c r="C7649" s="4" t="str">
        <f t="shared" si="709"/>
        <v>GSE65904</v>
      </c>
      <c r="D7649" s="1" t="s">
        <v>303</v>
      </c>
      <c r="E7649" t="s">
        <v>84</v>
      </c>
      <c r="F7649" s="1">
        <v>3</v>
      </c>
      <c r="G7649" s="1" t="s">
        <v>123</v>
      </c>
      <c r="H7649" s="4" t="str">
        <f>HYPERLINK("https://www.ncbi.nlm.nih.gov/geo/query/acc.cgi?acc=GSM1608631","GSM1608631")</f>
        <v>GSM1608631</v>
      </c>
      <c r="I7649" t="s">
        <v>82</v>
      </c>
      <c r="J7649" t="s">
        <v>83</v>
      </c>
      <c r="K7649" t="s">
        <v>19</v>
      </c>
      <c r="L7649" t="s">
        <v>27</v>
      </c>
      <c r="M7649" t="s">
        <v>124</v>
      </c>
      <c r="N7649" t="s">
        <v>22</v>
      </c>
    </row>
    <row r="7650" spans="1:14">
      <c r="A7650" s="4" t="str">
        <f t="shared" si="707"/>
        <v>EXP00260</v>
      </c>
      <c r="B7650" s="4" t="str">
        <f t="shared" si="708"/>
        <v>25909218</v>
      </c>
      <c r="C7650" s="4" t="str">
        <f t="shared" si="709"/>
        <v>GSE65904</v>
      </c>
      <c r="D7650" s="1" t="s">
        <v>303</v>
      </c>
      <c r="E7650" t="s">
        <v>84</v>
      </c>
      <c r="F7650" s="1">
        <v>3</v>
      </c>
      <c r="G7650" s="1" t="s">
        <v>123</v>
      </c>
      <c r="H7650" s="4" t="str">
        <f>HYPERLINK("https://www.ncbi.nlm.nih.gov/geo/query/acc.cgi?acc=GSM1608632","GSM1608632")</f>
        <v>GSM1608632</v>
      </c>
      <c r="I7650" t="s">
        <v>82</v>
      </c>
      <c r="J7650" t="s">
        <v>83</v>
      </c>
      <c r="K7650" t="s">
        <v>19</v>
      </c>
      <c r="L7650" t="s">
        <v>27</v>
      </c>
      <c r="M7650" t="s">
        <v>124</v>
      </c>
      <c r="N7650" t="s">
        <v>22</v>
      </c>
    </row>
    <row r="7651" spans="1:14">
      <c r="A7651" s="4" t="str">
        <f t="shared" ref="A7651:A7685" si="710">HYPERLINK("http://hcmdb.i-sanger.com/experiment/details/experiment_id/EXP00260","EXP00260")</f>
        <v>EXP00260</v>
      </c>
      <c r="B7651" s="4" t="str">
        <f t="shared" ref="B7651:B7685" si="711">HYPERLINK("https://www.ncbi.nlm.nih.gov/pubmed/25909218","25909218")</f>
        <v>25909218</v>
      </c>
      <c r="C7651" s="4" t="str">
        <f t="shared" ref="C7651:C7685" si="712">HYPERLINK("https://www.ncbi.nlm.nih.gov/geo/query/acc.cgi?acc=GSE65904","GSE65904")</f>
        <v>GSE65904</v>
      </c>
      <c r="D7651" s="1" t="s">
        <v>303</v>
      </c>
      <c r="E7651" t="s">
        <v>84</v>
      </c>
      <c r="F7651" s="1">
        <v>3</v>
      </c>
      <c r="G7651" s="1" t="s">
        <v>123</v>
      </c>
      <c r="H7651" s="4" t="str">
        <f>HYPERLINK("https://www.ncbi.nlm.nih.gov/geo/query/acc.cgi?acc=GSM1608633","GSM1608633")</f>
        <v>GSM1608633</v>
      </c>
      <c r="I7651" t="s">
        <v>82</v>
      </c>
      <c r="J7651" t="s">
        <v>83</v>
      </c>
      <c r="K7651" t="s">
        <v>19</v>
      </c>
      <c r="L7651" t="s">
        <v>27</v>
      </c>
      <c r="M7651" t="s">
        <v>124</v>
      </c>
      <c r="N7651" t="s">
        <v>22</v>
      </c>
    </row>
    <row r="7652" spans="1:14">
      <c r="A7652" s="4" t="str">
        <f t="shared" si="710"/>
        <v>EXP00260</v>
      </c>
      <c r="B7652" s="4" t="str">
        <f t="shared" si="711"/>
        <v>25909218</v>
      </c>
      <c r="C7652" s="4" t="str">
        <f t="shared" si="712"/>
        <v>GSE65904</v>
      </c>
      <c r="D7652" s="1" t="s">
        <v>303</v>
      </c>
      <c r="E7652" t="s">
        <v>84</v>
      </c>
      <c r="F7652" s="1">
        <v>3</v>
      </c>
      <c r="G7652" s="1" t="s">
        <v>123</v>
      </c>
      <c r="H7652" s="4" t="str">
        <f>HYPERLINK("https://www.ncbi.nlm.nih.gov/geo/query/acc.cgi?acc=GSM1608636","GSM1608636")</f>
        <v>GSM1608636</v>
      </c>
      <c r="I7652" t="s">
        <v>82</v>
      </c>
      <c r="J7652" t="s">
        <v>83</v>
      </c>
      <c r="K7652" t="s">
        <v>19</v>
      </c>
      <c r="L7652" t="s">
        <v>27</v>
      </c>
      <c r="M7652" t="s">
        <v>124</v>
      </c>
      <c r="N7652" t="s">
        <v>22</v>
      </c>
    </row>
    <row r="7653" spans="1:14">
      <c r="A7653" s="4" t="str">
        <f t="shared" si="710"/>
        <v>EXP00260</v>
      </c>
      <c r="B7653" s="4" t="str">
        <f t="shared" si="711"/>
        <v>25909218</v>
      </c>
      <c r="C7653" s="4" t="str">
        <f t="shared" si="712"/>
        <v>GSE65904</v>
      </c>
      <c r="D7653" s="1" t="s">
        <v>303</v>
      </c>
      <c r="E7653" t="s">
        <v>84</v>
      </c>
      <c r="F7653" s="1">
        <v>3</v>
      </c>
      <c r="G7653" s="1" t="s">
        <v>123</v>
      </c>
      <c r="H7653" s="4" t="str">
        <f>HYPERLINK("https://www.ncbi.nlm.nih.gov/geo/query/acc.cgi?acc=GSM1608637","GSM1608637")</f>
        <v>GSM1608637</v>
      </c>
      <c r="I7653" t="s">
        <v>82</v>
      </c>
      <c r="J7653" t="s">
        <v>83</v>
      </c>
      <c r="K7653" t="s">
        <v>19</v>
      </c>
      <c r="L7653" t="s">
        <v>27</v>
      </c>
      <c r="M7653" t="s">
        <v>124</v>
      </c>
      <c r="N7653" t="s">
        <v>22</v>
      </c>
    </row>
    <row r="7654" spans="1:14">
      <c r="A7654" s="4" t="str">
        <f t="shared" si="710"/>
        <v>EXP00260</v>
      </c>
      <c r="B7654" s="4" t="str">
        <f t="shared" si="711"/>
        <v>25909218</v>
      </c>
      <c r="C7654" s="4" t="str">
        <f t="shared" si="712"/>
        <v>GSE65904</v>
      </c>
      <c r="D7654" s="1" t="s">
        <v>303</v>
      </c>
      <c r="E7654" t="s">
        <v>84</v>
      </c>
      <c r="F7654" s="1">
        <v>3</v>
      </c>
      <c r="G7654" s="1" t="s">
        <v>123</v>
      </c>
      <c r="H7654" s="4" t="str">
        <f>HYPERLINK("https://www.ncbi.nlm.nih.gov/geo/query/acc.cgi?acc=GSM1608649","GSM1608649")</f>
        <v>GSM1608649</v>
      </c>
      <c r="I7654" t="s">
        <v>82</v>
      </c>
      <c r="J7654" t="s">
        <v>83</v>
      </c>
      <c r="K7654" t="s">
        <v>19</v>
      </c>
      <c r="L7654" t="s">
        <v>27</v>
      </c>
      <c r="M7654" t="s">
        <v>124</v>
      </c>
      <c r="N7654" t="s">
        <v>22</v>
      </c>
    </row>
    <row r="7655" spans="1:14">
      <c r="A7655" s="4" t="str">
        <f t="shared" si="710"/>
        <v>EXP00260</v>
      </c>
      <c r="B7655" s="4" t="str">
        <f t="shared" si="711"/>
        <v>25909218</v>
      </c>
      <c r="C7655" s="4" t="str">
        <f t="shared" si="712"/>
        <v>GSE65904</v>
      </c>
      <c r="D7655" s="1" t="s">
        <v>303</v>
      </c>
      <c r="E7655" t="s">
        <v>84</v>
      </c>
      <c r="F7655" s="1">
        <v>3</v>
      </c>
      <c r="G7655" s="1" t="s">
        <v>123</v>
      </c>
      <c r="H7655" s="4" t="str">
        <f>HYPERLINK("https://www.ncbi.nlm.nih.gov/geo/query/acc.cgi?acc=GSM1608651","GSM1608651")</f>
        <v>GSM1608651</v>
      </c>
      <c r="I7655" t="s">
        <v>82</v>
      </c>
      <c r="J7655" t="s">
        <v>83</v>
      </c>
      <c r="K7655" t="s">
        <v>19</v>
      </c>
      <c r="L7655" t="s">
        <v>27</v>
      </c>
      <c r="M7655" t="s">
        <v>124</v>
      </c>
      <c r="N7655" t="s">
        <v>22</v>
      </c>
    </row>
    <row r="7656" spans="1:14">
      <c r="A7656" s="4" t="str">
        <f t="shared" si="710"/>
        <v>EXP00260</v>
      </c>
      <c r="B7656" s="4" t="str">
        <f t="shared" si="711"/>
        <v>25909218</v>
      </c>
      <c r="C7656" s="4" t="str">
        <f t="shared" si="712"/>
        <v>GSE65904</v>
      </c>
      <c r="D7656" s="1" t="s">
        <v>303</v>
      </c>
      <c r="E7656" t="s">
        <v>84</v>
      </c>
      <c r="F7656" s="1">
        <v>3</v>
      </c>
      <c r="G7656" s="1" t="s">
        <v>123</v>
      </c>
      <c r="H7656" s="4" t="str">
        <f>HYPERLINK("https://www.ncbi.nlm.nih.gov/geo/query/acc.cgi?acc=GSM1608661","GSM1608661")</f>
        <v>GSM1608661</v>
      </c>
      <c r="I7656" t="s">
        <v>82</v>
      </c>
      <c r="J7656" t="s">
        <v>83</v>
      </c>
      <c r="K7656" t="s">
        <v>19</v>
      </c>
      <c r="L7656" t="s">
        <v>27</v>
      </c>
      <c r="M7656" t="s">
        <v>124</v>
      </c>
      <c r="N7656" t="s">
        <v>22</v>
      </c>
    </row>
    <row r="7657" spans="1:14">
      <c r="A7657" s="4" t="str">
        <f t="shared" si="710"/>
        <v>EXP00260</v>
      </c>
      <c r="B7657" s="4" t="str">
        <f t="shared" si="711"/>
        <v>25909218</v>
      </c>
      <c r="C7657" s="4" t="str">
        <f t="shared" si="712"/>
        <v>GSE65904</v>
      </c>
      <c r="D7657" s="1" t="s">
        <v>303</v>
      </c>
      <c r="E7657" t="s">
        <v>84</v>
      </c>
      <c r="F7657" s="1">
        <v>3</v>
      </c>
      <c r="G7657" s="1" t="s">
        <v>123</v>
      </c>
      <c r="H7657" s="4" t="str">
        <f>HYPERLINK("https://www.ncbi.nlm.nih.gov/geo/query/acc.cgi?acc=GSM1608667","GSM1608667")</f>
        <v>GSM1608667</v>
      </c>
      <c r="I7657" t="s">
        <v>82</v>
      </c>
      <c r="J7657" t="s">
        <v>83</v>
      </c>
      <c r="K7657" t="s">
        <v>19</v>
      </c>
      <c r="L7657" t="s">
        <v>27</v>
      </c>
      <c r="M7657" t="s">
        <v>124</v>
      </c>
      <c r="N7657" t="s">
        <v>22</v>
      </c>
    </row>
    <row r="7658" spans="1:14">
      <c r="A7658" s="4" t="str">
        <f t="shared" si="710"/>
        <v>EXP00260</v>
      </c>
      <c r="B7658" s="4" t="str">
        <f t="shared" si="711"/>
        <v>25909218</v>
      </c>
      <c r="C7658" s="4" t="str">
        <f t="shared" si="712"/>
        <v>GSE65904</v>
      </c>
      <c r="D7658" s="1" t="s">
        <v>303</v>
      </c>
      <c r="E7658" t="s">
        <v>84</v>
      </c>
      <c r="F7658" s="1">
        <v>3</v>
      </c>
      <c r="G7658" s="1" t="s">
        <v>123</v>
      </c>
      <c r="H7658" s="4" t="str">
        <f>HYPERLINK("https://www.ncbi.nlm.nih.gov/geo/query/acc.cgi?acc=GSM1608669","GSM1608669")</f>
        <v>GSM1608669</v>
      </c>
      <c r="I7658" t="s">
        <v>82</v>
      </c>
      <c r="J7658" t="s">
        <v>83</v>
      </c>
      <c r="K7658" t="s">
        <v>19</v>
      </c>
      <c r="L7658" t="s">
        <v>27</v>
      </c>
      <c r="M7658" t="s">
        <v>124</v>
      </c>
      <c r="N7658" t="s">
        <v>22</v>
      </c>
    </row>
    <row r="7659" spans="1:14">
      <c r="A7659" s="4" t="str">
        <f t="shared" si="710"/>
        <v>EXP00260</v>
      </c>
      <c r="B7659" s="4" t="str">
        <f t="shared" si="711"/>
        <v>25909218</v>
      </c>
      <c r="C7659" s="4" t="str">
        <f t="shared" si="712"/>
        <v>GSE65904</v>
      </c>
      <c r="D7659" s="1" t="s">
        <v>303</v>
      </c>
      <c r="E7659" t="s">
        <v>84</v>
      </c>
      <c r="F7659" s="1">
        <v>3</v>
      </c>
      <c r="G7659" s="1" t="s">
        <v>123</v>
      </c>
      <c r="H7659" s="4" t="str">
        <f>HYPERLINK("https://www.ncbi.nlm.nih.gov/geo/query/acc.cgi?acc=GSM1608676","GSM1608676")</f>
        <v>GSM1608676</v>
      </c>
      <c r="I7659" t="s">
        <v>82</v>
      </c>
      <c r="J7659" t="s">
        <v>83</v>
      </c>
      <c r="K7659" t="s">
        <v>19</v>
      </c>
      <c r="L7659" t="s">
        <v>27</v>
      </c>
      <c r="M7659" t="s">
        <v>124</v>
      </c>
      <c r="N7659" t="s">
        <v>22</v>
      </c>
    </row>
    <row r="7660" spans="1:14">
      <c r="A7660" s="4" t="str">
        <f t="shared" si="710"/>
        <v>EXP00260</v>
      </c>
      <c r="B7660" s="4" t="str">
        <f t="shared" si="711"/>
        <v>25909218</v>
      </c>
      <c r="C7660" s="4" t="str">
        <f t="shared" si="712"/>
        <v>GSE65904</v>
      </c>
      <c r="D7660" s="1" t="s">
        <v>303</v>
      </c>
      <c r="E7660" t="s">
        <v>84</v>
      </c>
      <c r="F7660" s="1">
        <v>3</v>
      </c>
      <c r="G7660" s="1" t="s">
        <v>123</v>
      </c>
      <c r="H7660" s="4" t="str">
        <f>HYPERLINK("https://www.ncbi.nlm.nih.gov/geo/query/acc.cgi?acc=GSM1608686","GSM1608686")</f>
        <v>GSM1608686</v>
      </c>
      <c r="I7660" t="s">
        <v>82</v>
      </c>
      <c r="J7660" t="s">
        <v>83</v>
      </c>
      <c r="K7660" t="s">
        <v>19</v>
      </c>
      <c r="L7660" t="s">
        <v>27</v>
      </c>
      <c r="M7660" t="s">
        <v>124</v>
      </c>
      <c r="N7660" t="s">
        <v>22</v>
      </c>
    </row>
    <row r="7661" spans="1:14">
      <c r="A7661" s="4" t="str">
        <f t="shared" si="710"/>
        <v>EXP00260</v>
      </c>
      <c r="B7661" s="4" t="str">
        <f t="shared" si="711"/>
        <v>25909218</v>
      </c>
      <c r="C7661" s="4" t="str">
        <f t="shared" si="712"/>
        <v>GSE65904</v>
      </c>
      <c r="D7661" s="1" t="s">
        <v>303</v>
      </c>
      <c r="E7661" t="s">
        <v>84</v>
      </c>
      <c r="F7661" s="1">
        <v>3</v>
      </c>
      <c r="G7661" s="1" t="s">
        <v>123</v>
      </c>
      <c r="H7661" s="4" t="str">
        <f>HYPERLINK("https://www.ncbi.nlm.nih.gov/geo/query/acc.cgi?acc=GSM1608687","GSM1608687")</f>
        <v>GSM1608687</v>
      </c>
      <c r="I7661" t="s">
        <v>82</v>
      </c>
      <c r="J7661" t="s">
        <v>83</v>
      </c>
      <c r="K7661" t="s">
        <v>19</v>
      </c>
      <c r="L7661" t="s">
        <v>27</v>
      </c>
      <c r="M7661" t="s">
        <v>124</v>
      </c>
      <c r="N7661" t="s">
        <v>22</v>
      </c>
    </row>
    <row r="7662" spans="1:14">
      <c r="A7662" s="4" t="str">
        <f t="shared" si="710"/>
        <v>EXP00260</v>
      </c>
      <c r="B7662" s="4" t="str">
        <f t="shared" si="711"/>
        <v>25909218</v>
      </c>
      <c r="C7662" s="4" t="str">
        <f t="shared" si="712"/>
        <v>GSE65904</v>
      </c>
      <c r="D7662" s="1" t="s">
        <v>303</v>
      </c>
      <c r="E7662" t="s">
        <v>84</v>
      </c>
      <c r="F7662" s="1">
        <v>3</v>
      </c>
      <c r="G7662" s="1" t="s">
        <v>123</v>
      </c>
      <c r="H7662" s="4" t="str">
        <f>HYPERLINK("https://www.ncbi.nlm.nih.gov/geo/query/acc.cgi?acc=GSM1608690","GSM1608690")</f>
        <v>GSM1608690</v>
      </c>
      <c r="I7662" t="s">
        <v>82</v>
      </c>
      <c r="J7662" t="s">
        <v>83</v>
      </c>
      <c r="K7662" t="s">
        <v>19</v>
      </c>
      <c r="L7662" t="s">
        <v>27</v>
      </c>
      <c r="M7662" t="s">
        <v>124</v>
      </c>
      <c r="N7662" t="s">
        <v>22</v>
      </c>
    </row>
    <row r="7663" spans="1:14">
      <c r="A7663" s="4" t="str">
        <f t="shared" si="710"/>
        <v>EXP00260</v>
      </c>
      <c r="B7663" s="4" t="str">
        <f t="shared" si="711"/>
        <v>25909218</v>
      </c>
      <c r="C7663" s="4" t="str">
        <f t="shared" si="712"/>
        <v>GSE65904</v>
      </c>
      <c r="D7663" s="1" t="s">
        <v>303</v>
      </c>
      <c r="E7663" t="s">
        <v>84</v>
      </c>
      <c r="F7663" s="1">
        <v>3</v>
      </c>
      <c r="G7663" s="1" t="s">
        <v>123</v>
      </c>
      <c r="H7663" s="4" t="str">
        <f>HYPERLINK("https://www.ncbi.nlm.nih.gov/geo/query/acc.cgi?acc=GSM1608691","GSM1608691")</f>
        <v>GSM1608691</v>
      </c>
      <c r="I7663" t="s">
        <v>82</v>
      </c>
      <c r="J7663" t="s">
        <v>83</v>
      </c>
      <c r="K7663" t="s">
        <v>19</v>
      </c>
      <c r="L7663" t="s">
        <v>27</v>
      </c>
      <c r="M7663" t="s">
        <v>124</v>
      </c>
      <c r="N7663" t="s">
        <v>22</v>
      </c>
    </row>
    <row r="7664" spans="1:14">
      <c r="A7664" s="4" t="str">
        <f t="shared" si="710"/>
        <v>EXP00260</v>
      </c>
      <c r="B7664" s="4" t="str">
        <f t="shared" si="711"/>
        <v>25909218</v>
      </c>
      <c r="C7664" s="4" t="str">
        <f t="shared" si="712"/>
        <v>GSE65904</v>
      </c>
      <c r="D7664" s="1" t="s">
        <v>303</v>
      </c>
      <c r="E7664" t="s">
        <v>84</v>
      </c>
      <c r="F7664" s="1">
        <v>3</v>
      </c>
      <c r="G7664" s="1" t="s">
        <v>123</v>
      </c>
      <c r="H7664" s="4" t="str">
        <f>HYPERLINK("https://www.ncbi.nlm.nih.gov/geo/query/acc.cgi?acc=GSM1608716","GSM1608716")</f>
        <v>GSM1608716</v>
      </c>
      <c r="I7664" t="s">
        <v>82</v>
      </c>
      <c r="J7664" t="s">
        <v>83</v>
      </c>
      <c r="K7664" t="s">
        <v>19</v>
      </c>
      <c r="L7664" t="s">
        <v>27</v>
      </c>
      <c r="M7664" t="s">
        <v>124</v>
      </c>
      <c r="N7664" t="s">
        <v>22</v>
      </c>
    </row>
    <row r="7665" spans="1:14">
      <c r="A7665" s="4" t="str">
        <f t="shared" si="710"/>
        <v>EXP00260</v>
      </c>
      <c r="B7665" s="4" t="str">
        <f t="shared" si="711"/>
        <v>25909218</v>
      </c>
      <c r="C7665" s="4" t="str">
        <f t="shared" si="712"/>
        <v>GSE65904</v>
      </c>
      <c r="D7665" s="1" t="s">
        <v>303</v>
      </c>
      <c r="E7665" t="s">
        <v>84</v>
      </c>
      <c r="F7665" s="1">
        <v>3</v>
      </c>
      <c r="G7665" s="1" t="s">
        <v>123</v>
      </c>
      <c r="H7665" s="4" t="str">
        <f>HYPERLINK("https://www.ncbi.nlm.nih.gov/geo/query/acc.cgi?acc=GSM1608722","GSM1608722")</f>
        <v>GSM1608722</v>
      </c>
      <c r="I7665" t="s">
        <v>82</v>
      </c>
      <c r="J7665" t="s">
        <v>83</v>
      </c>
      <c r="K7665" t="s">
        <v>19</v>
      </c>
      <c r="L7665" t="s">
        <v>27</v>
      </c>
      <c r="M7665" t="s">
        <v>124</v>
      </c>
      <c r="N7665" t="s">
        <v>22</v>
      </c>
    </row>
    <row r="7666" spans="1:14">
      <c r="A7666" s="4" t="str">
        <f t="shared" si="710"/>
        <v>EXP00260</v>
      </c>
      <c r="B7666" s="4" t="str">
        <f t="shared" si="711"/>
        <v>25909218</v>
      </c>
      <c r="C7666" s="4" t="str">
        <f t="shared" si="712"/>
        <v>GSE65904</v>
      </c>
      <c r="D7666" s="1" t="s">
        <v>303</v>
      </c>
      <c r="E7666" t="s">
        <v>84</v>
      </c>
      <c r="F7666" s="1">
        <v>3</v>
      </c>
      <c r="G7666" s="1" t="s">
        <v>123</v>
      </c>
      <c r="H7666" s="4" t="str">
        <f>HYPERLINK("https://www.ncbi.nlm.nih.gov/geo/query/acc.cgi?acc=GSM1608725","GSM1608725")</f>
        <v>GSM1608725</v>
      </c>
      <c r="I7666" t="s">
        <v>82</v>
      </c>
      <c r="J7666" t="s">
        <v>83</v>
      </c>
      <c r="K7666" t="s">
        <v>19</v>
      </c>
      <c r="L7666" t="s">
        <v>27</v>
      </c>
      <c r="M7666" t="s">
        <v>124</v>
      </c>
      <c r="N7666" t="s">
        <v>22</v>
      </c>
    </row>
    <row r="7667" spans="1:14">
      <c r="A7667" s="4" t="str">
        <f t="shared" si="710"/>
        <v>EXP00260</v>
      </c>
      <c r="B7667" s="4" t="str">
        <f t="shared" si="711"/>
        <v>25909218</v>
      </c>
      <c r="C7667" s="4" t="str">
        <f t="shared" si="712"/>
        <v>GSE65904</v>
      </c>
      <c r="D7667" s="1" t="s">
        <v>303</v>
      </c>
      <c r="E7667" t="s">
        <v>84</v>
      </c>
      <c r="F7667" s="1">
        <v>3</v>
      </c>
      <c r="G7667" s="1" t="s">
        <v>123</v>
      </c>
      <c r="H7667" s="4" t="str">
        <f>HYPERLINK("https://www.ncbi.nlm.nih.gov/geo/query/acc.cgi?acc=GSM1608733","GSM1608733")</f>
        <v>GSM1608733</v>
      </c>
      <c r="I7667" t="s">
        <v>82</v>
      </c>
      <c r="J7667" t="s">
        <v>83</v>
      </c>
      <c r="K7667" t="s">
        <v>19</v>
      </c>
      <c r="L7667" t="s">
        <v>27</v>
      </c>
      <c r="M7667" t="s">
        <v>124</v>
      </c>
      <c r="N7667" t="s">
        <v>22</v>
      </c>
    </row>
    <row r="7668" spans="1:14">
      <c r="A7668" s="4" t="str">
        <f t="shared" si="710"/>
        <v>EXP00260</v>
      </c>
      <c r="B7668" s="4" t="str">
        <f t="shared" si="711"/>
        <v>25909218</v>
      </c>
      <c r="C7668" s="4" t="str">
        <f t="shared" si="712"/>
        <v>GSE65904</v>
      </c>
      <c r="D7668" s="1" t="s">
        <v>303</v>
      </c>
      <c r="E7668" t="s">
        <v>84</v>
      </c>
      <c r="F7668" s="1">
        <v>3</v>
      </c>
      <c r="G7668" s="1" t="s">
        <v>123</v>
      </c>
      <c r="H7668" s="4" t="str">
        <f>HYPERLINK("https://www.ncbi.nlm.nih.gov/geo/query/acc.cgi?acc=GSM1608736","GSM1608736")</f>
        <v>GSM1608736</v>
      </c>
      <c r="I7668" t="s">
        <v>82</v>
      </c>
      <c r="J7668" t="s">
        <v>83</v>
      </c>
      <c r="K7668" t="s">
        <v>19</v>
      </c>
      <c r="L7668" t="s">
        <v>27</v>
      </c>
      <c r="M7668" t="s">
        <v>124</v>
      </c>
      <c r="N7668" t="s">
        <v>22</v>
      </c>
    </row>
    <row r="7669" spans="1:14">
      <c r="A7669" s="4" t="str">
        <f t="shared" si="710"/>
        <v>EXP00260</v>
      </c>
      <c r="B7669" s="4" t="str">
        <f t="shared" si="711"/>
        <v>25909218</v>
      </c>
      <c r="C7669" s="4" t="str">
        <f t="shared" si="712"/>
        <v>GSE65904</v>
      </c>
      <c r="D7669" s="1" t="s">
        <v>303</v>
      </c>
      <c r="E7669" t="s">
        <v>84</v>
      </c>
      <c r="F7669" s="1">
        <v>3</v>
      </c>
      <c r="G7669" s="1" t="s">
        <v>123</v>
      </c>
      <c r="H7669" s="4" t="str">
        <f>HYPERLINK("https://www.ncbi.nlm.nih.gov/geo/query/acc.cgi?acc=GSM1608743","GSM1608743")</f>
        <v>GSM1608743</v>
      </c>
      <c r="I7669" t="s">
        <v>82</v>
      </c>
      <c r="J7669" t="s">
        <v>83</v>
      </c>
      <c r="K7669" t="s">
        <v>19</v>
      </c>
      <c r="L7669" t="s">
        <v>27</v>
      </c>
      <c r="M7669" t="s">
        <v>124</v>
      </c>
      <c r="N7669" t="s">
        <v>22</v>
      </c>
    </row>
    <row r="7670" spans="1:14">
      <c r="A7670" s="4" t="str">
        <f t="shared" si="710"/>
        <v>EXP00260</v>
      </c>
      <c r="B7670" s="4" t="str">
        <f t="shared" si="711"/>
        <v>25909218</v>
      </c>
      <c r="C7670" s="4" t="str">
        <f t="shared" si="712"/>
        <v>GSE65904</v>
      </c>
      <c r="D7670" s="1" t="s">
        <v>303</v>
      </c>
      <c r="E7670" t="s">
        <v>84</v>
      </c>
      <c r="F7670" s="1">
        <v>3</v>
      </c>
      <c r="G7670" s="1" t="s">
        <v>123</v>
      </c>
      <c r="H7670" s="4" t="str">
        <f>HYPERLINK("https://www.ncbi.nlm.nih.gov/geo/query/acc.cgi?acc=GSM1608744","GSM1608744")</f>
        <v>GSM1608744</v>
      </c>
      <c r="I7670" t="s">
        <v>82</v>
      </c>
      <c r="J7670" t="s">
        <v>83</v>
      </c>
      <c r="K7670" t="s">
        <v>19</v>
      </c>
      <c r="L7670" t="s">
        <v>27</v>
      </c>
      <c r="M7670" t="s">
        <v>124</v>
      </c>
      <c r="N7670" t="s">
        <v>22</v>
      </c>
    </row>
    <row r="7671" spans="1:14">
      <c r="A7671" s="4" t="str">
        <f t="shared" si="710"/>
        <v>EXP00260</v>
      </c>
      <c r="B7671" s="4" t="str">
        <f t="shared" si="711"/>
        <v>25909218</v>
      </c>
      <c r="C7671" s="4" t="str">
        <f t="shared" si="712"/>
        <v>GSE65904</v>
      </c>
      <c r="D7671" s="1" t="s">
        <v>303</v>
      </c>
      <c r="E7671" t="s">
        <v>84</v>
      </c>
      <c r="F7671" s="1">
        <v>3</v>
      </c>
      <c r="G7671" s="1" t="s">
        <v>123</v>
      </c>
      <c r="H7671" s="4" t="str">
        <f>HYPERLINK("https://www.ncbi.nlm.nih.gov/geo/query/acc.cgi?acc=GSM1608758","GSM1608758")</f>
        <v>GSM1608758</v>
      </c>
      <c r="I7671" t="s">
        <v>82</v>
      </c>
      <c r="J7671" t="s">
        <v>83</v>
      </c>
      <c r="K7671" t="s">
        <v>19</v>
      </c>
      <c r="L7671" t="s">
        <v>27</v>
      </c>
      <c r="M7671" t="s">
        <v>124</v>
      </c>
      <c r="N7671" t="s">
        <v>22</v>
      </c>
    </row>
    <row r="7672" spans="1:14">
      <c r="A7672" s="4" t="str">
        <f t="shared" si="710"/>
        <v>EXP00260</v>
      </c>
      <c r="B7672" s="4" t="str">
        <f t="shared" si="711"/>
        <v>25909218</v>
      </c>
      <c r="C7672" s="4" t="str">
        <f t="shared" si="712"/>
        <v>GSE65904</v>
      </c>
      <c r="D7672" s="1" t="s">
        <v>303</v>
      </c>
      <c r="E7672" t="s">
        <v>84</v>
      </c>
      <c r="F7672" s="1">
        <v>3</v>
      </c>
      <c r="G7672" s="1" t="s">
        <v>123</v>
      </c>
      <c r="H7672" s="4" t="str">
        <f>HYPERLINK("https://www.ncbi.nlm.nih.gov/geo/query/acc.cgi?acc=GSM1608773","GSM1608773")</f>
        <v>GSM1608773</v>
      </c>
      <c r="I7672" t="s">
        <v>82</v>
      </c>
      <c r="J7672" t="s">
        <v>83</v>
      </c>
      <c r="K7672" t="s">
        <v>19</v>
      </c>
      <c r="L7672" t="s">
        <v>27</v>
      </c>
      <c r="M7672" t="s">
        <v>124</v>
      </c>
      <c r="N7672" t="s">
        <v>22</v>
      </c>
    </row>
    <row r="7673" spans="1:14">
      <c r="A7673" s="4" t="str">
        <f t="shared" si="710"/>
        <v>EXP00260</v>
      </c>
      <c r="B7673" s="4" t="str">
        <f t="shared" si="711"/>
        <v>25909218</v>
      </c>
      <c r="C7673" s="4" t="str">
        <f t="shared" si="712"/>
        <v>GSE65904</v>
      </c>
      <c r="D7673" s="1" t="s">
        <v>303</v>
      </c>
      <c r="E7673" t="s">
        <v>84</v>
      </c>
      <c r="F7673" s="1">
        <v>3</v>
      </c>
      <c r="G7673" s="1" t="s">
        <v>123</v>
      </c>
      <c r="H7673" s="4" t="str">
        <f>HYPERLINK("https://www.ncbi.nlm.nih.gov/geo/query/acc.cgi?acc=GSM1608783","GSM1608783")</f>
        <v>GSM1608783</v>
      </c>
      <c r="I7673" t="s">
        <v>82</v>
      </c>
      <c r="J7673" t="s">
        <v>83</v>
      </c>
      <c r="K7673" t="s">
        <v>19</v>
      </c>
      <c r="L7673" t="s">
        <v>27</v>
      </c>
      <c r="M7673" t="s">
        <v>124</v>
      </c>
      <c r="N7673" t="s">
        <v>22</v>
      </c>
    </row>
    <row r="7674" spans="1:14">
      <c r="A7674" s="4" t="str">
        <f t="shared" si="710"/>
        <v>EXP00260</v>
      </c>
      <c r="B7674" s="4" t="str">
        <f t="shared" si="711"/>
        <v>25909218</v>
      </c>
      <c r="C7674" s="4" t="str">
        <f t="shared" si="712"/>
        <v>GSE65904</v>
      </c>
      <c r="D7674" s="1" t="s">
        <v>303</v>
      </c>
      <c r="E7674" t="s">
        <v>84</v>
      </c>
      <c r="F7674" s="1">
        <v>3</v>
      </c>
      <c r="G7674" s="1" t="s">
        <v>123</v>
      </c>
      <c r="H7674" s="4" t="str">
        <f>HYPERLINK("https://www.ncbi.nlm.nih.gov/geo/query/acc.cgi?acc=GSM1608796","GSM1608796")</f>
        <v>GSM1608796</v>
      </c>
      <c r="I7674" t="s">
        <v>82</v>
      </c>
      <c r="J7674" t="s">
        <v>83</v>
      </c>
      <c r="K7674" t="s">
        <v>19</v>
      </c>
      <c r="L7674" t="s">
        <v>27</v>
      </c>
      <c r="M7674" t="s">
        <v>124</v>
      </c>
      <c r="N7674" t="s">
        <v>22</v>
      </c>
    </row>
    <row r="7675" spans="1:14">
      <c r="A7675" s="4" t="str">
        <f t="shared" si="710"/>
        <v>EXP00260</v>
      </c>
      <c r="B7675" s="4" t="str">
        <f t="shared" si="711"/>
        <v>25909218</v>
      </c>
      <c r="C7675" s="4" t="str">
        <f t="shared" si="712"/>
        <v>GSE65904</v>
      </c>
      <c r="D7675" s="1" t="s">
        <v>303</v>
      </c>
      <c r="E7675" t="s">
        <v>84</v>
      </c>
      <c r="F7675" s="1">
        <v>3</v>
      </c>
      <c r="G7675" s="1" t="s">
        <v>123</v>
      </c>
      <c r="H7675" s="4" t="str">
        <f>HYPERLINK("https://www.ncbi.nlm.nih.gov/geo/query/acc.cgi?acc=GSM1608798","GSM1608798")</f>
        <v>GSM1608798</v>
      </c>
      <c r="I7675" t="s">
        <v>82</v>
      </c>
      <c r="J7675" t="s">
        <v>83</v>
      </c>
      <c r="K7675" t="s">
        <v>19</v>
      </c>
      <c r="L7675" t="s">
        <v>27</v>
      </c>
      <c r="M7675" t="s">
        <v>124</v>
      </c>
      <c r="N7675" t="s">
        <v>22</v>
      </c>
    </row>
    <row r="7676" spans="1:14">
      <c r="A7676" s="4" t="str">
        <f t="shared" si="710"/>
        <v>EXP00260</v>
      </c>
      <c r="B7676" s="4" t="str">
        <f t="shared" si="711"/>
        <v>25909218</v>
      </c>
      <c r="C7676" s="4" t="str">
        <f t="shared" si="712"/>
        <v>GSE65904</v>
      </c>
      <c r="D7676" s="1" t="s">
        <v>303</v>
      </c>
      <c r="E7676" t="s">
        <v>84</v>
      </c>
      <c r="F7676" s="1">
        <v>4</v>
      </c>
      <c r="G7676" s="1" t="s">
        <v>364</v>
      </c>
      <c r="H7676" s="4" t="str">
        <f>HYPERLINK("https://www.ncbi.nlm.nih.gov/geo/query/acc.cgi?acc=GSM1608597","GSM1608597")</f>
        <v>GSM1608597</v>
      </c>
      <c r="I7676" t="s">
        <v>82</v>
      </c>
      <c r="J7676" t="s">
        <v>83</v>
      </c>
      <c r="K7676" t="s">
        <v>19</v>
      </c>
      <c r="L7676" t="s">
        <v>27</v>
      </c>
      <c r="M7676" t="s">
        <v>365</v>
      </c>
      <c r="N7676" t="s">
        <v>22</v>
      </c>
    </row>
    <row r="7677" spans="1:14">
      <c r="A7677" s="4" t="str">
        <f t="shared" si="710"/>
        <v>EXP00260</v>
      </c>
      <c r="B7677" s="4" t="str">
        <f t="shared" si="711"/>
        <v>25909218</v>
      </c>
      <c r="C7677" s="4" t="str">
        <f t="shared" si="712"/>
        <v>GSE65904</v>
      </c>
      <c r="D7677" s="1" t="s">
        <v>303</v>
      </c>
      <c r="E7677" t="s">
        <v>84</v>
      </c>
      <c r="F7677" s="1">
        <v>4</v>
      </c>
      <c r="G7677" s="1" t="s">
        <v>364</v>
      </c>
      <c r="H7677" s="4" t="str">
        <f>HYPERLINK("https://www.ncbi.nlm.nih.gov/geo/query/acc.cgi?acc=GSM1608640","GSM1608640")</f>
        <v>GSM1608640</v>
      </c>
      <c r="I7677" t="s">
        <v>82</v>
      </c>
      <c r="J7677" t="s">
        <v>83</v>
      </c>
      <c r="K7677" t="s">
        <v>19</v>
      </c>
      <c r="L7677" t="s">
        <v>27</v>
      </c>
      <c r="M7677" t="s">
        <v>365</v>
      </c>
      <c r="N7677" t="s">
        <v>22</v>
      </c>
    </row>
    <row r="7678" spans="1:14">
      <c r="A7678" s="4" t="str">
        <f t="shared" si="710"/>
        <v>EXP00260</v>
      </c>
      <c r="B7678" s="4" t="str">
        <f t="shared" si="711"/>
        <v>25909218</v>
      </c>
      <c r="C7678" s="4" t="str">
        <f t="shared" si="712"/>
        <v>GSE65904</v>
      </c>
      <c r="D7678" s="1" t="s">
        <v>303</v>
      </c>
      <c r="E7678" t="s">
        <v>84</v>
      </c>
      <c r="F7678" s="1">
        <v>4</v>
      </c>
      <c r="G7678" s="1" t="s">
        <v>364</v>
      </c>
      <c r="H7678" s="4" t="str">
        <f>HYPERLINK("https://www.ncbi.nlm.nih.gov/geo/query/acc.cgi?acc=GSM1608670","GSM1608670")</f>
        <v>GSM1608670</v>
      </c>
      <c r="I7678" t="s">
        <v>82</v>
      </c>
      <c r="J7678" t="s">
        <v>83</v>
      </c>
      <c r="K7678" t="s">
        <v>19</v>
      </c>
      <c r="L7678" t="s">
        <v>27</v>
      </c>
      <c r="M7678" t="s">
        <v>365</v>
      </c>
      <c r="N7678" t="s">
        <v>22</v>
      </c>
    </row>
    <row r="7679" spans="1:14">
      <c r="A7679" s="4" t="str">
        <f t="shared" si="710"/>
        <v>EXP00260</v>
      </c>
      <c r="B7679" s="4" t="str">
        <f t="shared" si="711"/>
        <v>25909218</v>
      </c>
      <c r="C7679" s="4" t="str">
        <f t="shared" si="712"/>
        <v>GSE65904</v>
      </c>
      <c r="D7679" s="1" t="s">
        <v>303</v>
      </c>
      <c r="E7679" t="s">
        <v>84</v>
      </c>
      <c r="F7679" s="1">
        <v>4</v>
      </c>
      <c r="G7679" s="1" t="s">
        <v>364</v>
      </c>
      <c r="H7679" s="4" t="str">
        <f>HYPERLINK("https://www.ncbi.nlm.nih.gov/geo/query/acc.cgi?acc=GSM1608682","GSM1608682")</f>
        <v>GSM1608682</v>
      </c>
      <c r="I7679" t="s">
        <v>82</v>
      </c>
      <c r="J7679" t="s">
        <v>83</v>
      </c>
      <c r="K7679" t="s">
        <v>19</v>
      </c>
      <c r="L7679" t="s">
        <v>27</v>
      </c>
      <c r="M7679" t="s">
        <v>365</v>
      </c>
      <c r="N7679" t="s">
        <v>22</v>
      </c>
    </row>
    <row r="7680" spans="1:14">
      <c r="A7680" s="4" t="str">
        <f t="shared" si="710"/>
        <v>EXP00260</v>
      </c>
      <c r="B7680" s="4" t="str">
        <f t="shared" si="711"/>
        <v>25909218</v>
      </c>
      <c r="C7680" s="4" t="str">
        <f t="shared" si="712"/>
        <v>GSE65904</v>
      </c>
      <c r="D7680" s="1" t="s">
        <v>303</v>
      </c>
      <c r="E7680" t="s">
        <v>84</v>
      </c>
      <c r="F7680" s="1">
        <v>4</v>
      </c>
      <c r="G7680" s="1" t="s">
        <v>364</v>
      </c>
      <c r="H7680" s="4" t="str">
        <f>HYPERLINK("https://www.ncbi.nlm.nih.gov/geo/query/acc.cgi?acc=GSM1608699","GSM1608699")</f>
        <v>GSM1608699</v>
      </c>
      <c r="I7680" t="s">
        <v>82</v>
      </c>
      <c r="J7680" t="s">
        <v>83</v>
      </c>
      <c r="K7680" t="s">
        <v>19</v>
      </c>
      <c r="L7680" t="s">
        <v>27</v>
      </c>
      <c r="M7680" t="s">
        <v>365</v>
      </c>
      <c r="N7680" t="s">
        <v>22</v>
      </c>
    </row>
    <row r="7681" spans="1:14">
      <c r="A7681" s="4" t="str">
        <f t="shared" si="710"/>
        <v>EXP00260</v>
      </c>
      <c r="B7681" s="4" t="str">
        <f t="shared" si="711"/>
        <v>25909218</v>
      </c>
      <c r="C7681" s="4" t="str">
        <f t="shared" si="712"/>
        <v>GSE65904</v>
      </c>
      <c r="D7681" s="1" t="s">
        <v>303</v>
      </c>
      <c r="E7681" t="s">
        <v>84</v>
      </c>
      <c r="F7681" s="1">
        <v>4</v>
      </c>
      <c r="G7681" s="1" t="s">
        <v>364</v>
      </c>
      <c r="H7681" s="4" t="str">
        <f>HYPERLINK("https://www.ncbi.nlm.nih.gov/geo/query/acc.cgi?acc=GSM1608710","GSM1608710")</f>
        <v>GSM1608710</v>
      </c>
      <c r="I7681" t="s">
        <v>82</v>
      </c>
      <c r="J7681" t="s">
        <v>83</v>
      </c>
      <c r="K7681" t="s">
        <v>19</v>
      </c>
      <c r="L7681" t="s">
        <v>27</v>
      </c>
      <c r="M7681" t="s">
        <v>365</v>
      </c>
      <c r="N7681" t="s">
        <v>22</v>
      </c>
    </row>
    <row r="7682" spans="1:14">
      <c r="A7682" s="4" t="str">
        <f t="shared" si="710"/>
        <v>EXP00260</v>
      </c>
      <c r="B7682" s="4" t="str">
        <f t="shared" si="711"/>
        <v>25909218</v>
      </c>
      <c r="C7682" s="4" t="str">
        <f t="shared" si="712"/>
        <v>GSE65904</v>
      </c>
      <c r="D7682" s="1" t="s">
        <v>303</v>
      </c>
      <c r="E7682" t="s">
        <v>84</v>
      </c>
      <c r="F7682" s="1">
        <v>4</v>
      </c>
      <c r="G7682" s="1" t="s">
        <v>364</v>
      </c>
      <c r="H7682" s="4" t="str">
        <f>HYPERLINK("https://www.ncbi.nlm.nih.gov/geo/query/acc.cgi?acc=GSM1608711","GSM1608711")</f>
        <v>GSM1608711</v>
      </c>
      <c r="I7682" t="s">
        <v>82</v>
      </c>
      <c r="J7682" t="s">
        <v>83</v>
      </c>
      <c r="K7682" t="s">
        <v>19</v>
      </c>
      <c r="L7682" t="s">
        <v>27</v>
      </c>
      <c r="M7682" t="s">
        <v>365</v>
      </c>
      <c r="N7682" t="s">
        <v>22</v>
      </c>
    </row>
    <row r="7683" spans="1:14">
      <c r="A7683" s="4" t="str">
        <f t="shared" si="710"/>
        <v>EXP00260</v>
      </c>
      <c r="B7683" s="4" t="str">
        <f t="shared" si="711"/>
        <v>25909218</v>
      </c>
      <c r="C7683" s="4" t="str">
        <f t="shared" si="712"/>
        <v>GSE65904</v>
      </c>
      <c r="D7683" s="1" t="s">
        <v>303</v>
      </c>
      <c r="E7683" t="s">
        <v>84</v>
      </c>
      <c r="F7683" s="1">
        <v>4</v>
      </c>
      <c r="G7683" s="1" t="s">
        <v>364</v>
      </c>
      <c r="H7683" s="4" t="str">
        <f>HYPERLINK("https://www.ncbi.nlm.nih.gov/geo/query/acc.cgi?acc=GSM1608749","GSM1608749")</f>
        <v>GSM1608749</v>
      </c>
      <c r="I7683" t="s">
        <v>82</v>
      </c>
      <c r="J7683" t="s">
        <v>83</v>
      </c>
      <c r="K7683" t="s">
        <v>19</v>
      </c>
      <c r="L7683" t="s">
        <v>27</v>
      </c>
      <c r="M7683" t="s">
        <v>365</v>
      </c>
      <c r="N7683" t="s">
        <v>22</v>
      </c>
    </row>
    <row r="7684" spans="1:14">
      <c r="A7684" s="4" t="str">
        <f t="shared" si="710"/>
        <v>EXP00260</v>
      </c>
      <c r="B7684" s="4" t="str">
        <f t="shared" si="711"/>
        <v>25909218</v>
      </c>
      <c r="C7684" s="4" t="str">
        <f t="shared" si="712"/>
        <v>GSE65904</v>
      </c>
      <c r="D7684" s="1" t="s">
        <v>303</v>
      </c>
      <c r="E7684" t="s">
        <v>84</v>
      </c>
      <c r="F7684" s="1">
        <v>4</v>
      </c>
      <c r="G7684" s="1" t="s">
        <v>364</v>
      </c>
      <c r="H7684" s="4" t="str">
        <f>HYPERLINK("https://www.ncbi.nlm.nih.gov/geo/query/acc.cgi?acc=GSM1608762","GSM1608762")</f>
        <v>GSM1608762</v>
      </c>
      <c r="I7684" t="s">
        <v>82</v>
      </c>
      <c r="J7684" t="s">
        <v>83</v>
      </c>
      <c r="K7684" t="s">
        <v>19</v>
      </c>
      <c r="L7684" t="s">
        <v>27</v>
      </c>
      <c r="M7684" t="s">
        <v>365</v>
      </c>
      <c r="N7684" t="s">
        <v>22</v>
      </c>
    </row>
    <row r="7685" spans="1:14">
      <c r="A7685" s="4" t="str">
        <f t="shared" si="710"/>
        <v>EXP00260</v>
      </c>
      <c r="B7685" s="4" t="str">
        <f t="shared" si="711"/>
        <v>25909218</v>
      </c>
      <c r="C7685" s="4" t="str">
        <f t="shared" si="712"/>
        <v>GSE65904</v>
      </c>
      <c r="D7685" s="1" t="s">
        <v>303</v>
      </c>
      <c r="E7685" t="s">
        <v>84</v>
      </c>
      <c r="F7685" s="1">
        <v>4</v>
      </c>
      <c r="G7685" s="1" t="s">
        <v>364</v>
      </c>
      <c r="H7685" s="4" t="str">
        <f>HYPERLINK("https://www.ncbi.nlm.nih.gov/geo/query/acc.cgi?acc=GSM1608788","GSM1608788")</f>
        <v>GSM1608788</v>
      </c>
      <c r="I7685" t="s">
        <v>82</v>
      </c>
      <c r="J7685" t="s">
        <v>83</v>
      </c>
      <c r="K7685" t="s">
        <v>19</v>
      </c>
      <c r="L7685" t="s">
        <v>27</v>
      </c>
      <c r="M7685" t="s">
        <v>365</v>
      </c>
      <c r="N7685" t="s">
        <v>22</v>
      </c>
    </row>
    <row r="7686" spans="1:14">
      <c r="A7686" s="4" t="str">
        <f t="shared" ref="A7686:A7707" si="713">HYPERLINK("http://hcmdb.i-sanger.com/experiment/details/experiment_id/EXP00261","EXP00261")</f>
        <v>EXP00261</v>
      </c>
      <c r="B7686" s="3" t="s">
        <v>66</v>
      </c>
      <c r="C7686" s="4" t="str">
        <f t="shared" ref="C7686:C7717" si="714">HYPERLINK("https://www.ncbi.nlm.nih.gov/geo/query/acc.cgi?acc=GSE6605","GSE6605")</f>
        <v>GSE6605</v>
      </c>
      <c r="D7686" s="1" t="s">
        <v>366</v>
      </c>
      <c r="E7686" t="s">
        <v>367</v>
      </c>
      <c r="F7686" s="1">
        <v>1</v>
      </c>
      <c r="G7686" s="1" t="s">
        <v>368</v>
      </c>
      <c r="H7686" s="4" t="str">
        <f>HYPERLINK("https://www.ncbi.nlm.nih.gov/geo/query/acc.cgi?acc=GSM152860","GSM152860")</f>
        <v>GSM152860</v>
      </c>
      <c r="I7686" t="s">
        <v>161</v>
      </c>
      <c r="J7686" t="s">
        <v>18</v>
      </c>
      <c r="K7686" t="s">
        <v>19</v>
      </c>
      <c r="L7686" t="s">
        <v>162</v>
      </c>
      <c r="M7686" t="s">
        <v>34</v>
      </c>
      <c r="N7686" t="s">
        <v>22</v>
      </c>
    </row>
    <row r="7687" spans="1:14">
      <c r="A7687" s="4" t="str">
        <f t="shared" si="713"/>
        <v>EXP00261</v>
      </c>
      <c r="B7687" s="3" t="s">
        <v>66</v>
      </c>
      <c r="C7687" s="4" t="str">
        <f t="shared" si="714"/>
        <v>GSE6605</v>
      </c>
      <c r="D7687" s="1" t="s">
        <v>366</v>
      </c>
      <c r="E7687" t="s">
        <v>367</v>
      </c>
      <c r="F7687" s="1">
        <v>1</v>
      </c>
      <c r="G7687" s="1" t="s">
        <v>368</v>
      </c>
      <c r="H7687" s="4" t="str">
        <f>HYPERLINK("https://www.ncbi.nlm.nih.gov/geo/query/acc.cgi?acc=GSM152861","GSM152861")</f>
        <v>GSM152861</v>
      </c>
      <c r="I7687" t="s">
        <v>161</v>
      </c>
      <c r="J7687" t="s">
        <v>18</v>
      </c>
      <c r="K7687" t="s">
        <v>19</v>
      </c>
      <c r="L7687" t="s">
        <v>162</v>
      </c>
      <c r="M7687" t="s">
        <v>34</v>
      </c>
      <c r="N7687" t="s">
        <v>22</v>
      </c>
    </row>
    <row r="7688" spans="1:14">
      <c r="A7688" s="4" t="str">
        <f t="shared" si="713"/>
        <v>EXP00261</v>
      </c>
      <c r="B7688" s="3" t="s">
        <v>66</v>
      </c>
      <c r="C7688" s="4" t="str">
        <f t="shared" si="714"/>
        <v>GSE6605</v>
      </c>
      <c r="D7688" s="1" t="s">
        <v>366</v>
      </c>
      <c r="E7688" t="s">
        <v>367</v>
      </c>
      <c r="F7688" s="1">
        <v>2</v>
      </c>
      <c r="G7688" s="1" t="s">
        <v>369</v>
      </c>
      <c r="H7688" s="4" t="str">
        <f>HYPERLINK("https://www.ncbi.nlm.nih.gov/geo/query/acc.cgi?acc=GSM152856","GSM152856")</f>
        <v>GSM152856</v>
      </c>
      <c r="I7688" t="s">
        <v>161</v>
      </c>
      <c r="J7688" t="s">
        <v>18</v>
      </c>
      <c r="K7688" t="s">
        <v>19</v>
      </c>
      <c r="L7688" t="s">
        <v>162</v>
      </c>
      <c r="M7688" t="s">
        <v>44</v>
      </c>
      <c r="N7688" t="s">
        <v>22</v>
      </c>
    </row>
    <row r="7689" spans="1:14">
      <c r="A7689" s="4" t="str">
        <f t="shared" si="713"/>
        <v>EXP00261</v>
      </c>
      <c r="B7689" s="3" t="s">
        <v>66</v>
      </c>
      <c r="C7689" s="4" t="str">
        <f t="shared" si="714"/>
        <v>GSE6605</v>
      </c>
      <c r="D7689" s="1" t="s">
        <v>366</v>
      </c>
      <c r="E7689" t="s">
        <v>367</v>
      </c>
      <c r="F7689" s="1">
        <v>2</v>
      </c>
      <c r="G7689" s="1" t="s">
        <v>369</v>
      </c>
      <c r="H7689" s="4" t="str">
        <f>HYPERLINK("https://www.ncbi.nlm.nih.gov/geo/query/acc.cgi?acc=GSM152858","GSM152858")</f>
        <v>GSM152858</v>
      </c>
      <c r="I7689" t="s">
        <v>161</v>
      </c>
      <c r="J7689" t="s">
        <v>18</v>
      </c>
      <c r="K7689" t="s">
        <v>19</v>
      </c>
      <c r="L7689" t="s">
        <v>162</v>
      </c>
      <c r="M7689" t="s">
        <v>44</v>
      </c>
      <c r="N7689" t="s">
        <v>22</v>
      </c>
    </row>
    <row r="7690" spans="1:14">
      <c r="A7690" s="4" t="str">
        <f t="shared" si="713"/>
        <v>EXP00261</v>
      </c>
      <c r="B7690" s="3" t="s">
        <v>66</v>
      </c>
      <c r="C7690" s="4" t="str">
        <f t="shared" si="714"/>
        <v>GSE6605</v>
      </c>
      <c r="D7690" s="1" t="s">
        <v>366</v>
      </c>
      <c r="E7690" t="s">
        <v>367</v>
      </c>
      <c r="F7690" s="1">
        <v>2</v>
      </c>
      <c r="G7690" s="1" t="s">
        <v>369</v>
      </c>
      <c r="H7690" s="4" t="str">
        <f>HYPERLINK("https://www.ncbi.nlm.nih.gov/geo/query/acc.cgi?acc=GSM152871","GSM152871")</f>
        <v>GSM152871</v>
      </c>
      <c r="I7690" t="s">
        <v>161</v>
      </c>
      <c r="J7690" t="s">
        <v>18</v>
      </c>
      <c r="K7690" t="s">
        <v>19</v>
      </c>
      <c r="L7690" t="s">
        <v>162</v>
      </c>
      <c r="M7690" t="s">
        <v>44</v>
      </c>
      <c r="N7690" t="s">
        <v>22</v>
      </c>
    </row>
    <row r="7691" spans="1:14">
      <c r="A7691" s="4" t="str">
        <f t="shared" si="713"/>
        <v>EXP00261</v>
      </c>
      <c r="B7691" s="3" t="s">
        <v>66</v>
      </c>
      <c r="C7691" s="4" t="str">
        <f t="shared" si="714"/>
        <v>GSE6605</v>
      </c>
      <c r="D7691" s="1" t="s">
        <v>366</v>
      </c>
      <c r="E7691" t="s">
        <v>367</v>
      </c>
      <c r="F7691" s="1">
        <v>2</v>
      </c>
      <c r="G7691" s="1" t="s">
        <v>369</v>
      </c>
      <c r="H7691" s="4" t="str">
        <f>HYPERLINK("https://www.ncbi.nlm.nih.gov/geo/query/acc.cgi?acc=GSM152872","GSM152872")</f>
        <v>GSM152872</v>
      </c>
      <c r="I7691" t="s">
        <v>161</v>
      </c>
      <c r="J7691" t="s">
        <v>18</v>
      </c>
      <c r="K7691" t="s">
        <v>19</v>
      </c>
      <c r="L7691" t="s">
        <v>162</v>
      </c>
      <c r="M7691" t="s">
        <v>44</v>
      </c>
      <c r="N7691" t="s">
        <v>22</v>
      </c>
    </row>
    <row r="7692" spans="1:14">
      <c r="A7692" s="4" t="str">
        <f t="shared" si="713"/>
        <v>EXP00261</v>
      </c>
      <c r="B7692" s="3" t="s">
        <v>66</v>
      </c>
      <c r="C7692" s="4" t="str">
        <f t="shared" si="714"/>
        <v>GSE6605</v>
      </c>
      <c r="D7692" s="1" t="s">
        <v>366</v>
      </c>
      <c r="E7692" t="s">
        <v>367</v>
      </c>
      <c r="F7692" s="1">
        <v>2</v>
      </c>
      <c r="G7692" s="1" t="s">
        <v>369</v>
      </c>
      <c r="H7692" s="4" t="str">
        <f>HYPERLINK("https://www.ncbi.nlm.nih.gov/geo/query/acc.cgi?acc=GSM152880","GSM152880")</f>
        <v>GSM152880</v>
      </c>
      <c r="I7692" t="s">
        <v>161</v>
      </c>
      <c r="J7692" t="s">
        <v>18</v>
      </c>
      <c r="K7692" t="s">
        <v>19</v>
      </c>
      <c r="L7692" t="s">
        <v>162</v>
      </c>
      <c r="M7692" t="s">
        <v>44</v>
      </c>
      <c r="N7692" t="s">
        <v>22</v>
      </c>
    </row>
    <row r="7693" spans="1:14">
      <c r="A7693" s="4" t="str">
        <f t="shared" si="713"/>
        <v>EXP00261</v>
      </c>
      <c r="B7693" s="3" t="s">
        <v>66</v>
      </c>
      <c r="C7693" s="4" t="str">
        <f t="shared" si="714"/>
        <v>GSE6605</v>
      </c>
      <c r="D7693" s="1" t="s">
        <v>366</v>
      </c>
      <c r="E7693" t="s">
        <v>367</v>
      </c>
      <c r="F7693" s="1">
        <v>3</v>
      </c>
      <c r="G7693" s="1" t="s">
        <v>370</v>
      </c>
      <c r="H7693" s="4" t="str">
        <f>HYPERLINK("https://www.ncbi.nlm.nih.gov/geo/query/acc.cgi?acc=GSM152862","GSM152862")</f>
        <v>GSM152862</v>
      </c>
      <c r="I7693" t="s">
        <v>161</v>
      </c>
      <c r="J7693" t="s">
        <v>18</v>
      </c>
      <c r="K7693" t="s">
        <v>19</v>
      </c>
      <c r="L7693" t="s">
        <v>162</v>
      </c>
      <c r="M7693" t="s">
        <v>24</v>
      </c>
      <c r="N7693" t="s">
        <v>22</v>
      </c>
    </row>
    <row r="7694" spans="1:14">
      <c r="A7694" s="4" t="str">
        <f t="shared" si="713"/>
        <v>EXP00261</v>
      </c>
      <c r="B7694" s="3" t="s">
        <v>66</v>
      </c>
      <c r="C7694" s="4" t="str">
        <f t="shared" si="714"/>
        <v>GSE6605</v>
      </c>
      <c r="D7694" s="1" t="s">
        <v>366</v>
      </c>
      <c r="E7694" t="s">
        <v>367</v>
      </c>
      <c r="F7694" s="1">
        <v>3</v>
      </c>
      <c r="G7694" s="1" t="s">
        <v>370</v>
      </c>
      <c r="H7694" s="4" t="str">
        <f>HYPERLINK("https://www.ncbi.nlm.nih.gov/geo/query/acc.cgi?acc=GSM152863","GSM152863")</f>
        <v>GSM152863</v>
      </c>
      <c r="I7694" t="s">
        <v>161</v>
      </c>
      <c r="J7694" t="s">
        <v>18</v>
      </c>
      <c r="K7694" t="s">
        <v>19</v>
      </c>
      <c r="L7694" t="s">
        <v>162</v>
      </c>
      <c r="M7694" t="s">
        <v>24</v>
      </c>
      <c r="N7694" t="s">
        <v>22</v>
      </c>
    </row>
    <row r="7695" spans="1:14">
      <c r="A7695" s="4" t="str">
        <f t="shared" si="713"/>
        <v>EXP00261</v>
      </c>
      <c r="B7695" s="3" t="s">
        <v>66</v>
      </c>
      <c r="C7695" s="4" t="str">
        <f t="shared" si="714"/>
        <v>GSE6605</v>
      </c>
      <c r="D7695" s="1" t="s">
        <v>366</v>
      </c>
      <c r="E7695" t="s">
        <v>367</v>
      </c>
      <c r="F7695" s="1">
        <v>3</v>
      </c>
      <c r="G7695" s="1" t="s">
        <v>370</v>
      </c>
      <c r="H7695" s="4" t="str">
        <f>HYPERLINK("https://www.ncbi.nlm.nih.gov/geo/query/acc.cgi?acc=GSM152864","GSM152864")</f>
        <v>GSM152864</v>
      </c>
      <c r="I7695" t="s">
        <v>161</v>
      </c>
      <c r="J7695" t="s">
        <v>18</v>
      </c>
      <c r="K7695" t="s">
        <v>19</v>
      </c>
      <c r="L7695" t="s">
        <v>162</v>
      </c>
      <c r="M7695" t="s">
        <v>24</v>
      </c>
      <c r="N7695" t="s">
        <v>22</v>
      </c>
    </row>
    <row r="7696" spans="1:14">
      <c r="A7696" s="4" t="str">
        <f t="shared" si="713"/>
        <v>EXP00261</v>
      </c>
      <c r="B7696" s="3" t="s">
        <v>66</v>
      </c>
      <c r="C7696" s="4" t="str">
        <f t="shared" si="714"/>
        <v>GSE6605</v>
      </c>
      <c r="D7696" s="1" t="s">
        <v>366</v>
      </c>
      <c r="E7696" t="s">
        <v>367</v>
      </c>
      <c r="F7696" s="1">
        <v>3</v>
      </c>
      <c r="G7696" s="1" t="s">
        <v>370</v>
      </c>
      <c r="H7696" s="4" t="str">
        <f>HYPERLINK("https://www.ncbi.nlm.nih.gov/geo/query/acc.cgi?acc=GSM152865","GSM152865")</f>
        <v>GSM152865</v>
      </c>
      <c r="I7696" t="s">
        <v>161</v>
      </c>
      <c r="J7696" t="s">
        <v>18</v>
      </c>
      <c r="K7696" t="s">
        <v>19</v>
      </c>
      <c r="L7696" t="s">
        <v>162</v>
      </c>
      <c r="M7696" t="s">
        <v>24</v>
      </c>
      <c r="N7696" t="s">
        <v>22</v>
      </c>
    </row>
    <row r="7697" spans="1:14">
      <c r="A7697" s="4" t="str">
        <f t="shared" si="713"/>
        <v>EXP00261</v>
      </c>
      <c r="B7697" s="3" t="s">
        <v>66</v>
      </c>
      <c r="C7697" s="4" t="str">
        <f t="shared" si="714"/>
        <v>GSE6605</v>
      </c>
      <c r="D7697" s="1" t="s">
        <v>366</v>
      </c>
      <c r="E7697" t="s">
        <v>367</v>
      </c>
      <c r="F7697" s="1">
        <v>3</v>
      </c>
      <c r="G7697" s="1" t="s">
        <v>370</v>
      </c>
      <c r="H7697" s="4" t="str">
        <f>HYPERLINK("https://www.ncbi.nlm.nih.gov/geo/query/acc.cgi?acc=GSM152867","GSM152867")</f>
        <v>GSM152867</v>
      </c>
      <c r="I7697" t="s">
        <v>161</v>
      </c>
      <c r="J7697" t="s">
        <v>18</v>
      </c>
      <c r="K7697" t="s">
        <v>19</v>
      </c>
      <c r="L7697" t="s">
        <v>162</v>
      </c>
      <c r="M7697" t="s">
        <v>24</v>
      </c>
      <c r="N7697" t="s">
        <v>22</v>
      </c>
    </row>
    <row r="7698" spans="1:14">
      <c r="A7698" s="4" t="str">
        <f t="shared" si="713"/>
        <v>EXP00261</v>
      </c>
      <c r="B7698" s="3" t="s">
        <v>66</v>
      </c>
      <c r="C7698" s="4" t="str">
        <f t="shared" si="714"/>
        <v>GSE6605</v>
      </c>
      <c r="D7698" s="1" t="s">
        <v>366</v>
      </c>
      <c r="E7698" t="s">
        <v>367</v>
      </c>
      <c r="F7698" s="1">
        <v>3</v>
      </c>
      <c r="G7698" s="1" t="s">
        <v>370</v>
      </c>
      <c r="H7698" s="4" t="str">
        <f>HYPERLINK("https://www.ncbi.nlm.nih.gov/geo/query/acc.cgi?acc=GSM152868","GSM152868")</f>
        <v>GSM152868</v>
      </c>
      <c r="I7698" t="s">
        <v>161</v>
      </c>
      <c r="J7698" t="s">
        <v>18</v>
      </c>
      <c r="K7698" t="s">
        <v>19</v>
      </c>
      <c r="L7698" t="s">
        <v>162</v>
      </c>
      <c r="M7698" t="s">
        <v>24</v>
      </c>
      <c r="N7698" t="s">
        <v>22</v>
      </c>
    </row>
    <row r="7699" spans="1:14">
      <c r="A7699" s="4" t="str">
        <f t="shared" si="713"/>
        <v>EXP00261</v>
      </c>
      <c r="B7699" s="3" t="s">
        <v>66</v>
      </c>
      <c r="C7699" s="4" t="str">
        <f t="shared" si="714"/>
        <v>GSE6605</v>
      </c>
      <c r="D7699" s="1" t="s">
        <v>366</v>
      </c>
      <c r="E7699" t="s">
        <v>367</v>
      </c>
      <c r="F7699" s="1">
        <v>3</v>
      </c>
      <c r="G7699" s="1" t="s">
        <v>370</v>
      </c>
      <c r="H7699" s="4" t="str">
        <f>HYPERLINK("https://www.ncbi.nlm.nih.gov/geo/query/acc.cgi?acc=GSM152869","GSM152869")</f>
        <v>GSM152869</v>
      </c>
      <c r="I7699" t="s">
        <v>161</v>
      </c>
      <c r="J7699" t="s">
        <v>18</v>
      </c>
      <c r="K7699" t="s">
        <v>19</v>
      </c>
      <c r="L7699" t="s">
        <v>162</v>
      </c>
      <c r="M7699" t="s">
        <v>24</v>
      </c>
      <c r="N7699" t="s">
        <v>22</v>
      </c>
    </row>
    <row r="7700" spans="1:14">
      <c r="A7700" s="4" t="str">
        <f t="shared" si="713"/>
        <v>EXP00261</v>
      </c>
      <c r="B7700" s="3" t="s">
        <v>66</v>
      </c>
      <c r="C7700" s="4" t="str">
        <f t="shared" si="714"/>
        <v>GSE6605</v>
      </c>
      <c r="D7700" s="1" t="s">
        <v>366</v>
      </c>
      <c r="E7700" t="s">
        <v>367</v>
      </c>
      <c r="F7700" s="1">
        <v>3</v>
      </c>
      <c r="G7700" s="1" t="s">
        <v>370</v>
      </c>
      <c r="H7700" s="4" t="str">
        <f>HYPERLINK("https://www.ncbi.nlm.nih.gov/geo/query/acc.cgi?acc=GSM152870","GSM152870")</f>
        <v>GSM152870</v>
      </c>
      <c r="I7700" t="s">
        <v>161</v>
      </c>
      <c r="J7700" t="s">
        <v>18</v>
      </c>
      <c r="K7700" t="s">
        <v>19</v>
      </c>
      <c r="L7700" t="s">
        <v>162</v>
      </c>
      <c r="M7700" t="s">
        <v>24</v>
      </c>
      <c r="N7700" t="s">
        <v>22</v>
      </c>
    </row>
    <row r="7701" spans="1:14">
      <c r="A7701" s="4" t="str">
        <f t="shared" si="713"/>
        <v>EXP00261</v>
      </c>
      <c r="B7701" s="3" t="s">
        <v>66</v>
      </c>
      <c r="C7701" s="4" t="str">
        <f t="shared" si="714"/>
        <v>GSE6605</v>
      </c>
      <c r="D7701" s="1" t="s">
        <v>366</v>
      </c>
      <c r="E7701" t="s">
        <v>367</v>
      </c>
      <c r="F7701" s="1">
        <v>3</v>
      </c>
      <c r="G7701" s="1" t="s">
        <v>370</v>
      </c>
      <c r="H7701" s="4" t="str">
        <f>HYPERLINK("https://www.ncbi.nlm.nih.gov/geo/query/acc.cgi?acc=GSM152873","GSM152873")</f>
        <v>GSM152873</v>
      </c>
      <c r="I7701" t="s">
        <v>161</v>
      </c>
      <c r="J7701" t="s">
        <v>18</v>
      </c>
      <c r="K7701" t="s">
        <v>19</v>
      </c>
      <c r="L7701" t="s">
        <v>162</v>
      </c>
      <c r="M7701" t="s">
        <v>24</v>
      </c>
      <c r="N7701" t="s">
        <v>22</v>
      </c>
    </row>
    <row r="7702" spans="1:14">
      <c r="A7702" s="4" t="str">
        <f t="shared" si="713"/>
        <v>EXP00261</v>
      </c>
      <c r="B7702" s="3" t="s">
        <v>66</v>
      </c>
      <c r="C7702" s="4" t="str">
        <f t="shared" si="714"/>
        <v>GSE6605</v>
      </c>
      <c r="D7702" s="1" t="s">
        <v>366</v>
      </c>
      <c r="E7702" t="s">
        <v>367</v>
      </c>
      <c r="F7702" s="1">
        <v>3</v>
      </c>
      <c r="G7702" s="1" t="s">
        <v>370</v>
      </c>
      <c r="H7702" s="4" t="str">
        <f>HYPERLINK("https://www.ncbi.nlm.nih.gov/geo/query/acc.cgi?acc=GSM152874","GSM152874")</f>
        <v>GSM152874</v>
      </c>
      <c r="I7702" t="s">
        <v>161</v>
      </c>
      <c r="J7702" t="s">
        <v>18</v>
      </c>
      <c r="K7702" t="s">
        <v>19</v>
      </c>
      <c r="L7702" t="s">
        <v>162</v>
      </c>
      <c r="M7702" t="s">
        <v>24</v>
      </c>
      <c r="N7702" t="s">
        <v>22</v>
      </c>
    </row>
    <row r="7703" spans="1:14">
      <c r="A7703" s="4" t="str">
        <f t="shared" si="713"/>
        <v>EXP00261</v>
      </c>
      <c r="B7703" s="3" t="s">
        <v>66</v>
      </c>
      <c r="C7703" s="4" t="str">
        <f t="shared" si="714"/>
        <v>GSE6605</v>
      </c>
      <c r="D7703" s="1" t="s">
        <v>366</v>
      </c>
      <c r="E7703" t="s">
        <v>367</v>
      </c>
      <c r="F7703" s="1">
        <v>3</v>
      </c>
      <c r="G7703" s="1" t="s">
        <v>370</v>
      </c>
      <c r="H7703" s="4" t="str">
        <f>HYPERLINK("https://www.ncbi.nlm.nih.gov/geo/query/acc.cgi?acc=GSM152875","GSM152875")</f>
        <v>GSM152875</v>
      </c>
      <c r="I7703" t="s">
        <v>161</v>
      </c>
      <c r="J7703" t="s">
        <v>18</v>
      </c>
      <c r="K7703" t="s">
        <v>19</v>
      </c>
      <c r="L7703" t="s">
        <v>162</v>
      </c>
      <c r="M7703" t="s">
        <v>24</v>
      </c>
      <c r="N7703" t="s">
        <v>22</v>
      </c>
    </row>
    <row r="7704" spans="1:14">
      <c r="A7704" s="4" t="str">
        <f t="shared" si="713"/>
        <v>EXP00261</v>
      </c>
      <c r="B7704" s="3" t="s">
        <v>66</v>
      </c>
      <c r="C7704" s="4" t="str">
        <f t="shared" si="714"/>
        <v>GSE6605</v>
      </c>
      <c r="D7704" s="1" t="s">
        <v>366</v>
      </c>
      <c r="E7704" t="s">
        <v>367</v>
      </c>
      <c r="F7704" s="1">
        <v>3</v>
      </c>
      <c r="G7704" s="1" t="s">
        <v>370</v>
      </c>
      <c r="H7704" s="4" t="str">
        <f>HYPERLINK("https://www.ncbi.nlm.nih.gov/geo/query/acc.cgi?acc=GSM152876","GSM152876")</f>
        <v>GSM152876</v>
      </c>
      <c r="I7704" t="s">
        <v>161</v>
      </c>
      <c r="J7704" t="s">
        <v>18</v>
      </c>
      <c r="K7704" t="s">
        <v>19</v>
      </c>
      <c r="L7704" t="s">
        <v>162</v>
      </c>
      <c r="M7704" t="s">
        <v>24</v>
      </c>
      <c r="N7704" t="s">
        <v>22</v>
      </c>
    </row>
    <row r="7705" spans="1:14">
      <c r="A7705" s="4" t="str">
        <f t="shared" si="713"/>
        <v>EXP00261</v>
      </c>
      <c r="B7705" s="3" t="s">
        <v>66</v>
      </c>
      <c r="C7705" s="4" t="str">
        <f t="shared" si="714"/>
        <v>GSE6605</v>
      </c>
      <c r="D7705" s="1" t="s">
        <v>366</v>
      </c>
      <c r="E7705" t="s">
        <v>367</v>
      </c>
      <c r="F7705" s="1">
        <v>3</v>
      </c>
      <c r="G7705" s="1" t="s">
        <v>370</v>
      </c>
      <c r="H7705" s="4" t="str">
        <f>HYPERLINK("https://www.ncbi.nlm.nih.gov/geo/query/acc.cgi?acc=GSM152877","GSM152877")</f>
        <v>GSM152877</v>
      </c>
      <c r="I7705" t="s">
        <v>161</v>
      </c>
      <c r="J7705" t="s">
        <v>18</v>
      </c>
      <c r="K7705" t="s">
        <v>19</v>
      </c>
      <c r="L7705" t="s">
        <v>162</v>
      </c>
      <c r="M7705" t="s">
        <v>24</v>
      </c>
      <c r="N7705" t="s">
        <v>22</v>
      </c>
    </row>
    <row r="7706" spans="1:14">
      <c r="A7706" s="4" t="str">
        <f t="shared" si="713"/>
        <v>EXP00261</v>
      </c>
      <c r="B7706" s="3" t="s">
        <v>66</v>
      </c>
      <c r="C7706" s="4" t="str">
        <f t="shared" si="714"/>
        <v>GSE6605</v>
      </c>
      <c r="D7706" s="1" t="s">
        <v>366</v>
      </c>
      <c r="E7706" t="s">
        <v>367</v>
      </c>
      <c r="F7706" s="1">
        <v>3</v>
      </c>
      <c r="G7706" s="1" t="s">
        <v>370</v>
      </c>
      <c r="H7706" s="4" t="str">
        <f>HYPERLINK("https://www.ncbi.nlm.nih.gov/geo/query/acc.cgi?acc=GSM152878","GSM152878")</f>
        <v>GSM152878</v>
      </c>
      <c r="I7706" t="s">
        <v>161</v>
      </c>
      <c r="J7706" t="s">
        <v>18</v>
      </c>
      <c r="K7706" t="s">
        <v>19</v>
      </c>
      <c r="L7706" t="s">
        <v>162</v>
      </c>
      <c r="M7706" t="s">
        <v>24</v>
      </c>
      <c r="N7706" t="s">
        <v>22</v>
      </c>
    </row>
    <row r="7707" spans="1:14">
      <c r="A7707" s="4" t="str">
        <f t="shared" si="713"/>
        <v>EXP00261</v>
      </c>
      <c r="B7707" s="3" t="s">
        <v>66</v>
      </c>
      <c r="C7707" s="4" t="str">
        <f t="shared" si="714"/>
        <v>GSE6605</v>
      </c>
      <c r="D7707" s="1" t="s">
        <v>366</v>
      </c>
      <c r="E7707" t="s">
        <v>367</v>
      </c>
      <c r="F7707" s="1">
        <v>3</v>
      </c>
      <c r="G7707" s="1" t="s">
        <v>370</v>
      </c>
      <c r="H7707" s="4" t="str">
        <f>HYPERLINK("https://www.ncbi.nlm.nih.gov/geo/query/acc.cgi?acc=GSM152879","GSM152879")</f>
        <v>GSM152879</v>
      </c>
      <c r="I7707" t="s">
        <v>161</v>
      </c>
      <c r="J7707" t="s">
        <v>18</v>
      </c>
      <c r="K7707" t="s">
        <v>19</v>
      </c>
      <c r="L7707" t="s">
        <v>162</v>
      </c>
      <c r="M7707" t="s">
        <v>24</v>
      </c>
      <c r="N7707" t="s">
        <v>22</v>
      </c>
    </row>
    <row r="7708" spans="1:14">
      <c r="A7708" s="4" t="str">
        <f t="shared" ref="A7708:A7729" si="715">HYPERLINK("http://hcmdb.i-sanger.com/experiment/details/experiment_id/EXP00262","EXP00262")</f>
        <v>EXP00262</v>
      </c>
      <c r="B7708" s="3" t="s">
        <v>66</v>
      </c>
      <c r="C7708" s="4" t="str">
        <f t="shared" si="714"/>
        <v>GSE6605</v>
      </c>
      <c r="D7708" s="1" t="s">
        <v>371</v>
      </c>
      <c r="E7708" t="s">
        <v>367</v>
      </c>
      <c r="F7708" s="1">
        <v>1</v>
      </c>
      <c r="G7708" s="1" t="s">
        <v>368</v>
      </c>
      <c r="H7708" s="4" t="str">
        <f>HYPERLINK("https://www.ncbi.nlm.nih.gov/geo/query/acc.cgi?acc=GSM152885","GSM152885")</f>
        <v>GSM152885</v>
      </c>
      <c r="I7708" t="s">
        <v>161</v>
      </c>
      <c r="J7708" t="s">
        <v>18</v>
      </c>
      <c r="K7708" t="s">
        <v>19</v>
      </c>
      <c r="L7708" t="s">
        <v>162</v>
      </c>
      <c r="M7708" t="s">
        <v>34</v>
      </c>
      <c r="N7708" t="s">
        <v>22</v>
      </c>
    </row>
    <row r="7709" spans="1:14">
      <c r="A7709" s="4" t="str">
        <f t="shared" si="715"/>
        <v>EXP00262</v>
      </c>
      <c r="B7709" s="3" t="s">
        <v>66</v>
      </c>
      <c r="C7709" s="4" t="str">
        <f t="shared" si="714"/>
        <v>GSE6605</v>
      </c>
      <c r="D7709" s="1" t="s">
        <v>371</v>
      </c>
      <c r="E7709" t="s">
        <v>367</v>
      </c>
      <c r="F7709" s="1">
        <v>1</v>
      </c>
      <c r="G7709" s="1" t="s">
        <v>368</v>
      </c>
      <c r="H7709" s="4" t="str">
        <f>HYPERLINK("https://www.ncbi.nlm.nih.gov/geo/query/acc.cgi?acc=GSM152886","GSM152886")</f>
        <v>GSM152886</v>
      </c>
      <c r="I7709" t="s">
        <v>161</v>
      </c>
      <c r="J7709" t="s">
        <v>18</v>
      </c>
      <c r="K7709" t="s">
        <v>19</v>
      </c>
      <c r="L7709" t="s">
        <v>162</v>
      </c>
      <c r="M7709" t="s">
        <v>34</v>
      </c>
      <c r="N7709" t="s">
        <v>22</v>
      </c>
    </row>
    <row r="7710" spans="1:14">
      <c r="A7710" s="4" t="str">
        <f t="shared" si="715"/>
        <v>EXP00262</v>
      </c>
      <c r="B7710" s="3" t="s">
        <v>66</v>
      </c>
      <c r="C7710" s="4" t="str">
        <f t="shared" si="714"/>
        <v>GSE6605</v>
      </c>
      <c r="D7710" s="1" t="s">
        <v>371</v>
      </c>
      <c r="E7710" t="s">
        <v>367</v>
      </c>
      <c r="F7710" s="1">
        <v>2</v>
      </c>
      <c r="G7710" s="1" t="s">
        <v>369</v>
      </c>
      <c r="H7710" s="4" t="str">
        <f>HYPERLINK("https://www.ncbi.nlm.nih.gov/geo/query/acc.cgi?acc=GSM152881","GSM152881")</f>
        <v>GSM152881</v>
      </c>
      <c r="I7710" t="s">
        <v>161</v>
      </c>
      <c r="J7710" t="s">
        <v>18</v>
      </c>
      <c r="K7710" t="s">
        <v>19</v>
      </c>
      <c r="L7710" t="s">
        <v>162</v>
      </c>
      <c r="M7710" t="s">
        <v>44</v>
      </c>
      <c r="N7710" t="s">
        <v>22</v>
      </c>
    </row>
    <row r="7711" spans="1:14">
      <c r="A7711" s="4" t="str">
        <f t="shared" si="715"/>
        <v>EXP00262</v>
      </c>
      <c r="B7711" s="3" t="s">
        <v>66</v>
      </c>
      <c r="C7711" s="4" t="str">
        <f t="shared" si="714"/>
        <v>GSE6605</v>
      </c>
      <c r="D7711" s="1" t="s">
        <v>371</v>
      </c>
      <c r="E7711" t="s">
        <v>367</v>
      </c>
      <c r="F7711" s="1">
        <v>2</v>
      </c>
      <c r="G7711" s="1" t="s">
        <v>369</v>
      </c>
      <c r="H7711" s="4" t="str">
        <f>HYPERLINK("https://www.ncbi.nlm.nih.gov/geo/query/acc.cgi?acc=GSM152883","GSM152883")</f>
        <v>GSM152883</v>
      </c>
      <c r="I7711" t="s">
        <v>161</v>
      </c>
      <c r="J7711" t="s">
        <v>18</v>
      </c>
      <c r="K7711" t="s">
        <v>19</v>
      </c>
      <c r="L7711" t="s">
        <v>162</v>
      </c>
      <c r="M7711" t="s">
        <v>44</v>
      </c>
      <c r="N7711" t="s">
        <v>22</v>
      </c>
    </row>
    <row r="7712" spans="1:14">
      <c r="A7712" s="4" t="str">
        <f t="shared" si="715"/>
        <v>EXP00262</v>
      </c>
      <c r="B7712" s="3" t="s">
        <v>66</v>
      </c>
      <c r="C7712" s="4" t="str">
        <f t="shared" si="714"/>
        <v>GSE6605</v>
      </c>
      <c r="D7712" s="1" t="s">
        <v>371</v>
      </c>
      <c r="E7712" t="s">
        <v>367</v>
      </c>
      <c r="F7712" s="1">
        <v>2</v>
      </c>
      <c r="G7712" s="1" t="s">
        <v>369</v>
      </c>
      <c r="H7712" s="4" t="str">
        <f>HYPERLINK("https://www.ncbi.nlm.nih.gov/geo/query/acc.cgi?acc=GSM152896","GSM152896")</f>
        <v>GSM152896</v>
      </c>
      <c r="I7712" t="s">
        <v>161</v>
      </c>
      <c r="J7712" t="s">
        <v>18</v>
      </c>
      <c r="K7712" t="s">
        <v>19</v>
      </c>
      <c r="L7712" t="s">
        <v>162</v>
      </c>
      <c r="M7712" t="s">
        <v>44</v>
      </c>
      <c r="N7712" t="s">
        <v>22</v>
      </c>
    </row>
    <row r="7713" spans="1:14">
      <c r="A7713" s="4" t="str">
        <f t="shared" si="715"/>
        <v>EXP00262</v>
      </c>
      <c r="B7713" s="3" t="s">
        <v>66</v>
      </c>
      <c r="C7713" s="4" t="str">
        <f t="shared" si="714"/>
        <v>GSE6605</v>
      </c>
      <c r="D7713" s="1" t="s">
        <v>371</v>
      </c>
      <c r="E7713" t="s">
        <v>367</v>
      </c>
      <c r="F7713" s="1">
        <v>2</v>
      </c>
      <c r="G7713" s="1" t="s">
        <v>369</v>
      </c>
      <c r="H7713" s="4" t="str">
        <f>HYPERLINK("https://www.ncbi.nlm.nih.gov/geo/query/acc.cgi?acc=GSM152897","GSM152897")</f>
        <v>GSM152897</v>
      </c>
      <c r="I7713" t="s">
        <v>161</v>
      </c>
      <c r="J7713" t="s">
        <v>18</v>
      </c>
      <c r="K7713" t="s">
        <v>19</v>
      </c>
      <c r="L7713" t="s">
        <v>162</v>
      </c>
      <c r="M7713" t="s">
        <v>44</v>
      </c>
      <c r="N7713" t="s">
        <v>22</v>
      </c>
    </row>
    <row r="7714" spans="1:14">
      <c r="A7714" s="4" t="str">
        <f t="shared" si="715"/>
        <v>EXP00262</v>
      </c>
      <c r="B7714" s="3" t="s">
        <v>66</v>
      </c>
      <c r="C7714" s="4" t="str">
        <f t="shared" si="714"/>
        <v>GSE6605</v>
      </c>
      <c r="D7714" s="1" t="s">
        <v>371</v>
      </c>
      <c r="E7714" t="s">
        <v>367</v>
      </c>
      <c r="F7714" s="1">
        <v>2</v>
      </c>
      <c r="G7714" s="1" t="s">
        <v>369</v>
      </c>
      <c r="H7714" s="4" t="str">
        <f>HYPERLINK("https://www.ncbi.nlm.nih.gov/geo/query/acc.cgi?acc=GSM152905","GSM152905")</f>
        <v>GSM152905</v>
      </c>
      <c r="I7714" t="s">
        <v>161</v>
      </c>
      <c r="J7714" t="s">
        <v>18</v>
      </c>
      <c r="K7714" t="s">
        <v>19</v>
      </c>
      <c r="L7714" t="s">
        <v>162</v>
      </c>
      <c r="M7714" t="s">
        <v>44</v>
      </c>
      <c r="N7714" t="s">
        <v>22</v>
      </c>
    </row>
    <row r="7715" spans="1:14">
      <c r="A7715" s="4" t="str">
        <f t="shared" si="715"/>
        <v>EXP00262</v>
      </c>
      <c r="B7715" s="3" t="s">
        <v>66</v>
      </c>
      <c r="C7715" s="4" t="str">
        <f t="shared" si="714"/>
        <v>GSE6605</v>
      </c>
      <c r="D7715" s="1" t="s">
        <v>371</v>
      </c>
      <c r="E7715" t="s">
        <v>367</v>
      </c>
      <c r="F7715" s="1">
        <v>3</v>
      </c>
      <c r="G7715" s="1" t="s">
        <v>370</v>
      </c>
      <c r="H7715" s="4" t="str">
        <f>HYPERLINK("https://www.ncbi.nlm.nih.gov/geo/query/acc.cgi?acc=GSM152887","GSM152887")</f>
        <v>GSM152887</v>
      </c>
      <c r="I7715" t="s">
        <v>161</v>
      </c>
      <c r="J7715" t="s">
        <v>18</v>
      </c>
      <c r="K7715" t="s">
        <v>19</v>
      </c>
      <c r="L7715" t="s">
        <v>162</v>
      </c>
      <c r="M7715" t="s">
        <v>24</v>
      </c>
      <c r="N7715" t="s">
        <v>22</v>
      </c>
    </row>
    <row r="7716" spans="1:14">
      <c r="A7716" s="4" t="str">
        <f t="shared" si="715"/>
        <v>EXP00262</v>
      </c>
      <c r="B7716" s="3" t="s">
        <v>66</v>
      </c>
      <c r="C7716" s="4" t="str">
        <f t="shared" si="714"/>
        <v>GSE6605</v>
      </c>
      <c r="D7716" s="1" t="s">
        <v>371</v>
      </c>
      <c r="E7716" t="s">
        <v>367</v>
      </c>
      <c r="F7716" s="1">
        <v>3</v>
      </c>
      <c r="G7716" s="1" t="s">
        <v>370</v>
      </c>
      <c r="H7716" s="4" t="str">
        <f>HYPERLINK("https://www.ncbi.nlm.nih.gov/geo/query/acc.cgi?acc=GSM152888","GSM152888")</f>
        <v>GSM152888</v>
      </c>
      <c r="I7716" t="s">
        <v>161</v>
      </c>
      <c r="J7716" t="s">
        <v>18</v>
      </c>
      <c r="K7716" t="s">
        <v>19</v>
      </c>
      <c r="L7716" t="s">
        <v>162</v>
      </c>
      <c r="M7716" t="s">
        <v>24</v>
      </c>
      <c r="N7716" t="s">
        <v>22</v>
      </c>
    </row>
    <row r="7717" spans="1:14">
      <c r="A7717" s="4" t="str">
        <f t="shared" si="715"/>
        <v>EXP00262</v>
      </c>
      <c r="B7717" s="3" t="s">
        <v>66</v>
      </c>
      <c r="C7717" s="4" t="str">
        <f t="shared" si="714"/>
        <v>GSE6605</v>
      </c>
      <c r="D7717" s="1" t="s">
        <v>371</v>
      </c>
      <c r="E7717" t="s">
        <v>367</v>
      </c>
      <c r="F7717" s="1">
        <v>3</v>
      </c>
      <c r="G7717" s="1" t="s">
        <v>370</v>
      </c>
      <c r="H7717" s="4" t="str">
        <f>HYPERLINK("https://www.ncbi.nlm.nih.gov/geo/query/acc.cgi?acc=GSM152889","GSM152889")</f>
        <v>GSM152889</v>
      </c>
      <c r="I7717" t="s">
        <v>161</v>
      </c>
      <c r="J7717" t="s">
        <v>18</v>
      </c>
      <c r="K7717" t="s">
        <v>19</v>
      </c>
      <c r="L7717" t="s">
        <v>162</v>
      </c>
      <c r="M7717" t="s">
        <v>24</v>
      </c>
      <c r="N7717" t="s">
        <v>22</v>
      </c>
    </row>
    <row r="7718" spans="1:14">
      <c r="A7718" s="4" t="str">
        <f t="shared" si="715"/>
        <v>EXP00262</v>
      </c>
      <c r="B7718" s="3" t="s">
        <v>66</v>
      </c>
      <c r="C7718" s="4" t="str">
        <f t="shared" ref="C7718:C7751" si="716">HYPERLINK("https://www.ncbi.nlm.nih.gov/geo/query/acc.cgi?acc=GSE6605","GSE6605")</f>
        <v>GSE6605</v>
      </c>
      <c r="D7718" s="1" t="s">
        <v>371</v>
      </c>
      <c r="E7718" t="s">
        <v>367</v>
      </c>
      <c r="F7718" s="1">
        <v>3</v>
      </c>
      <c r="G7718" s="1" t="s">
        <v>370</v>
      </c>
      <c r="H7718" s="4" t="str">
        <f>HYPERLINK("https://www.ncbi.nlm.nih.gov/geo/query/acc.cgi?acc=GSM152890","GSM152890")</f>
        <v>GSM152890</v>
      </c>
      <c r="I7718" t="s">
        <v>161</v>
      </c>
      <c r="J7718" t="s">
        <v>18</v>
      </c>
      <c r="K7718" t="s">
        <v>19</v>
      </c>
      <c r="L7718" t="s">
        <v>162</v>
      </c>
      <c r="M7718" t="s">
        <v>24</v>
      </c>
      <c r="N7718" t="s">
        <v>22</v>
      </c>
    </row>
    <row r="7719" spans="1:14">
      <c r="A7719" s="4" t="str">
        <f t="shared" si="715"/>
        <v>EXP00262</v>
      </c>
      <c r="B7719" s="3" t="s">
        <v>66</v>
      </c>
      <c r="C7719" s="4" t="str">
        <f t="shared" si="716"/>
        <v>GSE6605</v>
      </c>
      <c r="D7719" s="1" t="s">
        <v>371</v>
      </c>
      <c r="E7719" t="s">
        <v>367</v>
      </c>
      <c r="F7719" s="1">
        <v>3</v>
      </c>
      <c r="G7719" s="1" t="s">
        <v>370</v>
      </c>
      <c r="H7719" s="4" t="str">
        <f>HYPERLINK("https://www.ncbi.nlm.nih.gov/geo/query/acc.cgi?acc=GSM152892","GSM152892")</f>
        <v>GSM152892</v>
      </c>
      <c r="I7719" t="s">
        <v>161</v>
      </c>
      <c r="J7719" t="s">
        <v>18</v>
      </c>
      <c r="K7719" t="s">
        <v>19</v>
      </c>
      <c r="L7719" t="s">
        <v>162</v>
      </c>
      <c r="M7719" t="s">
        <v>24</v>
      </c>
      <c r="N7719" t="s">
        <v>22</v>
      </c>
    </row>
    <row r="7720" spans="1:14">
      <c r="A7720" s="4" t="str">
        <f t="shared" si="715"/>
        <v>EXP00262</v>
      </c>
      <c r="B7720" s="3" t="s">
        <v>66</v>
      </c>
      <c r="C7720" s="4" t="str">
        <f t="shared" si="716"/>
        <v>GSE6605</v>
      </c>
      <c r="D7720" s="1" t="s">
        <v>371</v>
      </c>
      <c r="E7720" t="s">
        <v>367</v>
      </c>
      <c r="F7720" s="1">
        <v>3</v>
      </c>
      <c r="G7720" s="1" t="s">
        <v>370</v>
      </c>
      <c r="H7720" s="4" t="str">
        <f>HYPERLINK("https://www.ncbi.nlm.nih.gov/geo/query/acc.cgi?acc=GSM152893","GSM152893")</f>
        <v>GSM152893</v>
      </c>
      <c r="I7720" t="s">
        <v>161</v>
      </c>
      <c r="J7720" t="s">
        <v>18</v>
      </c>
      <c r="K7720" t="s">
        <v>19</v>
      </c>
      <c r="L7720" t="s">
        <v>162</v>
      </c>
      <c r="M7720" t="s">
        <v>24</v>
      </c>
      <c r="N7720" t="s">
        <v>22</v>
      </c>
    </row>
    <row r="7721" spans="1:14">
      <c r="A7721" s="4" t="str">
        <f t="shared" si="715"/>
        <v>EXP00262</v>
      </c>
      <c r="B7721" s="3" t="s">
        <v>66</v>
      </c>
      <c r="C7721" s="4" t="str">
        <f t="shared" si="716"/>
        <v>GSE6605</v>
      </c>
      <c r="D7721" s="1" t="s">
        <v>371</v>
      </c>
      <c r="E7721" t="s">
        <v>367</v>
      </c>
      <c r="F7721" s="1">
        <v>3</v>
      </c>
      <c r="G7721" s="1" t="s">
        <v>370</v>
      </c>
      <c r="H7721" s="4" t="str">
        <f>HYPERLINK("https://www.ncbi.nlm.nih.gov/geo/query/acc.cgi?acc=GSM152894","GSM152894")</f>
        <v>GSM152894</v>
      </c>
      <c r="I7721" t="s">
        <v>161</v>
      </c>
      <c r="J7721" t="s">
        <v>18</v>
      </c>
      <c r="K7721" t="s">
        <v>19</v>
      </c>
      <c r="L7721" t="s">
        <v>162</v>
      </c>
      <c r="M7721" t="s">
        <v>24</v>
      </c>
      <c r="N7721" t="s">
        <v>22</v>
      </c>
    </row>
    <row r="7722" spans="1:14">
      <c r="A7722" s="4" t="str">
        <f t="shared" si="715"/>
        <v>EXP00262</v>
      </c>
      <c r="B7722" s="3" t="s">
        <v>66</v>
      </c>
      <c r="C7722" s="4" t="str">
        <f t="shared" si="716"/>
        <v>GSE6605</v>
      </c>
      <c r="D7722" s="1" t="s">
        <v>371</v>
      </c>
      <c r="E7722" t="s">
        <v>367</v>
      </c>
      <c r="F7722" s="1">
        <v>3</v>
      </c>
      <c r="G7722" s="1" t="s">
        <v>370</v>
      </c>
      <c r="H7722" s="4" t="str">
        <f>HYPERLINK("https://www.ncbi.nlm.nih.gov/geo/query/acc.cgi?acc=GSM152895","GSM152895")</f>
        <v>GSM152895</v>
      </c>
      <c r="I7722" t="s">
        <v>161</v>
      </c>
      <c r="J7722" t="s">
        <v>18</v>
      </c>
      <c r="K7722" t="s">
        <v>19</v>
      </c>
      <c r="L7722" t="s">
        <v>162</v>
      </c>
      <c r="M7722" t="s">
        <v>24</v>
      </c>
      <c r="N7722" t="s">
        <v>22</v>
      </c>
    </row>
    <row r="7723" spans="1:14">
      <c r="A7723" s="4" t="str">
        <f t="shared" si="715"/>
        <v>EXP00262</v>
      </c>
      <c r="B7723" s="3" t="s">
        <v>66</v>
      </c>
      <c r="C7723" s="4" t="str">
        <f t="shared" si="716"/>
        <v>GSE6605</v>
      </c>
      <c r="D7723" s="1" t="s">
        <v>371</v>
      </c>
      <c r="E7723" t="s">
        <v>367</v>
      </c>
      <c r="F7723" s="1">
        <v>3</v>
      </c>
      <c r="G7723" s="1" t="s">
        <v>370</v>
      </c>
      <c r="H7723" s="4" t="str">
        <f>HYPERLINK("https://www.ncbi.nlm.nih.gov/geo/query/acc.cgi?acc=GSM152898","GSM152898")</f>
        <v>GSM152898</v>
      </c>
      <c r="I7723" t="s">
        <v>161</v>
      </c>
      <c r="J7723" t="s">
        <v>18</v>
      </c>
      <c r="K7723" t="s">
        <v>19</v>
      </c>
      <c r="L7723" t="s">
        <v>162</v>
      </c>
      <c r="M7723" t="s">
        <v>24</v>
      </c>
      <c r="N7723" t="s">
        <v>22</v>
      </c>
    </row>
    <row r="7724" spans="1:14">
      <c r="A7724" s="4" t="str">
        <f t="shared" si="715"/>
        <v>EXP00262</v>
      </c>
      <c r="B7724" s="3" t="s">
        <v>66</v>
      </c>
      <c r="C7724" s="4" t="str">
        <f t="shared" si="716"/>
        <v>GSE6605</v>
      </c>
      <c r="D7724" s="1" t="s">
        <v>371</v>
      </c>
      <c r="E7724" t="s">
        <v>367</v>
      </c>
      <c r="F7724" s="1">
        <v>3</v>
      </c>
      <c r="G7724" s="1" t="s">
        <v>370</v>
      </c>
      <c r="H7724" s="4" t="str">
        <f>HYPERLINK("https://www.ncbi.nlm.nih.gov/geo/query/acc.cgi?acc=GSM152899","GSM152899")</f>
        <v>GSM152899</v>
      </c>
      <c r="I7724" t="s">
        <v>161</v>
      </c>
      <c r="J7724" t="s">
        <v>18</v>
      </c>
      <c r="K7724" t="s">
        <v>19</v>
      </c>
      <c r="L7724" t="s">
        <v>162</v>
      </c>
      <c r="M7724" t="s">
        <v>24</v>
      </c>
      <c r="N7724" t="s">
        <v>22</v>
      </c>
    </row>
    <row r="7725" spans="1:14">
      <c r="A7725" s="4" t="str">
        <f t="shared" si="715"/>
        <v>EXP00262</v>
      </c>
      <c r="B7725" s="3" t="s">
        <v>66</v>
      </c>
      <c r="C7725" s="4" t="str">
        <f t="shared" si="716"/>
        <v>GSE6605</v>
      </c>
      <c r="D7725" s="1" t="s">
        <v>371</v>
      </c>
      <c r="E7725" t="s">
        <v>367</v>
      </c>
      <c r="F7725" s="1">
        <v>3</v>
      </c>
      <c r="G7725" s="1" t="s">
        <v>370</v>
      </c>
      <c r="H7725" s="4" t="str">
        <f>HYPERLINK("https://www.ncbi.nlm.nih.gov/geo/query/acc.cgi?acc=GSM152900","GSM152900")</f>
        <v>GSM152900</v>
      </c>
      <c r="I7725" t="s">
        <v>161</v>
      </c>
      <c r="J7725" t="s">
        <v>18</v>
      </c>
      <c r="K7725" t="s">
        <v>19</v>
      </c>
      <c r="L7725" t="s">
        <v>162</v>
      </c>
      <c r="M7725" t="s">
        <v>24</v>
      </c>
      <c r="N7725" t="s">
        <v>22</v>
      </c>
    </row>
    <row r="7726" spans="1:14">
      <c r="A7726" s="4" t="str">
        <f t="shared" si="715"/>
        <v>EXP00262</v>
      </c>
      <c r="B7726" s="3" t="s">
        <v>66</v>
      </c>
      <c r="C7726" s="4" t="str">
        <f t="shared" si="716"/>
        <v>GSE6605</v>
      </c>
      <c r="D7726" s="1" t="s">
        <v>371</v>
      </c>
      <c r="E7726" t="s">
        <v>367</v>
      </c>
      <c r="F7726" s="1">
        <v>3</v>
      </c>
      <c r="G7726" s="1" t="s">
        <v>370</v>
      </c>
      <c r="H7726" s="4" t="str">
        <f>HYPERLINK("https://www.ncbi.nlm.nih.gov/geo/query/acc.cgi?acc=GSM152901","GSM152901")</f>
        <v>GSM152901</v>
      </c>
      <c r="I7726" t="s">
        <v>161</v>
      </c>
      <c r="J7726" t="s">
        <v>18</v>
      </c>
      <c r="K7726" t="s">
        <v>19</v>
      </c>
      <c r="L7726" t="s">
        <v>162</v>
      </c>
      <c r="M7726" t="s">
        <v>24</v>
      </c>
      <c r="N7726" t="s">
        <v>22</v>
      </c>
    </row>
    <row r="7727" spans="1:14">
      <c r="A7727" s="4" t="str">
        <f t="shared" si="715"/>
        <v>EXP00262</v>
      </c>
      <c r="B7727" s="3" t="s">
        <v>66</v>
      </c>
      <c r="C7727" s="4" t="str">
        <f t="shared" si="716"/>
        <v>GSE6605</v>
      </c>
      <c r="D7727" s="1" t="s">
        <v>371</v>
      </c>
      <c r="E7727" t="s">
        <v>367</v>
      </c>
      <c r="F7727" s="1">
        <v>3</v>
      </c>
      <c r="G7727" s="1" t="s">
        <v>370</v>
      </c>
      <c r="H7727" s="4" t="str">
        <f>HYPERLINK("https://www.ncbi.nlm.nih.gov/geo/query/acc.cgi?acc=GSM152902","GSM152902")</f>
        <v>GSM152902</v>
      </c>
      <c r="I7727" t="s">
        <v>161</v>
      </c>
      <c r="J7727" t="s">
        <v>18</v>
      </c>
      <c r="K7727" t="s">
        <v>19</v>
      </c>
      <c r="L7727" t="s">
        <v>162</v>
      </c>
      <c r="M7727" t="s">
        <v>24</v>
      </c>
      <c r="N7727" t="s">
        <v>22</v>
      </c>
    </row>
    <row r="7728" spans="1:14">
      <c r="A7728" s="4" t="str">
        <f t="shared" si="715"/>
        <v>EXP00262</v>
      </c>
      <c r="B7728" s="3" t="s">
        <v>66</v>
      </c>
      <c r="C7728" s="4" t="str">
        <f t="shared" si="716"/>
        <v>GSE6605</v>
      </c>
      <c r="D7728" s="1" t="s">
        <v>371</v>
      </c>
      <c r="E7728" t="s">
        <v>367</v>
      </c>
      <c r="F7728" s="1">
        <v>3</v>
      </c>
      <c r="G7728" s="1" t="s">
        <v>370</v>
      </c>
      <c r="H7728" s="4" t="str">
        <f>HYPERLINK("https://www.ncbi.nlm.nih.gov/geo/query/acc.cgi?acc=GSM152903","GSM152903")</f>
        <v>GSM152903</v>
      </c>
      <c r="I7728" t="s">
        <v>161</v>
      </c>
      <c r="J7728" t="s">
        <v>18</v>
      </c>
      <c r="K7728" t="s">
        <v>19</v>
      </c>
      <c r="L7728" t="s">
        <v>162</v>
      </c>
      <c r="M7728" t="s">
        <v>24</v>
      </c>
      <c r="N7728" t="s">
        <v>22</v>
      </c>
    </row>
    <row r="7729" spans="1:14">
      <c r="A7729" s="4" t="str">
        <f t="shared" si="715"/>
        <v>EXP00262</v>
      </c>
      <c r="B7729" s="3" t="s">
        <v>66</v>
      </c>
      <c r="C7729" s="4" t="str">
        <f t="shared" si="716"/>
        <v>GSE6605</v>
      </c>
      <c r="D7729" s="1" t="s">
        <v>371</v>
      </c>
      <c r="E7729" t="s">
        <v>367</v>
      </c>
      <c r="F7729" s="1">
        <v>3</v>
      </c>
      <c r="G7729" s="1" t="s">
        <v>370</v>
      </c>
      <c r="H7729" s="4" t="str">
        <f>HYPERLINK("https://www.ncbi.nlm.nih.gov/geo/query/acc.cgi?acc=GSM152904","GSM152904")</f>
        <v>GSM152904</v>
      </c>
      <c r="I7729" t="s">
        <v>161</v>
      </c>
      <c r="J7729" t="s">
        <v>18</v>
      </c>
      <c r="K7729" t="s">
        <v>19</v>
      </c>
      <c r="L7729" t="s">
        <v>162</v>
      </c>
      <c r="M7729" t="s">
        <v>24</v>
      </c>
      <c r="N7729" t="s">
        <v>22</v>
      </c>
    </row>
    <row r="7730" spans="1:14">
      <c r="A7730" s="4" t="str">
        <f t="shared" ref="A7730:A7751" si="717">HYPERLINK("http://hcmdb.i-sanger.com/experiment/details/experiment_id/EXP00263","EXP00263")</f>
        <v>EXP00263</v>
      </c>
      <c r="B7730" s="3" t="s">
        <v>66</v>
      </c>
      <c r="C7730" s="4" t="str">
        <f t="shared" si="716"/>
        <v>GSE6605</v>
      </c>
      <c r="D7730" s="1" t="s">
        <v>372</v>
      </c>
      <c r="E7730" t="s">
        <v>367</v>
      </c>
      <c r="F7730" s="1">
        <v>1</v>
      </c>
      <c r="G7730" s="1" t="s">
        <v>368</v>
      </c>
      <c r="H7730" s="4" t="str">
        <f>HYPERLINK("https://www.ncbi.nlm.nih.gov/geo/query/acc.cgi?acc=GSM152910","GSM152910")</f>
        <v>GSM152910</v>
      </c>
      <c r="I7730" t="s">
        <v>161</v>
      </c>
      <c r="J7730" t="s">
        <v>18</v>
      </c>
      <c r="K7730" t="s">
        <v>19</v>
      </c>
      <c r="L7730" t="s">
        <v>162</v>
      </c>
      <c r="M7730" t="s">
        <v>34</v>
      </c>
      <c r="N7730" t="s">
        <v>22</v>
      </c>
    </row>
    <row r="7731" spans="1:14">
      <c r="A7731" s="4" t="str">
        <f t="shared" si="717"/>
        <v>EXP00263</v>
      </c>
      <c r="B7731" s="3" t="s">
        <v>66</v>
      </c>
      <c r="C7731" s="4" t="str">
        <f t="shared" si="716"/>
        <v>GSE6605</v>
      </c>
      <c r="D7731" s="1" t="s">
        <v>372</v>
      </c>
      <c r="E7731" t="s">
        <v>367</v>
      </c>
      <c r="F7731" s="1">
        <v>1</v>
      </c>
      <c r="G7731" s="1" t="s">
        <v>368</v>
      </c>
      <c r="H7731" s="4" t="str">
        <f>HYPERLINK("https://www.ncbi.nlm.nih.gov/geo/query/acc.cgi?acc=GSM152911","GSM152911")</f>
        <v>GSM152911</v>
      </c>
      <c r="I7731" t="s">
        <v>161</v>
      </c>
      <c r="J7731" t="s">
        <v>18</v>
      </c>
      <c r="K7731" t="s">
        <v>19</v>
      </c>
      <c r="L7731" t="s">
        <v>162</v>
      </c>
      <c r="M7731" t="s">
        <v>34</v>
      </c>
      <c r="N7731" t="s">
        <v>22</v>
      </c>
    </row>
    <row r="7732" spans="1:14">
      <c r="A7732" s="4" t="str">
        <f t="shared" si="717"/>
        <v>EXP00263</v>
      </c>
      <c r="B7732" s="3" t="s">
        <v>66</v>
      </c>
      <c r="C7732" s="4" t="str">
        <f t="shared" si="716"/>
        <v>GSE6605</v>
      </c>
      <c r="D7732" s="1" t="s">
        <v>372</v>
      </c>
      <c r="E7732" t="s">
        <v>367</v>
      </c>
      <c r="F7732" s="1">
        <v>2</v>
      </c>
      <c r="G7732" s="1" t="s">
        <v>369</v>
      </c>
      <c r="H7732" s="4" t="str">
        <f>HYPERLINK("https://www.ncbi.nlm.nih.gov/geo/query/acc.cgi?acc=GSM152906","GSM152906")</f>
        <v>GSM152906</v>
      </c>
      <c r="I7732" t="s">
        <v>161</v>
      </c>
      <c r="J7732" t="s">
        <v>18</v>
      </c>
      <c r="K7732" t="s">
        <v>19</v>
      </c>
      <c r="L7732" t="s">
        <v>162</v>
      </c>
      <c r="M7732" t="s">
        <v>44</v>
      </c>
      <c r="N7732" t="s">
        <v>22</v>
      </c>
    </row>
    <row r="7733" spans="1:14">
      <c r="A7733" s="4" t="str">
        <f t="shared" si="717"/>
        <v>EXP00263</v>
      </c>
      <c r="B7733" s="3" t="s">
        <v>66</v>
      </c>
      <c r="C7733" s="4" t="str">
        <f t="shared" si="716"/>
        <v>GSE6605</v>
      </c>
      <c r="D7733" s="1" t="s">
        <v>372</v>
      </c>
      <c r="E7733" t="s">
        <v>367</v>
      </c>
      <c r="F7733" s="1">
        <v>2</v>
      </c>
      <c r="G7733" s="1" t="s">
        <v>369</v>
      </c>
      <c r="H7733" s="4" t="str">
        <f>HYPERLINK("https://www.ncbi.nlm.nih.gov/geo/query/acc.cgi?acc=GSM152908","GSM152908")</f>
        <v>GSM152908</v>
      </c>
      <c r="I7733" t="s">
        <v>161</v>
      </c>
      <c r="J7733" t="s">
        <v>18</v>
      </c>
      <c r="K7733" t="s">
        <v>19</v>
      </c>
      <c r="L7733" t="s">
        <v>162</v>
      </c>
      <c r="M7733" t="s">
        <v>44</v>
      </c>
      <c r="N7733" t="s">
        <v>22</v>
      </c>
    </row>
    <row r="7734" spans="1:14">
      <c r="A7734" s="4" t="str">
        <f t="shared" si="717"/>
        <v>EXP00263</v>
      </c>
      <c r="B7734" s="3" t="s">
        <v>66</v>
      </c>
      <c r="C7734" s="4" t="str">
        <f t="shared" si="716"/>
        <v>GSE6605</v>
      </c>
      <c r="D7734" s="1" t="s">
        <v>372</v>
      </c>
      <c r="E7734" t="s">
        <v>367</v>
      </c>
      <c r="F7734" s="1">
        <v>2</v>
      </c>
      <c r="G7734" s="1" t="s">
        <v>369</v>
      </c>
      <c r="H7734" s="4" t="str">
        <f>HYPERLINK("https://www.ncbi.nlm.nih.gov/geo/query/acc.cgi?acc=GSM152921","GSM152921")</f>
        <v>GSM152921</v>
      </c>
      <c r="I7734" t="s">
        <v>161</v>
      </c>
      <c r="J7734" t="s">
        <v>18</v>
      </c>
      <c r="K7734" t="s">
        <v>19</v>
      </c>
      <c r="L7734" t="s">
        <v>162</v>
      </c>
      <c r="M7734" t="s">
        <v>44</v>
      </c>
      <c r="N7734" t="s">
        <v>22</v>
      </c>
    </row>
    <row r="7735" spans="1:14">
      <c r="A7735" s="4" t="str">
        <f t="shared" si="717"/>
        <v>EXP00263</v>
      </c>
      <c r="B7735" s="3" t="s">
        <v>66</v>
      </c>
      <c r="C7735" s="4" t="str">
        <f t="shared" si="716"/>
        <v>GSE6605</v>
      </c>
      <c r="D7735" s="1" t="s">
        <v>372</v>
      </c>
      <c r="E7735" t="s">
        <v>367</v>
      </c>
      <c r="F7735" s="1">
        <v>2</v>
      </c>
      <c r="G7735" s="1" t="s">
        <v>369</v>
      </c>
      <c r="H7735" s="4" t="str">
        <f>HYPERLINK("https://www.ncbi.nlm.nih.gov/geo/query/acc.cgi?acc=GSM152922","GSM152922")</f>
        <v>GSM152922</v>
      </c>
      <c r="I7735" t="s">
        <v>161</v>
      </c>
      <c r="J7735" t="s">
        <v>18</v>
      </c>
      <c r="K7735" t="s">
        <v>19</v>
      </c>
      <c r="L7735" t="s">
        <v>162</v>
      </c>
      <c r="M7735" t="s">
        <v>44</v>
      </c>
      <c r="N7735" t="s">
        <v>22</v>
      </c>
    </row>
    <row r="7736" spans="1:14">
      <c r="A7736" s="4" t="str">
        <f t="shared" si="717"/>
        <v>EXP00263</v>
      </c>
      <c r="B7736" s="3" t="s">
        <v>66</v>
      </c>
      <c r="C7736" s="4" t="str">
        <f t="shared" si="716"/>
        <v>GSE6605</v>
      </c>
      <c r="D7736" s="1" t="s">
        <v>372</v>
      </c>
      <c r="E7736" t="s">
        <v>367</v>
      </c>
      <c r="F7736" s="1">
        <v>2</v>
      </c>
      <c r="G7736" s="1" t="s">
        <v>369</v>
      </c>
      <c r="H7736" s="4" t="str">
        <f>HYPERLINK("https://www.ncbi.nlm.nih.gov/geo/query/acc.cgi?acc=GSM152930","GSM152930")</f>
        <v>GSM152930</v>
      </c>
      <c r="I7736" t="s">
        <v>161</v>
      </c>
      <c r="J7736" t="s">
        <v>18</v>
      </c>
      <c r="K7736" t="s">
        <v>19</v>
      </c>
      <c r="L7736" t="s">
        <v>162</v>
      </c>
      <c r="M7736" t="s">
        <v>44</v>
      </c>
      <c r="N7736" t="s">
        <v>22</v>
      </c>
    </row>
    <row r="7737" spans="1:14">
      <c r="A7737" s="4" t="str">
        <f t="shared" si="717"/>
        <v>EXP00263</v>
      </c>
      <c r="B7737" s="3" t="s">
        <v>66</v>
      </c>
      <c r="C7737" s="4" t="str">
        <f t="shared" si="716"/>
        <v>GSE6605</v>
      </c>
      <c r="D7737" s="1" t="s">
        <v>372</v>
      </c>
      <c r="E7737" t="s">
        <v>367</v>
      </c>
      <c r="F7737" s="1">
        <v>3</v>
      </c>
      <c r="G7737" s="1" t="s">
        <v>370</v>
      </c>
      <c r="H7737" s="4" t="str">
        <f>HYPERLINK("https://www.ncbi.nlm.nih.gov/geo/query/acc.cgi?acc=GSM152912","GSM152912")</f>
        <v>GSM152912</v>
      </c>
      <c r="I7737" t="s">
        <v>161</v>
      </c>
      <c r="J7737" t="s">
        <v>18</v>
      </c>
      <c r="K7737" t="s">
        <v>19</v>
      </c>
      <c r="L7737" t="s">
        <v>162</v>
      </c>
      <c r="M7737" t="s">
        <v>24</v>
      </c>
      <c r="N7737" t="s">
        <v>22</v>
      </c>
    </row>
    <row r="7738" spans="1:14">
      <c r="A7738" s="4" t="str">
        <f t="shared" si="717"/>
        <v>EXP00263</v>
      </c>
      <c r="B7738" s="3" t="s">
        <v>66</v>
      </c>
      <c r="C7738" s="4" t="str">
        <f t="shared" si="716"/>
        <v>GSE6605</v>
      </c>
      <c r="D7738" s="1" t="s">
        <v>372</v>
      </c>
      <c r="E7738" t="s">
        <v>367</v>
      </c>
      <c r="F7738" s="1">
        <v>3</v>
      </c>
      <c r="G7738" s="1" t="s">
        <v>370</v>
      </c>
      <c r="H7738" s="4" t="str">
        <f>HYPERLINK("https://www.ncbi.nlm.nih.gov/geo/query/acc.cgi?acc=GSM152913","GSM152913")</f>
        <v>GSM152913</v>
      </c>
      <c r="I7738" t="s">
        <v>161</v>
      </c>
      <c r="J7738" t="s">
        <v>18</v>
      </c>
      <c r="K7738" t="s">
        <v>19</v>
      </c>
      <c r="L7738" t="s">
        <v>162</v>
      </c>
      <c r="M7738" t="s">
        <v>24</v>
      </c>
      <c r="N7738" t="s">
        <v>22</v>
      </c>
    </row>
    <row r="7739" spans="1:14">
      <c r="A7739" s="4" t="str">
        <f t="shared" si="717"/>
        <v>EXP00263</v>
      </c>
      <c r="B7739" s="3" t="s">
        <v>66</v>
      </c>
      <c r="C7739" s="4" t="str">
        <f t="shared" si="716"/>
        <v>GSE6605</v>
      </c>
      <c r="D7739" s="1" t="s">
        <v>372</v>
      </c>
      <c r="E7739" t="s">
        <v>367</v>
      </c>
      <c r="F7739" s="1">
        <v>3</v>
      </c>
      <c r="G7739" s="1" t="s">
        <v>370</v>
      </c>
      <c r="H7739" s="4" t="str">
        <f>HYPERLINK("https://www.ncbi.nlm.nih.gov/geo/query/acc.cgi?acc=GSM152914","GSM152914")</f>
        <v>GSM152914</v>
      </c>
      <c r="I7739" t="s">
        <v>161</v>
      </c>
      <c r="J7739" t="s">
        <v>18</v>
      </c>
      <c r="K7739" t="s">
        <v>19</v>
      </c>
      <c r="L7739" t="s">
        <v>162</v>
      </c>
      <c r="M7739" t="s">
        <v>24</v>
      </c>
      <c r="N7739" t="s">
        <v>22</v>
      </c>
    </row>
    <row r="7740" spans="1:14">
      <c r="A7740" s="4" t="str">
        <f t="shared" si="717"/>
        <v>EXP00263</v>
      </c>
      <c r="B7740" s="3" t="s">
        <v>66</v>
      </c>
      <c r="C7740" s="4" t="str">
        <f t="shared" si="716"/>
        <v>GSE6605</v>
      </c>
      <c r="D7740" s="1" t="s">
        <v>372</v>
      </c>
      <c r="E7740" t="s">
        <v>367</v>
      </c>
      <c r="F7740" s="1">
        <v>3</v>
      </c>
      <c r="G7740" s="1" t="s">
        <v>370</v>
      </c>
      <c r="H7740" s="4" t="str">
        <f>HYPERLINK("https://www.ncbi.nlm.nih.gov/geo/query/acc.cgi?acc=GSM152915","GSM152915")</f>
        <v>GSM152915</v>
      </c>
      <c r="I7740" t="s">
        <v>161</v>
      </c>
      <c r="J7740" t="s">
        <v>18</v>
      </c>
      <c r="K7740" t="s">
        <v>19</v>
      </c>
      <c r="L7740" t="s">
        <v>162</v>
      </c>
      <c r="M7740" t="s">
        <v>24</v>
      </c>
      <c r="N7740" t="s">
        <v>22</v>
      </c>
    </row>
    <row r="7741" spans="1:14">
      <c r="A7741" s="4" t="str">
        <f t="shared" si="717"/>
        <v>EXP00263</v>
      </c>
      <c r="B7741" s="3" t="s">
        <v>66</v>
      </c>
      <c r="C7741" s="4" t="str">
        <f t="shared" si="716"/>
        <v>GSE6605</v>
      </c>
      <c r="D7741" s="1" t="s">
        <v>372</v>
      </c>
      <c r="E7741" t="s">
        <v>367</v>
      </c>
      <c r="F7741" s="1">
        <v>3</v>
      </c>
      <c r="G7741" s="1" t="s">
        <v>370</v>
      </c>
      <c r="H7741" s="4" t="str">
        <f>HYPERLINK("https://www.ncbi.nlm.nih.gov/geo/query/acc.cgi?acc=GSM152917","GSM152917")</f>
        <v>GSM152917</v>
      </c>
      <c r="I7741" t="s">
        <v>161</v>
      </c>
      <c r="J7741" t="s">
        <v>18</v>
      </c>
      <c r="K7741" t="s">
        <v>19</v>
      </c>
      <c r="L7741" t="s">
        <v>162</v>
      </c>
      <c r="M7741" t="s">
        <v>24</v>
      </c>
      <c r="N7741" t="s">
        <v>22</v>
      </c>
    </row>
    <row r="7742" spans="1:14">
      <c r="A7742" s="4" t="str">
        <f t="shared" si="717"/>
        <v>EXP00263</v>
      </c>
      <c r="B7742" s="3" t="s">
        <v>66</v>
      </c>
      <c r="C7742" s="4" t="str">
        <f t="shared" si="716"/>
        <v>GSE6605</v>
      </c>
      <c r="D7742" s="1" t="s">
        <v>372</v>
      </c>
      <c r="E7742" t="s">
        <v>367</v>
      </c>
      <c r="F7742" s="1">
        <v>3</v>
      </c>
      <c r="G7742" s="1" t="s">
        <v>370</v>
      </c>
      <c r="H7742" s="4" t="str">
        <f>HYPERLINK("https://www.ncbi.nlm.nih.gov/geo/query/acc.cgi?acc=GSM152918","GSM152918")</f>
        <v>GSM152918</v>
      </c>
      <c r="I7742" t="s">
        <v>161</v>
      </c>
      <c r="J7742" t="s">
        <v>18</v>
      </c>
      <c r="K7742" t="s">
        <v>19</v>
      </c>
      <c r="L7742" t="s">
        <v>162</v>
      </c>
      <c r="M7742" t="s">
        <v>24</v>
      </c>
      <c r="N7742" t="s">
        <v>22</v>
      </c>
    </row>
    <row r="7743" spans="1:14">
      <c r="A7743" s="4" t="str">
        <f t="shared" si="717"/>
        <v>EXP00263</v>
      </c>
      <c r="B7743" s="3" t="s">
        <v>66</v>
      </c>
      <c r="C7743" s="4" t="str">
        <f t="shared" si="716"/>
        <v>GSE6605</v>
      </c>
      <c r="D7743" s="1" t="s">
        <v>372</v>
      </c>
      <c r="E7743" t="s">
        <v>367</v>
      </c>
      <c r="F7743" s="1">
        <v>3</v>
      </c>
      <c r="G7743" s="1" t="s">
        <v>370</v>
      </c>
      <c r="H7743" s="4" t="str">
        <f>HYPERLINK("https://www.ncbi.nlm.nih.gov/geo/query/acc.cgi?acc=GSM152919","GSM152919")</f>
        <v>GSM152919</v>
      </c>
      <c r="I7743" t="s">
        <v>161</v>
      </c>
      <c r="J7743" t="s">
        <v>18</v>
      </c>
      <c r="K7743" t="s">
        <v>19</v>
      </c>
      <c r="L7743" t="s">
        <v>162</v>
      </c>
      <c r="M7743" t="s">
        <v>24</v>
      </c>
      <c r="N7743" t="s">
        <v>22</v>
      </c>
    </row>
    <row r="7744" spans="1:14">
      <c r="A7744" s="4" t="str">
        <f t="shared" si="717"/>
        <v>EXP00263</v>
      </c>
      <c r="B7744" s="3" t="s">
        <v>66</v>
      </c>
      <c r="C7744" s="4" t="str">
        <f t="shared" si="716"/>
        <v>GSE6605</v>
      </c>
      <c r="D7744" s="1" t="s">
        <v>372</v>
      </c>
      <c r="E7744" t="s">
        <v>367</v>
      </c>
      <c r="F7744" s="1">
        <v>3</v>
      </c>
      <c r="G7744" s="1" t="s">
        <v>370</v>
      </c>
      <c r="H7744" s="4" t="str">
        <f>HYPERLINK("https://www.ncbi.nlm.nih.gov/geo/query/acc.cgi?acc=GSM152920","GSM152920")</f>
        <v>GSM152920</v>
      </c>
      <c r="I7744" t="s">
        <v>161</v>
      </c>
      <c r="J7744" t="s">
        <v>18</v>
      </c>
      <c r="K7744" t="s">
        <v>19</v>
      </c>
      <c r="L7744" t="s">
        <v>162</v>
      </c>
      <c r="M7744" t="s">
        <v>24</v>
      </c>
      <c r="N7744" t="s">
        <v>22</v>
      </c>
    </row>
    <row r="7745" spans="1:14">
      <c r="A7745" s="4" t="str">
        <f t="shared" si="717"/>
        <v>EXP00263</v>
      </c>
      <c r="B7745" s="3" t="s">
        <v>66</v>
      </c>
      <c r="C7745" s="4" t="str">
        <f t="shared" si="716"/>
        <v>GSE6605</v>
      </c>
      <c r="D7745" s="1" t="s">
        <v>372</v>
      </c>
      <c r="E7745" t="s">
        <v>367</v>
      </c>
      <c r="F7745" s="1">
        <v>3</v>
      </c>
      <c r="G7745" s="1" t="s">
        <v>370</v>
      </c>
      <c r="H7745" s="4" t="str">
        <f>HYPERLINK("https://www.ncbi.nlm.nih.gov/geo/query/acc.cgi?acc=GSM152923","GSM152923")</f>
        <v>GSM152923</v>
      </c>
      <c r="I7745" t="s">
        <v>161</v>
      </c>
      <c r="J7745" t="s">
        <v>18</v>
      </c>
      <c r="K7745" t="s">
        <v>19</v>
      </c>
      <c r="L7745" t="s">
        <v>162</v>
      </c>
      <c r="M7745" t="s">
        <v>24</v>
      </c>
      <c r="N7745" t="s">
        <v>22</v>
      </c>
    </row>
    <row r="7746" spans="1:14">
      <c r="A7746" s="4" t="str">
        <f t="shared" si="717"/>
        <v>EXP00263</v>
      </c>
      <c r="B7746" s="3" t="s">
        <v>66</v>
      </c>
      <c r="C7746" s="4" t="str">
        <f t="shared" si="716"/>
        <v>GSE6605</v>
      </c>
      <c r="D7746" s="1" t="s">
        <v>372</v>
      </c>
      <c r="E7746" t="s">
        <v>367</v>
      </c>
      <c r="F7746" s="1">
        <v>3</v>
      </c>
      <c r="G7746" s="1" t="s">
        <v>370</v>
      </c>
      <c r="H7746" s="4" t="str">
        <f>HYPERLINK("https://www.ncbi.nlm.nih.gov/geo/query/acc.cgi?acc=GSM152924","GSM152924")</f>
        <v>GSM152924</v>
      </c>
      <c r="I7746" t="s">
        <v>161</v>
      </c>
      <c r="J7746" t="s">
        <v>18</v>
      </c>
      <c r="K7746" t="s">
        <v>19</v>
      </c>
      <c r="L7746" t="s">
        <v>162</v>
      </c>
      <c r="M7746" t="s">
        <v>24</v>
      </c>
      <c r="N7746" t="s">
        <v>22</v>
      </c>
    </row>
    <row r="7747" spans="1:14">
      <c r="A7747" s="4" t="str">
        <f t="shared" si="717"/>
        <v>EXP00263</v>
      </c>
      <c r="B7747" s="3" t="s">
        <v>66</v>
      </c>
      <c r="C7747" s="4" t="str">
        <f t="shared" si="716"/>
        <v>GSE6605</v>
      </c>
      <c r="D7747" s="1" t="s">
        <v>372</v>
      </c>
      <c r="E7747" t="s">
        <v>367</v>
      </c>
      <c r="F7747" s="1">
        <v>3</v>
      </c>
      <c r="G7747" s="1" t="s">
        <v>370</v>
      </c>
      <c r="H7747" s="4" t="str">
        <f>HYPERLINK("https://www.ncbi.nlm.nih.gov/geo/query/acc.cgi?acc=GSM152925","GSM152925")</f>
        <v>GSM152925</v>
      </c>
      <c r="I7747" t="s">
        <v>161</v>
      </c>
      <c r="J7747" t="s">
        <v>18</v>
      </c>
      <c r="K7747" t="s">
        <v>19</v>
      </c>
      <c r="L7747" t="s">
        <v>162</v>
      </c>
      <c r="M7747" t="s">
        <v>24</v>
      </c>
      <c r="N7747" t="s">
        <v>22</v>
      </c>
    </row>
    <row r="7748" spans="1:14">
      <c r="A7748" s="4" t="str">
        <f t="shared" si="717"/>
        <v>EXP00263</v>
      </c>
      <c r="B7748" s="3" t="s">
        <v>66</v>
      </c>
      <c r="C7748" s="4" t="str">
        <f t="shared" si="716"/>
        <v>GSE6605</v>
      </c>
      <c r="D7748" s="1" t="s">
        <v>372</v>
      </c>
      <c r="E7748" t="s">
        <v>367</v>
      </c>
      <c r="F7748" s="1">
        <v>3</v>
      </c>
      <c r="G7748" s="1" t="s">
        <v>370</v>
      </c>
      <c r="H7748" s="4" t="str">
        <f>HYPERLINK("https://www.ncbi.nlm.nih.gov/geo/query/acc.cgi?acc=GSM152926","GSM152926")</f>
        <v>GSM152926</v>
      </c>
      <c r="I7748" t="s">
        <v>161</v>
      </c>
      <c r="J7748" t="s">
        <v>18</v>
      </c>
      <c r="K7748" t="s">
        <v>19</v>
      </c>
      <c r="L7748" t="s">
        <v>162</v>
      </c>
      <c r="M7748" t="s">
        <v>24</v>
      </c>
      <c r="N7748" t="s">
        <v>22</v>
      </c>
    </row>
    <row r="7749" spans="1:14">
      <c r="A7749" s="4" t="str">
        <f t="shared" si="717"/>
        <v>EXP00263</v>
      </c>
      <c r="B7749" s="3" t="s">
        <v>66</v>
      </c>
      <c r="C7749" s="4" t="str">
        <f t="shared" si="716"/>
        <v>GSE6605</v>
      </c>
      <c r="D7749" s="1" t="s">
        <v>372</v>
      </c>
      <c r="E7749" t="s">
        <v>367</v>
      </c>
      <c r="F7749" s="1">
        <v>3</v>
      </c>
      <c r="G7749" s="1" t="s">
        <v>370</v>
      </c>
      <c r="H7749" s="4" t="str">
        <f>HYPERLINK("https://www.ncbi.nlm.nih.gov/geo/query/acc.cgi?acc=GSM152927","GSM152927")</f>
        <v>GSM152927</v>
      </c>
      <c r="I7749" t="s">
        <v>161</v>
      </c>
      <c r="J7749" t="s">
        <v>18</v>
      </c>
      <c r="K7749" t="s">
        <v>19</v>
      </c>
      <c r="L7749" t="s">
        <v>162</v>
      </c>
      <c r="M7749" t="s">
        <v>24</v>
      </c>
      <c r="N7749" t="s">
        <v>22</v>
      </c>
    </row>
    <row r="7750" spans="1:14">
      <c r="A7750" s="4" t="str">
        <f t="shared" si="717"/>
        <v>EXP00263</v>
      </c>
      <c r="B7750" s="3" t="s">
        <v>66</v>
      </c>
      <c r="C7750" s="4" t="str">
        <f t="shared" si="716"/>
        <v>GSE6605</v>
      </c>
      <c r="D7750" s="1" t="s">
        <v>372</v>
      </c>
      <c r="E7750" t="s">
        <v>367</v>
      </c>
      <c r="F7750" s="1">
        <v>3</v>
      </c>
      <c r="G7750" s="1" t="s">
        <v>370</v>
      </c>
      <c r="H7750" s="4" t="str">
        <f>HYPERLINK("https://www.ncbi.nlm.nih.gov/geo/query/acc.cgi?acc=GSM152928","GSM152928")</f>
        <v>GSM152928</v>
      </c>
      <c r="I7750" t="s">
        <v>161</v>
      </c>
      <c r="J7750" t="s">
        <v>18</v>
      </c>
      <c r="K7750" t="s">
        <v>19</v>
      </c>
      <c r="L7750" t="s">
        <v>162</v>
      </c>
      <c r="M7750" t="s">
        <v>24</v>
      </c>
      <c r="N7750" t="s">
        <v>22</v>
      </c>
    </row>
    <row r="7751" spans="1:14">
      <c r="A7751" s="4" t="str">
        <f t="shared" si="717"/>
        <v>EXP00263</v>
      </c>
      <c r="B7751" s="3" t="s">
        <v>66</v>
      </c>
      <c r="C7751" s="4" t="str">
        <f t="shared" si="716"/>
        <v>GSE6605</v>
      </c>
      <c r="D7751" s="1" t="s">
        <v>372</v>
      </c>
      <c r="E7751" t="s">
        <v>367</v>
      </c>
      <c r="F7751" s="1">
        <v>3</v>
      </c>
      <c r="G7751" s="1" t="s">
        <v>370</v>
      </c>
      <c r="H7751" s="4" t="str">
        <f>HYPERLINK("https://www.ncbi.nlm.nih.gov/geo/query/acc.cgi?acc=GSM152929","GSM152929")</f>
        <v>GSM152929</v>
      </c>
      <c r="I7751" t="s">
        <v>161</v>
      </c>
      <c r="J7751" t="s">
        <v>18</v>
      </c>
      <c r="K7751" t="s">
        <v>19</v>
      </c>
      <c r="L7751" t="s">
        <v>162</v>
      </c>
      <c r="M7751" t="s">
        <v>24</v>
      </c>
      <c r="N7751" t="s">
        <v>22</v>
      </c>
    </row>
    <row r="7752" spans="1:14">
      <c r="A7752" s="4" t="str">
        <f t="shared" ref="A7752:A7777" si="718">HYPERLINK("http://hcmdb.i-sanger.com/experiment/details/experiment_id/EXP00264","EXP00264")</f>
        <v>EXP00264</v>
      </c>
      <c r="B7752" s="4" t="str">
        <f t="shared" ref="B7752:B7777" si="719">HYPERLINK("https://www.ncbi.nlm.nih.gov/pubmed/26859141","26859141")</f>
        <v>26859141</v>
      </c>
      <c r="C7752" s="4" t="str">
        <f t="shared" ref="C7752:C7777" si="720">HYPERLINK("https://www.ncbi.nlm.nih.gov/geo/query/acc.cgi?acc=GSE66271","GSE66271")</f>
        <v>GSE66271</v>
      </c>
      <c r="D7752" s="1" t="s">
        <v>45</v>
      </c>
      <c r="E7752" t="s">
        <v>373</v>
      </c>
      <c r="F7752" s="1">
        <v>1</v>
      </c>
      <c r="G7752" s="1" t="s">
        <v>36</v>
      </c>
      <c r="H7752" s="4" t="str">
        <f>HYPERLINK("https://www.ncbi.nlm.nih.gov/geo/query/acc.cgi?acc=GSM1618416","GSM1618416")</f>
        <v>GSM1618416</v>
      </c>
      <c r="I7752" t="s">
        <v>59</v>
      </c>
      <c r="J7752" t="s">
        <v>60</v>
      </c>
      <c r="K7752" t="s">
        <v>19</v>
      </c>
      <c r="L7752" t="s">
        <v>61</v>
      </c>
      <c r="M7752" t="s">
        <v>51</v>
      </c>
      <c r="N7752" t="s">
        <v>37</v>
      </c>
    </row>
    <row r="7753" spans="1:14">
      <c r="A7753" s="4" t="str">
        <f t="shared" si="718"/>
        <v>EXP00264</v>
      </c>
      <c r="B7753" s="4" t="str">
        <f t="shared" si="719"/>
        <v>26859141</v>
      </c>
      <c r="C7753" s="4" t="str">
        <f t="shared" si="720"/>
        <v>GSE66271</v>
      </c>
      <c r="D7753" s="1" t="s">
        <v>45</v>
      </c>
      <c r="E7753" t="s">
        <v>373</v>
      </c>
      <c r="F7753" s="1">
        <v>1</v>
      </c>
      <c r="G7753" s="1" t="s">
        <v>36</v>
      </c>
      <c r="H7753" s="4" t="str">
        <f>HYPERLINK("https://www.ncbi.nlm.nih.gov/geo/query/acc.cgi?acc=GSM1618418","GSM1618418")</f>
        <v>GSM1618418</v>
      </c>
      <c r="I7753" t="s">
        <v>59</v>
      </c>
      <c r="J7753" t="s">
        <v>60</v>
      </c>
      <c r="K7753" t="s">
        <v>19</v>
      </c>
      <c r="L7753" t="s">
        <v>61</v>
      </c>
      <c r="M7753" t="s">
        <v>51</v>
      </c>
      <c r="N7753" t="s">
        <v>37</v>
      </c>
    </row>
    <row r="7754" spans="1:14">
      <c r="A7754" s="4" t="str">
        <f t="shared" si="718"/>
        <v>EXP00264</v>
      </c>
      <c r="B7754" s="4" t="str">
        <f t="shared" si="719"/>
        <v>26859141</v>
      </c>
      <c r="C7754" s="4" t="str">
        <f t="shared" si="720"/>
        <v>GSE66271</v>
      </c>
      <c r="D7754" s="1" t="s">
        <v>45</v>
      </c>
      <c r="E7754" t="s">
        <v>373</v>
      </c>
      <c r="F7754" s="1">
        <v>1</v>
      </c>
      <c r="G7754" s="1" t="s">
        <v>36</v>
      </c>
      <c r="H7754" s="4" t="str">
        <f>HYPERLINK("https://www.ncbi.nlm.nih.gov/geo/query/acc.cgi?acc=GSM1618420","GSM1618420")</f>
        <v>GSM1618420</v>
      </c>
      <c r="I7754" t="s">
        <v>59</v>
      </c>
      <c r="J7754" t="s">
        <v>60</v>
      </c>
      <c r="K7754" t="s">
        <v>19</v>
      </c>
      <c r="L7754" t="s">
        <v>61</v>
      </c>
      <c r="M7754" t="s">
        <v>51</v>
      </c>
      <c r="N7754" t="s">
        <v>37</v>
      </c>
    </row>
    <row r="7755" spans="1:14">
      <c r="A7755" s="4" t="str">
        <f t="shared" si="718"/>
        <v>EXP00264</v>
      </c>
      <c r="B7755" s="4" t="str">
        <f t="shared" si="719"/>
        <v>26859141</v>
      </c>
      <c r="C7755" s="4" t="str">
        <f t="shared" si="720"/>
        <v>GSE66271</v>
      </c>
      <c r="D7755" s="1" t="s">
        <v>45</v>
      </c>
      <c r="E7755" t="s">
        <v>373</v>
      </c>
      <c r="F7755" s="1">
        <v>1</v>
      </c>
      <c r="G7755" s="1" t="s">
        <v>36</v>
      </c>
      <c r="H7755" s="4" t="str">
        <f>HYPERLINK("https://www.ncbi.nlm.nih.gov/geo/query/acc.cgi?acc=GSM1618422","GSM1618422")</f>
        <v>GSM1618422</v>
      </c>
      <c r="I7755" t="s">
        <v>59</v>
      </c>
      <c r="J7755" t="s">
        <v>60</v>
      </c>
      <c r="K7755" t="s">
        <v>19</v>
      </c>
      <c r="L7755" t="s">
        <v>61</v>
      </c>
      <c r="M7755" t="s">
        <v>51</v>
      </c>
      <c r="N7755" t="s">
        <v>37</v>
      </c>
    </row>
    <row r="7756" spans="1:14">
      <c r="A7756" s="4" t="str">
        <f t="shared" si="718"/>
        <v>EXP00264</v>
      </c>
      <c r="B7756" s="4" t="str">
        <f t="shared" si="719"/>
        <v>26859141</v>
      </c>
      <c r="C7756" s="4" t="str">
        <f t="shared" si="720"/>
        <v>GSE66271</v>
      </c>
      <c r="D7756" s="1" t="s">
        <v>45</v>
      </c>
      <c r="E7756" t="s">
        <v>373</v>
      </c>
      <c r="F7756" s="1">
        <v>1</v>
      </c>
      <c r="G7756" s="1" t="s">
        <v>36</v>
      </c>
      <c r="H7756" s="4" t="str">
        <f>HYPERLINK("https://www.ncbi.nlm.nih.gov/geo/query/acc.cgi?acc=GSM1618424","GSM1618424")</f>
        <v>GSM1618424</v>
      </c>
      <c r="I7756" t="s">
        <v>59</v>
      </c>
      <c r="J7756" t="s">
        <v>60</v>
      </c>
      <c r="K7756" t="s">
        <v>19</v>
      </c>
      <c r="L7756" t="s">
        <v>61</v>
      </c>
      <c r="M7756" t="s">
        <v>51</v>
      </c>
      <c r="N7756" t="s">
        <v>37</v>
      </c>
    </row>
    <row r="7757" spans="1:14">
      <c r="A7757" s="4" t="str">
        <f t="shared" si="718"/>
        <v>EXP00264</v>
      </c>
      <c r="B7757" s="4" t="str">
        <f t="shared" si="719"/>
        <v>26859141</v>
      </c>
      <c r="C7757" s="4" t="str">
        <f t="shared" si="720"/>
        <v>GSE66271</v>
      </c>
      <c r="D7757" s="1" t="s">
        <v>45</v>
      </c>
      <c r="E7757" t="s">
        <v>373</v>
      </c>
      <c r="F7757" s="1">
        <v>1</v>
      </c>
      <c r="G7757" s="1" t="s">
        <v>36</v>
      </c>
      <c r="H7757" s="4" t="str">
        <f>HYPERLINK("https://www.ncbi.nlm.nih.gov/geo/query/acc.cgi?acc=GSM1618426","GSM1618426")</f>
        <v>GSM1618426</v>
      </c>
      <c r="I7757" t="s">
        <v>59</v>
      </c>
      <c r="J7757" t="s">
        <v>60</v>
      </c>
      <c r="K7757" t="s">
        <v>19</v>
      </c>
      <c r="L7757" t="s">
        <v>61</v>
      </c>
      <c r="M7757" t="s">
        <v>51</v>
      </c>
      <c r="N7757" t="s">
        <v>37</v>
      </c>
    </row>
    <row r="7758" spans="1:14">
      <c r="A7758" s="4" t="str">
        <f t="shared" si="718"/>
        <v>EXP00264</v>
      </c>
      <c r="B7758" s="4" t="str">
        <f t="shared" si="719"/>
        <v>26859141</v>
      </c>
      <c r="C7758" s="4" t="str">
        <f t="shared" si="720"/>
        <v>GSE66271</v>
      </c>
      <c r="D7758" s="1" t="s">
        <v>45</v>
      </c>
      <c r="E7758" t="s">
        <v>373</v>
      </c>
      <c r="F7758" s="1">
        <v>1</v>
      </c>
      <c r="G7758" s="1" t="s">
        <v>36</v>
      </c>
      <c r="H7758" s="4" t="str">
        <f>HYPERLINK("https://www.ncbi.nlm.nih.gov/geo/query/acc.cgi?acc=GSM1618428","GSM1618428")</f>
        <v>GSM1618428</v>
      </c>
      <c r="I7758" t="s">
        <v>59</v>
      </c>
      <c r="J7758" t="s">
        <v>60</v>
      </c>
      <c r="K7758" t="s">
        <v>19</v>
      </c>
      <c r="L7758" t="s">
        <v>61</v>
      </c>
      <c r="M7758" t="s">
        <v>51</v>
      </c>
      <c r="N7758" t="s">
        <v>37</v>
      </c>
    </row>
    <row r="7759" spans="1:14">
      <c r="A7759" s="4" t="str">
        <f t="shared" si="718"/>
        <v>EXP00264</v>
      </c>
      <c r="B7759" s="4" t="str">
        <f t="shared" si="719"/>
        <v>26859141</v>
      </c>
      <c r="C7759" s="4" t="str">
        <f t="shared" si="720"/>
        <v>GSE66271</v>
      </c>
      <c r="D7759" s="1" t="s">
        <v>45</v>
      </c>
      <c r="E7759" t="s">
        <v>373</v>
      </c>
      <c r="F7759" s="1">
        <v>1</v>
      </c>
      <c r="G7759" s="1" t="s">
        <v>36</v>
      </c>
      <c r="H7759" s="4" t="str">
        <f>HYPERLINK("https://www.ncbi.nlm.nih.gov/geo/query/acc.cgi?acc=GSM1618430","GSM1618430")</f>
        <v>GSM1618430</v>
      </c>
      <c r="I7759" t="s">
        <v>59</v>
      </c>
      <c r="J7759" t="s">
        <v>60</v>
      </c>
      <c r="K7759" t="s">
        <v>19</v>
      </c>
      <c r="L7759" t="s">
        <v>61</v>
      </c>
      <c r="M7759" t="s">
        <v>51</v>
      </c>
      <c r="N7759" t="s">
        <v>37</v>
      </c>
    </row>
    <row r="7760" spans="1:14">
      <c r="A7760" s="4" t="str">
        <f t="shared" si="718"/>
        <v>EXP00264</v>
      </c>
      <c r="B7760" s="4" t="str">
        <f t="shared" si="719"/>
        <v>26859141</v>
      </c>
      <c r="C7760" s="4" t="str">
        <f t="shared" si="720"/>
        <v>GSE66271</v>
      </c>
      <c r="D7760" s="1" t="s">
        <v>45</v>
      </c>
      <c r="E7760" t="s">
        <v>373</v>
      </c>
      <c r="F7760" s="1">
        <v>1</v>
      </c>
      <c r="G7760" s="1" t="s">
        <v>36</v>
      </c>
      <c r="H7760" s="4" t="str">
        <f>HYPERLINK("https://www.ncbi.nlm.nih.gov/geo/query/acc.cgi?acc=GSM1618432","GSM1618432")</f>
        <v>GSM1618432</v>
      </c>
      <c r="I7760" t="s">
        <v>59</v>
      </c>
      <c r="J7760" t="s">
        <v>60</v>
      </c>
      <c r="K7760" t="s">
        <v>19</v>
      </c>
      <c r="L7760" t="s">
        <v>61</v>
      </c>
      <c r="M7760" t="s">
        <v>51</v>
      </c>
      <c r="N7760" t="s">
        <v>37</v>
      </c>
    </row>
    <row r="7761" spans="1:14">
      <c r="A7761" s="4" t="str">
        <f t="shared" si="718"/>
        <v>EXP00264</v>
      </c>
      <c r="B7761" s="4" t="str">
        <f t="shared" si="719"/>
        <v>26859141</v>
      </c>
      <c r="C7761" s="4" t="str">
        <f t="shared" si="720"/>
        <v>GSE66271</v>
      </c>
      <c r="D7761" s="1" t="s">
        <v>45</v>
      </c>
      <c r="E7761" t="s">
        <v>373</v>
      </c>
      <c r="F7761" s="1">
        <v>1</v>
      </c>
      <c r="G7761" s="1" t="s">
        <v>36</v>
      </c>
      <c r="H7761" s="4" t="str">
        <f>HYPERLINK("https://www.ncbi.nlm.nih.gov/geo/query/acc.cgi?acc=GSM1618434","GSM1618434")</f>
        <v>GSM1618434</v>
      </c>
      <c r="I7761" t="s">
        <v>59</v>
      </c>
      <c r="J7761" t="s">
        <v>60</v>
      </c>
      <c r="K7761" t="s">
        <v>19</v>
      </c>
      <c r="L7761" t="s">
        <v>61</v>
      </c>
      <c r="M7761" t="s">
        <v>51</v>
      </c>
      <c r="N7761" t="s">
        <v>37</v>
      </c>
    </row>
    <row r="7762" spans="1:14">
      <c r="A7762" s="4" t="str">
        <f t="shared" si="718"/>
        <v>EXP00264</v>
      </c>
      <c r="B7762" s="4" t="str">
        <f t="shared" si="719"/>
        <v>26859141</v>
      </c>
      <c r="C7762" s="4" t="str">
        <f t="shared" si="720"/>
        <v>GSE66271</v>
      </c>
      <c r="D7762" s="1" t="s">
        <v>45</v>
      </c>
      <c r="E7762" t="s">
        <v>373</v>
      </c>
      <c r="F7762" s="1">
        <v>1</v>
      </c>
      <c r="G7762" s="1" t="s">
        <v>36</v>
      </c>
      <c r="H7762" s="4" t="str">
        <f>HYPERLINK("https://www.ncbi.nlm.nih.gov/geo/query/acc.cgi?acc=GSM1618436","GSM1618436")</f>
        <v>GSM1618436</v>
      </c>
      <c r="I7762" t="s">
        <v>59</v>
      </c>
      <c r="J7762" t="s">
        <v>60</v>
      </c>
      <c r="K7762" t="s">
        <v>19</v>
      </c>
      <c r="L7762" t="s">
        <v>61</v>
      </c>
      <c r="M7762" t="s">
        <v>51</v>
      </c>
      <c r="N7762" t="s">
        <v>37</v>
      </c>
    </row>
    <row r="7763" spans="1:14">
      <c r="A7763" s="4" t="str">
        <f t="shared" si="718"/>
        <v>EXP00264</v>
      </c>
      <c r="B7763" s="4" t="str">
        <f t="shared" si="719"/>
        <v>26859141</v>
      </c>
      <c r="C7763" s="4" t="str">
        <f t="shared" si="720"/>
        <v>GSE66271</v>
      </c>
      <c r="D7763" s="1" t="s">
        <v>45</v>
      </c>
      <c r="E7763" t="s">
        <v>373</v>
      </c>
      <c r="F7763" s="1">
        <v>1</v>
      </c>
      <c r="G7763" s="1" t="s">
        <v>36</v>
      </c>
      <c r="H7763" s="4" t="str">
        <f>HYPERLINK("https://www.ncbi.nlm.nih.gov/geo/query/acc.cgi?acc=GSM1618438","GSM1618438")</f>
        <v>GSM1618438</v>
      </c>
      <c r="I7763" t="s">
        <v>59</v>
      </c>
      <c r="J7763" t="s">
        <v>60</v>
      </c>
      <c r="K7763" t="s">
        <v>19</v>
      </c>
      <c r="L7763" t="s">
        <v>61</v>
      </c>
      <c r="M7763" t="s">
        <v>51</v>
      </c>
      <c r="N7763" t="s">
        <v>37</v>
      </c>
    </row>
    <row r="7764" spans="1:14">
      <c r="A7764" s="4" t="str">
        <f t="shared" si="718"/>
        <v>EXP00264</v>
      </c>
      <c r="B7764" s="4" t="str">
        <f t="shared" si="719"/>
        <v>26859141</v>
      </c>
      <c r="C7764" s="4" t="str">
        <f t="shared" si="720"/>
        <v>GSE66271</v>
      </c>
      <c r="D7764" s="1" t="s">
        <v>45</v>
      </c>
      <c r="E7764" t="s">
        <v>373</v>
      </c>
      <c r="F7764" s="1">
        <v>1</v>
      </c>
      <c r="G7764" s="1" t="s">
        <v>36</v>
      </c>
      <c r="H7764" s="4" t="str">
        <f>HYPERLINK("https://www.ncbi.nlm.nih.gov/geo/query/acc.cgi?acc=GSM1618440","GSM1618440")</f>
        <v>GSM1618440</v>
      </c>
      <c r="I7764" t="s">
        <v>59</v>
      </c>
      <c r="J7764" t="s">
        <v>60</v>
      </c>
      <c r="K7764" t="s">
        <v>19</v>
      </c>
      <c r="L7764" t="s">
        <v>61</v>
      </c>
      <c r="M7764" t="s">
        <v>51</v>
      </c>
      <c r="N7764" t="s">
        <v>37</v>
      </c>
    </row>
    <row r="7765" spans="1:14">
      <c r="A7765" s="4" t="str">
        <f t="shared" si="718"/>
        <v>EXP00264</v>
      </c>
      <c r="B7765" s="4" t="str">
        <f t="shared" si="719"/>
        <v>26859141</v>
      </c>
      <c r="C7765" s="4" t="str">
        <f t="shared" si="720"/>
        <v>GSE66271</v>
      </c>
      <c r="D7765" s="1" t="s">
        <v>45</v>
      </c>
      <c r="E7765" t="s">
        <v>373</v>
      </c>
      <c r="F7765" s="1">
        <v>2</v>
      </c>
      <c r="G7765" s="1" t="s">
        <v>28</v>
      </c>
      <c r="H7765" s="4" t="str">
        <f>HYPERLINK("https://www.ncbi.nlm.nih.gov/geo/query/acc.cgi?acc=GSM1618415","GSM1618415")</f>
        <v>GSM1618415</v>
      </c>
      <c r="I7765" t="s">
        <v>59</v>
      </c>
      <c r="J7765" t="s">
        <v>60</v>
      </c>
      <c r="K7765" t="s">
        <v>19</v>
      </c>
      <c r="L7765" t="s">
        <v>61</v>
      </c>
      <c r="M7765" t="s">
        <v>51</v>
      </c>
      <c r="N7765" t="s">
        <v>29</v>
      </c>
    </row>
    <row r="7766" spans="1:14">
      <c r="A7766" s="4" t="str">
        <f t="shared" si="718"/>
        <v>EXP00264</v>
      </c>
      <c r="B7766" s="4" t="str">
        <f t="shared" si="719"/>
        <v>26859141</v>
      </c>
      <c r="C7766" s="4" t="str">
        <f t="shared" si="720"/>
        <v>GSE66271</v>
      </c>
      <c r="D7766" s="1" t="s">
        <v>45</v>
      </c>
      <c r="E7766" t="s">
        <v>373</v>
      </c>
      <c r="F7766" s="1">
        <v>2</v>
      </c>
      <c r="G7766" s="1" t="s">
        <v>28</v>
      </c>
      <c r="H7766" s="4" t="str">
        <f>HYPERLINK("https://www.ncbi.nlm.nih.gov/geo/query/acc.cgi?acc=GSM1618417","GSM1618417")</f>
        <v>GSM1618417</v>
      </c>
      <c r="I7766" t="s">
        <v>59</v>
      </c>
      <c r="J7766" t="s">
        <v>60</v>
      </c>
      <c r="K7766" t="s">
        <v>19</v>
      </c>
      <c r="L7766" t="s">
        <v>61</v>
      </c>
      <c r="M7766" t="s">
        <v>51</v>
      </c>
      <c r="N7766" t="s">
        <v>29</v>
      </c>
    </row>
    <row r="7767" spans="1:14">
      <c r="A7767" s="4" t="str">
        <f t="shared" si="718"/>
        <v>EXP00264</v>
      </c>
      <c r="B7767" s="4" t="str">
        <f t="shared" si="719"/>
        <v>26859141</v>
      </c>
      <c r="C7767" s="4" t="str">
        <f t="shared" si="720"/>
        <v>GSE66271</v>
      </c>
      <c r="D7767" s="1" t="s">
        <v>45</v>
      </c>
      <c r="E7767" t="s">
        <v>373</v>
      </c>
      <c r="F7767" s="1">
        <v>2</v>
      </c>
      <c r="G7767" s="1" t="s">
        <v>28</v>
      </c>
      <c r="H7767" s="4" t="str">
        <f>HYPERLINK("https://www.ncbi.nlm.nih.gov/geo/query/acc.cgi?acc=GSM1618419","GSM1618419")</f>
        <v>GSM1618419</v>
      </c>
      <c r="I7767" t="s">
        <v>59</v>
      </c>
      <c r="J7767" t="s">
        <v>60</v>
      </c>
      <c r="K7767" t="s">
        <v>19</v>
      </c>
      <c r="L7767" t="s">
        <v>61</v>
      </c>
      <c r="M7767" t="s">
        <v>51</v>
      </c>
      <c r="N7767" t="s">
        <v>29</v>
      </c>
    </row>
    <row r="7768" spans="1:14">
      <c r="A7768" s="4" t="str">
        <f t="shared" si="718"/>
        <v>EXP00264</v>
      </c>
      <c r="B7768" s="4" t="str">
        <f t="shared" si="719"/>
        <v>26859141</v>
      </c>
      <c r="C7768" s="4" t="str">
        <f t="shared" si="720"/>
        <v>GSE66271</v>
      </c>
      <c r="D7768" s="1" t="s">
        <v>45</v>
      </c>
      <c r="E7768" t="s">
        <v>373</v>
      </c>
      <c r="F7768" s="1">
        <v>2</v>
      </c>
      <c r="G7768" s="1" t="s">
        <v>28</v>
      </c>
      <c r="H7768" s="4" t="str">
        <f>HYPERLINK("https://www.ncbi.nlm.nih.gov/geo/query/acc.cgi?acc=GSM1618421","GSM1618421")</f>
        <v>GSM1618421</v>
      </c>
      <c r="I7768" t="s">
        <v>59</v>
      </c>
      <c r="J7768" t="s">
        <v>60</v>
      </c>
      <c r="K7768" t="s">
        <v>19</v>
      </c>
      <c r="L7768" t="s">
        <v>61</v>
      </c>
      <c r="M7768" t="s">
        <v>51</v>
      </c>
      <c r="N7768" t="s">
        <v>29</v>
      </c>
    </row>
    <row r="7769" spans="1:14">
      <c r="A7769" s="4" t="str">
        <f t="shared" si="718"/>
        <v>EXP00264</v>
      </c>
      <c r="B7769" s="4" t="str">
        <f t="shared" si="719"/>
        <v>26859141</v>
      </c>
      <c r="C7769" s="4" t="str">
        <f t="shared" si="720"/>
        <v>GSE66271</v>
      </c>
      <c r="D7769" s="1" t="s">
        <v>45</v>
      </c>
      <c r="E7769" t="s">
        <v>373</v>
      </c>
      <c r="F7769" s="1">
        <v>2</v>
      </c>
      <c r="G7769" s="1" t="s">
        <v>28</v>
      </c>
      <c r="H7769" s="4" t="str">
        <f>HYPERLINK("https://www.ncbi.nlm.nih.gov/geo/query/acc.cgi?acc=GSM1618423","GSM1618423")</f>
        <v>GSM1618423</v>
      </c>
      <c r="I7769" t="s">
        <v>59</v>
      </c>
      <c r="J7769" t="s">
        <v>60</v>
      </c>
      <c r="K7769" t="s">
        <v>19</v>
      </c>
      <c r="L7769" t="s">
        <v>61</v>
      </c>
      <c r="M7769" t="s">
        <v>51</v>
      </c>
      <c r="N7769" t="s">
        <v>29</v>
      </c>
    </row>
    <row r="7770" spans="1:14">
      <c r="A7770" s="4" t="str">
        <f t="shared" si="718"/>
        <v>EXP00264</v>
      </c>
      <c r="B7770" s="4" t="str">
        <f t="shared" si="719"/>
        <v>26859141</v>
      </c>
      <c r="C7770" s="4" t="str">
        <f t="shared" si="720"/>
        <v>GSE66271</v>
      </c>
      <c r="D7770" s="1" t="s">
        <v>45</v>
      </c>
      <c r="E7770" t="s">
        <v>373</v>
      </c>
      <c r="F7770" s="1">
        <v>2</v>
      </c>
      <c r="G7770" s="1" t="s">
        <v>28</v>
      </c>
      <c r="H7770" s="4" t="str">
        <f>HYPERLINK("https://www.ncbi.nlm.nih.gov/geo/query/acc.cgi?acc=GSM1618425","GSM1618425")</f>
        <v>GSM1618425</v>
      </c>
      <c r="I7770" t="s">
        <v>59</v>
      </c>
      <c r="J7770" t="s">
        <v>60</v>
      </c>
      <c r="K7770" t="s">
        <v>19</v>
      </c>
      <c r="L7770" t="s">
        <v>61</v>
      </c>
      <c r="M7770" t="s">
        <v>51</v>
      </c>
      <c r="N7770" t="s">
        <v>29</v>
      </c>
    </row>
    <row r="7771" spans="1:14">
      <c r="A7771" s="4" t="str">
        <f t="shared" si="718"/>
        <v>EXP00264</v>
      </c>
      <c r="B7771" s="4" t="str">
        <f t="shared" si="719"/>
        <v>26859141</v>
      </c>
      <c r="C7771" s="4" t="str">
        <f t="shared" si="720"/>
        <v>GSE66271</v>
      </c>
      <c r="D7771" s="1" t="s">
        <v>45</v>
      </c>
      <c r="E7771" t="s">
        <v>373</v>
      </c>
      <c r="F7771" s="1">
        <v>2</v>
      </c>
      <c r="G7771" s="1" t="s">
        <v>28</v>
      </c>
      <c r="H7771" s="4" t="str">
        <f>HYPERLINK("https://www.ncbi.nlm.nih.gov/geo/query/acc.cgi?acc=GSM1618427","GSM1618427")</f>
        <v>GSM1618427</v>
      </c>
      <c r="I7771" t="s">
        <v>59</v>
      </c>
      <c r="J7771" t="s">
        <v>60</v>
      </c>
      <c r="K7771" t="s">
        <v>19</v>
      </c>
      <c r="L7771" t="s">
        <v>61</v>
      </c>
      <c r="M7771" t="s">
        <v>51</v>
      </c>
      <c r="N7771" t="s">
        <v>29</v>
      </c>
    </row>
    <row r="7772" spans="1:14">
      <c r="A7772" s="4" t="str">
        <f t="shared" si="718"/>
        <v>EXP00264</v>
      </c>
      <c r="B7772" s="4" t="str">
        <f t="shared" si="719"/>
        <v>26859141</v>
      </c>
      <c r="C7772" s="4" t="str">
        <f t="shared" si="720"/>
        <v>GSE66271</v>
      </c>
      <c r="D7772" s="1" t="s">
        <v>45</v>
      </c>
      <c r="E7772" t="s">
        <v>373</v>
      </c>
      <c r="F7772" s="1">
        <v>2</v>
      </c>
      <c r="G7772" s="1" t="s">
        <v>28</v>
      </c>
      <c r="H7772" s="4" t="str">
        <f>HYPERLINK("https://www.ncbi.nlm.nih.gov/geo/query/acc.cgi?acc=GSM1618429","GSM1618429")</f>
        <v>GSM1618429</v>
      </c>
      <c r="I7772" t="s">
        <v>59</v>
      </c>
      <c r="J7772" t="s">
        <v>60</v>
      </c>
      <c r="K7772" t="s">
        <v>19</v>
      </c>
      <c r="L7772" t="s">
        <v>61</v>
      </c>
      <c r="M7772" t="s">
        <v>51</v>
      </c>
      <c r="N7772" t="s">
        <v>29</v>
      </c>
    </row>
    <row r="7773" spans="1:14">
      <c r="A7773" s="4" t="str">
        <f t="shared" si="718"/>
        <v>EXP00264</v>
      </c>
      <c r="B7773" s="4" t="str">
        <f t="shared" si="719"/>
        <v>26859141</v>
      </c>
      <c r="C7773" s="4" t="str">
        <f t="shared" si="720"/>
        <v>GSE66271</v>
      </c>
      <c r="D7773" s="1" t="s">
        <v>45</v>
      </c>
      <c r="E7773" t="s">
        <v>373</v>
      </c>
      <c r="F7773" s="1">
        <v>2</v>
      </c>
      <c r="G7773" s="1" t="s">
        <v>28</v>
      </c>
      <c r="H7773" s="4" t="str">
        <f>HYPERLINK("https://www.ncbi.nlm.nih.gov/geo/query/acc.cgi?acc=GSM1618431","GSM1618431")</f>
        <v>GSM1618431</v>
      </c>
      <c r="I7773" t="s">
        <v>59</v>
      </c>
      <c r="J7773" t="s">
        <v>60</v>
      </c>
      <c r="K7773" t="s">
        <v>19</v>
      </c>
      <c r="L7773" t="s">
        <v>61</v>
      </c>
      <c r="M7773" t="s">
        <v>51</v>
      </c>
      <c r="N7773" t="s">
        <v>29</v>
      </c>
    </row>
    <row r="7774" spans="1:14">
      <c r="A7774" s="4" t="str">
        <f t="shared" si="718"/>
        <v>EXP00264</v>
      </c>
      <c r="B7774" s="4" t="str">
        <f t="shared" si="719"/>
        <v>26859141</v>
      </c>
      <c r="C7774" s="4" t="str">
        <f t="shared" si="720"/>
        <v>GSE66271</v>
      </c>
      <c r="D7774" s="1" t="s">
        <v>45</v>
      </c>
      <c r="E7774" t="s">
        <v>373</v>
      </c>
      <c r="F7774" s="1">
        <v>2</v>
      </c>
      <c r="G7774" s="1" t="s">
        <v>28</v>
      </c>
      <c r="H7774" s="4" t="str">
        <f>HYPERLINK("https://www.ncbi.nlm.nih.gov/geo/query/acc.cgi?acc=GSM1618433","GSM1618433")</f>
        <v>GSM1618433</v>
      </c>
      <c r="I7774" t="s">
        <v>59</v>
      </c>
      <c r="J7774" t="s">
        <v>60</v>
      </c>
      <c r="K7774" t="s">
        <v>19</v>
      </c>
      <c r="L7774" t="s">
        <v>61</v>
      </c>
      <c r="M7774" t="s">
        <v>51</v>
      </c>
      <c r="N7774" t="s">
        <v>29</v>
      </c>
    </row>
    <row r="7775" spans="1:14">
      <c r="A7775" s="4" t="str">
        <f t="shared" si="718"/>
        <v>EXP00264</v>
      </c>
      <c r="B7775" s="4" t="str">
        <f t="shared" si="719"/>
        <v>26859141</v>
      </c>
      <c r="C7775" s="4" t="str">
        <f t="shared" si="720"/>
        <v>GSE66271</v>
      </c>
      <c r="D7775" s="1" t="s">
        <v>45</v>
      </c>
      <c r="E7775" t="s">
        <v>373</v>
      </c>
      <c r="F7775" s="1">
        <v>2</v>
      </c>
      <c r="G7775" s="1" t="s">
        <v>28</v>
      </c>
      <c r="H7775" s="4" t="str">
        <f>HYPERLINK("https://www.ncbi.nlm.nih.gov/geo/query/acc.cgi?acc=GSM1618435","GSM1618435")</f>
        <v>GSM1618435</v>
      </c>
      <c r="I7775" t="s">
        <v>59</v>
      </c>
      <c r="J7775" t="s">
        <v>60</v>
      </c>
      <c r="K7775" t="s">
        <v>19</v>
      </c>
      <c r="L7775" t="s">
        <v>61</v>
      </c>
      <c r="M7775" t="s">
        <v>51</v>
      </c>
      <c r="N7775" t="s">
        <v>29</v>
      </c>
    </row>
    <row r="7776" spans="1:14">
      <c r="A7776" s="4" t="str">
        <f t="shared" si="718"/>
        <v>EXP00264</v>
      </c>
      <c r="B7776" s="4" t="str">
        <f t="shared" si="719"/>
        <v>26859141</v>
      </c>
      <c r="C7776" s="4" t="str">
        <f t="shared" si="720"/>
        <v>GSE66271</v>
      </c>
      <c r="D7776" s="1" t="s">
        <v>45</v>
      </c>
      <c r="E7776" t="s">
        <v>373</v>
      </c>
      <c r="F7776" s="1">
        <v>2</v>
      </c>
      <c r="G7776" s="1" t="s">
        <v>28</v>
      </c>
      <c r="H7776" s="4" t="str">
        <f>HYPERLINK("https://www.ncbi.nlm.nih.gov/geo/query/acc.cgi?acc=GSM1618437","GSM1618437")</f>
        <v>GSM1618437</v>
      </c>
      <c r="I7776" t="s">
        <v>59</v>
      </c>
      <c r="J7776" t="s">
        <v>60</v>
      </c>
      <c r="K7776" t="s">
        <v>19</v>
      </c>
      <c r="L7776" t="s">
        <v>61</v>
      </c>
      <c r="M7776" t="s">
        <v>51</v>
      </c>
      <c r="N7776" t="s">
        <v>29</v>
      </c>
    </row>
    <row r="7777" spans="1:14">
      <c r="A7777" s="4" t="str">
        <f t="shared" si="718"/>
        <v>EXP00264</v>
      </c>
      <c r="B7777" s="4" t="str">
        <f t="shared" si="719"/>
        <v>26859141</v>
      </c>
      <c r="C7777" s="4" t="str">
        <f t="shared" si="720"/>
        <v>GSE66271</v>
      </c>
      <c r="D7777" s="1" t="s">
        <v>45</v>
      </c>
      <c r="E7777" t="s">
        <v>373</v>
      </c>
      <c r="F7777" s="1">
        <v>2</v>
      </c>
      <c r="G7777" s="1" t="s">
        <v>28</v>
      </c>
      <c r="H7777" s="4" t="str">
        <f>HYPERLINK("https://www.ncbi.nlm.nih.gov/geo/query/acc.cgi?acc=GSM1618439","GSM1618439")</f>
        <v>GSM1618439</v>
      </c>
      <c r="I7777" t="s">
        <v>59</v>
      </c>
      <c r="J7777" t="s">
        <v>60</v>
      </c>
      <c r="K7777" t="s">
        <v>19</v>
      </c>
      <c r="L7777" t="s">
        <v>61</v>
      </c>
      <c r="M7777" t="s">
        <v>51</v>
      </c>
      <c r="N7777" t="s">
        <v>29</v>
      </c>
    </row>
    <row r="7778" spans="1:14">
      <c r="A7778" s="4" t="str">
        <f t="shared" ref="A7778:A7796" si="721">HYPERLINK("http://hcmdb.i-sanger.com/experiment/details/experiment_id/EXP00265","EXP00265")</f>
        <v>EXP00265</v>
      </c>
      <c r="B7778" s="4" t="str">
        <f t="shared" ref="B7778:B7796" si="722">HYPERLINK("https://www.ncbi.nlm.nih.gov/pubmed/17430594","17430594")</f>
        <v>17430594</v>
      </c>
      <c r="C7778" s="4" t="str">
        <f t="shared" ref="C7778:C7796" si="723">HYPERLINK("https://www.ncbi.nlm.nih.gov/geo/query/acc.cgi?acc=GSE6752","GSE6752")</f>
        <v>GSE6752</v>
      </c>
      <c r="D7778" s="1" t="s">
        <v>374</v>
      </c>
      <c r="E7778" t="s">
        <v>367</v>
      </c>
      <c r="F7778" s="1">
        <v>1</v>
      </c>
      <c r="G7778" s="1" t="s">
        <v>368</v>
      </c>
      <c r="H7778" s="4" t="str">
        <f>HYPERLINK("https://www.ncbi.nlm.nih.gov/geo/query/acc.cgi?acc=GSM155529","GSM155529")</f>
        <v>GSM155529</v>
      </c>
      <c r="I7778" t="s">
        <v>161</v>
      </c>
      <c r="J7778" t="s">
        <v>18</v>
      </c>
      <c r="K7778" t="s">
        <v>19</v>
      </c>
      <c r="L7778" t="s">
        <v>162</v>
      </c>
      <c r="M7778" t="s">
        <v>34</v>
      </c>
      <c r="N7778" t="s">
        <v>22</v>
      </c>
    </row>
    <row r="7779" spans="1:14">
      <c r="A7779" s="4" t="str">
        <f t="shared" si="721"/>
        <v>EXP00265</v>
      </c>
      <c r="B7779" s="4" t="str">
        <f t="shared" si="722"/>
        <v>17430594</v>
      </c>
      <c r="C7779" s="4" t="str">
        <f t="shared" si="723"/>
        <v>GSE6752</v>
      </c>
      <c r="D7779" s="1" t="s">
        <v>374</v>
      </c>
      <c r="E7779" t="s">
        <v>367</v>
      </c>
      <c r="F7779" s="1">
        <v>1</v>
      </c>
      <c r="G7779" s="1" t="s">
        <v>368</v>
      </c>
      <c r="H7779" s="4" t="str">
        <f>HYPERLINK("https://www.ncbi.nlm.nih.gov/geo/query/acc.cgi?acc=GSM155530","GSM155530")</f>
        <v>GSM155530</v>
      </c>
      <c r="I7779" t="s">
        <v>161</v>
      </c>
      <c r="J7779" t="s">
        <v>18</v>
      </c>
      <c r="K7779" t="s">
        <v>19</v>
      </c>
      <c r="L7779" t="s">
        <v>162</v>
      </c>
      <c r="M7779" t="s">
        <v>34</v>
      </c>
      <c r="N7779" t="s">
        <v>22</v>
      </c>
    </row>
    <row r="7780" spans="1:14">
      <c r="A7780" s="4" t="str">
        <f t="shared" si="721"/>
        <v>EXP00265</v>
      </c>
      <c r="B7780" s="4" t="str">
        <f t="shared" si="722"/>
        <v>17430594</v>
      </c>
      <c r="C7780" s="4" t="str">
        <f t="shared" si="723"/>
        <v>GSE6752</v>
      </c>
      <c r="D7780" s="1" t="s">
        <v>374</v>
      </c>
      <c r="E7780" t="s">
        <v>367</v>
      </c>
      <c r="F7780" s="1">
        <v>2</v>
      </c>
      <c r="G7780" s="1" t="s">
        <v>369</v>
      </c>
      <c r="H7780" s="4" t="str">
        <f>HYPERLINK("https://www.ncbi.nlm.nih.gov/geo/query/acc.cgi?acc=GSM155524","GSM155524")</f>
        <v>GSM155524</v>
      </c>
      <c r="I7780" t="s">
        <v>161</v>
      </c>
      <c r="J7780" t="s">
        <v>18</v>
      </c>
      <c r="K7780" t="s">
        <v>19</v>
      </c>
      <c r="L7780" t="s">
        <v>162</v>
      </c>
      <c r="M7780" t="s">
        <v>44</v>
      </c>
      <c r="N7780" t="s">
        <v>22</v>
      </c>
    </row>
    <row r="7781" spans="1:14">
      <c r="A7781" s="4" t="str">
        <f t="shared" si="721"/>
        <v>EXP00265</v>
      </c>
      <c r="B7781" s="4" t="str">
        <f t="shared" si="722"/>
        <v>17430594</v>
      </c>
      <c r="C7781" s="4" t="str">
        <f t="shared" si="723"/>
        <v>GSE6752</v>
      </c>
      <c r="D7781" s="1" t="s">
        <v>374</v>
      </c>
      <c r="E7781" t="s">
        <v>367</v>
      </c>
      <c r="F7781" s="1">
        <v>2</v>
      </c>
      <c r="G7781" s="1" t="s">
        <v>369</v>
      </c>
      <c r="H7781" s="4" t="str">
        <f>HYPERLINK("https://www.ncbi.nlm.nih.gov/geo/query/acc.cgi?acc=GSM155525","GSM155525")</f>
        <v>GSM155525</v>
      </c>
      <c r="I7781" t="s">
        <v>161</v>
      </c>
      <c r="J7781" t="s">
        <v>18</v>
      </c>
      <c r="K7781" t="s">
        <v>19</v>
      </c>
      <c r="L7781" t="s">
        <v>162</v>
      </c>
      <c r="M7781" t="s">
        <v>44</v>
      </c>
      <c r="N7781" t="s">
        <v>22</v>
      </c>
    </row>
    <row r="7782" spans="1:14">
      <c r="A7782" s="4" t="str">
        <f t="shared" si="721"/>
        <v>EXP00265</v>
      </c>
      <c r="B7782" s="4" t="str">
        <f t="shared" si="722"/>
        <v>17430594</v>
      </c>
      <c r="C7782" s="4" t="str">
        <f t="shared" si="723"/>
        <v>GSE6752</v>
      </c>
      <c r="D7782" s="1" t="s">
        <v>374</v>
      </c>
      <c r="E7782" t="s">
        <v>367</v>
      </c>
      <c r="F7782" s="1">
        <v>2</v>
      </c>
      <c r="G7782" s="1" t="s">
        <v>369</v>
      </c>
      <c r="H7782" s="4" t="str">
        <f>HYPERLINK("https://www.ncbi.nlm.nih.gov/geo/query/acc.cgi?acc=GSM155534","GSM155534")</f>
        <v>GSM155534</v>
      </c>
      <c r="I7782" t="s">
        <v>161</v>
      </c>
      <c r="J7782" t="s">
        <v>18</v>
      </c>
      <c r="K7782" t="s">
        <v>19</v>
      </c>
      <c r="L7782" t="s">
        <v>162</v>
      </c>
      <c r="M7782" t="s">
        <v>44</v>
      </c>
      <c r="N7782" t="s">
        <v>22</v>
      </c>
    </row>
    <row r="7783" spans="1:14">
      <c r="A7783" s="4" t="str">
        <f t="shared" si="721"/>
        <v>EXP00265</v>
      </c>
      <c r="B7783" s="4" t="str">
        <f t="shared" si="722"/>
        <v>17430594</v>
      </c>
      <c r="C7783" s="4" t="str">
        <f t="shared" si="723"/>
        <v>GSE6752</v>
      </c>
      <c r="D7783" s="1" t="s">
        <v>374</v>
      </c>
      <c r="E7783" t="s">
        <v>367</v>
      </c>
      <c r="F7783" s="1">
        <v>2</v>
      </c>
      <c r="G7783" s="1" t="s">
        <v>369</v>
      </c>
      <c r="H7783" s="4" t="str">
        <f>HYPERLINK("https://www.ncbi.nlm.nih.gov/geo/query/acc.cgi?acc=GSM155536","GSM155536")</f>
        <v>GSM155536</v>
      </c>
      <c r="I7783" t="s">
        <v>161</v>
      </c>
      <c r="J7783" t="s">
        <v>18</v>
      </c>
      <c r="K7783" t="s">
        <v>19</v>
      </c>
      <c r="L7783" t="s">
        <v>162</v>
      </c>
      <c r="M7783" t="s">
        <v>44</v>
      </c>
      <c r="N7783" t="s">
        <v>22</v>
      </c>
    </row>
    <row r="7784" spans="1:14">
      <c r="A7784" s="4" t="str">
        <f t="shared" si="721"/>
        <v>EXP00265</v>
      </c>
      <c r="B7784" s="4" t="str">
        <f t="shared" si="722"/>
        <v>17430594</v>
      </c>
      <c r="C7784" s="4" t="str">
        <f t="shared" si="723"/>
        <v>GSE6752</v>
      </c>
      <c r="D7784" s="1" t="s">
        <v>374</v>
      </c>
      <c r="E7784" t="s">
        <v>367</v>
      </c>
      <c r="F7784" s="1">
        <v>2</v>
      </c>
      <c r="G7784" s="1" t="s">
        <v>369</v>
      </c>
      <c r="H7784" s="4" t="str">
        <f>HYPERLINK("https://www.ncbi.nlm.nih.gov/geo/query/acc.cgi?acc=GSM155542","GSM155542")</f>
        <v>GSM155542</v>
      </c>
      <c r="I7784" t="s">
        <v>161</v>
      </c>
      <c r="J7784" t="s">
        <v>18</v>
      </c>
      <c r="K7784" t="s">
        <v>19</v>
      </c>
      <c r="L7784" t="s">
        <v>162</v>
      </c>
      <c r="M7784" t="s">
        <v>44</v>
      </c>
      <c r="N7784" t="s">
        <v>22</v>
      </c>
    </row>
    <row r="7785" spans="1:14">
      <c r="A7785" s="4" t="str">
        <f t="shared" si="721"/>
        <v>EXP00265</v>
      </c>
      <c r="B7785" s="4" t="str">
        <f t="shared" si="722"/>
        <v>17430594</v>
      </c>
      <c r="C7785" s="4" t="str">
        <f t="shared" si="723"/>
        <v>GSE6752</v>
      </c>
      <c r="D7785" s="1" t="s">
        <v>374</v>
      </c>
      <c r="E7785" t="s">
        <v>367</v>
      </c>
      <c r="F7785" s="1">
        <v>3</v>
      </c>
      <c r="G7785" s="1" t="s">
        <v>370</v>
      </c>
      <c r="H7785" s="4" t="str">
        <f>HYPERLINK("https://www.ncbi.nlm.nih.gov/geo/query/acc.cgi?acc=GSM155526","GSM155526")</f>
        <v>GSM155526</v>
      </c>
      <c r="I7785" t="s">
        <v>161</v>
      </c>
      <c r="J7785" t="s">
        <v>18</v>
      </c>
      <c r="K7785" t="s">
        <v>19</v>
      </c>
      <c r="L7785" t="s">
        <v>162</v>
      </c>
      <c r="M7785" t="s">
        <v>24</v>
      </c>
      <c r="N7785" t="s">
        <v>22</v>
      </c>
    </row>
    <row r="7786" spans="1:14">
      <c r="A7786" s="4" t="str">
        <f t="shared" si="721"/>
        <v>EXP00265</v>
      </c>
      <c r="B7786" s="4" t="str">
        <f t="shared" si="722"/>
        <v>17430594</v>
      </c>
      <c r="C7786" s="4" t="str">
        <f t="shared" si="723"/>
        <v>GSE6752</v>
      </c>
      <c r="D7786" s="1" t="s">
        <v>374</v>
      </c>
      <c r="E7786" t="s">
        <v>367</v>
      </c>
      <c r="F7786" s="1">
        <v>3</v>
      </c>
      <c r="G7786" s="1" t="s">
        <v>370</v>
      </c>
      <c r="H7786" s="4" t="str">
        <f>HYPERLINK("https://www.ncbi.nlm.nih.gov/geo/query/acc.cgi?acc=GSM155531","GSM155531")</f>
        <v>GSM155531</v>
      </c>
      <c r="I7786" t="s">
        <v>161</v>
      </c>
      <c r="J7786" t="s">
        <v>18</v>
      </c>
      <c r="K7786" t="s">
        <v>19</v>
      </c>
      <c r="L7786" t="s">
        <v>162</v>
      </c>
      <c r="M7786" t="s">
        <v>24</v>
      </c>
      <c r="N7786" t="s">
        <v>22</v>
      </c>
    </row>
    <row r="7787" spans="1:14">
      <c r="A7787" s="4" t="str">
        <f t="shared" si="721"/>
        <v>EXP00265</v>
      </c>
      <c r="B7787" s="4" t="str">
        <f t="shared" si="722"/>
        <v>17430594</v>
      </c>
      <c r="C7787" s="4" t="str">
        <f t="shared" si="723"/>
        <v>GSE6752</v>
      </c>
      <c r="D7787" s="1" t="s">
        <v>374</v>
      </c>
      <c r="E7787" t="s">
        <v>367</v>
      </c>
      <c r="F7787" s="1">
        <v>3</v>
      </c>
      <c r="G7787" s="1" t="s">
        <v>370</v>
      </c>
      <c r="H7787" s="4" t="str">
        <f>HYPERLINK("https://www.ncbi.nlm.nih.gov/geo/query/acc.cgi?acc=GSM155532","GSM155532")</f>
        <v>GSM155532</v>
      </c>
      <c r="I7787" t="s">
        <v>161</v>
      </c>
      <c r="J7787" t="s">
        <v>18</v>
      </c>
      <c r="K7787" t="s">
        <v>19</v>
      </c>
      <c r="L7787" t="s">
        <v>162</v>
      </c>
      <c r="M7787" t="s">
        <v>24</v>
      </c>
      <c r="N7787" t="s">
        <v>22</v>
      </c>
    </row>
    <row r="7788" spans="1:14">
      <c r="A7788" s="4" t="str">
        <f t="shared" si="721"/>
        <v>EXP00265</v>
      </c>
      <c r="B7788" s="4" t="str">
        <f t="shared" si="722"/>
        <v>17430594</v>
      </c>
      <c r="C7788" s="4" t="str">
        <f t="shared" si="723"/>
        <v>GSE6752</v>
      </c>
      <c r="D7788" s="1" t="s">
        <v>374</v>
      </c>
      <c r="E7788" t="s">
        <v>367</v>
      </c>
      <c r="F7788" s="1">
        <v>3</v>
      </c>
      <c r="G7788" s="1" t="s">
        <v>370</v>
      </c>
      <c r="H7788" s="4" t="str">
        <f>HYPERLINK("https://www.ncbi.nlm.nih.gov/geo/query/acc.cgi?acc=GSM155533","GSM155533")</f>
        <v>GSM155533</v>
      </c>
      <c r="I7788" t="s">
        <v>161</v>
      </c>
      <c r="J7788" t="s">
        <v>18</v>
      </c>
      <c r="K7788" t="s">
        <v>19</v>
      </c>
      <c r="L7788" t="s">
        <v>162</v>
      </c>
      <c r="M7788" t="s">
        <v>24</v>
      </c>
      <c r="N7788" t="s">
        <v>22</v>
      </c>
    </row>
    <row r="7789" spans="1:14">
      <c r="A7789" s="4" t="str">
        <f t="shared" si="721"/>
        <v>EXP00265</v>
      </c>
      <c r="B7789" s="4" t="str">
        <f t="shared" si="722"/>
        <v>17430594</v>
      </c>
      <c r="C7789" s="4" t="str">
        <f t="shared" si="723"/>
        <v>GSE6752</v>
      </c>
      <c r="D7789" s="1" t="s">
        <v>374</v>
      </c>
      <c r="E7789" t="s">
        <v>367</v>
      </c>
      <c r="F7789" s="1">
        <v>3</v>
      </c>
      <c r="G7789" s="1" t="s">
        <v>370</v>
      </c>
      <c r="H7789" s="4" t="str">
        <f>HYPERLINK("https://www.ncbi.nlm.nih.gov/geo/query/acc.cgi?acc=GSM155535","GSM155535")</f>
        <v>GSM155535</v>
      </c>
      <c r="I7789" t="s">
        <v>161</v>
      </c>
      <c r="J7789" t="s">
        <v>18</v>
      </c>
      <c r="K7789" t="s">
        <v>19</v>
      </c>
      <c r="L7789" t="s">
        <v>162</v>
      </c>
      <c r="M7789" t="s">
        <v>24</v>
      </c>
      <c r="N7789" t="s">
        <v>22</v>
      </c>
    </row>
    <row r="7790" spans="1:14">
      <c r="A7790" s="4" t="str">
        <f t="shared" si="721"/>
        <v>EXP00265</v>
      </c>
      <c r="B7790" s="4" t="str">
        <f t="shared" si="722"/>
        <v>17430594</v>
      </c>
      <c r="C7790" s="4" t="str">
        <f t="shared" si="723"/>
        <v>GSE6752</v>
      </c>
      <c r="D7790" s="1" t="s">
        <v>374</v>
      </c>
      <c r="E7790" t="s">
        <v>367</v>
      </c>
      <c r="F7790" s="1">
        <v>3</v>
      </c>
      <c r="G7790" s="1" t="s">
        <v>370</v>
      </c>
      <c r="H7790" s="4" t="str">
        <f>HYPERLINK("https://www.ncbi.nlm.nih.gov/geo/query/acc.cgi?acc=GSM155537","GSM155537")</f>
        <v>GSM155537</v>
      </c>
      <c r="I7790" t="s">
        <v>161</v>
      </c>
      <c r="J7790" t="s">
        <v>18</v>
      </c>
      <c r="K7790" t="s">
        <v>19</v>
      </c>
      <c r="L7790" t="s">
        <v>162</v>
      </c>
      <c r="M7790" t="s">
        <v>24</v>
      </c>
      <c r="N7790" t="s">
        <v>22</v>
      </c>
    </row>
    <row r="7791" spans="1:14">
      <c r="A7791" s="4" t="str">
        <f t="shared" si="721"/>
        <v>EXP00265</v>
      </c>
      <c r="B7791" s="4" t="str">
        <f t="shared" si="722"/>
        <v>17430594</v>
      </c>
      <c r="C7791" s="4" t="str">
        <f t="shared" si="723"/>
        <v>GSE6752</v>
      </c>
      <c r="D7791" s="1" t="s">
        <v>374</v>
      </c>
      <c r="E7791" t="s">
        <v>367</v>
      </c>
      <c r="F7791" s="1">
        <v>3</v>
      </c>
      <c r="G7791" s="1" t="s">
        <v>370</v>
      </c>
      <c r="H7791" s="4" t="str">
        <f>HYPERLINK("https://www.ncbi.nlm.nih.gov/geo/query/acc.cgi?acc=GSM155539","GSM155539")</f>
        <v>GSM155539</v>
      </c>
      <c r="I7791" t="s">
        <v>161</v>
      </c>
      <c r="J7791" t="s">
        <v>18</v>
      </c>
      <c r="K7791" t="s">
        <v>19</v>
      </c>
      <c r="L7791" t="s">
        <v>162</v>
      </c>
      <c r="M7791" t="s">
        <v>24</v>
      </c>
      <c r="N7791" t="s">
        <v>22</v>
      </c>
    </row>
    <row r="7792" spans="1:14">
      <c r="A7792" s="4" t="str">
        <f t="shared" si="721"/>
        <v>EXP00265</v>
      </c>
      <c r="B7792" s="4" t="str">
        <f t="shared" si="722"/>
        <v>17430594</v>
      </c>
      <c r="C7792" s="4" t="str">
        <f t="shared" si="723"/>
        <v>GSE6752</v>
      </c>
      <c r="D7792" s="1" t="s">
        <v>374</v>
      </c>
      <c r="E7792" t="s">
        <v>367</v>
      </c>
      <c r="F7792" s="1">
        <v>3</v>
      </c>
      <c r="G7792" s="1" t="s">
        <v>370</v>
      </c>
      <c r="H7792" s="4" t="str">
        <f>HYPERLINK("https://www.ncbi.nlm.nih.gov/geo/query/acc.cgi?acc=GSM155540","GSM155540")</f>
        <v>GSM155540</v>
      </c>
      <c r="I7792" t="s">
        <v>161</v>
      </c>
      <c r="J7792" t="s">
        <v>18</v>
      </c>
      <c r="K7792" t="s">
        <v>19</v>
      </c>
      <c r="L7792" t="s">
        <v>162</v>
      </c>
      <c r="M7792" t="s">
        <v>24</v>
      </c>
      <c r="N7792" t="s">
        <v>22</v>
      </c>
    </row>
    <row r="7793" spans="1:14">
      <c r="A7793" s="4" t="str">
        <f t="shared" si="721"/>
        <v>EXP00265</v>
      </c>
      <c r="B7793" s="4" t="str">
        <f t="shared" si="722"/>
        <v>17430594</v>
      </c>
      <c r="C7793" s="4" t="str">
        <f t="shared" si="723"/>
        <v>GSE6752</v>
      </c>
      <c r="D7793" s="1" t="s">
        <v>374</v>
      </c>
      <c r="E7793" t="s">
        <v>367</v>
      </c>
      <c r="F7793" s="1">
        <v>3</v>
      </c>
      <c r="G7793" s="1" t="s">
        <v>370</v>
      </c>
      <c r="H7793" s="4" t="str">
        <f>HYPERLINK("https://www.ncbi.nlm.nih.gov/geo/query/acc.cgi?acc=GSM155541","GSM155541")</f>
        <v>GSM155541</v>
      </c>
      <c r="I7793" t="s">
        <v>161</v>
      </c>
      <c r="J7793" t="s">
        <v>18</v>
      </c>
      <c r="K7793" t="s">
        <v>19</v>
      </c>
      <c r="L7793" t="s">
        <v>162</v>
      </c>
      <c r="M7793" t="s">
        <v>24</v>
      </c>
      <c r="N7793" t="s">
        <v>22</v>
      </c>
    </row>
    <row r="7794" spans="1:14">
      <c r="A7794" s="4" t="str">
        <f t="shared" si="721"/>
        <v>EXP00265</v>
      </c>
      <c r="B7794" s="4" t="str">
        <f t="shared" si="722"/>
        <v>17430594</v>
      </c>
      <c r="C7794" s="4" t="str">
        <f t="shared" si="723"/>
        <v>GSE6752</v>
      </c>
      <c r="D7794" s="1" t="s">
        <v>374</v>
      </c>
      <c r="E7794" t="s">
        <v>367</v>
      </c>
      <c r="F7794" s="1">
        <v>3</v>
      </c>
      <c r="G7794" s="1" t="s">
        <v>370</v>
      </c>
      <c r="H7794" s="4" t="str">
        <f>HYPERLINK("https://www.ncbi.nlm.nih.gov/geo/query/acc.cgi?acc=GSM155543","GSM155543")</f>
        <v>GSM155543</v>
      </c>
      <c r="I7794" t="s">
        <v>161</v>
      </c>
      <c r="J7794" t="s">
        <v>18</v>
      </c>
      <c r="K7794" t="s">
        <v>19</v>
      </c>
      <c r="L7794" t="s">
        <v>162</v>
      </c>
      <c r="M7794" t="s">
        <v>24</v>
      </c>
      <c r="N7794" t="s">
        <v>22</v>
      </c>
    </row>
    <row r="7795" spans="1:14">
      <c r="A7795" s="4" t="str">
        <f t="shared" si="721"/>
        <v>EXP00265</v>
      </c>
      <c r="B7795" s="4" t="str">
        <f t="shared" si="722"/>
        <v>17430594</v>
      </c>
      <c r="C7795" s="4" t="str">
        <f t="shared" si="723"/>
        <v>GSE6752</v>
      </c>
      <c r="D7795" s="1" t="s">
        <v>374</v>
      </c>
      <c r="E7795" t="s">
        <v>367</v>
      </c>
      <c r="F7795" s="1">
        <v>3</v>
      </c>
      <c r="G7795" s="1" t="s">
        <v>370</v>
      </c>
      <c r="H7795" s="4" t="str">
        <f>HYPERLINK("https://www.ncbi.nlm.nih.gov/geo/query/acc.cgi?acc=GSM155544","GSM155544")</f>
        <v>GSM155544</v>
      </c>
      <c r="I7795" t="s">
        <v>161</v>
      </c>
      <c r="J7795" t="s">
        <v>18</v>
      </c>
      <c r="K7795" t="s">
        <v>19</v>
      </c>
      <c r="L7795" t="s">
        <v>162</v>
      </c>
      <c r="M7795" t="s">
        <v>24</v>
      </c>
      <c r="N7795" t="s">
        <v>22</v>
      </c>
    </row>
    <row r="7796" spans="1:14">
      <c r="A7796" s="4" t="str">
        <f t="shared" si="721"/>
        <v>EXP00265</v>
      </c>
      <c r="B7796" s="4" t="str">
        <f t="shared" si="722"/>
        <v>17430594</v>
      </c>
      <c r="C7796" s="4" t="str">
        <f t="shared" si="723"/>
        <v>GSE6752</v>
      </c>
      <c r="D7796" s="1" t="s">
        <v>374</v>
      </c>
      <c r="E7796" t="s">
        <v>367</v>
      </c>
      <c r="F7796" s="1">
        <v>3</v>
      </c>
      <c r="G7796" s="1" t="s">
        <v>370</v>
      </c>
      <c r="H7796" s="4" t="str">
        <f>HYPERLINK("https://www.ncbi.nlm.nih.gov/geo/query/acc.cgi?acc=GSM155545","GSM155545")</f>
        <v>GSM155545</v>
      </c>
      <c r="I7796" t="s">
        <v>161</v>
      </c>
      <c r="J7796" t="s">
        <v>18</v>
      </c>
      <c r="K7796" t="s">
        <v>19</v>
      </c>
      <c r="L7796" t="s">
        <v>162</v>
      </c>
      <c r="M7796" t="s">
        <v>24</v>
      </c>
      <c r="N7796" t="s">
        <v>22</v>
      </c>
    </row>
    <row r="7797" spans="1:14">
      <c r="A7797" s="4" t="str">
        <f t="shared" ref="A7797:A7828" si="724">HYPERLINK("http://hcmdb.i-sanger.com/experiment/details/experiment_id/EXP00266","EXP00266")</f>
        <v>EXP00266</v>
      </c>
      <c r="B7797" s="3" t="s">
        <v>66</v>
      </c>
      <c r="C7797" s="4" t="str">
        <f t="shared" ref="C7797:C7860" si="725">HYPERLINK("https://www.ncbi.nlm.nih.gov/geo/query/acc.cgi?acc=GSE68468","GSE68468")</f>
        <v>GSE68468</v>
      </c>
      <c r="D7797" s="1" t="s">
        <v>62</v>
      </c>
      <c r="E7797" t="s">
        <v>72</v>
      </c>
      <c r="F7797" s="1">
        <v>1</v>
      </c>
      <c r="G7797" s="1" t="s">
        <v>26</v>
      </c>
      <c r="H7797" s="4" t="str">
        <f>HYPERLINK("https://www.ncbi.nlm.nih.gov/geo/query/acc.cgi?acc=GSM1672975","GSM1672975")</f>
        <v>GSM1672975</v>
      </c>
      <c r="I7797" t="s">
        <v>69</v>
      </c>
      <c r="J7797" t="s">
        <v>18</v>
      </c>
      <c r="K7797" t="s">
        <v>19</v>
      </c>
      <c r="L7797" t="s">
        <v>70</v>
      </c>
      <c r="M7797" t="s">
        <v>44</v>
      </c>
      <c r="N7797" t="s">
        <v>22</v>
      </c>
    </row>
    <row r="7798" spans="1:14">
      <c r="A7798" s="4" t="str">
        <f t="shared" si="724"/>
        <v>EXP00266</v>
      </c>
      <c r="B7798" s="3" t="s">
        <v>66</v>
      </c>
      <c r="C7798" s="4" t="str">
        <f t="shared" si="725"/>
        <v>GSE68468</v>
      </c>
      <c r="D7798" s="1" t="s">
        <v>62</v>
      </c>
      <c r="E7798" t="s">
        <v>72</v>
      </c>
      <c r="F7798" s="1">
        <v>1</v>
      </c>
      <c r="G7798" s="1" t="s">
        <v>26</v>
      </c>
      <c r="H7798" s="4" t="str">
        <f>HYPERLINK("https://www.ncbi.nlm.nih.gov/geo/query/acc.cgi?acc=GSM1672980","GSM1672980")</f>
        <v>GSM1672980</v>
      </c>
      <c r="I7798" t="s">
        <v>69</v>
      </c>
      <c r="J7798" t="s">
        <v>18</v>
      </c>
      <c r="K7798" t="s">
        <v>19</v>
      </c>
      <c r="L7798" t="s">
        <v>70</v>
      </c>
      <c r="M7798" t="s">
        <v>44</v>
      </c>
      <c r="N7798" t="s">
        <v>22</v>
      </c>
    </row>
    <row r="7799" spans="1:14">
      <c r="A7799" s="4" t="str">
        <f t="shared" si="724"/>
        <v>EXP00266</v>
      </c>
      <c r="B7799" s="3" t="s">
        <v>66</v>
      </c>
      <c r="C7799" s="4" t="str">
        <f t="shared" si="725"/>
        <v>GSE68468</v>
      </c>
      <c r="D7799" s="1" t="s">
        <v>62</v>
      </c>
      <c r="E7799" t="s">
        <v>72</v>
      </c>
      <c r="F7799" s="1">
        <v>1</v>
      </c>
      <c r="G7799" s="1" t="s">
        <v>26</v>
      </c>
      <c r="H7799" s="4" t="str">
        <f>HYPERLINK("https://www.ncbi.nlm.nih.gov/geo/query/acc.cgi?acc=GSM1672982","GSM1672982")</f>
        <v>GSM1672982</v>
      </c>
      <c r="I7799" t="s">
        <v>69</v>
      </c>
      <c r="J7799" t="s">
        <v>18</v>
      </c>
      <c r="K7799" t="s">
        <v>19</v>
      </c>
      <c r="L7799" t="s">
        <v>70</v>
      </c>
      <c r="M7799" t="s">
        <v>44</v>
      </c>
      <c r="N7799" t="s">
        <v>22</v>
      </c>
    </row>
    <row r="7800" spans="1:14">
      <c r="A7800" s="4" t="str">
        <f t="shared" si="724"/>
        <v>EXP00266</v>
      </c>
      <c r="B7800" s="3" t="s">
        <v>66</v>
      </c>
      <c r="C7800" s="4" t="str">
        <f t="shared" si="725"/>
        <v>GSE68468</v>
      </c>
      <c r="D7800" s="1" t="s">
        <v>62</v>
      </c>
      <c r="E7800" t="s">
        <v>72</v>
      </c>
      <c r="F7800" s="1">
        <v>1</v>
      </c>
      <c r="G7800" s="1" t="s">
        <v>26</v>
      </c>
      <c r="H7800" s="4" t="str">
        <f>HYPERLINK("https://www.ncbi.nlm.nih.gov/geo/query/acc.cgi?acc=GSM1673005","GSM1673005")</f>
        <v>GSM1673005</v>
      </c>
      <c r="I7800" t="s">
        <v>69</v>
      </c>
      <c r="J7800" t="s">
        <v>18</v>
      </c>
      <c r="K7800" t="s">
        <v>19</v>
      </c>
      <c r="L7800" t="s">
        <v>70</v>
      </c>
      <c r="M7800" t="s">
        <v>44</v>
      </c>
      <c r="N7800" t="s">
        <v>22</v>
      </c>
    </row>
    <row r="7801" spans="1:14">
      <c r="A7801" s="4" t="str">
        <f t="shared" si="724"/>
        <v>EXP00266</v>
      </c>
      <c r="B7801" s="3" t="s">
        <v>66</v>
      </c>
      <c r="C7801" s="4" t="str">
        <f t="shared" si="725"/>
        <v>GSE68468</v>
      </c>
      <c r="D7801" s="1" t="s">
        <v>62</v>
      </c>
      <c r="E7801" t="s">
        <v>72</v>
      </c>
      <c r="F7801" s="1">
        <v>1</v>
      </c>
      <c r="G7801" s="1" t="s">
        <v>26</v>
      </c>
      <c r="H7801" s="4" t="str">
        <f>HYPERLINK("https://www.ncbi.nlm.nih.gov/geo/query/acc.cgi?acc=GSM1673019","GSM1673019")</f>
        <v>GSM1673019</v>
      </c>
      <c r="I7801" t="s">
        <v>69</v>
      </c>
      <c r="J7801" t="s">
        <v>18</v>
      </c>
      <c r="K7801" t="s">
        <v>19</v>
      </c>
      <c r="L7801" t="s">
        <v>70</v>
      </c>
      <c r="M7801" t="s">
        <v>44</v>
      </c>
      <c r="N7801" t="s">
        <v>22</v>
      </c>
    </row>
    <row r="7802" spans="1:14">
      <c r="A7802" s="4" t="str">
        <f t="shared" si="724"/>
        <v>EXP00266</v>
      </c>
      <c r="B7802" s="3" t="s">
        <v>66</v>
      </c>
      <c r="C7802" s="4" t="str">
        <f t="shared" si="725"/>
        <v>GSE68468</v>
      </c>
      <c r="D7802" s="1" t="s">
        <v>62</v>
      </c>
      <c r="E7802" t="s">
        <v>72</v>
      </c>
      <c r="F7802" s="1">
        <v>1</v>
      </c>
      <c r="G7802" s="1" t="s">
        <v>26</v>
      </c>
      <c r="H7802" s="4" t="str">
        <f>HYPERLINK("https://www.ncbi.nlm.nih.gov/geo/query/acc.cgi?acc=GSM1673020","GSM1673020")</f>
        <v>GSM1673020</v>
      </c>
      <c r="I7802" t="s">
        <v>69</v>
      </c>
      <c r="J7802" t="s">
        <v>18</v>
      </c>
      <c r="K7802" t="s">
        <v>19</v>
      </c>
      <c r="L7802" t="s">
        <v>70</v>
      </c>
      <c r="M7802" t="s">
        <v>44</v>
      </c>
      <c r="N7802" t="s">
        <v>22</v>
      </c>
    </row>
    <row r="7803" spans="1:14">
      <c r="A7803" s="4" t="str">
        <f t="shared" si="724"/>
        <v>EXP00266</v>
      </c>
      <c r="B7803" s="3" t="s">
        <v>66</v>
      </c>
      <c r="C7803" s="4" t="str">
        <f t="shared" si="725"/>
        <v>GSE68468</v>
      </c>
      <c r="D7803" s="1" t="s">
        <v>62</v>
      </c>
      <c r="E7803" t="s">
        <v>72</v>
      </c>
      <c r="F7803" s="1">
        <v>1</v>
      </c>
      <c r="G7803" s="1" t="s">
        <v>26</v>
      </c>
      <c r="H7803" s="4" t="str">
        <f>HYPERLINK("https://www.ncbi.nlm.nih.gov/geo/query/acc.cgi?acc=GSM1673021","GSM1673021")</f>
        <v>GSM1673021</v>
      </c>
      <c r="I7803" t="s">
        <v>69</v>
      </c>
      <c r="J7803" t="s">
        <v>18</v>
      </c>
      <c r="K7803" t="s">
        <v>19</v>
      </c>
      <c r="L7803" t="s">
        <v>70</v>
      </c>
      <c r="M7803" t="s">
        <v>44</v>
      </c>
      <c r="N7803" t="s">
        <v>22</v>
      </c>
    </row>
    <row r="7804" spans="1:14">
      <c r="A7804" s="4" t="str">
        <f t="shared" si="724"/>
        <v>EXP00266</v>
      </c>
      <c r="B7804" s="3" t="s">
        <v>66</v>
      </c>
      <c r="C7804" s="4" t="str">
        <f t="shared" si="725"/>
        <v>GSE68468</v>
      </c>
      <c r="D7804" s="1" t="s">
        <v>62</v>
      </c>
      <c r="E7804" t="s">
        <v>72</v>
      </c>
      <c r="F7804" s="1">
        <v>1</v>
      </c>
      <c r="G7804" s="1" t="s">
        <v>26</v>
      </c>
      <c r="H7804" s="4" t="str">
        <f>HYPERLINK("https://www.ncbi.nlm.nih.gov/geo/query/acc.cgi?acc=GSM1673022","GSM1673022")</f>
        <v>GSM1673022</v>
      </c>
      <c r="I7804" t="s">
        <v>69</v>
      </c>
      <c r="J7804" t="s">
        <v>18</v>
      </c>
      <c r="K7804" t="s">
        <v>19</v>
      </c>
      <c r="L7804" t="s">
        <v>70</v>
      </c>
      <c r="M7804" t="s">
        <v>44</v>
      </c>
      <c r="N7804" t="s">
        <v>22</v>
      </c>
    </row>
    <row r="7805" spans="1:14">
      <c r="A7805" s="4" t="str">
        <f t="shared" si="724"/>
        <v>EXP00266</v>
      </c>
      <c r="B7805" s="3" t="s">
        <v>66</v>
      </c>
      <c r="C7805" s="4" t="str">
        <f t="shared" si="725"/>
        <v>GSE68468</v>
      </c>
      <c r="D7805" s="1" t="s">
        <v>62</v>
      </c>
      <c r="E7805" t="s">
        <v>72</v>
      </c>
      <c r="F7805" s="1">
        <v>1</v>
      </c>
      <c r="G7805" s="1" t="s">
        <v>26</v>
      </c>
      <c r="H7805" s="4" t="str">
        <f>HYPERLINK("https://www.ncbi.nlm.nih.gov/geo/query/acc.cgi?acc=GSM1673043","GSM1673043")</f>
        <v>GSM1673043</v>
      </c>
      <c r="I7805" t="s">
        <v>69</v>
      </c>
      <c r="J7805" t="s">
        <v>18</v>
      </c>
      <c r="K7805" t="s">
        <v>19</v>
      </c>
      <c r="L7805" t="s">
        <v>70</v>
      </c>
      <c r="M7805" t="s">
        <v>44</v>
      </c>
      <c r="N7805" t="s">
        <v>22</v>
      </c>
    </row>
    <row r="7806" spans="1:14">
      <c r="A7806" s="4" t="str">
        <f t="shared" si="724"/>
        <v>EXP00266</v>
      </c>
      <c r="B7806" s="3" t="s">
        <v>66</v>
      </c>
      <c r="C7806" s="4" t="str">
        <f t="shared" si="725"/>
        <v>GSE68468</v>
      </c>
      <c r="D7806" s="1" t="s">
        <v>62</v>
      </c>
      <c r="E7806" t="s">
        <v>72</v>
      </c>
      <c r="F7806" s="1">
        <v>1</v>
      </c>
      <c r="G7806" s="1" t="s">
        <v>26</v>
      </c>
      <c r="H7806" s="4" t="str">
        <f>HYPERLINK("https://www.ncbi.nlm.nih.gov/geo/query/acc.cgi?acc=GSM1673051","GSM1673051")</f>
        <v>GSM1673051</v>
      </c>
      <c r="I7806" t="s">
        <v>69</v>
      </c>
      <c r="J7806" t="s">
        <v>18</v>
      </c>
      <c r="K7806" t="s">
        <v>19</v>
      </c>
      <c r="L7806" t="s">
        <v>70</v>
      </c>
      <c r="M7806" t="s">
        <v>44</v>
      </c>
      <c r="N7806" t="s">
        <v>22</v>
      </c>
    </row>
    <row r="7807" spans="1:14">
      <c r="A7807" s="4" t="str">
        <f t="shared" si="724"/>
        <v>EXP00266</v>
      </c>
      <c r="B7807" s="3" t="s">
        <v>66</v>
      </c>
      <c r="C7807" s="4" t="str">
        <f t="shared" si="725"/>
        <v>GSE68468</v>
      </c>
      <c r="D7807" s="1" t="s">
        <v>62</v>
      </c>
      <c r="E7807" t="s">
        <v>72</v>
      </c>
      <c r="F7807" s="1">
        <v>1</v>
      </c>
      <c r="G7807" s="1" t="s">
        <v>26</v>
      </c>
      <c r="H7807" s="4" t="str">
        <f>HYPERLINK("https://www.ncbi.nlm.nih.gov/geo/query/acc.cgi?acc=GSM1673061","GSM1673061")</f>
        <v>GSM1673061</v>
      </c>
      <c r="I7807" t="s">
        <v>69</v>
      </c>
      <c r="J7807" t="s">
        <v>18</v>
      </c>
      <c r="K7807" t="s">
        <v>19</v>
      </c>
      <c r="L7807" t="s">
        <v>70</v>
      </c>
      <c r="M7807" t="s">
        <v>44</v>
      </c>
      <c r="N7807" t="s">
        <v>22</v>
      </c>
    </row>
    <row r="7808" spans="1:14">
      <c r="A7808" s="4" t="str">
        <f t="shared" si="724"/>
        <v>EXP00266</v>
      </c>
      <c r="B7808" s="3" t="s">
        <v>66</v>
      </c>
      <c r="C7808" s="4" t="str">
        <f t="shared" si="725"/>
        <v>GSE68468</v>
      </c>
      <c r="D7808" s="1" t="s">
        <v>62</v>
      </c>
      <c r="E7808" t="s">
        <v>72</v>
      </c>
      <c r="F7808" s="1">
        <v>1</v>
      </c>
      <c r="G7808" s="1" t="s">
        <v>26</v>
      </c>
      <c r="H7808" s="4" t="str">
        <f>HYPERLINK("https://www.ncbi.nlm.nih.gov/geo/query/acc.cgi?acc=GSM1673075","GSM1673075")</f>
        <v>GSM1673075</v>
      </c>
      <c r="I7808" t="s">
        <v>69</v>
      </c>
      <c r="J7808" t="s">
        <v>18</v>
      </c>
      <c r="K7808" t="s">
        <v>19</v>
      </c>
      <c r="L7808" t="s">
        <v>70</v>
      </c>
      <c r="M7808" t="s">
        <v>44</v>
      </c>
      <c r="N7808" t="s">
        <v>22</v>
      </c>
    </row>
    <row r="7809" spans="1:14">
      <c r="A7809" s="4" t="str">
        <f t="shared" si="724"/>
        <v>EXP00266</v>
      </c>
      <c r="B7809" s="3" t="s">
        <v>66</v>
      </c>
      <c r="C7809" s="4" t="str">
        <f t="shared" si="725"/>
        <v>GSE68468</v>
      </c>
      <c r="D7809" s="1" t="s">
        <v>62</v>
      </c>
      <c r="E7809" t="s">
        <v>72</v>
      </c>
      <c r="F7809" s="1">
        <v>1</v>
      </c>
      <c r="G7809" s="1" t="s">
        <v>26</v>
      </c>
      <c r="H7809" s="4" t="str">
        <f>HYPERLINK("https://www.ncbi.nlm.nih.gov/geo/query/acc.cgi?acc=GSM1673083","GSM1673083")</f>
        <v>GSM1673083</v>
      </c>
      <c r="I7809" t="s">
        <v>69</v>
      </c>
      <c r="J7809" t="s">
        <v>18</v>
      </c>
      <c r="K7809" t="s">
        <v>19</v>
      </c>
      <c r="L7809" t="s">
        <v>70</v>
      </c>
      <c r="M7809" t="s">
        <v>44</v>
      </c>
      <c r="N7809" t="s">
        <v>22</v>
      </c>
    </row>
    <row r="7810" spans="1:14">
      <c r="A7810" s="4" t="str">
        <f t="shared" si="724"/>
        <v>EXP00266</v>
      </c>
      <c r="B7810" s="3" t="s">
        <v>66</v>
      </c>
      <c r="C7810" s="4" t="str">
        <f t="shared" si="725"/>
        <v>GSE68468</v>
      </c>
      <c r="D7810" s="1" t="s">
        <v>62</v>
      </c>
      <c r="E7810" t="s">
        <v>72</v>
      </c>
      <c r="F7810" s="1">
        <v>1</v>
      </c>
      <c r="G7810" s="1" t="s">
        <v>26</v>
      </c>
      <c r="H7810" s="4" t="str">
        <f>HYPERLINK("https://www.ncbi.nlm.nih.gov/geo/query/acc.cgi?acc=GSM1673085","GSM1673085")</f>
        <v>GSM1673085</v>
      </c>
      <c r="I7810" t="s">
        <v>69</v>
      </c>
      <c r="J7810" t="s">
        <v>18</v>
      </c>
      <c r="K7810" t="s">
        <v>19</v>
      </c>
      <c r="L7810" t="s">
        <v>70</v>
      </c>
      <c r="M7810" t="s">
        <v>44</v>
      </c>
      <c r="N7810" t="s">
        <v>22</v>
      </c>
    </row>
    <row r="7811" spans="1:14">
      <c r="A7811" s="4" t="str">
        <f t="shared" si="724"/>
        <v>EXP00266</v>
      </c>
      <c r="B7811" s="3" t="s">
        <v>66</v>
      </c>
      <c r="C7811" s="4" t="str">
        <f t="shared" si="725"/>
        <v>GSE68468</v>
      </c>
      <c r="D7811" s="1" t="s">
        <v>62</v>
      </c>
      <c r="E7811" t="s">
        <v>72</v>
      </c>
      <c r="F7811" s="1">
        <v>1</v>
      </c>
      <c r="G7811" s="1" t="s">
        <v>26</v>
      </c>
      <c r="H7811" s="4" t="str">
        <f>HYPERLINK("https://www.ncbi.nlm.nih.gov/geo/query/acc.cgi?acc=GSM1673088","GSM1673088")</f>
        <v>GSM1673088</v>
      </c>
      <c r="I7811" t="s">
        <v>69</v>
      </c>
      <c r="J7811" t="s">
        <v>18</v>
      </c>
      <c r="K7811" t="s">
        <v>19</v>
      </c>
      <c r="L7811" t="s">
        <v>70</v>
      </c>
      <c r="M7811" t="s">
        <v>44</v>
      </c>
      <c r="N7811" t="s">
        <v>22</v>
      </c>
    </row>
    <row r="7812" spans="1:14">
      <c r="A7812" s="4" t="str">
        <f t="shared" si="724"/>
        <v>EXP00266</v>
      </c>
      <c r="B7812" s="3" t="s">
        <v>66</v>
      </c>
      <c r="C7812" s="4" t="str">
        <f t="shared" si="725"/>
        <v>GSE68468</v>
      </c>
      <c r="D7812" s="1" t="s">
        <v>62</v>
      </c>
      <c r="E7812" t="s">
        <v>72</v>
      </c>
      <c r="F7812" s="1">
        <v>1</v>
      </c>
      <c r="G7812" s="1" t="s">
        <v>26</v>
      </c>
      <c r="H7812" s="4" t="str">
        <f>HYPERLINK("https://www.ncbi.nlm.nih.gov/geo/query/acc.cgi?acc=GSM1673091","GSM1673091")</f>
        <v>GSM1673091</v>
      </c>
      <c r="I7812" t="s">
        <v>69</v>
      </c>
      <c r="J7812" t="s">
        <v>18</v>
      </c>
      <c r="K7812" t="s">
        <v>19</v>
      </c>
      <c r="L7812" t="s">
        <v>70</v>
      </c>
      <c r="M7812" t="s">
        <v>44</v>
      </c>
      <c r="N7812" t="s">
        <v>22</v>
      </c>
    </row>
    <row r="7813" spans="1:14">
      <c r="A7813" s="4" t="str">
        <f t="shared" si="724"/>
        <v>EXP00266</v>
      </c>
      <c r="B7813" s="3" t="s">
        <v>66</v>
      </c>
      <c r="C7813" s="4" t="str">
        <f t="shared" si="725"/>
        <v>GSE68468</v>
      </c>
      <c r="D7813" s="1" t="s">
        <v>62</v>
      </c>
      <c r="E7813" t="s">
        <v>72</v>
      </c>
      <c r="F7813" s="1">
        <v>1</v>
      </c>
      <c r="G7813" s="1" t="s">
        <v>26</v>
      </c>
      <c r="H7813" s="4" t="str">
        <f>HYPERLINK("https://www.ncbi.nlm.nih.gov/geo/query/acc.cgi?acc=GSM1673095","GSM1673095")</f>
        <v>GSM1673095</v>
      </c>
      <c r="I7813" t="s">
        <v>69</v>
      </c>
      <c r="J7813" t="s">
        <v>18</v>
      </c>
      <c r="K7813" t="s">
        <v>19</v>
      </c>
      <c r="L7813" t="s">
        <v>70</v>
      </c>
      <c r="M7813" t="s">
        <v>44</v>
      </c>
      <c r="N7813" t="s">
        <v>22</v>
      </c>
    </row>
    <row r="7814" spans="1:14">
      <c r="A7814" s="4" t="str">
        <f t="shared" si="724"/>
        <v>EXP00266</v>
      </c>
      <c r="B7814" s="3" t="s">
        <v>66</v>
      </c>
      <c r="C7814" s="4" t="str">
        <f t="shared" si="725"/>
        <v>GSE68468</v>
      </c>
      <c r="D7814" s="1" t="s">
        <v>62</v>
      </c>
      <c r="E7814" t="s">
        <v>72</v>
      </c>
      <c r="F7814" s="1">
        <v>1</v>
      </c>
      <c r="G7814" s="1" t="s">
        <v>26</v>
      </c>
      <c r="H7814" s="4" t="str">
        <f>HYPERLINK("https://www.ncbi.nlm.nih.gov/geo/query/acc.cgi?acc=GSM1673102","GSM1673102")</f>
        <v>GSM1673102</v>
      </c>
      <c r="I7814" t="s">
        <v>69</v>
      </c>
      <c r="J7814" t="s">
        <v>18</v>
      </c>
      <c r="K7814" t="s">
        <v>19</v>
      </c>
      <c r="L7814" t="s">
        <v>70</v>
      </c>
      <c r="M7814" t="s">
        <v>44</v>
      </c>
      <c r="N7814" t="s">
        <v>22</v>
      </c>
    </row>
    <row r="7815" spans="1:14">
      <c r="A7815" s="4" t="str">
        <f t="shared" si="724"/>
        <v>EXP00266</v>
      </c>
      <c r="B7815" s="3" t="s">
        <v>66</v>
      </c>
      <c r="C7815" s="4" t="str">
        <f t="shared" si="725"/>
        <v>GSE68468</v>
      </c>
      <c r="D7815" s="1" t="s">
        <v>62</v>
      </c>
      <c r="E7815" t="s">
        <v>72</v>
      </c>
      <c r="F7815" s="1">
        <v>1</v>
      </c>
      <c r="G7815" s="1" t="s">
        <v>26</v>
      </c>
      <c r="H7815" s="4" t="str">
        <f>HYPERLINK("https://www.ncbi.nlm.nih.gov/geo/query/acc.cgi?acc=GSM1673112","GSM1673112")</f>
        <v>GSM1673112</v>
      </c>
      <c r="I7815" t="s">
        <v>69</v>
      </c>
      <c r="J7815" t="s">
        <v>18</v>
      </c>
      <c r="K7815" t="s">
        <v>19</v>
      </c>
      <c r="L7815" t="s">
        <v>70</v>
      </c>
      <c r="M7815" t="s">
        <v>44</v>
      </c>
      <c r="N7815" t="s">
        <v>22</v>
      </c>
    </row>
    <row r="7816" spans="1:14">
      <c r="A7816" s="4" t="str">
        <f t="shared" si="724"/>
        <v>EXP00266</v>
      </c>
      <c r="B7816" s="3" t="s">
        <v>66</v>
      </c>
      <c r="C7816" s="4" t="str">
        <f t="shared" si="725"/>
        <v>GSE68468</v>
      </c>
      <c r="D7816" s="1" t="s">
        <v>62</v>
      </c>
      <c r="E7816" t="s">
        <v>72</v>
      </c>
      <c r="F7816" s="1">
        <v>1</v>
      </c>
      <c r="G7816" s="1" t="s">
        <v>26</v>
      </c>
      <c r="H7816" s="4" t="str">
        <f>HYPERLINK("https://www.ncbi.nlm.nih.gov/geo/query/acc.cgi?acc=GSM1673129","GSM1673129")</f>
        <v>GSM1673129</v>
      </c>
      <c r="I7816" t="s">
        <v>69</v>
      </c>
      <c r="J7816" t="s">
        <v>18</v>
      </c>
      <c r="K7816" t="s">
        <v>19</v>
      </c>
      <c r="L7816" t="s">
        <v>70</v>
      </c>
      <c r="M7816" t="s">
        <v>44</v>
      </c>
      <c r="N7816" t="s">
        <v>22</v>
      </c>
    </row>
    <row r="7817" spans="1:14">
      <c r="A7817" s="4" t="str">
        <f t="shared" si="724"/>
        <v>EXP00266</v>
      </c>
      <c r="B7817" s="3" t="s">
        <v>66</v>
      </c>
      <c r="C7817" s="4" t="str">
        <f t="shared" si="725"/>
        <v>GSE68468</v>
      </c>
      <c r="D7817" s="1" t="s">
        <v>62</v>
      </c>
      <c r="E7817" t="s">
        <v>72</v>
      </c>
      <c r="F7817" s="1">
        <v>1</v>
      </c>
      <c r="G7817" s="1" t="s">
        <v>26</v>
      </c>
      <c r="H7817" s="4" t="str">
        <f>HYPERLINK("https://www.ncbi.nlm.nih.gov/geo/query/acc.cgi?acc=GSM1673134","GSM1673134")</f>
        <v>GSM1673134</v>
      </c>
      <c r="I7817" t="s">
        <v>69</v>
      </c>
      <c r="J7817" t="s">
        <v>18</v>
      </c>
      <c r="K7817" t="s">
        <v>19</v>
      </c>
      <c r="L7817" t="s">
        <v>70</v>
      </c>
      <c r="M7817" t="s">
        <v>44</v>
      </c>
      <c r="N7817" t="s">
        <v>22</v>
      </c>
    </row>
    <row r="7818" spans="1:14">
      <c r="A7818" s="4" t="str">
        <f t="shared" si="724"/>
        <v>EXP00266</v>
      </c>
      <c r="B7818" s="3" t="s">
        <v>66</v>
      </c>
      <c r="C7818" s="4" t="str">
        <f t="shared" si="725"/>
        <v>GSE68468</v>
      </c>
      <c r="D7818" s="1" t="s">
        <v>62</v>
      </c>
      <c r="E7818" t="s">
        <v>72</v>
      </c>
      <c r="F7818" s="1">
        <v>1</v>
      </c>
      <c r="G7818" s="1" t="s">
        <v>26</v>
      </c>
      <c r="H7818" s="4" t="str">
        <f>HYPERLINK("https://www.ncbi.nlm.nih.gov/geo/query/acc.cgi?acc=GSM1673135","GSM1673135")</f>
        <v>GSM1673135</v>
      </c>
      <c r="I7818" t="s">
        <v>69</v>
      </c>
      <c r="J7818" t="s">
        <v>18</v>
      </c>
      <c r="K7818" t="s">
        <v>19</v>
      </c>
      <c r="L7818" t="s">
        <v>70</v>
      </c>
      <c r="M7818" t="s">
        <v>44</v>
      </c>
      <c r="N7818" t="s">
        <v>22</v>
      </c>
    </row>
    <row r="7819" spans="1:14">
      <c r="A7819" s="4" t="str">
        <f t="shared" si="724"/>
        <v>EXP00266</v>
      </c>
      <c r="B7819" s="3" t="s">
        <v>66</v>
      </c>
      <c r="C7819" s="4" t="str">
        <f t="shared" si="725"/>
        <v>GSE68468</v>
      </c>
      <c r="D7819" s="1" t="s">
        <v>62</v>
      </c>
      <c r="E7819" t="s">
        <v>72</v>
      </c>
      <c r="F7819" s="1">
        <v>1</v>
      </c>
      <c r="G7819" s="1" t="s">
        <v>26</v>
      </c>
      <c r="H7819" s="4" t="str">
        <f>HYPERLINK("https://www.ncbi.nlm.nih.gov/geo/query/acc.cgi?acc=GSM1673136","GSM1673136")</f>
        <v>GSM1673136</v>
      </c>
      <c r="I7819" t="s">
        <v>69</v>
      </c>
      <c r="J7819" t="s">
        <v>18</v>
      </c>
      <c r="K7819" t="s">
        <v>19</v>
      </c>
      <c r="L7819" t="s">
        <v>70</v>
      </c>
      <c r="M7819" t="s">
        <v>44</v>
      </c>
      <c r="N7819" t="s">
        <v>22</v>
      </c>
    </row>
    <row r="7820" spans="1:14">
      <c r="A7820" s="4" t="str">
        <f t="shared" si="724"/>
        <v>EXP00266</v>
      </c>
      <c r="B7820" s="3" t="s">
        <v>66</v>
      </c>
      <c r="C7820" s="4" t="str">
        <f t="shared" si="725"/>
        <v>GSE68468</v>
      </c>
      <c r="D7820" s="1" t="s">
        <v>62</v>
      </c>
      <c r="E7820" t="s">
        <v>72</v>
      </c>
      <c r="F7820" s="1">
        <v>1</v>
      </c>
      <c r="G7820" s="1" t="s">
        <v>26</v>
      </c>
      <c r="H7820" s="4" t="str">
        <f>HYPERLINK("https://www.ncbi.nlm.nih.gov/geo/query/acc.cgi?acc=GSM1673145","GSM1673145")</f>
        <v>GSM1673145</v>
      </c>
      <c r="I7820" t="s">
        <v>69</v>
      </c>
      <c r="J7820" t="s">
        <v>18</v>
      </c>
      <c r="K7820" t="s">
        <v>19</v>
      </c>
      <c r="L7820" t="s">
        <v>70</v>
      </c>
      <c r="M7820" t="s">
        <v>44</v>
      </c>
      <c r="N7820" t="s">
        <v>22</v>
      </c>
    </row>
    <row r="7821" spans="1:14">
      <c r="A7821" s="4" t="str">
        <f t="shared" si="724"/>
        <v>EXP00266</v>
      </c>
      <c r="B7821" s="3" t="s">
        <v>66</v>
      </c>
      <c r="C7821" s="4" t="str">
        <f t="shared" si="725"/>
        <v>GSE68468</v>
      </c>
      <c r="D7821" s="1" t="s">
        <v>62</v>
      </c>
      <c r="E7821" t="s">
        <v>72</v>
      </c>
      <c r="F7821" s="1">
        <v>1</v>
      </c>
      <c r="G7821" s="1" t="s">
        <v>26</v>
      </c>
      <c r="H7821" s="4" t="str">
        <f>HYPERLINK("https://www.ncbi.nlm.nih.gov/geo/query/acc.cgi?acc=GSM1673159","GSM1673159")</f>
        <v>GSM1673159</v>
      </c>
      <c r="I7821" t="s">
        <v>69</v>
      </c>
      <c r="J7821" t="s">
        <v>18</v>
      </c>
      <c r="K7821" t="s">
        <v>19</v>
      </c>
      <c r="L7821" t="s">
        <v>70</v>
      </c>
      <c r="M7821" t="s">
        <v>44</v>
      </c>
      <c r="N7821" t="s">
        <v>22</v>
      </c>
    </row>
    <row r="7822" spans="1:14">
      <c r="A7822" s="4" t="str">
        <f t="shared" si="724"/>
        <v>EXP00266</v>
      </c>
      <c r="B7822" s="3" t="s">
        <v>66</v>
      </c>
      <c r="C7822" s="4" t="str">
        <f t="shared" si="725"/>
        <v>GSE68468</v>
      </c>
      <c r="D7822" s="1" t="s">
        <v>62</v>
      </c>
      <c r="E7822" t="s">
        <v>72</v>
      </c>
      <c r="F7822" s="1">
        <v>1</v>
      </c>
      <c r="G7822" s="1" t="s">
        <v>26</v>
      </c>
      <c r="H7822" s="4" t="str">
        <f>HYPERLINK("https://www.ncbi.nlm.nih.gov/geo/query/acc.cgi?acc=GSM1673166","GSM1673166")</f>
        <v>GSM1673166</v>
      </c>
      <c r="I7822" t="s">
        <v>69</v>
      </c>
      <c r="J7822" t="s">
        <v>18</v>
      </c>
      <c r="K7822" t="s">
        <v>19</v>
      </c>
      <c r="L7822" t="s">
        <v>70</v>
      </c>
      <c r="M7822" t="s">
        <v>44</v>
      </c>
      <c r="N7822" t="s">
        <v>22</v>
      </c>
    </row>
    <row r="7823" spans="1:14">
      <c r="A7823" s="4" t="str">
        <f t="shared" si="724"/>
        <v>EXP00266</v>
      </c>
      <c r="B7823" s="3" t="s">
        <v>66</v>
      </c>
      <c r="C7823" s="4" t="str">
        <f t="shared" si="725"/>
        <v>GSE68468</v>
      </c>
      <c r="D7823" s="1" t="s">
        <v>62</v>
      </c>
      <c r="E7823" t="s">
        <v>72</v>
      </c>
      <c r="F7823" s="1">
        <v>1</v>
      </c>
      <c r="G7823" s="1" t="s">
        <v>26</v>
      </c>
      <c r="H7823" s="4" t="str">
        <f>HYPERLINK("https://www.ncbi.nlm.nih.gov/geo/query/acc.cgi?acc=GSM1673167","GSM1673167")</f>
        <v>GSM1673167</v>
      </c>
      <c r="I7823" t="s">
        <v>69</v>
      </c>
      <c r="J7823" t="s">
        <v>18</v>
      </c>
      <c r="K7823" t="s">
        <v>19</v>
      </c>
      <c r="L7823" t="s">
        <v>70</v>
      </c>
      <c r="M7823" t="s">
        <v>44</v>
      </c>
      <c r="N7823" t="s">
        <v>22</v>
      </c>
    </row>
    <row r="7824" spans="1:14">
      <c r="A7824" s="4" t="str">
        <f t="shared" si="724"/>
        <v>EXP00266</v>
      </c>
      <c r="B7824" s="3" t="s">
        <v>66</v>
      </c>
      <c r="C7824" s="4" t="str">
        <f t="shared" si="725"/>
        <v>GSE68468</v>
      </c>
      <c r="D7824" s="1" t="s">
        <v>62</v>
      </c>
      <c r="E7824" t="s">
        <v>72</v>
      </c>
      <c r="F7824" s="1">
        <v>1</v>
      </c>
      <c r="G7824" s="1" t="s">
        <v>26</v>
      </c>
      <c r="H7824" s="4" t="str">
        <f>HYPERLINK("https://www.ncbi.nlm.nih.gov/geo/query/acc.cgi?acc=GSM1673168","GSM1673168")</f>
        <v>GSM1673168</v>
      </c>
      <c r="I7824" t="s">
        <v>69</v>
      </c>
      <c r="J7824" t="s">
        <v>18</v>
      </c>
      <c r="K7824" t="s">
        <v>19</v>
      </c>
      <c r="L7824" t="s">
        <v>70</v>
      </c>
      <c r="M7824" t="s">
        <v>44</v>
      </c>
      <c r="N7824" t="s">
        <v>22</v>
      </c>
    </row>
    <row r="7825" spans="1:14">
      <c r="A7825" s="4" t="str">
        <f t="shared" si="724"/>
        <v>EXP00266</v>
      </c>
      <c r="B7825" s="3" t="s">
        <v>66</v>
      </c>
      <c r="C7825" s="4" t="str">
        <f t="shared" si="725"/>
        <v>GSE68468</v>
      </c>
      <c r="D7825" s="1" t="s">
        <v>62</v>
      </c>
      <c r="E7825" t="s">
        <v>72</v>
      </c>
      <c r="F7825" s="1">
        <v>1</v>
      </c>
      <c r="G7825" s="1" t="s">
        <v>26</v>
      </c>
      <c r="H7825" s="4" t="str">
        <f>HYPERLINK("https://www.ncbi.nlm.nih.gov/geo/query/acc.cgi?acc=GSM1673196","GSM1673196")</f>
        <v>GSM1673196</v>
      </c>
      <c r="I7825" t="s">
        <v>69</v>
      </c>
      <c r="J7825" t="s">
        <v>18</v>
      </c>
      <c r="K7825" t="s">
        <v>19</v>
      </c>
      <c r="L7825" t="s">
        <v>70</v>
      </c>
      <c r="M7825" t="s">
        <v>44</v>
      </c>
      <c r="N7825" t="s">
        <v>22</v>
      </c>
    </row>
    <row r="7826" spans="1:14">
      <c r="A7826" s="4" t="str">
        <f t="shared" si="724"/>
        <v>EXP00266</v>
      </c>
      <c r="B7826" s="3" t="s">
        <v>66</v>
      </c>
      <c r="C7826" s="4" t="str">
        <f t="shared" si="725"/>
        <v>GSE68468</v>
      </c>
      <c r="D7826" s="1" t="s">
        <v>62</v>
      </c>
      <c r="E7826" t="s">
        <v>72</v>
      </c>
      <c r="F7826" s="1">
        <v>1</v>
      </c>
      <c r="G7826" s="1" t="s">
        <v>26</v>
      </c>
      <c r="H7826" s="4" t="str">
        <f>HYPERLINK("https://www.ncbi.nlm.nih.gov/geo/query/acc.cgi?acc=GSM1673197","GSM1673197")</f>
        <v>GSM1673197</v>
      </c>
      <c r="I7826" t="s">
        <v>69</v>
      </c>
      <c r="J7826" t="s">
        <v>18</v>
      </c>
      <c r="K7826" t="s">
        <v>19</v>
      </c>
      <c r="L7826" t="s">
        <v>70</v>
      </c>
      <c r="M7826" t="s">
        <v>44</v>
      </c>
      <c r="N7826" t="s">
        <v>22</v>
      </c>
    </row>
    <row r="7827" spans="1:14">
      <c r="A7827" s="4" t="str">
        <f t="shared" si="724"/>
        <v>EXP00266</v>
      </c>
      <c r="B7827" s="3" t="s">
        <v>66</v>
      </c>
      <c r="C7827" s="4" t="str">
        <f t="shared" si="725"/>
        <v>GSE68468</v>
      </c>
      <c r="D7827" s="1" t="s">
        <v>62</v>
      </c>
      <c r="E7827" t="s">
        <v>72</v>
      </c>
      <c r="F7827" s="1">
        <v>1</v>
      </c>
      <c r="G7827" s="1" t="s">
        <v>26</v>
      </c>
      <c r="H7827" s="4" t="str">
        <f>HYPERLINK("https://www.ncbi.nlm.nih.gov/geo/query/acc.cgi?acc=GSM1673198","GSM1673198")</f>
        <v>GSM1673198</v>
      </c>
      <c r="I7827" t="s">
        <v>69</v>
      </c>
      <c r="J7827" t="s">
        <v>18</v>
      </c>
      <c r="K7827" t="s">
        <v>19</v>
      </c>
      <c r="L7827" t="s">
        <v>70</v>
      </c>
      <c r="M7827" t="s">
        <v>44</v>
      </c>
      <c r="N7827" t="s">
        <v>22</v>
      </c>
    </row>
    <row r="7828" spans="1:14">
      <c r="A7828" s="4" t="str">
        <f t="shared" si="724"/>
        <v>EXP00266</v>
      </c>
      <c r="B7828" s="3" t="s">
        <v>66</v>
      </c>
      <c r="C7828" s="4" t="str">
        <f t="shared" si="725"/>
        <v>GSE68468</v>
      </c>
      <c r="D7828" s="1" t="s">
        <v>62</v>
      </c>
      <c r="E7828" t="s">
        <v>72</v>
      </c>
      <c r="F7828" s="1">
        <v>1</v>
      </c>
      <c r="G7828" s="1" t="s">
        <v>26</v>
      </c>
      <c r="H7828" s="4" t="str">
        <f>HYPERLINK("https://www.ncbi.nlm.nih.gov/geo/query/acc.cgi?acc=GSM1673202","GSM1673202")</f>
        <v>GSM1673202</v>
      </c>
      <c r="I7828" t="s">
        <v>69</v>
      </c>
      <c r="J7828" t="s">
        <v>18</v>
      </c>
      <c r="K7828" t="s">
        <v>19</v>
      </c>
      <c r="L7828" t="s">
        <v>70</v>
      </c>
      <c r="M7828" t="s">
        <v>44</v>
      </c>
      <c r="N7828" t="s">
        <v>22</v>
      </c>
    </row>
    <row r="7829" spans="1:14">
      <c r="A7829" s="4" t="str">
        <f t="shared" ref="A7829:A7849" si="726">HYPERLINK("http://hcmdb.i-sanger.com/experiment/details/experiment_id/EXP00266","EXP00266")</f>
        <v>EXP00266</v>
      </c>
      <c r="B7829" s="3" t="s">
        <v>66</v>
      </c>
      <c r="C7829" s="4" t="str">
        <f t="shared" si="725"/>
        <v>GSE68468</v>
      </c>
      <c r="D7829" s="1" t="s">
        <v>62</v>
      </c>
      <c r="E7829" t="s">
        <v>72</v>
      </c>
      <c r="F7829" s="1">
        <v>1</v>
      </c>
      <c r="G7829" s="1" t="s">
        <v>26</v>
      </c>
      <c r="H7829" s="4" t="str">
        <f>HYPERLINK("https://www.ncbi.nlm.nih.gov/geo/query/acc.cgi?acc=GSM1673217","GSM1673217")</f>
        <v>GSM1673217</v>
      </c>
      <c r="I7829" t="s">
        <v>69</v>
      </c>
      <c r="J7829" t="s">
        <v>18</v>
      </c>
      <c r="K7829" t="s">
        <v>19</v>
      </c>
      <c r="L7829" t="s">
        <v>70</v>
      </c>
      <c r="M7829" t="s">
        <v>44</v>
      </c>
      <c r="N7829" t="s">
        <v>22</v>
      </c>
    </row>
    <row r="7830" spans="1:14">
      <c r="A7830" s="4" t="str">
        <f t="shared" si="726"/>
        <v>EXP00266</v>
      </c>
      <c r="B7830" s="3" t="s">
        <v>66</v>
      </c>
      <c r="C7830" s="4" t="str">
        <f t="shared" si="725"/>
        <v>GSE68468</v>
      </c>
      <c r="D7830" s="1" t="s">
        <v>62</v>
      </c>
      <c r="E7830" t="s">
        <v>72</v>
      </c>
      <c r="F7830" s="1">
        <v>1</v>
      </c>
      <c r="G7830" s="1" t="s">
        <v>26</v>
      </c>
      <c r="H7830" s="4" t="str">
        <f>HYPERLINK("https://www.ncbi.nlm.nih.gov/geo/query/acc.cgi?acc=GSM1673224","GSM1673224")</f>
        <v>GSM1673224</v>
      </c>
      <c r="I7830" t="s">
        <v>69</v>
      </c>
      <c r="J7830" t="s">
        <v>18</v>
      </c>
      <c r="K7830" t="s">
        <v>19</v>
      </c>
      <c r="L7830" t="s">
        <v>70</v>
      </c>
      <c r="M7830" t="s">
        <v>44</v>
      </c>
      <c r="N7830" t="s">
        <v>22</v>
      </c>
    </row>
    <row r="7831" spans="1:14">
      <c r="A7831" s="4" t="str">
        <f t="shared" si="726"/>
        <v>EXP00266</v>
      </c>
      <c r="B7831" s="3" t="s">
        <v>66</v>
      </c>
      <c r="C7831" s="4" t="str">
        <f t="shared" si="725"/>
        <v>GSE68468</v>
      </c>
      <c r="D7831" s="1" t="s">
        <v>62</v>
      </c>
      <c r="E7831" t="s">
        <v>72</v>
      </c>
      <c r="F7831" s="1">
        <v>1</v>
      </c>
      <c r="G7831" s="1" t="s">
        <v>26</v>
      </c>
      <c r="H7831" s="4" t="str">
        <f>HYPERLINK("https://www.ncbi.nlm.nih.gov/geo/query/acc.cgi?acc=GSM1673225","GSM1673225")</f>
        <v>GSM1673225</v>
      </c>
      <c r="I7831" t="s">
        <v>69</v>
      </c>
      <c r="J7831" t="s">
        <v>18</v>
      </c>
      <c r="K7831" t="s">
        <v>19</v>
      </c>
      <c r="L7831" t="s">
        <v>70</v>
      </c>
      <c r="M7831" t="s">
        <v>44</v>
      </c>
      <c r="N7831" t="s">
        <v>22</v>
      </c>
    </row>
    <row r="7832" spans="1:14">
      <c r="A7832" s="4" t="str">
        <f t="shared" si="726"/>
        <v>EXP00266</v>
      </c>
      <c r="B7832" s="3" t="s">
        <v>66</v>
      </c>
      <c r="C7832" s="4" t="str">
        <f t="shared" si="725"/>
        <v>GSE68468</v>
      </c>
      <c r="D7832" s="1" t="s">
        <v>62</v>
      </c>
      <c r="E7832" t="s">
        <v>72</v>
      </c>
      <c r="F7832" s="1">
        <v>1</v>
      </c>
      <c r="G7832" s="1" t="s">
        <v>26</v>
      </c>
      <c r="H7832" s="4" t="str">
        <f>HYPERLINK("https://www.ncbi.nlm.nih.gov/geo/query/acc.cgi?acc=GSM1673234","GSM1673234")</f>
        <v>GSM1673234</v>
      </c>
      <c r="I7832" t="s">
        <v>69</v>
      </c>
      <c r="J7832" t="s">
        <v>18</v>
      </c>
      <c r="K7832" t="s">
        <v>19</v>
      </c>
      <c r="L7832" t="s">
        <v>70</v>
      </c>
      <c r="M7832" t="s">
        <v>44</v>
      </c>
      <c r="N7832" t="s">
        <v>22</v>
      </c>
    </row>
    <row r="7833" spans="1:14">
      <c r="A7833" s="4" t="str">
        <f t="shared" si="726"/>
        <v>EXP00266</v>
      </c>
      <c r="B7833" s="3" t="s">
        <v>66</v>
      </c>
      <c r="C7833" s="4" t="str">
        <f t="shared" si="725"/>
        <v>GSE68468</v>
      </c>
      <c r="D7833" s="1" t="s">
        <v>62</v>
      </c>
      <c r="E7833" t="s">
        <v>72</v>
      </c>
      <c r="F7833" s="1">
        <v>1</v>
      </c>
      <c r="G7833" s="1" t="s">
        <v>26</v>
      </c>
      <c r="H7833" s="4" t="str">
        <f>HYPERLINK("https://www.ncbi.nlm.nih.gov/geo/query/acc.cgi?acc=GSM1673237","GSM1673237")</f>
        <v>GSM1673237</v>
      </c>
      <c r="I7833" t="s">
        <v>69</v>
      </c>
      <c r="J7833" t="s">
        <v>18</v>
      </c>
      <c r="K7833" t="s">
        <v>19</v>
      </c>
      <c r="L7833" t="s">
        <v>70</v>
      </c>
      <c r="M7833" t="s">
        <v>44</v>
      </c>
      <c r="N7833" t="s">
        <v>22</v>
      </c>
    </row>
    <row r="7834" spans="1:14">
      <c r="A7834" s="4" t="str">
        <f t="shared" si="726"/>
        <v>EXP00266</v>
      </c>
      <c r="B7834" s="3" t="s">
        <v>66</v>
      </c>
      <c r="C7834" s="4" t="str">
        <f t="shared" si="725"/>
        <v>GSE68468</v>
      </c>
      <c r="D7834" s="1" t="s">
        <v>62</v>
      </c>
      <c r="E7834" t="s">
        <v>72</v>
      </c>
      <c r="F7834" s="1">
        <v>1</v>
      </c>
      <c r="G7834" s="1" t="s">
        <v>26</v>
      </c>
      <c r="H7834" s="4" t="str">
        <f>HYPERLINK("https://www.ncbi.nlm.nih.gov/geo/query/acc.cgi?acc=GSM1673244","GSM1673244")</f>
        <v>GSM1673244</v>
      </c>
      <c r="I7834" t="s">
        <v>69</v>
      </c>
      <c r="J7834" t="s">
        <v>18</v>
      </c>
      <c r="K7834" t="s">
        <v>19</v>
      </c>
      <c r="L7834" t="s">
        <v>70</v>
      </c>
      <c r="M7834" t="s">
        <v>44</v>
      </c>
      <c r="N7834" t="s">
        <v>22</v>
      </c>
    </row>
    <row r="7835" spans="1:14">
      <c r="A7835" s="4" t="str">
        <f t="shared" si="726"/>
        <v>EXP00266</v>
      </c>
      <c r="B7835" s="3" t="s">
        <v>66</v>
      </c>
      <c r="C7835" s="4" t="str">
        <f t="shared" si="725"/>
        <v>GSE68468</v>
      </c>
      <c r="D7835" s="1" t="s">
        <v>62</v>
      </c>
      <c r="E7835" t="s">
        <v>72</v>
      </c>
      <c r="F7835" s="1">
        <v>1</v>
      </c>
      <c r="G7835" s="1" t="s">
        <v>26</v>
      </c>
      <c r="H7835" s="4" t="str">
        <f>HYPERLINK("https://www.ncbi.nlm.nih.gov/geo/query/acc.cgi?acc=GSM1673255","GSM1673255")</f>
        <v>GSM1673255</v>
      </c>
      <c r="I7835" t="s">
        <v>69</v>
      </c>
      <c r="J7835" t="s">
        <v>18</v>
      </c>
      <c r="K7835" t="s">
        <v>19</v>
      </c>
      <c r="L7835" t="s">
        <v>70</v>
      </c>
      <c r="M7835" t="s">
        <v>44</v>
      </c>
      <c r="N7835" t="s">
        <v>22</v>
      </c>
    </row>
    <row r="7836" spans="1:14">
      <c r="A7836" s="4" t="str">
        <f t="shared" si="726"/>
        <v>EXP00266</v>
      </c>
      <c r="B7836" s="3" t="s">
        <v>66</v>
      </c>
      <c r="C7836" s="4" t="str">
        <f t="shared" si="725"/>
        <v>GSE68468</v>
      </c>
      <c r="D7836" s="1" t="s">
        <v>62</v>
      </c>
      <c r="E7836" t="s">
        <v>72</v>
      </c>
      <c r="F7836" s="1">
        <v>1</v>
      </c>
      <c r="G7836" s="1" t="s">
        <v>26</v>
      </c>
      <c r="H7836" s="4" t="str">
        <f>HYPERLINK("https://www.ncbi.nlm.nih.gov/geo/query/acc.cgi?acc=GSM1673266","GSM1673266")</f>
        <v>GSM1673266</v>
      </c>
      <c r="I7836" t="s">
        <v>69</v>
      </c>
      <c r="J7836" t="s">
        <v>18</v>
      </c>
      <c r="K7836" t="s">
        <v>19</v>
      </c>
      <c r="L7836" t="s">
        <v>70</v>
      </c>
      <c r="M7836" t="s">
        <v>44</v>
      </c>
      <c r="N7836" t="s">
        <v>22</v>
      </c>
    </row>
    <row r="7837" spans="1:14">
      <c r="A7837" s="4" t="str">
        <f t="shared" si="726"/>
        <v>EXP00266</v>
      </c>
      <c r="B7837" s="3" t="s">
        <v>66</v>
      </c>
      <c r="C7837" s="4" t="str">
        <f t="shared" si="725"/>
        <v>GSE68468</v>
      </c>
      <c r="D7837" s="1" t="s">
        <v>62</v>
      </c>
      <c r="E7837" t="s">
        <v>72</v>
      </c>
      <c r="F7837" s="1">
        <v>1</v>
      </c>
      <c r="G7837" s="1" t="s">
        <v>26</v>
      </c>
      <c r="H7837" s="4" t="str">
        <f>HYPERLINK("https://www.ncbi.nlm.nih.gov/geo/query/acc.cgi?acc=GSM1673272","GSM1673272")</f>
        <v>GSM1673272</v>
      </c>
      <c r="I7837" t="s">
        <v>69</v>
      </c>
      <c r="J7837" t="s">
        <v>18</v>
      </c>
      <c r="K7837" t="s">
        <v>19</v>
      </c>
      <c r="L7837" t="s">
        <v>70</v>
      </c>
      <c r="M7837" t="s">
        <v>44</v>
      </c>
      <c r="N7837" t="s">
        <v>22</v>
      </c>
    </row>
    <row r="7838" spans="1:14">
      <c r="A7838" s="4" t="str">
        <f t="shared" si="726"/>
        <v>EXP00266</v>
      </c>
      <c r="B7838" s="3" t="s">
        <v>66</v>
      </c>
      <c r="C7838" s="4" t="str">
        <f t="shared" si="725"/>
        <v>GSE68468</v>
      </c>
      <c r="D7838" s="1" t="s">
        <v>62</v>
      </c>
      <c r="E7838" t="s">
        <v>72</v>
      </c>
      <c r="F7838" s="1">
        <v>1</v>
      </c>
      <c r="G7838" s="1" t="s">
        <v>26</v>
      </c>
      <c r="H7838" s="4" t="str">
        <f>HYPERLINK("https://www.ncbi.nlm.nih.gov/geo/query/acc.cgi?acc=GSM1673273","GSM1673273")</f>
        <v>GSM1673273</v>
      </c>
      <c r="I7838" t="s">
        <v>69</v>
      </c>
      <c r="J7838" t="s">
        <v>18</v>
      </c>
      <c r="K7838" t="s">
        <v>19</v>
      </c>
      <c r="L7838" t="s">
        <v>70</v>
      </c>
      <c r="M7838" t="s">
        <v>44</v>
      </c>
      <c r="N7838" t="s">
        <v>22</v>
      </c>
    </row>
    <row r="7839" spans="1:14">
      <c r="A7839" s="4" t="str">
        <f t="shared" si="726"/>
        <v>EXP00266</v>
      </c>
      <c r="B7839" s="3" t="s">
        <v>66</v>
      </c>
      <c r="C7839" s="4" t="str">
        <f t="shared" si="725"/>
        <v>GSE68468</v>
      </c>
      <c r="D7839" s="1" t="s">
        <v>62</v>
      </c>
      <c r="E7839" t="s">
        <v>72</v>
      </c>
      <c r="F7839" s="1">
        <v>1</v>
      </c>
      <c r="G7839" s="1" t="s">
        <v>26</v>
      </c>
      <c r="H7839" s="4" t="str">
        <f>HYPERLINK("https://www.ncbi.nlm.nih.gov/geo/query/acc.cgi?acc=GSM1673282","GSM1673282")</f>
        <v>GSM1673282</v>
      </c>
      <c r="I7839" t="s">
        <v>69</v>
      </c>
      <c r="J7839" t="s">
        <v>18</v>
      </c>
      <c r="K7839" t="s">
        <v>19</v>
      </c>
      <c r="L7839" t="s">
        <v>70</v>
      </c>
      <c r="M7839" t="s">
        <v>44</v>
      </c>
      <c r="N7839" t="s">
        <v>22</v>
      </c>
    </row>
    <row r="7840" spans="1:14">
      <c r="A7840" s="4" t="str">
        <f t="shared" si="726"/>
        <v>EXP00266</v>
      </c>
      <c r="B7840" s="3" t="s">
        <v>66</v>
      </c>
      <c r="C7840" s="4" t="str">
        <f t="shared" si="725"/>
        <v>GSE68468</v>
      </c>
      <c r="D7840" s="1" t="s">
        <v>62</v>
      </c>
      <c r="E7840" t="s">
        <v>72</v>
      </c>
      <c r="F7840" s="1">
        <v>1</v>
      </c>
      <c r="G7840" s="1" t="s">
        <v>26</v>
      </c>
      <c r="H7840" s="4" t="str">
        <f>HYPERLINK("https://www.ncbi.nlm.nih.gov/geo/query/acc.cgi?acc=GSM1673292","GSM1673292")</f>
        <v>GSM1673292</v>
      </c>
      <c r="I7840" t="s">
        <v>69</v>
      </c>
      <c r="J7840" t="s">
        <v>18</v>
      </c>
      <c r="K7840" t="s">
        <v>19</v>
      </c>
      <c r="L7840" t="s">
        <v>70</v>
      </c>
      <c r="M7840" t="s">
        <v>44</v>
      </c>
      <c r="N7840" t="s">
        <v>22</v>
      </c>
    </row>
    <row r="7841" spans="1:14">
      <c r="A7841" s="4" t="str">
        <f t="shared" si="726"/>
        <v>EXP00266</v>
      </c>
      <c r="B7841" s="3" t="s">
        <v>66</v>
      </c>
      <c r="C7841" s="4" t="str">
        <f t="shared" si="725"/>
        <v>GSE68468</v>
      </c>
      <c r="D7841" s="1" t="s">
        <v>62</v>
      </c>
      <c r="E7841" t="s">
        <v>72</v>
      </c>
      <c r="F7841" s="1">
        <v>1</v>
      </c>
      <c r="G7841" s="1" t="s">
        <v>26</v>
      </c>
      <c r="H7841" s="4" t="str">
        <f>HYPERLINK("https://www.ncbi.nlm.nih.gov/geo/query/acc.cgi?acc=GSM1673326","GSM1673326")</f>
        <v>GSM1673326</v>
      </c>
      <c r="I7841" t="s">
        <v>69</v>
      </c>
      <c r="J7841" t="s">
        <v>18</v>
      </c>
      <c r="K7841" t="s">
        <v>19</v>
      </c>
      <c r="L7841" t="s">
        <v>70</v>
      </c>
      <c r="M7841" t="s">
        <v>44</v>
      </c>
      <c r="N7841" t="s">
        <v>22</v>
      </c>
    </row>
    <row r="7842" spans="1:14">
      <c r="A7842" s="4" t="str">
        <f t="shared" si="726"/>
        <v>EXP00266</v>
      </c>
      <c r="B7842" s="3" t="s">
        <v>66</v>
      </c>
      <c r="C7842" s="4" t="str">
        <f t="shared" si="725"/>
        <v>GSE68468</v>
      </c>
      <c r="D7842" s="1" t="s">
        <v>62</v>
      </c>
      <c r="E7842" t="s">
        <v>72</v>
      </c>
      <c r="F7842" s="1">
        <v>1</v>
      </c>
      <c r="G7842" s="1" t="s">
        <v>26</v>
      </c>
      <c r="H7842" s="4" t="str">
        <f>HYPERLINK("https://www.ncbi.nlm.nih.gov/geo/query/acc.cgi?acc=GSM1673344","GSM1673344")</f>
        <v>GSM1673344</v>
      </c>
      <c r="I7842" t="s">
        <v>69</v>
      </c>
      <c r="J7842" t="s">
        <v>18</v>
      </c>
      <c r="K7842" t="s">
        <v>19</v>
      </c>
      <c r="L7842" t="s">
        <v>70</v>
      </c>
      <c r="M7842" t="s">
        <v>44</v>
      </c>
      <c r="N7842" t="s">
        <v>22</v>
      </c>
    </row>
    <row r="7843" spans="1:14">
      <c r="A7843" s="4" t="str">
        <f t="shared" si="726"/>
        <v>EXP00266</v>
      </c>
      <c r="B7843" s="3" t="s">
        <v>66</v>
      </c>
      <c r="C7843" s="4" t="str">
        <f t="shared" si="725"/>
        <v>GSE68468</v>
      </c>
      <c r="D7843" s="1" t="s">
        <v>62</v>
      </c>
      <c r="E7843" t="s">
        <v>72</v>
      </c>
      <c r="F7843" s="1">
        <v>1</v>
      </c>
      <c r="G7843" s="1" t="s">
        <v>26</v>
      </c>
      <c r="H7843" s="4" t="str">
        <f>HYPERLINK("https://www.ncbi.nlm.nih.gov/geo/query/acc.cgi?acc=GSM1673347","GSM1673347")</f>
        <v>GSM1673347</v>
      </c>
      <c r="I7843" t="s">
        <v>69</v>
      </c>
      <c r="J7843" t="s">
        <v>18</v>
      </c>
      <c r="K7843" t="s">
        <v>19</v>
      </c>
      <c r="L7843" t="s">
        <v>70</v>
      </c>
      <c r="M7843" t="s">
        <v>44</v>
      </c>
      <c r="N7843" t="s">
        <v>22</v>
      </c>
    </row>
    <row r="7844" spans="1:14">
      <c r="A7844" s="4" t="str">
        <f t="shared" si="726"/>
        <v>EXP00266</v>
      </c>
      <c r="B7844" s="3" t="s">
        <v>66</v>
      </c>
      <c r="C7844" s="4" t="str">
        <f t="shared" si="725"/>
        <v>GSE68468</v>
      </c>
      <c r="D7844" s="1" t="s">
        <v>62</v>
      </c>
      <c r="E7844" t="s">
        <v>72</v>
      </c>
      <c r="F7844" s="1">
        <v>2</v>
      </c>
      <c r="G7844" s="1" t="s">
        <v>28</v>
      </c>
      <c r="H7844" s="4" t="str">
        <f>HYPERLINK("https://www.ncbi.nlm.nih.gov/geo/query/acc.cgi?acc=GSM1673014","GSM1673014")</f>
        <v>GSM1673014</v>
      </c>
      <c r="I7844" t="s">
        <v>69</v>
      </c>
      <c r="J7844" t="s">
        <v>18</v>
      </c>
      <c r="K7844" t="s">
        <v>19</v>
      </c>
      <c r="L7844" t="s">
        <v>70</v>
      </c>
      <c r="M7844" t="s">
        <v>44</v>
      </c>
      <c r="N7844" t="s">
        <v>29</v>
      </c>
    </row>
    <row r="7845" spans="1:14">
      <c r="A7845" s="4" t="str">
        <f t="shared" si="726"/>
        <v>EXP00266</v>
      </c>
      <c r="B7845" s="3" t="s">
        <v>66</v>
      </c>
      <c r="C7845" s="4" t="str">
        <f t="shared" si="725"/>
        <v>GSE68468</v>
      </c>
      <c r="D7845" s="1" t="s">
        <v>62</v>
      </c>
      <c r="E7845" t="s">
        <v>72</v>
      </c>
      <c r="F7845" s="1">
        <v>2</v>
      </c>
      <c r="G7845" s="1" t="s">
        <v>28</v>
      </c>
      <c r="H7845" s="4" t="str">
        <f>HYPERLINK("https://www.ncbi.nlm.nih.gov/geo/query/acc.cgi?acc=GSM1673054","GSM1673054")</f>
        <v>GSM1673054</v>
      </c>
      <c r="I7845" t="s">
        <v>69</v>
      </c>
      <c r="J7845" t="s">
        <v>18</v>
      </c>
      <c r="K7845" t="s">
        <v>19</v>
      </c>
      <c r="L7845" t="s">
        <v>70</v>
      </c>
      <c r="M7845" t="s">
        <v>44</v>
      </c>
      <c r="N7845" t="s">
        <v>29</v>
      </c>
    </row>
    <row r="7846" spans="1:14">
      <c r="A7846" s="4" t="str">
        <f t="shared" si="726"/>
        <v>EXP00266</v>
      </c>
      <c r="B7846" s="3" t="s">
        <v>66</v>
      </c>
      <c r="C7846" s="4" t="str">
        <f t="shared" si="725"/>
        <v>GSE68468</v>
      </c>
      <c r="D7846" s="1" t="s">
        <v>62</v>
      </c>
      <c r="E7846" t="s">
        <v>72</v>
      </c>
      <c r="F7846" s="1">
        <v>2</v>
      </c>
      <c r="G7846" s="1" t="s">
        <v>28</v>
      </c>
      <c r="H7846" s="4" t="str">
        <f>HYPERLINK("https://www.ncbi.nlm.nih.gov/geo/query/acc.cgi?acc=GSM1673110","GSM1673110")</f>
        <v>GSM1673110</v>
      </c>
      <c r="I7846" t="s">
        <v>69</v>
      </c>
      <c r="J7846" t="s">
        <v>18</v>
      </c>
      <c r="K7846" t="s">
        <v>19</v>
      </c>
      <c r="L7846" t="s">
        <v>70</v>
      </c>
      <c r="M7846" t="s">
        <v>44</v>
      </c>
      <c r="N7846" t="s">
        <v>29</v>
      </c>
    </row>
    <row r="7847" spans="1:14">
      <c r="A7847" s="4" t="str">
        <f t="shared" si="726"/>
        <v>EXP00266</v>
      </c>
      <c r="B7847" s="3" t="s">
        <v>66</v>
      </c>
      <c r="C7847" s="4" t="str">
        <f t="shared" si="725"/>
        <v>GSE68468</v>
      </c>
      <c r="D7847" s="1" t="s">
        <v>62</v>
      </c>
      <c r="E7847" t="s">
        <v>72</v>
      </c>
      <c r="F7847" s="1">
        <v>2</v>
      </c>
      <c r="G7847" s="1" t="s">
        <v>28</v>
      </c>
      <c r="H7847" s="4" t="str">
        <f>HYPERLINK("https://www.ncbi.nlm.nih.gov/geo/query/acc.cgi?acc=GSM1673214","GSM1673214")</f>
        <v>GSM1673214</v>
      </c>
      <c r="I7847" t="s">
        <v>69</v>
      </c>
      <c r="J7847" t="s">
        <v>18</v>
      </c>
      <c r="K7847" t="s">
        <v>19</v>
      </c>
      <c r="L7847" t="s">
        <v>70</v>
      </c>
      <c r="M7847" t="s">
        <v>44</v>
      </c>
      <c r="N7847" t="s">
        <v>29</v>
      </c>
    </row>
    <row r="7848" spans="1:14">
      <c r="A7848" s="4" t="str">
        <f t="shared" si="726"/>
        <v>EXP00266</v>
      </c>
      <c r="B7848" s="3" t="s">
        <v>66</v>
      </c>
      <c r="C7848" s="4" t="str">
        <f t="shared" si="725"/>
        <v>GSE68468</v>
      </c>
      <c r="D7848" s="1" t="s">
        <v>62</v>
      </c>
      <c r="E7848" t="s">
        <v>72</v>
      </c>
      <c r="F7848" s="1">
        <v>2</v>
      </c>
      <c r="G7848" s="1" t="s">
        <v>28</v>
      </c>
      <c r="H7848" s="4" t="str">
        <f>HYPERLINK("https://www.ncbi.nlm.nih.gov/geo/query/acc.cgi?acc=GSM1673256","GSM1673256")</f>
        <v>GSM1673256</v>
      </c>
      <c r="I7848" t="s">
        <v>69</v>
      </c>
      <c r="J7848" t="s">
        <v>18</v>
      </c>
      <c r="K7848" t="s">
        <v>19</v>
      </c>
      <c r="L7848" t="s">
        <v>70</v>
      </c>
      <c r="M7848" t="s">
        <v>44</v>
      </c>
      <c r="N7848" t="s">
        <v>29</v>
      </c>
    </row>
    <row r="7849" spans="1:14">
      <c r="A7849" s="4" t="str">
        <f t="shared" si="726"/>
        <v>EXP00266</v>
      </c>
      <c r="B7849" s="3" t="s">
        <v>66</v>
      </c>
      <c r="C7849" s="4" t="str">
        <f t="shared" si="725"/>
        <v>GSE68468</v>
      </c>
      <c r="D7849" s="1" t="s">
        <v>62</v>
      </c>
      <c r="E7849" t="s">
        <v>72</v>
      </c>
      <c r="F7849" s="1">
        <v>2</v>
      </c>
      <c r="G7849" s="1" t="s">
        <v>28</v>
      </c>
      <c r="H7849" s="4" t="str">
        <f>HYPERLINK("https://www.ncbi.nlm.nih.gov/geo/query/acc.cgi?acc=GSM1673290","GSM1673290")</f>
        <v>GSM1673290</v>
      </c>
      <c r="I7849" t="s">
        <v>69</v>
      </c>
      <c r="J7849" t="s">
        <v>18</v>
      </c>
      <c r="K7849" t="s">
        <v>19</v>
      </c>
      <c r="L7849" t="s">
        <v>70</v>
      </c>
      <c r="M7849" t="s">
        <v>44</v>
      </c>
      <c r="N7849" t="s">
        <v>29</v>
      </c>
    </row>
    <row r="7850" spans="1:14">
      <c r="A7850" s="4" t="str">
        <f t="shared" ref="A7850:A7863" si="727">HYPERLINK("http://hcmdb.i-sanger.com/experiment/details/experiment_id/EXP00267","EXP00267")</f>
        <v>EXP00267</v>
      </c>
      <c r="B7850" s="3" t="s">
        <v>66</v>
      </c>
      <c r="C7850" s="4" t="str">
        <f t="shared" si="725"/>
        <v>GSE68468</v>
      </c>
      <c r="D7850" s="1" t="s">
        <v>62</v>
      </c>
      <c r="E7850" t="s">
        <v>73</v>
      </c>
      <c r="F7850" s="1">
        <v>1</v>
      </c>
      <c r="G7850" s="1" t="s">
        <v>36</v>
      </c>
      <c r="H7850" s="4" t="str">
        <f>HYPERLINK("https://www.ncbi.nlm.nih.gov/geo/query/acc.cgi?acc=GSM1673052","GSM1673052")</f>
        <v>GSM1673052</v>
      </c>
      <c r="I7850" t="s">
        <v>69</v>
      </c>
      <c r="J7850" t="s">
        <v>18</v>
      </c>
      <c r="K7850" t="s">
        <v>19</v>
      </c>
      <c r="L7850" t="s">
        <v>70</v>
      </c>
      <c r="M7850" t="s">
        <v>44</v>
      </c>
      <c r="N7850" t="s">
        <v>37</v>
      </c>
    </row>
    <row r="7851" spans="1:14">
      <c r="A7851" s="4" t="str">
        <f t="shared" si="727"/>
        <v>EXP00267</v>
      </c>
      <c r="B7851" s="3" t="s">
        <v>66</v>
      </c>
      <c r="C7851" s="4" t="str">
        <f t="shared" si="725"/>
        <v>GSE68468</v>
      </c>
      <c r="D7851" s="1" t="s">
        <v>62</v>
      </c>
      <c r="E7851" t="s">
        <v>73</v>
      </c>
      <c r="F7851" s="1">
        <v>1</v>
      </c>
      <c r="G7851" s="1" t="s">
        <v>36</v>
      </c>
      <c r="H7851" s="4" t="str">
        <f>HYPERLINK("https://www.ncbi.nlm.nih.gov/geo/query/acc.cgi?acc=GSM1673055","GSM1673055")</f>
        <v>GSM1673055</v>
      </c>
      <c r="I7851" t="s">
        <v>69</v>
      </c>
      <c r="J7851" t="s">
        <v>18</v>
      </c>
      <c r="K7851" t="s">
        <v>19</v>
      </c>
      <c r="L7851" t="s">
        <v>70</v>
      </c>
      <c r="M7851" t="s">
        <v>44</v>
      </c>
      <c r="N7851" t="s">
        <v>37</v>
      </c>
    </row>
    <row r="7852" spans="1:14">
      <c r="A7852" s="4" t="str">
        <f t="shared" si="727"/>
        <v>EXP00267</v>
      </c>
      <c r="B7852" s="3" t="s">
        <v>66</v>
      </c>
      <c r="C7852" s="4" t="str">
        <f t="shared" si="725"/>
        <v>GSE68468</v>
      </c>
      <c r="D7852" s="1" t="s">
        <v>62</v>
      </c>
      <c r="E7852" t="s">
        <v>73</v>
      </c>
      <c r="F7852" s="1">
        <v>1</v>
      </c>
      <c r="G7852" s="1" t="s">
        <v>36</v>
      </c>
      <c r="H7852" s="4" t="str">
        <f>HYPERLINK("https://www.ncbi.nlm.nih.gov/geo/query/acc.cgi?acc=GSM1673104","GSM1673104")</f>
        <v>GSM1673104</v>
      </c>
      <c r="I7852" t="s">
        <v>69</v>
      </c>
      <c r="J7852" t="s">
        <v>18</v>
      </c>
      <c r="K7852" t="s">
        <v>19</v>
      </c>
      <c r="L7852" t="s">
        <v>70</v>
      </c>
      <c r="M7852" t="s">
        <v>44</v>
      </c>
      <c r="N7852" t="s">
        <v>37</v>
      </c>
    </row>
    <row r="7853" spans="1:14">
      <c r="A7853" s="4" t="str">
        <f t="shared" si="727"/>
        <v>EXP00267</v>
      </c>
      <c r="B7853" s="3" t="s">
        <v>66</v>
      </c>
      <c r="C7853" s="4" t="str">
        <f t="shared" si="725"/>
        <v>GSE68468</v>
      </c>
      <c r="D7853" s="1" t="s">
        <v>62</v>
      </c>
      <c r="E7853" t="s">
        <v>73</v>
      </c>
      <c r="F7853" s="1">
        <v>1</v>
      </c>
      <c r="G7853" s="1" t="s">
        <v>36</v>
      </c>
      <c r="H7853" s="4" t="str">
        <f>HYPERLINK("https://www.ncbi.nlm.nih.gov/geo/query/acc.cgi?acc=GSM1673113","GSM1673113")</f>
        <v>GSM1673113</v>
      </c>
      <c r="I7853" t="s">
        <v>69</v>
      </c>
      <c r="J7853" t="s">
        <v>18</v>
      </c>
      <c r="K7853" t="s">
        <v>19</v>
      </c>
      <c r="L7853" t="s">
        <v>70</v>
      </c>
      <c r="M7853" t="s">
        <v>44</v>
      </c>
      <c r="N7853" t="s">
        <v>37</v>
      </c>
    </row>
    <row r="7854" spans="1:14">
      <c r="A7854" s="4" t="str">
        <f t="shared" si="727"/>
        <v>EXP00267</v>
      </c>
      <c r="B7854" s="3" t="s">
        <v>66</v>
      </c>
      <c r="C7854" s="4" t="str">
        <f t="shared" si="725"/>
        <v>GSE68468</v>
      </c>
      <c r="D7854" s="1" t="s">
        <v>62</v>
      </c>
      <c r="E7854" t="s">
        <v>73</v>
      </c>
      <c r="F7854" s="1">
        <v>1</v>
      </c>
      <c r="G7854" s="1" t="s">
        <v>36</v>
      </c>
      <c r="H7854" s="4" t="str">
        <f>HYPERLINK("https://www.ncbi.nlm.nih.gov/geo/query/acc.cgi?acc=GSM1673216","GSM1673216")</f>
        <v>GSM1673216</v>
      </c>
      <c r="I7854" t="s">
        <v>69</v>
      </c>
      <c r="J7854" t="s">
        <v>18</v>
      </c>
      <c r="K7854" t="s">
        <v>19</v>
      </c>
      <c r="L7854" t="s">
        <v>70</v>
      </c>
      <c r="M7854" t="s">
        <v>44</v>
      </c>
      <c r="N7854" t="s">
        <v>37</v>
      </c>
    </row>
    <row r="7855" spans="1:14">
      <c r="A7855" s="4" t="str">
        <f t="shared" si="727"/>
        <v>EXP00267</v>
      </c>
      <c r="B7855" s="3" t="s">
        <v>66</v>
      </c>
      <c r="C7855" s="4" t="str">
        <f t="shared" si="725"/>
        <v>GSE68468</v>
      </c>
      <c r="D7855" s="1" t="s">
        <v>62</v>
      </c>
      <c r="E7855" t="s">
        <v>73</v>
      </c>
      <c r="F7855" s="1">
        <v>1</v>
      </c>
      <c r="G7855" s="1" t="s">
        <v>36</v>
      </c>
      <c r="H7855" s="4" t="str">
        <f>HYPERLINK("https://www.ncbi.nlm.nih.gov/geo/query/acc.cgi?acc=GSM1673257","GSM1673257")</f>
        <v>GSM1673257</v>
      </c>
      <c r="I7855" t="s">
        <v>69</v>
      </c>
      <c r="J7855" t="s">
        <v>18</v>
      </c>
      <c r="K7855" t="s">
        <v>19</v>
      </c>
      <c r="L7855" t="s">
        <v>70</v>
      </c>
      <c r="M7855" t="s">
        <v>44</v>
      </c>
      <c r="N7855" t="s">
        <v>37</v>
      </c>
    </row>
    <row r="7856" spans="1:14">
      <c r="A7856" s="4" t="str">
        <f t="shared" si="727"/>
        <v>EXP00267</v>
      </c>
      <c r="B7856" s="3" t="s">
        <v>66</v>
      </c>
      <c r="C7856" s="4" t="str">
        <f t="shared" si="725"/>
        <v>GSE68468</v>
      </c>
      <c r="D7856" s="1" t="s">
        <v>62</v>
      </c>
      <c r="E7856" t="s">
        <v>73</v>
      </c>
      <c r="F7856" s="1">
        <v>1</v>
      </c>
      <c r="G7856" s="1" t="s">
        <v>36</v>
      </c>
      <c r="H7856" s="4" t="str">
        <f>HYPERLINK("https://www.ncbi.nlm.nih.gov/geo/query/acc.cgi?acc=GSM1673281","GSM1673281")</f>
        <v>GSM1673281</v>
      </c>
      <c r="I7856" t="s">
        <v>69</v>
      </c>
      <c r="J7856" t="s">
        <v>18</v>
      </c>
      <c r="K7856" t="s">
        <v>19</v>
      </c>
      <c r="L7856" t="s">
        <v>70</v>
      </c>
      <c r="M7856" t="s">
        <v>44</v>
      </c>
      <c r="N7856" t="s">
        <v>37</v>
      </c>
    </row>
    <row r="7857" spans="1:14">
      <c r="A7857" s="4" t="str">
        <f t="shared" si="727"/>
        <v>EXP00267</v>
      </c>
      <c r="B7857" s="3" t="s">
        <v>66</v>
      </c>
      <c r="C7857" s="4" t="str">
        <f t="shared" si="725"/>
        <v>GSE68468</v>
      </c>
      <c r="D7857" s="1" t="s">
        <v>62</v>
      </c>
      <c r="E7857" t="s">
        <v>73</v>
      </c>
      <c r="F7857" s="1">
        <v>1</v>
      </c>
      <c r="G7857" s="1" t="s">
        <v>36</v>
      </c>
      <c r="H7857" s="4" t="str">
        <f>HYPERLINK("https://www.ncbi.nlm.nih.gov/geo/query/acc.cgi?acc=GSM1673291","GSM1673291")</f>
        <v>GSM1673291</v>
      </c>
      <c r="I7857" t="s">
        <v>69</v>
      </c>
      <c r="J7857" t="s">
        <v>18</v>
      </c>
      <c r="K7857" t="s">
        <v>19</v>
      </c>
      <c r="L7857" t="s">
        <v>70</v>
      </c>
      <c r="M7857" t="s">
        <v>44</v>
      </c>
      <c r="N7857" t="s">
        <v>37</v>
      </c>
    </row>
    <row r="7858" spans="1:14">
      <c r="A7858" s="4" t="str">
        <f t="shared" si="727"/>
        <v>EXP00267</v>
      </c>
      <c r="B7858" s="3" t="s">
        <v>66</v>
      </c>
      <c r="C7858" s="4" t="str">
        <f t="shared" si="725"/>
        <v>GSE68468</v>
      </c>
      <c r="D7858" s="1" t="s">
        <v>62</v>
      </c>
      <c r="E7858" t="s">
        <v>73</v>
      </c>
      <c r="F7858" s="1">
        <v>2</v>
      </c>
      <c r="G7858" s="1" t="s">
        <v>28</v>
      </c>
      <c r="H7858" s="4" t="str">
        <f>HYPERLINK("https://www.ncbi.nlm.nih.gov/geo/query/acc.cgi?acc=GSM1673014","GSM1673014")</f>
        <v>GSM1673014</v>
      </c>
      <c r="I7858" t="s">
        <v>69</v>
      </c>
      <c r="J7858" t="s">
        <v>18</v>
      </c>
      <c r="K7858" t="s">
        <v>19</v>
      </c>
      <c r="L7858" t="s">
        <v>70</v>
      </c>
      <c r="M7858" t="s">
        <v>44</v>
      </c>
      <c r="N7858" t="s">
        <v>29</v>
      </c>
    </row>
    <row r="7859" spans="1:14">
      <c r="A7859" s="4" t="str">
        <f t="shared" si="727"/>
        <v>EXP00267</v>
      </c>
      <c r="B7859" s="3" t="s">
        <v>66</v>
      </c>
      <c r="C7859" s="4" t="str">
        <f t="shared" si="725"/>
        <v>GSE68468</v>
      </c>
      <c r="D7859" s="1" t="s">
        <v>62</v>
      </c>
      <c r="E7859" t="s">
        <v>73</v>
      </c>
      <c r="F7859" s="1">
        <v>2</v>
      </c>
      <c r="G7859" s="1" t="s">
        <v>28</v>
      </c>
      <c r="H7859" s="4" t="str">
        <f>HYPERLINK("https://www.ncbi.nlm.nih.gov/geo/query/acc.cgi?acc=GSM1673054","GSM1673054")</f>
        <v>GSM1673054</v>
      </c>
      <c r="I7859" t="s">
        <v>69</v>
      </c>
      <c r="J7859" t="s">
        <v>18</v>
      </c>
      <c r="K7859" t="s">
        <v>19</v>
      </c>
      <c r="L7859" t="s">
        <v>70</v>
      </c>
      <c r="M7859" t="s">
        <v>44</v>
      </c>
      <c r="N7859" t="s">
        <v>29</v>
      </c>
    </row>
    <row r="7860" spans="1:14">
      <c r="A7860" s="4" t="str">
        <f t="shared" si="727"/>
        <v>EXP00267</v>
      </c>
      <c r="B7860" s="3" t="s">
        <v>66</v>
      </c>
      <c r="C7860" s="4" t="str">
        <f t="shared" si="725"/>
        <v>GSE68468</v>
      </c>
      <c r="D7860" s="1" t="s">
        <v>62</v>
      </c>
      <c r="E7860" t="s">
        <v>73</v>
      </c>
      <c r="F7860" s="1">
        <v>2</v>
      </c>
      <c r="G7860" s="1" t="s">
        <v>28</v>
      </c>
      <c r="H7860" s="4" t="str">
        <f>HYPERLINK("https://www.ncbi.nlm.nih.gov/geo/query/acc.cgi?acc=GSM1673110","GSM1673110")</f>
        <v>GSM1673110</v>
      </c>
      <c r="I7860" t="s">
        <v>69</v>
      </c>
      <c r="J7860" t="s">
        <v>18</v>
      </c>
      <c r="K7860" t="s">
        <v>19</v>
      </c>
      <c r="L7860" t="s">
        <v>70</v>
      </c>
      <c r="M7860" t="s">
        <v>44</v>
      </c>
      <c r="N7860" t="s">
        <v>29</v>
      </c>
    </row>
    <row r="7861" spans="1:14">
      <c r="A7861" s="4" t="str">
        <f t="shared" si="727"/>
        <v>EXP00267</v>
      </c>
      <c r="B7861" s="3" t="s">
        <v>66</v>
      </c>
      <c r="C7861" s="4" t="str">
        <f t="shared" ref="C7861:C7924" si="728">HYPERLINK("https://www.ncbi.nlm.nih.gov/geo/query/acc.cgi?acc=GSE68468","GSE68468")</f>
        <v>GSE68468</v>
      </c>
      <c r="D7861" s="1" t="s">
        <v>62</v>
      </c>
      <c r="E7861" t="s">
        <v>73</v>
      </c>
      <c r="F7861" s="1">
        <v>2</v>
      </c>
      <c r="G7861" s="1" t="s">
        <v>28</v>
      </c>
      <c r="H7861" s="4" t="str">
        <f>HYPERLINK("https://www.ncbi.nlm.nih.gov/geo/query/acc.cgi?acc=GSM1673214","GSM1673214")</f>
        <v>GSM1673214</v>
      </c>
      <c r="I7861" t="s">
        <v>69</v>
      </c>
      <c r="J7861" t="s">
        <v>18</v>
      </c>
      <c r="K7861" t="s">
        <v>19</v>
      </c>
      <c r="L7861" t="s">
        <v>70</v>
      </c>
      <c r="M7861" t="s">
        <v>44</v>
      </c>
      <c r="N7861" t="s">
        <v>29</v>
      </c>
    </row>
    <row r="7862" spans="1:14">
      <c r="A7862" s="4" t="str">
        <f t="shared" si="727"/>
        <v>EXP00267</v>
      </c>
      <c r="B7862" s="3" t="s">
        <v>66</v>
      </c>
      <c r="C7862" s="4" t="str">
        <f t="shared" si="728"/>
        <v>GSE68468</v>
      </c>
      <c r="D7862" s="1" t="s">
        <v>62</v>
      </c>
      <c r="E7862" t="s">
        <v>73</v>
      </c>
      <c r="F7862" s="1">
        <v>2</v>
      </c>
      <c r="G7862" s="1" t="s">
        <v>28</v>
      </c>
      <c r="H7862" s="4" t="str">
        <f>HYPERLINK("https://www.ncbi.nlm.nih.gov/geo/query/acc.cgi?acc=GSM1673256","GSM1673256")</f>
        <v>GSM1673256</v>
      </c>
      <c r="I7862" t="s">
        <v>69</v>
      </c>
      <c r="J7862" t="s">
        <v>18</v>
      </c>
      <c r="K7862" t="s">
        <v>19</v>
      </c>
      <c r="L7862" t="s">
        <v>70</v>
      </c>
      <c r="M7862" t="s">
        <v>44</v>
      </c>
      <c r="N7862" t="s">
        <v>29</v>
      </c>
    </row>
    <row r="7863" spans="1:14">
      <c r="A7863" s="4" t="str">
        <f t="shared" si="727"/>
        <v>EXP00267</v>
      </c>
      <c r="B7863" s="3" t="s">
        <v>66</v>
      </c>
      <c r="C7863" s="4" t="str">
        <f t="shared" si="728"/>
        <v>GSE68468</v>
      </c>
      <c r="D7863" s="1" t="s">
        <v>62</v>
      </c>
      <c r="E7863" t="s">
        <v>73</v>
      </c>
      <c r="F7863" s="1">
        <v>2</v>
      </c>
      <c r="G7863" s="1" t="s">
        <v>28</v>
      </c>
      <c r="H7863" s="4" t="str">
        <f>HYPERLINK("https://www.ncbi.nlm.nih.gov/geo/query/acc.cgi?acc=GSM1673290","GSM1673290")</f>
        <v>GSM1673290</v>
      </c>
      <c r="I7863" t="s">
        <v>69</v>
      </c>
      <c r="J7863" t="s">
        <v>18</v>
      </c>
      <c r="K7863" t="s">
        <v>19</v>
      </c>
      <c r="L7863" t="s">
        <v>70</v>
      </c>
      <c r="M7863" t="s">
        <v>44</v>
      </c>
      <c r="N7863" t="s">
        <v>29</v>
      </c>
    </row>
    <row r="7864" spans="1:14">
      <c r="A7864" s="4" t="str">
        <f t="shared" ref="A7864:A7895" si="729">HYPERLINK("http://hcmdb.i-sanger.com/experiment/details/experiment_id/EXP00268","EXP00268")</f>
        <v>EXP00268</v>
      </c>
      <c r="B7864" s="3" t="s">
        <v>66</v>
      </c>
      <c r="C7864" s="4" t="str">
        <f t="shared" si="728"/>
        <v>GSE68468</v>
      </c>
      <c r="D7864" s="1" t="s">
        <v>62</v>
      </c>
      <c r="E7864" t="s">
        <v>74</v>
      </c>
      <c r="F7864" s="1">
        <v>1</v>
      </c>
      <c r="G7864" s="1" t="s">
        <v>75</v>
      </c>
      <c r="H7864" s="4" t="str">
        <f>HYPERLINK("https://www.ncbi.nlm.nih.gov/geo/query/acc.cgi?acc=GSM1673015","GSM1673015")</f>
        <v>GSM1673015</v>
      </c>
      <c r="I7864" t="s">
        <v>69</v>
      </c>
      <c r="J7864" t="s">
        <v>18</v>
      </c>
      <c r="K7864" t="s">
        <v>19</v>
      </c>
      <c r="L7864" t="s">
        <v>70</v>
      </c>
      <c r="M7864" t="s">
        <v>44</v>
      </c>
      <c r="N7864" t="s">
        <v>76</v>
      </c>
    </row>
    <row r="7865" spans="1:14">
      <c r="A7865" s="4" t="str">
        <f t="shared" si="729"/>
        <v>EXP00268</v>
      </c>
      <c r="B7865" s="3" t="s">
        <v>66</v>
      </c>
      <c r="C7865" s="4" t="str">
        <f t="shared" si="728"/>
        <v>GSE68468</v>
      </c>
      <c r="D7865" s="1" t="s">
        <v>62</v>
      </c>
      <c r="E7865" t="s">
        <v>74</v>
      </c>
      <c r="F7865" s="1">
        <v>1</v>
      </c>
      <c r="G7865" s="1" t="s">
        <v>75</v>
      </c>
      <c r="H7865" s="4" t="str">
        <f>HYPERLINK("https://www.ncbi.nlm.nih.gov/geo/query/acc.cgi?acc=GSM1673053","GSM1673053")</f>
        <v>GSM1673053</v>
      </c>
      <c r="I7865" t="s">
        <v>69</v>
      </c>
      <c r="J7865" t="s">
        <v>18</v>
      </c>
      <c r="K7865" t="s">
        <v>19</v>
      </c>
      <c r="L7865" t="s">
        <v>70</v>
      </c>
      <c r="M7865" t="s">
        <v>44</v>
      </c>
      <c r="N7865" t="s">
        <v>76</v>
      </c>
    </row>
    <row r="7866" spans="1:14">
      <c r="A7866" s="4" t="str">
        <f t="shared" si="729"/>
        <v>EXP00268</v>
      </c>
      <c r="B7866" s="3" t="s">
        <v>66</v>
      </c>
      <c r="C7866" s="4" t="str">
        <f t="shared" si="728"/>
        <v>GSE68468</v>
      </c>
      <c r="D7866" s="1" t="s">
        <v>62</v>
      </c>
      <c r="E7866" t="s">
        <v>74</v>
      </c>
      <c r="F7866" s="1">
        <v>1</v>
      </c>
      <c r="G7866" s="1" t="s">
        <v>75</v>
      </c>
      <c r="H7866" s="4" t="str">
        <f>HYPERLINK("https://www.ncbi.nlm.nih.gov/geo/query/acc.cgi?acc=GSM1673086","GSM1673086")</f>
        <v>GSM1673086</v>
      </c>
      <c r="I7866" t="s">
        <v>69</v>
      </c>
      <c r="J7866" t="s">
        <v>18</v>
      </c>
      <c r="K7866" t="s">
        <v>19</v>
      </c>
      <c r="L7866" t="s">
        <v>70</v>
      </c>
      <c r="M7866" t="s">
        <v>44</v>
      </c>
      <c r="N7866" t="s">
        <v>76</v>
      </c>
    </row>
    <row r="7867" spans="1:14">
      <c r="A7867" s="4" t="str">
        <f t="shared" si="729"/>
        <v>EXP00268</v>
      </c>
      <c r="B7867" s="3" t="s">
        <v>66</v>
      </c>
      <c r="C7867" s="4" t="str">
        <f t="shared" si="728"/>
        <v>GSE68468</v>
      </c>
      <c r="D7867" s="1" t="s">
        <v>62</v>
      </c>
      <c r="E7867" t="s">
        <v>74</v>
      </c>
      <c r="F7867" s="1">
        <v>1</v>
      </c>
      <c r="G7867" s="1" t="s">
        <v>75</v>
      </c>
      <c r="H7867" s="4" t="str">
        <f>HYPERLINK("https://www.ncbi.nlm.nih.gov/geo/query/acc.cgi?acc=GSM1673105","GSM1673105")</f>
        <v>GSM1673105</v>
      </c>
      <c r="I7867" t="s">
        <v>69</v>
      </c>
      <c r="J7867" t="s">
        <v>18</v>
      </c>
      <c r="K7867" t="s">
        <v>19</v>
      </c>
      <c r="L7867" t="s">
        <v>70</v>
      </c>
      <c r="M7867" t="s">
        <v>44</v>
      </c>
      <c r="N7867" t="s">
        <v>76</v>
      </c>
    </row>
    <row r="7868" spans="1:14">
      <c r="A7868" s="4" t="str">
        <f t="shared" si="729"/>
        <v>EXP00268</v>
      </c>
      <c r="B7868" s="3" t="s">
        <v>66</v>
      </c>
      <c r="C7868" s="4" t="str">
        <f t="shared" si="728"/>
        <v>GSE68468</v>
      </c>
      <c r="D7868" s="1" t="s">
        <v>62</v>
      </c>
      <c r="E7868" t="s">
        <v>74</v>
      </c>
      <c r="F7868" s="1">
        <v>1</v>
      </c>
      <c r="G7868" s="1" t="s">
        <v>75</v>
      </c>
      <c r="H7868" s="4" t="str">
        <f>HYPERLINK("https://www.ncbi.nlm.nih.gov/geo/query/acc.cgi?acc=GSM1673111","GSM1673111")</f>
        <v>GSM1673111</v>
      </c>
      <c r="I7868" t="s">
        <v>69</v>
      </c>
      <c r="J7868" t="s">
        <v>18</v>
      </c>
      <c r="K7868" t="s">
        <v>19</v>
      </c>
      <c r="L7868" t="s">
        <v>70</v>
      </c>
      <c r="M7868" t="s">
        <v>44</v>
      </c>
      <c r="N7868" t="s">
        <v>76</v>
      </c>
    </row>
    <row r="7869" spans="1:14">
      <c r="A7869" s="4" t="str">
        <f t="shared" si="729"/>
        <v>EXP00268</v>
      </c>
      <c r="B7869" s="3" t="s">
        <v>66</v>
      </c>
      <c r="C7869" s="4" t="str">
        <f t="shared" si="728"/>
        <v>GSE68468</v>
      </c>
      <c r="D7869" s="1" t="s">
        <v>62</v>
      </c>
      <c r="E7869" t="s">
        <v>74</v>
      </c>
      <c r="F7869" s="1">
        <v>1</v>
      </c>
      <c r="G7869" s="1" t="s">
        <v>75</v>
      </c>
      <c r="H7869" s="4" t="str">
        <f>HYPERLINK("https://www.ncbi.nlm.nih.gov/geo/query/acc.cgi?acc=GSM1673215","GSM1673215")</f>
        <v>GSM1673215</v>
      </c>
      <c r="I7869" t="s">
        <v>69</v>
      </c>
      <c r="J7869" t="s">
        <v>18</v>
      </c>
      <c r="K7869" t="s">
        <v>19</v>
      </c>
      <c r="L7869" t="s">
        <v>70</v>
      </c>
      <c r="M7869" t="s">
        <v>44</v>
      </c>
      <c r="N7869" t="s">
        <v>76</v>
      </c>
    </row>
    <row r="7870" spans="1:14">
      <c r="A7870" s="4" t="str">
        <f t="shared" si="729"/>
        <v>EXP00268</v>
      </c>
      <c r="B7870" s="3" t="s">
        <v>66</v>
      </c>
      <c r="C7870" s="4" t="str">
        <f t="shared" si="728"/>
        <v>GSE68468</v>
      </c>
      <c r="D7870" s="1" t="s">
        <v>62</v>
      </c>
      <c r="E7870" t="s">
        <v>74</v>
      </c>
      <c r="F7870" s="1">
        <v>1</v>
      </c>
      <c r="G7870" s="1" t="s">
        <v>75</v>
      </c>
      <c r="H7870" s="4" t="str">
        <f>HYPERLINK("https://www.ncbi.nlm.nih.gov/geo/query/acc.cgi?acc=GSM1673226","GSM1673226")</f>
        <v>GSM1673226</v>
      </c>
      <c r="I7870" t="s">
        <v>69</v>
      </c>
      <c r="J7870" t="s">
        <v>18</v>
      </c>
      <c r="K7870" t="s">
        <v>19</v>
      </c>
      <c r="L7870" t="s">
        <v>70</v>
      </c>
      <c r="M7870" t="s">
        <v>44</v>
      </c>
      <c r="N7870" t="s">
        <v>76</v>
      </c>
    </row>
    <row r="7871" spans="1:14">
      <c r="A7871" s="4" t="str">
        <f t="shared" si="729"/>
        <v>EXP00268</v>
      </c>
      <c r="B7871" s="3" t="s">
        <v>66</v>
      </c>
      <c r="C7871" s="4" t="str">
        <f t="shared" si="728"/>
        <v>GSE68468</v>
      </c>
      <c r="D7871" s="1" t="s">
        <v>62</v>
      </c>
      <c r="E7871" t="s">
        <v>74</v>
      </c>
      <c r="F7871" s="1">
        <v>1</v>
      </c>
      <c r="G7871" s="1" t="s">
        <v>75</v>
      </c>
      <c r="H7871" s="4" t="str">
        <f>HYPERLINK("https://www.ncbi.nlm.nih.gov/geo/query/acc.cgi?acc=GSM1673238","GSM1673238")</f>
        <v>GSM1673238</v>
      </c>
      <c r="I7871" t="s">
        <v>69</v>
      </c>
      <c r="J7871" t="s">
        <v>18</v>
      </c>
      <c r="K7871" t="s">
        <v>19</v>
      </c>
      <c r="L7871" t="s">
        <v>70</v>
      </c>
      <c r="M7871" t="s">
        <v>44</v>
      </c>
      <c r="N7871" t="s">
        <v>76</v>
      </c>
    </row>
    <row r="7872" spans="1:14">
      <c r="A7872" s="4" t="str">
        <f t="shared" si="729"/>
        <v>EXP00268</v>
      </c>
      <c r="B7872" s="3" t="s">
        <v>66</v>
      </c>
      <c r="C7872" s="4" t="str">
        <f t="shared" si="728"/>
        <v>GSE68468</v>
      </c>
      <c r="D7872" s="1" t="s">
        <v>62</v>
      </c>
      <c r="E7872" t="s">
        <v>74</v>
      </c>
      <c r="F7872" s="1">
        <v>1</v>
      </c>
      <c r="G7872" s="1" t="s">
        <v>75</v>
      </c>
      <c r="H7872" s="4" t="str">
        <f>HYPERLINK("https://www.ncbi.nlm.nih.gov/geo/query/acc.cgi?acc=GSM1673239","GSM1673239")</f>
        <v>GSM1673239</v>
      </c>
      <c r="I7872" t="s">
        <v>69</v>
      </c>
      <c r="J7872" t="s">
        <v>18</v>
      </c>
      <c r="K7872" t="s">
        <v>19</v>
      </c>
      <c r="L7872" t="s">
        <v>70</v>
      </c>
      <c r="M7872" t="s">
        <v>44</v>
      </c>
      <c r="N7872" t="s">
        <v>76</v>
      </c>
    </row>
    <row r="7873" spans="1:14">
      <c r="A7873" s="4" t="str">
        <f t="shared" si="729"/>
        <v>EXP00268</v>
      </c>
      <c r="B7873" s="3" t="s">
        <v>66</v>
      </c>
      <c r="C7873" s="4" t="str">
        <f t="shared" si="728"/>
        <v>GSE68468</v>
      </c>
      <c r="D7873" s="1" t="s">
        <v>62</v>
      </c>
      <c r="E7873" t="s">
        <v>74</v>
      </c>
      <c r="F7873" s="1">
        <v>1</v>
      </c>
      <c r="G7873" s="1" t="s">
        <v>75</v>
      </c>
      <c r="H7873" s="4" t="str">
        <f>HYPERLINK("https://www.ncbi.nlm.nih.gov/geo/query/acc.cgi?acc=GSM1673258","GSM1673258")</f>
        <v>GSM1673258</v>
      </c>
      <c r="I7873" t="s">
        <v>69</v>
      </c>
      <c r="J7873" t="s">
        <v>18</v>
      </c>
      <c r="K7873" t="s">
        <v>19</v>
      </c>
      <c r="L7873" t="s">
        <v>70</v>
      </c>
      <c r="M7873" t="s">
        <v>44</v>
      </c>
      <c r="N7873" t="s">
        <v>76</v>
      </c>
    </row>
    <row r="7874" spans="1:14">
      <c r="A7874" s="4" t="str">
        <f t="shared" si="729"/>
        <v>EXP00268</v>
      </c>
      <c r="B7874" s="3" t="s">
        <v>66</v>
      </c>
      <c r="C7874" s="4" t="str">
        <f t="shared" si="728"/>
        <v>GSE68468</v>
      </c>
      <c r="D7874" s="1" t="s">
        <v>62</v>
      </c>
      <c r="E7874" t="s">
        <v>74</v>
      </c>
      <c r="F7874" s="1">
        <v>1</v>
      </c>
      <c r="G7874" s="1" t="s">
        <v>75</v>
      </c>
      <c r="H7874" s="4" t="str">
        <f>HYPERLINK("https://www.ncbi.nlm.nih.gov/geo/query/acc.cgi?acc=GSM1673280","GSM1673280")</f>
        <v>GSM1673280</v>
      </c>
      <c r="I7874" t="s">
        <v>69</v>
      </c>
      <c r="J7874" t="s">
        <v>18</v>
      </c>
      <c r="K7874" t="s">
        <v>19</v>
      </c>
      <c r="L7874" t="s">
        <v>70</v>
      </c>
      <c r="M7874" t="s">
        <v>44</v>
      </c>
      <c r="N7874" t="s">
        <v>76</v>
      </c>
    </row>
    <row r="7875" spans="1:14">
      <c r="A7875" s="4" t="str">
        <f t="shared" si="729"/>
        <v>EXP00268</v>
      </c>
      <c r="B7875" s="3" t="s">
        <v>66</v>
      </c>
      <c r="C7875" s="4" t="str">
        <f t="shared" si="728"/>
        <v>GSE68468</v>
      </c>
      <c r="D7875" s="1" t="s">
        <v>62</v>
      </c>
      <c r="E7875" t="s">
        <v>74</v>
      </c>
      <c r="F7875" s="1">
        <v>1</v>
      </c>
      <c r="G7875" s="1" t="s">
        <v>75</v>
      </c>
      <c r="H7875" s="4" t="str">
        <f>HYPERLINK("https://www.ncbi.nlm.nih.gov/geo/query/acc.cgi?acc=GSM1673293","GSM1673293")</f>
        <v>GSM1673293</v>
      </c>
      <c r="I7875" t="s">
        <v>69</v>
      </c>
      <c r="J7875" t="s">
        <v>18</v>
      </c>
      <c r="K7875" t="s">
        <v>19</v>
      </c>
      <c r="L7875" t="s">
        <v>70</v>
      </c>
      <c r="M7875" t="s">
        <v>44</v>
      </c>
      <c r="N7875" t="s">
        <v>76</v>
      </c>
    </row>
    <row r="7876" spans="1:14">
      <c r="A7876" s="4" t="str">
        <f t="shared" si="729"/>
        <v>EXP00268</v>
      </c>
      <c r="B7876" s="3" t="s">
        <v>66</v>
      </c>
      <c r="C7876" s="4" t="str">
        <f t="shared" si="728"/>
        <v>GSE68468</v>
      </c>
      <c r="D7876" s="1" t="s">
        <v>62</v>
      </c>
      <c r="E7876" t="s">
        <v>74</v>
      </c>
      <c r="F7876" s="1">
        <v>2</v>
      </c>
      <c r="G7876" s="1" t="s">
        <v>26</v>
      </c>
      <c r="H7876" s="4" t="str">
        <f>HYPERLINK("https://www.ncbi.nlm.nih.gov/geo/query/acc.cgi?acc=GSM1672975","GSM1672975")</f>
        <v>GSM1672975</v>
      </c>
      <c r="I7876" t="s">
        <v>69</v>
      </c>
      <c r="J7876" t="s">
        <v>18</v>
      </c>
      <c r="K7876" t="s">
        <v>19</v>
      </c>
      <c r="L7876" t="s">
        <v>70</v>
      </c>
      <c r="M7876" t="s">
        <v>44</v>
      </c>
      <c r="N7876" t="s">
        <v>22</v>
      </c>
    </row>
    <row r="7877" spans="1:14">
      <c r="A7877" s="4" t="str">
        <f t="shared" si="729"/>
        <v>EXP00268</v>
      </c>
      <c r="B7877" s="3" t="s">
        <v>66</v>
      </c>
      <c r="C7877" s="4" t="str">
        <f t="shared" si="728"/>
        <v>GSE68468</v>
      </c>
      <c r="D7877" s="1" t="s">
        <v>62</v>
      </c>
      <c r="E7877" t="s">
        <v>74</v>
      </c>
      <c r="F7877" s="1">
        <v>2</v>
      </c>
      <c r="G7877" s="1" t="s">
        <v>26</v>
      </c>
      <c r="H7877" s="4" t="str">
        <f>HYPERLINK("https://www.ncbi.nlm.nih.gov/geo/query/acc.cgi?acc=GSM1672980","GSM1672980")</f>
        <v>GSM1672980</v>
      </c>
      <c r="I7877" t="s">
        <v>69</v>
      </c>
      <c r="J7877" t="s">
        <v>18</v>
      </c>
      <c r="K7877" t="s">
        <v>19</v>
      </c>
      <c r="L7877" t="s">
        <v>70</v>
      </c>
      <c r="M7877" t="s">
        <v>44</v>
      </c>
      <c r="N7877" t="s">
        <v>22</v>
      </c>
    </row>
    <row r="7878" spans="1:14">
      <c r="A7878" s="4" t="str">
        <f t="shared" si="729"/>
        <v>EXP00268</v>
      </c>
      <c r="B7878" s="3" t="s">
        <v>66</v>
      </c>
      <c r="C7878" s="4" t="str">
        <f t="shared" si="728"/>
        <v>GSE68468</v>
      </c>
      <c r="D7878" s="1" t="s">
        <v>62</v>
      </c>
      <c r="E7878" t="s">
        <v>74</v>
      </c>
      <c r="F7878" s="1">
        <v>2</v>
      </c>
      <c r="G7878" s="1" t="s">
        <v>26</v>
      </c>
      <c r="H7878" s="4" t="str">
        <f>HYPERLINK("https://www.ncbi.nlm.nih.gov/geo/query/acc.cgi?acc=GSM1672982","GSM1672982")</f>
        <v>GSM1672982</v>
      </c>
      <c r="I7878" t="s">
        <v>69</v>
      </c>
      <c r="J7878" t="s">
        <v>18</v>
      </c>
      <c r="K7878" t="s">
        <v>19</v>
      </c>
      <c r="L7878" t="s">
        <v>70</v>
      </c>
      <c r="M7878" t="s">
        <v>44</v>
      </c>
      <c r="N7878" t="s">
        <v>22</v>
      </c>
    </row>
    <row r="7879" spans="1:14">
      <c r="A7879" s="4" t="str">
        <f t="shared" si="729"/>
        <v>EXP00268</v>
      </c>
      <c r="B7879" s="3" t="s">
        <v>66</v>
      </c>
      <c r="C7879" s="4" t="str">
        <f t="shared" si="728"/>
        <v>GSE68468</v>
      </c>
      <c r="D7879" s="1" t="s">
        <v>62</v>
      </c>
      <c r="E7879" t="s">
        <v>74</v>
      </c>
      <c r="F7879" s="1">
        <v>2</v>
      </c>
      <c r="G7879" s="1" t="s">
        <v>26</v>
      </c>
      <c r="H7879" s="4" t="str">
        <f>HYPERLINK("https://www.ncbi.nlm.nih.gov/geo/query/acc.cgi?acc=GSM1673005","GSM1673005")</f>
        <v>GSM1673005</v>
      </c>
      <c r="I7879" t="s">
        <v>69</v>
      </c>
      <c r="J7879" t="s">
        <v>18</v>
      </c>
      <c r="K7879" t="s">
        <v>19</v>
      </c>
      <c r="L7879" t="s">
        <v>70</v>
      </c>
      <c r="M7879" t="s">
        <v>44</v>
      </c>
      <c r="N7879" t="s">
        <v>22</v>
      </c>
    </row>
    <row r="7880" spans="1:14">
      <c r="A7880" s="4" t="str">
        <f t="shared" si="729"/>
        <v>EXP00268</v>
      </c>
      <c r="B7880" s="3" t="s">
        <v>66</v>
      </c>
      <c r="C7880" s="4" t="str">
        <f t="shared" si="728"/>
        <v>GSE68468</v>
      </c>
      <c r="D7880" s="1" t="s">
        <v>62</v>
      </c>
      <c r="E7880" t="s">
        <v>74</v>
      </c>
      <c r="F7880" s="1">
        <v>2</v>
      </c>
      <c r="G7880" s="1" t="s">
        <v>26</v>
      </c>
      <c r="H7880" s="4" t="str">
        <f>HYPERLINK("https://www.ncbi.nlm.nih.gov/geo/query/acc.cgi?acc=GSM1673019","GSM1673019")</f>
        <v>GSM1673019</v>
      </c>
      <c r="I7880" t="s">
        <v>69</v>
      </c>
      <c r="J7880" t="s">
        <v>18</v>
      </c>
      <c r="K7880" t="s">
        <v>19</v>
      </c>
      <c r="L7880" t="s">
        <v>70</v>
      </c>
      <c r="M7880" t="s">
        <v>44</v>
      </c>
      <c r="N7880" t="s">
        <v>22</v>
      </c>
    </row>
    <row r="7881" spans="1:14">
      <c r="A7881" s="4" t="str">
        <f t="shared" si="729"/>
        <v>EXP00268</v>
      </c>
      <c r="B7881" s="3" t="s">
        <v>66</v>
      </c>
      <c r="C7881" s="4" t="str">
        <f t="shared" si="728"/>
        <v>GSE68468</v>
      </c>
      <c r="D7881" s="1" t="s">
        <v>62</v>
      </c>
      <c r="E7881" t="s">
        <v>74</v>
      </c>
      <c r="F7881" s="1">
        <v>2</v>
      </c>
      <c r="G7881" s="1" t="s">
        <v>26</v>
      </c>
      <c r="H7881" s="4" t="str">
        <f>HYPERLINK("https://www.ncbi.nlm.nih.gov/geo/query/acc.cgi?acc=GSM1673020","GSM1673020")</f>
        <v>GSM1673020</v>
      </c>
      <c r="I7881" t="s">
        <v>69</v>
      </c>
      <c r="J7881" t="s">
        <v>18</v>
      </c>
      <c r="K7881" t="s">
        <v>19</v>
      </c>
      <c r="L7881" t="s">
        <v>70</v>
      </c>
      <c r="M7881" t="s">
        <v>44</v>
      </c>
      <c r="N7881" t="s">
        <v>22</v>
      </c>
    </row>
    <row r="7882" spans="1:14">
      <c r="A7882" s="4" t="str">
        <f t="shared" si="729"/>
        <v>EXP00268</v>
      </c>
      <c r="B7882" s="3" t="s">
        <v>66</v>
      </c>
      <c r="C7882" s="4" t="str">
        <f t="shared" si="728"/>
        <v>GSE68468</v>
      </c>
      <c r="D7882" s="1" t="s">
        <v>62</v>
      </c>
      <c r="E7882" t="s">
        <v>74</v>
      </c>
      <c r="F7882" s="1">
        <v>2</v>
      </c>
      <c r="G7882" s="1" t="s">
        <v>26</v>
      </c>
      <c r="H7882" s="4" t="str">
        <f>HYPERLINK("https://www.ncbi.nlm.nih.gov/geo/query/acc.cgi?acc=GSM1673021","GSM1673021")</f>
        <v>GSM1673021</v>
      </c>
      <c r="I7882" t="s">
        <v>69</v>
      </c>
      <c r="J7882" t="s">
        <v>18</v>
      </c>
      <c r="K7882" t="s">
        <v>19</v>
      </c>
      <c r="L7882" t="s">
        <v>70</v>
      </c>
      <c r="M7882" t="s">
        <v>44</v>
      </c>
      <c r="N7882" t="s">
        <v>22</v>
      </c>
    </row>
    <row r="7883" spans="1:14">
      <c r="A7883" s="4" t="str">
        <f t="shared" si="729"/>
        <v>EXP00268</v>
      </c>
      <c r="B7883" s="3" t="s">
        <v>66</v>
      </c>
      <c r="C7883" s="4" t="str">
        <f t="shared" si="728"/>
        <v>GSE68468</v>
      </c>
      <c r="D7883" s="1" t="s">
        <v>62</v>
      </c>
      <c r="E7883" t="s">
        <v>74</v>
      </c>
      <c r="F7883" s="1">
        <v>2</v>
      </c>
      <c r="G7883" s="1" t="s">
        <v>26</v>
      </c>
      <c r="H7883" s="4" t="str">
        <f>HYPERLINK("https://www.ncbi.nlm.nih.gov/geo/query/acc.cgi?acc=GSM1673022","GSM1673022")</f>
        <v>GSM1673022</v>
      </c>
      <c r="I7883" t="s">
        <v>69</v>
      </c>
      <c r="J7883" t="s">
        <v>18</v>
      </c>
      <c r="K7883" t="s">
        <v>19</v>
      </c>
      <c r="L7883" t="s">
        <v>70</v>
      </c>
      <c r="M7883" t="s">
        <v>44</v>
      </c>
      <c r="N7883" t="s">
        <v>22</v>
      </c>
    </row>
    <row r="7884" spans="1:14">
      <c r="A7884" s="4" t="str">
        <f t="shared" si="729"/>
        <v>EXP00268</v>
      </c>
      <c r="B7884" s="3" t="s">
        <v>66</v>
      </c>
      <c r="C7884" s="4" t="str">
        <f t="shared" si="728"/>
        <v>GSE68468</v>
      </c>
      <c r="D7884" s="1" t="s">
        <v>62</v>
      </c>
      <c r="E7884" t="s">
        <v>74</v>
      </c>
      <c r="F7884" s="1">
        <v>2</v>
      </c>
      <c r="G7884" s="1" t="s">
        <v>26</v>
      </c>
      <c r="H7884" s="4" t="str">
        <f>HYPERLINK("https://www.ncbi.nlm.nih.gov/geo/query/acc.cgi?acc=GSM1673043","GSM1673043")</f>
        <v>GSM1673043</v>
      </c>
      <c r="I7884" t="s">
        <v>69</v>
      </c>
      <c r="J7884" t="s">
        <v>18</v>
      </c>
      <c r="K7884" t="s">
        <v>19</v>
      </c>
      <c r="L7884" t="s">
        <v>70</v>
      </c>
      <c r="M7884" t="s">
        <v>44</v>
      </c>
      <c r="N7884" t="s">
        <v>22</v>
      </c>
    </row>
    <row r="7885" spans="1:14">
      <c r="A7885" s="4" t="str">
        <f t="shared" si="729"/>
        <v>EXP00268</v>
      </c>
      <c r="B7885" s="3" t="s">
        <v>66</v>
      </c>
      <c r="C7885" s="4" t="str">
        <f t="shared" si="728"/>
        <v>GSE68468</v>
      </c>
      <c r="D7885" s="1" t="s">
        <v>62</v>
      </c>
      <c r="E7885" t="s">
        <v>74</v>
      </c>
      <c r="F7885" s="1">
        <v>2</v>
      </c>
      <c r="G7885" s="1" t="s">
        <v>26</v>
      </c>
      <c r="H7885" s="4" t="str">
        <f>HYPERLINK("https://www.ncbi.nlm.nih.gov/geo/query/acc.cgi?acc=GSM1673051","GSM1673051")</f>
        <v>GSM1673051</v>
      </c>
      <c r="I7885" t="s">
        <v>69</v>
      </c>
      <c r="J7885" t="s">
        <v>18</v>
      </c>
      <c r="K7885" t="s">
        <v>19</v>
      </c>
      <c r="L7885" t="s">
        <v>70</v>
      </c>
      <c r="M7885" t="s">
        <v>44</v>
      </c>
      <c r="N7885" t="s">
        <v>22</v>
      </c>
    </row>
    <row r="7886" spans="1:14">
      <c r="A7886" s="4" t="str">
        <f t="shared" si="729"/>
        <v>EXP00268</v>
      </c>
      <c r="B7886" s="3" t="s">
        <v>66</v>
      </c>
      <c r="C7886" s="4" t="str">
        <f t="shared" si="728"/>
        <v>GSE68468</v>
      </c>
      <c r="D7886" s="1" t="s">
        <v>62</v>
      </c>
      <c r="E7886" t="s">
        <v>74</v>
      </c>
      <c r="F7886" s="1">
        <v>2</v>
      </c>
      <c r="G7886" s="1" t="s">
        <v>26</v>
      </c>
      <c r="H7886" s="4" t="str">
        <f>HYPERLINK("https://www.ncbi.nlm.nih.gov/geo/query/acc.cgi?acc=GSM1673061","GSM1673061")</f>
        <v>GSM1673061</v>
      </c>
      <c r="I7886" t="s">
        <v>69</v>
      </c>
      <c r="J7886" t="s">
        <v>18</v>
      </c>
      <c r="K7886" t="s">
        <v>19</v>
      </c>
      <c r="L7886" t="s">
        <v>70</v>
      </c>
      <c r="M7886" t="s">
        <v>44</v>
      </c>
      <c r="N7886" t="s">
        <v>22</v>
      </c>
    </row>
    <row r="7887" spans="1:14">
      <c r="A7887" s="4" t="str">
        <f t="shared" si="729"/>
        <v>EXP00268</v>
      </c>
      <c r="B7887" s="3" t="s">
        <v>66</v>
      </c>
      <c r="C7887" s="4" t="str">
        <f t="shared" si="728"/>
        <v>GSE68468</v>
      </c>
      <c r="D7887" s="1" t="s">
        <v>62</v>
      </c>
      <c r="E7887" t="s">
        <v>74</v>
      </c>
      <c r="F7887" s="1">
        <v>2</v>
      </c>
      <c r="G7887" s="1" t="s">
        <v>26</v>
      </c>
      <c r="H7887" s="4" t="str">
        <f>HYPERLINK("https://www.ncbi.nlm.nih.gov/geo/query/acc.cgi?acc=GSM1673075","GSM1673075")</f>
        <v>GSM1673075</v>
      </c>
      <c r="I7887" t="s">
        <v>69</v>
      </c>
      <c r="J7887" t="s">
        <v>18</v>
      </c>
      <c r="K7887" t="s">
        <v>19</v>
      </c>
      <c r="L7887" t="s">
        <v>70</v>
      </c>
      <c r="M7887" t="s">
        <v>44</v>
      </c>
      <c r="N7887" t="s">
        <v>22</v>
      </c>
    </row>
    <row r="7888" spans="1:14">
      <c r="A7888" s="4" t="str">
        <f t="shared" si="729"/>
        <v>EXP00268</v>
      </c>
      <c r="B7888" s="3" t="s">
        <v>66</v>
      </c>
      <c r="C7888" s="4" t="str">
        <f t="shared" si="728"/>
        <v>GSE68468</v>
      </c>
      <c r="D7888" s="1" t="s">
        <v>62</v>
      </c>
      <c r="E7888" t="s">
        <v>74</v>
      </c>
      <c r="F7888" s="1">
        <v>2</v>
      </c>
      <c r="G7888" s="1" t="s">
        <v>26</v>
      </c>
      <c r="H7888" s="4" t="str">
        <f>HYPERLINK("https://www.ncbi.nlm.nih.gov/geo/query/acc.cgi?acc=GSM1673083","GSM1673083")</f>
        <v>GSM1673083</v>
      </c>
      <c r="I7888" t="s">
        <v>69</v>
      </c>
      <c r="J7888" t="s">
        <v>18</v>
      </c>
      <c r="K7888" t="s">
        <v>19</v>
      </c>
      <c r="L7888" t="s">
        <v>70</v>
      </c>
      <c r="M7888" t="s">
        <v>44</v>
      </c>
      <c r="N7888" t="s">
        <v>22</v>
      </c>
    </row>
    <row r="7889" spans="1:14">
      <c r="A7889" s="4" t="str">
        <f t="shared" si="729"/>
        <v>EXP00268</v>
      </c>
      <c r="B7889" s="3" t="s">
        <v>66</v>
      </c>
      <c r="C7889" s="4" t="str">
        <f t="shared" si="728"/>
        <v>GSE68468</v>
      </c>
      <c r="D7889" s="1" t="s">
        <v>62</v>
      </c>
      <c r="E7889" t="s">
        <v>74</v>
      </c>
      <c r="F7889" s="1">
        <v>2</v>
      </c>
      <c r="G7889" s="1" t="s">
        <v>26</v>
      </c>
      <c r="H7889" s="4" t="str">
        <f>HYPERLINK("https://www.ncbi.nlm.nih.gov/geo/query/acc.cgi?acc=GSM1673085","GSM1673085")</f>
        <v>GSM1673085</v>
      </c>
      <c r="I7889" t="s">
        <v>69</v>
      </c>
      <c r="J7889" t="s">
        <v>18</v>
      </c>
      <c r="K7889" t="s">
        <v>19</v>
      </c>
      <c r="L7889" t="s">
        <v>70</v>
      </c>
      <c r="M7889" t="s">
        <v>44</v>
      </c>
      <c r="N7889" t="s">
        <v>22</v>
      </c>
    </row>
    <row r="7890" spans="1:14">
      <c r="A7890" s="4" t="str">
        <f t="shared" si="729"/>
        <v>EXP00268</v>
      </c>
      <c r="B7890" s="3" t="s">
        <v>66</v>
      </c>
      <c r="C7890" s="4" t="str">
        <f t="shared" si="728"/>
        <v>GSE68468</v>
      </c>
      <c r="D7890" s="1" t="s">
        <v>62</v>
      </c>
      <c r="E7890" t="s">
        <v>74</v>
      </c>
      <c r="F7890" s="1">
        <v>2</v>
      </c>
      <c r="G7890" s="1" t="s">
        <v>26</v>
      </c>
      <c r="H7890" s="4" t="str">
        <f>HYPERLINK("https://www.ncbi.nlm.nih.gov/geo/query/acc.cgi?acc=GSM1673088","GSM1673088")</f>
        <v>GSM1673088</v>
      </c>
      <c r="I7890" t="s">
        <v>69</v>
      </c>
      <c r="J7890" t="s">
        <v>18</v>
      </c>
      <c r="K7890" t="s">
        <v>19</v>
      </c>
      <c r="L7890" t="s">
        <v>70</v>
      </c>
      <c r="M7890" t="s">
        <v>44</v>
      </c>
      <c r="N7890" t="s">
        <v>22</v>
      </c>
    </row>
    <row r="7891" spans="1:14">
      <c r="A7891" s="4" t="str">
        <f t="shared" si="729"/>
        <v>EXP00268</v>
      </c>
      <c r="B7891" s="3" t="s">
        <v>66</v>
      </c>
      <c r="C7891" s="4" t="str">
        <f t="shared" si="728"/>
        <v>GSE68468</v>
      </c>
      <c r="D7891" s="1" t="s">
        <v>62</v>
      </c>
      <c r="E7891" t="s">
        <v>74</v>
      </c>
      <c r="F7891" s="1">
        <v>2</v>
      </c>
      <c r="G7891" s="1" t="s">
        <v>26</v>
      </c>
      <c r="H7891" s="4" t="str">
        <f>HYPERLINK("https://www.ncbi.nlm.nih.gov/geo/query/acc.cgi?acc=GSM1673091","GSM1673091")</f>
        <v>GSM1673091</v>
      </c>
      <c r="I7891" t="s">
        <v>69</v>
      </c>
      <c r="J7891" t="s">
        <v>18</v>
      </c>
      <c r="K7891" t="s">
        <v>19</v>
      </c>
      <c r="L7891" t="s">
        <v>70</v>
      </c>
      <c r="M7891" t="s">
        <v>44</v>
      </c>
      <c r="N7891" t="s">
        <v>22</v>
      </c>
    </row>
    <row r="7892" spans="1:14">
      <c r="A7892" s="4" t="str">
        <f t="shared" si="729"/>
        <v>EXP00268</v>
      </c>
      <c r="B7892" s="3" t="s">
        <v>66</v>
      </c>
      <c r="C7892" s="4" t="str">
        <f t="shared" si="728"/>
        <v>GSE68468</v>
      </c>
      <c r="D7892" s="1" t="s">
        <v>62</v>
      </c>
      <c r="E7892" t="s">
        <v>74</v>
      </c>
      <c r="F7892" s="1">
        <v>2</v>
      </c>
      <c r="G7892" s="1" t="s">
        <v>26</v>
      </c>
      <c r="H7892" s="4" t="str">
        <f>HYPERLINK("https://www.ncbi.nlm.nih.gov/geo/query/acc.cgi?acc=GSM1673095","GSM1673095")</f>
        <v>GSM1673095</v>
      </c>
      <c r="I7892" t="s">
        <v>69</v>
      </c>
      <c r="J7892" t="s">
        <v>18</v>
      </c>
      <c r="K7892" t="s">
        <v>19</v>
      </c>
      <c r="L7892" t="s">
        <v>70</v>
      </c>
      <c r="M7892" t="s">
        <v>44</v>
      </c>
      <c r="N7892" t="s">
        <v>22</v>
      </c>
    </row>
    <row r="7893" spans="1:14">
      <c r="A7893" s="4" t="str">
        <f t="shared" si="729"/>
        <v>EXP00268</v>
      </c>
      <c r="B7893" s="3" t="s">
        <v>66</v>
      </c>
      <c r="C7893" s="4" t="str">
        <f t="shared" si="728"/>
        <v>GSE68468</v>
      </c>
      <c r="D7893" s="1" t="s">
        <v>62</v>
      </c>
      <c r="E7893" t="s">
        <v>74</v>
      </c>
      <c r="F7893" s="1">
        <v>2</v>
      </c>
      <c r="G7893" s="1" t="s">
        <v>26</v>
      </c>
      <c r="H7893" s="4" t="str">
        <f>HYPERLINK("https://www.ncbi.nlm.nih.gov/geo/query/acc.cgi?acc=GSM1673102","GSM1673102")</f>
        <v>GSM1673102</v>
      </c>
      <c r="I7893" t="s">
        <v>69</v>
      </c>
      <c r="J7893" t="s">
        <v>18</v>
      </c>
      <c r="K7893" t="s">
        <v>19</v>
      </c>
      <c r="L7893" t="s">
        <v>70</v>
      </c>
      <c r="M7893" t="s">
        <v>44</v>
      </c>
      <c r="N7893" t="s">
        <v>22</v>
      </c>
    </row>
    <row r="7894" spans="1:14">
      <c r="A7894" s="4" t="str">
        <f t="shared" si="729"/>
        <v>EXP00268</v>
      </c>
      <c r="B7894" s="3" t="s">
        <v>66</v>
      </c>
      <c r="C7894" s="4" t="str">
        <f t="shared" si="728"/>
        <v>GSE68468</v>
      </c>
      <c r="D7894" s="1" t="s">
        <v>62</v>
      </c>
      <c r="E7894" t="s">
        <v>74</v>
      </c>
      <c r="F7894" s="1">
        <v>2</v>
      </c>
      <c r="G7894" s="1" t="s">
        <v>26</v>
      </c>
      <c r="H7894" s="4" t="str">
        <f>HYPERLINK("https://www.ncbi.nlm.nih.gov/geo/query/acc.cgi?acc=GSM1673112","GSM1673112")</f>
        <v>GSM1673112</v>
      </c>
      <c r="I7894" t="s">
        <v>69</v>
      </c>
      <c r="J7894" t="s">
        <v>18</v>
      </c>
      <c r="K7894" t="s">
        <v>19</v>
      </c>
      <c r="L7894" t="s">
        <v>70</v>
      </c>
      <c r="M7894" t="s">
        <v>44</v>
      </c>
      <c r="N7894" t="s">
        <v>22</v>
      </c>
    </row>
    <row r="7895" spans="1:14">
      <c r="A7895" s="4" t="str">
        <f t="shared" si="729"/>
        <v>EXP00268</v>
      </c>
      <c r="B7895" s="3" t="s">
        <v>66</v>
      </c>
      <c r="C7895" s="4" t="str">
        <f t="shared" si="728"/>
        <v>GSE68468</v>
      </c>
      <c r="D7895" s="1" t="s">
        <v>62</v>
      </c>
      <c r="E7895" t="s">
        <v>74</v>
      </c>
      <c r="F7895" s="1">
        <v>2</v>
      </c>
      <c r="G7895" s="1" t="s">
        <v>26</v>
      </c>
      <c r="H7895" s="4" t="str">
        <f>HYPERLINK("https://www.ncbi.nlm.nih.gov/geo/query/acc.cgi?acc=GSM1673129","GSM1673129")</f>
        <v>GSM1673129</v>
      </c>
      <c r="I7895" t="s">
        <v>69</v>
      </c>
      <c r="J7895" t="s">
        <v>18</v>
      </c>
      <c r="K7895" t="s">
        <v>19</v>
      </c>
      <c r="L7895" t="s">
        <v>70</v>
      </c>
      <c r="M7895" t="s">
        <v>44</v>
      </c>
      <c r="N7895" t="s">
        <v>22</v>
      </c>
    </row>
    <row r="7896" spans="1:14">
      <c r="A7896" s="4" t="str">
        <f t="shared" ref="A7896:A7922" si="730">HYPERLINK("http://hcmdb.i-sanger.com/experiment/details/experiment_id/EXP00268","EXP00268")</f>
        <v>EXP00268</v>
      </c>
      <c r="B7896" s="3" t="s">
        <v>66</v>
      </c>
      <c r="C7896" s="4" t="str">
        <f t="shared" si="728"/>
        <v>GSE68468</v>
      </c>
      <c r="D7896" s="1" t="s">
        <v>62</v>
      </c>
      <c r="E7896" t="s">
        <v>74</v>
      </c>
      <c r="F7896" s="1">
        <v>2</v>
      </c>
      <c r="G7896" s="1" t="s">
        <v>26</v>
      </c>
      <c r="H7896" s="4" t="str">
        <f>HYPERLINK("https://www.ncbi.nlm.nih.gov/geo/query/acc.cgi?acc=GSM1673134","GSM1673134")</f>
        <v>GSM1673134</v>
      </c>
      <c r="I7896" t="s">
        <v>69</v>
      </c>
      <c r="J7896" t="s">
        <v>18</v>
      </c>
      <c r="K7896" t="s">
        <v>19</v>
      </c>
      <c r="L7896" t="s">
        <v>70</v>
      </c>
      <c r="M7896" t="s">
        <v>44</v>
      </c>
      <c r="N7896" t="s">
        <v>22</v>
      </c>
    </row>
    <row r="7897" spans="1:14">
      <c r="A7897" s="4" t="str">
        <f t="shared" si="730"/>
        <v>EXP00268</v>
      </c>
      <c r="B7897" s="3" t="s">
        <v>66</v>
      </c>
      <c r="C7897" s="4" t="str">
        <f t="shared" si="728"/>
        <v>GSE68468</v>
      </c>
      <c r="D7897" s="1" t="s">
        <v>62</v>
      </c>
      <c r="E7897" t="s">
        <v>74</v>
      </c>
      <c r="F7897" s="1">
        <v>2</v>
      </c>
      <c r="G7897" s="1" t="s">
        <v>26</v>
      </c>
      <c r="H7897" s="4" t="str">
        <f>HYPERLINK("https://www.ncbi.nlm.nih.gov/geo/query/acc.cgi?acc=GSM1673135","GSM1673135")</f>
        <v>GSM1673135</v>
      </c>
      <c r="I7897" t="s">
        <v>69</v>
      </c>
      <c r="J7897" t="s">
        <v>18</v>
      </c>
      <c r="K7897" t="s">
        <v>19</v>
      </c>
      <c r="L7897" t="s">
        <v>70</v>
      </c>
      <c r="M7897" t="s">
        <v>44</v>
      </c>
      <c r="N7897" t="s">
        <v>22</v>
      </c>
    </row>
    <row r="7898" spans="1:14">
      <c r="A7898" s="4" t="str">
        <f t="shared" si="730"/>
        <v>EXP00268</v>
      </c>
      <c r="B7898" s="3" t="s">
        <v>66</v>
      </c>
      <c r="C7898" s="4" t="str">
        <f t="shared" si="728"/>
        <v>GSE68468</v>
      </c>
      <c r="D7898" s="1" t="s">
        <v>62</v>
      </c>
      <c r="E7898" t="s">
        <v>74</v>
      </c>
      <c r="F7898" s="1">
        <v>2</v>
      </c>
      <c r="G7898" s="1" t="s">
        <v>26</v>
      </c>
      <c r="H7898" s="4" t="str">
        <f>HYPERLINK("https://www.ncbi.nlm.nih.gov/geo/query/acc.cgi?acc=GSM1673136","GSM1673136")</f>
        <v>GSM1673136</v>
      </c>
      <c r="I7898" t="s">
        <v>69</v>
      </c>
      <c r="J7898" t="s">
        <v>18</v>
      </c>
      <c r="K7898" t="s">
        <v>19</v>
      </c>
      <c r="L7898" t="s">
        <v>70</v>
      </c>
      <c r="M7898" t="s">
        <v>44</v>
      </c>
      <c r="N7898" t="s">
        <v>22</v>
      </c>
    </row>
    <row r="7899" spans="1:14">
      <c r="A7899" s="4" t="str">
        <f t="shared" si="730"/>
        <v>EXP00268</v>
      </c>
      <c r="B7899" s="3" t="s">
        <v>66</v>
      </c>
      <c r="C7899" s="4" t="str">
        <f t="shared" si="728"/>
        <v>GSE68468</v>
      </c>
      <c r="D7899" s="1" t="s">
        <v>62</v>
      </c>
      <c r="E7899" t="s">
        <v>74</v>
      </c>
      <c r="F7899" s="1">
        <v>2</v>
      </c>
      <c r="G7899" s="1" t="s">
        <v>26</v>
      </c>
      <c r="H7899" s="4" t="str">
        <f>HYPERLINK("https://www.ncbi.nlm.nih.gov/geo/query/acc.cgi?acc=GSM1673145","GSM1673145")</f>
        <v>GSM1673145</v>
      </c>
      <c r="I7899" t="s">
        <v>69</v>
      </c>
      <c r="J7899" t="s">
        <v>18</v>
      </c>
      <c r="K7899" t="s">
        <v>19</v>
      </c>
      <c r="L7899" t="s">
        <v>70</v>
      </c>
      <c r="M7899" t="s">
        <v>44</v>
      </c>
      <c r="N7899" t="s">
        <v>22</v>
      </c>
    </row>
    <row r="7900" spans="1:14">
      <c r="A7900" s="4" t="str">
        <f t="shared" si="730"/>
        <v>EXP00268</v>
      </c>
      <c r="B7900" s="3" t="s">
        <v>66</v>
      </c>
      <c r="C7900" s="4" t="str">
        <f t="shared" si="728"/>
        <v>GSE68468</v>
      </c>
      <c r="D7900" s="1" t="s">
        <v>62</v>
      </c>
      <c r="E7900" t="s">
        <v>74</v>
      </c>
      <c r="F7900" s="1">
        <v>2</v>
      </c>
      <c r="G7900" s="1" t="s">
        <v>26</v>
      </c>
      <c r="H7900" s="4" t="str">
        <f>HYPERLINK("https://www.ncbi.nlm.nih.gov/geo/query/acc.cgi?acc=GSM1673159","GSM1673159")</f>
        <v>GSM1673159</v>
      </c>
      <c r="I7900" t="s">
        <v>69</v>
      </c>
      <c r="J7900" t="s">
        <v>18</v>
      </c>
      <c r="K7900" t="s">
        <v>19</v>
      </c>
      <c r="L7900" t="s">
        <v>70</v>
      </c>
      <c r="M7900" t="s">
        <v>44</v>
      </c>
      <c r="N7900" t="s">
        <v>22</v>
      </c>
    </row>
    <row r="7901" spans="1:14">
      <c r="A7901" s="4" t="str">
        <f t="shared" si="730"/>
        <v>EXP00268</v>
      </c>
      <c r="B7901" s="3" t="s">
        <v>66</v>
      </c>
      <c r="C7901" s="4" t="str">
        <f t="shared" si="728"/>
        <v>GSE68468</v>
      </c>
      <c r="D7901" s="1" t="s">
        <v>62</v>
      </c>
      <c r="E7901" t="s">
        <v>74</v>
      </c>
      <c r="F7901" s="1">
        <v>2</v>
      </c>
      <c r="G7901" s="1" t="s">
        <v>26</v>
      </c>
      <c r="H7901" s="4" t="str">
        <f>HYPERLINK("https://www.ncbi.nlm.nih.gov/geo/query/acc.cgi?acc=GSM1673166","GSM1673166")</f>
        <v>GSM1673166</v>
      </c>
      <c r="I7901" t="s">
        <v>69</v>
      </c>
      <c r="J7901" t="s">
        <v>18</v>
      </c>
      <c r="K7901" t="s">
        <v>19</v>
      </c>
      <c r="L7901" t="s">
        <v>70</v>
      </c>
      <c r="M7901" t="s">
        <v>44</v>
      </c>
      <c r="N7901" t="s">
        <v>22</v>
      </c>
    </row>
    <row r="7902" spans="1:14">
      <c r="A7902" s="4" t="str">
        <f t="shared" si="730"/>
        <v>EXP00268</v>
      </c>
      <c r="B7902" s="3" t="s">
        <v>66</v>
      </c>
      <c r="C7902" s="4" t="str">
        <f t="shared" si="728"/>
        <v>GSE68468</v>
      </c>
      <c r="D7902" s="1" t="s">
        <v>62</v>
      </c>
      <c r="E7902" t="s">
        <v>74</v>
      </c>
      <c r="F7902" s="1">
        <v>2</v>
      </c>
      <c r="G7902" s="1" t="s">
        <v>26</v>
      </c>
      <c r="H7902" s="4" t="str">
        <f>HYPERLINK("https://www.ncbi.nlm.nih.gov/geo/query/acc.cgi?acc=GSM1673167","GSM1673167")</f>
        <v>GSM1673167</v>
      </c>
      <c r="I7902" t="s">
        <v>69</v>
      </c>
      <c r="J7902" t="s">
        <v>18</v>
      </c>
      <c r="K7902" t="s">
        <v>19</v>
      </c>
      <c r="L7902" t="s">
        <v>70</v>
      </c>
      <c r="M7902" t="s">
        <v>44</v>
      </c>
      <c r="N7902" t="s">
        <v>22</v>
      </c>
    </row>
    <row r="7903" spans="1:14">
      <c r="A7903" s="4" t="str">
        <f t="shared" si="730"/>
        <v>EXP00268</v>
      </c>
      <c r="B7903" s="3" t="s">
        <v>66</v>
      </c>
      <c r="C7903" s="4" t="str">
        <f t="shared" si="728"/>
        <v>GSE68468</v>
      </c>
      <c r="D7903" s="1" t="s">
        <v>62</v>
      </c>
      <c r="E7903" t="s">
        <v>74</v>
      </c>
      <c r="F7903" s="1">
        <v>2</v>
      </c>
      <c r="G7903" s="1" t="s">
        <v>26</v>
      </c>
      <c r="H7903" s="4" t="str">
        <f>HYPERLINK("https://www.ncbi.nlm.nih.gov/geo/query/acc.cgi?acc=GSM1673168","GSM1673168")</f>
        <v>GSM1673168</v>
      </c>
      <c r="I7903" t="s">
        <v>69</v>
      </c>
      <c r="J7903" t="s">
        <v>18</v>
      </c>
      <c r="K7903" t="s">
        <v>19</v>
      </c>
      <c r="L7903" t="s">
        <v>70</v>
      </c>
      <c r="M7903" t="s">
        <v>44</v>
      </c>
      <c r="N7903" t="s">
        <v>22</v>
      </c>
    </row>
    <row r="7904" spans="1:14">
      <c r="A7904" s="4" t="str">
        <f t="shared" si="730"/>
        <v>EXP00268</v>
      </c>
      <c r="B7904" s="3" t="s">
        <v>66</v>
      </c>
      <c r="C7904" s="4" t="str">
        <f t="shared" si="728"/>
        <v>GSE68468</v>
      </c>
      <c r="D7904" s="1" t="s">
        <v>62</v>
      </c>
      <c r="E7904" t="s">
        <v>74</v>
      </c>
      <c r="F7904" s="1">
        <v>2</v>
      </c>
      <c r="G7904" s="1" t="s">
        <v>26</v>
      </c>
      <c r="H7904" s="4" t="str">
        <f>HYPERLINK("https://www.ncbi.nlm.nih.gov/geo/query/acc.cgi?acc=GSM1673196","GSM1673196")</f>
        <v>GSM1673196</v>
      </c>
      <c r="I7904" t="s">
        <v>69</v>
      </c>
      <c r="J7904" t="s">
        <v>18</v>
      </c>
      <c r="K7904" t="s">
        <v>19</v>
      </c>
      <c r="L7904" t="s">
        <v>70</v>
      </c>
      <c r="M7904" t="s">
        <v>44</v>
      </c>
      <c r="N7904" t="s">
        <v>22</v>
      </c>
    </row>
    <row r="7905" spans="1:14">
      <c r="A7905" s="4" t="str">
        <f t="shared" si="730"/>
        <v>EXP00268</v>
      </c>
      <c r="B7905" s="3" t="s">
        <v>66</v>
      </c>
      <c r="C7905" s="4" t="str">
        <f t="shared" si="728"/>
        <v>GSE68468</v>
      </c>
      <c r="D7905" s="1" t="s">
        <v>62</v>
      </c>
      <c r="E7905" t="s">
        <v>74</v>
      </c>
      <c r="F7905" s="1">
        <v>2</v>
      </c>
      <c r="G7905" s="1" t="s">
        <v>26</v>
      </c>
      <c r="H7905" s="4" t="str">
        <f>HYPERLINK("https://www.ncbi.nlm.nih.gov/geo/query/acc.cgi?acc=GSM1673197","GSM1673197")</f>
        <v>GSM1673197</v>
      </c>
      <c r="I7905" t="s">
        <v>69</v>
      </c>
      <c r="J7905" t="s">
        <v>18</v>
      </c>
      <c r="K7905" t="s">
        <v>19</v>
      </c>
      <c r="L7905" t="s">
        <v>70</v>
      </c>
      <c r="M7905" t="s">
        <v>44</v>
      </c>
      <c r="N7905" t="s">
        <v>22</v>
      </c>
    </row>
    <row r="7906" spans="1:14">
      <c r="A7906" s="4" t="str">
        <f t="shared" si="730"/>
        <v>EXP00268</v>
      </c>
      <c r="B7906" s="3" t="s">
        <v>66</v>
      </c>
      <c r="C7906" s="4" t="str">
        <f t="shared" si="728"/>
        <v>GSE68468</v>
      </c>
      <c r="D7906" s="1" t="s">
        <v>62</v>
      </c>
      <c r="E7906" t="s">
        <v>74</v>
      </c>
      <c r="F7906" s="1">
        <v>2</v>
      </c>
      <c r="G7906" s="1" t="s">
        <v>26</v>
      </c>
      <c r="H7906" s="4" t="str">
        <f>HYPERLINK("https://www.ncbi.nlm.nih.gov/geo/query/acc.cgi?acc=GSM1673198","GSM1673198")</f>
        <v>GSM1673198</v>
      </c>
      <c r="I7906" t="s">
        <v>69</v>
      </c>
      <c r="J7906" t="s">
        <v>18</v>
      </c>
      <c r="K7906" t="s">
        <v>19</v>
      </c>
      <c r="L7906" t="s">
        <v>70</v>
      </c>
      <c r="M7906" t="s">
        <v>44</v>
      </c>
      <c r="N7906" t="s">
        <v>22</v>
      </c>
    </row>
    <row r="7907" spans="1:14">
      <c r="A7907" s="4" t="str">
        <f t="shared" si="730"/>
        <v>EXP00268</v>
      </c>
      <c r="B7907" s="3" t="s">
        <v>66</v>
      </c>
      <c r="C7907" s="4" t="str">
        <f t="shared" si="728"/>
        <v>GSE68468</v>
      </c>
      <c r="D7907" s="1" t="s">
        <v>62</v>
      </c>
      <c r="E7907" t="s">
        <v>74</v>
      </c>
      <c r="F7907" s="1">
        <v>2</v>
      </c>
      <c r="G7907" s="1" t="s">
        <v>26</v>
      </c>
      <c r="H7907" s="4" t="str">
        <f>HYPERLINK("https://www.ncbi.nlm.nih.gov/geo/query/acc.cgi?acc=GSM1673202","GSM1673202")</f>
        <v>GSM1673202</v>
      </c>
      <c r="I7907" t="s">
        <v>69</v>
      </c>
      <c r="J7907" t="s">
        <v>18</v>
      </c>
      <c r="K7907" t="s">
        <v>19</v>
      </c>
      <c r="L7907" t="s">
        <v>70</v>
      </c>
      <c r="M7907" t="s">
        <v>44</v>
      </c>
      <c r="N7907" t="s">
        <v>22</v>
      </c>
    </row>
    <row r="7908" spans="1:14">
      <c r="A7908" s="4" t="str">
        <f t="shared" si="730"/>
        <v>EXP00268</v>
      </c>
      <c r="B7908" s="3" t="s">
        <v>66</v>
      </c>
      <c r="C7908" s="4" t="str">
        <f t="shared" si="728"/>
        <v>GSE68468</v>
      </c>
      <c r="D7908" s="1" t="s">
        <v>62</v>
      </c>
      <c r="E7908" t="s">
        <v>74</v>
      </c>
      <c r="F7908" s="1">
        <v>2</v>
      </c>
      <c r="G7908" s="1" t="s">
        <v>26</v>
      </c>
      <c r="H7908" s="4" t="str">
        <f>HYPERLINK("https://www.ncbi.nlm.nih.gov/geo/query/acc.cgi?acc=GSM1673217","GSM1673217")</f>
        <v>GSM1673217</v>
      </c>
      <c r="I7908" t="s">
        <v>69</v>
      </c>
      <c r="J7908" t="s">
        <v>18</v>
      </c>
      <c r="K7908" t="s">
        <v>19</v>
      </c>
      <c r="L7908" t="s">
        <v>70</v>
      </c>
      <c r="M7908" t="s">
        <v>44</v>
      </c>
      <c r="N7908" t="s">
        <v>22</v>
      </c>
    </row>
    <row r="7909" spans="1:14">
      <c r="A7909" s="4" t="str">
        <f t="shared" si="730"/>
        <v>EXP00268</v>
      </c>
      <c r="B7909" s="3" t="s">
        <v>66</v>
      </c>
      <c r="C7909" s="4" t="str">
        <f t="shared" si="728"/>
        <v>GSE68468</v>
      </c>
      <c r="D7909" s="1" t="s">
        <v>62</v>
      </c>
      <c r="E7909" t="s">
        <v>74</v>
      </c>
      <c r="F7909" s="1">
        <v>2</v>
      </c>
      <c r="G7909" s="1" t="s">
        <v>26</v>
      </c>
      <c r="H7909" s="4" t="str">
        <f>HYPERLINK("https://www.ncbi.nlm.nih.gov/geo/query/acc.cgi?acc=GSM1673224","GSM1673224")</f>
        <v>GSM1673224</v>
      </c>
      <c r="I7909" t="s">
        <v>69</v>
      </c>
      <c r="J7909" t="s">
        <v>18</v>
      </c>
      <c r="K7909" t="s">
        <v>19</v>
      </c>
      <c r="L7909" t="s">
        <v>70</v>
      </c>
      <c r="M7909" t="s">
        <v>44</v>
      </c>
      <c r="N7909" t="s">
        <v>22</v>
      </c>
    </row>
    <row r="7910" spans="1:14">
      <c r="A7910" s="4" t="str">
        <f t="shared" si="730"/>
        <v>EXP00268</v>
      </c>
      <c r="B7910" s="3" t="s">
        <v>66</v>
      </c>
      <c r="C7910" s="4" t="str">
        <f t="shared" si="728"/>
        <v>GSE68468</v>
      </c>
      <c r="D7910" s="1" t="s">
        <v>62</v>
      </c>
      <c r="E7910" t="s">
        <v>74</v>
      </c>
      <c r="F7910" s="1">
        <v>2</v>
      </c>
      <c r="G7910" s="1" t="s">
        <v>26</v>
      </c>
      <c r="H7910" s="4" t="str">
        <f>HYPERLINK("https://www.ncbi.nlm.nih.gov/geo/query/acc.cgi?acc=GSM1673225","GSM1673225")</f>
        <v>GSM1673225</v>
      </c>
      <c r="I7910" t="s">
        <v>69</v>
      </c>
      <c r="J7910" t="s">
        <v>18</v>
      </c>
      <c r="K7910" t="s">
        <v>19</v>
      </c>
      <c r="L7910" t="s">
        <v>70</v>
      </c>
      <c r="M7910" t="s">
        <v>44</v>
      </c>
      <c r="N7910" t="s">
        <v>22</v>
      </c>
    </row>
    <row r="7911" spans="1:14">
      <c r="A7911" s="4" t="str">
        <f t="shared" si="730"/>
        <v>EXP00268</v>
      </c>
      <c r="B7911" s="3" t="s">
        <v>66</v>
      </c>
      <c r="C7911" s="4" t="str">
        <f t="shared" si="728"/>
        <v>GSE68468</v>
      </c>
      <c r="D7911" s="1" t="s">
        <v>62</v>
      </c>
      <c r="E7911" t="s">
        <v>74</v>
      </c>
      <c r="F7911" s="1">
        <v>2</v>
      </c>
      <c r="G7911" s="1" t="s">
        <v>26</v>
      </c>
      <c r="H7911" s="4" t="str">
        <f>HYPERLINK("https://www.ncbi.nlm.nih.gov/geo/query/acc.cgi?acc=GSM1673234","GSM1673234")</f>
        <v>GSM1673234</v>
      </c>
      <c r="I7911" t="s">
        <v>69</v>
      </c>
      <c r="J7911" t="s">
        <v>18</v>
      </c>
      <c r="K7911" t="s">
        <v>19</v>
      </c>
      <c r="L7911" t="s">
        <v>70</v>
      </c>
      <c r="M7911" t="s">
        <v>44</v>
      </c>
      <c r="N7911" t="s">
        <v>22</v>
      </c>
    </row>
    <row r="7912" spans="1:14">
      <c r="A7912" s="4" t="str">
        <f t="shared" si="730"/>
        <v>EXP00268</v>
      </c>
      <c r="B7912" s="3" t="s">
        <v>66</v>
      </c>
      <c r="C7912" s="4" t="str">
        <f t="shared" si="728"/>
        <v>GSE68468</v>
      </c>
      <c r="D7912" s="1" t="s">
        <v>62</v>
      </c>
      <c r="E7912" t="s">
        <v>74</v>
      </c>
      <c r="F7912" s="1">
        <v>2</v>
      </c>
      <c r="G7912" s="1" t="s">
        <v>26</v>
      </c>
      <c r="H7912" s="4" t="str">
        <f>HYPERLINK("https://www.ncbi.nlm.nih.gov/geo/query/acc.cgi?acc=GSM1673237","GSM1673237")</f>
        <v>GSM1673237</v>
      </c>
      <c r="I7912" t="s">
        <v>69</v>
      </c>
      <c r="J7912" t="s">
        <v>18</v>
      </c>
      <c r="K7912" t="s">
        <v>19</v>
      </c>
      <c r="L7912" t="s">
        <v>70</v>
      </c>
      <c r="M7912" t="s">
        <v>44</v>
      </c>
      <c r="N7912" t="s">
        <v>22</v>
      </c>
    </row>
    <row r="7913" spans="1:14">
      <c r="A7913" s="4" t="str">
        <f t="shared" si="730"/>
        <v>EXP00268</v>
      </c>
      <c r="B7913" s="3" t="s">
        <v>66</v>
      </c>
      <c r="C7913" s="4" t="str">
        <f t="shared" si="728"/>
        <v>GSE68468</v>
      </c>
      <c r="D7913" s="1" t="s">
        <v>62</v>
      </c>
      <c r="E7913" t="s">
        <v>74</v>
      </c>
      <c r="F7913" s="1">
        <v>2</v>
      </c>
      <c r="G7913" s="1" t="s">
        <v>26</v>
      </c>
      <c r="H7913" s="4" t="str">
        <f>HYPERLINK("https://www.ncbi.nlm.nih.gov/geo/query/acc.cgi?acc=GSM1673244","GSM1673244")</f>
        <v>GSM1673244</v>
      </c>
      <c r="I7913" t="s">
        <v>69</v>
      </c>
      <c r="J7913" t="s">
        <v>18</v>
      </c>
      <c r="K7913" t="s">
        <v>19</v>
      </c>
      <c r="L7913" t="s">
        <v>70</v>
      </c>
      <c r="M7913" t="s">
        <v>44</v>
      </c>
      <c r="N7913" t="s">
        <v>22</v>
      </c>
    </row>
    <row r="7914" spans="1:14">
      <c r="A7914" s="4" t="str">
        <f t="shared" si="730"/>
        <v>EXP00268</v>
      </c>
      <c r="B7914" s="3" t="s">
        <v>66</v>
      </c>
      <c r="C7914" s="4" t="str">
        <f t="shared" si="728"/>
        <v>GSE68468</v>
      </c>
      <c r="D7914" s="1" t="s">
        <v>62</v>
      </c>
      <c r="E7914" t="s">
        <v>74</v>
      </c>
      <c r="F7914" s="1">
        <v>2</v>
      </c>
      <c r="G7914" s="1" t="s">
        <v>26</v>
      </c>
      <c r="H7914" s="4" t="str">
        <f>HYPERLINK("https://www.ncbi.nlm.nih.gov/geo/query/acc.cgi?acc=GSM1673255","GSM1673255")</f>
        <v>GSM1673255</v>
      </c>
      <c r="I7914" t="s">
        <v>69</v>
      </c>
      <c r="J7914" t="s">
        <v>18</v>
      </c>
      <c r="K7914" t="s">
        <v>19</v>
      </c>
      <c r="L7914" t="s">
        <v>70</v>
      </c>
      <c r="M7914" t="s">
        <v>44</v>
      </c>
      <c r="N7914" t="s">
        <v>22</v>
      </c>
    </row>
    <row r="7915" spans="1:14">
      <c r="A7915" s="4" t="str">
        <f t="shared" si="730"/>
        <v>EXP00268</v>
      </c>
      <c r="B7915" s="3" t="s">
        <v>66</v>
      </c>
      <c r="C7915" s="4" t="str">
        <f t="shared" si="728"/>
        <v>GSE68468</v>
      </c>
      <c r="D7915" s="1" t="s">
        <v>62</v>
      </c>
      <c r="E7915" t="s">
        <v>74</v>
      </c>
      <c r="F7915" s="1">
        <v>2</v>
      </c>
      <c r="G7915" s="1" t="s">
        <v>26</v>
      </c>
      <c r="H7915" s="4" t="str">
        <f>HYPERLINK("https://www.ncbi.nlm.nih.gov/geo/query/acc.cgi?acc=GSM1673266","GSM1673266")</f>
        <v>GSM1673266</v>
      </c>
      <c r="I7915" t="s">
        <v>69</v>
      </c>
      <c r="J7915" t="s">
        <v>18</v>
      </c>
      <c r="K7915" t="s">
        <v>19</v>
      </c>
      <c r="L7915" t="s">
        <v>70</v>
      </c>
      <c r="M7915" t="s">
        <v>44</v>
      </c>
      <c r="N7915" t="s">
        <v>22</v>
      </c>
    </row>
    <row r="7916" spans="1:14">
      <c r="A7916" s="4" t="str">
        <f t="shared" si="730"/>
        <v>EXP00268</v>
      </c>
      <c r="B7916" s="3" t="s">
        <v>66</v>
      </c>
      <c r="C7916" s="4" t="str">
        <f t="shared" si="728"/>
        <v>GSE68468</v>
      </c>
      <c r="D7916" s="1" t="s">
        <v>62</v>
      </c>
      <c r="E7916" t="s">
        <v>74</v>
      </c>
      <c r="F7916" s="1">
        <v>2</v>
      </c>
      <c r="G7916" s="1" t="s">
        <v>26</v>
      </c>
      <c r="H7916" s="4" t="str">
        <f>HYPERLINK("https://www.ncbi.nlm.nih.gov/geo/query/acc.cgi?acc=GSM1673272","GSM1673272")</f>
        <v>GSM1673272</v>
      </c>
      <c r="I7916" t="s">
        <v>69</v>
      </c>
      <c r="J7916" t="s">
        <v>18</v>
      </c>
      <c r="K7916" t="s">
        <v>19</v>
      </c>
      <c r="L7916" t="s">
        <v>70</v>
      </c>
      <c r="M7916" t="s">
        <v>44</v>
      </c>
      <c r="N7916" t="s">
        <v>22</v>
      </c>
    </row>
    <row r="7917" spans="1:14">
      <c r="A7917" s="4" t="str">
        <f t="shared" si="730"/>
        <v>EXP00268</v>
      </c>
      <c r="B7917" s="3" t="s">
        <v>66</v>
      </c>
      <c r="C7917" s="4" t="str">
        <f t="shared" si="728"/>
        <v>GSE68468</v>
      </c>
      <c r="D7917" s="1" t="s">
        <v>62</v>
      </c>
      <c r="E7917" t="s">
        <v>74</v>
      </c>
      <c r="F7917" s="1">
        <v>2</v>
      </c>
      <c r="G7917" s="1" t="s">
        <v>26</v>
      </c>
      <c r="H7917" s="4" t="str">
        <f>HYPERLINK("https://www.ncbi.nlm.nih.gov/geo/query/acc.cgi?acc=GSM1673273","GSM1673273")</f>
        <v>GSM1673273</v>
      </c>
      <c r="I7917" t="s">
        <v>69</v>
      </c>
      <c r="J7917" t="s">
        <v>18</v>
      </c>
      <c r="K7917" t="s">
        <v>19</v>
      </c>
      <c r="L7917" t="s">
        <v>70</v>
      </c>
      <c r="M7917" t="s">
        <v>44</v>
      </c>
      <c r="N7917" t="s">
        <v>22</v>
      </c>
    </row>
    <row r="7918" spans="1:14">
      <c r="A7918" s="4" t="str">
        <f t="shared" si="730"/>
        <v>EXP00268</v>
      </c>
      <c r="B7918" s="3" t="s">
        <v>66</v>
      </c>
      <c r="C7918" s="4" t="str">
        <f t="shared" si="728"/>
        <v>GSE68468</v>
      </c>
      <c r="D7918" s="1" t="s">
        <v>62</v>
      </c>
      <c r="E7918" t="s">
        <v>74</v>
      </c>
      <c r="F7918" s="1">
        <v>2</v>
      </c>
      <c r="G7918" s="1" t="s">
        <v>26</v>
      </c>
      <c r="H7918" s="4" t="str">
        <f>HYPERLINK("https://www.ncbi.nlm.nih.gov/geo/query/acc.cgi?acc=GSM1673282","GSM1673282")</f>
        <v>GSM1673282</v>
      </c>
      <c r="I7918" t="s">
        <v>69</v>
      </c>
      <c r="J7918" t="s">
        <v>18</v>
      </c>
      <c r="K7918" t="s">
        <v>19</v>
      </c>
      <c r="L7918" t="s">
        <v>70</v>
      </c>
      <c r="M7918" t="s">
        <v>44</v>
      </c>
      <c r="N7918" t="s">
        <v>22</v>
      </c>
    </row>
    <row r="7919" spans="1:14">
      <c r="A7919" s="4" t="str">
        <f t="shared" si="730"/>
        <v>EXP00268</v>
      </c>
      <c r="B7919" s="3" t="s">
        <v>66</v>
      </c>
      <c r="C7919" s="4" t="str">
        <f t="shared" si="728"/>
        <v>GSE68468</v>
      </c>
      <c r="D7919" s="1" t="s">
        <v>62</v>
      </c>
      <c r="E7919" t="s">
        <v>74</v>
      </c>
      <c r="F7919" s="1">
        <v>2</v>
      </c>
      <c r="G7919" s="1" t="s">
        <v>26</v>
      </c>
      <c r="H7919" s="4" t="str">
        <f>HYPERLINK("https://www.ncbi.nlm.nih.gov/geo/query/acc.cgi?acc=GSM1673292","GSM1673292")</f>
        <v>GSM1673292</v>
      </c>
      <c r="I7919" t="s">
        <v>69</v>
      </c>
      <c r="J7919" t="s">
        <v>18</v>
      </c>
      <c r="K7919" t="s">
        <v>19</v>
      </c>
      <c r="L7919" t="s">
        <v>70</v>
      </c>
      <c r="M7919" t="s">
        <v>44</v>
      </c>
      <c r="N7919" t="s">
        <v>22</v>
      </c>
    </row>
    <row r="7920" spans="1:14">
      <c r="A7920" s="4" t="str">
        <f t="shared" si="730"/>
        <v>EXP00268</v>
      </c>
      <c r="B7920" s="3" t="s">
        <v>66</v>
      </c>
      <c r="C7920" s="4" t="str">
        <f t="shared" si="728"/>
        <v>GSE68468</v>
      </c>
      <c r="D7920" s="1" t="s">
        <v>62</v>
      </c>
      <c r="E7920" t="s">
        <v>74</v>
      </c>
      <c r="F7920" s="1">
        <v>2</v>
      </c>
      <c r="G7920" s="1" t="s">
        <v>26</v>
      </c>
      <c r="H7920" s="4" t="str">
        <f>HYPERLINK("https://www.ncbi.nlm.nih.gov/geo/query/acc.cgi?acc=GSM1673326","GSM1673326")</f>
        <v>GSM1673326</v>
      </c>
      <c r="I7920" t="s">
        <v>69</v>
      </c>
      <c r="J7920" t="s">
        <v>18</v>
      </c>
      <c r="K7920" t="s">
        <v>19</v>
      </c>
      <c r="L7920" t="s">
        <v>70</v>
      </c>
      <c r="M7920" t="s">
        <v>44</v>
      </c>
      <c r="N7920" t="s">
        <v>22</v>
      </c>
    </row>
    <row r="7921" spans="1:14">
      <c r="A7921" s="4" t="str">
        <f t="shared" si="730"/>
        <v>EXP00268</v>
      </c>
      <c r="B7921" s="3" t="s">
        <v>66</v>
      </c>
      <c r="C7921" s="4" t="str">
        <f t="shared" si="728"/>
        <v>GSE68468</v>
      </c>
      <c r="D7921" s="1" t="s">
        <v>62</v>
      </c>
      <c r="E7921" t="s">
        <v>74</v>
      </c>
      <c r="F7921" s="1">
        <v>2</v>
      </c>
      <c r="G7921" s="1" t="s">
        <v>26</v>
      </c>
      <c r="H7921" s="4" t="str">
        <f>HYPERLINK("https://www.ncbi.nlm.nih.gov/geo/query/acc.cgi?acc=GSM1673344","GSM1673344")</f>
        <v>GSM1673344</v>
      </c>
      <c r="I7921" t="s">
        <v>69</v>
      </c>
      <c r="J7921" t="s">
        <v>18</v>
      </c>
      <c r="K7921" t="s">
        <v>19</v>
      </c>
      <c r="L7921" t="s">
        <v>70</v>
      </c>
      <c r="M7921" t="s">
        <v>44</v>
      </c>
      <c r="N7921" t="s">
        <v>22</v>
      </c>
    </row>
    <row r="7922" spans="1:14">
      <c r="A7922" s="4" t="str">
        <f t="shared" si="730"/>
        <v>EXP00268</v>
      </c>
      <c r="B7922" s="3" t="s">
        <v>66</v>
      </c>
      <c r="C7922" s="4" t="str">
        <f t="shared" si="728"/>
        <v>GSE68468</v>
      </c>
      <c r="D7922" s="1" t="s">
        <v>62</v>
      </c>
      <c r="E7922" t="s">
        <v>74</v>
      </c>
      <c r="F7922" s="1">
        <v>2</v>
      </c>
      <c r="G7922" s="1" t="s">
        <v>26</v>
      </c>
      <c r="H7922" s="4" t="str">
        <f>HYPERLINK("https://www.ncbi.nlm.nih.gov/geo/query/acc.cgi?acc=GSM1673347","GSM1673347")</f>
        <v>GSM1673347</v>
      </c>
      <c r="I7922" t="s">
        <v>69</v>
      </c>
      <c r="J7922" t="s">
        <v>18</v>
      </c>
      <c r="K7922" t="s">
        <v>19</v>
      </c>
      <c r="L7922" t="s">
        <v>70</v>
      </c>
      <c r="M7922" t="s">
        <v>44</v>
      </c>
      <c r="N7922" t="s">
        <v>22</v>
      </c>
    </row>
    <row r="7923" spans="1:14">
      <c r="A7923" s="4" t="str">
        <f t="shared" ref="A7923:A7949" si="731">HYPERLINK("http://hcmdb.i-sanger.com/experiment/details/experiment_id/EXP00269","EXP00269")</f>
        <v>EXP00269</v>
      </c>
      <c r="B7923" s="3" t="s">
        <v>66</v>
      </c>
      <c r="C7923" s="4" t="str">
        <f t="shared" si="728"/>
        <v>GSE68468</v>
      </c>
      <c r="D7923" s="1" t="s">
        <v>62</v>
      </c>
      <c r="E7923" t="s">
        <v>375</v>
      </c>
      <c r="F7923" s="1">
        <v>1</v>
      </c>
      <c r="G7923" s="1" t="s">
        <v>75</v>
      </c>
      <c r="H7923" s="4" t="str">
        <f>HYPERLINK("https://www.ncbi.nlm.nih.gov/geo/query/acc.cgi?acc=GSM1673039","GSM1673039")</f>
        <v>GSM1673039</v>
      </c>
      <c r="I7923" t="s">
        <v>69</v>
      </c>
      <c r="J7923" t="s">
        <v>18</v>
      </c>
      <c r="K7923" t="s">
        <v>19</v>
      </c>
      <c r="L7923" t="s">
        <v>70</v>
      </c>
      <c r="M7923" t="s">
        <v>41</v>
      </c>
      <c r="N7923" t="s">
        <v>76</v>
      </c>
    </row>
    <row r="7924" spans="1:14">
      <c r="A7924" s="4" t="str">
        <f t="shared" si="731"/>
        <v>EXP00269</v>
      </c>
      <c r="B7924" s="3" t="s">
        <v>66</v>
      </c>
      <c r="C7924" s="4" t="str">
        <f t="shared" si="728"/>
        <v>GSE68468</v>
      </c>
      <c r="D7924" s="1" t="s">
        <v>62</v>
      </c>
      <c r="E7924" t="s">
        <v>375</v>
      </c>
      <c r="F7924" s="1">
        <v>1</v>
      </c>
      <c r="G7924" s="1" t="s">
        <v>75</v>
      </c>
      <c r="H7924" s="4" t="str">
        <f>HYPERLINK("https://www.ncbi.nlm.nih.gov/geo/query/acc.cgi?acc=GSM1673090","GSM1673090")</f>
        <v>GSM1673090</v>
      </c>
      <c r="I7924" t="s">
        <v>69</v>
      </c>
      <c r="J7924" t="s">
        <v>18</v>
      </c>
      <c r="K7924" t="s">
        <v>19</v>
      </c>
      <c r="L7924" t="s">
        <v>70</v>
      </c>
      <c r="M7924" t="s">
        <v>41</v>
      </c>
      <c r="N7924" t="s">
        <v>76</v>
      </c>
    </row>
    <row r="7925" spans="1:14">
      <c r="A7925" s="4" t="str">
        <f t="shared" si="731"/>
        <v>EXP00269</v>
      </c>
      <c r="B7925" s="3" t="s">
        <v>66</v>
      </c>
      <c r="C7925" s="4" t="str">
        <f t="shared" ref="C7925:C7988" si="732">HYPERLINK("https://www.ncbi.nlm.nih.gov/geo/query/acc.cgi?acc=GSE68468","GSE68468")</f>
        <v>GSE68468</v>
      </c>
      <c r="D7925" s="1" t="s">
        <v>62</v>
      </c>
      <c r="E7925" t="s">
        <v>375</v>
      </c>
      <c r="F7925" s="1">
        <v>1</v>
      </c>
      <c r="G7925" s="1" t="s">
        <v>75</v>
      </c>
      <c r="H7925" s="4" t="str">
        <f>HYPERLINK("https://www.ncbi.nlm.nih.gov/geo/query/acc.cgi?acc=GSM1673093","GSM1673093")</f>
        <v>GSM1673093</v>
      </c>
      <c r="I7925" t="s">
        <v>69</v>
      </c>
      <c r="J7925" t="s">
        <v>18</v>
      </c>
      <c r="K7925" t="s">
        <v>19</v>
      </c>
      <c r="L7925" t="s">
        <v>70</v>
      </c>
      <c r="M7925" t="s">
        <v>41</v>
      </c>
      <c r="N7925" t="s">
        <v>76</v>
      </c>
    </row>
    <row r="7926" spans="1:14">
      <c r="A7926" s="4" t="str">
        <f t="shared" si="731"/>
        <v>EXP00269</v>
      </c>
      <c r="B7926" s="3" t="s">
        <v>66</v>
      </c>
      <c r="C7926" s="4" t="str">
        <f t="shared" si="732"/>
        <v>GSE68468</v>
      </c>
      <c r="D7926" s="1" t="s">
        <v>62</v>
      </c>
      <c r="E7926" t="s">
        <v>375</v>
      </c>
      <c r="F7926" s="1">
        <v>1</v>
      </c>
      <c r="G7926" s="1" t="s">
        <v>75</v>
      </c>
      <c r="H7926" s="4" t="str">
        <f>HYPERLINK("https://www.ncbi.nlm.nih.gov/geo/query/acc.cgi?acc=GSM1673194","GSM1673194")</f>
        <v>GSM1673194</v>
      </c>
      <c r="I7926" t="s">
        <v>69</v>
      </c>
      <c r="J7926" t="s">
        <v>18</v>
      </c>
      <c r="K7926" t="s">
        <v>19</v>
      </c>
      <c r="L7926" t="s">
        <v>70</v>
      </c>
      <c r="M7926" t="s">
        <v>41</v>
      </c>
      <c r="N7926" t="s">
        <v>76</v>
      </c>
    </row>
    <row r="7927" spans="1:14">
      <c r="A7927" s="4" t="str">
        <f t="shared" si="731"/>
        <v>EXP00269</v>
      </c>
      <c r="B7927" s="3" t="s">
        <v>66</v>
      </c>
      <c r="C7927" s="4" t="str">
        <f t="shared" si="732"/>
        <v>GSE68468</v>
      </c>
      <c r="D7927" s="1" t="s">
        <v>62</v>
      </c>
      <c r="E7927" t="s">
        <v>375</v>
      </c>
      <c r="F7927" s="1">
        <v>1</v>
      </c>
      <c r="G7927" s="1" t="s">
        <v>75</v>
      </c>
      <c r="H7927" s="4" t="str">
        <f>HYPERLINK("https://www.ncbi.nlm.nih.gov/geo/query/acc.cgi?acc=GSM1673245","GSM1673245")</f>
        <v>GSM1673245</v>
      </c>
      <c r="I7927" t="s">
        <v>69</v>
      </c>
      <c r="J7927" t="s">
        <v>18</v>
      </c>
      <c r="K7927" t="s">
        <v>19</v>
      </c>
      <c r="L7927" t="s">
        <v>70</v>
      </c>
      <c r="M7927" t="s">
        <v>41</v>
      </c>
      <c r="N7927" t="s">
        <v>76</v>
      </c>
    </row>
    <row r="7928" spans="1:14">
      <c r="A7928" s="4" t="str">
        <f t="shared" si="731"/>
        <v>EXP00269</v>
      </c>
      <c r="B7928" s="3" t="s">
        <v>66</v>
      </c>
      <c r="C7928" s="4" t="str">
        <f t="shared" si="732"/>
        <v>GSE68468</v>
      </c>
      <c r="D7928" s="1" t="s">
        <v>62</v>
      </c>
      <c r="E7928" t="s">
        <v>375</v>
      </c>
      <c r="F7928" s="1">
        <v>1</v>
      </c>
      <c r="G7928" s="1" t="s">
        <v>75</v>
      </c>
      <c r="H7928" s="4" t="str">
        <f>HYPERLINK("https://www.ncbi.nlm.nih.gov/geo/query/acc.cgi?acc=GSM1673307","GSM1673307")</f>
        <v>GSM1673307</v>
      </c>
      <c r="I7928" t="s">
        <v>69</v>
      </c>
      <c r="J7928" t="s">
        <v>18</v>
      </c>
      <c r="K7928" t="s">
        <v>19</v>
      </c>
      <c r="L7928" t="s">
        <v>70</v>
      </c>
      <c r="M7928" t="s">
        <v>41</v>
      </c>
      <c r="N7928" t="s">
        <v>76</v>
      </c>
    </row>
    <row r="7929" spans="1:14">
      <c r="A7929" s="4" t="str">
        <f t="shared" si="731"/>
        <v>EXP00269</v>
      </c>
      <c r="B7929" s="3" t="s">
        <v>66</v>
      </c>
      <c r="C7929" s="4" t="str">
        <f t="shared" si="732"/>
        <v>GSE68468</v>
      </c>
      <c r="D7929" s="1" t="s">
        <v>62</v>
      </c>
      <c r="E7929" t="s">
        <v>375</v>
      </c>
      <c r="F7929" s="1">
        <v>1</v>
      </c>
      <c r="G7929" s="1" t="s">
        <v>75</v>
      </c>
      <c r="H7929" s="4" t="str">
        <f>HYPERLINK("https://www.ncbi.nlm.nih.gov/geo/query/acc.cgi?acc=GSM1673319","GSM1673319")</f>
        <v>GSM1673319</v>
      </c>
      <c r="I7929" t="s">
        <v>69</v>
      </c>
      <c r="J7929" t="s">
        <v>18</v>
      </c>
      <c r="K7929" t="s">
        <v>19</v>
      </c>
      <c r="L7929" t="s">
        <v>70</v>
      </c>
      <c r="M7929" t="s">
        <v>41</v>
      </c>
      <c r="N7929" t="s">
        <v>76</v>
      </c>
    </row>
    <row r="7930" spans="1:14">
      <c r="A7930" s="4" t="str">
        <f t="shared" si="731"/>
        <v>EXP00269</v>
      </c>
      <c r="B7930" s="3" t="s">
        <v>66</v>
      </c>
      <c r="C7930" s="4" t="str">
        <f t="shared" si="732"/>
        <v>GSE68468</v>
      </c>
      <c r="D7930" s="1" t="s">
        <v>62</v>
      </c>
      <c r="E7930" t="s">
        <v>375</v>
      </c>
      <c r="F7930" s="1">
        <v>2</v>
      </c>
      <c r="G7930" s="1" t="s">
        <v>26</v>
      </c>
      <c r="H7930" s="4" t="str">
        <f>HYPERLINK("https://www.ncbi.nlm.nih.gov/geo/query/acc.cgi?acc=GSM1672988","GSM1672988")</f>
        <v>GSM1672988</v>
      </c>
      <c r="I7930" t="s">
        <v>69</v>
      </c>
      <c r="J7930" t="s">
        <v>18</v>
      </c>
      <c r="K7930" t="s">
        <v>19</v>
      </c>
      <c r="L7930" t="s">
        <v>70</v>
      </c>
      <c r="M7930" t="s">
        <v>41</v>
      </c>
      <c r="N7930" t="s">
        <v>22</v>
      </c>
    </row>
    <row r="7931" spans="1:14">
      <c r="A7931" s="4" t="str">
        <f t="shared" si="731"/>
        <v>EXP00269</v>
      </c>
      <c r="B7931" s="3" t="s">
        <v>66</v>
      </c>
      <c r="C7931" s="4" t="str">
        <f t="shared" si="732"/>
        <v>GSE68468</v>
      </c>
      <c r="D7931" s="1" t="s">
        <v>62</v>
      </c>
      <c r="E7931" t="s">
        <v>375</v>
      </c>
      <c r="F7931" s="1">
        <v>2</v>
      </c>
      <c r="G7931" s="1" t="s">
        <v>26</v>
      </c>
      <c r="H7931" s="4" t="str">
        <f>HYPERLINK("https://www.ncbi.nlm.nih.gov/geo/query/acc.cgi?acc=GSM1672990","GSM1672990")</f>
        <v>GSM1672990</v>
      </c>
      <c r="I7931" t="s">
        <v>69</v>
      </c>
      <c r="J7931" t="s">
        <v>18</v>
      </c>
      <c r="K7931" t="s">
        <v>19</v>
      </c>
      <c r="L7931" t="s">
        <v>70</v>
      </c>
      <c r="M7931" t="s">
        <v>41</v>
      </c>
      <c r="N7931" t="s">
        <v>22</v>
      </c>
    </row>
    <row r="7932" spans="1:14">
      <c r="A7932" s="4" t="str">
        <f t="shared" si="731"/>
        <v>EXP00269</v>
      </c>
      <c r="B7932" s="3" t="s">
        <v>66</v>
      </c>
      <c r="C7932" s="4" t="str">
        <f t="shared" si="732"/>
        <v>GSE68468</v>
      </c>
      <c r="D7932" s="1" t="s">
        <v>62</v>
      </c>
      <c r="E7932" t="s">
        <v>375</v>
      </c>
      <c r="F7932" s="1">
        <v>2</v>
      </c>
      <c r="G7932" s="1" t="s">
        <v>26</v>
      </c>
      <c r="H7932" s="4" t="str">
        <f>HYPERLINK("https://www.ncbi.nlm.nih.gov/geo/query/acc.cgi?acc=GSM1673038","GSM1673038")</f>
        <v>GSM1673038</v>
      </c>
      <c r="I7932" t="s">
        <v>69</v>
      </c>
      <c r="J7932" t="s">
        <v>18</v>
      </c>
      <c r="K7932" t="s">
        <v>19</v>
      </c>
      <c r="L7932" t="s">
        <v>70</v>
      </c>
      <c r="M7932" t="s">
        <v>41</v>
      </c>
      <c r="N7932" t="s">
        <v>22</v>
      </c>
    </row>
    <row r="7933" spans="1:14">
      <c r="A7933" s="4" t="str">
        <f t="shared" si="731"/>
        <v>EXP00269</v>
      </c>
      <c r="B7933" s="3" t="s">
        <v>66</v>
      </c>
      <c r="C7933" s="4" t="str">
        <f t="shared" si="732"/>
        <v>GSE68468</v>
      </c>
      <c r="D7933" s="1" t="s">
        <v>62</v>
      </c>
      <c r="E7933" t="s">
        <v>375</v>
      </c>
      <c r="F7933" s="1">
        <v>2</v>
      </c>
      <c r="G7933" s="1" t="s">
        <v>26</v>
      </c>
      <c r="H7933" s="4" t="str">
        <f>HYPERLINK("https://www.ncbi.nlm.nih.gov/geo/query/acc.cgi?acc=GSM1673040","GSM1673040")</f>
        <v>GSM1673040</v>
      </c>
      <c r="I7933" t="s">
        <v>69</v>
      </c>
      <c r="J7933" t="s">
        <v>18</v>
      </c>
      <c r="K7933" t="s">
        <v>19</v>
      </c>
      <c r="L7933" t="s">
        <v>70</v>
      </c>
      <c r="M7933" t="s">
        <v>41</v>
      </c>
      <c r="N7933" t="s">
        <v>22</v>
      </c>
    </row>
    <row r="7934" spans="1:14">
      <c r="A7934" s="4" t="str">
        <f t="shared" si="731"/>
        <v>EXP00269</v>
      </c>
      <c r="B7934" s="3" t="s">
        <v>66</v>
      </c>
      <c r="C7934" s="4" t="str">
        <f t="shared" si="732"/>
        <v>GSE68468</v>
      </c>
      <c r="D7934" s="1" t="s">
        <v>62</v>
      </c>
      <c r="E7934" t="s">
        <v>375</v>
      </c>
      <c r="F7934" s="1">
        <v>2</v>
      </c>
      <c r="G7934" s="1" t="s">
        <v>26</v>
      </c>
      <c r="H7934" s="4" t="str">
        <f>HYPERLINK("https://www.ncbi.nlm.nih.gov/geo/query/acc.cgi?acc=GSM1673041","GSM1673041")</f>
        <v>GSM1673041</v>
      </c>
      <c r="I7934" t="s">
        <v>69</v>
      </c>
      <c r="J7934" t="s">
        <v>18</v>
      </c>
      <c r="K7934" t="s">
        <v>19</v>
      </c>
      <c r="L7934" t="s">
        <v>70</v>
      </c>
      <c r="M7934" t="s">
        <v>41</v>
      </c>
      <c r="N7934" t="s">
        <v>22</v>
      </c>
    </row>
    <row r="7935" spans="1:14">
      <c r="A7935" s="4" t="str">
        <f t="shared" si="731"/>
        <v>EXP00269</v>
      </c>
      <c r="B7935" s="3" t="s">
        <v>66</v>
      </c>
      <c r="C7935" s="4" t="str">
        <f t="shared" si="732"/>
        <v>GSE68468</v>
      </c>
      <c r="D7935" s="1" t="s">
        <v>62</v>
      </c>
      <c r="E7935" t="s">
        <v>375</v>
      </c>
      <c r="F7935" s="1">
        <v>2</v>
      </c>
      <c r="G7935" s="1" t="s">
        <v>26</v>
      </c>
      <c r="H7935" s="4" t="str">
        <f>HYPERLINK("https://www.ncbi.nlm.nih.gov/geo/query/acc.cgi?acc=GSM1673089","GSM1673089")</f>
        <v>GSM1673089</v>
      </c>
      <c r="I7935" t="s">
        <v>69</v>
      </c>
      <c r="J7935" t="s">
        <v>18</v>
      </c>
      <c r="K7935" t="s">
        <v>19</v>
      </c>
      <c r="L7935" t="s">
        <v>70</v>
      </c>
      <c r="M7935" t="s">
        <v>41</v>
      </c>
      <c r="N7935" t="s">
        <v>22</v>
      </c>
    </row>
    <row r="7936" spans="1:14">
      <c r="A7936" s="4" t="str">
        <f t="shared" si="731"/>
        <v>EXP00269</v>
      </c>
      <c r="B7936" s="3" t="s">
        <v>66</v>
      </c>
      <c r="C7936" s="4" t="str">
        <f t="shared" si="732"/>
        <v>GSE68468</v>
      </c>
      <c r="D7936" s="1" t="s">
        <v>62</v>
      </c>
      <c r="E7936" t="s">
        <v>375</v>
      </c>
      <c r="F7936" s="1">
        <v>2</v>
      </c>
      <c r="G7936" s="1" t="s">
        <v>26</v>
      </c>
      <c r="H7936" s="4" t="str">
        <f>HYPERLINK("https://www.ncbi.nlm.nih.gov/geo/query/acc.cgi?acc=GSM1673092","GSM1673092")</f>
        <v>GSM1673092</v>
      </c>
      <c r="I7936" t="s">
        <v>69</v>
      </c>
      <c r="J7936" t="s">
        <v>18</v>
      </c>
      <c r="K7936" t="s">
        <v>19</v>
      </c>
      <c r="L7936" t="s">
        <v>70</v>
      </c>
      <c r="M7936" t="s">
        <v>41</v>
      </c>
      <c r="N7936" t="s">
        <v>22</v>
      </c>
    </row>
    <row r="7937" spans="1:14">
      <c r="A7937" s="4" t="str">
        <f t="shared" si="731"/>
        <v>EXP00269</v>
      </c>
      <c r="B7937" s="3" t="s">
        <v>66</v>
      </c>
      <c r="C7937" s="4" t="str">
        <f t="shared" si="732"/>
        <v>GSE68468</v>
      </c>
      <c r="D7937" s="1" t="s">
        <v>62</v>
      </c>
      <c r="E7937" t="s">
        <v>375</v>
      </c>
      <c r="F7937" s="1">
        <v>2</v>
      </c>
      <c r="G7937" s="1" t="s">
        <v>26</v>
      </c>
      <c r="H7937" s="4" t="str">
        <f>HYPERLINK("https://www.ncbi.nlm.nih.gov/geo/query/acc.cgi?acc=GSM1673096","GSM1673096")</f>
        <v>GSM1673096</v>
      </c>
      <c r="I7937" t="s">
        <v>69</v>
      </c>
      <c r="J7937" t="s">
        <v>18</v>
      </c>
      <c r="K7937" t="s">
        <v>19</v>
      </c>
      <c r="L7937" t="s">
        <v>70</v>
      </c>
      <c r="M7937" t="s">
        <v>41</v>
      </c>
      <c r="N7937" t="s">
        <v>22</v>
      </c>
    </row>
    <row r="7938" spans="1:14">
      <c r="A7938" s="4" t="str">
        <f t="shared" si="731"/>
        <v>EXP00269</v>
      </c>
      <c r="B7938" s="3" t="s">
        <v>66</v>
      </c>
      <c r="C7938" s="4" t="str">
        <f t="shared" si="732"/>
        <v>GSE68468</v>
      </c>
      <c r="D7938" s="1" t="s">
        <v>62</v>
      </c>
      <c r="E7938" t="s">
        <v>375</v>
      </c>
      <c r="F7938" s="1">
        <v>2</v>
      </c>
      <c r="G7938" s="1" t="s">
        <v>26</v>
      </c>
      <c r="H7938" s="4" t="str">
        <f>HYPERLINK("https://www.ncbi.nlm.nih.gov/geo/query/acc.cgi?acc=GSM1673124","GSM1673124")</f>
        <v>GSM1673124</v>
      </c>
      <c r="I7938" t="s">
        <v>69</v>
      </c>
      <c r="J7938" t="s">
        <v>18</v>
      </c>
      <c r="K7938" t="s">
        <v>19</v>
      </c>
      <c r="L7938" t="s">
        <v>70</v>
      </c>
      <c r="M7938" t="s">
        <v>41</v>
      </c>
      <c r="N7938" t="s">
        <v>22</v>
      </c>
    </row>
    <row r="7939" spans="1:14">
      <c r="A7939" s="4" t="str">
        <f t="shared" si="731"/>
        <v>EXP00269</v>
      </c>
      <c r="B7939" s="3" t="s">
        <v>66</v>
      </c>
      <c r="C7939" s="4" t="str">
        <f t="shared" si="732"/>
        <v>GSE68468</v>
      </c>
      <c r="D7939" s="1" t="s">
        <v>62</v>
      </c>
      <c r="E7939" t="s">
        <v>375</v>
      </c>
      <c r="F7939" s="1">
        <v>2</v>
      </c>
      <c r="G7939" s="1" t="s">
        <v>26</v>
      </c>
      <c r="H7939" s="4" t="str">
        <f>HYPERLINK("https://www.ncbi.nlm.nih.gov/geo/query/acc.cgi?acc=GSM1673169","GSM1673169")</f>
        <v>GSM1673169</v>
      </c>
      <c r="I7939" t="s">
        <v>69</v>
      </c>
      <c r="J7939" t="s">
        <v>18</v>
      </c>
      <c r="K7939" t="s">
        <v>19</v>
      </c>
      <c r="L7939" t="s">
        <v>70</v>
      </c>
      <c r="M7939" t="s">
        <v>41</v>
      </c>
      <c r="N7939" t="s">
        <v>22</v>
      </c>
    </row>
    <row r="7940" spans="1:14">
      <c r="A7940" s="4" t="str">
        <f t="shared" si="731"/>
        <v>EXP00269</v>
      </c>
      <c r="B7940" s="3" t="s">
        <v>66</v>
      </c>
      <c r="C7940" s="4" t="str">
        <f t="shared" si="732"/>
        <v>GSE68468</v>
      </c>
      <c r="D7940" s="1" t="s">
        <v>62</v>
      </c>
      <c r="E7940" t="s">
        <v>375</v>
      </c>
      <c r="F7940" s="1">
        <v>2</v>
      </c>
      <c r="G7940" s="1" t="s">
        <v>26</v>
      </c>
      <c r="H7940" s="4" t="str">
        <f>HYPERLINK("https://www.ncbi.nlm.nih.gov/geo/query/acc.cgi?acc=GSM1673193","GSM1673193")</f>
        <v>GSM1673193</v>
      </c>
      <c r="I7940" t="s">
        <v>69</v>
      </c>
      <c r="J7940" t="s">
        <v>18</v>
      </c>
      <c r="K7940" t="s">
        <v>19</v>
      </c>
      <c r="L7940" t="s">
        <v>70</v>
      </c>
      <c r="M7940" t="s">
        <v>41</v>
      </c>
      <c r="N7940" t="s">
        <v>22</v>
      </c>
    </row>
    <row r="7941" spans="1:14">
      <c r="A7941" s="4" t="str">
        <f t="shared" si="731"/>
        <v>EXP00269</v>
      </c>
      <c r="B7941" s="3" t="s">
        <v>66</v>
      </c>
      <c r="C7941" s="4" t="str">
        <f t="shared" si="732"/>
        <v>GSE68468</v>
      </c>
      <c r="D7941" s="1" t="s">
        <v>62</v>
      </c>
      <c r="E7941" t="s">
        <v>375</v>
      </c>
      <c r="F7941" s="1">
        <v>2</v>
      </c>
      <c r="G7941" s="1" t="s">
        <v>26</v>
      </c>
      <c r="H7941" s="4" t="str">
        <f>HYPERLINK("https://www.ncbi.nlm.nih.gov/geo/query/acc.cgi?acc=GSM1673235","GSM1673235")</f>
        <v>GSM1673235</v>
      </c>
      <c r="I7941" t="s">
        <v>69</v>
      </c>
      <c r="J7941" t="s">
        <v>18</v>
      </c>
      <c r="K7941" t="s">
        <v>19</v>
      </c>
      <c r="L7941" t="s">
        <v>70</v>
      </c>
      <c r="M7941" t="s">
        <v>41</v>
      </c>
      <c r="N7941" t="s">
        <v>22</v>
      </c>
    </row>
    <row r="7942" spans="1:14">
      <c r="A7942" s="4" t="str">
        <f t="shared" si="731"/>
        <v>EXP00269</v>
      </c>
      <c r="B7942" s="3" t="s">
        <v>66</v>
      </c>
      <c r="C7942" s="4" t="str">
        <f t="shared" si="732"/>
        <v>GSE68468</v>
      </c>
      <c r="D7942" s="1" t="s">
        <v>62</v>
      </c>
      <c r="E7942" t="s">
        <v>375</v>
      </c>
      <c r="F7942" s="1">
        <v>2</v>
      </c>
      <c r="G7942" s="1" t="s">
        <v>26</v>
      </c>
      <c r="H7942" s="4" t="str">
        <f>HYPERLINK("https://www.ncbi.nlm.nih.gov/geo/query/acc.cgi?acc=GSM1673236","GSM1673236")</f>
        <v>GSM1673236</v>
      </c>
      <c r="I7942" t="s">
        <v>69</v>
      </c>
      <c r="J7942" t="s">
        <v>18</v>
      </c>
      <c r="K7942" t="s">
        <v>19</v>
      </c>
      <c r="L7942" t="s">
        <v>70</v>
      </c>
      <c r="M7942" t="s">
        <v>41</v>
      </c>
      <c r="N7942" t="s">
        <v>22</v>
      </c>
    </row>
    <row r="7943" spans="1:14">
      <c r="A7943" s="4" t="str">
        <f t="shared" si="731"/>
        <v>EXP00269</v>
      </c>
      <c r="B7943" s="3" t="s">
        <v>66</v>
      </c>
      <c r="C7943" s="4" t="str">
        <f t="shared" si="732"/>
        <v>GSE68468</v>
      </c>
      <c r="D7943" s="1" t="s">
        <v>62</v>
      </c>
      <c r="E7943" t="s">
        <v>375</v>
      </c>
      <c r="F7943" s="1">
        <v>2</v>
      </c>
      <c r="G7943" s="1" t="s">
        <v>26</v>
      </c>
      <c r="H7943" s="4" t="str">
        <f>HYPERLINK("https://www.ncbi.nlm.nih.gov/geo/query/acc.cgi?acc=GSM1673246","GSM1673246")</f>
        <v>GSM1673246</v>
      </c>
      <c r="I7943" t="s">
        <v>69</v>
      </c>
      <c r="J7943" t="s">
        <v>18</v>
      </c>
      <c r="K7943" t="s">
        <v>19</v>
      </c>
      <c r="L7943" t="s">
        <v>70</v>
      </c>
      <c r="M7943" t="s">
        <v>41</v>
      </c>
      <c r="N7943" t="s">
        <v>22</v>
      </c>
    </row>
    <row r="7944" spans="1:14">
      <c r="A7944" s="4" t="str">
        <f t="shared" si="731"/>
        <v>EXP00269</v>
      </c>
      <c r="B7944" s="3" t="s">
        <v>66</v>
      </c>
      <c r="C7944" s="4" t="str">
        <f t="shared" si="732"/>
        <v>GSE68468</v>
      </c>
      <c r="D7944" s="1" t="s">
        <v>62</v>
      </c>
      <c r="E7944" t="s">
        <v>375</v>
      </c>
      <c r="F7944" s="1">
        <v>2</v>
      </c>
      <c r="G7944" s="1" t="s">
        <v>26</v>
      </c>
      <c r="H7944" s="4" t="str">
        <f>HYPERLINK("https://www.ncbi.nlm.nih.gov/geo/query/acc.cgi?acc=GSM1673267","GSM1673267")</f>
        <v>GSM1673267</v>
      </c>
      <c r="I7944" t="s">
        <v>69</v>
      </c>
      <c r="J7944" t="s">
        <v>18</v>
      </c>
      <c r="K7944" t="s">
        <v>19</v>
      </c>
      <c r="L7944" t="s">
        <v>70</v>
      </c>
      <c r="M7944" t="s">
        <v>41</v>
      </c>
      <c r="N7944" t="s">
        <v>22</v>
      </c>
    </row>
    <row r="7945" spans="1:14">
      <c r="A7945" s="4" t="str">
        <f t="shared" si="731"/>
        <v>EXP00269</v>
      </c>
      <c r="B7945" s="3" t="s">
        <v>66</v>
      </c>
      <c r="C7945" s="4" t="str">
        <f t="shared" si="732"/>
        <v>GSE68468</v>
      </c>
      <c r="D7945" s="1" t="s">
        <v>62</v>
      </c>
      <c r="E7945" t="s">
        <v>375</v>
      </c>
      <c r="F7945" s="1">
        <v>2</v>
      </c>
      <c r="G7945" s="1" t="s">
        <v>26</v>
      </c>
      <c r="H7945" s="4" t="str">
        <f>HYPERLINK("https://www.ncbi.nlm.nih.gov/geo/query/acc.cgi?acc=GSM1673268","GSM1673268")</f>
        <v>GSM1673268</v>
      </c>
      <c r="I7945" t="s">
        <v>69</v>
      </c>
      <c r="J7945" t="s">
        <v>18</v>
      </c>
      <c r="K7945" t="s">
        <v>19</v>
      </c>
      <c r="L7945" t="s">
        <v>70</v>
      </c>
      <c r="M7945" t="s">
        <v>41</v>
      </c>
      <c r="N7945" t="s">
        <v>22</v>
      </c>
    </row>
    <row r="7946" spans="1:14">
      <c r="A7946" s="4" t="str">
        <f t="shared" si="731"/>
        <v>EXP00269</v>
      </c>
      <c r="B7946" s="3" t="s">
        <v>66</v>
      </c>
      <c r="C7946" s="4" t="str">
        <f t="shared" si="732"/>
        <v>GSE68468</v>
      </c>
      <c r="D7946" s="1" t="s">
        <v>62</v>
      </c>
      <c r="E7946" t="s">
        <v>375</v>
      </c>
      <c r="F7946" s="1">
        <v>2</v>
      </c>
      <c r="G7946" s="1" t="s">
        <v>26</v>
      </c>
      <c r="H7946" s="4" t="str">
        <f>HYPERLINK("https://www.ncbi.nlm.nih.gov/geo/query/acc.cgi?acc=GSM1673306","GSM1673306")</f>
        <v>GSM1673306</v>
      </c>
      <c r="I7946" t="s">
        <v>69</v>
      </c>
      <c r="J7946" t="s">
        <v>18</v>
      </c>
      <c r="K7946" t="s">
        <v>19</v>
      </c>
      <c r="L7946" t="s">
        <v>70</v>
      </c>
      <c r="M7946" t="s">
        <v>41</v>
      </c>
      <c r="N7946" t="s">
        <v>22</v>
      </c>
    </row>
    <row r="7947" spans="1:14">
      <c r="A7947" s="4" t="str">
        <f t="shared" si="731"/>
        <v>EXP00269</v>
      </c>
      <c r="B7947" s="3" t="s">
        <v>66</v>
      </c>
      <c r="C7947" s="4" t="str">
        <f t="shared" si="732"/>
        <v>GSE68468</v>
      </c>
      <c r="D7947" s="1" t="s">
        <v>62</v>
      </c>
      <c r="E7947" t="s">
        <v>375</v>
      </c>
      <c r="F7947" s="1">
        <v>2</v>
      </c>
      <c r="G7947" s="1" t="s">
        <v>26</v>
      </c>
      <c r="H7947" s="4" t="str">
        <f>HYPERLINK("https://www.ncbi.nlm.nih.gov/geo/query/acc.cgi?acc=GSM1673310","GSM1673310")</f>
        <v>GSM1673310</v>
      </c>
      <c r="I7947" t="s">
        <v>69</v>
      </c>
      <c r="J7947" t="s">
        <v>18</v>
      </c>
      <c r="K7947" t="s">
        <v>19</v>
      </c>
      <c r="L7947" t="s">
        <v>70</v>
      </c>
      <c r="M7947" t="s">
        <v>41</v>
      </c>
      <c r="N7947" t="s">
        <v>22</v>
      </c>
    </row>
    <row r="7948" spans="1:14">
      <c r="A7948" s="4" t="str">
        <f t="shared" si="731"/>
        <v>EXP00269</v>
      </c>
      <c r="B7948" s="3" t="s">
        <v>66</v>
      </c>
      <c r="C7948" s="4" t="str">
        <f t="shared" si="732"/>
        <v>GSE68468</v>
      </c>
      <c r="D7948" s="1" t="s">
        <v>62</v>
      </c>
      <c r="E7948" t="s">
        <v>375</v>
      </c>
      <c r="F7948" s="1">
        <v>2</v>
      </c>
      <c r="G7948" s="1" t="s">
        <v>26</v>
      </c>
      <c r="H7948" s="4" t="str">
        <f>HYPERLINK("https://www.ncbi.nlm.nih.gov/geo/query/acc.cgi?acc=GSM1673320","GSM1673320")</f>
        <v>GSM1673320</v>
      </c>
      <c r="I7948" t="s">
        <v>69</v>
      </c>
      <c r="J7948" t="s">
        <v>18</v>
      </c>
      <c r="K7948" t="s">
        <v>19</v>
      </c>
      <c r="L7948" t="s">
        <v>70</v>
      </c>
      <c r="M7948" t="s">
        <v>41</v>
      </c>
      <c r="N7948" t="s">
        <v>22</v>
      </c>
    </row>
    <row r="7949" spans="1:14">
      <c r="A7949" s="4" t="str">
        <f t="shared" si="731"/>
        <v>EXP00269</v>
      </c>
      <c r="B7949" s="3" t="s">
        <v>66</v>
      </c>
      <c r="C7949" s="4" t="str">
        <f t="shared" si="732"/>
        <v>GSE68468</v>
      </c>
      <c r="D7949" s="1" t="s">
        <v>62</v>
      </c>
      <c r="E7949" t="s">
        <v>375</v>
      </c>
      <c r="F7949" s="1">
        <v>2</v>
      </c>
      <c r="G7949" s="1" t="s">
        <v>26</v>
      </c>
      <c r="H7949" s="4" t="str">
        <f>HYPERLINK("https://www.ncbi.nlm.nih.gov/geo/query/acc.cgi?acc=GSM1673334","GSM1673334")</f>
        <v>GSM1673334</v>
      </c>
      <c r="I7949" t="s">
        <v>69</v>
      </c>
      <c r="J7949" t="s">
        <v>18</v>
      </c>
      <c r="K7949" t="s">
        <v>19</v>
      </c>
      <c r="L7949" t="s">
        <v>70</v>
      </c>
      <c r="M7949" t="s">
        <v>41</v>
      </c>
      <c r="N7949" t="s">
        <v>22</v>
      </c>
    </row>
    <row r="7950" spans="1:14">
      <c r="A7950" s="4" t="str">
        <f t="shared" ref="A7950:A7981" si="733">HYPERLINK("http://hcmdb.i-sanger.com/experiment/details/experiment_id/EXP00270","EXP00270")</f>
        <v>EXP00270</v>
      </c>
      <c r="B7950" s="3" t="s">
        <v>66</v>
      </c>
      <c r="C7950" s="4" t="str">
        <f t="shared" si="732"/>
        <v>GSE68468</v>
      </c>
      <c r="D7950" s="1" t="s">
        <v>62</v>
      </c>
      <c r="E7950" t="s">
        <v>154</v>
      </c>
      <c r="F7950" s="1">
        <v>1</v>
      </c>
      <c r="G7950" s="1" t="s">
        <v>155</v>
      </c>
      <c r="H7950" s="4" t="str">
        <f>HYPERLINK("https://www.ncbi.nlm.nih.gov/geo/query/acc.cgi?acc=GSM1672975","GSM1672975")</f>
        <v>GSM1672975</v>
      </c>
      <c r="I7950" t="s">
        <v>69</v>
      </c>
      <c r="J7950" t="s">
        <v>18</v>
      </c>
      <c r="K7950" t="s">
        <v>19</v>
      </c>
      <c r="L7950" t="s">
        <v>70</v>
      </c>
      <c r="M7950" t="s">
        <v>44</v>
      </c>
      <c r="N7950" t="s">
        <v>22</v>
      </c>
    </row>
    <row r="7951" spans="1:14">
      <c r="A7951" s="4" t="str">
        <f t="shared" si="733"/>
        <v>EXP00270</v>
      </c>
      <c r="B7951" s="3" t="s">
        <v>66</v>
      </c>
      <c r="C7951" s="4" t="str">
        <f t="shared" si="732"/>
        <v>GSE68468</v>
      </c>
      <c r="D7951" s="1" t="s">
        <v>62</v>
      </c>
      <c r="E7951" t="s">
        <v>154</v>
      </c>
      <c r="F7951" s="1">
        <v>1</v>
      </c>
      <c r="G7951" s="1" t="s">
        <v>155</v>
      </c>
      <c r="H7951" s="4" t="str">
        <f>HYPERLINK("https://www.ncbi.nlm.nih.gov/geo/query/acc.cgi?acc=GSM1672980","GSM1672980")</f>
        <v>GSM1672980</v>
      </c>
      <c r="I7951" t="s">
        <v>69</v>
      </c>
      <c r="J7951" t="s">
        <v>18</v>
      </c>
      <c r="K7951" t="s">
        <v>19</v>
      </c>
      <c r="L7951" t="s">
        <v>70</v>
      </c>
      <c r="M7951" t="s">
        <v>44</v>
      </c>
      <c r="N7951" t="s">
        <v>22</v>
      </c>
    </row>
    <row r="7952" spans="1:14">
      <c r="A7952" s="4" t="str">
        <f t="shared" si="733"/>
        <v>EXP00270</v>
      </c>
      <c r="B7952" s="3" t="s">
        <v>66</v>
      </c>
      <c r="C7952" s="4" t="str">
        <f t="shared" si="732"/>
        <v>GSE68468</v>
      </c>
      <c r="D7952" s="1" t="s">
        <v>62</v>
      </c>
      <c r="E7952" t="s">
        <v>154</v>
      </c>
      <c r="F7952" s="1">
        <v>1</v>
      </c>
      <c r="G7952" s="1" t="s">
        <v>155</v>
      </c>
      <c r="H7952" s="4" t="str">
        <f>HYPERLINK("https://www.ncbi.nlm.nih.gov/geo/query/acc.cgi?acc=GSM1672982","GSM1672982")</f>
        <v>GSM1672982</v>
      </c>
      <c r="I7952" t="s">
        <v>69</v>
      </c>
      <c r="J7952" t="s">
        <v>18</v>
      </c>
      <c r="K7952" t="s">
        <v>19</v>
      </c>
      <c r="L7952" t="s">
        <v>70</v>
      </c>
      <c r="M7952" t="s">
        <v>44</v>
      </c>
      <c r="N7952" t="s">
        <v>22</v>
      </c>
    </row>
    <row r="7953" spans="1:14">
      <c r="A7953" s="4" t="str">
        <f t="shared" si="733"/>
        <v>EXP00270</v>
      </c>
      <c r="B7953" s="3" t="s">
        <v>66</v>
      </c>
      <c r="C7953" s="4" t="str">
        <f t="shared" si="732"/>
        <v>GSE68468</v>
      </c>
      <c r="D7953" s="1" t="s">
        <v>62</v>
      </c>
      <c r="E7953" t="s">
        <v>154</v>
      </c>
      <c r="F7953" s="1">
        <v>1</v>
      </c>
      <c r="G7953" s="1" t="s">
        <v>155</v>
      </c>
      <c r="H7953" s="4" t="str">
        <f>HYPERLINK("https://www.ncbi.nlm.nih.gov/geo/query/acc.cgi?acc=GSM1673005","GSM1673005")</f>
        <v>GSM1673005</v>
      </c>
      <c r="I7953" t="s">
        <v>69</v>
      </c>
      <c r="J7953" t="s">
        <v>18</v>
      </c>
      <c r="K7953" t="s">
        <v>19</v>
      </c>
      <c r="L7953" t="s">
        <v>70</v>
      </c>
      <c r="M7953" t="s">
        <v>44</v>
      </c>
      <c r="N7953" t="s">
        <v>22</v>
      </c>
    </row>
    <row r="7954" spans="1:14">
      <c r="A7954" s="4" t="str">
        <f t="shared" si="733"/>
        <v>EXP00270</v>
      </c>
      <c r="B7954" s="3" t="s">
        <v>66</v>
      </c>
      <c r="C7954" s="4" t="str">
        <f t="shared" si="732"/>
        <v>GSE68468</v>
      </c>
      <c r="D7954" s="1" t="s">
        <v>62</v>
      </c>
      <c r="E7954" t="s">
        <v>154</v>
      </c>
      <c r="F7954" s="1">
        <v>1</v>
      </c>
      <c r="G7954" s="1" t="s">
        <v>155</v>
      </c>
      <c r="H7954" s="4" t="str">
        <f>HYPERLINK("https://www.ncbi.nlm.nih.gov/geo/query/acc.cgi?acc=GSM1673019","GSM1673019")</f>
        <v>GSM1673019</v>
      </c>
      <c r="I7954" t="s">
        <v>69</v>
      </c>
      <c r="J7954" t="s">
        <v>18</v>
      </c>
      <c r="K7954" t="s">
        <v>19</v>
      </c>
      <c r="L7954" t="s">
        <v>70</v>
      </c>
      <c r="M7954" t="s">
        <v>44</v>
      </c>
      <c r="N7954" t="s">
        <v>22</v>
      </c>
    </row>
    <row r="7955" spans="1:14">
      <c r="A7955" s="4" t="str">
        <f t="shared" si="733"/>
        <v>EXP00270</v>
      </c>
      <c r="B7955" s="3" t="s">
        <v>66</v>
      </c>
      <c r="C7955" s="4" t="str">
        <f t="shared" si="732"/>
        <v>GSE68468</v>
      </c>
      <c r="D7955" s="1" t="s">
        <v>62</v>
      </c>
      <c r="E7955" t="s">
        <v>154</v>
      </c>
      <c r="F7955" s="1">
        <v>1</v>
      </c>
      <c r="G7955" s="1" t="s">
        <v>155</v>
      </c>
      <c r="H7955" s="4" t="str">
        <f>HYPERLINK("https://www.ncbi.nlm.nih.gov/geo/query/acc.cgi?acc=GSM1673020","GSM1673020")</f>
        <v>GSM1673020</v>
      </c>
      <c r="I7955" t="s">
        <v>69</v>
      </c>
      <c r="J7955" t="s">
        <v>18</v>
      </c>
      <c r="K7955" t="s">
        <v>19</v>
      </c>
      <c r="L7955" t="s">
        <v>70</v>
      </c>
      <c r="M7955" t="s">
        <v>44</v>
      </c>
      <c r="N7955" t="s">
        <v>22</v>
      </c>
    </row>
    <row r="7956" spans="1:14">
      <c r="A7956" s="4" t="str">
        <f t="shared" si="733"/>
        <v>EXP00270</v>
      </c>
      <c r="B7956" s="3" t="s">
        <v>66</v>
      </c>
      <c r="C7956" s="4" t="str">
        <f t="shared" si="732"/>
        <v>GSE68468</v>
      </c>
      <c r="D7956" s="1" t="s">
        <v>62</v>
      </c>
      <c r="E7956" t="s">
        <v>154</v>
      </c>
      <c r="F7956" s="1">
        <v>1</v>
      </c>
      <c r="G7956" s="1" t="s">
        <v>155</v>
      </c>
      <c r="H7956" s="4" t="str">
        <f>HYPERLINK("https://www.ncbi.nlm.nih.gov/geo/query/acc.cgi?acc=GSM1673021","GSM1673021")</f>
        <v>GSM1673021</v>
      </c>
      <c r="I7956" t="s">
        <v>69</v>
      </c>
      <c r="J7956" t="s">
        <v>18</v>
      </c>
      <c r="K7956" t="s">
        <v>19</v>
      </c>
      <c r="L7956" t="s">
        <v>70</v>
      </c>
      <c r="M7956" t="s">
        <v>44</v>
      </c>
      <c r="N7956" t="s">
        <v>22</v>
      </c>
    </row>
    <row r="7957" spans="1:14">
      <c r="A7957" s="4" t="str">
        <f t="shared" si="733"/>
        <v>EXP00270</v>
      </c>
      <c r="B7957" s="3" t="s">
        <v>66</v>
      </c>
      <c r="C7957" s="4" t="str">
        <f t="shared" si="732"/>
        <v>GSE68468</v>
      </c>
      <c r="D7957" s="1" t="s">
        <v>62</v>
      </c>
      <c r="E7957" t="s">
        <v>154</v>
      </c>
      <c r="F7957" s="1">
        <v>1</v>
      </c>
      <c r="G7957" s="1" t="s">
        <v>155</v>
      </c>
      <c r="H7957" s="4" t="str">
        <f>HYPERLINK("https://www.ncbi.nlm.nih.gov/geo/query/acc.cgi?acc=GSM1673022","GSM1673022")</f>
        <v>GSM1673022</v>
      </c>
      <c r="I7957" t="s">
        <v>69</v>
      </c>
      <c r="J7957" t="s">
        <v>18</v>
      </c>
      <c r="K7957" t="s">
        <v>19</v>
      </c>
      <c r="L7957" t="s">
        <v>70</v>
      </c>
      <c r="M7957" t="s">
        <v>44</v>
      </c>
      <c r="N7957" t="s">
        <v>22</v>
      </c>
    </row>
    <row r="7958" spans="1:14">
      <c r="A7958" s="4" t="str">
        <f t="shared" si="733"/>
        <v>EXP00270</v>
      </c>
      <c r="B7958" s="3" t="s">
        <v>66</v>
      </c>
      <c r="C7958" s="4" t="str">
        <f t="shared" si="732"/>
        <v>GSE68468</v>
      </c>
      <c r="D7958" s="1" t="s">
        <v>62</v>
      </c>
      <c r="E7958" t="s">
        <v>154</v>
      </c>
      <c r="F7958" s="1">
        <v>1</v>
      </c>
      <c r="G7958" s="1" t="s">
        <v>155</v>
      </c>
      <c r="H7958" s="4" t="str">
        <f>HYPERLINK("https://www.ncbi.nlm.nih.gov/geo/query/acc.cgi?acc=GSM1673043","GSM1673043")</f>
        <v>GSM1673043</v>
      </c>
      <c r="I7958" t="s">
        <v>69</v>
      </c>
      <c r="J7958" t="s">
        <v>18</v>
      </c>
      <c r="K7958" t="s">
        <v>19</v>
      </c>
      <c r="L7958" t="s">
        <v>70</v>
      </c>
      <c r="M7958" t="s">
        <v>44</v>
      </c>
      <c r="N7958" t="s">
        <v>22</v>
      </c>
    </row>
    <row r="7959" spans="1:14">
      <c r="A7959" s="4" t="str">
        <f t="shared" si="733"/>
        <v>EXP00270</v>
      </c>
      <c r="B7959" s="3" t="s">
        <v>66</v>
      </c>
      <c r="C7959" s="4" t="str">
        <f t="shared" si="732"/>
        <v>GSE68468</v>
      </c>
      <c r="D7959" s="1" t="s">
        <v>62</v>
      </c>
      <c r="E7959" t="s">
        <v>154</v>
      </c>
      <c r="F7959" s="1">
        <v>1</v>
      </c>
      <c r="G7959" s="1" t="s">
        <v>155</v>
      </c>
      <c r="H7959" s="4" t="str">
        <f>HYPERLINK("https://www.ncbi.nlm.nih.gov/geo/query/acc.cgi?acc=GSM1673051","GSM1673051")</f>
        <v>GSM1673051</v>
      </c>
      <c r="I7959" t="s">
        <v>69</v>
      </c>
      <c r="J7959" t="s">
        <v>18</v>
      </c>
      <c r="K7959" t="s">
        <v>19</v>
      </c>
      <c r="L7959" t="s">
        <v>70</v>
      </c>
      <c r="M7959" t="s">
        <v>44</v>
      </c>
      <c r="N7959" t="s">
        <v>22</v>
      </c>
    </row>
    <row r="7960" spans="1:14">
      <c r="A7960" s="4" t="str">
        <f t="shared" si="733"/>
        <v>EXP00270</v>
      </c>
      <c r="B7960" s="3" t="s">
        <v>66</v>
      </c>
      <c r="C7960" s="4" t="str">
        <f t="shared" si="732"/>
        <v>GSE68468</v>
      </c>
      <c r="D7960" s="1" t="s">
        <v>62</v>
      </c>
      <c r="E7960" t="s">
        <v>154</v>
      </c>
      <c r="F7960" s="1">
        <v>1</v>
      </c>
      <c r="G7960" s="1" t="s">
        <v>155</v>
      </c>
      <c r="H7960" s="4" t="str">
        <f>HYPERLINK("https://www.ncbi.nlm.nih.gov/geo/query/acc.cgi?acc=GSM1673061","GSM1673061")</f>
        <v>GSM1673061</v>
      </c>
      <c r="I7960" t="s">
        <v>69</v>
      </c>
      <c r="J7960" t="s">
        <v>18</v>
      </c>
      <c r="K7960" t="s">
        <v>19</v>
      </c>
      <c r="L7960" t="s">
        <v>70</v>
      </c>
      <c r="M7960" t="s">
        <v>44</v>
      </c>
      <c r="N7960" t="s">
        <v>22</v>
      </c>
    </row>
    <row r="7961" spans="1:14">
      <c r="A7961" s="4" t="str">
        <f t="shared" si="733"/>
        <v>EXP00270</v>
      </c>
      <c r="B7961" s="3" t="s">
        <v>66</v>
      </c>
      <c r="C7961" s="4" t="str">
        <f t="shared" si="732"/>
        <v>GSE68468</v>
      </c>
      <c r="D7961" s="1" t="s">
        <v>62</v>
      </c>
      <c r="E7961" t="s">
        <v>154</v>
      </c>
      <c r="F7961" s="1">
        <v>1</v>
      </c>
      <c r="G7961" s="1" t="s">
        <v>155</v>
      </c>
      <c r="H7961" s="4" t="str">
        <f>HYPERLINK("https://www.ncbi.nlm.nih.gov/geo/query/acc.cgi?acc=GSM1673075","GSM1673075")</f>
        <v>GSM1673075</v>
      </c>
      <c r="I7961" t="s">
        <v>69</v>
      </c>
      <c r="J7961" t="s">
        <v>18</v>
      </c>
      <c r="K7961" t="s">
        <v>19</v>
      </c>
      <c r="L7961" t="s">
        <v>70</v>
      </c>
      <c r="M7961" t="s">
        <v>44</v>
      </c>
      <c r="N7961" t="s">
        <v>22</v>
      </c>
    </row>
    <row r="7962" spans="1:14">
      <c r="A7962" s="4" t="str">
        <f t="shared" si="733"/>
        <v>EXP00270</v>
      </c>
      <c r="B7962" s="3" t="s">
        <v>66</v>
      </c>
      <c r="C7962" s="4" t="str">
        <f t="shared" si="732"/>
        <v>GSE68468</v>
      </c>
      <c r="D7962" s="1" t="s">
        <v>62</v>
      </c>
      <c r="E7962" t="s">
        <v>154</v>
      </c>
      <c r="F7962" s="1">
        <v>1</v>
      </c>
      <c r="G7962" s="1" t="s">
        <v>155</v>
      </c>
      <c r="H7962" s="4" t="str">
        <f>HYPERLINK("https://www.ncbi.nlm.nih.gov/geo/query/acc.cgi?acc=GSM1673083","GSM1673083")</f>
        <v>GSM1673083</v>
      </c>
      <c r="I7962" t="s">
        <v>69</v>
      </c>
      <c r="J7962" t="s">
        <v>18</v>
      </c>
      <c r="K7962" t="s">
        <v>19</v>
      </c>
      <c r="L7962" t="s">
        <v>70</v>
      </c>
      <c r="M7962" t="s">
        <v>44</v>
      </c>
      <c r="N7962" t="s">
        <v>22</v>
      </c>
    </row>
    <row r="7963" spans="1:14">
      <c r="A7963" s="4" t="str">
        <f t="shared" si="733"/>
        <v>EXP00270</v>
      </c>
      <c r="B7963" s="3" t="s">
        <v>66</v>
      </c>
      <c r="C7963" s="4" t="str">
        <f t="shared" si="732"/>
        <v>GSE68468</v>
      </c>
      <c r="D7963" s="1" t="s">
        <v>62</v>
      </c>
      <c r="E7963" t="s">
        <v>154</v>
      </c>
      <c r="F7963" s="1">
        <v>1</v>
      </c>
      <c r="G7963" s="1" t="s">
        <v>155</v>
      </c>
      <c r="H7963" s="4" t="str">
        <f>HYPERLINK("https://www.ncbi.nlm.nih.gov/geo/query/acc.cgi?acc=GSM1673085","GSM1673085")</f>
        <v>GSM1673085</v>
      </c>
      <c r="I7963" t="s">
        <v>69</v>
      </c>
      <c r="J7963" t="s">
        <v>18</v>
      </c>
      <c r="K7963" t="s">
        <v>19</v>
      </c>
      <c r="L7963" t="s">
        <v>70</v>
      </c>
      <c r="M7963" t="s">
        <v>44</v>
      </c>
      <c r="N7963" t="s">
        <v>22</v>
      </c>
    </row>
    <row r="7964" spans="1:14">
      <c r="A7964" s="4" t="str">
        <f t="shared" si="733"/>
        <v>EXP00270</v>
      </c>
      <c r="B7964" s="3" t="s">
        <v>66</v>
      </c>
      <c r="C7964" s="4" t="str">
        <f t="shared" si="732"/>
        <v>GSE68468</v>
      </c>
      <c r="D7964" s="1" t="s">
        <v>62</v>
      </c>
      <c r="E7964" t="s">
        <v>154</v>
      </c>
      <c r="F7964" s="1">
        <v>1</v>
      </c>
      <c r="G7964" s="1" t="s">
        <v>155</v>
      </c>
      <c r="H7964" s="4" t="str">
        <f>HYPERLINK("https://www.ncbi.nlm.nih.gov/geo/query/acc.cgi?acc=GSM1673088","GSM1673088")</f>
        <v>GSM1673088</v>
      </c>
      <c r="I7964" t="s">
        <v>69</v>
      </c>
      <c r="J7964" t="s">
        <v>18</v>
      </c>
      <c r="K7964" t="s">
        <v>19</v>
      </c>
      <c r="L7964" t="s">
        <v>70</v>
      </c>
      <c r="M7964" t="s">
        <v>44</v>
      </c>
      <c r="N7964" t="s">
        <v>22</v>
      </c>
    </row>
    <row r="7965" spans="1:14">
      <c r="A7965" s="4" t="str">
        <f t="shared" si="733"/>
        <v>EXP00270</v>
      </c>
      <c r="B7965" s="3" t="s">
        <v>66</v>
      </c>
      <c r="C7965" s="4" t="str">
        <f t="shared" si="732"/>
        <v>GSE68468</v>
      </c>
      <c r="D7965" s="1" t="s">
        <v>62</v>
      </c>
      <c r="E7965" t="s">
        <v>154</v>
      </c>
      <c r="F7965" s="1">
        <v>1</v>
      </c>
      <c r="G7965" s="1" t="s">
        <v>155</v>
      </c>
      <c r="H7965" s="4" t="str">
        <f>HYPERLINK("https://www.ncbi.nlm.nih.gov/geo/query/acc.cgi?acc=GSM1673091","GSM1673091")</f>
        <v>GSM1673091</v>
      </c>
      <c r="I7965" t="s">
        <v>69</v>
      </c>
      <c r="J7965" t="s">
        <v>18</v>
      </c>
      <c r="K7965" t="s">
        <v>19</v>
      </c>
      <c r="L7965" t="s">
        <v>70</v>
      </c>
      <c r="M7965" t="s">
        <v>44</v>
      </c>
      <c r="N7965" t="s">
        <v>22</v>
      </c>
    </row>
    <row r="7966" spans="1:14">
      <c r="A7966" s="4" t="str">
        <f t="shared" si="733"/>
        <v>EXP00270</v>
      </c>
      <c r="B7966" s="3" t="s">
        <v>66</v>
      </c>
      <c r="C7966" s="4" t="str">
        <f t="shared" si="732"/>
        <v>GSE68468</v>
      </c>
      <c r="D7966" s="1" t="s">
        <v>62</v>
      </c>
      <c r="E7966" t="s">
        <v>154</v>
      </c>
      <c r="F7966" s="1">
        <v>1</v>
      </c>
      <c r="G7966" s="1" t="s">
        <v>155</v>
      </c>
      <c r="H7966" s="4" t="str">
        <f>HYPERLINK("https://www.ncbi.nlm.nih.gov/geo/query/acc.cgi?acc=GSM1673095","GSM1673095")</f>
        <v>GSM1673095</v>
      </c>
      <c r="I7966" t="s">
        <v>69</v>
      </c>
      <c r="J7966" t="s">
        <v>18</v>
      </c>
      <c r="K7966" t="s">
        <v>19</v>
      </c>
      <c r="L7966" t="s">
        <v>70</v>
      </c>
      <c r="M7966" t="s">
        <v>44</v>
      </c>
      <c r="N7966" t="s">
        <v>22</v>
      </c>
    </row>
    <row r="7967" spans="1:14">
      <c r="A7967" s="4" t="str">
        <f t="shared" si="733"/>
        <v>EXP00270</v>
      </c>
      <c r="B7967" s="3" t="s">
        <v>66</v>
      </c>
      <c r="C7967" s="4" t="str">
        <f t="shared" si="732"/>
        <v>GSE68468</v>
      </c>
      <c r="D7967" s="1" t="s">
        <v>62</v>
      </c>
      <c r="E7967" t="s">
        <v>154</v>
      </c>
      <c r="F7967" s="1">
        <v>1</v>
      </c>
      <c r="G7967" s="1" t="s">
        <v>155</v>
      </c>
      <c r="H7967" s="4" t="str">
        <f>HYPERLINK("https://www.ncbi.nlm.nih.gov/geo/query/acc.cgi?acc=GSM1673102","GSM1673102")</f>
        <v>GSM1673102</v>
      </c>
      <c r="I7967" t="s">
        <v>69</v>
      </c>
      <c r="J7967" t="s">
        <v>18</v>
      </c>
      <c r="K7967" t="s">
        <v>19</v>
      </c>
      <c r="L7967" t="s">
        <v>70</v>
      </c>
      <c r="M7967" t="s">
        <v>44</v>
      </c>
      <c r="N7967" t="s">
        <v>22</v>
      </c>
    </row>
    <row r="7968" spans="1:14">
      <c r="A7968" s="4" t="str">
        <f t="shared" si="733"/>
        <v>EXP00270</v>
      </c>
      <c r="B7968" s="3" t="s">
        <v>66</v>
      </c>
      <c r="C7968" s="4" t="str">
        <f t="shared" si="732"/>
        <v>GSE68468</v>
      </c>
      <c r="D7968" s="1" t="s">
        <v>62</v>
      </c>
      <c r="E7968" t="s">
        <v>154</v>
      </c>
      <c r="F7968" s="1">
        <v>1</v>
      </c>
      <c r="G7968" s="1" t="s">
        <v>155</v>
      </c>
      <c r="H7968" s="4" t="str">
        <f>HYPERLINK("https://www.ncbi.nlm.nih.gov/geo/query/acc.cgi?acc=GSM1673112","GSM1673112")</f>
        <v>GSM1673112</v>
      </c>
      <c r="I7968" t="s">
        <v>69</v>
      </c>
      <c r="J7968" t="s">
        <v>18</v>
      </c>
      <c r="K7968" t="s">
        <v>19</v>
      </c>
      <c r="L7968" t="s">
        <v>70</v>
      </c>
      <c r="M7968" t="s">
        <v>44</v>
      </c>
      <c r="N7968" t="s">
        <v>22</v>
      </c>
    </row>
    <row r="7969" spans="1:14">
      <c r="A7969" s="4" t="str">
        <f t="shared" si="733"/>
        <v>EXP00270</v>
      </c>
      <c r="B7969" s="3" t="s">
        <v>66</v>
      </c>
      <c r="C7969" s="4" t="str">
        <f t="shared" si="732"/>
        <v>GSE68468</v>
      </c>
      <c r="D7969" s="1" t="s">
        <v>62</v>
      </c>
      <c r="E7969" t="s">
        <v>154</v>
      </c>
      <c r="F7969" s="1">
        <v>1</v>
      </c>
      <c r="G7969" s="1" t="s">
        <v>155</v>
      </c>
      <c r="H7969" s="4" t="str">
        <f>HYPERLINK("https://www.ncbi.nlm.nih.gov/geo/query/acc.cgi?acc=GSM1673129","GSM1673129")</f>
        <v>GSM1673129</v>
      </c>
      <c r="I7969" t="s">
        <v>69</v>
      </c>
      <c r="J7969" t="s">
        <v>18</v>
      </c>
      <c r="K7969" t="s">
        <v>19</v>
      </c>
      <c r="L7969" t="s">
        <v>70</v>
      </c>
      <c r="M7969" t="s">
        <v>44</v>
      </c>
      <c r="N7969" t="s">
        <v>22</v>
      </c>
    </row>
    <row r="7970" spans="1:14">
      <c r="A7970" s="4" t="str">
        <f t="shared" si="733"/>
        <v>EXP00270</v>
      </c>
      <c r="B7970" s="3" t="s">
        <v>66</v>
      </c>
      <c r="C7970" s="4" t="str">
        <f t="shared" si="732"/>
        <v>GSE68468</v>
      </c>
      <c r="D7970" s="1" t="s">
        <v>62</v>
      </c>
      <c r="E7970" t="s">
        <v>154</v>
      </c>
      <c r="F7970" s="1">
        <v>1</v>
      </c>
      <c r="G7970" s="1" t="s">
        <v>155</v>
      </c>
      <c r="H7970" s="4" t="str">
        <f>HYPERLINK("https://www.ncbi.nlm.nih.gov/geo/query/acc.cgi?acc=GSM1673134","GSM1673134")</f>
        <v>GSM1673134</v>
      </c>
      <c r="I7970" t="s">
        <v>69</v>
      </c>
      <c r="J7970" t="s">
        <v>18</v>
      </c>
      <c r="K7970" t="s">
        <v>19</v>
      </c>
      <c r="L7970" t="s">
        <v>70</v>
      </c>
      <c r="M7970" t="s">
        <v>44</v>
      </c>
      <c r="N7970" t="s">
        <v>22</v>
      </c>
    </row>
    <row r="7971" spans="1:14">
      <c r="A7971" s="4" t="str">
        <f t="shared" si="733"/>
        <v>EXP00270</v>
      </c>
      <c r="B7971" s="3" t="s">
        <v>66</v>
      </c>
      <c r="C7971" s="4" t="str">
        <f t="shared" si="732"/>
        <v>GSE68468</v>
      </c>
      <c r="D7971" s="1" t="s">
        <v>62</v>
      </c>
      <c r="E7971" t="s">
        <v>154</v>
      </c>
      <c r="F7971" s="1">
        <v>1</v>
      </c>
      <c r="G7971" s="1" t="s">
        <v>155</v>
      </c>
      <c r="H7971" s="4" t="str">
        <f>HYPERLINK("https://www.ncbi.nlm.nih.gov/geo/query/acc.cgi?acc=GSM1673135","GSM1673135")</f>
        <v>GSM1673135</v>
      </c>
      <c r="I7971" t="s">
        <v>69</v>
      </c>
      <c r="J7971" t="s">
        <v>18</v>
      </c>
      <c r="K7971" t="s">
        <v>19</v>
      </c>
      <c r="L7971" t="s">
        <v>70</v>
      </c>
      <c r="M7971" t="s">
        <v>44</v>
      </c>
      <c r="N7971" t="s">
        <v>22</v>
      </c>
    </row>
    <row r="7972" spans="1:14">
      <c r="A7972" s="4" t="str">
        <f t="shared" si="733"/>
        <v>EXP00270</v>
      </c>
      <c r="B7972" s="3" t="s">
        <v>66</v>
      </c>
      <c r="C7972" s="4" t="str">
        <f t="shared" si="732"/>
        <v>GSE68468</v>
      </c>
      <c r="D7972" s="1" t="s">
        <v>62</v>
      </c>
      <c r="E7972" t="s">
        <v>154</v>
      </c>
      <c r="F7972" s="1">
        <v>1</v>
      </c>
      <c r="G7972" s="1" t="s">
        <v>155</v>
      </c>
      <c r="H7972" s="4" t="str">
        <f>HYPERLINK("https://www.ncbi.nlm.nih.gov/geo/query/acc.cgi?acc=GSM1673136","GSM1673136")</f>
        <v>GSM1673136</v>
      </c>
      <c r="I7972" t="s">
        <v>69</v>
      </c>
      <c r="J7972" t="s">
        <v>18</v>
      </c>
      <c r="K7972" t="s">
        <v>19</v>
      </c>
      <c r="L7972" t="s">
        <v>70</v>
      </c>
      <c r="M7972" t="s">
        <v>44</v>
      </c>
      <c r="N7972" t="s">
        <v>22</v>
      </c>
    </row>
    <row r="7973" spans="1:14">
      <c r="A7973" s="4" t="str">
        <f t="shared" si="733"/>
        <v>EXP00270</v>
      </c>
      <c r="B7973" s="3" t="s">
        <v>66</v>
      </c>
      <c r="C7973" s="4" t="str">
        <f t="shared" si="732"/>
        <v>GSE68468</v>
      </c>
      <c r="D7973" s="1" t="s">
        <v>62</v>
      </c>
      <c r="E7973" t="s">
        <v>154</v>
      </c>
      <c r="F7973" s="1">
        <v>1</v>
      </c>
      <c r="G7973" s="1" t="s">
        <v>155</v>
      </c>
      <c r="H7973" s="4" t="str">
        <f>HYPERLINK("https://www.ncbi.nlm.nih.gov/geo/query/acc.cgi?acc=GSM1673145","GSM1673145")</f>
        <v>GSM1673145</v>
      </c>
      <c r="I7973" t="s">
        <v>69</v>
      </c>
      <c r="J7973" t="s">
        <v>18</v>
      </c>
      <c r="K7973" t="s">
        <v>19</v>
      </c>
      <c r="L7973" t="s">
        <v>70</v>
      </c>
      <c r="M7973" t="s">
        <v>44</v>
      </c>
      <c r="N7973" t="s">
        <v>22</v>
      </c>
    </row>
    <row r="7974" spans="1:14">
      <c r="A7974" s="4" t="str">
        <f t="shared" si="733"/>
        <v>EXP00270</v>
      </c>
      <c r="B7974" s="3" t="s">
        <v>66</v>
      </c>
      <c r="C7974" s="4" t="str">
        <f t="shared" si="732"/>
        <v>GSE68468</v>
      </c>
      <c r="D7974" s="1" t="s">
        <v>62</v>
      </c>
      <c r="E7974" t="s">
        <v>154</v>
      </c>
      <c r="F7974" s="1">
        <v>1</v>
      </c>
      <c r="G7974" s="1" t="s">
        <v>155</v>
      </c>
      <c r="H7974" s="4" t="str">
        <f>HYPERLINK("https://www.ncbi.nlm.nih.gov/geo/query/acc.cgi?acc=GSM1673159","GSM1673159")</f>
        <v>GSM1673159</v>
      </c>
      <c r="I7974" t="s">
        <v>69</v>
      </c>
      <c r="J7974" t="s">
        <v>18</v>
      </c>
      <c r="K7974" t="s">
        <v>19</v>
      </c>
      <c r="L7974" t="s">
        <v>70</v>
      </c>
      <c r="M7974" t="s">
        <v>44</v>
      </c>
      <c r="N7974" t="s">
        <v>22</v>
      </c>
    </row>
    <row r="7975" spans="1:14">
      <c r="A7975" s="4" t="str">
        <f t="shared" si="733"/>
        <v>EXP00270</v>
      </c>
      <c r="B7975" s="3" t="s">
        <v>66</v>
      </c>
      <c r="C7975" s="4" t="str">
        <f t="shared" si="732"/>
        <v>GSE68468</v>
      </c>
      <c r="D7975" s="1" t="s">
        <v>62</v>
      </c>
      <c r="E7975" t="s">
        <v>154</v>
      </c>
      <c r="F7975" s="1">
        <v>1</v>
      </c>
      <c r="G7975" s="1" t="s">
        <v>155</v>
      </c>
      <c r="H7975" s="4" t="str">
        <f>HYPERLINK("https://www.ncbi.nlm.nih.gov/geo/query/acc.cgi?acc=GSM1673166","GSM1673166")</f>
        <v>GSM1673166</v>
      </c>
      <c r="I7975" t="s">
        <v>69</v>
      </c>
      <c r="J7975" t="s">
        <v>18</v>
      </c>
      <c r="K7975" t="s">
        <v>19</v>
      </c>
      <c r="L7975" t="s">
        <v>70</v>
      </c>
      <c r="M7975" t="s">
        <v>44</v>
      </c>
      <c r="N7975" t="s">
        <v>22</v>
      </c>
    </row>
    <row r="7976" spans="1:14">
      <c r="A7976" s="4" t="str">
        <f t="shared" si="733"/>
        <v>EXP00270</v>
      </c>
      <c r="B7976" s="3" t="s">
        <v>66</v>
      </c>
      <c r="C7976" s="4" t="str">
        <f t="shared" si="732"/>
        <v>GSE68468</v>
      </c>
      <c r="D7976" s="1" t="s">
        <v>62</v>
      </c>
      <c r="E7976" t="s">
        <v>154</v>
      </c>
      <c r="F7976" s="1">
        <v>1</v>
      </c>
      <c r="G7976" s="1" t="s">
        <v>155</v>
      </c>
      <c r="H7976" s="4" t="str">
        <f>HYPERLINK("https://www.ncbi.nlm.nih.gov/geo/query/acc.cgi?acc=GSM1673167","GSM1673167")</f>
        <v>GSM1673167</v>
      </c>
      <c r="I7976" t="s">
        <v>69</v>
      </c>
      <c r="J7976" t="s">
        <v>18</v>
      </c>
      <c r="K7976" t="s">
        <v>19</v>
      </c>
      <c r="L7976" t="s">
        <v>70</v>
      </c>
      <c r="M7976" t="s">
        <v>44</v>
      </c>
      <c r="N7976" t="s">
        <v>22</v>
      </c>
    </row>
    <row r="7977" spans="1:14">
      <c r="A7977" s="4" t="str">
        <f t="shared" si="733"/>
        <v>EXP00270</v>
      </c>
      <c r="B7977" s="3" t="s">
        <v>66</v>
      </c>
      <c r="C7977" s="4" t="str">
        <f t="shared" si="732"/>
        <v>GSE68468</v>
      </c>
      <c r="D7977" s="1" t="s">
        <v>62</v>
      </c>
      <c r="E7977" t="s">
        <v>154</v>
      </c>
      <c r="F7977" s="1">
        <v>1</v>
      </c>
      <c r="G7977" s="1" t="s">
        <v>155</v>
      </c>
      <c r="H7977" s="4" t="str">
        <f>HYPERLINK("https://www.ncbi.nlm.nih.gov/geo/query/acc.cgi?acc=GSM1673168","GSM1673168")</f>
        <v>GSM1673168</v>
      </c>
      <c r="I7977" t="s">
        <v>69</v>
      </c>
      <c r="J7977" t="s">
        <v>18</v>
      </c>
      <c r="K7977" t="s">
        <v>19</v>
      </c>
      <c r="L7977" t="s">
        <v>70</v>
      </c>
      <c r="M7977" t="s">
        <v>44</v>
      </c>
      <c r="N7977" t="s">
        <v>22</v>
      </c>
    </row>
    <row r="7978" spans="1:14">
      <c r="A7978" s="4" t="str">
        <f t="shared" si="733"/>
        <v>EXP00270</v>
      </c>
      <c r="B7978" s="3" t="s">
        <v>66</v>
      </c>
      <c r="C7978" s="4" t="str">
        <f t="shared" si="732"/>
        <v>GSE68468</v>
      </c>
      <c r="D7978" s="1" t="s">
        <v>62</v>
      </c>
      <c r="E7978" t="s">
        <v>154</v>
      </c>
      <c r="F7978" s="1">
        <v>1</v>
      </c>
      <c r="G7978" s="1" t="s">
        <v>155</v>
      </c>
      <c r="H7978" s="4" t="str">
        <f>HYPERLINK("https://www.ncbi.nlm.nih.gov/geo/query/acc.cgi?acc=GSM1673196","GSM1673196")</f>
        <v>GSM1673196</v>
      </c>
      <c r="I7978" t="s">
        <v>69</v>
      </c>
      <c r="J7978" t="s">
        <v>18</v>
      </c>
      <c r="K7978" t="s">
        <v>19</v>
      </c>
      <c r="L7978" t="s">
        <v>70</v>
      </c>
      <c r="M7978" t="s">
        <v>44</v>
      </c>
      <c r="N7978" t="s">
        <v>22</v>
      </c>
    </row>
    <row r="7979" spans="1:14">
      <c r="A7979" s="4" t="str">
        <f t="shared" si="733"/>
        <v>EXP00270</v>
      </c>
      <c r="B7979" s="3" t="s">
        <v>66</v>
      </c>
      <c r="C7979" s="4" t="str">
        <f t="shared" si="732"/>
        <v>GSE68468</v>
      </c>
      <c r="D7979" s="1" t="s">
        <v>62</v>
      </c>
      <c r="E7979" t="s">
        <v>154</v>
      </c>
      <c r="F7979" s="1">
        <v>1</v>
      </c>
      <c r="G7979" s="1" t="s">
        <v>155</v>
      </c>
      <c r="H7979" s="4" t="str">
        <f>HYPERLINK("https://www.ncbi.nlm.nih.gov/geo/query/acc.cgi?acc=GSM1673197","GSM1673197")</f>
        <v>GSM1673197</v>
      </c>
      <c r="I7979" t="s">
        <v>69</v>
      </c>
      <c r="J7979" t="s">
        <v>18</v>
      </c>
      <c r="K7979" t="s">
        <v>19</v>
      </c>
      <c r="L7979" t="s">
        <v>70</v>
      </c>
      <c r="M7979" t="s">
        <v>44</v>
      </c>
      <c r="N7979" t="s">
        <v>22</v>
      </c>
    </row>
    <row r="7980" spans="1:14">
      <c r="A7980" s="4" t="str">
        <f t="shared" si="733"/>
        <v>EXP00270</v>
      </c>
      <c r="B7980" s="3" t="s">
        <v>66</v>
      </c>
      <c r="C7980" s="4" t="str">
        <f t="shared" si="732"/>
        <v>GSE68468</v>
      </c>
      <c r="D7980" s="1" t="s">
        <v>62</v>
      </c>
      <c r="E7980" t="s">
        <v>154</v>
      </c>
      <c r="F7980" s="1">
        <v>1</v>
      </c>
      <c r="G7980" s="1" t="s">
        <v>155</v>
      </c>
      <c r="H7980" s="4" t="str">
        <f>HYPERLINK("https://www.ncbi.nlm.nih.gov/geo/query/acc.cgi?acc=GSM1673198","GSM1673198")</f>
        <v>GSM1673198</v>
      </c>
      <c r="I7980" t="s">
        <v>69</v>
      </c>
      <c r="J7980" t="s">
        <v>18</v>
      </c>
      <c r="K7980" t="s">
        <v>19</v>
      </c>
      <c r="L7980" t="s">
        <v>70</v>
      </c>
      <c r="M7980" t="s">
        <v>44</v>
      </c>
      <c r="N7980" t="s">
        <v>22</v>
      </c>
    </row>
    <row r="7981" spans="1:14">
      <c r="A7981" s="4" t="str">
        <f t="shared" si="733"/>
        <v>EXP00270</v>
      </c>
      <c r="B7981" s="3" t="s">
        <v>66</v>
      </c>
      <c r="C7981" s="4" t="str">
        <f t="shared" si="732"/>
        <v>GSE68468</v>
      </c>
      <c r="D7981" s="1" t="s">
        <v>62</v>
      </c>
      <c r="E7981" t="s">
        <v>154</v>
      </c>
      <c r="F7981" s="1">
        <v>1</v>
      </c>
      <c r="G7981" s="1" t="s">
        <v>155</v>
      </c>
      <c r="H7981" s="4" t="str">
        <f>HYPERLINK("https://www.ncbi.nlm.nih.gov/geo/query/acc.cgi?acc=GSM1673202","GSM1673202")</f>
        <v>GSM1673202</v>
      </c>
      <c r="I7981" t="s">
        <v>69</v>
      </c>
      <c r="J7981" t="s">
        <v>18</v>
      </c>
      <c r="K7981" t="s">
        <v>19</v>
      </c>
      <c r="L7981" t="s">
        <v>70</v>
      </c>
      <c r="M7981" t="s">
        <v>44</v>
      </c>
      <c r="N7981" t="s">
        <v>22</v>
      </c>
    </row>
    <row r="7982" spans="1:14">
      <c r="A7982" s="4" t="str">
        <f t="shared" ref="A7982:A8016" si="734">HYPERLINK("http://hcmdb.i-sanger.com/experiment/details/experiment_id/EXP00270","EXP00270")</f>
        <v>EXP00270</v>
      </c>
      <c r="B7982" s="3" t="s">
        <v>66</v>
      </c>
      <c r="C7982" s="4" t="str">
        <f t="shared" si="732"/>
        <v>GSE68468</v>
      </c>
      <c r="D7982" s="1" t="s">
        <v>62</v>
      </c>
      <c r="E7982" t="s">
        <v>154</v>
      </c>
      <c r="F7982" s="1">
        <v>1</v>
      </c>
      <c r="G7982" s="1" t="s">
        <v>155</v>
      </c>
      <c r="H7982" s="4" t="str">
        <f>HYPERLINK("https://www.ncbi.nlm.nih.gov/geo/query/acc.cgi?acc=GSM1673217","GSM1673217")</f>
        <v>GSM1673217</v>
      </c>
      <c r="I7982" t="s">
        <v>69</v>
      </c>
      <c r="J7982" t="s">
        <v>18</v>
      </c>
      <c r="K7982" t="s">
        <v>19</v>
      </c>
      <c r="L7982" t="s">
        <v>70</v>
      </c>
      <c r="M7982" t="s">
        <v>44</v>
      </c>
      <c r="N7982" t="s">
        <v>22</v>
      </c>
    </row>
    <row r="7983" spans="1:14">
      <c r="A7983" s="4" t="str">
        <f t="shared" si="734"/>
        <v>EXP00270</v>
      </c>
      <c r="B7983" s="3" t="s">
        <v>66</v>
      </c>
      <c r="C7983" s="4" t="str">
        <f t="shared" si="732"/>
        <v>GSE68468</v>
      </c>
      <c r="D7983" s="1" t="s">
        <v>62</v>
      </c>
      <c r="E7983" t="s">
        <v>154</v>
      </c>
      <c r="F7983" s="1">
        <v>1</v>
      </c>
      <c r="G7983" s="1" t="s">
        <v>155</v>
      </c>
      <c r="H7983" s="4" t="str">
        <f>HYPERLINK("https://www.ncbi.nlm.nih.gov/geo/query/acc.cgi?acc=GSM1673224","GSM1673224")</f>
        <v>GSM1673224</v>
      </c>
      <c r="I7983" t="s">
        <v>69</v>
      </c>
      <c r="J7983" t="s">
        <v>18</v>
      </c>
      <c r="K7983" t="s">
        <v>19</v>
      </c>
      <c r="L7983" t="s">
        <v>70</v>
      </c>
      <c r="M7983" t="s">
        <v>44</v>
      </c>
      <c r="N7983" t="s">
        <v>22</v>
      </c>
    </row>
    <row r="7984" spans="1:14">
      <c r="A7984" s="4" t="str">
        <f t="shared" si="734"/>
        <v>EXP00270</v>
      </c>
      <c r="B7984" s="3" t="s">
        <v>66</v>
      </c>
      <c r="C7984" s="4" t="str">
        <f t="shared" si="732"/>
        <v>GSE68468</v>
      </c>
      <c r="D7984" s="1" t="s">
        <v>62</v>
      </c>
      <c r="E7984" t="s">
        <v>154</v>
      </c>
      <c r="F7984" s="1">
        <v>1</v>
      </c>
      <c r="G7984" s="1" t="s">
        <v>155</v>
      </c>
      <c r="H7984" s="4" t="str">
        <f>HYPERLINK("https://www.ncbi.nlm.nih.gov/geo/query/acc.cgi?acc=GSM1673225","GSM1673225")</f>
        <v>GSM1673225</v>
      </c>
      <c r="I7984" t="s">
        <v>69</v>
      </c>
      <c r="J7984" t="s">
        <v>18</v>
      </c>
      <c r="K7984" t="s">
        <v>19</v>
      </c>
      <c r="L7984" t="s">
        <v>70</v>
      </c>
      <c r="M7984" t="s">
        <v>44</v>
      </c>
      <c r="N7984" t="s">
        <v>22</v>
      </c>
    </row>
    <row r="7985" spans="1:14">
      <c r="A7985" s="4" t="str">
        <f t="shared" si="734"/>
        <v>EXP00270</v>
      </c>
      <c r="B7985" s="3" t="s">
        <v>66</v>
      </c>
      <c r="C7985" s="4" t="str">
        <f t="shared" si="732"/>
        <v>GSE68468</v>
      </c>
      <c r="D7985" s="1" t="s">
        <v>62</v>
      </c>
      <c r="E7985" t="s">
        <v>154</v>
      </c>
      <c r="F7985" s="1">
        <v>1</v>
      </c>
      <c r="G7985" s="1" t="s">
        <v>155</v>
      </c>
      <c r="H7985" s="4" t="str">
        <f>HYPERLINK("https://www.ncbi.nlm.nih.gov/geo/query/acc.cgi?acc=GSM1673234","GSM1673234")</f>
        <v>GSM1673234</v>
      </c>
      <c r="I7985" t="s">
        <v>69</v>
      </c>
      <c r="J7985" t="s">
        <v>18</v>
      </c>
      <c r="K7985" t="s">
        <v>19</v>
      </c>
      <c r="L7985" t="s">
        <v>70</v>
      </c>
      <c r="M7985" t="s">
        <v>44</v>
      </c>
      <c r="N7985" t="s">
        <v>22</v>
      </c>
    </row>
    <row r="7986" spans="1:14">
      <c r="A7986" s="4" t="str">
        <f t="shared" si="734"/>
        <v>EXP00270</v>
      </c>
      <c r="B7986" s="3" t="s">
        <v>66</v>
      </c>
      <c r="C7986" s="4" t="str">
        <f t="shared" si="732"/>
        <v>GSE68468</v>
      </c>
      <c r="D7986" s="1" t="s">
        <v>62</v>
      </c>
      <c r="E7986" t="s">
        <v>154</v>
      </c>
      <c r="F7986" s="1">
        <v>1</v>
      </c>
      <c r="G7986" s="1" t="s">
        <v>155</v>
      </c>
      <c r="H7986" s="4" t="str">
        <f>HYPERLINK("https://www.ncbi.nlm.nih.gov/geo/query/acc.cgi?acc=GSM1673237","GSM1673237")</f>
        <v>GSM1673237</v>
      </c>
      <c r="I7986" t="s">
        <v>69</v>
      </c>
      <c r="J7986" t="s">
        <v>18</v>
      </c>
      <c r="K7986" t="s">
        <v>19</v>
      </c>
      <c r="L7986" t="s">
        <v>70</v>
      </c>
      <c r="M7986" t="s">
        <v>44</v>
      </c>
      <c r="N7986" t="s">
        <v>22</v>
      </c>
    </row>
    <row r="7987" spans="1:14">
      <c r="A7987" s="4" t="str">
        <f t="shared" si="734"/>
        <v>EXP00270</v>
      </c>
      <c r="B7987" s="3" t="s">
        <v>66</v>
      </c>
      <c r="C7987" s="4" t="str">
        <f t="shared" si="732"/>
        <v>GSE68468</v>
      </c>
      <c r="D7987" s="1" t="s">
        <v>62</v>
      </c>
      <c r="E7987" t="s">
        <v>154</v>
      </c>
      <c r="F7987" s="1">
        <v>1</v>
      </c>
      <c r="G7987" s="1" t="s">
        <v>155</v>
      </c>
      <c r="H7987" s="4" t="str">
        <f>HYPERLINK("https://www.ncbi.nlm.nih.gov/geo/query/acc.cgi?acc=GSM1673244","GSM1673244")</f>
        <v>GSM1673244</v>
      </c>
      <c r="I7987" t="s">
        <v>69</v>
      </c>
      <c r="J7987" t="s">
        <v>18</v>
      </c>
      <c r="K7987" t="s">
        <v>19</v>
      </c>
      <c r="L7987" t="s">
        <v>70</v>
      </c>
      <c r="M7987" t="s">
        <v>44</v>
      </c>
      <c r="N7987" t="s">
        <v>22</v>
      </c>
    </row>
    <row r="7988" spans="1:14">
      <c r="A7988" s="4" t="str">
        <f t="shared" si="734"/>
        <v>EXP00270</v>
      </c>
      <c r="B7988" s="3" t="s">
        <v>66</v>
      </c>
      <c r="C7988" s="4" t="str">
        <f t="shared" si="732"/>
        <v>GSE68468</v>
      </c>
      <c r="D7988" s="1" t="s">
        <v>62</v>
      </c>
      <c r="E7988" t="s">
        <v>154</v>
      </c>
      <c r="F7988" s="1">
        <v>1</v>
      </c>
      <c r="G7988" s="1" t="s">
        <v>155</v>
      </c>
      <c r="H7988" s="4" t="str">
        <f>HYPERLINK("https://www.ncbi.nlm.nih.gov/geo/query/acc.cgi?acc=GSM1673255","GSM1673255")</f>
        <v>GSM1673255</v>
      </c>
      <c r="I7988" t="s">
        <v>69</v>
      </c>
      <c r="J7988" t="s">
        <v>18</v>
      </c>
      <c r="K7988" t="s">
        <v>19</v>
      </c>
      <c r="L7988" t="s">
        <v>70</v>
      </c>
      <c r="M7988" t="s">
        <v>44</v>
      </c>
      <c r="N7988" t="s">
        <v>22</v>
      </c>
    </row>
    <row r="7989" spans="1:14">
      <c r="A7989" s="4" t="str">
        <f t="shared" si="734"/>
        <v>EXP00270</v>
      </c>
      <c r="B7989" s="3" t="s">
        <v>66</v>
      </c>
      <c r="C7989" s="4" t="str">
        <f t="shared" ref="C7989:C8052" si="735">HYPERLINK("https://www.ncbi.nlm.nih.gov/geo/query/acc.cgi?acc=GSE68468","GSE68468")</f>
        <v>GSE68468</v>
      </c>
      <c r="D7989" s="1" t="s">
        <v>62</v>
      </c>
      <c r="E7989" t="s">
        <v>154</v>
      </c>
      <c r="F7989" s="1">
        <v>1</v>
      </c>
      <c r="G7989" s="1" t="s">
        <v>155</v>
      </c>
      <c r="H7989" s="4" t="str">
        <f>HYPERLINK("https://www.ncbi.nlm.nih.gov/geo/query/acc.cgi?acc=GSM1673266","GSM1673266")</f>
        <v>GSM1673266</v>
      </c>
      <c r="I7989" t="s">
        <v>69</v>
      </c>
      <c r="J7989" t="s">
        <v>18</v>
      </c>
      <c r="K7989" t="s">
        <v>19</v>
      </c>
      <c r="L7989" t="s">
        <v>70</v>
      </c>
      <c r="M7989" t="s">
        <v>44</v>
      </c>
      <c r="N7989" t="s">
        <v>22</v>
      </c>
    </row>
    <row r="7990" spans="1:14">
      <c r="A7990" s="4" t="str">
        <f t="shared" si="734"/>
        <v>EXP00270</v>
      </c>
      <c r="B7990" s="3" t="s">
        <v>66</v>
      </c>
      <c r="C7990" s="4" t="str">
        <f t="shared" si="735"/>
        <v>GSE68468</v>
      </c>
      <c r="D7990" s="1" t="s">
        <v>62</v>
      </c>
      <c r="E7990" t="s">
        <v>154</v>
      </c>
      <c r="F7990" s="1">
        <v>1</v>
      </c>
      <c r="G7990" s="1" t="s">
        <v>155</v>
      </c>
      <c r="H7990" s="4" t="str">
        <f>HYPERLINK("https://www.ncbi.nlm.nih.gov/geo/query/acc.cgi?acc=GSM1673272","GSM1673272")</f>
        <v>GSM1673272</v>
      </c>
      <c r="I7990" t="s">
        <v>69</v>
      </c>
      <c r="J7990" t="s">
        <v>18</v>
      </c>
      <c r="K7990" t="s">
        <v>19</v>
      </c>
      <c r="L7990" t="s">
        <v>70</v>
      </c>
      <c r="M7990" t="s">
        <v>44</v>
      </c>
      <c r="N7990" t="s">
        <v>22</v>
      </c>
    </row>
    <row r="7991" spans="1:14">
      <c r="A7991" s="4" t="str">
        <f t="shared" si="734"/>
        <v>EXP00270</v>
      </c>
      <c r="B7991" s="3" t="s">
        <v>66</v>
      </c>
      <c r="C7991" s="4" t="str">
        <f t="shared" si="735"/>
        <v>GSE68468</v>
      </c>
      <c r="D7991" s="1" t="s">
        <v>62</v>
      </c>
      <c r="E7991" t="s">
        <v>154</v>
      </c>
      <c r="F7991" s="1">
        <v>1</v>
      </c>
      <c r="G7991" s="1" t="s">
        <v>155</v>
      </c>
      <c r="H7991" s="4" t="str">
        <f>HYPERLINK("https://www.ncbi.nlm.nih.gov/geo/query/acc.cgi?acc=GSM1673273","GSM1673273")</f>
        <v>GSM1673273</v>
      </c>
      <c r="I7991" t="s">
        <v>69</v>
      </c>
      <c r="J7991" t="s">
        <v>18</v>
      </c>
      <c r="K7991" t="s">
        <v>19</v>
      </c>
      <c r="L7991" t="s">
        <v>70</v>
      </c>
      <c r="M7991" t="s">
        <v>44</v>
      </c>
      <c r="N7991" t="s">
        <v>22</v>
      </c>
    </row>
    <row r="7992" spans="1:14">
      <c r="A7992" s="4" t="str">
        <f t="shared" si="734"/>
        <v>EXP00270</v>
      </c>
      <c r="B7992" s="3" t="s">
        <v>66</v>
      </c>
      <c r="C7992" s="4" t="str">
        <f t="shared" si="735"/>
        <v>GSE68468</v>
      </c>
      <c r="D7992" s="1" t="s">
        <v>62</v>
      </c>
      <c r="E7992" t="s">
        <v>154</v>
      </c>
      <c r="F7992" s="1">
        <v>1</v>
      </c>
      <c r="G7992" s="1" t="s">
        <v>155</v>
      </c>
      <c r="H7992" s="4" t="str">
        <f>HYPERLINK("https://www.ncbi.nlm.nih.gov/geo/query/acc.cgi?acc=GSM1673282","GSM1673282")</f>
        <v>GSM1673282</v>
      </c>
      <c r="I7992" t="s">
        <v>69</v>
      </c>
      <c r="J7992" t="s">
        <v>18</v>
      </c>
      <c r="K7992" t="s">
        <v>19</v>
      </c>
      <c r="L7992" t="s">
        <v>70</v>
      </c>
      <c r="M7992" t="s">
        <v>44</v>
      </c>
      <c r="N7992" t="s">
        <v>22</v>
      </c>
    </row>
    <row r="7993" spans="1:14">
      <c r="A7993" s="4" t="str">
        <f t="shared" si="734"/>
        <v>EXP00270</v>
      </c>
      <c r="B7993" s="3" t="s">
        <v>66</v>
      </c>
      <c r="C7993" s="4" t="str">
        <f t="shared" si="735"/>
        <v>GSE68468</v>
      </c>
      <c r="D7993" s="1" t="s">
        <v>62</v>
      </c>
      <c r="E7993" t="s">
        <v>154</v>
      </c>
      <c r="F7993" s="1">
        <v>1</v>
      </c>
      <c r="G7993" s="1" t="s">
        <v>155</v>
      </c>
      <c r="H7993" s="4" t="str">
        <f>HYPERLINK("https://www.ncbi.nlm.nih.gov/geo/query/acc.cgi?acc=GSM1673292","GSM1673292")</f>
        <v>GSM1673292</v>
      </c>
      <c r="I7993" t="s">
        <v>69</v>
      </c>
      <c r="J7993" t="s">
        <v>18</v>
      </c>
      <c r="K7993" t="s">
        <v>19</v>
      </c>
      <c r="L7993" t="s">
        <v>70</v>
      </c>
      <c r="M7993" t="s">
        <v>44</v>
      </c>
      <c r="N7993" t="s">
        <v>22</v>
      </c>
    </row>
    <row r="7994" spans="1:14">
      <c r="A7994" s="4" t="str">
        <f t="shared" si="734"/>
        <v>EXP00270</v>
      </c>
      <c r="B7994" s="3" t="s">
        <v>66</v>
      </c>
      <c r="C7994" s="4" t="str">
        <f t="shared" si="735"/>
        <v>GSE68468</v>
      </c>
      <c r="D7994" s="1" t="s">
        <v>62</v>
      </c>
      <c r="E7994" t="s">
        <v>154</v>
      </c>
      <c r="F7994" s="1">
        <v>1</v>
      </c>
      <c r="G7994" s="1" t="s">
        <v>155</v>
      </c>
      <c r="H7994" s="4" t="str">
        <f>HYPERLINK("https://www.ncbi.nlm.nih.gov/geo/query/acc.cgi?acc=GSM1673326","GSM1673326")</f>
        <v>GSM1673326</v>
      </c>
      <c r="I7994" t="s">
        <v>69</v>
      </c>
      <c r="J7994" t="s">
        <v>18</v>
      </c>
      <c r="K7994" t="s">
        <v>19</v>
      </c>
      <c r="L7994" t="s">
        <v>70</v>
      </c>
      <c r="M7994" t="s">
        <v>44</v>
      </c>
      <c r="N7994" t="s">
        <v>22</v>
      </c>
    </row>
    <row r="7995" spans="1:14">
      <c r="A7995" s="4" t="str">
        <f t="shared" si="734"/>
        <v>EXP00270</v>
      </c>
      <c r="B7995" s="3" t="s">
        <v>66</v>
      </c>
      <c r="C7995" s="4" t="str">
        <f t="shared" si="735"/>
        <v>GSE68468</v>
      </c>
      <c r="D7995" s="1" t="s">
        <v>62</v>
      </c>
      <c r="E7995" t="s">
        <v>154</v>
      </c>
      <c r="F7995" s="1">
        <v>1</v>
      </c>
      <c r="G7995" s="1" t="s">
        <v>155</v>
      </c>
      <c r="H7995" s="4" t="str">
        <f>HYPERLINK("https://www.ncbi.nlm.nih.gov/geo/query/acc.cgi?acc=GSM1673344","GSM1673344")</f>
        <v>GSM1673344</v>
      </c>
      <c r="I7995" t="s">
        <v>69</v>
      </c>
      <c r="J7995" t="s">
        <v>18</v>
      </c>
      <c r="K7995" t="s">
        <v>19</v>
      </c>
      <c r="L7995" t="s">
        <v>70</v>
      </c>
      <c r="M7995" t="s">
        <v>44</v>
      </c>
      <c r="N7995" t="s">
        <v>22</v>
      </c>
    </row>
    <row r="7996" spans="1:14">
      <c r="A7996" s="4" t="str">
        <f t="shared" si="734"/>
        <v>EXP00270</v>
      </c>
      <c r="B7996" s="3" t="s">
        <v>66</v>
      </c>
      <c r="C7996" s="4" t="str">
        <f t="shared" si="735"/>
        <v>GSE68468</v>
      </c>
      <c r="D7996" s="1" t="s">
        <v>62</v>
      </c>
      <c r="E7996" t="s">
        <v>154</v>
      </c>
      <c r="F7996" s="1">
        <v>1</v>
      </c>
      <c r="G7996" s="1" t="s">
        <v>155</v>
      </c>
      <c r="H7996" s="4" t="str">
        <f>HYPERLINK("https://www.ncbi.nlm.nih.gov/geo/query/acc.cgi?acc=GSM1673347","GSM1673347")</f>
        <v>GSM1673347</v>
      </c>
      <c r="I7996" t="s">
        <v>69</v>
      </c>
      <c r="J7996" t="s">
        <v>18</v>
      </c>
      <c r="K7996" t="s">
        <v>19</v>
      </c>
      <c r="L7996" t="s">
        <v>70</v>
      </c>
      <c r="M7996" t="s">
        <v>44</v>
      </c>
      <c r="N7996" t="s">
        <v>22</v>
      </c>
    </row>
    <row r="7997" spans="1:14">
      <c r="A7997" s="4" t="str">
        <f t="shared" si="734"/>
        <v>EXP00270</v>
      </c>
      <c r="B7997" s="3" t="s">
        <v>66</v>
      </c>
      <c r="C7997" s="4" t="str">
        <f t="shared" si="735"/>
        <v>GSE68468</v>
      </c>
      <c r="D7997" s="1" t="s">
        <v>62</v>
      </c>
      <c r="E7997" t="s">
        <v>154</v>
      </c>
      <c r="F7997" s="1">
        <v>2</v>
      </c>
      <c r="G7997" s="1" t="s">
        <v>376</v>
      </c>
      <c r="H7997" s="4" t="str">
        <f>HYPERLINK("https://www.ncbi.nlm.nih.gov/geo/query/acc.cgi?acc=GSM1672988","GSM1672988")</f>
        <v>GSM1672988</v>
      </c>
      <c r="I7997" t="s">
        <v>69</v>
      </c>
      <c r="J7997" t="s">
        <v>18</v>
      </c>
      <c r="K7997" t="s">
        <v>19</v>
      </c>
      <c r="L7997" t="s">
        <v>70</v>
      </c>
      <c r="M7997" t="s">
        <v>41</v>
      </c>
      <c r="N7997" t="s">
        <v>22</v>
      </c>
    </row>
    <row r="7998" spans="1:14">
      <c r="A7998" s="4" t="str">
        <f t="shared" si="734"/>
        <v>EXP00270</v>
      </c>
      <c r="B7998" s="3" t="s">
        <v>66</v>
      </c>
      <c r="C7998" s="4" t="str">
        <f t="shared" si="735"/>
        <v>GSE68468</v>
      </c>
      <c r="D7998" s="1" t="s">
        <v>62</v>
      </c>
      <c r="E7998" t="s">
        <v>154</v>
      </c>
      <c r="F7998" s="1">
        <v>2</v>
      </c>
      <c r="G7998" s="1" t="s">
        <v>376</v>
      </c>
      <c r="H7998" s="4" t="str">
        <f>HYPERLINK("https://www.ncbi.nlm.nih.gov/geo/query/acc.cgi?acc=GSM1672990","GSM1672990")</f>
        <v>GSM1672990</v>
      </c>
      <c r="I7998" t="s">
        <v>69</v>
      </c>
      <c r="J7998" t="s">
        <v>18</v>
      </c>
      <c r="K7998" t="s">
        <v>19</v>
      </c>
      <c r="L7998" t="s">
        <v>70</v>
      </c>
      <c r="M7998" t="s">
        <v>41</v>
      </c>
      <c r="N7998" t="s">
        <v>22</v>
      </c>
    </row>
    <row r="7999" spans="1:14">
      <c r="A7999" s="4" t="str">
        <f t="shared" si="734"/>
        <v>EXP00270</v>
      </c>
      <c r="B7999" s="3" t="s">
        <v>66</v>
      </c>
      <c r="C7999" s="4" t="str">
        <f t="shared" si="735"/>
        <v>GSE68468</v>
      </c>
      <c r="D7999" s="1" t="s">
        <v>62</v>
      </c>
      <c r="E7999" t="s">
        <v>154</v>
      </c>
      <c r="F7999" s="1">
        <v>2</v>
      </c>
      <c r="G7999" s="1" t="s">
        <v>376</v>
      </c>
      <c r="H7999" s="4" t="str">
        <f>HYPERLINK("https://www.ncbi.nlm.nih.gov/geo/query/acc.cgi?acc=GSM1673038","GSM1673038")</f>
        <v>GSM1673038</v>
      </c>
      <c r="I7999" t="s">
        <v>69</v>
      </c>
      <c r="J7999" t="s">
        <v>18</v>
      </c>
      <c r="K7999" t="s">
        <v>19</v>
      </c>
      <c r="L7999" t="s">
        <v>70</v>
      </c>
      <c r="M7999" t="s">
        <v>41</v>
      </c>
      <c r="N7999" t="s">
        <v>22</v>
      </c>
    </row>
    <row r="8000" spans="1:14">
      <c r="A8000" s="4" t="str">
        <f t="shared" si="734"/>
        <v>EXP00270</v>
      </c>
      <c r="B8000" s="3" t="s">
        <v>66</v>
      </c>
      <c r="C8000" s="4" t="str">
        <f t="shared" si="735"/>
        <v>GSE68468</v>
      </c>
      <c r="D8000" s="1" t="s">
        <v>62</v>
      </c>
      <c r="E8000" t="s">
        <v>154</v>
      </c>
      <c r="F8000" s="1">
        <v>2</v>
      </c>
      <c r="G8000" s="1" t="s">
        <v>376</v>
      </c>
      <c r="H8000" s="4" t="str">
        <f>HYPERLINK("https://www.ncbi.nlm.nih.gov/geo/query/acc.cgi?acc=GSM1673040","GSM1673040")</f>
        <v>GSM1673040</v>
      </c>
      <c r="I8000" t="s">
        <v>69</v>
      </c>
      <c r="J8000" t="s">
        <v>18</v>
      </c>
      <c r="K8000" t="s">
        <v>19</v>
      </c>
      <c r="L8000" t="s">
        <v>70</v>
      </c>
      <c r="M8000" t="s">
        <v>41</v>
      </c>
      <c r="N8000" t="s">
        <v>22</v>
      </c>
    </row>
    <row r="8001" spans="1:14">
      <c r="A8001" s="4" t="str">
        <f t="shared" si="734"/>
        <v>EXP00270</v>
      </c>
      <c r="B8001" s="3" t="s">
        <v>66</v>
      </c>
      <c r="C8001" s="4" t="str">
        <f t="shared" si="735"/>
        <v>GSE68468</v>
      </c>
      <c r="D8001" s="1" t="s">
        <v>62</v>
      </c>
      <c r="E8001" t="s">
        <v>154</v>
      </c>
      <c r="F8001" s="1">
        <v>2</v>
      </c>
      <c r="G8001" s="1" t="s">
        <v>376</v>
      </c>
      <c r="H8001" s="4" t="str">
        <f>HYPERLINK("https://www.ncbi.nlm.nih.gov/geo/query/acc.cgi?acc=GSM1673041","GSM1673041")</f>
        <v>GSM1673041</v>
      </c>
      <c r="I8001" t="s">
        <v>69</v>
      </c>
      <c r="J8001" t="s">
        <v>18</v>
      </c>
      <c r="K8001" t="s">
        <v>19</v>
      </c>
      <c r="L8001" t="s">
        <v>70</v>
      </c>
      <c r="M8001" t="s">
        <v>41</v>
      </c>
      <c r="N8001" t="s">
        <v>22</v>
      </c>
    </row>
    <row r="8002" spans="1:14">
      <c r="A8002" s="4" t="str">
        <f t="shared" si="734"/>
        <v>EXP00270</v>
      </c>
      <c r="B8002" s="3" t="s">
        <v>66</v>
      </c>
      <c r="C8002" s="4" t="str">
        <f t="shared" si="735"/>
        <v>GSE68468</v>
      </c>
      <c r="D8002" s="1" t="s">
        <v>62</v>
      </c>
      <c r="E8002" t="s">
        <v>154</v>
      </c>
      <c r="F8002" s="1">
        <v>2</v>
      </c>
      <c r="G8002" s="1" t="s">
        <v>376</v>
      </c>
      <c r="H8002" s="4" t="str">
        <f>HYPERLINK("https://www.ncbi.nlm.nih.gov/geo/query/acc.cgi?acc=GSM1673089","GSM1673089")</f>
        <v>GSM1673089</v>
      </c>
      <c r="I8002" t="s">
        <v>69</v>
      </c>
      <c r="J8002" t="s">
        <v>18</v>
      </c>
      <c r="K8002" t="s">
        <v>19</v>
      </c>
      <c r="L8002" t="s">
        <v>70</v>
      </c>
      <c r="M8002" t="s">
        <v>41</v>
      </c>
      <c r="N8002" t="s">
        <v>22</v>
      </c>
    </row>
    <row r="8003" spans="1:14">
      <c r="A8003" s="4" t="str">
        <f t="shared" si="734"/>
        <v>EXP00270</v>
      </c>
      <c r="B8003" s="3" t="s">
        <v>66</v>
      </c>
      <c r="C8003" s="4" t="str">
        <f t="shared" si="735"/>
        <v>GSE68468</v>
      </c>
      <c r="D8003" s="1" t="s">
        <v>62</v>
      </c>
      <c r="E8003" t="s">
        <v>154</v>
      </c>
      <c r="F8003" s="1">
        <v>2</v>
      </c>
      <c r="G8003" s="1" t="s">
        <v>376</v>
      </c>
      <c r="H8003" s="4" t="str">
        <f>HYPERLINK("https://www.ncbi.nlm.nih.gov/geo/query/acc.cgi?acc=GSM1673092","GSM1673092")</f>
        <v>GSM1673092</v>
      </c>
      <c r="I8003" t="s">
        <v>69</v>
      </c>
      <c r="J8003" t="s">
        <v>18</v>
      </c>
      <c r="K8003" t="s">
        <v>19</v>
      </c>
      <c r="L8003" t="s">
        <v>70</v>
      </c>
      <c r="M8003" t="s">
        <v>41</v>
      </c>
      <c r="N8003" t="s">
        <v>22</v>
      </c>
    </row>
    <row r="8004" spans="1:14">
      <c r="A8004" s="4" t="str">
        <f t="shared" si="734"/>
        <v>EXP00270</v>
      </c>
      <c r="B8004" s="3" t="s">
        <v>66</v>
      </c>
      <c r="C8004" s="4" t="str">
        <f t="shared" si="735"/>
        <v>GSE68468</v>
      </c>
      <c r="D8004" s="1" t="s">
        <v>62</v>
      </c>
      <c r="E8004" t="s">
        <v>154</v>
      </c>
      <c r="F8004" s="1">
        <v>2</v>
      </c>
      <c r="G8004" s="1" t="s">
        <v>376</v>
      </c>
      <c r="H8004" s="4" t="str">
        <f>HYPERLINK("https://www.ncbi.nlm.nih.gov/geo/query/acc.cgi?acc=GSM1673096","GSM1673096")</f>
        <v>GSM1673096</v>
      </c>
      <c r="I8004" t="s">
        <v>69</v>
      </c>
      <c r="J8004" t="s">
        <v>18</v>
      </c>
      <c r="K8004" t="s">
        <v>19</v>
      </c>
      <c r="L8004" t="s">
        <v>70</v>
      </c>
      <c r="M8004" t="s">
        <v>41</v>
      </c>
      <c r="N8004" t="s">
        <v>22</v>
      </c>
    </row>
    <row r="8005" spans="1:14">
      <c r="A8005" s="4" t="str">
        <f t="shared" si="734"/>
        <v>EXP00270</v>
      </c>
      <c r="B8005" s="3" t="s">
        <v>66</v>
      </c>
      <c r="C8005" s="4" t="str">
        <f t="shared" si="735"/>
        <v>GSE68468</v>
      </c>
      <c r="D8005" s="1" t="s">
        <v>62</v>
      </c>
      <c r="E8005" t="s">
        <v>154</v>
      </c>
      <c r="F8005" s="1">
        <v>2</v>
      </c>
      <c r="G8005" s="1" t="s">
        <v>376</v>
      </c>
      <c r="H8005" s="4" t="str">
        <f>HYPERLINK("https://www.ncbi.nlm.nih.gov/geo/query/acc.cgi?acc=GSM1673124","GSM1673124")</f>
        <v>GSM1673124</v>
      </c>
      <c r="I8005" t="s">
        <v>69</v>
      </c>
      <c r="J8005" t="s">
        <v>18</v>
      </c>
      <c r="K8005" t="s">
        <v>19</v>
      </c>
      <c r="L8005" t="s">
        <v>70</v>
      </c>
      <c r="M8005" t="s">
        <v>41</v>
      </c>
      <c r="N8005" t="s">
        <v>22</v>
      </c>
    </row>
    <row r="8006" spans="1:14">
      <c r="A8006" s="4" t="str">
        <f t="shared" si="734"/>
        <v>EXP00270</v>
      </c>
      <c r="B8006" s="3" t="s">
        <v>66</v>
      </c>
      <c r="C8006" s="4" t="str">
        <f t="shared" si="735"/>
        <v>GSE68468</v>
      </c>
      <c r="D8006" s="1" t="s">
        <v>62</v>
      </c>
      <c r="E8006" t="s">
        <v>154</v>
      </c>
      <c r="F8006" s="1">
        <v>2</v>
      </c>
      <c r="G8006" s="1" t="s">
        <v>376</v>
      </c>
      <c r="H8006" s="4" t="str">
        <f>HYPERLINK("https://www.ncbi.nlm.nih.gov/geo/query/acc.cgi?acc=GSM1673169","GSM1673169")</f>
        <v>GSM1673169</v>
      </c>
      <c r="I8006" t="s">
        <v>69</v>
      </c>
      <c r="J8006" t="s">
        <v>18</v>
      </c>
      <c r="K8006" t="s">
        <v>19</v>
      </c>
      <c r="L8006" t="s">
        <v>70</v>
      </c>
      <c r="M8006" t="s">
        <v>41</v>
      </c>
      <c r="N8006" t="s">
        <v>22</v>
      </c>
    </row>
    <row r="8007" spans="1:14">
      <c r="A8007" s="4" t="str">
        <f t="shared" si="734"/>
        <v>EXP00270</v>
      </c>
      <c r="B8007" s="3" t="s">
        <v>66</v>
      </c>
      <c r="C8007" s="4" t="str">
        <f t="shared" si="735"/>
        <v>GSE68468</v>
      </c>
      <c r="D8007" s="1" t="s">
        <v>62</v>
      </c>
      <c r="E8007" t="s">
        <v>154</v>
      </c>
      <c r="F8007" s="1">
        <v>2</v>
      </c>
      <c r="G8007" s="1" t="s">
        <v>376</v>
      </c>
      <c r="H8007" s="4" t="str">
        <f>HYPERLINK("https://www.ncbi.nlm.nih.gov/geo/query/acc.cgi?acc=GSM1673193","GSM1673193")</f>
        <v>GSM1673193</v>
      </c>
      <c r="I8007" t="s">
        <v>69</v>
      </c>
      <c r="J8007" t="s">
        <v>18</v>
      </c>
      <c r="K8007" t="s">
        <v>19</v>
      </c>
      <c r="L8007" t="s">
        <v>70</v>
      </c>
      <c r="M8007" t="s">
        <v>41</v>
      </c>
      <c r="N8007" t="s">
        <v>22</v>
      </c>
    </row>
    <row r="8008" spans="1:14">
      <c r="A8008" s="4" t="str">
        <f t="shared" si="734"/>
        <v>EXP00270</v>
      </c>
      <c r="B8008" s="3" t="s">
        <v>66</v>
      </c>
      <c r="C8008" s="4" t="str">
        <f t="shared" si="735"/>
        <v>GSE68468</v>
      </c>
      <c r="D8008" s="1" t="s">
        <v>62</v>
      </c>
      <c r="E8008" t="s">
        <v>154</v>
      </c>
      <c r="F8008" s="1">
        <v>2</v>
      </c>
      <c r="G8008" s="1" t="s">
        <v>376</v>
      </c>
      <c r="H8008" s="4" t="str">
        <f>HYPERLINK("https://www.ncbi.nlm.nih.gov/geo/query/acc.cgi?acc=GSM1673235","GSM1673235")</f>
        <v>GSM1673235</v>
      </c>
      <c r="I8008" t="s">
        <v>69</v>
      </c>
      <c r="J8008" t="s">
        <v>18</v>
      </c>
      <c r="K8008" t="s">
        <v>19</v>
      </c>
      <c r="L8008" t="s">
        <v>70</v>
      </c>
      <c r="M8008" t="s">
        <v>41</v>
      </c>
      <c r="N8008" t="s">
        <v>22</v>
      </c>
    </row>
    <row r="8009" spans="1:14">
      <c r="A8009" s="4" t="str">
        <f t="shared" si="734"/>
        <v>EXP00270</v>
      </c>
      <c r="B8009" s="3" t="s">
        <v>66</v>
      </c>
      <c r="C8009" s="4" t="str">
        <f t="shared" si="735"/>
        <v>GSE68468</v>
      </c>
      <c r="D8009" s="1" t="s">
        <v>62</v>
      </c>
      <c r="E8009" t="s">
        <v>154</v>
      </c>
      <c r="F8009" s="1">
        <v>2</v>
      </c>
      <c r="G8009" s="1" t="s">
        <v>376</v>
      </c>
      <c r="H8009" s="4" t="str">
        <f>HYPERLINK("https://www.ncbi.nlm.nih.gov/geo/query/acc.cgi?acc=GSM1673236","GSM1673236")</f>
        <v>GSM1673236</v>
      </c>
      <c r="I8009" t="s">
        <v>69</v>
      </c>
      <c r="J8009" t="s">
        <v>18</v>
      </c>
      <c r="K8009" t="s">
        <v>19</v>
      </c>
      <c r="L8009" t="s">
        <v>70</v>
      </c>
      <c r="M8009" t="s">
        <v>41</v>
      </c>
      <c r="N8009" t="s">
        <v>22</v>
      </c>
    </row>
    <row r="8010" spans="1:14">
      <c r="A8010" s="4" t="str">
        <f t="shared" si="734"/>
        <v>EXP00270</v>
      </c>
      <c r="B8010" s="3" t="s">
        <v>66</v>
      </c>
      <c r="C8010" s="4" t="str">
        <f t="shared" si="735"/>
        <v>GSE68468</v>
      </c>
      <c r="D8010" s="1" t="s">
        <v>62</v>
      </c>
      <c r="E8010" t="s">
        <v>154</v>
      </c>
      <c r="F8010" s="1">
        <v>2</v>
      </c>
      <c r="G8010" s="1" t="s">
        <v>376</v>
      </c>
      <c r="H8010" s="4" t="str">
        <f>HYPERLINK("https://www.ncbi.nlm.nih.gov/geo/query/acc.cgi?acc=GSM1673246","GSM1673246")</f>
        <v>GSM1673246</v>
      </c>
      <c r="I8010" t="s">
        <v>69</v>
      </c>
      <c r="J8010" t="s">
        <v>18</v>
      </c>
      <c r="K8010" t="s">
        <v>19</v>
      </c>
      <c r="L8010" t="s">
        <v>70</v>
      </c>
      <c r="M8010" t="s">
        <v>41</v>
      </c>
      <c r="N8010" t="s">
        <v>22</v>
      </c>
    </row>
    <row r="8011" spans="1:14">
      <c r="A8011" s="4" t="str">
        <f t="shared" si="734"/>
        <v>EXP00270</v>
      </c>
      <c r="B8011" s="3" t="s">
        <v>66</v>
      </c>
      <c r="C8011" s="4" t="str">
        <f t="shared" si="735"/>
        <v>GSE68468</v>
      </c>
      <c r="D8011" s="1" t="s">
        <v>62</v>
      </c>
      <c r="E8011" t="s">
        <v>154</v>
      </c>
      <c r="F8011" s="1">
        <v>2</v>
      </c>
      <c r="G8011" s="1" t="s">
        <v>376</v>
      </c>
      <c r="H8011" s="4" t="str">
        <f>HYPERLINK("https://www.ncbi.nlm.nih.gov/geo/query/acc.cgi?acc=GSM1673267","GSM1673267")</f>
        <v>GSM1673267</v>
      </c>
      <c r="I8011" t="s">
        <v>69</v>
      </c>
      <c r="J8011" t="s">
        <v>18</v>
      </c>
      <c r="K8011" t="s">
        <v>19</v>
      </c>
      <c r="L8011" t="s">
        <v>70</v>
      </c>
      <c r="M8011" t="s">
        <v>41</v>
      </c>
      <c r="N8011" t="s">
        <v>22</v>
      </c>
    </row>
    <row r="8012" spans="1:14">
      <c r="A8012" s="4" t="str">
        <f t="shared" si="734"/>
        <v>EXP00270</v>
      </c>
      <c r="B8012" s="3" t="s">
        <v>66</v>
      </c>
      <c r="C8012" s="4" t="str">
        <f t="shared" si="735"/>
        <v>GSE68468</v>
      </c>
      <c r="D8012" s="1" t="s">
        <v>62</v>
      </c>
      <c r="E8012" t="s">
        <v>154</v>
      </c>
      <c r="F8012" s="1">
        <v>2</v>
      </c>
      <c r="G8012" s="1" t="s">
        <v>376</v>
      </c>
      <c r="H8012" s="4" t="str">
        <f>HYPERLINK("https://www.ncbi.nlm.nih.gov/geo/query/acc.cgi?acc=GSM1673268","GSM1673268")</f>
        <v>GSM1673268</v>
      </c>
      <c r="I8012" t="s">
        <v>69</v>
      </c>
      <c r="J8012" t="s">
        <v>18</v>
      </c>
      <c r="K8012" t="s">
        <v>19</v>
      </c>
      <c r="L8012" t="s">
        <v>70</v>
      </c>
      <c r="M8012" t="s">
        <v>41</v>
      </c>
      <c r="N8012" t="s">
        <v>22</v>
      </c>
    </row>
    <row r="8013" spans="1:14">
      <c r="A8013" s="4" t="str">
        <f t="shared" si="734"/>
        <v>EXP00270</v>
      </c>
      <c r="B8013" s="3" t="s">
        <v>66</v>
      </c>
      <c r="C8013" s="4" t="str">
        <f t="shared" si="735"/>
        <v>GSE68468</v>
      </c>
      <c r="D8013" s="1" t="s">
        <v>62</v>
      </c>
      <c r="E8013" t="s">
        <v>154</v>
      </c>
      <c r="F8013" s="1">
        <v>2</v>
      </c>
      <c r="G8013" s="1" t="s">
        <v>376</v>
      </c>
      <c r="H8013" s="4" t="str">
        <f>HYPERLINK("https://www.ncbi.nlm.nih.gov/geo/query/acc.cgi?acc=GSM1673306","GSM1673306")</f>
        <v>GSM1673306</v>
      </c>
      <c r="I8013" t="s">
        <v>69</v>
      </c>
      <c r="J8013" t="s">
        <v>18</v>
      </c>
      <c r="K8013" t="s">
        <v>19</v>
      </c>
      <c r="L8013" t="s">
        <v>70</v>
      </c>
      <c r="M8013" t="s">
        <v>41</v>
      </c>
      <c r="N8013" t="s">
        <v>22</v>
      </c>
    </row>
    <row r="8014" spans="1:14">
      <c r="A8014" s="4" t="str">
        <f t="shared" si="734"/>
        <v>EXP00270</v>
      </c>
      <c r="B8014" s="3" t="s">
        <v>66</v>
      </c>
      <c r="C8014" s="4" t="str">
        <f t="shared" si="735"/>
        <v>GSE68468</v>
      </c>
      <c r="D8014" s="1" t="s">
        <v>62</v>
      </c>
      <c r="E8014" t="s">
        <v>154</v>
      </c>
      <c r="F8014" s="1">
        <v>2</v>
      </c>
      <c r="G8014" s="1" t="s">
        <v>376</v>
      </c>
      <c r="H8014" s="4" t="str">
        <f>HYPERLINK("https://www.ncbi.nlm.nih.gov/geo/query/acc.cgi?acc=GSM1673310","GSM1673310")</f>
        <v>GSM1673310</v>
      </c>
      <c r="I8014" t="s">
        <v>69</v>
      </c>
      <c r="J8014" t="s">
        <v>18</v>
      </c>
      <c r="K8014" t="s">
        <v>19</v>
      </c>
      <c r="L8014" t="s">
        <v>70</v>
      </c>
      <c r="M8014" t="s">
        <v>41</v>
      </c>
      <c r="N8014" t="s">
        <v>22</v>
      </c>
    </row>
    <row r="8015" spans="1:14">
      <c r="A8015" s="4" t="str">
        <f t="shared" si="734"/>
        <v>EXP00270</v>
      </c>
      <c r="B8015" s="3" t="s">
        <v>66</v>
      </c>
      <c r="C8015" s="4" t="str">
        <f t="shared" si="735"/>
        <v>GSE68468</v>
      </c>
      <c r="D8015" s="1" t="s">
        <v>62</v>
      </c>
      <c r="E8015" t="s">
        <v>154</v>
      </c>
      <c r="F8015" s="1">
        <v>2</v>
      </c>
      <c r="G8015" s="1" t="s">
        <v>376</v>
      </c>
      <c r="H8015" s="4" t="str">
        <f>HYPERLINK("https://www.ncbi.nlm.nih.gov/geo/query/acc.cgi?acc=GSM1673320","GSM1673320")</f>
        <v>GSM1673320</v>
      </c>
      <c r="I8015" t="s">
        <v>69</v>
      </c>
      <c r="J8015" t="s">
        <v>18</v>
      </c>
      <c r="K8015" t="s">
        <v>19</v>
      </c>
      <c r="L8015" t="s">
        <v>70</v>
      </c>
      <c r="M8015" t="s">
        <v>41</v>
      </c>
      <c r="N8015" t="s">
        <v>22</v>
      </c>
    </row>
    <row r="8016" spans="1:14">
      <c r="A8016" s="4" t="str">
        <f t="shared" si="734"/>
        <v>EXP00270</v>
      </c>
      <c r="B8016" s="3" t="s">
        <v>66</v>
      </c>
      <c r="C8016" s="4" t="str">
        <f t="shared" si="735"/>
        <v>GSE68468</v>
      </c>
      <c r="D8016" s="1" t="s">
        <v>62</v>
      </c>
      <c r="E8016" t="s">
        <v>154</v>
      </c>
      <c r="F8016" s="1">
        <v>2</v>
      </c>
      <c r="G8016" s="1" t="s">
        <v>376</v>
      </c>
      <c r="H8016" s="4" t="str">
        <f>HYPERLINK("https://www.ncbi.nlm.nih.gov/geo/query/acc.cgi?acc=GSM1673334","GSM1673334")</f>
        <v>GSM1673334</v>
      </c>
      <c r="I8016" t="s">
        <v>69</v>
      </c>
      <c r="J8016" t="s">
        <v>18</v>
      </c>
      <c r="K8016" t="s">
        <v>19</v>
      </c>
      <c r="L8016" t="s">
        <v>70</v>
      </c>
      <c r="M8016" t="s">
        <v>41</v>
      </c>
      <c r="N8016" t="s">
        <v>22</v>
      </c>
    </row>
    <row r="8017" spans="1:14">
      <c r="A8017" s="4" t="str">
        <f t="shared" ref="A8017:A8048" si="736">HYPERLINK("http://hcmdb.i-sanger.com/experiment/details/experiment_id/EXP00271","EXP00271")</f>
        <v>EXP00271</v>
      </c>
      <c r="B8017" s="3" t="s">
        <v>66</v>
      </c>
      <c r="C8017" s="4" t="str">
        <f t="shared" si="735"/>
        <v>GSE68468</v>
      </c>
      <c r="D8017" s="1" t="s">
        <v>62</v>
      </c>
      <c r="E8017" t="s">
        <v>157</v>
      </c>
      <c r="F8017" s="1">
        <v>1</v>
      </c>
      <c r="G8017" s="1" t="s">
        <v>26</v>
      </c>
      <c r="H8017" s="4" t="str">
        <f>HYPERLINK("https://www.ncbi.nlm.nih.gov/geo/query/acc.cgi?acc=GSM1672975","GSM1672975")</f>
        <v>GSM1672975</v>
      </c>
      <c r="I8017" t="s">
        <v>69</v>
      </c>
      <c r="J8017" t="s">
        <v>18</v>
      </c>
      <c r="K8017" t="s">
        <v>19</v>
      </c>
      <c r="L8017" t="s">
        <v>70</v>
      </c>
      <c r="M8017" t="s">
        <v>44</v>
      </c>
      <c r="N8017" t="s">
        <v>22</v>
      </c>
    </row>
    <row r="8018" spans="1:14">
      <c r="A8018" s="4" t="str">
        <f t="shared" si="736"/>
        <v>EXP00271</v>
      </c>
      <c r="B8018" s="3" t="s">
        <v>66</v>
      </c>
      <c r="C8018" s="4" t="str">
        <f t="shared" si="735"/>
        <v>GSE68468</v>
      </c>
      <c r="D8018" s="1" t="s">
        <v>62</v>
      </c>
      <c r="E8018" t="s">
        <v>157</v>
      </c>
      <c r="F8018" s="1">
        <v>1</v>
      </c>
      <c r="G8018" s="1" t="s">
        <v>26</v>
      </c>
      <c r="H8018" s="4" t="str">
        <f>HYPERLINK("https://www.ncbi.nlm.nih.gov/geo/query/acc.cgi?acc=GSM1672980","GSM1672980")</f>
        <v>GSM1672980</v>
      </c>
      <c r="I8018" t="s">
        <v>69</v>
      </c>
      <c r="J8018" t="s">
        <v>18</v>
      </c>
      <c r="K8018" t="s">
        <v>19</v>
      </c>
      <c r="L8018" t="s">
        <v>70</v>
      </c>
      <c r="M8018" t="s">
        <v>44</v>
      </c>
      <c r="N8018" t="s">
        <v>22</v>
      </c>
    </row>
    <row r="8019" spans="1:14">
      <c r="A8019" s="4" t="str">
        <f t="shared" si="736"/>
        <v>EXP00271</v>
      </c>
      <c r="B8019" s="3" t="s">
        <v>66</v>
      </c>
      <c r="C8019" s="4" t="str">
        <f t="shared" si="735"/>
        <v>GSE68468</v>
      </c>
      <c r="D8019" s="1" t="s">
        <v>62</v>
      </c>
      <c r="E8019" t="s">
        <v>157</v>
      </c>
      <c r="F8019" s="1">
        <v>1</v>
      </c>
      <c r="G8019" s="1" t="s">
        <v>26</v>
      </c>
      <c r="H8019" s="4" t="str">
        <f>HYPERLINK("https://www.ncbi.nlm.nih.gov/geo/query/acc.cgi?acc=GSM1672982","GSM1672982")</f>
        <v>GSM1672982</v>
      </c>
      <c r="I8019" t="s">
        <v>69</v>
      </c>
      <c r="J8019" t="s">
        <v>18</v>
      </c>
      <c r="K8019" t="s">
        <v>19</v>
      </c>
      <c r="L8019" t="s">
        <v>70</v>
      </c>
      <c r="M8019" t="s">
        <v>44</v>
      </c>
      <c r="N8019" t="s">
        <v>22</v>
      </c>
    </row>
    <row r="8020" spans="1:14">
      <c r="A8020" s="4" t="str">
        <f t="shared" si="736"/>
        <v>EXP00271</v>
      </c>
      <c r="B8020" s="3" t="s">
        <v>66</v>
      </c>
      <c r="C8020" s="4" t="str">
        <f t="shared" si="735"/>
        <v>GSE68468</v>
      </c>
      <c r="D8020" s="1" t="s">
        <v>62</v>
      </c>
      <c r="E8020" t="s">
        <v>157</v>
      </c>
      <c r="F8020" s="1">
        <v>1</v>
      </c>
      <c r="G8020" s="1" t="s">
        <v>26</v>
      </c>
      <c r="H8020" s="4" t="str">
        <f>HYPERLINK("https://www.ncbi.nlm.nih.gov/geo/query/acc.cgi?acc=GSM1672988","GSM1672988")</f>
        <v>GSM1672988</v>
      </c>
      <c r="I8020" t="s">
        <v>69</v>
      </c>
      <c r="J8020" t="s">
        <v>18</v>
      </c>
      <c r="K8020" t="s">
        <v>19</v>
      </c>
      <c r="L8020" t="s">
        <v>70</v>
      </c>
      <c r="M8020" t="s">
        <v>41</v>
      </c>
      <c r="N8020" t="s">
        <v>22</v>
      </c>
    </row>
    <row r="8021" spans="1:14">
      <c r="A8021" s="4" t="str">
        <f t="shared" si="736"/>
        <v>EXP00271</v>
      </c>
      <c r="B8021" s="3" t="s">
        <v>66</v>
      </c>
      <c r="C8021" s="4" t="str">
        <f t="shared" si="735"/>
        <v>GSE68468</v>
      </c>
      <c r="D8021" s="1" t="s">
        <v>62</v>
      </c>
      <c r="E8021" t="s">
        <v>157</v>
      </c>
      <c r="F8021" s="1">
        <v>1</v>
      </c>
      <c r="G8021" s="1" t="s">
        <v>26</v>
      </c>
      <c r="H8021" s="4" t="str">
        <f>HYPERLINK("https://www.ncbi.nlm.nih.gov/geo/query/acc.cgi?acc=GSM1672990","GSM1672990")</f>
        <v>GSM1672990</v>
      </c>
      <c r="I8021" t="s">
        <v>69</v>
      </c>
      <c r="J8021" t="s">
        <v>18</v>
      </c>
      <c r="K8021" t="s">
        <v>19</v>
      </c>
      <c r="L8021" t="s">
        <v>70</v>
      </c>
      <c r="M8021" t="s">
        <v>41</v>
      </c>
      <c r="N8021" t="s">
        <v>22</v>
      </c>
    </row>
    <row r="8022" spans="1:14">
      <c r="A8022" s="4" t="str">
        <f t="shared" si="736"/>
        <v>EXP00271</v>
      </c>
      <c r="B8022" s="3" t="s">
        <v>66</v>
      </c>
      <c r="C8022" s="4" t="str">
        <f t="shared" si="735"/>
        <v>GSE68468</v>
      </c>
      <c r="D8022" s="1" t="s">
        <v>62</v>
      </c>
      <c r="E8022" t="s">
        <v>157</v>
      </c>
      <c r="F8022" s="1">
        <v>1</v>
      </c>
      <c r="G8022" s="1" t="s">
        <v>26</v>
      </c>
      <c r="H8022" s="4" t="str">
        <f>HYPERLINK("https://www.ncbi.nlm.nih.gov/geo/query/acc.cgi?acc=GSM1673005","GSM1673005")</f>
        <v>GSM1673005</v>
      </c>
      <c r="I8022" t="s">
        <v>69</v>
      </c>
      <c r="J8022" t="s">
        <v>18</v>
      </c>
      <c r="K8022" t="s">
        <v>19</v>
      </c>
      <c r="L8022" t="s">
        <v>70</v>
      </c>
      <c r="M8022" t="s">
        <v>44</v>
      </c>
      <c r="N8022" t="s">
        <v>22</v>
      </c>
    </row>
    <row r="8023" spans="1:14">
      <c r="A8023" s="4" t="str">
        <f t="shared" si="736"/>
        <v>EXP00271</v>
      </c>
      <c r="B8023" s="3" t="s">
        <v>66</v>
      </c>
      <c r="C8023" s="4" t="str">
        <f t="shared" si="735"/>
        <v>GSE68468</v>
      </c>
      <c r="D8023" s="1" t="s">
        <v>62</v>
      </c>
      <c r="E8023" t="s">
        <v>157</v>
      </c>
      <c r="F8023" s="1">
        <v>1</v>
      </c>
      <c r="G8023" s="1" t="s">
        <v>26</v>
      </c>
      <c r="H8023" s="4" t="str">
        <f>HYPERLINK("https://www.ncbi.nlm.nih.gov/geo/query/acc.cgi?acc=GSM1673019","GSM1673019")</f>
        <v>GSM1673019</v>
      </c>
      <c r="I8023" t="s">
        <v>69</v>
      </c>
      <c r="J8023" t="s">
        <v>18</v>
      </c>
      <c r="K8023" t="s">
        <v>19</v>
      </c>
      <c r="L8023" t="s">
        <v>70</v>
      </c>
      <c r="M8023" t="s">
        <v>44</v>
      </c>
      <c r="N8023" t="s">
        <v>22</v>
      </c>
    </row>
    <row r="8024" spans="1:14">
      <c r="A8024" s="4" t="str">
        <f t="shared" si="736"/>
        <v>EXP00271</v>
      </c>
      <c r="B8024" s="3" t="s">
        <v>66</v>
      </c>
      <c r="C8024" s="4" t="str">
        <f t="shared" si="735"/>
        <v>GSE68468</v>
      </c>
      <c r="D8024" s="1" t="s">
        <v>62</v>
      </c>
      <c r="E8024" t="s">
        <v>157</v>
      </c>
      <c r="F8024" s="1">
        <v>1</v>
      </c>
      <c r="G8024" s="1" t="s">
        <v>26</v>
      </c>
      <c r="H8024" s="4" t="str">
        <f>HYPERLINK("https://www.ncbi.nlm.nih.gov/geo/query/acc.cgi?acc=GSM1673020","GSM1673020")</f>
        <v>GSM1673020</v>
      </c>
      <c r="I8024" t="s">
        <v>69</v>
      </c>
      <c r="J8024" t="s">
        <v>18</v>
      </c>
      <c r="K8024" t="s">
        <v>19</v>
      </c>
      <c r="L8024" t="s">
        <v>70</v>
      </c>
      <c r="M8024" t="s">
        <v>44</v>
      </c>
      <c r="N8024" t="s">
        <v>22</v>
      </c>
    </row>
    <row r="8025" spans="1:14">
      <c r="A8025" s="4" t="str">
        <f t="shared" si="736"/>
        <v>EXP00271</v>
      </c>
      <c r="B8025" s="3" t="s">
        <v>66</v>
      </c>
      <c r="C8025" s="4" t="str">
        <f t="shared" si="735"/>
        <v>GSE68468</v>
      </c>
      <c r="D8025" s="1" t="s">
        <v>62</v>
      </c>
      <c r="E8025" t="s">
        <v>157</v>
      </c>
      <c r="F8025" s="1">
        <v>1</v>
      </c>
      <c r="G8025" s="1" t="s">
        <v>26</v>
      </c>
      <c r="H8025" s="4" t="str">
        <f>HYPERLINK("https://www.ncbi.nlm.nih.gov/geo/query/acc.cgi?acc=GSM1673021","GSM1673021")</f>
        <v>GSM1673021</v>
      </c>
      <c r="I8025" t="s">
        <v>69</v>
      </c>
      <c r="J8025" t="s">
        <v>18</v>
      </c>
      <c r="K8025" t="s">
        <v>19</v>
      </c>
      <c r="L8025" t="s">
        <v>70</v>
      </c>
      <c r="M8025" t="s">
        <v>44</v>
      </c>
      <c r="N8025" t="s">
        <v>22</v>
      </c>
    </row>
    <row r="8026" spans="1:14">
      <c r="A8026" s="4" t="str">
        <f t="shared" si="736"/>
        <v>EXP00271</v>
      </c>
      <c r="B8026" s="3" t="s">
        <v>66</v>
      </c>
      <c r="C8026" s="4" t="str">
        <f t="shared" si="735"/>
        <v>GSE68468</v>
      </c>
      <c r="D8026" s="1" t="s">
        <v>62</v>
      </c>
      <c r="E8026" t="s">
        <v>157</v>
      </c>
      <c r="F8026" s="1">
        <v>1</v>
      </c>
      <c r="G8026" s="1" t="s">
        <v>26</v>
      </c>
      <c r="H8026" s="4" t="str">
        <f>HYPERLINK("https://www.ncbi.nlm.nih.gov/geo/query/acc.cgi?acc=GSM1673022","GSM1673022")</f>
        <v>GSM1673022</v>
      </c>
      <c r="I8026" t="s">
        <v>69</v>
      </c>
      <c r="J8026" t="s">
        <v>18</v>
      </c>
      <c r="K8026" t="s">
        <v>19</v>
      </c>
      <c r="L8026" t="s">
        <v>70</v>
      </c>
      <c r="M8026" t="s">
        <v>44</v>
      </c>
      <c r="N8026" t="s">
        <v>22</v>
      </c>
    </row>
    <row r="8027" spans="1:14">
      <c r="A8027" s="4" t="str">
        <f t="shared" si="736"/>
        <v>EXP00271</v>
      </c>
      <c r="B8027" s="3" t="s">
        <v>66</v>
      </c>
      <c r="C8027" s="4" t="str">
        <f t="shared" si="735"/>
        <v>GSE68468</v>
      </c>
      <c r="D8027" s="1" t="s">
        <v>62</v>
      </c>
      <c r="E8027" t="s">
        <v>157</v>
      </c>
      <c r="F8027" s="1">
        <v>1</v>
      </c>
      <c r="G8027" s="1" t="s">
        <v>26</v>
      </c>
      <c r="H8027" s="4" t="str">
        <f>HYPERLINK("https://www.ncbi.nlm.nih.gov/geo/query/acc.cgi?acc=GSM1673038","GSM1673038")</f>
        <v>GSM1673038</v>
      </c>
      <c r="I8027" t="s">
        <v>69</v>
      </c>
      <c r="J8027" t="s">
        <v>18</v>
      </c>
      <c r="K8027" t="s">
        <v>19</v>
      </c>
      <c r="L8027" t="s">
        <v>70</v>
      </c>
      <c r="M8027" t="s">
        <v>41</v>
      </c>
      <c r="N8027" t="s">
        <v>22</v>
      </c>
    </row>
    <row r="8028" spans="1:14">
      <c r="A8028" s="4" t="str">
        <f t="shared" si="736"/>
        <v>EXP00271</v>
      </c>
      <c r="B8028" s="3" t="s">
        <v>66</v>
      </c>
      <c r="C8028" s="4" t="str">
        <f t="shared" si="735"/>
        <v>GSE68468</v>
      </c>
      <c r="D8028" s="1" t="s">
        <v>62</v>
      </c>
      <c r="E8028" t="s">
        <v>157</v>
      </c>
      <c r="F8028" s="1">
        <v>1</v>
      </c>
      <c r="G8028" s="1" t="s">
        <v>26</v>
      </c>
      <c r="H8028" s="4" t="str">
        <f>HYPERLINK("https://www.ncbi.nlm.nih.gov/geo/query/acc.cgi?acc=GSM1673040","GSM1673040")</f>
        <v>GSM1673040</v>
      </c>
      <c r="I8028" t="s">
        <v>69</v>
      </c>
      <c r="J8028" t="s">
        <v>18</v>
      </c>
      <c r="K8028" t="s">
        <v>19</v>
      </c>
      <c r="L8028" t="s">
        <v>70</v>
      </c>
      <c r="M8028" t="s">
        <v>41</v>
      </c>
      <c r="N8028" t="s">
        <v>22</v>
      </c>
    </row>
    <row r="8029" spans="1:14">
      <c r="A8029" s="4" t="str">
        <f t="shared" si="736"/>
        <v>EXP00271</v>
      </c>
      <c r="B8029" s="3" t="s">
        <v>66</v>
      </c>
      <c r="C8029" s="4" t="str">
        <f t="shared" si="735"/>
        <v>GSE68468</v>
      </c>
      <c r="D8029" s="1" t="s">
        <v>62</v>
      </c>
      <c r="E8029" t="s">
        <v>157</v>
      </c>
      <c r="F8029" s="1">
        <v>1</v>
      </c>
      <c r="G8029" s="1" t="s">
        <v>26</v>
      </c>
      <c r="H8029" s="4" t="str">
        <f>HYPERLINK("https://www.ncbi.nlm.nih.gov/geo/query/acc.cgi?acc=GSM1673041","GSM1673041")</f>
        <v>GSM1673041</v>
      </c>
      <c r="I8029" t="s">
        <v>69</v>
      </c>
      <c r="J8029" t="s">
        <v>18</v>
      </c>
      <c r="K8029" t="s">
        <v>19</v>
      </c>
      <c r="L8029" t="s">
        <v>70</v>
      </c>
      <c r="M8029" t="s">
        <v>41</v>
      </c>
      <c r="N8029" t="s">
        <v>22</v>
      </c>
    </row>
    <row r="8030" spans="1:14">
      <c r="A8030" s="4" t="str">
        <f t="shared" si="736"/>
        <v>EXP00271</v>
      </c>
      <c r="B8030" s="3" t="s">
        <v>66</v>
      </c>
      <c r="C8030" s="4" t="str">
        <f t="shared" si="735"/>
        <v>GSE68468</v>
      </c>
      <c r="D8030" s="1" t="s">
        <v>62</v>
      </c>
      <c r="E8030" t="s">
        <v>157</v>
      </c>
      <c r="F8030" s="1">
        <v>1</v>
      </c>
      <c r="G8030" s="1" t="s">
        <v>26</v>
      </c>
      <c r="H8030" s="4" t="str">
        <f>HYPERLINK("https://www.ncbi.nlm.nih.gov/geo/query/acc.cgi?acc=GSM1673043","GSM1673043")</f>
        <v>GSM1673043</v>
      </c>
      <c r="I8030" t="s">
        <v>69</v>
      </c>
      <c r="J8030" t="s">
        <v>18</v>
      </c>
      <c r="K8030" t="s">
        <v>19</v>
      </c>
      <c r="L8030" t="s">
        <v>70</v>
      </c>
      <c r="M8030" t="s">
        <v>44</v>
      </c>
      <c r="N8030" t="s">
        <v>22</v>
      </c>
    </row>
    <row r="8031" spans="1:14">
      <c r="A8031" s="4" t="str">
        <f t="shared" si="736"/>
        <v>EXP00271</v>
      </c>
      <c r="B8031" s="3" t="s">
        <v>66</v>
      </c>
      <c r="C8031" s="4" t="str">
        <f t="shared" si="735"/>
        <v>GSE68468</v>
      </c>
      <c r="D8031" s="1" t="s">
        <v>62</v>
      </c>
      <c r="E8031" t="s">
        <v>157</v>
      </c>
      <c r="F8031" s="1">
        <v>1</v>
      </c>
      <c r="G8031" s="1" t="s">
        <v>26</v>
      </c>
      <c r="H8031" s="4" t="str">
        <f>HYPERLINK("https://www.ncbi.nlm.nih.gov/geo/query/acc.cgi?acc=GSM1673051","GSM1673051")</f>
        <v>GSM1673051</v>
      </c>
      <c r="I8031" t="s">
        <v>69</v>
      </c>
      <c r="J8031" t="s">
        <v>18</v>
      </c>
      <c r="K8031" t="s">
        <v>19</v>
      </c>
      <c r="L8031" t="s">
        <v>70</v>
      </c>
      <c r="M8031" t="s">
        <v>44</v>
      </c>
      <c r="N8031" t="s">
        <v>22</v>
      </c>
    </row>
    <row r="8032" spans="1:14">
      <c r="A8032" s="4" t="str">
        <f t="shared" si="736"/>
        <v>EXP00271</v>
      </c>
      <c r="B8032" s="3" t="s">
        <v>66</v>
      </c>
      <c r="C8032" s="4" t="str">
        <f t="shared" si="735"/>
        <v>GSE68468</v>
      </c>
      <c r="D8032" s="1" t="s">
        <v>62</v>
      </c>
      <c r="E8032" t="s">
        <v>157</v>
      </c>
      <c r="F8032" s="1">
        <v>1</v>
      </c>
      <c r="G8032" s="1" t="s">
        <v>26</v>
      </c>
      <c r="H8032" s="4" t="str">
        <f>HYPERLINK("https://www.ncbi.nlm.nih.gov/geo/query/acc.cgi?acc=GSM1673061","GSM1673061")</f>
        <v>GSM1673061</v>
      </c>
      <c r="I8032" t="s">
        <v>69</v>
      </c>
      <c r="J8032" t="s">
        <v>18</v>
      </c>
      <c r="K8032" t="s">
        <v>19</v>
      </c>
      <c r="L8032" t="s">
        <v>70</v>
      </c>
      <c r="M8032" t="s">
        <v>44</v>
      </c>
      <c r="N8032" t="s">
        <v>22</v>
      </c>
    </row>
    <row r="8033" spans="1:14">
      <c r="A8033" s="4" t="str">
        <f t="shared" si="736"/>
        <v>EXP00271</v>
      </c>
      <c r="B8033" s="3" t="s">
        <v>66</v>
      </c>
      <c r="C8033" s="4" t="str">
        <f t="shared" si="735"/>
        <v>GSE68468</v>
      </c>
      <c r="D8033" s="1" t="s">
        <v>62</v>
      </c>
      <c r="E8033" t="s">
        <v>157</v>
      </c>
      <c r="F8033" s="1">
        <v>1</v>
      </c>
      <c r="G8033" s="1" t="s">
        <v>26</v>
      </c>
      <c r="H8033" s="4" t="str">
        <f>HYPERLINK("https://www.ncbi.nlm.nih.gov/geo/query/acc.cgi?acc=GSM1673075","GSM1673075")</f>
        <v>GSM1673075</v>
      </c>
      <c r="I8033" t="s">
        <v>69</v>
      </c>
      <c r="J8033" t="s">
        <v>18</v>
      </c>
      <c r="K8033" t="s">
        <v>19</v>
      </c>
      <c r="L8033" t="s">
        <v>70</v>
      </c>
      <c r="M8033" t="s">
        <v>44</v>
      </c>
      <c r="N8033" t="s">
        <v>22</v>
      </c>
    </row>
    <row r="8034" spans="1:14">
      <c r="A8034" s="4" t="str">
        <f t="shared" si="736"/>
        <v>EXP00271</v>
      </c>
      <c r="B8034" s="3" t="s">
        <v>66</v>
      </c>
      <c r="C8034" s="4" t="str">
        <f t="shared" si="735"/>
        <v>GSE68468</v>
      </c>
      <c r="D8034" s="1" t="s">
        <v>62</v>
      </c>
      <c r="E8034" t="s">
        <v>157</v>
      </c>
      <c r="F8034" s="1">
        <v>1</v>
      </c>
      <c r="G8034" s="1" t="s">
        <v>26</v>
      </c>
      <c r="H8034" s="4" t="str">
        <f>HYPERLINK("https://www.ncbi.nlm.nih.gov/geo/query/acc.cgi?acc=GSM1673083","GSM1673083")</f>
        <v>GSM1673083</v>
      </c>
      <c r="I8034" t="s">
        <v>69</v>
      </c>
      <c r="J8034" t="s">
        <v>18</v>
      </c>
      <c r="K8034" t="s">
        <v>19</v>
      </c>
      <c r="L8034" t="s">
        <v>70</v>
      </c>
      <c r="M8034" t="s">
        <v>44</v>
      </c>
      <c r="N8034" t="s">
        <v>22</v>
      </c>
    </row>
    <row r="8035" spans="1:14">
      <c r="A8035" s="4" t="str">
        <f t="shared" si="736"/>
        <v>EXP00271</v>
      </c>
      <c r="B8035" s="3" t="s">
        <v>66</v>
      </c>
      <c r="C8035" s="4" t="str">
        <f t="shared" si="735"/>
        <v>GSE68468</v>
      </c>
      <c r="D8035" s="1" t="s">
        <v>62</v>
      </c>
      <c r="E8035" t="s">
        <v>157</v>
      </c>
      <c r="F8035" s="1">
        <v>1</v>
      </c>
      <c r="G8035" s="1" t="s">
        <v>26</v>
      </c>
      <c r="H8035" s="4" t="str">
        <f>HYPERLINK("https://www.ncbi.nlm.nih.gov/geo/query/acc.cgi?acc=GSM1673085","GSM1673085")</f>
        <v>GSM1673085</v>
      </c>
      <c r="I8035" t="s">
        <v>69</v>
      </c>
      <c r="J8035" t="s">
        <v>18</v>
      </c>
      <c r="K8035" t="s">
        <v>19</v>
      </c>
      <c r="L8035" t="s">
        <v>70</v>
      </c>
      <c r="M8035" t="s">
        <v>44</v>
      </c>
      <c r="N8035" t="s">
        <v>22</v>
      </c>
    </row>
    <row r="8036" spans="1:14">
      <c r="A8036" s="4" t="str">
        <f t="shared" si="736"/>
        <v>EXP00271</v>
      </c>
      <c r="B8036" s="3" t="s">
        <v>66</v>
      </c>
      <c r="C8036" s="4" t="str">
        <f t="shared" si="735"/>
        <v>GSE68468</v>
      </c>
      <c r="D8036" s="1" t="s">
        <v>62</v>
      </c>
      <c r="E8036" t="s">
        <v>157</v>
      </c>
      <c r="F8036" s="1">
        <v>1</v>
      </c>
      <c r="G8036" s="1" t="s">
        <v>26</v>
      </c>
      <c r="H8036" s="4" t="str">
        <f>HYPERLINK("https://www.ncbi.nlm.nih.gov/geo/query/acc.cgi?acc=GSM1673088","GSM1673088")</f>
        <v>GSM1673088</v>
      </c>
      <c r="I8036" t="s">
        <v>69</v>
      </c>
      <c r="J8036" t="s">
        <v>18</v>
      </c>
      <c r="K8036" t="s">
        <v>19</v>
      </c>
      <c r="L8036" t="s">
        <v>70</v>
      </c>
      <c r="M8036" t="s">
        <v>44</v>
      </c>
      <c r="N8036" t="s">
        <v>22</v>
      </c>
    </row>
    <row r="8037" spans="1:14">
      <c r="A8037" s="4" t="str">
        <f t="shared" si="736"/>
        <v>EXP00271</v>
      </c>
      <c r="B8037" s="3" t="s">
        <v>66</v>
      </c>
      <c r="C8037" s="4" t="str">
        <f t="shared" si="735"/>
        <v>GSE68468</v>
      </c>
      <c r="D8037" s="1" t="s">
        <v>62</v>
      </c>
      <c r="E8037" t="s">
        <v>157</v>
      </c>
      <c r="F8037" s="1">
        <v>1</v>
      </c>
      <c r="G8037" s="1" t="s">
        <v>26</v>
      </c>
      <c r="H8037" s="4" t="str">
        <f>HYPERLINK("https://www.ncbi.nlm.nih.gov/geo/query/acc.cgi?acc=GSM1673089","GSM1673089")</f>
        <v>GSM1673089</v>
      </c>
      <c r="I8037" t="s">
        <v>69</v>
      </c>
      <c r="J8037" t="s">
        <v>18</v>
      </c>
      <c r="K8037" t="s">
        <v>19</v>
      </c>
      <c r="L8037" t="s">
        <v>70</v>
      </c>
      <c r="M8037" t="s">
        <v>41</v>
      </c>
      <c r="N8037" t="s">
        <v>22</v>
      </c>
    </row>
    <row r="8038" spans="1:14">
      <c r="A8038" s="4" t="str">
        <f t="shared" si="736"/>
        <v>EXP00271</v>
      </c>
      <c r="B8038" s="3" t="s">
        <v>66</v>
      </c>
      <c r="C8038" s="4" t="str">
        <f t="shared" si="735"/>
        <v>GSE68468</v>
      </c>
      <c r="D8038" s="1" t="s">
        <v>62</v>
      </c>
      <c r="E8038" t="s">
        <v>157</v>
      </c>
      <c r="F8038" s="1">
        <v>1</v>
      </c>
      <c r="G8038" s="1" t="s">
        <v>26</v>
      </c>
      <c r="H8038" s="4" t="str">
        <f>HYPERLINK("https://www.ncbi.nlm.nih.gov/geo/query/acc.cgi?acc=GSM1673091","GSM1673091")</f>
        <v>GSM1673091</v>
      </c>
      <c r="I8038" t="s">
        <v>69</v>
      </c>
      <c r="J8038" t="s">
        <v>18</v>
      </c>
      <c r="K8038" t="s">
        <v>19</v>
      </c>
      <c r="L8038" t="s">
        <v>70</v>
      </c>
      <c r="M8038" t="s">
        <v>44</v>
      </c>
      <c r="N8038" t="s">
        <v>22</v>
      </c>
    </row>
    <row r="8039" spans="1:14">
      <c r="A8039" s="4" t="str">
        <f t="shared" si="736"/>
        <v>EXP00271</v>
      </c>
      <c r="B8039" s="3" t="s">
        <v>66</v>
      </c>
      <c r="C8039" s="4" t="str">
        <f t="shared" si="735"/>
        <v>GSE68468</v>
      </c>
      <c r="D8039" s="1" t="s">
        <v>62</v>
      </c>
      <c r="E8039" t="s">
        <v>157</v>
      </c>
      <c r="F8039" s="1">
        <v>1</v>
      </c>
      <c r="G8039" s="1" t="s">
        <v>26</v>
      </c>
      <c r="H8039" s="4" t="str">
        <f>HYPERLINK("https://www.ncbi.nlm.nih.gov/geo/query/acc.cgi?acc=GSM1673092","GSM1673092")</f>
        <v>GSM1673092</v>
      </c>
      <c r="I8039" t="s">
        <v>69</v>
      </c>
      <c r="J8039" t="s">
        <v>18</v>
      </c>
      <c r="K8039" t="s">
        <v>19</v>
      </c>
      <c r="L8039" t="s">
        <v>70</v>
      </c>
      <c r="M8039" t="s">
        <v>41</v>
      </c>
      <c r="N8039" t="s">
        <v>22</v>
      </c>
    </row>
    <row r="8040" spans="1:14">
      <c r="A8040" s="4" t="str">
        <f t="shared" si="736"/>
        <v>EXP00271</v>
      </c>
      <c r="B8040" s="3" t="s">
        <v>66</v>
      </c>
      <c r="C8040" s="4" t="str">
        <f t="shared" si="735"/>
        <v>GSE68468</v>
      </c>
      <c r="D8040" s="1" t="s">
        <v>62</v>
      </c>
      <c r="E8040" t="s">
        <v>157</v>
      </c>
      <c r="F8040" s="1">
        <v>1</v>
      </c>
      <c r="G8040" s="1" t="s">
        <v>26</v>
      </c>
      <c r="H8040" s="4" t="str">
        <f>HYPERLINK("https://www.ncbi.nlm.nih.gov/geo/query/acc.cgi?acc=GSM1673095","GSM1673095")</f>
        <v>GSM1673095</v>
      </c>
      <c r="I8040" t="s">
        <v>69</v>
      </c>
      <c r="J8040" t="s">
        <v>18</v>
      </c>
      <c r="K8040" t="s">
        <v>19</v>
      </c>
      <c r="L8040" t="s">
        <v>70</v>
      </c>
      <c r="M8040" t="s">
        <v>44</v>
      </c>
      <c r="N8040" t="s">
        <v>22</v>
      </c>
    </row>
    <row r="8041" spans="1:14">
      <c r="A8041" s="4" t="str">
        <f t="shared" si="736"/>
        <v>EXP00271</v>
      </c>
      <c r="B8041" s="3" t="s">
        <v>66</v>
      </c>
      <c r="C8041" s="4" t="str">
        <f t="shared" si="735"/>
        <v>GSE68468</v>
      </c>
      <c r="D8041" s="1" t="s">
        <v>62</v>
      </c>
      <c r="E8041" t="s">
        <v>157</v>
      </c>
      <c r="F8041" s="1">
        <v>1</v>
      </c>
      <c r="G8041" s="1" t="s">
        <v>26</v>
      </c>
      <c r="H8041" s="4" t="str">
        <f>HYPERLINK("https://www.ncbi.nlm.nih.gov/geo/query/acc.cgi?acc=GSM1673096","GSM1673096")</f>
        <v>GSM1673096</v>
      </c>
      <c r="I8041" t="s">
        <v>69</v>
      </c>
      <c r="J8041" t="s">
        <v>18</v>
      </c>
      <c r="K8041" t="s">
        <v>19</v>
      </c>
      <c r="L8041" t="s">
        <v>70</v>
      </c>
      <c r="M8041" t="s">
        <v>41</v>
      </c>
      <c r="N8041" t="s">
        <v>22</v>
      </c>
    </row>
    <row r="8042" spans="1:14">
      <c r="A8042" s="4" t="str">
        <f t="shared" si="736"/>
        <v>EXP00271</v>
      </c>
      <c r="B8042" s="3" t="s">
        <v>66</v>
      </c>
      <c r="C8042" s="4" t="str">
        <f t="shared" si="735"/>
        <v>GSE68468</v>
      </c>
      <c r="D8042" s="1" t="s">
        <v>62</v>
      </c>
      <c r="E8042" t="s">
        <v>157</v>
      </c>
      <c r="F8042" s="1">
        <v>1</v>
      </c>
      <c r="G8042" s="1" t="s">
        <v>26</v>
      </c>
      <c r="H8042" s="4" t="str">
        <f>HYPERLINK("https://www.ncbi.nlm.nih.gov/geo/query/acc.cgi?acc=GSM1673102","GSM1673102")</f>
        <v>GSM1673102</v>
      </c>
      <c r="I8042" t="s">
        <v>69</v>
      </c>
      <c r="J8042" t="s">
        <v>18</v>
      </c>
      <c r="K8042" t="s">
        <v>19</v>
      </c>
      <c r="L8042" t="s">
        <v>70</v>
      </c>
      <c r="M8042" t="s">
        <v>44</v>
      </c>
      <c r="N8042" t="s">
        <v>22</v>
      </c>
    </row>
    <row r="8043" spans="1:14">
      <c r="A8043" s="4" t="str">
        <f t="shared" si="736"/>
        <v>EXP00271</v>
      </c>
      <c r="B8043" s="3" t="s">
        <v>66</v>
      </c>
      <c r="C8043" s="4" t="str">
        <f t="shared" si="735"/>
        <v>GSE68468</v>
      </c>
      <c r="D8043" s="1" t="s">
        <v>62</v>
      </c>
      <c r="E8043" t="s">
        <v>157</v>
      </c>
      <c r="F8043" s="1">
        <v>1</v>
      </c>
      <c r="G8043" s="1" t="s">
        <v>26</v>
      </c>
      <c r="H8043" s="4" t="str">
        <f>HYPERLINK("https://www.ncbi.nlm.nih.gov/geo/query/acc.cgi?acc=GSM1673112","GSM1673112")</f>
        <v>GSM1673112</v>
      </c>
      <c r="I8043" t="s">
        <v>69</v>
      </c>
      <c r="J8043" t="s">
        <v>18</v>
      </c>
      <c r="K8043" t="s">
        <v>19</v>
      </c>
      <c r="L8043" t="s">
        <v>70</v>
      </c>
      <c r="M8043" t="s">
        <v>44</v>
      </c>
      <c r="N8043" t="s">
        <v>22</v>
      </c>
    </row>
    <row r="8044" spans="1:14">
      <c r="A8044" s="4" t="str">
        <f t="shared" si="736"/>
        <v>EXP00271</v>
      </c>
      <c r="B8044" s="3" t="s">
        <v>66</v>
      </c>
      <c r="C8044" s="4" t="str">
        <f t="shared" si="735"/>
        <v>GSE68468</v>
      </c>
      <c r="D8044" s="1" t="s">
        <v>62</v>
      </c>
      <c r="E8044" t="s">
        <v>157</v>
      </c>
      <c r="F8044" s="1">
        <v>1</v>
      </c>
      <c r="G8044" s="1" t="s">
        <v>26</v>
      </c>
      <c r="H8044" s="4" t="str">
        <f>HYPERLINK("https://www.ncbi.nlm.nih.gov/geo/query/acc.cgi?acc=GSM1673124","GSM1673124")</f>
        <v>GSM1673124</v>
      </c>
      <c r="I8044" t="s">
        <v>69</v>
      </c>
      <c r="J8044" t="s">
        <v>18</v>
      </c>
      <c r="K8044" t="s">
        <v>19</v>
      </c>
      <c r="L8044" t="s">
        <v>70</v>
      </c>
      <c r="M8044" t="s">
        <v>41</v>
      </c>
      <c r="N8044" t="s">
        <v>22</v>
      </c>
    </row>
    <row r="8045" spans="1:14">
      <c r="A8045" s="4" t="str">
        <f t="shared" si="736"/>
        <v>EXP00271</v>
      </c>
      <c r="B8045" s="3" t="s">
        <v>66</v>
      </c>
      <c r="C8045" s="4" t="str">
        <f t="shared" si="735"/>
        <v>GSE68468</v>
      </c>
      <c r="D8045" s="1" t="s">
        <v>62</v>
      </c>
      <c r="E8045" t="s">
        <v>157</v>
      </c>
      <c r="F8045" s="1">
        <v>1</v>
      </c>
      <c r="G8045" s="1" t="s">
        <v>26</v>
      </c>
      <c r="H8045" s="4" t="str">
        <f>HYPERLINK("https://www.ncbi.nlm.nih.gov/geo/query/acc.cgi?acc=GSM1673129","GSM1673129")</f>
        <v>GSM1673129</v>
      </c>
      <c r="I8045" t="s">
        <v>69</v>
      </c>
      <c r="J8045" t="s">
        <v>18</v>
      </c>
      <c r="K8045" t="s">
        <v>19</v>
      </c>
      <c r="L8045" t="s">
        <v>70</v>
      </c>
      <c r="M8045" t="s">
        <v>44</v>
      </c>
      <c r="N8045" t="s">
        <v>22</v>
      </c>
    </row>
    <row r="8046" spans="1:14">
      <c r="A8046" s="4" t="str">
        <f t="shared" si="736"/>
        <v>EXP00271</v>
      </c>
      <c r="B8046" s="3" t="s">
        <v>66</v>
      </c>
      <c r="C8046" s="4" t="str">
        <f t="shared" si="735"/>
        <v>GSE68468</v>
      </c>
      <c r="D8046" s="1" t="s">
        <v>62</v>
      </c>
      <c r="E8046" t="s">
        <v>157</v>
      </c>
      <c r="F8046" s="1">
        <v>1</v>
      </c>
      <c r="G8046" s="1" t="s">
        <v>26</v>
      </c>
      <c r="H8046" s="4" t="str">
        <f>HYPERLINK("https://www.ncbi.nlm.nih.gov/geo/query/acc.cgi?acc=GSM1673134","GSM1673134")</f>
        <v>GSM1673134</v>
      </c>
      <c r="I8046" t="s">
        <v>69</v>
      </c>
      <c r="J8046" t="s">
        <v>18</v>
      </c>
      <c r="K8046" t="s">
        <v>19</v>
      </c>
      <c r="L8046" t="s">
        <v>70</v>
      </c>
      <c r="M8046" t="s">
        <v>44</v>
      </c>
      <c r="N8046" t="s">
        <v>22</v>
      </c>
    </row>
    <row r="8047" spans="1:14">
      <c r="A8047" s="4" t="str">
        <f t="shared" si="736"/>
        <v>EXP00271</v>
      </c>
      <c r="B8047" s="3" t="s">
        <v>66</v>
      </c>
      <c r="C8047" s="4" t="str">
        <f t="shared" si="735"/>
        <v>GSE68468</v>
      </c>
      <c r="D8047" s="1" t="s">
        <v>62</v>
      </c>
      <c r="E8047" t="s">
        <v>157</v>
      </c>
      <c r="F8047" s="1">
        <v>1</v>
      </c>
      <c r="G8047" s="1" t="s">
        <v>26</v>
      </c>
      <c r="H8047" s="4" t="str">
        <f>HYPERLINK("https://www.ncbi.nlm.nih.gov/geo/query/acc.cgi?acc=GSM1673135","GSM1673135")</f>
        <v>GSM1673135</v>
      </c>
      <c r="I8047" t="s">
        <v>69</v>
      </c>
      <c r="J8047" t="s">
        <v>18</v>
      </c>
      <c r="K8047" t="s">
        <v>19</v>
      </c>
      <c r="L8047" t="s">
        <v>70</v>
      </c>
      <c r="M8047" t="s">
        <v>44</v>
      </c>
      <c r="N8047" t="s">
        <v>22</v>
      </c>
    </row>
    <row r="8048" spans="1:14">
      <c r="A8048" s="4" t="str">
        <f t="shared" si="736"/>
        <v>EXP00271</v>
      </c>
      <c r="B8048" s="3" t="s">
        <v>66</v>
      </c>
      <c r="C8048" s="4" t="str">
        <f t="shared" si="735"/>
        <v>GSE68468</v>
      </c>
      <c r="D8048" s="1" t="s">
        <v>62</v>
      </c>
      <c r="E8048" t="s">
        <v>157</v>
      </c>
      <c r="F8048" s="1">
        <v>1</v>
      </c>
      <c r="G8048" s="1" t="s">
        <v>26</v>
      </c>
      <c r="H8048" s="4" t="str">
        <f>HYPERLINK("https://www.ncbi.nlm.nih.gov/geo/query/acc.cgi?acc=GSM1673136","GSM1673136")</f>
        <v>GSM1673136</v>
      </c>
      <c r="I8048" t="s">
        <v>69</v>
      </c>
      <c r="J8048" t="s">
        <v>18</v>
      </c>
      <c r="K8048" t="s">
        <v>19</v>
      </c>
      <c r="L8048" t="s">
        <v>70</v>
      </c>
      <c r="M8048" t="s">
        <v>44</v>
      </c>
      <c r="N8048" t="s">
        <v>22</v>
      </c>
    </row>
    <row r="8049" spans="1:14">
      <c r="A8049" s="4" t="str">
        <f t="shared" ref="A8049:A8080" si="737">HYPERLINK("http://hcmdb.i-sanger.com/experiment/details/experiment_id/EXP00271","EXP00271")</f>
        <v>EXP00271</v>
      </c>
      <c r="B8049" s="3" t="s">
        <v>66</v>
      </c>
      <c r="C8049" s="4" t="str">
        <f t="shared" si="735"/>
        <v>GSE68468</v>
      </c>
      <c r="D8049" s="1" t="s">
        <v>62</v>
      </c>
      <c r="E8049" t="s">
        <v>157</v>
      </c>
      <c r="F8049" s="1">
        <v>1</v>
      </c>
      <c r="G8049" s="1" t="s">
        <v>26</v>
      </c>
      <c r="H8049" s="4" t="str">
        <f>HYPERLINK("https://www.ncbi.nlm.nih.gov/geo/query/acc.cgi?acc=GSM1673145","GSM1673145")</f>
        <v>GSM1673145</v>
      </c>
      <c r="I8049" t="s">
        <v>69</v>
      </c>
      <c r="J8049" t="s">
        <v>18</v>
      </c>
      <c r="K8049" t="s">
        <v>19</v>
      </c>
      <c r="L8049" t="s">
        <v>70</v>
      </c>
      <c r="M8049" t="s">
        <v>44</v>
      </c>
      <c r="N8049" t="s">
        <v>22</v>
      </c>
    </row>
    <row r="8050" spans="1:14">
      <c r="A8050" s="4" t="str">
        <f t="shared" si="737"/>
        <v>EXP00271</v>
      </c>
      <c r="B8050" s="3" t="s">
        <v>66</v>
      </c>
      <c r="C8050" s="4" t="str">
        <f t="shared" si="735"/>
        <v>GSE68468</v>
      </c>
      <c r="D8050" s="1" t="s">
        <v>62</v>
      </c>
      <c r="E8050" t="s">
        <v>157</v>
      </c>
      <c r="F8050" s="1">
        <v>1</v>
      </c>
      <c r="G8050" s="1" t="s">
        <v>26</v>
      </c>
      <c r="H8050" s="4" t="str">
        <f>HYPERLINK("https://www.ncbi.nlm.nih.gov/geo/query/acc.cgi?acc=GSM1673159","GSM1673159")</f>
        <v>GSM1673159</v>
      </c>
      <c r="I8050" t="s">
        <v>69</v>
      </c>
      <c r="J8050" t="s">
        <v>18</v>
      </c>
      <c r="K8050" t="s">
        <v>19</v>
      </c>
      <c r="L8050" t="s">
        <v>70</v>
      </c>
      <c r="M8050" t="s">
        <v>44</v>
      </c>
      <c r="N8050" t="s">
        <v>22</v>
      </c>
    </row>
    <row r="8051" spans="1:14">
      <c r="A8051" s="4" t="str">
        <f t="shared" si="737"/>
        <v>EXP00271</v>
      </c>
      <c r="B8051" s="3" t="s">
        <v>66</v>
      </c>
      <c r="C8051" s="4" t="str">
        <f t="shared" si="735"/>
        <v>GSE68468</v>
      </c>
      <c r="D8051" s="1" t="s">
        <v>62</v>
      </c>
      <c r="E8051" t="s">
        <v>157</v>
      </c>
      <c r="F8051" s="1">
        <v>1</v>
      </c>
      <c r="G8051" s="1" t="s">
        <v>26</v>
      </c>
      <c r="H8051" s="4" t="str">
        <f>HYPERLINK("https://www.ncbi.nlm.nih.gov/geo/query/acc.cgi?acc=GSM1673166","GSM1673166")</f>
        <v>GSM1673166</v>
      </c>
      <c r="I8051" t="s">
        <v>69</v>
      </c>
      <c r="J8051" t="s">
        <v>18</v>
      </c>
      <c r="K8051" t="s">
        <v>19</v>
      </c>
      <c r="L8051" t="s">
        <v>70</v>
      </c>
      <c r="M8051" t="s">
        <v>44</v>
      </c>
      <c r="N8051" t="s">
        <v>22</v>
      </c>
    </row>
    <row r="8052" spans="1:14">
      <c r="A8052" s="4" t="str">
        <f t="shared" si="737"/>
        <v>EXP00271</v>
      </c>
      <c r="B8052" s="3" t="s">
        <v>66</v>
      </c>
      <c r="C8052" s="4" t="str">
        <f t="shared" si="735"/>
        <v>GSE68468</v>
      </c>
      <c r="D8052" s="1" t="s">
        <v>62</v>
      </c>
      <c r="E8052" t="s">
        <v>157</v>
      </c>
      <c r="F8052" s="1">
        <v>1</v>
      </c>
      <c r="G8052" s="1" t="s">
        <v>26</v>
      </c>
      <c r="H8052" s="4" t="str">
        <f>HYPERLINK("https://www.ncbi.nlm.nih.gov/geo/query/acc.cgi?acc=GSM1673167","GSM1673167")</f>
        <v>GSM1673167</v>
      </c>
      <c r="I8052" t="s">
        <v>69</v>
      </c>
      <c r="J8052" t="s">
        <v>18</v>
      </c>
      <c r="K8052" t="s">
        <v>19</v>
      </c>
      <c r="L8052" t="s">
        <v>70</v>
      </c>
      <c r="M8052" t="s">
        <v>44</v>
      </c>
      <c r="N8052" t="s">
        <v>22</v>
      </c>
    </row>
    <row r="8053" spans="1:14">
      <c r="A8053" s="4" t="str">
        <f t="shared" si="737"/>
        <v>EXP00271</v>
      </c>
      <c r="B8053" s="3" t="s">
        <v>66</v>
      </c>
      <c r="C8053" s="4" t="str">
        <f t="shared" ref="C8053:C8116" si="738">HYPERLINK("https://www.ncbi.nlm.nih.gov/geo/query/acc.cgi?acc=GSE68468","GSE68468")</f>
        <v>GSE68468</v>
      </c>
      <c r="D8053" s="1" t="s">
        <v>62</v>
      </c>
      <c r="E8053" t="s">
        <v>157</v>
      </c>
      <c r="F8053" s="1">
        <v>1</v>
      </c>
      <c r="G8053" s="1" t="s">
        <v>26</v>
      </c>
      <c r="H8053" s="4" t="str">
        <f>HYPERLINK("https://www.ncbi.nlm.nih.gov/geo/query/acc.cgi?acc=GSM1673168","GSM1673168")</f>
        <v>GSM1673168</v>
      </c>
      <c r="I8053" t="s">
        <v>69</v>
      </c>
      <c r="J8053" t="s">
        <v>18</v>
      </c>
      <c r="K8053" t="s">
        <v>19</v>
      </c>
      <c r="L8053" t="s">
        <v>70</v>
      </c>
      <c r="M8053" t="s">
        <v>44</v>
      </c>
      <c r="N8053" t="s">
        <v>22</v>
      </c>
    </row>
    <row r="8054" spans="1:14">
      <c r="A8054" s="4" t="str">
        <f t="shared" si="737"/>
        <v>EXP00271</v>
      </c>
      <c r="B8054" s="3" t="s">
        <v>66</v>
      </c>
      <c r="C8054" s="4" t="str">
        <f t="shared" si="738"/>
        <v>GSE68468</v>
      </c>
      <c r="D8054" s="1" t="s">
        <v>62</v>
      </c>
      <c r="E8054" t="s">
        <v>157</v>
      </c>
      <c r="F8054" s="1">
        <v>1</v>
      </c>
      <c r="G8054" s="1" t="s">
        <v>26</v>
      </c>
      <c r="H8054" s="4" t="str">
        <f>HYPERLINK("https://www.ncbi.nlm.nih.gov/geo/query/acc.cgi?acc=GSM1673169","GSM1673169")</f>
        <v>GSM1673169</v>
      </c>
      <c r="I8054" t="s">
        <v>69</v>
      </c>
      <c r="J8054" t="s">
        <v>18</v>
      </c>
      <c r="K8054" t="s">
        <v>19</v>
      </c>
      <c r="L8054" t="s">
        <v>70</v>
      </c>
      <c r="M8054" t="s">
        <v>41</v>
      </c>
      <c r="N8054" t="s">
        <v>22</v>
      </c>
    </row>
    <row r="8055" spans="1:14">
      <c r="A8055" s="4" t="str">
        <f t="shared" si="737"/>
        <v>EXP00271</v>
      </c>
      <c r="B8055" s="3" t="s">
        <v>66</v>
      </c>
      <c r="C8055" s="4" t="str">
        <f t="shared" si="738"/>
        <v>GSE68468</v>
      </c>
      <c r="D8055" s="1" t="s">
        <v>62</v>
      </c>
      <c r="E8055" t="s">
        <v>157</v>
      </c>
      <c r="F8055" s="1">
        <v>1</v>
      </c>
      <c r="G8055" s="1" t="s">
        <v>26</v>
      </c>
      <c r="H8055" s="4" t="str">
        <f>HYPERLINK("https://www.ncbi.nlm.nih.gov/geo/query/acc.cgi?acc=GSM1673193","GSM1673193")</f>
        <v>GSM1673193</v>
      </c>
      <c r="I8055" t="s">
        <v>69</v>
      </c>
      <c r="J8055" t="s">
        <v>18</v>
      </c>
      <c r="K8055" t="s">
        <v>19</v>
      </c>
      <c r="L8055" t="s">
        <v>70</v>
      </c>
      <c r="M8055" t="s">
        <v>41</v>
      </c>
      <c r="N8055" t="s">
        <v>22</v>
      </c>
    </row>
    <row r="8056" spans="1:14">
      <c r="A8056" s="4" t="str">
        <f t="shared" si="737"/>
        <v>EXP00271</v>
      </c>
      <c r="B8056" s="3" t="s">
        <v>66</v>
      </c>
      <c r="C8056" s="4" t="str">
        <f t="shared" si="738"/>
        <v>GSE68468</v>
      </c>
      <c r="D8056" s="1" t="s">
        <v>62</v>
      </c>
      <c r="E8056" t="s">
        <v>157</v>
      </c>
      <c r="F8056" s="1">
        <v>1</v>
      </c>
      <c r="G8056" s="1" t="s">
        <v>26</v>
      </c>
      <c r="H8056" s="4" t="str">
        <f>HYPERLINK("https://www.ncbi.nlm.nih.gov/geo/query/acc.cgi?acc=GSM1673196","GSM1673196")</f>
        <v>GSM1673196</v>
      </c>
      <c r="I8056" t="s">
        <v>69</v>
      </c>
      <c r="J8056" t="s">
        <v>18</v>
      </c>
      <c r="K8056" t="s">
        <v>19</v>
      </c>
      <c r="L8056" t="s">
        <v>70</v>
      </c>
      <c r="M8056" t="s">
        <v>44</v>
      </c>
      <c r="N8056" t="s">
        <v>22</v>
      </c>
    </row>
    <row r="8057" spans="1:14">
      <c r="A8057" s="4" t="str">
        <f t="shared" si="737"/>
        <v>EXP00271</v>
      </c>
      <c r="B8057" s="3" t="s">
        <v>66</v>
      </c>
      <c r="C8057" s="4" t="str">
        <f t="shared" si="738"/>
        <v>GSE68468</v>
      </c>
      <c r="D8057" s="1" t="s">
        <v>62</v>
      </c>
      <c r="E8057" t="s">
        <v>157</v>
      </c>
      <c r="F8057" s="1">
        <v>1</v>
      </c>
      <c r="G8057" s="1" t="s">
        <v>26</v>
      </c>
      <c r="H8057" s="4" t="str">
        <f>HYPERLINK("https://www.ncbi.nlm.nih.gov/geo/query/acc.cgi?acc=GSM1673197","GSM1673197")</f>
        <v>GSM1673197</v>
      </c>
      <c r="I8057" t="s">
        <v>69</v>
      </c>
      <c r="J8057" t="s">
        <v>18</v>
      </c>
      <c r="K8057" t="s">
        <v>19</v>
      </c>
      <c r="L8057" t="s">
        <v>70</v>
      </c>
      <c r="M8057" t="s">
        <v>44</v>
      </c>
      <c r="N8057" t="s">
        <v>22</v>
      </c>
    </row>
    <row r="8058" spans="1:14">
      <c r="A8058" s="4" t="str">
        <f t="shared" si="737"/>
        <v>EXP00271</v>
      </c>
      <c r="B8058" s="3" t="s">
        <v>66</v>
      </c>
      <c r="C8058" s="4" t="str">
        <f t="shared" si="738"/>
        <v>GSE68468</v>
      </c>
      <c r="D8058" s="1" t="s">
        <v>62</v>
      </c>
      <c r="E8058" t="s">
        <v>157</v>
      </c>
      <c r="F8058" s="1">
        <v>1</v>
      </c>
      <c r="G8058" s="1" t="s">
        <v>26</v>
      </c>
      <c r="H8058" s="4" t="str">
        <f>HYPERLINK("https://www.ncbi.nlm.nih.gov/geo/query/acc.cgi?acc=GSM1673198","GSM1673198")</f>
        <v>GSM1673198</v>
      </c>
      <c r="I8058" t="s">
        <v>69</v>
      </c>
      <c r="J8058" t="s">
        <v>18</v>
      </c>
      <c r="K8058" t="s">
        <v>19</v>
      </c>
      <c r="L8058" t="s">
        <v>70</v>
      </c>
      <c r="M8058" t="s">
        <v>44</v>
      </c>
      <c r="N8058" t="s">
        <v>22</v>
      </c>
    </row>
    <row r="8059" spans="1:14">
      <c r="A8059" s="4" t="str">
        <f t="shared" si="737"/>
        <v>EXP00271</v>
      </c>
      <c r="B8059" s="3" t="s">
        <v>66</v>
      </c>
      <c r="C8059" s="4" t="str">
        <f t="shared" si="738"/>
        <v>GSE68468</v>
      </c>
      <c r="D8059" s="1" t="s">
        <v>62</v>
      </c>
      <c r="E8059" t="s">
        <v>157</v>
      </c>
      <c r="F8059" s="1">
        <v>1</v>
      </c>
      <c r="G8059" s="1" t="s">
        <v>26</v>
      </c>
      <c r="H8059" s="4" t="str">
        <f>HYPERLINK("https://www.ncbi.nlm.nih.gov/geo/query/acc.cgi?acc=GSM1673202","GSM1673202")</f>
        <v>GSM1673202</v>
      </c>
      <c r="I8059" t="s">
        <v>69</v>
      </c>
      <c r="J8059" t="s">
        <v>18</v>
      </c>
      <c r="K8059" t="s">
        <v>19</v>
      </c>
      <c r="L8059" t="s">
        <v>70</v>
      </c>
      <c r="M8059" t="s">
        <v>44</v>
      </c>
      <c r="N8059" t="s">
        <v>22</v>
      </c>
    </row>
    <row r="8060" spans="1:14">
      <c r="A8060" s="4" t="str">
        <f t="shared" si="737"/>
        <v>EXP00271</v>
      </c>
      <c r="B8060" s="3" t="s">
        <v>66</v>
      </c>
      <c r="C8060" s="4" t="str">
        <f t="shared" si="738"/>
        <v>GSE68468</v>
      </c>
      <c r="D8060" s="1" t="s">
        <v>62</v>
      </c>
      <c r="E8060" t="s">
        <v>157</v>
      </c>
      <c r="F8060" s="1">
        <v>1</v>
      </c>
      <c r="G8060" s="1" t="s">
        <v>26</v>
      </c>
      <c r="H8060" s="4" t="str">
        <f>HYPERLINK("https://www.ncbi.nlm.nih.gov/geo/query/acc.cgi?acc=GSM1673217","GSM1673217")</f>
        <v>GSM1673217</v>
      </c>
      <c r="I8060" t="s">
        <v>69</v>
      </c>
      <c r="J8060" t="s">
        <v>18</v>
      </c>
      <c r="K8060" t="s">
        <v>19</v>
      </c>
      <c r="L8060" t="s">
        <v>70</v>
      </c>
      <c r="M8060" t="s">
        <v>44</v>
      </c>
      <c r="N8060" t="s">
        <v>22</v>
      </c>
    </row>
    <row r="8061" spans="1:14">
      <c r="A8061" s="4" t="str">
        <f t="shared" si="737"/>
        <v>EXP00271</v>
      </c>
      <c r="B8061" s="3" t="s">
        <v>66</v>
      </c>
      <c r="C8061" s="4" t="str">
        <f t="shared" si="738"/>
        <v>GSE68468</v>
      </c>
      <c r="D8061" s="1" t="s">
        <v>62</v>
      </c>
      <c r="E8061" t="s">
        <v>157</v>
      </c>
      <c r="F8061" s="1">
        <v>1</v>
      </c>
      <c r="G8061" s="1" t="s">
        <v>26</v>
      </c>
      <c r="H8061" s="4" t="str">
        <f>HYPERLINK("https://www.ncbi.nlm.nih.gov/geo/query/acc.cgi?acc=GSM1673224","GSM1673224")</f>
        <v>GSM1673224</v>
      </c>
      <c r="I8061" t="s">
        <v>69</v>
      </c>
      <c r="J8061" t="s">
        <v>18</v>
      </c>
      <c r="K8061" t="s">
        <v>19</v>
      </c>
      <c r="L8061" t="s">
        <v>70</v>
      </c>
      <c r="M8061" t="s">
        <v>44</v>
      </c>
      <c r="N8061" t="s">
        <v>22</v>
      </c>
    </row>
    <row r="8062" spans="1:14">
      <c r="A8062" s="4" t="str">
        <f t="shared" si="737"/>
        <v>EXP00271</v>
      </c>
      <c r="B8062" s="3" t="s">
        <v>66</v>
      </c>
      <c r="C8062" s="4" t="str">
        <f t="shared" si="738"/>
        <v>GSE68468</v>
      </c>
      <c r="D8062" s="1" t="s">
        <v>62</v>
      </c>
      <c r="E8062" t="s">
        <v>157</v>
      </c>
      <c r="F8062" s="1">
        <v>1</v>
      </c>
      <c r="G8062" s="1" t="s">
        <v>26</v>
      </c>
      <c r="H8062" s="4" t="str">
        <f>HYPERLINK("https://www.ncbi.nlm.nih.gov/geo/query/acc.cgi?acc=GSM1673225","GSM1673225")</f>
        <v>GSM1673225</v>
      </c>
      <c r="I8062" t="s">
        <v>69</v>
      </c>
      <c r="J8062" t="s">
        <v>18</v>
      </c>
      <c r="K8062" t="s">
        <v>19</v>
      </c>
      <c r="L8062" t="s">
        <v>70</v>
      </c>
      <c r="M8062" t="s">
        <v>44</v>
      </c>
      <c r="N8062" t="s">
        <v>22</v>
      </c>
    </row>
    <row r="8063" spans="1:14">
      <c r="A8063" s="4" t="str">
        <f t="shared" si="737"/>
        <v>EXP00271</v>
      </c>
      <c r="B8063" s="3" t="s">
        <v>66</v>
      </c>
      <c r="C8063" s="4" t="str">
        <f t="shared" si="738"/>
        <v>GSE68468</v>
      </c>
      <c r="D8063" s="1" t="s">
        <v>62</v>
      </c>
      <c r="E8063" t="s">
        <v>157</v>
      </c>
      <c r="F8063" s="1">
        <v>1</v>
      </c>
      <c r="G8063" s="1" t="s">
        <v>26</v>
      </c>
      <c r="H8063" s="4" t="str">
        <f>HYPERLINK("https://www.ncbi.nlm.nih.gov/geo/query/acc.cgi?acc=GSM1673234","GSM1673234")</f>
        <v>GSM1673234</v>
      </c>
      <c r="I8063" t="s">
        <v>69</v>
      </c>
      <c r="J8063" t="s">
        <v>18</v>
      </c>
      <c r="K8063" t="s">
        <v>19</v>
      </c>
      <c r="L8063" t="s">
        <v>70</v>
      </c>
      <c r="M8063" t="s">
        <v>44</v>
      </c>
      <c r="N8063" t="s">
        <v>22</v>
      </c>
    </row>
    <row r="8064" spans="1:14">
      <c r="A8064" s="4" t="str">
        <f t="shared" si="737"/>
        <v>EXP00271</v>
      </c>
      <c r="B8064" s="3" t="s">
        <v>66</v>
      </c>
      <c r="C8064" s="4" t="str">
        <f t="shared" si="738"/>
        <v>GSE68468</v>
      </c>
      <c r="D8064" s="1" t="s">
        <v>62</v>
      </c>
      <c r="E8064" t="s">
        <v>157</v>
      </c>
      <c r="F8064" s="1">
        <v>1</v>
      </c>
      <c r="G8064" s="1" t="s">
        <v>26</v>
      </c>
      <c r="H8064" s="4" t="str">
        <f>HYPERLINK("https://www.ncbi.nlm.nih.gov/geo/query/acc.cgi?acc=GSM1673235","GSM1673235")</f>
        <v>GSM1673235</v>
      </c>
      <c r="I8064" t="s">
        <v>69</v>
      </c>
      <c r="J8064" t="s">
        <v>18</v>
      </c>
      <c r="K8064" t="s">
        <v>19</v>
      </c>
      <c r="L8064" t="s">
        <v>70</v>
      </c>
      <c r="M8064" t="s">
        <v>41</v>
      </c>
      <c r="N8064" t="s">
        <v>22</v>
      </c>
    </row>
    <row r="8065" spans="1:14">
      <c r="A8065" s="4" t="str">
        <f t="shared" si="737"/>
        <v>EXP00271</v>
      </c>
      <c r="B8065" s="3" t="s">
        <v>66</v>
      </c>
      <c r="C8065" s="4" t="str">
        <f t="shared" si="738"/>
        <v>GSE68468</v>
      </c>
      <c r="D8065" s="1" t="s">
        <v>62</v>
      </c>
      <c r="E8065" t="s">
        <v>157</v>
      </c>
      <c r="F8065" s="1">
        <v>1</v>
      </c>
      <c r="G8065" s="1" t="s">
        <v>26</v>
      </c>
      <c r="H8065" s="4" t="str">
        <f>HYPERLINK("https://www.ncbi.nlm.nih.gov/geo/query/acc.cgi?acc=GSM1673236","GSM1673236")</f>
        <v>GSM1673236</v>
      </c>
      <c r="I8065" t="s">
        <v>69</v>
      </c>
      <c r="J8065" t="s">
        <v>18</v>
      </c>
      <c r="K8065" t="s">
        <v>19</v>
      </c>
      <c r="L8065" t="s">
        <v>70</v>
      </c>
      <c r="M8065" t="s">
        <v>41</v>
      </c>
      <c r="N8065" t="s">
        <v>22</v>
      </c>
    </row>
    <row r="8066" spans="1:14">
      <c r="A8066" s="4" t="str">
        <f t="shared" si="737"/>
        <v>EXP00271</v>
      </c>
      <c r="B8066" s="3" t="s">
        <v>66</v>
      </c>
      <c r="C8066" s="4" t="str">
        <f t="shared" si="738"/>
        <v>GSE68468</v>
      </c>
      <c r="D8066" s="1" t="s">
        <v>62</v>
      </c>
      <c r="E8066" t="s">
        <v>157</v>
      </c>
      <c r="F8066" s="1">
        <v>1</v>
      </c>
      <c r="G8066" s="1" t="s">
        <v>26</v>
      </c>
      <c r="H8066" s="4" t="str">
        <f>HYPERLINK("https://www.ncbi.nlm.nih.gov/geo/query/acc.cgi?acc=GSM1673237","GSM1673237")</f>
        <v>GSM1673237</v>
      </c>
      <c r="I8066" t="s">
        <v>69</v>
      </c>
      <c r="J8066" t="s">
        <v>18</v>
      </c>
      <c r="K8066" t="s">
        <v>19</v>
      </c>
      <c r="L8066" t="s">
        <v>70</v>
      </c>
      <c r="M8066" t="s">
        <v>44</v>
      </c>
      <c r="N8066" t="s">
        <v>22</v>
      </c>
    </row>
    <row r="8067" spans="1:14">
      <c r="A8067" s="4" t="str">
        <f t="shared" si="737"/>
        <v>EXP00271</v>
      </c>
      <c r="B8067" s="3" t="s">
        <v>66</v>
      </c>
      <c r="C8067" s="4" t="str">
        <f t="shared" si="738"/>
        <v>GSE68468</v>
      </c>
      <c r="D8067" s="1" t="s">
        <v>62</v>
      </c>
      <c r="E8067" t="s">
        <v>157</v>
      </c>
      <c r="F8067" s="1">
        <v>1</v>
      </c>
      <c r="G8067" s="1" t="s">
        <v>26</v>
      </c>
      <c r="H8067" s="4" t="str">
        <f>HYPERLINK("https://www.ncbi.nlm.nih.gov/geo/query/acc.cgi?acc=GSM1673244","GSM1673244")</f>
        <v>GSM1673244</v>
      </c>
      <c r="I8067" t="s">
        <v>69</v>
      </c>
      <c r="J8067" t="s">
        <v>18</v>
      </c>
      <c r="K8067" t="s">
        <v>19</v>
      </c>
      <c r="L8067" t="s">
        <v>70</v>
      </c>
      <c r="M8067" t="s">
        <v>44</v>
      </c>
      <c r="N8067" t="s">
        <v>22</v>
      </c>
    </row>
    <row r="8068" spans="1:14">
      <c r="A8068" s="4" t="str">
        <f t="shared" si="737"/>
        <v>EXP00271</v>
      </c>
      <c r="B8068" s="3" t="s">
        <v>66</v>
      </c>
      <c r="C8068" s="4" t="str">
        <f t="shared" si="738"/>
        <v>GSE68468</v>
      </c>
      <c r="D8068" s="1" t="s">
        <v>62</v>
      </c>
      <c r="E8068" t="s">
        <v>157</v>
      </c>
      <c r="F8068" s="1">
        <v>1</v>
      </c>
      <c r="G8068" s="1" t="s">
        <v>26</v>
      </c>
      <c r="H8068" s="4" t="str">
        <f>HYPERLINK("https://www.ncbi.nlm.nih.gov/geo/query/acc.cgi?acc=GSM1673246","GSM1673246")</f>
        <v>GSM1673246</v>
      </c>
      <c r="I8068" t="s">
        <v>69</v>
      </c>
      <c r="J8068" t="s">
        <v>18</v>
      </c>
      <c r="K8068" t="s">
        <v>19</v>
      </c>
      <c r="L8068" t="s">
        <v>70</v>
      </c>
      <c r="M8068" t="s">
        <v>41</v>
      </c>
      <c r="N8068" t="s">
        <v>22</v>
      </c>
    </row>
    <row r="8069" spans="1:14">
      <c r="A8069" s="4" t="str">
        <f t="shared" si="737"/>
        <v>EXP00271</v>
      </c>
      <c r="B8069" s="3" t="s">
        <v>66</v>
      </c>
      <c r="C8069" s="4" t="str">
        <f t="shared" si="738"/>
        <v>GSE68468</v>
      </c>
      <c r="D8069" s="1" t="s">
        <v>62</v>
      </c>
      <c r="E8069" t="s">
        <v>157</v>
      </c>
      <c r="F8069" s="1">
        <v>1</v>
      </c>
      <c r="G8069" s="1" t="s">
        <v>26</v>
      </c>
      <c r="H8069" s="4" t="str">
        <f>HYPERLINK("https://www.ncbi.nlm.nih.gov/geo/query/acc.cgi?acc=GSM1673255","GSM1673255")</f>
        <v>GSM1673255</v>
      </c>
      <c r="I8069" t="s">
        <v>69</v>
      </c>
      <c r="J8069" t="s">
        <v>18</v>
      </c>
      <c r="K8069" t="s">
        <v>19</v>
      </c>
      <c r="L8069" t="s">
        <v>70</v>
      </c>
      <c r="M8069" t="s">
        <v>44</v>
      </c>
      <c r="N8069" t="s">
        <v>22</v>
      </c>
    </row>
    <row r="8070" spans="1:14">
      <c r="A8070" s="4" t="str">
        <f t="shared" si="737"/>
        <v>EXP00271</v>
      </c>
      <c r="B8070" s="3" t="s">
        <v>66</v>
      </c>
      <c r="C8070" s="4" t="str">
        <f t="shared" si="738"/>
        <v>GSE68468</v>
      </c>
      <c r="D8070" s="1" t="s">
        <v>62</v>
      </c>
      <c r="E8070" t="s">
        <v>157</v>
      </c>
      <c r="F8070" s="1">
        <v>1</v>
      </c>
      <c r="G8070" s="1" t="s">
        <v>26</v>
      </c>
      <c r="H8070" s="4" t="str">
        <f>HYPERLINK("https://www.ncbi.nlm.nih.gov/geo/query/acc.cgi?acc=GSM1673266","GSM1673266")</f>
        <v>GSM1673266</v>
      </c>
      <c r="I8070" t="s">
        <v>69</v>
      </c>
      <c r="J8070" t="s">
        <v>18</v>
      </c>
      <c r="K8070" t="s">
        <v>19</v>
      </c>
      <c r="L8070" t="s">
        <v>70</v>
      </c>
      <c r="M8070" t="s">
        <v>44</v>
      </c>
      <c r="N8070" t="s">
        <v>22</v>
      </c>
    </row>
    <row r="8071" spans="1:14">
      <c r="A8071" s="4" t="str">
        <f t="shared" si="737"/>
        <v>EXP00271</v>
      </c>
      <c r="B8071" s="3" t="s">
        <v>66</v>
      </c>
      <c r="C8071" s="4" t="str">
        <f t="shared" si="738"/>
        <v>GSE68468</v>
      </c>
      <c r="D8071" s="1" t="s">
        <v>62</v>
      </c>
      <c r="E8071" t="s">
        <v>157</v>
      </c>
      <c r="F8071" s="1">
        <v>1</v>
      </c>
      <c r="G8071" s="1" t="s">
        <v>26</v>
      </c>
      <c r="H8071" s="4" t="str">
        <f>HYPERLINK("https://www.ncbi.nlm.nih.gov/geo/query/acc.cgi?acc=GSM1673267","GSM1673267")</f>
        <v>GSM1673267</v>
      </c>
      <c r="I8071" t="s">
        <v>69</v>
      </c>
      <c r="J8071" t="s">
        <v>18</v>
      </c>
      <c r="K8071" t="s">
        <v>19</v>
      </c>
      <c r="L8071" t="s">
        <v>70</v>
      </c>
      <c r="M8071" t="s">
        <v>41</v>
      </c>
      <c r="N8071" t="s">
        <v>22</v>
      </c>
    </row>
    <row r="8072" spans="1:14">
      <c r="A8072" s="4" t="str">
        <f t="shared" si="737"/>
        <v>EXP00271</v>
      </c>
      <c r="B8072" s="3" t="s">
        <v>66</v>
      </c>
      <c r="C8072" s="4" t="str">
        <f t="shared" si="738"/>
        <v>GSE68468</v>
      </c>
      <c r="D8072" s="1" t="s">
        <v>62</v>
      </c>
      <c r="E8072" t="s">
        <v>157</v>
      </c>
      <c r="F8072" s="1">
        <v>1</v>
      </c>
      <c r="G8072" s="1" t="s">
        <v>26</v>
      </c>
      <c r="H8072" s="4" t="str">
        <f>HYPERLINK("https://www.ncbi.nlm.nih.gov/geo/query/acc.cgi?acc=GSM1673268","GSM1673268")</f>
        <v>GSM1673268</v>
      </c>
      <c r="I8072" t="s">
        <v>69</v>
      </c>
      <c r="J8072" t="s">
        <v>18</v>
      </c>
      <c r="K8072" t="s">
        <v>19</v>
      </c>
      <c r="L8072" t="s">
        <v>70</v>
      </c>
      <c r="M8072" t="s">
        <v>41</v>
      </c>
      <c r="N8072" t="s">
        <v>22</v>
      </c>
    </row>
    <row r="8073" spans="1:14">
      <c r="A8073" s="4" t="str">
        <f t="shared" si="737"/>
        <v>EXP00271</v>
      </c>
      <c r="B8073" s="3" t="s">
        <v>66</v>
      </c>
      <c r="C8073" s="4" t="str">
        <f t="shared" si="738"/>
        <v>GSE68468</v>
      </c>
      <c r="D8073" s="1" t="s">
        <v>62</v>
      </c>
      <c r="E8073" t="s">
        <v>157</v>
      </c>
      <c r="F8073" s="1">
        <v>1</v>
      </c>
      <c r="G8073" s="1" t="s">
        <v>26</v>
      </c>
      <c r="H8073" s="4" t="str">
        <f>HYPERLINK("https://www.ncbi.nlm.nih.gov/geo/query/acc.cgi?acc=GSM1673272","GSM1673272")</f>
        <v>GSM1673272</v>
      </c>
      <c r="I8073" t="s">
        <v>69</v>
      </c>
      <c r="J8073" t="s">
        <v>18</v>
      </c>
      <c r="K8073" t="s">
        <v>19</v>
      </c>
      <c r="L8073" t="s">
        <v>70</v>
      </c>
      <c r="M8073" t="s">
        <v>44</v>
      </c>
      <c r="N8073" t="s">
        <v>22</v>
      </c>
    </row>
    <row r="8074" spans="1:14">
      <c r="A8074" s="4" t="str">
        <f t="shared" si="737"/>
        <v>EXP00271</v>
      </c>
      <c r="B8074" s="3" t="s">
        <v>66</v>
      </c>
      <c r="C8074" s="4" t="str">
        <f t="shared" si="738"/>
        <v>GSE68468</v>
      </c>
      <c r="D8074" s="1" t="s">
        <v>62</v>
      </c>
      <c r="E8074" t="s">
        <v>157</v>
      </c>
      <c r="F8074" s="1">
        <v>1</v>
      </c>
      <c r="G8074" s="1" t="s">
        <v>26</v>
      </c>
      <c r="H8074" s="4" t="str">
        <f>HYPERLINK("https://www.ncbi.nlm.nih.gov/geo/query/acc.cgi?acc=GSM1673273","GSM1673273")</f>
        <v>GSM1673273</v>
      </c>
      <c r="I8074" t="s">
        <v>69</v>
      </c>
      <c r="J8074" t="s">
        <v>18</v>
      </c>
      <c r="K8074" t="s">
        <v>19</v>
      </c>
      <c r="L8074" t="s">
        <v>70</v>
      </c>
      <c r="M8074" t="s">
        <v>44</v>
      </c>
      <c r="N8074" t="s">
        <v>22</v>
      </c>
    </row>
    <row r="8075" spans="1:14">
      <c r="A8075" s="4" t="str">
        <f t="shared" si="737"/>
        <v>EXP00271</v>
      </c>
      <c r="B8075" s="3" t="s">
        <v>66</v>
      </c>
      <c r="C8075" s="4" t="str">
        <f t="shared" si="738"/>
        <v>GSE68468</v>
      </c>
      <c r="D8075" s="1" t="s">
        <v>62</v>
      </c>
      <c r="E8075" t="s">
        <v>157</v>
      </c>
      <c r="F8075" s="1">
        <v>1</v>
      </c>
      <c r="G8075" s="1" t="s">
        <v>26</v>
      </c>
      <c r="H8075" s="4" t="str">
        <f>HYPERLINK("https://www.ncbi.nlm.nih.gov/geo/query/acc.cgi?acc=GSM1673282","GSM1673282")</f>
        <v>GSM1673282</v>
      </c>
      <c r="I8075" t="s">
        <v>69</v>
      </c>
      <c r="J8075" t="s">
        <v>18</v>
      </c>
      <c r="K8075" t="s">
        <v>19</v>
      </c>
      <c r="L8075" t="s">
        <v>70</v>
      </c>
      <c r="M8075" t="s">
        <v>44</v>
      </c>
      <c r="N8075" t="s">
        <v>22</v>
      </c>
    </row>
    <row r="8076" spans="1:14">
      <c r="A8076" s="4" t="str">
        <f t="shared" si="737"/>
        <v>EXP00271</v>
      </c>
      <c r="B8076" s="3" t="s">
        <v>66</v>
      </c>
      <c r="C8076" s="4" t="str">
        <f t="shared" si="738"/>
        <v>GSE68468</v>
      </c>
      <c r="D8076" s="1" t="s">
        <v>62</v>
      </c>
      <c r="E8076" t="s">
        <v>157</v>
      </c>
      <c r="F8076" s="1">
        <v>1</v>
      </c>
      <c r="G8076" s="1" t="s">
        <v>26</v>
      </c>
      <c r="H8076" s="4" t="str">
        <f>HYPERLINK("https://www.ncbi.nlm.nih.gov/geo/query/acc.cgi?acc=GSM1673292","GSM1673292")</f>
        <v>GSM1673292</v>
      </c>
      <c r="I8076" t="s">
        <v>69</v>
      </c>
      <c r="J8076" t="s">
        <v>18</v>
      </c>
      <c r="K8076" t="s">
        <v>19</v>
      </c>
      <c r="L8076" t="s">
        <v>70</v>
      </c>
      <c r="M8076" t="s">
        <v>44</v>
      </c>
      <c r="N8076" t="s">
        <v>22</v>
      </c>
    </row>
    <row r="8077" spans="1:14">
      <c r="A8077" s="4" t="str">
        <f t="shared" si="737"/>
        <v>EXP00271</v>
      </c>
      <c r="B8077" s="3" t="s">
        <v>66</v>
      </c>
      <c r="C8077" s="4" t="str">
        <f t="shared" si="738"/>
        <v>GSE68468</v>
      </c>
      <c r="D8077" s="1" t="s">
        <v>62</v>
      </c>
      <c r="E8077" t="s">
        <v>157</v>
      </c>
      <c r="F8077" s="1">
        <v>1</v>
      </c>
      <c r="G8077" s="1" t="s">
        <v>26</v>
      </c>
      <c r="H8077" s="4" t="str">
        <f>HYPERLINK("https://www.ncbi.nlm.nih.gov/geo/query/acc.cgi?acc=GSM1673306","GSM1673306")</f>
        <v>GSM1673306</v>
      </c>
      <c r="I8077" t="s">
        <v>69</v>
      </c>
      <c r="J8077" t="s">
        <v>18</v>
      </c>
      <c r="K8077" t="s">
        <v>19</v>
      </c>
      <c r="L8077" t="s">
        <v>70</v>
      </c>
      <c r="M8077" t="s">
        <v>41</v>
      </c>
      <c r="N8077" t="s">
        <v>22</v>
      </c>
    </row>
    <row r="8078" spans="1:14">
      <c r="A8078" s="4" t="str">
        <f t="shared" si="737"/>
        <v>EXP00271</v>
      </c>
      <c r="B8078" s="3" t="s">
        <v>66</v>
      </c>
      <c r="C8078" s="4" t="str">
        <f t="shared" si="738"/>
        <v>GSE68468</v>
      </c>
      <c r="D8078" s="1" t="s">
        <v>62</v>
      </c>
      <c r="E8078" t="s">
        <v>157</v>
      </c>
      <c r="F8078" s="1">
        <v>1</v>
      </c>
      <c r="G8078" s="1" t="s">
        <v>26</v>
      </c>
      <c r="H8078" s="4" t="str">
        <f>HYPERLINK("https://www.ncbi.nlm.nih.gov/geo/query/acc.cgi?acc=GSM1673310","GSM1673310")</f>
        <v>GSM1673310</v>
      </c>
      <c r="I8078" t="s">
        <v>69</v>
      </c>
      <c r="J8078" t="s">
        <v>18</v>
      </c>
      <c r="K8078" t="s">
        <v>19</v>
      </c>
      <c r="L8078" t="s">
        <v>70</v>
      </c>
      <c r="M8078" t="s">
        <v>41</v>
      </c>
      <c r="N8078" t="s">
        <v>22</v>
      </c>
    </row>
    <row r="8079" spans="1:14">
      <c r="A8079" s="4" t="str">
        <f t="shared" si="737"/>
        <v>EXP00271</v>
      </c>
      <c r="B8079" s="3" t="s">
        <v>66</v>
      </c>
      <c r="C8079" s="4" t="str">
        <f t="shared" si="738"/>
        <v>GSE68468</v>
      </c>
      <c r="D8079" s="1" t="s">
        <v>62</v>
      </c>
      <c r="E8079" t="s">
        <v>157</v>
      </c>
      <c r="F8079" s="1">
        <v>1</v>
      </c>
      <c r="G8079" s="1" t="s">
        <v>26</v>
      </c>
      <c r="H8079" s="4" t="str">
        <f>HYPERLINK("https://www.ncbi.nlm.nih.gov/geo/query/acc.cgi?acc=GSM1673320","GSM1673320")</f>
        <v>GSM1673320</v>
      </c>
      <c r="I8079" t="s">
        <v>69</v>
      </c>
      <c r="J8079" t="s">
        <v>18</v>
      </c>
      <c r="K8079" t="s">
        <v>19</v>
      </c>
      <c r="L8079" t="s">
        <v>70</v>
      </c>
      <c r="M8079" t="s">
        <v>41</v>
      </c>
      <c r="N8079" t="s">
        <v>22</v>
      </c>
    </row>
    <row r="8080" spans="1:14">
      <c r="A8080" s="4" t="str">
        <f t="shared" si="737"/>
        <v>EXP00271</v>
      </c>
      <c r="B8080" s="3" t="s">
        <v>66</v>
      </c>
      <c r="C8080" s="4" t="str">
        <f t="shared" si="738"/>
        <v>GSE68468</v>
      </c>
      <c r="D8080" s="1" t="s">
        <v>62</v>
      </c>
      <c r="E8080" t="s">
        <v>157</v>
      </c>
      <c r="F8080" s="1">
        <v>1</v>
      </c>
      <c r="G8080" s="1" t="s">
        <v>26</v>
      </c>
      <c r="H8080" s="4" t="str">
        <f>HYPERLINK("https://www.ncbi.nlm.nih.gov/geo/query/acc.cgi?acc=GSM1673326","GSM1673326")</f>
        <v>GSM1673326</v>
      </c>
      <c r="I8080" t="s">
        <v>69</v>
      </c>
      <c r="J8080" t="s">
        <v>18</v>
      </c>
      <c r="K8080" t="s">
        <v>19</v>
      </c>
      <c r="L8080" t="s">
        <v>70</v>
      </c>
      <c r="M8080" t="s">
        <v>44</v>
      </c>
      <c r="N8080" t="s">
        <v>22</v>
      </c>
    </row>
    <row r="8081" spans="1:14">
      <c r="A8081" s="4" t="str">
        <f t="shared" ref="A8081:A8089" si="739">HYPERLINK("http://hcmdb.i-sanger.com/experiment/details/experiment_id/EXP00271","EXP00271")</f>
        <v>EXP00271</v>
      </c>
      <c r="B8081" s="3" t="s">
        <v>66</v>
      </c>
      <c r="C8081" s="4" t="str">
        <f t="shared" si="738"/>
        <v>GSE68468</v>
      </c>
      <c r="D8081" s="1" t="s">
        <v>62</v>
      </c>
      <c r="E8081" t="s">
        <v>157</v>
      </c>
      <c r="F8081" s="1">
        <v>1</v>
      </c>
      <c r="G8081" s="1" t="s">
        <v>26</v>
      </c>
      <c r="H8081" s="4" t="str">
        <f>HYPERLINK("https://www.ncbi.nlm.nih.gov/geo/query/acc.cgi?acc=GSM1673334","GSM1673334")</f>
        <v>GSM1673334</v>
      </c>
      <c r="I8081" t="s">
        <v>69</v>
      </c>
      <c r="J8081" t="s">
        <v>18</v>
      </c>
      <c r="K8081" t="s">
        <v>19</v>
      </c>
      <c r="L8081" t="s">
        <v>70</v>
      </c>
      <c r="M8081" t="s">
        <v>41</v>
      </c>
      <c r="N8081" t="s">
        <v>22</v>
      </c>
    </row>
    <row r="8082" spans="1:14">
      <c r="A8082" s="4" t="str">
        <f t="shared" si="739"/>
        <v>EXP00271</v>
      </c>
      <c r="B8082" s="3" t="s">
        <v>66</v>
      </c>
      <c r="C8082" s="4" t="str">
        <f t="shared" si="738"/>
        <v>GSE68468</v>
      </c>
      <c r="D8082" s="1" t="s">
        <v>62</v>
      </c>
      <c r="E8082" t="s">
        <v>157</v>
      </c>
      <c r="F8082" s="1">
        <v>1</v>
      </c>
      <c r="G8082" s="1" t="s">
        <v>26</v>
      </c>
      <c r="H8082" s="4" t="str">
        <f>HYPERLINK("https://www.ncbi.nlm.nih.gov/geo/query/acc.cgi?acc=GSM1673344","GSM1673344")</f>
        <v>GSM1673344</v>
      </c>
      <c r="I8082" t="s">
        <v>69</v>
      </c>
      <c r="J8082" t="s">
        <v>18</v>
      </c>
      <c r="K8082" t="s">
        <v>19</v>
      </c>
      <c r="L8082" t="s">
        <v>70</v>
      </c>
      <c r="M8082" t="s">
        <v>44</v>
      </c>
      <c r="N8082" t="s">
        <v>22</v>
      </c>
    </row>
    <row r="8083" spans="1:14">
      <c r="A8083" s="4" t="str">
        <f t="shared" si="739"/>
        <v>EXP00271</v>
      </c>
      <c r="B8083" s="3" t="s">
        <v>66</v>
      </c>
      <c r="C8083" s="4" t="str">
        <f t="shared" si="738"/>
        <v>GSE68468</v>
      </c>
      <c r="D8083" s="1" t="s">
        <v>62</v>
      </c>
      <c r="E8083" t="s">
        <v>157</v>
      </c>
      <c r="F8083" s="1">
        <v>1</v>
      </c>
      <c r="G8083" s="1" t="s">
        <v>26</v>
      </c>
      <c r="H8083" s="4" t="str">
        <f>HYPERLINK("https://www.ncbi.nlm.nih.gov/geo/query/acc.cgi?acc=GSM1673347","GSM1673347")</f>
        <v>GSM1673347</v>
      </c>
      <c r="I8083" t="s">
        <v>69</v>
      </c>
      <c r="J8083" t="s">
        <v>18</v>
      </c>
      <c r="K8083" t="s">
        <v>19</v>
      </c>
      <c r="L8083" t="s">
        <v>70</v>
      </c>
      <c r="M8083" t="s">
        <v>44</v>
      </c>
      <c r="N8083" t="s">
        <v>22</v>
      </c>
    </row>
    <row r="8084" spans="1:14">
      <c r="A8084" s="4" t="str">
        <f t="shared" si="739"/>
        <v>EXP00271</v>
      </c>
      <c r="B8084" s="3" t="s">
        <v>66</v>
      </c>
      <c r="C8084" s="4" t="str">
        <f t="shared" si="738"/>
        <v>GSE68468</v>
      </c>
      <c r="D8084" s="1" t="s">
        <v>62</v>
      </c>
      <c r="E8084" t="s">
        <v>157</v>
      </c>
      <c r="F8084" s="1">
        <v>2</v>
      </c>
      <c r="G8084" s="1" t="s">
        <v>28</v>
      </c>
      <c r="H8084" s="4" t="str">
        <f>HYPERLINK("https://www.ncbi.nlm.nih.gov/geo/query/acc.cgi?acc=GSM1673014","GSM1673014")</f>
        <v>GSM1673014</v>
      </c>
      <c r="I8084" t="s">
        <v>69</v>
      </c>
      <c r="J8084" t="s">
        <v>18</v>
      </c>
      <c r="K8084" t="s">
        <v>19</v>
      </c>
      <c r="L8084" t="s">
        <v>70</v>
      </c>
      <c r="M8084" t="s">
        <v>44</v>
      </c>
      <c r="N8084" t="s">
        <v>29</v>
      </c>
    </row>
    <row r="8085" spans="1:14">
      <c r="A8085" s="4" t="str">
        <f t="shared" si="739"/>
        <v>EXP00271</v>
      </c>
      <c r="B8085" s="3" t="s">
        <v>66</v>
      </c>
      <c r="C8085" s="4" t="str">
        <f t="shared" si="738"/>
        <v>GSE68468</v>
      </c>
      <c r="D8085" s="1" t="s">
        <v>62</v>
      </c>
      <c r="E8085" t="s">
        <v>157</v>
      </c>
      <c r="F8085" s="1">
        <v>2</v>
      </c>
      <c r="G8085" s="1" t="s">
        <v>28</v>
      </c>
      <c r="H8085" s="4" t="str">
        <f>HYPERLINK("https://www.ncbi.nlm.nih.gov/geo/query/acc.cgi?acc=GSM1673054","GSM1673054")</f>
        <v>GSM1673054</v>
      </c>
      <c r="I8085" t="s">
        <v>69</v>
      </c>
      <c r="J8085" t="s">
        <v>18</v>
      </c>
      <c r="K8085" t="s">
        <v>19</v>
      </c>
      <c r="L8085" t="s">
        <v>70</v>
      </c>
      <c r="M8085" t="s">
        <v>44</v>
      </c>
      <c r="N8085" t="s">
        <v>29</v>
      </c>
    </row>
    <row r="8086" spans="1:14">
      <c r="A8086" s="4" t="str">
        <f t="shared" si="739"/>
        <v>EXP00271</v>
      </c>
      <c r="B8086" s="3" t="s">
        <v>66</v>
      </c>
      <c r="C8086" s="4" t="str">
        <f t="shared" si="738"/>
        <v>GSE68468</v>
      </c>
      <c r="D8086" s="1" t="s">
        <v>62</v>
      </c>
      <c r="E8086" t="s">
        <v>157</v>
      </c>
      <c r="F8086" s="1">
        <v>2</v>
      </c>
      <c r="G8086" s="1" t="s">
        <v>28</v>
      </c>
      <c r="H8086" s="4" t="str">
        <f>HYPERLINK("https://www.ncbi.nlm.nih.gov/geo/query/acc.cgi?acc=GSM1673110","GSM1673110")</f>
        <v>GSM1673110</v>
      </c>
      <c r="I8086" t="s">
        <v>69</v>
      </c>
      <c r="J8086" t="s">
        <v>18</v>
      </c>
      <c r="K8086" t="s">
        <v>19</v>
      </c>
      <c r="L8086" t="s">
        <v>70</v>
      </c>
      <c r="M8086" t="s">
        <v>44</v>
      </c>
      <c r="N8086" t="s">
        <v>29</v>
      </c>
    </row>
    <row r="8087" spans="1:14">
      <c r="A8087" s="4" t="str">
        <f t="shared" si="739"/>
        <v>EXP00271</v>
      </c>
      <c r="B8087" s="3" t="s">
        <v>66</v>
      </c>
      <c r="C8087" s="4" t="str">
        <f t="shared" si="738"/>
        <v>GSE68468</v>
      </c>
      <c r="D8087" s="1" t="s">
        <v>62</v>
      </c>
      <c r="E8087" t="s">
        <v>157</v>
      </c>
      <c r="F8087" s="1">
        <v>2</v>
      </c>
      <c r="G8087" s="1" t="s">
        <v>28</v>
      </c>
      <c r="H8087" s="4" t="str">
        <f>HYPERLINK("https://www.ncbi.nlm.nih.gov/geo/query/acc.cgi?acc=GSM1673214","GSM1673214")</f>
        <v>GSM1673214</v>
      </c>
      <c r="I8087" t="s">
        <v>69</v>
      </c>
      <c r="J8087" t="s">
        <v>18</v>
      </c>
      <c r="K8087" t="s">
        <v>19</v>
      </c>
      <c r="L8087" t="s">
        <v>70</v>
      </c>
      <c r="M8087" t="s">
        <v>44</v>
      </c>
      <c r="N8087" t="s">
        <v>29</v>
      </c>
    </row>
    <row r="8088" spans="1:14">
      <c r="A8088" s="4" t="str">
        <f t="shared" si="739"/>
        <v>EXP00271</v>
      </c>
      <c r="B8088" s="3" t="s">
        <v>66</v>
      </c>
      <c r="C8088" s="4" t="str">
        <f t="shared" si="738"/>
        <v>GSE68468</v>
      </c>
      <c r="D8088" s="1" t="s">
        <v>62</v>
      </c>
      <c r="E8088" t="s">
        <v>157</v>
      </c>
      <c r="F8088" s="1">
        <v>2</v>
      </c>
      <c r="G8088" s="1" t="s">
        <v>28</v>
      </c>
      <c r="H8088" s="4" t="str">
        <f>HYPERLINK("https://www.ncbi.nlm.nih.gov/geo/query/acc.cgi?acc=GSM1673256","GSM1673256")</f>
        <v>GSM1673256</v>
      </c>
      <c r="I8088" t="s">
        <v>69</v>
      </c>
      <c r="J8088" t="s">
        <v>18</v>
      </c>
      <c r="K8088" t="s">
        <v>19</v>
      </c>
      <c r="L8088" t="s">
        <v>70</v>
      </c>
      <c r="M8088" t="s">
        <v>44</v>
      </c>
      <c r="N8088" t="s">
        <v>29</v>
      </c>
    </row>
    <row r="8089" spans="1:14">
      <c r="A8089" s="4" t="str">
        <f t="shared" si="739"/>
        <v>EXP00271</v>
      </c>
      <c r="B8089" s="3" t="s">
        <v>66</v>
      </c>
      <c r="C8089" s="4" t="str">
        <f t="shared" si="738"/>
        <v>GSE68468</v>
      </c>
      <c r="D8089" s="1" t="s">
        <v>62</v>
      </c>
      <c r="E8089" t="s">
        <v>157</v>
      </c>
      <c r="F8089" s="1">
        <v>2</v>
      </c>
      <c r="G8089" s="1" t="s">
        <v>28</v>
      </c>
      <c r="H8089" s="4" t="str">
        <f>HYPERLINK("https://www.ncbi.nlm.nih.gov/geo/query/acc.cgi?acc=GSM1673290","GSM1673290")</f>
        <v>GSM1673290</v>
      </c>
      <c r="I8089" t="s">
        <v>69</v>
      </c>
      <c r="J8089" t="s">
        <v>18</v>
      </c>
      <c r="K8089" t="s">
        <v>19</v>
      </c>
      <c r="L8089" t="s">
        <v>70</v>
      </c>
      <c r="M8089" t="s">
        <v>44</v>
      </c>
      <c r="N8089" t="s">
        <v>29</v>
      </c>
    </row>
    <row r="8090" spans="1:14">
      <c r="A8090" s="4" t="str">
        <f t="shared" ref="A8090:A8121" si="740">HYPERLINK("http://hcmdb.i-sanger.com/experiment/details/experiment_id/EXP00272","EXP00272")</f>
        <v>EXP00272</v>
      </c>
      <c r="B8090" s="3" t="s">
        <v>66</v>
      </c>
      <c r="C8090" s="4" t="str">
        <f t="shared" si="738"/>
        <v>GSE68468</v>
      </c>
      <c r="D8090" s="1" t="s">
        <v>62</v>
      </c>
      <c r="E8090" t="s">
        <v>377</v>
      </c>
      <c r="F8090" s="1">
        <v>1</v>
      </c>
      <c r="G8090" s="1" t="s">
        <v>75</v>
      </c>
      <c r="H8090" s="4" t="str">
        <f>HYPERLINK("https://www.ncbi.nlm.nih.gov/geo/query/acc.cgi?acc=GSM1673015","GSM1673015")</f>
        <v>GSM1673015</v>
      </c>
      <c r="I8090" t="s">
        <v>69</v>
      </c>
      <c r="J8090" t="s">
        <v>18</v>
      </c>
      <c r="K8090" t="s">
        <v>19</v>
      </c>
      <c r="L8090" t="s">
        <v>70</v>
      </c>
      <c r="M8090" t="s">
        <v>44</v>
      </c>
      <c r="N8090" t="s">
        <v>76</v>
      </c>
    </row>
    <row r="8091" spans="1:14">
      <c r="A8091" s="4" t="str">
        <f t="shared" si="740"/>
        <v>EXP00272</v>
      </c>
      <c r="B8091" s="3" t="s">
        <v>66</v>
      </c>
      <c r="C8091" s="4" t="str">
        <f t="shared" si="738"/>
        <v>GSE68468</v>
      </c>
      <c r="D8091" s="1" t="s">
        <v>62</v>
      </c>
      <c r="E8091" t="s">
        <v>377</v>
      </c>
      <c r="F8091" s="1">
        <v>1</v>
      </c>
      <c r="G8091" s="1" t="s">
        <v>75</v>
      </c>
      <c r="H8091" s="4" t="str">
        <f>HYPERLINK("https://www.ncbi.nlm.nih.gov/geo/query/acc.cgi?acc=GSM1673039","GSM1673039")</f>
        <v>GSM1673039</v>
      </c>
      <c r="I8091" t="s">
        <v>69</v>
      </c>
      <c r="J8091" t="s">
        <v>18</v>
      </c>
      <c r="K8091" t="s">
        <v>19</v>
      </c>
      <c r="L8091" t="s">
        <v>70</v>
      </c>
      <c r="M8091" t="s">
        <v>41</v>
      </c>
      <c r="N8091" t="s">
        <v>76</v>
      </c>
    </row>
    <row r="8092" spans="1:14">
      <c r="A8092" s="4" t="str">
        <f t="shared" si="740"/>
        <v>EXP00272</v>
      </c>
      <c r="B8092" s="3" t="s">
        <v>66</v>
      </c>
      <c r="C8092" s="4" t="str">
        <f t="shared" si="738"/>
        <v>GSE68468</v>
      </c>
      <c r="D8092" s="1" t="s">
        <v>62</v>
      </c>
      <c r="E8092" t="s">
        <v>377</v>
      </c>
      <c r="F8092" s="1">
        <v>1</v>
      </c>
      <c r="G8092" s="1" t="s">
        <v>75</v>
      </c>
      <c r="H8092" s="4" t="str">
        <f>HYPERLINK("https://www.ncbi.nlm.nih.gov/geo/query/acc.cgi?acc=GSM1673053","GSM1673053")</f>
        <v>GSM1673053</v>
      </c>
      <c r="I8092" t="s">
        <v>69</v>
      </c>
      <c r="J8092" t="s">
        <v>18</v>
      </c>
      <c r="K8092" t="s">
        <v>19</v>
      </c>
      <c r="L8092" t="s">
        <v>70</v>
      </c>
      <c r="M8092" t="s">
        <v>44</v>
      </c>
      <c r="N8092" t="s">
        <v>76</v>
      </c>
    </row>
    <row r="8093" spans="1:14">
      <c r="A8093" s="4" t="str">
        <f t="shared" si="740"/>
        <v>EXP00272</v>
      </c>
      <c r="B8093" s="3" t="s">
        <v>66</v>
      </c>
      <c r="C8093" s="4" t="str">
        <f t="shared" si="738"/>
        <v>GSE68468</v>
      </c>
      <c r="D8093" s="1" t="s">
        <v>62</v>
      </c>
      <c r="E8093" t="s">
        <v>377</v>
      </c>
      <c r="F8093" s="1">
        <v>1</v>
      </c>
      <c r="G8093" s="1" t="s">
        <v>75</v>
      </c>
      <c r="H8093" s="4" t="str">
        <f>HYPERLINK("https://www.ncbi.nlm.nih.gov/geo/query/acc.cgi?acc=GSM1673086","GSM1673086")</f>
        <v>GSM1673086</v>
      </c>
      <c r="I8093" t="s">
        <v>69</v>
      </c>
      <c r="J8093" t="s">
        <v>18</v>
      </c>
      <c r="K8093" t="s">
        <v>19</v>
      </c>
      <c r="L8093" t="s">
        <v>70</v>
      </c>
      <c r="M8093" t="s">
        <v>44</v>
      </c>
      <c r="N8093" t="s">
        <v>76</v>
      </c>
    </row>
    <row r="8094" spans="1:14">
      <c r="A8094" s="4" t="str">
        <f t="shared" si="740"/>
        <v>EXP00272</v>
      </c>
      <c r="B8094" s="3" t="s">
        <v>66</v>
      </c>
      <c r="C8094" s="4" t="str">
        <f t="shared" si="738"/>
        <v>GSE68468</v>
      </c>
      <c r="D8094" s="1" t="s">
        <v>62</v>
      </c>
      <c r="E8094" t="s">
        <v>377</v>
      </c>
      <c r="F8094" s="1">
        <v>1</v>
      </c>
      <c r="G8094" s="1" t="s">
        <v>75</v>
      </c>
      <c r="H8094" s="4" t="str">
        <f>HYPERLINK("https://www.ncbi.nlm.nih.gov/geo/query/acc.cgi?acc=GSM1673090","GSM1673090")</f>
        <v>GSM1673090</v>
      </c>
      <c r="I8094" t="s">
        <v>69</v>
      </c>
      <c r="J8094" t="s">
        <v>18</v>
      </c>
      <c r="K8094" t="s">
        <v>19</v>
      </c>
      <c r="L8094" t="s">
        <v>70</v>
      </c>
      <c r="M8094" t="s">
        <v>41</v>
      </c>
      <c r="N8094" t="s">
        <v>76</v>
      </c>
    </row>
    <row r="8095" spans="1:14">
      <c r="A8095" s="4" t="str">
        <f t="shared" si="740"/>
        <v>EXP00272</v>
      </c>
      <c r="B8095" s="3" t="s">
        <v>66</v>
      </c>
      <c r="C8095" s="4" t="str">
        <f t="shared" si="738"/>
        <v>GSE68468</v>
      </c>
      <c r="D8095" s="1" t="s">
        <v>62</v>
      </c>
      <c r="E8095" t="s">
        <v>377</v>
      </c>
      <c r="F8095" s="1">
        <v>1</v>
      </c>
      <c r="G8095" s="1" t="s">
        <v>75</v>
      </c>
      <c r="H8095" s="4" t="str">
        <f>HYPERLINK("https://www.ncbi.nlm.nih.gov/geo/query/acc.cgi?acc=GSM1673093","GSM1673093")</f>
        <v>GSM1673093</v>
      </c>
      <c r="I8095" t="s">
        <v>69</v>
      </c>
      <c r="J8095" t="s">
        <v>18</v>
      </c>
      <c r="K8095" t="s">
        <v>19</v>
      </c>
      <c r="L8095" t="s">
        <v>70</v>
      </c>
      <c r="M8095" t="s">
        <v>41</v>
      </c>
      <c r="N8095" t="s">
        <v>76</v>
      </c>
    </row>
    <row r="8096" spans="1:14">
      <c r="A8096" s="4" t="str">
        <f t="shared" si="740"/>
        <v>EXP00272</v>
      </c>
      <c r="B8096" s="3" t="s">
        <v>66</v>
      </c>
      <c r="C8096" s="4" t="str">
        <f t="shared" si="738"/>
        <v>GSE68468</v>
      </c>
      <c r="D8096" s="1" t="s">
        <v>62</v>
      </c>
      <c r="E8096" t="s">
        <v>377</v>
      </c>
      <c r="F8096" s="1">
        <v>1</v>
      </c>
      <c r="G8096" s="1" t="s">
        <v>75</v>
      </c>
      <c r="H8096" s="4" t="str">
        <f>HYPERLINK("https://www.ncbi.nlm.nih.gov/geo/query/acc.cgi?acc=GSM1673105","GSM1673105")</f>
        <v>GSM1673105</v>
      </c>
      <c r="I8096" t="s">
        <v>69</v>
      </c>
      <c r="J8096" t="s">
        <v>18</v>
      </c>
      <c r="K8096" t="s">
        <v>19</v>
      </c>
      <c r="L8096" t="s">
        <v>70</v>
      </c>
      <c r="M8096" t="s">
        <v>44</v>
      </c>
      <c r="N8096" t="s">
        <v>76</v>
      </c>
    </row>
    <row r="8097" spans="1:14">
      <c r="A8097" s="4" t="str">
        <f t="shared" si="740"/>
        <v>EXP00272</v>
      </c>
      <c r="B8097" s="3" t="s">
        <v>66</v>
      </c>
      <c r="C8097" s="4" t="str">
        <f t="shared" si="738"/>
        <v>GSE68468</v>
      </c>
      <c r="D8097" s="1" t="s">
        <v>62</v>
      </c>
      <c r="E8097" t="s">
        <v>377</v>
      </c>
      <c r="F8097" s="1">
        <v>1</v>
      </c>
      <c r="G8097" s="1" t="s">
        <v>75</v>
      </c>
      <c r="H8097" s="4" t="str">
        <f>HYPERLINK("https://www.ncbi.nlm.nih.gov/geo/query/acc.cgi?acc=GSM1673111","GSM1673111")</f>
        <v>GSM1673111</v>
      </c>
      <c r="I8097" t="s">
        <v>69</v>
      </c>
      <c r="J8097" t="s">
        <v>18</v>
      </c>
      <c r="K8097" t="s">
        <v>19</v>
      </c>
      <c r="L8097" t="s">
        <v>70</v>
      </c>
      <c r="M8097" t="s">
        <v>44</v>
      </c>
      <c r="N8097" t="s">
        <v>76</v>
      </c>
    </row>
    <row r="8098" spans="1:14">
      <c r="A8098" s="4" t="str">
        <f t="shared" si="740"/>
        <v>EXP00272</v>
      </c>
      <c r="B8098" s="3" t="s">
        <v>66</v>
      </c>
      <c r="C8098" s="4" t="str">
        <f t="shared" si="738"/>
        <v>GSE68468</v>
      </c>
      <c r="D8098" s="1" t="s">
        <v>62</v>
      </c>
      <c r="E8098" t="s">
        <v>377</v>
      </c>
      <c r="F8098" s="1">
        <v>1</v>
      </c>
      <c r="G8098" s="1" t="s">
        <v>75</v>
      </c>
      <c r="H8098" s="4" t="str">
        <f>HYPERLINK("https://www.ncbi.nlm.nih.gov/geo/query/acc.cgi?acc=GSM1673194","GSM1673194")</f>
        <v>GSM1673194</v>
      </c>
      <c r="I8098" t="s">
        <v>69</v>
      </c>
      <c r="J8098" t="s">
        <v>18</v>
      </c>
      <c r="K8098" t="s">
        <v>19</v>
      </c>
      <c r="L8098" t="s">
        <v>70</v>
      </c>
      <c r="M8098" t="s">
        <v>41</v>
      </c>
      <c r="N8098" t="s">
        <v>76</v>
      </c>
    </row>
    <row r="8099" spans="1:14">
      <c r="A8099" s="4" t="str">
        <f t="shared" si="740"/>
        <v>EXP00272</v>
      </c>
      <c r="B8099" s="3" t="s">
        <v>66</v>
      </c>
      <c r="C8099" s="4" t="str">
        <f t="shared" si="738"/>
        <v>GSE68468</v>
      </c>
      <c r="D8099" s="1" t="s">
        <v>62</v>
      </c>
      <c r="E8099" t="s">
        <v>377</v>
      </c>
      <c r="F8099" s="1">
        <v>1</v>
      </c>
      <c r="G8099" s="1" t="s">
        <v>75</v>
      </c>
      <c r="H8099" s="4" t="str">
        <f>HYPERLINK("https://www.ncbi.nlm.nih.gov/geo/query/acc.cgi?acc=GSM1673215","GSM1673215")</f>
        <v>GSM1673215</v>
      </c>
      <c r="I8099" t="s">
        <v>69</v>
      </c>
      <c r="J8099" t="s">
        <v>18</v>
      </c>
      <c r="K8099" t="s">
        <v>19</v>
      </c>
      <c r="L8099" t="s">
        <v>70</v>
      </c>
      <c r="M8099" t="s">
        <v>44</v>
      </c>
      <c r="N8099" t="s">
        <v>76</v>
      </c>
    </row>
    <row r="8100" spans="1:14">
      <c r="A8100" s="4" t="str">
        <f t="shared" si="740"/>
        <v>EXP00272</v>
      </c>
      <c r="B8100" s="3" t="s">
        <v>66</v>
      </c>
      <c r="C8100" s="4" t="str">
        <f t="shared" si="738"/>
        <v>GSE68468</v>
      </c>
      <c r="D8100" s="1" t="s">
        <v>62</v>
      </c>
      <c r="E8100" t="s">
        <v>377</v>
      </c>
      <c r="F8100" s="1">
        <v>1</v>
      </c>
      <c r="G8100" s="1" t="s">
        <v>75</v>
      </c>
      <c r="H8100" s="4" t="str">
        <f>HYPERLINK("https://www.ncbi.nlm.nih.gov/geo/query/acc.cgi?acc=GSM1673226","GSM1673226")</f>
        <v>GSM1673226</v>
      </c>
      <c r="I8100" t="s">
        <v>69</v>
      </c>
      <c r="J8100" t="s">
        <v>18</v>
      </c>
      <c r="K8100" t="s">
        <v>19</v>
      </c>
      <c r="L8100" t="s">
        <v>70</v>
      </c>
      <c r="M8100" t="s">
        <v>44</v>
      </c>
      <c r="N8100" t="s">
        <v>76</v>
      </c>
    </row>
    <row r="8101" spans="1:14">
      <c r="A8101" s="4" t="str">
        <f t="shared" si="740"/>
        <v>EXP00272</v>
      </c>
      <c r="B8101" s="3" t="s">
        <v>66</v>
      </c>
      <c r="C8101" s="4" t="str">
        <f t="shared" si="738"/>
        <v>GSE68468</v>
      </c>
      <c r="D8101" s="1" t="s">
        <v>62</v>
      </c>
      <c r="E8101" t="s">
        <v>377</v>
      </c>
      <c r="F8101" s="1">
        <v>1</v>
      </c>
      <c r="G8101" s="1" t="s">
        <v>75</v>
      </c>
      <c r="H8101" s="4" t="str">
        <f>HYPERLINK("https://www.ncbi.nlm.nih.gov/geo/query/acc.cgi?acc=GSM1673238","GSM1673238")</f>
        <v>GSM1673238</v>
      </c>
      <c r="I8101" t="s">
        <v>69</v>
      </c>
      <c r="J8101" t="s">
        <v>18</v>
      </c>
      <c r="K8101" t="s">
        <v>19</v>
      </c>
      <c r="L8101" t="s">
        <v>70</v>
      </c>
      <c r="M8101" t="s">
        <v>44</v>
      </c>
      <c r="N8101" t="s">
        <v>76</v>
      </c>
    </row>
    <row r="8102" spans="1:14">
      <c r="A8102" s="4" t="str">
        <f t="shared" si="740"/>
        <v>EXP00272</v>
      </c>
      <c r="B8102" s="3" t="s">
        <v>66</v>
      </c>
      <c r="C8102" s="4" t="str">
        <f t="shared" si="738"/>
        <v>GSE68468</v>
      </c>
      <c r="D8102" s="1" t="s">
        <v>62</v>
      </c>
      <c r="E8102" t="s">
        <v>377</v>
      </c>
      <c r="F8102" s="1">
        <v>1</v>
      </c>
      <c r="G8102" s="1" t="s">
        <v>75</v>
      </c>
      <c r="H8102" s="4" t="str">
        <f>HYPERLINK("https://www.ncbi.nlm.nih.gov/geo/query/acc.cgi?acc=GSM1673239","GSM1673239")</f>
        <v>GSM1673239</v>
      </c>
      <c r="I8102" t="s">
        <v>69</v>
      </c>
      <c r="J8102" t="s">
        <v>18</v>
      </c>
      <c r="K8102" t="s">
        <v>19</v>
      </c>
      <c r="L8102" t="s">
        <v>70</v>
      </c>
      <c r="M8102" t="s">
        <v>44</v>
      </c>
      <c r="N8102" t="s">
        <v>76</v>
      </c>
    </row>
    <row r="8103" spans="1:14">
      <c r="A8103" s="4" t="str">
        <f t="shared" si="740"/>
        <v>EXP00272</v>
      </c>
      <c r="B8103" s="3" t="s">
        <v>66</v>
      </c>
      <c r="C8103" s="4" t="str">
        <f t="shared" si="738"/>
        <v>GSE68468</v>
      </c>
      <c r="D8103" s="1" t="s">
        <v>62</v>
      </c>
      <c r="E8103" t="s">
        <v>377</v>
      </c>
      <c r="F8103" s="1">
        <v>1</v>
      </c>
      <c r="G8103" s="1" t="s">
        <v>75</v>
      </c>
      <c r="H8103" s="4" t="str">
        <f>HYPERLINK("https://www.ncbi.nlm.nih.gov/geo/query/acc.cgi?acc=GSM1673245","GSM1673245")</f>
        <v>GSM1673245</v>
      </c>
      <c r="I8103" t="s">
        <v>69</v>
      </c>
      <c r="J8103" t="s">
        <v>18</v>
      </c>
      <c r="K8103" t="s">
        <v>19</v>
      </c>
      <c r="L8103" t="s">
        <v>70</v>
      </c>
      <c r="M8103" t="s">
        <v>41</v>
      </c>
      <c r="N8103" t="s">
        <v>76</v>
      </c>
    </row>
    <row r="8104" spans="1:14">
      <c r="A8104" s="4" t="str">
        <f t="shared" si="740"/>
        <v>EXP00272</v>
      </c>
      <c r="B8104" s="3" t="s">
        <v>66</v>
      </c>
      <c r="C8104" s="4" t="str">
        <f t="shared" si="738"/>
        <v>GSE68468</v>
      </c>
      <c r="D8104" s="1" t="s">
        <v>62</v>
      </c>
      <c r="E8104" t="s">
        <v>377</v>
      </c>
      <c r="F8104" s="1">
        <v>1</v>
      </c>
      <c r="G8104" s="1" t="s">
        <v>75</v>
      </c>
      <c r="H8104" s="4" t="str">
        <f>HYPERLINK("https://www.ncbi.nlm.nih.gov/geo/query/acc.cgi?acc=GSM1673258","GSM1673258")</f>
        <v>GSM1673258</v>
      </c>
      <c r="I8104" t="s">
        <v>69</v>
      </c>
      <c r="J8104" t="s">
        <v>18</v>
      </c>
      <c r="K8104" t="s">
        <v>19</v>
      </c>
      <c r="L8104" t="s">
        <v>70</v>
      </c>
      <c r="M8104" t="s">
        <v>44</v>
      </c>
      <c r="N8104" t="s">
        <v>76</v>
      </c>
    </row>
    <row r="8105" spans="1:14">
      <c r="A8105" s="4" t="str">
        <f t="shared" si="740"/>
        <v>EXP00272</v>
      </c>
      <c r="B8105" s="3" t="s">
        <v>66</v>
      </c>
      <c r="C8105" s="4" t="str">
        <f t="shared" si="738"/>
        <v>GSE68468</v>
      </c>
      <c r="D8105" s="1" t="s">
        <v>62</v>
      </c>
      <c r="E8105" t="s">
        <v>377</v>
      </c>
      <c r="F8105" s="1">
        <v>1</v>
      </c>
      <c r="G8105" s="1" t="s">
        <v>75</v>
      </c>
      <c r="H8105" s="4" t="str">
        <f>HYPERLINK("https://www.ncbi.nlm.nih.gov/geo/query/acc.cgi?acc=GSM1673280","GSM1673280")</f>
        <v>GSM1673280</v>
      </c>
      <c r="I8105" t="s">
        <v>69</v>
      </c>
      <c r="J8105" t="s">
        <v>18</v>
      </c>
      <c r="K8105" t="s">
        <v>19</v>
      </c>
      <c r="L8105" t="s">
        <v>70</v>
      </c>
      <c r="M8105" t="s">
        <v>44</v>
      </c>
      <c r="N8105" t="s">
        <v>76</v>
      </c>
    </row>
    <row r="8106" spans="1:14">
      <c r="A8106" s="4" t="str">
        <f t="shared" si="740"/>
        <v>EXP00272</v>
      </c>
      <c r="B8106" s="3" t="s">
        <v>66</v>
      </c>
      <c r="C8106" s="4" t="str">
        <f t="shared" si="738"/>
        <v>GSE68468</v>
      </c>
      <c r="D8106" s="1" t="s">
        <v>62</v>
      </c>
      <c r="E8106" t="s">
        <v>377</v>
      </c>
      <c r="F8106" s="1">
        <v>1</v>
      </c>
      <c r="G8106" s="1" t="s">
        <v>75</v>
      </c>
      <c r="H8106" s="4" t="str">
        <f>HYPERLINK("https://www.ncbi.nlm.nih.gov/geo/query/acc.cgi?acc=GSM1673293","GSM1673293")</f>
        <v>GSM1673293</v>
      </c>
      <c r="I8106" t="s">
        <v>69</v>
      </c>
      <c r="J8106" t="s">
        <v>18</v>
      </c>
      <c r="K8106" t="s">
        <v>19</v>
      </c>
      <c r="L8106" t="s">
        <v>70</v>
      </c>
      <c r="M8106" t="s">
        <v>44</v>
      </c>
      <c r="N8106" t="s">
        <v>76</v>
      </c>
    </row>
    <row r="8107" spans="1:14">
      <c r="A8107" s="4" t="str">
        <f t="shared" si="740"/>
        <v>EXP00272</v>
      </c>
      <c r="B8107" s="3" t="s">
        <v>66</v>
      </c>
      <c r="C8107" s="4" t="str">
        <f t="shared" si="738"/>
        <v>GSE68468</v>
      </c>
      <c r="D8107" s="1" t="s">
        <v>62</v>
      </c>
      <c r="E8107" t="s">
        <v>377</v>
      </c>
      <c r="F8107" s="1">
        <v>1</v>
      </c>
      <c r="G8107" s="1" t="s">
        <v>75</v>
      </c>
      <c r="H8107" s="4" t="str">
        <f>HYPERLINK("https://www.ncbi.nlm.nih.gov/geo/query/acc.cgi?acc=GSM1673307","GSM1673307")</f>
        <v>GSM1673307</v>
      </c>
      <c r="I8107" t="s">
        <v>69</v>
      </c>
      <c r="J8107" t="s">
        <v>18</v>
      </c>
      <c r="K8107" t="s">
        <v>19</v>
      </c>
      <c r="L8107" t="s">
        <v>70</v>
      </c>
      <c r="M8107" t="s">
        <v>41</v>
      </c>
      <c r="N8107" t="s">
        <v>76</v>
      </c>
    </row>
    <row r="8108" spans="1:14">
      <c r="A8108" s="4" t="str">
        <f t="shared" si="740"/>
        <v>EXP00272</v>
      </c>
      <c r="B8108" s="3" t="s">
        <v>66</v>
      </c>
      <c r="C8108" s="4" t="str">
        <f t="shared" si="738"/>
        <v>GSE68468</v>
      </c>
      <c r="D8108" s="1" t="s">
        <v>62</v>
      </c>
      <c r="E8108" t="s">
        <v>377</v>
      </c>
      <c r="F8108" s="1">
        <v>1</v>
      </c>
      <c r="G8108" s="1" t="s">
        <v>75</v>
      </c>
      <c r="H8108" s="4" t="str">
        <f>HYPERLINK("https://www.ncbi.nlm.nih.gov/geo/query/acc.cgi?acc=GSM1673319","GSM1673319")</f>
        <v>GSM1673319</v>
      </c>
      <c r="I8108" t="s">
        <v>69</v>
      </c>
      <c r="J8108" t="s">
        <v>18</v>
      </c>
      <c r="K8108" t="s">
        <v>19</v>
      </c>
      <c r="L8108" t="s">
        <v>70</v>
      </c>
      <c r="M8108" t="s">
        <v>41</v>
      </c>
      <c r="N8108" t="s">
        <v>76</v>
      </c>
    </row>
    <row r="8109" spans="1:14">
      <c r="A8109" s="4" t="str">
        <f t="shared" si="740"/>
        <v>EXP00272</v>
      </c>
      <c r="B8109" s="3" t="s">
        <v>66</v>
      </c>
      <c r="C8109" s="4" t="str">
        <f t="shared" si="738"/>
        <v>GSE68468</v>
      </c>
      <c r="D8109" s="1" t="s">
        <v>62</v>
      </c>
      <c r="E8109" t="s">
        <v>377</v>
      </c>
      <c r="F8109" s="1">
        <v>2</v>
      </c>
      <c r="G8109" s="1" t="s">
        <v>26</v>
      </c>
      <c r="H8109" s="4" t="str">
        <f>HYPERLINK("https://www.ncbi.nlm.nih.gov/geo/query/acc.cgi?acc=GSM1672975","GSM1672975")</f>
        <v>GSM1672975</v>
      </c>
      <c r="I8109" t="s">
        <v>69</v>
      </c>
      <c r="J8109" t="s">
        <v>18</v>
      </c>
      <c r="K8109" t="s">
        <v>19</v>
      </c>
      <c r="L8109" t="s">
        <v>70</v>
      </c>
      <c r="M8109" t="s">
        <v>44</v>
      </c>
      <c r="N8109" t="s">
        <v>22</v>
      </c>
    </row>
    <row r="8110" spans="1:14">
      <c r="A8110" s="4" t="str">
        <f t="shared" si="740"/>
        <v>EXP00272</v>
      </c>
      <c r="B8110" s="3" t="s">
        <v>66</v>
      </c>
      <c r="C8110" s="4" t="str">
        <f t="shared" si="738"/>
        <v>GSE68468</v>
      </c>
      <c r="D8110" s="1" t="s">
        <v>62</v>
      </c>
      <c r="E8110" t="s">
        <v>377</v>
      </c>
      <c r="F8110" s="1">
        <v>2</v>
      </c>
      <c r="G8110" s="1" t="s">
        <v>26</v>
      </c>
      <c r="H8110" s="4" t="str">
        <f>HYPERLINK("https://www.ncbi.nlm.nih.gov/geo/query/acc.cgi?acc=GSM1672980","GSM1672980")</f>
        <v>GSM1672980</v>
      </c>
      <c r="I8110" t="s">
        <v>69</v>
      </c>
      <c r="J8110" t="s">
        <v>18</v>
      </c>
      <c r="K8110" t="s">
        <v>19</v>
      </c>
      <c r="L8110" t="s">
        <v>70</v>
      </c>
      <c r="M8110" t="s">
        <v>44</v>
      </c>
      <c r="N8110" t="s">
        <v>22</v>
      </c>
    </row>
    <row r="8111" spans="1:14">
      <c r="A8111" s="4" t="str">
        <f t="shared" si="740"/>
        <v>EXP00272</v>
      </c>
      <c r="B8111" s="3" t="s">
        <v>66</v>
      </c>
      <c r="C8111" s="4" t="str">
        <f t="shared" si="738"/>
        <v>GSE68468</v>
      </c>
      <c r="D8111" s="1" t="s">
        <v>62</v>
      </c>
      <c r="E8111" t="s">
        <v>377</v>
      </c>
      <c r="F8111" s="1">
        <v>2</v>
      </c>
      <c r="G8111" s="1" t="s">
        <v>26</v>
      </c>
      <c r="H8111" s="4" t="str">
        <f>HYPERLINK("https://www.ncbi.nlm.nih.gov/geo/query/acc.cgi?acc=GSM1672982","GSM1672982")</f>
        <v>GSM1672982</v>
      </c>
      <c r="I8111" t="s">
        <v>69</v>
      </c>
      <c r="J8111" t="s">
        <v>18</v>
      </c>
      <c r="K8111" t="s">
        <v>19</v>
      </c>
      <c r="L8111" t="s">
        <v>70</v>
      </c>
      <c r="M8111" t="s">
        <v>44</v>
      </c>
      <c r="N8111" t="s">
        <v>22</v>
      </c>
    </row>
    <row r="8112" spans="1:14">
      <c r="A8112" s="4" t="str">
        <f t="shared" si="740"/>
        <v>EXP00272</v>
      </c>
      <c r="B8112" s="3" t="s">
        <v>66</v>
      </c>
      <c r="C8112" s="4" t="str">
        <f t="shared" si="738"/>
        <v>GSE68468</v>
      </c>
      <c r="D8112" s="1" t="s">
        <v>62</v>
      </c>
      <c r="E8112" t="s">
        <v>377</v>
      </c>
      <c r="F8112" s="1">
        <v>2</v>
      </c>
      <c r="G8112" s="1" t="s">
        <v>26</v>
      </c>
      <c r="H8112" s="4" t="str">
        <f>HYPERLINK("https://www.ncbi.nlm.nih.gov/geo/query/acc.cgi?acc=GSM1672988","GSM1672988")</f>
        <v>GSM1672988</v>
      </c>
      <c r="I8112" t="s">
        <v>69</v>
      </c>
      <c r="J8112" t="s">
        <v>18</v>
      </c>
      <c r="K8112" t="s">
        <v>19</v>
      </c>
      <c r="L8112" t="s">
        <v>70</v>
      </c>
      <c r="M8112" t="s">
        <v>41</v>
      </c>
      <c r="N8112" t="s">
        <v>22</v>
      </c>
    </row>
    <row r="8113" spans="1:14">
      <c r="A8113" s="4" t="str">
        <f t="shared" si="740"/>
        <v>EXP00272</v>
      </c>
      <c r="B8113" s="3" t="s">
        <v>66</v>
      </c>
      <c r="C8113" s="4" t="str">
        <f t="shared" si="738"/>
        <v>GSE68468</v>
      </c>
      <c r="D8113" s="1" t="s">
        <v>62</v>
      </c>
      <c r="E8113" t="s">
        <v>377</v>
      </c>
      <c r="F8113" s="1">
        <v>2</v>
      </c>
      <c r="G8113" s="1" t="s">
        <v>26</v>
      </c>
      <c r="H8113" s="4" t="str">
        <f>HYPERLINK("https://www.ncbi.nlm.nih.gov/geo/query/acc.cgi?acc=GSM1672990","GSM1672990")</f>
        <v>GSM1672990</v>
      </c>
      <c r="I8113" t="s">
        <v>69</v>
      </c>
      <c r="J8113" t="s">
        <v>18</v>
      </c>
      <c r="K8113" t="s">
        <v>19</v>
      </c>
      <c r="L8113" t="s">
        <v>70</v>
      </c>
      <c r="M8113" t="s">
        <v>41</v>
      </c>
      <c r="N8113" t="s">
        <v>22</v>
      </c>
    </row>
    <row r="8114" spans="1:14">
      <c r="A8114" s="4" t="str">
        <f t="shared" si="740"/>
        <v>EXP00272</v>
      </c>
      <c r="B8114" s="3" t="s">
        <v>66</v>
      </c>
      <c r="C8114" s="4" t="str">
        <f t="shared" si="738"/>
        <v>GSE68468</v>
      </c>
      <c r="D8114" s="1" t="s">
        <v>62</v>
      </c>
      <c r="E8114" t="s">
        <v>377</v>
      </c>
      <c r="F8114" s="1">
        <v>2</v>
      </c>
      <c r="G8114" s="1" t="s">
        <v>26</v>
      </c>
      <c r="H8114" s="4" t="str">
        <f>HYPERLINK("https://www.ncbi.nlm.nih.gov/geo/query/acc.cgi?acc=GSM1673005","GSM1673005")</f>
        <v>GSM1673005</v>
      </c>
      <c r="I8114" t="s">
        <v>69</v>
      </c>
      <c r="J8114" t="s">
        <v>18</v>
      </c>
      <c r="K8114" t="s">
        <v>19</v>
      </c>
      <c r="L8114" t="s">
        <v>70</v>
      </c>
      <c r="M8114" t="s">
        <v>44</v>
      </c>
      <c r="N8114" t="s">
        <v>22</v>
      </c>
    </row>
    <row r="8115" spans="1:14">
      <c r="A8115" s="4" t="str">
        <f t="shared" si="740"/>
        <v>EXP00272</v>
      </c>
      <c r="B8115" s="3" t="s">
        <v>66</v>
      </c>
      <c r="C8115" s="4" t="str">
        <f t="shared" si="738"/>
        <v>GSE68468</v>
      </c>
      <c r="D8115" s="1" t="s">
        <v>62</v>
      </c>
      <c r="E8115" t="s">
        <v>377</v>
      </c>
      <c r="F8115" s="1">
        <v>2</v>
      </c>
      <c r="G8115" s="1" t="s">
        <v>26</v>
      </c>
      <c r="H8115" s="4" t="str">
        <f>HYPERLINK("https://www.ncbi.nlm.nih.gov/geo/query/acc.cgi?acc=GSM1673019","GSM1673019")</f>
        <v>GSM1673019</v>
      </c>
      <c r="I8115" t="s">
        <v>69</v>
      </c>
      <c r="J8115" t="s">
        <v>18</v>
      </c>
      <c r="K8115" t="s">
        <v>19</v>
      </c>
      <c r="L8115" t="s">
        <v>70</v>
      </c>
      <c r="M8115" t="s">
        <v>44</v>
      </c>
      <c r="N8115" t="s">
        <v>22</v>
      </c>
    </row>
    <row r="8116" spans="1:14">
      <c r="A8116" s="4" t="str">
        <f t="shared" si="740"/>
        <v>EXP00272</v>
      </c>
      <c r="B8116" s="3" t="s">
        <v>66</v>
      </c>
      <c r="C8116" s="4" t="str">
        <f t="shared" si="738"/>
        <v>GSE68468</v>
      </c>
      <c r="D8116" s="1" t="s">
        <v>62</v>
      </c>
      <c r="E8116" t="s">
        <v>377</v>
      </c>
      <c r="F8116" s="1">
        <v>2</v>
      </c>
      <c r="G8116" s="1" t="s">
        <v>26</v>
      </c>
      <c r="H8116" s="4" t="str">
        <f>HYPERLINK("https://www.ncbi.nlm.nih.gov/geo/query/acc.cgi?acc=GSM1673020","GSM1673020")</f>
        <v>GSM1673020</v>
      </c>
      <c r="I8116" t="s">
        <v>69</v>
      </c>
      <c r="J8116" t="s">
        <v>18</v>
      </c>
      <c r="K8116" t="s">
        <v>19</v>
      </c>
      <c r="L8116" t="s">
        <v>70</v>
      </c>
      <c r="M8116" t="s">
        <v>44</v>
      </c>
      <c r="N8116" t="s">
        <v>22</v>
      </c>
    </row>
    <row r="8117" spans="1:14">
      <c r="A8117" s="4" t="str">
        <f t="shared" si="740"/>
        <v>EXP00272</v>
      </c>
      <c r="B8117" s="3" t="s">
        <v>66</v>
      </c>
      <c r="C8117" s="4" t="str">
        <f t="shared" ref="C8117:C8180" si="741">HYPERLINK("https://www.ncbi.nlm.nih.gov/geo/query/acc.cgi?acc=GSE68468","GSE68468")</f>
        <v>GSE68468</v>
      </c>
      <c r="D8117" s="1" t="s">
        <v>62</v>
      </c>
      <c r="E8117" t="s">
        <v>377</v>
      </c>
      <c r="F8117" s="1">
        <v>2</v>
      </c>
      <c r="G8117" s="1" t="s">
        <v>26</v>
      </c>
      <c r="H8117" s="4" t="str">
        <f>HYPERLINK("https://www.ncbi.nlm.nih.gov/geo/query/acc.cgi?acc=GSM1673021","GSM1673021")</f>
        <v>GSM1673021</v>
      </c>
      <c r="I8117" t="s">
        <v>69</v>
      </c>
      <c r="J8117" t="s">
        <v>18</v>
      </c>
      <c r="K8117" t="s">
        <v>19</v>
      </c>
      <c r="L8117" t="s">
        <v>70</v>
      </c>
      <c r="M8117" t="s">
        <v>44</v>
      </c>
      <c r="N8117" t="s">
        <v>22</v>
      </c>
    </row>
    <row r="8118" spans="1:14">
      <c r="A8118" s="4" t="str">
        <f t="shared" si="740"/>
        <v>EXP00272</v>
      </c>
      <c r="B8118" s="3" t="s">
        <v>66</v>
      </c>
      <c r="C8118" s="4" t="str">
        <f t="shared" si="741"/>
        <v>GSE68468</v>
      </c>
      <c r="D8118" s="1" t="s">
        <v>62</v>
      </c>
      <c r="E8118" t="s">
        <v>377</v>
      </c>
      <c r="F8118" s="1">
        <v>2</v>
      </c>
      <c r="G8118" s="1" t="s">
        <v>26</v>
      </c>
      <c r="H8118" s="4" t="str">
        <f>HYPERLINK("https://www.ncbi.nlm.nih.gov/geo/query/acc.cgi?acc=GSM1673022","GSM1673022")</f>
        <v>GSM1673022</v>
      </c>
      <c r="I8118" t="s">
        <v>69</v>
      </c>
      <c r="J8118" t="s">
        <v>18</v>
      </c>
      <c r="K8118" t="s">
        <v>19</v>
      </c>
      <c r="L8118" t="s">
        <v>70</v>
      </c>
      <c r="M8118" t="s">
        <v>44</v>
      </c>
      <c r="N8118" t="s">
        <v>22</v>
      </c>
    </row>
    <row r="8119" spans="1:14">
      <c r="A8119" s="4" t="str">
        <f t="shared" si="740"/>
        <v>EXP00272</v>
      </c>
      <c r="B8119" s="3" t="s">
        <v>66</v>
      </c>
      <c r="C8119" s="4" t="str">
        <f t="shared" si="741"/>
        <v>GSE68468</v>
      </c>
      <c r="D8119" s="1" t="s">
        <v>62</v>
      </c>
      <c r="E8119" t="s">
        <v>377</v>
      </c>
      <c r="F8119" s="1">
        <v>2</v>
      </c>
      <c r="G8119" s="1" t="s">
        <v>26</v>
      </c>
      <c r="H8119" s="4" t="str">
        <f>HYPERLINK("https://www.ncbi.nlm.nih.gov/geo/query/acc.cgi?acc=GSM1673038","GSM1673038")</f>
        <v>GSM1673038</v>
      </c>
      <c r="I8119" t="s">
        <v>69</v>
      </c>
      <c r="J8119" t="s">
        <v>18</v>
      </c>
      <c r="K8119" t="s">
        <v>19</v>
      </c>
      <c r="L8119" t="s">
        <v>70</v>
      </c>
      <c r="M8119" t="s">
        <v>41</v>
      </c>
      <c r="N8119" t="s">
        <v>22</v>
      </c>
    </row>
    <row r="8120" spans="1:14">
      <c r="A8120" s="4" t="str">
        <f t="shared" si="740"/>
        <v>EXP00272</v>
      </c>
      <c r="B8120" s="3" t="s">
        <v>66</v>
      </c>
      <c r="C8120" s="4" t="str">
        <f t="shared" si="741"/>
        <v>GSE68468</v>
      </c>
      <c r="D8120" s="1" t="s">
        <v>62</v>
      </c>
      <c r="E8120" t="s">
        <v>377</v>
      </c>
      <c r="F8120" s="1">
        <v>2</v>
      </c>
      <c r="G8120" s="1" t="s">
        <v>26</v>
      </c>
      <c r="H8120" s="4" t="str">
        <f>HYPERLINK("https://www.ncbi.nlm.nih.gov/geo/query/acc.cgi?acc=GSM1673040","GSM1673040")</f>
        <v>GSM1673040</v>
      </c>
      <c r="I8120" t="s">
        <v>69</v>
      </c>
      <c r="J8120" t="s">
        <v>18</v>
      </c>
      <c r="K8120" t="s">
        <v>19</v>
      </c>
      <c r="L8120" t="s">
        <v>70</v>
      </c>
      <c r="M8120" t="s">
        <v>41</v>
      </c>
      <c r="N8120" t="s">
        <v>22</v>
      </c>
    </row>
    <row r="8121" spans="1:14">
      <c r="A8121" s="4" t="str">
        <f t="shared" si="740"/>
        <v>EXP00272</v>
      </c>
      <c r="B8121" s="3" t="s">
        <v>66</v>
      </c>
      <c r="C8121" s="4" t="str">
        <f t="shared" si="741"/>
        <v>GSE68468</v>
      </c>
      <c r="D8121" s="1" t="s">
        <v>62</v>
      </c>
      <c r="E8121" t="s">
        <v>377</v>
      </c>
      <c r="F8121" s="1">
        <v>2</v>
      </c>
      <c r="G8121" s="1" t="s">
        <v>26</v>
      </c>
      <c r="H8121" s="4" t="str">
        <f>HYPERLINK("https://www.ncbi.nlm.nih.gov/geo/query/acc.cgi?acc=GSM1673041","GSM1673041")</f>
        <v>GSM1673041</v>
      </c>
      <c r="I8121" t="s">
        <v>69</v>
      </c>
      <c r="J8121" t="s">
        <v>18</v>
      </c>
      <c r="K8121" t="s">
        <v>19</v>
      </c>
      <c r="L8121" t="s">
        <v>70</v>
      </c>
      <c r="M8121" t="s">
        <v>41</v>
      </c>
      <c r="N8121" t="s">
        <v>22</v>
      </c>
    </row>
    <row r="8122" spans="1:14">
      <c r="A8122" s="4" t="str">
        <f t="shared" ref="A8122:A8153" si="742">HYPERLINK("http://hcmdb.i-sanger.com/experiment/details/experiment_id/EXP00272","EXP00272")</f>
        <v>EXP00272</v>
      </c>
      <c r="B8122" s="3" t="s">
        <v>66</v>
      </c>
      <c r="C8122" s="4" t="str">
        <f t="shared" si="741"/>
        <v>GSE68468</v>
      </c>
      <c r="D8122" s="1" t="s">
        <v>62</v>
      </c>
      <c r="E8122" t="s">
        <v>377</v>
      </c>
      <c r="F8122" s="1">
        <v>2</v>
      </c>
      <c r="G8122" s="1" t="s">
        <v>26</v>
      </c>
      <c r="H8122" s="4" t="str">
        <f>HYPERLINK("https://www.ncbi.nlm.nih.gov/geo/query/acc.cgi?acc=GSM1673043","GSM1673043")</f>
        <v>GSM1673043</v>
      </c>
      <c r="I8122" t="s">
        <v>69</v>
      </c>
      <c r="J8122" t="s">
        <v>18</v>
      </c>
      <c r="K8122" t="s">
        <v>19</v>
      </c>
      <c r="L8122" t="s">
        <v>70</v>
      </c>
      <c r="M8122" t="s">
        <v>44</v>
      </c>
      <c r="N8122" t="s">
        <v>22</v>
      </c>
    </row>
    <row r="8123" spans="1:14">
      <c r="A8123" s="4" t="str">
        <f t="shared" si="742"/>
        <v>EXP00272</v>
      </c>
      <c r="B8123" s="3" t="s">
        <v>66</v>
      </c>
      <c r="C8123" s="4" t="str">
        <f t="shared" si="741"/>
        <v>GSE68468</v>
      </c>
      <c r="D8123" s="1" t="s">
        <v>62</v>
      </c>
      <c r="E8123" t="s">
        <v>377</v>
      </c>
      <c r="F8123" s="1">
        <v>2</v>
      </c>
      <c r="G8123" s="1" t="s">
        <v>26</v>
      </c>
      <c r="H8123" s="4" t="str">
        <f>HYPERLINK("https://www.ncbi.nlm.nih.gov/geo/query/acc.cgi?acc=GSM1673051","GSM1673051")</f>
        <v>GSM1673051</v>
      </c>
      <c r="I8123" t="s">
        <v>69</v>
      </c>
      <c r="J8123" t="s">
        <v>18</v>
      </c>
      <c r="K8123" t="s">
        <v>19</v>
      </c>
      <c r="L8123" t="s">
        <v>70</v>
      </c>
      <c r="M8123" t="s">
        <v>44</v>
      </c>
      <c r="N8123" t="s">
        <v>22</v>
      </c>
    </row>
    <row r="8124" spans="1:14">
      <c r="A8124" s="4" t="str">
        <f t="shared" si="742"/>
        <v>EXP00272</v>
      </c>
      <c r="B8124" s="3" t="s">
        <v>66</v>
      </c>
      <c r="C8124" s="4" t="str">
        <f t="shared" si="741"/>
        <v>GSE68468</v>
      </c>
      <c r="D8124" s="1" t="s">
        <v>62</v>
      </c>
      <c r="E8124" t="s">
        <v>377</v>
      </c>
      <c r="F8124" s="1">
        <v>2</v>
      </c>
      <c r="G8124" s="1" t="s">
        <v>26</v>
      </c>
      <c r="H8124" s="4" t="str">
        <f>HYPERLINK("https://www.ncbi.nlm.nih.gov/geo/query/acc.cgi?acc=GSM1673061","GSM1673061")</f>
        <v>GSM1673061</v>
      </c>
      <c r="I8124" t="s">
        <v>69</v>
      </c>
      <c r="J8124" t="s">
        <v>18</v>
      </c>
      <c r="K8124" t="s">
        <v>19</v>
      </c>
      <c r="L8124" t="s">
        <v>70</v>
      </c>
      <c r="M8124" t="s">
        <v>44</v>
      </c>
      <c r="N8124" t="s">
        <v>22</v>
      </c>
    </row>
    <row r="8125" spans="1:14">
      <c r="A8125" s="4" t="str">
        <f t="shared" si="742"/>
        <v>EXP00272</v>
      </c>
      <c r="B8125" s="3" t="s">
        <v>66</v>
      </c>
      <c r="C8125" s="4" t="str">
        <f t="shared" si="741"/>
        <v>GSE68468</v>
      </c>
      <c r="D8125" s="1" t="s">
        <v>62</v>
      </c>
      <c r="E8125" t="s">
        <v>377</v>
      </c>
      <c r="F8125" s="1">
        <v>2</v>
      </c>
      <c r="G8125" s="1" t="s">
        <v>26</v>
      </c>
      <c r="H8125" s="4" t="str">
        <f>HYPERLINK("https://www.ncbi.nlm.nih.gov/geo/query/acc.cgi?acc=GSM1673075","GSM1673075")</f>
        <v>GSM1673075</v>
      </c>
      <c r="I8125" t="s">
        <v>69</v>
      </c>
      <c r="J8125" t="s">
        <v>18</v>
      </c>
      <c r="K8125" t="s">
        <v>19</v>
      </c>
      <c r="L8125" t="s">
        <v>70</v>
      </c>
      <c r="M8125" t="s">
        <v>44</v>
      </c>
      <c r="N8125" t="s">
        <v>22</v>
      </c>
    </row>
    <row r="8126" spans="1:14">
      <c r="A8126" s="4" t="str">
        <f t="shared" si="742"/>
        <v>EXP00272</v>
      </c>
      <c r="B8126" s="3" t="s">
        <v>66</v>
      </c>
      <c r="C8126" s="4" t="str">
        <f t="shared" si="741"/>
        <v>GSE68468</v>
      </c>
      <c r="D8126" s="1" t="s">
        <v>62</v>
      </c>
      <c r="E8126" t="s">
        <v>377</v>
      </c>
      <c r="F8126" s="1">
        <v>2</v>
      </c>
      <c r="G8126" s="1" t="s">
        <v>26</v>
      </c>
      <c r="H8126" s="4" t="str">
        <f>HYPERLINK("https://www.ncbi.nlm.nih.gov/geo/query/acc.cgi?acc=GSM1673083","GSM1673083")</f>
        <v>GSM1673083</v>
      </c>
      <c r="I8126" t="s">
        <v>69</v>
      </c>
      <c r="J8126" t="s">
        <v>18</v>
      </c>
      <c r="K8126" t="s">
        <v>19</v>
      </c>
      <c r="L8126" t="s">
        <v>70</v>
      </c>
      <c r="M8126" t="s">
        <v>44</v>
      </c>
      <c r="N8126" t="s">
        <v>22</v>
      </c>
    </row>
    <row r="8127" spans="1:14">
      <c r="A8127" s="4" t="str">
        <f t="shared" si="742"/>
        <v>EXP00272</v>
      </c>
      <c r="B8127" s="3" t="s">
        <v>66</v>
      </c>
      <c r="C8127" s="4" t="str">
        <f t="shared" si="741"/>
        <v>GSE68468</v>
      </c>
      <c r="D8127" s="1" t="s">
        <v>62</v>
      </c>
      <c r="E8127" t="s">
        <v>377</v>
      </c>
      <c r="F8127" s="1">
        <v>2</v>
      </c>
      <c r="G8127" s="1" t="s">
        <v>26</v>
      </c>
      <c r="H8127" s="4" t="str">
        <f>HYPERLINK("https://www.ncbi.nlm.nih.gov/geo/query/acc.cgi?acc=GSM1673085","GSM1673085")</f>
        <v>GSM1673085</v>
      </c>
      <c r="I8127" t="s">
        <v>69</v>
      </c>
      <c r="J8127" t="s">
        <v>18</v>
      </c>
      <c r="K8127" t="s">
        <v>19</v>
      </c>
      <c r="L8127" t="s">
        <v>70</v>
      </c>
      <c r="M8127" t="s">
        <v>44</v>
      </c>
      <c r="N8127" t="s">
        <v>22</v>
      </c>
    </row>
    <row r="8128" spans="1:14">
      <c r="A8128" s="4" t="str">
        <f t="shared" si="742"/>
        <v>EXP00272</v>
      </c>
      <c r="B8128" s="3" t="s">
        <v>66</v>
      </c>
      <c r="C8128" s="4" t="str">
        <f t="shared" si="741"/>
        <v>GSE68468</v>
      </c>
      <c r="D8128" s="1" t="s">
        <v>62</v>
      </c>
      <c r="E8128" t="s">
        <v>377</v>
      </c>
      <c r="F8128" s="1">
        <v>2</v>
      </c>
      <c r="G8128" s="1" t="s">
        <v>26</v>
      </c>
      <c r="H8128" s="4" t="str">
        <f>HYPERLINK("https://www.ncbi.nlm.nih.gov/geo/query/acc.cgi?acc=GSM1673088","GSM1673088")</f>
        <v>GSM1673088</v>
      </c>
      <c r="I8128" t="s">
        <v>69</v>
      </c>
      <c r="J8128" t="s">
        <v>18</v>
      </c>
      <c r="K8128" t="s">
        <v>19</v>
      </c>
      <c r="L8128" t="s">
        <v>70</v>
      </c>
      <c r="M8128" t="s">
        <v>44</v>
      </c>
      <c r="N8128" t="s">
        <v>22</v>
      </c>
    </row>
    <row r="8129" spans="1:14">
      <c r="A8129" s="4" t="str">
        <f t="shared" si="742"/>
        <v>EXP00272</v>
      </c>
      <c r="B8129" s="3" t="s">
        <v>66</v>
      </c>
      <c r="C8129" s="4" t="str">
        <f t="shared" si="741"/>
        <v>GSE68468</v>
      </c>
      <c r="D8129" s="1" t="s">
        <v>62</v>
      </c>
      <c r="E8129" t="s">
        <v>377</v>
      </c>
      <c r="F8129" s="1">
        <v>2</v>
      </c>
      <c r="G8129" s="1" t="s">
        <v>26</v>
      </c>
      <c r="H8129" s="4" t="str">
        <f>HYPERLINK("https://www.ncbi.nlm.nih.gov/geo/query/acc.cgi?acc=GSM1673089","GSM1673089")</f>
        <v>GSM1673089</v>
      </c>
      <c r="I8129" t="s">
        <v>69</v>
      </c>
      <c r="J8129" t="s">
        <v>18</v>
      </c>
      <c r="K8129" t="s">
        <v>19</v>
      </c>
      <c r="L8129" t="s">
        <v>70</v>
      </c>
      <c r="M8129" t="s">
        <v>41</v>
      </c>
      <c r="N8129" t="s">
        <v>22</v>
      </c>
    </row>
    <row r="8130" spans="1:14">
      <c r="A8130" s="4" t="str">
        <f t="shared" si="742"/>
        <v>EXP00272</v>
      </c>
      <c r="B8130" s="3" t="s">
        <v>66</v>
      </c>
      <c r="C8130" s="4" t="str">
        <f t="shared" si="741"/>
        <v>GSE68468</v>
      </c>
      <c r="D8130" s="1" t="s">
        <v>62</v>
      </c>
      <c r="E8130" t="s">
        <v>377</v>
      </c>
      <c r="F8130" s="1">
        <v>2</v>
      </c>
      <c r="G8130" s="1" t="s">
        <v>26</v>
      </c>
      <c r="H8130" s="4" t="str">
        <f>HYPERLINK("https://www.ncbi.nlm.nih.gov/geo/query/acc.cgi?acc=GSM1673091","GSM1673091")</f>
        <v>GSM1673091</v>
      </c>
      <c r="I8130" t="s">
        <v>69</v>
      </c>
      <c r="J8130" t="s">
        <v>18</v>
      </c>
      <c r="K8130" t="s">
        <v>19</v>
      </c>
      <c r="L8130" t="s">
        <v>70</v>
      </c>
      <c r="M8130" t="s">
        <v>44</v>
      </c>
      <c r="N8130" t="s">
        <v>22</v>
      </c>
    </row>
    <row r="8131" spans="1:14">
      <c r="A8131" s="4" t="str">
        <f t="shared" si="742"/>
        <v>EXP00272</v>
      </c>
      <c r="B8131" s="3" t="s">
        <v>66</v>
      </c>
      <c r="C8131" s="4" t="str">
        <f t="shared" si="741"/>
        <v>GSE68468</v>
      </c>
      <c r="D8131" s="1" t="s">
        <v>62</v>
      </c>
      <c r="E8131" t="s">
        <v>377</v>
      </c>
      <c r="F8131" s="1">
        <v>2</v>
      </c>
      <c r="G8131" s="1" t="s">
        <v>26</v>
      </c>
      <c r="H8131" s="4" t="str">
        <f>HYPERLINK("https://www.ncbi.nlm.nih.gov/geo/query/acc.cgi?acc=GSM1673092","GSM1673092")</f>
        <v>GSM1673092</v>
      </c>
      <c r="I8131" t="s">
        <v>69</v>
      </c>
      <c r="J8131" t="s">
        <v>18</v>
      </c>
      <c r="K8131" t="s">
        <v>19</v>
      </c>
      <c r="L8131" t="s">
        <v>70</v>
      </c>
      <c r="M8131" t="s">
        <v>41</v>
      </c>
      <c r="N8131" t="s">
        <v>22</v>
      </c>
    </row>
    <row r="8132" spans="1:14">
      <c r="A8132" s="4" t="str">
        <f t="shared" si="742"/>
        <v>EXP00272</v>
      </c>
      <c r="B8132" s="3" t="s">
        <v>66</v>
      </c>
      <c r="C8132" s="4" t="str">
        <f t="shared" si="741"/>
        <v>GSE68468</v>
      </c>
      <c r="D8132" s="1" t="s">
        <v>62</v>
      </c>
      <c r="E8132" t="s">
        <v>377</v>
      </c>
      <c r="F8132" s="1">
        <v>2</v>
      </c>
      <c r="G8132" s="1" t="s">
        <v>26</v>
      </c>
      <c r="H8132" s="4" t="str">
        <f>HYPERLINK("https://www.ncbi.nlm.nih.gov/geo/query/acc.cgi?acc=GSM1673095","GSM1673095")</f>
        <v>GSM1673095</v>
      </c>
      <c r="I8132" t="s">
        <v>69</v>
      </c>
      <c r="J8132" t="s">
        <v>18</v>
      </c>
      <c r="K8132" t="s">
        <v>19</v>
      </c>
      <c r="L8132" t="s">
        <v>70</v>
      </c>
      <c r="M8132" t="s">
        <v>44</v>
      </c>
      <c r="N8132" t="s">
        <v>22</v>
      </c>
    </row>
    <row r="8133" spans="1:14">
      <c r="A8133" s="4" t="str">
        <f t="shared" si="742"/>
        <v>EXP00272</v>
      </c>
      <c r="B8133" s="3" t="s">
        <v>66</v>
      </c>
      <c r="C8133" s="4" t="str">
        <f t="shared" si="741"/>
        <v>GSE68468</v>
      </c>
      <c r="D8133" s="1" t="s">
        <v>62</v>
      </c>
      <c r="E8133" t="s">
        <v>377</v>
      </c>
      <c r="F8133" s="1">
        <v>2</v>
      </c>
      <c r="G8133" s="1" t="s">
        <v>26</v>
      </c>
      <c r="H8133" s="4" t="str">
        <f>HYPERLINK("https://www.ncbi.nlm.nih.gov/geo/query/acc.cgi?acc=GSM1673096","GSM1673096")</f>
        <v>GSM1673096</v>
      </c>
      <c r="I8133" t="s">
        <v>69</v>
      </c>
      <c r="J8133" t="s">
        <v>18</v>
      </c>
      <c r="K8133" t="s">
        <v>19</v>
      </c>
      <c r="L8133" t="s">
        <v>70</v>
      </c>
      <c r="M8133" t="s">
        <v>41</v>
      </c>
      <c r="N8133" t="s">
        <v>22</v>
      </c>
    </row>
    <row r="8134" spans="1:14">
      <c r="A8134" s="4" t="str">
        <f t="shared" si="742"/>
        <v>EXP00272</v>
      </c>
      <c r="B8134" s="3" t="s">
        <v>66</v>
      </c>
      <c r="C8134" s="4" t="str">
        <f t="shared" si="741"/>
        <v>GSE68468</v>
      </c>
      <c r="D8134" s="1" t="s">
        <v>62</v>
      </c>
      <c r="E8134" t="s">
        <v>377</v>
      </c>
      <c r="F8134" s="1">
        <v>2</v>
      </c>
      <c r="G8134" s="1" t="s">
        <v>26</v>
      </c>
      <c r="H8134" s="4" t="str">
        <f>HYPERLINK("https://www.ncbi.nlm.nih.gov/geo/query/acc.cgi?acc=GSM1673102","GSM1673102")</f>
        <v>GSM1673102</v>
      </c>
      <c r="I8134" t="s">
        <v>69</v>
      </c>
      <c r="J8134" t="s">
        <v>18</v>
      </c>
      <c r="K8134" t="s">
        <v>19</v>
      </c>
      <c r="L8134" t="s">
        <v>70</v>
      </c>
      <c r="M8134" t="s">
        <v>44</v>
      </c>
      <c r="N8134" t="s">
        <v>22</v>
      </c>
    </row>
    <row r="8135" spans="1:14">
      <c r="A8135" s="4" t="str">
        <f t="shared" si="742"/>
        <v>EXP00272</v>
      </c>
      <c r="B8135" s="3" t="s">
        <v>66</v>
      </c>
      <c r="C8135" s="4" t="str">
        <f t="shared" si="741"/>
        <v>GSE68468</v>
      </c>
      <c r="D8135" s="1" t="s">
        <v>62</v>
      </c>
      <c r="E8135" t="s">
        <v>377</v>
      </c>
      <c r="F8135" s="1">
        <v>2</v>
      </c>
      <c r="G8135" s="1" t="s">
        <v>26</v>
      </c>
      <c r="H8135" s="4" t="str">
        <f>HYPERLINK("https://www.ncbi.nlm.nih.gov/geo/query/acc.cgi?acc=GSM1673112","GSM1673112")</f>
        <v>GSM1673112</v>
      </c>
      <c r="I8135" t="s">
        <v>69</v>
      </c>
      <c r="J8135" t="s">
        <v>18</v>
      </c>
      <c r="K8135" t="s">
        <v>19</v>
      </c>
      <c r="L8135" t="s">
        <v>70</v>
      </c>
      <c r="M8135" t="s">
        <v>44</v>
      </c>
      <c r="N8135" t="s">
        <v>22</v>
      </c>
    </row>
    <row r="8136" spans="1:14">
      <c r="A8136" s="4" t="str">
        <f t="shared" si="742"/>
        <v>EXP00272</v>
      </c>
      <c r="B8136" s="3" t="s">
        <v>66</v>
      </c>
      <c r="C8136" s="4" t="str">
        <f t="shared" si="741"/>
        <v>GSE68468</v>
      </c>
      <c r="D8136" s="1" t="s">
        <v>62</v>
      </c>
      <c r="E8136" t="s">
        <v>377</v>
      </c>
      <c r="F8136" s="1">
        <v>2</v>
      </c>
      <c r="G8136" s="1" t="s">
        <v>26</v>
      </c>
      <c r="H8136" s="4" t="str">
        <f>HYPERLINK("https://www.ncbi.nlm.nih.gov/geo/query/acc.cgi?acc=GSM1673124","GSM1673124")</f>
        <v>GSM1673124</v>
      </c>
      <c r="I8136" t="s">
        <v>69</v>
      </c>
      <c r="J8136" t="s">
        <v>18</v>
      </c>
      <c r="K8136" t="s">
        <v>19</v>
      </c>
      <c r="L8136" t="s">
        <v>70</v>
      </c>
      <c r="M8136" t="s">
        <v>41</v>
      </c>
      <c r="N8136" t="s">
        <v>22</v>
      </c>
    </row>
    <row r="8137" spans="1:14">
      <c r="A8137" s="4" t="str">
        <f t="shared" si="742"/>
        <v>EXP00272</v>
      </c>
      <c r="B8137" s="3" t="s">
        <v>66</v>
      </c>
      <c r="C8137" s="4" t="str">
        <f t="shared" si="741"/>
        <v>GSE68468</v>
      </c>
      <c r="D8137" s="1" t="s">
        <v>62</v>
      </c>
      <c r="E8137" t="s">
        <v>377</v>
      </c>
      <c r="F8137" s="1">
        <v>2</v>
      </c>
      <c r="G8137" s="1" t="s">
        <v>26</v>
      </c>
      <c r="H8137" s="4" t="str">
        <f>HYPERLINK("https://www.ncbi.nlm.nih.gov/geo/query/acc.cgi?acc=GSM1673129","GSM1673129")</f>
        <v>GSM1673129</v>
      </c>
      <c r="I8137" t="s">
        <v>69</v>
      </c>
      <c r="J8137" t="s">
        <v>18</v>
      </c>
      <c r="K8137" t="s">
        <v>19</v>
      </c>
      <c r="L8137" t="s">
        <v>70</v>
      </c>
      <c r="M8137" t="s">
        <v>44</v>
      </c>
      <c r="N8137" t="s">
        <v>22</v>
      </c>
    </row>
    <row r="8138" spans="1:14">
      <c r="A8138" s="4" t="str">
        <f t="shared" si="742"/>
        <v>EXP00272</v>
      </c>
      <c r="B8138" s="3" t="s">
        <v>66</v>
      </c>
      <c r="C8138" s="4" t="str">
        <f t="shared" si="741"/>
        <v>GSE68468</v>
      </c>
      <c r="D8138" s="1" t="s">
        <v>62</v>
      </c>
      <c r="E8138" t="s">
        <v>377</v>
      </c>
      <c r="F8138" s="1">
        <v>2</v>
      </c>
      <c r="G8138" s="1" t="s">
        <v>26</v>
      </c>
      <c r="H8138" s="4" t="str">
        <f>HYPERLINK("https://www.ncbi.nlm.nih.gov/geo/query/acc.cgi?acc=GSM1673134","GSM1673134")</f>
        <v>GSM1673134</v>
      </c>
      <c r="I8138" t="s">
        <v>69</v>
      </c>
      <c r="J8138" t="s">
        <v>18</v>
      </c>
      <c r="K8138" t="s">
        <v>19</v>
      </c>
      <c r="L8138" t="s">
        <v>70</v>
      </c>
      <c r="M8138" t="s">
        <v>44</v>
      </c>
      <c r="N8138" t="s">
        <v>22</v>
      </c>
    </row>
    <row r="8139" spans="1:14">
      <c r="A8139" s="4" t="str">
        <f t="shared" si="742"/>
        <v>EXP00272</v>
      </c>
      <c r="B8139" s="3" t="s">
        <v>66</v>
      </c>
      <c r="C8139" s="4" t="str">
        <f t="shared" si="741"/>
        <v>GSE68468</v>
      </c>
      <c r="D8139" s="1" t="s">
        <v>62</v>
      </c>
      <c r="E8139" t="s">
        <v>377</v>
      </c>
      <c r="F8139" s="1">
        <v>2</v>
      </c>
      <c r="G8139" s="1" t="s">
        <v>26</v>
      </c>
      <c r="H8139" s="4" t="str">
        <f>HYPERLINK("https://www.ncbi.nlm.nih.gov/geo/query/acc.cgi?acc=GSM1673135","GSM1673135")</f>
        <v>GSM1673135</v>
      </c>
      <c r="I8139" t="s">
        <v>69</v>
      </c>
      <c r="J8139" t="s">
        <v>18</v>
      </c>
      <c r="K8139" t="s">
        <v>19</v>
      </c>
      <c r="L8139" t="s">
        <v>70</v>
      </c>
      <c r="M8139" t="s">
        <v>44</v>
      </c>
      <c r="N8139" t="s">
        <v>22</v>
      </c>
    </row>
    <row r="8140" spans="1:14">
      <c r="A8140" s="4" t="str">
        <f t="shared" si="742"/>
        <v>EXP00272</v>
      </c>
      <c r="B8140" s="3" t="s">
        <v>66</v>
      </c>
      <c r="C8140" s="4" t="str">
        <f t="shared" si="741"/>
        <v>GSE68468</v>
      </c>
      <c r="D8140" s="1" t="s">
        <v>62</v>
      </c>
      <c r="E8140" t="s">
        <v>377</v>
      </c>
      <c r="F8140" s="1">
        <v>2</v>
      </c>
      <c r="G8140" s="1" t="s">
        <v>26</v>
      </c>
      <c r="H8140" s="4" t="str">
        <f>HYPERLINK("https://www.ncbi.nlm.nih.gov/geo/query/acc.cgi?acc=GSM1673136","GSM1673136")</f>
        <v>GSM1673136</v>
      </c>
      <c r="I8140" t="s">
        <v>69</v>
      </c>
      <c r="J8140" t="s">
        <v>18</v>
      </c>
      <c r="K8140" t="s">
        <v>19</v>
      </c>
      <c r="L8140" t="s">
        <v>70</v>
      </c>
      <c r="M8140" t="s">
        <v>44</v>
      </c>
      <c r="N8140" t="s">
        <v>22</v>
      </c>
    </row>
    <row r="8141" spans="1:14">
      <c r="A8141" s="4" t="str">
        <f t="shared" si="742"/>
        <v>EXP00272</v>
      </c>
      <c r="B8141" s="3" t="s">
        <v>66</v>
      </c>
      <c r="C8141" s="4" t="str">
        <f t="shared" si="741"/>
        <v>GSE68468</v>
      </c>
      <c r="D8141" s="1" t="s">
        <v>62</v>
      </c>
      <c r="E8141" t="s">
        <v>377</v>
      </c>
      <c r="F8141" s="1">
        <v>2</v>
      </c>
      <c r="G8141" s="1" t="s">
        <v>26</v>
      </c>
      <c r="H8141" s="4" t="str">
        <f>HYPERLINK("https://www.ncbi.nlm.nih.gov/geo/query/acc.cgi?acc=GSM1673145","GSM1673145")</f>
        <v>GSM1673145</v>
      </c>
      <c r="I8141" t="s">
        <v>69</v>
      </c>
      <c r="J8141" t="s">
        <v>18</v>
      </c>
      <c r="K8141" t="s">
        <v>19</v>
      </c>
      <c r="L8141" t="s">
        <v>70</v>
      </c>
      <c r="M8141" t="s">
        <v>44</v>
      </c>
      <c r="N8141" t="s">
        <v>22</v>
      </c>
    </row>
    <row r="8142" spans="1:14">
      <c r="A8142" s="4" t="str">
        <f t="shared" si="742"/>
        <v>EXP00272</v>
      </c>
      <c r="B8142" s="3" t="s">
        <v>66</v>
      </c>
      <c r="C8142" s="4" t="str">
        <f t="shared" si="741"/>
        <v>GSE68468</v>
      </c>
      <c r="D8142" s="1" t="s">
        <v>62</v>
      </c>
      <c r="E8142" t="s">
        <v>377</v>
      </c>
      <c r="F8142" s="1">
        <v>2</v>
      </c>
      <c r="G8142" s="1" t="s">
        <v>26</v>
      </c>
      <c r="H8142" s="4" t="str">
        <f>HYPERLINK("https://www.ncbi.nlm.nih.gov/geo/query/acc.cgi?acc=GSM1673159","GSM1673159")</f>
        <v>GSM1673159</v>
      </c>
      <c r="I8142" t="s">
        <v>69</v>
      </c>
      <c r="J8142" t="s">
        <v>18</v>
      </c>
      <c r="K8142" t="s">
        <v>19</v>
      </c>
      <c r="L8142" t="s">
        <v>70</v>
      </c>
      <c r="M8142" t="s">
        <v>44</v>
      </c>
      <c r="N8142" t="s">
        <v>22</v>
      </c>
    </row>
    <row r="8143" spans="1:14">
      <c r="A8143" s="4" t="str">
        <f t="shared" si="742"/>
        <v>EXP00272</v>
      </c>
      <c r="B8143" s="3" t="s">
        <v>66</v>
      </c>
      <c r="C8143" s="4" t="str">
        <f t="shared" si="741"/>
        <v>GSE68468</v>
      </c>
      <c r="D8143" s="1" t="s">
        <v>62</v>
      </c>
      <c r="E8143" t="s">
        <v>377</v>
      </c>
      <c r="F8143" s="1">
        <v>2</v>
      </c>
      <c r="G8143" s="1" t="s">
        <v>26</v>
      </c>
      <c r="H8143" s="4" t="str">
        <f>HYPERLINK("https://www.ncbi.nlm.nih.gov/geo/query/acc.cgi?acc=GSM1673166","GSM1673166")</f>
        <v>GSM1673166</v>
      </c>
      <c r="I8143" t="s">
        <v>69</v>
      </c>
      <c r="J8143" t="s">
        <v>18</v>
      </c>
      <c r="K8143" t="s">
        <v>19</v>
      </c>
      <c r="L8143" t="s">
        <v>70</v>
      </c>
      <c r="M8143" t="s">
        <v>44</v>
      </c>
      <c r="N8143" t="s">
        <v>22</v>
      </c>
    </row>
    <row r="8144" spans="1:14">
      <c r="A8144" s="4" t="str">
        <f t="shared" si="742"/>
        <v>EXP00272</v>
      </c>
      <c r="B8144" s="3" t="s">
        <v>66</v>
      </c>
      <c r="C8144" s="4" t="str">
        <f t="shared" si="741"/>
        <v>GSE68468</v>
      </c>
      <c r="D8144" s="1" t="s">
        <v>62</v>
      </c>
      <c r="E8144" t="s">
        <v>377</v>
      </c>
      <c r="F8144" s="1">
        <v>2</v>
      </c>
      <c r="G8144" s="1" t="s">
        <v>26</v>
      </c>
      <c r="H8144" s="4" t="str">
        <f>HYPERLINK("https://www.ncbi.nlm.nih.gov/geo/query/acc.cgi?acc=GSM1673167","GSM1673167")</f>
        <v>GSM1673167</v>
      </c>
      <c r="I8144" t="s">
        <v>69</v>
      </c>
      <c r="J8144" t="s">
        <v>18</v>
      </c>
      <c r="K8144" t="s">
        <v>19</v>
      </c>
      <c r="L8144" t="s">
        <v>70</v>
      </c>
      <c r="M8144" t="s">
        <v>44</v>
      </c>
      <c r="N8144" t="s">
        <v>22</v>
      </c>
    </row>
    <row r="8145" spans="1:14">
      <c r="A8145" s="4" t="str">
        <f t="shared" si="742"/>
        <v>EXP00272</v>
      </c>
      <c r="B8145" s="3" t="s">
        <v>66</v>
      </c>
      <c r="C8145" s="4" t="str">
        <f t="shared" si="741"/>
        <v>GSE68468</v>
      </c>
      <c r="D8145" s="1" t="s">
        <v>62</v>
      </c>
      <c r="E8145" t="s">
        <v>377</v>
      </c>
      <c r="F8145" s="1">
        <v>2</v>
      </c>
      <c r="G8145" s="1" t="s">
        <v>26</v>
      </c>
      <c r="H8145" s="4" t="str">
        <f>HYPERLINK("https://www.ncbi.nlm.nih.gov/geo/query/acc.cgi?acc=GSM1673168","GSM1673168")</f>
        <v>GSM1673168</v>
      </c>
      <c r="I8145" t="s">
        <v>69</v>
      </c>
      <c r="J8145" t="s">
        <v>18</v>
      </c>
      <c r="K8145" t="s">
        <v>19</v>
      </c>
      <c r="L8145" t="s">
        <v>70</v>
      </c>
      <c r="M8145" t="s">
        <v>44</v>
      </c>
      <c r="N8145" t="s">
        <v>22</v>
      </c>
    </row>
    <row r="8146" spans="1:14">
      <c r="A8146" s="4" t="str">
        <f t="shared" si="742"/>
        <v>EXP00272</v>
      </c>
      <c r="B8146" s="3" t="s">
        <v>66</v>
      </c>
      <c r="C8146" s="4" t="str">
        <f t="shared" si="741"/>
        <v>GSE68468</v>
      </c>
      <c r="D8146" s="1" t="s">
        <v>62</v>
      </c>
      <c r="E8146" t="s">
        <v>377</v>
      </c>
      <c r="F8146" s="1">
        <v>2</v>
      </c>
      <c r="G8146" s="1" t="s">
        <v>26</v>
      </c>
      <c r="H8146" s="4" t="str">
        <f>HYPERLINK("https://www.ncbi.nlm.nih.gov/geo/query/acc.cgi?acc=GSM1673169","GSM1673169")</f>
        <v>GSM1673169</v>
      </c>
      <c r="I8146" t="s">
        <v>69</v>
      </c>
      <c r="J8146" t="s">
        <v>18</v>
      </c>
      <c r="K8146" t="s">
        <v>19</v>
      </c>
      <c r="L8146" t="s">
        <v>70</v>
      </c>
      <c r="M8146" t="s">
        <v>41</v>
      </c>
      <c r="N8146" t="s">
        <v>22</v>
      </c>
    </row>
    <row r="8147" spans="1:14">
      <c r="A8147" s="4" t="str">
        <f t="shared" si="742"/>
        <v>EXP00272</v>
      </c>
      <c r="B8147" s="3" t="s">
        <v>66</v>
      </c>
      <c r="C8147" s="4" t="str">
        <f t="shared" si="741"/>
        <v>GSE68468</v>
      </c>
      <c r="D8147" s="1" t="s">
        <v>62</v>
      </c>
      <c r="E8147" t="s">
        <v>377</v>
      </c>
      <c r="F8147" s="1">
        <v>2</v>
      </c>
      <c r="G8147" s="1" t="s">
        <v>26</v>
      </c>
      <c r="H8147" s="4" t="str">
        <f>HYPERLINK("https://www.ncbi.nlm.nih.gov/geo/query/acc.cgi?acc=GSM1673193","GSM1673193")</f>
        <v>GSM1673193</v>
      </c>
      <c r="I8147" t="s">
        <v>69</v>
      </c>
      <c r="J8147" t="s">
        <v>18</v>
      </c>
      <c r="K8147" t="s">
        <v>19</v>
      </c>
      <c r="L8147" t="s">
        <v>70</v>
      </c>
      <c r="M8147" t="s">
        <v>41</v>
      </c>
      <c r="N8147" t="s">
        <v>22</v>
      </c>
    </row>
    <row r="8148" spans="1:14">
      <c r="A8148" s="4" t="str">
        <f t="shared" si="742"/>
        <v>EXP00272</v>
      </c>
      <c r="B8148" s="3" t="s">
        <v>66</v>
      </c>
      <c r="C8148" s="4" t="str">
        <f t="shared" si="741"/>
        <v>GSE68468</v>
      </c>
      <c r="D8148" s="1" t="s">
        <v>62</v>
      </c>
      <c r="E8148" t="s">
        <v>377</v>
      </c>
      <c r="F8148" s="1">
        <v>2</v>
      </c>
      <c r="G8148" s="1" t="s">
        <v>26</v>
      </c>
      <c r="H8148" s="4" t="str">
        <f>HYPERLINK("https://www.ncbi.nlm.nih.gov/geo/query/acc.cgi?acc=GSM1673196","GSM1673196")</f>
        <v>GSM1673196</v>
      </c>
      <c r="I8148" t="s">
        <v>69</v>
      </c>
      <c r="J8148" t="s">
        <v>18</v>
      </c>
      <c r="K8148" t="s">
        <v>19</v>
      </c>
      <c r="L8148" t="s">
        <v>70</v>
      </c>
      <c r="M8148" t="s">
        <v>44</v>
      </c>
      <c r="N8148" t="s">
        <v>22</v>
      </c>
    </row>
    <row r="8149" spans="1:14">
      <c r="A8149" s="4" t="str">
        <f t="shared" si="742"/>
        <v>EXP00272</v>
      </c>
      <c r="B8149" s="3" t="s">
        <v>66</v>
      </c>
      <c r="C8149" s="4" t="str">
        <f t="shared" si="741"/>
        <v>GSE68468</v>
      </c>
      <c r="D8149" s="1" t="s">
        <v>62</v>
      </c>
      <c r="E8149" t="s">
        <v>377</v>
      </c>
      <c r="F8149" s="1">
        <v>2</v>
      </c>
      <c r="G8149" s="1" t="s">
        <v>26</v>
      </c>
      <c r="H8149" s="4" t="str">
        <f>HYPERLINK("https://www.ncbi.nlm.nih.gov/geo/query/acc.cgi?acc=GSM1673197","GSM1673197")</f>
        <v>GSM1673197</v>
      </c>
      <c r="I8149" t="s">
        <v>69</v>
      </c>
      <c r="J8149" t="s">
        <v>18</v>
      </c>
      <c r="K8149" t="s">
        <v>19</v>
      </c>
      <c r="L8149" t="s">
        <v>70</v>
      </c>
      <c r="M8149" t="s">
        <v>44</v>
      </c>
      <c r="N8149" t="s">
        <v>22</v>
      </c>
    </row>
    <row r="8150" spans="1:14">
      <c r="A8150" s="4" t="str">
        <f t="shared" si="742"/>
        <v>EXP00272</v>
      </c>
      <c r="B8150" s="3" t="s">
        <v>66</v>
      </c>
      <c r="C8150" s="4" t="str">
        <f t="shared" si="741"/>
        <v>GSE68468</v>
      </c>
      <c r="D8150" s="1" t="s">
        <v>62</v>
      </c>
      <c r="E8150" t="s">
        <v>377</v>
      </c>
      <c r="F8150" s="1">
        <v>2</v>
      </c>
      <c r="G8150" s="1" t="s">
        <v>26</v>
      </c>
      <c r="H8150" s="4" t="str">
        <f>HYPERLINK("https://www.ncbi.nlm.nih.gov/geo/query/acc.cgi?acc=GSM1673198","GSM1673198")</f>
        <v>GSM1673198</v>
      </c>
      <c r="I8150" t="s">
        <v>69</v>
      </c>
      <c r="J8150" t="s">
        <v>18</v>
      </c>
      <c r="K8150" t="s">
        <v>19</v>
      </c>
      <c r="L8150" t="s">
        <v>70</v>
      </c>
      <c r="M8150" t="s">
        <v>44</v>
      </c>
      <c r="N8150" t="s">
        <v>22</v>
      </c>
    </row>
    <row r="8151" spans="1:14">
      <c r="A8151" s="4" t="str">
        <f t="shared" si="742"/>
        <v>EXP00272</v>
      </c>
      <c r="B8151" s="3" t="s">
        <v>66</v>
      </c>
      <c r="C8151" s="4" t="str">
        <f t="shared" si="741"/>
        <v>GSE68468</v>
      </c>
      <c r="D8151" s="1" t="s">
        <v>62</v>
      </c>
      <c r="E8151" t="s">
        <v>377</v>
      </c>
      <c r="F8151" s="1">
        <v>2</v>
      </c>
      <c r="G8151" s="1" t="s">
        <v>26</v>
      </c>
      <c r="H8151" s="4" t="str">
        <f>HYPERLINK("https://www.ncbi.nlm.nih.gov/geo/query/acc.cgi?acc=GSM1673202","GSM1673202")</f>
        <v>GSM1673202</v>
      </c>
      <c r="I8151" t="s">
        <v>69</v>
      </c>
      <c r="J8151" t="s">
        <v>18</v>
      </c>
      <c r="K8151" t="s">
        <v>19</v>
      </c>
      <c r="L8151" t="s">
        <v>70</v>
      </c>
      <c r="M8151" t="s">
        <v>44</v>
      </c>
      <c r="N8151" t="s">
        <v>22</v>
      </c>
    </row>
    <row r="8152" spans="1:14">
      <c r="A8152" s="4" t="str">
        <f t="shared" si="742"/>
        <v>EXP00272</v>
      </c>
      <c r="B8152" s="3" t="s">
        <v>66</v>
      </c>
      <c r="C8152" s="4" t="str">
        <f t="shared" si="741"/>
        <v>GSE68468</v>
      </c>
      <c r="D8152" s="1" t="s">
        <v>62</v>
      </c>
      <c r="E8152" t="s">
        <v>377</v>
      </c>
      <c r="F8152" s="1">
        <v>2</v>
      </c>
      <c r="G8152" s="1" t="s">
        <v>26</v>
      </c>
      <c r="H8152" s="4" t="str">
        <f>HYPERLINK("https://www.ncbi.nlm.nih.gov/geo/query/acc.cgi?acc=GSM1673217","GSM1673217")</f>
        <v>GSM1673217</v>
      </c>
      <c r="I8152" t="s">
        <v>69</v>
      </c>
      <c r="J8152" t="s">
        <v>18</v>
      </c>
      <c r="K8152" t="s">
        <v>19</v>
      </c>
      <c r="L8152" t="s">
        <v>70</v>
      </c>
      <c r="M8152" t="s">
        <v>44</v>
      </c>
      <c r="N8152" t="s">
        <v>22</v>
      </c>
    </row>
    <row r="8153" spans="1:14">
      <c r="A8153" s="4" t="str">
        <f t="shared" si="742"/>
        <v>EXP00272</v>
      </c>
      <c r="B8153" s="3" t="s">
        <v>66</v>
      </c>
      <c r="C8153" s="4" t="str">
        <f t="shared" si="741"/>
        <v>GSE68468</v>
      </c>
      <c r="D8153" s="1" t="s">
        <v>62</v>
      </c>
      <c r="E8153" t="s">
        <v>377</v>
      </c>
      <c r="F8153" s="1">
        <v>2</v>
      </c>
      <c r="G8153" s="1" t="s">
        <v>26</v>
      </c>
      <c r="H8153" s="4" t="str">
        <f>HYPERLINK("https://www.ncbi.nlm.nih.gov/geo/query/acc.cgi?acc=GSM1673224","GSM1673224")</f>
        <v>GSM1673224</v>
      </c>
      <c r="I8153" t="s">
        <v>69</v>
      </c>
      <c r="J8153" t="s">
        <v>18</v>
      </c>
      <c r="K8153" t="s">
        <v>19</v>
      </c>
      <c r="L8153" t="s">
        <v>70</v>
      </c>
      <c r="M8153" t="s">
        <v>44</v>
      </c>
      <c r="N8153" t="s">
        <v>22</v>
      </c>
    </row>
    <row r="8154" spans="1:14">
      <c r="A8154" s="4" t="str">
        <f t="shared" ref="A8154:A8175" si="743">HYPERLINK("http://hcmdb.i-sanger.com/experiment/details/experiment_id/EXP00272","EXP00272")</f>
        <v>EXP00272</v>
      </c>
      <c r="B8154" s="3" t="s">
        <v>66</v>
      </c>
      <c r="C8154" s="4" t="str">
        <f t="shared" si="741"/>
        <v>GSE68468</v>
      </c>
      <c r="D8154" s="1" t="s">
        <v>62</v>
      </c>
      <c r="E8154" t="s">
        <v>377</v>
      </c>
      <c r="F8154" s="1">
        <v>2</v>
      </c>
      <c r="G8154" s="1" t="s">
        <v>26</v>
      </c>
      <c r="H8154" s="4" t="str">
        <f>HYPERLINK("https://www.ncbi.nlm.nih.gov/geo/query/acc.cgi?acc=GSM1673225","GSM1673225")</f>
        <v>GSM1673225</v>
      </c>
      <c r="I8154" t="s">
        <v>69</v>
      </c>
      <c r="J8154" t="s">
        <v>18</v>
      </c>
      <c r="K8154" t="s">
        <v>19</v>
      </c>
      <c r="L8154" t="s">
        <v>70</v>
      </c>
      <c r="M8154" t="s">
        <v>44</v>
      </c>
      <c r="N8154" t="s">
        <v>22</v>
      </c>
    </row>
    <row r="8155" spans="1:14">
      <c r="A8155" s="4" t="str">
        <f t="shared" si="743"/>
        <v>EXP00272</v>
      </c>
      <c r="B8155" s="3" t="s">
        <v>66</v>
      </c>
      <c r="C8155" s="4" t="str">
        <f t="shared" si="741"/>
        <v>GSE68468</v>
      </c>
      <c r="D8155" s="1" t="s">
        <v>62</v>
      </c>
      <c r="E8155" t="s">
        <v>377</v>
      </c>
      <c r="F8155" s="1">
        <v>2</v>
      </c>
      <c r="G8155" s="1" t="s">
        <v>26</v>
      </c>
      <c r="H8155" s="4" t="str">
        <f>HYPERLINK("https://www.ncbi.nlm.nih.gov/geo/query/acc.cgi?acc=GSM1673234","GSM1673234")</f>
        <v>GSM1673234</v>
      </c>
      <c r="I8155" t="s">
        <v>69</v>
      </c>
      <c r="J8155" t="s">
        <v>18</v>
      </c>
      <c r="K8155" t="s">
        <v>19</v>
      </c>
      <c r="L8155" t="s">
        <v>70</v>
      </c>
      <c r="M8155" t="s">
        <v>44</v>
      </c>
      <c r="N8155" t="s">
        <v>22</v>
      </c>
    </row>
    <row r="8156" spans="1:14">
      <c r="A8156" s="4" t="str">
        <f t="shared" si="743"/>
        <v>EXP00272</v>
      </c>
      <c r="B8156" s="3" t="s">
        <v>66</v>
      </c>
      <c r="C8156" s="4" t="str">
        <f t="shared" si="741"/>
        <v>GSE68468</v>
      </c>
      <c r="D8156" s="1" t="s">
        <v>62</v>
      </c>
      <c r="E8156" t="s">
        <v>377</v>
      </c>
      <c r="F8156" s="1">
        <v>2</v>
      </c>
      <c r="G8156" s="1" t="s">
        <v>26</v>
      </c>
      <c r="H8156" s="4" t="str">
        <f>HYPERLINK("https://www.ncbi.nlm.nih.gov/geo/query/acc.cgi?acc=GSM1673235","GSM1673235")</f>
        <v>GSM1673235</v>
      </c>
      <c r="I8156" t="s">
        <v>69</v>
      </c>
      <c r="J8156" t="s">
        <v>18</v>
      </c>
      <c r="K8156" t="s">
        <v>19</v>
      </c>
      <c r="L8156" t="s">
        <v>70</v>
      </c>
      <c r="M8156" t="s">
        <v>41</v>
      </c>
      <c r="N8156" t="s">
        <v>22</v>
      </c>
    </row>
    <row r="8157" spans="1:14">
      <c r="A8157" s="4" t="str">
        <f t="shared" si="743"/>
        <v>EXP00272</v>
      </c>
      <c r="B8157" s="3" t="s">
        <v>66</v>
      </c>
      <c r="C8157" s="4" t="str">
        <f t="shared" si="741"/>
        <v>GSE68468</v>
      </c>
      <c r="D8157" s="1" t="s">
        <v>62</v>
      </c>
      <c r="E8157" t="s">
        <v>377</v>
      </c>
      <c r="F8157" s="1">
        <v>2</v>
      </c>
      <c r="G8157" s="1" t="s">
        <v>26</v>
      </c>
      <c r="H8157" s="4" t="str">
        <f>HYPERLINK("https://www.ncbi.nlm.nih.gov/geo/query/acc.cgi?acc=GSM1673236","GSM1673236")</f>
        <v>GSM1673236</v>
      </c>
      <c r="I8157" t="s">
        <v>69</v>
      </c>
      <c r="J8157" t="s">
        <v>18</v>
      </c>
      <c r="K8157" t="s">
        <v>19</v>
      </c>
      <c r="L8157" t="s">
        <v>70</v>
      </c>
      <c r="M8157" t="s">
        <v>41</v>
      </c>
      <c r="N8157" t="s">
        <v>22</v>
      </c>
    </row>
    <row r="8158" spans="1:14">
      <c r="A8158" s="4" t="str">
        <f t="shared" si="743"/>
        <v>EXP00272</v>
      </c>
      <c r="B8158" s="3" t="s">
        <v>66</v>
      </c>
      <c r="C8158" s="4" t="str">
        <f t="shared" si="741"/>
        <v>GSE68468</v>
      </c>
      <c r="D8158" s="1" t="s">
        <v>62</v>
      </c>
      <c r="E8158" t="s">
        <v>377</v>
      </c>
      <c r="F8158" s="1">
        <v>2</v>
      </c>
      <c r="G8158" s="1" t="s">
        <v>26</v>
      </c>
      <c r="H8158" s="4" t="str">
        <f>HYPERLINK("https://www.ncbi.nlm.nih.gov/geo/query/acc.cgi?acc=GSM1673237","GSM1673237")</f>
        <v>GSM1673237</v>
      </c>
      <c r="I8158" t="s">
        <v>69</v>
      </c>
      <c r="J8158" t="s">
        <v>18</v>
      </c>
      <c r="K8158" t="s">
        <v>19</v>
      </c>
      <c r="L8158" t="s">
        <v>70</v>
      </c>
      <c r="M8158" t="s">
        <v>44</v>
      </c>
      <c r="N8158" t="s">
        <v>22</v>
      </c>
    </row>
    <row r="8159" spans="1:14">
      <c r="A8159" s="4" t="str">
        <f t="shared" si="743"/>
        <v>EXP00272</v>
      </c>
      <c r="B8159" s="3" t="s">
        <v>66</v>
      </c>
      <c r="C8159" s="4" t="str">
        <f t="shared" si="741"/>
        <v>GSE68468</v>
      </c>
      <c r="D8159" s="1" t="s">
        <v>62</v>
      </c>
      <c r="E8159" t="s">
        <v>377</v>
      </c>
      <c r="F8159" s="1">
        <v>2</v>
      </c>
      <c r="G8159" s="1" t="s">
        <v>26</v>
      </c>
      <c r="H8159" s="4" t="str">
        <f>HYPERLINK("https://www.ncbi.nlm.nih.gov/geo/query/acc.cgi?acc=GSM1673244","GSM1673244")</f>
        <v>GSM1673244</v>
      </c>
      <c r="I8159" t="s">
        <v>69</v>
      </c>
      <c r="J8159" t="s">
        <v>18</v>
      </c>
      <c r="K8159" t="s">
        <v>19</v>
      </c>
      <c r="L8159" t="s">
        <v>70</v>
      </c>
      <c r="M8159" t="s">
        <v>44</v>
      </c>
      <c r="N8159" t="s">
        <v>22</v>
      </c>
    </row>
    <row r="8160" spans="1:14">
      <c r="A8160" s="4" t="str">
        <f t="shared" si="743"/>
        <v>EXP00272</v>
      </c>
      <c r="B8160" s="3" t="s">
        <v>66</v>
      </c>
      <c r="C8160" s="4" t="str">
        <f t="shared" si="741"/>
        <v>GSE68468</v>
      </c>
      <c r="D8160" s="1" t="s">
        <v>62</v>
      </c>
      <c r="E8160" t="s">
        <v>377</v>
      </c>
      <c r="F8160" s="1">
        <v>2</v>
      </c>
      <c r="G8160" s="1" t="s">
        <v>26</v>
      </c>
      <c r="H8160" s="4" t="str">
        <f>HYPERLINK("https://www.ncbi.nlm.nih.gov/geo/query/acc.cgi?acc=GSM1673246","GSM1673246")</f>
        <v>GSM1673246</v>
      </c>
      <c r="I8160" t="s">
        <v>69</v>
      </c>
      <c r="J8160" t="s">
        <v>18</v>
      </c>
      <c r="K8160" t="s">
        <v>19</v>
      </c>
      <c r="L8160" t="s">
        <v>70</v>
      </c>
      <c r="M8160" t="s">
        <v>41</v>
      </c>
      <c r="N8160" t="s">
        <v>22</v>
      </c>
    </row>
    <row r="8161" spans="1:14">
      <c r="A8161" s="4" t="str">
        <f t="shared" si="743"/>
        <v>EXP00272</v>
      </c>
      <c r="B8161" s="3" t="s">
        <v>66</v>
      </c>
      <c r="C8161" s="4" t="str">
        <f t="shared" si="741"/>
        <v>GSE68468</v>
      </c>
      <c r="D8161" s="1" t="s">
        <v>62</v>
      </c>
      <c r="E8161" t="s">
        <v>377</v>
      </c>
      <c r="F8161" s="1">
        <v>2</v>
      </c>
      <c r="G8161" s="1" t="s">
        <v>26</v>
      </c>
      <c r="H8161" s="4" t="str">
        <f>HYPERLINK("https://www.ncbi.nlm.nih.gov/geo/query/acc.cgi?acc=GSM1673255","GSM1673255")</f>
        <v>GSM1673255</v>
      </c>
      <c r="I8161" t="s">
        <v>69</v>
      </c>
      <c r="J8161" t="s">
        <v>18</v>
      </c>
      <c r="K8161" t="s">
        <v>19</v>
      </c>
      <c r="L8161" t="s">
        <v>70</v>
      </c>
      <c r="M8161" t="s">
        <v>44</v>
      </c>
      <c r="N8161" t="s">
        <v>22</v>
      </c>
    </row>
    <row r="8162" spans="1:14">
      <c r="A8162" s="4" t="str">
        <f t="shared" si="743"/>
        <v>EXP00272</v>
      </c>
      <c r="B8162" s="3" t="s">
        <v>66</v>
      </c>
      <c r="C8162" s="4" t="str">
        <f t="shared" si="741"/>
        <v>GSE68468</v>
      </c>
      <c r="D8162" s="1" t="s">
        <v>62</v>
      </c>
      <c r="E8162" t="s">
        <v>377</v>
      </c>
      <c r="F8162" s="1">
        <v>2</v>
      </c>
      <c r="G8162" s="1" t="s">
        <v>26</v>
      </c>
      <c r="H8162" s="4" t="str">
        <f>HYPERLINK("https://www.ncbi.nlm.nih.gov/geo/query/acc.cgi?acc=GSM1673266","GSM1673266")</f>
        <v>GSM1673266</v>
      </c>
      <c r="I8162" t="s">
        <v>69</v>
      </c>
      <c r="J8162" t="s">
        <v>18</v>
      </c>
      <c r="K8162" t="s">
        <v>19</v>
      </c>
      <c r="L8162" t="s">
        <v>70</v>
      </c>
      <c r="M8162" t="s">
        <v>44</v>
      </c>
      <c r="N8162" t="s">
        <v>22</v>
      </c>
    </row>
    <row r="8163" spans="1:14">
      <c r="A8163" s="4" t="str">
        <f t="shared" si="743"/>
        <v>EXP00272</v>
      </c>
      <c r="B8163" s="3" t="s">
        <v>66</v>
      </c>
      <c r="C8163" s="4" t="str">
        <f t="shared" si="741"/>
        <v>GSE68468</v>
      </c>
      <c r="D8163" s="1" t="s">
        <v>62</v>
      </c>
      <c r="E8163" t="s">
        <v>377</v>
      </c>
      <c r="F8163" s="1">
        <v>2</v>
      </c>
      <c r="G8163" s="1" t="s">
        <v>26</v>
      </c>
      <c r="H8163" s="4" t="str">
        <f>HYPERLINK("https://www.ncbi.nlm.nih.gov/geo/query/acc.cgi?acc=GSM1673267","GSM1673267")</f>
        <v>GSM1673267</v>
      </c>
      <c r="I8163" t="s">
        <v>69</v>
      </c>
      <c r="J8163" t="s">
        <v>18</v>
      </c>
      <c r="K8163" t="s">
        <v>19</v>
      </c>
      <c r="L8163" t="s">
        <v>70</v>
      </c>
      <c r="M8163" t="s">
        <v>41</v>
      </c>
      <c r="N8163" t="s">
        <v>22</v>
      </c>
    </row>
    <row r="8164" spans="1:14">
      <c r="A8164" s="4" t="str">
        <f t="shared" si="743"/>
        <v>EXP00272</v>
      </c>
      <c r="B8164" s="3" t="s">
        <v>66</v>
      </c>
      <c r="C8164" s="4" t="str">
        <f t="shared" si="741"/>
        <v>GSE68468</v>
      </c>
      <c r="D8164" s="1" t="s">
        <v>62</v>
      </c>
      <c r="E8164" t="s">
        <v>377</v>
      </c>
      <c r="F8164" s="1">
        <v>2</v>
      </c>
      <c r="G8164" s="1" t="s">
        <v>26</v>
      </c>
      <c r="H8164" s="4" t="str">
        <f>HYPERLINK("https://www.ncbi.nlm.nih.gov/geo/query/acc.cgi?acc=GSM1673268","GSM1673268")</f>
        <v>GSM1673268</v>
      </c>
      <c r="I8164" t="s">
        <v>69</v>
      </c>
      <c r="J8164" t="s">
        <v>18</v>
      </c>
      <c r="K8164" t="s">
        <v>19</v>
      </c>
      <c r="L8164" t="s">
        <v>70</v>
      </c>
      <c r="M8164" t="s">
        <v>41</v>
      </c>
      <c r="N8164" t="s">
        <v>22</v>
      </c>
    </row>
    <row r="8165" spans="1:14">
      <c r="A8165" s="4" t="str">
        <f t="shared" si="743"/>
        <v>EXP00272</v>
      </c>
      <c r="B8165" s="3" t="s">
        <v>66</v>
      </c>
      <c r="C8165" s="4" t="str">
        <f t="shared" si="741"/>
        <v>GSE68468</v>
      </c>
      <c r="D8165" s="1" t="s">
        <v>62</v>
      </c>
      <c r="E8165" t="s">
        <v>377</v>
      </c>
      <c r="F8165" s="1">
        <v>2</v>
      </c>
      <c r="G8165" s="1" t="s">
        <v>26</v>
      </c>
      <c r="H8165" s="4" t="str">
        <f>HYPERLINK("https://www.ncbi.nlm.nih.gov/geo/query/acc.cgi?acc=GSM1673272","GSM1673272")</f>
        <v>GSM1673272</v>
      </c>
      <c r="I8165" t="s">
        <v>69</v>
      </c>
      <c r="J8165" t="s">
        <v>18</v>
      </c>
      <c r="K8165" t="s">
        <v>19</v>
      </c>
      <c r="L8165" t="s">
        <v>70</v>
      </c>
      <c r="M8165" t="s">
        <v>44</v>
      </c>
      <c r="N8165" t="s">
        <v>22</v>
      </c>
    </row>
    <row r="8166" spans="1:14">
      <c r="A8166" s="4" t="str">
        <f t="shared" si="743"/>
        <v>EXP00272</v>
      </c>
      <c r="B8166" s="3" t="s">
        <v>66</v>
      </c>
      <c r="C8166" s="4" t="str">
        <f t="shared" si="741"/>
        <v>GSE68468</v>
      </c>
      <c r="D8166" s="1" t="s">
        <v>62</v>
      </c>
      <c r="E8166" t="s">
        <v>377</v>
      </c>
      <c r="F8166" s="1">
        <v>2</v>
      </c>
      <c r="G8166" s="1" t="s">
        <v>26</v>
      </c>
      <c r="H8166" s="4" t="str">
        <f>HYPERLINK("https://www.ncbi.nlm.nih.gov/geo/query/acc.cgi?acc=GSM1673273","GSM1673273")</f>
        <v>GSM1673273</v>
      </c>
      <c r="I8166" t="s">
        <v>69</v>
      </c>
      <c r="J8166" t="s">
        <v>18</v>
      </c>
      <c r="K8166" t="s">
        <v>19</v>
      </c>
      <c r="L8166" t="s">
        <v>70</v>
      </c>
      <c r="M8166" t="s">
        <v>44</v>
      </c>
      <c r="N8166" t="s">
        <v>22</v>
      </c>
    </row>
    <row r="8167" spans="1:14">
      <c r="A8167" s="4" t="str">
        <f t="shared" si="743"/>
        <v>EXP00272</v>
      </c>
      <c r="B8167" s="3" t="s">
        <v>66</v>
      </c>
      <c r="C8167" s="4" t="str">
        <f t="shared" si="741"/>
        <v>GSE68468</v>
      </c>
      <c r="D8167" s="1" t="s">
        <v>62</v>
      </c>
      <c r="E8167" t="s">
        <v>377</v>
      </c>
      <c r="F8167" s="1">
        <v>2</v>
      </c>
      <c r="G8167" s="1" t="s">
        <v>26</v>
      </c>
      <c r="H8167" s="4" t="str">
        <f>HYPERLINK("https://www.ncbi.nlm.nih.gov/geo/query/acc.cgi?acc=GSM1673282","GSM1673282")</f>
        <v>GSM1673282</v>
      </c>
      <c r="I8167" t="s">
        <v>69</v>
      </c>
      <c r="J8167" t="s">
        <v>18</v>
      </c>
      <c r="K8167" t="s">
        <v>19</v>
      </c>
      <c r="L8167" t="s">
        <v>70</v>
      </c>
      <c r="M8167" t="s">
        <v>44</v>
      </c>
      <c r="N8167" t="s">
        <v>22</v>
      </c>
    </row>
    <row r="8168" spans="1:14">
      <c r="A8168" s="4" t="str">
        <f t="shared" si="743"/>
        <v>EXP00272</v>
      </c>
      <c r="B8168" s="3" t="s">
        <v>66</v>
      </c>
      <c r="C8168" s="4" t="str">
        <f t="shared" si="741"/>
        <v>GSE68468</v>
      </c>
      <c r="D8168" s="1" t="s">
        <v>62</v>
      </c>
      <c r="E8168" t="s">
        <v>377</v>
      </c>
      <c r="F8168" s="1">
        <v>2</v>
      </c>
      <c r="G8168" s="1" t="s">
        <v>26</v>
      </c>
      <c r="H8168" s="4" t="str">
        <f>HYPERLINK("https://www.ncbi.nlm.nih.gov/geo/query/acc.cgi?acc=GSM1673292","GSM1673292")</f>
        <v>GSM1673292</v>
      </c>
      <c r="I8168" t="s">
        <v>69</v>
      </c>
      <c r="J8168" t="s">
        <v>18</v>
      </c>
      <c r="K8168" t="s">
        <v>19</v>
      </c>
      <c r="L8168" t="s">
        <v>70</v>
      </c>
      <c r="M8168" t="s">
        <v>44</v>
      </c>
      <c r="N8168" t="s">
        <v>22</v>
      </c>
    </row>
    <row r="8169" spans="1:14">
      <c r="A8169" s="4" t="str">
        <f t="shared" si="743"/>
        <v>EXP00272</v>
      </c>
      <c r="B8169" s="3" t="s">
        <v>66</v>
      </c>
      <c r="C8169" s="4" t="str">
        <f t="shared" si="741"/>
        <v>GSE68468</v>
      </c>
      <c r="D8169" s="1" t="s">
        <v>62</v>
      </c>
      <c r="E8169" t="s">
        <v>377</v>
      </c>
      <c r="F8169" s="1">
        <v>2</v>
      </c>
      <c r="G8169" s="1" t="s">
        <v>26</v>
      </c>
      <c r="H8169" s="4" t="str">
        <f>HYPERLINK("https://www.ncbi.nlm.nih.gov/geo/query/acc.cgi?acc=GSM1673306","GSM1673306")</f>
        <v>GSM1673306</v>
      </c>
      <c r="I8169" t="s">
        <v>69</v>
      </c>
      <c r="J8169" t="s">
        <v>18</v>
      </c>
      <c r="K8169" t="s">
        <v>19</v>
      </c>
      <c r="L8169" t="s">
        <v>70</v>
      </c>
      <c r="M8169" t="s">
        <v>41</v>
      </c>
      <c r="N8169" t="s">
        <v>22</v>
      </c>
    </row>
    <row r="8170" spans="1:14">
      <c r="A8170" s="4" t="str">
        <f t="shared" si="743"/>
        <v>EXP00272</v>
      </c>
      <c r="B8170" s="3" t="s">
        <v>66</v>
      </c>
      <c r="C8170" s="4" t="str">
        <f t="shared" si="741"/>
        <v>GSE68468</v>
      </c>
      <c r="D8170" s="1" t="s">
        <v>62</v>
      </c>
      <c r="E8170" t="s">
        <v>377</v>
      </c>
      <c r="F8170" s="1">
        <v>2</v>
      </c>
      <c r="G8170" s="1" t="s">
        <v>26</v>
      </c>
      <c r="H8170" s="4" t="str">
        <f>HYPERLINK("https://www.ncbi.nlm.nih.gov/geo/query/acc.cgi?acc=GSM1673310","GSM1673310")</f>
        <v>GSM1673310</v>
      </c>
      <c r="I8170" t="s">
        <v>69</v>
      </c>
      <c r="J8170" t="s">
        <v>18</v>
      </c>
      <c r="K8170" t="s">
        <v>19</v>
      </c>
      <c r="L8170" t="s">
        <v>70</v>
      </c>
      <c r="M8170" t="s">
        <v>41</v>
      </c>
      <c r="N8170" t="s">
        <v>22</v>
      </c>
    </row>
    <row r="8171" spans="1:14">
      <c r="A8171" s="4" t="str">
        <f t="shared" si="743"/>
        <v>EXP00272</v>
      </c>
      <c r="B8171" s="3" t="s">
        <v>66</v>
      </c>
      <c r="C8171" s="4" t="str">
        <f t="shared" si="741"/>
        <v>GSE68468</v>
      </c>
      <c r="D8171" s="1" t="s">
        <v>62</v>
      </c>
      <c r="E8171" t="s">
        <v>377</v>
      </c>
      <c r="F8171" s="1">
        <v>2</v>
      </c>
      <c r="G8171" s="1" t="s">
        <v>26</v>
      </c>
      <c r="H8171" s="4" t="str">
        <f>HYPERLINK("https://www.ncbi.nlm.nih.gov/geo/query/acc.cgi?acc=GSM1673320","GSM1673320")</f>
        <v>GSM1673320</v>
      </c>
      <c r="I8171" t="s">
        <v>69</v>
      </c>
      <c r="J8171" t="s">
        <v>18</v>
      </c>
      <c r="K8171" t="s">
        <v>19</v>
      </c>
      <c r="L8171" t="s">
        <v>70</v>
      </c>
      <c r="M8171" t="s">
        <v>41</v>
      </c>
      <c r="N8171" t="s">
        <v>22</v>
      </c>
    </row>
    <row r="8172" spans="1:14">
      <c r="A8172" s="4" t="str">
        <f t="shared" si="743"/>
        <v>EXP00272</v>
      </c>
      <c r="B8172" s="3" t="s">
        <v>66</v>
      </c>
      <c r="C8172" s="4" t="str">
        <f t="shared" si="741"/>
        <v>GSE68468</v>
      </c>
      <c r="D8172" s="1" t="s">
        <v>62</v>
      </c>
      <c r="E8172" t="s">
        <v>377</v>
      </c>
      <c r="F8172" s="1">
        <v>2</v>
      </c>
      <c r="G8172" s="1" t="s">
        <v>26</v>
      </c>
      <c r="H8172" s="4" t="str">
        <f>HYPERLINK("https://www.ncbi.nlm.nih.gov/geo/query/acc.cgi?acc=GSM1673326","GSM1673326")</f>
        <v>GSM1673326</v>
      </c>
      <c r="I8172" t="s">
        <v>69</v>
      </c>
      <c r="J8172" t="s">
        <v>18</v>
      </c>
      <c r="K8172" t="s">
        <v>19</v>
      </c>
      <c r="L8172" t="s">
        <v>70</v>
      </c>
      <c r="M8172" t="s">
        <v>44</v>
      </c>
      <c r="N8172" t="s">
        <v>22</v>
      </c>
    </row>
    <row r="8173" spans="1:14">
      <c r="A8173" s="4" t="str">
        <f t="shared" si="743"/>
        <v>EXP00272</v>
      </c>
      <c r="B8173" s="3" t="s">
        <v>66</v>
      </c>
      <c r="C8173" s="4" t="str">
        <f t="shared" si="741"/>
        <v>GSE68468</v>
      </c>
      <c r="D8173" s="1" t="s">
        <v>62</v>
      </c>
      <c r="E8173" t="s">
        <v>377</v>
      </c>
      <c r="F8173" s="1">
        <v>2</v>
      </c>
      <c r="G8173" s="1" t="s">
        <v>26</v>
      </c>
      <c r="H8173" s="4" t="str">
        <f>HYPERLINK("https://www.ncbi.nlm.nih.gov/geo/query/acc.cgi?acc=GSM1673334","GSM1673334")</f>
        <v>GSM1673334</v>
      </c>
      <c r="I8173" t="s">
        <v>69</v>
      </c>
      <c r="J8173" t="s">
        <v>18</v>
      </c>
      <c r="K8173" t="s">
        <v>19</v>
      </c>
      <c r="L8173" t="s">
        <v>70</v>
      </c>
      <c r="M8173" t="s">
        <v>41</v>
      </c>
      <c r="N8173" t="s">
        <v>22</v>
      </c>
    </row>
    <row r="8174" spans="1:14">
      <c r="A8174" s="4" t="str">
        <f t="shared" si="743"/>
        <v>EXP00272</v>
      </c>
      <c r="B8174" s="3" t="s">
        <v>66</v>
      </c>
      <c r="C8174" s="4" t="str">
        <f t="shared" si="741"/>
        <v>GSE68468</v>
      </c>
      <c r="D8174" s="1" t="s">
        <v>62</v>
      </c>
      <c r="E8174" t="s">
        <v>377</v>
      </c>
      <c r="F8174" s="1">
        <v>2</v>
      </c>
      <c r="G8174" s="1" t="s">
        <v>26</v>
      </c>
      <c r="H8174" s="4" t="str">
        <f>HYPERLINK("https://www.ncbi.nlm.nih.gov/geo/query/acc.cgi?acc=GSM1673344","GSM1673344")</f>
        <v>GSM1673344</v>
      </c>
      <c r="I8174" t="s">
        <v>69</v>
      </c>
      <c r="J8174" t="s">
        <v>18</v>
      </c>
      <c r="K8174" t="s">
        <v>19</v>
      </c>
      <c r="L8174" t="s">
        <v>70</v>
      </c>
      <c r="M8174" t="s">
        <v>44</v>
      </c>
      <c r="N8174" t="s">
        <v>22</v>
      </c>
    </row>
    <row r="8175" spans="1:14">
      <c r="A8175" s="4" t="str">
        <f t="shared" si="743"/>
        <v>EXP00272</v>
      </c>
      <c r="B8175" s="3" t="s">
        <v>66</v>
      </c>
      <c r="C8175" s="4" t="str">
        <f t="shared" si="741"/>
        <v>GSE68468</v>
      </c>
      <c r="D8175" s="1" t="s">
        <v>62</v>
      </c>
      <c r="E8175" t="s">
        <v>377</v>
      </c>
      <c r="F8175" s="1">
        <v>2</v>
      </c>
      <c r="G8175" s="1" t="s">
        <v>26</v>
      </c>
      <c r="H8175" s="4" t="str">
        <f>HYPERLINK("https://www.ncbi.nlm.nih.gov/geo/query/acc.cgi?acc=GSM1673347","GSM1673347")</f>
        <v>GSM1673347</v>
      </c>
      <c r="I8175" t="s">
        <v>69</v>
      </c>
      <c r="J8175" t="s">
        <v>18</v>
      </c>
      <c r="K8175" t="s">
        <v>19</v>
      </c>
      <c r="L8175" t="s">
        <v>70</v>
      </c>
      <c r="M8175" t="s">
        <v>44</v>
      </c>
      <c r="N8175" t="s">
        <v>22</v>
      </c>
    </row>
    <row r="8176" spans="1:14">
      <c r="A8176" s="4" t="str">
        <f t="shared" ref="A8176:A8207" si="744">HYPERLINK("http://hcmdb.i-sanger.com/experiment/details/experiment_id/EXP00273","EXP00273")</f>
        <v>EXP00273</v>
      </c>
      <c r="B8176" s="3" t="s">
        <v>66</v>
      </c>
      <c r="C8176" s="4" t="str">
        <f t="shared" si="741"/>
        <v>GSE68468</v>
      </c>
      <c r="D8176" s="1" t="s">
        <v>62</v>
      </c>
      <c r="E8176" t="s">
        <v>68</v>
      </c>
      <c r="F8176" s="1">
        <v>1</v>
      </c>
      <c r="G8176" s="1" t="s">
        <v>31</v>
      </c>
      <c r="H8176" s="4" t="str">
        <f>HYPERLINK("https://www.ncbi.nlm.nih.gov/geo/query/acc.cgi?acc=GSM1673014","GSM1673014")</f>
        <v>GSM1673014</v>
      </c>
      <c r="I8176" t="s">
        <v>69</v>
      </c>
      <c r="J8176" t="s">
        <v>18</v>
      </c>
      <c r="K8176" t="s">
        <v>19</v>
      </c>
      <c r="L8176" t="s">
        <v>70</v>
      </c>
      <c r="M8176" t="s">
        <v>44</v>
      </c>
      <c r="N8176" t="s">
        <v>29</v>
      </c>
    </row>
    <row r="8177" spans="1:14">
      <c r="A8177" s="4" t="str">
        <f t="shared" si="744"/>
        <v>EXP00273</v>
      </c>
      <c r="B8177" s="3" t="s">
        <v>66</v>
      </c>
      <c r="C8177" s="4" t="str">
        <f t="shared" si="741"/>
        <v>GSE68468</v>
      </c>
      <c r="D8177" s="1" t="s">
        <v>62</v>
      </c>
      <c r="E8177" t="s">
        <v>68</v>
      </c>
      <c r="F8177" s="1">
        <v>1</v>
      </c>
      <c r="G8177" s="1" t="s">
        <v>31</v>
      </c>
      <c r="H8177" s="4" t="str">
        <f>HYPERLINK("https://www.ncbi.nlm.nih.gov/geo/query/acc.cgi?acc=GSM1673054","GSM1673054")</f>
        <v>GSM1673054</v>
      </c>
      <c r="I8177" t="s">
        <v>69</v>
      </c>
      <c r="J8177" t="s">
        <v>18</v>
      </c>
      <c r="K8177" t="s">
        <v>19</v>
      </c>
      <c r="L8177" t="s">
        <v>70</v>
      </c>
      <c r="M8177" t="s">
        <v>44</v>
      </c>
      <c r="N8177" t="s">
        <v>29</v>
      </c>
    </row>
    <row r="8178" spans="1:14">
      <c r="A8178" s="4" t="str">
        <f t="shared" si="744"/>
        <v>EXP00273</v>
      </c>
      <c r="B8178" s="3" t="s">
        <v>66</v>
      </c>
      <c r="C8178" s="4" t="str">
        <f t="shared" si="741"/>
        <v>GSE68468</v>
      </c>
      <c r="D8178" s="1" t="s">
        <v>62</v>
      </c>
      <c r="E8178" t="s">
        <v>68</v>
      </c>
      <c r="F8178" s="1">
        <v>1</v>
      </c>
      <c r="G8178" s="1" t="s">
        <v>31</v>
      </c>
      <c r="H8178" s="4" t="str">
        <f>HYPERLINK("https://www.ncbi.nlm.nih.gov/geo/query/acc.cgi?acc=GSM1673110","GSM1673110")</f>
        <v>GSM1673110</v>
      </c>
      <c r="I8178" t="s">
        <v>69</v>
      </c>
      <c r="J8178" t="s">
        <v>18</v>
      </c>
      <c r="K8178" t="s">
        <v>19</v>
      </c>
      <c r="L8178" t="s">
        <v>70</v>
      </c>
      <c r="M8178" t="s">
        <v>44</v>
      </c>
      <c r="N8178" t="s">
        <v>29</v>
      </c>
    </row>
    <row r="8179" spans="1:14">
      <c r="A8179" s="4" t="str">
        <f t="shared" si="744"/>
        <v>EXP00273</v>
      </c>
      <c r="B8179" s="3" t="s">
        <v>66</v>
      </c>
      <c r="C8179" s="4" t="str">
        <f t="shared" si="741"/>
        <v>GSE68468</v>
      </c>
      <c r="D8179" s="1" t="s">
        <v>62</v>
      </c>
      <c r="E8179" t="s">
        <v>68</v>
      </c>
      <c r="F8179" s="1">
        <v>1</v>
      </c>
      <c r="G8179" s="1" t="s">
        <v>31</v>
      </c>
      <c r="H8179" s="4" t="str">
        <f>HYPERLINK("https://www.ncbi.nlm.nih.gov/geo/query/acc.cgi?acc=GSM1673214","GSM1673214")</f>
        <v>GSM1673214</v>
      </c>
      <c r="I8179" t="s">
        <v>69</v>
      </c>
      <c r="J8179" t="s">
        <v>18</v>
      </c>
      <c r="K8179" t="s">
        <v>19</v>
      </c>
      <c r="L8179" t="s">
        <v>70</v>
      </c>
      <c r="M8179" t="s">
        <v>44</v>
      </c>
      <c r="N8179" t="s">
        <v>29</v>
      </c>
    </row>
    <row r="8180" spans="1:14">
      <c r="A8180" s="4" t="str">
        <f t="shared" si="744"/>
        <v>EXP00273</v>
      </c>
      <c r="B8180" s="3" t="s">
        <v>66</v>
      </c>
      <c r="C8180" s="4" t="str">
        <f t="shared" si="741"/>
        <v>GSE68468</v>
      </c>
      <c r="D8180" s="1" t="s">
        <v>62</v>
      </c>
      <c r="E8180" t="s">
        <v>68</v>
      </c>
      <c r="F8180" s="1">
        <v>1</v>
      </c>
      <c r="G8180" s="1" t="s">
        <v>31</v>
      </c>
      <c r="H8180" s="4" t="str">
        <f>HYPERLINK("https://www.ncbi.nlm.nih.gov/geo/query/acc.cgi?acc=GSM1673256","GSM1673256")</f>
        <v>GSM1673256</v>
      </c>
      <c r="I8180" t="s">
        <v>69</v>
      </c>
      <c r="J8180" t="s">
        <v>18</v>
      </c>
      <c r="K8180" t="s">
        <v>19</v>
      </c>
      <c r="L8180" t="s">
        <v>70</v>
      </c>
      <c r="M8180" t="s">
        <v>44</v>
      </c>
      <c r="N8180" t="s">
        <v>29</v>
      </c>
    </row>
    <row r="8181" spans="1:14">
      <c r="A8181" s="4" t="str">
        <f t="shared" si="744"/>
        <v>EXP00273</v>
      </c>
      <c r="B8181" s="3" t="s">
        <v>66</v>
      </c>
      <c r="C8181" s="4" t="str">
        <f t="shared" ref="C8181:C8244" si="745">HYPERLINK("https://www.ncbi.nlm.nih.gov/geo/query/acc.cgi?acc=GSE68468","GSE68468")</f>
        <v>GSE68468</v>
      </c>
      <c r="D8181" s="1" t="s">
        <v>62</v>
      </c>
      <c r="E8181" t="s">
        <v>68</v>
      </c>
      <c r="F8181" s="1">
        <v>1</v>
      </c>
      <c r="G8181" s="1" t="s">
        <v>31</v>
      </c>
      <c r="H8181" s="4" t="str">
        <f>HYPERLINK("https://www.ncbi.nlm.nih.gov/geo/query/acc.cgi?acc=GSM1673290","GSM1673290")</f>
        <v>GSM1673290</v>
      </c>
      <c r="I8181" t="s">
        <v>69</v>
      </c>
      <c r="J8181" t="s">
        <v>18</v>
      </c>
      <c r="K8181" t="s">
        <v>19</v>
      </c>
      <c r="L8181" t="s">
        <v>70</v>
      </c>
      <c r="M8181" t="s">
        <v>44</v>
      </c>
      <c r="N8181" t="s">
        <v>29</v>
      </c>
    </row>
    <row r="8182" spans="1:14">
      <c r="A8182" s="4" t="str">
        <f t="shared" si="744"/>
        <v>EXP00273</v>
      </c>
      <c r="B8182" s="3" t="s">
        <v>66</v>
      </c>
      <c r="C8182" s="4" t="str">
        <f t="shared" si="745"/>
        <v>GSE68468</v>
      </c>
      <c r="D8182" s="1" t="s">
        <v>62</v>
      </c>
      <c r="E8182" t="s">
        <v>68</v>
      </c>
      <c r="F8182" s="1">
        <v>2</v>
      </c>
      <c r="G8182" s="1" t="s">
        <v>32</v>
      </c>
      <c r="H8182" s="4" t="str">
        <f>HYPERLINK("https://www.ncbi.nlm.nih.gov/geo/query/acc.cgi?acc=GSM1672961","GSM1672961")</f>
        <v>GSM1672961</v>
      </c>
      <c r="I8182" t="s">
        <v>69</v>
      </c>
      <c r="J8182" t="s">
        <v>18</v>
      </c>
      <c r="K8182" t="s">
        <v>33</v>
      </c>
      <c r="L8182" t="s">
        <v>70</v>
      </c>
      <c r="N8182" t="s">
        <v>29</v>
      </c>
    </row>
    <row r="8183" spans="1:14">
      <c r="A8183" s="4" t="str">
        <f t="shared" si="744"/>
        <v>EXP00273</v>
      </c>
      <c r="B8183" s="3" t="s">
        <v>66</v>
      </c>
      <c r="C8183" s="4" t="str">
        <f t="shared" si="745"/>
        <v>GSE68468</v>
      </c>
      <c r="D8183" s="1" t="s">
        <v>62</v>
      </c>
      <c r="E8183" t="s">
        <v>68</v>
      </c>
      <c r="F8183" s="1">
        <v>2</v>
      </c>
      <c r="G8183" s="1" t="s">
        <v>32</v>
      </c>
      <c r="H8183" s="4" t="str">
        <f>HYPERLINK("https://www.ncbi.nlm.nih.gov/geo/query/acc.cgi?acc=GSM1672964","GSM1672964")</f>
        <v>GSM1672964</v>
      </c>
      <c r="I8183" t="s">
        <v>69</v>
      </c>
      <c r="J8183" t="s">
        <v>18</v>
      </c>
      <c r="K8183" t="s">
        <v>33</v>
      </c>
      <c r="L8183" t="s">
        <v>70</v>
      </c>
      <c r="N8183" t="s">
        <v>29</v>
      </c>
    </row>
    <row r="8184" spans="1:14">
      <c r="A8184" s="4" t="str">
        <f t="shared" si="744"/>
        <v>EXP00273</v>
      </c>
      <c r="B8184" s="3" t="s">
        <v>66</v>
      </c>
      <c r="C8184" s="4" t="str">
        <f t="shared" si="745"/>
        <v>GSE68468</v>
      </c>
      <c r="D8184" s="1" t="s">
        <v>62</v>
      </c>
      <c r="E8184" t="s">
        <v>68</v>
      </c>
      <c r="F8184" s="1">
        <v>2</v>
      </c>
      <c r="G8184" s="1" t="s">
        <v>32</v>
      </c>
      <c r="H8184" s="4" t="str">
        <f>HYPERLINK("https://www.ncbi.nlm.nih.gov/geo/query/acc.cgi?acc=GSM1672965","GSM1672965")</f>
        <v>GSM1672965</v>
      </c>
      <c r="I8184" t="s">
        <v>69</v>
      </c>
      <c r="J8184" t="s">
        <v>18</v>
      </c>
      <c r="K8184" t="s">
        <v>33</v>
      </c>
      <c r="L8184" t="s">
        <v>70</v>
      </c>
      <c r="N8184" t="s">
        <v>29</v>
      </c>
    </row>
    <row r="8185" spans="1:14">
      <c r="A8185" s="4" t="str">
        <f t="shared" si="744"/>
        <v>EXP00273</v>
      </c>
      <c r="B8185" s="3" t="s">
        <v>66</v>
      </c>
      <c r="C8185" s="4" t="str">
        <f t="shared" si="745"/>
        <v>GSE68468</v>
      </c>
      <c r="D8185" s="1" t="s">
        <v>62</v>
      </c>
      <c r="E8185" t="s">
        <v>68</v>
      </c>
      <c r="F8185" s="1">
        <v>2</v>
      </c>
      <c r="G8185" s="1" t="s">
        <v>32</v>
      </c>
      <c r="H8185" s="4" t="str">
        <f>HYPERLINK("https://www.ncbi.nlm.nih.gov/geo/query/acc.cgi?acc=GSM1672966","GSM1672966")</f>
        <v>GSM1672966</v>
      </c>
      <c r="I8185" t="s">
        <v>69</v>
      </c>
      <c r="J8185" t="s">
        <v>18</v>
      </c>
      <c r="K8185" t="s">
        <v>33</v>
      </c>
      <c r="L8185" t="s">
        <v>70</v>
      </c>
      <c r="N8185" t="s">
        <v>29</v>
      </c>
    </row>
    <row r="8186" spans="1:14">
      <c r="A8186" s="4" t="str">
        <f t="shared" si="744"/>
        <v>EXP00273</v>
      </c>
      <c r="B8186" s="3" t="s">
        <v>66</v>
      </c>
      <c r="C8186" s="4" t="str">
        <f t="shared" si="745"/>
        <v>GSE68468</v>
      </c>
      <c r="D8186" s="1" t="s">
        <v>62</v>
      </c>
      <c r="E8186" t="s">
        <v>68</v>
      </c>
      <c r="F8186" s="1">
        <v>2</v>
      </c>
      <c r="G8186" s="1" t="s">
        <v>32</v>
      </c>
      <c r="H8186" s="4" t="str">
        <f>HYPERLINK("https://www.ncbi.nlm.nih.gov/geo/query/acc.cgi?acc=GSM1672968","GSM1672968")</f>
        <v>GSM1672968</v>
      </c>
      <c r="I8186" t="s">
        <v>69</v>
      </c>
      <c r="J8186" t="s">
        <v>18</v>
      </c>
      <c r="K8186" t="s">
        <v>33</v>
      </c>
      <c r="L8186" t="s">
        <v>70</v>
      </c>
      <c r="N8186" t="s">
        <v>29</v>
      </c>
    </row>
    <row r="8187" spans="1:14">
      <c r="A8187" s="4" t="str">
        <f t="shared" si="744"/>
        <v>EXP00273</v>
      </c>
      <c r="B8187" s="3" t="s">
        <v>66</v>
      </c>
      <c r="C8187" s="4" t="str">
        <f t="shared" si="745"/>
        <v>GSE68468</v>
      </c>
      <c r="D8187" s="1" t="s">
        <v>62</v>
      </c>
      <c r="E8187" t="s">
        <v>68</v>
      </c>
      <c r="F8187" s="1">
        <v>2</v>
      </c>
      <c r="G8187" s="1" t="s">
        <v>32</v>
      </c>
      <c r="H8187" s="4" t="str">
        <f>HYPERLINK("https://www.ncbi.nlm.nih.gov/geo/query/acc.cgi?acc=GSM1672970","GSM1672970")</f>
        <v>GSM1672970</v>
      </c>
      <c r="I8187" t="s">
        <v>69</v>
      </c>
      <c r="J8187" t="s">
        <v>18</v>
      </c>
      <c r="K8187" t="s">
        <v>33</v>
      </c>
      <c r="L8187" t="s">
        <v>70</v>
      </c>
      <c r="N8187" t="s">
        <v>29</v>
      </c>
    </row>
    <row r="8188" spans="1:14">
      <c r="A8188" s="4" t="str">
        <f t="shared" si="744"/>
        <v>EXP00273</v>
      </c>
      <c r="B8188" s="3" t="s">
        <v>66</v>
      </c>
      <c r="C8188" s="4" t="str">
        <f t="shared" si="745"/>
        <v>GSE68468</v>
      </c>
      <c r="D8188" s="1" t="s">
        <v>62</v>
      </c>
      <c r="E8188" t="s">
        <v>68</v>
      </c>
      <c r="F8188" s="1">
        <v>2</v>
      </c>
      <c r="G8188" s="1" t="s">
        <v>32</v>
      </c>
      <c r="H8188" s="4" t="str">
        <f>HYPERLINK("https://www.ncbi.nlm.nih.gov/geo/query/acc.cgi?acc=GSM1672972","GSM1672972")</f>
        <v>GSM1672972</v>
      </c>
      <c r="I8188" t="s">
        <v>69</v>
      </c>
      <c r="J8188" t="s">
        <v>18</v>
      </c>
      <c r="K8188" t="s">
        <v>33</v>
      </c>
      <c r="L8188" t="s">
        <v>70</v>
      </c>
      <c r="N8188" t="s">
        <v>29</v>
      </c>
    </row>
    <row r="8189" spans="1:14">
      <c r="A8189" s="4" t="str">
        <f t="shared" si="744"/>
        <v>EXP00273</v>
      </c>
      <c r="B8189" s="3" t="s">
        <v>66</v>
      </c>
      <c r="C8189" s="4" t="str">
        <f t="shared" si="745"/>
        <v>GSE68468</v>
      </c>
      <c r="D8189" s="1" t="s">
        <v>62</v>
      </c>
      <c r="E8189" t="s">
        <v>68</v>
      </c>
      <c r="F8189" s="1">
        <v>2</v>
      </c>
      <c r="G8189" s="1" t="s">
        <v>32</v>
      </c>
      <c r="H8189" s="4" t="str">
        <f>HYPERLINK("https://www.ncbi.nlm.nih.gov/geo/query/acc.cgi?acc=GSM1672976","GSM1672976")</f>
        <v>GSM1672976</v>
      </c>
      <c r="I8189" t="s">
        <v>69</v>
      </c>
      <c r="J8189" t="s">
        <v>18</v>
      </c>
      <c r="K8189" t="s">
        <v>33</v>
      </c>
      <c r="L8189" t="s">
        <v>70</v>
      </c>
      <c r="N8189" t="s">
        <v>29</v>
      </c>
    </row>
    <row r="8190" spans="1:14">
      <c r="A8190" s="4" t="str">
        <f t="shared" si="744"/>
        <v>EXP00273</v>
      </c>
      <c r="B8190" s="3" t="s">
        <v>66</v>
      </c>
      <c r="C8190" s="4" t="str">
        <f t="shared" si="745"/>
        <v>GSE68468</v>
      </c>
      <c r="D8190" s="1" t="s">
        <v>62</v>
      </c>
      <c r="E8190" t="s">
        <v>68</v>
      </c>
      <c r="F8190" s="1">
        <v>2</v>
      </c>
      <c r="G8190" s="1" t="s">
        <v>32</v>
      </c>
      <c r="H8190" s="4" t="str">
        <f>HYPERLINK("https://www.ncbi.nlm.nih.gov/geo/query/acc.cgi?acc=GSM1672977","GSM1672977")</f>
        <v>GSM1672977</v>
      </c>
      <c r="I8190" t="s">
        <v>69</v>
      </c>
      <c r="J8190" t="s">
        <v>18</v>
      </c>
      <c r="K8190" t="s">
        <v>33</v>
      </c>
      <c r="L8190" t="s">
        <v>70</v>
      </c>
      <c r="N8190" t="s">
        <v>29</v>
      </c>
    </row>
    <row r="8191" spans="1:14">
      <c r="A8191" s="4" t="str">
        <f t="shared" si="744"/>
        <v>EXP00273</v>
      </c>
      <c r="B8191" s="3" t="s">
        <v>66</v>
      </c>
      <c r="C8191" s="4" t="str">
        <f t="shared" si="745"/>
        <v>GSE68468</v>
      </c>
      <c r="D8191" s="1" t="s">
        <v>62</v>
      </c>
      <c r="E8191" t="s">
        <v>68</v>
      </c>
      <c r="F8191" s="1">
        <v>2</v>
      </c>
      <c r="G8191" s="1" t="s">
        <v>32</v>
      </c>
      <c r="H8191" s="4" t="str">
        <f>HYPERLINK("https://www.ncbi.nlm.nih.gov/geo/query/acc.cgi?acc=GSM1672979","GSM1672979")</f>
        <v>GSM1672979</v>
      </c>
      <c r="I8191" t="s">
        <v>69</v>
      </c>
      <c r="J8191" t="s">
        <v>18</v>
      </c>
      <c r="K8191" t="s">
        <v>33</v>
      </c>
      <c r="L8191" t="s">
        <v>70</v>
      </c>
      <c r="N8191" t="s">
        <v>29</v>
      </c>
    </row>
    <row r="8192" spans="1:14">
      <c r="A8192" s="4" t="str">
        <f t="shared" si="744"/>
        <v>EXP00273</v>
      </c>
      <c r="B8192" s="3" t="s">
        <v>66</v>
      </c>
      <c r="C8192" s="4" t="str">
        <f t="shared" si="745"/>
        <v>GSE68468</v>
      </c>
      <c r="D8192" s="1" t="s">
        <v>62</v>
      </c>
      <c r="E8192" t="s">
        <v>68</v>
      </c>
      <c r="F8192" s="1">
        <v>2</v>
      </c>
      <c r="G8192" s="1" t="s">
        <v>32</v>
      </c>
      <c r="H8192" s="4" t="str">
        <f>HYPERLINK("https://www.ncbi.nlm.nih.gov/geo/query/acc.cgi?acc=GSM1672981","GSM1672981")</f>
        <v>GSM1672981</v>
      </c>
      <c r="I8192" t="s">
        <v>69</v>
      </c>
      <c r="J8192" t="s">
        <v>18</v>
      </c>
      <c r="K8192" t="s">
        <v>33</v>
      </c>
      <c r="L8192" t="s">
        <v>70</v>
      </c>
      <c r="N8192" t="s">
        <v>29</v>
      </c>
    </row>
    <row r="8193" spans="1:14">
      <c r="A8193" s="4" t="str">
        <f t="shared" si="744"/>
        <v>EXP00273</v>
      </c>
      <c r="B8193" s="3" t="s">
        <v>66</v>
      </c>
      <c r="C8193" s="4" t="str">
        <f t="shared" si="745"/>
        <v>GSE68468</v>
      </c>
      <c r="D8193" s="1" t="s">
        <v>62</v>
      </c>
      <c r="E8193" t="s">
        <v>68</v>
      </c>
      <c r="F8193" s="1">
        <v>2</v>
      </c>
      <c r="G8193" s="1" t="s">
        <v>32</v>
      </c>
      <c r="H8193" s="4" t="str">
        <f>HYPERLINK("https://www.ncbi.nlm.nih.gov/geo/query/acc.cgi?acc=GSM1672983","GSM1672983")</f>
        <v>GSM1672983</v>
      </c>
      <c r="I8193" t="s">
        <v>69</v>
      </c>
      <c r="J8193" t="s">
        <v>18</v>
      </c>
      <c r="K8193" t="s">
        <v>33</v>
      </c>
      <c r="L8193" t="s">
        <v>70</v>
      </c>
      <c r="N8193" t="s">
        <v>29</v>
      </c>
    </row>
    <row r="8194" spans="1:14">
      <c r="A8194" s="4" t="str">
        <f t="shared" si="744"/>
        <v>EXP00273</v>
      </c>
      <c r="B8194" s="3" t="s">
        <v>66</v>
      </c>
      <c r="C8194" s="4" t="str">
        <f t="shared" si="745"/>
        <v>GSE68468</v>
      </c>
      <c r="D8194" s="1" t="s">
        <v>62</v>
      </c>
      <c r="E8194" t="s">
        <v>68</v>
      </c>
      <c r="F8194" s="1">
        <v>2</v>
      </c>
      <c r="G8194" s="1" t="s">
        <v>32</v>
      </c>
      <c r="H8194" s="4" t="str">
        <f>HYPERLINK("https://www.ncbi.nlm.nih.gov/geo/query/acc.cgi?acc=GSM1672984","GSM1672984")</f>
        <v>GSM1672984</v>
      </c>
      <c r="I8194" t="s">
        <v>69</v>
      </c>
      <c r="J8194" t="s">
        <v>18</v>
      </c>
      <c r="K8194" t="s">
        <v>33</v>
      </c>
      <c r="L8194" t="s">
        <v>70</v>
      </c>
      <c r="N8194" t="s">
        <v>29</v>
      </c>
    </row>
    <row r="8195" spans="1:14">
      <c r="A8195" s="4" t="str">
        <f t="shared" si="744"/>
        <v>EXP00273</v>
      </c>
      <c r="B8195" s="3" t="s">
        <v>66</v>
      </c>
      <c r="C8195" s="4" t="str">
        <f t="shared" si="745"/>
        <v>GSE68468</v>
      </c>
      <c r="D8195" s="1" t="s">
        <v>62</v>
      </c>
      <c r="E8195" t="s">
        <v>68</v>
      </c>
      <c r="F8195" s="1">
        <v>2</v>
      </c>
      <c r="G8195" s="1" t="s">
        <v>32</v>
      </c>
      <c r="H8195" s="4" t="str">
        <f>HYPERLINK("https://www.ncbi.nlm.nih.gov/geo/query/acc.cgi?acc=GSM1672985","GSM1672985")</f>
        <v>GSM1672985</v>
      </c>
      <c r="I8195" t="s">
        <v>69</v>
      </c>
      <c r="J8195" t="s">
        <v>18</v>
      </c>
      <c r="K8195" t="s">
        <v>33</v>
      </c>
      <c r="L8195" t="s">
        <v>70</v>
      </c>
      <c r="N8195" t="s">
        <v>29</v>
      </c>
    </row>
    <row r="8196" spans="1:14">
      <c r="A8196" s="4" t="str">
        <f t="shared" si="744"/>
        <v>EXP00273</v>
      </c>
      <c r="B8196" s="3" t="s">
        <v>66</v>
      </c>
      <c r="C8196" s="4" t="str">
        <f t="shared" si="745"/>
        <v>GSE68468</v>
      </c>
      <c r="D8196" s="1" t="s">
        <v>62</v>
      </c>
      <c r="E8196" t="s">
        <v>68</v>
      </c>
      <c r="F8196" s="1">
        <v>2</v>
      </c>
      <c r="G8196" s="1" t="s">
        <v>32</v>
      </c>
      <c r="H8196" s="4" t="str">
        <f>HYPERLINK("https://www.ncbi.nlm.nih.gov/geo/query/acc.cgi?acc=GSM1672987","GSM1672987")</f>
        <v>GSM1672987</v>
      </c>
      <c r="I8196" t="s">
        <v>69</v>
      </c>
      <c r="J8196" t="s">
        <v>18</v>
      </c>
      <c r="K8196" t="s">
        <v>33</v>
      </c>
      <c r="L8196" t="s">
        <v>70</v>
      </c>
      <c r="N8196" t="s">
        <v>29</v>
      </c>
    </row>
    <row r="8197" spans="1:14">
      <c r="A8197" s="4" t="str">
        <f t="shared" si="744"/>
        <v>EXP00273</v>
      </c>
      <c r="B8197" s="3" t="s">
        <v>66</v>
      </c>
      <c r="C8197" s="4" t="str">
        <f t="shared" si="745"/>
        <v>GSE68468</v>
      </c>
      <c r="D8197" s="1" t="s">
        <v>62</v>
      </c>
      <c r="E8197" t="s">
        <v>68</v>
      </c>
      <c r="F8197" s="1">
        <v>2</v>
      </c>
      <c r="G8197" s="1" t="s">
        <v>32</v>
      </c>
      <c r="H8197" s="4" t="str">
        <f>HYPERLINK("https://www.ncbi.nlm.nih.gov/geo/query/acc.cgi?acc=GSM1672993","GSM1672993")</f>
        <v>GSM1672993</v>
      </c>
      <c r="I8197" t="s">
        <v>69</v>
      </c>
      <c r="J8197" t="s">
        <v>18</v>
      </c>
      <c r="K8197" t="s">
        <v>33</v>
      </c>
      <c r="L8197" t="s">
        <v>70</v>
      </c>
      <c r="N8197" t="s">
        <v>29</v>
      </c>
    </row>
    <row r="8198" spans="1:14">
      <c r="A8198" s="4" t="str">
        <f t="shared" si="744"/>
        <v>EXP00273</v>
      </c>
      <c r="B8198" s="3" t="s">
        <v>66</v>
      </c>
      <c r="C8198" s="4" t="str">
        <f t="shared" si="745"/>
        <v>GSE68468</v>
      </c>
      <c r="D8198" s="1" t="s">
        <v>62</v>
      </c>
      <c r="E8198" t="s">
        <v>68</v>
      </c>
      <c r="F8198" s="1">
        <v>2</v>
      </c>
      <c r="G8198" s="1" t="s">
        <v>32</v>
      </c>
      <c r="H8198" s="4" t="str">
        <f>HYPERLINK("https://www.ncbi.nlm.nih.gov/geo/query/acc.cgi?acc=GSM1672994","GSM1672994")</f>
        <v>GSM1672994</v>
      </c>
      <c r="I8198" t="s">
        <v>69</v>
      </c>
      <c r="J8198" t="s">
        <v>18</v>
      </c>
      <c r="K8198" t="s">
        <v>33</v>
      </c>
      <c r="L8198" t="s">
        <v>70</v>
      </c>
      <c r="N8198" t="s">
        <v>29</v>
      </c>
    </row>
    <row r="8199" spans="1:14">
      <c r="A8199" s="4" t="str">
        <f t="shared" si="744"/>
        <v>EXP00273</v>
      </c>
      <c r="B8199" s="3" t="s">
        <v>66</v>
      </c>
      <c r="C8199" s="4" t="str">
        <f t="shared" si="745"/>
        <v>GSE68468</v>
      </c>
      <c r="D8199" s="1" t="s">
        <v>62</v>
      </c>
      <c r="E8199" t="s">
        <v>68</v>
      </c>
      <c r="F8199" s="1">
        <v>2</v>
      </c>
      <c r="G8199" s="1" t="s">
        <v>32</v>
      </c>
      <c r="H8199" s="4" t="str">
        <f>HYPERLINK("https://www.ncbi.nlm.nih.gov/geo/query/acc.cgi?acc=GSM1672995","GSM1672995")</f>
        <v>GSM1672995</v>
      </c>
      <c r="I8199" t="s">
        <v>69</v>
      </c>
      <c r="J8199" t="s">
        <v>18</v>
      </c>
      <c r="K8199" t="s">
        <v>33</v>
      </c>
      <c r="L8199" t="s">
        <v>70</v>
      </c>
      <c r="N8199" t="s">
        <v>29</v>
      </c>
    </row>
    <row r="8200" spans="1:14">
      <c r="A8200" s="4" t="str">
        <f t="shared" si="744"/>
        <v>EXP00273</v>
      </c>
      <c r="B8200" s="3" t="s">
        <v>66</v>
      </c>
      <c r="C8200" s="4" t="str">
        <f t="shared" si="745"/>
        <v>GSE68468</v>
      </c>
      <c r="D8200" s="1" t="s">
        <v>62</v>
      </c>
      <c r="E8200" t="s">
        <v>68</v>
      </c>
      <c r="F8200" s="1">
        <v>2</v>
      </c>
      <c r="G8200" s="1" t="s">
        <v>32</v>
      </c>
      <c r="H8200" s="4" t="str">
        <f>HYPERLINK("https://www.ncbi.nlm.nih.gov/geo/query/acc.cgi?acc=GSM1672996","GSM1672996")</f>
        <v>GSM1672996</v>
      </c>
      <c r="I8200" t="s">
        <v>69</v>
      </c>
      <c r="J8200" t="s">
        <v>18</v>
      </c>
      <c r="K8200" t="s">
        <v>33</v>
      </c>
      <c r="L8200" t="s">
        <v>70</v>
      </c>
      <c r="N8200" t="s">
        <v>29</v>
      </c>
    </row>
    <row r="8201" spans="1:14">
      <c r="A8201" s="4" t="str">
        <f t="shared" si="744"/>
        <v>EXP00273</v>
      </c>
      <c r="B8201" s="3" t="s">
        <v>66</v>
      </c>
      <c r="C8201" s="4" t="str">
        <f t="shared" si="745"/>
        <v>GSE68468</v>
      </c>
      <c r="D8201" s="1" t="s">
        <v>62</v>
      </c>
      <c r="E8201" t="s">
        <v>68</v>
      </c>
      <c r="F8201" s="1">
        <v>2</v>
      </c>
      <c r="G8201" s="1" t="s">
        <v>32</v>
      </c>
      <c r="H8201" s="4" t="str">
        <f>HYPERLINK("https://www.ncbi.nlm.nih.gov/geo/query/acc.cgi?acc=GSM1672998","GSM1672998")</f>
        <v>GSM1672998</v>
      </c>
      <c r="I8201" t="s">
        <v>69</v>
      </c>
      <c r="J8201" t="s">
        <v>18</v>
      </c>
      <c r="K8201" t="s">
        <v>33</v>
      </c>
      <c r="L8201" t="s">
        <v>70</v>
      </c>
      <c r="N8201" t="s">
        <v>29</v>
      </c>
    </row>
    <row r="8202" spans="1:14">
      <c r="A8202" s="4" t="str">
        <f t="shared" si="744"/>
        <v>EXP00273</v>
      </c>
      <c r="B8202" s="3" t="s">
        <v>66</v>
      </c>
      <c r="C8202" s="4" t="str">
        <f t="shared" si="745"/>
        <v>GSE68468</v>
      </c>
      <c r="D8202" s="1" t="s">
        <v>62</v>
      </c>
      <c r="E8202" t="s">
        <v>68</v>
      </c>
      <c r="F8202" s="1">
        <v>2</v>
      </c>
      <c r="G8202" s="1" t="s">
        <v>32</v>
      </c>
      <c r="H8202" s="4" t="str">
        <f>HYPERLINK("https://www.ncbi.nlm.nih.gov/geo/query/acc.cgi?acc=GSM1673000","GSM1673000")</f>
        <v>GSM1673000</v>
      </c>
      <c r="I8202" t="s">
        <v>69</v>
      </c>
      <c r="J8202" t="s">
        <v>18</v>
      </c>
      <c r="K8202" t="s">
        <v>33</v>
      </c>
      <c r="L8202" t="s">
        <v>70</v>
      </c>
      <c r="N8202" t="s">
        <v>29</v>
      </c>
    </row>
    <row r="8203" spans="1:14">
      <c r="A8203" s="4" t="str">
        <f t="shared" si="744"/>
        <v>EXP00273</v>
      </c>
      <c r="B8203" s="3" t="s">
        <v>66</v>
      </c>
      <c r="C8203" s="4" t="str">
        <f t="shared" si="745"/>
        <v>GSE68468</v>
      </c>
      <c r="D8203" s="1" t="s">
        <v>62</v>
      </c>
      <c r="E8203" t="s">
        <v>68</v>
      </c>
      <c r="F8203" s="1">
        <v>2</v>
      </c>
      <c r="G8203" s="1" t="s">
        <v>32</v>
      </c>
      <c r="H8203" s="4" t="str">
        <f>HYPERLINK("https://www.ncbi.nlm.nih.gov/geo/query/acc.cgi?acc=GSM1673002","GSM1673002")</f>
        <v>GSM1673002</v>
      </c>
      <c r="I8203" t="s">
        <v>69</v>
      </c>
      <c r="J8203" t="s">
        <v>18</v>
      </c>
      <c r="K8203" t="s">
        <v>33</v>
      </c>
      <c r="L8203" t="s">
        <v>70</v>
      </c>
      <c r="N8203" t="s">
        <v>29</v>
      </c>
    </row>
    <row r="8204" spans="1:14">
      <c r="A8204" s="4" t="str">
        <f t="shared" si="744"/>
        <v>EXP00273</v>
      </c>
      <c r="B8204" s="3" t="s">
        <v>66</v>
      </c>
      <c r="C8204" s="4" t="str">
        <f t="shared" si="745"/>
        <v>GSE68468</v>
      </c>
      <c r="D8204" s="1" t="s">
        <v>62</v>
      </c>
      <c r="E8204" t="s">
        <v>68</v>
      </c>
      <c r="F8204" s="1">
        <v>2</v>
      </c>
      <c r="G8204" s="1" t="s">
        <v>32</v>
      </c>
      <c r="H8204" s="4" t="str">
        <f>HYPERLINK("https://www.ncbi.nlm.nih.gov/geo/query/acc.cgi?acc=GSM1673003","GSM1673003")</f>
        <v>GSM1673003</v>
      </c>
      <c r="I8204" t="s">
        <v>69</v>
      </c>
      <c r="J8204" t="s">
        <v>18</v>
      </c>
      <c r="K8204" t="s">
        <v>33</v>
      </c>
      <c r="L8204" t="s">
        <v>70</v>
      </c>
      <c r="N8204" t="s">
        <v>29</v>
      </c>
    </row>
    <row r="8205" spans="1:14">
      <c r="A8205" s="4" t="str">
        <f t="shared" si="744"/>
        <v>EXP00273</v>
      </c>
      <c r="B8205" s="3" t="s">
        <v>66</v>
      </c>
      <c r="C8205" s="4" t="str">
        <f t="shared" si="745"/>
        <v>GSE68468</v>
      </c>
      <c r="D8205" s="1" t="s">
        <v>62</v>
      </c>
      <c r="E8205" t="s">
        <v>68</v>
      </c>
      <c r="F8205" s="1">
        <v>2</v>
      </c>
      <c r="G8205" s="1" t="s">
        <v>32</v>
      </c>
      <c r="H8205" s="4" t="str">
        <f>HYPERLINK("https://www.ncbi.nlm.nih.gov/geo/query/acc.cgi?acc=GSM1673004","GSM1673004")</f>
        <v>GSM1673004</v>
      </c>
      <c r="I8205" t="s">
        <v>69</v>
      </c>
      <c r="J8205" t="s">
        <v>18</v>
      </c>
      <c r="K8205" t="s">
        <v>33</v>
      </c>
      <c r="L8205" t="s">
        <v>70</v>
      </c>
      <c r="N8205" t="s">
        <v>29</v>
      </c>
    </row>
    <row r="8206" spans="1:14">
      <c r="A8206" s="4" t="str">
        <f t="shared" si="744"/>
        <v>EXP00273</v>
      </c>
      <c r="B8206" s="3" t="s">
        <v>66</v>
      </c>
      <c r="C8206" s="4" t="str">
        <f t="shared" si="745"/>
        <v>GSE68468</v>
      </c>
      <c r="D8206" s="1" t="s">
        <v>62</v>
      </c>
      <c r="E8206" t="s">
        <v>68</v>
      </c>
      <c r="F8206" s="1">
        <v>2</v>
      </c>
      <c r="G8206" s="1" t="s">
        <v>32</v>
      </c>
      <c r="H8206" s="4" t="str">
        <f>HYPERLINK("https://www.ncbi.nlm.nih.gov/geo/query/acc.cgi?acc=GSM1673006","GSM1673006")</f>
        <v>GSM1673006</v>
      </c>
      <c r="I8206" t="s">
        <v>69</v>
      </c>
      <c r="J8206" t="s">
        <v>18</v>
      </c>
      <c r="K8206" t="s">
        <v>33</v>
      </c>
      <c r="L8206" t="s">
        <v>70</v>
      </c>
      <c r="N8206" t="s">
        <v>29</v>
      </c>
    </row>
    <row r="8207" spans="1:14">
      <c r="A8207" s="4" t="str">
        <f t="shared" si="744"/>
        <v>EXP00273</v>
      </c>
      <c r="B8207" s="3" t="s">
        <v>66</v>
      </c>
      <c r="C8207" s="4" t="str">
        <f t="shared" si="745"/>
        <v>GSE68468</v>
      </c>
      <c r="D8207" s="1" t="s">
        <v>62</v>
      </c>
      <c r="E8207" t="s">
        <v>68</v>
      </c>
      <c r="F8207" s="1">
        <v>2</v>
      </c>
      <c r="G8207" s="1" t="s">
        <v>32</v>
      </c>
      <c r="H8207" s="4" t="str">
        <f>HYPERLINK("https://www.ncbi.nlm.nih.gov/geo/query/acc.cgi?acc=GSM1673007","GSM1673007")</f>
        <v>GSM1673007</v>
      </c>
      <c r="I8207" t="s">
        <v>69</v>
      </c>
      <c r="J8207" t="s">
        <v>18</v>
      </c>
      <c r="K8207" t="s">
        <v>33</v>
      </c>
      <c r="L8207" t="s">
        <v>70</v>
      </c>
      <c r="N8207" t="s">
        <v>29</v>
      </c>
    </row>
    <row r="8208" spans="1:14">
      <c r="A8208" s="4" t="str">
        <f t="shared" ref="A8208:A8239" si="746">HYPERLINK("http://hcmdb.i-sanger.com/experiment/details/experiment_id/EXP00273","EXP00273")</f>
        <v>EXP00273</v>
      </c>
      <c r="B8208" s="3" t="s">
        <v>66</v>
      </c>
      <c r="C8208" s="4" t="str">
        <f t="shared" si="745"/>
        <v>GSE68468</v>
      </c>
      <c r="D8208" s="1" t="s">
        <v>62</v>
      </c>
      <c r="E8208" t="s">
        <v>68</v>
      </c>
      <c r="F8208" s="1">
        <v>2</v>
      </c>
      <c r="G8208" s="1" t="s">
        <v>32</v>
      </c>
      <c r="H8208" s="4" t="str">
        <f>HYPERLINK("https://www.ncbi.nlm.nih.gov/geo/query/acc.cgi?acc=GSM1673008","GSM1673008")</f>
        <v>GSM1673008</v>
      </c>
      <c r="I8208" t="s">
        <v>69</v>
      </c>
      <c r="J8208" t="s">
        <v>18</v>
      </c>
      <c r="K8208" t="s">
        <v>33</v>
      </c>
      <c r="L8208" t="s">
        <v>70</v>
      </c>
      <c r="N8208" t="s">
        <v>29</v>
      </c>
    </row>
    <row r="8209" spans="1:14">
      <c r="A8209" s="4" t="str">
        <f t="shared" si="746"/>
        <v>EXP00273</v>
      </c>
      <c r="B8209" s="3" t="s">
        <v>66</v>
      </c>
      <c r="C8209" s="4" t="str">
        <f t="shared" si="745"/>
        <v>GSE68468</v>
      </c>
      <c r="D8209" s="1" t="s">
        <v>62</v>
      </c>
      <c r="E8209" t="s">
        <v>68</v>
      </c>
      <c r="F8209" s="1">
        <v>2</v>
      </c>
      <c r="G8209" s="1" t="s">
        <v>32</v>
      </c>
      <c r="H8209" s="4" t="str">
        <f>HYPERLINK("https://www.ncbi.nlm.nih.gov/geo/query/acc.cgi?acc=GSM1673010","GSM1673010")</f>
        <v>GSM1673010</v>
      </c>
      <c r="I8209" t="s">
        <v>69</v>
      </c>
      <c r="J8209" t="s">
        <v>18</v>
      </c>
      <c r="K8209" t="s">
        <v>33</v>
      </c>
      <c r="L8209" t="s">
        <v>70</v>
      </c>
      <c r="N8209" t="s">
        <v>29</v>
      </c>
    </row>
    <row r="8210" spans="1:14">
      <c r="A8210" s="4" t="str">
        <f t="shared" si="746"/>
        <v>EXP00273</v>
      </c>
      <c r="B8210" s="3" t="s">
        <v>66</v>
      </c>
      <c r="C8210" s="4" t="str">
        <f t="shared" si="745"/>
        <v>GSE68468</v>
      </c>
      <c r="D8210" s="1" t="s">
        <v>62</v>
      </c>
      <c r="E8210" t="s">
        <v>68</v>
      </c>
      <c r="F8210" s="1">
        <v>2</v>
      </c>
      <c r="G8210" s="1" t="s">
        <v>32</v>
      </c>
      <c r="H8210" s="4" t="str">
        <f>HYPERLINK("https://www.ncbi.nlm.nih.gov/geo/query/acc.cgi?acc=GSM1673011","GSM1673011")</f>
        <v>GSM1673011</v>
      </c>
      <c r="I8210" t="s">
        <v>69</v>
      </c>
      <c r="J8210" t="s">
        <v>18</v>
      </c>
      <c r="K8210" t="s">
        <v>33</v>
      </c>
      <c r="L8210" t="s">
        <v>70</v>
      </c>
      <c r="N8210" t="s">
        <v>29</v>
      </c>
    </row>
    <row r="8211" spans="1:14">
      <c r="A8211" s="4" t="str">
        <f t="shared" si="746"/>
        <v>EXP00273</v>
      </c>
      <c r="B8211" s="3" t="s">
        <v>66</v>
      </c>
      <c r="C8211" s="4" t="str">
        <f t="shared" si="745"/>
        <v>GSE68468</v>
      </c>
      <c r="D8211" s="1" t="s">
        <v>62</v>
      </c>
      <c r="E8211" t="s">
        <v>68</v>
      </c>
      <c r="F8211" s="1">
        <v>2</v>
      </c>
      <c r="G8211" s="1" t="s">
        <v>32</v>
      </c>
      <c r="H8211" s="4" t="str">
        <f>HYPERLINK("https://www.ncbi.nlm.nih.gov/geo/query/acc.cgi?acc=GSM1673012","GSM1673012")</f>
        <v>GSM1673012</v>
      </c>
      <c r="I8211" t="s">
        <v>69</v>
      </c>
      <c r="J8211" t="s">
        <v>18</v>
      </c>
      <c r="K8211" t="s">
        <v>33</v>
      </c>
      <c r="L8211" t="s">
        <v>70</v>
      </c>
      <c r="N8211" t="s">
        <v>29</v>
      </c>
    </row>
    <row r="8212" spans="1:14">
      <c r="A8212" s="4" t="str">
        <f t="shared" si="746"/>
        <v>EXP00273</v>
      </c>
      <c r="B8212" s="3" t="s">
        <v>66</v>
      </c>
      <c r="C8212" s="4" t="str">
        <f t="shared" si="745"/>
        <v>GSE68468</v>
      </c>
      <c r="D8212" s="1" t="s">
        <v>62</v>
      </c>
      <c r="E8212" t="s">
        <v>68</v>
      </c>
      <c r="F8212" s="1">
        <v>2</v>
      </c>
      <c r="G8212" s="1" t="s">
        <v>32</v>
      </c>
      <c r="H8212" s="4" t="str">
        <f>HYPERLINK("https://www.ncbi.nlm.nih.gov/geo/query/acc.cgi?acc=GSM1673016","GSM1673016")</f>
        <v>GSM1673016</v>
      </c>
      <c r="I8212" t="s">
        <v>69</v>
      </c>
      <c r="J8212" t="s">
        <v>18</v>
      </c>
      <c r="K8212" t="s">
        <v>33</v>
      </c>
      <c r="L8212" t="s">
        <v>70</v>
      </c>
      <c r="N8212" t="s">
        <v>29</v>
      </c>
    </row>
    <row r="8213" spans="1:14">
      <c r="A8213" s="4" t="str">
        <f t="shared" si="746"/>
        <v>EXP00273</v>
      </c>
      <c r="B8213" s="3" t="s">
        <v>66</v>
      </c>
      <c r="C8213" s="4" t="str">
        <f t="shared" si="745"/>
        <v>GSE68468</v>
      </c>
      <c r="D8213" s="1" t="s">
        <v>62</v>
      </c>
      <c r="E8213" t="s">
        <v>68</v>
      </c>
      <c r="F8213" s="1">
        <v>2</v>
      </c>
      <c r="G8213" s="1" t="s">
        <v>32</v>
      </c>
      <c r="H8213" s="4" t="str">
        <f>HYPERLINK("https://www.ncbi.nlm.nih.gov/geo/query/acc.cgi?acc=GSM1673017","GSM1673017")</f>
        <v>GSM1673017</v>
      </c>
      <c r="I8213" t="s">
        <v>69</v>
      </c>
      <c r="J8213" t="s">
        <v>18</v>
      </c>
      <c r="K8213" t="s">
        <v>33</v>
      </c>
      <c r="L8213" t="s">
        <v>70</v>
      </c>
      <c r="N8213" t="s">
        <v>29</v>
      </c>
    </row>
    <row r="8214" spans="1:14">
      <c r="A8214" s="4" t="str">
        <f t="shared" si="746"/>
        <v>EXP00273</v>
      </c>
      <c r="B8214" s="3" t="s">
        <v>66</v>
      </c>
      <c r="C8214" s="4" t="str">
        <f t="shared" si="745"/>
        <v>GSE68468</v>
      </c>
      <c r="D8214" s="1" t="s">
        <v>62</v>
      </c>
      <c r="E8214" t="s">
        <v>68</v>
      </c>
      <c r="F8214" s="1">
        <v>2</v>
      </c>
      <c r="G8214" s="1" t="s">
        <v>32</v>
      </c>
      <c r="H8214" s="4" t="str">
        <f>HYPERLINK("https://www.ncbi.nlm.nih.gov/geo/query/acc.cgi?acc=GSM1673018","GSM1673018")</f>
        <v>GSM1673018</v>
      </c>
      <c r="I8214" t="s">
        <v>69</v>
      </c>
      <c r="J8214" t="s">
        <v>18</v>
      </c>
      <c r="K8214" t="s">
        <v>33</v>
      </c>
      <c r="L8214" t="s">
        <v>70</v>
      </c>
      <c r="N8214" t="s">
        <v>29</v>
      </c>
    </row>
    <row r="8215" spans="1:14">
      <c r="A8215" s="4" t="str">
        <f t="shared" si="746"/>
        <v>EXP00273</v>
      </c>
      <c r="B8215" s="3" t="s">
        <v>66</v>
      </c>
      <c r="C8215" s="4" t="str">
        <f t="shared" si="745"/>
        <v>GSE68468</v>
      </c>
      <c r="D8215" s="1" t="s">
        <v>62</v>
      </c>
      <c r="E8215" t="s">
        <v>68</v>
      </c>
      <c r="F8215" s="1">
        <v>2</v>
      </c>
      <c r="G8215" s="1" t="s">
        <v>32</v>
      </c>
      <c r="H8215" s="4" t="str">
        <f>HYPERLINK("https://www.ncbi.nlm.nih.gov/geo/query/acc.cgi?acc=GSM1673024","GSM1673024")</f>
        <v>GSM1673024</v>
      </c>
      <c r="I8215" t="s">
        <v>69</v>
      </c>
      <c r="J8215" t="s">
        <v>18</v>
      </c>
      <c r="K8215" t="s">
        <v>33</v>
      </c>
      <c r="L8215" t="s">
        <v>70</v>
      </c>
      <c r="N8215" t="s">
        <v>29</v>
      </c>
    </row>
    <row r="8216" spans="1:14">
      <c r="A8216" s="4" t="str">
        <f t="shared" si="746"/>
        <v>EXP00273</v>
      </c>
      <c r="B8216" s="3" t="s">
        <v>66</v>
      </c>
      <c r="C8216" s="4" t="str">
        <f t="shared" si="745"/>
        <v>GSE68468</v>
      </c>
      <c r="D8216" s="1" t="s">
        <v>62</v>
      </c>
      <c r="E8216" t="s">
        <v>68</v>
      </c>
      <c r="F8216" s="1">
        <v>2</v>
      </c>
      <c r="G8216" s="1" t="s">
        <v>32</v>
      </c>
      <c r="H8216" s="4" t="str">
        <f>HYPERLINK("https://www.ncbi.nlm.nih.gov/geo/query/acc.cgi?acc=GSM1673027","GSM1673027")</f>
        <v>GSM1673027</v>
      </c>
      <c r="I8216" t="s">
        <v>69</v>
      </c>
      <c r="J8216" t="s">
        <v>18</v>
      </c>
      <c r="K8216" t="s">
        <v>33</v>
      </c>
      <c r="L8216" t="s">
        <v>70</v>
      </c>
      <c r="N8216" t="s">
        <v>29</v>
      </c>
    </row>
    <row r="8217" spans="1:14">
      <c r="A8217" s="4" t="str">
        <f t="shared" si="746"/>
        <v>EXP00273</v>
      </c>
      <c r="B8217" s="3" t="s">
        <v>66</v>
      </c>
      <c r="C8217" s="4" t="str">
        <f t="shared" si="745"/>
        <v>GSE68468</v>
      </c>
      <c r="D8217" s="1" t="s">
        <v>62</v>
      </c>
      <c r="E8217" t="s">
        <v>68</v>
      </c>
      <c r="F8217" s="1">
        <v>2</v>
      </c>
      <c r="G8217" s="1" t="s">
        <v>32</v>
      </c>
      <c r="H8217" s="4" t="str">
        <f>HYPERLINK("https://www.ncbi.nlm.nih.gov/geo/query/acc.cgi?acc=GSM1673028","GSM1673028")</f>
        <v>GSM1673028</v>
      </c>
      <c r="I8217" t="s">
        <v>69</v>
      </c>
      <c r="J8217" t="s">
        <v>18</v>
      </c>
      <c r="K8217" t="s">
        <v>33</v>
      </c>
      <c r="L8217" t="s">
        <v>70</v>
      </c>
      <c r="N8217" t="s">
        <v>29</v>
      </c>
    </row>
    <row r="8218" spans="1:14">
      <c r="A8218" s="4" t="str">
        <f t="shared" si="746"/>
        <v>EXP00273</v>
      </c>
      <c r="B8218" s="3" t="s">
        <v>66</v>
      </c>
      <c r="C8218" s="4" t="str">
        <f t="shared" si="745"/>
        <v>GSE68468</v>
      </c>
      <c r="D8218" s="1" t="s">
        <v>62</v>
      </c>
      <c r="E8218" t="s">
        <v>68</v>
      </c>
      <c r="F8218" s="1">
        <v>2</v>
      </c>
      <c r="G8218" s="1" t="s">
        <v>32</v>
      </c>
      <c r="H8218" s="4" t="str">
        <f>HYPERLINK("https://www.ncbi.nlm.nih.gov/geo/query/acc.cgi?acc=GSM1673030","GSM1673030")</f>
        <v>GSM1673030</v>
      </c>
      <c r="I8218" t="s">
        <v>69</v>
      </c>
      <c r="J8218" t="s">
        <v>18</v>
      </c>
      <c r="K8218" t="s">
        <v>33</v>
      </c>
      <c r="L8218" t="s">
        <v>70</v>
      </c>
      <c r="N8218" t="s">
        <v>29</v>
      </c>
    </row>
    <row r="8219" spans="1:14">
      <c r="A8219" s="4" t="str">
        <f t="shared" si="746"/>
        <v>EXP00273</v>
      </c>
      <c r="B8219" s="3" t="s">
        <v>66</v>
      </c>
      <c r="C8219" s="4" t="str">
        <f t="shared" si="745"/>
        <v>GSE68468</v>
      </c>
      <c r="D8219" s="1" t="s">
        <v>62</v>
      </c>
      <c r="E8219" t="s">
        <v>68</v>
      </c>
      <c r="F8219" s="1">
        <v>2</v>
      </c>
      <c r="G8219" s="1" t="s">
        <v>32</v>
      </c>
      <c r="H8219" s="4" t="str">
        <f>HYPERLINK("https://www.ncbi.nlm.nih.gov/geo/query/acc.cgi?acc=GSM1673031","GSM1673031")</f>
        <v>GSM1673031</v>
      </c>
      <c r="I8219" t="s">
        <v>69</v>
      </c>
      <c r="J8219" t="s">
        <v>18</v>
      </c>
      <c r="K8219" t="s">
        <v>33</v>
      </c>
      <c r="L8219" t="s">
        <v>70</v>
      </c>
      <c r="N8219" t="s">
        <v>29</v>
      </c>
    </row>
    <row r="8220" spans="1:14">
      <c r="A8220" s="4" t="str">
        <f t="shared" si="746"/>
        <v>EXP00273</v>
      </c>
      <c r="B8220" s="3" t="s">
        <v>66</v>
      </c>
      <c r="C8220" s="4" t="str">
        <f t="shared" si="745"/>
        <v>GSE68468</v>
      </c>
      <c r="D8220" s="1" t="s">
        <v>62</v>
      </c>
      <c r="E8220" t="s">
        <v>68</v>
      </c>
      <c r="F8220" s="1">
        <v>2</v>
      </c>
      <c r="G8220" s="1" t="s">
        <v>32</v>
      </c>
      <c r="H8220" s="4" t="str">
        <f>HYPERLINK("https://www.ncbi.nlm.nih.gov/geo/query/acc.cgi?acc=GSM1673033","GSM1673033")</f>
        <v>GSM1673033</v>
      </c>
      <c r="I8220" t="s">
        <v>69</v>
      </c>
      <c r="J8220" t="s">
        <v>18</v>
      </c>
      <c r="K8220" t="s">
        <v>33</v>
      </c>
      <c r="L8220" t="s">
        <v>70</v>
      </c>
      <c r="N8220" t="s">
        <v>29</v>
      </c>
    </row>
    <row r="8221" spans="1:14">
      <c r="A8221" s="4" t="str">
        <f t="shared" si="746"/>
        <v>EXP00273</v>
      </c>
      <c r="B8221" s="3" t="s">
        <v>66</v>
      </c>
      <c r="C8221" s="4" t="str">
        <f t="shared" si="745"/>
        <v>GSE68468</v>
      </c>
      <c r="D8221" s="1" t="s">
        <v>62</v>
      </c>
      <c r="E8221" t="s">
        <v>68</v>
      </c>
      <c r="F8221" s="1">
        <v>2</v>
      </c>
      <c r="G8221" s="1" t="s">
        <v>32</v>
      </c>
      <c r="H8221" s="4" t="str">
        <f>HYPERLINK("https://www.ncbi.nlm.nih.gov/geo/query/acc.cgi?acc=GSM1673034","GSM1673034")</f>
        <v>GSM1673034</v>
      </c>
      <c r="I8221" t="s">
        <v>69</v>
      </c>
      <c r="J8221" t="s">
        <v>18</v>
      </c>
      <c r="K8221" t="s">
        <v>33</v>
      </c>
      <c r="L8221" t="s">
        <v>70</v>
      </c>
      <c r="N8221" t="s">
        <v>29</v>
      </c>
    </row>
    <row r="8222" spans="1:14">
      <c r="A8222" s="4" t="str">
        <f t="shared" si="746"/>
        <v>EXP00273</v>
      </c>
      <c r="B8222" s="3" t="s">
        <v>66</v>
      </c>
      <c r="C8222" s="4" t="str">
        <f t="shared" si="745"/>
        <v>GSE68468</v>
      </c>
      <c r="D8222" s="1" t="s">
        <v>62</v>
      </c>
      <c r="E8222" t="s">
        <v>68</v>
      </c>
      <c r="F8222" s="1">
        <v>2</v>
      </c>
      <c r="G8222" s="1" t="s">
        <v>32</v>
      </c>
      <c r="H8222" s="4" t="str">
        <f>HYPERLINK("https://www.ncbi.nlm.nih.gov/geo/query/acc.cgi?acc=GSM1673035","GSM1673035")</f>
        <v>GSM1673035</v>
      </c>
      <c r="I8222" t="s">
        <v>69</v>
      </c>
      <c r="J8222" t="s">
        <v>18</v>
      </c>
      <c r="K8222" t="s">
        <v>33</v>
      </c>
      <c r="L8222" t="s">
        <v>70</v>
      </c>
      <c r="N8222" t="s">
        <v>29</v>
      </c>
    </row>
    <row r="8223" spans="1:14">
      <c r="A8223" s="4" t="str">
        <f t="shared" si="746"/>
        <v>EXP00273</v>
      </c>
      <c r="B8223" s="3" t="s">
        <v>66</v>
      </c>
      <c r="C8223" s="4" t="str">
        <f t="shared" si="745"/>
        <v>GSE68468</v>
      </c>
      <c r="D8223" s="1" t="s">
        <v>62</v>
      </c>
      <c r="E8223" t="s">
        <v>68</v>
      </c>
      <c r="F8223" s="1">
        <v>2</v>
      </c>
      <c r="G8223" s="1" t="s">
        <v>32</v>
      </c>
      <c r="H8223" s="4" t="str">
        <f>HYPERLINK("https://www.ncbi.nlm.nih.gov/geo/query/acc.cgi?acc=GSM1673037","GSM1673037")</f>
        <v>GSM1673037</v>
      </c>
      <c r="I8223" t="s">
        <v>69</v>
      </c>
      <c r="J8223" t="s">
        <v>18</v>
      </c>
      <c r="K8223" t="s">
        <v>33</v>
      </c>
      <c r="L8223" t="s">
        <v>70</v>
      </c>
      <c r="N8223" t="s">
        <v>29</v>
      </c>
    </row>
    <row r="8224" spans="1:14">
      <c r="A8224" s="4" t="str">
        <f t="shared" si="746"/>
        <v>EXP00273</v>
      </c>
      <c r="B8224" s="3" t="s">
        <v>66</v>
      </c>
      <c r="C8224" s="4" t="str">
        <f t="shared" si="745"/>
        <v>GSE68468</v>
      </c>
      <c r="D8224" s="1" t="s">
        <v>62</v>
      </c>
      <c r="E8224" t="s">
        <v>68</v>
      </c>
      <c r="F8224" s="1">
        <v>2</v>
      </c>
      <c r="G8224" s="1" t="s">
        <v>32</v>
      </c>
      <c r="H8224" s="4" t="str">
        <f>HYPERLINK("https://www.ncbi.nlm.nih.gov/geo/query/acc.cgi?acc=GSM1673042","GSM1673042")</f>
        <v>GSM1673042</v>
      </c>
      <c r="I8224" t="s">
        <v>69</v>
      </c>
      <c r="J8224" t="s">
        <v>18</v>
      </c>
      <c r="K8224" t="s">
        <v>33</v>
      </c>
      <c r="L8224" t="s">
        <v>70</v>
      </c>
      <c r="N8224" t="s">
        <v>29</v>
      </c>
    </row>
    <row r="8225" spans="1:14">
      <c r="A8225" s="4" t="str">
        <f t="shared" si="746"/>
        <v>EXP00273</v>
      </c>
      <c r="B8225" s="3" t="s">
        <v>66</v>
      </c>
      <c r="C8225" s="4" t="str">
        <f t="shared" si="745"/>
        <v>GSE68468</v>
      </c>
      <c r="D8225" s="1" t="s">
        <v>62</v>
      </c>
      <c r="E8225" t="s">
        <v>68</v>
      </c>
      <c r="F8225" s="1">
        <v>2</v>
      </c>
      <c r="G8225" s="1" t="s">
        <v>32</v>
      </c>
      <c r="H8225" s="4" t="str">
        <f>HYPERLINK("https://www.ncbi.nlm.nih.gov/geo/query/acc.cgi?acc=GSM1673044","GSM1673044")</f>
        <v>GSM1673044</v>
      </c>
      <c r="I8225" t="s">
        <v>69</v>
      </c>
      <c r="J8225" t="s">
        <v>18</v>
      </c>
      <c r="K8225" t="s">
        <v>33</v>
      </c>
      <c r="L8225" t="s">
        <v>70</v>
      </c>
      <c r="N8225" t="s">
        <v>29</v>
      </c>
    </row>
    <row r="8226" spans="1:14">
      <c r="A8226" s="4" t="str">
        <f t="shared" si="746"/>
        <v>EXP00273</v>
      </c>
      <c r="B8226" s="3" t="s">
        <v>66</v>
      </c>
      <c r="C8226" s="4" t="str">
        <f t="shared" si="745"/>
        <v>GSE68468</v>
      </c>
      <c r="D8226" s="1" t="s">
        <v>62</v>
      </c>
      <c r="E8226" t="s">
        <v>68</v>
      </c>
      <c r="F8226" s="1">
        <v>2</v>
      </c>
      <c r="G8226" s="1" t="s">
        <v>32</v>
      </c>
      <c r="H8226" s="4" t="str">
        <f>HYPERLINK("https://www.ncbi.nlm.nih.gov/geo/query/acc.cgi?acc=GSM1673045","GSM1673045")</f>
        <v>GSM1673045</v>
      </c>
      <c r="I8226" t="s">
        <v>69</v>
      </c>
      <c r="J8226" t="s">
        <v>18</v>
      </c>
      <c r="K8226" t="s">
        <v>33</v>
      </c>
      <c r="L8226" t="s">
        <v>70</v>
      </c>
      <c r="N8226" t="s">
        <v>29</v>
      </c>
    </row>
    <row r="8227" spans="1:14">
      <c r="A8227" s="4" t="str">
        <f t="shared" si="746"/>
        <v>EXP00273</v>
      </c>
      <c r="B8227" s="3" t="s">
        <v>66</v>
      </c>
      <c r="C8227" s="4" t="str">
        <f t="shared" si="745"/>
        <v>GSE68468</v>
      </c>
      <c r="D8227" s="1" t="s">
        <v>62</v>
      </c>
      <c r="E8227" t="s">
        <v>68</v>
      </c>
      <c r="F8227" s="1">
        <v>2</v>
      </c>
      <c r="G8227" s="1" t="s">
        <v>32</v>
      </c>
      <c r="H8227" s="4" t="str">
        <f>HYPERLINK("https://www.ncbi.nlm.nih.gov/geo/query/acc.cgi?acc=GSM1673046","GSM1673046")</f>
        <v>GSM1673046</v>
      </c>
      <c r="I8227" t="s">
        <v>69</v>
      </c>
      <c r="J8227" t="s">
        <v>18</v>
      </c>
      <c r="K8227" t="s">
        <v>33</v>
      </c>
      <c r="L8227" t="s">
        <v>70</v>
      </c>
      <c r="N8227" t="s">
        <v>29</v>
      </c>
    </row>
    <row r="8228" spans="1:14">
      <c r="A8228" s="4" t="str">
        <f t="shared" si="746"/>
        <v>EXP00273</v>
      </c>
      <c r="B8228" s="3" t="s">
        <v>66</v>
      </c>
      <c r="C8228" s="4" t="str">
        <f t="shared" si="745"/>
        <v>GSE68468</v>
      </c>
      <c r="D8228" s="1" t="s">
        <v>62</v>
      </c>
      <c r="E8228" t="s">
        <v>68</v>
      </c>
      <c r="F8228" s="1">
        <v>2</v>
      </c>
      <c r="G8228" s="1" t="s">
        <v>32</v>
      </c>
      <c r="H8228" s="4" t="str">
        <f>HYPERLINK("https://www.ncbi.nlm.nih.gov/geo/query/acc.cgi?acc=GSM1673047","GSM1673047")</f>
        <v>GSM1673047</v>
      </c>
      <c r="I8228" t="s">
        <v>69</v>
      </c>
      <c r="J8228" t="s">
        <v>18</v>
      </c>
      <c r="K8228" t="s">
        <v>33</v>
      </c>
      <c r="L8228" t="s">
        <v>70</v>
      </c>
      <c r="N8228" t="s">
        <v>29</v>
      </c>
    </row>
    <row r="8229" spans="1:14">
      <c r="A8229" s="4" t="str">
        <f t="shared" si="746"/>
        <v>EXP00273</v>
      </c>
      <c r="B8229" s="3" t="s">
        <v>66</v>
      </c>
      <c r="C8229" s="4" t="str">
        <f t="shared" si="745"/>
        <v>GSE68468</v>
      </c>
      <c r="D8229" s="1" t="s">
        <v>62</v>
      </c>
      <c r="E8229" t="s">
        <v>68</v>
      </c>
      <c r="F8229" s="1">
        <v>2</v>
      </c>
      <c r="G8229" s="1" t="s">
        <v>32</v>
      </c>
      <c r="H8229" s="4" t="str">
        <f>HYPERLINK("https://www.ncbi.nlm.nih.gov/geo/query/acc.cgi?acc=GSM1673048","GSM1673048")</f>
        <v>GSM1673048</v>
      </c>
      <c r="I8229" t="s">
        <v>69</v>
      </c>
      <c r="J8229" t="s">
        <v>18</v>
      </c>
      <c r="K8229" t="s">
        <v>33</v>
      </c>
      <c r="L8229" t="s">
        <v>70</v>
      </c>
      <c r="N8229" t="s">
        <v>29</v>
      </c>
    </row>
    <row r="8230" spans="1:14">
      <c r="A8230" s="4" t="str">
        <f t="shared" si="746"/>
        <v>EXP00273</v>
      </c>
      <c r="B8230" s="3" t="s">
        <v>66</v>
      </c>
      <c r="C8230" s="4" t="str">
        <f t="shared" si="745"/>
        <v>GSE68468</v>
      </c>
      <c r="D8230" s="1" t="s">
        <v>62</v>
      </c>
      <c r="E8230" t="s">
        <v>68</v>
      </c>
      <c r="F8230" s="1">
        <v>2</v>
      </c>
      <c r="G8230" s="1" t="s">
        <v>32</v>
      </c>
      <c r="H8230" s="4" t="str">
        <f>HYPERLINK("https://www.ncbi.nlm.nih.gov/geo/query/acc.cgi?acc=GSM1673050","GSM1673050")</f>
        <v>GSM1673050</v>
      </c>
      <c r="I8230" t="s">
        <v>69</v>
      </c>
      <c r="J8230" t="s">
        <v>18</v>
      </c>
      <c r="K8230" t="s">
        <v>33</v>
      </c>
      <c r="L8230" t="s">
        <v>70</v>
      </c>
      <c r="N8230" t="s">
        <v>29</v>
      </c>
    </row>
    <row r="8231" spans="1:14">
      <c r="A8231" s="4" t="str">
        <f t="shared" si="746"/>
        <v>EXP00273</v>
      </c>
      <c r="B8231" s="3" t="s">
        <v>66</v>
      </c>
      <c r="C8231" s="4" t="str">
        <f t="shared" si="745"/>
        <v>GSE68468</v>
      </c>
      <c r="D8231" s="1" t="s">
        <v>62</v>
      </c>
      <c r="E8231" t="s">
        <v>68</v>
      </c>
      <c r="F8231" s="1">
        <v>2</v>
      </c>
      <c r="G8231" s="1" t="s">
        <v>32</v>
      </c>
      <c r="H8231" s="4" t="str">
        <f>HYPERLINK("https://www.ncbi.nlm.nih.gov/geo/query/acc.cgi?acc=GSM1673056","GSM1673056")</f>
        <v>GSM1673056</v>
      </c>
      <c r="I8231" t="s">
        <v>69</v>
      </c>
      <c r="J8231" t="s">
        <v>18</v>
      </c>
      <c r="K8231" t="s">
        <v>33</v>
      </c>
      <c r="L8231" t="s">
        <v>70</v>
      </c>
      <c r="N8231" t="s">
        <v>29</v>
      </c>
    </row>
    <row r="8232" spans="1:14">
      <c r="A8232" s="4" t="str">
        <f t="shared" si="746"/>
        <v>EXP00273</v>
      </c>
      <c r="B8232" s="3" t="s">
        <v>66</v>
      </c>
      <c r="C8232" s="4" t="str">
        <f t="shared" si="745"/>
        <v>GSE68468</v>
      </c>
      <c r="D8232" s="1" t="s">
        <v>62</v>
      </c>
      <c r="E8232" t="s">
        <v>68</v>
      </c>
      <c r="F8232" s="1">
        <v>2</v>
      </c>
      <c r="G8232" s="1" t="s">
        <v>32</v>
      </c>
      <c r="H8232" s="4" t="str">
        <f>HYPERLINK("https://www.ncbi.nlm.nih.gov/geo/query/acc.cgi?acc=GSM1673057","GSM1673057")</f>
        <v>GSM1673057</v>
      </c>
      <c r="I8232" t="s">
        <v>69</v>
      </c>
      <c r="J8232" t="s">
        <v>18</v>
      </c>
      <c r="K8232" t="s">
        <v>33</v>
      </c>
      <c r="L8232" t="s">
        <v>70</v>
      </c>
      <c r="N8232" t="s">
        <v>29</v>
      </c>
    </row>
    <row r="8233" spans="1:14">
      <c r="A8233" s="4" t="str">
        <f t="shared" si="746"/>
        <v>EXP00273</v>
      </c>
      <c r="B8233" s="3" t="s">
        <v>66</v>
      </c>
      <c r="C8233" s="4" t="str">
        <f t="shared" si="745"/>
        <v>GSE68468</v>
      </c>
      <c r="D8233" s="1" t="s">
        <v>62</v>
      </c>
      <c r="E8233" t="s">
        <v>68</v>
      </c>
      <c r="F8233" s="1">
        <v>2</v>
      </c>
      <c r="G8233" s="1" t="s">
        <v>32</v>
      </c>
      <c r="H8233" s="4" t="str">
        <f>HYPERLINK("https://www.ncbi.nlm.nih.gov/geo/query/acc.cgi?acc=GSM1673060","GSM1673060")</f>
        <v>GSM1673060</v>
      </c>
      <c r="I8233" t="s">
        <v>69</v>
      </c>
      <c r="J8233" t="s">
        <v>18</v>
      </c>
      <c r="K8233" t="s">
        <v>33</v>
      </c>
      <c r="L8233" t="s">
        <v>70</v>
      </c>
      <c r="N8233" t="s">
        <v>29</v>
      </c>
    </row>
    <row r="8234" spans="1:14">
      <c r="A8234" s="4" t="str">
        <f t="shared" si="746"/>
        <v>EXP00273</v>
      </c>
      <c r="B8234" s="3" t="s">
        <v>66</v>
      </c>
      <c r="C8234" s="4" t="str">
        <f t="shared" si="745"/>
        <v>GSE68468</v>
      </c>
      <c r="D8234" s="1" t="s">
        <v>62</v>
      </c>
      <c r="E8234" t="s">
        <v>68</v>
      </c>
      <c r="F8234" s="1">
        <v>2</v>
      </c>
      <c r="G8234" s="1" t="s">
        <v>32</v>
      </c>
      <c r="H8234" s="4" t="str">
        <f>HYPERLINK("https://www.ncbi.nlm.nih.gov/geo/query/acc.cgi?acc=GSM1673062","GSM1673062")</f>
        <v>GSM1673062</v>
      </c>
      <c r="I8234" t="s">
        <v>69</v>
      </c>
      <c r="J8234" t="s">
        <v>18</v>
      </c>
      <c r="K8234" t="s">
        <v>33</v>
      </c>
      <c r="L8234" t="s">
        <v>70</v>
      </c>
      <c r="N8234" t="s">
        <v>29</v>
      </c>
    </row>
    <row r="8235" spans="1:14">
      <c r="A8235" s="4" t="str">
        <f t="shared" si="746"/>
        <v>EXP00273</v>
      </c>
      <c r="B8235" s="3" t="s">
        <v>66</v>
      </c>
      <c r="C8235" s="4" t="str">
        <f t="shared" si="745"/>
        <v>GSE68468</v>
      </c>
      <c r="D8235" s="1" t="s">
        <v>62</v>
      </c>
      <c r="E8235" t="s">
        <v>68</v>
      </c>
      <c r="F8235" s="1">
        <v>2</v>
      </c>
      <c r="G8235" s="1" t="s">
        <v>32</v>
      </c>
      <c r="H8235" s="4" t="str">
        <f>HYPERLINK("https://www.ncbi.nlm.nih.gov/geo/query/acc.cgi?acc=GSM1673064","GSM1673064")</f>
        <v>GSM1673064</v>
      </c>
      <c r="I8235" t="s">
        <v>69</v>
      </c>
      <c r="J8235" t="s">
        <v>18</v>
      </c>
      <c r="K8235" t="s">
        <v>33</v>
      </c>
      <c r="L8235" t="s">
        <v>70</v>
      </c>
      <c r="N8235" t="s">
        <v>29</v>
      </c>
    </row>
    <row r="8236" spans="1:14">
      <c r="A8236" s="4" t="str">
        <f t="shared" si="746"/>
        <v>EXP00273</v>
      </c>
      <c r="B8236" s="3" t="s">
        <v>66</v>
      </c>
      <c r="C8236" s="4" t="str">
        <f t="shared" si="745"/>
        <v>GSE68468</v>
      </c>
      <c r="D8236" s="1" t="s">
        <v>62</v>
      </c>
      <c r="E8236" t="s">
        <v>68</v>
      </c>
      <c r="F8236" s="1">
        <v>2</v>
      </c>
      <c r="G8236" s="1" t="s">
        <v>32</v>
      </c>
      <c r="H8236" s="4" t="str">
        <f>HYPERLINK("https://www.ncbi.nlm.nih.gov/geo/query/acc.cgi?acc=GSM1673065","GSM1673065")</f>
        <v>GSM1673065</v>
      </c>
      <c r="I8236" t="s">
        <v>69</v>
      </c>
      <c r="J8236" t="s">
        <v>18</v>
      </c>
      <c r="K8236" t="s">
        <v>33</v>
      </c>
      <c r="L8236" t="s">
        <v>70</v>
      </c>
      <c r="N8236" t="s">
        <v>29</v>
      </c>
    </row>
    <row r="8237" spans="1:14">
      <c r="A8237" s="4" t="str">
        <f t="shared" si="746"/>
        <v>EXP00273</v>
      </c>
      <c r="B8237" s="3" t="s">
        <v>66</v>
      </c>
      <c r="C8237" s="4" t="str">
        <f t="shared" si="745"/>
        <v>GSE68468</v>
      </c>
      <c r="D8237" s="1" t="s">
        <v>62</v>
      </c>
      <c r="E8237" t="s">
        <v>68</v>
      </c>
      <c r="F8237" s="1">
        <v>2</v>
      </c>
      <c r="G8237" s="1" t="s">
        <v>32</v>
      </c>
      <c r="H8237" s="4" t="str">
        <f>HYPERLINK("https://www.ncbi.nlm.nih.gov/geo/query/acc.cgi?acc=GSM1673067","GSM1673067")</f>
        <v>GSM1673067</v>
      </c>
      <c r="I8237" t="s">
        <v>69</v>
      </c>
      <c r="J8237" t="s">
        <v>18</v>
      </c>
      <c r="K8237" t="s">
        <v>33</v>
      </c>
      <c r="L8237" t="s">
        <v>70</v>
      </c>
      <c r="N8237" t="s">
        <v>29</v>
      </c>
    </row>
    <row r="8238" spans="1:14">
      <c r="A8238" s="4" t="str">
        <f t="shared" si="746"/>
        <v>EXP00273</v>
      </c>
      <c r="B8238" s="3" t="s">
        <v>66</v>
      </c>
      <c r="C8238" s="4" t="str">
        <f t="shared" si="745"/>
        <v>GSE68468</v>
      </c>
      <c r="D8238" s="1" t="s">
        <v>62</v>
      </c>
      <c r="E8238" t="s">
        <v>68</v>
      </c>
      <c r="F8238" s="1">
        <v>2</v>
      </c>
      <c r="G8238" s="1" t="s">
        <v>32</v>
      </c>
      <c r="H8238" s="4" t="str">
        <f>HYPERLINK("https://www.ncbi.nlm.nih.gov/geo/query/acc.cgi?acc=GSM1673068","GSM1673068")</f>
        <v>GSM1673068</v>
      </c>
      <c r="I8238" t="s">
        <v>69</v>
      </c>
      <c r="J8238" t="s">
        <v>18</v>
      </c>
      <c r="K8238" t="s">
        <v>33</v>
      </c>
      <c r="L8238" t="s">
        <v>70</v>
      </c>
      <c r="N8238" t="s">
        <v>29</v>
      </c>
    </row>
    <row r="8239" spans="1:14">
      <c r="A8239" s="4" t="str">
        <f t="shared" si="746"/>
        <v>EXP00273</v>
      </c>
      <c r="B8239" s="3" t="s">
        <v>66</v>
      </c>
      <c r="C8239" s="4" t="str">
        <f t="shared" si="745"/>
        <v>GSE68468</v>
      </c>
      <c r="D8239" s="1" t="s">
        <v>62</v>
      </c>
      <c r="E8239" t="s">
        <v>68</v>
      </c>
      <c r="F8239" s="1">
        <v>2</v>
      </c>
      <c r="G8239" s="1" t="s">
        <v>32</v>
      </c>
      <c r="H8239" s="4" t="str">
        <f>HYPERLINK("https://www.ncbi.nlm.nih.gov/geo/query/acc.cgi?acc=GSM1673070","GSM1673070")</f>
        <v>GSM1673070</v>
      </c>
      <c r="I8239" t="s">
        <v>69</v>
      </c>
      <c r="J8239" t="s">
        <v>18</v>
      </c>
      <c r="K8239" t="s">
        <v>33</v>
      </c>
      <c r="L8239" t="s">
        <v>70</v>
      </c>
      <c r="N8239" t="s">
        <v>29</v>
      </c>
    </row>
    <row r="8240" spans="1:14">
      <c r="A8240" s="4" t="str">
        <f t="shared" ref="A8240:A8271" si="747">HYPERLINK("http://hcmdb.i-sanger.com/experiment/details/experiment_id/EXP00273","EXP00273")</f>
        <v>EXP00273</v>
      </c>
      <c r="B8240" s="3" t="s">
        <v>66</v>
      </c>
      <c r="C8240" s="4" t="str">
        <f t="shared" si="745"/>
        <v>GSE68468</v>
      </c>
      <c r="D8240" s="1" t="s">
        <v>62</v>
      </c>
      <c r="E8240" t="s">
        <v>68</v>
      </c>
      <c r="F8240" s="1">
        <v>2</v>
      </c>
      <c r="G8240" s="1" t="s">
        <v>32</v>
      </c>
      <c r="H8240" s="4" t="str">
        <f>HYPERLINK("https://www.ncbi.nlm.nih.gov/geo/query/acc.cgi?acc=GSM1673074","GSM1673074")</f>
        <v>GSM1673074</v>
      </c>
      <c r="I8240" t="s">
        <v>69</v>
      </c>
      <c r="J8240" t="s">
        <v>18</v>
      </c>
      <c r="K8240" t="s">
        <v>33</v>
      </c>
      <c r="L8240" t="s">
        <v>70</v>
      </c>
      <c r="N8240" t="s">
        <v>29</v>
      </c>
    </row>
    <row r="8241" spans="1:14">
      <c r="A8241" s="4" t="str">
        <f t="shared" si="747"/>
        <v>EXP00273</v>
      </c>
      <c r="B8241" s="3" t="s">
        <v>66</v>
      </c>
      <c r="C8241" s="4" t="str">
        <f t="shared" si="745"/>
        <v>GSE68468</v>
      </c>
      <c r="D8241" s="1" t="s">
        <v>62</v>
      </c>
      <c r="E8241" t="s">
        <v>68</v>
      </c>
      <c r="F8241" s="1">
        <v>2</v>
      </c>
      <c r="G8241" s="1" t="s">
        <v>32</v>
      </c>
      <c r="H8241" s="4" t="str">
        <f>HYPERLINK("https://www.ncbi.nlm.nih.gov/geo/query/acc.cgi?acc=GSM1673079","GSM1673079")</f>
        <v>GSM1673079</v>
      </c>
      <c r="I8241" t="s">
        <v>69</v>
      </c>
      <c r="J8241" t="s">
        <v>18</v>
      </c>
      <c r="K8241" t="s">
        <v>33</v>
      </c>
      <c r="L8241" t="s">
        <v>70</v>
      </c>
      <c r="N8241" t="s">
        <v>29</v>
      </c>
    </row>
    <row r="8242" spans="1:14">
      <c r="A8242" s="4" t="str">
        <f t="shared" si="747"/>
        <v>EXP00273</v>
      </c>
      <c r="B8242" s="3" t="s">
        <v>66</v>
      </c>
      <c r="C8242" s="4" t="str">
        <f t="shared" si="745"/>
        <v>GSE68468</v>
      </c>
      <c r="D8242" s="1" t="s">
        <v>62</v>
      </c>
      <c r="E8242" t="s">
        <v>68</v>
      </c>
      <c r="F8242" s="1">
        <v>2</v>
      </c>
      <c r="G8242" s="1" t="s">
        <v>32</v>
      </c>
      <c r="H8242" s="4" t="str">
        <f>HYPERLINK("https://www.ncbi.nlm.nih.gov/geo/query/acc.cgi?acc=GSM1673081","GSM1673081")</f>
        <v>GSM1673081</v>
      </c>
      <c r="I8242" t="s">
        <v>69</v>
      </c>
      <c r="J8242" t="s">
        <v>18</v>
      </c>
      <c r="K8242" t="s">
        <v>33</v>
      </c>
      <c r="L8242" t="s">
        <v>70</v>
      </c>
      <c r="N8242" t="s">
        <v>29</v>
      </c>
    </row>
    <row r="8243" spans="1:14">
      <c r="A8243" s="4" t="str">
        <f t="shared" si="747"/>
        <v>EXP00273</v>
      </c>
      <c r="B8243" s="3" t="s">
        <v>66</v>
      </c>
      <c r="C8243" s="4" t="str">
        <f t="shared" si="745"/>
        <v>GSE68468</v>
      </c>
      <c r="D8243" s="1" t="s">
        <v>62</v>
      </c>
      <c r="E8243" t="s">
        <v>68</v>
      </c>
      <c r="F8243" s="1">
        <v>2</v>
      </c>
      <c r="G8243" s="1" t="s">
        <v>32</v>
      </c>
      <c r="H8243" s="4" t="str">
        <f>HYPERLINK("https://www.ncbi.nlm.nih.gov/geo/query/acc.cgi?acc=GSM1673084","GSM1673084")</f>
        <v>GSM1673084</v>
      </c>
      <c r="I8243" t="s">
        <v>69</v>
      </c>
      <c r="J8243" t="s">
        <v>18</v>
      </c>
      <c r="K8243" t="s">
        <v>33</v>
      </c>
      <c r="L8243" t="s">
        <v>70</v>
      </c>
      <c r="N8243" t="s">
        <v>29</v>
      </c>
    </row>
    <row r="8244" spans="1:14">
      <c r="A8244" s="4" t="str">
        <f t="shared" si="747"/>
        <v>EXP00273</v>
      </c>
      <c r="B8244" s="3" t="s">
        <v>66</v>
      </c>
      <c r="C8244" s="4" t="str">
        <f t="shared" si="745"/>
        <v>GSE68468</v>
      </c>
      <c r="D8244" s="1" t="s">
        <v>62</v>
      </c>
      <c r="E8244" t="s">
        <v>68</v>
      </c>
      <c r="F8244" s="1">
        <v>2</v>
      </c>
      <c r="G8244" s="1" t="s">
        <v>32</v>
      </c>
      <c r="H8244" s="4" t="str">
        <f>HYPERLINK("https://www.ncbi.nlm.nih.gov/geo/query/acc.cgi?acc=GSM1673094","GSM1673094")</f>
        <v>GSM1673094</v>
      </c>
      <c r="I8244" t="s">
        <v>69</v>
      </c>
      <c r="J8244" t="s">
        <v>18</v>
      </c>
      <c r="K8244" t="s">
        <v>33</v>
      </c>
      <c r="L8244" t="s">
        <v>70</v>
      </c>
      <c r="N8244" t="s">
        <v>29</v>
      </c>
    </row>
    <row r="8245" spans="1:14">
      <c r="A8245" s="4" t="str">
        <f t="shared" si="747"/>
        <v>EXP00273</v>
      </c>
      <c r="B8245" s="3" t="s">
        <v>66</v>
      </c>
      <c r="C8245" s="4" t="str">
        <f t="shared" ref="C8245:C8308" si="748">HYPERLINK("https://www.ncbi.nlm.nih.gov/geo/query/acc.cgi?acc=GSE68468","GSE68468")</f>
        <v>GSE68468</v>
      </c>
      <c r="D8245" s="1" t="s">
        <v>62</v>
      </c>
      <c r="E8245" t="s">
        <v>68</v>
      </c>
      <c r="F8245" s="1">
        <v>2</v>
      </c>
      <c r="G8245" s="1" t="s">
        <v>32</v>
      </c>
      <c r="H8245" s="4" t="str">
        <f>HYPERLINK("https://www.ncbi.nlm.nih.gov/geo/query/acc.cgi?acc=GSM1673098","GSM1673098")</f>
        <v>GSM1673098</v>
      </c>
      <c r="I8245" t="s">
        <v>69</v>
      </c>
      <c r="J8245" t="s">
        <v>18</v>
      </c>
      <c r="K8245" t="s">
        <v>33</v>
      </c>
      <c r="L8245" t="s">
        <v>70</v>
      </c>
      <c r="N8245" t="s">
        <v>29</v>
      </c>
    </row>
    <row r="8246" spans="1:14">
      <c r="A8246" s="4" t="str">
        <f t="shared" si="747"/>
        <v>EXP00273</v>
      </c>
      <c r="B8246" s="3" t="s">
        <v>66</v>
      </c>
      <c r="C8246" s="4" t="str">
        <f t="shared" si="748"/>
        <v>GSE68468</v>
      </c>
      <c r="D8246" s="1" t="s">
        <v>62</v>
      </c>
      <c r="E8246" t="s">
        <v>68</v>
      </c>
      <c r="F8246" s="1">
        <v>2</v>
      </c>
      <c r="G8246" s="1" t="s">
        <v>32</v>
      </c>
      <c r="H8246" s="4" t="str">
        <f>HYPERLINK("https://www.ncbi.nlm.nih.gov/geo/query/acc.cgi?acc=GSM1673099","GSM1673099")</f>
        <v>GSM1673099</v>
      </c>
      <c r="I8246" t="s">
        <v>69</v>
      </c>
      <c r="J8246" t="s">
        <v>18</v>
      </c>
      <c r="K8246" t="s">
        <v>33</v>
      </c>
      <c r="L8246" t="s">
        <v>70</v>
      </c>
      <c r="N8246" t="s">
        <v>29</v>
      </c>
    </row>
    <row r="8247" spans="1:14">
      <c r="A8247" s="4" t="str">
        <f t="shared" si="747"/>
        <v>EXP00273</v>
      </c>
      <c r="B8247" s="3" t="s">
        <v>66</v>
      </c>
      <c r="C8247" s="4" t="str">
        <f t="shared" si="748"/>
        <v>GSE68468</v>
      </c>
      <c r="D8247" s="1" t="s">
        <v>62</v>
      </c>
      <c r="E8247" t="s">
        <v>68</v>
      </c>
      <c r="F8247" s="1">
        <v>2</v>
      </c>
      <c r="G8247" s="1" t="s">
        <v>32</v>
      </c>
      <c r="H8247" s="4" t="str">
        <f>HYPERLINK("https://www.ncbi.nlm.nih.gov/geo/query/acc.cgi?acc=GSM1673100","GSM1673100")</f>
        <v>GSM1673100</v>
      </c>
      <c r="I8247" t="s">
        <v>69</v>
      </c>
      <c r="J8247" t="s">
        <v>18</v>
      </c>
      <c r="K8247" t="s">
        <v>33</v>
      </c>
      <c r="L8247" t="s">
        <v>70</v>
      </c>
      <c r="N8247" t="s">
        <v>29</v>
      </c>
    </row>
    <row r="8248" spans="1:14">
      <c r="A8248" s="4" t="str">
        <f t="shared" si="747"/>
        <v>EXP00273</v>
      </c>
      <c r="B8248" s="3" t="s">
        <v>66</v>
      </c>
      <c r="C8248" s="4" t="str">
        <f t="shared" si="748"/>
        <v>GSE68468</v>
      </c>
      <c r="D8248" s="1" t="s">
        <v>62</v>
      </c>
      <c r="E8248" t="s">
        <v>68</v>
      </c>
      <c r="F8248" s="1">
        <v>2</v>
      </c>
      <c r="G8248" s="1" t="s">
        <v>32</v>
      </c>
      <c r="H8248" s="4" t="str">
        <f>HYPERLINK("https://www.ncbi.nlm.nih.gov/geo/query/acc.cgi?acc=GSM1673103","GSM1673103")</f>
        <v>GSM1673103</v>
      </c>
      <c r="I8248" t="s">
        <v>69</v>
      </c>
      <c r="J8248" t="s">
        <v>18</v>
      </c>
      <c r="K8248" t="s">
        <v>33</v>
      </c>
      <c r="L8248" t="s">
        <v>70</v>
      </c>
      <c r="N8248" t="s">
        <v>29</v>
      </c>
    </row>
    <row r="8249" spans="1:14">
      <c r="A8249" s="4" t="str">
        <f t="shared" si="747"/>
        <v>EXP00273</v>
      </c>
      <c r="B8249" s="3" t="s">
        <v>66</v>
      </c>
      <c r="C8249" s="4" t="str">
        <f t="shared" si="748"/>
        <v>GSE68468</v>
      </c>
      <c r="D8249" s="1" t="s">
        <v>62</v>
      </c>
      <c r="E8249" t="s">
        <v>68</v>
      </c>
      <c r="F8249" s="1">
        <v>2</v>
      </c>
      <c r="G8249" s="1" t="s">
        <v>32</v>
      </c>
      <c r="H8249" s="4" t="str">
        <f>HYPERLINK("https://www.ncbi.nlm.nih.gov/geo/query/acc.cgi?acc=GSM1673106","GSM1673106")</f>
        <v>GSM1673106</v>
      </c>
      <c r="I8249" t="s">
        <v>69</v>
      </c>
      <c r="J8249" t="s">
        <v>18</v>
      </c>
      <c r="K8249" t="s">
        <v>33</v>
      </c>
      <c r="L8249" t="s">
        <v>70</v>
      </c>
      <c r="N8249" t="s">
        <v>29</v>
      </c>
    </row>
    <row r="8250" spans="1:14">
      <c r="A8250" s="4" t="str">
        <f t="shared" si="747"/>
        <v>EXP00273</v>
      </c>
      <c r="B8250" s="3" t="s">
        <v>66</v>
      </c>
      <c r="C8250" s="4" t="str">
        <f t="shared" si="748"/>
        <v>GSE68468</v>
      </c>
      <c r="D8250" s="1" t="s">
        <v>62</v>
      </c>
      <c r="E8250" t="s">
        <v>68</v>
      </c>
      <c r="F8250" s="1">
        <v>2</v>
      </c>
      <c r="G8250" s="1" t="s">
        <v>32</v>
      </c>
      <c r="H8250" s="4" t="str">
        <f>HYPERLINK("https://www.ncbi.nlm.nih.gov/geo/query/acc.cgi?acc=GSM1673107","GSM1673107")</f>
        <v>GSM1673107</v>
      </c>
      <c r="I8250" t="s">
        <v>69</v>
      </c>
      <c r="J8250" t="s">
        <v>18</v>
      </c>
      <c r="K8250" t="s">
        <v>33</v>
      </c>
      <c r="L8250" t="s">
        <v>70</v>
      </c>
      <c r="N8250" t="s">
        <v>29</v>
      </c>
    </row>
    <row r="8251" spans="1:14">
      <c r="A8251" s="4" t="str">
        <f t="shared" si="747"/>
        <v>EXP00273</v>
      </c>
      <c r="B8251" s="3" t="s">
        <v>66</v>
      </c>
      <c r="C8251" s="4" t="str">
        <f t="shared" si="748"/>
        <v>GSE68468</v>
      </c>
      <c r="D8251" s="1" t="s">
        <v>62</v>
      </c>
      <c r="E8251" t="s">
        <v>68</v>
      </c>
      <c r="F8251" s="1">
        <v>2</v>
      </c>
      <c r="G8251" s="1" t="s">
        <v>32</v>
      </c>
      <c r="H8251" s="4" t="str">
        <f>HYPERLINK("https://www.ncbi.nlm.nih.gov/geo/query/acc.cgi?acc=GSM1673109","GSM1673109")</f>
        <v>GSM1673109</v>
      </c>
      <c r="I8251" t="s">
        <v>69</v>
      </c>
      <c r="J8251" t="s">
        <v>18</v>
      </c>
      <c r="K8251" t="s">
        <v>33</v>
      </c>
      <c r="L8251" t="s">
        <v>70</v>
      </c>
      <c r="N8251" t="s">
        <v>29</v>
      </c>
    </row>
    <row r="8252" spans="1:14">
      <c r="A8252" s="4" t="str">
        <f t="shared" si="747"/>
        <v>EXP00273</v>
      </c>
      <c r="B8252" s="3" t="s">
        <v>66</v>
      </c>
      <c r="C8252" s="4" t="str">
        <f t="shared" si="748"/>
        <v>GSE68468</v>
      </c>
      <c r="D8252" s="1" t="s">
        <v>62</v>
      </c>
      <c r="E8252" t="s">
        <v>68</v>
      </c>
      <c r="F8252" s="1">
        <v>2</v>
      </c>
      <c r="G8252" s="1" t="s">
        <v>32</v>
      </c>
      <c r="H8252" s="4" t="str">
        <f>HYPERLINK("https://www.ncbi.nlm.nih.gov/geo/query/acc.cgi?acc=GSM1673115","GSM1673115")</f>
        <v>GSM1673115</v>
      </c>
      <c r="I8252" t="s">
        <v>69</v>
      </c>
      <c r="J8252" t="s">
        <v>18</v>
      </c>
      <c r="K8252" t="s">
        <v>33</v>
      </c>
      <c r="L8252" t="s">
        <v>70</v>
      </c>
      <c r="N8252" t="s">
        <v>29</v>
      </c>
    </row>
    <row r="8253" spans="1:14">
      <c r="A8253" s="4" t="str">
        <f t="shared" si="747"/>
        <v>EXP00273</v>
      </c>
      <c r="B8253" s="3" t="s">
        <v>66</v>
      </c>
      <c r="C8253" s="4" t="str">
        <f t="shared" si="748"/>
        <v>GSE68468</v>
      </c>
      <c r="D8253" s="1" t="s">
        <v>62</v>
      </c>
      <c r="E8253" t="s">
        <v>68</v>
      </c>
      <c r="F8253" s="1">
        <v>2</v>
      </c>
      <c r="G8253" s="1" t="s">
        <v>32</v>
      </c>
      <c r="H8253" s="4" t="str">
        <f>HYPERLINK("https://www.ncbi.nlm.nih.gov/geo/query/acc.cgi?acc=GSM1673117","GSM1673117")</f>
        <v>GSM1673117</v>
      </c>
      <c r="I8253" t="s">
        <v>69</v>
      </c>
      <c r="J8253" t="s">
        <v>18</v>
      </c>
      <c r="K8253" t="s">
        <v>33</v>
      </c>
      <c r="L8253" t="s">
        <v>70</v>
      </c>
      <c r="N8253" t="s">
        <v>29</v>
      </c>
    </row>
    <row r="8254" spans="1:14">
      <c r="A8254" s="4" t="str">
        <f t="shared" si="747"/>
        <v>EXP00273</v>
      </c>
      <c r="B8254" s="3" t="s">
        <v>66</v>
      </c>
      <c r="C8254" s="4" t="str">
        <f t="shared" si="748"/>
        <v>GSE68468</v>
      </c>
      <c r="D8254" s="1" t="s">
        <v>62</v>
      </c>
      <c r="E8254" t="s">
        <v>68</v>
      </c>
      <c r="F8254" s="1">
        <v>2</v>
      </c>
      <c r="G8254" s="1" t="s">
        <v>32</v>
      </c>
      <c r="H8254" s="4" t="str">
        <f>HYPERLINK("https://www.ncbi.nlm.nih.gov/geo/query/acc.cgi?acc=GSM1673118","GSM1673118")</f>
        <v>GSM1673118</v>
      </c>
      <c r="I8254" t="s">
        <v>69</v>
      </c>
      <c r="J8254" t="s">
        <v>18</v>
      </c>
      <c r="K8254" t="s">
        <v>33</v>
      </c>
      <c r="L8254" t="s">
        <v>70</v>
      </c>
      <c r="N8254" t="s">
        <v>29</v>
      </c>
    </row>
    <row r="8255" spans="1:14">
      <c r="A8255" s="4" t="str">
        <f t="shared" si="747"/>
        <v>EXP00273</v>
      </c>
      <c r="B8255" s="3" t="s">
        <v>66</v>
      </c>
      <c r="C8255" s="4" t="str">
        <f t="shared" si="748"/>
        <v>GSE68468</v>
      </c>
      <c r="D8255" s="1" t="s">
        <v>62</v>
      </c>
      <c r="E8255" t="s">
        <v>68</v>
      </c>
      <c r="F8255" s="1">
        <v>2</v>
      </c>
      <c r="G8255" s="1" t="s">
        <v>32</v>
      </c>
      <c r="H8255" s="4" t="str">
        <f>HYPERLINK("https://www.ncbi.nlm.nih.gov/geo/query/acc.cgi?acc=GSM1673119","GSM1673119")</f>
        <v>GSM1673119</v>
      </c>
      <c r="I8255" t="s">
        <v>69</v>
      </c>
      <c r="J8255" t="s">
        <v>18</v>
      </c>
      <c r="K8255" t="s">
        <v>33</v>
      </c>
      <c r="L8255" t="s">
        <v>70</v>
      </c>
      <c r="N8255" t="s">
        <v>29</v>
      </c>
    </row>
    <row r="8256" spans="1:14">
      <c r="A8256" s="4" t="str">
        <f t="shared" si="747"/>
        <v>EXP00273</v>
      </c>
      <c r="B8256" s="3" t="s">
        <v>66</v>
      </c>
      <c r="C8256" s="4" t="str">
        <f t="shared" si="748"/>
        <v>GSE68468</v>
      </c>
      <c r="D8256" s="1" t="s">
        <v>62</v>
      </c>
      <c r="E8256" t="s">
        <v>68</v>
      </c>
      <c r="F8256" s="1">
        <v>2</v>
      </c>
      <c r="G8256" s="1" t="s">
        <v>32</v>
      </c>
      <c r="H8256" s="4" t="str">
        <f>HYPERLINK("https://www.ncbi.nlm.nih.gov/geo/query/acc.cgi?acc=GSM1673120","GSM1673120")</f>
        <v>GSM1673120</v>
      </c>
      <c r="I8256" t="s">
        <v>69</v>
      </c>
      <c r="J8256" t="s">
        <v>18</v>
      </c>
      <c r="K8256" t="s">
        <v>33</v>
      </c>
      <c r="L8256" t="s">
        <v>70</v>
      </c>
      <c r="N8256" t="s">
        <v>29</v>
      </c>
    </row>
    <row r="8257" spans="1:14">
      <c r="A8257" s="4" t="str">
        <f t="shared" si="747"/>
        <v>EXP00273</v>
      </c>
      <c r="B8257" s="3" t="s">
        <v>66</v>
      </c>
      <c r="C8257" s="4" t="str">
        <f t="shared" si="748"/>
        <v>GSE68468</v>
      </c>
      <c r="D8257" s="1" t="s">
        <v>62</v>
      </c>
      <c r="E8257" t="s">
        <v>68</v>
      </c>
      <c r="F8257" s="1">
        <v>2</v>
      </c>
      <c r="G8257" s="1" t="s">
        <v>32</v>
      </c>
      <c r="H8257" s="4" t="str">
        <f>HYPERLINK("https://www.ncbi.nlm.nih.gov/geo/query/acc.cgi?acc=GSM1673121","GSM1673121")</f>
        <v>GSM1673121</v>
      </c>
      <c r="I8257" t="s">
        <v>69</v>
      </c>
      <c r="J8257" t="s">
        <v>18</v>
      </c>
      <c r="K8257" t="s">
        <v>33</v>
      </c>
      <c r="L8257" t="s">
        <v>70</v>
      </c>
      <c r="N8257" t="s">
        <v>29</v>
      </c>
    </row>
    <row r="8258" spans="1:14">
      <c r="A8258" s="4" t="str">
        <f t="shared" si="747"/>
        <v>EXP00273</v>
      </c>
      <c r="B8258" s="3" t="s">
        <v>66</v>
      </c>
      <c r="C8258" s="4" t="str">
        <f t="shared" si="748"/>
        <v>GSE68468</v>
      </c>
      <c r="D8258" s="1" t="s">
        <v>62</v>
      </c>
      <c r="E8258" t="s">
        <v>68</v>
      </c>
      <c r="F8258" s="1">
        <v>2</v>
      </c>
      <c r="G8258" s="1" t="s">
        <v>32</v>
      </c>
      <c r="H8258" s="4" t="str">
        <f>HYPERLINK("https://www.ncbi.nlm.nih.gov/geo/query/acc.cgi?acc=GSM1673123","GSM1673123")</f>
        <v>GSM1673123</v>
      </c>
      <c r="I8258" t="s">
        <v>69</v>
      </c>
      <c r="J8258" t="s">
        <v>18</v>
      </c>
      <c r="K8258" t="s">
        <v>33</v>
      </c>
      <c r="L8258" t="s">
        <v>70</v>
      </c>
      <c r="N8258" t="s">
        <v>29</v>
      </c>
    </row>
    <row r="8259" spans="1:14">
      <c r="A8259" s="4" t="str">
        <f t="shared" si="747"/>
        <v>EXP00273</v>
      </c>
      <c r="B8259" s="3" t="s">
        <v>66</v>
      </c>
      <c r="C8259" s="4" t="str">
        <f t="shared" si="748"/>
        <v>GSE68468</v>
      </c>
      <c r="D8259" s="1" t="s">
        <v>62</v>
      </c>
      <c r="E8259" t="s">
        <v>68</v>
      </c>
      <c r="F8259" s="1">
        <v>2</v>
      </c>
      <c r="G8259" s="1" t="s">
        <v>32</v>
      </c>
      <c r="H8259" s="4" t="str">
        <f>HYPERLINK("https://www.ncbi.nlm.nih.gov/geo/query/acc.cgi?acc=GSM1673125","GSM1673125")</f>
        <v>GSM1673125</v>
      </c>
      <c r="I8259" t="s">
        <v>69</v>
      </c>
      <c r="J8259" t="s">
        <v>18</v>
      </c>
      <c r="K8259" t="s">
        <v>33</v>
      </c>
      <c r="L8259" t="s">
        <v>70</v>
      </c>
      <c r="N8259" t="s">
        <v>29</v>
      </c>
    </row>
    <row r="8260" spans="1:14">
      <c r="A8260" s="4" t="str">
        <f t="shared" si="747"/>
        <v>EXP00273</v>
      </c>
      <c r="B8260" s="3" t="s">
        <v>66</v>
      </c>
      <c r="C8260" s="4" t="str">
        <f t="shared" si="748"/>
        <v>GSE68468</v>
      </c>
      <c r="D8260" s="1" t="s">
        <v>62</v>
      </c>
      <c r="E8260" t="s">
        <v>68</v>
      </c>
      <c r="F8260" s="1">
        <v>2</v>
      </c>
      <c r="G8260" s="1" t="s">
        <v>32</v>
      </c>
      <c r="H8260" s="4" t="str">
        <f>HYPERLINK("https://www.ncbi.nlm.nih.gov/geo/query/acc.cgi?acc=GSM1673127","GSM1673127")</f>
        <v>GSM1673127</v>
      </c>
      <c r="I8260" t="s">
        <v>69</v>
      </c>
      <c r="J8260" t="s">
        <v>18</v>
      </c>
      <c r="K8260" t="s">
        <v>33</v>
      </c>
      <c r="L8260" t="s">
        <v>70</v>
      </c>
      <c r="N8260" t="s">
        <v>29</v>
      </c>
    </row>
    <row r="8261" spans="1:14">
      <c r="A8261" s="4" t="str">
        <f t="shared" si="747"/>
        <v>EXP00273</v>
      </c>
      <c r="B8261" s="3" t="s">
        <v>66</v>
      </c>
      <c r="C8261" s="4" t="str">
        <f t="shared" si="748"/>
        <v>GSE68468</v>
      </c>
      <c r="D8261" s="1" t="s">
        <v>62</v>
      </c>
      <c r="E8261" t="s">
        <v>68</v>
      </c>
      <c r="F8261" s="1">
        <v>2</v>
      </c>
      <c r="G8261" s="1" t="s">
        <v>32</v>
      </c>
      <c r="H8261" s="4" t="str">
        <f>HYPERLINK("https://www.ncbi.nlm.nih.gov/geo/query/acc.cgi?acc=GSM1673128","GSM1673128")</f>
        <v>GSM1673128</v>
      </c>
      <c r="I8261" t="s">
        <v>69</v>
      </c>
      <c r="J8261" t="s">
        <v>18</v>
      </c>
      <c r="K8261" t="s">
        <v>33</v>
      </c>
      <c r="L8261" t="s">
        <v>70</v>
      </c>
      <c r="N8261" t="s">
        <v>29</v>
      </c>
    </row>
    <row r="8262" spans="1:14">
      <c r="A8262" s="4" t="str">
        <f t="shared" si="747"/>
        <v>EXP00273</v>
      </c>
      <c r="B8262" s="3" t="s">
        <v>66</v>
      </c>
      <c r="C8262" s="4" t="str">
        <f t="shared" si="748"/>
        <v>GSE68468</v>
      </c>
      <c r="D8262" s="1" t="s">
        <v>62</v>
      </c>
      <c r="E8262" t="s">
        <v>68</v>
      </c>
      <c r="F8262" s="1">
        <v>2</v>
      </c>
      <c r="G8262" s="1" t="s">
        <v>32</v>
      </c>
      <c r="H8262" s="4" t="str">
        <f>HYPERLINK("https://www.ncbi.nlm.nih.gov/geo/query/acc.cgi?acc=GSM1673132","GSM1673132")</f>
        <v>GSM1673132</v>
      </c>
      <c r="I8262" t="s">
        <v>69</v>
      </c>
      <c r="J8262" t="s">
        <v>18</v>
      </c>
      <c r="K8262" t="s">
        <v>33</v>
      </c>
      <c r="L8262" t="s">
        <v>70</v>
      </c>
      <c r="N8262" t="s">
        <v>29</v>
      </c>
    </row>
    <row r="8263" spans="1:14">
      <c r="A8263" s="4" t="str">
        <f t="shared" si="747"/>
        <v>EXP00273</v>
      </c>
      <c r="B8263" s="3" t="s">
        <v>66</v>
      </c>
      <c r="C8263" s="4" t="str">
        <f t="shared" si="748"/>
        <v>GSE68468</v>
      </c>
      <c r="D8263" s="1" t="s">
        <v>62</v>
      </c>
      <c r="E8263" t="s">
        <v>68</v>
      </c>
      <c r="F8263" s="1">
        <v>2</v>
      </c>
      <c r="G8263" s="1" t="s">
        <v>32</v>
      </c>
      <c r="H8263" s="4" t="str">
        <f>HYPERLINK("https://www.ncbi.nlm.nih.gov/geo/query/acc.cgi?acc=GSM1673133","GSM1673133")</f>
        <v>GSM1673133</v>
      </c>
      <c r="I8263" t="s">
        <v>69</v>
      </c>
      <c r="J8263" t="s">
        <v>18</v>
      </c>
      <c r="K8263" t="s">
        <v>33</v>
      </c>
      <c r="L8263" t="s">
        <v>70</v>
      </c>
      <c r="N8263" t="s">
        <v>29</v>
      </c>
    </row>
    <row r="8264" spans="1:14">
      <c r="A8264" s="4" t="str">
        <f t="shared" si="747"/>
        <v>EXP00273</v>
      </c>
      <c r="B8264" s="3" t="s">
        <v>66</v>
      </c>
      <c r="C8264" s="4" t="str">
        <f t="shared" si="748"/>
        <v>GSE68468</v>
      </c>
      <c r="D8264" s="1" t="s">
        <v>62</v>
      </c>
      <c r="E8264" t="s">
        <v>68</v>
      </c>
      <c r="F8264" s="1">
        <v>2</v>
      </c>
      <c r="G8264" s="1" t="s">
        <v>32</v>
      </c>
      <c r="H8264" s="4" t="str">
        <f>HYPERLINK("https://www.ncbi.nlm.nih.gov/geo/query/acc.cgi?acc=GSM1673137","GSM1673137")</f>
        <v>GSM1673137</v>
      </c>
      <c r="I8264" t="s">
        <v>69</v>
      </c>
      <c r="J8264" t="s">
        <v>18</v>
      </c>
      <c r="K8264" t="s">
        <v>33</v>
      </c>
      <c r="L8264" t="s">
        <v>70</v>
      </c>
      <c r="N8264" t="s">
        <v>29</v>
      </c>
    </row>
    <row r="8265" spans="1:14">
      <c r="A8265" s="4" t="str">
        <f t="shared" si="747"/>
        <v>EXP00273</v>
      </c>
      <c r="B8265" s="3" t="s">
        <v>66</v>
      </c>
      <c r="C8265" s="4" t="str">
        <f t="shared" si="748"/>
        <v>GSE68468</v>
      </c>
      <c r="D8265" s="1" t="s">
        <v>62</v>
      </c>
      <c r="E8265" t="s">
        <v>68</v>
      </c>
      <c r="F8265" s="1">
        <v>2</v>
      </c>
      <c r="G8265" s="1" t="s">
        <v>32</v>
      </c>
      <c r="H8265" s="4" t="str">
        <f>HYPERLINK("https://www.ncbi.nlm.nih.gov/geo/query/acc.cgi?acc=GSM1673138","GSM1673138")</f>
        <v>GSM1673138</v>
      </c>
      <c r="I8265" t="s">
        <v>69</v>
      </c>
      <c r="J8265" t="s">
        <v>18</v>
      </c>
      <c r="K8265" t="s">
        <v>33</v>
      </c>
      <c r="L8265" t="s">
        <v>70</v>
      </c>
      <c r="N8265" t="s">
        <v>29</v>
      </c>
    </row>
    <row r="8266" spans="1:14">
      <c r="A8266" s="4" t="str">
        <f t="shared" si="747"/>
        <v>EXP00273</v>
      </c>
      <c r="B8266" s="3" t="s">
        <v>66</v>
      </c>
      <c r="C8266" s="4" t="str">
        <f t="shared" si="748"/>
        <v>GSE68468</v>
      </c>
      <c r="D8266" s="1" t="s">
        <v>62</v>
      </c>
      <c r="E8266" t="s">
        <v>68</v>
      </c>
      <c r="F8266" s="1">
        <v>2</v>
      </c>
      <c r="G8266" s="1" t="s">
        <v>32</v>
      </c>
      <c r="H8266" s="4" t="str">
        <f>HYPERLINK("https://www.ncbi.nlm.nih.gov/geo/query/acc.cgi?acc=GSM1673140","GSM1673140")</f>
        <v>GSM1673140</v>
      </c>
      <c r="I8266" t="s">
        <v>69</v>
      </c>
      <c r="J8266" t="s">
        <v>18</v>
      </c>
      <c r="K8266" t="s">
        <v>33</v>
      </c>
      <c r="L8266" t="s">
        <v>70</v>
      </c>
      <c r="N8266" t="s">
        <v>29</v>
      </c>
    </row>
    <row r="8267" spans="1:14">
      <c r="A8267" s="4" t="str">
        <f t="shared" si="747"/>
        <v>EXP00273</v>
      </c>
      <c r="B8267" s="3" t="s">
        <v>66</v>
      </c>
      <c r="C8267" s="4" t="str">
        <f t="shared" si="748"/>
        <v>GSE68468</v>
      </c>
      <c r="D8267" s="1" t="s">
        <v>62</v>
      </c>
      <c r="E8267" t="s">
        <v>68</v>
      </c>
      <c r="F8267" s="1">
        <v>2</v>
      </c>
      <c r="G8267" s="1" t="s">
        <v>32</v>
      </c>
      <c r="H8267" s="4" t="str">
        <f>HYPERLINK("https://www.ncbi.nlm.nih.gov/geo/query/acc.cgi?acc=GSM1673141","GSM1673141")</f>
        <v>GSM1673141</v>
      </c>
      <c r="I8267" t="s">
        <v>69</v>
      </c>
      <c r="J8267" t="s">
        <v>18</v>
      </c>
      <c r="K8267" t="s">
        <v>33</v>
      </c>
      <c r="L8267" t="s">
        <v>70</v>
      </c>
      <c r="N8267" t="s">
        <v>29</v>
      </c>
    </row>
    <row r="8268" spans="1:14">
      <c r="A8268" s="4" t="str">
        <f t="shared" si="747"/>
        <v>EXP00273</v>
      </c>
      <c r="B8268" s="3" t="s">
        <v>66</v>
      </c>
      <c r="C8268" s="4" t="str">
        <f t="shared" si="748"/>
        <v>GSE68468</v>
      </c>
      <c r="D8268" s="1" t="s">
        <v>62</v>
      </c>
      <c r="E8268" t="s">
        <v>68</v>
      </c>
      <c r="F8268" s="1">
        <v>2</v>
      </c>
      <c r="G8268" s="1" t="s">
        <v>32</v>
      </c>
      <c r="H8268" s="4" t="str">
        <f>HYPERLINK("https://www.ncbi.nlm.nih.gov/geo/query/acc.cgi?acc=GSM1673142","GSM1673142")</f>
        <v>GSM1673142</v>
      </c>
      <c r="I8268" t="s">
        <v>69</v>
      </c>
      <c r="J8268" t="s">
        <v>18</v>
      </c>
      <c r="K8268" t="s">
        <v>33</v>
      </c>
      <c r="L8268" t="s">
        <v>70</v>
      </c>
      <c r="N8268" t="s">
        <v>29</v>
      </c>
    </row>
    <row r="8269" spans="1:14">
      <c r="A8269" s="4" t="str">
        <f t="shared" si="747"/>
        <v>EXP00273</v>
      </c>
      <c r="B8269" s="3" t="s">
        <v>66</v>
      </c>
      <c r="C8269" s="4" t="str">
        <f t="shared" si="748"/>
        <v>GSE68468</v>
      </c>
      <c r="D8269" s="1" t="s">
        <v>62</v>
      </c>
      <c r="E8269" t="s">
        <v>68</v>
      </c>
      <c r="F8269" s="1">
        <v>2</v>
      </c>
      <c r="G8269" s="1" t="s">
        <v>32</v>
      </c>
      <c r="H8269" s="4" t="str">
        <f>HYPERLINK("https://www.ncbi.nlm.nih.gov/geo/query/acc.cgi?acc=GSM1673144","GSM1673144")</f>
        <v>GSM1673144</v>
      </c>
      <c r="I8269" t="s">
        <v>69</v>
      </c>
      <c r="J8269" t="s">
        <v>18</v>
      </c>
      <c r="K8269" t="s">
        <v>33</v>
      </c>
      <c r="L8269" t="s">
        <v>70</v>
      </c>
      <c r="N8269" t="s">
        <v>29</v>
      </c>
    </row>
    <row r="8270" spans="1:14">
      <c r="A8270" s="4" t="str">
        <f t="shared" si="747"/>
        <v>EXP00273</v>
      </c>
      <c r="B8270" s="3" t="s">
        <v>66</v>
      </c>
      <c r="C8270" s="4" t="str">
        <f t="shared" si="748"/>
        <v>GSE68468</v>
      </c>
      <c r="D8270" s="1" t="s">
        <v>62</v>
      </c>
      <c r="E8270" t="s">
        <v>68</v>
      </c>
      <c r="F8270" s="1">
        <v>2</v>
      </c>
      <c r="G8270" s="1" t="s">
        <v>32</v>
      </c>
      <c r="H8270" s="4" t="str">
        <f>HYPERLINK("https://www.ncbi.nlm.nih.gov/geo/query/acc.cgi?acc=GSM1673146","GSM1673146")</f>
        <v>GSM1673146</v>
      </c>
      <c r="I8270" t="s">
        <v>69</v>
      </c>
      <c r="J8270" t="s">
        <v>18</v>
      </c>
      <c r="K8270" t="s">
        <v>33</v>
      </c>
      <c r="L8270" t="s">
        <v>70</v>
      </c>
      <c r="N8270" t="s">
        <v>29</v>
      </c>
    </row>
    <row r="8271" spans="1:14">
      <c r="A8271" s="4" t="str">
        <f t="shared" si="747"/>
        <v>EXP00273</v>
      </c>
      <c r="B8271" s="3" t="s">
        <v>66</v>
      </c>
      <c r="C8271" s="4" t="str">
        <f t="shared" si="748"/>
        <v>GSE68468</v>
      </c>
      <c r="D8271" s="1" t="s">
        <v>62</v>
      </c>
      <c r="E8271" t="s">
        <v>68</v>
      </c>
      <c r="F8271" s="1">
        <v>2</v>
      </c>
      <c r="G8271" s="1" t="s">
        <v>32</v>
      </c>
      <c r="H8271" s="4" t="str">
        <f>HYPERLINK("https://www.ncbi.nlm.nih.gov/geo/query/acc.cgi?acc=GSM1673147","GSM1673147")</f>
        <v>GSM1673147</v>
      </c>
      <c r="I8271" t="s">
        <v>69</v>
      </c>
      <c r="J8271" t="s">
        <v>18</v>
      </c>
      <c r="K8271" t="s">
        <v>33</v>
      </c>
      <c r="L8271" t="s">
        <v>70</v>
      </c>
      <c r="N8271" t="s">
        <v>29</v>
      </c>
    </row>
    <row r="8272" spans="1:14">
      <c r="A8272" s="4" t="str">
        <f t="shared" ref="A8272:A8303" si="749">HYPERLINK("http://hcmdb.i-sanger.com/experiment/details/experiment_id/EXP00273","EXP00273")</f>
        <v>EXP00273</v>
      </c>
      <c r="B8272" s="3" t="s">
        <v>66</v>
      </c>
      <c r="C8272" s="4" t="str">
        <f t="shared" si="748"/>
        <v>GSE68468</v>
      </c>
      <c r="D8272" s="1" t="s">
        <v>62</v>
      </c>
      <c r="E8272" t="s">
        <v>68</v>
      </c>
      <c r="F8272" s="1">
        <v>2</v>
      </c>
      <c r="G8272" s="1" t="s">
        <v>32</v>
      </c>
      <c r="H8272" s="4" t="str">
        <f>HYPERLINK("https://www.ncbi.nlm.nih.gov/geo/query/acc.cgi?acc=GSM1673148","GSM1673148")</f>
        <v>GSM1673148</v>
      </c>
      <c r="I8272" t="s">
        <v>69</v>
      </c>
      <c r="J8272" t="s">
        <v>18</v>
      </c>
      <c r="K8272" t="s">
        <v>33</v>
      </c>
      <c r="L8272" t="s">
        <v>70</v>
      </c>
      <c r="N8272" t="s">
        <v>29</v>
      </c>
    </row>
    <row r="8273" spans="1:14">
      <c r="A8273" s="4" t="str">
        <f t="shared" si="749"/>
        <v>EXP00273</v>
      </c>
      <c r="B8273" s="3" t="s">
        <v>66</v>
      </c>
      <c r="C8273" s="4" t="str">
        <f t="shared" si="748"/>
        <v>GSE68468</v>
      </c>
      <c r="D8273" s="1" t="s">
        <v>62</v>
      </c>
      <c r="E8273" t="s">
        <v>68</v>
      </c>
      <c r="F8273" s="1">
        <v>2</v>
      </c>
      <c r="G8273" s="1" t="s">
        <v>32</v>
      </c>
      <c r="H8273" s="4" t="str">
        <f>HYPERLINK("https://www.ncbi.nlm.nih.gov/geo/query/acc.cgi?acc=GSM1673149","GSM1673149")</f>
        <v>GSM1673149</v>
      </c>
      <c r="I8273" t="s">
        <v>69</v>
      </c>
      <c r="J8273" t="s">
        <v>18</v>
      </c>
      <c r="K8273" t="s">
        <v>33</v>
      </c>
      <c r="L8273" t="s">
        <v>70</v>
      </c>
      <c r="N8273" t="s">
        <v>29</v>
      </c>
    </row>
    <row r="8274" spans="1:14">
      <c r="A8274" s="4" t="str">
        <f t="shared" si="749"/>
        <v>EXP00273</v>
      </c>
      <c r="B8274" s="3" t="s">
        <v>66</v>
      </c>
      <c r="C8274" s="4" t="str">
        <f t="shared" si="748"/>
        <v>GSE68468</v>
      </c>
      <c r="D8274" s="1" t="s">
        <v>62</v>
      </c>
      <c r="E8274" t="s">
        <v>68</v>
      </c>
      <c r="F8274" s="1">
        <v>2</v>
      </c>
      <c r="G8274" s="1" t="s">
        <v>32</v>
      </c>
      <c r="H8274" s="4" t="str">
        <f>HYPERLINK("https://www.ncbi.nlm.nih.gov/geo/query/acc.cgi?acc=GSM1673150","GSM1673150")</f>
        <v>GSM1673150</v>
      </c>
      <c r="I8274" t="s">
        <v>69</v>
      </c>
      <c r="J8274" t="s">
        <v>18</v>
      </c>
      <c r="K8274" t="s">
        <v>33</v>
      </c>
      <c r="L8274" t="s">
        <v>70</v>
      </c>
      <c r="N8274" t="s">
        <v>29</v>
      </c>
    </row>
    <row r="8275" spans="1:14">
      <c r="A8275" s="4" t="str">
        <f t="shared" si="749"/>
        <v>EXP00273</v>
      </c>
      <c r="B8275" s="3" t="s">
        <v>66</v>
      </c>
      <c r="C8275" s="4" t="str">
        <f t="shared" si="748"/>
        <v>GSE68468</v>
      </c>
      <c r="D8275" s="1" t="s">
        <v>62</v>
      </c>
      <c r="E8275" t="s">
        <v>68</v>
      </c>
      <c r="F8275" s="1">
        <v>2</v>
      </c>
      <c r="G8275" s="1" t="s">
        <v>32</v>
      </c>
      <c r="H8275" s="4" t="str">
        <f>HYPERLINK("https://www.ncbi.nlm.nih.gov/geo/query/acc.cgi?acc=GSM1673152","GSM1673152")</f>
        <v>GSM1673152</v>
      </c>
      <c r="I8275" t="s">
        <v>69</v>
      </c>
      <c r="J8275" t="s">
        <v>18</v>
      </c>
      <c r="K8275" t="s">
        <v>33</v>
      </c>
      <c r="L8275" t="s">
        <v>70</v>
      </c>
      <c r="N8275" t="s">
        <v>29</v>
      </c>
    </row>
    <row r="8276" spans="1:14">
      <c r="A8276" s="4" t="str">
        <f t="shared" si="749"/>
        <v>EXP00273</v>
      </c>
      <c r="B8276" s="3" t="s">
        <v>66</v>
      </c>
      <c r="C8276" s="4" t="str">
        <f t="shared" si="748"/>
        <v>GSE68468</v>
      </c>
      <c r="D8276" s="1" t="s">
        <v>62</v>
      </c>
      <c r="E8276" t="s">
        <v>68</v>
      </c>
      <c r="F8276" s="1">
        <v>2</v>
      </c>
      <c r="G8276" s="1" t="s">
        <v>32</v>
      </c>
      <c r="H8276" s="4" t="str">
        <f>HYPERLINK("https://www.ncbi.nlm.nih.gov/geo/query/acc.cgi?acc=GSM1673153","GSM1673153")</f>
        <v>GSM1673153</v>
      </c>
      <c r="I8276" t="s">
        <v>69</v>
      </c>
      <c r="J8276" t="s">
        <v>18</v>
      </c>
      <c r="K8276" t="s">
        <v>33</v>
      </c>
      <c r="L8276" t="s">
        <v>70</v>
      </c>
      <c r="N8276" t="s">
        <v>29</v>
      </c>
    </row>
    <row r="8277" spans="1:14">
      <c r="A8277" s="4" t="str">
        <f t="shared" si="749"/>
        <v>EXP00273</v>
      </c>
      <c r="B8277" s="3" t="s">
        <v>66</v>
      </c>
      <c r="C8277" s="4" t="str">
        <f t="shared" si="748"/>
        <v>GSE68468</v>
      </c>
      <c r="D8277" s="1" t="s">
        <v>62</v>
      </c>
      <c r="E8277" t="s">
        <v>68</v>
      </c>
      <c r="F8277" s="1">
        <v>2</v>
      </c>
      <c r="G8277" s="1" t="s">
        <v>32</v>
      </c>
      <c r="H8277" s="4" t="str">
        <f>HYPERLINK("https://www.ncbi.nlm.nih.gov/geo/query/acc.cgi?acc=GSM1673155","GSM1673155")</f>
        <v>GSM1673155</v>
      </c>
      <c r="I8277" t="s">
        <v>69</v>
      </c>
      <c r="J8277" t="s">
        <v>18</v>
      </c>
      <c r="K8277" t="s">
        <v>33</v>
      </c>
      <c r="L8277" t="s">
        <v>70</v>
      </c>
      <c r="N8277" t="s">
        <v>29</v>
      </c>
    </row>
    <row r="8278" spans="1:14">
      <c r="A8278" s="4" t="str">
        <f t="shared" si="749"/>
        <v>EXP00273</v>
      </c>
      <c r="B8278" s="3" t="s">
        <v>66</v>
      </c>
      <c r="C8278" s="4" t="str">
        <f t="shared" si="748"/>
        <v>GSE68468</v>
      </c>
      <c r="D8278" s="1" t="s">
        <v>62</v>
      </c>
      <c r="E8278" t="s">
        <v>68</v>
      </c>
      <c r="F8278" s="1">
        <v>2</v>
      </c>
      <c r="G8278" s="1" t="s">
        <v>32</v>
      </c>
      <c r="H8278" s="4" t="str">
        <f>HYPERLINK("https://www.ncbi.nlm.nih.gov/geo/query/acc.cgi?acc=GSM1673156","GSM1673156")</f>
        <v>GSM1673156</v>
      </c>
      <c r="I8278" t="s">
        <v>69</v>
      </c>
      <c r="J8278" t="s">
        <v>18</v>
      </c>
      <c r="K8278" t="s">
        <v>33</v>
      </c>
      <c r="L8278" t="s">
        <v>70</v>
      </c>
      <c r="N8278" t="s">
        <v>29</v>
      </c>
    </row>
    <row r="8279" spans="1:14">
      <c r="A8279" s="4" t="str">
        <f t="shared" si="749"/>
        <v>EXP00273</v>
      </c>
      <c r="B8279" s="3" t="s">
        <v>66</v>
      </c>
      <c r="C8279" s="4" t="str">
        <f t="shared" si="748"/>
        <v>GSE68468</v>
      </c>
      <c r="D8279" s="1" t="s">
        <v>62</v>
      </c>
      <c r="E8279" t="s">
        <v>68</v>
      </c>
      <c r="F8279" s="1">
        <v>2</v>
      </c>
      <c r="G8279" s="1" t="s">
        <v>32</v>
      </c>
      <c r="H8279" s="4" t="str">
        <f>HYPERLINK("https://www.ncbi.nlm.nih.gov/geo/query/acc.cgi?acc=GSM1673160","GSM1673160")</f>
        <v>GSM1673160</v>
      </c>
      <c r="I8279" t="s">
        <v>69</v>
      </c>
      <c r="J8279" t="s">
        <v>18</v>
      </c>
      <c r="K8279" t="s">
        <v>33</v>
      </c>
      <c r="L8279" t="s">
        <v>70</v>
      </c>
      <c r="N8279" t="s">
        <v>29</v>
      </c>
    </row>
    <row r="8280" spans="1:14">
      <c r="A8280" s="4" t="str">
        <f t="shared" si="749"/>
        <v>EXP00273</v>
      </c>
      <c r="B8280" s="3" t="s">
        <v>66</v>
      </c>
      <c r="C8280" s="4" t="str">
        <f t="shared" si="748"/>
        <v>GSE68468</v>
      </c>
      <c r="D8280" s="1" t="s">
        <v>62</v>
      </c>
      <c r="E8280" t="s">
        <v>68</v>
      </c>
      <c r="F8280" s="1">
        <v>2</v>
      </c>
      <c r="G8280" s="1" t="s">
        <v>32</v>
      </c>
      <c r="H8280" s="4" t="str">
        <f>HYPERLINK("https://www.ncbi.nlm.nih.gov/geo/query/acc.cgi?acc=GSM1673161","GSM1673161")</f>
        <v>GSM1673161</v>
      </c>
      <c r="I8280" t="s">
        <v>69</v>
      </c>
      <c r="J8280" t="s">
        <v>18</v>
      </c>
      <c r="K8280" t="s">
        <v>33</v>
      </c>
      <c r="L8280" t="s">
        <v>70</v>
      </c>
      <c r="N8280" t="s">
        <v>29</v>
      </c>
    </row>
    <row r="8281" spans="1:14">
      <c r="A8281" s="4" t="str">
        <f t="shared" si="749"/>
        <v>EXP00273</v>
      </c>
      <c r="B8281" s="3" t="s">
        <v>66</v>
      </c>
      <c r="C8281" s="4" t="str">
        <f t="shared" si="748"/>
        <v>GSE68468</v>
      </c>
      <c r="D8281" s="1" t="s">
        <v>62</v>
      </c>
      <c r="E8281" t="s">
        <v>68</v>
      </c>
      <c r="F8281" s="1">
        <v>2</v>
      </c>
      <c r="G8281" s="1" t="s">
        <v>32</v>
      </c>
      <c r="H8281" s="4" t="str">
        <f>HYPERLINK("https://www.ncbi.nlm.nih.gov/geo/query/acc.cgi?acc=GSM1673162","GSM1673162")</f>
        <v>GSM1673162</v>
      </c>
      <c r="I8281" t="s">
        <v>69</v>
      </c>
      <c r="J8281" t="s">
        <v>18</v>
      </c>
      <c r="K8281" t="s">
        <v>33</v>
      </c>
      <c r="L8281" t="s">
        <v>70</v>
      </c>
      <c r="N8281" t="s">
        <v>29</v>
      </c>
    </row>
    <row r="8282" spans="1:14">
      <c r="A8282" s="4" t="str">
        <f t="shared" si="749"/>
        <v>EXP00273</v>
      </c>
      <c r="B8282" s="3" t="s">
        <v>66</v>
      </c>
      <c r="C8282" s="4" t="str">
        <f t="shared" si="748"/>
        <v>GSE68468</v>
      </c>
      <c r="D8282" s="1" t="s">
        <v>62</v>
      </c>
      <c r="E8282" t="s">
        <v>68</v>
      </c>
      <c r="F8282" s="1">
        <v>2</v>
      </c>
      <c r="G8282" s="1" t="s">
        <v>32</v>
      </c>
      <c r="H8282" s="4" t="str">
        <f>HYPERLINK("https://www.ncbi.nlm.nih.gov/geo/query/acc.cgi?acc=GSM1673163","GSM1673163")</f>
        <v>GSM1673163</v>
      </c>
      <c r="I8282" t="s">
        <v>69</v>
      </c>
      <c r="J8282" t="s">
        <v>18</v>
      </c>
      <c r="K8282" t="s">
        <v>33</v>
      </c>
      <c r="L8282" t="s">
        <v>70</v>
      </c>
      <c r="N8282" t="s">
        <v>29</v>
      </c>
    </row>
    <row r="8283" spans="1:14">
      <c r="A8283" s="4" t="str">
        <f t="shared" si="749"/>
        <v>EXP00273</v>
      </c>
      <c r="B8283" s="3" t="s">
        <v>66</v>
      </c>
      <c r="C8283" s="4" t="str">
        <f t="shared" si="748"/>
        <v>GSE68468</v>
      </c>
      <c r="D8283" s="1" t="s">
        <v>62</v>
      </c>
      <c r="E8283" t="s">
        <v>68</v>
      </c>
      <c r="F8283" s="1">
        <v>2</v>
      </c>
      <c r="G8283" s="1" t="s">
        <v>32</v>
      </c>
      <c r="H8283" s="4" t="str">
        <f>HYPERLINK("https://www.ncbi.nlm.nih.gov/geo/query/acc.cgi?acc=GSM1673165","GSM1673165")</f>
        <v>GSM1673165</v>
      </c>
      <c r="I8283" t="s">
        <v>69</v>
      </c>
      <c r="J8283" t="s">
        <v>18</v>
      </c>
      <c r="K8283" t="s">
        <v>33</v>
      </c>
      <c r="L8283" t="s">
        <v>70</v>
      </c>
      <c r="N8283" t="s">
        <v>29</v>
      </c>
    </row>
    <row r="8284" spans="1:14">
      <c r="A8284" s="4" t="str">
        <f t="shared" si="749"/>
        <v>EXP00273</v>
      </c>
      <c r="B8284" s="3" t="s">
        <v>66</v>
      </c>
      <c r="C8284" s="4" t="str">
        <f t="shared" si="748"/>
        <v>GSE68468</v>
      </c>
      <c r="D8284" s="1" t="s">
        <v>62</v>
      </c>
      <c r="E8284" t="s">
        <v>68</v>
      </c>
      <c r="F8284" s="1">
        <v>2</v>
      </c>
      <c r="G8284" s="1" t="s">
        <v>32</v>
      </c>
      <c r="H8284" s="4" t="str">
        <f>HYPERLINK("https://www.ncbi.nlm.nih.gov/geo/query/acc.cgi?acc=GSM1673170","GSM1673170")</f>
        <v>GSM1673170</v>
      </c>
      <c r="I8284" t="s">
        <v>69</v>
      </c>
      <c r="J8284" t="s">
        <v>18</v>
      </c>
      <c r="K8284" t="s">
        <v>33</v>
      </c>
      <c r="L8284" t="s">
        <v>70</v>
      </c>
      <c r="N8284" t="s">
        <v>29</v>
      </c>
    </row>
    <row r="8285" spans="1:14">
      <c r="A8285" s="4" t="str">
        <f t="shared" si="749"/>
        <v>EXP00273</v>
      </c>
      <c r="B8285" s="3" t="s">
        <v>66</v>
      </c>
      <c r="C8285" s="4" t="str">
        <f t="shared" si="748"/>
        <v>GSE68468</v>
      </c>
      <c r="D8285" s="1" t="s">
        <v>62</v>
      </c>
      <c r="E8285" t="s">
        <v>68</v>
      </c>
      <c r="F8285" s="1">
        <v>2</v>
      </c>
      <c r="G8285" s="1" t="s">
        <v>32</v>
      </c>
      <c r="H8285" s="4" t="str">
        <f>HYPERLINK("https://www.ncbi.nlm.nih.gov/geo/query/acc.cgi?acc=GSM1673171","GSM1673171")</f>
        <v>GSM1673171</v>
      </c>
      <c r="I8285" t="s">
        <v>69</v>
      </c>
      <c r="J8285" t="s">
        <v>18</v>
      </c>
      <c r="K8285" t="s">
        <v>33</v>
      </c>
      <c r="L8285" t="s">
        <v>70</v>
      </c>
      <c r="N8285" t="s">
        <v>29</v>
      </c>
    </row>
    <row r="8286" spans="1:14">
      <c r="A8286" s="4" t="str">
        <f t="shared" si="749"/>
        <v>EXP00273</v>
      </c>
      <c r="B8286" s="3" t="s">
        <v>66</v>
      </c>
      <c r="C8286" s="4" t="str">
        <f t="shared" si="748"/>
        <v>GSE68468</v>
      </c>
      <c r="D8286" s="1" t="s">
        <v>62</v>
      </c>
      <c r="E8286" t="s">
        <v>68</v>
      </c>
      <c r="F8286" s="1">
        <v>2</v>
      </c>
      <c r="G8286" s="1" t="s">
        <v>32</v>
      </c>
      <c r="H8286" s="4" t="str">
        <f>HYPERLINK("https://www.ncbi.nlm.nih.gov/geo/query/acc.cgi?acc=GSM1673173","GSM1673173")</f>
        <v>GSM1673173</v>
      </c>
      <c r="I8286" t="s">
        <v>69</v>
      </c>
      <c r="J8286" t="s">
        <v>18</v>
      </c>
      <c r="K8286" t="s">
        <v>33</v>
      </c>
      <c r="L8286" t="s">
        <v>70</v>
      </c>
      <c r="N8286" t="s">
        <v>29</v>
      </c>
    </row>
    <row r="8287" spans="1:14">
      <c r="A8287" s="4" t="str">
        <f t="shared" si="749"/>
        <v>EXP00273</v>
      </c>
      <c r="B8287" s="3" t="s">
        <v>66</v>
      </c>
      <c r="C8287" s="4" t="str">
        <f t="shared" si="748"/>
        <v>GSE68468</v>
      </c>
      <c r="D8287" s="1" t="s">
        <v>62</v>
      </c>
      <c r="E8287" t="s">
        <v>68</v>
      </c>
      <c r="F8287" s="1">
        <v>2</v>
      </c>
      <c r="G8287" s="1" t="s">
        <v>32</v>
      </c>
      <c r="H8287" s="4" t="str">
        <f>HYPERLINK("https://www.ncbi.nlm.nih.gov/geo/query/acc.cgi?acc=GSM1673176","GSM1673176")</f>
        <v>GSM1673176</v>
      </c>
      <c r="I8287" t="s">
        <v>69</v>
      </c>
      <c r="J8287" t="s">
        <v>18</v>
      </c>
      <c r="K8287" t="s">
        <v>33</v>
      </c>
      <c r="L8287" t="s">
        <v>70</v>
      </c>
      <c r="N8287" t="s">
        <v>29</v>
      </c>
    </row>
    <row r="8288" spans="1:14">
      <c r="A8288" s="4" t="str">
        <f t="shared" si="749"/>
        <v>EXP00273</v>
      </c>
      <c r="B8288" s="3" t="s">
        <v>66</v>
      </c>
      <c r="C8288" s="4" t="str">
        <f t="shared" si="748"/>
        <v>GSE68468</v>
      </c>
      <c r="D8288" s="1" t="s">
        <v>62</v>
      </c>
      <c r="E8288" t="s">
        <v>68</v>
      </c>
      <c r="F8288" s="1">
        <v>2</v>
      </c>
      <c r="G8288" s="1" t="s">
        <v>32</v>
      </c>
      <c r="H8288" s="4" t="str">
        <f>HYPERLINK("https://www.ncbi.nlm.nih.gov/geo/query/acc.cgi?acc=GSM1673177","GSM1673177")</f>
        <v>GSM1673177</v>
      </c>
      <c r="I8288" t="s">
        <v>69</v>
      </c>
      <c r="J8288" t="s">
        <v>18</v>
      </c>
      <c r="K8288" t="s">
        <v>33</v>
      </c>
      <c r="L8288" t="s">
        <v>70</v>
      </c>
      <c r="N8288" t="s">
        <v>29</v>
      </c>
    </row>
    <row r="8289" spans="1:14">
      <c r="A8289" s="4" t="str">
        <f t="shared" si="749"/>
        <v>EXP00273</v>
      </c>
      <c r="B8289" s="3" t="s">
        <v>66</v>
      </c>
      <c r="C8289" s="4" t="str">
        <f t="shared" si="748"/>
        <v>GSE68468</v>
      </c>
      <c r="D8289" s="1" t="s">
        <v>62</v>
      </c>
      <c r="E8289" t="s">
        <v>68</v>
      </c>
      <c r="F8289" s="1">
        <v>2</v>
      </c>
      <c r="G8289" s="1" t="s">
        <v>32</v>
      </c>
      <c r="H8289" s="4" t="str">
        <f>HYPERLINK("https://www.ncbi.nlm.nih.gov/geo/query/acc.cgi?acc=GSM1673179","GSM1673179")</f>
        <v>GSM1673179</v>
      </c>
      <c r="I8289" t="s">
        <v>69</v>
      </c>
      <c r="J8289" t="s">
        <v>18</v>
      </c>
      <c r="K8289" t="s">
        <v>33</v>
      </c>
      <c r="L8289" t="s">
        <v>70</v>
      </c>
      <c r="N8289" t="s">
        <v>29</v>
      </c>
    </row>
    <row r="8290" spans="1:14">
      <c r="A8290" s="4" t="str">
        <f t="shared" si="749"/>
        <v>EXP00273</v>
      </c>
      <c r="B8290" s="3" t="s">
        <v>66</v>
      </c>
      <c r="C8290" s="4" t="str">
        <f t="shared" si="748"/>
        <v>GSE68468</v>
      </c>
      <c r="D8290" s="1" t="s">
        <v>62</v>
      </c>
      <c r="E8290" t="s">
        <v>68</v>
      </c>
      <c r="F8290" s="1">
        <v>2</v>
      </c>
      <c r="G8290" s="1" t="s">
        <v>32</v>
      </c>
      <c r="H8290" s="4" t="str">
        <f>HYPERLINK("https://www.ncbi.nlm.nih.gov/geo/query/acc.cgi?acc=GSM1673182","GSM1673182")</f>
        <v>GSM1673182</v>
      </c>
      <c r="I8290" t="s">
        <v>69</v>
      </c>
      <c r="J8290" t="s">
        <v>18</v>
      </c>
      <c r="K8290" t="s">
        <v>33</v>
      </c>
      <c r="L8290" t="s">
        <v>70</v>
      </c>
      <c r="N8290" t="s">
        <v>29</v>
      </c>
    </row>
    <row r="8291" spans="1:14">
      <c r="A8291" s="4" t="str">
        <f t="shared" si="749"/>
        <v>EXP00273</v>
      </c>
      <c r="B8291" s="3" t="s">
        <v>66</v>
      </c>
      <c r="C8291" s="4" t="str">
        <f t="shared" si="748"/>
        <v>GSE68468</v>
      </c>
      <c r="D8291" s="1" t="s">
        <v>62</v>
      </c>
      <c r="E8291" t="s">
        <v>68</v>
      </c>
      <c r="F8291" s="1">
        <v>2</v>
      </c>
      <c r="G8291" s="1" t="s">
        <v>32</v>
      </c>
      <c r="H8291" s="4" t="str">
        <f>HYPERLINK("https://www.ncbi.nlm.nih.gov/geo/query/acc.cgi?acc=GSM1673187","GSM1673187")</f>
        <v>GSM1673187</v>
      </c>
      <c r="I8291" t="s">
        <v>69</v>
      </c>
      <c r="J8291" t="s">
        <v>18</v>
      </c>
      <c r="K8291" t="s">
        <v>33</v>
      </c>
      <c r="L8291" t="s">
        <v>70</v>
      </c>
      <c r="N8291" t="s">
        <v>29</v>
      </c>
    </row>
    <row r="8292" spans="1:14">
      <c r="A8292" s="4" t="str">
        <f t="shared" si="749"/>
        <v>EXP00273</v>
      </c>
      <c r="B8292" s="3" t="s">
        <v>66</v>
      </c>
      <c r="C8292" s="4" t="str">
        <f t="shared" si="748"/>
        <v>GSE68468</v>
      </c>
      <c r="D8292" s="1" t="s">
        <v>62</v>
      </c>
      <c r="E8292" t="s">
        <v>68</v>
      </c>
      <c r="F8292" s="1">
        <v>2</v>
      </c>
      <c r="G8292" s="1" t="s">
        <v>32</v>
      </c>
      <c r="H8292" s="4" t="str">
        <f>HYPERLINK("https://www.ncbi.nlm.nih.gov/geo/query/acc.cgi?acc=GSM1673188","GSM1673188")</f>
        <v>GSM1673188</v>
      </c>
      <c r="I8292" t="s">
        <v>69</v>
      </c>
      <c r="J8292" t="s">
        <v>18</v>
      </c>
      <c r="K8292" t="s">
        <v>33</v>
      </c>
      <c r="L8292" t="s">
        <v>70</v>
      </c>
      <c r="N8292" t="s">
        <v>29</v>
      </c>
    </row>
    <row r="8293" spans="1:14">
      <c r="A8293" s="4" t="str">
        <f t="shared" si="749"/>
        <v>EXP00273</v>
      </c>
      <c r="B8293" s="3" t="s">
        <v>66</v>
      </c>
      <c r="C8293" s="4" t="str">
        <f t="shared" si="748"/>
        <v>GSE68468</v>
      </c>
      <c r="D8293" s="1" t="s">
        <v>62</v>
      </c>
      <c r="E8293" t="s">
        <v>68</v>
      </c>
      <c r="F8293" s="1">
        <v>2</v>
      </c>
      <c r="G8293" s="1" t="s">
        <v>32</v>
      </c>
      <c r="H8293" s="4" t="str">
        <f>HYPERLINK("https://www.ncbi.nlm.nih.gov/geo/query/acc.cgi?acc=GSM1673189","GSM1673189")</f>
        <v>GSM1673189</v>
      </c>
      <c r="I8293" t="s">
        <v>69</v>
      </c>
      <c r="J8293" t="s">
        <v>18</v>
      </c>
      <c r="K8293" t="s">
        <v>33</v>
      </c>
      <c r="L8293" t="s">
        <v>70</v>
      </c>
      <c r="N8293" t="s">
        <v>29</v>
      </c>
    </row>
    <row r="8294" spans="1:14">
      <c r="A8294" s="4" t="str">
        <f t="shared" si="749"/>
        <v>EXP00273</v>
      </c>
      <c r="B8294" s="3" t="s">
        <v>66</v>
      </c>
      <c r="C8294" s="4" t="str">
        <f t="shared" si="748"/>
        <v>GSE68468</v>
      </c>
      <c r="D8294" s="1" t="s">
        <v>62</v>
      </c>
      <c r="E8294" t="s">
        <v>68</v>
      </c>
      <c r="F8294" s="1">
        <v>2</v>
      </c>
      <c r="G8294" s="1" t="s">
        <v>32</v>
      </c>
      <c r="H8294" s="4" t="str">
        <f>HYPERLINK("https://www.ncbi.nlm.nih.gov/geo/query/acc.cgi?acc=GSM1673190","GSM1673190")</f>
        <v>GSM1673190</v>
      </c>
      <c r="I8294" t="s">
        <v>69</v>
      </c>
      <c r="J8294" t="s">
        <v>18</v>
      </c>
      <c r="K8294" t="s">
        <v>33</v>
      </c>
      <c r="L8294" t="s">
        <v>70</v>
      </c>
      <c r="N8294" t="s">
        <v>29</v>
      </c>
    </row>
    <row r="8295" spans="1:14">
      <c r="A8295" s="4" t="str">
        <f t="shared" si="749"/>
        <v>EXP00273</v>
      </c>
      <c r="B8295" s="3" t="s">
        <v>66</v>
      </c>
      <c r="C8295" s="4" t="str">
        <f t="shared" si="748"/>
        <v>GSE68468</v>
      </c>
      <c r="D8295" s="1" t="s">
        <v>62</v>
      </c>
      <c r="E8295" t="s">
        <v>68</v>
      </c>
      <c r="F8295" s="1">
        <v>2</v>
      </c>
      <c r="G8295" s="1" t="s">
        <v>32</v>
      </c>
      <c r="H8295" s="4" t="str">
        <f>HYPERLINK("https://www.ncbi.nlm.nih.gov/geo/query/acc.cgi?acc=GSM1673192","GSM1673192")</f>
        <v>GSM1673192</v>
      </c>
      <c r="I8295" t="s">
        <v>69</v>
      </c>
      <c r="J8295" t="s">
        <v>18</v>
      </c>
      <c r="K8295" t="s">
        <v>33</v>
      </c>
      <c r="L8295" t="s">
        <v>70</v>
      </c>
      <c r="N8295" t="s">
        <v>29</v>
      </c>
    </row>
    <row r="8296" spans="1:14">
      <c r="A8296" s="4" t="str">
        <f t="shared" si="749"/>
        <v>EXP00273</v>
      </c>
      <c r="B8296" s="3" t="s">
        <v>66</v>
      </c>
      <c r="C8296" s="4" t="str">
        <f t="shared" si="748"/>
        <v>GSE68468</v>
      </c>
      <c r="D8296" s="1" t="s">
        <v>62</v>
      </c>
      <c r="E8296" t="s">
        <v>68</v>
      </c>
      <c r="F8296" s="1">
        <v>2</v>
      </c>
      <c r="G8296" s="1" t="s">
        <v>32</v>
      </c>
      <c r="H8296" s="4" t="str">
        <f>HYPERLINK("https://www.ncbi.nlm.nih.gov/geo/query/acc.cgi?acc=GSM1673195","GSM1673195")</f>
        <v>GSM1673195</v>
      </c>
      <c r="I8296" t="s">
        <v>69</v>
      </c>
      <c r="J8296" t="s">
        <v>18</v>
      </c>
      <c r="K8296" t="s">
        <v>33</v>
      </c>
      <c r="L8296" t="s">
        <v>70</v>
      </c>
      <c r="N8296" t="s">
        <v>29</v>
      </c>
    </row>
    <row r="8297" spans="1:14">
      <c r="A8297" s="4" t="str">
        <f t="shared" si="749"/>
        <v>EXP00273</v>
      </c>
      <c r="B8297" s="3" t="s">
        <v>66</v>
      </c>
      <c r="C8297" s="4" t="str">
        <f t="shared" si="748"/>
        <v>GSE68468</v>
      </c>
      <c r="D8297" s="1" t="s">
        <v>62</v>
      </c>
      <c r="E8297" t="s">
        <v>68</v>
      </c>
      <c r="F8297" s="1">
        <v>2</v>
      </c>
      <c r="G8297" s="1" t="s">
        <v>32</v>
      </c>
      <c r="H8297" s="4" t="str">
        <f>HYPERLINK("https://www.ncbi.nlm.nih.gov/geo/query/acc.cgi?acc=GSM1673199","GSM1673199")</f>
        <v>GSM1673199</v>
      </c>
      <c r="I8297" t="s">
        <v>69</v>
      </c>
      <c r="J8297" t="s">
        <v>18</v>
      </c>
      <c r="K8297" t="s">
        <v>33</v>
      </c>
      <c r="L8297" t="s">
        <v>70</v>
      </c>
      <c r="N8297" t="s">
        <v>29</v>
      </c>
    </row>
    <row r="8298" spans="1:14">
      <c r="A8298" s="4" t="str">
        <f t="shared" si="749"/>
        <v>EXP00273</v>
      </c>
      <c r="B8298" s="3" t="s">
        <v>66</v>
      </c>
      <c r="C8298" s="4" t="str">
        <f t="shared" si="748"/>
        <v>GSE68468</v>
      </c>
      <c r="D8298" s="1" t="s">
        <v>62</v>
      </c>
      <c r="E8298" t="s">
        <v>68</v>
      </c>
      <c r="F8298" s="1">
        <v>2</v>
      </c>
      <c r="G8298" s="1" t="s">
        <v>32</v>
      </c>
      <c r="H8298" s="4" t="str">
        <f>HYPERLINK("https://www.ncbi.nlm.nih.gov/geo/query/acc.cgi?acc=GSM1673201","GSM1673201")</f>
        <v>GSM1673201</v>
      </c>
      <c r="I8298" t="s">
        <v>69</v>
      </c>
      <c r="J8298" t="s">
        <v>18</v>
      </c>
      <c r="K8298" t="s">
        <v>33</v>
      </c>
      <c r="L8298" t="s">
        <v>70</v>
      </c>
      <c r="N8298" t="s">
        <v>29</v>
      </c>
    </row>
    <row r="8299" spans="1:14">
      <c r="A8299" s="4" t="str">
        <f t="shared" si="749"/>
        <v>EXP00273</v>
      </c>
      <c r="B8299" s="3" t="s">
        <v>66</v>
      </c>
      <c r="C8299" s="4" t="str">
        <f t="shared" si="748"/>
        <v>GSE68468</v>
      </c>
      <c r="D8299" s="1" t="s">
        <v>62</v>
      </c>
      <c r="E8299" t="s">
        <v>68</v>
      </c>
      <c r="F8299" s="1">
        <v>2</v>
      </c>
      <c r="G8299" s="1" t="s">
        <v>32</v>
      </c>
      <c r="H8299" s="4" t="str">
        <f>HYPERLINK("https://www.ncbi.nlm.nih.gov/geo/query/acc.cgi?acc=GSM1673205","GSM1673205")</f>
        <v>GSM1673205</v>
      </c>
      <c r="I8299" t="s">
        <v>69</v>
      </c>
      <c r="J8299" t="s">
        <v>18</v>
      </c>
      <c r="K8299" t="s">
        <v>33</v>
      </c>
      <c r="L8299" t="s">
        <v>70</v>
      </c>
      <c r="N8299" t="s">
        <v>29</v>
      </c>
    </row>
    <row r="8300" spans="1:14">
      <c r="A8300" s="4" t="str">
        <f t="shared" si="749"/>
        <v>EXP00273</v>
      </c>
      <c r="B8300" s="3" t="s">
        <v>66</v>
      </c>
      <c r="C8300" s="4" t="str">
        <f t="shared" si="748"/>
        <v>GSE68468</v>
      </c>
      <c r="D8300" s="1" t="s">
        <v>62</v>
      </c>
      <c r="E8300" t="s">
        <v>68</v>
      </c>
      <c r="F8300" s="1">
        <v>2</v>
      </c>
      <c r="G8300" s="1" t="s">
        <v>32</v>
      </c>
      <c r="H8300" s="4" t="str">
        <f>HYPERLINK("https://www.ncbi.nlm.nih.gov/geo/query/acc.cgi?acc=GSM1673207","GSM1673207")</f>
        <v>GSM1673207</v>
      </c>
      <c r="I8300" t="s">
        <v>69</v>
      </c>
      <c r="J8300" t="s">
        <v>18</v>
      </c>
      <c r="K8300" t="s">
        <v>33</v>
      </c>
      <c r="L8300" t="s">
        <v>70</v>
      </c>
      <c r="N8300" t="s">
        <v>29</v>
      </c>
    </row>
    <row r="8301" spans="1:14">
      <c r="A8301" s="4" t="str">
        <f t="shared" si="749"/>
        <v>EXP00273</v>
      </c>
      <c r="B8301" s="3" t="s">
        <v>66</v>
      </c>
      <c r="C8301" s="4" t="str">
        <f t="shared" si="748"/>
        <v>GSE68468</v>
      </c>
      <c r="D8301" s="1" t="s">
        <v>62</v>
      </c>
      <c r="E8301" t="s">
        <v>68</v>
      </c>
      <c r="F8301" s="1">
        <v>2</v>
      </c>
      <c r="G8301" s="1" t="s">
        <v>32</v>
      </c>
      <c r="H8301" s="4" t="str">
        <f>HYPERLINK("https://www.ncbi.nlm.nih.gov/geo/query/acc.cgi?acc=GSM1673208","GSM1673208")</f>
        <v>GSM1673208</v>
      </c>
      <c r="I8301" t="s">
        <v>69</v>
      </c>
      <c r="J8301" t="s">
        <v>18</v>
      </c>
      <c r="K8301" t="s">
        <v>33</v>
      </c>
      <c r="L8301" t="s">
        <v>70</v>
      </c>
      <c r="N8301" t="s">
        <v>29</v>
      </c>
    </row>
    <row r="8302" spans="1:14">
      <c r="A8302" s="4" t="str">
        <f t="shared" si="749"/>
        <v>EXP00273</v>
      </c>
      <c r="B8302" s="3" t="s">
        <v>66</v>
      </c>
      <c r="C8302" s="4" t="str">
        <f t="shared" si="748"/>
        <v>GSE68468</v>
      </c>
      <c r="D8302" s="1" t="s">
        <v>62</v>
      </c>
      <c r="E8302" t="s">
        <v>68</v>
      </c>
      <c r="F8302" s="1">
        <v>2</v>
      </c>
      <c r="G8302" s="1" t="s">
        <v>32</v>
      </c>
      <c r="H8302" s="4" t="str">
        <f>HYPERLINK("https://www.ncbi.nlm.nih.gov/geo/query/acc.cgi?acc=GSM1673209","GSM1673209")</f>
        <v>GSM1673209</v>
      </c>
      <c r="I8302" t="s">
        <v>69</v>
      </c>
      <c r="J8302" t="s">
        <v>18</v>
      </c>
      <c r="K8302" t="s">
        <v>33</v>
      </c>
      <c r="L8302" t="s">
        <v>70</v>
      </c>
      <c r="N8302" t="s">
        <v>29</v>
      </c>
    </row>
    <row r="8303" spans="1:14">
      <c r="A8303" s="4" t="str">
        <f t="shared" si="749"/>
        <v>EXP00273</v>
      </c>
      <c r="B8303" s="3" t="s">
        <v>66</v>
      </c>
      <c r="C8303" s="4" t="str">
        <f t="shared" si="748"/>
        <v>GSE68468</v>
      </c>
      <c r="D8303" s="1" t="s">
        <v>62</v>
      </c>
      <c r="E8303" t="s">
        <v>68</v>
      </c>
      <c r="F8303" s="1">
        <v>2</v>
      </c>
      <c r="G8303" s="1" t="s">
        <v>32</v>
      </c>
      <c r="H8303" s="4" t="str">
        <f>HYPERLINK("https://www.ncbi.nlm.nih.gov/geo/query/acc.cgi?acc=GSM1673211","GSM1673211")</f>
        <v>GSM1673211</v>
      </c>
      <c r="I8303" t="s">
        <v>69</v>
      </c>
      <c r="J8303" t="s">
        <v>18</v>
      </c>
      <c r="K8303" t="s">
        <v>33</v>
      </c>
      <c r="L8303" t="s">
        <v>70</v>
      </c>
      <c r="N8303" t="s">
        <v>29</v>
      </c>
    </row>
    <row r="8304" spans="1:14">
      <c r="A8304" s="4" t="str">
        <f t="shared" ref="A8304:A8335" si="750">HYPERLINK("http://hcmdb.i-sanger.com/experiment/details/experiment_id/EXP00273","EXP00273")</f>
        <v>EXP00273</v>
      </c>
      <c r="B8304" s="3" t="s">
        <v>66</v>
      </c>
      <c r="C8304" s="4" t="str">
        <f t="shared" si="748"/>
        <v>GSE68468</v>
      </c>
      <c r="D8304" s="1" t="s">
        <v>62</v>
      </c>
      <c r="E8304" t="s">
        <v>68</v>
      </c>
      <c r="F8304" s="1">
        <v>2</v>
      </c>
      <c r="G8304" s="1" t="s">
        <v>32</v>
      </c>
      <c r="H8304" s="4" t="str">
        <f>HYPERLINK("https://www.ncbi.nlm.nih.gov/geo/query/acc.cgi?acc=GSM1673213","GSM1673213")</f>
        <v>GSM1673213</v>
      </c>
      <c r="I8304" t="s">
        <v>69</v>
      </c>
      <c r="J8304" t="s">
        <v>18</v>
      </c>
      <c r="K8304" t="s">
        <v>33</v>
      </c>
      <c r="L8304" t="s">
        <v>70</v>
      </c>
      <c r="N8304" t="s">
        <v>29</v>
      </c>
    </row>
    <row r="8305" spans="1:14">
      <c r="A8305" s="4" t="str">
        <f t="shared" si="750"/>
        <v>EXP00273</v>
      </c>
      <c r="B8305" s="3" t="s">
        <v>66</v>
      </c>
      <c r="C8305" s="4" t="str">
        <f t="shared" si="748"/>
        <v>GSE68468</v>
      </c>
      <c r="D8305" s="1" t="s">
        <v>62</v>
      </c>
      <c r="E8305" t="s">
        <v>68</v>
      </c>
      <c r="F8305" s="1">
        <v>2</v>
      </c>
      <c r="G8305" s="1" t="s">
        <v>32</v>
      </c>
      <c r="H8305" s="4" t="str">
        <f>HYPERLINK("https://www.ncbi.nlm.nih.gov/geo/query/acc.cgi?acc=GSM1673218","GSM1673218")</f>
        <v>GSM1673218</v>
      </c>
      <c r="I8305" t="s">
        <v>69</v>
      </c>
      <c r="J8305" t="s">
        <v>18</v>
      </c>
      <c r="K8305" t="s">
        <v>33</v>
      </c>
      <c r="L8305" t="s">
        <v>70</v>
      </c>
      <c r="N8305" t="s">
        <v>29</v>
      </c>
    </row>
    <row r="8306" spans="1:14">
      <c r="A8306" s="4" t="str">
        <f t="shared" si="750"/>
        <v>EXP00273</v>
      </c>
      <c r="B8306" s="3" t="s">
        <v>66</v>
      </c>
      <c r="C8306" s="4" t="str">
        <f t="shared" si="748"/>
        <v>GSE68468</v>
      </c>
      <c r="D8306" s="1" t="s">
        <v>62</v>
      </c>
      <c r="E8306" t="s">
        <v>68</v>
      </c>
      <c r="F8306" s="1">
        <v>2</v>
      </c>
      <c r="G8306" s="1" t="s">
        <v>32</v>
      </c>
      <c r="H8306" s="4" t="str">
        <f>HYPERLINK("https://www.ncbi.nlm.nih.gov/geo/query/acc.cgi?acc=GSM1673219","GSM1673219")</f>
        <v>GSM1673219</v>
      </c>
      <c r="I8306" t="s">
        <v>69</v>
      </c>
      <c r="J8306" t="s">
        <v>18</v>
      </c>
      <c r="K8306" t="s">
        <v>33</v>
      </c>
      <c r="L8306" t="s">
        <v>70</v>
      </c>
      <c r="N8306" t="s">
        <v>29</v>
      </c>
    </row>
    <row r="8307" spans="1:14">
      <c r="A8307" s="4" t="str">
        <f t="shared" si="750"/>
        <v>EXP00273</v>
      </c>
      <c r="B8307" s="3" t="s">
        <v>66</v>
      </c>
      <c r="C8307" s="4" t="str">
        <f t="shared" si="748"/>
        <v>GSE68468</v>
      </c>
      <c r="D8307" s="1" t="s">
        <v>62</v>
      </c>
      <c r="E8307" t="s">
        <v>68</v>
      </c>
      <c r="F8307" s="1">
        <v>2</v>
      </c>
      <c r="G8307" s="1" t="s">
        <v>32</v>
      </c>
      <c r="H8307" s="4" t="str">
        <f>HYPERLINK("https://www.ncbi.nlm.nih.gov/geo/query/acc.cgi?acc=GSM1673220","GSM1673220")</f>
        <v>GSM1673220</v>
      </c>
      <c r="I8307" t="s">
        <v>69</v>
      </c>
      <c r="J8307" t="s">
        <v>18</v>
      </c>
      <c r="K8307" t="s">
        <v>33</v>
      </c>
      <c r="L8307" t="s">
        <v>70</v>
      </c>
      <c r="N8307" t="s">
        <v>29</v>
      </c>
    </row>
    <row r="8308" spans="1:14">
      <c r="A8308" s="4" t="str">
        <f t="shared" si="750"/>
        <v>EXP00273</v>
      </c>
      <c r="B8308" s="3" t="s">
        <v>66</v>
      </c>
      <c r="C8308" s="4" t="str">
        <f t="shared" si="748"/>
        <v>GSE68468</v>
      </c>
      <c r="D8308" s="1" t="s">
        <v>62</v>
      </c>
      <c r="E8308" t="s">
        <v>68</v>
      </c>
      <c r="F8308" s="1">
        <v>2</v>
      </c>
      <c r="G8308" s="1" t="s">
        <v>32</v>
      </c>
      <c r="H8308" s="4" t="str">
        <f>HYPERLINK("https://www.ncbi.nlm.nih.gov/geo/query/acc.cgi?acc=GSM1673223","GSM1673223")</f>
        <v>GSM1673223</v>
      </c>
      <c r="I8308" t="s">
        <v>69</v>
      </c>
      <c r="J8308" t="s">
        <v>18</v>
      </c>
      <c r="K8308" t="s">
        <v>33</v>
      </c>
      <c r="L8308" t="s">
        <v>70</v>
      </c>
      <c r="N8308" t="s">
        <v>29</v>
      </c>
    </row>
    <row r="8309" spans="1:14">
      <c r="A8309" s="4" t="str">
        <f t="shared" si="750"/>
        <v>EXP00273</v>
      </c>
      <c r="B8309" s="3" t="s">
        <v>66</v>
      </c>
      <c r="C8309" s="4" t="str">
        <f t="shared" ref="C8309:C8372" si="751">HYPERLINK("https://www.ncbi.nlm.nih.gov/geo/query/acc.cgi?acc=GSE68468","GSE68468")</f>
        <v>GSE68468</v>
      </c>
      <c r="D8309" s="1" t="s">
        <v>62</v>
      </c>
      <c r="E8309" t="s">
        <v>68</v>
      </c>
      <c r="F8309" s="1">
        <v>2</v>
      </c>
      <c r="G8309" s="1" t="s">
        <v>32</v>
      </c>
      <c r="H8309" s="4" t="str">
        <f>HYPERLINK("https://www.ncbi.nlm.nih.gov/geo/query/acc.cgi?acc=GSM1673227","GSM1673227")</f>
        <v>GSM1673227</v>
      </c>
      <c r="I8309" t="s">
        <v>69</v>
      </c>
      <c r="J8309" t="s">
        <v>18</v>
      </c>
      <c r="K8309" t="s">
        <v>33</v>
      </c>
      <c r="L8309" t="s">
        <v>70</v>
      </c>
      <c r="N8309" t="s">
        <v>29</v>
      </c>
    </row>
    <row r="8310" spans="1:14">
      <c r="A8310" s="4" t="str">
        <f t="shared" si="750"/>
        <v>EXP00273</v>
      </c>
      <c r="B8310" s="3" t="s">
        <v>66</v>
      </c>
      <c r="C8310" s="4" t="str">
        <f t="shared" si="751"/>
        <v>GSE68468</v>
      </c>
      <c r="D8310" s="1" t="s">
        <v>62</v>
      </c>
      <c r="E8310" t="s">
        <v>68</v>
      </c>
      <c r="F8310" s="1">
        <v>2</v>
      </c>
      <c r="G8310" s="1" t="s">
        <v>32</v>
      </c>
      <c r="H8310" s="4" t="str">
        <f>HYPERLINK("https://www.ncbi.nlm.nih.gov/geo/query/acc.cgi?acc=GSM1673228","GSM1673228")</f>
        <v>GSM1673228</v>
      </c>
      <c r="I8310" t="s">
        <v>69</v>
      </c>
      <c r="J8310" t="s">
        <v>18</v>
      </c>
      <c r="K8310" t="s">
        <v>33</v>
      </c>
      <c r="L8310" t="s">
        <v>70</v>
      </c>
      <c r="N8310" t="s">
        <v>29</v>
      </c>
    </row>
    <row r="8311" spans="1:14">
      <c r="A8311" s="4" t="str">
        <f t="shared" si="750"/>
        <v>EXP00273</v>
      </c>
      <c r="B8311" s="3" t="s">
        <v>66</v>
      </c>
      <c r="C8311" s="4" t="str">
        <f t="shared" si="751"/>
        <v>GSE68468</v>
      </c>
      <c r="D8311" s="1" t="s">
        <v>62</v>
      </c>
      <c r="E8311" t="s">
        <v>68</v>
      </c>
      <c r="F8311" s="1">
        <v>2</v>
      </c>
      <c r="G8311" s="1" t="s">
        <v>32</v>
      </c>
      <c r="H8311" s="4" t="str">
        <f>HYPERLINK("https://www.ncbi.nlm.nih.gov/geo/query/acc.cgi?acc=GSM1673229","GSM1673229")</f>
        <v>GSM1673229</v>
      </c>
      <c r="I8311" t="s">
        <v>69</v>
      </c>
      <c r="J8311" t="s">
        <v>18</v>
      </c>
      <c r="K8311" t="s">
        <v>33</v>
      </c>
      <c r="L8311" t="s">
        <v>70</v>
      </c>
      <c r="N8311" t="s">
        <v>29</v>
      </c>
    </row>
    <row r="8312" spans="1:14">
      <c r="A8312" s="4" t="str">
        <f t="shared" si="750"/>
        <v>EXP00273</v>
      </c>
      <c r="B8312" s="3" t="s">
        <v>66</v>
      </c>
      <c r="C8312" s="4" t="str">
        <f t="shared" si="751"/>
        <v>GSE68468</v>
      </c>
      <c r="D8312" s="1" t="s">
        <v>62</v>
      </c>
      <c r="E8312" t="s">
        <v>68</v>
      </c>
      <c r="F8312" s="1">
        <v>2</v>
      </c>
      <c r="G8312" s="1" t="s">
        <v>32</v>
      </c>
      <c r="H8312" s="4" t="str">
        <f>HYPERLINK("https://www.ncbi.nlm.nih.gov/geo/query/acc.cgi?acc=GSM1673230","GSM1673230")</f>
        <v>GSM1673230</v>
      </c>
      <c r="I8312" t="s">
        <v>69</v>
      </c>
      <c r="J8312" t="s">
        <v>18</v>
      </c>
      <c r="K8312" t="s">
        <v>33</v>
      </c>
      <c r="L8312" t="s">
        <v>70</v>
      </c>
      <c r="N8312" t="s">
        <v>29</v>
      </c>
    </row>
    <row r="8313" spans="1:14">
      <c r="A8313" s="4" t="str">
        <f t="shared" si="750"/>
        <v>EXP00273</v>
      </c>
      <c r="B8313" s="3" t="s">
        <v>66</v>
      </c>
      <c r="C8313" s="4" t="str">
        <f t="shared" si="751"/>
        <v>GSE68468</v>
      </c>
      <c r="D8313" s="1" t="s">
        <v>62</v>
      </c>
      <c r="E8313" t="s">
        <v>68</v>
      </c>
      <c r="F8313" s="1">
        <v>2</v>
      </c>
      <c r="G8313" s="1" t="s">
        <v>32</v>
      </c>
      <c r="H8313" s="4" t="str">
        <f>HYPERLINK("https://www.ncbi.nlm.nih.gov/geo/query/acc.cgi?acc=GSM1673240","GSM1673240")</f>
        <v>GSM1673240</v>
      </c>
      <c r="I8313" t="s">
        <v>69</v>
      </c>
      <c r="J8313" t="s">
        <v>18</v>
      </c>
      <c r="K8313" t="s">
        <v>33</v>
      </c>
      <c r="L8313" t="s">
        <v>70</v>
      </c>
      <c r="N8313" t="s">
        <v>29</v>
      </c>
    </row>
    <row r="8314" spans="1:14">
      <c r="A8314" s="4" t="str">
        <f t="shared" si="750"/>
        <v>EXP00273</v>
      </c>
      <c r="B8314" s="3" t="s">
        <v>66</v>
      </c>
      <c r="C8314" s="4" t="str">
        <f t="shared" si="751"/>
        <v>GSE68468</v>
      </c>
      <c r="D8314" s="1" t="s">
        <v>62</v>
      </c>
      <c r="E8314" t="s">
        <v>68</v>
      </c>
      <c r="F8314" s="1">
        <v>2</v>
      </c>
      <c r="G8314" s="1" t="s">
        <v>32</v>
      </c>
      <c r="H8314" s="4" t="str">
        <f>HYPERLINK("https://www.ncbi.nlm.nih.gov/geo/query/acc.cgi?acc=GSM1673243","GSM1673243")</f>
        <v>GSM1673243</v>
      </c>
      <c r="I8314" t="s">
        <v>69</v>
      </c>
      <c r="J8314" t="s">
        <v>18</v>
      </c>
      <c r="K8314" t="s">
        <v>33</v>
      </c>
      <c r="L8314" t="s">
        <v>70</v>
      </c>
      <c r="N8314" t="s">
        <v>29</v>
      </c>
    </row>
    <row r="8315" spans="1:14">
      <c r="A8315" s="4" t="str">
        <f t="shared" si="750"/>
        <v>EXP00273</v>
      </c>
      <c r="B8315" s="3" t="s">
        <v>66</v>
      </c>
      <c r="C8315" s="4" t="str">
        <f t="shared" si="751"/>
        <v>GSE68468</v>
      </c>
      <c r="D8315" s="1" t="s">
        <v>62</v>
      </c>
      <c r="E8315" t="s">
        <v>68</v>
      </c>
      <c r="F8315" s="1">
        <v>2</v>
      </c>
      <c r="G8315" s="1" t="s">
        <v>32</v>
      </c>
      <c r="H8315" s="4" t="str">
        <f>HYPERLINK("https://www.ncbi.nlm.nih.gov/geo/query/acc.cgi?acc=GSM1673248","GSM1673248")</f>
        <v>GSM1673248</v>
      </c>
      <c r="I8315" t="s">
        <v>69</v>
      </c>
      <c r="J8315" t="s">
        <v>18</v>
      </c>
      <c r="K8315" t="s">
        <v>33</v>
      </c>
      <c r="L8315" t="s">
        <v>70</v>
      </c>
      <c r="N8315" t="s">
        <v>29</v>
      </c>
    </row>
    <row r="8316" spans="1:14">
      <c r="A8316" s="4" t="str">
        <f t="shared" si="750"/>
        <v>EXP00273</v>
      </c>
      <c r="B8316" s="3" t="s">
        <v>66</v>
      </c>
      <c r="C8316" s="4" t="str">
        <f t="shared" si="751"/>
        <v>GSE68468</v>
      </c>
      <c r="D8316" s="1" t="s">
        <v>62</v>
      </c>
      <c r="E8316" t="s">
        <v>68</v>
      </c>
      <c r="F8316" s="1">
        <v>2</v>
      </c>
      <c r="G8316" s="1" t="s">
        <v>32</v>
      </c>
      <c r="H8316" s="4" t="str">
        <f>HYPERLINK("https://www.ncbi.nlm.nih.gov/geo/query/acc.cgi?acc=GSM1673249","GSM1673249")</f>
        <v>GSM1673249</v>
      </c>
      <c r="I8316" t="s">
        <v>69</v>
      </c>
      <c r="J8316" t="s">
        <v>18</v>
      </c>
      <c r="K8316" t="s">
        <v>33</v>
      </c>
      <c r="L8316" t="s">
        <v>70</v>
      </c>
      <c r="N8316" t="s">
        <v>29</v>
      </c>
    </row>
    <row r="8317" spans="1:14">
      <c r="A8317" s="4" t="str">
        <f t="shared" si="750"/>
        <v>EXP00273</v>
      </c>
      <c r="B8317" s="3" t="s">
        <v>66</v>
      </c>
      <c r="C8317" s="4" t="str">
        <f t="shared" si="751"/>
        <v>GSE68468</v>
      </c>
      <c r="D8317" s="1" t="s">
        <v>62</v>
      </c>
      <c r="E8317" t="s">
        <v>68</v>
      </c>
      <c r="F8317" s="1">
        <v>2</v>
      </c>
      <c r="G8317" s="1" t="s">
        <v>32</v>
      </c>
      <c r="H8317" s="4" t="str">
        <f>HYPERLINK("https://www.ncbi.nlm.nih.gov/geo/query/acc.cgi?acc=GSM1673250","GSM1673250")</f>
        <v>GSM1673250</v>
      </c>
      <c r="I8317" t="s">
        <v>69</v>
      </c>
      <c r="J8317" t="s">
        <v>18</v>
      </c>
      <c r="K8317" t="s">
        <v>33</v>
      </c>
      <c r="L8317" t="s">
        <v>70</v>
      </c>
      <c r="N8317" t="s">
        <v>29</v>
      </c>
    </row>
    <row r="8318" spans="1:14">
      <c r="A8318" s="4" t="str">
        <f t="shared" si="750"/>
        <v>EXP00273</v>
      </c>
      <c r="B8318" s="3" t="s">
        <v>66</v>
      </c>
      <c r="C8318" s="4" t="str">
        <f t="shared" si="751"/>
        <v>GSE68468</v>
      </c>
      <c r="D8318" s="1" t="s">
        <v>62</v>
      </c>
      <c r="E8318" t="s">
        <v>68</v>
      </c>
      <c r="F8318" s="1">
        <v>2</v>
      </c>
      <c r="G8318" s="1" t="s">
        <v>32</v>
      </c>
      <c r="H8318" s="4" t="str">
        <f>HYPERLINK("https://www.ncbi.nlm.nih.gov/geo/query/acc.cgi?acc=GSM1673251","GSM1673251")</f>
        <v>GSM1673251</v>
      </c>
      <c r="I8318" t="s">
        <v>69</v>
      </c>
      <c r="J8318" t="s">
        <v>18</v>
      </c>
      <c r="K8318" t="s">
        <v>33</v>
      </c>
      <c r="L8318" t="s">
        <v>70</v>
      </c>
      <c r="N8318" t="s">
        <v>29</v>
      </c>
    </row>
    <row r="8319" spans="1:14">
      <c r="A8319" s="4" t="str">
        <f t="shared" si="750"/>
        <v>EXP00273</v>
      </c>
      <c r="B8319" s="3" t="s">
        <v>66</v>
      </c>
      <c r="C8319" s="4" t="str">
        <f t="shared" si="751"/>
        <v>GSE68468</v>
      </c>
      <c r="D8319" s="1" t="s">
        <v>62</v>
      </c>
      <c r="E8319" t="s">
        <v>68</v>
      </c>
      <c r="F8319" s="1">
        <v>2</v>
      </c>
      <c r="G8319" s="1" t="s">
        <v>32</v>
      </c>
      <c r="H8319" s="4" t="str">
        <f>HYPERLINK("https://www.ncbi.nlm.nih.gov/geo/query/acc.cgi?acc=GSM1673252","GSM1673252")</f>
        <v>GSM1673252</v>
      </c>
      <c r="I8319" t="s">
        <v>69</v>
      </c>
      <c r="J8319" t="s">
        <v>18</v>
      </c>
      <c r="K8319" t="s">
        <v>33</v>
      </c>
      <c r="L8319" t="s">
        <v>70</v>
      </c>
      <c r="N8319" t="s">
        <v>29</v>
      </c>
    </row>
    <row r="8320" spans="1:14">
      <c r="A8320" s="4" t="str">
        <f t="shared" si="750"/>
        <v>EXP00273</v>
      </c>
      <c r="B8320" s="3" t="s">
        <v>66</v>
      </c>
      <c r="C8320" s="4" t="str">
        <f t="shared" si="751"/>
        <v>GSE68468</v>
      </c>
      <c r="D8320" s="1" t="s">
        <v>62</v>
      </c>
      <c r="E8320" t="s">
        <v>68</v>
      </c>
      <c r="F8320" s="1">
        <v>2</v>
      </c>
      <c r="G8320" s="1" t="s">
        <v>32</v>
      </c>
      <c r="H8320" s="4" t="str">
        <f>HYPERLINK("https://www.ncbi.nlm.nih.gov/geo/query/acc.cgi?acc=GSM1673260","GSM1673260")</f>
        <v>GSM1673260</v>
      </c>
      <c r="I8320" t="s">
        <v>69</v>
      </c>
      <c r="J8320" t="s">
        <v>18</v>
      </c>
      <c r="K8320" t="s">
        <v>33</v>
      </c>
      <c r="L8320" t="s">
        <v>70</v>
      </c>
      <c r="N8320" t="s">
        <v>29</v>
      </c>
    </row>
    <row r="8321" spans="1:14">
      <c r="A8321" s="4" t="str">
        <f t="shared" si="750"/>
        <v>EXP00273</v>
      </c>
      <c r="B8321" s="3" t="s">
        <v>66</v>
      </c>
      <c r="C8321" s="4" t="str">
        <f t="shared" si="751"/>
        <v>GSE68468</v>
      </c>
      <c r="D8321" s="1" t="s">
        <v>62</v>
      </c>
      <c r="E8321" t="s">
        <v>68</v>
      </c>
      <c r="F8321" s="1">
        <v>2</v>
      </c>
      <c r="G8321" s="1" t="s">
        <v>32</v>
      </c>
      <c r="H8321" s="4" t="str">
        <f>HYPERLINK("https://www.ncbi.nlm.nih.gov/geo/query/acc.cgi?acc=GSM1673262","GSM1673262")</f>
        <v>GSM1673262</v>
      </c>
      <c r="I8321" t="s">
        <v>69</v>
      </c>
      <c r="J8321" t="s">
        <v>18</v>
      </c>
      <c r="K8321" t="s">
        <v>33</v>
      </c>
      <c r="L8321" t="s">
        <v>70</v>
      </c>
      <c r="N8321" t="s">
        <v>29</v>
      </c>
    </row>
    <row r="8322" spans="1:14">
      <c r="A8322" s="4" t="str">
        <f t="shared" si="750"/>
        <v>EXP00273</v>
      </c>
      <c r="B8322" s="3" t="s">
        <v>66</v>
      </c>
      <c r="C8322" s="4" t="str">
        <f t="shared" si="751"/>
        <v>GSE68468</v>
      </c>
      <c r="D8322" s="1" t="s">
        <v>62</v>
      </c>
      <c r="E8322" t="s">
        <v>68</v>
      </c>
      <c r="F8322" s="1">
        <v>2</v>
      </c>
      <c r="G8322" s="1" t="s">
        <v>32</v>
      </c>
      <c r="H8322" s="4" t="str">
        <f>HYPERLINK("https://www.ncbi.nlm.nih.gov/geo/query/acc.cgi?acc=GSM1673265","GSM1673265")</f>
        <v>GSM1673265</v>
      </c>
      <c r="I8322" t="s">
        <v>69</v>
      </c>
      <c r="J8322" t="s">
        <v>18</v>
      </c>
      <c r="K8322" t="s">
        <v>33</v>
      </c>
      <c r="L8322" t="s">
        <v>70</v>
      </c>
      <c r="N8322" t="s">
        <v>29</v>
      </c>
    </row>
    <row r="8323" spans="1:14">
      <c r="A8323" s="4" t="str">
        <f t="shared" si="750"/>
        <v>EXP00273</v>
      </c>
      <c r="B8323" s="3" t="s">
        <v>66</v>
      </c>
      <c r="C8323" s="4" t="str">
        <f t="shared" si="751"/>
        <v>GSE68468</v>
      </c>
      <c r="D8323" s="1" t="s">
        <v>62</v>
      </c>
      <c r="E8323" t="s">
        <v>68</v>
      </c>
      <c r="F8323" s="1">
        <v>2</v>
      </c>
      <c r="G8323" s="1" t="s">
        <v>32</v>
      </c>
      <c r="H8323" s="4" t="str">
        <f>HYPERLINK("https://www.ncbi.nlm.nih.gov/geo/query/acc.cgi?acc=GSM1673269","GSM1673269")</f>
        <v>GSM1673269</v>
      </c>
      <c r="I8323" t="s">
        <v>69</v>
      </c>
      <c r="J8323" t="s">
        <v>18</v>
      </c>
      <c r="K8323" t="s">
        <v>33</v>
      </c>
      <c r="L8323" t="s">
        <v>70</v>
      </c>
      <c r="N8323" t="s">
        <v>29</v>
      </c>
    </row>
    <row r="8324" spans="1:14">
      <c r="A8324" s="4" t="str">
        <f t="shared" si="750"/>
        <v>EXP00273</v>
      </c>
      <c r="B8324" s="3" t="s">
        <v>66</v>
      </c>
      <c r="C8324" s="4" t="str">
        <f t="shared" si="751"/>
        <v>GSE68468</v>
      </c>
      <c r="D8324" s="1" t="s">
        <v>62</v>
      </c>
      <c r="E8324" t="s">
        <v>68</v>
      </c>
      <c r="F8324" s="1">
        <v>2</v>
      </c>
      <c r="G8324" s="1" t="s">
        <v>32</v>
      </c>
      <c r="H8324" s="4" t="str">
        <f>HYPERLINK("https://www.ncbi.nlm.nih.gov/geo/query/acc.cgi?acc=GSM1673270","GSM1673270")</f>
        <v>GSM1673270</v>
      </c>
      <c r="I8324" t="s">
        <v>69</v>
      </c>
      <c r="J8324" t="s">
        <v>18</v>
      </c>
      <c r="K8324" t="s">
        <v>33</v>
      </c>
      <c r="L8324" t="s">
        <v>70</v>
      </c>
      <c r="N8324" t="s">
        <v>29</v>
      </c>
    </row>
    <row r="8325" spans="1:14">
      <c r="A8325" s="4" t="str">
        <f t="shared" si="750"/>
        <v>EXP00273</v>
      </c>
      <c r="B8325" s="3" t="s">
        <v>66</v>
      </c>
      <c r="C8325" s="4" t="str">
        <f t="shared" si="751"/>
        <v>GSE68468</v>
      </c>
      <c r="D8325" s="1" t="s">
        <v>62</v>
      </c>
      <c r="E8325" t="s">
        <v>68</v>
      </c>
      <c r="F8325" s="1">
        <v>2</v>
      </c>
      <c r="G8325" s="1" t="s">
        <v>32</v>
      </c>
      <c r="H8325" s="4" t="str">
        <f>HYPERLINK("https://www.ncbi.nlm.nih.gov/geo/query/acc.cgi?acc=GSM1673271","GSM1673271")</f>
        <v>GSM1673271</v>
      </c>
      <c r="I8325" t="s">
        <v>69</v>
      </c>
      <c r="J8325" t="s">
        <v>18</v>
      </c>
      <c r="K8325" t="s">
        <v>33</v>
      </c>
      <c r="L8325" t="s">
        <v>70</v>
      </c>
      <c r="N8325" t="s">
        <v>29</v>
      </c>
    </row>
    <row r="8326" spans="1:14">
      <c r="A8326" s="4" t="str">
        <f t="shared" si="750"/>
        <v>EXP00273</v>
      </c>
      <c r="B8326" s="3" t="s">
        <v>66</v>
      </c>
      <c r="C8326" s="4" t="str">
        <f t="shared" si="751"/>
        <v>GSE68468</v>
      </c>
      <c r="D8326" s="1" t="s">
        <v>62</v>
      </c>
      <c r="E8326" t="s">
        <v>68</v>
      </c>
      <c r="F8326" s="1">
        <v>2</v>
      </c>
      <c r="G8326" s="1" t="s">
        <v>32</v>
      </c>
      <c r="H8326" s="4" t="str">
        <f>HYPERLINK("https://www.ncbi.nlm.nih.gov/geo/query/acc.cgi?acc=GSM1673275","GSM1673275")</f>
        <v>GSM1673275</v>
      </c>
      <c r="I8326" t="s">
        <v>69</v>
      </c>
      <c r="J8326" t="s">
        <v>18</v>
      </c>
      <c r="K8326" t="s">
        <v>33</v>
      </c>
      <c r="L8326" t="s">
        <v>70</v>
      </c>
      <c r="N8326" t="s">
        <v>29</v>
      </c>
    </row>
    <row r="8327" spans="1:14">
      <c r="A8327" s="4" t="str">
        <f t="shared" si="750"/>
        <v>EXP00273</v>
      </c>
      <c r="B8327" s="3" t="s">
        <v>66</v>
      </c>
      <c r="C8327" s="4" t="str">
        <f t="shared" si="751"/>
        <v>GSE68468</v>
      </c>
      <c r="D8327" s="1" t="s">
        <v>62</v>
      </c>
      <c r="E8327" t="s">
        <v>68</v>
      </c>
      <c r="F8327" s="1">
        <v>2</v>
      </c>
      <c r="G8327" s="1" t="s">
        <v>32</v>
      </c>
      <c r="H8327" s="4" t="str">
        <f>HYPERLINK("https://www.ncbi.nlm.nih.gov/geo/query/acc.cgi?acc=GSM1673278","GSM1673278")</f>
        <v>GSM1673278</v>
      </c>
      <c r="I8327" t="s">
        <v>69</v>
      </c>
      <c r="J8327" t="s">
        <v>18</v>
      </c>
      <c r="K8327" t="s">
        <v>33</v>
      </c>
      <c r="L8327" t="s">
        <v>70</v>
      </c>
      <c r="N8327" t="s">
        <v>29</v>
      </c>
    </row>
    <row r="8328" spans="1:14">
      <c r="A8328" s="4" t="str">
        <f t="shared" si="750"/>
        <v>EXP00273</v>
      </c>
      <c r="B8328" s="3" t="s">
        <v>66</v>
      </c>
      <c r="C8328" s="4" t="str">
        <f t="shared" si="751"/>
        <v>GSE68468</v>
      </c>
      <c r="D8328" s="1" t="s">
        <v>62</v>
      </c>
      <c r="E8328" t="s">
        <v>68</v>
      </c>
      <c r="F8328" s="1">
        <v>2</v>
      </c>
      <c r="G8328" s="1" t="s">
        <v>32</v>
      </c>
      <c r="H8328" s="4" t="str">
        <f>HYPERLINK("https://www.ncbi.nlm.nih.gov/geo/query/acc.cgi?acc=GSM1673279","GSM1673279")</f>
        <v>GSM1673279</v>
      </c>
      <c r="I8328" t="s">
        <v>69</v>
      </c>
      <c r="J8328" t="s">
        <v>18</v>
      </c>
      <c r="K8328" t="s">
        <v>33</v>
      </c>
      <c r="L8328" t="s">
        <v>70</v>
      </c>
      <c r="N8328" t="s">
        <v>29</v>
      </c>
    </row>
    <row r="8329" spans="1:14">
      <c r="A8329" s="4" t="str">
        <f t="shared" si="750"/>
        <v>EXP00273</v>
      </c>
      <c r="B8329" s="3" t="s">
        <v>66</v>
      </c>
      <c r="C8329" s="4" t="str">
        <f t="shared" si="751"/>
        <v>GSE68468</v>
      </c>
      <c r="D8329" s="1" t="s">
        <v>62</v>
      </c>
      <c r="E8329" t="s">
        <v>68</v>
      </c>
      <c r="F8329" s="1">
        <v>2</v>
      </c>
      <c r="G8329" s="1" t="s">
        <v>32</v>
      </c>
      <c r="H8329" s="4" t="str">
        <f>HYPERLINK("https://www.ncbi.nlm.nih.gov/geo/query/acc.cgi?acc=GSM1673284","GSM1673284")</f>
        <v>GSM1673284</v>
      </c>
      <c r="I8329" t="s">
        <v>69</v>
      </c>
      <c r="J8329" t="s">
        <v>18</v>
      </c>
      <c r="K8329" t="s">
        <v>33</v>
      </c>
      <c r="L8329" t="s">
        <v>70</v>
      </c>
      <c r="N8329" t="s">
        <v>29</v>
      </c>
    </row>
    <row r="8330" spans="1:14">
      <c r="A8330" s="4" t="str">
        <f t="shared" si="750"/>
        <v>EXP00273</v>
      </c>
      <c r="B8330" s="3" t="s">
        <v>66</v>
      </c>
      <c r="C8330" s="4" t="str">
        <f t="shared" si="751"/>
        <v>GSE68468</v>
      </c>
      <c r="D8330" s="1" t="s">
        <v>62</v>
      </c>
      <c r="E8330" t="s">
        <v>68</v>
      </c>
      <c r="F8330" s="1">
        <v>2</v>
      </c>
      <c r="G8330" s="1" t="s">
        <v>32</v>
      </c>
      <c r="H8330" s="4" t="str">
        <f>HYPERLINK("https://www.ncbi.nlm.nih.gov/geo/query/acc.cgi?acc=GSM1673285","GSM1673285")</f>
        <v>GSM1673285</v>
      </c>
      <c r="I8330" t="s">
        <v>69</v>
      </c>
      <c r="J8330" t="s">
        <v>18</v>
      </c>
      <c r="K8330" t="s">
        <v>33</v>
      </c>
      <c r="L8330" t="s">
        <v>70</v>
      </c>
      <c r="N8330" t="s">
        <v>29</v>
      </c>
    </row>
    <row r="8331" spans="1:14">
      <c r="A8331" s="4" t="str">
        <f t="shared" si="750"/>
        <v>EXP00273</v>
      </c>
      <c r="B8331" s="3" t="s">
        <v>66</v>
      </c>
      <c r="C8331" s="4" t="str">
        <f t="shared" si="751"/>
        <v>GSE68468</v>
      </c>
      <c r="D8331" s="1" t="s">
        <v>62</v>
      </c>
      <c r="E8331" t="s">
        <v>68</v>
      </c>
      <c r="F8331" s="1">
        <v>2</v>
      </c>
      <c r="G8331" s="1" t="s">
        <v>32</v>
      </c>
      <c r="H8331" s="4" t="str">
        <f>HYPERLINK("https://www.ncbi.nlm.nih.gov/geo/query/acc.cgi?acc=GSM1673287","GSM1673287")</f>
        <v>GSM1673287</v>
      </c>
      <c r="I8331" t="s">
        <v>69</v>
      </c>
      <c r="J8331" t="s">
        <v>18</v>
      </c>
      <c r="K8331" t="s">
        <v>33</v>
      </c>
      <c r="L8331" t="s">
        <v>70</v>
      </c>
      <c r="N8331" t="s">
        <v>29</v>
      </c>
    </row>
    <row r="8332" spans="1:14">
      <c r="A8332" s="4" t="str">
        <f t="shared" si="750"/>
        <v>EXP00273</v>
      </c>
      <c r="B8332" s="3" t="s">
        <v>66</v>
      </c>
      <c r="C8332" s="4" t="str">
        <f t="shared" si="751"/>
        <v>GSE68468</v>
      </c>
      <c r="D8332" s="1" t="s">
        <v>62</v>
      </c>
      <c r="E8332" t="s">
        <v>68</v>
      </c>
      <c r="F8332" s="1">
        <v>2</v>
      </c>
      <c r="G8332" s="1" t="s">
        <v>32</v>
      </c>
      <c r="H8332" s="4" t="str">
        <f>HYPERLINK("https://www.ncbi.nlm.nih.gov/geo/query/acc.cgi?acc=GSM1673289","GSM1673289")</f>
        <v>GSM1673289</v>
      </c>
      <c r="I8332" t="s">
        <v>69</v>
      </c>
      <c r="J8332" t="s">
        <v>18</v>
      </c>
      <c r="K8332" t="s">
        <v>33</v>
      </c>
      <c r="L8332" t="s">
        <v>70</v>
      </c>
      <c r="N8332" t="s">
        <v>29</v>
      </c>
    </row>
    <row r="8333" spans="1:14">
      <c r="A8333" s="4" t="str">
        <f t="shared" si="750"/>
        <v>EXP00273</v>
      </c>
      <c r="B8333" s="3" t="s">
        <v>66</v>
      </c>
      <c r="C8333" s="4" t="str">
        <f t="shared" si="751"/>
        <v>GSE68468</v>
      </c>
      <c r="D8333" s="1" t="s">
        <v>62</v>
      </c>
      <c r="E8333" t="s">
        <v>68</v>
      </c>
      <c r="F8333" s="1">
        <v>2</v>
      </c>
      <c r="G8333" s="1" t="s">
        <v>32</v>
      </c>
      <c r="H8333" s="4" t="str">
        <f>HYPERLINK("https://www.ncbi.nlm.nih.gov/geo/query/acc.cgi?acc=GSM1673295","GSM1673295")</f>
        <v>GSM1673295</v>
      </c>
      <c r="I8333" t="s">
        <v>69</v>
      </c>
      <c r="J8333" t="s">
        <v>18</v>
      </c>
      <c r="K8333" t="s">
        <v>33</v>
      </c>
      <c r="L8333" t="s">
        <v>70</v>
      </c>
      <c r="N8333" t="s">
        <v>29</v>
      </c>
    </row>
    <row r="8334" spans="1:14">
      <c r="A8334" s="4" t="str">
        <f t="shared" si="750"/>
        <v>EXP00273</v>
      </c>
      <c r="B8334" s="3" t="s">
        <v>66</v>
      </c>
      <c r="C8334" s="4" t="str">
        <f t="shared" si="751"/>
        <v>GSE68468</v>
      </c>
      <c r="D8334" s="1" t="s">
        <v>62</v>
      </c>
      <c r="E8334" t="s">
        <v>68</v>
      </c>
      <c r="F8334" s="1">
        <v>2</v>
      </c>
      <c r="G8334" s="1" t="s">
        <v>32</v>
      </c>
      <c r="H8334" s="4" t="str">
        <f>HYPERLINK("https://www.ncbi.nlm.nih.gov/geo/query/acc.cgi?acc=GSM1673296","GSM1673296")</f>
        <v>GSM1673296</v>
      </c>
      <c r="I8334" t="s">
        <v>69</v>
      </c>
      <c r="J8334" t="s">
        <v>18</v>
      </c>
      <c r="K8334" t="s">
        <v>33</v>
      </c>
      <c r="L8334" t="s">
        <v>70</v>
      </c>
      <c r="N8334" t="s">
        <v>29</v>
      </c>
    </row>
    <row r="8335" spans="1:14">
      <c r="A8335" s="4" t="str">
        <f t="shared" si="750"/>
        <v>EXP00273</v>
      </c>
      <c r="B8335" s="3" t="s">
        <v>66</v>
      </c>
      <c r="C8335" s="4" t="str">
        <f t="shared" si="751"/>
        <v>GSE68468</v>
      </c>
      <c r="D8335" s="1" t="s">
        <v>62</v>
      </c>
      <c r="E8335" t="s">
        <v>68</v>
      </c>
      <c r="F8335" s="1">
        <v>2</v>
      </c>
      <c r="G8335" s="1" t="s">
        <v>32</v>
      </c>
      <c r="H8335" s="4" t="str">
        <f>HYPERLINK("https://www.ncbi.nlm.nih.gov/geo/query/acc.cgi?acc=GSM1673297","GSM1673297")</f>
        <v>GSM1673297</v>
      </c>
      <c r="I8335" t="s">
        <v>69</v>
      </c>
      <c r="J8335" t="s">
        <v>18</v>
      </c>
      <c r="K8335" t="s">
        <v>33</v>
      </c>
      <c r="L8335" t="s">
        <v>70</v>
      </c>
      <c r="N8335" t="s">
        <v>29</v>
      </c>
    </row>
    <row r="8336" spans="1:14">
      <c r="A8336" s="4" t="str">
        <f t="shared" ref="A8336:A8361" si="752">HYPERLINK("http://hcmdb.i-sanger.com/experiment/details/experiment_id/EXP00273","EXP00273")</f>
        <v>EXP00273</v>
      </c>
      <c r="B8336" s="3" t="s">
        <v>66</v>
      </c>
      <c r="C8336" s="4" t="str">
        <f t="shared" si="751"/>
        <v>GSE68468</v>
      </c>
      <c r="D8336" s="1" t="s">
        <v>62</v>
      </c>
      <c r="E8336" t="s">
        <v>68</v>
      </c>
      <c r="F8336" s="1">
        <v>2</v>
      </c>
      <c r="G8336" s="1" t="s">
        <v>32</v>
      </c>
      <c r="H8336" s="4" t="str">
        <f>HYPERLINK("https://www.ncbi.nlm.nih.gov/geo/query/acc.cgi?acc=GSM1673300","GSM1673300")</f>
        <v>GSM1673300</v>
      </c>
      <c r="I8336" t="s">
        <v>69</v>
      </c>
      <c r="J8336" t="s">
        <v>18</v>
      </c>
      <c r="K8336" t="s">
        <v>33</v>
      </c>
      <c r="L8336" t="s">
        <v>70</v>
      </c>
      <c r="N8336" t="s">
        <v>29</v>
      </c>
    </row>
    <row r="8337" spans="1:14">
      <c r="A8337" s="4" t="str">
        <f t="shared" si="752"/>
        <v>EXP00273</v>
      </c>
      <c r="B8337" s="3" t="s">
        <v>66</v>
      </c>
      <c r="C8337" s="4" t="str">
        <f t="shared" si="751"/>
        <v>GSE68468</v>
      </c>
      <c r="D8337" s="1" t="s">
        <v>62</v>
      </c>
      <c r="E8337" t="s">
        <v>68</v>
      </c>
      <c r="F8337" s="1">
        <v>2</v>
      </c>
      <c r="G8337" s="1" t="s">
        <v>32</v>
      </c>
      <c r="H8337" s="4" t="str">
        <f>HYPERLINK("https://www.ncbi.nlm.nih.gov/geo/query/acc.cgi?acc=GSM1673302","GSM1673302")</f>
        <v>GSM1673302</v>
      </c>
      <c r="I8337" t="s">
        <v>69</v>
      </c>
      <c r="J8337" t="s">
        <v>18</v>
      </c>
      <c r="K8337" t="s">
        <v>33</v>
      </c>
      <c r="L8337" t="s">
        <v>70</v>
      </c>
      <c r="N8337" t="s">
        <v>29</v>
      </c>
    </row>
    <row r="8338" spans="1:14">
      <c r="A8338" s="4" t="str">
        <f t="shared" si="752"/>
        <v>EXP00273</v>
      </c>
      <c r="B8338" s="3" t="s">
        <v>66</v>
      </c>
      <c r="C8338" s="4" t="str">
        <f t="shared" si="751"/>
        <v>GSE68468</v>
      </c>
      <c r="D8338" s="1" t="s">
        <v>62</v>
      </c>
      <c r="E8338" t="s">
        <v>68</v>
      </c>
      <c r="F8338" s="1">
        <v>2</v>
      </c>
      <c r="G8338" s="1" t="s">
        <v>32</v>
      </c>
      <c r="H8338" s="4" t="str">
        <f>HYPERLINK("https://www.ncbi.nlm.nih.gov/geo/query/acc.cgi?acc=GSM1673303","GSM1673303")</f>
        <v>GSM1673303</v>
      </c>
      <c r="I8338" t="s">
        <v>69</v>
      </c>
      <c r="J8338" t="s">
        <v>18</v>
      </c>
      <c r="K8338" t="s">
        <v>33</v>
      </c>
      <c r="L8338" t="s">
        <v>70</v>
      </c>
      <c r="N8338" t="s">
        <v>29</v>
      </c>
    </row>
    <row r="8339" spans="1:14">
      <c r="A8339" s="4" t="str">
        <f t="shared" si="752"/>
        <v>EXP00273</v>
      </c>
      <c r="B8339" s="3" t="s">
        <v>66</v>
      </c>
      <c r="C8339" s="4" t="str">
        <f t="shared" si="751"/>
        <v>GSE68468</v>
      </c>
      <c r="D8339" s="1" t="s">
        <v>62</v>
      </c>
      <c r="E8339" t="s">
        <v>68</v>
      </c>
      <c r="F8339" s="1">
        <v>2</v>
      </c>
      <c r="G8339" s="1" t="s">
        <v>32</v>
      </c>
      <c r="H8339" s="4" t="str">
        <f>HYPERLINK("https://www.ncbi.nlm.nih.gov/geo/query/acc.cgi?acc=GSM1673304","GSM1673304")</f>
        <v>GSM1673304</v>
      </c>
      <c r="I8339" t="s">
        <v>69</v>
      </c>
      <c r="J8339" t="s">
        <v>18</v>
      </c>
      <c r="K8339" t="s">
        <v>33</v>
      </c>
      <c r="L8339" t="s">
        <v>70</v>
      </c>
      <c r="N8339" t="s">
        <v>29</v>
      </c>
    </row>
    <row r="8340" spans="1:14">
      <c r="A8340" s="4" t="str">
        <f t="shared" si="752"/>
        <v>EXP00273</v>
      </c>
      <c r="B8340" s="3" t="s">
        <v>66</v>
      </c>
      <c r="C8340" s="4" t="str">
        <f t="shared" si="751"/>
        <v>GSE68468</v>
      </c>
      <c r="D8340" s="1" t="s">
        <v>62</v>
      </c>
      <c r="E8340" t="s">
        <v>68</v>
      </c>
      <c r="F8340" s="1">
        <v>2</v>
      </c>
      <c r="G8340" s="1" t="s">
        <v>32</v>
      </c>
      <c r="H8340" s="4" t="str">
        <f>HYPERLINK("https://www.ncbi.nlm.nih.gov/geo/query/acc.cgi?acc=GSM1673309","GSM1673309")</f>
        <v>GSM1673309</v>
      </c>
      <c r="I8340" t="s">
        <v>69</v>
      </c>
      <c r="J8340" t="s">
        <v>18</v>
      </c>
      <c r="K8340" t="s">
        <v>33</v>
      </c>
      <c r="L8340" t="s">
        <v>70</v>
      </c>
      <c r="N8340" t="s">
        <v>29</v>
      </c>
    </row>
    <row r="8341" spans="1:14">
      <c r="A8341" s="4" t="str">
        <f t="shared" si="752"/>
        <v>EXP00273</v>
      </c>
      <c r="B8341" s="3" t="s">
        <v>66</v>
      </c>
      <c r="C8341" s="4" t="str">
        <f t="shared" si="751"/>
        <v>GSE68468</v>
      </c>
      <c r="D8341" s="1" t="s">
        <v>62</v>
      </c>
      <c r="E8341" t="s">
        <v>68</v>
      </c>
      <c r="F8341" s="1">
        <v>2</v>
      </c>
      <c r="G8341" s="1" t="s">
        <v>32</v>
      </c>
      <c r="H8341" s="4" t="str">
        <f>HYPERLINK("https://www.ncbi.nlm.nih.gov/geo/query/acc.cgi?acc=GSM1673311","GSM1673311")</f>
        <v>GSM1673311</v>
      </c>
      <c r="I8341" t="s">
        <v>69</v>
      </c>
      <c r="J8341" t="s">
        <v>18</v>
      </c>
      <c r="K8341" t="s">
        <v>33</v>
      </c>
      <c r="L8341" t="s">
        <v>70</v>
      </c>
      <c r="N8341" t="s">
        <v>29</v>
      </c>
    </row>
    <row r="8342" spans="1:14">
      <c r="A8342" s="4" t="str">
        <f t="shared" si="752"/>
        <v>EXP00273</v>
      </c>
      <c r="B8342" s="3" t="s">
        <v>66</v>
      </c>
      <c r="C8342" s="4" t="str">
        <f t="shared" si="751"/>
        <v>GSE68468</v>
      </c>
      <c r="D8342" s="1" t="s">
        <v>62</v>
      </c>
      <c r="E8342" t="s">
        <v>68</v>
      </c>
      <c r="F8342" s="1">
        <v>2</v>
      </c>
      <c r="G8342" s="1" t="s">
        <v>32</v>
      </c>
      <c r="H8342" s="4" t="str">
        <f>HYPERLINK("https://www.ncbi.nlm.nih.gov/geo/query/acc.cgi?acc=GSM1673312","GSM1673312")</f>
        <v>GSM1673312</v>
      </c>
      <c r="I8342" t="s">
        <v>69</v>
      </c>
      <c r="J8342" t="s">
        <v>18</v>
      </c>
      <c r="K8342" t="s">
        <v>33</v>
      </c>
      <c r="L8342" t="s">
        <v>70</v>
      </c>
      <c r="N8342" t="s">
        <v>29</v>
      </c>
    </row>
    <row r="8343" spans="1:14">
      <c r="A8343" s="4" t="str">
        <f t="shared" si="752"/>
        <v>EXP00273</v>
      </c>
      <c r="B8343" s="3" t="s">
        <v>66</v>
      </c>
      <c r="C8343" s="4" t="str">
        <f t="shared" si="751"/>
        <v>GSE68468</v>
      </c>
      <c r="D8343" s="1" t="s">
        <v>62</v>
      </c>
      <c r="E8343" t="s">
        <v>68</v>
      </c>
      <c r="F8343" s="1">
        <v>2</v>
      </c>
      <c r="G8343" s="1" t="s">
        <v>32</v>
      </c>
      <c r="H8343" s="4" t="str">
        <f>HYPERLINK("https://www.ncbi.nlm.nih.gov/geo/query/acc.cgi?acc=GSM1673313","GSM1673313")</f>
        <v>GSM1673313</v>
      </c>
      <c r="I8343" t="s">
        <v>69</v>
      </c>
      <c r="J8343" t="s">
        <v>18</v>
      </c>
      <c r="K8343" t="s">
        <v>33</v>
      </c>
      <c r="L8343" t="s">
        <v>70</v>
      </c>
      <c r="N8343" t="s">
        <v>29</v>
      </c>
    </row>
    <row r="8344" spans="1:14">
      <c r="A8344" s="4" t="str">
        <f t="shared" si="752"/>
        <v>EXP00273</v>
      </c>
      <c r="B8344" s="3" t="s">
        <v>66</v>
      </c>
      <c r="C8344" s="4" t="str">
        <f t="shared" si="751"/>
        <v>GSE68468</v>
      </c>
      <c r="D8344" s="1" t="s">
        <v>62</v>
      </c>
      <c r="E8344" t="s">
        <v>68</v>
      </c>
      <c r="F8344" s="1">
        <v>2</v>
      </c>
      <c r="G8344" s="1" t="s">
        <v>32</v>
      </c>
      <c r="H8344" s="4" t="str">
        <f>HYPERLINK("https://www.ncbi.nlm.nih.gov/geo/query/acc.cgi?acc=GSM1673314","GSM1673314")</f>
        <v>GSM1673314</v>
      </c>
      <c r="I8344" t="s">
        <v>69</v>
      </c>
      <c r="J8344" t="s">
        <v>18</v>
      </c>
      <c r="K8344" t="s">
        <v>33</v>
      </c>
      <c r="L8344" t="s">
        <v>70</v>
      </c>
      <c r="N8344" t="s">
        <v>29</v>
      </c>
    </row>
    <row r="8345" spans="1:14">
      <c r="A8345" s="4" t="str">
        <f t="shared" si="752"/>
        <v>EXP00273</v>
      </c>
      <c r="B8345" s="3" t="s">
        <v>66</v>
      </c>
      <c r="C8345" s="4" t="str">
        <f t="shared" si="751"/>
        <v>GSE68468</v>
      </c>
      <c r="D8345" s="1" t="s">
        <v>62</v>
      </c>
      <c r="E8345" t="s">
        <v>68</v>
      </c>
      <c r="F8345" s="1">
        <v>2</v>
      </c>
      <c r="G8345" s="1" t="s">
        <v>32</v>
      </c>
      <c r="H8345" s="4" t="str">
        <f>HYPERLINK("https://www.ncbi.nlm.nih.gov/geo/query/acc.cgi?acc=GSM1673315","GSM1673315")</f>
        <v>GSM1673315</v>
      </c>
      <c r="I8345" t="s">
        <v>69</v>
      </c>
      <c r="J8345" t="s">
        <v>18</v>
      </c>
      <c r="K8345" t="s">
        <v>33</v>
      </c>
      <c r="L8345" t="s">
        <v>70</v>
      </c>
      <c r="N8345" t="s">
        <v>29</v>
      </c>
    </row>
    <row r="8346" spans="1:14">
      <c r="A8346" s="4" t="str">
        <f t="shared" si="752"/>
        <v>EXP00273</v>
      </c>
      <c r="B8346" s="3" t="s">
        <v>66</v>
      </c>
      <c r="C8346" s="4" t="str">
        <f t="shared" si="751"/>
        <v>GSE68468</v>
      </c>
      <c r="D8346" s="1" t="s">
        <v>62</v>
      </c>
      <c r="E8346" t="s">
        <v>68</v>
      </c>
      <c r="F8346" s="1">
        <v>2</v>
      </c>
      <c r="G8346" s="1" t="s">
        <v>32</v>
      </c>
      <c r="H8346" s="4" t="str">
        <f>HYPERLINK("https://www.ncbi.nlm.nih.gov/geo/query/acc.cgi?acc=GSM1673318","GSM1673318")</f>
        <v>GSM1673318</v>
      </c>
      <c r="I8346" t="s">
        <v>69</v>
      </c>
      <c r="J8346" t="s">
        <v>18</v>
      </c>
      <c r="K8346" t="s">
        <v>33</v>
      </c>
      <c r="L8346" t="s">
        <v>70</v>
      </c>
      <c r="N8346" t="s">
        <v>29</v>
      </c>
    </row>
    <row r="8347" spans="1:14">
      <c r="A8347" s="4" t="str">
        <f t="shared" si="752"/>
        <v>EXP00273</v>
      </c>
      <c r="B8347" s="3" t="s">
        <v>66</v>
      </c>
      <c r="C8347" s="4" t="str">
        <f t="shared" si="751"/>
        <v>GSE68468</v>
      </c>
      <c r="D8347" s="1" t="s">
        <v>62</v>
      </c>
      <c r="E8347" t="s">
        <v>68</v>
      </c>
      <c r="F8347" s="1">
        <v>2</v>
      </c>
      <c r="G8347" s="1" t="s">
        <v>32</v>
      </c>
      <c r="H8347" s="4" t="str">
        <f>HYPERLINK("https://www.ncbi.nlm.nih.gov/geo/query/acc.cgi?acc=GSM1673321","GSM1673321")</f>
        <v>GSM1673321</v>
      </c>
      <c r="I8347" t="s">
        <v>69</v>
      </c>
      <c r="J8347" t="s">
        <v>18</v>
      </c>
      <c r="K8347" t="s">
        <v>33</v>
      </c>
      <c r="L8347" t="s">
        <v>70</v>
      </c>
      <c r="N8347" t="s">
        <v>29</v>
      </c>
    </row>
    <row r="8348" spans="1:14">
      <c r="A8348" s="4" t="str">
        <f t="shared" si="752"/>
        <v>EXP00273</v>
      </c>
      <c r="B8348" s="3" t="s">
        <v>66</v>
      </c>
      <c r="C8348" s="4" t="str">
        <f t="shared" si="751"/>
        <v>GSE68468</v>
      </c>
      <c r="D8348" s="1" t="s">
        <v>62</v>
      </c>
      <c r="E8348" t="s">
        <v>68</v>
      </c>
      <c r="F8348" s="1">
        <v>2</v>
      </c>
      <c r="G8348" s="1" t="s">
        <v>32</v>
      </c>
      <c r="H8348" s="4" t="str">
        <f>HYPERLINK("https://www.ncbi.nlm.nih.gov/geo/query/acc.cgi?acc=GSM1673322","GSM1673322")</f>
        <v>GSM1673322</v>
      </c>
      <c r="I8348" t="s">
        <v>69</v>
      </c>
      <c r="J8348" t="s">
        <v>18</v>
      </c>
      <c r="K8348" t="s">
        <v>33</v>
      </c>
      <c r="L8348" t="s">
        <v>70</v>
      </c>
      <c r="N8348" t="s">
        <v>29</v>
      </c>
    </row>
    <row r="8349" spans="1:14">
      <c r="A8349" s="4" t="str">
        <f t="shared" si="752"/>
        <v>EXP00273</v>
      </c>
      <c r="B8349" s="3" t="s">
        <v>66</v>
      </c>
      <c r="C8349" s="4" t="str">
        <f t="shared" si="751"/>
        <v>GSE68468</v>
      </c>
      <c r="D8349" s="1" t="s">
        <v>62</v>
      </c>
      <c r="E8349" t="s">
        <v>68</v>
      </c>
      <c r="F8349" s="1">
        <v>2</v>
      </c>
      <c r="G8349" s="1" t="s">
        <v>32</v>
      </c>
      <c r="H8349" s="4" t="str">
        <f>HYPERLINK("https://www.ncbi.nlm.nih.gov/geo/query/acc.cgi?acc=GSM1673324","GSM1673324")</f>
        <v>GSM1673324</v>
      </c>
      <c r="I8349" t="s">
        <v>69</v>
      </c>
      <c r="J8349" t="s">
        <v>18</v>
      </c>
      <c r="K8349" t="s">
        <v>33</v>
      </c>
      <c r="L8349" t="s">
        <v>70</v>
      </c>
      <c r="N8349" t="s">
        <v>29</v>
      </c>
    </row>
    <row r="8350" spans="1:14">
      <c r="A8350" s="4" t="str">
        <f t="shared" si="752"/>
        <v>EXP00273</v>
      </c>
      <c r="B8350" s="3" t="s">
        <v>66</v>
      </c>
      <c r="C8350" s="4" t="str">
        <f t="shared" si="751"/>
        <v>GSE68468</v>
      </c>
      <c r="D8350" s="1" t="s">
        <v>62</v>
      </c>
      <c r="E8350" t="s">
        <v>68</v>
      </c>
      <c r="F8350" s="1">
        <v>2</v>
      </c>
      <c r="G8350" s="1" t="s">
        <v>32</v>
      </c>
      <c r="H8350" s="4" t="str">
        <f>HYPERLINK("https://www.ncbi.nlm.nih.gov/geo/query/acc.cgi?acc=GSM1673325","GSM1673325")</f>
        <v>GSM1673325</v>
      </c>
      <c r="I8350" t="s">
        <v>69</v>
      </c>
      <c r="J8350" t="s">
        <v>18</v>
      </c>
      <c r="K8350" t="s">
        <v>33</v>
      </c>
      <c r="L8350" t="s">
        <v>70</v>
      </c>
      <c r="N8350" t="s">
        <v>29</v>
      </c>
    </row>
    <row r="8351" spans="1:14">
      <c r="A8351" s="4" t="str">
        <f t="shared" si="752"/>
        <v>EXP00273</v>
      </c>
      <c r="B8351" s="3" t="s">
        <v>66</v>
      </c>
      <c r="C8351" s="4" t="str">
        <f t="shared" si="751"/>
        <v>GSE68468</v>
      </c>
      <c r="D8351" s="1" t="s">
        <v>62</v>
      </c>
      <c r="E8351" t="s">
        <v>68</v>
      </c>
      <c r="F8351" s="1">
        <v>2</v>
      </c>
      <c r="G8351" s="1" t="s">
        <v>32</v>
      </c>
      <c r="H8351" s="4" t="str">
        <f>HYPERLINK("https://www.ncbi.nlm.nih.gov/geo/query/acc.cgi?acc=GSM1673329","GSM1673329")</f>
        <v>GSM1673329</v>
      </c>
      <c r="I8351" t="s">
        <v>69</v>
      </c>
      <c r="J8351" t="s">
        <v>18</v>
      </c>
      <c r="K8351" t="s">
        <v>33</v>
      </c>
      <c r="L8351" t="s">
        <v>70</v>
      </c>
      <c r="N8351" t="s">
        <v>29</v>
      </c>
    </row>
    <row r="8352" spans="1:14">
      <c r="A8352" s="4" t="str">
        <f t="shared" si="752"/>
        <v>EXP00273</v>
      </c>
      <c r="B8352" s="3" t="s">
        <v>66</v>
      </c>
      <c r="C8352" s="4" t="str">
        <f t="shared" si="751"/>
        <v>GSE68468</v>
      </c>
      <c r="D8352" s="1" t="s">
        <v>62</v>
      </c>
      <c r="E8352" t="s">
        <v>68</v>
      </c>
      <c r="F8352" s="1">
        <v>2</v>
      </c>
      <c r="G8352" s="1" t="s">
        <v>32</v>
      </c>
      <c r="H8352" s="4" t="str">
        <f>HYPERLINK("https://www.ncbi.nlm.nih.gov/geo/query/acc.cgi?acc=GSM1673330","GSM1673330")</f>
        <v>GSM1673330</v>
      </c>
      <c r="I8352" t="s">
        <v>69</v>
      </c>
      <c r="J8352" t="s">
        <v>18</v>
      </c>
      <c r="K8352" t="s">
        <v>33</v>
      </c>
      <c r="L8352" t="s">
        <v>70</v>
      </c>
      <c r="N8352" t="s">
        <v>29</v>
      </c>
    </row>
    <row r="8353" spans="1:14">
      <c r="A8353" s="4" t="str">
        <f t="shared" si="752"/>
        <v>EXP00273</v>
      </c>
      <c r="B8353" s="3" t="s">
        <v>66</v>
      </c>
      <c r="C8353" s="4" t="str">
        <f t="shared" si="751"/>
        <v>GSE68468</v>
      </c>
      <c r="D8353" s="1" t="s">
        <v>62</v>
      </c>
      <c r="E8353" t="s">
        <v>68</v>
      </c>
      <c r="F8353" s="1">
        <v>2</v>
      </c>
      <c r="G8353" s="1" t="s">
        <v>32</v>
      </c>
      <c r="H8353" s="4" t="str">
        <f>HYPERLINK("https://www.ncbi.nlm.nih.gov/geo/query/acc.cgi?acc=GSM1673331","GSM1673331")</f>
        <v>GSM1673331</v>
      </c>
      <c r="I8353" t="s">
        <v>69</v>
      </c>
      <c r="J8353" t="s">
        <v>18</v>
      </c>
      <c r="K8353" t="s">
        <v>33</v>
      </c>
      <c r="L8353" t="s">
        <v>70</v>
      </c>
      <c r="N8353" t="s">
        <v>29</v>
      </c>
    </row>
    <row r="8354" spans="1:14">
      <c r="A8354" s="4" t="str">
        <f t="shared" si="752"/>
        <v>EXP00273</v>
      </c>
      <c r="B8354" s="3" t="s">
        <v>66</v>
      </c>
      <c r="C8354" s="4" t="str">
        <f t="shared" si="751"/>
        <v>GSE68468</v>
      </c>
      <c r="D8354" s="1" t="s">
        <v>62</v>
      </c>
      <c r="E8354" t="s">
        <v>68</v>
      </c>
      <c r="F8354" s="1">
        <v>2</v>
      </c>
      <c r="G8354" s="1" t="s">
        <v>32</v>
      </c>
      <c r="H8354" s="4" t="str">
        <f>HYPERLINK("https://www.ncbi.nlm.nih.gov/geo/query/acc.cgi?acc=GSM1673333","GSM1673333")</f>
        <v>GSM1673333</v>
      </c>
      <c r="I8354" t="s">
        <v>69</v>
      </c>
      <c r="J8354" t="s">
        <v>18</v>
      </c>
      <c r="K8354" t="s">
        <v>33</v>
      </c>
      <c r="L8354" t="s">
        <v>70</v>
      </c>
      <c r="N8354" t="s">
        <v>29</v>
      </c>
    </row>
    <row r="8355" spans="1:14">
      <c r="A8355" s="4" t="str">
        <f t="shared" si="752"/>
        <v>EXP00273</v>
      </c>
      <c r="B8355" s="3" t="s">
        <v>66</v>
      </c>
      <c r="C8355" s="4" t="str">
        <f t="shared" si="751"/>
        <v>GSE68468</v>
      </c>
      <c r="D8355" s="1" t="s">
        <v>62</v>
      </c>
      <c r="E8355" t="s">
        <v>68</v>
      </c>
      <c r="F8355" s="1">
        <v>2</v>
      </c>
      <c r="G8355" s="1" t="s">
        <v>32</v>
      </c>
      <c r="H8355" s="4" t="str">
        <f>HYPERLINK("https://www.ncbi.nlm.nih.gov/geo/query/acc.cgi?acc=GSM1673335","GSM1673335")</f>
        <v>GSM1673335</v>
      </c>
      <c r="I8355" t="s">
        <v>69</v>
      </c>
      <c r="J8355" t="s">
        <v>18</v>
      </c>
      <c r="K8355" t="s">
        <v>33</v>
      </c>
      <c r="L8355" t="s">
        <v>70</v>
      </c>
      <c r="N8355" t="s">
        <v>29</v>
      </c>
    </row>
    <row r="8356" spans="1:14">
      <c r="A8356" s="4" t="str">
        <f t="shared" si="752"/>
        <v>EXP00273</v>
      </c>
      <c r="B8356" s="3" t="s">
        <v>66</v>
      </c>
      <c r="C8356" s="4" t="str">
        <f t="shared" si="751"/>
        <v>GSE68468</v>
      </c>
      <c r="D8356" s="1" t="s">
        <v>62</v>
      </c>
      <c r="E8356" t="s">
        <v>68</v>
      </c>
      <c r="F8356" s="1">
        <v>2</v>
      </c>
      <c r="G8356" s="1" t="s">
        <v>32</v>
      </c>
      <c r="H8356" s="4" t="str">
        <f>HYPERLINK("https://www.ncbi.nlm.nih.gov/geo/query/acc.cgi?acc=GSM1673336","GSM1673336")</f>
        <v>GSM1673336</v>
      </c>
      <c r="I8356" t="s">
        <v>69</v>
      </c>
      <c r="J8356" t="s">
        <v>18</v>
      </c>
      <c r="K8356" t="s">
        <v>33</v>
      </c>
      <c r="L8356" t="s">
        <v>70</v>
      </c>
      <c r="N8356" t="s">
        <v>29</v>
      </c>
    </row>
    <row r="8357" spans="1:14">
      <c r="A8357" s="4" t="str">
        <f t="shared" si="752"/>
        <v>EXP00273</v>
      </c>
      <c r="B8357" s="3" t="s">
        <v>66</v>
      </c>
      <c r="C8357" s="4" t="str">
        <f t="shared" si="751"/>
        <v>GSE68468</v>
      </c>
      <c r="D8357" s="1" t="s">
        <v>62</v>
      </c>
      <c r="E8357" t="s">
        <v>68</v>
      </c>
      <c r="F8357" s="1">
        <v>2</v>
      </c>
      <c r="G8357" s="1" t="s">
        <v>32</v>
      </c>
      <c r="H8357" s="4" t="str">
        <f>HYPERLINK("https://www.ncbi.nlm.nih.gov/geo/query/acc.cgi?acc=GSM1673340","GSM1673340")</f>
        <v>GSM1673340</v>
      </c>
      <c r="I8357" t="s">
        <v>69</v>
      </c>
      <c r="J8357" t="s">
        <v>18</v>
      </c>
      <c r="K8357" t="s">
        <v>33</v>
      </c>
      <c r="L8357" t="s">
        <v>70</v>
      </c>
      <c r="N8357" t="s">
        <v>29</v>
      </c>
    </row>
    <row r="8358" spans="1:14">
      <c r="A8358" s="4" t="str">
        <f t="shared" si="752"/>
        <v>EXP00273</v>
      </c>
      <c r="B8358" s="3" t="s">
        <v>66</v>
      </c>
      <c r="C8358" s="4" t="str">
        <f t="shared" si="751"/>
        <v>GSE68468</v>
      </c>
      <c r="D8358" s="1" t="s">
        <v>62</v>
      </c>
      <c r="E8358" t="s">
        <v>68</v>
      </c>
      <c r="F8358" s="1">
        <v>2</v>
      </c>
      <c r="G8358" s="1" t="s">
        <v>32</v>
      </c>
      <c r="H8358" s="4" t="str">
        <f>HYPERLINK("https://www.ncbi.nlm.nih.gov/geo/query/acc.cgi?acc=GSM1673341","GSM1673341")</f>
        <v>GSM1673341</v>
      </c>
      <c r="I8358" t="s">
        <v>69</v>
      </c>
      <c r="J8358" t="s">
        <v>18</v>
      </c>
      <c r="K8358" t="s">
        <v>33</v>
      </c>
      <c r="L8358" t="s">
        <v>70</v>
      </c>
      <c r="N8358" t="s">
        <v>29</v>
      </c>
    </row>
    <row r="8359" spans="1:14">
      <c r="A8359" s="4" t="str">
        <f t="shared" si="752"/>
        <v>EXP00273</v>
      </c>
      <c r="B8359" s="3" t="s">
        <v>66</v>
      </c>
      <c r="C8359" s="4" t="str">
        <f t="shared" si="751"/>
        <v>GSE68468</v>
      </c>
      <c r="D8359" s="1" t="s">
        <v>62</v>
      </c>
      <c r="E8359" t="s">
        <v>68</v>
      </c>
      <c r="F8359" s="1">
        <v>2</v>
      </c>
      <c r="G8359" s="1" t="s">
        <v>32</v>
      </c>
      <c r="H8359" s="4" t="str">
        <f>HYPERLINK("https://www.ncbi.nlm.nih.gov/geo/query/acc.cgi?acc=GSM1673343","GSM1673343")</f>
        <v>GSM1673343</v>
      </c>
      <c r="I8359" t="s">
        <v>69</v>
      </c>
      <c r="J8359" t="s">
        <v>18</v>
      </c>
      <c r="K8359" t="s">
        <v>33</v>
      </c>
      <c r="L8359" t="s">
        <v>70</v>
      </c>
      <c r="N8359" t="s">
        <v>29</v>
      </c>
    </row>
    <row r="8360" spans="1:14">
      <c r="A8360" s="4" t="str">
        <f t="shared" si="752"/>
        <v>EXP00273</v>
      </c>
      <c r="B8360" s="3" t="s">
        <v>66</v>
      </c>
      <c r="C8360" s="4" t="str">
        <f t="shared" si="751"/>
        <v>GSE68468</v>
      </c>
      <c r="D8360" s="1" t="s">
        <v>62</v>
      </c>
      <c r="E8360" t="s">
        <v>68</v>
      </c>
      <c r="F8360" s="1">
        <v>2</v>
      </c>
      <c r="G8360" s="1" t="s">
        <v>32</v>
      </c>
      <c r="H8360" s="4" t="str">
        <f>HYPERLINK("https://www.ncbi.nlm.nih.gov/geo/query/acc.cgi?acc=GSM1673346","GSM1673346")</f>
        <v>GSM1673346</v>
      </c>
      <c r="I8360" t="s">
        <v>69</v>
      </c>
      <c r="J8360" t="s">
        <v>18</v>
      </c>
      <c r="K8360" t="s">
        <v>33</v>
      </c>
      <c r="L8360" t="s">
        <v>70</v>
      </c>
      <c r="N8360" t="s">
        <v>29</v>
      </c>
    </row>
    <row r="8361" spans="1:14">
      <c r="A8361" s="4" t="str">
        <f t="shared" si="752"/>
        <v>EXP00273</v>
      </c>
      <c r="B8361" s="3" t="s">
        <v>66</v>
      </c>
      <c r="C8361" s="4" t="str">
        <f t="shared" si="751"/>
        <v>GSE68468</v>
      </c>
      <c r="D8361" s="1" t="s">
        <v>62</v>
      </c>
      <c r="E8361" t="s">
        <v>68</v>
      </c>
      <c r="F8361" s="1">
        <v>2</v>
      </c>
      <c r="G8361" s="1" t="s">
        <v>32</v>
      </c>
      <c r="H8361" s="4" t="str">
        <f>HYPERLINK("https://www.ncbi.nlm.nih.gov/geo/query/acc.cgi?acc=GSM1673350","GSM1673350")</f>
        <v>GSM1673350</v>
      </c>
      <c r="I8361" t="s">
        <v>69</v>
      </c>
      <c r="J8361" t="s">
        <v>18</v>
      </c>
      <c r="K8361" t="s">
        <v>33</v>
      </c>
      <c r="L8361" t="s">
        <v>70</v>
      </c>
      <c r="N8361" t="s">
        <v>29</v>
      </c>
    </row>
    <row r="8362" spans="1:14">
      <c r="A8362" s="4" t="str">
        <f t="shared" ref="A8362:A8425" si="753">HYPERLINK("http://hcmdb.i-sanger.com/experiment/details/experiment_id/EXP00274","EXP00274")</f>
        <v>EXP00274</v>
      </c>
      <c r="B8362" s="3" t="s">
        <v>66</v>
      </c>
      <c r="C8362" s="4" t="str">
        <f t="shared" si="751"/>
        <v>GSE68468</v>
      </c>
      <c r="D8362" s="1" t="s">
        <v>62</v>
      </c>
      <c r="E8362" t="s">
        <v>96</v>
      </c>
      <c r="F8362" s="1">
        <v>1</v>
      </c>
      <c r="G8362" s="1" t="s">
        <v>36</v>
      </c>
      <c r="H8362" s="4" t="str">
        <f>HYPERLINK("https://www.ncbi.nlm.nih.gov/geo/query/acc.cgi?acc=GSM1672962","GSM1672962")</f>
        <v>GSM1672962</v>
      </c>
      <c r="I8362" t="s">
        <v>69</v>
      </c>
      <c r="J8362" t="s">
        <v>18</v>
      </c>
      <c r="K8362" t="s">
        <v>33</v>
      </c>
      <c r="L8362" t="s">
        <v>70</v>
      </c>
      <c r="N8362" t="s">
        <v>37</v>
      </c>
    </row>
    <row r="8363" spans="1:14">
      <c r="A8363" s="4" t="str">
        <f t="shared" si="753"/>
        <v>EXP00274</v>
      </c>
      <c r="B8363" s="3" t="s">
        <v>66</v>
      </c>
      <c r="C8363" s="4" t="str">
        <f t="shared" si="751"/>
        <v>GSE68468</v>
      </c>
      <c r="D8363" s="1" t="s">
        <v>62</v>
      </c>
      <c r="E8363" t="s">
        <v>96</v>
      </c>
      <c r="F8363" s="1">
        <v>1</v>
      </c>
      <c r="G8363" s="1" t="s">
        <v>36</v>
      </c>
      <c r="H8363" s="4" t="str">
        <f>HYPERLINK("https://www.ncbi.nlm.nih.gov/geo/query/acc.cgi?acc=GSM1672969","GSM1672969")</f>
        <v>GSM1672969</v>
      </c>
      <c r="I8363" t="s">
        <v>69</v>
      </c>
      <c r="J8363" t="s">
        <v>18</v>
      </c>
      <c r="K8363" t="s">
        <v>33</v>
      </c>
      <c r="L8363" t="s">
        <v>70</v>
      </c>
      <c r="N8363" t="s">
        <v>37</v>
      </c>
    </row>
    <row r="8364" spans="1:14">
      <c r="A8364" s="4" t="str">
        <f t="shared" si="753"/>
        <v>EXP00274</v>
      </c>
      <c r="B8364" s="3" t="s">
        <v>66</v>
      </c>
      <c r="C8364" s="4" t="str">
        <f t="shared" si="751"/>
        <v>GSE68468</v>
      </c>
      <c r="D8364" s="1" t="s">
        <v>62</v>
      </c>
      <c r="E8364" t="s">
        <v>96</v>
      </c>
      <c r="F8364" s="1">
        <v>1</v>
      </c>
      <c r="G8364" s="1" t="s">
        <v>36</v>
      </c>
      <c r="H8364" s="4" t="str">
        <f>HYPERLINK("https://www.ncbi.nlm.nih.gov/geo/query/acc.cgi?acc=GSM1672978","GSM1672978")</f>
        <v>GSM1672978</v>
      </c>
      <c r="I8364" t="s">
        <v>69</v>
      </c>
      <c r="J8364" t="s">
        <v>18</v>
      </c>
      <c r="K8364" t="s">
        <v>33</v>
      </c>
      <c r="L8364" t="s">
        <v>70</v>
      </c>
      <c r="N8364" t="s">
        <v>37</v>
      </c>
    </row>
    <row r="8365" spans="1:14">
      <c r="A8365" s="4" t="str">
        <f t="shared" si="753"/>
        <v>EXP00274</v>
      </c>
      <c r="B8365" s="3" t="s">
        <v>66</v>
      </c>
      <c r="C8365" s="4" t="str">
        <f t="shared" si="751"/>
        <v>GSE68468</v>
      </c>
      <c r="D8365" s="1" t="s">
        <v>62</v>
      </c>
      <c r="E8365" t="s">
        <v>96</v>
      </c>
      <c r="F8365" s="1">
        <v>1</v>
      </c>
      <c r="G8365" s="1" t="s">
        <v>36</v>
      </c>
      <c r="H8365" s="4" t="str">
        <f>HYPERLINK("https://www.ncbi.nlm.nih.gov/geo/query/acc.cgi?acc=GSM1672986","GSM1672986")</f>
        <v>GSM1672986</v>
      </c>
      <c r="I8365" t="s">
        <v>69</v>
      </c>
      <c r="J8365" t="s">
        <v>18</v>
      </c>
      <c r="K8365" t="s">
        <v>33</v>
      </c>
      <c r="L8365" t="s">
        <v>70</v>
      </c>
      <c r="N8365" t="s">
        <v>37</v>
      </c>
    </row>
    <row r="8366" spans="1:14">
      <c r="A8366" s="4" t="str">
        <f t="shared" si="753"/>
        <v>EXP00274</v>
      </c>
      <c r="B8366" s="3" t="s">
        <v>66</v>
      </c>
      <c r="C8366" s="4" t="str">
        <f t="shared" si="751"/>
        <v>GSE68468</v>
      </c>
      <c r="D8366" s="1" t="s">
        <v>62</v>
      </c>
      <c r="E8366" t="s">
        <v>96</v>
      </c>
      <c r="F8366" s="1">
        <v>1</v>
      </c>
      <c r="G8366" s="1" t="s">
        <v>36</v>
      </c>
      <c r="H8366" s="4" t="str">
        <f>HYPERLINK("https://www.ncbi.nlm.nih.gov/geo/query/acc.cgi?acc=GSM1672997","GSM1672997")</f>
        <v>GSM1672997</v>
      </c>
      <c r="I8366" t="s">
        <v>69</v>
      </c>
      <c r="J8366" t="s">
        <v>18</v>
      </c>
      <c r="K8366" t="s">
        <v>33</v>
      </c>
      <c r="L8366" t="s">
        <v>70</v>
      </c>
      <c r="N8366" t="s">
        <v>37</v>
      </c>
    </row>
    <row r="8367" spans="1:14">
      <c r="A8367" s="4" t="str">
        <f t="shared" si="753"/>
        <v>EXP00274</v>
      </c>
      <c r="B8367" s="3" t="s">
        <v>66</v>
      </c>
      <c r="C8367" s="4" t="str">
        <f t="shared" si="751"/>
        <v>GSE68468</v>
      </c>
      <c r="D8367" s="1" t="s">
        <v>62</v>
      </c>
      <c r="E8367" t="s">
        <v>96</v>
      </c>
      <c r="F8367" s="1">
        <v>1</v>
      </c>
      <c r="G8367" s="1" t="s">
        <v>36</v>
      </c>
      <c r="H8367" s="4" t="str">
        <f>HYPERLINK("https://www.ncbi.nlm.nih.gov/geo/query/acc.cgi?acc=GSM1673001","GSM1673001")</f>
        <v>GSM1673001</v>
      </c>
      <c r="I8367" t="s">
        <v>69</v>
      </c>
      <c r="J8367" t="s">
        <v>18</v>
      </c>
      <c r="K8367" t="s">
        <v>33</v>
      </c>
      <c r="L8367" t="s">
        <v>70</v>
      </c>
      <c r="N8367" t="s">
        <v>37</v>
      </c>
    </row>
    <row r="8368" spans="1:14">
      <c r="A8368" s="4" t="str">
        <f t="shared" si="753"/>
        <v>EXP00274</v>
      </c>
      <c r="B8368" s="3" t="s">
        <v>66</v>
      </c>
      <c r="C8368" s="4" t="str">
        <f t="shared" si="751"/>
        <v>GSE68468</v>
      </c>
      <c r="D8368" s="1" t="s">
        <v>62</v>
      </c>
      <c r="E8368" t="s">
        <v>96</v>
      </c>
      <c r="F8368" s="1">
        <v>1</v>
      </c>
      <c r="G8368" s="1" t="s">
        <v>36</v>
      </c>
      <c r="H8368" s="4" t="str">
        <f>HYPERLINK("https://www.ncbi.nlm.nih.gov/geo/query/acc.cgi?acc=GSM1673013","GSM1673013")</f>
        <v>GSM1673013</v>
      </c>
      <c r="I8368" t="s">
        <v>69</v>
      </c>
      <c r="J8368" t="s">
        <v>18</v>
      </c>
      <c r="K8368" t="s">
        <v>33</v>
      </c>
      <c r="L8368" t="s">
        <v>70</v>
      </c>
      <c r="N8368" t="s">
        <v>37</v>
      </c>
    </row>
    <row r="8369" spans="1:14">
      <c r="A8369" s="4" t="str">
        <f t="shared" si="753"/>
        <v>EXP00274</v>
      </c>
      <c r="B8369" s="3" t="s">
        <v>66</v>
      </c>
      <c r="C8369" s="4" t="str">
        <f t="shared" si="751"/>
        <v>GSE68468</v>
      </c>
      <c r="D8369" s="1" t="s">
        <v>62</v>
      </c>
      <c r="E8369" t="s">
        <v>96</v>
      </c>
      <c r="F8369" s="1">
        <v>1</v>
      </c>
      <c r="G8369" s="1" t="s">
        <v>36</v>
      </c>
      <c r="H8369" s="4" t="str">
        <f>HYPERLINK("https://www.ncbi.nlm.nih.gov/geo/query/acc.cgi?acc=GSM1673026","GSM1673026")</f>
        <v>GSM1673026</v>
      </c>
      <c r="I8369" t="s">
        <v>69</v>
      </c>
      <c r="J8369" t="s">
        <v>18</v>
      </c>
      <c r="K8369" t="s">
        <v>33</v>
      </c>
      <c r="L8369" t="s">
        <v>70</v>
      </c>
      <c r="N8369" t="s">
        <v>37</v>
      </c>
    </row>
    <row r="8370" spans="1:14">
      <c r="A8370" s="4" t="str">
        <f t="shared" si="753"/>
        <v>EXP00274</v>
      </c>
      <c r="B8370" s="3" t="s">
        <v>66</v>
      </c>
      <c r="C8370" s="4" t="str">
        <f t="shared" si="751"/>
        <v>GSE68468</v>
      </c>
      <c r="D8370" s="1" t="s">
        <v>62</v>
      </c>
      <c r="E8370" t="s">
        <v>96</v>
      </c>
      <c r="F8370" s="1">
        <v>1</v>
      </c>
      <c r="G8370" s="1" t="s">
        <v>36</v>
      </c>
      <c r="H8370" s="4" t="str">
        <f>HYPERLINK("https://www.ncbi.nlm.nih.gov/geo/query/acc.cgi?acc=GSM1673029","GSM1673029")</f>
        <v>GSM1673029</v>
      </c>
      <c r="I8370" t="s">
        <v>69</v>
      </c>
      <c r="J8370" t="s">
        <v>18</v>
      </c>
      <c r="K8370" t="s">
        <v>33</v>
      </c>
      <c r="L8370" t="s">
        <v>70</v>
      </c>
      <c r="N8370" t="s">
        <v>37</v>
      </c>
    </row>
    <row r="8371" spans="1:14">
      <c r="A8371" s="4" t="str">
        <f t="shared" si="753"/>
        <v>EXP00274</v>
      </c>
      <c r="B8371" s="3" t="s">
        <v>66</v>
      </c>
      <c r="C8371" s="4" t="str">
        <f t="shared" si="751"/>
        <v>GSE68468</v>
      </c>
      <c r="D8371" s="1" t="s">
        <v>62</v>
      </c>
      <c r="E8371" t="s">
        <v>96</v>
      </c>
      <c r="F8371" s="1">
        <v>1</v>
      </c>
      <c r="G8371" s="1" t="s">
        <v>36</v>
      </c>
      <c r="H8371" s="4" t="str">
        <f>HYPERLINK("https://www.ncbi.nlm.nih.gov/geo/query/acc.cgi?acc=GSM1673032","GSM1673032")</f>
        <v>GSM1673032</v>
      </c>
      <c r="I8371" t="s">
        <v>69</v>
      </c>
      <c r="J8371" t="s">
        <v>18</v>
      </c>
      <c r="K8371" t="s">
        <v>33</v>
      </c>
      <c r="L8371" t="s">
        <v>70</v>
      </c>
      <c r="N8371" t="s">
        <v>37</v>
      </c>
    </row>
    <row r="8372" spans="1:14">
      <c r="A8372" s="4" t="str">
        <f t="shared" si="753"/>
        <v>EXP00274</v>
      </c>
      <c r="B8372" s="3" t="s">
        <v>66</v>
      </c>
      <c r="C8372" s="4" t="str">
        <f t="shared" si="751"/>
        <v>GSE68468</v>
      </c>
      <c r="D8372" s="1" t="s">
        <v>62</v>
      </c>
      <c r="E8372" t="s">
        <v>96</v>
      </c>
      <c r="F8372" s="1">
        <v>1</v>
      </c>
      <c r="G8372" s="1" t="s">
        <v>36</v>
      </c>
      <c r="H8372" s="4" t="str">
        <f>HYPERLINK("https://www.ncbi.nlm.nih.gov/geo/query/acc.cgi?acc=GSM1673036","GSM1673036")</f>
        <v>GSM1673036</v>
      </c>
      <c r="I8372" t="s">
        <v>69</v>
      </c>
      <c r="J8372" t="s">
        <v>18</v>
      </c>
      <c r="K8372" t="s">
        <v>33</v>
      </c>
      <c r="L8372" t="s">
        <v>70</v>
      </c>
      <c r="N8372" t="s">
        <v>37</v>
      </c>
    </row>
    <row r="8373" spans="1:14">
      <c r="A8373" s="4" t="str">
        <f t="shared" si="753"/>
        <v>EXP00274</v>
      </c>
      <c r="B8373" s="3" t="s">
        <v>66</v>
      </c>
      <c r="C8373" s="4" t="str">
        <f t="shared" ref="C8373:C8436" si="754">HYPERLINK("https://www.ncbi.nlm.nih.gov/geo/query/acc.cgi?acc=GSE68468","GSE68468")</f>
        <v>GSE68468</v>
      </c>
      <c r="D8373" s="1" t="s">
        <v>62</v>
      </c>
      <c r="E8373" t="s">
        <v>96</v>
      </c>
      <c r="F8373" s="1">
        <v>1</v>
      </c>
      <c r="G8373" s="1" t="s">
        <v>36</v>
      </c>
      <c r="H8373" s="4" t="str">
        <f>HYPERLINK("https://www.ncbi.nlm.nih.gov/geo/query/acc.cgi?acc=GSM1673066","GSM1673066")</f>
        <v>GSM1673066</v>
      </c>
      <c r="I8373" t="s">
        <v>69</v>
      </c>
      <c r="J8373" t="s">
        <v>18</v>
      </c>
      <c r="K8373" t="s">
        <v>33</v>
      </c>
      <c r="L8373" t="s">
        <v>70</v>
      </c>
      <c r="N8373" t="s">
        <v>37</v>
      </c>
    </row>
    <row r="8374" spans="1:14">
      <c r="A8374" s="4" t="str">
        <f t="shared" si="753"/>
        <v>EXP00274</v>
      </c>
      <c r="B8374" s="3" t="s">
        <v>66</v>
      </c>
      <c r="C8374" s="4" t="str">
        <f t="shared" si="754"/>
        <v>GSE68468</v>
      </c>
      <c r="D8374" s="1" t="s">
        <v>62</v>
      </c>
      <c r="E8374" t="s">
        <v>96</v>
      </c>
      <c r="F8374" s="1">
        <v>1</v>
      </c>
      <c r="G8374" s="1" t="s">
        <v>36</v>
      </c>
      <c r="H8374" s="4" t="str">
        <f>HYPERLINK("https://www.ncbi.nlm.nih.gov/geo/query/acc.cgi?acc=GSM1673077","GSM1673077")</f>
        <v>GSM1673077</v>
      </c>
      <c r="I8374" t="s">
        <v>69</v>
      </c>
      <c r="J8374" t="s">
        <v>18</v>
      </c>
      <c r="K8374" t="s">
        <v>33</v>
      </c>
      <c r="L8374" t="s">
        <v>70</v>
      </c>
      <c r="N8374" t="s">
        <v>37</v>
      </c>
    </row>
    <row r="8375" spans="1:14">
      <c r="A8375" s="4" t="str">
        <f t="shared" si="753"/>
        <v>EXP00274</v>
      </c>
      <c r="B8375" s="3" t="s">
        <v>66</v>
      </c>
      <c r="C8375" s="4" t="str">
        <f t="shared" si="754"/>
        <v>GSE68468</v>
      </c>
      <c r="D8375" s="1" t="s">
        <v>62</v>
      </c>
      <c r="E8375" t="s">
        <v>96</v>
      </c>
      <c r="F8375" s="1">
        <v>1</v>
      </c>
      <c r="G8375" s="1" t="s">
        <v>36</v>
      </c>
      <c r="H8375" s="4" t="str">
        <f>HYPERLINK("https://www.ncbi.nlm.nih.gov/geo/query/acc.cgi?acc=GSM1673080","GSM1673080")</f>
        <v>GSM1673080</v>
      </c>
      <c r="I8375" t="s">
        <v>69</v>
      </c>
      <c r="J8375" t="s">
        <v>18</v>
      </c>
      <c r="K8375" t="s">
        <v>33</v>
      </c>
      <c r="L8375" t="s">
        <v>70</v>
      </c>
      <c r="N8375" t="s">
        <v>37</v>
      </c>
    </row>
    <row r="8376" spans="1:14">
      <c r="A8376" s="4" t="str">
        <f t="shared" si="753"/>
        <v>EXP00274</v>
      </c>
      <c r="B8376" s="3" t="s">
        <v>66</v>
      </c>
      <c r="C8376" s="4" t="str">
        <f t="shared" si="754"/>
        <v>GSE68468</v>
      </c>
      <c r="D8376" s="1" t="s">
        <v>62</v>
      </c>
      <c r="E8376" t="s">
        <v>96</v>
      </c>
      <c r="F8376" s="1">
        <v>1</v>
      </c>
      <c r="G8376" s="1" t="s">
        <v>36</v>
      </c>
      <c r="H8376" s="4" t="str">
        <f>HYPERLINK("https://www.ncbi.nlm.nih.gov/geo/query/acc.cgi?acc=GSM1673082","GSM1673082")</f>
        <v>GSM1673082</v>
      </c>
      <c r="I8376" t="s">
        <v>69</v>
      </c>
      <c r="J8376" t="s">
        <v>18</v>
      </c>
      <c r="K8376" t="s">
        <v>33</v>
      </c>
      <c r="L8376" t="s">
        <v>70</v>
      </c>
      <c r="N8376" t="s">
        <v>37</v>
      </c>
    </row>
    <row r="8377" spans="1:14">
      <c r="A8377" s="4" t="str">
        <f t="shared" si="753"/>
        <v>EXP00274</v>
      </c>
      <c r="B8377" s="3" t="s">
        <v>66</v>
      </c>
      <c r="C8377" s="4" t="str">
        <f t="shared" si="754"/>
        <v>GSE68468</v>
      </c>
      <c r="D8377" s="1" t="s">
        <v>62</v>
      </c>
      <c r="E8377" t="s">
        <v>96</v>
      </c>
      <c r="F8377" s="1">
        <v>1</v>
      </c>
      <c r="G8377" s="1" t="s">
        <v>36</v>
      </c>
      <c r="H8377" s="4" t="str">
        <f>HYPERLINK("https://www.ncbi.nlm.nih.gov/geo/query/acc.cgi?acc=GSM1673101","GSM1673101")</f>
        <v>GSM1673101</v>
      </c>
      <c r="I8377" t="s">
        <v>69</v>
      </c>
      <c r="J8377" t="s">
        <v>18</v>
      </c>
      <c r="K8377" t="s">
        <v>33</v>
      </c>
      <c r="L8377" t="s">
        <v>70</v>
      </c>
      <c r="N8377" t="s">
        <v>37</v>
      </c>
    </row>
    <row r="8378" spans="1:14">
      <c r="A8378" s="4" t="str">
        <f t="shared" si="753"/>
        <v>EXP00274</v>
      </c>
      <c r="B8378" s="3" t="s">
        <v>66</v>
      </c>
      <c r="C8378" s="4" t="str">
        <f t="shared" si="754"/>
        <v>GSE68468</v>
      </c>
      <c r="D8378" s="1" t="s">
        <v>62</v>
      </c>
      <c r="E8378" t="s">
        <v>96</v>
      </c>
      <c r="F8378" s="1">
        <v>1</v>
      </c>
      <c r="G8378" s="1" t="s">
        <v>36</v>
      </c>
      <c r="H8378" s="4" t="str">
        <f>HYPERLINK("https://www.ncbi.nlm.nih.gov/geo/query/acc.cgi?acc=GSM1673114","GSM1673114")</f>
        <v>GSM1673114</v>
      </c>
      <c r="I8378" t="s">
        <v>69</v>
      </c>
      <c r="J8378" t="s">
        <v>18</v>
      </c>
      <c r="K8378" t="s">
        <v>33</v>
      </c>
      <c r="L8378" t="s">
        <v>70</v>
      </c>
      <c r="N8378" t="s">
        <v>37</v>
      </c>
    </row>
    <row r="8379" spans="1:14">
      <c r="A8379" s="4" t="str">
        <f t="shared" si="753"/>
        <v>EXP00274</v>
      </c>
      <c r="B8379" s="3" t="s">
        <v>66</v>
      </c>
      <c r="C8379" s="4" t="str">
        <f t="shared" si="754"/>
        <v>GSE68468</v>
      </c>
      <c r="D8379" s="1" t="s">
        <v>62</v>
      </c>
      <c r="E8379" t="s">
        <v>96</v>
      </c>
      <c r="F8379" s="1">
        <v>1</v>
      </c>
      <c r="G8379" s="1" t="s">
        <v>36</v>
      </c>
      <c r="H8379" s="4" t="str">
        <f>HYPERLINK("https://www.ncbi.nlm.nih.gov/geo/query/acc.cgi?acc=GSM1673116","GSM1673116")</f>
        <v>GSM1673116</v>
      </c>
      <c r="I8379" t="s">
        <v>69</v>
      </c>
      <c r="J8379" t="s">
        <v>18</v>
      </c>
      <c r="K8379" t="s">
        <v>33</v>
      </c>
      <c r="L8379" t="s">
        <v>70</v>
      </c>
      <c r="N8379" t="s">
        <v>37</v>
      </c>
    </row>
    <row r="8380" spans="1:14">
      <c r="A8380" s="4" t="str">
        <f t="shared" si="753"/>
        <v>EXP00274</v>
      </c>
      <c r="B8380" s="3" t="s">
        <v>66</v>
      </c>
      <c r="C8380" s="4" t="str">
        <f t="shared" si="754"/>
        <v>GSE68468</v>
      </c>
      <c r="D8380" s="1" t="s">
        <v>62</v>
      </c>
      <c r="E8380" t="s">
        <v>96</v>
      </c>
      <c r="F8380" s="1">
        <v>1</v>
      </c>
      <c r="G8380" s="1" t="s">
        <v>36</v>
      </c>
      <c r="H8380" s="4" t="str">
        <f>HYPERLINK("https://www.ncbi.nlm.nih.gov/geo/query/acc.cgi?acc=GSM1673122","GSM1673122")</f>
        <v>GSM1673122</v>
      </c>
      <c r="I8380" t="s">
        <v>69</v>
      </c>
      <c r="J8380" t="s">
        <v>18</v>
      </c>
      <c r="K8380" t="s">
        <v>33</v>
      </c>
      <c r="L8380" t="s">
        <v>70</v>
      </c>
      <c r="N8380" t="s">
        <v>37</v>
      </c>
    </row>
    <row r="8381" spans="1:14">
      <c r="A8381" s="4" t="str">
        <f t="shared" si="753"/>
        <v>EXP00274</v>
      </c>
      <c r="B8381" s="3" t="s">
        <v>66</v>
      </c>
      <c r="C8381" s="4" t="str">
        <f t="shared" si="754"/>
        <v>GSE68468</v>
      </c>
      <c r="D8381" s="1" t="s">
        <v>62</v>
      </c>
      <c r="E8381" t="s">
        <v>96</v>
      </c>
      <c r="F8381" s="1">
        <v>1</v>
      </c>
      <c r="G8381" s="1" t="s">
        <v>36</v>
      </c>
      <c r="H8381" s="4" t="str">
        <f>HYPERLINK("https://www.ncbi.nlm.nih.gov/geo/query/acc.cgi?acc=GSM1673139","GSM1673139")</f>
        <v>GSM1673139</v>
      </c>
      <c r="I8381" t="s">
        <v>69</v>
      </c>
      <c r="J8381" t="s">
        <v>18</v>
      </c>
      <c r="K8381" t="s">
        <v>33</v>
      </c>
      <c r="L8381" t="s">
        <v>70</v>
      </c>
      <c r="N8381" t="s">
        <v>37</v>
      </c>
    </row>
    <row r="8382" spans="1:14">
      <c r="A8382" s="4" t="str">
        <f t="shared" si="753"/>
        <v>EXP00274</v>
      </c>
      <c r="B8382" s="3" t="s">
        <v>66</v>
      </c>
      <c r="C8382" s="4" t="str">
        <f t="shared" si="754"/>
        <v>GSE68468</v>
      </c>
      <c r="D8382" s="1" t="s">
        <v>62</v>
      </c>
      <c r="E8382" t="s">
        <v>96</v>
      </c>
      <c r="F8382" s="1">
        <v>1</v>
      </c>
      <c r="G8382" s="1" t="s">
        <v>36</v>
      </c>
      <c r="H8382" s="4" t="str">
        <f>HYPERLINK("https://www.ncbi.nlm.nih.gov/geo/query/acc.cgi?acc=GSM1673154","GSM1673154")</f>
        <v>GSM1673154</v>
      </c>
      <c r="I8382" t="s">
        <v>69</v>
      </c>
      <c r="J8382" t="s">
        <v>18</v>
      </c>
      <c r="K8382" t="s">
        <v>33</v>
      </c>
      <c r="L8382" t="s">
        <v>70</v>
      </c>
      <c r="N8382" t="s">
        <v>37</v>
      </c>
    </row>
    <row r="8383" spans="1:14">
      <c r="A8383" s="4" t="str">
        <f t="shared" si="753"/>
        <v>EXP00274</v>
      </c>
      <c r="B8383" s="3" t="s">
        <v>66</v>
      </c>
      <c r="C8383" s="4" t="str">
        <f t="shared" si="754"/>
        <v>GSE68468</v>
      </c>
      <c r="D8383" s="1" t="s">
        <v>62</v>
      </c>
      <c r="E8383" t="s">
        <v>96</v>
      </c>
      <c r="F8383" s="1">
        <v>1</v>
      </c>
      <c r="G8383" s="1" t="s">
        <v>36</v>
      </c>
      <c r="H8383" s="4" t="str">
        <f>HYPERLINK("https://www.ncbi.nlm.nih.gov/geo/query/acc.cgi?acc=GSM1673158","GSM1673158")</f>
        <v>GSM1673158</v>
      </c>
      <c r="I8383" t="s">
        <v>69</v>
      </c>
      <c r="J8383" t="s">
        <v>18</v>
      </c>
      <c r="K8383" t="s">
        <v>33</v>
      </c>
      <c r="L8383" t="s">
        <v>70</v>
      </c>
      <c r="N8383" t="s">
        <v>37</v>
      </c>
    </row>
    <row r="8384" spans="1:14">
      <c r="A8384" s="4" t="str">
        <f t="shared" si="753"/>
        <v>EXP00274</v>
      </c>
      <c r="B8384" s="3" t="s">
        <v>66</v>
      </c>
      <c r="C8384" s="4" t="str">
        <f t="shared" si="754"/>
        <v>GSE68468</v>
      </c>
      <c r="D8384" s="1" t="s">
        <v>62</v>
      </c>
      <c r="E8384" t="s">
        <v>96</v>
      </c>
      <c r="F8384" s="1">
        <v>1</v>
      </c>
      <c r="G8384" s="1" t="s">
        <v>36</v>
      </c>
      <c r="H8384" s="4" t="str">
        <f>HYPERLINK("https://www.ncbi.nlm.nih.gov/geo/query/acc.cgi?acc=GSM1673164","GSM1673164")</f>
        <v>GSM1673164</v>
      </c>
      <c r="I8384" t="s">
        <v>69</v>
      </c>
      <c r="J8384" t="s">
        <v>18</v>
      </c>
      <c r="K8384" t="s">
        <v>33</v>
      </c>
      <c r="L8384" t="s">
        <v>70</v>
      </c>
      <c r="N8384" t="s">
        <v>37</v>
      </c>
    </row>
    <row r="8385" spans="1:14">
      <c r="A8385" s="4" t="str">
        <f t="shared" si="753"/>
        <v>EXP00274</v>
      </c>
      <c r="B8385" s="3" t="s">
        <v>66</v>
      </c>
      <c r="C8385" s="4" t="str">
        <f t="shared" si="754"/>
        <v>GSE68468</v>
      </c>
      <c r="D8385" s="1" t="s">
        <v>62</v>
      </c>
      <c r="E8385" t="s">
        <v>96</v>
      </c>
      <c r="F8385" s="1">
        <v>1</v>
      </c>
      <c r="G8385" s="1" t="s">
        <v>36</v>
      </c>
      <c r="H8385" s="4" t="str">
        <f>HYPERLINK("https://www.ncbi.nlm.nih.gov/geo/query/acc.cgi?acc=GSM1673175","GSM1673175")</f>
        <v>GSM1673175</v>
      </c>
      <c r="I8385" t="s">
        <v>69</v>
      </c>
      <c r="J8385" t="s">
        <v>18</v>
      </c>
      <c r="K8385" t="s">
        <v>33</v>
      </c>
      <c r="L8385" t="s">
        <v>70</v>
      </c>
      <c r="N8385" t="s">
        <v>37</v>
      </c>
    </row>
    <row r="8386" spans="1:14">
      <c r="A8386" s="4" t="str">
        <f t="shared" si="753"/>
        <v>EXP00274</v>
      </c>
      <c r="B8386" s="3" t="s">
        <v>66</v>
      </c>
      <c r="C8386" s="4" t="str">
        <f t="shared" si="754"/>
        <v>GSE68468</v>
      </c>
      <c r="D8386" s="1" t="s">
        <v>62</v>
      </c>
      <c r="E8386" t="s">
        <v>96</v>
      </c>
      <c r="F8386" s="1">
        <v>1</v>
      </c>
      <c r="G8386" s="1" t="s">
        <v>36</v>
      </c>
      <c r="H8386" s="4" t="str">
        <f>HYPERLINK("https://www.ncbi.nlm.nih.gov/geo/query/acc.cgi?acc=GSM1673191","GSM1673191")</f>
        <v>GSM1673191</v>
      </c>
      <c r="I8386" t="s">
        <v>69</v>
      </c>
      <c r="J8386" t="s">
        <v>18</v>
      </c>
      <c r="K8386" t="s">
        <v>33</v>
      </c>
      <c r="L8386" t="s">
        <v>70</v>
      </c>
      <c r="N8386" t="s">
        <v>37</v>
      </c>
    </row>
    <row r="8387" spans="1:14">
      <c r="A8387" s="4" t="str">
        <f t="shared" si="753"/>
        <v>EXP00274</v>
      </c>
      <c r="B8387" s="3" t="s">
        <v>66</v>
      </c>
      <c r="C8387" s="4" t="str">
        <f t="shared" si="754"/>
        <v>GSE68468</v>
      </c>
      <c r="D8387" s="1" t="s">
        <v>62</v>
      </c>
      <c r="E8387" t="s">
        <v>96</v>
      </c>
      <c r="F8387" s="1">
        <v>1</v>
      </c>
      <c r="G8387" s="1" t="s">
        <v>36</v>
      </c>
      <c r="H8387" s="4" t="str">
        <f>HYPERLINK("https://www.ncbi.nlm.nih.gov/geo/query/acc.cgi?acc=GSM1673200","GSM1673200")</f>
        <v>GSM1673200</v>
      </c>
      <c r="I8387" t="s">
        <v>69</v>
      </c>
      <c r="J8387" t="s">
        <v>18</v>
      </c>
      <c r="K8387" t="s">
        <v>33</v>
      </c>
      <c r="L8387" t="s">
        <v>70</v>
      </c>
      <c r="N8387" t="s">
        <v>37</v>
      </c>
    </row>
    <row r="8388" spans="1:14">
      <c r="A8388" s="4" t="str">
        <f t="shared" si="753"/>
        <v>EXP00274</v>
      </c>
      <c r="B8388" s="3" t="s">
        <v>66</v>
      </c>
      <c r="C8388" s="4" t="str">
        <f t="shared" si="754"/>
        <v>GSE68468</v>
      </c>
      <c r="D8388" s="1" t="s">
        <v>62</v>
      </c>
      <c r="E8388" t="s">
        <v>96</v>
      </c>
      <c r="F8388" s="1">
        <v>1</v>
      </c>
      <c r="G8388" s="1" t="s">
        <v>36</v>
      </c>
      <c r="H8388" s="4" t="str">
        <f>HYPERLINK("https://www.ncbi.nlm.nih.gov/geo/query/acc.cgi?acc=GSM1673206","GSM1673206")</f>
        <v>GSM1673206</v>
      </c>
      <c r="I8388" t="s">
        <v>69</v>
      </c>
      <c r="J8388" t="s">
        <v>18</v>
      </c>
      <c r="K8388" t="s">
        <v>33</v>
      </c>
      <c r="L8388" t="s">
        <v>70</v>
      </c>
      <c r="N8388" t="s">
        <v>37</v>
      </c>
    </row>
    <row r="8389" spans="1:14">
      <c r="A8389" s="4" t="str">
        <f t="shared" si="753"/>
        <v>EXP00274</v>
      </c>
      <c r="B8389" s="3" t="s">
        <v>66</v>
      </c>
      <c r="C8389" s="4" t="str">
        <f t="shared" si="754"/>
        <v>GSE68468</v>
      </c>
      <c r="D8389" s="1" t="s">
        <v>62</v>
      </c>
      <c r="E8389" t="s">
        <v>96</v>
      </c>
      <c r="F8389" s="1">
        <v>1</v>
      </c>
      <c r="G8389" s="1" t="s">
        <v>36</v>
      </c>
      <c r="H8389" s="4" t="str">
        <f>HYPERLINK("https://www.ncbi.nlm.nih.gov/geo/query/acc.cgi?acc=GSM1673210","GSM1673210")</f>
        <v>GSM1673210</v>
      </c>
      <c r="I8389" t="s">
        <v>69</v>
      </c>
      <c r="J8389" t="s">
        <v>18</v>
      </c>
      <c r="K8389" t="s">
        <v>33</v>
      </c>
      <c r="L8389" t="s">
        <v>70</v>
      </c>
      <c r="N8389" t="s">
        <v>37</v>
      </c>
    </row>
    <row r="8390" spans="1:14">
      <c r="A8390" s="4" t="str">
        <f t="shared" si="753"/>
        <v>EXP00274</v>
      </c>
      <c r="B8390" s="3" t="s">
        <v>66</v>
      </c>
      <c r="C8390" s="4" t="str">
        <f t="shared" si="754"/>
        <v>GSE68468</v>
      </c>
      <c r="D8390" s="1" t="s">
        <v>62</v>
      </c>
      <c r="E8390" t="s">
        <v>96</v>
      </c>
      <c r="F8390" s="1">
        <v>1</v>
      </c>
      <c r="G8390" s="1" t="s">
        <v>36</v>
      </c>
      <c r="H8390" s="4" t="str">
        <f>HYPERLINK("https://www.ncbi.nlm.nih.gov/geo/query/acc.cgi?acc=GSM1673222","GSM1673222")</f>
        <v>GSM1673222</v>
      </c>
      <c r="I8390" t="s">
        <v>69</v>
      </c>
      <c r="J8390" t="s">
        <v>18</v>
      </c>
      <c r="K8390" t="s">
        <v>33</v>
      </c>
      <c r="L8390" t="s">
        <v>70</v>
      </c>
      <c r="N8390" t="s">
        <v>37</v>
      </c>
    </row>
    <row r="8391" spans="1:14">
      <c r="A8391" s="4" t="str">
        <f t="shared" si="753"/>
        <v>EXP00274</v>
      </c>
      <c r="B8391" s="3" t="s">
        <v>66</v>
      </c>
      <c r="C8391" s="4" t="str">
        <f t="shared" si="754"/>
        <v>GSE68468</v>
      </c>
      <c r="D8391" s="1" t="s">
        <v>62</v>
      </c>
      <c r="E8391" t="s">
        <v>96</v>
      </c>
      <c r="F8391" s="1">
        <v>1</v>
      </c>
      <c r="G8391" s="1" t="s">
        <v>36</v>
      </c>
      <c r="H8391" s="4" t="str">
        <f>HYPERLINK("https://www.ncbi.nlm.nih.gov/geo/query/acc.cgi?acc=GSM1673232","GSM1673232")</f>
        <v>GSM1673232</v>
      </c>
      <c r="I8391" t="s">
        <v>69</v>
      </c>
      <c r="J8391" t="s">
        <v>18</v>
      </c>
      <c r="K8391" t="s">
        <v>33</v>
      </c>
      <c r="L8391" t="s">
        <v>70</v>
      </c>
      <c r="N8391" t="s">
        <v>37</v>
      </c>
    </row>
    <row r="8392" spans="1:14">
      <c r="A8392" s="4" t="str">
        <f t="shared" si="753"/>
        <v>EXP00274</v>
      </c>
      <c r="B8392" s="3" t="s">
        <v>66</v>
      </c>
      <c r="C8392" s="4" t="str">
        <f t="shared" si="754"/>
        <v>GSE68468</v>
      </c>
      <c r="D8392" s="1" t="s">
        <v>62</v>
      </c>
      <c r="E8392" t="s">
        <v>96</v>
      </c>
      <c r="F8392" s="1">
        <v>1</v>
      </c>
      <c r="G8392" s="1" t="s">
        <v>36</v>
      </c>
      <c r="H8392" s="4" t="str">
        <f>HYPERLINK("https://www.ncbi.nlm.nih.gov/geo/query/acc.cgi?acc=GSM1673241","GSM1673241")</f>
        <v>GSM1673241</v>
      </c>
      <c r="I8392" t="s">
        <v>69</v>
      </c>
      <c r="J8392" t="s">
        <v>18</v>
      </c>
      <c r="K8392" t="s">
        <v>33</v>
      </c>
      <c r="L8392" t="s">
        <v>70</v>
      </c>
      <c r="N8392" t="s">
        <v>37</v>
      </c>
    </row>
    <row r="8393" spans="1:14">
      <c r="A8393" s="4" t="str">
        <f t="shared" si="753"/>
        <v>EXP00274</v>
      </c>
      <c r="B8393" s="3" t="s">
        <v>66</v>
      </c>
      <c r="C8393" s="4" t="str">
        <f t="shared" si="754"/>
        <v>GSE68468</v>
      </c>
      <c r="D8393" s="1" t="s">
        <v>62</v>
      </c>
      <c r="E8393" t="s">
        <v>96</v>
      </c>
      <c r="F8393" s="1">
        <v>1</v>
      </c>
      <c r="G8393" s="1" t="s">
        <v>36</v>
      </c>
      <c r="H8393" s="4" t="str">
        <f>HYPERLINK("https://www.ncbi.nlm.nih.gov/geo/query/acc.cgi?acc=GSM1673259","GSM1673259")</f>
        <v>GSM1673259</v>
      </c>
      <c r="I8393" t="s">
        <v>69</v>
      </c>
      <c r="J8393" t="s">
        <v>18</v>
      </c>
      <c r="K8393" t="s">
        <v>33</v>
      </c>
      <c r="L8393" t="s">
        <v>70</v>
      </c>
      <c r="N8393" t="s">
        <v>37</v>
      </c>
    </row>
    <row r="8394" spans="1:14">
      <c r="A8394" s="4" t="str">
        <f t="shared" si="753"/>
        <v>EXP00274</v>
      </c>
      <c r="B8394" s="3" t="s">
        <v>66</v>
      </c>
      <c r="C8394" s="4" t="str">
        <f t="shared" si="754"/>
        <v>GSE68468</v>
      </c>
      <c r="D8394" s="1" t="s">
        <v>62</v>
      </c>
      <c r="E8394" t="s">
        <v>96</v>
      </c>
      <c r="F8394" s="1">
        <v>1</v>
      </c>
      <c r="G8394" s="1" t="s">
        <v>36</v>
      </c>
      <c r="H8394" s="4" t="str">
        <f>HYPERLINK("https://www.ncbi.nlm.nih.gov/geo/query/acc.cgi?acc=GSM1673264","GSM1673264")</f>
        <v>GSM1673264</v>
      </c>
      <c r="I8394" t="s">
        <v>69</v>
      </c>
      <c r="J8394" t="s">
        <v>18</v>
      </c>
      <c r="K8394" t="s">
        <v>33</v>
      </c>
      <c r="L8394" t="s">
        <v>70</v>
      </c>
      <c r="N8394" t="s">
        <v>37</v>
      </c>
    </row>
    <row r="8395" spans="1:14">
      <c r="A8395" s="4" t="str">
        <f t="shared" si="753"/>
        <v>EXP00274</v>
      </c>
      <c r="B8395" s="3" t="s">
        <v>66</v>
      </c>
      <c r="C8395" s="4" t="str">
        <f t="shared" si="754"/>
        <v>GSE68468</v>
      </c>
      <c r="D8395" s="1" t="s">
        <v>62</v>
      </c>
      <c r="E8395" t="s">
        <v>96</v>
      </c>
      <c r="F8395" s="1">
        <v>1</v>
      </c>
      <c r="G8395" s="1" t="s">
        <v>36</v>
      </c>
      <c r="H8395" s="4" t="str">
        <f>HYPERLINK("https://www.ncbi.nlm.nih.gov/geo/query/acc.cgi?acc=GSM1673286","GSM1673286")</f>
        <v>GSM1673286</v>
      </c>
      <c r="I8395" t="s">
        <v>69</v>
      </c>
      <c r="J8395" t="s">
        <v>18</v>
      </c>
      <c r="K8395" t="s">
        <v>33</v>
      </c>
      <c r="L8395" t="s">
        <v>70</v>
      </c>
      <c r="N8395" t="s">
        <v>37</v>
      </c>
    </row>
    <row r="8396" spans="1:14">
      <c r="A8396" s="4" t="str">
        <f t="shared" si="753"/>
        <v>EXP00274</v>
      </c>
      <c r="B8396" s="3" t="s">
        <v>66</v>
      </c>
      <c r="C8396" s="4" t="str">
        <f t="shared" si="754"/>
        <v>GSE68468</v>
      </c>
      <c r="D8396" s="1" t="s">
        <v>62</v>
      </c>
      <c r="E8396" t="s">
        <v>96</v>
      </c>
      <c r="F8396" s="1">
        <v>1</v>
      </c>
      <c r="G8396" s="1" t="s">
        <v>36</v>
      </c>
      <c r="H8396" s="4" t="str">
        <f>HYPERLINK("https://www.ncbi.nlm.nih.gov/geo/query/acc.cgi?acc=GSM1673294","GSM1673294")</f>
        <v>GSM1673294</v>
      </c>
      <c r="I8396" t="s">
        <v>69</v>
      </c>
      <c r="J8396" t="s">
        <v>18</v>
      </c>
      <c r="K8396" t="s">
        <v>33</v>
      </c>
      <c r="L8396" t="s">
        <v>70</v>
      </c>
      <c r="N8396" t="s">
        <v>37</v>
      </c>
    </row>
    <row r="8397" spans="1:14">
      <c r="A8397" s="4" t="str">
        <f t="shared" si="753"/>
        <v>EXP00274</v>
      </c>
      <c r="B8397" s="3" t="s">
        <v>66</v>
      </c>
      <c r="C8397" s="4" t="str">
        <f t="shared" si="754"/>
        <v>GSE68468</v>
      </c>
      <c r="D8397" s="1" t="s">
        <v>62</v>
      </c>
      <c r="E8397" t="s">
        <v>96</v>
      </c>
      <c r="F8397" s="1">
        <v>1</v>
      </c>
      <c r="G8397" s="1" t="s">
        <v>36</v>
      </c>
      <c r="H8397" s="4" t="str">
        <f>HYPERLINK("https://www.ncbi.nlm.nih.gov/geo/query/acc.cgi?acc=GSM1673301","GSM1673301")</f>
        <v>GSM1673301</v>
      </c>
      <c r="I8397" t="s">
        <v>69</v>
      </c>
      <c r="J8397" t="s">
        <v>18</v>
      </c>
      <c r="K8397" t="s">
        <v>33</v>
      </c>
      <c r="L8397" t="s">
        <v>70</v>
      </c>
      <c r="N8397" t="s">
        <v>37</v>
      </c>
    </row>
    <row r="8398" spans="1:14">
      <c r="A8398" s="4" t="str">
        <f t="shared" si="753"/>
        <v>EXP00274</v>
      </c>
      <c r="B8398" s="3" t="s">
        <v>66</v>
      </c>
      <c r="C8398" s="4" t="str">
        <f t="shared" si="754"/>
        <v>GSE68468</v>
      </c>
      <c r="D8398" s="1" t="s">
        <v>62</v>
      </c>
      <c r="E8398" t="s">
        <v>96</v>
      </c>
      <c r="F8398" s="1">
        <v>1</v>
      </c>
      <c r="G8398" s="1" t="s">
        <v>36</v>
      </c>
      <c r="H8398" s="4" t="str">
        <f>HYPERLINK("https://www.ncbi.nlm.nih.gov/geo/query/acc.cgi?acc=GSM1673305","GSM1673305")</f>
        <v>GSM1673305</v>
      </c>
      <c r="I8398" t="s">
        <v>69</v>
      </c>
      <c r="J8398" t="s">
        <v>18</v>
      </c>
      <c r="K8398" t="s">
        <v>33</v>
      </c>
      <c r="L8398" t="s">
        <v>70</v>
      </c>
      <c r="N8398" t="s">
        <v>37</v>
      </c>
    </row>
    <row r="8399" spans="1:14">
      <c r="A8399" s="4" t="str">
        <f t="shared" si="753"/>
        <v>EXP00274</v>
      </c>
      <c r="B8399" s="3" t="s">
        <v>66</v>
      </c>
      <c r="C8399" s="4" t="str">
        <f t="shared" si="754"/>
        <v>GSE68468</v>
      </c>
      <c r="D8399" s="1" t="s">
        <v>62</v>
      </c>
      <c r="E8399" t="s">
        <v>96</v>
      </c>
      <c r="F8399" s="1">
        <v>1</v>
      </c>
      <c r="G8399" s="1" t="s">
        <v>36</v>
      </c>
      <c r="H8399" s="4" t="str">
        <f>HYPERLINK("https://www.ncbi.nlm.nih.gov/geo/query/acc.cgi?acc=GSM1673316","GSM1673316")</f>
        <v>GSM1673316</v>
      </c>
      <c r="I8399" t="s">
        <v>69</v>
      </c>
      <c r="J8399" t="s">
        <v>18</v>
      </c>
      <c r="K8399" t="s">
        <v>33</v>
      </c>
      <c r="L8399" t="s">
        <v>70</v>
      </c>
      <c r="N8399" t="s">
        <v>37</v>
      </c>
    </row>
    <row r="8400" spans="1:14">
      <c r="A8400" s="4" t="str">
        <f t="shared" si="753"/>
        <v>EXP00274</v>
      </c>
      <c r="B8400" s="3" t="s">
        <v>66</v>
      </c>
      <c r="C8400" s="4" t="str">
        <f t="shared" si="754"/>
        <v>GSE68468</v>
      </c>
      <c r="D8400" s="1" t="s">
        <v>62</v>
      </c>
      <c r="E8400" t="s">
        <v>96</v>
      </c>
      <c r="F8400" s="1">
        <v>1</v>
      </c>
      <c r="G8400" s="1" t="s">
        <v>36</v>
      </c>
      <c r="H8400" s="4" t="str">
        <f>HYPERLINK("https://www.ncbi.nlm.nih.gov/geo/query/acc.cgi?acc=GSM1673317","GSM1673317")</f>
        <v>GSM1673317</v>
      </c>
      <c r="I8400" t="s">
        <v>69</v>
      </c>
      <c r="J8400" t="s">
        <v>18</v>
      </c>
      <c r="K8400" t="s">
        <v>33</v>
      </c>
      <c r="L8400" t="s">
        <v>70</v>
      </c>
      <c r="N8400" t="s">
        <v>37</v>
      </c>
    </row>
    <row r="8401" spans="1:14">
      <c r="A8401" s="4" t="str">
        <f t="shared" si="753"/>
        <v>EXP00274</v>
      </c>
      <c r="B8401" s="3" t="s">
        <v>66</v>
      </c>
      <c r="C8401" s="4" t="str">
        <f t="shared" si="754"/>
        <v>GSE68468</v>
      </c>
      <c r="D8401" s="1" t="s">
        <v>62</v>
      </c>
      <c r="E8401" t="s">
        <v>96</v>
      </c>
      <c r="F8401" s="1">
        <v>1</v>
      </c>
      <c r="G8401" s="1" t="s">
        <v>36</v>
      </c>
      <c r="H8401" s="4" t="str">
        <f>HYPERLINK("https://www.ncbi.nlm.nih.gov/geo/query/acc.cgi?acc=GSM1673323","GSM1673323")</f>
        <v>GSM1673323</v>
      </c>
      <c r="I8401" t="s">
        <v>69</v>
      </c>
      <c r="J8401" t="s">
        <v>18</v>
      </c>
      <c r="K8401" t="s">
        <v>33</v>
      </c>
      <c r="L8401" t="s">
        <v>70</v>
      </c>
      <c r="N8401" t="s">
        <v>37</v>
      </c>
    </row>
    <row r="8402" spans="1:14">
      <c r="A8402" s="4" t="str">
        <f t="shared" si="753"/>
        <v>EXP00274</v>
      </c>
      <c r="B8402" s="3" t="s">
        <v>66</v>
      </c>
      <c r="C8402" s="4" t="str">
        <f t="shared" si="754"/>
        <v>GSE68468</v>
      </c>
      <c r="D8402" s="1" t="s">
        <v>62</v>
      </c>
      <c r="E8402" t="s">
        <v>96</v>
      </c>
      <c r="F8402" s="1">
        <v>1</v>
      </c>
      <c r="G8402" s="1" t="s">
        <v>36</v>
      </c>
      <c r="H8402" s="4" t="str">
        <f>HYPERLINK("https://www.ncbi.nlm.nih.gov/geo/query/acc.cgi?acc=GSM1673328","GSM1673328")</f>
        <v>GSM1673328</v>
      </c>
      <c r="I8402" t="s">
        <v>69</v>
      </c>
      <c r="J8402" t="s">
        <v>18</v>
      </c>
      <c r="K8402" t="s">
        <v>33</v>
      </c>
      <c r="L8402" t="s">
        <v>70</v>
      </c>
      <c r="N8402" t="s">
        <v>37</v>
      </c>
    </row>
    <row r="8403" spans="1:14">
      <c r="A8403" s="4" t="str">
        <f t="shared" si="753"/>
        <v>EXP00274</v>
      </c>
      <c r="B8403" s="3" t="s">
        <v>66</v>
      </c>
      <c r="C8403" s="4" t="str">
        <f t="shared" si="754"/>
        <v>GSE68468</v>
      </c>
      <c r="D8403" s="1" t="s">
        <v>62</v>
      </c>
      <c r="E8403" t="s">
        <v>96</v>
      </c>
      <c r="F8403" s="1">
        <v>1</v>
      </c>
      <c r="G8403" s="1" t="s">
        <v>36</v>
      </c>
      <c r="H8403" s="4" t="str">
        <f>HYPERLINK("https://www.ncbi.nlm.nih.gov/geo/query/acc.cgi?acc=GSM1673338","GSM1673338")</f>
        <v>GSM1673338</v>
      </c>
      <c r="I8403" t="s">
        <v>69</v>
      </c>
      <c r="J8403" t="s">
        <v>18</v>
      </c>
      <c r="K8403" t="s">
        <v>33</v>
      </c>
      <c r="L8403" t="s">
        <v>70</v>
      </c>
      <c r="N8403" t="s">
        <v>37</v>
      </c>
    </row>
    <row r="8404" spans="1:14">
      <c r="A8404" s="4" t="str">
        <f t="shared" si="753"/>
        <v>EXP00274</v>
      </c>
      <c r="B8404" s="3" t="s">
        <v>66</v>
      </c>
      <c r="C8404" s="4" t="str">
        <f t="shared" si="754"/>
        <v>GSE68468</v>
      </c>
      <c r="D8404" s="1" t="s">
        <v>62</v>
      </c>
      <c r="E8404" t="s">
        <v>96</v>
      </c>
      <c r="F8404" s="1">
        <v>1</v>
      </c>
      <c r="G8404" s="1" t="s">
        <v>36</v>
      </c>
      <c r="H8404" s="4" t="str">
        <f>HYPERLINK("https://www.ncbi.nlm.nih.gov/geo/query/acc.cgi?acc=GSM1673339","GSM1673339")</f>
        <v>GSM1673339</v>
      </c>
      <c r="I8404" t="s">
        <v>69</v>
      </c>
      <c r="J8404" t="s">
        <v>18</v>
      </c>
      <c r="K8404" t="s">
        <v>33</v>
      </c>
      <c r="L8404" t="s">
        <v>70</v>
      </c>
      <c r="N8404" t="s">
        <v>37</v>
      </c>
    </row>
    <row r="8405" spans="1:14">
      <c r="A8405" s="4" t="str">
        <f t="shared" si="753"/>
        <v>EXP00274</v>
      </c>
      <c r="B8405" s="3" t="s">
        <v>66</v>
      </c>
      <c r="C8405" s="4" t="str">
        <f t="shared" si="754"/>
        <v>GSE68468</v>
      </c>
      <c r="D8405" s="1" t="s">
        <v>62</v>
      </c>
      <c r="E8405" t="s">
        <v>96</v>
      </c>
      <c r="F8405" s="1">
        <v>1</v>
      </c>
      <c r="G8405" s="1" t="s">
        <v>36</v>
      </c>
      <c r="H8405" s="4" t="str">
        <f>HYPERLINK("https://www.ncbi.nlm.nih.gov/geo/query/acc.cgi?acc=GSM1673345","GSM1673345")</f>
        <v>GSM1673345</v>
      </c>
      <c r="I8405" t="s">
        <v>69</v>
      </c>
      <c r="J8405" t="s">
        <v>18</v>
      </c>
      <c r="K8405" t="s">
        <v>33</v>
      </c>
      <c r="L8405" t="s">
        <v>70</v>
      </c>
      <c r="N8405" t="s">
        <v>37</v>
      </c>
    </row>
    <row r="8406" spans="1:14">
      <c r="A8406" s="4" t="str">
        <f t="shared" si="753"/>
        <v>EXP00274</v>
      </c>
      <c r="B8406" s="3" t="s">
        <v>66</v>
      </c>
      <c r="C8406" s="4" t="str">
        <f t="shared" si="754"/>
        <v>GSE68468</v>
      </c>
      <c r="D8406" s="1" t="s">
        <v>62</v>
      </c>
      <c r="E8406" t="s">
        <v>96</v>
      </c>
      <c r="F8406" s="1">
        <v>1</v>
      </c>
      <c r="G8406" s="1" t="s">
        <v>36</v>
      </c>
      <c r="H8406" s="4" t="str">
        <f>HYPERLINK("https://www.ncbi.nlm.nih.gov/geo/query/acc.cgi?acc=GSM1673349","GSM1673349")</f>
        <v>GSM1673349</v>
      </c>
      <c r="I8406" t="s">
        <v>69</v>
      </c>
      <c r="J8406" t="s">
        <v>18</v>
      </c>
      <c r="K8406" t="s">
        <v>33</v>
      </c>
      <c r="L8406" t="s">
        <v>70</v>
      </c>
      <c r="N8406" t="s">
        <v>37</v>
      </c>
    </row>
    <row r="8407" spans="1:14">
      <c r="A8407" s="4" t="str">
        <f t="shared" si="753"/>
        <v>EXP00274</v>
      </c>
      <c r="B8407" s="3" t="s">
        <v>66</v>
      </c>
      <c r="C8407" s="4" t="str">
        <f t="shared" si="754"/>
        <v>GSE68468</v>
      </c>
      <c r="D8407" s="1" t="s">
        <v>62</v>
      </c>
      <c r="E8407" t="s">
        <v>96</v>
      </c>
      <c r="F8407" s="1">
        <v>2</v>
      </c>
      <c r="G8407" s="1" t="s">
        <v>28</v>
      </c>
      <c r="H8407" s="4" t="str">
        <f>HYPERLINK("https://www.ncbi.nlm.nih.gov/geo/query/acc.cgi?acc=GSM1672961","GSM1672961")</f>
        <v>GSM1672961</v>
      </c>
      <c r="I8407" t="s">
        <v>69</v>
      </c>
      <c r="J8407" t="s">
        <v>18</v>
      </c>
      <c r="K8407" t="s">
        <v>33</v>
      </c>
      <c r="L8407" t="s">
        <v>70</v>
      </c>
      <c r="N8407" t="s">
        <v>29</v>
      </c>
    </row>
    <row r="8408" spans="1:14">
      <c r="A8408" s="4" t="str">
        <f t="shared" si="753"/>
        <v>EXP00274</v>
      </c>
      <c r="B8408" s="3" t="s">
        <v>66</v>
      </c>
      <c r="C8408" s="4" t="str">
        <f t="shared" si="754"/>
        <v>GSE68468</v>
      </c>
      <c r="D8408" s="1" t="s">
        <v>62</v>
      </c>
      <c r="E8408" t="s">
        <v>96</v>
      </c>
      <c r="F8408" s="1">
        <v>2</v>
      </c>
      <c r="G8408" s="1" t="s">
        <v>28</v>
      </c>
      <c r="H8408" s="4" t="str">
        <f>HYPERLINK("https://www.ncbi.nlm.nih.gov/geo/query/acc.cgi?acc=GSM1672964","GSM1672964")</f>
        <v>GSM1672964</v>
      </c>
      <c r="I8408" t="s">
        <v>69</v>
      </c>
      <c r="J8408" t="s">
        <v>18</v>
      </c>
      <c r="K8408" t="s">
        <v>33</v>
      </c>
      <c r="L8408" t="s">
        <v>70</v>
      </c>
      <c r="N8408" t="s">
        <v>29</v>
      </c>
    </row>
    <row r="8409" spans="1:14">
      <c r="A8409" s="4" t="str">
        <f t="shared" si="753"/>
        <v>EXP00274</v>
      </c>
      <c r="B8409" s="3" t="s">
        <v>66</v>
      </c>
      <c r="C8409" s="4" t="str">
        <f t="shared" si="754"/>
        <v>GSE68468</v>
      </c>
      <c r="D8409" s="1" t="s">
        <v>62</v>
      </c>
      <c r="E8409" t="s">
        <v>96</v>
      </c>
      <c r="F8409" s="1">
        <v>2</v>
      </c>
      <c r="G8409" s="1" t="s">
        <v>28</v>
      </c>
      <c r="H8409" s="4" t="str">
        <f>HYPERLINK("https://www.ncbi.nlm.nih.gov/geo/query/acc.cgi?acc=GSM1672965","GSM1672965")</f>
        <v>GSM1672965</v>
      </c>
      <c r="I8409" t="s">
        <v>69</v>
      </c>
      <c r="J8409" t="s">
        <v>18</v>
      </c>
      <c r="K8409" t="s">
        <v>33</v>
      </c>
      <c r="L8409" t="s">
        <v>70</v>
      </c>
      <c r="N8409" t="s">
        <v>29</v>
      </c>
    </row>
    <row r="8410" spans="1:14">
      <c r="A8410" s="4" t="str">
        <f t="shared" si="753"/>
        <v>EXP00274</v>
      </c>
      <c r="B8410" s="3" t="s">
        <v>66</v>
      </c>
      <c r="C8410" s="4" t="str">
        <f t="shared" si="754"/>
        <v>GSE68468</v>
      </c>
      <c r="D8410" s="1" t="s">
        <v>62</v>
      </c>
      <c r="E8410" t="s">
        <v>96</v>
      </c>
      <c r="F8410" s="1">
        <v>2</v>
      </c>
      <c r="G8410" s="1" t="s">
        <v>28</v>
      </c>
      <c r="H8410" s="4" t="str">
        <f>HYPERLINK("https://www.ncbi.nlm.nih.gov/geo/query/acc.cgi?acc=GSM1672966","GSM1672966")</f>
        <v>GSM1672966</v>
      </c>
      <c r="I8410" t="s">
        <v>69</v>
      </c>
      <c r="J8410" t="s">
        <v>18</v>
      </c>
      <c r="K8410" t="s">
        <v>33</v>
      </c>
      <c r="L8410" t="s">
        <v>70</v>
      </c>
      <c r="N8410" t="s">
        <v>29</v>
      </c>
    </row>
    <row r="8411" spans="1:14">
      <c r="A8411" s="4" t="str">
        <f t="shared" si="753"/>
        <v>EXP00274</v>
      </c>
      <c r="B8411" s="3" t="s">
        <v>66</v>
      </c>
      <c r="C8411" s="4" t="str">
        <f t="shared" si="754"/>
        <v>GSE68468</v>
      </c>
      <c r="D8411" s="1" t="s">
        <v>62</v>
      </c>
      <c r="E8411" t="s">
        <v>96</v>
      </c>
      <c r="F8411" s="1">
        <v>2</v>
      </c>
      <c r="G8411" s="1" t="s">
        <v>28</v>
      </c>
      <c r="H8411" s="4" t="str">
        <f>HYPERLINK("https://www.ncbi.nlm.nih.gov/geo/query/acc.cgi?acc=GSM1672968","GSM1672968")</f>
        <v>GSM1672968</v>
      </c>
      <c r="I8411" t="s">
        <v>69</v>
      </c>
      <c r="J8411" t="s">
        <v>18</v>
      </c>
      <c r="K8411" t="s">
        <v>33</v>
      </c>
      <c r="L8411" t="s">
        <v>70</v>
      </c>
      <c r="N8411" t="s">
        <v>29</v>
      </c>
    </row>
    <row r="8412" spans="1:14">
      <c r="A8412" s="4" t="str">
        <f t="shared" si="753"/>
        <v>EXP00274</v>
      </c>
      <c r="B8412" s="3" t="s">
        <v>66</v>
      </c>
      <c r="C8412" s="4" t="str">
        <f t="shared" si="754"/>
        <v>GSE68468</v>
      </c>
      <c r="D8412" s="1" t="s">
        <v>62</v>
      </c>
      <c r="E8412" t="s">
        <v>96</v>
      </c>
      <c r="F8412" s="1">
        <v>2</v>
      </c>
      <c r="G8412" s="1" t="s">
        <v>28</v>
      </c>
      <c r="H8412" s="4" t="str">
        <f>HYPERLINK("https://www.ncbi.nlm.nih.gov/geo/query/acc.cgi?acc=GSM1672970","GSM1672970")</f>
        <v>GSM1672970</v>
      </c>
      <c r="I8412" t="s">
        <v>69</v>
      </c>
      <c r="J8412" t="s">
        <v>18</v>
      </c>
      <c r="K8412" t="s">
        <v>33</v>
      </c>
      <c r="L8412" t="s">
        <v>70</v>
      </c>
      <c r="N8412" t="s">
        <v>29</v>
      </c>
    </row>
    <row r="8413" spans="1:14">
      <c r="A8413" s="4" t="str">
        <f t="shared" si="753"/>
        <v>EXP00274</v>
      </c>
      <c r="B8413" s="3" t="s">
        <v>66</v>
      </c>
      <c r="C8413" s="4" t="str">
        <f t="shared" si="754"/>
        <v>GSE68468</v>
      </c>
      <c r="D8413" s="1" t="s">
        <v>62</v>
      </c>
      <c r="E8413" t="s">
        <v>96</v>
      </c>
      <c r="F8413" s="1">
        <v>2</v>
      </c>
      <c r="G8413" s="1" t="s">
        <v>28</v>
      </c>
      <c r="H8413" s="4" t="str">
        <f>HYPERLINK("https://www.ncbi.nlm.nih.gov/geo/query/acc.cgi?acc=GSM1672972","GSM1672972")</f>
        <v>GSM1672972</v>
      </c>
      <c r="I8413" t="s">
        <v>69</v>
      </c>
      <c r="J8413" t="s">
        <v>18</v>
      </c>
      <c r="K8413" t="s">
        <v>33</v>
      </c>
      <c r="L8413" t="s">
        <v>70</v>
      </c>
      <c r="N8413" t="s">
        <v>29</v>
      </c>
    </row>
    <row r="8414" spans="1:14">
      <c r="A8414" s="4" t="str">
        <f t="shared" si="753"/>
        <v>EXP00274</v>
      </c>
      <c r="B8414" s="3" t="s">
        <v>66</v>
      </c>
      <c r="C8414" s="4" t="str">
        <f t="shared" si="754"/>
        <v>GSE68468</v>
      </c>
      <c r="D8414" s="1" t="s">
        <v>62</v>
      </c>
      <c r="E8414" t="s">
        <v>96</v>
      </c>
      <c r="F8414" s="1">
        <v>2</v>
      </c>
      <c r="G8414" s="1" t="s">
        <v>28</v>
      </c>
      <c r="H8414" s="4" t="str">
        <f>HYPERLINK("https://www.ncbi.nlm.nih.gov/geo/query/acc.cgi?acc=GSM1672976","GSM1672976")</f>
        <v>GSM1672976</v>
      </c>
      <c r="I8414" t="s">
        <v>69</v>
      </c>
      <c r="J8414" t="s">
        <v>18</v>
      </c>
      <c r="K8414" t="s">
        <v>33</v>
      </c>
      <c r="L8414" t="s">
        <v>70</v>
      </c>
      <c r="N8414" t="s">
        <v>29</v>
      </c>
    </row>
    <row r="8415" spans="1:14">
      <c r="A8415" s="4" t="str">
        <f t="shared" si="753"/>
        <v>EXP00274</v>
      </c>
      <c r="B8415" s="3" t="s">
        <v>66</v>
      </c>
      <c r="C8415" s="4" t="str">
        <f t="shared" si="754"/>
        <v>GSE68468</v>
      </c>
      <c r="D8415" s="1" t="s">
        <v>62</v>
      </c>
      <c r="E8415" t="s">
        <v>96</v>
      </c>
      <c r="F8415" s="1">
        <v>2</v>
      </c>
      <c r="G8415" s="1" t="s">
        <v>28</v>
      </c>
      <c r="H8415" s="4" t="str">
        <f>HYPERLINK("https://www.ncbi.nlm.nih.gov/geo/query/acc.cgi?acc=GSM1672977","GSM1672977")</f>
        <v>GSM1672977</v>
      </c>
      <c r="I8415" t="s">
        <v>69</v>
      </c>
      <c r="J8415" t="s">
        <v>18</v>
      </c>
      <c r="K8415" t="s">
        <v>33</v>
      </c>
      <c r="L8415" t="s">
        <v>70</v>
      </c>
      <c r="N8415" t="s">
        <v>29</v>
      </c>
    </row>
    <row r="8416" spans="1:14">
      <c r="A8416" s="4" t="str">
        <f t="shared" si="753"/>
        <v>EXP00274</v>
      </c>
      <c r="B8416" s="3" t="s">
        <v>66</v>
      </c>
      <c r="C8416" s="4" t="str">
        <f t="shared" si="754"/>
        <v>GSE68468</v>
      </c>
      <c r="D8416" s="1" t="s">
        <v>62</v>
      </c>
      <c r="E8416" t="s">
        <v>96</v>
      </c>
      <c r="F8416" s="1">
        <v>2</v>
      </c>
      <c r="G8416" s="1" t="s">
        <v>28</v>
      </c>
      <c r="H8416" s="4" t="str">
        <f>HYPERLINK("https://www.ncbi.nlm.nih.gov/geo/query/acc.cgi?acc=GSM1672979","GSM1672979")</f>
        <v>GSM1672979</v>
      </c>
      <c r="I8416" t="s">
        <v>69</v>
      </c>
      <c r="J8416" t="s">
        <v>18</v>
      </c>
      <c r="K8416" t="s">
        <v>33</v>
      </c>
      <c r="L8416" t="s">
        <v>70</v>
      </c>
      <c r="N8416" t="s">
        <v>29</v>
      </c>
    </row>
    <row r="8417" spans="1:14">
      <c r="A8417" s="4" t="str">
        <f t="shared" si="753"/>
        <v>EXP00274</v>
      </c>
      <c r="B8417" s="3" t="s">
        <v>66</v>
      </c>
      <c r="C8417" s="4" t="str">
        <f t="shared" si="754"/>
        <v>GSE68468</v>
      </c>
      <c r="D8417" s="1" t="s">
        <v>62</v>
      </c>
      <c r="E8417" t="s">
        <v>96</v>
      </c>
      <c r="F8417" s="1">
        <v>2</v>
      </c>
      <c r="G8417" s="1" t="s">
        <v>28</v>
      </c>
      <c r="H8417" s="4" t="str">
        <f>HYPERLINK("https://www.ncbi.nlm.nih.gov/geo/query/acc.cgi?acc=GSM1672981","GSM1672981")</f>
        <v>GSM1672981</v>
      </c>
      <c r="I8417" t="s">
        <v>69</v>
      </c>
      <c r="J8417" t="s">
        <v>18</v>
      </c>
      <c r="K8417" t="s">
        <v>33</v>
      </c>
      <c r="L8417" t="s">
        <v>70</v>
      </c>
      <c r="N8417" t="s">
        <v>29</v>
      </c>
    </row>
    <row r="8418" spans="1:14">
      <c r="A8418" s="4" t="str">
        <f t="shared" si="753"/>
        <v>EXP00274</v>
      </c>
      <c r="B8418" s="3" t="s">
        <v>66</v>
      </c>
      <c r="C8418" s="4" t="str">
        <f t="shared" si="754"/>
        <v>GSE68468</v>
      </c>
      <c r="D8418" s="1" t="s">
        <v>62</v>
      </c>
      <c r="E8418" t="s">
        <v>96</v>
      </c>
      <c r="F8418" s="1">
        <v>2</v>
      </c>
      <c r="G8418" s="1" t="s">
        <v>28</v>
      </c>
      <c r="H8418" s="4" t="str">
        <f>HYPERLINK("https://www.ncbi.nlm.nih.gov/geo/query/acc.cgi?acc=GSM1672983","GSM1672983")</f>
        <v>GSM1672983</v>
      </c>
      <c r="I8418" t="s">
        <v>69</v>
      </c>
      <c r="J8418" t="s">
        <v>18</v>
      </c>
      <c r="K8418" t="s">
        <v>33</v>
      </c>
      <c r="L8418" t="s">
        <v>70</v>
      </c>
      <c r="N8418" t="s">
        <v>29</v>
      </c>
    </row>
    <row r="8419" spans="1:14">
      <c r="A8419" s="4" t="str">
        <f t="shared" si="753"/>
        <v>EXP00274</v>
      </c>
      <c r="B8419" s="3" t="s">
        <v>66</v>
      </c>
      <c r="C8419" s="4" t="str">
        <f t="shared" si="754"/>
        <v>GSE68468</v>
      </c>
      <c r="D8419" s="1" t="s">
        <v>62</v>
      </c>
      <c r="E8419" t="s">
        <v>96</v>
      </c>
      <c r="F8419" s="1">
        <v>2</v>
      </c>
      <c r="G8419" s="1" t="s">
        <v>28</v>
      </c>
      <c r="H8419" s="4" t="str">
        <f>HYPERLINK("https://www.ncbi.nlm.nih.gov/geo/query/acc.cgi?acc=GSM1672984","GSM1672984")</f>
        <v>GSM1672984</v>
      </c>
      <c r="I8419" t="s">
        <v>69</v>
      </c>
      <c r="J8419" t="s">
        <v>18</v>
      </c>
      <c r="K8419" t="s">
        <v>33</v>
      </c>
      <c r="L8419" t="s">
        <v>70</v>
      </c>
      <c r="N8419" t="s">
        <v>29</v>
      </c>
    </row>
    <row r="8420" spans="1:14">
      <c r="A8420" s="4" t="str">
        <f t="shared" si="753"/>
        <v>EXP00274</v>
      </c>
      <c r="B8420" s="3" t="s">
        <v>66</v>
      </c>
      <c r="C8420" s="4" t="str">
        <f t="shared" si="754"/>
        <v>GSE68468</v>
      </c>
      <c r="D8420" s="1" t="s">
        <v>62</v>
      </c>
      <c r="E8420" t="s">
        <v>96</v>
      </c>
      <c r="F8420" s="1">
        <v>2</v>
      </c>
      <c r="G8420" s="1" t="s">
        <v>28</v>
      </c>
      <c r="H8420" s="4" t="str">
        <f>HYPERLINK("https://www.ncbi.nlm.nih.gov/geo/query/acc.cgi?acc=GSM1672985","GSM1672985")</f>
        <v>GSM1672985</v>
      </c>
      <c r="I8420" t="s">
        <v>69</v>
      </c>
      <c r="J8420" t="s">
        <v>18</v>
      </c>
      <c r="K8420" t="s">
        <v>33</v>
      </c>
      <c r="L8420" t="s">
        <v>70</v>
      </c>
      <c r="N8420" t="s">
        <v>29</v>
      </c>
    </row>
    <row r="8421" spans="1:14">
      <c r="A8421" s="4" t="str">
        <f t="shared" si="753"/>
        <v>EXP00274</v>
      </c>
      <c r="B8421" s="3" t="s">
        <v>66</v>
      </c>
      <c r="C8421" s="4" t="str">
        <f t="shared" si="754"/>
        <v>GSE68468</v>
      </c>
      <c r="D8421" s="1" t="s">
        <v>62</v>
      </c>
      <c r="E8421" t="s">
        <v>96</v>
      </c>
      <c r="F8421" s="1">
        <v>2</v>
      </c>
      <c r="G8421" s="1" t="s">
        <v>28</v>
      </c>
      <c r="H8421" s="4" t="str">
        <f>HYPERLINK("https://www.ncbi.nlm.nih.gov/geo/query/acc.cgi?acc=GSM1672987","GSM1672987")</f>
        <v>GSM1672987</v>
      </c>
      <c r="I8421" t="s">
        <v>69</v>
      </c>
      <c r="J8421" t="s">
        <v>18</v>
      </c>
      <c r="K8421" t="s">
        <v>33</v>
      </c>
      <c r="L8421" t="s">
        <v>70</v>
      </c>
      <c r="N8421" t="s">
        <v>29</v>
      </c>
    </row>
    <row r="8422" spans="1:14">
      <c r="A8422" s="4" t="str">
        <f t="shared" si="753"/>
        <v>EXP00274</v>
      </c>
      <c r="B8422" s="3" t="s">
        <v>66</v>
      </c>
      <c r="C8422" s="4" t="str">
        <f t="shared" si="754"/>
        <v>GSE68468</v>
      </c>
      <c r="D8422" s="1" t="s">
        <v>62</v>
      </c>
      <c r="E8422" t="s">
        <v>96</v>
      </c>
      <c r="F8422" s="1">
        <v>2</v>
      </c>
      <c r="G8422" s="1" t="s">
        <v>28</v>
      </c>
      <c r="H8422" s="4" t="str">
        <f>HYPERLINK("https://www.ncbi.nlm.nih.gov/geo/query/acc.cgi?acc=GSM1672993","GSM1672993")</f>
        <v>GSM1672993</v>
      </c>
      <c r="I8422" t="s">
        <v>69</v>
      </c>
      <c r="J8422" t="s">
        <v>18</v>
      </c>
      <c r="K8422" t="s">
        <v>33</v>
      </c>
      <c r="L8422" t="s">
        <v>70</v>
      </c>
      <c r="N8422" t="s">
        <v>29</v>
      </c>
    </row>
    <row r="8423" spans="1:14">
      <c r="A8423" s="4" t="str">
        <f t="shared" si="753"/>
        <v>EXP00274</v>
      </c>
      <c r="B8423" s="3" t="s">
        <v>66</v>
      </c>
      <c r="C8423" s="4" t="str">
        <f t="shared" si="754"/>
        <v>GSE68468</v>
      </c>
      <c r="D8423" s="1" t="s">
        <v>62</v>
      </c>
      <c r="E8423" t="s">
        <v>96</v>
      </c>
      <c r="F8423" s="1">
        <v>2</v>
      </c>
      <c r="G8423" s="1" t="s">
        <v>28</v>
      </c>
      <c r="H8423" s="4" t="str">
        <f>HYPERLINK("https://www.ncbi.nlm.nih.gov/geo/query/acc.cgi?acc=GSM1672994","GSM1672994")</f>
        <v>GSM1672994</v>
      </c>
      <c r="I8423" t="s">
        <v>69</v>
      </c>
      <c r="J8423" t="s">
        <v>18</v>
      </c>
      <c r="K8423" t="s">
        <v>33</v>
      </c>
      <c r="L8423" t="s">
        <v>70</v>
      </c>
      <c r="N8423" t="s">
        <v>29</v>
      </c>
    </row>
    <row r="8424" spans="1:14">
      <c r="A8424" s="4" t="str">
        <f t="shared" si="753"/>
        <v>EXP00274</v>
      </c>
      <c r="B8424" s="3" t="s">
        <v>66</v>
      </c>
      <c r="C8424" s="4" t="str">
        <f t="shared" si="754"/>
        <v>GSE68468</v>
      </c>
      <c r="D8424" s="1" t="s">
        <v>62</v>
      </c>
      <c r="E8424" t="s">
        <v>96</v>
      </c>
      <c r="F8424" s="1">
        <v>2</v>
      </c>
      <c r="G8424" s="1" t="s">
        <v>28</v>
      </c>
      <c r="H8424" s="4" t="str">
        <f>HYPERLINK("https://www.ncbi.nlm.nih.gov/geo/query/acc.cgi?acc=GSM1672995","GSM1672995")</f>
        <v>GSM1672995</v>
      </c>
      <c r="I8424" t="s">
        <v>69</v>
      </c>
      <c r="J8424" t="s">
        <v>18</v>
      </c>
      <c r="K8424" t="s">
        <v>33</v>
      </c>
      <c r="L8424" t="s">
        <v>70</v>
      </c>
      <c r="N8424" t="s">
        <v>29</v>
      </c>
    </row>
    <row r="8425" spans="1:14">
      <c r="A8425" s="4" t="str">
        <f t="shared" si="753"/>
        <v>EXP00274</v>
      </c>
      <c r="B8425" s="3" t="s">
        <v>66</v>
      </c>
      <c r="C8425" s="4" t="str">
        <f t="shared" si="754"/>
        <v>GSE68468</v>
      </c>
      <c r="D8425" s="1" t="s">
        <v>62</v>
      </c>
      <c r="E8425" t="s">
        <v>96</v>
      </c>
      <c r="F8425" s="1">
        <v>2</v>
      </c>
      <c r="G8425" s="1" t="s">
        <v>28</v>
      </c>
      <c r="H8425" s="4" t="str">
        <f>HYPERLINK("https://www.ncbi.nlm.nih.gov/geo/query/acc.cgi?acc=GSM1672996","GSM1672996")</f>
        <v>GSM1672996</v>
      </c>
      <c r="I8425" t="s">
        <v>69</v>
      </c>
      <c r="J8425" t="s">
        <v>18</v>
      </c>
      <c r="K8425" t="s">
        <v>33</v>
      </c>
      <c r="L8425" t="s">
        <v>70</v>
      </c>
      <c r="N8425" t="s">
        <v>29</v>
      </c>
    </row>
    <row r="8426" spans="1:14">
      <c r="A8426" s="4" t="str">
        <f t="shared" ref="A8426:A8489" si="755">HYPERLINK("http://hcmdb.i-sanger.com/experiment/details/experiment_id/EXP00274","EXP00274")</f>
        <v>EXP00274</v>
      </c>
      <c r="B8426" s="3" t="s">
        <v>66</v>
      </c>
      <c r="C8426" s="4" t="str">
        <f t="shared" si="754"/>
        <v>GSE68468</v>
      </c>
      <c r="D8426" s="1" t="s">
        <v>62</v>
      </c>
      <c r="E8426" t="s">
        <v>96</v>
      </c>
      <c r="F8426" s="1">
        <v>2</v>
      </c>
      <c r="G8426" s="1" t="s">
        <v>28</v>
      </c>
      <c r="H8426" s="4" t="str">
        <f>HYPERLINK("https://www.ncbi.nlm.nih.gov/geo/query/acc.cgi?acc=GSM1672998","GSM1672998")</f>
        <v>GSM1672998</v>
      </c>
      <c r="I8426" t="s">
        <v>69</v>
      </c>
      <c r="J8426" t="s">
        <v>18</v>
      </c>
      <c r="K8426" t="s">
        <v>33</v>
      </c>
      <c r="L8426" t="s">
        <v>70</v>
      </c>
      <c r="N8426" t="s">
        <v>29</v>
      </c>
    </row>
    <row r="8427" spans="1:14">
      <c r="A8427" s="4" t="str">
        <f t="shared" si="755"/>
        <v>EXP00274</v>
      </c>
      <c r="B8427" s="3" t="s">
        <v>66</v>
      </c>
      <c r="C8427" s="4" t="str">
        <f t="shared" si="754"/>
        <v>GSE68468</v>
      </c>
      <c r="D8427" s="1" t="s">
        <v>62</v>
      </c>
      <c r="E8427" t="s">
        <v>96</v>
      </c>
      <c r="F8427" s="1">
        <v>2</v>
      </c>
      <c r="G8427" s="1" t="s">
        <v>28</v>
      </c>
      <c r="H8427" s="4" t="str">
        <f>HYPERLINK("https://www.ncbi.nlm.nih.gov/geo/query/acc.cgi?acc=GSM1673000","GSM1673000")</f>
        <v>GSM1673000</v>
      </c>
      <c r="I8427" t="s">
        <v>69</v>
      </c>
      <c r="J8427" t="s">
        <v>18</v>
      </c>
      <c r="K8427" t="s">
        <v>33</v>
      </c>
      <c r="L8427" t="s">
        <v>70</v>
      </c>
      <c r="N8427" t="s">
        <v>29</v>
      </c>
    </row>
    <row r="8428" spans="1:14">
      <c r="A8428" s="4" t="str">
        <f t="shared" si="755"/>
        <v>EXP00274</v>
      </c>
      <c r="B8428" s="3" t="s">
        <v>66</v>
      </c>
      <c r="C8428" s="4" t="str">
        <f t="shared" si="754"/>
        <v>GSE68468</v>
      </c>
      <c r="D8428" s="1" t="s">
        <v>62</v>
      </c>
      <c r="E8428" t="s">
        <v>96</v>
      </c>
      <c r="F8428" s="1">
        <v>2</v>
      </c>
      <c r="G8428" s="1" t="s">
        <v>28</v>
      </c>
      <c r="H8428" s="4" t="str">
        <f>HYPERLINK("https://www.ncbi.nlm.nih.gov/geo/query/acc.cgi?acc=GSM1673002","GSM1673002")</f>
        <v>GSM1673002</v>
      </c>
      <c r="I8428" t="s">
        <v>69</v>
      </c>
      <c r="J8428" t="s">
        <v>18</v>
      </c>
      <c r="K8428" t="s">
        <v>33</v>
      </c>
      <c r="L8428" t="s">
        <v>70</v>
      </c>
      <c r="N8428" t="s">
        <v>29</v>
      </c>
    </row>
    <row r="8429" spans="1:14">
      <c r="A8429" s="4" t="str">
        <f t="shared" si="755"/>
        <v>EXP00274</v>
      </c>
      <c r="B8429" s="3" t="s">
        <v>66</v>
      </c>
      <c r="C8429" s="4" t="str">
        <f t="shared" si="754"/>
        <v>GSE68468</v>
      </c>
      <c r="D8429" s="1" t="s">
        <v>62</v>
      </c>
      <c r="E8429" t="s">
        <v>96</v>
      </c>
      <c r="F8429" s="1">
        <v>2</v>
      </c>
      <c r="G8429" s="1" t="s">
        <v>28</v>
      </c>
      <c r="H8429" s="4" t="str">
        <f>HYPERLINK("https://www.ncbi.nlm.nih.gov/geo/query/acc.cgi?acc=GSM1673003","GSM1673003")</f>
        <v>GSM1673003</v>
      </c>
      <c r="I8429" t="s">
        <v>69</v>
      </c>
      <c r="J8429" t="s">
        <v>18</v>
      </c>
      <c r="K8429" t="s">
        <v>33</v>
      </c>
      <c r="L8429" t="s">
        <v>70</v>
      </c>
      <c r="N8429" t="s">
        <v>29</v>
      </c>
    </row>
    <row r="8430" spans="1:14">
      <c r="A8430" s="4" t="str">
        <f t="shared" si="755"/>
        <v>EXP00274</v>
      </c>
      <c r="B8430" s="3" t="s">
        <v>66</v>
      </c>
      <c r="C8430" s="4" t="str">
        <f t="shared" si="754"/>
        <v>GSE68468</v>
      </c>
      <c r="D8430" s="1" t="s">
        <v>62</v>
      </c>
      <c r="E8430" t="s">
        <v>96</v>
      </c>
      <c r="F8430" s="1">
        <v>2</v>
      </c>
      <c r="G8430" s="1" t="s">
        <v>28</v>
      </c>
      <c r="H8430" s="4" t="str">
        <f>HYPERLINK("https://www.ncbi.nlm.nih.gov/geo/query/acc.cgi?acc=GSM1673004","GSM1673004")</f>
        <v>GSM1673004</v>
      </c>
      <c r="I8430" t="s">
        <v>69</v>
      </c>
      <c r="J8430" t="s">
        <v>18</v>
      </c>
      <c r="K8430" t="s">
        <v>33</v>
      </c>
      <c r="L8430" t="s">
        <v>70</v>
      </c>
      <c r="N8430" t="s">
        <v>29</v>
      </c>
    </row>
    <row r="8431" spans="1:14">
      <c r="A8431" s="4" t="str">
        <f t="shared" si="755"/>
        <v>EXP00274</v>
      </c>
      <c r="B8431" s="3" t="s">
        <v>66</v>
      </c>
      <c r="C8431" s="4" t="str">
        <f t="shared" si="754"/>
        <v>GSE68468</v>
      </c>
      <c r="D8431" s="1" t="s">
        <v>62</v>
      </c>
      <c r="E8431" t="s">
        <v>96</v>
      </c>
      <c r="F8431" s="1">
        <v>2</v>
      </c>
      <c r="G8431" s="1" t="s">
        <v>28</v>
      </c>
      <c r="H8431" s="4" t="str">
        <f>HYPERLINK("https://www.ncbi.nlm.nih.gov/geo/query/acc.cgi?acc=GSM1673006","GSM1673006")</f>
        <v>GSM1673006</v>
      </c>
      <c r="I8431" t="s">
        <v>69</v>
      </c>
      <c r="J8431" t="s">
        <v>18</v>
      </c>
      <c r="K8431" t="s">
        <v>33</v>
      </c>
      <c r="L8431" t="s">
        <v>70</v>
      </c>
      <c r="N8431" t="s">
        <v>29</v>
      </c>
    </row>
    <row r="8432" spans="1:14">
      <c r="A8432" s="4" t="str">
        <f t="shared" si="755"/>
        <v>EXP00274</v>
      </c>
      <c r="B8432" s="3" t="s">
        <v>66</v>
      </c>
      <c r="C8432" s="4" t="str">
        <f t="shared" si="754"/>
        <v>GSE68468</v>
      </c>
      <c r="D8432" s="1" t="s">
        <v>62</v>
      </c>
      <c r="E8432" t="s">
        <v>96</v>
      </c>
      <c r="F8432" s="1">
        <v>2</v>
      </c>
      <c r="G8432" s="1" t="s">
        <v>28</v>
      </c>
      <c r="H8432" s="4" t="str">
        <f>HYPERLINK("https://www.ncbi.nlm.nih.gov/geo/query/acc.cgi?acc=GSM1673007","GSM1673007")</f>
        <v>GSM1673007</v>
      </c>
      <c r="I8432" t="s">
        <v>69</v>
      </c>
      <c r="J8432" t="s">
        <v>18</v>
      </c>
      <c r="K8432" t="s">
        <v>33</v>
      </c>
      <c r="L8432" t="s">
        <v>70</v>
      </c>
      <c r="N8432" t="s">
        <v>29</v>
      </c>
    </row>
    <row r="8433" spans="1:14">
      <c r="A8433" s="4" t="str">
        <f t="shared" si="755"/>
        <v>EXP00274</v>
      </c>
      <c r="B8433" s="3" t="s">
        <v>66</v>
      </c>
      <c r="C8433" s="4" t="str">
        <f t="shared" si="754"/>
        <v>GSE68468</v>
      </c>
      <c r="D8433" s="1" t="s">
        <v>62</v>
      </c>
      <c r="E8433" t="s">
        <v>96</v>
      </c>
      <c r="F8433" s="1">
        <v>2</v>
      </c>
      <c r="G8433" s="1" t="s">
        <v>28</v>
      </c>
      <c r="H8433" s="4" t="str">
        <f>HYPERLINK("https://www.ncbi.nlm.nih.gov/geo/query/acc.cgi?acc=GSM1673008","GSM1673008")</f>
        <v>GSM1673008</v>
      </c>
      <c r="I8433" t="s">
        <v>69</v>
      </c>
      <c r="J8433" t="s">
        <v>18</v>
      </c>
      <c r="K8433" t="s">
        <v>33</v>
      </c>
      <c r="L8433" t="s">
        <v>70</v>
      </c>
      <c r="N8433" t="s">
        <v>29</v>
      </c>
    </row>
    <row r="8434" spans="1:14">
      <c r="A8434" s="4" t="str">
        <f t="shared" si="755"/>
        <v>EXP00274</v>
      </c>
      <c r="B8434" s="3" t="s">
        <v>66</v>
      </c>
      <c r="C8434" s="4" t="str">
        <f t="shared" si="754"/>
        <v>GSE68468</v>
      </c>
      <c r="D8434" s="1" t="s">
        <v>62</v>
      </c>
      <c r="E8434" t="s">
        <v>96</v>
      </c>
      <c r="F8434" s="1">
        <v>2</v>
      </c>
      <c r="G8434" s="1" t="s">
        <v>28</v>
      </c>
      <c r="H8434" s="4" t="str">
        <f>HYPERLINK("https://www.ncbi.nlm.nih.gov/geo/query/acc.cgi?acc=GSM1673010","GSM1673010")</f>
        <v>GSM1673010</v>
      </c>
      <c r="I8434" t="s">
        <v>69</v>
      </c>
      <c r="J8434" t="s">
        <v>18</v>
      </c>
      <c r="K8434" t="s">
        <v>33</v>
      </c>
      <c r="L8434" t="s">
        <v>70</v>
      </c>
      <c r="N8434" t="s">
        <v>29</v>
      </c>
    </row>
    <row r="8435" spans="1:14">
      <c r="A8435" s="4" t="str">
        <f t="shared" si="755"/>
        <v>EXP00274</v>
      </c>
      <c r="B8435" s="3" t="s">
        <v>66</v>
      </c>
      <c r="C8435" s="4" t="str">
        <f t="shared" si="754"/>
        <v>GSE68468</v>
      </c>
      <c r="D8435" s="1" t="s">
        <v>62</v>
      </c>
      <c r="E8435" t="s">
        <v>96</v>
      </c>
      <c r="F8435" s="1">
        <v>2</v>
      </c>
      <c r="G8435" s="1" t="s">
        <v>28</v>
      </c>
      <c r="H8435" s="4" t="str">
        <f>HYPERLINK("https://www.ncbi.nlm.nih.gov/geo/query/acc.cgi?acc=GSM1673011","GSM1673011")</f>
        <v>GSM1673011</v>
      </c>
      <c r="I8435" t="s">
        <v>69</v>
      </c>
      <c r="J8435" t="s">
        <v>18</v>
      </c>
      <c r="K8435" t="s">
        <v>33</v>
      </c>
      <c r="L8435" t="s">
        <v>70</v>
      </c>
      <c r="N8435" t="s">
        <v>29</v>
      </c>
    </row>
    <row r="8436" spans="1:14">
      <c r="A8436" s="4" t="str">
        <f t="shared" si="755"/>
        <v>EXP00274</v>
      </c>
      <c r="B8436" s="3" t="s">
        <v>66</v>
      </c>
      <c r="C8436" s="4" t="str">
        <f t="shared" si="754"/>
        <v>GSE68468</v>
      </c>
      <c r="D8436" s="1" t="s">
        <v>62</v>
      </c>
      <c r="E8436" t="s">
        <v>96</v>
      </c>
      <c r="F8436" s="1">
        <v>2</v>
      </c>
      <c r="G8436" s="1" t="s">
        <v>28</v>
      </c>
      <c r="H8436" s="4" t="str">
        <f>HYPERLINK("https://www.ncbi.nlm.nih.gov/geo/query/acc.cgi?acc=GSM1673012","GSM1673012")</f>
        <v>GSM1673012</v>
      </c>
      <c r="I8436" t="s">
        <v>69</v>
      </c>
      <c r="J8436" t="s">
        <v>18</v>
      </c>
      <c r="K8436" t="s">
        <v>33</v>
      </c>
      <c r="L8436" t="s">
        <v>70</v>
      </c>
      <c r="N8436" t="s">
        <v>29</v>
      </c>
    </row>
    <row r="8437" spans="1:14">
      <c r="A8437" s="4" t="str">
        <f t="shared" si="755"/>
        <v>EXP00274</v>
      </c>
      <c r="B8437" s="3" t="s">
        <v>66</v>
      </c>
      <c r="C8437" s="4" t="str">
        <f t="shared" ref="C8437:C8500" si="756">HYPERLINK("https://www.ncbi.nlm.nih.gov/geo/query/acc.cgi?acc=GSE68468","GSE68468")</f>
        <v>GSE68468</v>
      </c>
      <c r="D8437" s="1" t="s">
        <v>62</v>
      </c>
      <c r="E8437" t="s">
        <v>96</v>
      </c>
      <c r="F8437" s="1">
        <v>2</v>
      </c>
      <c r="G8437" s="1" t="s">
        <v>28</v>
      </c>
      <c r="H8437" s="4" t="str">
        <f>HYPERLINK("https://www.ncbi.nlm.nih.gov/geo/query/acc.cgi?acc=GSM1673016","GSM1673016")</f>
        <v>GSM1673016</v>
      </c>
      <c r="I8437" t="s">
        <v>69</v>
      </c>
      <c r="J8437" t="s">
        <v>18</v>
      </c>
      <c r="K8437" t="s">
        <v>33</v>
      </c>
      <c r="L8437" t="s">
        <v>70</v>
      </c>
      <c r="N8437" t="s">
        <v>29</v>
      </c>
    </row>
    <row r="8438" spans="1:14">
      <c r="A8438" s="4" t="str">
        <f t="shared" si="755"/>
        <v>EXP00274</v>
      </c>
      <c r="B8438" s="3" t="s">
        <v>66</v>
      </c>
      <c r="C8438" s="4" t="str">
        <f t="shared" si="756"/>
        <v>GSE68468</v>
      </c>
      <c r="D8438" s="1" t="s">
        <v>62</v>
      </c>
      <c r="E8438" t="s">
        <v>96</v>
      </c>
      <c r="F8438" s="1">
        <v>2</v>
      </c>
      <c r="G8438" s="1" t="s">
        <v>28</v>
      </c>
      <c r="H8438" s="4" t="str">
        <f>HYPERLINK("https://www.ncbi.nlm.nih.gov/geo/query/acc.cgi?acc=GSM1673017","GSM1673017")</f>
        <v>GSM1673017</v>
      </c>
      <c r="I8438" t="s">
        <v>69</v>
      </c>
      <c r="J8438" t="s">
        <v>18</v>
      </c>
      <c r="K8438" t="s">
        <v>33</v>
      </c>
      <c r="L8438" t="s">
        <v>70</v>
      </c>
      <c r="N8438" t="s">
        <v>29</v>
      </c>
    </row>
    <row r="8439" spans="1:14">
      <c r="A8439" s="4" t="str">
        <f t="shared" si="755"/>
        <v>EXP00274</v>
      </c>
      <c r="B8439" s="3" t="s">
        <v>66</v>
      </c>
      <c r="C8439" s="4" t="str">
        <f t="shared" si="756"/>
        <v>GSE68468</v>
      </c>
      <c r="D8439" s="1" t="s">
        <v>62</v>
      </c>
      <c r="E8439" t="s">
        <v>96</v>
      </c>
      <c r="F8439" s="1">
        <v>2</v>
      </c>
      <c r="G8439" s="1" t="s">
        <v>28</v>
      </c>
      <c r="H8439" s="4" t="str">
        <f>HYPERLINK("https://www.ncbi.nlm.nih.gov/geo/query/acc.cgi?acc=GSM1673018","GSM1673018")</f>
        <v>GSM1673018</v>
      </c>
      <c r="I8439" t="s">
        <v>69</v>
      </c>
      <c r="J8439" t="s">
        <v>18</v>
      </c>
      <c r="K8439" t="s">
        <v>33</v>
      </c>
      <c r="L8439" t="s">
        <v>70</v>
      </c>
      <c r="N8439" t="s">
        <v>29</v>
      </c>
    </row>
    <row r="8440" spans="1:14">
      <c r="A8440" s="4" t="str">
        <f t="shared" si="755"/>
        <v>EXP00274</v>
      </c>
      <c r="B8440" s="3" t="s">
        <v>66</v>
      </c>
      <c r="C8440" s="4" t="str">
        <f t="shared" si="756"/>
        <v>GSE68468</v>
      </c>
      <c r="D8440" s="1" t="s">
        <v>62</v>
      </c>
      <c r="E8440" t="s">
        <v>96</v>
      </c>
      <c r="F8440" s="1">
        <v>2</v>
      </c>
      <c r="G8440" s="1" t="s">
        <v>28</v>
      </c>
      <c r="H8440" s="4" t="str">
        <f>HYPERLINK("https://www.ncbi.nlm.nih.gov/geo/query/acc.cgi?acc=GSM1673024","GSM1673024")</f>
        <v>GSM1673024</v>
      </c>
      <c r="I8440" t="s">
        <v>69</v>
      </c>
      <c r="J8440" t="s">
        <v>18</v>
      </c>
      <c r="K8440" t="s">
        <v>33</v>
      </c>
      <c r="L8440" t="s">
        <v>70</v>
      </c>
      <c r="N8440" t="s">
        <v>29</v>
      </c>
    </row>
    <row r="8441" spans="1:14">
      <c r="A8441" s="4" t="str">
        <f t="shared" si="755"/>
        <v>EXP00274</v>
      </c>
      <c r="B8441" s="3" t="s">
        <v>66</v>
      </c>
      <c r="C8441" s="4" t="str">
        <f t="shared" si="756"/>
        <v>GSE68468</v>
      </c>
      <c r="D8441" s="1" t="s">
        <v>62</v>
      </c>
      <c r="E8441" t="s">
        <v>96</v>
      </c>
      <c r="F8441" s="1">
        <v>2</v>
      </c>
      <c r="G8441" s="1" t="s">
        <v>28</v>
      </c>
      <c r="H8441" s="4" t="str">
        <f>HYPERLINK("https://www.ncbi.nlm.nih.gov/geo/query/acc.cgi?acc=GSM1673027","GSM1673027")</f>
        <v>GSM1673027</v>
      </c>
      <c r="I8441" t="s">
        <v>69</v>
      </c>
      <c r="J8441" t="s">
        <v>18</v>
      </c>
      <c r="K8441" t="s">
        <v>33</v>
      </c>
      <c r="L8441" t="s">
        <v>70</v>
      </c>
      <c r="N8441" t="s">
        <v>29</v>
      </c>
    </row>
    <row r="8442" spans="1:14">
      <c r="A8442" s="4" t="str">
        <f t="shared" si="755"/>
        <v>EXP00274</v>
      </c>
      <c r="B8442" s="3" t="s">
        <v>66</v>
      </c>
      <c r="C8442" s="4" t="str">
        <f t="shared" si="756"/>
        <v>GSE68468</v>
      </c>
      <c r="D8442" s="1" t="s">
        <v>62</v>
      </c>
      <c r="E8442" t="s">
        <v>96</v>
      </c>
      <c r="F8442" s="1">
        <v>2</v>
      </c>
      <c r="G8442" s="1" t="s">
        <v>28</v>
      </c>
      <c r="H8442" s="4" t="str">
        <f>HYPERLINK("https://www.ncbi.nlm.nih.gov/geo/query/acc.cgi?acc=GSM1673028","GSM1673028")</f>
        <v>GSM1673028</v>
      </c>
      <c r="I8442" t="s">
        <v>69</v>
      </c>
      <c r="J8442" t="s">
        <v>18</v>
      </c>
      <c r="K8442" t="s">
        <v>33</v>
      </c>
      <c r="L8442" t="s">
        <v>70</v>
      </c>
      <c r="N8442" t="s">
        <v>29</v>
      </c>
    </row>
    <row r="8443" spans="1:14">
      <c r="A8443" s="4" t="str">
        <f t="shared" si="755"/>
        <v>EXP00274</v>
      </c>
      <c r="B8443" s="3" t="s">
        <v>66</v>
      </c>
      <c r="C8443" s="4" t="str">
        <f t="shared" si="756"/>
        <v>GSE68468</v>
      </c>
      <c r="D8443" s="1" t="s">
        <v>62</v>
      </c>
      <c r="E8443" t="s">
        <v>96</v>
      </c>
      <c r="F8443" s="1">
        <v>2</v>
      </c>
      <c r="G8443" s="1" t="s">
        <v>28</v>
      </c>
      <c r="H8443" s="4" t="str">
        <f>HYPERLINK("https://www.ncbi.nlm.nih.gov/geo/query/acc.cgi?acc=GSM1673030","GSM1673030")</f>
        <v>GSM1673030</v>
      </c>
      <c r="I8443" t="s">
        <v>69</v>
      </c>
      <c r="J8443" t="s">
        <v>18</v>
      </c>
      <c r="K8443" t="s">
        <v>33</v>
      </c>
      <c r="L8443" t="s">
        <v>70</v>
      </c>
      <c r="N8443" t="s">
        <v>29</v>
      </c>
    </row>
    <row r="8444" spans="1:14">
      <c r="A8444" s="4" t="str">
        <f t="shared" si="755"/>
        <v>EXP00274</v>
      </c>
      <c r="B8444" s="3" t="s">
        <v>66</v>
      </c>
      <c r="C8444" s="4" t="str">
        <f t="shared" si="756"/>
        <v>GSE68468</v>
      </c>
      <c r="D8444" s="1" t="s">
        <v>62</v>
      </c>
      <c r="E8444" t="s">
        <v>96</v>
      </c>
      <c r="F8444" s="1">
        <v>2</v>
      </c>
      <c r="G8444" s="1" t="s">
        <v>28</v>
      </c>
      <c r="H8444" s="4" t="str">
        <f>HYPERLINK("https://www.ncbi.nlm.nih.gov/geo/query/acc.cgi?acc=GSM1673031","GSM1673031")</f>
        <v>GSM1673031</v>
      </c>
      <c r="I8444" t="s">
        <v>69</v>
      </c>
      <c r="J8444" t="s">
        <v>18</v>
      </c>
      <c r="K8444" t="s">
        <v>33</v>
      </c>
      <c r="L8444" t="s">
        <v>70</v>
      </c>
      <c r="N8444" t="s">
        <v>29</v>
      </c>
    </row>
    <row r="8445" spans="1:14">
      <c r="A8445" s="4" t="str">
        <f t="shared" si="755"/>
        <v>EXP00274</v>
      </c>
      <c r="B8445" s="3" t="s">
        <v>66</v>
      </c>
      <c r="C8445" s="4" t="str">
        <f t="shared" si="756"/>
        <v>GSE68468</v>
      </c>
      <c r="D8445" s="1" t="s">
        <v>62</v>
      </c>
      <c r="E8445" t="s">
        <v>96</v>
      </c>
      <c r="F8445" s="1">
        <v>2</v>
      </c>
      <c r="G8445" s="1" t="s">
        <v>28</v>
      </c>
      <c r="H8445" s="4" t="str">
        <f>HYPERLINK("https://www.ncbi.nlm.nih.gov/geo/query/acc.cgi?acc=GSM1673033","GSM1673033")</f>
        <v>GSM1673033</v>
      </c>
      <c r="I8445" t="s">
        <v>69</v>
      </c>
      <c r="J8445" t="s">
        <v>18</v>
      </c>
      <c r="K8445" t="s">
        <v>33</v>
      </c>
      <c r="L8445" t="s">
        <v>70</v>
      </c>
      <c r="N8445" t="s">
        <v>29</v>
      </c>
    </row>
    <row r="8446" spans="1:14">
      <c r="A8446" s="4" t="str">
        <f t="shared" si="755"/>
        <v>EXP00274</v>
      </c>
      <c r="B8446" s="3" t="s">
        <v>66</v>
      </c>
      <c r="C8446" s="4" t="str">
        <f t="shared" si="756"/>
        <v>GSE68468</v>
      </c>
      <c r="D8446" s="1" t="s">
        <v>62</v>
      </c>
      <c r="E8446" t="s">
        <v>96</v>
      </c>
      <c r="F8446" s="1">
        <v>2</v>
      </c>
      <c r="G8446" s="1" t="s">
        <v>28</v>
      </c>
      <c r="H8446" s="4" t="str">
        <f>HYPERLINK("https://www.ncbi.nlm.nih.gov/geo/query/acc.cgi?acc=GSM1673034","GSM1673034")</f>
        <v>GSM1673034</v>
      </c>
      <c r="I8446" t="s">
        <v>69</v>
      </c>
      <c r="J8446" t="s">
        <v>18</v>
      </c>
      <c r="K8446" t="s">
        <v>33</v>
      </c>
      <c r="L8446" t="s">
        <v>70</v>
      </c>
      <c r="N8446" t="s">
        <v>29</v>
      </c>
    </row>
    <row r="8447" spans="1:14">
      <c r="A8447" s="4" t="str">
        <f t="shared" si="755"/>
        <v>EXP00274</v>
      </c>
      <c r="B8447" s="3" t="s">
        <v>66</v>
      </c>
      <c r="C8447" s="4" t="str">
        <f t="shared" si="756"/>
        <v>GSE68468</v>
      </c>
      <c r="D8447" s="1" t="s">
        <v>62</v>
      </c>
      <c r="E8447" t="s">
        <v>96</v>
      </c>
      <c r="F8447" s="1">
        <v>2</v>
      </c>
      <c r="G8447" s="1" t="s">
        <v>28</v>
      </c>
      <c r="H8447" s="4" t="str">
        <f>HYPERLINK("https://www.ncbi.nlm.nih.gov/geo/query/acc.cgi?acc=GSM1673035","GSM1673035")</f>
        <v>GSM1673035</v>
      </c>
      <c r="I8447" t="s">
        <v>69</v>
      </c>
      <c r="J8447" t="s">
        <v>18</v>
      </c>
      <c r="K8447" t="s">
        <v>33</v>
      </c>
      <c r="L8447" t="s">
        <v>70</v>
      </c>
      <c r="N8447" t="s">
        <v>29</v>
      </c>
    </row>
    <row r="8448" spans="1:14">
      <c r="A8448" s="4" t="str">
        <f t="shared" si="755"/>
        <v>EXP00274</v>
      </c>
      <c r="B8448" s="3" t="s">
        <v>66</v>
      </c>
      <c r="C8448" s="4" t="str">
        <f t="shared" si="756"/>
        <v>GSE68468</v>
      </c>
      <c r="D8448" s="1" t="s">
        <v>62</v>
      </c>
      <c r="E8448" t="s">
        <v>96</v>
      </c>
      <c r="F8448" s="1">
        <v>2</v>
      </c>
      <c r="G8448" s="1" t="s">
        <v>28</v>
      </c>
      <c r="H8448" s="4" t="str">
        <f>HYPERLINK("https://www.ncbi.nlm.nih.gov/geo/query/acc.cgi?acc=GSM1673037","GSM1673037")</f>
        <v>GSM1673037</v>
      </c>
      <c r="I8448" t="s">
        <v>69</v>
      </c>
      <c r="J8448" t="s">
        <v>18</v>
      </c>
      <c r="K8448" t="s">
        <v>33</v>
      </c>
      <c r="L8448" t="s">
        <v>70</v>
      </c>
      <c r="N8448" t="s">
        <v>29</v>
      </c>
    </row>
    <row r="8449" spans="1:14">
      <c r="A8449" s="4" t="str">
        <f t="shared" si="755"/>
        <v>EXP00274</v>
      </c>
      <c r="B8449" s="3" t="s">
        <v>66</v>
      </c>
      <c r="C8449" s="4" t="str">
        <f t="shared" si="756"/>
        <v>GSE68468</v>
      </c>
      <c r="D8449" s="1" t="s">
        <v>62</v>
      </c>
      <c r="E8449" t="s">
        <v>96</v>
      </c>
      <c r="F8449" s="1">
        <v>2</v>
      </c>
      <c r="G8449" s="1" t="s">
        <v>28</v>
      </c>
      <c r="H8449" s="4" t="str">
        <f>HYPERLINK("https://www.ncbi.nlm.nih.gov/geo/query/acc.cgi?acc=GSM1673042","GSM1673042")</f>
        <v>GSM1673042</v>
      </c>
      <c r="I8449" t="s">
        <v>69</v>
      </c>
      <c r="J8449" t="s">
        <v>18</v>
      </c>
      <c r="K8449" t="s">
        <v>33</v>
      </c>
      <c r="L8449" t="s">
        <v>70</v>
      </c>
      <c r="N8449" t="s">
        <v>29</v>
      </c>
    </row>
    <row r="8450" spans="1:14">
      <c r="A8450" s="4" t="str">
        <f t="shared" si="755"/>
        <v>EXP00274</v>
      </c>
      <c r="B8450" s="3" t="s">
        <v>66</v>
      </c>
      <c r="C8450" s="4" t="str">
        <f t="shared" si="756"/>
        <v>GSE68468</v>
      </c>
      <c r="D8450" s="1" t="s">
        <v>62</v>
      </c>
      <c r="E8450" t="s">
        <v>96</v>
      </c>
      <c r="F8450" s="1">
        <v>2</v>
      </c>
      <c r="G8450" s="1" t="s">
        <v>28</v>
      </c>
      <c r="H8450" s="4" t="str">
        <f>HYPERLINK("https://www.ncbi.nlm.nih.gov/geo/query/acc.cgi?acc=GSM1673044","GSM1673044")</f>
        <v>GSM1673044</v>
      </c>
      <c r="I8450" t="s">
        <v>69</v>
      </c>
      <c r="J8450" t="s">
        <v>18</v>
      </c>
      <c r="K8450" t="s">
        <v>33</v>
      </c>
      <c r="L8450" t="s">
        <v>70</v>
      </c>
      <c r="N8450" t="s">
        <v>29</v>
      </c>
    </row>
    <row r="8451" spans="1:14">
      <c r="A8451" s="4" t="str">
        <f t="shared" si="755"/>
        <v>EXP00274</v>
      </c>
      <c r="B8451" s="3" t="s">
        <v>66</v>
      </c>
      <c r="C8451" s="4" t="str">
        <f t="shared" si="756"/>
        <v>GSE68468</v>
      </c>
      <c r="D8451" s="1" t="s">
        <v>62</v>
      </c>
      <c r="E8451" t="s">
        <v>96</v>
      </c>
      <c r="F8451" s="1">
        <v>2</v>
      </c>
      <c r="G8451" s="1" t="s">
        <v>28</v>
      </c>
      <c r="H8451" s="4" t="str">
        <f>HYPERLINK("https://www.ncbi.nlm.nih.gov/geo/query/acc.cgi?acc=GSM1673045","GSM1673045")</f>
        <v>GSM1673045</v>
      </c>
      <c r="I8451" t="s">
        <v>69</v>
      </c>
      <c r="J8451" t="s">
        <v>18</v>
      </c>
      <c r="K8451" t="s">
        <v>33</v>
      </c>
      <c r="L8451" t="s">
        <v>70</v>
      </c>
      <c r="N8451" t="s">
        <v>29</v>
      </c>
    </row>
    <row r="8452" spans="1:14">
      <c r="A8452" s="4" t="str">
        <f t="shared" si="755"/>
        <v>EXP00274</v>
      </c>
      <c r="B8452" s="3" t="s">
        <v>66</v>
      </c>
      <c r="C8452" s="4" t="str">
        <f t="shared" si="756"/>
        <v>GSE68468</v>
      </c>
      <c r="D8452" s="1" t="s">
        <v>62</v>
      </c>
      <c r="E8452" t="s">
        <v>96</v>
      </c>
      <c r="F8452" s="1">
        <v>2</v>
      </c>
      <c r="G8452" s="1" t="s">
        <v>28</v>
      </c>
      <c r="H8452" s="4" t="str">
        <f>HYPERLINK("https://www.ncbi.nlm.nih.gov/geo/query/acc.cgi?acc=GSM1673046","GSM1673046")</f>
        <v>GSM1673046</v>
      </c>
      <c r="I8452" t="s">
        <v>69</v>
      </c>
      <c r="J8452" t="s">
        <v>18</v>
      </c>
      <c r="K8452" t="s">
        <v>33</v>
      </c>
      <c r="L8452" t="s">
        <v>70</v>
      </c>
      <c r="N8452" t="s">
        <v>29</v>
      </c>
    </row>
    <row r="8453" spans="1:14">
      <c r="A8453" s="4" t="str">
        <f t="shared" si="755"/>
        <v>EXP00274</v>
      </c>
      <c r="B8453" s="3" t="s">
        <v>66</v>
      </c>
      <c r="C8453" s="4" t="str">
        <f t="shared" si="756"/>
        <v>GSE68468</v>
      </c>
      <c r="D8453" s="1" t="s">
        <v>62</v>
      </c>
      <c r="E8453" t="s">
        <v>96</v>
      </c>
      <c r="F8453" s="1">
        <v>2</v>
      </c>
      <c r="G8453" s="1" t="s">
        <v>28</v>
      </c>
      <c r="H8453" s="4" t="str">
        <f>HYPERLINK("https://www.ncbi.nlm.nih.gov/geo/query/acc.cgi?acc=GSM1673047","GSM1673047")</f>
        <v>GSM1673047</v>
      </c>
      <c r="I8453" t="s">
        <v>69</v>
      </c>
      <c r="J8453" t="s">
        <v>18</v>
      </c>
      <c r="K8453" t="s">
        <v>33</v>
      </c>
      <c r="L8453" t="s">
        <v>70</v>
      </c>
      <c r="N8453" t="s">
        <v>29</v>
      </c>
    </row>
    <row r="8454" spans="1:14">
      <c r="A8454" s="4" t="str">
        <f t="shared" si="755"/>
        <v>EXP00274</v>
      </c>
      <c r="B8454" s="3" t="s">
        <v>66</v>
      </c>
      <c r="C8454" s="4" t="str">
        <f t="shared" si="756"/>
        <v>GSE68468</v>
      </c>
      <c r="D8454" s="1" t="s">
        <v>62</v>
      </c>
      <c r="E8454" t="s">
        <v>96</v>
      </c>
      <c r="F8454" s="1">
        <v>2</v>
      </c>
      <c r="G8454" s="1" t="s">
        <v>28</v>
      </c>
      <c r="H8454" s="4" t="str">
        <f>HYPERLINK("https://www.ncbi.nlm.nih.gov/geo/query/acc.cgi?acc=GSM1673048","GSM1673048")</f>
        <v>GSM1673048</v>
      </c>
      <c r="I8454" t="s">
        <v>69</v>
      </c>
      <c r="J8454" t="s">
        <v>18</v>
      </c>
      <c r="K8454" t="s">
        <v>33</v>
      </c>
      <c r="L8454" t="s">
        <v>70</v>
      </c>
      <c r="N8454" t="s">
        <v>29</v>
      </c>
    </row>
    <row r="8455" spans="1:14">
      <c r="A8455" s="4" t="str">
        <f t="shared" si="755"/>
        <v>EXP00274</v>
      </c>
      <c r="B8455" s="3" t="s">
        <v>66</v>
      </c>
      <c r="C8455" s="4" t="str">
        <f t="shared" si="756"/>
        <v>GSE68468</v>
      </c>
      <c r="D8455" s="1" t="s">
        <v>62</v>
      </c>
      <c r="E8455" t="s">
        <v>96</v>
      </c>
      <c r="F8455" s="1">
        <v>2</v>
      </c>
      <c r="G8455" s="1" t="s">
        <v>28</v>
      </c>
      <c r="H8455" s="4" t="str">
        <f>HYPERLINK("https://www.ncbi.nlm.nih.gov/geo/query/acc.cgi?acc=GSM1673050","GSM1673050")</f>
        <v>GSM1673050</v>
      </c>
      <c r="I8455" t="s">
        <v>69</v>
      </c>
      <c r="J8455" t="s">
        <v>18</v>
      </c>
      <c r="K8455" t="s">
        <v>33</v>
      </c>
      <c r="L8455" t="s">
        <v>70</v>
      </c>
      <c r="N8455" t="s">
        <v>29</v>
      </c>
    </row>
    <row r="8456" spans="1:14">
      <c r="A8456" s="4" t="str">
        <f t="shared" si="755"/>
        <v>EXP00274</v>
      </c>
      <c r="B8456" s="3" t="s">
        <v>66</v>
      </c>
      <c r="C8456" s="4" t="str">
        <f t="shared" si="756"/>
        <v>GSE68468</v>
      </c>
      <c r="D8456" s="1" t="s">
        <v>62</v>
      </c>
      <c r="E8456" t="s">
        <v>96</v>
      </c>
      <c r="F8456" s="1">
        <v>2</v>
      </c>
      <c r="G8456" s="1" t="s">
        <v>28</v>
      </c>
      <c r="H8456" s="4" t="str">
        <f>HYPERLINK("https://www.ncbi.nlm.nih.gov/geo/query/acc.cgi?acc=GSM1673056","GSM1673056")</f>
        <v>GSM1673056</v>
      </c>
      <c r="I8456" t="s">
        <v>69</v>
      </c>
      <c r="J8456" t="s">
        <v>18</v>
      </c>
      <c r="K8456" t="s">
        <v>33</v>
      </c>
      <c r="L8456" t="s">
        <v>70</v>
      </c>
      <c r="N8456" t="s">
        <v>29</v>
      </c>
    </row>
    <row r="8457" spans="1:14">
      <c r="A8457" s="4" t="str">
        <f t="shared" si="755"/>
        <v>EXP00274</v>
      </c>
      <c r="B8457" s="3" t="s">
        <v>66</v>
      </c>
      <c r="C8457" s="4" t="str">
        <f t="shared" si="756"/>
        <v>GSE68468</v>
      </c>
      <c r="D8457" s="1" t="s">
        <v>62</v>
      </c>
      <c r="E8457" t="s">
        <v>96</v>
      </c>
      <c r="F8457" s="1">
        <v>2</v>
      </c>
      <c r="G8457" s="1" t="s">
        <v>28</v>
      </c>
      <c r="H8457" s="4" t="str">
        <f>HYPERLINK("https://www.ncbi.nlm.nih.gov/geo/query/acc.cgi?acc=GSM1673057","GSM1673057")</f>
        <v>GSM1673057</v>
      </c>
      <c r="I8457" t="s">
        <v>69</v>
      </c>
      <c r="J8457" t="s">
        <v>18</v>
      </c>
      <c r="K8457" t="s">
        <v>33</v>
      </c>
      <c r="L8457" t="s">
        <v>70</v>
      </c>
      <c r="N8457" t="s">
        <v>29</v>
      </c>
    </row>
    <row r="8458" spans="1:14">
      <c r="A8458" s="4" t="str">
        <f t="shared" si="755"/>
        <v>EXP00274</v>
      </c>
      <c r="B8458" s="3" t="s">
        <v>66</v>
      </c>
      <c r="C8458" s="4" t="str">
        <f t="shared" si="756"/>
        <v>GSE68468</v>
      </c>
      <c r="D8458" s="1" t="s">
        <v>62</v>
      </c>
      <c r="E8458" t="s">
        <v>96</v>
      </c>
      <c r="F8458" s="1">
        <v>2</v>
      </c>
      <c r="G8458" s="1" t="s">
        <v>28</v>
      </c>
      <c r="H8458" s="4" t="str">
        <f>HYPERLINK("https://www.ncbi.nlm.nih.gov/geo/query/acc.cgi?acc=GSM1673060","GSM1673060")</f>
        <v>GSM1673060</v>
      </c>
      <c r="I8458" t="s">
        <v>69</v>
      </c>
      <c r="J8458" t="s">
        <v>18</v>
      </c>
      <c r="K8458" t="s">
        <v>33</v>
      </c>
      <c r="L8458" t="s">
        <v>70</v>
      </c>
      <c r="N8458" t="s">
        <v>29</v>
      </c>
    </row>
    <row r="8459" spans="1:14">
      <c r="A8459" s="4" t="str">
        <f t="shared" si="755"/>
        <v>EXP00274</v>
      </c>
      <c r="B8459" s="3" t="s">
        <v>66</v>
      </c>
      <c r="C8459" s="4" t="str">
        <f t="shared" si="756"/>
        <v>GSE68468</v>
      </c>
      <c r="D8459" s="1" t="s">
        <v>62</v>
      </c>
      <c r="E8459" t="s">
        <v>96</v>
      </c>
      <c r="F8459" s="1">
        <v>2</v>
      </c>
      <c r="G8459" s="1" t="s">
        <v>28</v>
      </c>
      <c r="H8459" s="4" t="str">
        <f>HYPERLINK("https://www.ncbi.nlm.nih.gov/geo/query/acc.cgi?acc=GSM1673062","GSM1673062")</f>
        <v>GSM1673062</v>
      </c>
      <c r="I8459" t="s">
        <v>69</v>
      </c>
      <c r="J8459" t="s">
        <v>18</v>
      </c>
      <c r="K8459" t="s">
        <v>33</v>
      </c>
      <c r="L8459" t="s">
        <v>70</v>
      </c>
      <c r="N8459" t="s">
        <v>29</v>
      </c>
    </row>
    <row r="8460" spans="1:14">
      <c r="A8460" s="4" t="str">
        <f t="shared" si="755"/>
        <v>EXP00274</v>
      </c>
      <c r="B8460" s="3" t="s">
        <v>66</v>
      </c>
      <c r="C8460" s="4" t="str">
        <f t="shared" si="756"/>
        <v>GSE68468</v>
      </c>
      <c r="D8460" s="1" t="s">
        <v>62</v>
      </c>
      <c r="E8460" t="s">
        <v>96</v>
      </c>
      <c r="F8460" s="1">
        <v>2</v>
      </c>
      <c r="G8460" s="1" t="s">
        <v>28</v>
      </c>
      <c r="H8460" s="4" t="str">
        <f>HYPERLINK("https://www.ncbi.nlm.nih.gov/geo/query/acc.cgi?acc=GSM1673064","GSM1673064")</f>
        <v>GSM1673064</v>
      </c>
      <c r="I8460" t="s">
        <v>69</v>
      </c>
      <c r="J8460" t="s">
        <v>18</v>
      </c>
      <c r="K8460" t="s">
        <v>33</v>
      </c>
      <c r="L8460" t="s">
        <v>70</v>
      </c>
      <c r="N8460" t="s">
        <v>29</v>
      </c>
    </row>
    <row r="8461" spans="1:14">
      <c r="A8461" s="4" t="str">
        <f t="shared" si="755"/>
        <v>EXP00274</v>
      </c>
      <c r="B8461" s="3" t="s">
        <v>66</v>
      </c>
      <c r="C8461" s="4" t="str">
        <f t="shared" si="756"/>
        <v>GSE68468</v>
      </c>
      <c r="D8461" s="1" t="s">
        <v>62</v>
      </c>
      <c r="E8461" t="s">
        <v>96</v>
      </c>
      <c r="F8461" s="1">
        <v>2</v>
      </c>
      <c r="G8461" s="1" t="s">
        <v>28</v>
      </c>
      <c r="H8461" s="4" t="str">
        <f>HYPERLINK("https://www.ncbi.nlm.nih.gov/geo/query/acc.cgi?acc=GSM1673065","GSM1673065")</f>
        <v>GSM1673065</v>
      </c>
      <c r="I8461" t="s">
        <v>69</v>
      </c>
      <c r="J8461" t="s">
        <v>18</v>
      </c>
      <c r="K8461" t="s">
        <v>33</v>
      </c>
      <c r="L8461" t="s">
        <v>70</v>
      </c>
      <c r="N8461" t="s">
        <v>29</v>
      </c>
    </row>
    <row r="8462" spans="1:14">
      <c r="A8462" s="4" t="str">
        <f t="shared" si="755"/>
        <v>EXP00274</v>
      </c>
      <c r="B8462" s="3" t="s">
        <v>66</v>
      </c>
      <c r="C8462" s="4" t="str">
        <f t="shared" si="756"/>
        <v>GSE68468</v>
      </c>
      <c r="D8462" s="1" t="s">
        <v>62</v>
      </c>
      <c r="E8462" t="s">
        <v>96</v>
      </c>
      <c r="F8462" s="1">
        <v>2</v>
      </c>
      <c r="G8462" s="1" t="s">
        <v>28</v>
      </c>
      <c r="H8462" s="4" t="str">
        <f>HYPERLINK("https://www.ncbi.nlm.nih.gov/geo/query/acc.cgi?acc=GSM1673067","GSM1673067")</f>
        <v>GSM1673067</v>
      </c>
      <c r="I8462" t="s">
        <v>69</v>
      </c>
      <c r="J8462" t="s">
        <v>18</v>
      </c>
      <c r="K8462" t="s">
        <v>33</v>
      </c>
      <c r="L8462" t="s">
        <v>70</v>
      </c>
      <c r="N8462" t="s">
        <v>29</v>
      </c>
    </row>
    <row r="8463" spans="1:14">
      <c r="A8463" s="4" t="str">
        <f t="shared" si="755"/>
        <v>EXP00274</v>
      </c>
      <c r="B8463" s="3" t="s">
        <v>66</v>
      </c>
      <c r="C8463" s="4" t="str">
        <f t="shared" si="756"/>
        <v>GSE68468</v>
      </c>
      <c r="D8463" s="1" t="s">
        <v>62</v>
      </c>
      <c r="E8463" t="s">
        <v>96</v>
      </c>
      <c r="F8463" s="1">
        <v>2</v>
      </c>
      <c r="G8463" s="1" t="s">
        <v>28</v>
      </c>
      <c r="H8463" s="4" t="str">
        <f>HYPERLINK("https://www.ncbi.nlm.nih.gov/geo/query/acc.cgi?acc=GSM1673068","GSM1673068")</f>
        <v>GSM1673068</v>
      </c>
      <c r="I8463" t="s">
        <v>69</v>
      </c>
      <c r="J8463" t="s">
        <v>18</v>
      </c>
      <c r="K8463" t="s">
        <v>33</v>
      </c>
      <c r="L8463" t="s">
        <v>70</v>
      </c>
      <c r="N8463" t="s">
        <v>29</v>
      </c>
    </row>
    <row r="8464" spans="1:14">
      <c r="A8464" s="4" t="str">
        <f t="shared" si="755"/>
        <v>EXP00274</v>
      </c>
      <c r="B8464" s="3" t="s">
        <v>66</v>
      </c>
      <c r="C8464" s="4" t="str">
        <f t="shared" si="756"/>
        <v>GSE68468</v>
      </c>
      <c r="D8464" s="1" t="s">
        <v>62</v>
      </c>
      <c r="E8464" t="s">
        <v>96</v>
      </c>
      <c r="F8464" s="1">
        <v>2</v>
      </c>
      <c r="G8464" s="1" t="s">
        <v>28</v>
      </c>
      <c r="H8464" s="4" t="str">
        <f>HYPERLINK("https://www.ncbi.nlm.nih.gov/geo/query/acc.cgi?acc=GSM1673070","GSM1673070")</f>
        <v>GSM1673070</v>
      </c>
      <c r="I8464" t="s">
        <v>69</v>
      </c>
      <c r="J8464" t="s">
        <v>18</v>
      </c>
      <c r="K8464" t="s">
        <v>33</v>
      </c>
      <c r="L8464" t="s">
        <v>70</v>
      </c>
      <c r="N8464" t="s">
        <v>29</v>
      </c>
    </row>
    <row r="8465" spans="1:14">
      <c r="A8465" s="4" t="str">
        <f t="shared" si="755"/>
        <v>EXP00274</v>
      </c>
      <c r="B8465" s="3" t="s">
        <v>66</v>
      </c>
      <c r="C8465" s="4" t="str">
        <f t="shared" si="756"/>
        <v>GSE68468</v>
      </c>
      <c r="D8465" s="1" t="s">
        <v>62</v>
      </c>
      <c r="E8465" t="s">
        <v>96</v>
      </c>
      <c r="F8465" s="1">
        <v>2</v>
      </c>
      <c r="G8465" s="1" t="s">
        <v>28</v>
      </c>
      <c r="H8465" s="4" t="str">
        <f>HYPERLINK("https://www.ncbi.nlm.nih.gov/geo/query/acc.cgi?acc=GSM1673074","GSM1673074")</f>
        <v>GSM1673074</v>
      </c>
      <c r="I8465" t="s">
        <v>69</v>
      </c>
      <c r="J8465" t="s">
        <v>18</v>
      </c>
      <c r="K8465" t="s">
        <v>33</v>
      </c>
      <c r="L8465" t="s">
        <v>70</v>
      </c>
      <c r="N8465" t="s">
        <v>29</v>
      </c>
    </row>
    <row r="8466" spans="1:14">
      <c r="A8466" s="4" t="str">
        <f t="shared" si="755"/>
        <v>EXP00274</v>
      </c>
      <c r="B8466" s="3" t="s">
        <v>66</v>
      </c>
      <c r="C8466" s="4" t="str">
        <f t="shared" si="756"/>
        <v>GSE68468</v>
      </c>
      <c r="D8466" s="1" t="s">
        <v>62</v>
      </c>
      <c r="E8466" t="s">
        <v>96</v>
      </c>
      <c r="F8466" s="1">
        <v>2</v>
      </c>
      <c r="G8466" s="1" t="s">
        <v>28</v>
      </c>
      <c r="H8466" s="4" t="str">
        <f>HYPERLINK("https://www.ncbi.nlm.nih.gov/geo/query/acc.cgi?acc=GSM1673079","GSM1673079")</f>
        <v>GSM1673079</v>
      </c>
      <c r="I8466" t="s">
        <v>69</v>
      </c>
      <c r="J8466" t="s">
        <v>18</v>
      </c>
      <c r="K8466" t="s">
        <v>33</v>
      </c>
      <c r="L8466" t="s">
        <v>70</v>
      </c>
      <c r="N8466" t="s">
        <v>29</v>
      </c>
    </row>
    <row r="8467" spans="1:14">
      <c r="A8467" s="4" t="str">
        <f t="shared" si="755"/>
        <v>EXP00274</v>
      </c>
      <c r="B8467" s="3" t="s">
        <v>66</v>
      </c>
      <c r="C8467" s="4" t="str">
        <f t="shared" si="756"/>
        <v>GSE68468</v>
      </c>
      <c r="D8467" s="1" t="s">
        <v>62</v>
      </c>
      <c r="E8467" t="s">
        <v>96</v>
      </c>
      <c r="F8467" s="1">
        <v>2</v>
      </c>
      <c r="G8467" s="1" t="s">
        <v>28</v>
      </c>
      <c r="H8467" s="4" t="str">
        <f>HYPERLINK("https://www.ncbi.nlm.nih.gov/geo/query/acc.cgi?acc=GSM1673081","GSM1673081")</f>
        <v>GSM1673081</v>
      </c>
      <c r="I8467" t="s">
        <v>69</v>
      </c>
      <c r="J8467" t="s">
        <v>18</v>
      </c>
      <c r="K8467" t="s">
        <v>33</v>
      </c>
      <c r="L8467" t="s">
        <v>70</v>
      </c>
      <c r="N8467" t="s">
        <v>29</v>
      </c>
    </row>
    <row r="8468" spans="1:14">
      <c r="A8468" s="4" t="str">
        <f t="shared" si="755"/>
        <v>EXP00274</v>
      </c>
      <c r="B8468" s="3" t="s">
        <v>66</v>
      </c>
      <c r="C8468" s="4" t="str">
        <f t="shared" si="756"/>
        <v>GSE68468</v>
      </c>
      <c r="D8468" s="1" t="s">
        <v>62</v>
      </c>
      <c r="E8468" t="s">
        <v>96</v>
      </c>
      <c r="F8468" s="1">
        <v>2</v>
      </c>
      <c r="G8468" s="1" t="s">
        <v>28</v>
      </c>
      <c r="H8468" s="4" t="str">
        <f>HYPERLINK("https://www.ncbi.nlm.nih.gov/geo/query/acc.cgi?acc=GSM1673084","GSM1673084")</f>
        <v>GSM1673084</v>
      </c>
      <c r="I8468" t="s">
        <v>69</v>
      </c>
      <c r="J8468" t="s">
        <v>18</v>
      </c>
      <c r="K8468" t="s">
        <v>33</v>
      </c>
      <c r="L8468" t="s">
        <v>70</v>
      </c>
      <c r="N8468" t="s">
        <v>29</v>
      </c>
    </row>
    <row r="8469" spans="1:14">
      <c r="A8469" s="4" t="str">
        <f t="shared" si="755"/>
        <v>EXP00274</v>
      </c>
      <c r="B8469" s="3" t="s">
        <v>66</v>
      </c>
      <c r="C8469" s="4" t="str">
        <f t="shared" si="756"/>
        <v>GSE68468</v>
      </c>
      <c r="D8469" s="1" t="s">
        <v>62</v>
      </c>
      <c r="E8469" t="s">
        <v>96</v>
      </c>
      <c r="F8469" s="1">
        <v>2</v>
      </c>
      <c r="G8469" s="1" t="s">
        <v>28</v>
      </c>
      <c r="H8469" s="4" t="str">
        <f>HYPERLINK("https://www.ncbi.nlm.nih.gov/geo/query/acc.cgi?acc=GSM1673094","GSM1673094")</f>
        <v>GSM1673094</v>
      </c>
      <c r="I8469" t="s">
        <v>69</v>
      </c>
      <c r="J8469" t="s">
        <v>18</v>
      </c>
      <c r="K8469" t="s">
        <v>33</v>
      </c>
      <c r="L8469" t="s">
        <v>70</v>
      </c>
      <c r="N8469" t="s">
        <v>29</v>
      </c>
    </row>
    <row r="8470" spans="1:14">
      <c r="A8470" s="4" t="str">
        <f t="shared" si="755"/>
        <v>EXP00274</v>
      </c>
      <c r="B8470" s="3" t="s">
        <v>66</v>
      </c>
      <c r="C8470" s="4" t="str">
        <f t="shared" si="756"/>
        <v>GSE68468</v>
      </c>
      <c r="D8470" s="1" t="s">
        <v>62</v>
      </c>
      <c r="E8470" t="s">
        <v>96</v>
      </c>
      <c r="F8470" s="1">
        <v>2</v>
      </c>
      <c r="G8470" s="1" t="s">
        <v>28</v>
      </c>
      <c r="H8470" s="4" t="str">
        <f>HYPERLINK("https://www.ncbi.nlm.nih.gov/geo/query/acc.cgi?acc=GSM1673098","GSM1673098")</f>
        <v>GSM1673098</v>
      </c>
      <c r="I8470" t="s">
        <v>69</v>
      </c>
      <c r="J8470" t="s">
        <v>18</v>
      </c>
      <c r="K8470" t="s">
        <v>33</v>
      </c>
      <c r="L8470" t="s">
        <v>70</v>
      </c>
      <c r="N8470" t="s">
        <v>29</v>
      </c>
    </row>
    <row r="8471" spans="1:14">
      <c r="A8471" s="4" t="str">
        <f t="shared" si="755"/>
        <v>EXP00274</v>
      </c>
      <c r="B8471" s="3" t="s">
        <v>66</v>
      </c>
      <c r="C8471" s="4" t="str">
        <f t="shared" si="756"/>
        <v>GSE68468</v>
      </c>
      <c r="D8471" s="1" t="s">
        <v>62</v>
      </c>
      <c r="E8471" t="s">
        <v>96</v>
      </c>
      <c r="F8471" s="1">
        <v>2</v>
      </c>
      <c r="G8471" s="1" t="s">
        <v>28</v>
      </c>
      <c r="H8471" s="4" t="str">
        <f>HYPERLINK("https://www.ncbi.nlm.nih.gov/geo/query/acc.cgi?acc=GSM1673099","GSM1673099")</f>
        <v>GSM1673099</v>
      </c>
      <c r="I8471" t="s">
        <v>69</v>
      </c>
      <c r="J8471" t="s">
        <v>18</v>
      </c>
      <c r="K8471" t="s">
        <v>33</v>
      </c>
      <c r="L8471" t="s">
        <v>70</v>
      </c>
      <c r="N8471" t="s">
        <v>29</v>
      </c>
    </row>
    <row r="8472" spans="1:14">
      <c r="A8472" s="4" t="str">
        <f t="shared" si="755"/>
        <v>EXP00274</v>
      </c>
      <c r="B8472" s="3" t="s">
        <v>66</v>
      </c>
      <c r="C8472" s="4" t="str">
        <f t="shared" si="756"/>
        <v>GSE68468</v>
      </c>
      <c r="D8472" s="1" t="s">
        <v>62</v>
      </c>
      <c r="E8472" t="s">
        <v>96</v>
      </c>
      <c r="F8472" s="1">
        <v>2</v>
      </c>
      <c r="G8472" s="1" t="s">
        <v>28</v>
      </c>
      <c r="H8472" s="4" t="str">
        <f>HYPERLINK("https://www.ncbi.nlm.nih.gov/geo/query/acc.cgi?acc=GSM1673100","GSM1673100")</f>
        <v>GSM1673100</v>
      </c>
      <c r="I8472" t="s">
        <v>69</v>
      </c>
      <c r="J8472" t="s">
        <v>18</v>
      </c>
      <c r="K8472" t="s">
        <v>33</v>
      </c>
      <c r="L8472" t="s">
        <v>70</v>
      </c>
      <c r="N8472" t="s">
        <v>29</v>
      </c>
    </row>
    <row r="8473" spans="1:14">
      <c r="A8473" s="4" t="str">
        <f t="shared" si="755"/>
        <v>EXP00274</v>
      </c>
      <c r="B8473" s="3" t="s">
        <v>66</v>
      </c>
      <c r="C8473" s="4" t="str">
        <f t="shared" si="756"/>
        <v>GSE68468</v>
      </c>
      <c r="D8473" s="1" t="s">
        <v>62</v>
      </c>
      <c r="E8473" t="s">
        <v>96</v>
      </c>
      <c r="F8473" s="1">
        <v>2</v>
      </c>
      <c r="G8473" s="1" t="s">
        <v>28</v>
      </c>
      <c r="H8473" s="4" t="str">
        <f>HYPERLINK("https://www.ncbi.nlm.nih.gov/geo/query/acc.cgi?acc=GSM1673103","GSM1673103")</f>
        <v>GSM1673103</v>
      </c>
      <c r="I8473" t="s">
        <v>69</v>
      </c>
      <c r="J8473" t="s">
        <v>18</v>
      </c>
      <c r="K8473" t="s">
        <v>33</v>
      </c>
      <c r="L8473" t="s">
        <v>70</v>
      </c>
      <c r="N8473" t="s">
        <v>29</v>
      </c>
    </row>
    <row r="8474" spans="1:14">
      <c r="A8474" s="4" t="str">
        <f t="shared" si="755"/>
        <v>EXP00274</v>
      </c>
      <c r="B8474" s="3" t="s">
        <v>66</v>
      </c>
      <c r="C8474" s="4" t="str">
        <f t="shared" si="756"/>
        <v>GSE68468</v>
      </c>
      <c r="D8474" s="1" t="s">
        <v>62</v>
      </c>
      <c r="E8474" t="s">
        <v>96</v>
      </c>
      <c r="F8474" s="1">
        <v>2</v>
      </c>
      <c r="G8474" s="1" t="s">
        <v>28</v>
      </c>
      <c r="H8474" s="4" t="str">
        <f>HYPERLINK("https://www.ncbi.nlm.nih.gov/geo/query/acc.cgi?acc=GSM1673106","GSM1673106")</f>
        <v>GSM1673106</v>
      </c>
      <c r="I8474" t="s">
        <v>69</v>
      </c>
      <c r="J8474" t="s">
        <v>18</v>
      </c>
      <c r="K8474" t="s">
        <v>33</v>
      </c>
      <c r="L8474" t="s">
        <v>70</v>
      </c>
      <c r="N8474" t="s">
        <v>29</v>
      </c>
    </row>
    <row r="8475" spans="1:14">
      <c r="A8475" s="4" t="str">
        <f t="shared" si="755"/>
        <v>EXP00274</v>
      </c>
      <c r="B8475" s="3" t="s">
        <v>66</v>
      </c>
      <c r="C8475" s="4" t="str">
        <f t="shared" si="756"/>
        <v>GSE68468</v>
      </c>
      <c r="D8475" s="1" t="s">
        <v>62</v>
      </c>
      <c r="E8475" t="s">
        <v>96</v>
      </c>
      <c r="F8475" s="1">
        <v>2</v>
      </c>
      <c r="G8475" s="1" t="s">
        <v>28</v>
      </c>
      <c r="H8475" s="4" t="str">
        <f>HYPERLINK("https://www.ncbi.nlm.nih.gov/geo/query/acc.cgi?acc=GSM1673107","GSM1673107")</f>
        <v>GSM1673107</v>
      </c>
      <c r="I8475" t="s">
        <v>69</v>
      </c>
      <c r="J8475" t="s">
        <v>18</v>
      </c>
      <c r="K8475" t="s">
        <v>33</v>
      </c>
      <c r="L8475" t="s">
        <v>70</v>
      </c>
      <c r="N8475" t="s">
        <v>29</v>
      </c>
    </row>
    <row r="8476" spans="1:14">
      <c r="A8476" s="4" t="str">
        <f t="shared" si="755"/>
        <v>EXP00274</v>
      </c>
      <c r="B8476" s="3" t="s">
        <v>66</v>
      </c>
      <c r="C8476" s="4" t="str">
        <f t="shared" si="756"/>
        <v>GSE68468</v>
      </c>
      <c r="D8476" s="1" t="s">
        <v>62</v>
      </c>
      <c r="E8476" t="s">
        <v>96</v>
      </c>
      <c r="F8476" s="1">
        <v>2</v>
      </c>
      <c r="G8476" s="1" t="s">
        <v>28</v>
      </c>
      <c r="H8476" s="4" t="str">
        <f>HYPERLINK("https://www.ncbi.nlm.nih.gov/geo/query/acc.cgi?acc=GSM1673109","GSM1673109")</f>
        <v>GSM1673109</v>
      </c>
      <c r="I8476" t="s">
        <v>69</v>
      </c>
      <c r="J8476" t="s">
        <v>18</v>
      </c>
      <c r="K8476" t="s">
        <v>33</v>
      </c>
      <c r="L8476" t="s">
        <v>70</v>
      </c>
      <c r="N8476" t="s">
        <v>29</v>
      </c>
    </row>
    <row r="8477" spans="1:14">
      <c r="A8477" s="4" t="str">
        <f t="shared" si="755"/>
        <v>EXP00274</v>
      </c>
      <c r="B8477" s="3" t="s">
        <v>66</v>
      </c>
      <c r="C8477" s="4" t="str">
        <f t="shared" si="756"/>
        <v>GSE68468</v>
      </c>
      <c r="D8477" s="1" t="s">
        <v>62</v>
      </c>
      <c r="E8477" t="s">
        <v>96</v>
      </c>
      <c r="F8477" s="1">
        <v>2</v>
      </c>
      <c r="G8477" s="1" t="s">
        <v>28</v>
      </c>
      <c r="H8477" s="4" t="str">
        <f>HYPERLINK("https://www.ncbi.nlm.nih.gov/geo/query/acc.cgi?acc=GSM1673115","GSM1673115")</f>
        <v>GSM1673115</v>
      </c>
      <c r="I8477" t="s">
        <v>69</v>
      </c>
      <c r="J8477" t="s">
        <v>18</v>
      </c>
      <c r="K8477" t="s">
        <v>33</v>
      </c>
      <c r="L8477" t="s">
        <v>70</v>
      </c>
      <c r="N8477" t="s">
        <v>29</v>
      </c>
    </row>
    <row r="8478" spans="1:14">
      <c r="A8478" s="4" t="str">
        <f t="shared" si="755"/>
        <v>EXP00274</v>
      </c>
      <c r="B8478" s="3" t="s">
        <v>66</v>
      </c>
      <c r="C8478" s="4" t="str">
        <f t="shared" si="756"/>
        <v>GSE68468</v>
      </c>
      <c r="D8478" s="1" t="s">
        <v>62</v>
      </c>
      <c r="E8478" t="s">
        <v>96</v>
      </c>
      <c r="F8478" s="1">
        <v>2</v>
      </c>
      <c r="G8478" s="1" t="s">
        <v>28</v>
      </c>
      <c r="H8478" s="4" t="str">
        <f>HYPERLINK("https://www.ncbi.nlm.nih.gov/geo/query/acc.cgi?acc=GSM1673117","GSM1673117")</f>
        <v>GSM1673117</v>
      </c>
      <c r="I8478" t="s">
        <v>69</v>
      </c>
      <c r="J8478" t="s">
        <v>18</v>
      </c>
      <c r="K8478" t="s">
        <v>33</v>
      </c>
      <c r="L8478" t="s">
        <v>70</v>
      </c>
      <c r="N8478" t="s">
        <v>29</v>
      </c>
    </row>
    <row r="8479" spans="1:14">
      <c r="A8479" s="4" t="str">
        <f t="shared" si="755"/>
        <v>EXP00274</v>
      </c>
      <c r="B8479" s="3" t="s">
        <v>66</v>
      </c>
      <c r="C8479" s="4" t="str">
        <f t="shared" si="756"/>
        <v>GSE68468</v>
      </c>
      <c r="D8479" s="1" t="s">
        <v>62</v>
      </c>
      <c r="E8479" t="s">
        <v>96</v>
      </c>
      <c r="F8479" s="1">
        <v>2</v>
      </c>
      <c r="G8479" s="1" t="s">
        <v>28</v>
      </c>
      <c r="H8479" s="4" t="str">
        <f>HYPERLINK("https://www.ncbi.nlm.nih.gov/geo/query/acc.cgi?acc=GSM1673118","GSM1673118")</f>
        <v>GSM1673118</v>
      </c>
      <c r="I8479" t="s">
        <v>69</v>
      </c>
      <c r="J8479" t="s">
        <v>18</v>
      </c>
      <c r="K8479" t="s">
        <v>33</v>
      </c>
      <c r="L8479" t="s">
        <v>70</v>
      </c>
      <c r="N8479" t="s">
        <v>29</v>
      </c>
    </row>
    <row r="8480" spans="1:14">
      <c r="A8480" s="4" t="str">
        <f t="shared" si="755"/>
        <v>EXP00274</v>
      </c>
      <c r="B8480" s="3" t="s">
        <v>66</v>
      </c>
      <c r="C8480" s="4" t="str">
        <f t="shared" si="756"/>
        <v>GSE68468</v>
      </c>
      <c r="D8480" s="1" t="s">
        <v>62</v>
      </c>
      <c r="E8480" t="s">
        <v>96</v>
      </c>
      <c r="F8480" s="1">
        <v>2</v>
      </c>
      <c r="G8480" s="1" t="s">
        <v>28</v>
      </c>
      <c r="H8480" s="4" t="str">
        <f>HYPERLINK("https://www.ncbi.nlm.nih.gov/geo/query/acc.cgi?acc=GSM1673119","GSM1673119")</f>
        <v>GSM1673119</v>
      </c>
      <c r="I8480" t="s">
        <v>69</v>
      </c>
      <c r="J8480" t="s">
        <v>18</v>
      </c>
      <c r="K8480" t="s">
        <v>33</v>
      </c>
      <c r="L8480" t="s">
        <v>70</v>
      </c>
      <c r="N8480" t="s">
        <v>29</v>
      </c>
    </row>
    <row r="8481" spans="1:14">
      <c r="A8481" s="4" t="str">
        <f t="shared" si="755"/>
        <v>EXP00274</v>
      </c>
      <c r="B8481" s="3" t="s">
        <v>66</v>
      </c>
      <c r="C8481" s="4" t="str">
        <f t="shared" si="756"/>
        <v>GSE68468</v>
      </c>
      <c r="D8481" s="1" t="s">
        <v>62</v>
      </c>
      <c r="E8481" t="s">
        <v>96</v>
      </c>
      <c r="F8481" s="1">
        <v>2</v>
      </c>
      <c r="G8481" s="1" t="s">
        <v>28</v>
      </c>
      <c r="H8481" s="4" t="str">
        <f>HYPERLINK("https://www.ncbi.nlm.nih.gov/geo/query/acc.cgi?acc=GSM1673120","GSM1673120")</f>
        <v>GSM1673120</v>
      </c>
      <c r="I8481" t="s">
        <v>69</v>
      </c>
      <c r="J8481" t="s">
        <v>18</v>
      </c>
      <c r="K8481" t="s">
        <v>33</v>
      </c>
      <c r="L8481" t="s">
        <v>70</v>
      </c>
      <c r="N8481" t="s">
        <v>29</v>
      </c>
    </row>
    <row r="8482" spans="1:14">
      <c r="A8482" s="4" t="str">
        <f t="shared" si="755"/>
        <v>EXP00274</v>
      </c>
      <c r="B8482" s="3" t="s">
        <v>66</v>
      </c>
      <c r="C8482" s="4" t="str">
        <f t="shared" si="756"/>
        <v>GSE68468</v>
      </c>
      <c r="D8482" s="1" t="s">
        <v>62</v>
      </c>
      <c r="E8482" t="s">
        <v>96</v>
      </c>
      <c r="F8482" s="1">
        <v>2</v>
      </c>
      <c r="G8482" s="1" t="s">
        <v>28</v>
      </c>
      <c r="H8482" s="4" t="str">
        <f>HYPERLINK("https://www.ncbi.nlm.nih.gov/geo/query/acc.cgi?acc=GSM1673121","GSM1673121")</f>
        <v>GSM1673121</v>
      </c>
      <c r="I8482" t="s">
        <v>69</v>
      </c>
      <c r="J8482" t="s">
        <v>18</v>
      </c>
      <c r="K8482" t="s">
        <v>33</v>
      </c>
      <c r="L8482" t="s">
        <v>70</v>
      </c>
      <c r="N8482" t="s">
        <v>29</v>
      </c>
    </row>
    <row r="8483" spans="1:14">
      <c r="A8483" s="4" t="str">
        <f t="shared" si="755"/>
        <v>EXP00274</v>
      </c>
      <c r="B8483" s="3" t="s">
        <v>66</v>
      </c>
      <c r="C8483" s="4" t="str">
        <f t="shared" si="756"/>
        <v>GSE68468</v>
      </c>
      <c r="D8483" s="1" t="s">
        <v>62</v>
      </c>
      <c r="E8483" t="s">
        <v>96</v>
      </c>
      <c r="F8483" s="1">
        <v>2</v>
      </c>
      <c r="G8483" s="1" t="s">
        <v>28</v>
      </c>
      <c r="H8483" s="4" t="str">
        <f>HYPERLINK("https://www.ncbi.nlm.nih.gov/geo/query/acc.cgi?acc=GSM1673123","GSM1673123")</f>
        <v>GSM1673123</v>
      </c>
      <c r="I8483" t="s">
        <v>69</v>
      </c>
      <c r="J8483" t="s">
        <v>18</v>
      </c>
      <c r="K8483" t="s">
        <v>33</v>
      </c>
      <c r="L8483" t="s">
        <v>70</v>
      </c>
      <c r="N8483" t="s">
        <v>29</v>
      </c>
    </row>
    <row r="8484" spans="1:14">
      <c r="A8484" s="4" t="str">
        <f t="shared" si="755"/>
        <v>EXP00274</v>
      </c>
      <c r="B8484" s="3" t="s">
        <v>66</v>
      </c>
      <c r="C8484" s="4" t="str">
        <f t="shared" si="756"/>
        <v>GSE68468</v>
      </c>
      <c r="D8484" s="1" t="s">
        <v>62</v>
      </c>
      <c r="E8484" t="s">
        <v>96</v>
      </c>
      <c r="F8484" s="1">
        <v>2</v>
      </c>
      <c r="G8484" s="1" t="s">
        <v>28</v>
      </c>
      <c r="H8484" s="4" t="str">
        <f>HYPERLINK("https://www.ncbi.nlm.nih.gov/geo/query/acc.cgi?acc=GSM1673125","GSM1673125")</f>
        <v>GSM1673125</v>
      </c>
      <c r="I8484" t="s">
        <v>69</v>
      </c>
      <c r="J8484" t="s">
        <v>18</v>
      </c>
      <c r="K8484" t="s">
        <v>33</v>
      </c>
      <c r="L8484" t="s">
        <v>70</v>
      </c>
      <c r="N8484" t="s">
        <v>29</v>
      </c>
    </row>
    <row r="8485" spans="1:14">
      <c r="A8485" s="4" t="str">
        <f t="shared" si="755"/>
        <v>EXP00274</v>
      </c>
      <c r="B8485" s="3" t="s">
        <v>66</v>
      </c>
      <c r="C8485" s="4" t="str">
        <f t="shared" si="756"/>
        <v>GSE68468</v>
      </c>
      <c r="D8485" s="1" t="s">
        <v>62</v>
      </c>
      <c r="E8485" t="s">
        <v>96</v>
      </c>
      <c r="F8485" s="1">
        <v>2</v>
      </c>
      <c r="G8485" s="1" t="s">
        <v>28</v>
      </c>
      <c r="H8485" s="4" t="str">
        <f>HYPERLINK("https://www.ncbi.nlm.nih.gov/geo/query/acc.cgi?acc=GSM1673127","GSM1673127")</f>
        <v>GSM1673127</v>
      </c>
      <c r="I8485" t="s">
        <v>69</v>
      </c>
      <c r="J8485" t="s">
        <v>18</v>
      </c>
      <c r="K8485" t="s">
        <v>33</v>
      </c>
      <c r="L8485" t="s">
        <v>70</v>
      </c>
      <c r="N8485" t="s">
        <v>29</v>
      </c>
    </row>
    <row r="8486" spans="1:14">
      <c r="A8486" s="4" t="str">
        <f t="shared" si="755"/>
        <v>EXP00274</v>
      </c>
      <c r="B8486" s="3" t="s">
        <v>66</v>
      </c>
      <c r="C8486" s="4" t="str">
        <f t="shared" si="756"/>
        <v>GSE68468</v>
      </c>
      <c r="D8486" s="1" t="s">
        <v>62</v>
      </c>
      <c r="E8486" t="s">
        <v>96</v>
      </c>
      <c r="F8486" s="1">
        <v>2</v>
      </c>
      <c r="G8486" s="1" t="s">
        <v>28</v>
      </c>
      <c r="H8486" s="4" t="str">
        <f>HYPERLINK("https://www.ncbi.nlm.nih.gov/geo/query/acc.cgi?acc=GSM1673128","GSM1673128")</f>
        <v>GSM1673128</v>
      </c>
      <c r="I8486" t="s">
        <v>69</v>
      </c>
      <c r="J8486" t="s">
        <v>18</v>
      </c>
      <c r="K8486" t="s">
        <v>33</v>
      </c>
      <c r="L8486" t="s">
        <v>70</v>
      </c>
      <c r="N8486" t="s">
        <v>29</v>
      </c>
    </row>
    <row r="8487" spans="1:14">
      <c r="A8487" s="4" t="str">
        <f t="shared" si="755"/>
        <v>EXP00274</v>
      </c>
      <c r="B8487" s="3" t="s">
        <v>66</v>
      </c>
      <c r="C8487" s="4" t="str">
        <f t="shared" si="756"/>
        <v>GSE68468</v>
      </c>
      <c r="D8487" s="1" t="s">
        <v>62</v>
      </c>
      <c r="E8487" t="s">
        <v>96</v>
      </c>
      <c r="F8487" s="1">
        <v>2</v>
      </c>
      <c r="G8487" s="1" t="s">
        <v>28</v>
      </c>
      <c r="H8487" s="4" t="str">
        <f>HYPERLINK("https://www.ncbi.nlm.nih.gov/geo/query/acc.cgi?acc=GSM1673132","GSM1673132")</f>
        <v>GSM1673132</v>
      </c>
      <c r="I8487" t="s">
        <v>69</v>
      </c>
      <c r="J8487" t="s">
        <v>18</v>
      </c>
      <c r="K8487" t="s">
        <v>33</v>
      </c>
      <c r="L8487" t="s">
        <v>70</v>
      </c>
      <c r="N8487" t="s">
        <v>29</v>
      </c>
    </row>
    <row r="8488" spans="1:14">
      <c r="A8488" s="4" t="str">
        <f t="shared" si="755"/>
        <v>EXP00274</v>
      </c>
      <c r="B8488" s="3" t="s">
        <v>66</v>
      </c>
      <c r="C8488" s="4" t="str">
        <f t="shared" si="756"/>
        <v>GSE68468</v>
      </c>
      <c r="D8488" s="1" t="s">
        <v>62</v>
      </c>
      <c r="E8488" t="s">
        <v>96</v>
      </c>
      <c r="F8488" s="1">
        <v>2</v>
      </c>
      <c r="G8488" s="1" t="s">
        <v>28</v>
      </c>
      <c r="H8488" s="4" t="str">
        <f>HYPERLINK("https://www.ncbi.nlm.nih.gov/geo/query/acc.cgi?acc=GSM1673133","GSM1673133")</f>
        <v>GSM1673133</v>
      </c>
      <c r="I8488" t="s">
        <v>69</v>
      </c>
      <c r="J8488" t="s">
        <v>18</v>
      </c>
      <c r="K8488" t="s">
        <v>33</v>
      </c>
      <c r="L8488" t="s">
        <v>70</v>
      </c>
      <c r="N8488" t="s">
        <v>29</v>
      </c>
    </row>
    <row r="8489" spans="1:14">
      <c r="A8489" s="4" t="str">
        <f t="shared" si="755"/>
        <v>EXP00274</v>
      </c>
      <c r="B8489" s="3" t="s">
        <v>66</v>
      </c>
      <c r="C8489" s="4" t="str">
        <f t="shared" si="756"/>
        <v>GSE68468</v>
      </c>
      <c r="D8489" s="1" t="s">
        <v>62</v>
      </c>
      <c r="E8489" t="s">
        <v>96</v>
      </c>
      <c r="F8489" s="1">
        <v>2</v>
      </c>
      <c r="G8489" s="1" t="s">
        <v>28</v>
      </c>
      <c r="H8489" s="4" t="str">
        <f>HYPERLINK("https://www.ncbi.nlm.nih.gov/geo/query/acc.cgi?acc=GSM1673137","GSM1673137")</f>
        <v>GSM1673137</v>
      </c>
      <c r="I8489" t="s">
        <v>69</v>
      </c>
      <c r="J8489" t="s">
        <v>18</v>
      </c>
      <c r="K8489" t="s">
        <v>33</v>
      </c>
      <c r="L8489" t="s">
        <v>70</v>
      </c>
      <c r="N8489" t="s">
        <v>29</v>
      </c>
    </row>
    <row r="8490" spans="1:14">
      <c r="A8490" s="4" t="str">
        <f t="shared" ref="A8490:A8553" si="757">HYPERLINK("http://hcmdb.i-sanger.com/experiment/details/experiment_id/EXP00274","EXP00274")</f>
        <v>EXP00274</v>
      </c>
      <c r="B8490" s="3" t="s">
        <v>66</v>
      </c>
      <c r="C8490" s="4" t="str">
        <f t="shared" si="756"/>
        <v>GSE68468</v>
      </c>
      <c r="D8490" s="1" t="s">
        <v>62</v>
      </c>
      <c r="E8490" t="s">
        <v>96</v>
      </c>
      <c r="F8490" s="1">
        <v>2</v>
      </c>
      <c r="G8490" s="1" t="s">
        <v>28</v>
      </c>
      <c r="H8490" s="4" t="str">
        <f>HYPERLINK("https://www.ncbi.nlm.nih.gov/geo/query/acc.cgi?acc=GSM1673138","GSM1673138")</f>
        <v>GSM1673138</v>
      </c>
      <c r="I8490" t="s">
        <v>69</v>
      </c>
      <c r="J8490" t="s">
        <v>18</v>
      </c>
      <c r="K8490" t="s">
        <v>33</v>
      </c>
      <c r="L8490" t="s">
        <v>70</v>
      </c>
      <c r="N8490" t="s">
        <v>29</v>
      </c>
    </row>
    <row r="8491" spans="1:14">
      <c r="A8491" s="4" t="str">
        <f t="shared" si="757"/>
        <v>EXP00274</v>
      </c>
      <c r="B8491" s="3" t="s">
        <v>66</v>
      </c>
      <c r="C8491" s="4" t="str">
        <f t="shared" si="756"/>
        <v>GSE68468</v>
      </c>
      <c r="D8491" s="1" t="s">
        <v>62</v>
      </c>
      <c r="E8491" t="s">
        <v>96</v>
      </c>
      <c r="F8491" s="1">
        <v>2</v>
      </c>
      <c r="G8491" s="1" t="s">
        <v>28</v>
      </c>
      <c r="H8491" s="4" t="str">
        <f>HYPERLINK("https://www.ncbi.nlm.nih.gov/geo/query/acc.cgi?acc=GSM1673140","GSM1673140")</f>
        <v>GSM1673140</v>
      </c>
      <c r="I8491" t="s">
        <v>69</v>
      </c>
      <c r="J8491" t="s">
        <v>18</v>
      </c>
      <c r="K8491" t="s">
        <v>33</v>
      </c>
      <c r="L8491" t="s">
        <v>70</v>
      </c>
      <c r="N8491" t="s">
        <v>29</v>
      </c>
    </row>
    <row r="8492" spans="1:14">
      <c r="A8492" s="4" t="str">
        <f t="shared" si="757"/>
        <v>EXP00274</v>
      </c>
      <c r="B8492" s="3" t="s">
        <v>66</v>
      </c>
      <c r="C8492" s="4" t="str">
        <f t="shared" si="756"/>
        <v>GSE68468</v>
      </c>
      <c r="D8492" s="1" t="s">
        <v>62</v>
      </c>
      <c r="E8492" t="s">
        <v>96</v>
      </c>
      <c r="F8492" s="1">
        <v>2</v>
      </c>
      <c r="G8492" s="1" t="s">
        <v>28</v>
      </c>
      <c r="H8492" s="4" t="str">
        <f>HYPERLINK("https://www.ncbi.nlm.nih.gov/geo/query/acc.cgi?acc=GSM1673141","GSM1673141")</f>
        <v>GSM1673141</v>
      </c>
      <c r="I8492" t="s">
        <v>69</v>
      </c>
      <c r="J8492" t="s">
        <v>18</v>
      </c>
      <c r="K8492" t="s">
        <v>33</v>
      </c>
      <c r="L8492" t="s">
        <v>70</v>
      </c>
      <c r="N8492" t="s">
        <v>29</v>
      </c>
    </row>
    <row r="8493" spans="1:14">
      <c r="A8493" s="4" t="str">
        <f t="shared" si="757"/>
        <v>EXP00274</v>
      </c>
      <c r="B8493" s="3" t="s">
        <v>66</v>
      </c>
      <c r="C8493" s="4" t="str">
        <f t="shared" si="756"/>
        <v>GSE68468</v>
      </c>
      <c r="D8493" s="1" t="s">
        <v>62</v>
      </c>
      <c r="E8493" t="s">
        <v>96</v>
      </c>
      <c r="F8493" s="1">
        <v>2</v>
      </c>
      <c r="G8493" s="1" t="s">
        <v>28</v>
      </c>
      <c r="H8493" s="4" t="str">
        <f>HYPERLINK("https://www.ncbi.nlm.nih.gov/geo/query/acc.cgi?acc=GSM1673142","GSM1673142")</f>
        <v>GSM1673142</v>
      </c>
      <c r="I8493" t="s">
        <v>69</v>
      </c>
      <c r="J8493" t="s">
        <v>18</v>
      </c>
      <c r="K8493" t="s">
        <v>33</v>
      </c>
      <c r="L8493" t="s">
        <v>70</v>
      </c>
      <c r="N8493" t="s">
        <v>29</v>
      </c>
    </row>
    <row r="8494" spans="1:14">
      <c r="A8494" s="4" t="str">
        <f t="shared" si="757"/>
        <v>EXP00274</v>
      </c>
      <c r="B8494" s="3" t="s">
        <v>66</v>
      </c>
      <c r="C8494" s="4" t="str">
        <f t="shared" si="756"/>
        <v>GSE68468</v>
      </c>
      <c r="D8494" s="1" t="s">
        <v>62</v>
      </c>
      <c r="E8494" t="s">
        <v>96</v>
      </c>
      <c r="F8494" s="1">
        <v>2</v>
      </c>
      <c r="G8494" s="1" t="s">
        <v>28</v>
      </c>
      <c r="H8494" s="4" t="str">
        <f>HYPERLINK("https://www.ncbi.nlm.nih.gov/geo/query/acc.cgi?acc=GSM1673144","GSM1673144")</f>
        <v>GSM1673144</v>
      </c>
      <c r="I8494" t="s">
        <v>69</v>
      </c>
      <c r="J8494" t="s">
        <v>18</v>
      </c>
      <c r="K8494" t="s">
        <v>33</v>
      </c>
      <c r="L8494" t="s">
        <v>70</v>
      </c>
      <c r="N8494" t="s">
        <v>29</v>
      </c>
    </row>
    <row r="8495" spans="1:14">
      <c r="A8495" s="4" t="str">
        <f t="shared" si="757"/>
        <v>EXP00274</v>
      </c>
      <c r="B8495" s="3" t="s">
        <v>66</v>
      </c>
      <c r="C8495" s="4" t="str">
        <f t="shared" si="756"/>
        <v>GSE68468</v>
      </c>
      <c r="D8495" s="1" t="s">
        <v>62</v>
      </c>
      <c r="E8495" t="s">
        <v>96</v>
      </c>
      <c r="F8495" s="1">
        <v>2</v>
      </c>
      <c r="G8495" s="1" t="s">
        <v>28</v>
      </c>
      <c r="H8495" s="4" t="str">
        <f>HYPERLINK("https://www.ncbi.nlm.nih.gov/geo/query/acc.cgi?acc=GSM1673146","GSM1673146")</f>
        <v>GSM1673146</v>
      </c>
      <c r="I8495" t="s">
        <v>69</v>
      </c>
      <c r="J8495" t="s">
        <v>18</v>
      </c>
      <c r="K8495" t="s">
        <v>33</v>
      </c>
      <c r="L8495" t="s">
        <v>70</v>
      </c>
      <c r="N8495" t="s">
        <v>29</v>
      </c>
    </row>
    <row r="8496" spans="1:14">
      <c r="A8496" s="4" t="str">
        <f t="shared" si="757"/>
        <v>EXP00274</v>
      </c>
      <c r="B8496" s="3" t="s">
        <v>66</v>
      </c>
      <c r="C8496" s="4" t="str">
        <f t="shared" si="756"/>
        <v>GSE68468</v>
      </c>
      <c r="D8496" s="1" t="s">
        <v>62</v>
      </c>
      <c r="E8496" t="s">
        <v>96</v>
      </c>
      <c r="F8496" s="1">
        <v>2</v>
      </c>
      <c r="G8496" s="1" t="s">
        <v>28</v>
      </c>
      <c r="H8496" s="4" t="str">
        <f>HYPERLINK("https://www.ncbi.nlm.nih.gov/geo/query/acc.cgi?acc=GSM1673147","GSM1673147")</f>
        <v>GSM1673147</v>
      </c>
      <c r="I8496" t="s">
        <v>69</v>
      </c>
      <c r="J8496" t="s">
        <v>18</v>
      </c>
      <c r="K8496" t="s">
        <v>33</v>
      </c>
      <c r="L8496" t="s">
        <v>70</v>
      </c>
      <c r="N8496" t="s">
        <v>29</v>
      </c>
    </row>
    <row r="8497" spans="1:14">
      <c r="A8497" s="4" t="str">
        <f t="shared" si="757"/>
        <v>EXP00274</v>
      </c>
      <c r="B8497" s="3" t="s">
        <v>66</v>
      </c>
      <c r="C8497" s="4" t="str">
        <f t="shared" si="756"/>
        <v>GSE68468</v>
      </c>
      <c r="D8497" s="1" t="s">
        <v>62</v>
      </c>
      <c r="E8497" t="s">
        <v>96</v>
      </c>
      <c r="F8497" s="1">
        <v>2</v>
      </c>
      <c r="G8497" s="1" t="s">
        <v>28</v>
      </c>
      <c r="H8497" s="4" t="str">
        <f>HYPERLINK("https://www.ncbi.nlm.nih.gov/geo/query/acc.cgi?acc=GSM1673148","GSM1673148")</f>
        <v>GSM1673148</v>
      </c>
      <c r="I8497" t="s">
        <v>69</v>
      </c>
      <c r="J8497" t="s">
        <v>18</v>
      </c>
      <c r="K8497" t="s">
        <v>33</v>
      </c>
      <c r="L8497" t="s">
        <v>70</v>
      </c>
      <c r="N8497" t="s">
        <v>29</v>
      </c>
    </row>
    <row r="8498" spans="1:14">
      <c r="A8498" s="4" t="str">
        <f t="shared" si="757"/>
        <v>EXP00274</v>
      </c>
      <c r="B8498" s="3" t="s">
        <v>66</v>
      </c>
      <c r="C8498" s="4" t="str">
        <f t="shared" si="756"/>
        <v>GSE68468</v>
      </c>
      <c r="D8498" s="1" t="s">
        <v>62</v>
      </c>
      <c r="E8498" t="s">
        <v>96</v>
      </c>
      <c r="F8498" s="1">
        <v>2</v>
      </c>
      <c r="G8498" s="1" t="s">
        <v>28</v>
      </c>
      <c r="H8498" s="4" t="str">
        <f>HYPERLINK("https://www.ncbi.nlm.nih.gov/geo/query/acc.cgi?acc=GSM1673149","GSM1673149")</f>
        <v>GSM1673149</v>
      </c>
      <c r="I8498" t="s">
        <v>69</v>
      </c>
      <c r="J8498" t="s">
        <v>18</v>
      </c>
      <c r="K8498" t="s">
        <v>33</v>
      </c>
      <c r="L8498" t="s">
        <v>70</v>
      </c>
      <c r="N8498" t="s">
        <v>29</v>
      </c>
    </row>
    <row r="8499" spans="1:14">
      <c r="A8499" s="4" t="str">
        <f t="shared" si="757"/>
        <v>EXP00274</v>
      </c>
      <c r="B8499" s="3" t="s">
        <v>66</v>
      </c>
      <c r="C8499" s="4" t="str">
        <f t="shared" si="756"/>
        <v>GSE68468</v>
      </c>
      <c r="D8499" s="1" t="s">
        <v>62</v>
      </c>
      <c r="E8499" t="s">
        <v>96</v>
      </c>
      <c r="F8499" s="1">
        <v>2</v>
      </c>
      <c r="G8499" s="1" t="s">
        <v>28</v>
      </c>
      <c r="H8499" s="4" t="str">
        <f>HYPERLINK("https://www.ncbi.nlm.nih.gov/geo/query/acc.cgi?acc=GSM1673150","GSM1673150")</f>
        <v>GSM1673150</v>
      </c>
      <c r="I8499" t="s">
        <v>69</v>
      </c>
      <c r="J8499" t="s">
        <v>18</v>
      </c>
      <c r="K8499" t="s">
        <v>33</v>
      </c>
      <c r="L8499" t="s">
        <v>70</v>
      </c>
      <c r="N8499" t="s">
        <v>29</v>
      </c>
    </row>
    <row r="8500" spans="1:14">
      <c r="A8500" s="4" t="str">
        <f t="shared" si="757"/>
        <v>EXP00274</v>
      </c>
      <c r="B8500" s="3" t="s">
        <v>66</v>
      </c>
      <c r="C8500" s="4" t="str">
        <f t="shared" si="756"/>
        <v>GSE68468</v>
      </c>
      <c r="D8500" s="1" t="s">
        <v>62</v>
      </c>
      <c r="E8500" t="s">
        <v>96</v>
      </c>
      <c r="F8500" s="1">
        <v>2</v>
      </c>
      <c r="G8500" s="1" t="s">
        <v>28</v>
      </c>
      <c r="H8500" s="4" t="str">
        <f>HYPERLINK("https://www.ncbi.nlm.nih.gov/geo/query/acc.cgi?acc=GSM1673152","GSM1673152")</f>
        <v>GSM1673152</v>
      </c>
      <c r="I8500" t="s">
        <v>69</v>
      </c>
      <c r="J8500" t="s">
        <v>18</v>
      </c>
      <c r="K8500" t="s">
        <v>33</v>
      </c>
      <c r="L8500" t="s">
        <v>70</v>
      </c>
      <c r="N8500" t="s">
        <v>29</v>
      </c>
    </row>
    <row r="8501" spans="1:14">
      <c r="A8501" s="4" t="str">
        <f t="shared" si="757"/>
        <v>EXP00274</v>
      </c>
      <c r="B8501" s="3" t="s">
        <v>66</v>
      </c>
      <c r="C8501" s="4" t="str">
        <f t="shared" ref="C8501:C8564" si="758">HYPERLINK("https://www.ncbi.nlm.nih.gov/geo/query/acc.cgi?acc=GSE68468","GSE68468")</f>
        <v>GSE68468</v>
      </c>
      <c r="D8501" s="1" t="s">
        <v>62</v>
      </c>
      <c r="E8501" t="s">
        <v>96</v>
      </c>
      <c r="F8501" s="1">
        <v>2</v>
      </c>
      <c r="G8501" s="1" t="s">
        <v>28</v>
      </c>
      <c r="H8501" s="4" t="str">
        <f>HYPERLINK("https://www.ncbi.nlm.nih.gov/geo/query/acc.cgi?acc=GSM1673153","GSM1673153")</f>
        <v>GSM1673153</v>
      </c>
      <c r="I8501" t="s">
        <v>69</v>
      </c>
      <c r="J8501" t="s">
        <v>18</v>
      </c>
      <c r="K8501" t="s">
        <v>33</v>
      </c>
      <c r="L8501" t="s">
        <v>70</v>
      </c>
      <c r="N8501" t="s">
        <v>29</v>
      </c>
    </row>
    <row r="8502" spans="1:14">
      <c r="A8502" s="4" t="str">
        <f t="shared" si="757"/>
        <v>EXP00274</v>
      </c>
      <c r="B8502" s="3" t="s">
        <v>66</v>
      </c>
      <c r="C8502" s="4" t="str">
        <f t="shared" si="758"/>
        <v>GSE68468</v>
      </c>
      <c r="D8502" s="1" t="s">
        <v>62</v>
      </c>
      <c r="E8502" t="s">
        <v>96</v>
      </c>
      <c r="F8502" s="1">
        <v>2</v>
      </c>
      <c r="G8502" s="1" t="s">
        <v>28</v>
      </c>
      <c r="H8502" s="4" t="str">
        <f>HYPERLINK("https://www.ncbi.nlm.nih.gov/geo/query/acc.cgi?acc=GSM1673155","GSM1673155")</f>
        <v>GSM1673155</v>
      </c>
      <c r="I8502" t="s">
        <v>69</v>
      </c>
      <c r="J8502" t="s">
        <v>18</v>
      </c>
      <c r="K8502" t="s">
        <v>33</v>
      </c>
      <c r="L8502" t="s">
        <v>70</v>
      </c>
      <c r="N8502" t="s">
        <v>29</v>
      </c>
    </row>
    <row r="8503" spans="1:14">
      <c r="A8503" s="4" t="str">
        <f t="shared" si="757"/>
        <v>EXP00274</v>
      </c>
      <c r="B8503" s="3" t="s">
        <v>66</v>
      </c>
      <c r="C8503" s="4" t="str">
        <f t="shared" si="758"/>
        <v>GSE68468</v>
      </c>
      <c r="D8503" s="1" t="s">
        <v>62</v>
      </c>
      <c r="E8503" t="s">
        <v>96</v>
      </c>
      <c r="F8503" s="1">
        <v>2</v>
      </c>
      <c r="G8503" s="1" t="s">
        <v>28</v>
      </c>
      <c r="H8503" s="4" t="str">
        <f>HYPERLINK("https://www.ncbi.nlm.nih.gov/geo/query/acc.cgi?acc=GSM1673156","GSM1673156")</f>
        <v>GSM1673156</v>
      </c>
      <c r="I8503" t="s">
        <v>69</v>
      </c>
      <c r="J8503" t="s">
        <v>18</v>
      </c>
      <c r="K8503" t="s">
        <v>33</v>
      </c>
      <c r="L8503" t="s">
        <v>70</v>
      </c>
      <c r="N8503" t="s">
        <v>29</v>
      </c>
    </row>
    <row r="8504" spans="1:14">
      <c r="A8504" s="4" t="str">
        <f t="shared" si="757"/>
        <v>EXP00274</v>
      </c>
      <c r="B8504" s="3" t="s">
        <v>66</v>
      </c>
      <c r="C8504" s="4" t="str">
        <f t="shared" si="758"/>
        <v>GSE68468</v>
      </c>
      <c r="D8504" s="1" t="s">
        <v>62</v>
      </c>
      <c r="E8504" t="s">
        <v>96</v>
      </c>
      <c r="F8504" s="1">
        <v>2</v>
      </c>
      <c r="G8504" s="1" t="s">
        <v>28</v>
      </c>
      <c r="H8504" s="4" t="str">
        <f>HYPERLINK("https://www.ncbi.nlm.nih.gov/geo/query/acc.cgi?acc=GSM1673160","GSM1673160")</f>
        <v>GSM1673160</v>
      </c>
      <c r="I8504" t="s">
        <v>69</v>
      </c>
      <c r="J8504" t="s">
        <v>18</v>
      </c>
      <c r="K8504" t="s">
        <v>33</v>
      </c>
      <c r="L8504" t="s">
        <v>70</v>
      </c>
      <c r="N8504" t="s">
        <v>29</v>
      </c>
    </row>
    <row r="8505" spans="1:14">
      <c r="A8505" s="4" t="str">
        <f t="shared" si="757"/>
        <v>EXP00274</v>
      </c>
      <c r="B8505" s="3" t="s">
        <v>66</v>
      </c>
      <c r="C8505" s="4" t="str">
        <f t="shared" si="758"/>
        <v>GSE68468</v>
      </c>
      <c r="D8505" s="1" t="s">
        <v>62</v>
      </c>
      <c r="E8505" t="s">
        <v>96</v>
      </c>
      <c r="F8505" s="1">
        <v>2</v>
      </c>
      <c r="G8505" s="1" t="s">
        <v>28</v>
      </c>
      <c r="H8505" s="4" t="str">
        <f>HYPERLINK("https://www.ncbi.nlm.nih.gov/geo/query/acc.cgi?acc=GSM1673161","GSM1673161")</f>
        <v>GSM1673161</v>
      </c>
      <c r="I8505" t="s">
        <v>69</v>
      </c>
      <c r="J8505" t="s">
        <v>18</v>
      </c>
      <c r="K8505" t="s">
        <v>33</v>
      </c>
      <c r="L8505" t="s">
        <v>70</v>
      </c>
      <c r="N8505" t="s">
        <v>29</v>
      </c>
    </row>
    <row r="8506" spans="1:14">
      <c r="A8506" s="4" t="str">
        <f t="shared" si="757"/>
        <v>EXP00274</v>
      </c>
      <c r="B8506" s="3" t="s">
        <v>66</v>
      </c>
      <c r="C8506" s="4" t="str">
        <f t="shared" si="758"/>
        <v>GSE68468</v>
      </c>
      <c r="D8506" s="1" t="s">
        <v>62</v>
      </c>
      <c r="E8506" t="s">
        <v>96</v>
      </c>
      <c r="F8506" s="1">
        <v>2</v>
      </c>
      <c r="G8506" s="1" t="s">
        <v>28</v>
      </c>
      <c r="H8506" s="4" t="str">
        <f>HYPERLINK("https://www.ncbi.nlm.nih.gov/geo/query/acc.cgi?acc=GSM1673162","GSM1673162")</f>
        <v>GSM1673162</v>
      </c>
      <c r="I8506" t="s">
        <v>69</v>
      </c>
      <c r="J8506" t="s">
        <v>18</v>
      </c>
      <c r="K8506" t="s">
        <v>33</v>
      </c>
      <c r="L8506" t="s">
        <v>70</v>
      </c>
      <c r="N8506" t="s">
        <v>29</v>
      </c>
    </row>
    <row r="8507" spans="1:14">
      <c r="A8507" s="4" t="str">
        <f t="shared" si="757"/>
        <v>EXP00274</v>
      </c>
      <c r="B8507" s="3" t="s">
        <v>66</v>
      </c>
      <c r="C8507" s="4" t="str">
        <f t="shared" si="758"/>
        <v>GSE68468</v>
      </c>
      <c r="D8507" s="1" t="s">
        <v>62</v>
      </c>
      <c r="E8507" t="s">
        <v>96</v>
      </c>
      <c r="F8507" s="1">
        <v>2</v>
      </c>
      <c r="G8507" s="1" t="s">
        <v>28</v>
      </c>
      <c r="H8507" s="4" t="str">
        <f>HYPERLINK("https://www.ncbi.nlm.nih.gov/geo/query/acc.cgi?acc=GSM1673163","GSM1673163")</f>
        <v>GSM1673163</v>
      </c>
      <c r="I8507" t="s">
        <v>69</v>
      </c>
      <c r="J8507" t="s">
        <v>18</v>
      </c>
      <c r="K8507" t="s">
        <v>33</v>
      </c>
      <c r="L8507" t="s">
        <v>70</v>
      </c>
      <c r="N8507" t="s">
        <v>29</v>
      </c>
    </row>
    <row r="8508" spans="1:14">
      <c r="A8508" s="4" t="str">
        <f t="shared" si="757"/>
        <v>EXP00274</v>
      </c>
      <c r="B8508" s="3" t="s">
        <v>66</v>
      </c>
      <c r="C8508" s="4" t="str">
        <f t="shared" si="758"/>
        <v>GSE68468</v>
      </c>
      <c r="D8508" s="1" t="s">
        <v>62</v>
      </c>
      <c r="E8508" t="s">
        <v>96</v>
      </c>
      <c r="F8508" s="1">
        <v>2</v>
      </c>
      <c r="G8508" s="1" t="s">
        <v>28</v>
      </c>
      <c r="H8508" s="4" t="str">
        <f>HYPERLINK("https://www.ncbi.nlm.nih.gov/geo/query/acc.cgi?acc=GSM1673165","GSM1673165")</f>
        <v>GSM1673165</v>
      </c>
      <c r="I8508" t="s">
        <v>69</v>
      </c>
      <c r="J8508" t="s">
        <v>18</v>
      </c>
      <c r="K8508" t="s">
        <v>33</v>
      </c>
      <c r="L8508" t="s">
        <v>70</v>
      </c>
      <c r="N8508" t="s">
        <v>29</v>
      </c>
    </row>
    <row r="8509" spans="1:14">
      <c r="A8509" s="4" t="str">
        <f t="shared" si="757"/>
        <v>EXP00274</v>
      </c>
      <c r="B8509" s="3" t="s">
        <v>66</v>
      </c>
      <c r="C8509" s="4" t="str">
        <f t="shared" si="758"/>
        <v>GSE68468</v>
      </c>
      <c r="D8509" s="1" t="s">
        <v>62</v>
      </c>
      <c r="E8509" t="s">
        <v>96</v>
      </c>
      <c r="F8509" s="1">
        <v>2</v>
      </c>
      <c r="G8509" s="1" t="s">
        <v>28</v>
      </c>
      <c r="H8509" s="4" t="str">
        <f>HYPERLINK("https://www.ncbi.nlm.nih.gov/geo/query/acc.cgi?acc=GSM1673170","GSM1673170")</f>
        <v>GSM1673170</v>
      </c>
      <c r="I8509" t="s">
        <v>69</v>
      </c>
      <c r="J8509" t="s">
        <v>18</v>
      </c>
      <c r="K8509" t="s">
        <v>33</v>
      </c>
      <c r="L8509" t="s">
        <v>70</v>
      </c>
      <c r="N8509" t="s">
        <v>29</v>
      </c>
    </row>
    <row r="8510" spans="1:14">
      <c r="A8510" s="4" t="str">
        <f t="shared" si="757"/>
        <v>EXP00274</v>
      </c>
      <c r="B8510" s="3" t="s">
        <v>66</v>
      </c>
      <c r="C8510" s="4" t="str">
        <f t="shared" si="758"/>
        <v>GSE68468</v>
      </c>
      <c r="D8510" s="1" t="s">
        <v>62</v>
      </c>
      <c r="E8510" t="s">
        <v>96</v>
      </c>
      <c r="F8510" s="1">
        <v>2</v>
      </c>
      <c r="G8510" s="1" t="s">
        <v>28</v>
      </c>
      <c r="H8510" s="4" t="str">
        <f>HYPERLINK("https://www.ncbi.nlm.nih.gov/geo/query/acc.cgi?acc=GSM1673171","GSM1673171")</f>
        <v>GSM1673171</v>
      </c>
      <c r="I8510" t="s">
        <v>69</v>
      </c>
      <c r="J8510" t="s">
        <v>18</v>
      </c>
      <c r="K8510" t="s">
        <v>33</v>
      </c>
      <c r="L8510" t="s">
        <v>70</v>
      </c>
      <c r="N8510" t="s">
        <v>29</v>
      </c>
    </row>
    <row r="8511" spans="1:14">
      <c r="A8511" s="4" t="str">
        <f t="shared" si="757"/>
        <v>EXP00274</v>
      </c>
      <c r="B8511" s="3" t="s">
        <v>66</v>
      </c>
      <c r="C8511" s="4" t="str">
        <f t="shared" si="758"/>
        <v>GSE68468</v>
      </c>
      <c r="D8511" s="1" t="s">
        <v>62</v>
      </c>
      <c r="E8511" t="s">
        <v>96</v>
      </c>
      <c r="F8511" s="1">
        <v>2</v>
      </c>
      <c r="G8511" s="1" t="s">
        <v>28</v>
      </c>
      <c r="H8511" s="4" t="str">
        <f>HYPERLINK("https://www.ncbi.nlm.nih.gov/geo/query/acc.cgi?acc=GSM1673173","GSM1673173")</f>
        <v>GSM1673173</v>
      </c>
      <c r="I8511" t="s">
        <v>69</v>
      </c>
      <c r="J8511" t="s">
        <v>18</v>
      </c>
      <c r="K8511" t="s">
        <v>33</v>
      </c>
      <c r="L8511" t="s">
        <v>70</v>
      </c>
      <c r="N8511" t="s">
        <v>29</v>
      </c>
    </row>
    <row r="8512" spans="1:14">
      <c r="A8512" s="4" t="str">
        <f t="shared" si="757"/>
        <v>EXP00274</v>
      </c>
      <c r="B8512" s="3" t="s">
        <v>66</v>
      </c>
      <c r="C8512" s="4" t="str">
        <f t="shared" si="758"/>
        <v>GSE68468</v>
      </c>
      <c r="D8512" s="1" t="s">
        <v>62</v>
      </c>
      <c r="E8512" t="s">
        <v>96</v>
      </c>
      <c r="F8512" s="1">
        <v>2</v>
      </c>
      <c r="G8512" s="1" t="s">
        <v>28</v>
      </c>
      <c r="H8512" s="4" t="str">
        <f>HYPERLINK("https://www.ncbi.nlm.nih.gov/geo/query/acc.cgi?acc=GSM1673176","GSM1673176")</f>
        <v>GSM1673176</v>
      </c>
      <c r="I8512" t="s">
        <v>69</v>
      </c>
      <c r="J8512" t="s">
        <v>18</v>
      </c>
      <c r="K8512" t="s">
        <v>33</v>
      </c>
      <c r="L8512" t="s">
        <v>70</v>
      </c>
      <c r="N8512" t="s">
        <v>29</v>
      </c>
    </row>
    <row r="8513" spans="1:14">
      <c r="A8513" s="4" t="str">
        <f t="shared" si="757"/>
        <v>EXP00274</v>
      </c>
      <c r="B8513" s="3" t="s">
        <v>66</v>
      </c>
      <c r="C8513" s="4" t="str">
        <f t="shared" si="758"/>
        <v>GSE68468</v>
      </c>
      <c r="D8513" s="1" t="s">
        <v>62</v>
      </c>
      <c r="E8513" t="s">
        <v>96</v>
      </c>
      <c r="F8513" s="1">
        <v>2</v>
      </c>
      <c r="G8513" s="1" t="s">
        <v>28</v>
      </c>
      <c r="H8513" s="4" t="str">
        <f>HYPERLINK("https://www.ncbi.nlm.nih.gov/geo/query/acc.cgi?acc=GSM1673177","GSM1673177")</f>
        <v>GSM1673177</v>
      </c>
      <c r="I8513" t="s">
        <v>69</v>
      </c>
      <c r="J8513" t="s">
        <v>18</v>
      </c>
      <c r="K8513" t="s">
        <v>33</v>
      </c>
      <c r="L8513" t="s">
        <v>70</v>
      </c>
      <c r="N8513" t="s">
        <v>29</v>
      </c>
    </row>
    <row r="8514" spans="1:14">
      <c r="A8514" s="4" t="str">
        <f t="shared" si="757"/>
        <v>EXP00274</v>
      </c>
      <c r="B8514" s="3" t="s">
        <v>66</v>
      </c>
      <c r="C8514" s="4" t="str">
        <f t="shared" si="758"/>
        <v>GSE68468</v>
      </c>
      <c r="D8514" s="1" t="s">
        <v>62</v>
      </c>
      <c r="E8514" t="s">
        <v>96</v>
      </c>
      <c r="F8514" s="1">
        <v>2</v>
      </c>
      <c r="G8514" s="1" t="s">
        <v>28</v>
      </c>
      <c r="H8514" s="4" t="str">
        <f>HYPERLINK("https://www.ncbi.nlm.nih.gov/geo/query/acc.cgi?acc=GSM1673179","GSM1673179")</f>
        <v>GSM1673179</v>
      </c>
      <c r="I8514" t="s">
        <v>69</v>
      </c>
      <c r="J8514" t="s">
        <v>18</v>
      </c>
      <c r="K8514" t="s">
        <v>33</v>
      </c>
      <c r="L8514" t="s">
        <v>70</v>
      </c>
      <c r="N8514" t="s">
        <v>29</v>
      </c>
    </row>
    <row r="8515" spans="1:14">
      <c r="A8515" s="4" t="str">
        <f t="shared" si="757"/>
        <v>EXP00274</v>
      </c>
      <c r="B8515" s="3" t="s">
        <v>66</v>
      </c>
      <c r="C8515" s="4" t="str">
        <f t="shared" si="758"/>
        <v>GSE68468</v>
      </c>
      <c r="D8515" s="1" t="s">
        <v>62</v>
      </c>
      <c r="E8515" t="s">
        <v>96</v>
      </c>
      <c r="F8515" s="1">
        <v>2</v>
      </c>
      <c r="G8515" s="1" t="s">
        <v>28</v>
      </c>
      <c r="H8515" s="4" t="str">
        <f>HYPERLINK("https://www.ncbi.nlm.nih.gov/geo/query/acc.cgi?acc=GSM1673182","GSM1673182")</f>
        <v>GSM1673182</v>
      </c>
      <c r="I8515" t="s">
        <v>69</v>
      </c>
      <c r="J8515" t="s">
        <v>18</v>
      </c>
      <c r="K8515" t="s">
        <v>33</v>
      </c>
      <c r="L8515" t="s">
        <v>70</v>
      </c>
      <c r="N8515" t="s">
        <v>29</v>
      </c>
    </row>
    <row r="8516" spans="1:14">
      <c r="A8516" s="4" t="str">
        <f t="shared" si="757"/>
        <v>EXP00274</v>
      </c>
      <c r="B8516" s="3" t="s">
        <v>66</v>
      </c>
      <c r="C8516" s="4" t="str">
        <f t="shared" si="758"/>
        <v>GSE68468</v>
      </c>
      <c r="D8516" s="1" t="s">
        <v>62</v>
      </c>
      <c r="E8516" t="s">
        <v>96</v>
      </c>
      <c r="F8516" s="1">
        <v>2</v>
      </c>
      <c r="G8516" s="1" t="s">
        <v>28</v>
      </c>
      <c r="H8516" s="4" t="str">
        <f>HYPERLINK("https://www.ncbi.nlm.nih.gov/geo/query/acc.cgi?acc=GSM1673187","GSM1673187")</f>
        <v>GSM1673187</v>
      </c>
      <c r="I8516" t="s">
        <v>69</v>
      </c>
      <c r="J8516" t="s">
        <v>18</v>
      </c>
      <c r="K8516" t="s">
        <v>33</v>
      </c>
      <c r="L8516" t="s">
        <v>70</v>
      </c>
      <c r="N8516" t="s">
        <v>29</v>
      </c>
    </row>
    <row r="8517" spans="1:14">
      <c r="A8517" s="4" t="str">
        <f t="shared" si="757"/>
        <v>EXP00274</v>
      </c>
      <c r="B8517" s="3" t="s">
        <v>66</v>
      </c>
      <c r="C8517" s="4" t="str">
        <f t="shared" si="758"/>
        <v>GSE68468</v>
      </c>
      <c r="D8517" s="1" t="s">
        <v>62</v>
      </c>
      <c r="E8517" t="s">
        <v>96</v>
      </c>
      <c r="F8517" s="1">
        <v>2</v>
      </c>
      <c r="G8517" s="1" t="s">
        <v>28</v>
      </c>
      <c r="H8517" s="4" t="str">
        <f>HYPERLINK("https://www.ncbi.nlm.nih.gov/geo/query/acc.cgi?acc=GSM1673188","GSM1673188")</f>
        <v>GSM1673188</v>
      </c>
      <c r="I8517" t="s">
        <v>69</v>
      </c>
      <c r="J8517" t="s">
        <v>18</v>
      </c>
      <c r="K8517" t="s">
        <v>33</v>
      </c>
      <c r="L8517" t="s">
        <v>70</v>
      </c>
      <c r="N8517" t="s">
        <v>29</v>
      </c>
    </row>
    <row r="8518" spans="1:14">
      <c r="A8518" s="4" t="str">
        <f t="shared" si="757"/>
        <v>EXP00274</v>
      </c>
      <c r="B8518" s="3" t="s">
        <v>66</v>
      </c>
      <c r="C8518" s="4" t="str">
        <f t="shared" si="758"/>
        <v>GSE68468</v>
      </c>
      <c r="D8518" s="1" t="s">
        <v>62</v>
      </c>
      <c r="E8518" t="s">
        <v>96</v>
      </c>
      <c r="F8518" s="1">
        <v>2</v>
      </c>
      <c r="G8518" s="1" t="s">
        <v>28</v>
      </c>
      <c r="H8518" s="4" t="str">
        <f>HYPERLINK("https://www.ncbi.nlm.nih.gov/geo/query/acc.cgi?acc=GSM1673189","GSM1673189")</f>
        <v>GSM1673189</v>
      </c>
      <c r="I8518" t="s">
        <v>69</v>
      </c>
      <c r="J8518" t="s">
        <v>18</v>
      </c>
      <c r="K8518" t="s">
        <v>33</v>
      </c>
      <c r="L8518" t="s">
        <v>70</v>
      </c>
      <c r="N8518" t="s">
        <v>29</v>
      </c>
    </row>
    <row r="8519" spans="1:14">
      <c r="A8519" s="4" t="str">
        <f t="shared" si="757"/>
        <v>EXP00274</v>
      </c>
      <c r="B8519" s="3" t="s">
        <v>66</v>
      </c>
      <c r="C8519" s="4" t="str">
        <f t="shared" si="758"/>
        <v>GSE68468</v>
      </c>
      <c r="D8519" s="1" t="s">
        <v>62</v>
      </c>
      <c r="E8519" t="s">
        <v>96</v>
      </c>
      <c r="F8519" s="1">
        <v>2</v>
      </c>
      <c r="G8519" s="1" t="s">
        <v>28</v>
      </c>
      <c r="H8519" s="4" t="str">
        <f>HYPERLINK("https://www.ncbi.nlm.nih.gov/geo/query/acc.cgi?acc=GSM1673190","GSM1673190")</f>
        <v>GSM1673190</v>
      </c>
      <c r="I8519" t="s">
        <v>69</v>
      </c>
      <c r="J8519" t="s">
        <v>18</v>
      </c>
      <c r="K8519" t="s">
        <v>33</v>
      </c>
      <c r="L8519" t="s">
        <v>70</v>
      </c>
      <c r="N8519" t="s">
        <v>29</v>
      </c>
    </row>
    <row r="8520" spans="1:14">
      <c r="A8520" s="4" t="str">
        <f t="shared" si="757"/>
        <v>EXP00274</v>
      </c>
      <c r="B8520" s="3" t="s">
        <v>66</v>
      </c>
      <c r="C8520" s="4" t="str">
        <f t="shared" si="758"/>
        <v>GSE68468</v>
      </c>
      <c r="D8520" s="1" t="s">
        <v>62</v>
      </c>
      <c r="E8520" t="s">
        <v>96</v>
      </c>
      <c r="F8520" s="1">
        <v>2</v>
      </c>
      <c r="G8520" s="1" t="s">
        <v>28</v>
      </c>
      <c r="H8520" s="4" t="str">
        <f>HYPERLINK("https://www.ncbi.nlm.nih.gov/geo/query/acc.cgi?acc=GSM1673192","GSM1673192")</f>
        <v>GSM1673192</v>
      </c>
      <c r="I8520" t="s">
        <v>69</v>
      </c>
      <c r="J8520" t="s">
        <v>18</v>
      </c>
      <c r="K8520" t="s">
        <v>33</v>
      </c>
      <c r="L8520" t="s">
        <v>70</v>
      </c>
      <c r="N8520" t="s">
        <v>29</v>
      </c>
    </row>
    <row r="8521" spans="1:14">
      <c r="A8521" s="4" t="str">
        <f t="shared" si="757"/>
        <v>EXP00274</v>
      </c>
      <c r="B8521" s="3" t="s">
        <v>66</v>
      </c>
      <c r="C8521" s="4" t="str">
        <f t="shared" si="758"/>
        <v>GSE68468</v>
      </c>
      <c r="D8521" s="1" t="s">
        <v>62</v>
      </c>
      <c r="E8521" t="s">
        <v>96</v>
      </c>
      <c r="F8521" s="1">
        <v>2</v>
      </c>
      <c r="G8521" s="1" t="s">
        <v>28</v>
      </c>
      <c r="H8521" s="4" t="str">
        <f>HYPERLINK("https://www.ncbi.nlm.nih.gov/geo/query/acc.cgi?acc=GSM1673195","GSM1673195")</f>
        <v>GSM1673195</v>
      </c>
      <c r="I8521" t="s">
        <v>69</v>
      </c>
      <c r="J8521" t="s">
        <v>18</v>
      </c>
      <c r="K8521" t="s">
        <v>33</v>
      </c>
      <c r="L8521" t="s">
        <v>70</v>
      </c>
      <c r="N8521" t="s">
        <v>29</v>
      </c>
    </row>
    <row r="8522" spans="1:14">
      <c r="A8522" s="4" t="str">
        <f t="shared" si="757"/>
        <v>EXP00274</v>
      </c>
      <c r="B8522" s="3" t="s">
        <v>66</v>
      </c>
      <c r="C8522" s="4" t="str">
        <f t="shared" si="758"/>
        <v>GSE68468</v>
      </c>
      <c r="D8522" s="1" t="s">
        <v>62</v>
      </c>
      <c r="E8522" t="s">
        <v>96</v>
      </c>
      <c r="F8522" s="1">
        <v>2</v>
      </c>
      <c r="G8522" s="1" t="s">
        <v>28</v>
      </c>
      <c r="H8522" s="4" t="str">
        <f>HYPERLINK("https://www.ncbi.nlm.nih.gov/geo/query/acc.cgi?acc=GSM1673199","GSM1673199")</f>
        <v>GSM1673199</v>
      </c>
      <c r="I8522" t="s">
        <v>69</v>
      </c>
      <c r="J8522" t="s">
        <v>18</v>
      </c>
      <c r="K8522" t="s">
        <v>33</v>
      </c>
      <c r="L8522" t="s">
        <v>70</v>
      </c>
      <c r="N8522" t="s">
        <v>29</v>
      </c>
    </row>
    <row r="8523" spans="1:14">
      <c r="A8523" s="4" t="str">
        <f t="shared" si="757"/>
        <v>EXP00274</v>
      </c>
      <c r="B8523" s="3" t="s">
        <v>66</v>
      </c>
      <c r="C8523" s="4" t="str">
        <f t="shared" si="758"/>
        <v>GSE68468</v>
      </c>
      <c r="D8523" s="1" t="s">
        <v>62</v>
      </c>
      <c r="E8523" t="s">
        <v>96</v>
      </c>
      <c r="F8523" s="1">
        <v>2</v>
      </c>
      <c r="G8523" s="1" t="s">
        <v>28</v>
      </c>
      <c r="H8523" s="4" t="str">
        <f>HYPERLINK("https://www.ncbi.nlm.nih.gov/geo/query/acc.cgi?acc=GSM1673201","GSM1673201")</f>
        <v>GSM1673201</v>
      </c>
      <c r="I8523" t="s">
        <v>69</v>
      </c>
      <c r="J8523" t="s">
        <v>18</v>
      </c>
      <c r="K8523" t="s">
        <v>33</v>
      </c>
      <c r="L8523" t="s">
        <v>70</v>
      </c>
      <c r="N8523" t="s">
        <v>29</v>
      </c>
    </row>
    <row r="8524" spans="1:14">
      <c r="A8524" s="4" t="str">
        <f t="shared" si="757"/>
        <v>EXP00274</v>
      </c>
      <c r="B8524" s="3" t="s">
        <v>66</v>
      </c>
      <c r="C8524" s="4" t="str">
        <f t="shared" si="758"/>
        <v>GSE68468</v>
      </c>
      <c r="D8524" s="1" t="s">
        <v>62</v>
      </c>
      <c r="E8524" t="s">
        <v>96</v>
      </c>
      <c r="F8524" s="1">
        <v>2</v>
      </c>
      <c r="G8524" s="1" t="s">
        <v>28</v>
      </c>
      <c r="H8524" s="4" t="str">
        <f>HYPERLINK("https://www.ncbi.nlm.nih.gov/geo/query/acc.cgi?acc=GSM1673205","GSM1673205")</f>
        <v>GSM1673205</v>
      </c>
      <c r="I8524" t="s">
        <v>69</v>
      </c>
      <c r="J8524" t="s">
        <v>18</v>
      </c>
      <c r="K8524" t="s">
        <v>33</v>
      </c>
      <c r="L8524" t="s">
        <v>70</v>
      </c>
      <c r="N8524" t="s">
        <v>29</v>
      </c>
    </row>
    <row r="8525" spans="1:14">
      <c r="A8525" s="4" t="str">
        <f t="shared" si="757"/>
        <v>EXP00274</v>
      </c>
      <c r="B8525" s="3" t="s">
        <v>66</v>
      </c>
      <c r="C8525" s="4" t="str">
        <f t="shared" si="758"/>
        <v>GSE68468</v>
      </c>
      <c r="D8525" s="1" t="s">
        <v>62</v>
      </c>
      <c r="E8525" t="s">
        <v>96</v>
      </c>
      <c r="F8525" s="1">
        <v>2</v>
      </c>
      <c r="G8525" s="1" t="s">
        <v>28</v>
      </c>
      <c r="H8525" s="4" t="str">
        <f>HYPERLINK("https://www.ncbi.nlm.nih.gov/geo/query/acc.cgi?acc=GSM1673207","GSM1673207")</f>
        <v>GSM1673207</v>
      </c>
      <c r="I8525" t="s">
        <v>69</v>
      </c>
      <c r="J8525" t="s">
        <v>18</v>
      </c>
      <c r="K8525" t="s">
        <v>33</v>
      </c>
      <c r="L8525" t="s">
        <v>70</v>
      </c>
      <c r="N8525" t="s">
        <v>29</v>
      </c>
    </row>
    <row r="8526" spans="1:14">
      <c r="A8526" s="4" t="str">
        <f t="shared" si="757"/>
        <v>EXP00274</v>
      </c>
      <c r="B8526" s="3" t="s">
        <v>66</v>
      </c>
      <c r="C8526" s="4" t="str">
        <f t="shared" si="758"/>
        <v>GSE68468</v>
      </c>
      <c r="D8526" s="1" t="s">
        <v>62</v>
      </c>
      <c r="E8526" t="s">
        <v>96</v>
      </c>
      <c r="F8526" s="1">
        <v>2</v>
      </c>
      <c r="G8526" s="1" t="s">
        <v>28</v>
      </c>
      <c r="H8526" s="4" t="str">
        <f>HYPERLINK("https://www.ncbi.nlm.nih.gov/geo/query/acc.cgi?acc=GSM1673208","GSM1673208")</f>
        <v>GSM1673208</v>
      </c>
      <c r="I8526" t="s">
        <v>69</v>
      </c>
      <c r="J8526" t="s">
        <v>18</v>
      </c>
      <c r="K8526" t="s">
        <v>33</v>
      </c>
      <c r="L8526" t="s">
        <v>70</v>
      </c>
      <c r="N8526" t="s">
        <v>29</v>
      </c>
    </row>
    <row r="8527" spans="1:14">
      <c r="A8527" s="4" t="str">
        <f t="shared" si="757"/>
        <v>EXP00274</v>
      </c>
      <c r="B8527" s="3" t="s">
        <v>66</v>
      </c>
      <c r="C8527" s="4" t="str">
        <f t="shared" si="758"/>
        <v>GSE68468</v>
      </c>
      <c r="D8527" s="1" t="s">
        <v>62</v>
      </c>
      <c r="E8527" t="s">
        <v>96</v>
      </c>
      <c r="F8527" s="1">
        <v>2</v>
      </c>
      <c r="G8527" s="1" t="s">
        <v>28</v>
      </c>
      <c r="H8527" s="4" t="str">
        <f>HYPERLINK("https://www.ncbi.nlm.nih.gov/geo/query/acc.cgi?acc=GSM1673209","GSM1673209")</f>
        <v>GSM1673209</v>
      </c>
      <c r="I8527" t="s">
        <v>69</v>
      </c>
      <c r="J8527" t="s">
        <v>18</v>
      </c>
      <c r="K8527" t="s">
        <v>33</v>
      </c>
      <c r="L8527" t="s">
        <v>70</v>
      </c>
      <c r="N8527" t="s">
        <v>29</v>
      </c>
    </row>
    <row r="8528" spans="1:14">
      <c r="A8528" s="4" t="str">
        <f t="shared" si="757"/>
        <v>EXP00274</v>
      </c>
      <c r="B8528" s="3" t="s">
        <v>66</v>
      </c>
      <c r="C8528" s="4" t="str">
        <f t="shared" si="758"/>
        <v>GSE68468</v>
      </c>
      <c r="D8528" s="1" t="s">
        <v>62</v>
      </c>
      <c r="E8528" t="s">
        <v>96</v>
      </c>
      <c r="F8528" s="1">
        <v>2</v>
      </c>
      <c r="G8528" s="1" t="s">
        <v>28</v>
      </c>
      <c r="H8528" s="4" t="str">
        <f>HYPERLINK("https://www.ncbi.nlm.nih.gov/geo/query/acc.cgi?acc=GSM1673211","GSM1673211")</f>
        <v>GSM1673211</v>
      </c>
      <c r="I8528" t="s">
        <v>69</v>
      </c>
      <c r="J8528" t="s">
        <v>18</v>
      </c>
      <c r="K8528" t="s">
        <v>33</v>
      </c>
      <c r="L8528" t="s">
        <v>70</v>
      </c>
      <c r="N8528" t="s">
        <v>29</v>
      </c>
    </row>
    <row r="8529" spans="1:14">
      <c r="A8529" s="4" t="str">
        <f t="shared" si="757"/>
        <v>EXP00274</v>
      </c>
      <c r="B8529" s="3" t="s">
        <v>66</v>
      </c>
      <c r="C8529" s="4" t="str">
        <f t="shared" si="758"/>
        <v>GSE68468</v>
      </c>
      <c r="D8529" s="1" t="s">
        <v>62</v>
      </c>
      <c r="E8529" t="s">
        <v>96</v>
      </c>
      <c r="F8529" s="1">
        <v>2</v>
      </c>
      <c r="G8529" s="1" t="s">
        <v>28</v>
      </c>
      <c r="H8529" s="4" t="str">
        <f>HYPERLINK("https://www.ncbi.nlm.nih.gov/geo/query/acc.cgi?acc=GSM1673213","GSM1673213")</f>
        <v>GSM1673213</v>
      </c>
      <c r="I8529" t="s">
        <v>69</v>
      </c>
      <c r="J8529" t="s">
        <v>18</v>
      </c>
      <c r="K8529" t="s">
        <v>33</v>
      </c>
      <c r="L8529" t="s">
        <v>70</v>
      </c>
      <c r="N8529" t="s">
        <v>29</v>
      </c>
    </row>
    <row r="8530" spans="1:14">
      <c r="A8530" s="4" t="str">
        <f t="shared" si="757"/>
        <v>EXP00274</v>
      </c>
      <c r="B8530" s="3" t="s">
        <v>66</v>
      </c>
      <c r="C8530" s="4" t="str">
        <f t="shared" si="758"/>
        <v>GSE68468</v>
      </c>
      <c r="D8530" s="1" t="s">
        <v>62</v>
      </c>
      <c r="E8530" t="s">
        <v>96</v>
      </c>
      <c r="F8530" s="1">
        <v>2</v>
      </c>
      <c r="G8530" s="1" t="s">
        <v>28</v>
      </c>
      <c r="H8530" s="4" t="str">
        <f>HYPERLINK("https://www.ncbi.nlm.nih.gov/geo/query/acc.cgi?acc=GSM1673218","GSM1673218")</f>
        <v>GSM1673218</v>
      </c>
      <c r="I8530" t="s">
        <v>69</v>
      </c>
      <c r="J8530" t="s">
        <v>18</v>
      </c>
      <c r="K8530" t="s">
        <v>33</v>
      </c>
      <c r="L8530" t="s">
        <v>70</v>
      </c>
      <c r="N8530" t="s">
        <v>29</v>
      </c>
    </row>
    <row r="8531" spans="1:14">
      <c r="A8531" s="4" t="str">
        <f t="shared" si="757"/>
        <v>EXP00274</v>
      </c>
      <c r="B8531" s="3" t="s">
        <v>66</v>
      </c>
      <c r="C8531" s="4" t="str">
        <f t="shared" si="758"/>
        <v>GSE68468</v>
      </c>
      <c r="D8531" s="1" t="s">
        <v>62</v>
      </c>
      <c r="E8531" t="s">
        <v>96</v>
      </c>
      <c r="F8531" s="1">
        <v>2</v>
      </c>
      <c r="G8531" s="1" t="s">
        <v>28</v>
      </c>
      <c r="H8531" s="4" t="str">
        <f>HYPERLINK("https://www.ncbi.nlm.nih.gov/geo/query/acc.cgi?acc=GSM1673219","GSM1673219")</f>
        <v>GSM1673219</v>
      </c>
      <c r="I8531" t="s">
        <v>69</v>
      </c>
      <c r="J8531" t="s">
        <v>18</v>
      </c>
      <c r="K8531" t="s">
        <v>33</v>
      </c>
      <c r="L8531" t="s">
        <v>70</v>
      </c>
      <c r="N8531" t="s">
        <v>29</v>
      </c>
    </row>
    <row r="8532" spans="1:14">
      <c r="A8532" s="4" t="str">
        <f t="shared" si="757"/>
        <v>EXP00274</v>
      </c>
      <c r="B8532" s="3" t="s">
        <v>66</v>
      </c>
      <c r="C8532" s="4" t="str">
        <f t="shared" si="758"/>
        <v>GSE68468</v>
      </c>
      <c r="D8532" s="1" t="s">
        <v>62</v>
      </c>
      <c r="E8532" t="s">
        <v>96</v>
      </c>
      <c r="F8532" s="1">
        <v>2</v>
      </c>
      <c r="G8532" s="1" t="s">
        <v>28</v>
      </c>
      <c r="H8532" s="4" t="str">
        <f>HYPERLINK("https://www.ncbi.nlm.nih.gov/geo/query/acc.cgi?acc=GSM1673220","GSM1673220")</f>
        <v>GSM1673220</v>
      </c>
      <c r="I8532" t="s">
        <v>69</v>
      </c>
      <c r="J8532" t="s">
        <v>18</v>
      </c>
      <c r="K8532" t="s">
        <v>33</v>
      </c>
      <c r="L8532" t="s">
        <v>70</v>
      </c>
      <c r="N8532" t="s">
        <v>29</v>
      </c>
    </row>
    <row r="8533" spans="1:14">
      <c r="A8533" s="4" t="str">
        <f t="shared" si="757"/>
        <v>EXP00274</v>
      </c>
      <c r="B8533" s="3" t="s">
        <v>66</v>
      </c>
      <c r="C8533" s="4" t="str">
        <f t="shared" si="758"/>
        <v>GSE68468</v>
      </c>
      <c r="D8533" s="1" t="s">
        <v>62</v>
      </c>
      <c r="E8533" t="s">
        <v>96</v>
      </c>
      <c r="F8533" s="1">
        <v>2</v>
      </c>
      <c r="G8533" s="1" t="s">
        <v>28</v>
      </c>
      <c r="H8533" s="4" t="str">
        <f>HYPERLINK("https://www.ncbi.nlm.nih.gov/geo/query/acc.cgi?acc=GSM1673223","GSM1673223")</f>
        <v>GSM1673223</v>
      </c>
      <c r="I8533" t="s">
        <v>69</v>
      </c>
      <c r="J8533" t="s">
        <v>18</v>
      </c>
      <c r="K8533" t="s">
        <v>33</v>
      </c>
      <c r="L8533" t="s">
        <v>70</v>
      </c>
      <c r="N8533" t="s">
        <v>29</v>
      </c>
    </row>
    <row r="8534" spans="1:14">
      <c r="A8534" s="4" t="str">
        <f t="shared" si="757"/>
        <v>EXP00274</v>
      </c>
      <c r="B8534" s="3" t="s">
        <v>66</v>
      </c>
      <c r="C8534" s="4" t="str">
        <f t="shared" si="758"/>
        <v>GSE68468</v>
      </c>
      <c r="D8534" s="1" t="s">
        <v>62</v>
      </c>
      <c r="E8534" t="s">
        <v>96</v>
      </c>
      <c r="F8534" s="1">
        <v>2</v>
      </c>
      <c r="G8534" s="1" t="s">
        <v>28</v>
      </c>
      <c r="H8534" s="4" t="str">
        <f>HYPERLINK("https://www.ncbi.nlm.nih.gov/geo/query/acc.cgi?acc=GSM1673227","GSM1673227")</f>
        <v>GSM1673227</v>
      </c>
      <c r="I8534" t="s">
        <v>69</v>
      </c>
      <c r="J8534" t="s">
        <v>18</v>
      </c>
      <c r="K8534" t="s">
        <v>33</v>
      </c>
      <c r="L8534" t="s">
        <v>70</v>
      </c>
      <c r="N8534" t="s">
        <v>29</v>
      </c>
    </row>
    <row r="8535" spans="1:14">
      <c r="A8535" s="4" t="str">
        <f t="shared" si="757"/>
        <v>EXP00274</v>
      </c>
      <c r="B8535" s="3" t="s">
        <v>66</v>
      </c>
      <c r="C8535" s="4" t="str">
        <f t="shared" si="758"/>
        <v>GSE68468</v>
      </c>
      <c r="D8535" s="1" t="s">
        <v>62</v>
      </c>
      <c r="E8535" t="s">
        <v>96</v>
      </c>
      <c r="F8535" s="1">
        <v>2</v>
      </c>
      <c r="G8535" s="1" t="s">
        <v>28</v>
      </c>
      <c r="H8535" s="4" t="str">
        <f>HYPERLINK("https://www.ncbi.nlm.nih.gov/geo/query/acc.cgi?acc=GSM1673228","GSM1673228")</f>
        <v>GSM1673228</v>
      </c>
      <c r="I8535" t="s">
        <v>69</v>
      </c>
      <c r="J8535" t="s">
        <v>18</v>
      </c>
      <c r="K8535" t="s">
        <v>33</v>
      </c>
      <c r="L8535" t="s">
        <v>70</v>
      </c>
      <c r="N8535" t="s">
        <v>29</v>
      </c>
    </row>
    <row r="8536" spans="1:14">
      <c r="A8536" s="4" t="str">
        <f t="shared" si="757"/>
        <v>EXP00274</v>
      </c>
      <c r="B8536" s="3" t="s">
        <v>66</v>
      </c>
      <c r="C8536" s="4" t="str">
        <f t="shared" si="758"/>
        <v>GSE68468</v>
      </c>
      <c r="D8536" s="1" t="s">
        <v>62</v>
      </c>
      <c r="E8536" t="s">
        <v>96</v>
      </c>
      <c r="F8536" s="1">
        <v>2</v>
      </c>
      <c r="G8536" s="1" t="s">
        <v>28</v>
      </c>
      <c r="H8536" s="4" t="str">
        <f>HYPERLINK("https://www.ncbi.nlm.nih.gov/geo/query/acc.cgi?acc=GSM1673229","GSM1673229")</f>
        <v>GSM1673229</v>
      </c>
      <c r="I8536" t="s">
        <v>69</v>
      </c>
      <c r="J8536" t="s">
        <v>18</v>
      </c>
      <c r="K8536" t="s">
        <v>33</v>
      </c>
      <c r="L8536" t="s">
        <v>70</v>
      </c>
      <c r="N8536" t="s">
        <v>29</v>
      </c>
    </row>
    <row r="8537" spans="1:14">
      <c r="A8537" s="4" t="str">
        <f t="shared" si="757"/>
        <v>EXP00274</v>
      </c>
      <c r="B8537" s="3" t="s">
        <v>66</v>
      </c>
      <c r="C8537" s="4" t="str">
        <f t="shared" si="758"/>
        <v>GSE68468</v>
      </c>
      <c r="D8537" s="1" t="s">
        <v>62</v>
      </c>
      <c r="E8537" t="s">
        <v>96</v>
      </c>
      <c r="F8537" s="1">
        <v>2</v>
      </c>
      <c r="G8537" s="1" t="s">
        <v>28</v>
      </c>
      <c r="H8537" s="4" t="str">
        <f>HYPERLINK("https://www.ncbi.nlm.nih.gov/geo/query/acc.cgi?acc=GSM1673230","GSM1673230")</f>
        <v>GSM1673230</v>
      </c>
      <c r="I8537" t="s">
        <v>69</v>
      </c>
      <c r="J8537" t="s">
        <v>18</v>
      </c>
      <c r="K8537" t="s">
        <v>33</v>
      </c>
      <c r="L8537" t="s">
        <v>70</v>
      </c>
      <c r="N8537" t="s">
        <v>29</v>
      </c>
    </row>
    <row r="8538" spans="1:14">
      <c r="A8538" s="4" t="str">
        <f t="shared" si="757"/>
        <v>EXP00274</v>
      </c>
      <c r="B8538" s="3" t="s">
        <v>66</v>
      </c>
      <c r="C8538" s="4" t="str">
        <f t="shared" si="758"/>
        <v>GSE68468</v>
      </c>
      <c r="D8538" s="1" t="s">
        <v>62</v>
      </c>
      <c r="E8538" t="s">
        <v>96</v>
      </c>
      <c r="F8538" s="1">
        <v>2</v>
      </c>
      <c r="G8538" s="1" t="s">
        <v>28</v>
      </c>
      <c r="H8538" s="4" t="str">
        <f>HYPERLINK("https://www.ncbi.nlm.nih.gov/geo/query/acc.cgi?acc=GSM1673240","GSM1673240")</f>
        <v>GSM1673240</v>
      </c>
      <c r="I8538" t="s">
        <v>69</v>
      </c>
      <c r="J8538" t="s">
        <v>18</v>
      </c>
      <c r="K8538" t="s">
        <v>33</v>
      </c>
      <c r="L8538" t="s">
        <v>70</v>
      </c>
      <c r="N8538" t="s">
        <v>29</v>
      </c>
    </row>
    <row r="8539" spans="1:14">
      <c r="A8539" s="4" t="str">
        <f t="shared" si="757"/>
        <v>EXP00274</v>
      </c>
      <c r="B8539" s="3" t="s">
        <v>66</v>
      </c>
      <c r="C8539" s="4" t="str">
        <f t="shared" si="758"/>
        <v>GSE68468</v>
      </c>
      <c r="D8539" s="1" t="s">
        <v>62</v>
      </c>
      <c r="E8539" t="s">
        <v>96</v>
      </c>
      <c r="F8539" s="1">
        <v>2</v>
      </c>
      <c r="G8539" s="1" t="s">
        <v>28</v>
      </c>
      <c r="H8539" s="4" t="str">
        <f>HYPERLINK("https://www.ncbi.nlm.nih.gov/geo/query/acc.cgi?acc=GSM1673243","GSM1673243")</f>
        <v>GSM1673243</v>
      </c>
      <c r="I8539" t="s">
        <v>69</v>
      </c>
      <c r="J8539" t="s">
        <v>18</v>
      </c>
      <c r="K8539" t="s">
        <v>33</v>
      </c>
      <c r="L8539" t="s">
        <v>70</v>
      </c>
      <c r="N8539" t="s">
        <v>29</v>
      </c>
    </row>
    <row r="8540" spans="1:14">
      <c r="A8540" s="4" t="str">
        <f t="shared" si="757"/>
        <v>EXP00274</v>
      </c>
      <c r="B8540" s="3" t="s">
        <v>66</v>
      </c>
      <c r="C8540" s="4" t="str">
        <f t="shared" si="758"/>
        <v>GSE68468</v>
      </c>
      <c r="D8540" s="1" t="s">
        <v>62</v>
      </c>
      <c r="E8540" t="s">
        <v>96</v>
      </c>
      <c r="F8540" s="1">
        <v>2</v>
      </c>
      <c r="G8540" s="1" t="s">
        <v>28</v>
      </c>
      <c r="H8540" s="4" t="str">
        <f>HYPERLINK("https://www.ncbi.nlm.nih.gov/geo/query/acc.cgi?acc=GSM1673248","GSM1673248")</f>
        <v>GSM1673248</v>
      </c>
      <c r="I8540" t="s">
        <v>69</v>
      </c>
      <c r="J8540" t="s">
        <v>18</v>
      </c>
      <c r="K8540" t="s">
        <v>33</v>
      </c>
      <c r="L8540" t="s">
        <v>70</v>
      </c>
      <c r="N8540" t="s">
        <v>29</v>
      </c>
    </row>
    <row r="8541" spans="1:14">
      <c r="A8541" s="4" t="str">
        <f t="shared" si="757"/>
        <v>EXP00274</v>
      </c>
      <c r="B8541" s="3" t="s">
        <v>66</v>
      </c>
      <c r="C8541" s="4" t="str">
        <f t="shared" si="758"/>
        <v>GSE68468</v>
      </c>
      <c r="D8541" s="1" t="s">
        <v>62</v>
      </c>
      <c r="E8541" t="s">
        <v>96</v>
      </c>
      <c r="F8541" s="1">
        <v>2</v>
      </c>
      <c r="G8541" s="1" t="s">
        <v>28</v>
      </c>
      <c r="H8541" s="4" t="str">
        <f>HYPERLINK("https://www.ncbi.nlm.nih.gov/geo/query/acc.cgi?acc=GSM1673249","GSM1673249")</f>
        <v>GSM1673249</v>
      </c>
      <c r="I8541" t="s">
        <v>69</v>
      </c>
      <c r="J8541" t="s">
        <v>18</v>
      </c>
      <c r="K8541" t="s">
        <v>33</v>
      </c>
      <c r="L8541" t="s">
        <v>70</v>
      </c>
      <c r="N8541" t="s">
        <v>29</v>
      </c>
    </row>
    <row r="8542" spans="1:14">
      <c r="A8542" s="4" t="str">
        <f t="shared" si="757"/>
        <v>EXP00274</v>
      </c>
      <c r="B8542" s="3" t="s">
        <v>66</v>
      </c>
      <c r="C8542" s="4" t="str">
        <f t="shared" si="758"/>
        <v>GSE68468</v>
      </c>
      <c r="D8542" s="1" t="s">
        <v>62</v>
      </c>
      <c r="E8542" t="s">
        <v>96</v>
      </c>
      <c r="F8542" s="1">
        <v>2</v>
      </c>
      <c r="G8542" s="1" t="s">
        <v>28</v>
      </c>
      <c r="H8542" s="4" t="str">
        <f>HYPERLINK("https://www.ncbi.nlm.nih.gov/geo/query/acc.cgi?acc=GSM1673250","GSM1673250")</f>
        <v>GSM1673250</v>
      </c>
      <c r="I8542" t="s">
        <v>69</v>
      </c>
      <c r="J8542" t="s">
        <v>18</v>
      </c>
      <c r="K8542" t="s">
        <v>33</v>
      </c>
      <c r="L8542" t="s">
        <v>70</v>
      </c>
      <c r="N8542" t="s">
        <v>29</v>
      </c>
    </row>
    <row r="8543" spans="1:14">
      <c r="A8543" s="4" t="str">
        <f t="shared" si="757"/>
        <v>EXP00274</v>
      </c>
      <c r="B8543" s="3" t="s">
        <v>66</v>
      </c>
      <c r="C8543" s="4" t="str">
        <f t="shared" si="758"/>
        <v>GSE68468</v>
      </c>
      <c r="D8543" s="1" t="s">
        <v>62</v>
      </c>
      <c r="E8543" t="s">
        <v>96</v>
      </c>
      <c r="F8543" s="1">
        <v>2</v>
      </c>
      <c r="G8543" s="1" t="s">
        <v>28</v>
      </c>
      <c r="H8543" s="4" t="str">
        <f>HYPERLINK("https://www.ncbi.nlm.nih.gov/geo/query/acc.cgi?acc=GSM1673251","GSM1673251")</f>
        <v>GSM1673251</v>
      </c>
      <c r="I8543" t="s">
        <v>69</v>
      </c>
      <c r="J8543" t="s">
        <v>18</v>
      </c>
      <c r="K8543" t="s">
        <v>33</v>
      </c>
      <c r="L8543" t="s">
        <v>70</v>
      </c>
      <c r="N8543" t="s">
        <v>29</v>
      </c>
    </row>
    <row r="8544" spans="1:14">
      <c r="A8544" s="4" t="str">
        <f t="shared" si="757"/>
        <v>EXP00274</v>
      </c>
      <c r="B8544" s="3" t="s">
        <v>66</v>
      </c>
      <c r="C8544" s="4" t="str">
        <f t="shared" si="758"/>
        <v>GSE68468</v>
      </c>
      <c r="D8544" s="1" t="s">
        <v>62</v>
      </c>
      <c r="E8544" t="s">
        <v>96</v>
      </c>
      <c r="F8544" s="1">
        <v>2</v>
      </c>
      <c r="G8544" s="1" t="s">
        <v>28</v>
      </c>
      <c r="H8544" s="4" t="str">
        <f>HYPERLINK("https://www.ncbi.nlm.nih.gov/geo/query/acc.cgi?acc=GSM1673252","GSM1673252")</f>
        <v>GSM1673252</v>
      </c>
      <c r="I8544" t="s">
        <v>69</v>
      </c>
      <c r="J8544" t="s">
        <v>18</v>
      </c>
      <c r="K8544" t="s">
        <v>33</v>
      </c>
      <c r="L8544" t="s">
        <v>70</v>
      </c>
      <c r="N8544" t="s">
        <v>29</v>
      </c>
    </row>
    <row r="8545" spans="1:14">
      <c r="A8545" s="4" t="str">
        <f t="shared" si="757"/>
        <v>EXP00274</v>
      </c>
      <c r="B8545" s="3" t="s">
        <v>66</v>
      </c>
      <c r="C8545" s="4" t="str">
        <f t="shared" si="758"/>
        <v>GSE68468</v>
      </c>
      <c r="D8545" s="1" t="s">
        <v>62</v>
      </c>
      <c r="E8545" t="s">
        <v>96</v>
      </c>
      <c r="F8545" s="1">
        <v>2</v>
      </c>
      <c r="G8545" s="1" t="s">
        <v>28</v>
      </c>
      <c r="H8545" s="4" t="str">
        <f>HYPERLINK("https://www.ncbi.nlm.nih.gov/geo/query/acc.cgi?acc=GSM1673260","GSM1673260")</f>
        <v>GSM1673260</v>
      </c>
      <c r="I8545" t="s">
        <v>69</v>
      </c>
      <c r="J8545" t="s">
        <v>18</v>
      </c>
      <c r="K8545" t="s">
        <v>33</v>
      </c>
      <c r="L8545" t="s">
        <v>70</v>
      </c>
      <c r="N8545" t="s">
        <v>29</v>
      </c>
    </row>
    <row r="8546" spans="1:14">
      <c r="A8546" s="4" t="str">
        <f t="shared" si="757"/>
        <v>EXP00274</v>
      </c>
      <c r="B8546" s="3" t="s">
        <v>66</v>
      </c>
      <c r="C8546" s="4" t="str">
        <f t="shared" si="758"/>
        <v>GSE68468</v>
      </c>
      <c r="D8546" s="1" t="s">
        <v>62</v>
      </c>
      <c r="E8546" t="s">
        <v>96</v>
      </c>
      <c r="F8546" s="1">
        <v>2</v>
      </c>
      <c r="G8546" s="1" t="s">
        <v>28</v>
      </c>
      <c r="H8546" s="4" t="str">
        <f>HYPERLINK("https://www.ncbi.nlm.nih.gov/geo/query/acc.cgi?acc=GSM1673262","GSM1673262")</f>
        <v>GSM1673262</v>
      </c>
      <c r="I8546" t="s">
        <v>69</v>
      </c>
      <c r="J8546" t="s">
        <v>18</v>
      </c>
      <c r="K8546" t="s">
        <v>33</v>
      </c>
      <c r="L8546" t="s">
        <v>70</v>
      </c>
      <c r="N8546" t="s">
        <v>29</v>
      </c>
    </row>
    <row r="8547" spans="1:14">
      <c r="A8547" s="4" t="str">
        <f t="shared" si="757"/>
        <v>EXP00274</v>
      </c>
      <c r="B8547" s="3" t="s">
        <v>66</v>
      </c>
      <c r="C8547" s="4" t="str">
        <f t="shared" si="758"/>
        <v>GSE68468</v>
      </c>
      <c r="D8547" s="1" t="s">
        <v>62</v>
      </c>
      <c r="E8547" t="s">
        <v>96</v>
      </c>
      <c r="F8547" s="1">
        <v>2</v>
      </c>
      <c r="G8547" s="1" t="s">
        <v>28</v>
      </c>
      <c r="H8547" s="4" t="str">
        <f>HYPERLINK("https://www.ncbi.nlm.nih.gov/geo/query/acc.cgi?acc=GSM1673265","GSM1673265")</f>
        <v>GSM1673265</v>
      </c>
      <c r="I8547" t="s">
        <v>69</v>
      </c>
      <c r="J8547" t="s">
        <v>18</v>
      </c>
      <c r="K8547" t="s">
        <v>33</v>
      </c>
      <c r="L8547" t="s">
        <v>70</v>
      </c>
      <c r="N8547" t="s">
        <v>29</v>
      </c>
    </row>
    <row r="8548" spans="1:14">
      <c r="A8548" s="4" t="str">
        <f t="shared" si="757"/>
        <v>EXP00274</v>
      </c>
      <c r="B8548" s="3" t="s">
        <v>66</v>
      </c>
      <c r="C8548" s="4" t="str">
        <f t="shared" si="758"/>
        <v>GSE68468</v>
      </c>
      <c r="D8548" s="1" t="s">
        <v>62</v>
      </c>
      <c r="E8548" t="s">
        <v>96</v>
      </c>
      <c r="F8548" s="1">
        <v>2</v>
      </c>
      <c r="G8548" s="1" t="s">
        <v>28</v>
      </c>
      <c r="H8548" s="4" t="str">
        <f>HYPERLINK("https://www.ncbi.nlm.nih.gov/geo/query/acc.cgi?acc=GSM1673269","GSM1673269")</f>
        <v>GSM1673269</v>
      </c>
      <c r="I8548" t="s">
        <v>69</v>
      </c>
      <c r="J8548" t="s">
        <v>18</v>
      </c>
      <c r="K8548" t="s">
        <v>33</v>
      </c>
      <c r="L8548" t="s">
        <v>70</v>
      </c>
      <c r="N8548" t="s">
        <v>29</v>
      </c>
    </row>
    <row r="8549" spans="1:14">
      <c r="A8549" s="4" t="str">
        <f t="shared" si="757"/>
        <v>EXP00274</v>
      </c>
      <c r="B8549" s="3" t="s">
        <v>66</v>
      </c>
      <c r="C8549" s="4" t="str">
        <f t="shared" si="758"/>
        <v>GSE68468</v>
      </c>
      <c r="D8549" s="1" t="s">
        <v>62</v>
      </c>
      <c r="E8549" t="s">
        <v>96</v>
      </c>
      <c r="F8549" s="1">
        <v>2</v>
      </c>
      <c r="G8549" s="1" t="s">
        <v>28</v>
      </c>
      <c r="H8549" s="4" t="str">
        <f>HYPERLINK("https://www.ncbi.nlm.nih.gov/geo/query/acc.cgi?acc=GSM1673270","GSM1673270")</f>
        <v>GSM1673270</v>
      </c>
      <c r="I8549" t="s">
        <v>69</v>
      </c>
      <c r="J8549" t="s">
        <v>18</v>
      </c>
      <c r="K8549" t="s">
        <v>33</v>
      </c>
      <c r="L8549" t="s">
        <v>70</v>
      </c>
      <c r="N8549" t="s">
        <v>29</v>
      </c>
    </row>
    <row r="8550" spans="1:14">
      <c r="A8550" s="4" t="str">
        <f t="shared" si="757"/>
        <v>EXP00274</v>
      </c>
      <c r="B8550" s="3" t="s">
        <v>66</v>
      </c>
      <c r="C8550" s="4" t="str">
        <f t="shared" si="758"/>
        <v>GSE68468</v>
      </c>
      <c r="D8550" s="1" t="s">
        <v>62</v>
      </c>
      <c r="E8550" t="s">
        <v>96</v>
      </c>
      <c r="F8550" s="1">
        <v>2</v>
      </c>
      <c r="G8550" s="1" t="s">
        <v>28</v>
      </c>
      <c r="H8550" s="4" t="str">
        <f>HYPERLINK("https://www.ncbi.nlm.nih.gov/geo/query/acc.cgi?acc=GSM1673271","GSM1673271")</f>
        <v>GSM1673271</v>
      </c>
      <c r="I8550" t="s">
        <v>69</v>
      </c>
      <c r="J8550" t="s">
        <v>18</v>
      </c>
      <c r="K8550" t="s">
        <v>33</v>
      </c>
      <c r="L8550" t="s">
        <v>70</v>
      </c>
      <c r="N8550" t="s">
        <v>29</v>
      </c>
    </row>
    <row r="8551" spans="1:14">
      <c r="A8551" s="4" t="str">
        <f t="shared" si="757"/>
        <v>EXP00274</v>
      </c>
      <c r="B8551" s="3" t="s">
        <v>66</v>
      </c>
      <c r="C8551" s="4" t="str">
        <f t="shared" si="758"/>
        <v>GSE68468</v>
      </c>
      <c r="D8551" s="1" t="s">
        <v>62</v>
      </c>
      <c r="E8551" t="s">
        <v>96</v>
      </c>
      <c r="F8551" s="1">
        <v>2</v>
      </c>
      <c r="G8551" s="1" t="s">
        <v>28</v>
      </c>
      <c r="H8551" s="4" t="str">
        <f>HYPERLINK("https://www.ncbi.nlm.nih.gov/geo/query/acc.cgi?acc=GSM1673275","GSM1673275")</f>
        <v>GSM1673275</v>
      </c>
      <c r="I8551" t="s">
        <v>69</v>
      </c>
      <c r="J8551" t="s">
        <v>18</v>
      </c>
      <c r="K8551" t="s">
        <v>33</v>
      </c>
      <c r="L8551" t="s">
        <v>70</v>
      </c>
      <c r="N8551" t="s">
        <v>29</v>
      </c>
    </row>
    <row r="8552" spans="1:14">
      <c r="A8552" s="4" t="str">
        <f t="shared" si="757"/>
        <v>EXP00274</v>
      </c>
      <c r="B8552" s="3" t="s">
        <v>66</v>
      </c>
      <c r="C8552" s="4" t="str">
        <f t="shared" si="758"/>
        <v>GSE68468</v>
      </c>
      <c r="D8552" s="1" t="s">
        <v>62</v>
      </c>
      <c r="E8552" t="s">
        <v>96</v>
      </c>
      <c r="F8552" s="1">
        <v>2</v>
      </c>
      <c r="G8552" s="1" t="s">
        <v>28</v>
      </c>
      <c r="H8552" s="4" t="str">
        <f>HYPERLINK("https://www.ncbi.nlm.nih.gov/geo/query/acc.cgi?acc=GSM1673278","GSM1673278")</f>
        <v>GSM1673278</v>
      </c>
      <c r="I8552" t="s">
        <v>69</v>
      </c>
      <c r="J8552" t="s">
        <v>18</v>
      </c>
      <c r="K8552" t="s">
        <v>33</v>
      </c>
      <c r="L8552" t="s">
        <v>70</v>
      </c>
      <c r="N8552" t="s">
        <v>29</v>
      </c>
    </row>
    <row r="8553" spans="1:14">
      <c r="A8553" s="4" t="str">
        <f t="shared" si="757"/>
        <v>EXP00274</v>
      </c>
      <c r="B8553" s="3" t="s">
        <v>66</v>
      </c>
      <c r="C8553" s="4" t="str">
        <f t="shared" si="758"/>
        <v>GSE68468</v>
      </c>
      <c r="D8553" s="1" t="s">
        <v>62</v>
      </c>
      <c r="E8553" t="s">
        <v>96</v>
      </c>
      <c r="F8553" s="1">
        <v>2</v>
      </c>
      <c r="G8553" s="1" t="s">
        <v>28</v>
      </c>
      <c r="H8553" s="4" t="str">
        <f>HYPERLINK("https://www.ncbi.nlm.nih.gov/geo/query/acc.cgi?acc=GSM1673279","GSM1673279")</f>
        <v>GSM1673279</v>
      </c>
      <c r="I8553" t="s">
        <v>69</v>
      </c>
      <c r="J8553" t="s">
        <v>18</v>
      </c>
      <c r="K8553" t="s">
        <v>33</v>
      </c>
      <c r="L8553" t="s">
        <v>70</v>
      </c>
      <c r="N8553" t="s">
        <v>29</v>
      </c>
    </row>
    <row r="8554" spans="1:14">
      <c r="A8554" s="4" t="str">
        <f t="shared" ref="A8554:A8586" si="759">HYPERLINK("http://hcmdb.i-sanger.com/experiment/details/experiment_id/EXP00274","EXP00274")</f>
        <v>EXP00274</v>
      </c>
      <c r="B8554" s="3" t="s">
        <v>66</v>
      </c>
      <c r="C8554" s="4" t="str">
        <f t="shared" si="758"/>
        <v>GSE68468</v>
      </c>
      <c r="D8554" s="1" t="s">
        <v>62</v>
      </c>
      <c r="E8554" t="s">
        <v>96</v>
      </c>
      <c r="F8554" s="1">
        <v>2</v>
      </c>
      <c r="G8554" s="1" t="s">
        <v>28</v>
      </c>
      <c r="H8554" s="4" t="str">
        <f>HYPERLINK("https://www.ncbi.nlm.nih.gov/geo/query/acc.cgi?acc=GSM1673284","GSM1673284")</f>
        <v>GSM1673284</v>
      </c>
      <c r="I8554" t="s">
        <v>69</v>
      </c>
      <c r="J8554" t="s">
        <v>18</v>
      </c>
      <c r="K8554" t="s">
        <v>33</v>
      </c>
      <c r="L8554" t="s">
        <v>70</v>
      </c>
      <c r="N8554" t="s">
        <v>29</v>
      </c>
    </row>
    <row r="8555" spans="1:14">
      <c r="A8555" s="4" t="str">
        <f t="shared" si="759"/>
        <v>EXP00274</v>
      </c>
      <c r="B8555" s="3" t="s">
        <v>66</v>
      </c>
      <c r="C8555" s="4" t="str">
        <f t="shared" si="758"/>
        <v>GSE68468</v>
      </c>
      <c r="D8555" s="1" t="s">
        <v>62</v>
      </c>
      <c r="E8555" t="s">
        <v>96</v>
      </c>
      <c r="F8555" s="1">
        <v>2</v>
      </c>
      <c r="G8555" s="1" t="s">
        <v>28</v>
      </c>
      <c r="H8555" s="4" t="str">
        <f>HYPERLINK("https://www.ncbi.nlm.nih.gov/geo/query/acc.cgi?acc=GSM1673285","GSM1673285")</f>
        <v>GSM1673285</v>
      </c>
      <c r="I8555" t="s">
        <v>69</v>
      </c>
      <c r="J8555" t="s">
        <v>18</v>
      </c>
      <c r="K8555" t="s">
        <v>33</v>
      </c>
      <c r="L8555" t="s">
        <v>70</v>
      </c>
      <c r="N8555" t="s">
        <v>29</v>
      </c>
    </row>
    <row r="8556" spans="1:14">
      <c r="A8556" s="4" t="str">
        <f t="shared" si="759"/>
        <v>EXP00274</v>
      </c>
      <c r="B8556" s="3" t="s">
        <v>66</v>
      </c>
      <c r="C8556" s="4" t="str">
        <f t="shared" si="758"/>
        <v>GSE68468</v>
      </c>
      <c r="D8556" s="1" t="s">
        <v>62</v>
      </c>
      <c r="E8556" t="s">
        <v>96</v>
      </c>
      <c r="F8556" s="1">
        <v>2</v>
      </c>
      <c r="G8556" s="1" t="s">
        <v>28</v>
      </c>
      <c r="H8556" s="4" t="str">
        <f>HYPERLINK("https://www.ncbi.nlm.nih.gov/geo/query/acc.cgi?acc=GSM1673287","GSM1673287")</f>
        <v>GSM1673287</v>
      </c>
      <c r="I8556" t="s">
        <v>69</v>
      </c>
      <c r="J8556" t="s">
        <v>18</v>
      </c>
      <c r="K8556" t="s">
        <v>33</v>
      </c>
      <c r="L8556" t="s">
        <v>70</v>
      </c>
      <c r="N8556" t="s">
        <v>29</v>
      </c>
    </row>
    <row r="8557" spans="1:14">
      <c r="A8557" s="4" t="str">
        <f t="shared" si="759"/>
        <v>EXP00274</v>
      </c>
      <c r="B8557" s="3" t="s">
        <v>66</v>
      </c>
      <c r="C8557" s="4" t="str">
        <f t="shared" si="758"/>
        <v>GSE68468</v>
      </c>
      <c r="D8557" s="1" t="s">
        <v>62</v>
      </c>
      <c r="E8557" t="s">
        <v>96</v>
      </c>
      <c r="F8557" s="1">
        <v>2</v>
      </c>
      <c r="G8557" s="1" t="s">
        <v>28</v>
      </c>
      <c r="H8557" s="4" t="str">
        <f>HYPERLINK("https://www.ncbi.nlm.nih.gov/geo/query/acc.cgi?acc=GSM1673289","GSM1673289")</f>
        <v>GSM1673289</v>
      </c>
      <c r="I8557" t="s">
        <v>69</v>
      </c>
      <c r="J8557" t="s">
        <v>18</v>
      </c>
      <c r="K8557" t="s">
        <v>33</v>
      </c>
      <c r="L8557" t="s">
        <v>70</v>
      </c>
      <c r="N8557" t="s">
        <v>29</v>
      </c>
    </row>
    <row r="8558" spans="1:14">
      <c r="A8558" s="4" t="str">
        <f t="shared" si="759"/>
        <v>EXP00274</v>
      </c>
      <c r="B8558" s="3" t="s">
        <v>66</v>
      </c>
      <c r="C8558" s="4" t="str">
        <f t="shared" si="758"/>
        <v>GSE68468</v>
      </c>
      <c r="D8558" s="1" t="s">
        <v>62</v>
      </c>
      <c r="E8558" t="s">
        <v>96</v>
      </c>
      <c r="F8558" s="1">
        <v>2</v>
      </c>
      <c r="G8558" s="1" t="s">
        <v>28</v>
      </c>
      <c r="H8558" s="4" t="str">
        <f>HYPERLINK("https://www.ncbi.nlm.nih.gov/geo/query/acc.cgi?acc=GSM1673295","GSM1673295")</f>
        <v>GSM1673295</v>
      </c>
      <c r="I8558" t="s">
        <v>69</v>
      </c>
      <c r="J8558" t="s">
        <v>18</v>
      </c>
      <c r="K8558" t="s">
        <v>33</v>
      </c>
      <c r="L8558" t="s">
        <v>70</v>
      </c>
      <c r="N8558" t="s">
        <v>29</v>
      </c>
    </row>
    <row r="8559" spans="1:14">
      <c r="A8559" s="4" t="str">
        <f t="shared" si="759"/>
        <v>EXP00274</v>
      </c>
      <c r="B8559" s="3" t="s">
        <v>66</v>
      </c>
      <c r="C8559" s="4" t="str">
        <f t="shared" si="758"/>
        <v>GSE68468</v>
      </c>
      <c r="D8559" s="1" t="s">
        <v>62</v>
      </c>
      <c r="E8559" t="s">
        <v>96</v>
      </c>
      <c r="F8559" s="1">
        <v>2</v>
      </c>
      <c r="G8559" s="1" t="s">
        <v>28</v>
      </c>
      <c r="H8559" s="4" t="str">
        <f>HYPERLINK("https://www.ncbi.nlm.nih.gov/geo/query/acc.cgi?acc=GSM1673296","GSM1673296")</f>
        <v>GSM1673296</v>
      </c>
      <c r="I8559" t="s">
        <v>69</v>
      </c>
      <c r="J8559" t="s">
        <v>18</v>
      </c>
      <c r="K8559" t="s">
        <v>33</v>
      </c>
      <c r="L8559" t="s">
        <v>70</v>
      </c>
      <c r="N8559" t="s">
        <v>29</v>
      </c>
    </row>
    <row r="8560" spans="1:14">
      <c r="A8560" s="4" t="str">
        <f t="shared" si="759"/>
        <v>EXP00274</v>
      </c>
      <c r="B8560" s="3" t="s">
        <v>66</v>
      </c>
      <c r="C8560" s="4" t="str">
        <f t="shared" si="758"/>
        <v>GSE68468</v>
      </c>
      <c r="D8560" s="1" t="s">
        <v>62</v>
      </c>
      <c r="E8560" t="s">
        <v>96</v>
      </c>
      <c r="F8560" s="1">
        <v>2</v>
      </c>
      <c r="G8560" s="1" t="s">
        <v>28</v>
      </c>
      <c r="H8560" s="4" t="str">
        <f>HYPERLINK("https://www.ncbi.nlm.nih.gov/geo/query/acc.cgi?acc=GSM1673297","GSM1673297")</f>
        <v>GSM1673297</v>
      </c>
      <c r="I8560" t="s">
        <v>69</v>
      </c>
      <c r="J8560" t="s">
        <v>18</v>
      </c>
      <c r="K8560" t="s">
        <v>33</v>
      </c>
      <c r="L8560" t="s">
        <v>70</v>
      </c>
      <c r="N8560" t="s">
        <v>29</v>
      </c>
    </row>
    <row r="8561" spans="1:14">
      <c r="A8561" s="4" t="str">
        <f t="shared" si="759"/>
        <v>EXP00274</v>
      </c>
      <c r="B8561" s="3" t="s">
        <v>66</v>
      </c>
      <c r="C8561" s="4" t="str">
        <f t="shared" si="758"/>
        <v>GSE68468</v>
      </c>
      <c r="D8561" s="1" t="s">
        <v>62</v>
      </c>
      <c r="E8561" t="s">
        <v>96</v>
      </c>
      <c r="F8561" s="1">
        <v>2</v>
      </c>
      <c r="G8561" s="1" t="s">
        <v>28</v>
      </c>
      <c r="H8561" s="4" t="str">
        <f>HYPERLINK("https://www.ncbi.nlm.nih.gov/geo/query/acc.cgi?acc=GSM1673300","GSM1673300")</f>
        <v>GSM1673300</v>
      </c>
      <c r="I8561" t="s">
        <v>69</v>
      </c>
      <c r="J8561" t="s">
        <v>18</v>
      </c>
      <c r="K8561" t="s">
        <v>33</v>
      </c>
      <c r="L8561" t="s">
        <v>70</v>
      </c>
      <c r="N8561" t="s">
        <v>29</v>
      </c>
    </row>
    <row r="8562" spans="1:14">
      <c r="A8562" s="4" t="str">
        <f t="shared" si="759"/>
        <v>EXP00274</v>
      </c>
      <c r="B8562" s="3" t="s">
        <v>66</v>
      </c>
      <c r="C8562" s="4" t="str">
        <f t="shared" si="758"/>
        <v>GSE68468</v>
      </c>
      <c r="D8562" s="1" t="s">
        <v>62</v>
      </c>
      <c r="E8562" t="s">
        <v>96</v>
      </c>
      <c r="F8562" s="1">
        <v>2</v>
      </c>
      <c r="G8562" s="1" t="s">
        <v>28</v>
      </c>
      <c r="H8562" s="4" t="str">
        <f>HYPERLINK("https://www.ncbi.nlm.nih.gov/geo/query/acc.cgi?acc=GSM1673302","GSM1673302")</f>
        <v>GSM1673302</v>
      </c>
      <c r="I8562" t="s">
        <v>69</v>
      </c>
      <c r="J8562" t="s">
        <v>18</v>
      </c>
      <c r="K8562" t="s">
        <v>33</v>
      </c>
      <c r="L8562" t="s">
        <v>70</v>
      </c>
      <c r="N8562" t="s">
        <v>29</v>
      </c>
    </row>
    <row r="8563" spans="1:14">
      <c r="A8563" s="4" t="str">
        <f t="shared" si="759"/>
        <v>EXP00274</v>
      </c>
      <c r="B8563" s="3" t="s">
        <v>66</v>
      </c>
      <c r="C8563" s="4" t="str">
        <f t="shared" si="758"/>
        <v>GSE68468</v>
      </c>
      <c r="D8563" s="1" t="s">
        <v>62</v>
      </c>
      <c r="E8563" t="s">
        <v>96</v>
      </c>
      <c r="F8563" s="1">
        <v>2</v>
      </c>
      <c r="G8563" s="1" t="s">
        <v>28</v>
      </c>
      <c r="H8563" s="4" t="str">
        <f>HYPERLINK("https://www.ncbi.nlm.nih.gov/geo/query/acc.cgi?acc=GSM1673303","GSM1673303")</f>
        <v>GSM1673303</v>
      </c>
      <c r="I8563" t="s">
        <v>69</v>
      </c>
      <c r="J8563" t="s">
        <v>18</v>
      </c>
      <c r="K8563" t="s">
        <v>33</v>
      </c>
      <c r="L8563" t="s">
        <v>70</v>
      </c>
      <c r="N8563" t="s">
        <v>29</v>
      </c>
    </row>
    <row r="8564" spans="1:14">
      <c r="A8564" s="4" t="str">
        <f t="shared" si="759"/>
        <v>EXP00274</v>
      </c>
      <c r="B8564" s="3" t="s">
        <v>66</v>
      </c>
      <c r="C8564" s="4" t="str">
        <f t="shared" si="758"/>
        <v>GSE68468</v>
      </c>
      <c r="D8564" s="1" t="s">
        <v>62</v>
      </c>
      <c r="E8564" t="s">
        <v>96</v>
      </c>
      <c r="F8564" s="1">
        <v>2</v>
      </c>
      <c r="G8564" s="1" t="s">
        <v>28</v>
      </c>
      <c r="H8564" s="4" t="str">
        <f>HYPERLINK("https://www.ncbi.nlm.nih.gov/geo/query/acc.cgi?acc=GSM1673304","GSM1673304")</f>
        <v>GSM1673304</v>
      </c>
      <c r="I8564" t="s">
        <v>69</v>
      </c>
      <c r="J8564" t="s">
        <v>18</v>
      </c>
      <c r="K8564" t="s">
        <v>33</v>
      </c>
      <c r="L8564" t="s">
        <v>70</v>
      </c>
      <c r="N8564" t="s">
        <v>29</v>
      </c>
    </row>
    <row r="8565" spans="1:14">
      <c r="A8565" s="4" t="str">
        <f t="shared" si="759"/>
        <v>EXP00274</v>
      </c>
      <c r="B8565" s="3" t="s">
        <v>66</v>
      </c>
      <c r="C8565" s="4" t="str">
        <f t="shared" ref="C8565:C8586" si="760">HYPERLINK("https://www.ncbi.nlm.nih.gov/geo/query/acc.cgi?acc=GSE68468","GSE68468")</f>
        <v>GSE68468</v>
      </c>
      <c r="D8565" s="1" t="s">
        <v>62</v>
      </c>
      <c r="E8565" t="s">
        <v>96</v>
      </c>
      <c r="F8565" s="1">
        <v>2</v>
      </c>
      <c r="G8565" s="1" t="s">
        <v>28</v>
      </c>
      <c r="H8565" s="4" t="str">
        <f>HYPERLINK("https://www.ncbi.nlm.nih.gov/geo/query/acc.cgi?acc=GSM1673309","GSM1673309")</f>
        <v>GSM1673309</v>
      </c>
      <c r="I8565" t="s">
        <v>69</v>
      </c>
      <c r="J8565" t="s">
        <v>18</v>
      </c>
      <c r="K8565" t="s">
        <v>33</v>
      </c>
      <c r="L8565" t="s">
        <v>70</v>
      </c>
      <c r="N8565" t="s">
        <v>29</v>
      </c>
    </row>
    <row r="8566" spans="1:14">
      <c r="A8566" s="4" t="str">
        <f t="shared" si="759"/>
        <v>EXP00274</v>
      </c>
      <c r="B8566" s="3" t="s">
        <v>66</v>
      </c>
      <c r="C8566" s="4" t="str">
        <f t="shared" si="760"/>
        <v>GSE68468</v>
      </c>
      <c r="D8566" s="1" t="s">
        <v>62</v>
      </c>
      <c r="E8566" t="s">
        <v>96</v>
      </c>
      <c r="F8566" s="1">
        <v>2</v>
      </c>
      <c r="G8566" s="1" t="s">
        <v>28</v>
      </c>
      <c r="H8566" s="4" t="str">
        <f>HYPERLINK("https://www.ncbi.nlm.nih.gov/geo/query/acc.cgi?acc=GSM1673311","GSM1673311")</f>
        <v>GSM1673311</v>
      </c>
      <c r="I8566" t="s">
        <v>69</v>
      </c>
      <c r="J8566" t="s">
        <v>18</v>
      </c>
      <c r="K8566" t="s">
        <v>33</v>
      </c>
      <c r="L8566" t="s">
        <v>70</v>
      </c>
      <c r="N8566" t="s">
        <v>29</v>
      </c>
    </row>
    <row r="8567" spans="1:14">
      <c r="A8567" s="4" t="str">
        <f t="shared" si="759"/>
        <v>EXP00274</v>
      </c>
      <c r="B8567" s="3" t="s">
        <v>66</v>
      </c>
      <c r="C8567" s="4" t="str">
        <f t="shared" si="760"/>
        <v>GSE68468</v>
      </c>
      <c r="D8567" s="1" t="s">
        <v>62</v>
      </c>
      <c r="E8567" t="s">
        <v>96</v>
      </c>
      <c r="F8567" s="1">
        <v>2</v>
      </c>
      <c r="G8567" s="1" t="s">
        <v>28</v>
      </c>
      <c r="H8567" s="4" t="str">
        <f>HYPERLINK("https://www.ncbi.nlm.nih.gov/geo/query/acc.cgi?acc=GSM1673312","GSM1673312")</f>
        <v>GSM1673312</v>
      </c>
      <c r="I8567" t="s">
        <v>69</v>
      </c>
      <c r="J8567" t="s">
        <v>18</v>
      </c>
      <c r="K8567" t="s">
        <v>33</v>
      </c>
      <c r="L8567" t="s">
        <v>70</v>
      </c>
      <c r="N8567" t="s">
        <v>29</v>
      </c>
    </row>
    <row r="8568" spans="1:14">
      <c r="A8568" s="4" t="str">
        <f t="shared" si="759"/>
        <v>EXP00274</v>
      </c>
      <c r="B8568" s="3" t="s">
        <v>66</v>
      </c>
      <c r="C8568" s="4" t="str">
        <f t="shared" si="760"/>
        <v>GSE68468</v>
      </c>
      <c r="D8568" s="1" t="s">
        <v>62</v>
      </c>
      <c r="E8568" t="s">
        <v>96</v>
      </c>
      <c r="F8568" s="1">
        <v>2</v>
      </c>
      <c r="G8568" s="1" t="s">
        <v>28</v>
      </c>
      <c r="H8568" s="4" t="str">
        <f>HYPERLINK("https://www.ncbi.nlm.nih.gov/geo/query/acc.cgi?acc=GSM1673313","GSM1673313")</f>
        <v>GSM1673313</v>
      </c>
      <c r="I8568" t="s">
        <v>69</v>
      </c>
      <c r="J8568" t="s">
        <v>18</v>
      </c>
      <c r="K8568" t="s">
        <v>33</v>
      </c>
      <c r="L8568" t="s">
        <v>70</v>
      </c>
      <c r="N8568" t="s">
        <v>29</v>
      </c>
    </row>
    <row r="8569" spans="1:14">
      <c r="A8569" s="4" t="str">
        <f t="shared" si="759"/>
        <v>EXP00274</v>
      </c>
      <c r="B8569" s="3" t="s">
        <v>66</v>
      </c>
      <c r="C8569" s="4" t="str">
        <f t="shared" si="760"/>
        <v>GSE68468</v>
      </c>
      <c r="D8569" s="1" t="s">
        <v>62</v>
      </c>
      <c r="E8569" t="s">
        <v>96</v>
      </c>
      <c r="F8569" s="1">
        <v>2</v>
      </c>
      <c r="G8569" s="1" t="s">
        <v>28</v>
      </c>
      <c r="H8569" s="4" t="str">
        <f>HYPERLINK("https://www.ncbi.nlm.nih.gov/geo/query/acc.cgi?acc=GSM1673314","GSM1673314")</f>
        <v>GSM1673314</v>
      </c>
      <c r="I8569" t="s">
        <v>69</v>
      </c>
      <c r="J8569" t="s">
        <v>18</v>
      </c>
      <c r="K8569" t="s">
        <v>33</v>
      </c>
      <c r="L8569" t="s">
        <v>70</v>
      </c>
      <c r="N8569" t="s">
        <v>29</v>
      </c>
    </row>
    <row r="8570" spans="1:14">
      <c r="A8570" s="4" t="str">
        <f t="shared" si="759"/>
        <v>EXP00274</v>
      </c>
      <c r="B8570" s="3" t="s">
        <v>66</v>
      </c>
      <c r="C8570" s="4" t="str">
        <f t="shared" si="760"/>
        <v>GSE68468</v>
      </c>
      <c r="D8570" s="1" t="s">
        <v>62</v>
      </c>
      <c r="E8570" t="s">
        <v>96</v>
      </c>
      <c r="F8570" s="1">
        <v>2</v>
      </c>
      <c r="G8570" s="1" t="s">
        <v>28</v>
      </c>
      <c r="H8570" s="4" t="str">
        <f>HYPERLINK("https://www.ncbi.nlm.nih.gov/geo/query/acc.cgi?acc=GSM1673315","GSM1673315")</f>
        <v>GSM1673315</v>
      </c>
      <c r="I8570" t="s">
        <v>69</v>
      </c>
      <c r="J8570" t="s">
        <v>18</v>
      </c>
      <c r="K8570" t="s">
        <v>33</v>
      </c>
      <c r="L8570" t="s">
        <v>70</v>
      </c>
      <c r="N8570" t="s">
        <v>29</v>
      </c>
    </row>
    <row r="8571" spans="1:14">
      <c r="A8571" s="4" t="str">
        <f t="shared" si="759"/>
        <v>EXP00274</v>
      </c>
      <c r="B8571" s="3" t="s">
        <v>66</v>
      </c>
      <c r="C8571" s="4" t="str">
        <f t="shared" si="760"/>
        <v>GSE68468</v>
      </c>
      <c r="D8571" s="1" t="s">
        <v>62</v>
      </c>
      <c r="E8571" t="s">
        <v>96</v>
      </c>
      <c r="F8571" s="1">
        <v>2</v>
      </c>
      <c r="G8571" s="1" t="s">
        <v>28</v>
      </c>
      <c r="H8571" s="4" t="str">
        <f>HYPERLINK("https://www.ncbi.nlm.nih.gov/geo/query/acc.cgi?acc=GSM1673318","GSM1673318")</f>
        <v>GSM1673318</v>
      </c>
      <c r="I8571" t="s">
        <v>69</v>
      </c>
      <c r="J8571" t="s">
        <v>18</v>
      </c>
      <c r="K8571" t="s">
        <v>33</v>
      </c>
      <c r="L8571" t="s">
        <v>70</v>
      </c>
      <c r="N8571" t="s">
        <v>29</v>
      </c>
    </row>
    <row r="8572" spans="1:14">
      <c r="A8572" s="4" t="str">
        <f t="shared" si="759"/>
        <v>EXP00274</v>
      </c>
      <c r="B8572" s="3" t="s">
        <v>66</v>
      </c>
      <c r="C8572" s="4" t="str">
        <f t="shared" si="760"/>
        <v>GSE68468</v>
      </c>
      <c r="D8572" s="1" t="s">
        <v>62</v>
      </c>
      <c r="E8572" t="s">
        <v>96</v>
      </c>
      <c r="F8572" s="1">
        <v>2</v>
      </c>
      <c r="G8572" s="1" t="s">
        <v>28</v>
      </c>
      <c r="H8572" s="4" t="str">
        <f>HYPERLINK("https://www.ncbi.nlm.nih.gov/geo/query/acc.cgi?acc=GSM1673321","GSM1673321")</f>
        <v>GSM1673321</v>
      </c>
      <c r="I8572" t="s">
        <v>69</v>
      </c>
      <c r="J8572" t="s">
        <v>18</v>
      </c>
      <c r="K8572" t="s">
        <v>33</v>
      </c>
      <c r="L8572" t="s">
        <v>70</v>
      </c>
      <c r="N8572" t="s">
        <v>29</v>
      </c>
    </row>
    <row r="8573" spans="1:14">
      <c r="A8573" s="4" t="str">
        <f t="shared" si="759"/>
        <v>EXP00274</v>
      </c>
      <c r="B8573" s="3" t="s">
        <v>66</v>
      </c>
      <c r="C8573" s="4" t="str">
        <f t="shared" si="760"/>
        <v>GSE68468</v>
      </c>
      <c r="D8573" s="1" t="s">
        <v>62</v>
      </c>
      <c r="E8573" t="s">
        <v>96</v>
      </c>
      <c r="F8573" s="1">
        <v>2</v>
      </c>
      <c r="G8573" s="1" t="s">
        <v>28</v>
      </c>
      <c r="H8573" s="4" t="str">
        <f>HYPERLINK("https://www.ncbi.nlm.nih.gov/geo/query/acc.cgi?acc=GSM1673322","GSM1673322")</f>
        <v>GSM1673322</v>
      </c>
      <c r="I8573" t="s">
        <v>69</v>
      </c>
      <c r="J8573" t="s">
        <v>18</v>
      </c>
      <c r="K8573" t="s">
        <v>33</v>
      </c>
      <c r="L8573" t="s">
        <v>70</v>
      </c>
      <c r="N8573" t="s">
        <v>29</v>
      </c>
    </row>
    <row r="8574" spans="1:14">
      <c r="A8574" s="4" t="str">
        <f t="shared" si="759"/>
        <v>EXP00274</v>
      </c>
      <c r="B8574" s="3" t="s">
        <v>66</v>
      </c>
      <c r="C8574" s="4" t="str">
        <f t="shared" si="760"/>
        <v>GSE68468</v>
      </c>
      <c r="D8574" s="1" t="s">
        <v>62</v>
      </c>
      <c r="E8574" t="s">
        <v>96</v>
      </c>
      <c r="F8574" s="1">
        <v>2</v>
      </c>
      <c r="G8574" s="1" t="s">
        <v>28</v>
      </c>
      <c r="H8574" s="4" t="str">
        <f>HYPERLINK("https://www.ncbi.nlm.nih.gov/geo/query/acc.cgi?acc=GSM1673324","GSM1673324")</f>
        <v>GSM1673324</v>
      </c>
      <c r="I8574" t="s">
        <v>69</v>
      </c>
      <c r="J8574" t="s">
        <v>18</v>
      </c>
      <c r="K8574" t="s">
        <v>33</v>
      </c>
      <c r="L8574" t="s">
        <v>70</v>
      </c>
      <c r="N8574" t="s">
        <v>29</v>
      </c>
    </row>
    <row r="8575" spans="1:14">
      <c r="A8575" s="4" t="str">
        <f t="shared" si="759"/>
        <v>EXP00274</v>
      </c>
      <c r="B8575" s="3" t="s">
        <v>66</v>
      </c>
      <c r="C8575" s="4" t="str">
        <f t="shared" si="760"/>
        <v>GSE68468</v>
      </c>
      <c r="D8575" s="1" t="s">
        <v>62</v>
      </c>
      <c r="E8575" t="s">
        <v>96</v>
      </c>
      <c r="F8575" s="1">
        <v>2</v>
      </c>
      <c r="G8575" s="1" t="s">
        <v>28</v>
      </c>
      <c r="H8575" s="4" t="str">
        <f>HYPERLINK("https://www.ncbi.nlm.nih.gov/geo/query/acc.cgi?acc=GSM1673325","GSM1673325")</f>
        <v>GSM1673325</v>
      </c>
      <c r="I8575" t="s">
        <v>69</v>
      </c>
      <c r="J8575" t="s">
        <v>18</v>
      </c>
      <c r="K8575" t="s">
        <v>33</v>
      </c>
      <c r="L8575" t="s">
        <v>70</v>
      </c>
      <c r="N8575" t="s">
        <v>29</v>
      </c>
    </row>
    <row r="8576" spans="1:14">
      <c r="A8576" s="4" t="str">
        <f t="shared" si="759"/>
        <v>EXP00274</v>
      </c>
      <c r="B8576" s="3" t="s">
        <v>66</v>
      </c>
      <c r="C8576" s="4" t="str">
        <f t="shared" si="760"/>
        <v>GSE68468</v>
      </c>
      <c r="D8576" s="1" t="s">
        <v>62</v>
      </c>
      <c r="E8576" t="s">
        <v>96</v>
      </c>
      <c r="F8576" s="1">
        <v>2</v>
      </c>
      <c r="G8576" s="1" t="s">
        <v>28</v>
      </c>
      <c r="H8576" s="4" t="str">
        <f>HYPERLINK("https://www.ncbi.nlm.nih.gov/geo/query/acc.cgi?acc=GSM1673329","GSM1673329")</f>
        <v>GSM1673329</v>
      </c>
      <c r="I8576" t="s">
        <v>69</v>
      </c>
      <c r="J8576" t="s">
        <v>18</v>
      </c>
      <c r="K8576" t="s">
        <v>33</v>
      </c>
      <c r="L8576" t="s">
        <v>70</v>
      </c>
      <c r="N8576" t="s">
        <v>29</v>
      </c>
    </row>
    <row r="8577" spans="1:14">
      <c r="A8577" s="4" t="str">
        <f t="shared" si="759"/>
        <v>EXP00274</v>
      </c>
      <c r="B8577" s="3" t="s">
        <v>66</v>
      </c>
      <c r="C8577" s="4" t="str">
        <f t="shared" si="760"/>
        <v>GSE68468</v>
      </c>
      <c r="D8577" s="1" t="s">
        <v>62</v>
      </c>
      <c r="E8577" t="s">
        <v>96</v>
      </c>
      <c r="F8577" s="1">
        <v>2</v>
      </c>
      <c r="G8577" s="1" t="s">
        <v>28</v>
      </c>
      <c r="H8577" s="4" t="str">
        <f>HYPERLINK("https://www.ncbi.nlm.nih.gov/geo/query/acc.cgi?acc=GSM1673330","GSM1673330")</f>
        <v>GSM1673330</v>
      </c>
      <c r="I8577" t="s">
        <v>69</v>
      </c>
      <c r="J8577" t="s">
        <v>18</v>
      </c>
      <c r="K8577" t="s">
        <v>33</v>
      </c>
      <c r="L8577" t="s">
        <v>70</v>
      </c>
      <c r="N8577" t="s">
        <v>29</v>
      </c>
    </row>
    <row r="8578" spans="1:14">
      <c r="A8578" s="4" t="str">
        <f t="shared" si="759"/>
        <v>EXP00274</v>
      </c>
      <c r="B8578" s="3" t="s">
        <v>66</v>
      </c>
      <c r="C8578" s="4" t="str">
        <f t="shared" si="760"/>
        <v>GSE68468</v>
      </c>
      <c r="D8578" s="1" t="s">
        <v>62</v>
      </c>
      <c r="E8578" t="s">
        <v>96</v>
      </c>
      <c r="F8578" s="1">
        <v>2</v>
      </c>
      <c r="G8578" s="1" t="s">
        <v>28</v>
      </c>
      <c r="H8578" s="4" t="str">
        <f>HYPERLINK("https://www.ncbi.nlm.nih.gov/geo/query/acc.cgi?acc=GSM1673331","GSM1673331")</f>
        <v>GSM1673331</v>
      </c>
      <c r="I8578" t="s">
        <v>69</v>
      </c>
      <c r="J8578" t="s">
        <v>18</v>
      </c>
      <c r="K8578" t="s">
        <v>33</v>
      </c>
      <c r="L8578" t="s">
        <v>70</v>
      </c>
      <c r="N8578" t="s">
        <v>29</v>
      </c>
    </row>
    <row r="8579" spans="1:14">
      <c r="A8579" s="4" t="str">
        <f t="shared" si="759"/>
        <v>EXP00274</v>
      </c>
      <c r="B8579" s="3" t="s">
        <v>66</v>
      </c>
      <c r="C8579" s="4" t="str">
        <f t="shared" si="760"/>
        <v>GSE68468</v>
      </c>
      <c r="D8579" s="1" t="s">
        <v>62</v>
      </c>
      <c r="E8579" t="s">
        <v>96</v>
      </c>
      <c r="F8579" s="1">
        <v>2</v>
      </c>
      <c r="G8579" s="1" t="s">
        <v>28</v>
      </c>
      <c r="H8579" s="4" t="str">
        <f>HYPERLINK("https://www.ncbi.nlm.nih.gov/geo/query/acc.cgi?acc=GSM1673333","GSM1673333")</f>
        <v>GSM1673333</v>
      </c>
      <c r="I8579" t="s">
        <v>69</v>
      </c>
      <c r="J8579" t="s">
        <v>18</v>
      </c>
      <c r="K8579" t="s">
        <v>33</v>
      </c>
      <c r="L8579" t="s">
        <v>70</v>
      </c>
      <c r="N8579" t="s">
        <v>29</v>
      </c>
    </row>
    <row r="8580" spans="1:14">
      <c r="A8580" s="4" t="str">
        <f t="shared" si="759"/>
        <v>EXP00274</v>
      </c>
      <c r="B8580" s="3" t="s">
        <v>66</v>
      </c>
      <c r="C8580" s="4" t="str">
        <f t="shared" si="760"/>
        <v>GSE68468</v>
      </c>
      <c r="D8580" s="1" t="s">
        <v>62</v>
      </c>
      <c r="E8580" t="s">
        <v>96</v>
      </c>
      <c r="F8580" s="1">
        <v>2</v>
      </c>
      <c r="G8580" s="1" t="s">
        <v>28</v>
      </c>
      <c r="H8580" s="4" t="str">
        <f>HYPERLINK("https://www.ncbi.nlm.nih.gov/geo/query/acc.cgi?acc=GSM1673335","GSM1673335")</f>
        <v>GSM1673335</v>
      </c>
      <c r="I8580" t="s">
        <v>69</v>
      </c>
      <c r="J8580" t="s">
        <v>18</v>
      </c>
      <c r="K8580" t="s">
        <v>33</v>
      </c>
      <c r="L8580" t="s">
        <v>70</v>
      </c>
      <c r="N8580" t="s">
        <v>29</v>
      </c>
    </row>
    <row r="8581" spans="1:14">
      <c r="A8581" s="4" t="str">
        <f t="shared" si="759"/>
        <v>EXP00274</v>
      </c>
      <c r="B8581" s="3" t="s">
        <v>66</v>
      </c>
      <c r="C8581" s="4" t="str">
        <f t="shared" si="760"/>
        <v>GSE68468</v>
      </c>
      <c r="D8581" s="1" t="s">
        <v>62</v>
      </c>
      <c r="E8581" t="s">
        <v>96</v>
      </c>
      <c r="F8581" s="1">
        <v>2</v>
      </c>
      <c r="G8581" s="1" t="s">
        <v>28</v>
      </c>
      <c r="H8581" s="4" t="str">
        <f>HYPERLINK("https://www.ncbi.nlm.nih.gov/geo/query/acc.cgi?acc=GSM1673336","GSM1673336")</f>
        <v>GSM1673336</v>
      </c>
      <c r="I8581" t="s">
        <v>69</v>
      </c>
      <c r="J8581" t="s">
        <v>18</v>
      </c>
      <c r="K8581" t="s">
        <v>33</v>
      </c>
      <c r="L8581" t="s">
        <v>70</v>
      </c>
      <c r="N8581" t="s">
        <v>29</v>
      </c>
    </row>
    <row r="8582" spans="1:14">
      <c r="A8582" s="4" t="str">
        <f t="shared" si="759"/>
        <v>EXP00274</v>
      </c>
      <c r="B8582" s="3" t="s">
        <v>66</v>
      </c>
      <c r="C8582" s="4" t="str">
        <f t="shared" si="760"/>
        <v>GSE68468</v>
      </c>
      <c r="D8582" s="1" t="s">
        <v>62</v>
      </c>
      <c r="E8582" t="s">
        <v>96</v>
      </c>
      <c r="F8582" s="1">
        <v>2</v>
      </c>
      <c r="G8582" s="1" t="s">
        <v>28</v>
      </c>
      <c r="H8582" s="4" t="str">
        <f>HYPERLINK("https://www.ncbi.nlm.nih.gov/geo/query/acc.cgi?acc=GSM1673340","GSM1673340")</f>
        <v>GSM1673340</v>
      </c>
      <c r="I8582" t="s">
        <v>69</v>
      </c>
      <c r="J8582" t="s">
        <v>18</v>
      </c>
      <c r="K8582" t="s">
        <v>33</v>
      </c>
      <c r="L8582" t="s">
        <v>70</v>
      </c>
      <c r="N8582" t="s">
        <v>29</v>
      </c>
    </row>
    <row r="8583" spans="1:14">
      <c r="A8583" s="4" t="str">
        <f t="shared" si="759"/>
        <v>EXP00274</v>
      </c>
      <c r="B8583" s="3" t="s">
        <v>66</v>
      </c>
      <c r="C8583" s="4" t="str">
        <f t="shared" si="760"/>
        <v>GSE68468</v>
      </c>
      <c r="D8583" s="1" t="s">
        <v>62</v>
      </c>
      <c r="E8583" t="s">
        <v>96</v>
      </c>
      <c r="F8583" s="1">
        <v>2</v>
      </c>
      <c r="G8583" s="1" t="s">
        <v>28</v>
      </c>
      <c r="H8583" s="4" t="str">
        <f>HYPERLINK("https://www.ncbi.nlm.nih.gov/geo/query/acc.cgi?acc=GSM1673341","GSM1673341")</f>
        <v>GSM1673341</v>
      </c>
      <c r="I8583" t="s">
        <v>69</v>
      </c>
      <c r="J8583" t="s">
        <v>18</v>
      </c>
      <c r="K8583" t="s">
        <v>33</v>
      </c>
      <c r="L8583" t="s">
        <v>70</v>
      </c>
      <c r="N8583" t="s">
        <v>29</v>
      </c>
    </row>
    <row r="8584" spans="1:14">
      <c r="A8584" s="4" t="str">
        <f t="shared" si="759"/>
        <v>EXP00274</v>
      </c>
      <c r="B8584" s="3" t="s">
        <v>66</v>
      </c>
      <c r="C8584" s="4" t="str">
        <f t="shared" si="760"/>
        <v>GSE68468</v>
      </c>
      <c r="D8584" s="1" t="s">
        <v>62</v>
      </c>
      <c r="E8584" t="s">
        <v>96</v>
      </c>
      <c r="F8584" s="1">
        <v>2</v>
      </c>
      <c r="G8584" s="1" t="s">
        <v>28</v>
      </c>
      <c r="H8584" s="4" t="str">
        <f>HYPERLINK("https://www.ncbi.nlm.nih.gov/geo/query/acc.cgi?acc=GSM1673343","GSM1673343")</f>
        <v>GSM1673343</v>
      </c>
      <c r="I8584" t="s">
        <v>69</v>
      </c>
      <c r="J8584" t="s">
        <v>18</v>
      </c>
      <c r="K8584" t="s">
        <v>33</v>
      </c>
      <c r="L8584" t="s">
        <v>70</v>
      </c>
      <c r="N8584" t="s">
        <v>29</v>
      </c>
    </row>
    <row r="8585" spans="1:14">
      <c r="A8585" s="4" t="str">
        <f t="shared" si="759"/>
        <v>EXP00274</v>
      </c>
      <c r="B8585" s="3" t="s">
        <v>66</v>
      </c>
      <c r="C8585" s="4" t="str">
        <f t="shared" si="760"/>
        <v>GSE68468</v>
      </c>
      <c r="D8585" s="1" t="s">
        <v>62</v>
      </c>
      <c r="E8585" t="s">
        <v>96</v>
      </c>
      <c r="F8585" s="1">
        <v>2</v>
      </c>
      <c r="G8585" s="1" t="s">
        <v>28</v>
      </c>
      <c r="H8585" s="4" t="str">
        <f>HYPERLINK("https://www.ncbi.nlm.nih.gov/geo/query/acc.cgi?acc=GSM1673346","GSM1673346")</f>
        <v>GSM1673346</v>
      </c>
      <c r="I8585" t="s">
        <v>69</v>
      </c>
      <c r="J8585" t="s">
        <v>18</v>
      </c>
      <c r="K8585" t="s">
        <v>33</v>
      </c>
      <c r="L8585" t="s">
        <v>70</v>
      </c>
      <c r="N8585" t="s">
        <v>29</v>
      </c>
    </row>
    <row r="8586" spans="1:14">
      <c r="A8586" s="4" t="str">
        <f t="shared" si="759"/>
        <v>EXP00274</v>
      </c>
      <c r="B8586" s="3" t="s">
        <v>66</v>
      </c>
      <c r="C8586" s="4" t="str">
        <f t="shared" si="760"/>
        <v>GSE68468</v>
      </c>
      <c r="D8586" s="1" t="s">
        <v>62</v>
      </c>
      <c r="E8586" t="s">
        <v>96</v>
      </c>
      <c r="F8586" s="1">
        <v>2</v>
      </c>
      <c r="G8586" s="1" t="s">
        <v>28</v>
      </c>
      <c r="H8586" s="4" t="str">
        <f>HYPERLINK("https://www.ncbi.nlm.nih.gov/geo/query/acc.cgi?acc=GSM1673350","GSM1673350")</f>
        <v>GSM1673350</v>
      </c>
      <c r="I8586" t="s">
        <v>69</v>
      </c>
      <c r="J8586" t="s">
        <v>18</v>
      </c>
      <c r="K8586" t="s">
        <v>33</v>
      </c>
      <c r="L8586" t="s">
        <v>70</v>
      </c>
      <c r="N8586" t="s">
        <v>29</v>
      </c>
    </row>
    <row r="8587" spans="1:14">
      <c r="A8587" s="4" t="str">
        <f t="shared" ref="A8587:A8598" si="761">HYPERLINK("http://hcmdb.i-sanger.com/experiment/details/experiment_id/EXP00275","EXP00275")</f>
        <v>EXP00275</v>
      </c>
      <c r="B8587" s="4" t="str">
        <f t="shared" ref="B8587:B8610" si="762">HYPERLINK("https://www.ncbi.nlm.nih.gov/pubmed/26490990","26490990")</f>
        <v>26490990</v>
      </c>
      <c r="C8587" s="4" t="str">
        <f t="shared" ref="C8587:C8610" si="763">HYPERLINK("https://www.ncbi.nlm.nih.gov/geo/query/acc.cgi?acc=GSE70289","GSE70289")</f>
        <v>GSE70289</v>
      </c>
      <c r="D8587" s="1" t="s">
        <v>378</v>
      </c>
      <c r="E8587" t="s">
        <v>379</v>
      </c>
      <c r="F8587" s="1">
        <v>1</v>
      </c>
      <c r="G8587" s="1" t="s">
        <v>31</v>
      </c>
      <c r="H8587" s="4" t="str">
        <f>HYPERLINK("https://www.ncbi.nlm.nih.gov/geo/query/acc.cgi?acc=GSM1722995","GSM1722995")</f>
        <v>GSM1722995</v>
      </c>
      <c r="I8587" t="s">
        <v>380</v>
      </c>
      <c r="J8587" t="s">
        <v>381</v>
      </c>
      <c r="K8587" t="s">
        <v>19</v>
      </c>
      <c r="L8587" t="s">
        <v>147</v>
      </c>
      <c r="M8587" t="s">
        <v>51</v>
      </c>
      <c r="N8587" t="s">
        <v>29</v>
      </c>
    </row>
    <row r="8588" spans="1:14">
      <c r="A8588" s="4" t="str">
        <f t="shared" si="761"/>
        <v>EXP00275</v>
      </c>
      <c r="B8588" s="4" t="str">
        <f t="shared" si="762"/>
        <v>26490990</v>
      </c>
      <c r="C8588" s="4" t="str">
        <f t="shared" si="763"/>
        <v>GSE70289</v>
      </c>
      <c r="D8588" s="1" t="s">
        <v>378</v>
      </c>
      <c r="E8588" t="s">
        <v>379</v>
      </c>
      <c r="F8588" s="1">
        <v>1</v>
      </c>
      <c r="G8588" s="1" t="s">
        <v>31</v>
      </c>
      <c r="H8588" s="4" t="str">
        <f>HYPERLINK("https://www.ncbi.nlm.nih.gov/geo/query/acc.cgi?acc=GSM1722996","GSM1722996")</f>
        <v>GSM1722996</v>
      </c>
      <c r="I8588" t="s">
        <v>380</v>
      </c>
      <c r="J8588" t="s">
        <v>381</v>
      </c>
      <c r="K8588" t="s">
        <v>19</v>
      </c>
      <c r="L8588" t="s">
        <v>147</v>
      </c>
      <c r="M8588" t="s">
        <v>51</v>
      </c>
      <c r="N8588" t="s">
        <v>29</v>
      </c>
    </row>
    <row r="8589" spans="1:14">
      <c r="A8589" s="4" t="str">
        <f t="shared" si="761"/>
        <v>EXP00275</v>
      </c>
      <c r="B8589" s="4" t="str">
        <f t="shared" si="762"/>
        <v>26490990</v>
      </c>
      <c r="C8589" s="4" t="str">
        <f t="shared" si="763"/>
        <v>GSE70289</v>
      </c>
      <c r="D8589" s="1" t="s">
        <v>378</v>
      </c>
      <c r="E8589" t="s">
        <v>379</v>
      </c>
      <c r="F8589" s="1">
        <v>1</v>
      </c>
      <c r="G8589" s="1" t="s">
        <v>31</v>
      </c>
      <c r="H8589" s="4" t="str">
        <f>HYPERLINK("https://www.ncbi.nlm.nih.gov/geo/query/acc.cgi?acc=GSM1722997","GSM1722997")</f>
        <v>GSM1722997</v>
      </c>
      <c r="I8589" t="s">
        <v>380</v>
      </c>
      <c r="J8589" t="s">
        <v>381</v>
      </c>
      <c r="K8589" t="s">
        <v>19</v>
      </c>
      <c r="L8589" t="s">
        <v>147</v>
      </c>
      <c r="M8589" t="s">
        <v>51</v>
      </c>
      <c r="N8589" t="s">
        <v>29</v>
      </c>
    </row>
    <row r="8590" spans="1:14">
      <c r="A8590" s="4" t="str">
        <f t="shared" si="761"/>
        <v>EXP00275</v>
      </c>
      <c r="B8590" s="4" t="str">
        <f t="shared" si="762"/>
        <v>26490990</v>
      </c>
      <c r="C8590" s="4" t="str">
        <f t="shared" si="763"/>
        <v>GSE70289</v>
      </c>
      <c r="D8590" s="1" t="s">
        <v>378</v>
      </c>
      <c r="E8590" t="s">
        <v>379</v>
      </c>
      <c r="F8590" s="1">
        <v>2</v>
      </c>
      <c r="G8590" s="1" t="s">
        <v>32</v>
      </c>
      <c r="H8590" s="4" t="str">
        <f>HYPERLINK("https://www.ncbi.nlm.nih.gov/geo/query/acc.cgi?acc=GSM1722984","GSM1722984")</f>
        <v>GSM1722984</v>
      </c>
      <c r="I8590" t="s">
        <v>380</v>
      </c>
      <c r="J8590" t="s">
        <v>381</v>
      </c>
      <c r="K8590" t="s">
        <v>33</v>
      </c>
      <c r="L8590" t="s">
        <v>147</v>
      </c>
      <c r="N8590" t="s">
        <v>29</v>
      </c>
    </row>
    <row r="8591" spans="1:14">
      <c r="A8591" s="4" t="str">
        <f t="shared" si="761"/>
        <v>EXP00275</v>
      </c>
      <c r="B8591" s="4" t="str">
        <f t="shared" si="762"/>
        <v>26490990</v>
      </c>
      <c r="C8591" s="4" t="str">
        <f t="shared" si="763"/>
        <v>GSE70289</v>
      </c>
      <c r="D8591" s="1" t="s">
        <v>378</v>
      </c>
      <c r="E8591" t="s">
        <v>379</v>
      </c>
      <c r="F8591" s="1">
        <v>2</v>
      </c>
      <c r="G8591" s="1" t="s">
        <v>32</v>
      </c>
      <c r="H8591" s="4" t="str">
        <f>HYPERLINK("https://www.ncbi.nlm.nih.gov/geo/query/acc.cgi?acc=GSM1722985","GSM1722985")</f>
        <v>GSM1722985</v>
      </c>
      <c r="I8591" t="s">
        <v>380</v>
      </c>
      <c r="J8591" t="s">
        <v>381</v>
      </c>
      <c r="K8591" t="s">
        <v>33</v>
      </c>
      <c r="L8591" t="s">
        <v>147</v>
      </c>
      <c r="N8591" t="s">
        <v>29</v>
      </c>
    </row>
    <row r="8592" spans="1:14">
      <c r="A8592" s="4" t="str">
        <f t="shared" si="761"/>
        <v>EXP00275</v>
      </c>
      <c r="B8592" s="4" t="str">
        <f t="shared" si="762"/>
        <v>26490990</v>
      </c>
      <c r="C8592" s="4" t="str">
        <f t="shared" si="763"/>
        <v>GSE70289</v>
      </c>
      <c r="D8592" s="1" t="s">
        <v>378</v>
      </c>
      <c r="E8592" t="s">
        <v>379</v>
      </c>
      <c r="F8592" s="1">
        <v>2</v>
      </c>
      <c r="G8592" s="1" t="s">
        <v>32</v>
      </c>
      <c r="H8592" s="4" t="str">
        <f>HYPERLINK("https://www.ncbi.nlm.nih.gov/geo/query/acc.cgi?acc=GSM1722986","GSM1722986")</f>
        <v>GSM1722986</v>
      </c>
      <c r="I8592" t="s">
        <v>380</v>
      </c>
      <c r="J8592" t="s">
        <v>381</v>
      </c>
      <c r="K8592" t="s">
        <v>33</v>
      </c>
      <c r="L8592" t="s">
        <v>147</v>
      </c>
      <c r="N8592" t="s">
        <v>29</v>
      </c>
    </row>
    <row r="8593" spans="1:14">
      <c r="A8593" s="4" t="str">
        <f t="shared" si="761"/>
        <v>EXP00275</v>
      </c>
      <c r="B8593" s="4" t="str">
        <f t="shared" si="762"/>
        <v>26490990</v>
      </c>
      <c r="C8593" s="4" t="str">
        <f t="shared" si="763"/>
        <v>GSE70289</v>
      </c>
      <c r="D8593" s="1" t="s">
        <v>378</v>
      </c>
      <c r="E8593" t="s">
        <v>379</v>
      </c>
      <c r="F8593" s="1">
        <v>2</v>
      </c>
      <c r="G8593" s="1" t="s">
        <v>32</v>
      </c>
      <c r="H8593" s="4" t="str">
        <f>HYPERLINK("https://www.ncbi.nlm.nih.gov/geo/query/acc.cgi?acc=GSM1722987","GSM1722987")</f>
        <v>GSM1722987</v>
      </c>
      <c r="I8593" t="s">
        <v>380</v>
      </c>
      <c r="J8593" t="s">
        <v>381</v>
      </c>
      <c r="K8593" t="s">
        <v>33</v>
      </c>
      <c r="L8593" t="s">
        <v>147</v>
      </c>
      <c r="N8593" t="s">
        <v>29</v>
      </c>
    </row>
    <row r="8594" spans="1:14">
      <c r="A8594" s="4" t="str">
        <f t="shared" si="761"/>
        <v>EXP00275</v>
      </c>
      <c r="B8594" s="4" t="str">
        <f t="shared" si="762"/>
        <v>26490990</v>
      </c>
      <c r="C8594" s="4" t="str">
        <f t="shared" si="763"/>
        <v>GSE70289</v>
      </c>
      <c r="D8594" s="1" t="s">
        <v>378</v>
      </c>
      <c r="E8594" t="s">
        <v>379</v>
      </c>
      <c r="F8594" s="1">
        <v>2</v>
      </c>
      <c r="G8594" s="1" t="s">
        <v>32</v>
      </c>
      <c r="H8594" s="4" t="str">
        <f>HYPERLINK("https://www.ncbi.nlm.nih.gov/geo/query/acc.cgi?acc=GSM1722988","GSM1722988")</f>
        <v>GSM1722988</v>
      </c>
      <c r="I8594" t="s">
        <v>380</v>
      </c>
      <c r="J8594" t="s">
        <v>381</v>
      </c>
      <c r="K8594" t="s">
        <v>33</v>
      </c>
      <c r="L8594" t="s">
        <v>147</v>
      </c>
      <c r="N8594" t="s">
        <v>29</v>
      </c>
    </row>
    <row r="8595" spans="1:14">
      <c r="A8595" s="4" t="str">
        <f t="shared" si="761"/>
        <v>EXP00275</v>
      </c>
      <c r="B8595" s="4" t="str">
        <f t="shared" si="762"/>
        <v>26490990</v>
      </c>
      <c r="C8595" s="4" t="str">
        <f t="shared" si="763"/>
        <v>GSE70289</v>
      </c>
      <c r="D8595" s="1" t="s">
        <v>378</v>
      </c>
      <c r="E8595" t="s">
        <v>379</v>
      </c>
      <c r="F8595" s="1">
        <v>2</v>
      </c>
      <c r="G8595" s="1" t="s">
        <v>32</v>
      </c>
      <c r="H8595" s="4" t="str">
        <f>HYPERLINK("https://www.ncbi.nlm.nih.gov/geo/query/acc.cgi?acc=GSM1722989","GSM1722989")</f>
        <v>GSM1722989</v>
      </c>
      <c r="I8595" t="s">
        <v>380</v>
      </c>
      <c r="J8595" t="s">
        <v>381</v>
      </c>
      <c r="K8595" t="s">
        <v>33</v>
      </c>
      <c r="L8595" t="s">
        <v>147</v>
      </c>
      <c r="N8595" t="s">
        <v>29</v>
      </c>
    </row>
    <row r="8596" spans="1:14">
      <c r="A8596" s="4" t="str">
        <f t="shared" si="761"/>
        <v>EXP00275</v>
      </c>
      <c r="B8596" s="4" t="str">
        <f t="shared" si="762"/>
        <v>26490990</v>
      </c>
      <c r="C8596" s="4" t="str">
        <f t="shared" si="763"/>
        <v>GSE70289</v>
      </c>
      <c r="D8596" s="1" t="s">
        <v>378</v>
      </c>
      <c r="E8596" t="s">
        <v>379</v>
      </c>
      <c r="F8596" s="1">
        <v>2</v>
      </c>
      <c r="G8596" s="1" t="s">
        <v>32</v>
      </c>
      <c r="H8596" s="4" t="str">
        <f>HYPERLINK("https://www.ncbi.nlm.nih.gov/geo/query/acc.cgi?acc=GSM1722992","GSM1722992")</f>
        <v>GSM1722992</v>
      </c>
      <c r="I8596" t="s">
        <v>380</v>
      </c>
      <c r="J8596" t="s">
        <v>381</v>
      </c>
      <c r="K8596" t="s">
        <v>33</v>
      </c>
      <c r="L8596" t="s">
        <v>147</v>
      </c>
      <c r="N8596" t="s">
        <v>29</v>
      </c>
    </row>
    <row r="8597" spans="1:14">
      <c r="A8597" s="4" t="str">
        <f t="shared" si="761"/>
        <v>EXP00275</v>
      </c>
      <c r="B8597" s="4" t="str">
        <f t="shared" si="762"/>
        <v>26490990</v>
      </c>
      <c r="C8597" s="4" t="str">
        <f t="shared" si="763"/>
        <v>GSE70289</v>
      </c>
      <c r="D8597" s="1" t="s">
        <v>378</v>
      </c>
      <c r="E8597" t="s">
        <v>379</v>
      </c>
      <c r="F8597" s="1">
        <v>2</v>
      </c>
      <c r="G8597" s="1" t="s">
        <v>32</v>
      </c>
      <c r="H8597" s="4" t="str">
        <f>HYPERLINK("https://www.ncbi.nlm.nih.gov/geo/query/acc.cgi?acc=GSM1722993","GSM1722993")</f>
        <v>GSM1722993</v>
      </c>
      <c r="I8597" t="s">
        <v>380</v>
      </c>
      <c r="J8597" t="s">
        <v>381</v>
      </c>
      <c r="K8597" t="s">
        <v>33</v>
      </c>
      <c r="L8597" t="s">
        <v>147</v>
      </c>
      <c r="N8597" t="s">
        <v>29</v>
      </c>
    </row>
    <row r="8598" spans="1:14">
      <c r="A8598" s="4" t="str">
        <f t="shared" si="761"/>
        <v>EXP00275</v>
      </c>
      <c r="B8598" s="4" t="str">
        <f t="shared" si="762"/>
        <v>26490990</v>
      </c>
      <c r="C8598" s="4" t="str">
        <f t="shared" si="763"/>
        <v>GSE70289</v>
      </c>
      <c r="D8598" s="1" t="s">
        <v>378</v>
      </c>
      <c r="E8598" t="s">
        <v>379</v>
      </c>
      <c r="F8598" s="1">
        <v>2</v>
      </c>
      <c r="G8598" s="1" t="s">
        <v>32</v>
      </c>
      <c r="H8598" s="4" t="str">
        <f>HYPERLINK("https://www.ncbi.nlm.nih.gov/geo/query/acc.cgi?acc=GSM1722994","GSM1722994")</f>
        <v>GSM1722994</v>
      </c>
      <c r="I8598" t="s">
        <v>380</v>
      </c>
      <c r="J8598" t="s">
        <v>381</v>
      </c>
      <c r="K8598" t="s">
        <v>33</v>
      </c>
      <c r="L8598" t="s">
        <v>147</v>
      </c>
      <c r="N8598" t="s">
        <v>29</v>
      </c>
    </row>
    <row r="8599" spans="1:14">
      <c r="A8599" s="4" t="str">
        <f t="shared" ref="A8599:A8610" si="764">HYPERLINK("http://hcmdb.i-sanger.com/experiment/details/experiment_id/EXP00276","EXP00276")</f>
        <v>EXP00276</v>
      </c>
      <c r="B8599" s="4" t="str">
        <f t="shared" si="762"/>
        <v>26490990</v>
      </c>
      <c r="C8599" s="4" t="str">
        <f t="shared" si="763"/>
        <v>GSE70289</v>
      </c>
      <c r="D8599" s="1" t="s">
        <v>378</v>
      </c>
      <c r="E8599" t="s">
        <v>382</v>
      </c>
      <c r="F8599" s="1">
        <v>1</v>
      </c>
      <c r="G8599" s="1" t="s">
        <v>36</v>
      </c>
      <c r="H8599" s="4" t="str">
        <f>HYPERLINK("https://www.ncbi.nlm.nih.gov/geo/query/acc.cgi?acc=GSM1722990","GSM1722990")</f>
        <v>GSM1722990</v>
      </c>
      <c r="I8599" t="s">
        <v>380</v>
      </c>
      <c r="J8599" t="s">
        <v>381</v>
      </c>
      <c r="K8599" t="s">
        <v>33</v>
      </c>
      <c r="L8599" t="s">
        <v>147</v>
      </c>
      <c r="N8599" t="s">
        <v>37</v>
      </c>
    </row>
    <row r="8600" spans="1:14">
      <c r="A8600" s="4" t="str">
        <f t="shared" si="764"/>
        <v>EXP00276</v>
      </c>
      <c r="B8600" s="4" t="str">
        <f t="shared" si="762"/>
        <v>26490990</v>
      </c>
      <c r="C8600" s="4" t="str">
        <f t="shared" si="763"/>
        <v>GSE70289</v>
      </c>
      <c r="D8600" s="1" t="s">
        <v>378</v>
      </c>
      <c r="E8600" t="s">
        <v>382</v>
      </c>
      <c r="F8600" s="1">
        <v>1</v>
      </c>
      <c r="G8600" s="1" t="s">
        <v>36</v>
      </c>
      <c r="H8600" s="4" t="str">
        <f>HYPERLINK("https://www.ncbi.nlm.nih.gov/geo/query/acc.cgi?acc=GSM1722991","GSM1722991")</f>
        <v>GSM1722991</v>
      </c>
      <c r="I8600" t="s">
        <v>380</v>
      </c>
      <c r="J8600" t="s">
        <v>381</v>
      </c>
      <c r="K8600" t="s">
        <v>33</v>
      </c>
      <c r="L8600" t="s">
        <v>147</v>
      </c>
      <c r="N8600" t="s">
        <v>37</v>
      </c>
    </row>
    <row r="8601" spans="1:14">
      <c r="A8601" s="4" t="str">
        <f t="shared" si="764"/>
        <v>EXP00276</v>
      </c>
      <c r="B8601" s="4" t="str">
        <f t="shared" si="762"/>
        <v>26490990</v>
      </c>
      <c r="C8601" s="4" t="str">
        <f t="shared" si="763"/>
        <v>GSE70289</v>
      </c>
      <c r="D8601" s="1" t="s">
        <v>378</v>
      </c>
      <c r="E8601" t="s">
        <v>382</v>
      </c>
      <c r="F8601" s="1">
        <v>1</v>
      </c>
      <c r="G8601" s="1" t="s">
        <v>36</v>
      </c>
      <c r="H8601" s="4" t="str">
        <f>HYPERLINK("https://www.ncbi.nlm.nih.gov/geo/query/acc.cgi?acc=GSM1722999","GSM1722999")</f>
        <v>GSM1722999</v>
      </c>
      <c r="I8601" t="s">
        <v>380</v>
      </c>
      <c r="J8601" t="s">
        <v>381</v>
      </c>
      <c r="K8601" t="s">
        <v>33</v>
      </c>
      <c r="L8601" t="s">
        <v>147</v>
      </c>
      <c r="N8601" t="s">
        <v>37</v>
      </c>
    </row>
    <row r="8602" spans="1:14">
      <c r="A8602" s="4" t="str">
        <f t="shared" si="764"/>
        <v>EXP00276</v>
      </c>
      <c r="B8602" s="4" t="str">
        <f t="shared" si="762"/>
        <v>26490990</v>
      </c>
      <c r="C8602" s="4" t="str">
        <f t="shared" si="763"/>
        <v>GSE70289</v>
      </c>
      <c r="D8602" s="1" t="s">
        <v>378</v>
      </c>
      <c r="E8602" t="s">
        <v>382</v>
      </c>
      <c r="F8602" s="1">
        <v>2</v>
      </c>
      <c r="G8602" s="1" t="s">
        <v>28</v>
      </c>
      <c r="H8602" s="4" t="str">
        <f>HYPERLINK("https://www.ncbi.nlm.nih.gov/geo/query/acc.cgi?acc=GSM1722984","GSM1722984")</f>
        <v>GSM1722984</v>
      </c>
      <c r="I8602" t="s">
        <v>380</v>
      </c>
      <c r="J8602" t="s">
        <v>381</v>
      </c>
      <c r="K8602" t="s">
        <v>33</v>
      </c>
      <c r="L8602" t="s">
        <v>147</v>
      </c>
      <c r="N8602" t="s">
        <v>29</v>
      </c>
    </row>
    <row r="8603" spans="1:14">
      <c r="A8603" s="4" t="str">
        <f t="shared" si="764"/>
        <v>EXP00276</v>
      </c>
      <c r="B8603" s="4" t="str">
        <f t="shared" si="762"/>
        <v>26490990</v>
      </c>
      <c r="C8603" s="4" t="str">
        <f t="shared" si="763"/>
        <v>GSE70289</v>
      </c>
      <c r="D8603" s="1" t="s">
        <v>378</v>
      </c>
      <c r="E8603" t="s">
        <v>382</v>
      </c>
      <c r="F8603" s="1">
        <v>2</v>
      </c>
      <c r="G8603" s="1" t="s">
        <v>28</v>
      </c>
      <c r="H8603" s="4" t="str">
        <f>HYPERLINK("https://www.ncbi.nlm.nih.gov/geo/query/acc.cgi?acc=GSM1722985","GSM1722985")</f>
        <v>GSM1722985</v>
      </c>
      <c r="I8603" t="s">
        <v>380</v>
      </c>
      <c r="J8603" t="s">
        <v>381</v>
      </c>
      <c r="K8603" t="s">
        <v>33</v>
      </c>
      <c r="L8603" t="s">
        <v>147</v>
      </c>
      <c r="N8603" t="s">
        <v>29</v>
      </c>
    </row>
    <row r="8604" spans="1:14">
      <c r="A8604" s="4" t="str">
        <f t="shared" si="764"/>
        <v>EXP00276</v>
      </c>
      <c r="B8604" s="4" t="str">
        <f t="shared" si="762"/>
        <v>26490990</v>
      </c>
      <c r="C8604" s="4" t="str">
        <f t="shared" si="763"/>
        <v>GSE70289</v>
      </c>
      <c r="D8604" s="1" t="s">
        <v>378</v>
      </c>
      <c r="E8604" t="s">
        <v>382</v>
      </c>
      <c r="F8604" s="1">
        <v>2</v>
      </c>
      <c r="G8604" s="1" t="s">
        <v>28</v>
      </c>
      <c r="H8604" s="4" t="str">
        <f>HYPERLINK("https://www.ncbi.nlm.nih.gov/geo/query/acc.cgi?acc=GSM1722986","GSM1722986")</f>
        <v>GSM1722986</v>
      </c>
      <c r="I8604" t="s">
        <v>380</v>
      </c>
      <c r="J8604" t="s">
        <v>381</v>
      </c>
      <c r="K8604" t="s">
        <v>33</v>
      </c>
      <c r="L8604" t="s">
        <v>147</v>
      </c>
      <c r="N8604" t="s">
        <v>29</v>
      </c>
    </row>
    <row r="8605" spans="1:14">
      <c r="A8605" s="4" t="str">
        <f t="shared" si="764"/>
        <v>EXP00276</v>
      </c>
      <c r="B8605" s="4" t="str">
        <f t="shared" si="762"/>
        <v>26490990</v>
      </c>
      <c r="C8605" s="4" t="str">
        <f t="shared" si="763"/>
        <v>GSE70289</v>
      </c>
      <c r="D8605" s="1" t="s">
        <v>378</v>
      </c>
      <c r="E8605" t="s">
        <v>382</v>
      </c>
      <c r="F8605" s="1">
        <v>2</v>
      </c>
      <c r="G8605" s="1" t="s">
        <v>28</v>
      </c>
      <c r="H8605" s="4" t="str">
        <f>HYPERLINK("https://www.ncbi.nlm.nih.gov/geo/query/acc.cgi?acc=GSM1722987","GSM1722987")</f>
        <v>GSM1722987</v>
      </c>
      <c r="I8605" t="s">
        <v>380</v>
      </c>
      <c r="J8605" t="s">
        <v>381</v>
      </c>
      <c r="K8605" t="s">
        <v>33</v>
      </c>
      <c r="L8605" t="s">
        <v>147</v>
      </c>
      <c r="N8605" t="s">
        <v>29</v>
      </c>
    </row>
    <row r="8606" spans="1:14">
      <c r="A8606" s="4" t="str">
        <f t="shared" si="764"/>
        <v>EXP00276</v>
      </c>
      <c r="B8606" s="4" t="str">
        <f t="shared" si="762"/>
        <v>26490990</v>
      </c>
      <c r="C8606" s="4" t="str">
        <f t="shared" si="763"/>
        <v>GSE70289</v>
      </c>
      <c r="D8606" s="1" t="s">
        <v>378</v>
      </c>
      <c r="E8606" t="s">
        <v>382</v>
      </c>
      <c r="F8606" s="1">
        <v>2</v>
      </c>
      <c r="G8606" s="1" t="s">
        <v>28</v>
      </c>
      <c r="H8606" s="4" t="str">
        <f>HYPERLINK("https://www.ncbi.nlm.nih.gov/geo/query/acc.cgi?acc=GSM1722988","GSM1722988")</f>
        <v>GSM1722988</v>
      </c>
      <c r="I8606" t="s">
        <v>380</v>
      </c>
      <c r="J8606" t="s">
        <v>381</v>
      </c>
      <c r="K8606" t="s">
        <v>33</v>
      </c>
      <c r="L8606" t="s">
        <v>147</v>
      </c>
      <c r="N8606" t="s">
        <v>29</v>
      </c>
    </row>
    <row r="8607" spans="1:14">
      <c r="A8607" s="4" t="str">
        <f t="shared" si="764"/>
        <v>EXP00276</v>
      </c>
      <c r="B8607" s="4" t="str">
        <f t="shared" si="762"/>
        <v>26490990</v>
      </c>
      <c r="C8607" s="4" t="str">
        <f t="shared" si="763"/>
        <v>GSE70289</v>
      </c>
      <c r="D8607" s="1" t="s">
        <v>378</v>
      </c>
      <c r="E8607" t="s">
        <v>382</v>
      </c>
      <c r="F8607" s="1">
        <v>2</v>
      </c>
      <c r="G8607" s="1" t="s">
        <v>28</v>
      </c>
      <c r="H8607" s="4" t="str">
        <f>HYPERLINK("https://www.ncbi.nlm.nih.gov/geo/query/acc.cgi?acc=GSM1722989","GSM1722989")</f>
        <v>GSM1722989</v>
      </c>
      <c r="I8607" t="s">
        <v>380</v>
      </c>
      <c r="J8607" t="s">
        <v>381</v>
      </c>
      <c r="K8607" t="s">
        <v>33</v>
      </c>
      <c r="L8607" t="s">
        <v>147</v>
      </c>
      <c r="N8607" t="s">
        <v>29</v>
      </c>
    </row>
    <row r="8608" spans="1:14">
      <c r="A8608" s="4" t="str">
        <f t="shared" si="764"/>
        <v>EXP00276</v>
      </c>
      <c r="B8608" s="4" t="str">
        <f t="shared" si="762"/>
        <v>26490990</v>
      </c>
      <c r="C8608" s="4" t="str">
        <f t="shared" si="763"/>
        <v>GSE70289</v>
      </c>
      <c r="D8608" s="1" t="s">
        <v>378</v>
      </c>
      <c r="E8608" t="s">
        <v>382</v>
      </c>
      <c r="F8608" s="1">
        <v>2</v>
      </c>
      <c r="G8608" s="1" t="s">
        <v>28</v>
      </c>
      <c r="H8608" s="4" t="str">
        <f>HYPERLINK("https://www.ncbi.nlm.nih.gov/geo/query/acc.cgi?acc=GSM1722992","GSM1722992")</f>
        <v>GSM1722992</v>
      </c>
      <c r="I8608" t="s">
        <v>380</v>
      </c>
      <c r="J8608" t="s">
        <v>381</v>
      </c>
      <c r="K8608" t="s">
        <v>33</v>
      </c>
      <c r="L8608" t="s">
        <v>147</v>
      </c>
      <c r="N8608" t="s">
        <v>29</v>
      </c>
    </row>
    <row r="8609" spans="1:14">
      <c r="A8609" s="4" t="str">
        <f t="shared" si="764"/>
        <v>EXP00276</v>
      </c>
      <c r="B8609" s="4" t="str">
        <f t="shared" si="762"/>
        <v>26490990</v>
      </c>
      <c r="C8609" s="4" t="str">
        <f t="shared" si="763"/>
        <v>GSE70289</v>
      </c>
      <c r="D8609" s="1" t="s">
        <v>378</v>
      </c>
      <c r="E8609" t="s">
        <v>382</v>
      </c>
      <c r="F8609" s="1">
        <v>2</v>
      </c>
      <c r="G8609" s="1" t="s">
        <v>28</v>
      </c>
      <c r="H8609" s="4" t="str">
        <f>HYPERLINK("https://www.ncbi.nlm.nih.gov/geo/query/acc.cgi?acc=GSM1722993","GSM1722993")</f>
        <v>GSM1722993</v>
      </c>
      <c r="I8609" t="s">
        <v>380</v>
      </c>
      <c r="J8609" t="s">
        <v>381</v>
      </c>
      <c r="K8609" t="s">
        <v>33</v>
      </c>
      <c r="L8609" t="s">
        <v>147</v>
      </c>
      <c r="N8609" t="s">
        <v>29</v>
      </c>
    </row>
    <row r="8610" spans="1:14">
      <c r="A8610" s="4" t="str">
        <f t="shared" si="764"/>
        <v>EXP00276</v>
      </c>
      <c r="B8610" s="4" t="str">
        <f t="shared" si="762"/>
        <v>26490990</v>
      </c>
      <c r="C8610" s="4" t="str">
        <f t="shared" si="763"/>
        <v>GSE70289</v>
      </c>
      <c r="D8610" s="1" t="s">
        <v>378</v>
      </c>
      <c r="E8610" t="s">
        <v>382</v>
      </c>
      <c r="F8610" s="1">
        <v>2</v>
      </c>
      <c r="G8610" s="1" t="s">
        <v>28</v>
      </c>
      <c r="H8610" s="4" t="str">
        <f>HYPERLINK("https://www.ncbi.nlm.nih.gov/geo/query/acc.cgi?acc=GSM1722994","GSM1722994")</f>
        <v>GSM1722994</v>
      </c>
      <c r="I8610" t="s">
        <v>380</v>
      </c>
      <c r="J8610" t="s">
        <v>381</v>
      </c>
      <c r="K8610" t="s">
        <v>33</v>
      </c>
      <c r="L8610" t="s">
        <v>147</v>
      </c>
      <c r="N8610" t="s">
        <v>29</v>
      </c>
    </row>
    <row r="8611" spans="1:14">
      <c r="A8611" s="4" t="str">
        <f t="shared" ref="A8611:A8640" si="765">HYPERLINK("http://hcmdb.i-sanger.com/experiment/details/experiment_id/EXP00277","EXP00277")</f>
        <v>EXP00277</v>
      </c>
      <c r="B8611" s="4" t="str">
        <f t="shared" ref="B8611:B8674" si="766">HYPERLINK("https://www.ncbi.nlm.nih.gov/pubmed/27353039","27353039")</f>
        <v>27353039</v>
      </c>
      <c r="C8611" s="4" t="str">
        <f t="shared" ref="C8611:C8674" si="767">HYPERLINK("https://www.ncbi.nlm.nih.gov/geo/query/acc.cgi?acc=GSE70534","GSE70534")</f>
        <v>GSE70534</v>
      </c>
      <c r="D8611" s="1" t="s">
        <v>383</v>
      </c>
      <c r="E8611" t="s">
        <v>384</v>
      </c>
      <c r="F8611" s="1">
        <v>1</v>
      </c>
      <c r="G8611" s="1" t="s">
        <v>26</v>
      </c>
      <c r="H8611" s="4" t="str">
        <f>HYPERLINK("https://www.ncbi.nlm.nih.gov/geo/query/acc.cgi?acc=GSM1808458","GSM1808458")</f>
        <v>GSM1808458</v>
      </c>
      <c r="I8611" t="s">
        <v>385</v>
      </c>
      <c r="J8611" t="s">
        <v>386</v>
      </c>
      <c r="K8611" t="s">
        <v>19</v>
      </c>
      <c r="L8611" t="s">
        <v>308</v>
      </c>
      <c r="M8611" t="s">
        <v>24</v>
      </c>
      <c r="N8611" t="s">
        <v>22</v>
      </c>
    </row>
    <row r="8612" spans="1:14">
      <c r="A8612" s="4" t="str">
        <f t="shared" si="765"/>
        <v>EXP00277</v>
      </c>
      <c r="B8612" s="4" t="str">
        <f t="shared" si="766"/>
        <v>27353039</v>
      </c>
      <c r="C8612" s="4" t="str">
        <f t="shared" si="767"/>
        <v>GSE70534</v>
      </c>
      <c r="D8612" s="1" t="s">
        <v>383</v>
      </c>
      <c r="E8612" t="s">
        <v>384</v>
      </c>
      <c r="F8612" s="1">
        <v>1</v>
      </c>
      <c r="G8612" s="1" t="s">
        <v>26</v>
      </c>
      <c r="H8612" s="4" t="str">
        <f>HYPERLINK("https://www.ncbi.nlm.nih.gov/geo/query/acc.cgi?acc=GSM1808462","GSM1808462")</f>
        <v>GSM1808462</v>
      </c>
      <c r="I8612" t="s">
        <v>385</v>
      </c>
      <c r="J8612" t="s">
        <v>386</v>
      </c>
      <c r="K8612" t="s">
        <v>19</v>
      </c>
      <c r="L8612" t="s">
        <v>308</v>
      </c>
      <c r="M8612" t="s">
        <v>24</v>
      </c>
      <c r="N8612" t="s">
        <v>22</v>
      </c>
    </row>
    <row r="8613" spans="1:14">
      <c r="A8613" s="4" t="str">
        <f t="shared" si="765"/>
        <v>EXP00277</v>
      </c>
      <c r="B8613" s="4" t="str">
        <f t="shared" si="766"/>
        <v>27353039</v>
      </c>
      <c r="C8613" s="4" t="str">
        <f t="shared" si="767"/>
        <v>GSE70534</v>
      </c>
      <c r="D8613" s="1" t="s">
        <v>383</v>
      </c>
      <c r="E8613" t="s">
        <v>384</v>
      </c>
      <c r="F8613" s="1">
        <v>1</v>
      </c>
      <c r="G8613" s="1" t="s">
        <v>26</v>
      </c>
      <c r="H8613" s="4" t="str">
        <f>HYPERLINK("https://www.ncbi.nlm.nih.gov/geo/query/acc.cgi?acc=GSM1808470","GSM1808470")</f>
        <v>GSM1808470</v>
      </c>
      <c r="I8613" t="s">
        <v>385</v>
      </c>
      <c r="J8613" t="s">
        <v>386</v>
      </c>
      <c r="K8613" t="s">
        <v>19</v>
      </c>
      <c r="L8613" t="s">
        <v>308</v>
      </c>
      <c r="M8613" t="s">
        <v>24</v>
      </c>
      <c r="N8613" t="s">
        <v>22</v>
      </c>
    </row>
    <row r="8614" spans="1:14">
      <c r="A8614" s="4" t="str">
        <f t="shared" si="765"/>
        <v>EXP00277</v>
      </c>
      <c r="B8614" s="4" t="str">
        <f t="shared" si="766"/>
        <v>27353039</v>
      </c>
      <c r="C8614" s="4" t="str">
        <f t="shared" si="767"/>
        <v>GSE70534</v>
      </c>
      <c r="D8614" s="1" t="s">
        <v>383</v>
      </c>
      <c r="E8614" t="s">
        <v>384</v>
      </c>
      <c r="F8614" s="1">
        <v>1</v>
      </c>
      <c r="G8614" s="1" t="s">
        <v>26</v>
      </c>
      <c r="H8614" s="4" t="str">
        <f>HYPERLINK("https://www.ncbi.nlm.nih.gov/geo/query/acc.cgi?acc=GSM1808474","GSM1808474")</f>
        <v>GSM1808474</v>
      </c>
      <c r="I8614" t="s">
        <v>385</v>
      </c>
      <c r="J8614" t="s">
        <v>386</v>
      </c>
      <c r="K8614" t="s">
        <v>19</v>
      </c>
      <c r="L8614" t="s">
        <v>308</v>
      </c>
      <c r="M8614" t="s">
        <v>24</v>
      </c>
      <c r="N8614" t="s">
        <v>22</v>
      </c>
    </row>
    <row r="8615" spans="1:14">
      <c r="A8615" s="4" t="str">
        <f t="shared" si="765"/>
        <v>EXP00277</v>
      </c>
      <c r="B8615" s="4" t="str">
        <f t="shared" si="766"/>
        <v>27353039</v>
      </c>
      <c r="C8615" s="4" t="str">
        <f t="shared" si="767"/>
        <v>GSE70534</v>
      </c>
      <c r="D8615" s="1" t="s">
        <v>383</v>
      </c>
      <c r="E8615" t="s">
        <v>384</v>
      </c>
      <c r="F8615" s="1">
        <v>1</v>
      </c>
      <c r="G8615" s="1" t="s">
        <v>26</v>
      </c>
      <c r="H8615" s="4" t="str">
        <f>HYPERLINK("https://www.ncbi.nlm.nih.gov/geo/query/acc.cgi?acc=GSM1808478","GSM1808478")</f>
        <v>GSM1808478</v>
      </c>
      <c r="I8615" t="s">
        <v>385</v>
      </c>
      <c r="J8615" t="s">
        <v>386</v>
      </c>
      <c r="K8615" t="s">
        <v>19</v>
      </c>
      <c r="L8615" t="s">
        <v>308</v>
      </c>
      <c r="M8615" t="s">
        <v>24</v>
      </c>
      <c r="N8615" t="s">
        <v>22</v>
      </c>
    </row>
    <row r="8616" spans="1:14">
      <c r="A8616" s="4" t="str">
        <f t="shared" si="765"/>
        <v>EXP00277</v>
      </c>
      <c r="B8616" s="4" t="str">
        <f t="shared" si="766"/>
        <v>27353039</v>
      </c>
      <c r="C8616" s="4" t="str">
        <f t="shared" si="767"/>
        <v>GSE70534</v>
      </c>
      <c r="D8616" s="1" t="s">
        <v>383</v>
      </c>
      <c r="E8616" t="s">
        <v>384</v>
      </c>
      <c r="F8616" s="1">
        <v>1</v>
      </c>
      <c r="G8616" s="1" t="s">
        <v>26</v>
      </c>
      <c r="H8616" s="4" t="str">
        <f>HYPERLINK("https://www.ncbi.nlm.nih.gov/geo/query/acc.cgi?acc=GSM1808482","GSM1808482")</f>
        <v>GSM1808482</v>
      </c>
      <c r="I8616" t="s">
        <v>385</v>
      </c>
      <c r="J8616" t="s">
        <v>386</v>
      </c>
      <c r="K8616" t="s">
        <v>19</v>
      </c>
      <c r="L8616" t="s">
        <v>308</v>
      </c>
      <c r="M8616" t="s">
        <v>24</v>
      </c>
      <c r="N8616" t="s">
        <v>22</v>
      </c>
    </row>
    <row r="8617" spans="1:14">
      <c r="A8617" s="4" t="str">
        <f t="shared" si="765"/>
        <v>EXP00277</v>
      </c>
      <c r="B8617" s="4" t="str">
        <f t="shared" si="766"/>
        <v>27353039</v>
      </c>
      <c r="C8617" s="4" t="str">
        <f t="shared" si="767"/>
        <v>GSE70534</v>
      </c>
      <c r="D8617" s="1" t="s">
        <v>383</v>
      </c>
      <c r="E8617" t="s">
        <v>384</v>
      </c>
      <c r="F8617" s="1">
        <v>1</v>
      </c>
      <c r="G8617" s="1" t="s">
        <v>26</v>
      </c>
      <c r="H8617" s="4" t="str">
        <f>HYPERLINK("https://www.ncbi.nlm.nih.gov/geo/query/acc.cgi?acc=GSM1808486","GSM1808486")</f>
        <v>GSM1808486</v>
      </c>
      <c r="I8617" t="s">
        <v>385</v>
      </c>
      <c r="J8617" t="s">
        <v>386</v>
      </c>
      <c r="K8617" t="s">
        <v>19</v>
      </c>
      <c r="L8617" t="s">
        <v>308</v>
      </c>
      <c r="M8617" t="s">
        <v>24</v>
      </c>
      <c r="N8617" t="s">
        <v>22</v>
      </c>
    </row>
    <row r="8618" spans="1:14">
      <c r="A8618" s="4" t="str">
        <f t="shared" si="765"/>
        <v>EXP00277</v>
      </c>
      <c r="B8618" s="4" t="str">
        <f t="shared" si="766"/>
        <v>27353039</v>
      </c>
      <c r="C8618" s="4" t="str">
        <f t="shared" si="767"/>
        <v>GSE70534</v>
      </c>
      <c r="D8618" s="1" t="s">
        <v>383</v>
      </c>
      <c r="E8618" t="s">
        <v>384</v>
      </c>
      <c r="F8618" s="1">
        <v>1</v>
      </c>
      <c r="G8618" s="1" t="s">
        <v>26</v>
      </c>
      <c r="H8618" s="4" t="str">
        <f>HYPERLINK("https://www.ncbi.nlm.nih.gov/geo/query/acc.cgi?acc=GSM1808492","GSM1808492")</f>
        <v>GSM1808492</v>
      </c>
      <c r="I8618" t="s">
        <v>385</v>
      </c>
      <c r="J8618" t="s">
        <v>386</v>
      </c>
      <c r="K8618" t="s">
        <v>19</v>
      </c>
      <c r="L8618" t="s">
        <v>308</v>
      </c>
      <c r="M8618" t="s">
        <v>24</v>
      </c>
      <c r="N8618" t="s">
        <v>22</v>
      </c>
    </row>
    <row r="8619" spans="1:14">
      <c r="A8619" s="4" t="str">
        <f t="shared" si="765"/>
        <v>EXP00277</v>
      </c>
      <c r="B8619" s="4" t="str">
        <f t="shared" si="766"/>
        <v>27353039</v>
      </c>
      <c r="C8619" s="4" t="str">
        <f t="shared" si="767"/>
        <v>GSE70534</v>
      </c>
      <c r="D8619" s="1" t="s">
        <v>383</v>
      </c>
      <c r="E8619" t="s">
        <v>384</v>
      </c>
      <c r="F8619" s="1">
        <v>1</v>
      </c>
      <c r="G8619" s="1" t="s">
        <v>26</v>
      </c>
      <c r="H8619" s="4" t="str">
        <f>HYPERLINK("https://www.ncbi.nlm.nih.gov/geo/query/acc.cgi?acc=GSM1808497","GSM1808497")</f>
        <v>GSM1808497</v>
      </c>
      <c r="I8619" t="s">
        <v>385</v>
      </c>
      <c r="J8619" t="s">
        <v>386</v>
      </c>
      <c r="K8619" t="s">
        <v>19</v>
      </c>
      <c r="L8619" t="s">
        <v>308</v>
      </c>
      <c r="M8619" t="s">
        <v>24</v>
      </c>
      <c r="N8619" t="s">
        <v>22</v>
      </c>
    </row>
    <row r="8620" spans="1:14">
      <c r="A8620" s="4" t="str">
        <f t="shared" si="765"/>
        <v>EXP00277</v>
      </c>
      <c r="B8620" s="4" t="str">
        <f t="shared" si="766"/>
        <v>27353039</v>
      </c>
      <c r="C8620" s="4" t="str">
        <f t="shared" si="767"/>
        <v>GSE70534</v>
      </c>
      <c r="D8620" s="1" t="s">
        <v>383</v>
      </c>
      <c r="E8620" t="s">
        <v>384</v>
      </c>
      <c r="F8620" s="1">
        <v>1</v>
      </c>
      <c r="G8620" s="1" t="s">
        <v>26</v>
      </c>
      <c r="H8620" s="4" t="str">
        <f>HYPERLINK("https://www.ncbi.nlm.nih.gov/geo/query/acc.cgi?acc=GSM2226578","GSM2226578")</f>
        <v>GSM2226578</v>
      </c>
      <c r="I8620" t="s">
        <v>385</v>
      </c>
      <c r="J8620" t="s">
        <v>386</v>
      </c>
      <c r="K8620" t="s">
        <v>19</v>
      </c>
      <c r="L8620" t="s">
        <v>308</v>
      </c>
      <c r="M8620" t="s">
        <v>24</v>
      </c>
      <c r="N8620" t="s">
        <v>22</v>
      </c>
    </row>
    <row r="8621" spans="1:14">
      <c r="A8621" s="4" t="str">
        <f t="shared" si="765"/>
        <v>EXP00277</v>
      </c>
      <c r="B8621" s="4" t="str">
        <f t="shared" si="766"/>
        <v>27353039</v>
      </c>
      <c r="C8621" s="4" t="str">
        <f t="shared" si="767"/>
        <v>GSE70534</v>
      </c>
      <c r="D8621" s="1" t="s">
        <v>383</v>
      </c>
      <c r="E8621" t="s">
        <v>384</v>
      </c>
      <c r="F8621" s="1">
        <v>1</v>
      </c>
      <c r="G8621" s="1" t="s">
        <v>26</v>
      </c>
      <c r="H8621" s="4" t="str">
        <f>HYPERLINK("https://www.ncbi.nlm.nih.gov/geo/query/acc.cgi?acc=GSM2226579","GSM2226579")</f>
        <v>GSM2226579</v>
      </c>
      <c r="I8621" t="s">
        <v>385</v>
      </c>
      <c r="J8621" t="s">
        <v>386</v>
      </c>
      <c r="K8621" t="s">
        <v>19</v>
      </c>
      <c r="L8621" t="s">
        <v>308</v>
      </c>
      <c r="M8621" t="s">
        <v>24</v>
      </c>
      <c r="N8621" t="s">
        <v>22</v>
      </c>
    </row>
    <row r="8622" spans="1:14">
      <c r="A8622" s="4" t="str">
        <f t="shared" si="765"/>
        <v>EXP00277</v>
      </c>
      <c r="B8622" s="4" t="str">
        <f t="shared" si="766"/>
        <v>27353039</v>
      </c>
      <c r="C8622" s="4" t="str">
        <f t="shared" si="767"/>
        <v>GSE70534</v>
      </c>
      <c r="D8622" s="1" t="s">
        <v>383</v>
      </c>
      <c r="E8622" t="s">
        <v>384</v>
      </c>
      <c r="F8622" s="1">
        <v>1</v>
      </c>
      <c r="G8622" s="1" t="s">
        <v>26</v>
      </c>
      <c r="H8622" s="4" t="str">
        <f>HYPERLINK("https://www.ncbi.nlm.nih.gov/geo/query/acc.cgi?acc=GSM2226580","GSM2226580")</f>
        <v>GSM2226580</v>
      </c>
      <c r="I8622" t="s">
        <v>385</v>
      </c>
      <c r="J8622" t="s">
        <v>386</v>
      </c>
      <c r="K8622" t="s">
        <v>19</v>
      </c>
      <c r="L8622" t="s">
        <v>308</v>
      </c>
      <c r="M8622" t="s">
        <v>24</v>
      </c>
      <c r="N8622" t="s">
        <v>22</v>
      </c>
    </row>
    <row r="8623" spans="1:14">
      <c r="A8623" s="4" t="str">
        <f t="shared" si="765"/>
        <v>EXP00277</v>
      </c>
      <c r="B8623" s="4" t="str">
        <f t="shared" si="766"/>
        <v>27353039</v>
      </c>
      <c r="C8623" s="4" t="str">
        <f t="shared" si="767"/>
        <v>GSE70534</v>
      </c>
      <c r="D8623" s="1" t="s">
        <v>383</v>
      </c>
      <c r="E8623" t="s">
        <v>384</v>
      </c>
      <c r="F8623" s="1">
        <v>1</v>
      </c>
      <c r="G8623" s="1" t="s">
        <v>26</v>
      </c>
      <c r="H8623" s="4" t="str">
        <f>HYPERLINK("https://www.ncbi.nlm.nih.gov/geo/query/acc.cgi?acc=GSM2226581","GSM2226581")</f>
        <v>GSM2226581</v>
      </c>
      <c r="I8623" t="s">
        <v>385</v>
      </c>
      <c r="J8623" t="s">
        <v>386</v>
      </c>
      <c r="K8623" t="s">
        <v>19</v>
      </c>
      <c r="L8623" t="s">
        <v>308</v>
      </c>
      <c r="M8623" t="s">
        <v>24</v>
      </c>
      <c r="N8623" t="s">
        <v>22</v>
      </c>
    </row>
    <row r="8624" spans="1:14">
      <c r="A8624" s="4" t="str">
        <f t="shared" si="765"/>
        <v>EXP00277</v>
      </c>
      <c r="B8624" s="4" t="str">
        <f t="shared" si="766"/>
        <v>27353039</v>
      </c>
      <c r="C8624" s="4" t="str">
        <f t="shared" si="767"/>
        <v>GSE70534</v>
      </c>
      <c r="D8624" s="1" t="s">
        <v>383</v>
      </c>
      <c r="E8624" t="s">
        <v>384</v>
      </c>
      <c r="F8624" s="1">
        <v>1</v>
      </c>
      <c r="G8624" s="1" t="s">
        <v>26</v>
      </c>
      <c r="H8624" s="4" t="str">
        <f>HYPERLINK("https://www.ncbi.nlm.nih.gov/geo/query/acc.cgi?acc=GSM2226582","GSM2226582")</f>
        <v>GSM2226582</v>
      </c>
      <c r="I8624" t="s">
        <v>385</v>
      </c>
      <c r="J8624" t="s">
        <v>386</v>
      </c>
      <c r="K8624" t="s">
        <v>19</v>
      </c>
      <c r="L8624" t="s">
        <v>308</v>
      </c>
      <c r="M8624" t="s">
        <v>24</v>
      </c>
      <c r="N8624" t="s">
        <v>22</v>
      </c>
    </row>
    <row r="8625" spans="1:14">
      <c r="A8625" s="4" t="str">
        <f t="shared" si="765"/>
        <v>EXP00277</v>
      </c>
      <c r="B8625" s="4" t="str">
        <f t="shared" si="766"/>
        <v>27353039</v>
      </c>
      <c r="C8625" s="4" t="str">
        <f t="shared" si="767"/>
        <v>GSE70534</v>
      </c>
      <c r="D8625" s="1" t="s">
        <v>383</v>
      </c>
      <c r="E8625" t="s">
        <v>384</v>
      </c>
      <c r="F8625" s="1">
        <v>1</v>
      </c>
      <c r="G8625" s="1" t="s">
        <v>26</v>
      </c>
      <c r="H8625" s="4" t="str">
        <f>HYPERLINK("https://www.ncbi.nlm.nih.gov/geo/query/acc.cgi?acc=GSM2226583","GSM2226583")</f>
        <v>GSM2226583</v>
      </c>
      <c r="I8625" t="s">
        <v>385</v>
      </c>
      <c r="J8625" t="s">
        <v>386</v>
      </c>
      <c r="K8625" t="s">
        <v>19</v>
      </c>
      <c r="L8625" t="s">
        <v>308</v>
      </c>
      <c r="M8625" t="s">
        <v>24</v>
      </c>
      <c r="N8625" t="s">
        <v>22</v>
      </c>
    </row>
    <row r="8626" spans="1:14">
      <c r="A8626" s="4" t="str">
        <f t="shared" si="765"/>
        <v>EXP00277</v>
      </c>
      <c r="B8626" s="4" t="str">
        <f t="shared" si="766"/>
        <v>27353039</v>
      </c>
      <c r="C8626" s="4" t="str">
        <f t="shared" si="767"/>
        <v>GSE70534</v>
      </c>
      <c r="D8626" s="1" t="s">
        <v>383</v>
      </c>
      <c r="E8626" t="s">
        <v>384</v>
      </c>
      <c r="F8626" s="1">
        <v>1</v>
      </c>
      <c r="G8626" s="1" t="s">
        <v>26</v>
      </c>
      <c r="H8626" s="4" t="str">
        <f>HYPERLINK("https://www.ncbi.nlm.nih.gov/geo/query/acc.cgi?acc=GSM2226584","GSM2226584")</f>
        <v>GSM2226584</v>
      </c>
      <c r="I8626" t="s">
        <v>385</v>
      </c>
      <c r="J8626" t="s">
        <v>386</v>
      </c>
      <c r="K8626" t="s">
        <v>19</v>
      </c>
      <c r="L8626" t="s">
        <v>308</v>
      </c>
      <c r="M8626" t="s">
        <v>24</v>
      </c>
      <c r="N8626" t="s">
        <v>22</v>
      </c>
    </row>
    <row r="8627" spans="1:14">
      <c r="A8627" s="4" t="str">
        <f t="shared" si="765"/>
        <v>EXP00277</v>
      </c>
      <c r="B8627" s="4" t="str">
        <f t="shared" si="766"/>
        <v>27353039</v>
      </c>
      <c r="C8627" s="4" t="str">
        <f t="shared" si="767"/>
        <v>GSE70534</v>
      </c>
      <c r="D8627" s="1" t="s">
        <v>383</v>
      </c>
      <c r="E8627" t="s">
        <v>384</v>
      </c>
      <c r="F8627" s="1">
        <v>1</v>
      </c>
      <c r="G8627" s="1" t="s">
        <v>26</v>
      </c>
      <c r="H8627" s="4" t="str">
        <f>HYPERLINK("https://www.ncbi.nlm.nih.gov/geo/query/acc.cgi?acc=GSM2226585","GSM2226585")</f>
        <v>GSM2226585</v>
      </c>
      <c r="I8627" t="s">
        <v>385</v>
      </c>
      <c r="J8627" t="s">
        <v>386</v>
      </c>
      <c r="K8627" t="s">
        <v>19</v>
      </c>
      <c r="L8627" t="s">
        <v>308</v>
      </c>
      <c r="M8627" t="s">
        <v>24</v>
      </c>
      <c r="N8627" t="s">
        <v>22</v>
      </c>
    </row>
    <row r="8628" spans="1:14">
      <c r="A8628" s="4" t="str">
        <f t="shared" si="765"/>
        <v>EXP00277</v>
      </c>
      <c r="B8628" s="4" t="str">
        <f t="shared" si="766"/>
        <v>27353039</v>
      </c>
      <c r="C8628" s="4" t="str">
        <f t="shared" si="767"/>
        <v>GSE70534</v>
      </c>
      <c r="D8628" s="1" t="s">
        <v>383</v>
      </c>
      <c r="E8628" t="s">
        <v>384</v>
      </c>
      <c r="F8628" s="1">
        <v>1</v>
      </c>
      <c r="G8628" s="1" t="s">
        <v>26</v>
      </c>
      <c r="H8628" s="4" t="str">
        <f>HYPERLINK("https://www.ncbi.nlm.nih.gov/geo/query/acc.cgi?acc=GSM2226586","GSM2226586")</f>
        <v>GSM2226586</v>
      </c>
      <c r="I8628" t="s">
        <v>385</v>
      </c>
      <c r="J8628" t="s">
        <v>386</v>
      </c>
      <c r="K8628" t="s">
        <v>19</v>
      </c>
      <c r="L8628" t="s">
        <v>308</v>
      </c>
      <c r="M8628" t="s">
        <v>24</v>
      </c>
      <c r="N8628" t="s">
        <v>22</v>
      </c>
    </row>
    <row r="8629" spans="1:14">
      <c r="A8629" s="4" t="str">
        <f t="shared" si="765"/>
        <v>EXP00277</v>
      </c>
      <c r="B8629" s="4" t="str">
        <f t="shared" si="766"/>
        <v>27353039</v>
      </c>
      <c r="C8629" s="4" t="str">
        <f t="shared" si="767"/>
        <v>GSE70534</v>
      </c>
      <c r="D8629" s="1" t="s">
        <v>383</v>
      </c>
      <c r="E8629" t="s">
        <v>384</v>
      </c>
      <c r="F8629" s="1">
        <v>1</v>
      </c>
      <c r="G8629" s="1" t="s">
        <v>26</v>
      </c>
      <c r="H8629" s="4" t="str">
        <f>HYPERLINK("https://www.ncbi.nlm.nih.gov/geo/query/acc.cgi?acc=GSM2226587","GSM2226587")</f>
        <v>GSM2226587</v>
      </c>
      <c r="I8629" t="s">
        <v>385</v>
      </c>
      <c r="J8629" t="s">
        <v>386</v>
      </c>
      <c r="K8629" t="s">
        <v>19</v>
      </c>
      <c r="L8629" t="s">
        <v>308</v>
      </c>
      <c r="M8629" t="s">
        <v>24</v>
      </c>
      <c r="N8629" t="s">
        <v>22</v>
      </c>
    </row>
    <row r="8630" spans="1:14">
      <c r="A8630" s="4" t="str">
        <f t="shared" si="765"/>
        <v>EXP00277</v>
      </c>
      <c r="B8630" s="4" t="str">
        <f t="shared" si="766"/>
        <v>27353039</v>
      </c>
      <c r="C8630" s="4" t="str">
        <f t="shared" si="767"/>
        <v>GSE70534</v>
      </c>
      <c r="D8630" s="1" t="s">
        <v>383</v>
      </c>
      <c r="E8630" t="s">
        <v>384</v>
      </c>
      <c r="F8630" s="1">
        <v>1</v>
      </c>
      <c r="G8630" s="1" t="s">
        <v>26</v>
      </c>
      <c r="H8630" s="4" t="str">
        <f>HYPERLINK("https://www.ncbi.nlm.nih.gov/geo/query/acc.cgi?acc=GSM2226588","GSM2226588")</f>
        <v>GSM2226588</v>
      </c>
      <c r="I8630" t="s">
        <v>385</v>
      </c>
      <c r="J8630" t="s">
        <v>386</v>
      </c>
      <c r="K8630" t="s">
        <v>19</v>
      </c>
      <c r="L8630" t="s">
        <v>308</v>
      </c>
      <c r="M8630" t="s">
        <v>24</v>
      </c>
      <c r="N8630" t="s">
        <v>22</v>
      </c>
    </row>
    <row r="8631" spans="1:14">
      <c r="A8631" s="4" t="str">
        <f t="shared" si="765"/>
        <v>EXP00277</v>
      </c>
      <c r="B8631" s="4" t="str">
        <f t="shared" si="766"/>
        <v>27353039</v>
      </c>
      <c r="C8631" s="4" t="str">
        <f t="shared" si="767"/>
        <v>GSE70534</v>
      </c>
      <c r="D8631" s="1" t="s">
        <v>383</v>
      </c>
      <c r="E8631" t="s">
        <v>384</v>
      </c>
      <c r="F8631" s="1">
        <v>1</v>
      </c>
      <c r="G8631" s="1" t="s">
        <v>26</v>
      </c>
      <c r="H8631" s="4" t="str">
        <f>HYPERLINK("https://www.ncbi.nlm.nih.gov/geo/query/acc.cgi?acc=GSM2226589","GSM2226589")</f>
        <v>GSM2226589</v>
      </c>
      <c r="I8631" t="s">
        <v>385</v>
      </c>
      <c r="J8631" t="s">
        <v>386</v>
      </c>
      <c r="K8631" t="s">
        <v>19</v>
      </c>
      <c r="L8631" t="s">
        <v>308</v>
      </c>
      <c r="M8631" t="s">
        <v>24</v>
      </c>
      <c r="N8631" t="s">
        <v>22</v>
      </c>
    </row>
    <row r="8632" spans="1:14">
      <c r="A8632" s="4" t="str">
        <f t="shared" si="765"/>
        <v>EXP00277</v>
      </c>
      <c r="B8632" s="4" t="str">
        <f t="shared" si="766"/>
        <v>27353039</v>
      </c>
      <c r="C8632" s="4" t="str">
        <f t="shared" si="767"/>
        <v>GSE70534</v>
      </c>
      <c r="D8632" s="1" t="s">
        <v>383</v>
      </c>
      <c r="E8632" t="s">
        <v>384</v>
      </c>
      <c r="F8632" s="1">
        <v>1</v>
      </c>
      <c r="G8632" s="1" t="s">
        <v>26</v>
      </c>
      <c r="H8632" s="4" t="str">
        <f>HYPERLINK("https://www.ncbi.nlm.nih.gov/geo/query/acc.cgi?acc=GSM2226590","GSM2226590")</f>
        <v>GSM2226590</v>
      </c>
      <c r="I8632" t="s">
        <v>385</v>
      </c>
      <c r="J8632" t="s">
        <v>386</v>
      </c>
      <c r="K8632" t="s">
        <v>19</v>
      </c>
      <c r="L8632" t="s">
        <v>308</v>
      </c>
      <c r="M8632" t="s">
        <v>24</v>
      </c>
      <c r="N8632" t="s">
        <v>22</v>
      </c>
    </row>
    <row r="8633" spans="1:14">
      <c r="A8633" s="4" t="str">
        <f t="shared" si="765"/>
        <v>EXP00277</v>
      </c>
      <c r="B8633" s="4" t="str">
        <f t="shared" si="766"/>
        <v>27353039</v>
      </c>
      <c r="C8633" s="4" t="str">
        <f t="shared" si="767"/>
        <v>GSE70534</v>
      </c>
      <c r="D8633" s="1" t="s">
        <v>383</v>
      </c>
      <c r="E8633" t="s">
        <v>384</v>
      </c>
      <c r="F8633" s="1">
        <v>1</v>
      </c>
      <c r="G8633" s="1" t="s">
        <v>26</v>
      </c>
      <c r="H8633" s="4" t="str">
        <f>HYPERLINK("https://www.ncbi.nlm.nih.gov/geo/query/acc.cgi?acc=GSM2226591","GSM2226591")</f>
        <v>GSM2226591</v>
      </c>
      <c r="I8633" t="s">
        <v>385</v>
      </c>
      <c r="J8633" t="s">
        <v>386</v>
      </c>
      <c r="K8633" t="s">
        <v>19</v>
      </c>
      <c r="L8633" t="s">
        <v>308</v>
      </c>
      <c r="M8633" t="s">
        <v>24</v>
      </c>
      <c r="N8633" t="s">
        <v>22</v>
      </c>
    </row>
    <row r="8634" spans="1:14">
      <c r="A8634" s="4" t="str">
        <f t="shared" si="765"/>
        <v>EXP00277</v>
      </c>
      <c r="B8634" s="4" t="str">
        <f t="shared" si="766"/>
        <v>27353039</v>
      </c>
      <c r="C8634" s="4" t="str">
        <f t="shared" si="767"/>
        <v>GSE70534</v>
      </c>
      <c r="D8634" s="1" t="s">
        <v>383</v>
      </c>
      <c r="E8634" t="s">
        <v>384</v>
      </c>
      <c r="F8634" s="1">
        <v>1</v>
      </c>
      <c r="G8634" s="1" t="s">
        <v>26</v>
      </c>
      <c r="H8634" s="4" t="str">
        <f>HYPERLINK("https://www.ncbi.nlm.nih.gov/geo/query/acc.cgi?acc=GSM2226592","GSM2226592")</f>
        <v>GSM2226592</v>
      </c>
      <c r="I8634" t="s">
        <v>385</v>
      </c>
      <c r="J8634" t="s">
        <v>386</v>
      </c>
      <c r="K8634" t="s">
        <v>19</v>
      </c>
      <c r="L8634" t="s">
        <v>308</v>
      </c>
      <c r="M8634" t="s">
        <v>24</v>
      </c>
      <c r="N8634" t="s">
        <v>22</v>
      </c>
    </row>
    <row r="8635" spans="1:14">
      <c r="A8635" s="4" t="str">
        <f t="shared" si="765"/>
        <v>EXP00277</v>
      </c>
      <c r="B8635" s="4" t="str">
        <f t="shared" si="766"/>
        <v>27353039</v>
      </c>
      <c r="C8635" s="4" t="str">
        <f t="shared" si="767"/>
        <v>GSE70534</v>
      </c>
      <c r="D8635" s="1" t="s">
        <v>383</v>
      </c>
      <c r="E8635" t="s">
        <v>384</v>
      </c>
      <c r="F8635" s="1">
        <v>2</v>
      </c>
      <c r="G8635" s="1" t="s">
        <v>28</v>
      </c>
      <c r="H8635" s="4" t="str">
        <f>HYPERLINK("https://www.ncbi.nlm.nih.gov/geo/query/acc.cgi?acc=GSM1808456","GSM1808456")</f>
        <v>GSM1808456</v>
      </c>
      <c r="I8635" t="s">
        <v>385</v>
      </c>
      <c r="J8635" t="s">
        <v>386</v>
      </c>
      <c r="K8635" t="s">
        <v>19</v>
      </c>
      <c r="L8635" t="s">
        <v>308</v>
      </c>
      <c r="M8635" t="s">
        <v>24</v>
      </c>
      <c r="N8635" t="s">
        <v>29</v>
      </c>
    </row>
    <row r="8636" spans="1:14">
      <c r="A8636" s="4" t="str">
        <f t="shared" si="765"/>
        <v>EXP00277</v>
      </c>
      <c r="B8636" s="4" t="str">
        <f t="shared" si="766"/>
        <v>27353039</v>
      </c>
      <c r="C8636" s="4" t="str">
        <f t="shared" si="767"/>
        <v>GSE70534</v>
      </c>
      <c r="D8636" s="1" t="s">
        <v>383</v>
      </c>
      <c r="E8636" t="s">
        <v>384</v>
      </c>
      <c r="F8636" s="1">
        <v>2</v>
      </c>
      <c r="G8636" s="1" t="s">
        <v>28</v>
      </c>
      <c r="H8636" s="4" t="str">
        <f>HYPERLINK("https://www.ncbi.nlm.nih.gov/geo/query/acc.cgi?acc=GSM1808468","GSM1808468")</f>
        <v>GSM1808468</v>
      </c>
      <c r="I8636" t="s">
        <v>385</v>
      </c>
      <c r="J8636" t="s">
        <v>386</v>
      </c>
      <c r="K8636" t="s">
        <v>19</v>
      </c>
      <c r="L8636" t="s">
        <v>308</v>
      </c>
      <c r="M8636" t="s">
        <v>24</v>
      </c>
      <c r="N8636" t="s">
        <v>29</v>
      </c>
    </row>
    <row r="8637" spans="1:14">
      <c r="A8637" s="4" t="str">
        <f t="shared" si="765"/>
        <v>EXP00277</v>
      </c>
      <c r="B8637" s="4" t="str">
        <f t="shared" si="766"/>
        <v>27353039</v>
      </c>
      <c r="C8637" s="4" t="str">
        <f t="shared" si="767"/>
        <v>GSE70534</v>
      </c>
      <c r="D8637" s="1" t="s">
        <v>383</v>
      </c>
      <c r="E8637" t="s">
        <v>384</v>
      </c>
      <c r="F8637" s="1">
        <v>2</v>
      </c>
      <c r="G8637" s="1" t="s">
        <v>28</v>
      </c>
      <c r="H8637" s="4" t="str">
        <f>HYPERLINK("https://www.ncbi.nlm.nih.gov/geo/query/acc.cgi?acc=GSM1808472","GSM1808472")</f>
        <v>GSM1808472</v>
      </c>
      <c r="I8637" t="s">
        <v>385</v>
      </c>
      <c r="J8637" t="s">
        <v>386</v>
      </c>
      <c r="K8637" t="s">
        <v>19</v>
      </c>
      <c r="L8637" t="s">
        <v>308</v>
      </c>
      <c r="M8637" t="s">
        <v>24</v>
      </c>
      <c r="N8637" t="s">
        <v>29</v>
      </c>
    </row>
    <row r="8638" spans="1:14">
      <c r="A8638" s="4" t="str">
        <f t="shared" si="765"/>
        <v>EXP00277</v>
      </c>
      <c r="B8638" s="4" t="str">
        <f t="shared" si="766"/>
        <v>27353039</v>
      </c>
      <c r="C8638" s="4" t="str">
        <f t="shared" si="767"/>
        <v>GSE70534</v>
      </c>
      <c r="D8638" s="1" t="s">
        <v>383</v>
      </c>
      <c r="E8638" t="s">
        <v>384</v>
      </c>
      <c r="F8638" s="1">
        <v>2</v>
      </c>
      <c r="G8638" s="1" t="s">
        <v>28</v>
      </c>
      <c r="H8638" s="4" t="str">
        <f>HYPERLINK("https://www.ncbi.nlm.nih.gov/geo/query/acc.cgi?acc=GSM1808476","GSM1808476")</f>
        <v>GSM1808476</v>
      </c>
      <c r="I8638" t="s">
        <v>385</v>
      </c>
      <c r="J8638" t="s">
        <v>386</v>
      </c>
      <c r="K8638" t="s">
        <v>19</v>
      </c>
      <c r="L8638" t="s">
        <v>308</v>
      </c>
      <c r="M8638" t="s">
        <v>24</v>
      </c>
      <c r="N8638" t="s">
        <v>29</v>
      </c>
    </row>
    <row r="8639" spans="1:14">
      <c r="A8639" s="4" t="str">
        <f t="shared" si="765"/>
        <v>EXP00277</v>
      </c>
      <c r="B8639" s="4" t="str">
        <f t="shared" si="766"/>
        <v>27353039</v>
      </c>
      <c r="C8639" s="4" t="str">
        <f t="shared" si="767"/>
        <v>GSE70534</v>
      </c>
      <c r="D8639" s="1" t="s">
        <v>383</v>
      </c>
      <c r="E8639" t="s">
        <v>384</v>
      </c>
      <c r="F8639" s="1">
        <v>2</v>
      </c>
      <c r="G8639" s="1" t="s">
        <v>28</v>
      </c>
      <c r="H8639" s="4" t="str">
        <f>HYPERLINK("https://www.ncbi.nlm.nih.gov/geo/query/acc.cgi?acc=GSM1808480","GSM1808480")</f>
        <v>GSM1808480</v>
      </c>
      <c r="I8639" t="s">
        <v>385</v>
      </c>
      <c r="J8639" t="s">
        <v>386</v>
      </c>
      <c r="K8639" t="s">
        <v>19</v>
      </c>
      <c r="L8639" t="s">
        <v>308</v>
      </c>
      <c r="M8639" t="s">
        <v>24</v>
      </c>
      <c r="N8639" t="s">
        <v>29</v>
      </c>
    </row>
    <row r="8640" spans="1:14">
      <c r="A8640" s="4" t="str">
        <f t="shared" si="765"/>
        <v>EXP00277</v>
      </c>
      <c r="B8640" s="4" t="str">
        <f t="shared" si="766"/>
        <v>27353039</v>
      </c>
      <c r="C8640" s="4" t="str">
        <f t="shared" si="767"/>
        <v>GSE70534</v>
      </c>
      <c r="D8640" s="1" t="s">
        <v>383</v>
      </c>
      <c r="E8640" t="s">
        <v>384</v>
      </c>
      <c r="F8640" s="1">
        <v>2</v>
      </c>
      <c r="G8640" s="1" t="s">
        <v>28</v>
      </c>
      <c r="H8640" s="4" t="str">
        <f>HYPERLINK("https://www.ncbi.nlm.nih.gov/geo/query/acc.cgi?acc=GSM1808490","GSM1808490")</f>
        <v>GSM1808490</v>
      </c>
      <c r="I8640" t="s">
        <v>385</v>
      </c>
      <c r="J8640" t="s">
        <v>386</v>
      </c>
      <c r="K8640" t="s">
        <v>19</v>
      </c>
      <c r="L8640" t="s">
        <v>308</v>
      </c>
      <c r="M8640" t="s">
        <v>24</v>
      </c>
      <c r="N8640" t="s">
        <v>29</v>
      </c>
    </row>
    <row r="8641" spans="1:14">
      <c r="A8641" s="4" t="str">
        <f t="shared" ref="A8641:A8644" si="768">HYPERLINK("http://hcmdb.i-sanger.com/experiment/details/experiment_id/EXP00278","EXP00278")</f>
        <v>EXP00278</v>
      </c>
      <c r="B8641" s="4" t="str">
        <f t="shared" si="766"/>
        <v>27353039</v>
      </c>
      <c r="C8641" s="4" t="str">
        <f t="shared" si="767"/>
        <v>GSE70534</v>
      </c>
      <c r="D8641" s="1" t="s">
        <v>383</v>
      </c>
      <c r="E8641" t="s">
        <v>387</v>
      </c>
      <c r="F8641" s="1">
        <v>1</v>
      </c>
      <c r="G8641" s="1" t="s">
        <v>36</v>
      </c>
      <c r="H8641" s="4" t="str">
        <f>HYPERLINK("https://www.ncbi.nlm.nih.gov/geo/query/acc.cgi?acc=GSM1808461","GSM1808461")</f>
        <v>GSM1808461</v>
      </c>
      <c r="I8641" t="s">
        <v>385</v>
      </c>
      <c r="J8641" t="s">
        <v>386</v>
      </c>
      <c r="K8641" t="s">
        <v>19</v>
      </c>
      <c r="L8641" t="s">
        <v>308</v>
      </c>
      <c r="M8641" t="s">
        <v>169</v>
      </c>
      <c r="N8641" t="s">
        <v>37</v>
      </c>
    </row>
    <row r="8642" spans="1:14">
      <c r="A8642" s="4" t="str">
        <f t="shared" si="768"/>
        <v>EXP00278</v>
      </c>
      <c r="B8642" s="4" t="str">
        <f t="shared" si="766"/>
        <v>27353039</v>
      </c>
      <c r="C8642" s="4" t="str">
        <f t="shared" si="767"/>
        <v>GSE70534</v>
      </c>
      <c r="D8642" s="1" t="s">
        <v>383</v>
      </c>
      <c r="E8642" t="s">
        <v>387</v>
      </c>
      <c r="F8642" s="1">
        <v>1</v>
      </c>
      <c r="G8642" s="1" t="s">
        <v>36</v>
      </c>
      <c r="H8642" s="4" t="str">
        <f>HYPERLINK("https://www.ncbi.nlm.nih.gov/geo/query/acc.cgi?acc=GSM1808485","GSM1808485")</f>
        <v>GSM1808485</v>
      </c>
      <c r="I8642" t="s">
        <v>385</v>
      </c>
      <c r="J8642" t="s">
        <v>386</v>
      </c>
      <c r="K8642" t="s">
        <v>19</v>
      </c>
      <c r="L8642" t="s">
        <v>308</v>
      </c>
      <c r="M8642" t="s">
        <v>169</v>
      </c>
      <c r="N8642" t="s">
        <v>37</v>
      </c>
    </row>
    <row r="8643" spans="1:14">
      <c r="A8643" s="4" t="str">
        <f t="shared" si="768"/>
        <v>EXP00278</v>
      </c>
      <c r="B8643" s="4" t="str">
        <f t="shared" si="766"/>
        <v>27353039</v>
      </c>
      <c r="C8643" s="4" t="str">
        <f t="shared" si="767"/>
        <v>GSE70534</v>
      </c>
      <c r="D8643" s="1" t="s">
        <v>383</v>
      </c>
      <c r="E8643" t="s">
        <v>387</v>
      </c>
      <c r="F8643" s="1">
        <v>2</v>
      </c>
      <c r="G8643" s="1" t="s">
        <v>28</v>
      </c>
      <c r="H8643" s="4" t="str">
        <f>HYPERLINK("https://www.ncbi.nlm.nih.gov/geo/query/acc.cgi?acc=GSM1808460","GSM1808460")</f>
        <v>GSM1808460</v>
      </c>
      <c r="I8643" t="s">
        <v>385</v>
      </c>
      <c r="J8643" t="s">
        <v>386</v>
      </c>
      <c r="K8643" t="s">
        <v>19</v>
      </c>
      <c r="L8643" t="s">
        <v>308</v>
      </c>
      <c r="M8643" t="s">
        <v>169</v>
      </c>
      <c r="N8643" t="s">
        <v>29</v>
      </c>
    </row>
    <row r="8644" spans="1:14">
      <c r="A8644" s="4" t="str">
        <f t="shared" si="768"/>
        <v>EXP00278</v>
      </c>
      <c r="B8644" s="4" t="str">
        <f t="shared" si="766"/>
        <v>27353039</v>
      </c>
      <c r="C8644" s="4" t="str">
        <f t="shared" si="767"/>
        <v>GSE70534</v>
      </c>
      <c r="D8644" s="1" t="s">
        <v>383</v>
      </c>
      <c r="E8644" t="s">
        <v>387</v>
      </c>
      <c r="F8644" s="1">
        <v>2</v>
      </c>
      <c r="G8644" s="1" t="s">
        <v>28</v>
      </c>
      <c r="H8644" s="4" t="str">
        <f>HYPERLINK("https://www.ncbi.nlm.nih.gov/geo/query/acc.cgi?acc=GSM1808484","GSM1808484")</f>
        <v>GSM1808484</v>
      </c>
      <c r="I8644" t="s">
        <v>385</v>
      </c>
      <c r="J8644" t="s">
        <v>386</v>
      </c>
      <c r="K8644" t="s">
        <v>19</v>
      </c>
      <c r="L8644" t="s">
        <v>308</v>
      </c>
      <c r="M8644" t="s">
        <v>169</v>
      </c>
      <c r="N8644" t="s">
        <v>29</v>
      </c>
    </row>
    <row r="8645" spans="1:14">
      <c r="A8645" s="4" t="str">
        <f t="shared" ref="A8645:A8657" si="769">HYPERLINK("http://hcmdb.i-sanger.com/experiment/details/experiment_id/EXP00279","EXP00279")</f>
        <v>EXP00279</v>
      </c>
      <c r="B8645" s="4" t="str">
        <f t="shared" si="766"/>
        <v>27353039</v>
      </c>
      <c r="C8645" s="4" t="str">
        <f t="shared" si="767"/>
        <v>GSE70534</v>
      </c>
      <c r="D8645" s="1" t="s">
        <v>383</v>
      </c>
      <c r="E8645" t="s">
        <v>388</v>
      </c>
      <c r="F8645" s="1">
        <v>1</v>
      </c>
      <c r="G8645" s="1" t="s">
        <v>36</v>
      </c>
      <c r="H8645" s="4" t="str">
        <f>HYPERLINK("https://www.ncbi.nlm.nih.gov/geo/query/acc.cgi?acc=GSM1808457","GSM1808457")</f>
        <v>GSM1808457</v>
      </c>
      <c r="I8645" t="s">
        <v>385</v>
      </c>
      <c r="J8645" t="s">
        <v>386</v>
      </c>
      <c r="K8645" t="s">
        <v>19</v>
      </c>
      <c r="L8645" t="s">
        <v>308</v>
      </c>
      <c r="M8645" t="s">
        <v>24</v>
      </c>
      <c r="N8645" t="s">
        <v>37</v>
      </c>
    </row>
    <row r="8646" spans="1:14">
      <c r="A8646" s="4" t="str">
        <f t="shared" si="769"/>
        <v>EXP00279</v>
      </c>
      <c r="B8646" s="4" t="str">
        <f t="shared" si="766"/>
        <v>27353039</v>
      </c>
      <c r="C8646" s="4" t="str">
        <f t="shared" si="767"/>
        <v>GSE70534</v>
      </c>
      <c r="D8646" s="1" t="s">
        <v>383</v>
      </c>
      <c r="E8646" t="s">
        <v>388</v>
      </c>
      <c r="F8646" s="1">
        <v>1</v>
      </c>
      <c r="G8646" s="1" t="s">
        <v>36</v>
      </c>
      <c r="H8646" s="4" t="str">
        <f>HYPERLINK("https://www.ncbi.nlm.nih.gov/geo/query/acc.cgi?acc=GSM1808469","GSM1808469")</f>
        <v>GSM1808469</v>
      </c>
      <c r="I8646" t="s">
        <v>385</v>
      </c>
      <c r="J8646" t="s">
        <v>386</v>
      </c>
      <c r="K8646" t="s">
        <v>19</v>
      </c>
      <c r="L8646" t="s">
        <v>308</v>
      </c>
      <c r="M8646" t="s">
        <v>24</v>
      </c>
      <c r="N8646" t="s">
        <v>37</v>
      </c>
    </row>
    <row r="8647" spans="1:14">
      <c r="A8647" s="4" t="str">
        <f t="shared" si="769"/>
        <v>EXP00279</v>
      </c>
      <c r="B8647" s="4" t="str">
        <f t="shared" si="766"/>
        <v>27353039</v>
      </c>
      <c r="C8647" s="4" t="str">
        <f t="shared" si="767"/>
        <v>GSE70534</v>
      </c>
      <c r="D8647" s="1" t="s">
        <v>383</v>
      </c>
      <c r="E8647" t="s">
        <v>388</v>
      </c>
      <c r="F8647" s="1">
        <v>1</v>
      </c>
      <c r="G8647" s="1" t="s">
        <v>36</v>
      </c>
      <c r="H8647" s="4" t="str">
        <f>HYPERLINK("https://www.ncbi.nlm.nih.gov/geo/query/acc.cgi?acc=GSM1808473","GSM1808473")</f>
        <v>GSM1808473</v>
      </c>
      <c r="I8647" t="s">
        <v>385</v>
      </c>
      <c r="J8647" t="s">
        <v>386</v>
      </c>
      <c r="K8647" t="s">
        <v>19</v>
      </c>
      <c r="L8647" t="s">
        <v>308</v>
      </c>
      <c r="M8647" t="s">
        <v>24</v>
      </c>
      <c r="N8647" t="s">
        <v>37</v>
      </c>
    </row>
    <row r="8648" spans="1:14">
      <c r="A8648" s="4" t="str">
        <f t="shared" si="769"/>
        <v>EXP00279</v>
      </c>
      <c r="B8648" s="4" t="str">
        <f t="shared" si="766"/>
        <v>27353039</v>
      </c>
      <c r="C8648" s="4" t="str">
        <f t="shared" si="767"/>
        <v>GSE70534</v>
      </c>
      <c r="D8648" s="1" t="s">
        <v>383</v>
      </c>
      <c r="E8648" t="s">
        <v>388</v>
      </c>
      <c r="F8648" s="1">
        <v>1</v>
      </c>
      <c r="G8648" s="1" t="s">
        <v>36</v>
      </c>
      <c r="H8648" s="4" t="str">
        <f>HYPERLINK("https://www.ncbi.nlm.nih.gov/geo/query/acc.cgi?acc=GSM1808477","GSM1808477")</f>
        <v>GSM1808477</v>
      </c>
      <c r="I8648" t="s">
        <v>385</v>
      </c>
      <c r="J8648" t="s">
        <v>386</v>
      </c>
      <c r="K8648" t="s">
        <v>19</v>
      </c>
      <c r="L8648" t="s">
        <v>308</v>
      </c>
      <c r="M8648" t="s">
        <v>24</v>
      </c>
      <c r="N8648" t="s">
        <v>37</v>
      </c>
    </row>
    <row r="8649" spans="1:14">
      <c r="A8649" s="4" t="str">
        <f t="shared" si="769"/>
        <v>EXP00279</v>
      </c>
      <c r="B8649" s="4" t="str">
        <f t="shared" si="766"/>
        <v>27353039</v>
      </c>
      <c r="C8649" s="4" t="str">
        <f t="shared" si="767"/>
        <v>GSE70534</v>
      </c>
      <c r="D8649" s="1" t="s">
        <v>383</v>
      </c>
      <c r="E8649" t="s">
        <v>388</v>
      </c>
      <c r="F8649" s="1">
        <v>1</v>
      </c>
      <c r="G8649" s="1" t="s">
        <v>36</v>
      </c>
      <c r="H8649" s="4" t="str">
        <f>HYPERLINK("https://www.ncbi.nlm.nih.gov/geo/query/acc.cgi?acc=GSM1808481","GSM1808481")</f>
        <v>GSM1808481</v>
      </c>
      <c r="I8649" t="s">
        <v>385</v>
      </c>
      <c r="J8649" t="s">
        <v>386</v>
      </c>
      <c r="K8649" t="s">
        <v>19</v>
      </c>
      <c r="L8649" t="s">
        <v>308</v>
      </c>
      <c r="M8649" t="s">
        <v>24</v>
      </c>
      <c r="N8649" t="s">
        <v>37</v>
      </c>
    </row>
    <row r="8650" spans="1:14">
      <c r="A8650" s="4" t="str">
        <f t="shared" si="769"/>
        <v>EXP00279</v>
      </c>
      <c r="B8650" s="4" t="str">
        <f t="shared" si="766"/>
        <v>27353039</v>
      </c>
      <c r="C8650" s="4" t="str">
        <f t="shared" si="767"/>
        <v>GSE70534</v>
      </c>
      <c r="D8650" s="1" t="s">
        <v>383</v>
      </c>
      <c r="E8650" t="s">
        <v>388</v>
      </c>
      <c r="F8650" s="1">
        <v>1</v>
      </c>
      <c r="G8650" s="1" t="s">
        <v>36</v>
      </c>
      <c r="H8650" s="4" t="str">
        <f>HYPERLINK("https://www.ncbi.nlm.nih.gov/geo/query/acc.cgi?acc=GSM1808491","GSM1808491")</f>
        <v>GSM1808491</v>
      </c>
      <c r="I8650" t="s">
        <v>385</v>
      </c>
      <c r="J8650" t="s">
        <v>386</v>
      </c>
      <c r="K8650" t="s">
        <v>19</v>
      </c>
      <c r="L8650" t="s">
        <v>308</v>
      </c>
      <c r="M8650" t="s">
        <v>24</v>
      </c>
      <c r="N8650" t="s">
        <v>37</v>
      </c>
    </row>
    <row r="8651" spans="1:14">
      <c r="A8651" s="4" t="str">
        <f t="shared" si="769"/>
        <v>EXP00279</v>
      </c>
      <c r="B8651" s="4" t="str">
        <f t="shared" si="766"/>
        <v>27353039</v>
      </c>
      <c r="C8651" s="4" t="str">
        <f t="shared" si="767"/>
        <v>GSE70534</v>
      </c>
      <c r="D8651" s="1" t="s">
        <v>383</v>
      </c>
      <c r="E8651" t="s">
        <v>388</v>
      </c>
      <c r="F8651" s="1">
        <v>1</v>
      </c>
      <c r="G8651" s="1" t="s">
        <v>36</v>
      </c>
      <c r="H8651" s="4" t="str">
        <f>HYPERLINK("https://www.ncbi.nlm.nih.gov/geo/query/acc.cgi?acc=GSM1808496","GSM1808496")</f>
        <v>GSM1808496</v>
      </c>
      <c r="I8651" t="s">
        <v>385</v>
      </c>
      <c r="J8651" t="s">
        <v>386</v>
      </c>
      <c r="K8651" t="s">
        <v>19</v>
      </c>
      <c r="L8651" t="s">
        <v>308</v>
      </c>
      <c r="M8651" t="s">
        <v>24</v>
      </c>
      <c r="N8651" t="s">
        <v>37</v>
      </c>
    </row>
    <row r="8652" spans="1:14">
      <c r="A8652" s="4" t="str">
        <f t="shared" si="769"/>
        <v>EXP00279</v>
      </c>
      <c r="B8652" s="4" t="str">
        <f t="shared" si="766"/>
        <v>27353039</v>
      </c>
      <c r="C8652" s="4" t="str">
        <f t="shared" si="767"/>
        <v>GSE70534</v>
      </c>
      <c r="D8652" s="1" t="s">
        <v>383</v>
      </c>
      <c r="E8652" t="s">
        <v>388</v>
      </c>
      <c r="F8652" s="1">
        <v>2</v>
      </c>
      <c r="G8652" s="1" t="s">
        <v>28</v>
      </c>
      <c r="H8652" s="4" t="str">
        <f>HYPERLINK("https://www.ncbi.nlm.nih.gov/geo/query/acc.cgi?acc=GSM1808456","GSM1808456")</f>
        <v>GSM1808456</v>
      </c>
      <c r="I8652" t="s">
        <v>385</v>
      </c>
      <c r="J8652" t="s">
        <v>386</v>
      </c>
      <c r="K8652" t="s">
        <v>19</v>
      </c>
      <c r="L8652" t="s">
        <v>308</v>
      </c>
      <c r="M8652" t="s">
        <v>24</v>
      </c>
      <c r="N8652" t="s">
        <v>29</v>
      </c>
    </row>
    <row r="8653" spans="1:14">
      <c r="A8653" s="4" t="str">
        <f t="shared" si="769"/>
        <v>EXP00279</v>
      </c>
      <c r="B8653" s="4" t="str">
        <f t="shared" si="766"/>
        <v>27353039</v>
      </c>
      <c r="C8653" s="4" t="str">
        <f t="shared" si="767"/>
        <v>GSE70534</v>
      </c>
      <c r="D8653" s="1" t="s">
        <v>383</v>
      </c>
      <c r="E8653" t="s">
        <v>388</v>
      </c>
      <c r="F8653" s="1">
        <v>2</v>
      </c>
      <c r="G8653" s="1" t="s">
        <v>28</v>
      </c>
      <c r="H8653" s="4" t="str">
        <f>HYPERLINK("https://www.ncbi.nlm.nih.gov/geo/query/acc.cgi?acc=GSM1808468","GSM1808468")</f>
        <v>GSM1808468</v>
      </c>
      <c r="I8653" t="s">
        <v>385</v>
      </c>
      <c r="J8653" t="s">
        <v>386</v>
      </c>
      <c r="K8653" t="s">
        <v>19</v>
      </c>
      <c r="L8653" t="s">
        <v>308</v>
      </c>
      <c r="M8653" t="s">
        <v>24</v>
      </c>
      <c r="N8653" t="s">
        <v>29</v>
      </c>
    </row>
    <row r="8654" spans="1:14">
      <c r="A8654" s="4" t="str">
        <f t="shared" si="769"/>
        <v>EXP00279</v>
      </c>
      <c r="B8654" s="4" t="str">
        <f t="shared" si="766"/>
        <v>27353039</v>
      </c>
      <c r="C8654" s="4" t="str">
        <f t="shared" si="767"/>
        <v>GSE70534</v>
      </c>
      <c r="D8654" s="1" t="s">
        <v>383</v>
      </c>
      <c r="E8654" t="s">
        <v>388</v>
      </c>
      <c r="F8654" s="1">
        <v>2</v>
      </c>
      <c r="G8654" s="1" t="s">
        <v>28</v>
      </c>
      <c r="H8654" s="4" t="str">
        <f>HYPERLINK("https://www.ncbi.nlm.nih.gov/geo/query/acc.cgi?acc=GSM1808472","GSM1808472")</f>
        <v>GSM1808472</v>
      </c>
      <c r="I8654" t="s">
        <v>385</v>
      </c>
      <c r="J8654" t="s">
        <v>386</v>
      </c>
      <c r="K8654" t="s">
        <v>19</v>
      </c>
      <c r="L8654" t="s">
        <v>308</v>
      </c>
      <c r="M8654" t="s">
        <v>24</v>
      </c>
      <c r="N8654" t="s">
        <v>29</v>
      </c>
    </row>
    <row r="8655" spans="1:14">
      <c r="A8655" s="4" t="str">
        <f t="shared" si="769"/>
        <v>EXP00279</v>
      </c>
      <c r="B8655" s="4" t="str">
        <f t="shared" si="766"/>
        <v>27353039</v>
      </c>
      <c r="C8655" s="4" t="str">
        <f t="shared" si="767"/>
        <v>GSE70534</v>
      </c>
      <c r="D8655" s="1" t="s">
        <v>383</v>
      </c>
      <c r="E8655" t="s">
        <v>388</v>
      </c>
      <c r="F8655" s="1">
        <v>2</v>
      </c>
      <c r="G8655" s="1" t="s">
        <v>28</v>
      </c>
      <c r="H8655" s="4" t="str">
        <f>HYPERLINK("https://www.ncbi.nlm.nih.gov/geo/query/acc.cgi?acc=GSM1808476","GSM1808476")</f>
        <v>GSM1808476</v>
      </c>
      <c r="I8655" t="s">
        <v>385</v>
      </c>
      <c r="J8655" t="s">
        <v>386</v>
      </c>
      <c r="K8655" t="s">
        <v>19</v>
      </c>
      <c r="L8655" t="s">
        <v>308</v>
      </c>
      <c r="M8655" t="s">
        <v>24</v>
      </c>
      <c r="N8655" t="s">
        <v>29</v>
      </c>
    </row>
    <row r="8656" spans="1:14">
      <c r="A8656" s="4" t="str">
        <f t="shared" si="769"/>
        <v>EXP00279</v>
      </c>
      <c r="B8656" s="4" t="str">
        <f t="shared" si="766"/>
        <v>27353039</v>
      </c>
      <c r="C8656" s="4" t="str">
        <f t="shared" si="767"/>
        <v>GSE70534</v>
      </c>
      <c r="D8656" s="1" t="s">
        <v>383</v>
      </c>
      <c r="E8656" t="s">
        <v>388</v>
      </c>
      <c r="F8656" s="1">
        <v>2</v>
      </c>
      <c r="G8656" s="1" t="s">
        <v>28</v>
      </c>
      <c r="H8656" s="4" t="str">
        <f>HYPERLINK("https://www.ncbi.nlm.nih.gov/geo/query/acc.cgi?acc=GSM1808480","GSM1808480")</f>
        <v>GSM1808480</v>
      </c>
      <c r="I8656" t="s">
        <v>385</v>
      </c>
      <c r="J8656" t="s">
        <v>386</v>
      </c>
      <c r="K8656" t="s">
        <v>19</v>
      </c>
      <c r="L8656" t="s">
        <v>308</v>
      </c>
      <c r="M8656" t="s">
        <v>24</v>
      </c>
      <c r="N8656" t="s">
        <v>29</v>
      </c>
    </row>
    <row r="8657" spans="1:14">
      <c r="A8657" s="4" t="str">
        <f t="shared" si="769"/>
        <v>EXP00279</v>
      </c>
      <c r="B8657" s="4" t="str">
        <f t="shared" si="766"/>
        <v>27353039</v>
      </c>
      <c r="C8657" s="4" t="str">
        <f t="shared" si="767"/>
        <v>GSE70534</v>
      </c>
      <c r="D8657" s="1" t="s">
        <v>383</v>
      </c>
      <c r="E8657" t="s">
        <v>388</v>
      </c>
      <c r="F8657" s="1">
        <v>2</v>
      </c>
      <c r="G8657" s="1" t="s">
        <v>28</v>
      </c>
      <c r="H8657" s="4" t="str">
        <f>HYPERLINK("https://www.ncbi.nlm.nih.gov/geo/query/acc.cgi?acc=GSM1808490","GSM1808490")</f>
        <v>GSM1808490</v>
      </c>
      <c r="I8657" t="s">
        <v>385</v>
      </c>
      <c r="J8657" t="s">
        <v>386</v>
      </c>
      <c r="K8657" t="s">
        <v>19</v>
      </c>
      <c r="L8657" t="s">
        <v>308</v>
      </c>
      <c r="M8657" t="s">
        <v>24</v>
      </c>
      <c r="N8657" t="s">
        <v>29</v>
      </c>
    </row>
    <row r="8658" spans="1:14">
      <c r="A8658" s="4" t="str">
        <f t="shared" ref="A8658:A8688" si="770">HYPERLINK("http://hcmdb.i-sanger.com/experiment/details/experiment_id/EXP00280","EXP00280")</f>
        <v>EXP00280</v>
      </c>
      <c r="B8658" s="4" t="str">
        <f t="shared" si="766"/>
        <v>27353039</v>
      </c>
      <c r="C8658" s="4" t="str">
        <f t="shared" si="767"/>
        <v>GSE70534</v>
      </c>
      <c r="D8658" s="1" t="s">
        <v>383</v>
      </c>
      <c r="E8658" t="s">
        <v>389</v>
      </c>
      <c r="F8658" s="1">
        <v>1</v>
      </c>
      <c r="G8658" s="1" t="s">
        <v>75</v>
      </c>
      <c r="H8658" s="4" t="str">
        <f>HYPERLINK("https://www.ncbi.nlm.nih.gov/geo/query/acc.cgi?acc=GSM1808459","GSM1808459")</f>
        <v>GSM1808459</v>
      </c>
      <c r="I8658" t="s">
        <v>385</v>
      </c>
      <c r="J8658" t="s">
        <v>386</v>
      </c>
      <c r="K8658" t="s">
        <v>19</v>
      </c>
      <c r="L8658" t="s">
        <v>308</v>
      </c>
      <c r="M8658" t="s">
        <v>24</v>
      </c>
      <c r="N8658" t="s">
        <v>76</v>
      </c>
    </row>
    <row r="8659" spans="1:14">
      <c r="A8659" s="4" t="str">
        <f t="shared" si="770"/>
        <v>EXP00280</v>
      </c>
      <c r="B8659" s="4" t="str">
        <f t="shared" si="766"/>
        <v>27353039</v>
      </c>
      <c r="C8659" s="4" t="str">
        <f t="shared" si="767"/>
        <v>GSE70534</v>
      </c>
      <c r="D8659" s="1" t="s">
        <v>383</v>
      </c>
      <c r="E8659" t="s">
        <v>389</v>
      </c>
      <c r="F8659" s="1">
        <v>1</v>
      </c>
      <c r="G8659" s="1" t="s">
        <v>75</v>
      </c>
      <c r="H8659" s="4" t="str">
        <f>HYPERLINK("https://www.ncbi.nlm.nih.gov/geo/query/acc.cgi?acc=GSM1808463","GSM1808463")</f>
        <v>GSM1808463</v>
      </c>
      <c r="I8659" t="s">
        <v>385</v>
      </c>
      <c r="J8659" t="s">
        <v>386</v>
      </c>
      <c r="K8659" t="s">
        <v>19</v>
      </c>
      <c r="L8659" t="s">
        <v>308</v>
      </c>
      <c r="M8659" t="s">
        <v>24</v>
      </c>
      <c r="N8659" t="s">
        <v>76</v>
      </c>
    </row>
    <row r="8660" spans="1:14">
      <c r="A8660" s="4" t="str">
        <f t="shared" si="770"/>
        <v>EXP00280</v>
      </c>
      <c r="B8660" s="4" t="str">
        <f t="shared" si="766"/>
        <v>27353039</v>
      </c>
      <c r="C8660" s="4" t="str">
        <f t="shared" si="767"/>
        <v>GSE70534</v>
      </c>
      <c r="D8660" s="1" t="s">
        <v>383</v>
      </c>
      <c r="E8660" t="s">
        <v>389</v>
      </c>
      <c r="F8660" s="1">
        <v>1</v>
      </c>
      <c r="G8660" s="1" t="s">
        <v>75</v>
      </c>
      <c r="H8660" s="4" t="str">
        <f>HYPERLINK("https://www.ncbi.nlm.nih.gov/geo/query/acc.cgi?acc=GSM1808471","GSM1808471")</f>
        <v>GSM1808471</v>
      </c>
      <c r="I8660" t="s">
        <v>385</v>
      </c>
      <c r="J8660" t="s">
        <v>386</v>
      </c>
      <c r="K8660" t="s">
        <v>19</v>
      </c>
      <c r="L8660" t="s">
        <v>308</v>
      </c>
      <c r="M8660" t="s">
        <v>24</v>
      </c>
      <c r="N8660" t="s">
        <v>76</v>
      </c>
    </row>
    <row r="8661" spans="1:14">
      <c r="A8661" s="4" t="str">
        <f t="shared" si="770"/>
        <v>EXP00280</v>
      </c>
      <c r="B8661" s="4" t="str">
        <f t="shared" si="766"/>
        <v>27353039</v>
      </c>
      <c r="C8661" s="4" t="str">
        <f t="shared" si="767"/>
        <v>GSE70534</v>
      </c>
      <c r="D8661" s="1" t="s">
        <v>383</v>
      </c>
      <c r="E8661" t="s">
        <v>389</v>
      </c>
      <c r="F8661" s="1">
        <v>1</v>
      </c>
      <c r="G8661" s="1" t="s">
        <v>75</v>
      </c>
      <c r="H8661" s="4" t="str">
        <f>HYPERLINK("https://www.ncbi.nlm.nih.gov/geo/query/acc.cgi?acc=GSM1808479","GSM1808479")</f>
        <v>GSM1808479</v>
      </c>
      <c r="I8661" t="s">
        <v>385</v>
      </c>
      <c r="J8661" t="s">
        <v>386</v>
      </c>
      <c r="K8661" t="s">
        <v>19</v>
      </c>
      <c r="L8661" t="s">
        <v>308</v>
      </c>
      <c r="M8661" t="s">
        <v>24</v>
      </c>
      <c r="N8661" t="s">
        <v>76</v>
      </c>
    </row>
    <row r="8662" spans="1:14">
      <c r="A8662" s="4" t="str">
        <f t="shared" si="770"/>
        <v>EXP00280</v>
      </c>
      <c r="B8662" s="4" t="str">
        <f t="shared" si="766"/>
        <v>27353039</v>
      </c>
      <c r="C8662" s="4" t="str">
        <f t="shared" si="767"/>
        <v>GSE70534</v>
      </c>
      <c r="D8662" s="1" t="s">
        <v>383</v>
      </c>
      <c r="E8662" t="s">
        <v>389</v>
      </c>
      <c r="F8662" s="1">
        <v>1</v>
      </c>
      <c r="G8662" s="1" t="s">
        <v>75</v>
      </c>
      <c r="H8662" s="4" t="str">
        <f>HYPERLINK("https://www.ncbi.nlm.nih.gov/geo/query/acc.cgi?acc=GSM1808483","GSM1808483")</f>
        <v>GSM1808483</v>
      </c>
      <c r="I8662" t="s">
        <v>385</v>
      </c>
      <c r="J8662" t="s">
        <v>386</v>
      </c>
      <c r="K8662" t="s">
        <v>19</v>
      </c>
      <c r="L8662" t="s">
        <v>308</v>
      </c>
      <c r="M8662" t="s">
        <v>24</v>
      </c>
      <c r="N8662" t="s">
        <v>76</v>
      </c>
    </row>
    <row r="8663" spans="1:14">
      <c r="A8663" s="4" t="str">
        <f t="shared" si="770"/>
        <v>EXP00280</v>
      </c>
      <c r="B8663" s="4" t="str">
        <f t="shared" si="766"/>
        <v>27353039</v>
      </c>
      <c r="C8663" s="4" t="str">
        <f t="shared" si="767"/>
        <v>GSE70534</v>
      </c>
      <c r="D8663" s="1" t="s">
        <v>383</v>
      </c>
      <c r="E8663" t="s">
        <v>389</v>
      </c>
      <c r="F8663" s="1">
        <v>1</v>
      </c>
      <c r="G8663" s="1" t="s">
        <v>75</v>
      </c>
      <c r="H8663" s="4" t="str">
        <f>HYPERLINK("https://www.ncbi.nlm.nih.gov/geo/query/acc.cgi?acc=GSM1808487","GSM1808487")</f>
        <v>GSM1808487</v>
      </c>
      <c r="I8663" t="s">
        <v>385</v>
      </c>
      <c r="J8663" t="s">
        <v>386</v>
      </c>
      <c r="K8663" t="s">
        <v>19</v>
      </c>
      <c r="L8663" t="s">
        <v>308</v>
      </c>
      <c r="M8663" t="s">
        <v>24</v>
      </c>
      <c r="N8663" t="s">
        <v>76</v>
      </c>
    </row>
    <row r="8664" spans="1:14">
      <c r="A8664" s="4" t="str">
        <f t="shared" si="770"/>
        <v>EXP00280</v>
      </c>
      <c r="B8664" s="4" t="str">
        <f t="shared" si="766"/>
        <v>27353039</v>
      </c>
      <c r="C8664" s="4" t="str">
        <f t="shared" si="767"/>
        <v>GSE70534</v>
      </c>
      <c r="D8664" s="1" t="s">
        <v>383</v>
      </c>
      <c r="E8664" t="s">
        <v>389</v>
      </c>
      <c r="F8664" s="1">
        <v>1</v>
      </c>
      <c r="G8664" s="1" t="s">
        <v>75</v>
      </c>
      <c r="H8664" s="4" t="str">
        <f>HYPERLINK("https://www.ncbi.nlm.nih.gov/geo/query/acc.cgi?acc=GSM1808498","GSM1808498")</f>
        <v>GSM1808498</v>
      </c>
      <c r="I8664" t="s">
        <v>385</v>
      </c>
      <c r="J8664" t="s">
        <v>386</v>
      </c>
      <c r="K8664" t="s">
        <v>19</v>
      </c>
      <c r="L8664" t="s">
        <v>308</v>
      </c>
      <c r="M8664" t="s">
        <v>24</v>
      </c>
      <c r="N8664" t="s">
        <v>76</v>
      </c>
    </row>
    <row r="8665" spans="1:14">
      <c r="A8665" s="4" t="str">
        <f t="shared" si="770"/>
        <v>EXP00280</v>
      </c>
      <c r="B8665" s="4" t="str">
        <f t="shared" si="766"/>
        <v>27353039</v>
      </c>
      <c r="C8665" s="4" t="str">
        <f t="shared" si="767"/>
        <v>GSE70534</v>
      </c>
      <c r="D8665" s="1" t="s">
        <v>383</v>
      </c>
      <c r="E8665" t="s">
        <v>389</v>
      </c>
      <c r="F8665" s="1">
        <v>2</v>
      </c>
      <c r="G8665" s="1" t="s">
        <v>26</v>
      </c>
      <c r="H8665" s="4" t="str">
        <f>HYPERLINK("https://www.ncbi.nlm.nih.gov/geo/query/acc.cgi?acc=GSM1808458","GSM1808458")</f>
        <v>GSM1808458</v>
      </c>
      <c r="I8665" t="s">
        <v>385</v>
      </c>
      <c r="J8665" t="s">
        <v>386</v>
      </c>
      <c r="K8665" t="s">
        <v>19</v>
      </c>
      <c r="L8665" t="s">
        <v>308</v>
      </c>
      <c r="M8665" t="s">
        <v>24</v>
      </c>
      <c r="N8665" t="s">
        <v>22</v>
      </c>
    </row>
    <row r="8666" spans="1:14">
      <c r="A8666" s="4" t="str">
        <f t="shared" si="770"/>
        <v>EXP00280</v>
      </c>
      <c r="B8666" s="4" t="str">
        <f t="shared" si="766"/>
        <v>27353039</v>
      </c>
      <c r="C8666" s="4" t="str">
        <f t="shared" si="767"/>
        <v>GSE70534</v>
      </c>
      <c r="D8666" s="1" t="s">
        <v>383</v>
      </c>
      <c r="E8666" t="s">
        <v>389</v>
      </c>
      <c r="F8666" s="1">
        <v>2</v>
      </c>
      <c r="G8666" s="1" t="s">
        <v>26</v>
      </c>
      <c r="H8666" s="4" t="str">
        <f>HYPERLINK("https://www.ncbi.nlm.nih.gov/geo/query/acc.cgi?acc=GSM1808462","GSM1808462")</f>
        <v>GSM1808462</v>
      </c>
      <c r="I8666" t="s">
        <v>385</v>
      </c>
      <c r="J8666" t="s">
        <v>386</v>
      </c>
      <c r="K8666" t="s">
        <v>19</v>
      </c>
      <c r="L8666" t="s">
        <v>308</v>
      </c>
      <c r="M8666" t="s">
        <v>24</v>
      </c>
      <c r="N8666" t="s">
        <v>22</v>
      </c>
    </row>
    <row r="8667" spans="1:14">
      <c r="A8667" s="4" t="str">
        <f t="shared" si="770"/>
        <v>EXP00280</v>
      </c>
      <c r="B8667" s="4" t="str">
        <f t="shared" si="766"/>
        <v>27353039</v>
      </c>
      <c r="C8667" s="4" t="str">
        <f t="shared" si="767"/>
        <v>GSE70534</v>
      </c>
      <c r="D8667" s="1" t="s">
        <v>383</v>
      </c>
      <c r="E8667" t="s">
        <v>389</v>
      </c>
      <c r="F8667" s="1">
        <v>2</v>
      </c>
      <c r="G8667" s="1" t="s">
        <v>26</v>
      </c>
      <c r="H8667" s="4" t="str">
        <f>HYPERLINK("https://www.ncbi.nlm.nih.gov/geo/query/acc.cgi?acc=GSM1808470","GSM1808470")</f>
        <v>GSM1808470</v>
      </c>
      <c r="I8667" t="s">
        <v>385</v>
      </c>
      <c r="J8667" t="s">
        <v>386</v>
      </c>
      <c r="K8667" t="s">
        <v>19</v>
      </c>
      <c r="L8667" t="s">
        <v>308</v>
      </c>
      <c r="M8667" t="s">
        <v>24</v>
      </c>
      <c r="N8667" t="s">
        <v>22</v>
      </c>
    </row>
    <row r="8668" spans="1:14">
      <c r="A8668" s="4" t="str">
        <f t="shared" si="770"/>
        <v>EXP00280</v>
      </c>
      <c r="B8668" s="4" t="str">
        <f t="shared" si="766"/>
        <v>27353039</v>
      </c>
      <c r="C8668" s="4" t="str">
        <f t="shared" si="767"/>
        <v>GSE70534</v>
      </c>
      <c r="D8668" s="1" t="s">
        <v>383</v>
      </c>
      <c r="E8668" t="s">
        <v>389</v>
      </c>
      <c r="F8668" s="1">
        <v>2</v>
      </c>
      <c r="G8668" s="1" t="s">
        <v>26</v>
      </c>
      <c r="H8668" s="4" t="str">
        <f>HYPERLINK("https://www.ncbi.nlm.nih.gov/geo/query/acc.cgi?acc=GSM1808474","GSM1808474")</f>
        <v>GSM1808474</v>
      </c>
      <c r="I8668" t="s">
        <v>385</v>
      </c>
      <c r="J8668" t="s">
        <v>386</v>
      </c>
      <c r="K8668" t="s">
        <v>19</v>
      </c>
      <c r="L8668" t="s">
        <v>308</v>
      </c>
      <c r="M8668" t="s">
        <v>24</v>
      </c>
      <c r="N8668" t="s">
        <v>22</v>
      </c>
    </row>
    <row r="8669" spans="1:14">
      <c r="A8669" s="4" t="str">
        <f t="shared" si="770"/>
        <v>EXP00280</v>
      </c>
      <c r="B8669" s="4" t="str">
        <f t="shared" si="766"/>
        <v>27353039</v>
      </c>
      <c r="C8669" s="4" t="str">
        <f t="shared" si="767"/>
        <v>GSE70534</v>
      </c>
      <c r="D8669" s="1" t="s">
        <v>383</v>
      </c>
      <c r="E8669" t="s">
        <v>389</v>
      </c>
      <c r="F8669" s="1">
        <v>2</v>
      </c>
      <c r="G8669" s="1" t="s">
        <v>26</v>
      </c>
      <c r="H8669" s="4" t="str">
        <f>HYPERLINK("https://www.ncbi.nlm.nih.gov/geo/query/acc.cgi?acc=GSM1808478","GSM1808478")</f>
        <v>GSM1808478</v>
      </c>
      <c r="I8669" t="s">
        <v>385</v>
      </c>
      <c r="J8669" t="s">
        <v>386</v>
      </c>
      <c r="K8669" t="s">
        <v>19</v>
      </c>
      <c r="L8669" t="s">
        <v>308</v>
      </c>
      <c r="M8669" t="s">
        <v>24</v>
      </c>
      <c r="N8669" t="s">
        <v>22</v>
      </c>
    </row>
    <row r="8670" spans="1:14">
      <c r="A8670" s="4" t="str">
        <f t="shared" si="770"/>
        <v>EXP00280</v>
      </c>
      <c r="B8670" s="4" t="str">
        <f t="shared" si="766"/>
        <v>27353039</v>
      </c>
      <c r="C8670" s="4" t="str">
        <f t="shared" si="767"/>
        <v>GSE70534</v>
      </c>
      <c r="D8670" s="1" t="s">
        <v>383</v>
      </c>
      <c r="E8670" t="s">
        <v>389</v>
      </c>
      <c r="F8670" s="1">
        <v>2</v>
      </c>
      <c r="G8670" s="1" t="s">
        <v>26</v>
      </c>
      <c r="H8670" s="4" t="str">
        <f>HYPERLINK("https://www.ncbi.nlm.nih.gov/geo/query/acc.cgi?acc=GSM1808482","GSM1808482")</f>
        <v>GSM1808482</v>
      </c>
      <c r="I8670" t="s">
        <v>385</v>
      </c>
      <c r="J8670" t="s">
        <v>386</v>
      </c>
      <c r="K8670" t="s">
        <v>19</v>
      </c>
      <c r="L8670" t="s">
        <v>308</v>
      </c>
      <c r="M8670" t="s">
        <v>24</v>
      </c>
      <c r="N8670" t="s">
        <v>22</v>
      </c>
    </row>
    <row r="8671" spans="1:14">
      <c r="A8671" s="4" t="str">
        <f t="shared" si="770"/>
        <v>EXP00280</v>
      </c>
      <c r="B8671" s="4" t="str">
        <f t="shared" si="766"/>
        <v>27353039</v>
      </c>
      <c r="C8671" s="4" t="str">
        <f t="shared" si="767"/>
        <v>GSE70534</v>
      </c>
      <c r="D8671" s="1" t="s">
        <v>383</v>
      </c>
      <c r="E8671" t="s">
        <v>389</v>
      </c>
      <c r="F8671" s="1">
        <v>2</v>
      </c>
      <c r="G8671" s="1" t="s">
        <v>26</v>
      </c>
      <c r="H8671" s="4" t="str">
        <f>HYPERLINK("https://www.ncbi.nlm.nih.gov/geo/query/acc.cgi?acc=GSM1808486","GSM1808486")</f>
        <v>GSM1808486</v>
      </c>
      <c r="I8671" t="s">
        <v>385</v>
      </c>
      <c r="J8671" t="s">
        <v>386</v>
      </c>
      <c r="K8671" t="s">
        <v>19</v>
      </c>
      <c r="L8671" t="s">
        <v>308</v>
      </c>
      <c r="M8671" t="s">
        <v>24</v>
      </c>
      <c r="N8671" t="s">
        <v>22</v>
      </c>
    </row>
    <row r="8672" spans="1:14">
      <c r="A8672" s="4" t="str">
        <f t="shared" si="770"/>
        <v>EXP00280</v>
      </c>
      <c r="B8672" s="4" t="str">
        <f t="shared" si="766"/>
        <v>27353039</v>
      </c>
      <c r="C8672" s="4" t="str">
        <f t="shared" si="767"/>
        <v>GSE70534</v>
      </c>
      <c r="D8672" s="1" t="s">
        <v>383</v>
      </c>
      <c r="E8672" t="s">
        <v>389</v>
      </c>
      <c r="F8672" s="1">
        <v>2</v>
      </c>
      <c r="G8672" s="1" t="s">
        <v>26</v>
      </c>
      <c r="H8672" s="4" t="str">
        <f>HYPERLINK("https://www.ncbi.nlm.nih.gov/geo/query/acc.cgi?acc=GSM1808492","GSM1808492")</f>
        <v>GSM1808492</v>
      </c>
      <c r="I8672" t="s">
        <v>385</v>
      </c>
      <c r="J8672" t="s">
        <v>386</v>
      </c>
      <c r="K8672" t="s">
        <v>19</v>
      </c>
      <c r="L8672" t="s">
        <v>308</v>
      </c>
      <c r="M8672" t="s">
        <v>24</v>
      </c>
      <c r="N8672" t="s">
        <v>22</v>
      </c>
    </row>
    <row r="8673" spans="1:14">
      <c r="A8673" s="4" t="str">
        <f t="shared" si="770"/>
        <v>EXP00280</v>
      </c>
      <c r="B8673" s="4" t="str">
        <f t="shared" si="766"/>
        <v>27353039</v>
      </c>
      <c r="C8673" s="4" t="str">
        <f t="shared" si="767"/>
        <v>GSE70534</v>
      </c>
      <c r="D8673" s="1" t="s">
        <v>383</v>
      </c>
      <c r="E8673" t="s">
        <v>389</v>
      </c>
      <c r="F8673" s="1">
        <v>2</v>
      </c>
      <c r="G8673" s="1" t="s">
        <v>26</v>
      </c>
      <c r="H8673" s="4" t="str">
        <f>HYPERLINK("https://www.ncbi.nlm.nih.gov/geo/query/acc.cgi?acc=GSM1808497","GSM1808497")</f>
        <v>GSM1808497</v>
      </c>
      <c r="I8673" t="s">
        <v>385</v>
      </c>
      <c r="J8673" t="s">
        <v>386</v>
      </c>
      <c r="K8673" t="s">
        <v>19</v>
      </c>
      <c r="L8673" t="s">
        <v>308</v>
      </c>
      <c r="M8673" t="s">
        <v>24</v>
      </c>
      <c r="N8673" t="s">
        <v>22</v>
      </c>
    </row>
    <row r="8674" spans="1:14">
      <c r="A8674" s="4" t="str">
        <f t="shared" si="770"/>
        <v>EXP00280</v>
      </c>
      <c r="B8674" s="4" t="str">
        <f t="shared" si="766"/>
        <v>27353039</v>
      </c>
      <c r="C8674" s="4" t="str">
        <f t="shared" si="767"/>
        <v>GSE70534</v>
      </c>
      <c r="D8674" s="1" t="s">
        <v>383</v>
      </c>
      <c r="E8674" t="s">
        <v>389</v>
      </c>
      <c r="F8674" s="1">
        <v>2</v>
      </c>
      <c r="G8674" s="1" t="s">
        <v>26</v>
      </c>
      <c r="H8674" s="4" t="str">
        <f>HYPERLINK("https://www.ncbi.nlm.nih.gov/geo/query/acc.cgi?acc=GSM2226578","GSM2226578")</f>
        <v>GSM2226578</v>
      </c>
      <c r="I8674" t="s">
        <v>385</v>
      </c>
      <c r="J8674" t="s">
        <v>386</v>
      </c>
      <c r="K8674" t="s">
        <v>19</v>
      </c>
      <c r="L8674" t="s">
        <v>308</v>
      </c>
      <c r="M8674" t="s">
        <v>24</v>
      </c>
      <c r="N8674" t="s">
        <v>22</v>
      </c>
    </row>
    <row r="8675" spans="1:14">
      <c r="A8675" s="4" t="str">
        <f t="shared" si="770"/>
        <v>EXP00280</v>
      </c>
      <c r="B8675" s="4" t="str">
        <f t="shared" ref="B8675:B8738" si="771">HYPERLINK("https://www.ncbi.nlm.nih.gov/pubmed/27353039","27353039")</f>
        <v>27353039</v>
      </c>
      <c r="C8675" s="4" t="str">
        <f t="shared" ref="C8675:C8738" si="772">HYPERLINK("https://www.ncbi.nlm.nih.gov/geo/query/acc.cgi?acc=GSE70534","GSE70534")</f>
        <v>GSE70534</v>
      </c>
      <c r="D8675" s="1" t="s">
        <v>383</v>
      </c>
      <c r="E8675" t="s">
        <v>389</v>
      </c>
      <c r="F8675" s="1">
        <v>2</v>
      </c>
      <c r="G8675" s="1" t="s">
        <v>26</v>
      </c>
      <c r="H8675" s="4" t="str">
        <f>HYPERLINK("https://www.ncbi.nlm.nih.gov/geo/query/acc.cgi?acc=GSM2226579","GSM2226579")</f>
        <v>GSM2226579</v>
      </c>
      <c r="I8675" t="s">
        <v>385</v>
      </c>
      <c r="J8675" t="s">
        <v>386</v>
      </c>
      <c r="K8675" t="s">
        <v>19</v>
      </c>
      <c r="L8675" t="s">
        <v>308</v>
      </c>
      <c r="M8675" t="s">
        <v>24</v>
      </c>
      <c r="N8675" t="s">
        <v>22</v>
      </c>
    </row>
    <row r="8676" spans="1:14">
      <c r="A8676" s="4" t="str">
        <f t="shared" si="770"/>
        <v>EXP00280</v>
      </c>
      <c r="B8676" s="4" t="str">
        <f t="shared" si="771"/>
        <v>27353039</v>
      </c>
      <c r="C8676" s="4" t="str">
        <f t="shared" si="772"/>
        <v>GSE70534</v>
      </c>
      <c r="D8676" s="1" t="s">
        <v>383</v>
      </c>
      <c r="E8676" t="s">
        <v>389</v>
      </c>
      <c r="F8676" s="1">
        <v>2</v>
      </c>
      <c r="G8676" s="1" t="s">
        <v>26</v>
      </c>
      <c r="H8676" s="4" t="str">
        <f>HYPERLINK("https://www.ncbi.nlm.nih.gov/geo/query/acc.cgi?acc=GSM2226580","GSM2226580")</f>
        <v>GSM2226580</v>
      </c>
      <c r="I8676" t="s">
        <v>385</v>
      </c>
      <c r="J8676" t="s">
        <v>386</v>
      </c>
      <c r="K8676" t="s">
        <v>19</v>
      </c>
      <c r="L8676" t="s">
        <v>308</v>
      </c>
      <c r="M8676" t="s">
        <v>24</v>
      </c>
      <c r="N8676" t="s">
        <v>22</v>
      </c>
    </row>
    <row r="8677" spans="1:14">
      <c r="A8677" s="4" t="str">
        <f t="shared" si="770"/>
        <v>EXP00280</v>
      </c>
      <c r="B8677" s="4" t="str">
        <f t="shared" si="771"/>
        <v>27353039</v>
      </c>
      <c r="C8677" s="4" t="str">
        <f t="shared" si="772"/>
        <v>GSE70534</v>
      </c>
      <c r="D8677" s="1" t="s">
        <v>383</v>
      </c>
      <c r="E8677" t="s">
        <v>389</v>
      </c>
      <c r="F8677" s="1">
        <v>2</v>
      </c>
      <c r="G8677" s="1" t="s">
        <v>26</v>
      </c>
      <c r="H8677" s="4" t="str">
        <f>HYPERLINK("https://www.ncbi.nlm.nih.gov/geo/query/acc.cgi?acc=GSM2226581","GSM2226581")</f>
        <v>GSM2226581</v>
      </c>
      <c r="I8677" t="s">
        <v>385</v>
      </c>
      <c r="J8677" t="s">
        <v>386</v>
      </c>
      <c r="K8677" t="s">
        <v>19</v>
      </c>
      <c r="L8677" t="s">
        <v>308</v>
      </c>
      <c r="M8677" t="s">
        <v>24</v>
      </c>
      <c r="N8677" t="s">
        <v>22</v>
      </c>
    </row>
    <row r="8678" spans="1:14">
      <c r="A8678" s="4" t="str">
        <f t="shared" si="770"/>
        <v>EXP00280</v>
      </c>
      <c r="B8678" s="4" t="str">
        <f t="shared" si="771"/>
        <v>27353039</v>
      </c>
      <c r="C8678" s="4" t="str">
        <f t="shared" si="772"/>
        <v>GSE70534</v>
      </c>
      <c r="D8678" s="1" t="s">
        <v>383</v>
      </c>
      <c r="E8678" t="s">
        <v>389</v>
      </c>
      <c r="F8678" s="1">
        <v>2</v>
      </c>
      <c r="G8678" s="1" t="s">
        <v>26</v>
      </c>
      <c r="H8678" s="4" t="str">
        <f>HYPERLINK("https://www.ncbi.nlm.nih.gov/geo/query/acc.cgi?acc=GSM2226582","GSM2226582")</f>
        <v>GSM2226582</v>
      </c>
      <c r="I8678" t="s">
        <v>385</v>
      </c>
      <c r="J8678" t="s">
        <v>386</v>
      </c>
      <c r="K8678" t="s">
        <v>19</v>
      </c>
      <c r="L8678" t="s">
        <v>308</v>
      </c>
      <c r="M8678" t="s">
        <v>24</v>
      </c>
      <c r="N8678" t="s">
        <v>22</v>
      </c>
    </row>
    <row r="8679" spans="1:14">
      <c r="A8679" s="4" t="str">
        <f t="shared" si="770"/>
        <v>EXP00280</v>
      </c>
      <c r="B8679" s="4" t="str">
        <f t="shared" si="771"/>
        <v>27353039</v>
      </c>
      <c r="C8679" s="4" t="str">
        <f t="shared" si="772"/>
        <v>GSE70534</v>
      </c>
      <c r="D8679" s="1" t="s">
        <v>383</v>
      </c>
      <c r="E8679" t="s">
        <v>389</v>
      </c>
      <c r="F8679" s="1">
        <v>2</v>
      </c>
      <c r="G8679" s="1" t="s">
        <v>26</v>
      </c>
      <c r="H8679" s="4" t="str">
        <f>HYPERLINK("https://www.ncbi.nlm.nih.gov/geo/query/acc.cgi?acc=GSM2226583","GSM2226583")</f>
        <v>GSM2226583</v>
      </c>
      <c r="I8679" t="s">
        <v>385</v>
      </c>
      <c r="J8679" t="s">
        <v>386</v>
      </c>
      <c r="K8679" t="s">
        <v>19</v>
      </c>
      <c r="L8679" t="s">
        <v>308</v>
      </c>
      <c r="M8679" t="s">
        <v>24</v>
      </c>
      <c r="N8679" t="s">
        <v>22</v>
      </c>
    </row>
    <row r="8680" spans="1:14">
      <c r="A8680" s="4" t="str">
        <f t="shared" si="770"/>
        <v>EXP00280</v>
      </c>
      <c r="B8680" s="4" t="str">
        <f t="shared" si="771"/>
        <v>27353039</v>
      </c>
      <c r="C8680" s="4" t="str">
        <f t="shared" si="772"/>
        <v>GSE70534</v>
      </c>
      <c r="D8680" s="1" t="s">
        <v>383</v>
      </c>
      <c r="E8680" t="s">
        <v>389</v>
      </c>
      <c r="F8680" s="1">
        <v>2</v>
      </c>
      <c r="G8680" s="1" t="s">
        <v>26</v>
      </c>
      <c r="H8680" s="4" t="str">
        <f>HYPERLINK("https://www.ncbi.nlm.nih.gov/geo/query/acc.cgi?acc=GSM2226584","GSM2226584")</f>
        <v>GSM2226584</v>
      </c>
      <c r="I8680" t="s">
        <v>385</v>
      </c>
      <c r="J8680" t="s">
        <v>386</v>
      </c>
      <c r="K8680" t="s">
        <v>19</v>
      </c>
      <c r="L8680" t="s">
        <v>308</v>
      </c>
      <c r="M8680" t="s">
        <v>24</v>
      </c>
      <c r="N8680" t="s">
        <v>22</v>
      </c>
    </row>
    <row r="8681" spans="1:14">
      <c r="A8681" s="4" t="str">
        <f t="shared" si="770"/>
        <v>EXP00280</v>
      </c>
      <c r="B8681" s="4" t="str">
        <f t="shared" si="771"/>
        <v>27353039</v>
      </c>
      <c r="C8681" s="4" t="str">
        <f t="shared" si="772"/>
        <v>GSE70534</v>
      </c>
      <c r="D8681" s="1" t="s">
        <v>383</v>
      </c>
      <c r="E8681" t="s">
        <v>389</v>
      </c>
      <c r="F8681" s="1">
        <v>2</v>
      </c>
      <c r="G8681" s="1" t="s">
        <v>26</v>
      </c>
      <c r="H8681" s="4" t="str">
        <f>HYPERLINK("https://www.ncbi.nlm.nih.gov/geo/query/acc.cgi?acc=GSM2226585","GSM2226585")</f>
        <v>GSM2226585</v>
      </c>
      <c r="I8681" t="s">
        <v>385</v>
      </c>
      <c r="J8681" t="s">
        <v>386</v>
      </c>
      <c r="K8681" t="s">
        <v>19</v>
      </c>
      <c r="L8681" t="s">
        <v>308</v>
      </c>
      <c r="M8681" t="s">
        <v>24</v>
      </c>
      <c r="N8681" t="s">
        <v>22</v>
      </c>
    </row>
    <row r="8682" spans="1:14">
      <c r="A8682" s="4" t="str">
        <f t="shared" si="770"/>
        <v>EXP00280</v>
      </c>
      <c r="B8682" s="4" t="str">
        <f t="shared" si="771"/>
        <v>27353039</v>
      </c>
      <c r="C8682" s="4" t="str">
        <f t="shared" si="772"/>
        <v>GSE70534</v>
      </c>
      <c r="D8682" s="1" t="s">
        <v>383</v>
      </c>
      <c r="E8682" t="s">
        <v>389</v>
      </c>
      <c r="F8682" s="1">
        <v>2</v>
      </c>
      <c r="G8682" s="1" t="s">
        <v>26</v>
      </c>
      <c r="H8682" s="4" t="str">
        <f>HYPERLINK("https://www.ncbi.nlm.nih.gov/geo/query/acc.cgi?acc=GSM2226586","GSM2226586")</f>
        <v>GSM2226586</v>
      </c>
      <c r="I8682" t="s">
        <v>385</v>
      </c>
      <c r="J8682" t="s">
        <v>386</v>
      </c>
      <c r="K8682" t="s">
        <v>19</v>
      </c>
      <c r="L8682" t="s">
        <v>308</v>
      </c>
      <c r="M8682" t="s">
        <v>24</v>
      </c>
      <c r="N8682" t="s">
        <v>22</v>
      </c>
    </row>
    <row r="8683" spans="1:14">
      <c r="A8683" s="4" t="str">
        <f t="shared" si="770"/>
        <v>EXP00280</v>
      </c>
      <c r="B8683" s="4" t="str">
        <f t="shared" si="771"/>
        <v>27353039</v>
      </c>
      <c r="C8683" s="4" t="str">
        <f t="shared" si="772"/>
        <v>GSE70534</v>
      </c>
      <c r="D8683" s="1" t="s">
        <v>383</v>
      </c>
      <c r="E8683" t="s">
        <v>389</v>
      </c>
      <c r="F8683" s="1">
        <v>2</v>
      </c>
      <c r="G8683" s="1" t="s">
        <v>26</v>
      </c>
      <c r="H8683" s="4" t="str">
        <f>HYPERLINK("https://www.ncbi.nlm.nih.gov/geo/query/acc.cgi?acc=GSM2226587","GSM2226587")</f>
        <v>GSM2226587</v>
      </c>
      <c r="I8683" t="s">
        <v>385</v>
      </c>
      <c r="J8683" t="s">
        <v>386</v>
      </c>
      <c r="K8683" t="s">
        <v>19</v>
      </c>
      <c r="L8683" t="s">
        <v>308</v>
      </c>
      <c r="M8683" t="s">
        <v>24</v>
      </c>
      <c r="N8683" t="s">
        <v>22</v>
      </c>
    </row>
    <row r="8684" spans="1:14">
      <c r="A8684" s="4" t="str">
        <f t="shared" si="770"/>
        <v>EXP00280</v>
      </c>
      <c r="B8684" s="4" t="str">
        <f t="shared" si="771"/>
        <v>27353039</v>
      </c>
      <c r="C8684" s="4" t="str">
        <f t="shared" si="772"/>
        <v>GSE70534</v>
      </c>
      <c r="D8684" s="1" t="s">
        <v>383</v>
      </c>
      <c r="E8684" t="s">
        <v>389</v>
      </c>
      <c r="F8684" s="1">
        <v>2</v>
      </c>
      <c r="G8684" s="1" t="s">
        <v>26</v>
      </c>
      <c r="H8684" s="4" t="str">
        <f>HYPERLINK("https://www.ncbi.nlm.nih.gov/geo/query/acc.cgi?acc=GSM2226588","GSM2226588")</f>
        <v>GSM2226588</v>
      </c>
      <c r="I8684" t="s">
        <v>385</v>
      </c>
      <c r="J8684" t="s">
        <v>386</v>
      </c>
      <c r="K8684" t="s">
        <v>19</v>
      </c>
      <c r="L8684" t="s">
        <v>308</v>
      </c>
      <c r="M8684" t="s">
        <v>24</v>
      </c>
      <c r="N8684" t="s">
        <v>22</v>
      </c>
    </row>
    <row r="8685" spans="1:14">
      <c r="A8685" s="4" t="str">
        <f t="shared" si="770"/>
        <v>EXP00280</v>
      </c>
      <c r="B8685" s="4" t="str">
        <f t="shared" si="771"/>
        <v>27353039</v>
      </c>
      <c r="C8685" s="4" t="str">
        <f t="shared" si="772"/>
        <v>GSE70534</v>
      </c>
      <c r="D8685" s="1" t="s">
        <v>383</v>
      </c>
      <c r="E8685" t="s">
        <v>389</v>
      </c>
      <c r="F8685" s="1">
        <v>2</v>
      </c>
      <c r="G8685" s="1" t="s">
        <v>26</v>
      </c>
      <c r="H8685" s="4" t="str">
        <f>HYPERLINK("https://www.ncbi.nlm.nih.gov/geo/query/acc.cgi?acc=GSM2226589","GSM2226589")</f>
        <v>GSM2226589</v>
      </c>
      <c r="I8685" t="s">
        <v>385</v>
      </c>
      <c r="J8685" t="s">
        <v>386</v>
      </c>
      <c r="K8685" t="s">
        <v>19</v>
      </c>
      <c r="L8685" t="s">
        <v>308</v>
      </c>
      <c r="M8685" t="s">
        <v>24</v>
      </c>
      <c r="N8685" t="s">
        <v>22</v>
      </c>
    </row>
    <row r="8686" spans="1:14">
      <c r="A8686" s="4" t="str">
        <f t="shared" si="770"/>
        <v>EXP00280</v>
      </c>
      <c r="B8686" s="4" t="str">
        <f t="shared" si="771"/>
        <v>27353039</v>
      </c>
      <c r="C8686" s="4" t="str">
        <f t="shared" si="772"/>
        <v>GSE70534</v>
      </c>
      <c r="D8686" s="1" t="s">
        <v>383</v>
      </c>
      <c r="E8686" t="s">
        <v>389</v>
      </c>
      <c r="F8686" s="1">
        <v>2</v>
      </c>
      <c r="G8686" s="1" t="s">
        <v>26</v>
      </c>
      <c r="H8686" s="4" t="str">
        <f>HYPERLINK("https://www.ncbi.nlm.nih.gov/geo/query/acc.cgi?acc=GSM2226590","GSM2226590")</f>
        <v>GSM2226590</v>
      </c>
      <c r="I8686" t="s">
        <v>385</v>
      </c>
      <c r="J8686" t="s">
        <v>386</v>
      </c>
      <c r="K8686" t="s">
        <v>19</v>
      </c>
      <c r="L8686" t="s">
        <v>308</v>
      </c>
      <c r="M8686" t="s">
        <v>24</v>
      </c>
      <c r="N8686" t="s">
        <v>22</v>
      </c>
    </row>
    <row r="8687" spans="1:14">
      <c r="A8687" s="4" t="str">
        <f t="shared" si="770"/>
        <v>EXP00280</v>
      </c>
      <c r="B8687" s="4" t="str">
        <f t="shared" si="771"/>
        <v>27353039</v>
      </c>
      <c r="C8687" s="4" t="str">
        <f t="shared" si="772"/>
        <v>GSE70534</v>
      </c>
      <c r="D8687" s="1" t="s">
        <v>383</v>
      </c>
      <c r="E8687" t="s">
        <v>389</v>
      </c>
      <c r="F8687" s="1">
        <v>2</v>
      </c>
      <c r="G8687" s="1" t="s">
        <v>26</v>
      </c>
      <c r="H8687" s="4" t="str">
        <f>HYPERLINK("https://www.ncbi.nlm.nih.gov/geo/query/acc.cgi?acc=GSM2226591","GSM2226591")</f>
        <v>GSM2226591</v>
      </c>
      <c r="I8687" t="s">
        <v>385</v>
      </c>
      <c r="J8687" t="s">
        <v>386</v>
      </c>
      <c r="K8687" t="s">
        <v>19</v>
      </c>
      <c r="L8687" t="s">
        <v>308</v>
      </c>
      <c r="M8687" t="s">
        <v>24</v>
      </c>
      <c r="N8687" t="s">
        <v>22</v>
      </c>
    </row>
    <row r="8688" spans="1:14">
      <c r="A8688" s="4" t="str">
        <f t="shared" si="770"/>
        <v>EXP00280</v>
      </c>
      <c r="B8688" s="4" t="str">
        <f t="shared" si="771"/>
        <v>27353039</v>
      </c>
      <c r="C8688" s="4" t="str">
        <f t="shared" si="772"/>
        <v>GSE70534</v>
      </c>
      <c r="D8688" s="1" t="s">
        <v>383</v>
      </c>
      <c r="E8688" t="s">
        <v>389</v>
      </c>
      <c r="F8688" s="1">
        <v>2</v>
      </c>
      <c r="G8688" s="1" t="s">
        <v>26</v>
      </c>
      <c r="H8688" s="4" t="str">
        <f>HYPERLINK("https://www.ncbi.nlm.nih.gov/geo/query/acc.cgi?acc=GSM2226592","GSM2226592")</f>
        <v>GSM2226592</v>
      </c>
      <c r="I8688" t="s">
        <v>385</v>
      </c>
      <c r="J8688" t="s">
        <v>386</v>
      </c>
      <c r="K8688" t="s">
        <v>19</v>
      </c>
      <c r="L8688" t="s">
        <v>308</v>
      </c>
      <c r="M8688" t="s">
        <v>24</v>
      </c>
      <c r="N8688" t="s">
        <v>22</v>
      </c>
    </row>
    <row r="8689" spans="1:14">
      <c r="A8689" s="4" t="str">
        <f t="shared" ref="A8689:A8696" si="773">HYPERLINK("http://hcmdb.i-sanger.com/experiment/details/experiment_id/EXP00281","EXP00281")</f>
        <v>EXP00281</v>
      </c>
      <c r="B8689" s="4" t="str">
        <f t="shared" si="771"/>
        <v>27353039</v>
      </c>
      <c r="C8689" s="4" t="str">
        <f t="shared" si="772"/>
        <v>GSE70534</v>
      </c>
      <c r="D8689" s="1" t="s">
        <v>383</v>
      </c>
      <c r="E8689" t="s">
        <v>390</v>
      </c>
      <c r="F8689" s="1">
        <v>1</v>
      </c>
      <c r="G8689" s="1" t="s">
        <v>391</v>
      </c>
      <c r="H8689" s="4" t="str">
        <f>HYPERLINK("https://www.ncbi.nlm.nih.gov/geo/query/acc.cgi?acc=GSM1808460","GSM1808460")</f>
        <v>GSM1808460</v>
      </c>
      <c r="I8689" t="s">
        <v>385</v>
      </c>
      <c r="J8689" t="s">
        <v>386</v>
      </c>
      <c r="K8689" t="s">
        <v>19</v>
      </c>
      <c r="L8689" t="s">
        <v>308</v>
      </c>
      <c r="M8689" t="s">
        <v>169</v>
      </c>
      <c r="N8689" t="s">
        <v>29</v>
      </c>
    </row>
    <row r="8690" spans="1:14">
      <c r="A8690" s="4" t="str">
        <f t="shared" si="773"/>
        <v>EXP00281</v>
      </c>
      <c r="B8690" s="4" t="str">
        <f t="shared" si="771"/>
        <v>27353039</v>
      </c>
      <c r="C8690" s="4" t="str">
        <f t="shared" si="772"/>
        <v>GSE70534</v>
      </c>
      <c r="D8690" s="1" t="s">
        <v>383</v>
      </c>
      <c r="E8690" t="s">
        <v>390</v>
      </c>
      <c r="F8690" s="1">
        <v>1</v>
      </c>
      <c r="G8690" s="1" t="s">
        <v>391</v>
      </c>
      <c r="H8690" s="4" t="str">
        <f>HYPERLINK("https://www.ncbi.nlm.nih.gov/geo/query/acc.cgi?acc=GSM1808484","GSM1808484")</f>
        <v>GSM1808484</v>
      </c>
      <c r="I8690" t="s">
        <v>385</v>
      </c>
      <c r="J8690" t="s">
        <v>386</v>
      </c>
      <c r="K8690" t="s">
        <v>19</v>
      </c>
      <c r="L8690" t="s">
        <v>308</v>
      </c>
      <c r="M8690" t="s">
        <v>169</v>
      </c>
      <c r="N8690" t="s">
        <v>29</v>
      </c>
    </row>
    <row r="8691" spans="1:14">
      <c r="A8691" s="4" t="str">
        <f t="shared" si="773"/>
        <v>EXP00281</v>
      </c>
      <c r="B8691" s="4" t="str">
        <f t="shared" si="771"/>
        <v>27353039</v>
      </c>
      <c r="C8691" s="4" t="str">
        <f t="shared" si="772"/>
        <v>GSE70534</v>
      </c>
      <c r="D8691" s="1" t="s">
        <v>383</v>
      </c>
      <c r="E8691" t="s">
        <v>390</v>
      </c>
      <c r="F8691" s="1">
        <v>2</v>
      </c>
      <c r="G8691" s="1" t="s">
        <v>392</v>
      </c>
      <c r="H8691" s="4" t="str">
        <f>HYPERLINK("https://www.ncbi.nlm.nih.gov/geo/query/acc.cgi?acc=GSM1808456","GSM1808456")</f>
        <v>GSM1808456</v>
      </c>
      <c r="I8691" t="s">
        <v>385</v>
      </c>
      <c r="J8691" t="s">
        <v>386</v>
      </c>
      <c r="K8691" t="s">
        <v>19</v>
      </c>
      <c r="L8691" t="s">
        <v>308</v>
      </c>
      <c r="M8691" t="s">
        <v>24</v>
      </c>
      <c r="N8691" t="s">
        <v>29</v>
      </c>
    </row>
    <row r="8692" spans="1:14">
      <c r="A8692" s="4" t="str">
        <f t="shared" si="773"/>
        <v>EXP00281</v>
      </c>
      <c r="B8692" s="4" t="str">
        <f t="shared" si="771"/>
        <v>27353039</v>
      </c>
      <c r="C8692" s="4" t="str">
        <f t="shared" si="772"/>
        <v>GSE70534</v>
      </c>
      <c r="D8692" s="1" t="s">
        <v>383</v>
      </c>
      <c r="E8692" t="s">
        <v>390</v>
      </c>
      <c r="F8692" s="1">
        <v>2</v>
      </c>
      <c r="G8692" s="1" t="s">
        <v>392</v>
      </c>
      <c r="H8692" s="4" t="str">
        <f>HYPERLINK("https://www.ncbi.nlm.nih.gov/geo/query/acc.cgi?acc=GSM1808468","GSM1808468")</f>
        <v>GSM1808468</v>
      </c>
      <c r="I8692" t="s">
        <v>385</v>
      </c>
      <c r="J8692" t="s">
        <v>386</v>
      </c>
      <c r="K8692" t="s">
        <v>19</v>
      </c>
      <c r="L8692" t="s">
        <v>308</v>
      </c>
      <c r="M8692" t="s">
        <v>24</v>
      </c>
      <c r="N8692" t="s">
        <v>29</v>
      </c>
    </row>
    <row r="8693" spans="1:14">
      <c r="A8693" s="4" t="str">
        <f t="shared" si="773"/>
        <v>EXP00281</v>
      </c>
      <c r="B8693" s="4" t="str">
        <f t="shared" si="771"/>
        <v>27353039</v>
      </c>
      <c r="C8693" s="4" t="str">
        <f t="shared" si="772"/>
        <v>GSE70534</v>
      </c>
      <c r="D8693" s="1" t="s">
        <v>383</v>
      </c>
      <c r="E8693" t="s">
        <v>390</v>
      </c>
      <c r="F8693" s="1">
        <v>2</v>
      </c>
      <c r="G8693" s="1" t="s">
        <v>392</v>
      </c>
      <c r="H8693" s="4" t="str">
        <f>HYPERLINK("https://www.ncbi.nlm.nih.gov/geo/query/acc.cgi?acc=GSM1808472","GSM1808472")</f>
        <v>GSM1808472</v>
      </c>
      <c r="I8693" t="s">
        <v>385</v>
      </c>
      <c r="J8693" t="s">
        <v>386</v>
      </c>
      <c r="K8693" t="s">
        <v>19</v>
      </c>
      <c r="L8693" t="s">
        <v>308</v>
      </c>
      <c r="M8693" t="s">
        <v>24</v>
      </c>
      <c r="N8693" t="s">
        <v>29</v>
      </c>
    </row>
    <row r="8694" spans="1:14">
      <c r="A8694" s="4" t="str">
        <f t="shared" si="773"/>
        <v>EXP00281</v>
      </c>
      <c r="B8694" s="4" t="str">
        <f t="shared" si="771"/>
        <v>27353039</v>
      </c>
      <c r="C8694" s="4" t="str">
        <f t="shared" si="772"/>
        <v>GSE70534</v>
      </c>
      <c r="D8694" s="1" t="s">
        <v>383</v>
      </c>
      <c r="E8694" t="s">
        <v>390</v>
      </c>
      <c r="F8694" s="1">
        <v>2</v>
      </c>
      <c r="G8694" s="1" t="s">
        <v>392</v>
      </c>
      <c r="H8694" s="4" t="str">
        <f>HYPERLINK("https://www.ncbi.nlm.nih.gov/geo/query/acc.cgi?acc=GSM1808476","GSM1808476")</f>
        <v>GSM1808476</v>
      </c>
      <c r="I8694" t="s">
        <v>385</v>
      </c>
      <c r="J8694" t="s">
        <v>386</v>
      </c>
      <c r="K8694" t="s">
        <v>19</v>
      </c>
      <c r="L8694" t="s">
        <v>308</v>
      </c>
      <c r="M8694" t="s">
        <v>24</v>
      </c>
      <c r="N8694" t="s">
        <v>29</v>
      </c>
    </row>
    <row r="8695" spans="1:14">
      <c r="A8695" s="4" t="str">
        <f t="shared" si="773"/>
        <v>EXP00281</v>
      </c>
      <c r="B8695" s="4" t="str">
        <f t="shared" si="771"/>
        <v>27353039</v>
      </c>
      <c r="C8695" s="4" t="str">
        <f t="shared" si="772"/>
        <v>GSE70534</v>
      </c>
      <c r="D8695" s="1" t="s">
        <v>383</v>
      </c>
      <c r="E8695" t="s">
        <v>390</v>
      </c>
      <c r="F8695" s="1">
        <v>2</v>
      </c>
      <c r="G8695" s="1" t="s">
        <v>392</v>
      </c>
      <c r="H8695" s="4" t="str">
        <f>HYPERLINK("https://www.ncbi.nlm.nih.gov/geo/query/acc.cgi?acc=GSM1808480","GSM1808480")</f>
        <v>GSM1808480</v>
      </c>
      <c r="I8695" t="s">
        <v>385</v>
      </c>
      <c r="J8695" t="s">
        <v>386</v>
      </c>
      <c r="K8695" t="s">
        <v>19</v>
      </c>
      <c r="L8695" t="s">
        <v>308</v>
      </c>
      <c r="M8695" t="s">
        <v>24</v>
      </c>
      <c r="N8695" t="s">
        <v>29</v>
      </c>
    </row>
    <row r="8696" spans="1:14">
      <c r="A8696" s="4" t="str">
        <f t="shared" si="773"/>
        <v>EXP00281</v>
      </c>
      <c r="B8696" s="4" t="str">
        <f t="shared" si="771"/>
        <v>27353039</v>
      </c>
      <c r="C8696" s="4" t="str">
        <f t="shared" si="772"/>
        <v>GSE70534</v>
      </c>
      <c r="D8696" s="1" t="s">
        <v>383</v>
      </c>
      <c r="E8696" t="s">
        <v>390</v>
      </c>
      <c r="F8696" s="1">
        <v>2</v>
      </c>
      <c r="G8696" s="1" t="s">
        <v>392</v>
      </c>
      <c r="H8696" s="4" t="str">
        <f>HYPERLINK("https://www.ncbi.nlm.nih.gov/geo/query/acc.cgi?acc=GSM1808490","GSM1808490")</f>
        <v>GSM1808490</v>
      </c>
      <c r="I8696" t="s">
        <v>385</v>
      </c>
      <c r="J8696" t="s">
        <v>386</v>
      </c>
      <c r="K8696" t="s">
        <v>19</v>
      </c>
      <c r="L8696" t="s">
        <v>308</v>
      </c>
      <c r="M8696" t="s">
        <v>24</v>
      </c>
      <c r="N8696" t="s">
        <v>29</v>
      </c>
    </row>
    <row r="8697" spans="1:14">
      <c r="A8697" s="4" t="str">
        <f t="shared" ref="A8697:A8735" si="774">HYPERLINK("http://hcmdb.i-sanger.com/experiment/details/experiment_id/EXP00282","EXP00282")</f>
        <v>EXP00282</v>
      </c>
      <c r="B8697" s="4" t="str">
        <f t="shared" si="771"/>
        <v>27353039</v>
      </c>
      <c r="C8697" s="4" t="str">
        <f t="shared" si="772"/>
        <v>GSE70534</v>
      </c>
      <c r="D8697" s="1" t="s">
        <v>383</v>
      </c>
      <c r="E8697" t="s">
        <v>393</v>
      </c>
      <c r="F8697" s="1">
        <v>1</v>
      </c>
      <c r="G8697" s="1" t="s">
        <v>394</v>
      </c>
      <c r="H8697" s="4" t="str">
        <f>HYPERLINK("https://www.ncbi.nlm.nih.gov/geo/query/acc.cgi?acc=GSM1808464","GSM1808464")</f>
        <v>GSM1808464</v>
      </c>
      <c r="I8697" t="s">
        <v>385</v>
      </c>
      <c r="J8697" t="s">
        <v>386</v>
      </c>
      <c r="K8697" t="s">
        <v>19</v>
      </c>
      <c r="L8697" t="s">
        <v>308</v>
      </c>
      <c r="M8697" t="s">
        <v>44</v>
      </c>
      <c r="N8697" t="s">
        <v>22</v>
      </c>
    </row>
    <row r="8698" spans="1:14">
      <c r="A8698" s="4" t="str">
        <f t="shared" si="774"/>
        <v>EXP00282</v>
      </c>
      <c r="B8698" s="4" t="str">
        <f t="shared" si="771"/>
        <v>27353039</v>
      </c>
      <c r="C8698" s="4" t="str">
        <f t="shared" si="772"/>
        <v>GSE70534</v>
      </c>
      <c r="D8698" s="1" t="s">
        <v>383</v>
      </c>
      <c r="E8698" t="s">
        <v>393</v>
      </c>
      <c r="F8698" s="1">
        <v>1</v>
      </c>
      <c r="G8698" s="1" t="s">
        <v>394</v>
      </c>
      <c r="H8698" s="4" t="str">
        <f>HYPERLINK("https://www.ncbi.nlm.nih.gov/geo/query/acc.cgi?acc=GSM1808488","GSM1808488")</f>
        <v>GSM1808488</v>
      </c>
      <c r="I8698" t="s">
        <v>385</v>
      </c>
      <c r="J8698" t="s">
        <v>386</v>
      </c>
      <c r="K8698" t="s">
        <v>19</v>
      </c>
      <c r="L8698" t="s">
        <v>308</v>
      </c>
      <c r="M8698" t="s">
        <v>44</v>
      </c>
      <c r="N8698" t="s">
        <v>22</v>
      </c>
    </row>
    <row r="8699" spans="1:14">
      <c r="A8699" s="4" t="str">
        <f t="shared" si="774"/>
        <v>EXP00282</v>
      </c>
      <c r="B8699" s="4" t="str">
        <f t="shared" si="771"/>
        <v>27353039</v>
      </c>
      <c r="C8699" s="4" t="str">
        <f t="shared" si="772"/>
        <v>GSE70534</v>
      </c>
      <c r="D8699" s="1" t="s">
        <v>383</v>
      </c>
      <c r="E8699" t="s">
        <v>393</v>
      </c>
      <c r="F8699" s="1">
        <v>1</v>
      </c>
      <c r="G8699" s="1" t="s">
        <v>394</v>
      </c>
      <c r="H8699" s="4" t="str">
        <f>HYPERLINK("https://www.ncbi.nlm.nih.gov/geo/query/acc.cgi?acc=GSM2226593","GSM2226593")</f>
        <v>GSM2226593</v>
      </c>
      <c r="I8699" t="s">
        <v>385</v>
      </c>
      <c r="J8699" t="s">
        <v>386</v>
      </c>
      <c r="K8699" t="s">
        <v>19</v>
      </c>
      <c r="L8699" t="s">
        <v>308</v>
      </c>
      <c r="M8699" t="s">
        <v>44</v>
      </c>
      <c r="N8699" t="s">
        <v>22</v>
      </c>
    </row>
    <row r="8700" spans="1:14">
      <c r="A8700" s="4" t="str">
        <f t="shared" si="774"/>
        <v>EXP00282</v>
      </c>
      <c r="B8700" s="4" t="str">
        <f t="shared" si="771"/>
        <v>27353039</v>
      </c>
      <c r="C8700" s="4" t="str">
        <f t="shared" si="772"/>
        <v>GSE70534</v>
      </c>
      <c r="D8700" s="1" t="s">
        <v>383</v>
      </c>
      <c r="E8700" t="s">
        <v>393</v>
      </c>
      <c r="F8700" s="1">
        <v>1</v>
      </c>
      <c r="G8700" s="1" t="s">
        <v>394</v>
      </c>
      <c r="H8700" s="4" t="str">
        <f>HYPERLINK("https://www.ncbi.nlm.nih.gov/geo/query/acc.cgi?acc=GSM2226594","GSM2226594")</f>
        <v>GSM2226594</v>
      </c>
      <c r="I8700" t="s">
        <v>385</v>
      </c>
      <c r="J8700" t="s">
        <v>386</v>
      </c>
      <c r="K8700" t="s">
        <v>19</v>
      </c>
      <c r="L8700" t="s">
        <v>308</v>
      </c>
      <c r="M8700" t="s">
        <v>44</v>
      </c>
      <c r="N8700" t="s">
        <v>22</v>
      </c>
    </row>
    <row r="8701" spans="1:14">
      <c r="A8701" s="4" t="str">
        <f t="shared" si="774"/>
        <v>EXP00282</v>
      </c>
      <c r="B8701" s="4" t="str">
        <f t="shared" si="771"/>
        <v>27353039</v>
      </c>
      <c r="C8701" s="4" t="str">
        <f t="shared" si="772"/>
        <v>GSE70534</v>
      </c>
      <c r="D8701" s="1" t="s">
        <v>383</v>
      </c>
      <c r="E8701" t="s">
        <v>393</v>
      </c>
      <c r="F8701" s="1">
        <v>1</v>
      </c>
      <c r="G8701" s="1" t="s">
        <v>394</v>
      </c>
      <c r="H8701" s="4" t="str">
        <f>HYPERLINK("https://www.ncbi.nlm.nih.gov/geo/query/acc.cgi?acc=GSM2226595","GSM2226595")</f>
        <v>GSM2226595</v>
      </c>
      <c r="I8701" t="s">
        <v>385</v>
      </c>
      <c r="J8701" t="s">
        <v>386</v>
      </c>
      <c r="K8701" t="s">
        <v>19</v>
      </c>
      <c r="L8701" t="s">
        <v>308</v>
      </c>
      <c r="M8701" t="s">
        <v>44</v>
      </c>
      <c r="N8701" t="s">
        <v>22</v>
      </c>
    </row>
    <row r="8702" spans="1:14">
      <c r="A8702" s="4" t="str">
        <f t="shared" si="774"/>
        <v>EXP00282</v>
      </c>
      <c r="B8702" s="4" t="str">
        <f t="shared" si="771"/>
        <v>27353039</v>
      </c>
      <c r="C8702" s="4" t="str">
        <f t="shared" si="772"/>
        <v>GSE70534</v>
      </c>
      <c r="D8702" s="1" t="s">
        <v>383</v>
      </c>
      <c r="E8702" t="s">
        <v>393</v>
      </c>
      <c r="F8702" s="1">
        <v>1</v>
      </c>
      <c r="G8702" s="1" t="s">
        <v>394</v>
      </c>
      <c r="H8702" s="4" t="str">
        <f>HYPERLINK("https://www.ncbi.nlm.nih.gov/geo/query/acc.cgi?acc=GSM2226596","GSM2226596")</f>
        <v>GSM2226596</v>
      </c>
      <c r="I8702" t="s">
        <v>385</v>
      </c>
      <c r="J8702" t="s">
        <v>386</v>
      </c>
      <c r="K8702" t="s">
        <v>19</v>
      </c>
      <c r="L8702" t="s">
        <v>308</v>
      </c>
      <c r="M8702" t="s">
        <v>44</v>
      </c>
      <c r="N8702" t="s">
        <v>22</v>
      </c>
    </row>
    <row r="8703" spans="1:14">
      <c r="A8703" s="4" t="str">
        <f t="shared" si="774"/>
        <v>EXP00282</v>
      </c>
      <c r="B8703" s="4" t="str">
        <f t="shared" si="771"/>
        <v>27353039</v>
      </c>
      <c r="C8703" s="4" t="str">
        <f t="shared" si="772"/>
        <v>GSE70534</v>
      </c>
      <c r="D8703" s="1" t="s">
        <v>383</v>
      </c>
      <c r="E8703" t="s">
        <v>393</v>
      </c>
      <c r="F8703" s="1">
        <v>1</v>
      </c>
      <c r="G8703" s="1" t="s">
        <v>394</v>
      </c>
      <c r="H8703" s="4" t="str">
        <f>HYPERLINK("https://www.ncbi.nlm.nih.gov/geo/query/acc.cgi?acc=GSM2226597","GSM2226597")</f>
        <v>GSM2226597</v>
      </c>
      <c r="I8703" t="s">
        <v>385</v>
      </c>
      <c r="J8703" t="s">
        <v>386</v>
      </c>
      <c r="K8703" t="s">
        <v>19</v>
      </c>
      <c r="L8703" t="s">
        <v>308</v>
      </c>
      <c r="M8703" t="s">
        <v>44</v>
      </c>
      <c r="N8703" t="s">
        <v>22</v>
      </c>
    </row>
    <row r="8704" spans="1:14">
      <c r="A8704" s="4" t="str">
        <f t="shared" si="774"/>
        <v>EXP00282</v>
      </c>
      <c r="B8704" s="4" t="str">
        <f t="shared" si="771"/>
        <v>27353039</v>
      </c>
      <c r="C8704" s="4" t="str">
        <f t="shared" si="772"/>
        <v>GSE70534</v>
      </c>
      <c r="D8704" s="1" t="s">
        <v>383</v>
      </c>
      <c r="E8704" t="s">
        <v>393</v>
      </c>
      <c r="F8704" s="1">
        <v>1</v>
      </c>
      <c r="G8704" s="1" t="s">
        <v>394</v>
      </c>
      <c r="H8704" s="4" t="str">
        <f>HYPERLINK("https://www.ncbi.nlm.nih.gov/geo/query/acc.cgi?acc=GSM2226598","GSM2226598")</f>
        <v>GSM2226598</v>
      </c>
      <c r="I8704" t="s">
        <v>385</v>
      </c>
      <c r="J8704" t="s">
        <v>386</v>
      </c>
      <c r="K8704" t="s">
        <v>19</v>
      </c>
      <c r="L8704" t="s">
        <v>308</v>
      </c>
      <c r="M8704" t="s">
        <v>44</v>
      </c>
      <c r="N8704" t="s">
        <v>22</v>
      </c>
    </row>
    <row r="8705" spans="1:14">
      <c r="A8705" s="4" t="str">
        <f t="shared" si="774"/>
        <v>EXP00282</v>
      </c>
      <c r="B8705" s="4" t="str">
        <f t="shared" si="771"/>
        <v>27353039</v>
      </c>
      <c r="C8705" s="4" t="str">
        <f t="shared" si="772"/>
        <v>GSE70534</v>
      </c>
      <c r="D8705" s="1" t="s">
        <v>383</v>
      </c>
      <c r="E8705" t="s">
        <v>393</v>
      </c>
      <c r="F8705" s="1">
        <v>1</v>
      </c>
      <c r="G8705" s="1" t="s">
        <v>394</v>
      </c>
      <c r="H8705" s="4" t="str">
        <f>HYPERLINK("https://www.ncbi.nlm.nih.gov/geo/query/acc.cgi?acc=GSM2226599","GSM2226599")</f>
        <v>GSM2226599</v>
      </c>
      <c r="I8705" t="s">
        <v>385</v>
      </c>
      <c r="J8705" t="s">
        <v>386</v>
      </c>
      <c r="K8705" t="s">
        <v>19</v>
      </c>
      <c r="L8705" t="s">
        <v>308</v>
      </c>
      <c r="M8705" t="s">
        <v>44</v>
      </c>
      <c r="N8705" t="s">
        <v>22</v>
      </c>
    </row>
    <row r="8706" spans="1:14">
      <c r="A8706" s="4" t="str">
        <f t="shared" si="774"/>
        <v>EXP00282</v>
      </c>
      <c r="B8706" s="4" t="str">
        <f t="shared" si="771"/>
        <v>27353039</v>
      </c>
      <c r="C8706" s="4" t="str">
        <f t="shared" si="772"/>
        <v>GSE70534</v>
      </c>
      <c r="D8706" s="1" t="s">
        <v>383</v>
      </c>
      <c r="E8706" t="s">
        <v>393</v>
      </c>
      <c r="F8706" s="1">
        <v>1</v>
      </c>
      <c r="G8706" s="1" t="s">
        <v>394</v>
      </c>
      <c r="H8706" s="4" t="str">
        <f>HYPERLINK("https://www.ncbi.nlm.nih.gov/geo/query/acc.cgi?acc=GSM2226600","GSM2226600")</f>
        <v>GSM2226600</v>
      </c>
      <c r="I8706" t="s">
        <v>385</v>
      </c>
      <c r="J8706" t="s">
        <v>386</v>
      </c>
      <c r="K8706" t="s">
        <v>19</v>
      </c>
      <c r="L8706" t="s">
        <v>308</v>
      </c>
      <c r="M8706" t="s">
        <v>44</v>
      </c>
      <c r="N8706" t="s">
        <v>22</v>
      </c>
    </row>
    <row r="8707" spans="1:14">
      <c r="A8707" s="4" t="str">
        <f t="shared" si="774"/>
        <v>EXP00282</v>
      </c>
      <c r="B8707" s="4" t="str">
        <f t="shared" si="771"/>
        <v>27353039</v>
      </c>
      <c r="C8707" s="4" t="str">
        <f t="shared" si="772"/>
        <v>GSE70534</v>
      </c>
      <c r="D8707" s="1" t="s">
        <v>383</v>
      </c>
      <c r="E8707" t="s">
        <v>393</v>
      </c>
      <c r="F8707" s="1">
        <v>1</v>
      </c>
      <c r="G8707" s="1" t="s">
        <v>394</v>
      </c>
      <c r="H8707" s="4" t="str">
        <f>HYPERLINK("https://www.ncbi.nlm.nih.gov/geo/query/acc.cgi?acc=GSM2226601","GSM2226601")</f>
        <v>GSM2226601</v>
      </c>
      <c r="I8707" t="s">
        <v>385</v>
      </c>
      <c r="J8707" t="s">
        <v>386</v>
      </c>
      <c r="K8707" t="s">
        <v>19</v>
      </c>
      <c r="L8707" t="s">
        <v>308</v>
      </c>
      <c r="M8707" t="s">
        <v>44</v>
      </c>
      <c r="N8707" t="s">
        <v>22</v>
      </c>
    </row>
    <row r="8708" spans="1:14">
      <c r="A8708" s="4" t="str">
        <f t="shared" si="774"/>
        <v>EXP00282</v>
      </c>
      <c r="B8708" s="4" t="str">
        <f t="shared" si="771"/>
        <v>27353039</v>
      </c>
      <c r="C8708" s="4" t="str">
        <f t="shared" si="772"/>
        <v>GSE70534</v>
      </c>
      <c r="D8708" s="1" t="s">
        <v>383</v>
      </c>
      <c r="E8708" t="s">
        <v>393</v>
      </c>
      <c r="F8708" s="1">
        <v>1</v>
      </c>
      <c r="G8708" s="1" t="s">
        <v>394</v>
      </c>
      <c r="H8708" s="4" t="str">
        <f>HYPERLINK("https://www.ncbi.nlm.nih.gov/geo/query/acc.cgi?acc=GSM2226602","GSM2226602")</f>
        <v>GSM2226602</v>
      </c>
      <c r="I8708" t="s">
        <v>385</v>
      </c>
      <c r="J8708" t="s">
        <v>386</v>
      </c>
      <c r="K8708" t="s">
        <v>19</v>
      </c>
      <c r="L8708" t="s">
        <v>308</v>
      </c>
      <c r="M8708" t="s">
        <v>44</v>
      </c>
      <c r="N8708" t="s">
        <v>22</v>
      </c>
    </row>
    <row r="8709" spans="1:14">
      <c r="A8709" s="4" t="str">
        <f t="shared" si="774"/>
        <v>EXP00282</v>
      </c>
      <c r="B8709" s="4" t="str">
        <f t="shared" si="771"/>
        <v>27353039</v>
      </c>
      <c r="C8709" s="4" t="str">
        <f t="shared" si="772"/>
        <v>GSE70534</v>
      </c>
      <c r="D8709" s="1" t="s">
        <v>383</v>
      </c>
      <c r="E8709" t="s">
        <v>393</v>
      </c>
      <c r="F8709" s="1">
        <v>1</v>
      </c>
      <c r="G8709" s="1" t="s">
        <v>394</v>
      </c>
      <c r="H8709" s="4" t="str">
        <f>HYPERLINK("https://www.ncbi.nlm.nih.gov/geo/query/acc.cgi?acc=GSM2226603","GSM2226603")</f>
        <v>GSM2226603</v>
      </c>
      <c r="I8709" t="s">
        <v>385</v>
      </c>
      <c r="J8709" t="s">
        <v>386</v>
      </c>
      <c r="K8709" t="s">
        <v>19</v>
      </c>
      <c r="L8709" t="s">
        <v>308</v>
      </c>
      <c r="M8709" t="s">
        <v>44</v>
      </c>
      <c r="N8709" t="s">
        <v>22</v>
      </c>
    </row>
    <row r="8710" spans="1:14">
      <c r="A8710" s="4" t="str">
        <f t="shared" si="774"/>
        <v>EXP00282</v>
      </c>
      <c r="B8710" s="4" t="str">
        <f t="shared" si="771"/>
        <v>27353039</v>
      </c>
      <c r="C8710" s="4" t="str">
        <f t="shared" si="772"/>
        <v>GSE70534</v>
      </c>
      <c r="D8710" s="1" t="s">
        <v>383</v>
      </c>
      <c r="E8710" t="s">
        <v>393</v>
      </c>
      <c r="F8710" s="1">
        <v>1</v>
      </c>
      <c r="G8710" s="1" t="s">
        <v>394</v>
      </c>
      <c r="H8710" s="4" t="str">
        <f>HYPERLINK("https://www.ncbi.nlm.nih.gov/geo/query/acc.cgi?acc=GSM2226604","GSM2226604")</f>
        <v>GSM2226604</v>
      </c>
      <c r="I8710" t="s">
        <v>385</v>
      </c>
      <c r="J8710" t="s">
        <v>386</v>
      </c>
      <c r="K8710" t="s">
        <v>19</v>
      </c>
      <c r="L8710" t="s">
        <v>308</v>
      </c>
      <c r="M8710" t="s">
        <v>44</v>
      </c>
      <c r="N8710" t="s">
        <v>22</v>
      </c>
    </row>
    <row r="8711" spans="1:14">
      <c r="A8711" s="4" t="str">
        <f t="shared" si="774"/>
        <v>EXP00282</v>
      </c>
      <c r="B8711" s="4" t="str">
        <f t="shared" si="771"/>
        <v>27353039</v>
      </c>
      <c r="C8711" s="4" t="str">
        <f t="shared" si="772"/>
        <v>GSE70534</v>
      </c>
      <c r="D8711" s="1" t="s">
        <v>383</v>
      </c>
      <c r="E8711" t="s">
        <v>393</v>
      </c>
      <c r="F8711" s="1">
        <v>1</v>
      </c>
      <c r="G8711" s="1" t="s">
        <v>394</v>
      </c>
      <c r="H8711" s="4" t="str">
        <f>HYPERLINK("https://www.ncbi.nlm.nih.gov/geo/query/acc.cgi?acc=GSM2226605","GSM2226605")</f>
        <v>GSM2226605</v>
      </c>
      <c r="I8711" t="s">
        <v>385</v>
      </c>
      <c r="J8711" t="s">
        <v>386</v>
      </c>
      <c r="K8711" t="s">
        <v>19</v>
      </c>
      <c r="L8711" t="s">
        <v>308</v>
      </c>
      <c r="M8711" t="s">
        <v>44</v>
      </c>
      <c r="N8711" t="s">
        <v>22</v>
      </c>
    </row>
    <row r="8712" spans="1:14">
      <c r="A8712" s="4" t="str">
        <f t="shared" si="774"/>
        <v>EXP00282</v>
      </c>
      <c r="B8712" s="4" t="str">
        <f t="shared" si="771"/>
        <v>27353039</v>
      </c>
      <c r="C8712" s="4" t="str">
        <f t="shared" si="772"/>
        <v>GSE70534</v>
      </c>
      <c r="D8712" s="1" t="s">
        <v>383</v>
      </c>
      <c r="E8712" t="s">
        <v>393</v>
      </c>
      <c r="F8712" s="1">
        <v>2</v>
      </c>
      <c r="G8712" s="1" t="s">
        <v>395</v>
      </c>
      <c r="H8712" s="4" t="str">
        <f>HYPERLINK("https://www.ncbi.nlm.nih.gov/geo/query/acc.cgi?acc=GSM1808458","GSM1808458")</f>
        <v>GSM1808458</v>
      </c>
      <c r="I8712" t="s">
        <v>385</v>
      </c>
      <c r="J8712" t="s">
        <v>386</v>
      </c>
      <c r="K8712" t="s">
        <v>19</v>
      </c>
      <c r="L8712" t="s">
        <v>308</v>
      </c>
      <c r="M8712" t="s">
        <v>24</v>
      </c>
      <c r="N8712" t="s">
        <v>22</v>
      </c>
    </row>
    <row r="8713" spans="1:14">
      <c r="A8713" s="4" t="str">
        <f t="shared" si="774"/>
        <v>EXP00282</v>
      </c>
      <c r="B8713" s="4" t="str">
        <f t="shared" si="771"/>
        <v>27353039</v>
      </c>
      <c r="C8713" s="4" t="str">
        <f t="shared" si="772"/>
        <v>GSE70534</v>
      </c>
      <c r="D8713" s="1" t="s">
        <v>383</v>
      </c>
      <c r="E8713" t="s">
        <v>393</v>
      </c>
      <c r="F8713" s="1">
        <v>2</v>
      </c>
      <c r="G8713" s="1" t="s">
        <v>395</v>
      </c>
      <c r="H8713" s="4" t="str">
        <f>HYPERLINK("https://www.ncbi.nlm.nih.gov/geo/query/acc.cgi?acc=GSM1808462","GSM1808462")</f>
        <v>GSM1808462</v>
      </c>
      <c r="I8713" t="s">
        <v>385</v>
      </c>
      <c r="J8713" t="s">
        <v>386</v>
      </c>
      <c r="K8713" t="s">
        <v>19</v>
      </c>
      <c r="L8713" t="s">
        <v>308</v>
      </c>
      <c r="M8713" t="s">
        <v>24</v>
      </c>
      <c r="N8713" t="s">
        <v>22</v>
      </c>
    </row>
    <row r="8714" spans="1:14">
      <c r="A8714" s="4" t="str">
        <f t="shared" si="774"/>
        <v>EXP00282</v>
      </c>
      <c r="B8714" s="4" t="str">
        <f t="shared" si="771"/>
        <v>27353039</v>
      </c>
      <c r="C8714" s="4" t="str">
        <f t="shared" si="772"/>
        <v>GSE70534</v>
      </c>
      <c r="D8714" s="1" t="s">
        <v>383</v>
      </c>
      <c r="E8714" t="s">
        <v>393</v>
      </c>
      <c r="F8714" s="1">
        <v>2</v>
      </c>
      <c r="G8714" s="1" t="s">
        <v>395</v>
      </c>
      <c r="H8714" s="4" t="str">
        <f>HYPERLINK("https://www.ncbi.nlm.nih.gov/geo/query/acc.cgi?acc=GSM1808470","GSM1808470")</f>
        <v>GSM1808470</v>
      </c>
      <c r="I8714" t="s">
        <v>385</v>
      </c>
      <c r="J8714" t="s">
        <v>386</v>
      </c>
      <c r="K8714" t="s">
        <v>19</v>
      </c>
      <c r="L8714" t="s">
        <v>308</v>
      </c>
      <c r="M8714" t="s">
        <v>24</v>
      </c>
      <c r="N8714" t="s">
        <v>22</v>
      </c>
    </row>
    <row r="8715" spans="1:14">
      <c r="A8715" s="4" t="str">
        <f t="shared" si="774"/>
        <v>EXP00282</v>
      </c>
      <c r="B8715" s="4" t="str">
        <f t="shared" si="771"/>
        <v>27353039</v>
      </c>
      <c r="C8715" s="4" t="str">
        <f t="shared" si="772"/>
        <v>GSE70534</v>
      </c>
      <c r="D8715" s="1" t="s">
        <v>383</v>
      </c>
      <c r="E8715" t="s">
        <v>393</v>
      </c>
      <c r="F8715" s="1">
        <v>2</v>
      </c>
      <c r="G8715" s="1" t="s">
        <v>395</v>
      </c>
      <c r="H8715" s="4" t="str">
        <f>HYPERLINK("https://www.ncbi.nlm.nih.gov/geo/query/acc.cgi?acc=GSM1808474","GSM1808474")</f>
        <v>GSM1808474</v>
      </c>
      <c r="I8715" t="s">
        <v>385</v>
      </c>
      <c r="J8715" t="s">
        <v>386</v>
      </c>
      <c r="K8715" t="s">
        <v>19</v>
      </c>
      <c r="L8715" t="s">
        <v>308</v>
      </c>
      <c r="M8715" t="s">
        <v>24</v>
      </c>
      <c r="N8715" t="s">
        <v>22</v>
      </c>
    </row>
    <row r="8716" spans="1:14">
      <c r="A8716" s="4" t="str">
        <f t="shared" si="774"/>
        <v>EXP00282</v>
      </c>
      <c r="B8716" s="4" t="str">
        <f t="shared" si="771"/>
        <v>27353039</v>
      </c>
      <c r="C8716" s="4" t="str">
        <f t="shared" si="772"/>
        <v>GSE70534</v>
      </c>
      <c r="D8716" s="1" t="s">
        <v>383</v>
      </c>
      <c r="E8716" t="s">
        <v>393</v>
      </c>
      <c r="F8716" s="1">
        <v>2</v>
      </c>
      <c r="G8716" s="1" t="s">
        <v>395</v>
      </c>
      <c r="H8716" s="4" t="str">
        <f>HYPERLINK("https://www.ncbi.nlm.nih.gov/geo/query/acc.cgi?acc=GSM1808478","GSM1808478")</f>
        <v>GSM1808478</v>
      </c>
      <c r="I8716" t="s">
        <v>385</v>
      </c>
      <c r="J8716" t="s">
        <v>386</v>
      </c>
      <c r="K8716" t="s">
        <v>19</v>
      </c>
      <c r="L8716" t="s">
        <v>308</v>
      </c>
      <c r="M8716" t="s">
        <v>24</v>
      </c>
      <c r="N8716" t="s">
        <v>22</v>
      </c>
    </row>
    <row r="8717" spans="1:14">
      <c r="A8717" s="4" t="str">
        <f t="shared" si="774"/>
        <v>EXP00282</v>
      </c>
      <c r="B8717" s="4" t="str">
        <f t="shared" si="771"/>
        <v>27353039</v>
      </c>
      <c r="C8717" s="4" t="str">
        <f t="shared" si="772"/>
        <v>GSE70534</v>
      </c>
      <c r="D8717" s="1" t="s">
        <v>383</v>
      </c>
      <c r="E8717" t="s">
        <v>393</v>
      </c>
      <c r="F8717" s="1">
        <v>2</v>
      </c>
      <c r="G8717" s="1" t="s">
        <v>395</v>
      </c>
      <c r="H8717" s="4" t="str">
        <f>HYPERLINK("https://www.ncbi.nlm.nih.gov/geo/query/acc.cgi?acc=GSM1808482","GSM1808482")</f>
        <v>GSM1808482</v>
      </c>
      <c r="I8717" t="s">
        <v>385</v>
      </c>
      <c r="J8717" t="s">
        <v>386</v>
      </c>
      <c r="K8717" t="s">
        <v>19</v>
      </c>
      <c r="L8717" t="s">
        <v>308</v>
      </c>
      <c r="M8717" t="s">
        <v>24</v>
      </c>
      <c r="N8717" t="s">
        <v>22</v>
      </c>
    </row>
    <row r="8718" spans="1:14">
      <c r="A8718" s="4" t="str">
        <f t="shared" si="774"/>
        <v>EXP00282</v>
      </c>
      <c r="B8718" s="4" t="str">
        <f t="shared" si="771"/>
        <v>27353039</v>
      </c>
      <c r="C8718" s="4" t="str">
        <f t="shared" si="772"/>
        <v>GSE70534</v>
      </c>
      <c r="D8718" s="1" t="s">
        <v>383</v>
      </c>
      <c r="E8718" t="s">
        <v>393</v>
      </c>
      <c r="F8718" s="1">
        <v>2</v>
      </c>
      <c r="G8718" s="1" t="s">
        <v>395</v>
      </c>
      <c r="H8718" s="4" t="str">
        <f>HYPERLINK("https://www.ncbi.nlm.nih.gov/geo/query/acc.cgi?acc=GSM1808486","GSM1808486")</f>
        <v>GSM1808486</v>
      </c>
      <c r="I8718" t="s">
        <v>385</v>
      </c>
      <c r="J8718" t="s">
        <v>386</v>
      </c>
      <c r="K8718" t="s">
        <v>19</v>
      </c>
      <c r="L8718" t="s">
        <v>308</v>
      </c>
      <c r="M8718" t="s">
        <v>24</v>
      </c>
      <c r="N8718" t="s">
        <v>22</v>
      </c>
    </row>
    <row r="8719" spans="1:14">
      <c r="A8719" s="4" t="str">
        <f t="shared" si="774"/>
        <v>EXP00282</v>
      </c>
      <c r="B8719" s="4" t="str">
        <f t="shared" si="771"/>
        <v>27353039</v>
      </c>
      <c r="C8719" s="4" t="str">
        <f t="shared" si="772"/>
        <v>GSE70534</v>
      </c>
      <c r="D8719" s="1" t="s">
        <v>383</v>
      </c>
      <c r="E8719" t="s">
        <v>393</v>
      </c>
      <c r="F8719" s="1">
        <v>2</v>
      </c>
      <c r="G8719" s="1" t="s">
        <v>395</v>
      </c>
      <c r="H8719" s="4" t="str">
        <f>HYPERLINK("https://www.ncbi.nlm.nih.gov/geo/query/acc.cgi?acc=GSM1808492","GSM1808492")</f>
        <v>GSM1808492</v>
      </c>
      <c r="I8719" t="s">
        <v>385</v>
      </c>
      <c r="J8719" t="s">
        <v>386</v>
      </c>
      <c r="K8719" t="s">
        <v>19</v>
      </c>
      <c r="L8719" t="s">
        <v>308</v>
      </c>
      <c r="M8719" t="s">
        <v>24</v>
      </c>
      <c r="N8719" t="s">
        <v>22</v>
      </c>
    </row>
    <row r="8720" spans="1:14">
      <c r="A8720" s="4" t="str">
        <f t="shared" si="774"/>
        <v>EXP00282</v>
      </c>
      <c r="B8720" s="4" t="str">
        <f t="shared" si="771"/>
        <v>27353039</v>
      </c>
      <c r="C8720" s="4" t="str">
        <f t="shared" si="772"/>
        <v>GSE70534</v>
      </c>
      <c r="D8720" s="1" t="s">
        <v>383</v>
      </c>
      <c r="E8720" t="s">
        <v>393</v>
      </c>
      <c r="F8720" s="1">
        <v>2</v>
      </c>
      <c r="G8720" s="1" t="s">
        <v>395</v>
      </c>
      <c r="H8720" s="4" t="str">
        <f>HYPERLINK("https://www.ncbi.nlm.nih.gov/geo/query/acc.cgi?acc=GSM1808497","GSM1808497")</f>
        <v>GSM1808497</v>
      </c>
      <c r="I8720" t="s">
        <v>385</v>
      </c>
      <c r="J8720" t="s">
        <v>386</v>
      </c>
      <c r="K8720" t="s">
        <v>19</v>
      </c>
      <c r="L8720" t="s">
        <v>308</v>
      </c>
      <c r="M8720" t="s">
        <v>24</v>
      </c>
      <c r="N8720" t="s">
        <v>22</v>
      </c>
    </row>
    <row r="8721" spans="1:14">
      <c r="A8721" s="4" t="str">
        <f t="shared" si="774"/>
        <v>EXP00282</v>
      </c>
      <c r="B8721" s="4" t="str">
        <f t="shared" si="771"/>
        <v>27353039</v>
      </c>
      <c r="C8721" s="4" t="str">
        <f t="shared" si="772"/>
        <v>GSE70534</v>
      </c>
      <c r="D8721" s="1" t="s">
        <v>383</v>
      </c>
      <c r="E8721" t="s">
        <v>393</v>
      </c>
      <c r="F8721" s="1">
        <v>2</v>
      </c>
      <c r="G8721" s="1" t="s">
        <v>395</v>
      </c>
      <c r="H8721" s="4" t="str">
        <f>HYPERLINK("https://www.ncbi.nlm.nih.gov/geo/query/acc.cgi?acc=GSM2226578","GSM2226578")</f>
        <v>GSM2226578</v>
      </c>
      <c r="I8721" t="s">
        <v>385</v>
      </c>
      <c r="J8721" t="s">
        <v>386</v>
      </c>
      <c r="K8721" t="s">
        <v>19</v>
      </c>
      <c r="L8721" t="s">
        <v>308</v>
      </c>
      <c r="M8721" t="s">
        <v>24</v>
      </c>
      <c r="N8721" t="s">
        <v>22</v>
      </c>
    </row>
    <row r="8722" spans="1:14">
      <c r="A8722" s="4" t="str">
        <f t="shared" si="774"/>
        <v>EXP00282</v>
      </c>
      <c r="B8722" s="4" t="str">
        <f t="shared" si="771"/>
        <v>27353039</v>
      </c>
      <c r="C8722" s="4" t="str">
        <f t="shared" si="772"/>
        <v>GSE70534</v>
      </c>
      <c r="D8722" s="1" t="s">
        <v>383</v>
      </c>
      <c r="E8722" t="s">
        <v>393</v>
      </c>
      <c r="F8722" s="1">
        <v>2</v>
      </c>
      <c r="G8722" s="1" t="s">
        <v>395</v>
      </c>
      <c r="H8722" s="4" t="str">
        <f>HYPERLINK("https://www.ncbi.nlm.nih.gov/geo/query/acc.cgi?acc=GSM2226579","GSM2226579")</f>
        <v>GSM2226579</v>
      </c>
      <c r="I8722" t="s">
        <v>385</v>
      </c>
      <c r="J8722" t="s">
        <v>386</v>
      </c>
      <c r="K8722" t="s">
        <v>19</v>
      </c>
      <c r="L8722" t="s">
        <v>308</v>
      </c>
      <c r="M8722" t="s">
        <v>24</v>
      </c>
      <c r="N8722" t="s">
        <v>22</v>
      </c>
    </row>
    <row r="8723" spans="1:14">
      <c r="A8723" s="4" t="str">
        <f t="shared" si="774"/>
        <v>EXP00282</v>
      </c>
      <c r="B8723" s="4" t="str">
        <f t="shared" si="771"/>
        <v>27353039</v>
      </c>
      <c r="C8723" s="4" t="str">
        <f t="shared" si="772"/>
        <v>GSE70534</v>
      </c>
      <c r="D8723" s="1" t="s">
        <v>383</v>
      </c>
      <c r="E8723" t="s">
        <v>393</v>
      </c>
      <c r="F8723" s="1">
        <v>2</v>
      </c>
      <c r="G8723" s="1" t="s">
        <v>395</v>
      </c>
      <c r="H8723" s="4" t="str">
        <f>HYPERLINK("https://www.ncbi.nlm.nih.gov/geo/query/acc.cgi?acc=GSM2226580","GSM2226580")</f>
        <v>GSM2226580</v>
      </c>
      <c r="I8723" t="s">
        <v>385</v>
      </c>
      <c r="J8723" t="s">
        <v>386</v>
      </c>
      <c r="K8723" t="s">
        <v>19</v>
      </c>
      <c r="L8723" t="s">
        <v>308</v>
      </c>
      <c r="M8723" t="s">
        <v>24</v>
      </c>
      <c r="N8723" t="s">
        <v>22</v>
      </c>
    </row>
    <row r="8724" spans="1:14">
      <c r="A8724" s="4" t="str">
        <f t="shared" si="774"/>
        <v>EXP00282</v>
      </c>
      <c r="B8724" s="4" t="str">
        <f t="shared" si="771"/>
        <v>27353039</v>
      </c>
      <c r="C8724" s="4" t="str">
        <f t="shared" si="772"/>
        <v>GSE70534</v>
      </c>
      <c r="D8724" s="1" t="s">
        <v>383</v>
      </c>
      <c r="E8724" t="s">
        <v>393</v>
      </c>
      <c r="F8724" s="1">
        <v>2</v>
      </c>
      <c r="G8724" s="1" t="s">
        <v>395</v>
      </c>
      <c r="H8724" s="4" t="str">
        <f>HYPERLINK("https://www.ncbi.nlm.nih.gov/geo/query/acc.cgi?acc=GSM2226581","GSM2226581")</f>
        <v>GSM2226581</v>
      </c>
      <c r="I8724" t="s">
        <v>385</v>
      </c>
      <c r="J8724" t="s">
        <v>386</v>
      </c>
      <c r="K8724" t="s">
        <v>19</v>
      </c>
      <c r="L8724" t="s">
        <v>308</v>
      </c>
      <c r="M8724" t="s">
        <v>24</v>
      </c>
      <c r="N8724" t="s">
        <v>22</v>
      </c>
    </row>
    <row r="8725" spans="1:14">
      <c r="A8725" s="4" t="str">
        <f t="shared" si="774"/>
        <v>EXP00282</v>
      </c>
      <c r="B8725" s="4" t="str">
        <f t="shared" si="771"/>
        <v>27353039</v>
      </c>
      <c r="C8725" s="4" t="str">
        <f t="shared" si="772"/>
        <v>GSE70534</v>
      </c>
      <c r="D8725" s="1" t="s">
        <v>383</v>
      </c>
      <c r="E8725" t="s">
        <v>393</v>
      </c>
      <c r="F8725" s="1">
        <v>2</v>
      </c>
      <c r="G8725" s="1" t="s">
        <v>395</v>
      </c>
      <c r="H8725" s="4" t="str">
        <f>HYPERLINK("https://www.ncbi.nlm.nih.gov/geo/query/acc.cgi?acc=GSM2226582","GSM2226582")</f>
        <v>GSM2226582</v>
      </c>
      <c r="I8725" t="s">
        <v>385</v>
      </c>
      <c r="J8725" t="s">
        <v>386</v>
      </c>
      <c r="K8725" t="s">
        <v>19</v>
      </c>
      <c r="L8725" t="s">
        <v>308</v>
      </c>
      <c r="M8725" t="s">
        <v>24</v>
      </c>
      <c r="N8725" t="s">
        <v>22</v>
      </c>
    </row>
    <row r="8726" spans="1:14">
      <c r="A8726" s="4" t="str">
        <f t="shared" si="774"/>
        <v>EXP00282</v>
      </c>
      <c r="B8726" s="4" t="str">
        <f t="shared" si="771"/>
        <v>27353039</v>
      </c>
      <c r="C8726" s="4" t="str">
        <f t="shared" si="772"/>
        <v>GSE70534</v>
      </c>
      <c r="D8726" s="1" t="s">
        <v>383</v>
      </c>
      <c r="E8726" t="s">
        <v>393</v>
      </c>
      <c r="F8726" s="1">
        <v>2</v>
      </c>
      <c r="G8726" s="1" t="s">
        <v>395</v>
      </c>
      <c r="H8726" s="4" t="str">
        <f>HYPERLINK("https://www.ncbi.nlm.nih.gov/geo/query/acc.cgi?acc=GSM2226583","GSM2226583")</f>
        <v>GSM2226583</v>
      </c>
      <c r="I8726" t="s">
        <v>385</v>
      </c>
      <c r="J8726" t="s">
        <v>386</v>
      </c>
      <c r="K8726" t="s">
        <v>19</v>
      </c>
      <c r="L8726" t="s">
        <v>308</v>
      </c>
      <c r="M8726" t="s">
        <v>24</v>
      </c>
      <c r="N8726" t="s">
        <v>22</v>
      </c>
    </row>
    <row r="8727" spans="1:14">
      <c r="A8727" s="4" t="str">
        <f t="shared" si="774"/>
        <v>EXP00282</v>
      </c>
      <c r="B8727" s="4" t="str">
        <f t="shared" si="771"/>
        <v>27353039</v>
      </c>
      <c r="C8727" s="4" t="str">
        <f t="shared" si="772"/>
        <v>GSE70534</v>
      </c>
      <c r="D8727" s="1" t="s">
        <v>383</v>
      </c>
      <c r="E8727" t="s">
        <v>393</v>
      </c>
      <c r="F8727" s="1">
        <v>2</v>
      </c>
      <c r="G8727" s="1" t="s">
        <v>395</v>
      </c>
      <c r="H8727" s="4" t="str">
        <f>HYPERLINK("https://www.ncbi.nlm.nih.gov/geo/query/acc.cgi?acc=GSM2226584","GSM2226584")</f>
        <v>GSM2226584</v>
      </c>
      <c r="I8727" t="s">
        <v>385</v>
      </c>
      <c r="J8727" t="s">
        <v>386</v>
      </c>
      <c r="K8727" t="s">
        <v>19</v>
      </c>
      <c r="L8727" t="s">
        <v>308</v>
      </c>
      <c r="M8727" t="s">
        <v>24</v>
      </c>
      <c r="N8727" t="s">
        <v>22</v>
      </c>
    </row>
    <row r="8728" spans="1:14">
      <c r="A8728" s="4" t="str">
        <f t="shared" si="774"/>
        <v>EXP00282</v>
      </c>
      <c r="B8728" s="4" t="str">
        <f t="shared" si="771"/>
        <v>27353039</v>
      </c>
      <c r="C8728" s="4" t="str">
        <f t="shared" si="772"/>
        <v>GSE70534</v>
      </c>
      <c r="D8728" s="1" t="s">
        <v>383</v>
      </c>
      <c r="E8728" t="s">
        <v>393</v>
      </c>
      <c r="F8728" s="1">
        <v>2</v>
      </c>
      <c r="G8728" s="1" t="s">
        <v>395</v>
      </c>
      <c r="H8728" s="4" t="str">
        <f>HYPERLINK("https://www.ncbi.nlm.nih.gov/geo/query/acc.cgi?acc=GSM2226585","GSM2226585")</f>
        <v>GSM2226585</v>
      </c>
      <c r="I8728" t="s">
        <v>385</v>
      </c>
      <c r="J8728" t="s">
        <v>386</v>
      </c>
      <c r="K8728" t="s">
        <v>19</v>
      </c>
      <c r="L8728" t="s">
        <v>308</v>
      </c>
      <c r="M8728" t="s">
        <v>24</v>
      </c>
      <c r="N8728" t="s">
        <v>22</v>
      </c>
    </row>
    <row r="8729" spans="1:14">
      <c r="A8729" s="4" t="str">
        <f t="shared" si="774"/>
        <v>EXP00282</v>
      </c>
      <c r="B8729" s="4" t="str">
        <f t="shared" si="771"/>
        <v>27353039</v>
      </c>
      <c r="C8729" s="4" t="str">
        <f t="shared" si="772"/>
        <v>GSE70534</v>
      </c>
      <c r="D8729" s="1" t="s">
        <v>383</v>
      </c>
      <c r="E8729" t="s">
        <v>393</v>
      </c>
      <c r="F8729" s="1">
        <v>2</v>
      </c>
      <c r="G8729" s="1" t="s">
        <v>395</v>
      </c>
      <c r="H8729" s="4" t="str">
        <f>HYPERLINK("https://www.ncbi.nlm.nih.gov/geo/query/acc.cgi?acc=GSM2226586","GSM2226586")</f>
        <v>GSM2226586</v>
      </c>
      <c r="I8729" t="s">
        <v>385</v>
      </c>
      <c r="J8729" t="s">
        <v>386</v>
      </c>
      <c r="K8729" t="s">
        <v>19</v>
      </c>
      <c r="L8729" t="s">
        <v>308</v>
      </c>
      <c r="M8729" t="s">
        <v>24</v>
      </c>
      <c r="N8729" t="s">
        <v>22</v>
      </c>
    </row>
    <row r="8730" spans="1:14">
      <c r="A8730" s="4" t="str">
        <f t="shared" si="774"/>
        <v>EXP00282</v>
      </c>
      <c r="B8730" s="4" t="str">
        <f t="shared" si="771"/>
        <v>27353039</v>
      </c>
      <c r="C8730" s="4" t="str">
        <f t="shared" si="772"/>
        <v>GSE70534</v>
      </c>
      <c r="D8730" s="1" t="s">
        <v>383</v>
      </c>
      <c r="E8730" t="s">
        <v>393</v>
      </c>
      <c r="F8730" s="1">
        <v>2</v>
      </c>
      <c r="G8730" s="1" t="s">
        <v>395</v>
      </c>
      <c r="H8730" s="4" t="str">
        <f>HYPERLINK("https://www.ncbi.nlm.nih.gov/geo/query/acc.cgi?acc=GSM2226587","GSM2226587")</f>
        <v>GSM2226587</v>
      </c>
      <c r="I8730" t="s">
        <v>385</v>
      </c>
      <c r="J8730" t="s">
        <v>386</v>
      </c>
      <c r="K8730" t="s">
        <v>19</v>
      </c>
      <c r="L8730" t="s">
        <v>308</v>
      </c>
      <c r="M8730" t="s">
        <v>24</v>
      </c>
      <c r="N8730" t="s">
        <v>22</v>
      </c>
    </row>
    <row r="8731" spans="1:14">
      <c r="A8731" s="4" t="str">
        <f t="shared" si="774"/>
        <v>EXP00282</v>
      </c>
      <c r="B8731" s="4" t="str">
        <f t="shared" si="771"/>
        <v>27353039</v>
      </c>
      <c r="C8731" s="4" t="str">
        <f t="shared" si="772"/>
        <v>GSE70534</v>
      </c>
      <c r="D8731" s="1" t="s">
        <v>383</v>
      </c>
      <c r="E8731" t="s">
        <v>393</v>
      </c>
      <c r="F8731" s="1">
        <v>2</v>
      </c>
      <c r="G8731" s="1" t="s">
        <v>395</v>
      </c>
      <c r="H8731" s="4" t="str">
        <f>HYPERLINK("https://www.ncbi.nlm.nih.gov/geo/query/acc.cgi?acc=GSM2226588","GSM2226588")</f>
        <v>GSM2226588</v>
      </c>
      <c r="I8731" t="s">
        <v>385</v>
      </c>
      <c r="J8731" t="s">
        <v>386</v>
      </c>
      <c r="K8731" t="s">
        <v>19</v>
      </c>
      <c r="L8731" t="s">
        <v>308</v>
      </c>
      <c r="M8731" t="s">
        <v>24</v>
      </c>
      <c r="N8731" t="s">
        <v>22</v>
      </c>
    </row>
    <row r="8732" spans="1:14">
      <c r="A8732" s="4" t="str">
        <f t="shared" si="774"/>
        <v>EXP00282</v>
      </c>
      <c r="B8732" s="4" t="str">
        <f t="shared" si="771"/>
        <v>27353039</v>
      </c>
      <c r="C8732" s="4" t="str">
        <f t="shared" si="772"/>
        <v>GSE70534</v>
      </c>
      <c r="D8732" s="1" t="s">
        <v>383</v>
      </c>
      <c r="E8732" t="s">
        <v>393</v>
      </c>
      <c r="F8732" s="1">
        <v>2</v>
      </c>
      <c r="G8732" s="1" t="s">
        <v>395</v>
      </c>
      <c r="H8732" s="4" t="str">
        <f>HYPERLINK("https://www.ncbi.nlm.nih.gov/geo/query/acc.cgi?acc=GSM2226589","GSM2226589")</f>
        <v>GSM2226589</v>
      </c>
      <c r="I8732" t="s">
        <v>385</v>
      </c>
      <c r="J8732" t="s">
        <v>386</v>
      </c>
      <c r="K8732" t="s">
        <v>19</v>
      </c>
      <c r="L8732" t="s">
        <v>308</v>
      </c>
      <c r="M8732" t="s">
        <v>24</v>
      </c>
      <c r="N8732" t="s">
        <v>22</v>
      </c>
    </row>
    <row r="8733" spans="1:14">
      <c r="A8733" s="4" t="str">
        <f t="shared" si="774"/>
        <v>EXP00282</v>
      </c>
      <c r="B8733" s="4" t="str">
        <f t="shared" si="771"/>
        <v>27353039</v>
      </c>
      <c r="C8733" s="4" t="str">
        <f t="shared" si="772"/>
        <v>GSE70534</v>
      </c>
      <c r="D8733" s="1" t="s">
        <v>383</v>
      </c>
      <c r="E8733" t="s">
        <v>393</v>
      </c>
      <c r="F8733" s="1">
        <v>2</v>
      </c>
      <c r="G8733" s="1" t="s">
        <v>395</v>
      </c>
      <c r="H8733" s="4" t="str">
        <f>HYPERLINK("https://www.ncbi.nlm.nih.gov/geo/query/acc.cgi?acc=GSM2226590","GSM2226590")</f>
        <v>GSM2226590</v>
      </c>
      <c r="I8733" t="s">
        <v>385</v>
      </c>
      <c r="J8733" t="s">
        <v>386</v>
      </c>
      <c r="K8733" t="s">
        <v>19</v>
      </c>
      <c r="L8733" t="s">
        <v>308</v>
      </c>
      <c r="M8733" t="s">
        <v>24</v>
      </c>
      <c r="N8733" t="s">
        <v>22</v>
      </c>
    </row>
    <row r="8734" spans="1:14">
      <c r="A8734" s="4" t="str">
        <f t="shared" si="774"/>
        <v>EXP00282</v>
      </c>
      <c r="B8734" s="4" t="str">
        <f t="shared" si="771"/>
        <v>27353039</v>
      </c>
      <c r="C8734" s="4" t="str">
        <f t="shared" si="772"/>
        <v>GSE70534</v>
      </c>
      <c r="D8734" s="1" t="s">
        <v>383</v>
      </c>
      <c r="E8734" t="s">
        <v>393</v>
      </c>
      <c r="F8734" s="1">
        <v>2</v>
      </c>
      <c r="G8734" s="1" t="s">
        <v>395</v>
      </c>
      <c r="H8734" s="4" t="str">
        <f>HYPERLINK("https://www.ncbi.nlm.nih.gov/geo/query/acc.cgi?acc=GSM2226591","GSM2226591")</f>
        <v>GSM2226591</v>
      </c>
      <c r="I8734" t="s">
        <v>385</v>
      </c>
      <c r="J8734" t="s">
        <v>386</v>
      </c>
      <c r="K8734" t="s">
        <v>19</v>
      </c>
      <c r="L8734" t="s">
        <v>308</v>
      </c>
      <c r="M8734" t="s">
        <v>24</v>
      </c>
      <c r="N8734" t="s">
        <v>22</v>
      </c>
    </row>
    <row r="8735" spans="1:14">
      <c r="A8735" s="4" t="str">
        <f t="shared" si="774"/>
        <v>EXP00282</v>
      </c>
      <c r="B8735" s="4" t="str">
        <f t="shared" si="771"/>
        <v>27353039</v>
      </c>
      <c r="C8735" s="4" t="str">
        <f t="shared" si="772"/>
        <v>GSE70534</v>
      </c>
      <c r="D8735" s="1" t="s">
        <v>383</v>
      </c>
      <c r="E8735" t="s">
        <v>393</v>
      </c>
      <c r="F8735" s="1">
        <v>2</v>
      </c>
      <c r="G8735" s="1" t="s">
        <v>395</v>
      </c>
      <c r="H8735" s="4" t="str">
        <f>HYPERLINK("https://www.ncbi.nlm.nih.gov/geo/query/acc.cgi?acc=GSM2226592","GSM2226592")</f>
        <v>GSM2226592</v>
      </c>
      <c r="I8735" t="s">
        <v>385</v>
      </c>
      <c r="J8735" t="s">
        <v>386</v>
      </c>
      <c r="K8735" t="s">
        <v>19</v>
      </c>
      <c r="L8735" t="s">
        <v>308</v>
      </c>
      <c r="M8735" t="s">
        <v>24</v>
      </c>
      <c r="N8735" t="s">
        <v>22</v>
      </c>
    </row>
    <row r="8736" spans="1:14">
      <c r="A8736" s="4" t="str">
        <f t="shared" ref="A8736:A8782" si="775">HYPERLINK("http://hcmdb.i-sanger.com/experiment/details/experiment_id/EXP00283","EXP00283")</f>
        <v>EXP00283</v>
      </c>
      <c r="B8736" s="4" t="str">
        <f t="shared" si="771"/>
        <v>27353039</v>
      </c>
      <c r="C8736" s="4" t="str">
        <f t="shared" si="772"/>
        <v>GSE70534</v>
      </c>
      <c r="D8736" s="1" t="s">
        <v>383</v>
      </c>
      <c r="E8736" t="s">
        <v>396</v>
      </c>
      <c r="F8736" s="1">
        <v>1</v>
      </c>
      <c r="G8736" s="1" t="s">
        <v>26</v>
      </c>
      <c r="H8736" s="4" t="str">
        <f>HYPERLINK("https://www.ncbi.nlm.nih.gov/geo/query/acc.cgi?acc=GSM1808458","GSM1808458")</f>
        <v>GSM1808458</v>
      </c>
      <c r="I8736" t="s">
        <v>385</v>
      </c>
      <c r="J8736" t="s">
        <v>386</v>
      </c>
      <c r="K8736" t="s">
        <v>19</v>
      </c>
      <c r="L8736" t="s">
        <v>308</v>
      </c>
      <c r="M8736" t="s">
        <v>24</v>
      </c>
      <c r="N8736" t="s">
        <v>22</v>
      </c>
    </row>
    <row r="8737" spans="1:14">
      <c r="A8737" s="4" t="str">
        <f t="shared" si="775"/>
        <v>EXP00283</v>
      </c>
      <c r="B8737" s="4" t="str">
        <f t="shared" si="771"/>
        <v>27353039</v>
      </c>
      <c r="C8737" s="4" t="str">
        <f t="shared" si="772"/>
        <v>GSE70534</v>
      </c>
      <c r="D8737" s="1" t="s">
        <v>383</v>
      </c>
      <c r="E8737" t="s">
        <v>396</v>
      </c>
      <c r="F8737" s="1">
        <v>1</v>
      </c>
      <c r="G8737" s="1" t="s">
        <v>26</v>
      </c>
      <c r="H8737" s="4" t="str">
        <f>HYPERLINK("https://www.ncbi.nlm.nih.gov/geo/query/acc.cgi?acc=GSM1808462","GSM1808462")</f>
        <v>GSM1808462</v>
      </c>
      <c r="I8737" t="s">
        <v>385</v>
      </c>
      <c r="J8737" t="s">
        <v>386</v>
      </c>
      <c r="K8737" t="s">
        <v>19</v>
      </c>
      <c r="L8737" t="s">
        <v>308</v>
      </c>
      <c r="M8737" t="s">
        <v>24</v>
      </c>
      <c r="N8737" t="s">
        <v>22</v>
      </c>
    </row>
    <row r="8738" spans="1:14">
      <c r="A8738" s="4" t="str">
        <f t="shared" si="775"/>
        <v>EXP00283</v>
      </c>
      <c r="B8738" s="4" t="str">
        <f t="shared" si="771"/>
        <v>27353039</v>
      </c>
      <c r="C8738" s="4" t="str">
        <f t="shared" si="772"/>
        <v>GSE70534</v>
      </c>
      <c r="D8738" s="1" t="s">
        <v>383</v>
      </c>
      <c r="E8738" t="s">
        <v>396</v>
      </c>
      <c r="F8738" s="1">
        <v>1</v>
      </c>
      <c r="G8738" s="1" t="s">
        <v>26</v>
      </c>
      <c r="H8738" s="4" t="str">
        <f>HYPERLINK("https://www.ncbi.nlm.nih.gov/geo/query/acc.cgi?acc=GSM1808464","GSM1808464")</f>
        <v>GSM1808464</v>
      </c>
      <c r="I8738" t="s">
        <v>385</v>
      </c>
      <c r="J8738" t="s">
        <v>386</v>
      </c>
      <c r="K8738" t="s">
        <v>19</v>
      </c>
      <c r="L8738" t="s">
        <v>308</v>
      </c>
      <c r="M8738" t="s">
        <v>44</v>
      </c>
      <c r="N8738" t="s">
        <v>22</v>
      </c>
    </row>
    <row r="8739" spans="1:14">
      <c r="A8739" s="4" t="str">
        <f t="shared" si="775"/>
        <v>EXP00283</v>
      </c>
      <c r="B8739" s="4" t="str">
        <f t="shared" ref="B8739:B8802" si="776">HYPERLINK("https://www.ncbi.nlm.nih.gov/pubmed/27353039","27353039")</f>
        <v>27353039</v>
      </c>
      <c r="C8739" s="4" t="str">
        <f t="shared" ref="C8739:C8802" si="777">HYPERLINK("https://www.ncbi.nlm.nih.gov/geo/query/acc.cgi?acc=GSE70534","GSE70534")</f>
        <v>GSE70534</v>
      </c>
      <c r="D8739" s="1" t="s">
        <v>383</v>
      </c>
      <c r="E8739" t="s">
        <v>396</v>
      </c>
      <c r="F8739" s="1">
        <v>1</v>
      </c>
      <c r="G8739" s="1" t="s">
        <v>26</v>
      </c>
      <c r="H8739" s="4" t="str">
        <f>HYPERLINK("https://www.ncbi.nlm.nih.gov/geo/query/acc.cgi?acc=GSM1808470","GSM1808470")</f>
        <v>GSM1808470</v>
      </c>
      <c r="I8739" t="s">
        <v>385</v>
      </c>
      <c r="J8739" t="s">
        <v>386</v>
      </c>
      <c r="K8739" t="s">
        <v>19</v>
      </c>
      <c r="L8739" t="s">
        <v>308</v>
      </c>
      <c r="M8739" t="s">
        <v>24</v>
      </c>
      <c r="N8739" t="s">
        <v>22</v>
      </c>
    </row>
    <row r="8740" spans="1:14">
      <c r="A8740" s="4" t="str">
        <f t="shared" si="775"/>
        <v>EXP00283</v>
      </c>
      <c r="B8740" s="4" t="str">
        <f t="shared" si="776"/>
        <v>27353039</v>
      </c>
      <c r="C8740" s="4" t="str">
        <f t="shared" si="777"/>
        <v>GSE70534</v>
      </c>
      <c r="D8740" s="1" t="s">
        <v>383</v>
      </c>
      <c r="E8740" t="s">
        <v>396</v>
      </c>
      <c r="F8740" s="1">
        <v>1</v>
      </c>
      <c r="G8740" s="1" t="s">
        <v>26</v>
      </c>
      <c r="H8740" s="4" t="str">
        <f>HYPERLINK("https://www.ncbi.nlm.nih.gov/geo/query/acc.cgi?acc=GSM1808474","GSM1808474")</f>
        <v>GSM1808474</v>
      </c>
      <c r="I8740" t="s">
        <v>385</v>
      </c>
      <c r="J8740" t="s">
        <v>386</v>
      </c>
      <c r="K8740" t="s">
        <v>19</v>
      </c>
      <c r="L8740" t="s">
        <v>308</v>
      </c>
      <c r="M8740" t="s">
        <v>24</v>
      </c>
      <c r="N8740" t="s">
        <v>22</v>
      </c>
    </row>
    <row r="8741" spans="1:14">
      <c r="A8741" s="4" t="str">
        <f t="shared" si="775"/>
        <v>EXP00283</v>
      </c>
      <c r="B8741" s="4" t="str">
        <f t="shared" si="776"/>
        <v>27353039</v>
      </c>
      <c r="C8741" s="4" t="str">
        <f t="shared" si="777"/>
        <v>GSE70534</v>
      </c>
      <c r="D8741" s="1" t="s">
        <v>383</v>
      </c>
      <c r="E8741" t="s">
        <v>396</v>
      </c>
      <c r="F8741" s="1">
        <v>1</v>
      </c>
      <c r="G8741" s="1" t="s">
        <v>26</v>
      </c>
      <c r="H8741" s="4" t="str">
        <f>HYPERLINK("https://www.ncbi.nlm.nih.gov/geo/query/acc.cgi?acc=GSM1808478","GSM1808478")</f>
        <v>GSM1808478</v>
      </c>
      <c r="I8741" t="s">
        <v>385</v>
      </c>
      <c r="J8741" t="s">
        <v>386</v>
      </c>
      <c r="K8741" t="s">
        <v>19</v>
      </c>
      <c r="L8741" t="s">
        <v>308</v>
      </c>
      <c r="M8741" t="s">
        <v>24</v>
      </c>
      <c r="N8741" t="s">
        <v>22</v>
      </c>
    </row>
    <row r="8742" spans="1:14">
      <c r="A8742" s="4" t="str">
        <f t="shared" si="775"/>
        <v>EXP00283</v>
      </c>
      <c r="B8742" s="4" t="str">
        <f t="shared" si="776"/>
        <v>27353039</v>
      </c>
      <c r="C8742" s="4" t="str">
        <f t="shared" si="777"/>
        <v>GSE70534</v>
      </c>
      <c r="D8742" s="1" t="s">
        <v>383</v>
      </c>
      <c r="E8742" t="s">
        <v>396</v>
      </c>
      <c r="F8742" s="1">
        <v>1</v>
      </c>
      <c r="G8742" s="1" t="s">
        <v>26</v>
      </c>
      <c r="H8742" s="4" t="str">
        <f>HYPERLINK("https://www.ncbi.nlm.nih.gov/geo/query/acc.cgi?acc=GSM1808482","GSM1808482")</f>
        <v>GSM1808482</v>
      </c>
      <c r="I8742" t="s">
        <v>385</v>
      </c>
      <c r="J8742" t="s">
        <v>386</v>
      </c>
      <c r="K8742" t="s">
        <v>19</v>
      </c>
      <c r="L8742" t="s">
        <v>308</v>
      </c>
      <c r="M8742" t="s">
        <v>24</v>
      </c>
      <c r="N8742" t="s">
        <v>22</v>
      </c>
    </row>
    <row r="8743" spans="1:14">
      <c r="A8743" s="4" t="str">
        <f t="shared" si="775"/>
        <v>EXP00283</v>
      </c>
      <c r="B8743" s="4" t="str">
        <f t="shared" si="776"/>
        <v>27353039</v>
      </c>
      <c r="C8743" s="4" t="str">
        <f t="shared" si="777"/>
        <v>GSE70534</v>
      </c>
      <c r="D8743" s="1" t="s">
        <v>383</v>
      </c>
      <c r="E8743" t="s">
        <v>396</v>
      </c>
      <c r="F8743" s="1">
        <v>1</v>
      </c>
      <c r="G8743" s="1" t="s">
        <v>26</v>
      </c>
      <c r="H8743" s="4" t="str">
        <f>HYPERLINK("https://www.ncbi.nlm.nih.gov/geo/query/acc.cgi?acc=GSM1808486","GSM1808486")</f>
        <v>GSM1808486</v>
      </c>
      <c r="I8743" t="s">
        <v>385</v>
      </c>
      <c r="J8743" t="s">
        <v>386</v>
      </c>
      <c r="K8743" t="s">
        <v>19</v>
      </c>
      <c r="L8743" t="s">
        <v>308</v>
      </c>
      <c r="M8743" t="s">
        <v>24</v>
      </c>
      <c r="N8743" t="s">
        <v>22</v>
      </c>
    </row>
    <row r="8744" spans="1:14">
      <c r="A8744" s="4" t="str">
        <f t="shared" si="775"/>
        <v>EXP00283</v>
      </c>
      <c r="B8744" s="4" t="str">
        <f t="shared" si="776"/>
        <v>27353039</v>
      </c>
      <c r="C8744" s="4" t="str">
        <f t="shared" si="777"/>
        <v>GSE70534</v>
      </c>
      <c r="D8744" s="1" t="s">
        <v>383</v>
      </c>
      <c r="E8744" t="s">
        <v>396</v>
      </c>
      <c r="F8744" s="1">
        <v>1</v>
      </c>
      <c r="G8744" s="1" t="s">
        <v>26</v>
      </c>
      <c r="H8744" s="4" t="str">
        <f>HYPERLINK("https://www.ncbi.nlm.nih.gov/geo/query/acc.cgi?acc=GSM1808488","GSM1808488")</f>
        <v>GSM1808488</v>
      </c>
      <c r="I8744" t="s">
        <v>385</v>
      </c>
      <c r="J8744" t="s">
        <v>386</v>
      </c>
      <c r="K8744" t="s">
        <v>19</v>
      </c>
      <c r="L8744" t="s">
        <v>308</v>
      </c>
      <c r="M8744" t="s">
        <v>44</v>
      </c>
      <c r="N8744" t="s">
        <v>22</v>
      </c>
    </row>
    <row r="8745" spans="1:14">
      <c r="A8745" s="4" t="str">
        <f t="shared" si="775"/>
        <v>EXP00283</v>
      </c>
      <c r="B8745" s="4" t="str">
        <f t="shared" si="776"/>
        <v>27353039</v>
      </c>
      <c r="C8745" s="4" t="str">
        <f t="shared" si="777"/>
        <v>GSE70534</v>
      </c>
      <c r="D8745" s="1" t="s">
        <v>383</v>
      </c>
      <c r="E8745" t="s">
        <v>396</v>
      </c>
      <c r="F8745" s="1">
        <v>1</v>
      </c>
      <c r="G8745" s="1" t="s">
        <v>26</v>
      </c>
      <c r="H8745" s="4" t="str">
        <f>HYPERLINK("https://www.ncbi.nlm.nih.gov/geo/query/acc.cgi?acc=GSM1808492","GSM1808492")</f>
        <v>GSM1808492</v>
      </c>
      <c r="I8745" t="s">
        <v>385</v>
      </c>
      <c r="J8745" t="s">
        <v>386</v>
      </c>
      <c r="K8745" t="s">
        <v>19</v>
      </c>
      <c r="L8745" t="s">
        <v>308</v>
      </c>
      <c r="M8745" t="s">
        <v>24</v>
      </c>
      <c r="N8745" t="s">
        <v>22</v>
      </c>
    </row>
    <row r="8746" spans="1:14">
      <c r="A8746" s="4" t="str">
        <f t="shared" si="775"/>
        <v>EXP00283</v>
      </c>
      <c r="B8746" s="4" t="str">
        <f t="shared" si="776"/>
        <v>27353039</v>
      </c>
      <c r="C8746" s="4" t="str">
        <f t="shared" si="777"/>
        <v>GSE70534</v>
      </c>
      <c r="D8746" s="1" t="s">
        <v>383</v>
      </c>
      <c r="E8746" t="s">
        <v>396</v>
      </c>
      <c r="F8746" s="1">
        <v>1</v>
      </c>
      <c r="G8746" s="1" t="s">
        <v>26</v>
      </c>
      <c r="H8746" s="4" t="str">
        <f>HYPERLINK("https://www.ncbi.nlm.nih.gov/geo/query/acc.cgi?acc=GSM1808497","GSM1808497")</f>
        <v>GSM1808497</v>
      </c>
      <c r="I8746" t="s">
        <v>385</v>
      </c>
      <c r="J8746" t="s">
        <v>386</v>
      </c>
      <c r="K8746" t="s">
        <v>19</v>
      </c>
      <c r="L8746" t="s">
        <v>308</v>
      </c>
      <c r="M8746" t="s">
        <v>24</v>
      </c>
      <c r="N8746" t="s">
        <v>22</v>
      </c>
    </row>
    <row r="8747" spans="1:14">
      <c r="A8747" s="4" t="str">
        <f t="shared" si="775"/>
        <v>EXP00283</v>
      </c>
      <c r="B8747" s="4" t="str">
        <f t="shared" si="776"/>
        <v>27353039</v>
      </c>
      <c r="C8747" s="4" t="str">
        <f t="shared" si="777"/>
        <v>GSE70534</v>
      </c>
      <c r="D8747" s="1" t="s">
        <v>383</v>
      </c>
      <c r="E8747" t="s">
        <v>396</v>
      </c>
      <c r="F8747" s="1">
        <v>1</v>
      </c>
      <c r="G8747" s="1" t="s">
        <v>26</v>
      </c>
      <c r="H8747" s="4" t="str">
        <f>HYPERLINK("https://www.ncbi.nlm.nih.gov/geo/query/acc.cgi?acc=GSM2226578","GSM2226578")</f>
        <v>GSM2226578</v>
      </c>
      <c r="I8747" t="s">
        <v>385</v>
      </c>
      <c r="J8747" t="s">
        <v>386</v>
      </c>
      <c r="K8747" t="s">
        <v>19</v>
      </c>
      <c r="L8747" t="s">
        <v>308</v>
      </c>
      <c r="M8747" t="s">
        <v>24</v>
      </c>
      <c r="N8747" t="s">
        <v>22</v>
      </c>
    </row>
    <row r="8748" spans="1:14">
      <c r="A8748" s="4" t="str">
        <f t="shared" si="775"/>
        <v>EXP00283</v>
      </c>
      <c r="B8748" s="4" t="str">
        <f t="shared" si="776"/>
        <v>27353039</v>
      </c>
      <c r="C8748" s="4" t="str">
        <f t="shared" si="777"/>
        <v>GSE70534</v>
      </c>
      <c r="D8748" s="1" t="s">
        <v>383</v>
      </c>
      <c r="E8748" t="s">
        <v>396</v>
      </c>
      <c r="F8748" s="1">
        <v>1</v>
      </c>
      <c r="G8748" s="1" t="s">
        <v>26</v>
      </c>
      <c r="H8748" s="4" t="str">
        <f>HYPERLINK("https://www.ncbi.nlm.nih.gov/geo/query/acc.cgi?acc=GSM2226579","GSM2226579")</f>
        <v>GSM2226579</v>
      </c>
      <c r="I8748" t="s">
        <v>385</v>
      </c>
      <c r="J8748" t="s">
        <v>386</v>
      </c>
      <c r="K8748" t="s">
        <v>19</v>
      </c>
      <c r="L8748" t="s">
        <v>308</v>
      </c>
      <c r="M8748" t="s">
        <v>24</v>
      </c>
      <c r="N8748" t="s">
        <v>22</v>
      </c>
    </row>
    <row r="8749" spans="1:14">
      <c r="A8749" s="4" t="str">
        <f t="shared" si="775"/>
        <v>EXP00283</v>
      </c>
      <c r="B8749" s="4" t="str">
        <f t="shared" si="776"/>
        <v>27353039</v>
      </c>
      <c r="C8749" s="4" t="str">
        <f t="shared" si="777"/>
        <v>GSE70534</v>
      </c>
      <c r="D8749" s="1" t="s">
        <v>383</v>
      </c>
      <c r="E8749" t="s">
        <v>396</v>
      </c>
      <c r="F8749" s="1">
        <v>1</v>
      </c>
      <c r="G8749" s="1" t="s">
        <v>26</v>
      </c>
      <c r="H8749" s="4" t="str">
        <f>HYPERLINK("https://www.ncbi.nlm.nih.gov/geo/query/acc.cgi?acc=GSM2226580","GSM2226580")</f>
        <v>GSM2226580</v>
      </c>
      <c r="I8749" t="s">
        <v>385</v>
      </c>
      <c r="J8749" t="s">
        <v>386</v>
      </c>
      <c r="K8749" t="s">
        <v>19</v>
      </c>
      <c r="L8749" t="s">
        <v>308</v>
      </c>
      <c r="M8749" t="s">
        <v>24</v>
      </c>
      <c r="N8749" t="s">
        <v>22</v>
      </c>
    </row>
    <row r="8750" spans="1:14">
      <c r="A8750" s="4" t="str">
        <f t="shared" si="775"/>
        <v>EXP00283</v>
      </c>
      <c r="B8750" s="4" t="str">
        <f t="shared" si="776"/>
        <v>27353039</v>
      </c>
      <c r="C8750" s="4" t="str">
        <f t="shared" si="777"/>
        <v>GSE70534</v>
      </c>
      <c r="D8750" s="1" t="s">
        <v>383</v>
      </c>
      <c r="E8750" t="s">
        <v>396</v>
      </c>
      <c r="F8750" s="1">
        <v>1</v>
      </c>
      <c r="G8750" s="1" t="s">
        <v>26</v>
      </c>
      <c r="H8750" s="4" t="str">
        <f>HYPERLINK("https://www.ncbi.nlm.nih.gov/geo/query/acc.cgi?acc=GSM2226581","GSM2226581")</f>
        <v>GSM2226581</v>
      </c>
      <c r="I8750" t="s">
        <v>385</v>
      </c>
      <c r="J8750" t="s">
        <v>386</v>
      </c>
      <c r="K8750" t="s">
        <v>19</v>
      </c>
      <c r="L8750" t="s">
        <v>308</v>
      </c>
      <c r="M8750" t="s">
        <v>24</v>
      </c>
      <c r="N8750" t="s">
        <v>22</v>
      </c>
    </row>
    <row r="8751" spans="1:14">
      <c r="A8751" s="4" t="str">
        <f t="shared" si="775"/>
        <v>EXP00283</v>
      </c>
      <c r="B8751" s="4" t="str">
        <f t="shared" si="776"/>
        <v>27353039</v>
      </c>
      <c r="C8751" s="4" t="str">
        <f t="shared" si="777"/>
        <v>GSE70534</v>
      </c>
      <c r="D8751" s="1" t="s">
        <v>383</v>
      </c>
      <c r="E8751" t="s">
        <v>396</v>
      </c>
      <c r="F8751" s="1">
        <v>1</v>
      </c>
      <c r="G8751" s="1" t="s">
        <v>26</v>
      </c>
      <c r="H8751" s="4" t="str">
        <f>HYPERLINK("https://www.ncbi.nlm.nih.gov/geo/query/acc.cgi?acc=GSM2226582","GSM2226582")</f>
        <v>GSM2226582</v>
      </c>
      <c r="I8751" t="s">
        <v>385</v>
      </c>
      <c r="J8751" t="s">
        <v>386</v>
      </c>
      <c r="K8751" t="s">
        <v>19</v>
      </c>
      <c r="L8751" t="s">
        <v>308</v>
      </c>
      <c r="M8751" t="s">
        <v>24</v>
      </c>
      <c r="N8751" t="s">
        <v>22</v>
      </c>
    </row>
    <row r="8752" spans="1:14">
      <c r="A8752" s="4" t="str">
        <f t="shared" si="775"/>
        <v>EXP00283</v>
      </c>
      <c r="B8752" s="4" t="str">
        <f t="shared" si="776"/>
        <v>27353039</v>
      </c>
      <c r="C8752" s="4" t="str">
        <f t="shared" si="777"/>
        <v>GSE70534</v>
      </c>
      <c r="D8752" s="1" t="s">
        <v>383</v>
      </c>
      <c r="E8752" t="s">
        <v>396</v>
      </c>
      <c r="F8752" s="1">
        <v>1</v>
      </c>
      <c r="G8752" s="1" t="s">
        <v>26</v>
      </c>
      <c r="H8752" s="4" t="str">
        <f>HYPERLINK("https://www.ncbi.nlm.nih.gov/geo/query/acc.cgi?acc=GSM2226583","GSM2226583")</f>
        <v>GSM2226583</v>
      </c>
      <c r="I8752" t="s">
        <v>385</v>
      </c>
      <c r="J8752" t="s">
        <v>386</v>
      </c>
      <c r="K8752" t="s">
        <v>19</v>
      </c>
      <c r="L8752" t="s">
        <v>308</v>
      </c>
      <c r="M8752" t="s">
        <v>24</v>
      </c>
      <c r="N8752" t="s">
        <v>22</v>
      </c>
    </row>
    <row r="8753" spans="1:14">
      <c r="A8753" s="4" t="str">
        <f t="shared" si="775"/>
        <v>EXP00283</v>
      </c>
      <c r="B8753" s="4" t="str">
        <f t="shared" si="776"/>
        <v>27353039</v>
      </c>
      <c r="C8753" s="4" t="str">
        <f t="shared" si="777"/>
        <v>GSE70534</v>
      </c>
      <c r="D8753" s="1" t="s">
        <v>383</v>
      </c>
      <c r="E8753" t="s">
        <v>396</v>
      </c>
      <c r="F8753" s="1">
        <v>1</v>
      </c>
      <c r="G8753" s="1" t="s">
        <v>26</v>
      </c>
      <c r="H8753" s="4" t="str">
        <f>HYPERLINK("https://www.ncbi.nlm.nih.gov/geo/query/acc.cgi?acc=GSM2226584","GSM2226584")</f>
        <v>GSM2226584</v>
      </c>
      <c r="I8753" t="s">
        <v>385</v>
      </c>
      <c r="J8753" t="s">
        <v>386</v>
      </c>
      <c r="K8753" t="s">
        <v>19</v>
      </c>
      <c r="L8753" t="s">
        <v>308</v>
      </c>
      <c r="M8753" t="s">
        <v>24</v>
      </c>
      <c r="N8753" t="s">
        <v>22</v>
      </c>
    </row>
    <row r="8754" spans="1:14">
      <c r="A8754" s="4" t="str">
        <f t="shared" si="775"/>
        <v>EXP00283</v>
      </c>
      <c r="B8754" s="4" t="str">
        <f t="shared" si="776"/>
        <v>27353039</v>
      </c>
      <c r="C8754" s="4" t="str">
        <f t="shared" si="777"/>
        <v>GSE70534</v>
      </c>
      <c r="D8754" s="1" t="s">
        <v>383</v>
      </c>
      <c r="E8754" t="s">
        <v>396</v>
      </c>
      <c r="F8754" s="1">
        <v>1</v>
      </c>
      <c r="G8754" s="1" t="s">
        <v>26</v>
      </c>
      <c r="H8754" s="4" t="str">
        <f>HYPERLINK("https://www.ncbi.nlm.nih.gov/geo/query/acc.cgi?acc=GSM2226585","GSM2226585")</f>
        <v>GSM2226585</v>
      </c>
      <c r="I8754" t="s">
        <v>385</v>
      </c>
      <c r="J8754" t="s">
        <v>386</v>
      </c>
      <c r="K8754" t="s">
        <v>19</v>
      </c>
      <c r="L8754" t="s">
        <v>308</v>
      </c>
      <c r="M8754" t="s">
        <v>24</v>
      </c>
      <c r="N8754" t="s">
        <v>22</v>
      </c>
    </row>
    <row r="8755" spans="1:14">
      <c r="A8755" s="4" t="str">
        <f t="shared" si="775"/>
        <v>EXP00283</v>
      </c>
      <c r="B8755" s="4" t="str">
        <f t="shared" si="776"/>
        <v>27353039</v>
      </c>
      <c r="C8755" s="4" t="str">
        <f t="shared" si="777"/>
        <v>GSE70534</v>
      </c>
      <c r="D8755" s="1" t="s">
        <v>383</v>
      </c>
      <c r="E8755" t="s">
        <v>396</v>
      </c>
      <c r="F8755" s="1">
        <v>1</v>
      </c>
      <c r="G8755" s="1" t="s">
        <v>26</v>
      </c>
      <c r="H8755" s="4" t="str">
        <f>HYPERLINK("https://www.ncbi.nlm.nih.gov/geo/query/acc.cgi?acc=GSM2226586","GSM2226586")</f>
        <v>GSM2226586</v>
      </c>
      <c r="I8755" t="s">
        <v>385</v>
      </c>
      <c r="J8755" t="s">
        <v>386</v>
      </c>
      <c r="K8755" t="s">
        <v>19</v>
      </c>
      <c r="L8755" t="s">
        <v>308</v>
      </c>
      <c r="M8755" t="s">
        <v>24</v>
      </c>
      <c r="N8755" t="s">
        <v>22</v>
      </c>
    </row>
    <row r="8756" spans="1:14">
      <c r="A8756" s="4" t="str">
        <f t="shared" si="775"/>
        <v>EXP00283</v>
      </c>
      <c r="B8756" s="4" t="str">
        <f t="shared" si="776"/>
        <v>27353039</v>
      </c>
      <c r="C8756" s="4" t="str">
        <f t="shared" si="777"/>
        <v>GSE70534</v>
      </c>
      <c r="D8756" s="1" t="s">
        <v>383</v>
      </c>
      <c r="E8756" t="s">
        <v>396</v>
      </c>
      <c r="F8756" s="1">
        <v>1</v>
      </c>
      <c r="G8756" s="1" t="s">
        <v>26</v>
      </c>
      <c r="H8756" s="4" t="str">
        <f>HYPERLINK("https://www.ncbi.nlm.nih.gov/geo/query/acc.cgi?acc=GSM2226587","GSM2226587")</f>
        <v>GSM2226587</v>
      </c>
      <c r="I8756" t="s">
        <v>385</v>
      </c>
      <c r="J8756" t="s">
        <v>386</v>
      </c>
      <c r="K8756" t="s">
        <v>19</v>
      </c>
      <c r="L8756" t="s">
        <v>308</v>
      </c>
      <c r="M8756" t="s">
        <v>24</v>
      </c>
      <c r="N8756" t="s">
        <v>22</v>
      </c>
    </row>
    <row r="8757" spans="1:14">
      <c r="A8757" s="4" t="str">
        <f t="shared" si="775"/>
        <v>EXP00283</v>
      </c>
      <c r="B8757" s="4" t="str">
        <f t="shared" si="776"/>
        <v>27353039</v>
      </c>
      <c r="C8757" s="4" t="str">
        <f t="shared" si="777"/>
        <v>GSE70534</v>
      </c>
      <c r="D8757" s="1" t="s">
        <v>383</v>
      </c>
      <c r="E8757" t="s">
        <v>396</v>
      </c>
      <c r="F8757" s="1">
        <v>1</v>
      </c>
      <c r="G8757" s="1" t="s">
        <v>26</v>
      </c>
      <c r="H8757" s="4" t="str">
        <f>HYPERLINK("https://www.ncbi.nlm.nih.gov/geo/query/acc.cgi?acc=GSM2226588","GSM2226588")</f>
        <v>GSM2226588</v>
      </c>
      <c r="I8757" t="s">
        <v>385</v>
      </c>
      <c r="J8757" t="s">
        <v>386</v>
      </c>
      <c r="K8757" t="s">
        <v>19</v>
      </c>
      <c r="L8757" t="s">
        <v>308</v>
      </c>
      <c r="M8757" t="s">
        <v>24</v>
      </c>
      <c r="N8757" t="s">
        <v>22</v>
      </c>
    </row>
    <row r="8758" spans="1:14">
      <c r="A8758" s="4" t="str">
        <f t="shared" si="775"/>
        <v>EXP00283</v>
      </c>
      <c r="B8758" s="4" t="str">
        <f t="shared" si="776"/>
        <v>27353039</v>
      </c>
      <c r="C8758" s="4" t="str">
        <f t="shared" si="777"/>
        <v>GSE70534</v>
      </c>
      <c r="D8758" s="1" t="s">
        <v>383</v>
      </c>
      <c r="E8758" t="s">
        <v>396</v>
      </c>
      <c r="F8758" s="1">
        <v>1</v>
      </c>
      <c r="G8758" s="1" t="s">
        <v>26</v>
      </c>
      <c r="H8758" s="4" t="str">
        <f>HYPERLINK("https://www.ncbi.nlm.nih.gov/geo/query/acc.cgi?acc=GSM2226589","GSM2226589")</f>
        <v>GSM2226589</v>
      </c>
      <c r="I8758" t="s">
        <v>385</v>
      </c>
      <c r="J8758" t="s">
        <v>386</v>
      </c>
      <c r="K8758" t="s">
        <v>19</v>
      </c>
      <c r="L8758" t="s">
        <v>308</v>
      </c>
      <c r="M8758" t="s">
        <v>24</v>
      </c>
      <c r="N8758" t="s">
        <v>22</v>
      </c>
    </row>
    <row r="8759" spans="1:14">
      <c r="A8759" s="4" t="str">
        <f t="shared" si="775"/>
        <v>EXP00283</v>
      </c>
      <c r="B8759" s="4" t="str">
        <f t="shared" si="776"/>
        <v>27353039</v>
      </c>
      <c r="C8759" s="4" t="str">
        <f t="shared" si="777"/>
        <v>GSE70534</v>
      </c>
      <c r="D8759" s="1" t="s">
        <v>383</v>
      </c>
      <c r="E8759" t="s">
        <v>396</v>
      </c>
      <c r="F8759" s="1">
        <v>1</v>
      </c>
      <c r="G8759" s="1" t="s">
        <v>26</v>
      </c>
      <c r="H8759" s="4" t="str">
        <f>HYPERLINK("https://www.ncbi.nlm.nih.gov/geo/query/acc.cgi?acc=GSM2226590","GSM2226590")</f>
        <v>GSM2226590</v>
      </c>
      <c r="I8759" t="s">
        <v>385</v>
      </c>
      <c r="J8759" t="s">
        <v>386</v>
      </c>
      <c r="K8759" t="s">
        <v>19</v>
      </c>
      <c r="L8759" t="s">
        <v>308</v>
      </c>
      <c r="M8759" t="s">
        <v>24</v>
      </c>
      <c r="N8759" t="s">
        <v>22</v>
      </c>
    </row>
    <row r="8760" spans="1:14">
      <c r="A8760" s="4" t="str">
        <f t="shared" si="775"/>
        <v>EXP00283</v>
      </c>
      <c r="B8760" s="4" t="str">
        <f t="shared" si="776"/>
        <v>27353039</v>
      </c>
      <c r="C8760" s="4" t="str">
        <f t="shared" si="777"/>
        <v>GSE70534</v>
      </c>
      <c r="D8760" s="1" t="s">
        <v>383</v>
      </c>
      <c r="E8760" t="s">
        <v>396</v>
      </c>
      <c r="F8760" s="1">
        <v>1</v>
      </c>
      <c r="G8760" s="1" t="s">
        <v>26</v>
      </c>
      <c r="H8760" s="4" t="str">
        <f>HYPERLINK("https://www.ncbi.nlm.nih.gov/geo/query/acc.cgi?acc=GSM2226591","GSM2226591")</f>
        <v>GSM2226591</v>
      </c>
      <c r="I8760" t="s">
        <v>385</v>
      </c>
      <c r="J8760" t="s">
        <v>386</v>
      </c>
      <c r="K8760" t="s">
        <v>19</v>
      </c>
      <c r="L8760" t="s">
        <v>308</v>
      </c>
      <c r="M8760" t="s">
        <v>24</v>
      </c>
      <c r="N8760" t="s">
        <v>22</v>
      </c>
    </row>
    <row r="8761" spans="1:14">
      <c r="A8761" s="4" t="str">
        <f t="shared" si="775"/>
        <v>EXP00283</v>
      </c>
      <c r="B8761" s="4" t="str">
        <f t="shared" si="776"/>
        <v>27353039</v>
      </c>
      <c r="C8761" s="4" t="str">
        <f t="shared" si="777"/>
        <v>GSE70534</v>
      </c>
      <c r="D8761" s="1" t="s">
        <v>383</v>
      </c>
      <c r="E8761" t="s">
        <v>396</v>
      </c>
      <c r="F8761" s="1">
        <v>1</v>
      </c>
      <c r="G8761" s="1" t="s">
        <v>26</v>
      </c>
      <c r="H8761" s="4" t="str">
        <f>HYPERLINK("https://www.ncbi.nlm.nih.gov/geo/query/acc.cgi?acc=GSM2226592","GSM2226592")</f>
        <v>GSM2226592</v>
      </c>
      <c r="I8761" t="s">
        <v>385</v>
      </c>
      <c r="J8761" t="s">
        <v>386</v>
      </c>
      <c r="K8761" t="s">
        <v>19</v>
      </c>
      <c r="L8761" t="s">
        <v>308</v>
      </c>
      <c r="M8761" t="s">
        <v>24</v>
      </c>
      <c r="N8761" t="s">
        <v>22</v>
      </c>
    </row>
    <row r="8762" spans="1:14">
      <c r="A8762" s="4" t="str">
        <f t="shared" si="775"/>
        <v>EXP00283</v>
      </c>
      <c r="B8762" s="4" t="str">
        <f t="shared" si="776"/>
        <v>27353039</v>
      </c>
      <c r="C8762" s="4" t="str">
        <f t="shared" si="777"/>
        <v>GSE70534</v>
      </c>
      <c r="D8762" s="1" t="s">
        <v>383</v>
      </c>
      <c r="E8762" t="s">
        <v>396</v>
      </c>
      <c r="F8762" s="1">
        <v>1</v>
      </c>
      <c r="G8762" s="1" t="s">
        <v>26</v>
      </c>
      <c r="H8762" s="4" t="str">
        <f>HYPERLINK("https://www.ncbi.nlm.nih.gov/geo/query/acc.cgi?acc=GSM2226593","GSM2226593")</f>
        <v>GSM2226593</v>
      </c>
      <c r="I8762" t="s">
        <v>385</v>
      </c>
      <c r="J8762" t="s">
        <v>386</v>
      </c>
      <c r="K8762" t="s">
        <v>19</v>
      </c>
      <c r="L8762" t="s">
        <v>308</v>
      </c>
      <c r="M8762" t="s">
        <v>44</v>
      </c>
      <c r="N8762" t="s">
        <v>22</v>
      </c>
    </row>
    <row r="8763" spans="1:14">
      <c r="A8763" s="4" t="str">
        <f t="shared" si="775"/>
        <v>EXP00283</v>
      </c>
      <c r="B8763" s="4" t="str">
        <f t="shared" si="776"/>
        <v>27353039</v>
      </c>
      <c r="C8763" s="4" t="str">
        <f t="shared" si="777"/>
        <v>GSE70534</v>
      </c>
      <c r="D8763" s="1" t="s">
        <v>383</v>
      </c>
      <c r="E8763" t="s">
        <v>396</v>
      </c>
      <c r="F8763" s="1">
        <v>1</v>
      </c>
      <c r="G8763" s="1" t="s">
        <v>26</v>
      </c>
      <c r="H8763" s="4" t="str">
        <f>HYPERLINK("https://www.ncbi.nlm.nih.gov/geo/query/acc.cgi?acc=GSM2226594","GSM2226594")</f>
        <v>GSM2226594</v>
      </c>
      <c r="I8763" t="s">
        <v>385</v>
      </c>
      <c r="J8763" t="s">
        <v>386</v>
      </c>
      <c r="K8763" t="s">
        <v>19</v>
      </c>
      <c r="L8763" t="s">
        <v>308</v>
      </c>
      <c r="M8763" t="s">
        <v>44</v>
      </c>
      <c r="N8763" t="s">
        <v>22</v>
      </c>
    </row>
    <row r="8764" spans="1:14">
      <c r="A8764" s="4" t="str">
        <f t="shared" si="775"/>
        <v>EXP00283</v>
      </c>
      <c r="B8764" s="4" t="str">
        <f t="shared" si="776"/>
        <v>27353039</v>
      </c>
      <c r="C8764" s="4" t="str">
        <f t="shared" si="777"/>
        <v>GSE70534</v>
      </c>
      <c r="D8764" s="1" t="s">
        <v>383</v>
      </c>
      <c r="E8764" t="s">
        <v>396</v>
      </c>
      <c r="F8764" s="1">
        <v>1</v>
      </c>
      <c r="G8764" s="1" t="s">
        <v>26</v>
      </c>
      <c r="H8764" s="4" t="str">
        <f>HYPERLINK("https://www.ncbi.nlm.nih.gov/geo/query/acc.cgi?acc=GSM2226595","GSM2226595")</f>
        <v>GSM2226595</v>
      </c>
      <c r="I8764" t="s">
        <v>385</v>
      </c>
      <c r="J8764" t="s">
        <v>386</v>
      </c>
      <c r="K8764" t="s">
        <v>19</v>
      </c>
      <c r="L8764" t="s">
        <v>308</v>
      </c>
      <c r="M8764" t="s">
        <v>44</v>
      </c>
      <c r="N8764" t="s">
        <v>22</v>
      </c>
    </row>
    <row r="8765" spans="1:14">
      <c r="A8765" s="4" t="str">
        <f t="shared" si="775"/>
        <v>EXP00283</v>
      </c>
      <c r="B8765" s="4" t="str">
        <f t="shared" si="776"/>
        <v>27353039</v>
      </c>
      <c r="C8765" s="4" t="str">
        <f t="shared" si="777"/>
        <v>GSE70534</v>
      </c>
      <c r="D8765" s="1" t="s">
        <v>383</v>
      </c>
      <c r="E8765" t="s">
        <v>396</v>
      </c>
      <c r="F8765" s="1">
        <v>1</v>
      </c>
      <c r="G8765" s="1" t="s">
        <v>26</v>
      </c>
      <c r="H8765" s="4" t="str">
        <f>HYPERLINK("https://www.ncbi.nlm.nih.gov/geo/query/acc.cgi?acc=GSM2226596","GSM2226596")</f>
        <v>GSM2226596</v>
      </c>
      <c r="I8765" t="s">
        <v>385</v>
      </c>
      <c r="J8765" t="s">
        <v>386</v>
      </c>
      <c r="K8765" t="s">
        <v>19</v>
      </c>
      <c r="L8765" t="s">
        <v>308</v>
      </c>
      <c r="M8765" t="s">
        <v>44</v>
      </c>
      <c r="N8765" t="s">
        <v>22</v>
      </c>
    </row>
    <row r="8766" spans="1:14">
      <c r="A8766" s="4" t="str">
        <f t="shared" si="775"/>
        <v>EXP00283</v>
      </c>
      <c r="B8766" s="4" t="str">
        <f t="shared" si="776"/>
        <v>27353039</v>
      </c>
      <c r="C8766" s="4" t="str">
        <f t="shared" si="777"/>
        <v>GSE70534</v>
      </c>
      <c r="D8766" s="1" t="s">
        <v>383</v>
      </c>
      <c r="E8766" t="s">
        <v>396</v>
      </c>
      <c r="F8766" s="1">
        <v>1</v>
      </c>
      <c r="G8766" s="1" t="s">
        <v>26</v>
      </c>
      <c r="H8766" s="4" t="str">
        <f>HYPERLINK("https://www.ncbi.nlm.nih.gov/geo/query/acc.cgi?acc=GSM2226597","GSM2226597")</f>
        <v>GSM2226597</v>
      </c>
      <c r="I8766" t="s">
        <v>385</v>
      </c>
      <c r="J8766" t="s">
        <v>386</v>
      </c>
      <c r="K8766" t="s">
        <v>19</v>
      </c>
      <c r="L8766" t="s">
        <v>308</v>
      </c>
      <c r="M8766" t="s">
        <v>44</v>
      </c>
      <c r="N8766" t="s">
        <v>22</v>
      </c>
    </row>
    <row r="8767" spans="1:14">
      <c r="A8767" s="4" t="str">
        <f t="shared" si="775"/>
        <v>EXP00283</v>
      </c>
      <c r="B8767" s="4" t="str">
        <f t="shared" si="776"/>
        <v>27353039</v>
      </c>
      <c r="C8767" s="4" t="str">
        <f t="shared" si="777"/>
        <v>GSE70534</v>
      </c>
      <c r="D8767" s="1" t="s">
        <v>383</v>
      </c>
      <c r="E8767" t="s">
        <v>396</v>
      </c>
      <c r="F8767" s="1">
        <v>1</v>
      </c>
      <c r="G8767" s="1" t="s">
        <v>26</v>
      </c>
      <c r="H8767" s="4" t="str">
        <f>HYPERLINK("https://www.ncbi.nlm.nih.gov/geo/query/acc.cgi?acc=GSM2226598","GSM2226598")</f>
        <v>GSM2226598</v>
      </c>
      <c r="I8767" t="s">
        <v>385</v>
      </c>
      <c r="J8767" t="s">
        <v>386</v>
      </c>
      <c r="K8767" t="s">
        <v>19</v>
      </c>
      <c r="L8767" t="s">
        <v>308</v>
      </c>
      <c r="M8767" t="s">
        <v>44</v>
      </c>
      <c r="N8767" t="s">
        <v>22</v>
      </c>
    </row>
    <row r="8768" spans="1:14">
      <c r="A8768" s="4" t="str">
        <f t="shared" si="775"/>
        <v>EXP00283</v>
      </c>
      <c r="B8768" s="4" t="str">
        <f t="shared" si="776"/>
        <v>27353039</v>
      </c>
      <c r="C8768" s="4" t="str">
        <f t="shared" si="777"/>
        <v>GSE70534</v>
      </c>
      <c r="D8768" s="1" t="s">
        <v>383</v>
      </c>
      <c r="E8768" t="s">
        <v>396</v>
      </c>
      <c r="F8768" s="1">
        <v>1</v>
      </c>
      <c r="G8768" s="1" t="s">
        <v>26</v>
      </c>
      <c r="H8768" s="4" t="str">
        <f>HYPERLINK("https://www.ncbi.nlm.nih.gov/geo/query/acc.cgi?acc=GSM2226599","GSM2226599")</f>
        <v>GSM2226599</v>
      </c>
      <c r="I8768" t="s">
        <v>385</v>
      </c>
      <c r="J8768" t="s">
        <v>386</v>
      </c>
      <c r="K8768" t="s">
        <v>19</v>
      </c>
      <c r="L8768" t="s">
        <v>308</v>
      </c>
      <c r="M8768" t="s">
        <v>44</v>
      </c>
      <c r="N8768" t="s">
        <v>22</v>
      </c>
    </row>
    <row r="8769" spans="1:14">
      <c r="A8769" s="4" t="str">
        <f t="shared" si="775"/>
        <v>EXP00283</v>
      </c>
      <c r="B8769" s="4" t="str">
        <f t="shared" si="776"/>
        <v>27353039</v>
      </c>
      <c r="C8769" s="4" t="str">
        <f t="shared" si="777"/>
        <v>GSE70534</v>
      </c>
      <c r="D8769" s="1" t="s">
        <v>383</v>
      </c>
      <c r="E8769" t="s">
        <v>396</v>
      </c>
      <c r="F8769" s="1">
        <v>1</v>
      </c>
      <c r="G8769" s="1" t="s">
        <v>26</v>
      </c>
      <c r="H8769" s="4" t="str">
        <f>HYPERLINK("https://www.ncbi.nlm.nih.gov/geo/query/acc.cgi?acc=GSM2226600","GSM2226600")</f>
        <v>GSM2226600</v>
      </c>
      <c r="I8769" t="s">
        <v>385</v>
      </c>
      <c r="J8769" t="s">
        <v>386</v>
      </c>
      <c r="K8769" t="s">
        <v>19</v>
      </c>
      <c r="L8769" t="s">
        <v>308</v>
      </c>
      <c r="M8769" t="s">
        <v>44</v>
      </c>
      <c r="N8769" t="s">
        <v>22</v>
      </c>
    </row>
    <row r="8770" spans="1:14">
      <c r="A8770" s="4" t="str">
        <f t="shared" si="775"/>
        <v>EXP00283</v>
      </c>
      <c r="B8770" s="4" t="str">
        <f t="shared" si="776"/>
        <v>27353039</v>
      </c>
      <c r="C8770" s="4" t="str">
        <f t="shared" si="777"/>
        <v>GSE70534</v>
      </c>
      <c r="D8770" s="1" t="s">
        <v>383</v>
      </c>
      <c r="E8770" t="s">
        <v>396</v>
      </c>
      <c r="F8770" s="1">
        <v>1</v>
      </c>
      <c r="G8770" s="1" t="s">
        <v>26</v>
      </c>
      <c r="H8770" s="4" t="str">
        <f>HYPERLINK("https://www.ncbi.nlm.nih.gov/geo/query/acc.cgi?acc=GSM2226601","GSM2226601")</f>
        <v>GSM2226601</v>
      </c>
      <c r="I8770" t="s">
        <v>385</v>
      </c>
      <c r="J8770" t="s">
        <v>386</v>
      </c>
      <c r="K8770" t="s">
        <v>19</v>
      </c>
      <c r="L8770" t="s">
        <v>308</v>
      </c>
      <c r="M8770" t="s">
        <v>44</v>
      </c>
      <c r="N8770" t="s">
        <v>22</v>
      </c>
    </row>
    <row r="8771" spans="1:14">
      <c r="A8771" s="4" t="str">
        <f t="shared" si="775"/>
        <v>EXP00283</v>
      </c>
      <c r="B8771" s="4" t="str">
        <f t="shared" si="776"/>
        <v>27353039</v>
      </c>
      <c r="C8771" s="4" t="str">
        <f t="shared" si="777"/>
        <v>GSE70534</v>
      </c>
      <c r="D8771" s="1" t="s">
        <v>383</v>
      </c>
      <c r="E8771" t="s">
        <v>396</v>
      </c>
      <c r="F8771" s="1">
        <v>1</v>
      </c>
      <c r="G8771" s="1" t="s">
        <v>26</v>
      </c>
      <c r="H8771" s="4" t="str">
        <f>HYPERLINK("https://www.ncbi.nlm.nih.gov/geo/query/acc.cgi?acc=GSM2226602","GSM2226602")</f>
        <v>GSM2226602</v>
      </c>
      <c r="I8771" t="s">
        <v>385</v>
      </c>
      <c r="J8771" t="s">
        <v>386</v>
      </c>
      <c r="K8771" t="s">
        <v>19</v>
      </c>
      <c r="L8771" t="s">
        <v>308</v>
      </c>
      <c r="M8771" t="s">
        <v>44</v>
      </c>
      <c r="N8771" t="s">
        <v>22</v>
      </c>
    </row>
    <row r="8772" spans="1:14">
      <c r="A8772" s="4" t="str">
        <f t="shared" si="775"/>
        <v>EXP00283</v>
      </c>
      <c r="B8772" s="4" t="str">
        <f t="shared" si="776"/>
        <v>27353039</v>
      </c>
      <c r="C8772" s="4" t="str">
        <f t="shared" si="777"/>
        <v>GSE70534</v>
      </c>
      <c r="D8772" s="1" t="s">
        <v>383</v>
      </c>
      <c r="E8772" t="s">
        <v>396</v>
      </c>
      <c r="F8772" s="1">
        <v>1</v>
      </c>
      <c r="G8772" s="1" t="s">
        <v>26</v>
      </c>
      <c r="H8772" s="4" t="str">
        <f>HYPERLINK("https://www.ncbi.nlm.nih.gov/geo/query/acc.cgi?acc=GSM2226603","GSM2226603")</f>
        <v>GSM2226603</v>
      </c>
      <c r="I8772" t="s">
        <v>385</v>
      </c>
      <c r="J8772" t="s">
        <v>386</v>
      </c>
      <c r="K8772" t="s">
        <v>19</v>
      </c>
      <c r="L8772" t="s">
        <v>308</v>
      </c>
      <c r="M8772" t="s">
        <v>44</v>
      </c>
      <c r="N8772" t="s">
        <v>22</v>
      </c>
    </row>
    <row r="8773" spans="1:14">
      <c r="A8773" s="4" t="str">
        <f t="shared" si="775"/>
        <v>EXP00283</v>
      </c>
      <c r="B8773" s="4" t="str">
        <f t="shared" si="776"/>
        <v>27353039</v>
      </c>
      <c r="C8773" s="4" t="str">
        <f t="shared" si="777"/>
        <v>GSE70534</v>
      </c>
      <c r="D8773" s="1" t="s">
        <v>383</v>
      </c>
      <c r="E8773" t="s">
        <v>396</v>
      </c>
      <c r="F8773" s="1">
        <v>1</v>
      </c>
      <c r="G8773" s="1" t="s">
        <v>26</v>
      </c>
      <c r="H8773" s="4" t="str">
        <f>HYPERLINK("https://www.ncbi.nlm.nih.gov/geo/query/acc.cgi?acc=GSM2226604","GSM2226604")</f>
        <v>GSM2226604</v>
      </c>
      <c r="I8773" t="s">
        <v>385</v>
      </c>
      <c r="J8773" t="s">
        <v>386</v>
      </c>
      <c r="K8773" t="s">
        <v>19</v>
      </c>
      <c r="L8773" t="s">
        <v>308</v>
      </c>
      <c r="M8773" t="s">
        <v>44</v>
      </c>
      <c r="N8773" t="s">
        <v>22</v>
      </c>
    </row>
    <row r="8774" spans="1:14">
      <c r="A8774" s="4" t="str">
        <f t="shared" si="775"/>
        <v>EXP00283</v>
      </c>
      <c r="B8774" s="4" t="str">
        <f t="shared" si="776"/>
        <v>27353039</v>
      </c>
      <c r="C8774" s="4" t="str">
        <f t="shared" si="777"/>
        <v>GSE70534</v>
      </c>
      <c r="D8774" s="1" t="s">
        <v>383</v>
      </c>
      <c r="E8774" t="s">
        <v>396</v>
      </c>
      <c r="F8774" s="1">
        <v>1</v>
      </c>
      <c r="G8774" s="1" t="s">
        <v>26</v>
      </c>
      <c r="H8774" s="4" t="str">
        <f>HYPERLINK("https://www.ncbi.nlm.nih.gov/geo/query/acc.cgi?acc=GSM2226605","GSM2226605")</f>
        <v>GSM2226605</v>
      </c>
      <c r="I8774" t="s">
        <v>385</v>
      </c>
      <c r="J8774" t="s">
        <v>386</v>
      </c>
      <c r="K8774" t="s">
        <v>19</v>
      </c>
      <c r="L8774" t="s">
        <v>308</v>
      </c>
      <c r="M8774" t="s">
        <v>44</v>
      </c>
      <c r="N8774" t="s">
        <v>22</v>
      </c>
    </row>
    <row r="8775" spans="1:14">
      <c r="A8775" s="4" t="str">
        <f t="shared" si="775"/>
        <v>EXP00283</v>
      </c>
      <c r="B8775" s="4" t="str">
        <f t="shared" si="776"/>
        <v>27353039</v>
      </c>
      <c r="C8775" s="4" t="str">
        <f t="shared" si="777"/>
        <v>GSE70534</v>
      </c>
      <c r="D8775" s="1" t="s">
        <v>383</v>
      </c>
      <c r="E8775" t="s">
        <v>396</v>
      </c>
      <c r="F8775" s="1">
        <v>2</v>
      </c>
      <c r="G8775" s="1" t="s">
        <v>28</v>
      </c>
      <c r="H8775" s="4" t="str">
        <f>HYPERLINK("https://www.ncbi.nlm.nih.gov/geo/query/acc.cgi?acc=GSM1808456","GSM1808456")</f>
        <v>GSM1808456</v>
      </c>
      <c r="I8775" t="s">
        <v>385</v>
      </c>
      <c r="J8775" t="s">
        <v>386</v>
      </c>
      <c r="K8775" t="s">
        <v>19</v>
      </c>
      <c r="L8775" t="s">
        <v>308</v>
      </c>
      <c r="M8775" t="s">
        <v>24</v>
      </c>
      <c r="N8775" t="s">
        <v>29</v>
      </c>
    </row>
    <row r="8776" spans="1:14">
      <c r="A8776" s="4" t="str">
        <f t="shared" si="775"/>
        <v>EXP00283</v>
      </c>
      <c r="B8776" s="4" t="str">
        <f t="shared" si="776"/>
        <v>27353039</v>
      </c>
      <c r="C8776" s="4" t="str">
        <f t="shared" si="777"/>
        <v>GSE70534</v>
      </c>
      <c r="D8776" s="1" t="s">
        <v>383</v>
      </c>
      <c r="E8776" t="s">
        <v>396</v>
      </c>
      <c r="F8776" s="1">
        <v>2</v>
      </c>
      <c r="G8776" s="1" t="s">
        <v>28</v>
      </c>
      <c r="H8776" s="4" t="str">
        <f>HYPERLINK("https://www.ncbi.nlm.nih.gov/geo/query/acc.cgi?acc=GSM1808460","GSM1808460")</f>
        <v>GSM1808460</v>
      </c>
      <c r="I8776" t="s">
        <v>385</v>
      </c>
      <c r="J8776" t="s">
        <v>386</v>
      </c>
      <c r="K8776" t="s">
        <v>19</v>
      </c>
      <c r="L8776" t="s">
        <v>308</v>
      </c>
      <c r="M8776" t="s">
        <v>169</v>
      </c>
      <c r="N8776" t="s">
        <v>29</v>
      </c>
    </row>
    <row r="8777" spans="1:14">
      <c r="A8777" s="4" t="str">
        <f t="shared" si="775"/>
        <v>EXP00283</v>
      </c>
      <c r="B8777" s="4" t="str">
        <f t="shared" si="776"/>
        <v>27353039</v>
      </c>
      <c r="C8777" s="4" t="str">
        <f t="shared" si="777"/>
        <v>GSE70534</v>
      </c>
      <c r="D8777" s="1" t="s">
        <v>383</v>
      </c>
      <c r="E8777" t="s">
        <v>396</v>
      </c>
      <c r="F8777" s="1">
        <v>2</v>
      </c>
      <c r="G8777" s="1" t="s">
        <v>28</v>
      </c>
      <c r="H8777" s="4" t="str">
        <f>HYPERLINK("https://www.ncbi.nlm.nih.gov/geo/query/acc.cgi?acc=GSM1808468","GSM1808468")</f>
        <v>GSM1808468</v>
      </c>
      <c r="I8777" t="s">
        <v>385</v>
      </c>
      <c r="J8777" t="s">
        <v>386</v>
      </c>
      <c r="K8777" t="s">
        <v>19</v>
      </c>
      <c r="L8777" t="s">
        <v>308</v>
      </c>
      <c r="M8777" t="s">
        <v>24</v>
      </c>
      <c r="N8777" t="s">
        <v>29</v>
      </c>
    </row>
    <row r="8778" spans="1:14">
      <c r="A8778" s="4" t="str">
        <f t="shared" si="775"/>
        <v>EXP00283</v>
      </c>
      <c r="B8778" s="4" t="str">
        <f t="shared" si="776"/>
        <v>27353039</v>
      </c>
      <c r="C8778" s="4" t="str">
        <f t="shared" si="777"/>
        <v>GSE70534</v>
      </c>
      <c r="D8778" s="1" t="s">
        <v>383</v>
      </c>
      <c r="E8778" t="s">
        <v>396</v>
      </c>
      <c r="F8778" s="1">
        <v>2</v>
      </c>
      <c r="G8778" s="1" t="s">
        <v>28</v>
      </c>
      <c r="H8778" s="4" t="str">
        <f>HYPERLINK("https://www.ncbi.nlm.nih.gov/geo/query/acc.cgi?acc=GSM1808472","GSM1808472")</f>
        <v>GSM1808472</v>
      </c>
      <c r="I8778" t="s">
        <v>385</v>
      </c>
      <c r="J8778" t="s">
        <v>386</v>
      </c>
      <c r="K8778" t="s">
        <v>19</v>
      </c>
      <c r="L8778" t="s">
        <v>308</v>
      </c>
      <c r="M8778" t="s">
        <v>24</v>
      </c>
      <c r="N8778" t="s">
        <v>29</v>
      </c>
    </row>
    <row r="8779" spans="1:14">
      <c r="A8779" s="4" t="str">
        <f t="shared" si="775"/>
        <v>EXP00283</v>
      </c>
      <c r="B8779" s="4" t="str">
        <f t="shared" si="776"/>
        <v>27353039</v>
      </c>
      <c r="C8779" s="4" t="str">
        <f t="shared" si="777"/>
        <v>GSE70534</v>
      </c>
      <c r="D8779" s="1" t="s">
        <v>383</v>
      </c>
      <c r="E8779" t="s">
        <v>396</v>
      </c>
      <c r="F8779" s="1">
        <v>2</v>
      </c>
      <c r="G8779" s="1" t="s">
        <v>28</v>
      </c>
      <c r="H8779" s="4" t="str">
        <f>HYPERLINK("https://www.ncbi.nlm.nih.gov/geo/query/acc.cgi?acc=GSM1808476","GSM1808476")</f>
        <v>GSM1808476</v>
      </c>
      <c r="I8779" t="s">
        <v>385</v>
      </c>
      <c r="J8779" t="s">
        <v>386</v>
      </c>
      <c r="K8779" t="s">
        <v>19</v>
      </c>
      <c r="L8779" t="s">
        <v>308</v>
      </c>
      <c r="M8779" t="s">
        <v>24</v>
      </c>
      <c r="N8779" t="s">
        <v>29</v>
      </c>
    </row>
    <row r="8780" spans="1:14">
      <c r="A8780" s="4" t="str">
        <f t="shared" si="775"/>
        <v>EXP00283</v>
      </c>
      <c r="B8780" s="4" t="str">
        <f t="shared" si="776"/>
        <v>27353039</v>
      </c>
      <c r="C8780" s="4" t="str">
        <f t="shared" si="777"/>
        <v>GSE70534</v>
      </c>
      <c r="D8780" s="1" t="s">
        <v>383</v>
      </c>
      <c r="E8780" t="s">
        <v>396</v>
      </c>
      <c r="F8780" s="1">
        <v>2</v>
      </c>
      <c r="G8780" s="1" t="s">
        <v>28</v>
      </c>
      <c r="H8780" s="4" t="str">
        <f>HYPERLINK("https://www.ncbi.nlm.nih.gov/geo/query/acc.cgi?acc=GSM1808480","GSM1808480")</f>
        <v>GSM1808480</v>
      </c>
      <c r="I8780" t="s">
        <v>385</v>
      </c>
      <c r="J8780" t="s">
        <v>386</v>
      </c>
      <c r="K8780" t="s">
        <v>19</v>
      </c>
      <c r="L8780" t="s">
        <v>308</v>
      </c>
      <c r="M8780" t="s">
        <v>24</v>
      </c>
      <c r="N8780" t="s">
        <v>29</v>
      </c>
    </row>
    <row r="8781" spans="1:14">
      <c r="A8781" s="4" t="str">
        <f t="shared" si="775"/>
        <v>EXP00283</v>
      </c>
      <c r="B8781" s="4" t="str">
        <f t="shared" si="776"/>
        <v>27353039</v>
      </c>
      <c r="C8781" s="4" t="str">
        <f t="shared" si="777"/>
        <v>GSE70534</v>
      </c>
      <c r="D8781" s="1" t="s">
        <v>383</v>
      </c>
      <c r="E8781" t="s">
        <v>396</v>
      </c>
      <c r="F8781" s="1">
        <v>2</v>
      </c>
      <c r="G8781" s="1" t="s">
        <v>28</v>
      </c>
      <c r="H8781" s="4" t="str">
        <f>HYPERLINK("https://www.ncbi.nlm.nih.gov/geo/query/acc.cgi?acc=GSM1808484","GSM1808484")</f>
        <v>GSM1808484</v>
      </c>
      <c r="I8781" t="s">
        <v>385</v>
      </c>
      <c r="J8781" t="s">
        <v>386</v>
      </c>
      <c r="K8781" t="s">
        <v>19</v>
      </c>
      <c r="L8781" t="s">
        <v>308</v>
      </c>
      <c r="M8781" t="s">
        <v>169</v>
      </c>
      <c r="N8781" t="s">
        <v>29</v>
      </c>
    </row>
    <row r="8782" spans="1:14">
      <c r="A8782" s="4" t="str">
        <f t="shared" si="775"/>
        <v>EXP00283</v>
      </c>
      <c r="B8782" s="4" t="str">
        <f t="shared" si="776"/>
        <v>27353039</v>
      </c>
      <c r="C8782" s="4" t="str">
        <f t="shared" si="777"/>
        <v>GSE70534</v>
      </c>
      <c r="D8782" s="1" t="s">
        <v>383</v>
      </c>
      <c r="E8782" t="s">
        <v>396</v>
      </c>
      <c r="F8782" s="1">
        <v>2</v>
      </c>
      <c r="G8782" s="1" t="s">
        <v>28</v>
      </c>
      <c r="H8782" s="4" t="str">
        <f>HYPERLINK("https://www.ncbi.nlm.nih.gov/geo/query/acc.cgi?acc=GSM1808490","GSM1808490")</f>
        <v>GSM1808490</v>
      </c>
      <c r="I8782" t="s">
        <v>385</v>
      </c>
      <c r="J8782" t="s">
        <v>386</v>
      </c>
      <c r="K8782" t="s">
        <v>19</v>
      </c>
      <c r="L8782" t="s">
        <v>308</v>
      </c>
      <c r="M8782" t="s">
        <v>24</v>
      </c>
      <c r="N8782" t="s">
        <v>29</v>
      </c>
    </row>
    <row r="8783" spans="1:14">
      <c r="A8783" s="4" t="str">
        <f t="shared" ref="A8783:A8800" si="778">HYPERLINK("http://hcmdb.i-sanger.com/experiment/details/experiment_id/EXP00284","EXP00284")</f>
        <v>EXP00284</v>
      </c>
      <c r="B8783" s="4" t="str">
        <f t="shared" si="776"/>
        <v>27353039</v>
      </c>
      <c r="C8783" s="4" t="str">
        <f t="shared" si="777"/>
        <v>GSE70534</v>
      </c>
      <c r="D8783" s="1" t="s">
        <v>383</v>
      </c>
      <c r="E8783" t="s">
        <v>397</v>
      </c>
      <c r="F8783" s="1">
        <v>1</v>
      </c>
      <c r="G8783" s="1" t="s">
        <v>36</v>
      </c>
      <c r="H8783" s="4" t="str">
        <f>HYPERLINK("https://www.ncbi.nlm.nih.gov/geo/query/acc.cgi?acc=GSM1808457","GSM1808457")</f>
        <v>GSM1808457</v>
      </c>
      <c r="I8783" t="s">
        <v>385</v>
      </c>
      <c r="J8783" t="s">
        <v>386</v>
      </c>
      <c r="K8783" t="s">
        <v>19</v>
      </c>
      <c r="L8783" t="s">
        <v>308</v>
      </c>
      <c r="M8783" t="s">
        <v>24</v>
      </c>
      <c r="N8783" t="s">
        <v>37</v>
      </c>
    </row>
    <row r="8784" spans="1:14">
      <c r="A8784" s="4" t="str">
        <f t="shared" si="778"/>
        <v>EXP00284</v>
      </c>
      <c r="B8784" s="4" t="str">
        <f t="shared" si="776"/>
        <v>27353039</v>
      </c>
      <c r="C8784" s="4" t="str">
        <f t="shared" si="777"/>
        <v>GSE70534</v>
      </c>
      <c r="D8784" s="1" t="s">
        <v>383</v>
      </c>
      <c r="E8784" t="s">
        <v>397</v>
      </c>
      <c r="F8784" s="1">
        <v>1</v>
      </c>
      <c r="G8784" s="1" t="s">
        <v>36</v>
      </c>
      <c r="H8784" s="4" t="str">
        <f>HYPERLINK("https://www.ncbi.nlm.nih.gov/geo/query/acc.cgi?acc=GSM1808461","GSM1808461")</f>
        <v>GSM1808461</v>
      </c>
      <c r="I8784" t="s">
        <v>385</v>
      </c>
      <c r="J8784" t="s">
        <v>386</v>
      </c>
      <c r="K8784" t="s">
        <v>19</v>
      </c>
      <c r="L8784" t="s">
        <v>308</v>
      </c>
      <c r="M8784" t="s">
        <v>169</v>
      </c>
      <c r="N8784" t="s">
        <v>37</v>
      </c>
    </row>
    <row r="8785" spans="1:14">
      <c r="A8785" s="4" t="str">
        <f t="shared" si="778"/>
        <v>EXP00284</v>
      </c>
      <c r="B8785" s="4" t="str">
        <f t="shared" si="776"/>
        <v>27353039</v>
      </c>
      <c r="C8785" s="4" t="str">
        <f t="shared" si="777"/>
        <v>GSE70534</v>
      </c>
      <c r="D8785" s="1" t="s">
        <v>383</v>
      </c>
      <c r="E8785" t="s">
        <v>397</v>
      </c>
      <c r="F8785" s="1">
        <v>1</v>
      </c>
      <c r="G8785" s="1" t="s">
        <v>36</v>
      </c>
      <c r="H8785" s="4" t="str">
        <f>HYPERLINK("https://www.ncbi.nlm.nih.gov/geo/query/acc.cgi?acc=GSM1808469","GSM1808469")</f>
        <v>GSM1808469</v>
      </c>
      <c r="I8785" t="s">
        <v>385</v>
      </c>
      <c r="J8785" t="s">
        <v>386</v>
      </c>
      <c r="K8785" t="s">
        <v>19</v>
      </c>
      <c r="L8785" t="s">
        <v>308</v>
      </c>
      <c r="M8785" t="s">
        <v>24</v>
      </c>
      <c r="N8785" t="s">
        <v>37</v>
      </c>
    </row>
    <row r="8786" spans="1:14">
      <c r="A8786" s="4" t="str">
        <f t="shared" si="778"/>
        <v>EXP00284</v>
      </c>
      <c r="B8786" s="4" t="str">
        <f t="shared" si="776"/>
        <v>27353039</v>
      </c>
      <c r="C8786" s="4" t="str">
        <f t="shared" si="777"/>
        <v>GSE70534</v>
      </c>
      <c r="D8786" s="1" t="s">
        <v>383</v>
      </c>
      <c r="E8786" t="s">
        <v>397</v>
      </c>
      <c r="F8786" s="1">
        <v>1</v>
      </c>
      <c r="G8786" s="1" t="s">
        <v>36</v>
      </c>
      <c r="H8786" s="4" t="str">
        <f>HYPERLINK("https://www.ncbi.nlm.nih.gov/geo/query/acc.cgi?acc=GSM1808473","GSM1808473")</f>
        <v>GSM1808473</v>
      </c>
      <c r="I8786" t="s">
        <v>385</v>
      </c>
      <c r="J8786" t="s">
        <v>386</v>
      </c>
      <c r="K8786" t="s">
        <v>19</v>
      </c>
      <c r="L8786" t="s">
        <v>308</v>
      </c>
      <c r="M8786" t="s">
        <v>24</v>
      </c>
      <c r="N8786" t="s">
        <v>37</v>
      </c>
    </row>
    <row r="8787" spans="1:14">
      <c r="A8787" s="4" t="str">
        <f t="shared" si="778"/>
        <v>EXP00284</v>
      </c>
      <c r="B8787" s="4" t="str">
        <f t="shared" si="776"/>
        <v>27353039</v>
      </c>
      <c r="C8787" s="4" t="str">
        <f t="shared" si="777"/>
        <v>GSE70534</v>
      </c>
      <c r="D8787" s="1" t="s">
        <v>383</v>
      </c>
      <c r="E8787" t="s">
        <v>397</v>
      </c>
      <c r="F8787" s="1">
        <v>1</v>
      </c>
      <c r="G8787" s="1" t="s">
        <v>36</v>
      </c>
      <c r="H8787" s="4" t="str">
        <f>HYPERLINK("https://www.ncbi.nlm.nih.gov/geo/query/acc.cgi?acc=GSM1808477","GSM1808477")</f>
        <v>GSM1808477</v>
      </c>
      <c r="I8787" t="s">
        <v>385</v>
      </c>
      <c r="J8787" t="s">
        <v>386</v>
      </c>
      <c r="K8787" t="s">
        <v>19</v>
      </c>
      <c r="L8787" t="s">
        <v>308</v>
      </c>
      <c r="M8787" t="s">
        <v>24</v>
      </c>
      <c r="N8787" t="s">
        <v>37</v>
      </c>
    </row>
    <row r="8788" spans="1:14">
      <c r="A8788" s="4" t="str">
        <f t="shared" si="778"/>
        <v>EXP00284</v>
      </c>
      <c r="B8788" s="4" t="str">
        <f t="shared" si="776"/>
        <v>27353039</v>
      </c>
      <c r="C8788" s="4" t="str">
        <f t="shared" si="777"/>
        <v>GSE70534</v>
      </c>
      <c r="D8788" s="1" t="s">
        <v>383</v>
      </c>
      <c r="E8788" t="s">
        <v>397</v>
      </c>
      <c r="F8788" s="1">
        <v>1</v>
      </c>
      <c r="G8788" s="1" t="s">
        <v>36</v>
      </c>
      <c r="H8788" s="4" t="str">
        <f>HYPERLINK("https://www.ncbi.nlm.nih.gov/geo/query/acc.cgi?acc=GSM1808481","GSM1808481")</f>
        <v>GSM1808481</v>
      </c>
      <c r="I8788" t="s">
        <v>385</v>
      </c>
      <c r="J8788" t="s">
        <v>386</v>
      </c>
      <c r="K8788" t="s">
        <v>19</v>
      </c>
      <c r="L8788" t="s">
        <v>308</v>
      </c>
      <c r="M8788" t="s">
        <v>24</v>
      </c>
      <c r="N8788" t="s">
        <v>37</v>
      </c>
    </row>
    <row r="8789" spans="1:14">
      <c r="A8789" s="4" t="str">
        <f t="shared" si="778"/>
        <v>EXP00284</v>
      </c>
      <c r="B8789" s="4" t="str">
        <f t="shared" si="776"/>
        <v>27353039</v>
      </c>
      <c r="C8789" s="4" t="str">
        <f t="shared" si="777"/>
        <v>GSE70534</v>
      </c>
      <c r="D8789" s="1" t="s">
        <v>383</v>
      </c>
      <c r="E8789" t="s">
        <v>397</v>
      </c>
      <c r="F8789" s="1">
        <v>1</v>
      </c>
      <c r="G8789" s="1" t="s">
        <v>36</v>
      </c>
      <c r="H8789" s="4" t="str">
        <f>HYPERLINK("https://www.ncbi.nlm.nih.gov/geo/query/acc.cgi?acc=GSM1808485","GSM1808485")</f>
        <v>GSM1808485</v>
      </c>
      <c r="I8789" t="s">
        <v>385</v>
      </c>
      <c r="J8789" t="s">
        <v>386</v>
      </c>
      <c r="K8789" t="s">
        <v>19</v>
      </c>
      <c r="L8789" t="s">
        <v>308</v>
      </c>
      <c r="M8789" t="s">
        <v>169</v>
      </c>
      <c r="N8789" t="s">
        <v>37</v>
      </c>
    </row>
    <row r="8790" spans="1:14">
      <c r="A8790" s="4" t="str">
        <f t="shared" si="778"/>
        <v>EXP00284</v>
      </c>
      <c r="B8790" s="4" t="str">
        <f t="shared" si="776"/>
        <v>27353039</v>
      </c>
      <c r="C8790" s="4" t="str">
        <f t="shared" si="777"/>
        <v>GSE70534</v>
      </c>
      <c r="D8790" s="1" t="s">
        <v>383</v>
      </c>
      <c r="E8790" t="s">
        <v>397</v>
      </c>
      <c r="F8790" s="1">
        <v>1</v>
      </c>
      <c r="G8790" s="1" t="s">
        <v>36</v>
      </c>
      <c r="H8790" s="4" t="str">
        <f>HYPERLINK("https://www.ncbi.nlm.nih.gov/geo/query/acc.cgi?acc=GSM1808489","GSM1808489")</f>
        <v>GSM1808489</v>
      </c>
      <c r="I8790" t="s">
        <v>385</v>
      </c>
      <c r="J8790" t="s">
        <v>386</v>
      </c>
      <c r="K8790" t="s">
        <v>19</v>
      </c>
      <c r="L8790" t="s">
        <v>308</v>
      </c>
      <c r="M8790" t="s">
        <v>44</v>
      </c>
      <c r="N8790" t="s">
        <v>37</v>
      </c>
    </row>
    <row r="8791" spans="1:14">
      <c r="A8791" s="4" t="str">
        <f t="shared" si="778"/>
        <v>EXP00284</v>
      </c>
      <c r="B8791" s="4" t="str">
        <f t="shared" si="776"/>
        <v>27353039</v>
      </c>
      <c r="C8791" s="4" t="str">
        <f t="shared" si="777"/>
        <v>GSE70534</v>
      </c>
      <c r="D8791" s="1" t="s">
        <v>383</v>
      </c>
      <c r="E8791" t="s">
        <v>397</v>
      </c>
      <c r="F8791" s="1">
        <v>1</v>
      </c>
      <c r="G8791" s="1" t="s">
        <v>36</v>
      </c>
      <c r="H8791" s="4" t="str">
        <f>HYPERLINK("https://www.ncbi.nlm.nih.gov/geo/query/acc.cgi?acc=GSM1808491","GSM1808491")</f>
        <v>GSM1808491</v>
      </c>
      <c r="I8791" t="s">
        <v>385</v>
      </c>
      <c r="J8791" t="s">
        <v>386</v>
      </c>
      <c r="K8791" t="s">
        <v>19</v>
      </c>
      <c r="L8791" t="s">
        <v>308</v>
      </c>
      <c r="M8791" t="s">
        <v>24</v>
      </c>
      <c r="N8791" t="s">
        <v>37</v>
      </c>
    </row>
    <row r="8792" spans="1:14">
      <c r="A8792" s="4" t="str">
        <f t="shared" si="778"/>
        <v>EXP00284</v>
      </c>
      <c r="B8792" s="4" t="str">
        <f t="shared" si="776"/>
        <v>27353039</v>
      </c>
      <c r="C8792" s="4" t="str">
        <f t="shared" si="777"/>
        <v>GSE70534</v>
      </c>
      <c r="D8792" s="1" t="s">
        <v>383</v>
      </c>
      <c r="E8792" t="s">
        <v>397</v>
      </c>
      <c r="F8792" s="1">
        <v>1</v>
      </c>
      <c r="G8792" s="1" t="s">
        <v>36</v>
      </c>
      <c r="H8792" s="4" t="str">
        <f>HYPERLINK("https://www.ncbi.nlm.nih.gov/geo/query/acc.cgi?acc=GSM1808496","GSM1808496")</f>
        <v>GSM1808496</v>
      </c>
      <c r="I8792" t="s">
        <v>385</v>
      </c>
      <c r="J8792" t="s">
        <v>386</v>
      </c>
      <c r="K8792" t="s">
        <v>19</v>
      </c>
      <c r="L8792" t="s">
        <v>308</v>
      </c>
      <c r="M8792" t="s">
        <v>24</v>
      </c>
      <c r="N8792" t="s">
        <v>37</v>
      </c>
    </row>
    <row r="8793" spans="1:14">
      <c r="A8793" s="4" t="str">
        <f t="shared" si="778"/>
        <v>EXP00284</v>
      </c>
      <c r="B8793" s="4" t="str">
        <f t="shared" si="776"/>
        <v>27353039</v>
      </c>
      <c r="C8793" s="4" t="str">
        <f t="shared" si="777"/>
        <v>GSE70534</v>
      </c>
      <c r="D8793" s="1" t="s">
        <v>383</v>
      </c>
      <c r="E8793" t="s">
        <v>397</v>
      </c>
      <c r="F8793" s="1">
        <v>2</v>
      </c>
      <c r="G8793" s="1" t="s">
        <v>28</v>
      </c>
      <c r="H8793" s="4" t="str">
        <f>HYPERLINK("https://www.ncbi.nlm.nih.gov/geo/query/acc.cgi?acc=GSM1808456","GSM1808456")</f>
        <v>GSM1808456</v>
      </c>
      <c r="I8793" t="s">
        <v>385</v>
      </c>
      <c r="J8793" t="s">
        <v>386</v>
      </c>
      <c r="K8793" t="s">
        <v>19</v>
      </c>
      <c r="L8793" t="s">
        <v>308</v>
      </c>
      <c r="M8793" t="s">
        <v>24</v>
      </c>
      <c r="N8793" t="s">
        <v>29</v>
      </c>
    </row>
    <row r="8794" spans="1:14">
      <c r="A8794" s="4" t="str">
        <f t="shared" si="778"/>
        <v>EXP00284</v>
      </c>
      <c r="B8794" s="4" t="str">
        <f t="shared" si="776"/>
        <v>27353039</v>
      </c>
      <c r="C8794" s="4" t="str">
        <f t="shared" si="777"/>
        <v>GSE70534</v>
      </c>
      <c r="D8794" s="1" t="s">
        <v>383</v>
      </c>
      <c r="E8794" t="s">
        <v>397</v>
      </c>
      <c r="F8794" s="1">
        <v>2</v>
      </c>
      <c r="G8794" s="1" t="s">
        <v>28</v>
      </c>
      <c r="H8794" s="4" t="str">
        <f>HYPERLINK("https://www.ncbi.nlm.nih.gov/geo/query/acc.cgi?acc=GSM1808460","GSM1808460")</f>
        <v>GSM1808460</v>
      </c>
      <c r="I8794" t="s">
        <v>385</v>
      </c>
      <c r="J8794" t="s">
        <v>386</v>
      </c>
      <c r="K8794" t="s">
        <v>19</v>
      </c>
      <c r="L8794" t="s">
        <v>308</v>
      </c>
      <c r="M8794" t="s">
        <v>169</v>
      </c>
      <c r="N8794" t="s">
        <v>29</v>
      </c>
    </row>
    <row r="8795" spans="1:14">
      <c r="A8795" s="4" t="str">
        <f t="shared" si="778"/>
        <v>EXP00284</v>
      </c>
      <c r="B8795" s="4" t="str">
        <f t="shared" si="776"/>
        <v>27353039</v>
      </c>
      <c r="C8795" s="4" t="str">
        <f t="shared" si="777"/>
        <v>GSE70534</v>
      </c>
      <c r="D8795" s="1" t="s">
        <v>383</v>
      </c>
      <c r="E8795" t="s">
        <v>397</v>
      </c>
      <c r="F8795" s="1">
        <v>2</v>
      </c>
      <c r="G8795" s="1" t="s">
        <v>28</v>
      </c>
      <c r="H8795" s="4" t="str">
        <f>HYPERLINK("https://www.ncbi.nlm.nih.gov/geo/query/acc.cgi?acc=GSM1808468","GSM1808468")</f>
        <v>GSM1808468</v>
      </c>
      <c r="I8795" t="s">
        <v>385</v>
      </c>
      <c r="J8795" t="s">
        <v>386</v>
      </c>
      <c r="K8795" t="s">
        <v>19</v>
      </c>
      <c r="L8795" t="s">
        <v>308</v>
      </c>
      <c r="M8795" t="s">
        <v>24</v>
      </c>
      <c r="N8795" t="s">
        <v>29</v>
      </c>
    </row>
    <row r="8796" spans="1:14">
      <c r="A8796" s="4" t="str">
        <f t="shared" si="778"/>
        <v>EXP00284</v>
      </c>
      <c r="B8796" s="4" t="str">
        <f t="shared" si="776"/>
        <v>27353039</v>
      </c>
      <c r="C8796" s="4" t="str">
        <f t="shared" si="777"/>
        <v>GSE70534</v>
      </c>
      <c r="D8796" s="1" t="s">
        <v>383</v>
      </c>
      <c r="E8796" t="s">
        <v>397</v>
      </c>
      <c r="F8796" s="1">
        <v>2</v>
      </c>
      <c r="G8796" s="1" t="s">
        <v>28</v>
      </c>
      <c r="H8796" s="4" t="str">
        <f>HYPERLINK("https://www.ncbi.nlm.nih.gov/geo/query/acc.cgi?acc=GSM1808472","GSM1808472")</f>
        <v>GSM1808472</v>
      </c>
      <c r="I8796" t="s">
        <v>385</v>
      </c>
      <c r="J8796" t="s">
        <v>386</v>
      </c>
      <c r="K8796" t="s">
        <v>19</v>
      </c>
      <c r="L8796" t="s">
        <v>308</v>
      </c>
      <c r="M8796" t="s">
        <v>24</v>
      </c>
      <c r="N8796" t="s">
        <v>29</v>
      </c>
    </row>
    <row r="8797" spans="1:14">
      <c r="A8797" s="4" t="str">
        <f t="shared" si="778"/>
        <v>EXP00284</v>
      </c>
      <c r="B8797" s="4" t="str">
        <f t="shared" si="776"/>
        <v>27353039</v>
      </c>
      <c r="C8797" s="4" t="str">
        <f t="shared" si="777"/>
        <v>GSE70534</v>
      </c>
      <c r="D8797" s="1" t="s">
        <v>383</v>
      </c>
      <c r="E8797" t="s">
        <v>397</v>
      </c>
      <c r="F8797" s="1">
        <v>2</v>
      </c>
      <c r="G8797" s="1" t="s">
        <v>28</v>
      </c>
      <c r="H8797" s="4" t="str">
        <f>HYPERLINK("https://www.ncbi.nlm.nih.gov/geo/query/acc.cgi?acc=GSM1808476","GSM1808476")</f>
        <v>GSM1808476</v>
      </c>
      <c r="I8797" t="s">
        <v>385</v>
      </c>
      <c r="J8797" t="s">
        <v>386</v>
      </c>
      <c r="K8797" t="s">
        <v>19</v>
      </c>
      <c r="L8797" t="s">
        <v>308</v>
      </c>
      <c r="M8797" t="s">
        <v>24</v>
      </c>
      <c r="N8797" t="s">
        <v>29</v>
      </c>
    </row>
    <row r="8798" spans="1:14">
      <c r="A8798" s="4" t="str">
        <f t="shared" si="778"/>
        <v>EXP00284</v>
      </c>
      <c r="B8798" s="4" t="str">
        <f t="shared" si="776"/>
        <v>27353039</v>
      </c>
      <c r="C8798" s="4" t="str">
        <f t="shared" si="777"/>
        <v>GSE70534</v>
      </c>
      <c r="D8798" s="1" t="s">
        <v>383</v>
      </c>
      <c r="E8798" t="s">
        <v>397</v>
      </c>
      <c r="F8798" s="1">
        <v>2</v>
      </c>
      <c r="G8798" s="1" t="s">
        <v>28</v>
      </c>
      <c r="H8798" s="4" t="str">
        <f>HYPERLINK("https://www.ncbi.nlm.nih.gov/geo/query/acc.cgi?acc=GSM1808480","GSM1808480")</f>
        <v>GSM1808480</v>
      </c>
      <c r="I8798" t="s">
        <v>385</v>
      </c>
      <c r="J8798" t="s">
        <v>386</v>
      </c>
      <c r="K8798" t="s">
        <v>19</v>
      </c>
      <c r="L8798" t="s">
        <v>308</v>
      </c>
      <c r="M8798" t="s">
        <v>24</v>
      </c>
      <c r="N8798" t="s">
        <v>29</v>
      </c>
    </row>
    <row r="8799" spans="1:14">
      <c r="A8799" s="4" t="str">
        <f t="shared" si="778"/>
        <v>EXP00284</v>
      </c>
      <c r="B8799" s="4" t="str">
        <f t="shared" si="776"/>
        <v>27353039</v>
      </c>
      <c r="C8799" s="4" t="str">
        <f t="shared" si="777"/>
        <v>GSE70534</v>
      </c>
      <c r="D8799" s="1" t="s">
        <v>383</v>
      </c>
      <c r="E8799" t="s">
        <v>397</v>
      </c>
      <c r="F8799" s="1">
        <v>2</v>
      </c>
      <c r="G8799" s="1" t="s">
        <v>28</v>
      </c>
      <c r="H8799" s="4" t="str">
        <f>HYPERLINK("https://www.ncbi.nlm.nih.gov/geo/query/acc.cgi?acc=GSM1808484","GSM1808484")</f>
        <v>GSM1808484</v>
      </c>
      <c r="I8799" t="s">
        <v>385</v>
      </c>
      <c r="J8799" t="s">
        <v>386</v>
      </c>
      <c r="K8799" t="s">
        <v>19</v>
      </c>
      <c r="L8799" t="s">
        <v>308</v>
      </c>
      <c r="M8799" t="s">
        <v>169</v>
      </c>
      <c r="N8799" t="s">
        <v>29</v>
      </c>
    </row>
    <row r="8800" spans="1:14">
      <c r="A8800" s="4" t="str">
        <f t="shared" si="778"/>
        <v>EXP00284</v>
      </c>
      <c r="B8800" s="4" t="str">
        <f t="shared" si="776"/>
        <v>27353039</v>
      </c>
      <c r="C8800" s="4" t="str">
        <f t="shared" si="777"/>
        <v>GSE70534</v>
      </c>
      <c r="D8800" s="1" t="s">
        <v>383</v>
      </c>
      <c r="E8800" t="s">
        <v>397</v>
      </c>
      <c r="F8800" s="1">
        <v>2</v>
      </c>
      <c r="G8800" s="1" t="s">
        <v>28</v>
      </c>
      <c r="H8800" s="4" t="str">
        <f>HYPERLINK("https://www.ncbi.nlm.nih.gov/geo/query/acc.cgi?acc=GSM1808490","GSM1808490")</f>
        <v>GSM1808490</v>
      </c>
      <c r="I8800" t="s">
        <v>385</v>
      </c>
      <c r="J8800" t="s">
        <v>386</v>
      </c>
      <c r="K8800" t="s">
        <v>19</v>
      </c>
      <c r="L8800" t="s">
        <v>308</v>
      </c>
      <c r="M8800" t="s">
        <v>24</v>
      </c>
      <c r="N8800" t="s">
        <v>29</v>
      </c>
    </row>
    <row r="8801" spans="1:14">
      <c r="A8801" s="4" t="str">
        <f t="shared" ref="A8801:A8847" si="779">HYPERLINK("http://hcmdb.i-sanger.com/experiment/details/experiment_id/EXP00285","EXP00285")</f>
        <v>EXP00285</v>
      </c>
      <c r="B8801" s="4" t="str">
        <f t="shared" si="776"/>
        <v>27353039</v>
      </c>
      <c r="C8801" s="4" t="str">
        <f t="shared" si="777"/>
        <v>GSE70534</v>
      </c>
      <c r="D8801" s="1" t="s">
        <v>383</v>
      </c>
      <c r="E8801" t="s">
        <v>398</v>
      </c>
      <c r="F8801" s="1">
        <v>1</v>
      </c>
      <c r="G8801" s="1" t="s">
        <v>75</v>
      </c>
      <c r="H8801" s="4" t="str">
        <f>HYPERLINK("https://www.ncbi.nlm.nih.gov/geo/query/acc.cgi?acc=GSM1808459","GSM1808459")</f>
        <v>GSM1808459</v>
      </c>
      <c r="I8801" t="s">
        <v>385</v>
      </c>
      <c r="J8801" t="s">
        <v>386</v>
      </c>
      <c r="K8801" t="s">
        <v>19</v>
      </c>
      <c r="L8801" t="s">
        <v>308</v>
      </c>
      <c r="M8801" t="s">
        <v>24</v>
      </c>
      <c r="N8801" t="s">
        <v>76</v>
      </c>
    </row>
    <row r="8802" spans="1:14">
      <c r="A8802" s="4" t="str">
        <f t="shared" si="779"/>
        <v>EXP00285</v>
      </c>
      <c r="B8802" s="4" t="str">
        <f t="shared" si="776"/>
        <v>27353039</v>
      </c>
      <c r="C8802" s="4" t="str">
        <f t="shared" si="777"/>
        <v>GSE70534</v>
      </c>
      <c r="D8802" s="1" t="s">
        <v>383</v>
      </c>
      <c r="E8802" t="s">
        <v>398</v>
      </c>
      <c r="F8802" s="1">
        <v>1</v>
      </c>
      <c r="G8802" s="1" t="s">
        <v>75</v>
      </c>
      <c r="H8802" s="4" t="str">
        <f>HYPERLINK("https://www.ncbi.nlm.nih.gov/geo/query/acc.cgi?acc=GSM1808463","GSM1808463")</f>
        <v>GSM1808463</v>
      </c>
      <c r="I8802" t="s">
        <v>385</v>
      </c>
      <c r="J8802" t="s">
        <v>386</v>
      </c>
      <c r="K8802" t="s">
        <v>19</v>
      </c>
      <c r="L8802" t="s">
        <v>308</v>
      </c>
      <c r="M8802" t="s">
        <v>24</v>
      </c>
      <c r="N8802" t="s">
        <v>76</v>
      </c>
    </row>
    <row r="8803" spans="1:14">
      <c r="A8803" s="4" t="str">
        <f t="shared" si="779"/>
        <v>EXP00285</v>
      </c>
      <c r="B8803" s="4" t="str">
        <f t="shared" ref="B8803:B8866" si="780">HYPERLINK("https://www.ncbi.nlm.nih.gov/pubmed/27353039","27353039")</f>
        <v>27353039</v>
      </c>
      <c r="C8803" s="4" t="str">
        <f t="shared" ref="C8803:C8866" si="781">HYPERLINK("https://www.ncbi.nlm.nih.gov/geo/query/acc.cgi?acc=GSE70534","GSE70534")</f>
        <v>GSE70534</v>
      </c>
      <c r="D8803" s="1" t="s">
        <v>383</v>
      </c>
      <c r="E8803" t="s">
        <v>398</v>
      </c>
      <c r="F8803" s="1">
        <v>1</v>
      </c>
      <c r="G8803" s="1" t="s">
        <v>75</v>
      </c>
      <c r="H8803" s="4" t="str">
        <f>HYPERLINK("https://www.ncbi.nlm.nih.gov/geo/query/acc.cgi?acc=GSM1808465","GSM1808465")</f>
        <v>GSM1808465</v>
      </c>
      <c r="I8803" t="s">
        <v>385</v>
      </c>
      <c r="J8803" t="s">
        <v>386</v>
      </c>
      <c r="K8803" t="s">
        <v>19</v>
      </c>
      <c r="L8803" t="s">
        <v>308</v>
      </c>
      <c r="M8803" t="s">
        <v>44</v>
      </c>
      <c r="N8803" t="s">
        <v>76</v>
      </c>
    </row>
    <row r="8804" spans="1:14">
      <c r="A8804" s="4" t="str">
        <f t="shared" si="779"/>
        <v>EXP00285</v>
      </c>
      <c r="B8804" s="4" t="str">
        <f t="shared" si="780"/>
        <v>27353039</v>
      </c>
      <c r="C8804" s="4" t="str">
        <f t="shared" si="781"/>
        <v>GSE70534</v>
      </c>
      <c r="D8804" s="1" t="s">
        <v>383</v>
      </c>
      <c r="E8804" t="s">
        <v>398</v>
      </c>
      <c r="F8804" s="1">
        <v>1</v>
      </c>
      <c r="G8804" s="1" t="s">
        <v>75</v>
      </c>
      <c r="H8804" s="4" t="str">
        <f>HYPERLINK("https://www.ncbi.nlm.nih.gov/geo/query/acc.cgi?acc=GSM1808471","GSM1808471")</f>
        <v>GSM1808471</v>
      </c>
      <c r="I8804" t="s">
        <v>385</v>
      </c>
      <c r="J8804" t="s">
        <v>386</v>
      </c>
      <c r="K8804" t="s">
        <v>19</v>
      </c>
      <c r="L8804" t="s">
        <v>308</v>
      </c>
      <c r="M8804" t="s">
        <v>24</v>
      </c>
      <c r="N8804" t="s">
        <v>76</v>
      </c>
    </row>
    <row r="8805" spans="1:14">
      <c r="A8805" s="4" t="str">
        <f t="shared" si="779"/>
        <v>EXP00285</v>
      </c>
      <c r="B8805" s="4" t="str">
        <f t="shared" si="780"/>
        <v>27353039</v>
      </c>
      <c r="C8805" s="4" t="str">
        <f t="shared" si="781"/>
        <v>GSE70534</v>
      </c>
      <c r="D8805" s="1" t="s">
        <v>383</v>
      </c>
      <c r="E8805" t="s">
        <v>398</v>
      </c>
      <c r="F8805" s="1">
        <v>1</v>
      </c>
      <c r="G8805" s="1" t="s">
        <v>75</v>
      </c>
      <c r="H8805" s="4" t="str">
        <f>HYPERLINK("https://www.ncbi.nlm.nih.gov/geo/query/acc.cgi?acc=GSM1808479","GSM1808479")</f>
        <v>GSM1808479</v>
      </c>
      <c r="I8805" t="s">
        <v>385</v>
      </c>
      <c r="J8805" t="s">
        <v>386</v>
      </c>
      <c r="K8805" t="s">
        <v>19</v>
      </c>
      <c r="L8805" t="s">
        <v>308</v>
      </c>
      <c r="M8805" t="s">
        <v>24</v>
      </c>
      <c r="N8805" t="s">
        <v>76</v>
      </c>
    </row>
    <row r="8806" spans="1:14">
      <c r="A8806" s="4" t="str">
        <f t="shared" si="779"/>
        <v>EXP00285</v>
      </c>
      <c r="B8806" s="4" t="str">
        <f t="shared" si="780"/>
        <v>27353039</v>
      </c>
      <c r="C8806" s="4" t="str">
        <f t="shared" si="781"/>
        <v>GSE70534</v>
      </c>
      <c r="D8806" s="1" t="s">
        <v>383</v>
      </c>
      <c r="E8806" t="s">
        <v>398</v>
      </c>
      <c r="F8806" s="1">
        <v>1</v>
      </c>
      <c r="G8806" s="1" t="s">
        <v>75</v>
      </c>
      <c r="H8806" s="4" t="str">
        <f>HYPERLINK("https://www.ncbi.nlm.nih.gov/geo/query/acc.cgi?acc=GSM1808483","GSM1808483")</f>
        <v>GSM1808483</v>
      </c>
      <c r="I8806" t="s">
        <v>385</v>
      </c>
      <c r="J8806" t="s">
        <v>386</v>
      </c>
      <c r="K8806" t="s">
        <v>19</v>
      </c>
      <c r="L8806" t="s">
        <v>308</v>
      </c>
      <c r="M8806" t="s">
        <v>24</v>
      </c>
      <c r="N8806" t="s">
        <v>76</v>
      </c>
    </row>
    <row r="8807" spans="1:14">
      <c r="A8807" s="4" t="str">
        <f t="shared" si="779"/>
        <v>EXP00285</v>
      </c>
      <c r="B8807" s="4" t="str">
        <f t="shared" si="780"/>
        <v>27353039</v>
      </c>
      <c r="C8807" s="4" t="str">
        <f t="shared" si="781"/>
        <v>GSE70534</v>
      </c>
      <c r="D8807" s="1" t="s">
        <v>383</v>
      </c>
      <c r="E8807" t="s">
        <v>398</v>
      </c>
      <c r="F8807" s="1">
        <v>1</v>
      </c>
      <c r="G8807" s="1" t="s">
        <v>75</v>
      </c>
      <c r="H8807" s="4" t="str">
        <f>HYPERLINK("https://www.ncbi.nlm.nih.gov/geo/query/acc.cgi?acc=GSM1808487","GSM1808487")</f>
        <v>GSM1808487</v>
      </c>
      <c r="I8807" t="s">
        <v>385</v>
      </c>
      <c r="J8807" t="s">
        <v>386</v>
      </c>
      <c r="K8807" t="s">
        <v>19</v>
      </c>
      <c r="L8807" t="s">
        <v>308</v>
      </c>
      <c r="M8807" t="s">
        <v>24</v>
      </c>
      <c r="N8807" t="s">
        <v>76</v>
      </c>
    </row>
    <row r="8808" spans="1:14">
      <c r="A8808" s="4" t="str">
        <f t="shared" si="779"/>
        <v>EXP00285</v>
      </c>
      <c r="B8808" s="4" t="str">
        <f t="shared" si="780"/>
        <v>27353039</v>
      </c>
      <c r="C8808" s="4" t="str">
        <f t="shared" si="781"/>
        <v>GSE70534</v>
      </c>
      <c r="D8808" s="1" t="s">
        <v>383</v>
      </c>
      <c r="E8808" t="s">
        <v>398</v>
      </c>
      <c r="F8808" s="1">
        <v>1</v>
      </c>
      <c r="G8808" s="1" t="s">
        <v>75</v>
      </c>
      <c r="H8808" s="4" t="str">
        <f>HYPERLINK("https://www.ncbi.nlm.nih.gov/geo/query/acc.cgi?acc=GSM1808498","GSM1808498")</f>
        <v>GSM1808498</v>
      </c>
      <c r="I8808" t="s">
        <v>385</v>
      </c>
      <c r="J8808" t="s">
        <v>386</v>
      </c>
      <c r="K8808" t="s">
        <v>19</v>
      </c>
      <c r="L8808" t="s">
        <v>308</v>
      </c>
      <c r="M8808" t="s">
        <v>24</v>
      </c>
      <c r="N8808" t="s">
        <v>76</v>
      </c>
    </row>
    <row r="8809" spans="1:14">
      <c r="A8809" s="4" t="str">
        <f t="shared" si="779"/>
        <v>EXP00285</v>
      </c>
      <c r="B8809" s="4" t="str">
        <f t="shared" si="780"/>
        <v>27353039</v>
      </c>
      <c r="C8809" s="4" t="str">
        <f t="shared" si="781"/>
        <v>GSE70534</v>
      </c>
      <c r="D8809" s="1" t="s">
        <v>383</v>
      </c>
      <c r="E8809" t="s">
        <v>398</v>
      </c>
      <c r="F8809" s="1">
        <v>2</v>
      </c>
      <c r="G8809" s="1" t="s">
        <v>26</v>
      </c>
      <c r="H8809" s="4" t="str">
        <f>HYPERLINK("https://www.ncbi.nlm.nih.gov/geo/query/acc.cgi?acc=GSM1808458","GSM1808458")</f>
        <v>GSM1808458</v>
      </c>
      <c r="I8809" t="s">
        <v>385</v>
      </c>
      <c r="J8809" t="s">
        <v>386</v>
      </c>
      <c r="K8809" t="s">
        <v>19</v>
      </c>
      <c r="L8809" t="s">
        <v>308</v>
      </c>
      <c r="M8809" t="s">
        <v>24</v>
      </c>
      <c r="N8809" t="s">
        <v>22</v>
      </c>
    </row>
    <row r="8810" spans="1:14">
      <c r="A8810" s="4" t="str">
        <f t="shared" si="779"/>
        <v>EXP00285</v>
      </c>
      <c r="B8810" s="4" t="str">
        <f t="shared" si="780"/>
        <v>27353039</v>
      </c>
      <c r="C8810" s="4" t="str">
        <f t="shared" si="781"/>
        <v>GSE70534</v>
      </c>
      <c r="D8810" s="1" t="s">
        <v>383</v>
      </c>
      <c r="E8810" t="s">
        <v>398</v>
      </c>
      <c r="F8810" s="1">
        <v>2</v>
      </c>
      <c r="G8810" s="1" t="s">
        <v>26</v>
      </c>
      <c r="H8810" s="4" t="str">
        <f>HYPERLINK("https://www.ncbi.nlm.nih.gov/geo/query/acc.cgi?acc=GSM1808462","GSM1808462")</f>
        <v>GSM1808462</v>
      </c>
      <c r="I8810" t="s">
        <v>385</v>
      </c>
      <c r="J8810" t="s">
        <v>386</v>
      </c>
      <c r="K8810" t="s">
        <v>19</v>
      </c>
      <c r="L8810" t="s">
        <v>308</v>
      </c>
      <c r="M8810" t="s">
        <v>24</v>
      </c>
      <c r="N8810" t="s">
        <v>22</v>
      </c>
    </row>
    <row r="8811" spans="1:14">
      <c r="A8811" s="4" t="str">
        <f t="shared" si="779"/>
        <v>EXP00285</v>
      </c>
      <c r="B8811" s="4" t="str">
        <f t="shared" si="780"/>
        <v>27353039</v>
      </c>
      <c r="C8811" s="4" t="str">
        <f t="shared" si="781"/>
        <v>GSE70534</v>
      </c>
      <c r="D8811" s="1" t="s">
        <v>383</v>
      </c>
      <c r="E8811" t="s">
        <v>398</v>
      </c>
      <c r="F8811" s="1">
        <v>2</v>
      </c>
      <c r="G8811" s="1" t="s">
        <v>26</v>
      </c>
      <c r="H8811" s="4" t="str">
        <f>HYPERLINK("https://www.ncbi.nlm.nih.gov/geo/query/acc.cgi?acc=GSM1808464","GSM1808464")</f>
        <v>GSM1808464</v>
      </c>
      <c r="I8811" t="s">
        <v>385</v>
      </c>
      <c r="J8811" t="s">
        <v>386</v>
      </c>
      <c r="K8811" t="s">
        <v>19</v>
      </c>
      <c r="L8811" t="s">
        <v>308</v>
      </c>
      <c r="M8811" t="s">
        <v>44</v>
      </c>
      <c r="N8811" t="s">
        <v>22</v>
      </c>
    </row>
    <row r="8812" spans="1:14">
      <c r="A8812" s="4" t="str">
        <f t="shared" si="779"/>
        <v>EXP00285</v>
      </c>
      <c r="B8812" s="4" t="str">
        <f t="shared" si="780"/>
        <v>27353039</v>
      </c>
      <c r="C8812" s="4" t="str">
        <f t="shared" si="781"/>
        <v>GSE70534</v>
      </c>
      <c r="D8812" s="1" t="s">
        <v>383</v>
      </c>
      <c r="E8812" t="s">
        <v>398</v>
      </c>
      <c r="F8812" s="1">
        <v>2</v>
      </c>
      <c r="G8812" s="1" t="s">
        <v>26</v>
      </c>
      <c r="H8812" s="4" t="str">
        <f>HYPERLINK("https://www.ncbi.nlm.nih.gov/geo/query/acc.cgi?acc=GSM1808470","GSM1808470")</f>
        <v>GSM1808470</v>
      </c>
      <c r="I8812" t="s">
        <v>385</v>
      </c>
      <c r="J8812" t="s">
        <v>386</v>
      </c>
      <c r="K8812" t="s">
        <v>19</v>
      </c>
      <c r="L8812" t="s">
        <v>308</v>
      </c>
      <c r="M8812" t="s">
        <v>24</v>
      </c>
      <c r="N8812" t="s">
        <v>22</v>
      </c>
    </row>
    <row r="8813" spans="1:14">
      <c r="A8813" s="4" t="str">
        <f t="shared" si="779"/>
        <v>EXP00285</v>
      </c>
      <c r="B8813" s="4" t="str">
        <f t="shared" si="780"/>
        <v>27353039</v>
      </c>
      <c r="C8813" s="4" t="str">
        <f t="shared" si="781"/>
        <v>GSE70534</v>
      </c>
      <c r="D8813" s="1" t="s">
        <v>383</v>
      </c>
      <c r="E8813" t="s">
        <v>398</v>
      </c>
      <c r="F8813" s="1">
        <v>2</v>
      </c>
      <c r="G8813" s="1" t="s">
        <v>26</v>
      </c>
      <c r="H8813" s="4" t="str">
        <f>HYPERLINK("https://www.ncbi.nlm.nih.gov/geo/query/acc.cgi?acc=GSM1808474","GSM1808474")</f>
        <v>GSM1808474</v>
      </c>
      <c r="I8813" t="s">
        <v>385</v>
      </c>
      <c r="J8813" t="s">
        <v>386</v>
      </c>
      <c r="K8813" t="s">
        <v>19</v>
      </c>
      <c r="L8813" t="s">
        <v>308</v>
      </c>
      <c r="M8813" t="s">
        <v>24</v>
      </c>
      <c r="N8813" t="s">
        <v>22</v>
      </c>
    </row>
    <row r="8814" spans="1:14">
      <c r="A8814" s="4" t="str">
        <f t="shared" si="779"/>
        <v>EXP00285</v>
      </c>
      <c r="B8814" s="4" t="str">
        <f t="shared" si="780"/>
        <v>27353039</v>
      </c>
      <c r="C8814" s="4" t="str">
        <f t="shared" si="781"/>
        <v>GSE70534</v>
      </c>
      <c r="D8814" s="1" t="s">
        <v>383</v>
      </c>
      <c r="E8814" t="s">
        <v>398</v>
      </c>
      <c r="F8814" s="1">
        <v>2</v>
      </c>
      <c r="G8814" s="1" t="s">
        <v>26</v>
      </c>
      <c r="H8814" s="4" t="str">
        <f>HYPERLINK("https://www.ncbi.nlm.nih.gov/geo/query/acc.cgi?acc=GSM1808478","GSM1808478")</f>
        <v>GSM1808478</v>
      </c>
      <c r="I8814" t="s">
        <v>385</v>
      </c>
      <c r="J8814" t="s">
        <v>386</v>
      </c>
      <c r="K8814" t="s">
        <v>19</v>
      </c>
      <c r="L8814" t="s">
        <v>308</v>
      </c>
      <c r="M8814" t="s">
        <v>24</v>
      </c>
      <c r="N8814" t="s">
        <v>22</v>
      </c>
    </row>
    <row r="8815" spans="1:14">
      <c r="A8815" s="4" t="str">
        <f t="shared" si="779"/>
        <v>EXP00285</v>
      </c>
      <c r="B8815" s="4" t="str">
        <f t="shared" si="780"/>
        <v>27353039</v>
      </c>
      <c r="C8815" s="4" t="str">
        <f t="shared" si="781"/>
        <v>GSE70534</v>
      </c>
      <c r="D8815" s="1" t="s">
        <v>383</v>
      </c>
      <c r="E8815" t="s">
        <v>398</v>
      </c>
      <c r="F8815" s="1">
        <v>2</v>
      </c>
      <c r="G8815" s="1" t="s">
        <v>26</v>
      </c>
      <c r="H8815" s="4" t="str">
        <f>HYPERLINK("https://www.ncbi.nlm.nih.gov/geo/query/acc.cgi?acc=GSM1808482","GSM1808482")</f>
        <v>GSM1808482</v>
      </c>
      <c r="I8815" t="s">
        <v>385</v>
      </c>
      <c r="J8815" t="s">
        <v>386</v>
      </c>
      <c r="K8815" t="s">
        <v>19</v>
      </c>
      <c r="L8815" t="s">
        <v>308</v>
      </c>
      <c r="M8815" t="s">
        <v>24</v>
      </c>
      <c r="N8815" t="s">
        <v>22</v>
      </c>
    </row>
    <row r="8816" spans="1:14">
      <c r="A8816" s="4" t="str">
        <f t="shared" si="779"/>
        <v>EXP00285</v>
      </c>
      <c r="B8816" s="4" t="str">
        <f t="shared" si="780"/>
        <v>27353039</v>
      </c>
      <c r="C8816" s="4" t="str">
        <f t="shared" si="781"/>
        <v>GSE70534</v>
      </c>
      <c r="D8816" s="1" t="s">
        <v>383</v>
      </c>
      <c r="E8816" t="s">
        <v>398</v>
      </c>
      <c r="F8816" s="1">
        <v>2</v>
      </c>
      <c r="G8816" s="1" t="s">
        <v>26</v>
      </c>
      <c r="H8816" s="4" t="str">
        <f>HYPERLINK("https://www.ncbi.nlm.nih.gov/geo/query/acc.cgi?acc=GSM1808486","GSM1808486")</f>
        <v>GSM1808486</v>
      </c>
      <c r="I8816" t="s">
        <v>385</v>
      </c>
      <c r="J8816" t="s">
        <v>386</v>
      </c>
      <c r="K8816" t="s">
        <v>19</v>
      </c>
      <c r="L8816" t="s">
        <v>308</v>
      </c>
      <c r="M8816" t="s">
        <v>24</v>
      </c>
      <c r="N8816" t="s">
        <v>22</v>
      </c>
    </row>
    <row r="8817" spans="1:14">
      <c r="A8817" s="4" t="str">
        <f t="shared" si="779"/>
        <v>EXP00285</v>
      </c>
      <c r="B8817" s="4" t="str">
        <f t="shared" si="780"/>
        <v>27353039</v>
      </c>
      <c r="C8817" s="4" t="str">
        <f t="shared" si="781"/>
        <v>GSE70534</v>
      </c>
      <c r="D8817" s="1" t="s">
        <v>383</v>
      </c>
      <c r="E8817" t="s">
        <v>398</v>
      </c>
      <c r="F8817" s="1">
        <v>2</v>
      </c>
      <c r="G8817" s="1" t="s">
        <v>26</v>
      </c>
      <c r="H8817" s="4" t="str">
        <f>HYPERLINK("https://www.ncbi.nlm.nih.gov/geo/query/acc.cgi?acc=GSM1808488","GSM1808488")</f>
        <v>GSM1808488</v>
      </c>
      <c r="I8817" t="s">
        <v>385</v>
      </c>
      <c r="J8817" t="s">
        <v>386</v>
      </c>
      <c r="K8817" t="s">
        <v>19</v>
      </c>
      <c r="L8817" t="s">
        <v>308</v>
      </c>
      <c r="M8817" t="s">
        <v>44</v>
      </c>
      <c r="N8817" t="s">
        <v>22</v>
      </c>
    </row>
    <row r="8818" spans="1:14">
      <c r="A8818" s="4" t="str">
        <f t="shared" si="779"/>
        <v>EXP00285</v>
      </c>
      <c r="B8818" s="4" t="str">
        <f t="shared" si="780"/>
        <v>27353039</v>
      </c>
      <c r="C8818" s="4" t="str">
        <f t="shared" si="781"/>
        <v>GSE70534</v>
      </c>
      <c r="D8818" s="1" t="s">
        <v>383</v>
      </c>
      <c r="E8818" t="s">
        <v>398</v>
      </c>
      <c r="F8818" s="1">
        <v>2</v>
      </c>
      <c r="G8818" s="1" t="s">
        <v>26</v>
      </c>
      <c r="H8818" s="4" t="str">
        <f>HYPERLINK("https://www.ncbi.nlm.nih.gov/geo/query/acc.cgi?acc=GSM1808492","GSM1808492")</f>
        <v>GSM1808492</v>
      </c>
      <c r="I8818" t="s">
        <v>385</v>
      </c>
      <c r="J8818" t="s">
        <v>386</v>
      </c>
      <c r="K8818" t="s">
        <v>19</v>
      </c>
      <c r="L8818" t="s">
        <v>308</v>
      </c>
      <c r="M8818" t="s">
        <v>24</v>
      </c>
      <c r="N8818" t="s">
        <v>22</v>
      </c>
    </row>
    <row r="8819" spans="1:14">
      <c r="A8819" s="4" t="str">
        <f t="shared" si="779"/>
        <v>EXP00285</v>
      </c>
      <c r="B8819" s="4" t="str">
        <f t="shared" si="780"/>
        <v>27353039</v>
      </c>
      <c r="C8819" s="4" t="str">
        <f t="shared" si="781"/>
        <v>GSE70534</v>
      </c>
      <c r="D8819" s="1" t="s">
        <v>383</v>
      </c>
      <c r="E8819" t="s">
        <v>398</v>
      </c>
      <c r="F8819" s="1">
        <v>2</v>
      </c>
      <c r="G8819" s="1" t="s">
        <v>26</v>
      </c>
      <c r="H8819" s="4" t="str">
        <f>HYPERLINK("https://www.ncbi.nlm.nih.gov/geo/query/acc.cgi?acc=GSM1808497","GSM1808497")</f>
        <v>GSM1808497</v>
      </c>
      <c r="I8819" t="s">
        <v>385</v>
      </c>
      <c r="J8819" t="s">
        <v>386</v>
      </c>
      <c r="K8819" t="s">
        <v>19</v>
      </c>
      <c r="L8819" t="s">
        <v>308</v>
      </c>
      <c r="M8819" t="s">
        <v>24</v>
      </c>
      <c r="N8819" t="s">
        <v>22</v>
      </c>
    </row>
    <row r="8820" spans="1:14">
      <c r="A8820" s="4" t="str">
        <f t="shared" si="779"/>
        <v>EXP00285</v>
      </c>
      <c r="B8820" s="4" t="str">
        <f t="shared" si="780"/>
        <v>27353039</v>
      </c>
      <c r="C8820" s="4" t="str">
        <f t="shared" si="781"/>
        <v>GSE70534</v>
      </c>
      <c r="D8820" s="1" t="s">
        <v>383</v>
      </c>
      <c r="E8820" t="s">
        <v>398</v>
      </c>
      <c r="F8820" s="1">
        <v>2</v>
      </c>
      <c r="G8820" s="1" t="s">
        <v>26</v>
      </c>
      <c r="H8820" s="4" t="str">
        <f>HYPERLINK("https://www.ncbi.nlm.nih.gov/geo/query/acc.cgi?acc=GSM2226578","GSM2226578")</f>
        <v>GSM2226578</v>
      </c>
      <c r="I8820" t="s">
        <v>385</v>
      </c>
      <c r="J8820" t="s">
        <v>386</v>
      </c>
      <c r="K8820" t="s">
        <v>19</v>
      </c>
      <c r="L8820" t="s">
        <v>308</v>
      </c>
      <c r="M8820" t="s">
        <v>24</v>
      </c>
      <c r="N8820" t="s">
        <v>22</v>
      </c>
    </row>
    <row r="8821" spans="1:14">
      <c r="A8821" s="4" t="str">
        <f t="shared" si="779"/>
        <v>EXP00285</v>
      </c>
      <c r="B8821" s="4" t="str">
        <f t="shared" si="780"/>
        <v>27353039</v>
      </c>
      <c r="C8821" s="4" t="str">
        <f t="shared" si="781"/>
        <v>GSE70534</v>
      </c>
      <c r="D8821" s="1" t="s">
        <v>383</v>
      </c>
      <c r="E8821" t="s">
        <v>398</v>
      </c>
      <c r="F8821" s="1">
        <v>2</v>
      </c>
      <c r="G8821" s="1" t="s">
        <v>26</v>
      </c>
      <c r="H8821" s="4" t="str">
        <f>HYPERLINK("https://www.ncbi.nlm.nih.gov/geo/query/acc.cgi?acc=GSM2226579","GSM2226579")</f>
        <v>GSM2226579</v>
      </c>
      <c r="I8821" t="s">
        <v>385</v>
      </c>
      <c r="J8821" t="s">
        <v>386</v>
      </c>
      <c r="K8821" t="s">
        <v>19</v>
      </c>
      <c r="L8821" t="s">
        <v>308</v>
      </c>
      <c r="M8821" t="s">
        <v>24</v>
      </c>
      <c r="N8821" t="s">
        <v>22</v>
      </c>
    </row>
    <row r="8822" spans="1:14">
      <c r="A8822" s="4" t="str">
        <f t="shared" si="779"/>
        <v>EXP00285</v>
      </c>
      <c r="B8822" s="4" t="str">
        <f t="shared" si="780"/>
        <v>27353039</v>
      </c>
      <c r="C8822" s="4" t="str">
        <f t="shared" si="781"/>
        <v>GSE70534</v>
      </c>
      <c r="D8822" s="1" t="s">
        <v>383</v>
      </c>
      <c r="E8822" t="s">
        <v>398</v>
      </c>
      <c r="F8822" s="1">
        <v>2</v>
      </c>
      <c r="G8822" s="1" t="s">
        <v>26</v>
      </c>
      <c r="H8822" s="4" t="str">
        <f>HYPERLINK("https://www.ncbi.nlm.nih.gov/geo/query/acc.cgi?acc=GSM2226580","GSM2226580")</f>
        <v>GSM2226580</v>
      </c>
      <c r="I8822" t="s">
        <v>385</v>
      </c>
      <c r="J8822" t="s">
        <v>386</v>
      </c>
      <c r="K8822" t="s">
        <v>19</v>
      </c>
      <c r="L8822" t="s">
        <v>308</v>
      </c>
      <c r="M8822" t="s">
        <v>24</v>
      </c>
      <c r="N8822" t="s">
        <v>22</v>
      </c>
    </row>
    <row r="8823" spans="1:14">
      <c r="A8823" s="4" t="str">
        <f t="shared" si="779"/>
        <v>EXP00285</v>
      </c>
      <c r="B8823" s="4" t="str">
        <f t="shared" si="780"/>
        <v>27353039</v>
      </c>
      <c r="C8823" s="4" t="str">
        <f t="shared" si="781"/>
        <v>GSE70534</v>
      </c>
      <c r="D8823" s="1" t="s">
        <v>383</v>
      </c>
      <c r="E8823" t="s">
        <v>398</v>
      </c>
      <c r="F8823" s="1">
        <v>2</v>
      </c>
      <c r="G8823" s="1" t="s">
        <v>26</v>
      </c>
      <c r="H8823" s="4" t="str">
        <f>HYPERLINK("https://www.ncbi.nlm.nih.gov/geo/query/acc.cgi?acc=GSM2226581","GSM2226581")</f>
        <v>GSM2226581</v>
      </c>
      <c r="I8823" t="s">
        <v>385</v>
      </c>
      <c r="J8823" t="s">
        <v>386</v>
      </c>
      <c r="K8823" t="s">
        <v>19</v>
      </c>
      <c r="L8823" t="s">
        <v>308</v>
      </c>
      <c r="M8823" t="s">
        <v>24</v>
      </c>
      <c r="N8823" t="s">
        <v>22</v>
      </c>
    </row>
    <row r="8824" spans="1:14">
      <c r="A8824" s="4" t="str">
        <f t="shared" si="779"/>
        <v>EXP00285</v>
      </c>
      <c r="B8824" s="4" t="str">
        <f t="shared" si="780"/>
        <v>27353039</v>
      </c>
      <c r="C8824" s="4" t="str">
        <f t="shared" si="781"/>
        <v>GSE70534</v>
      </c>
      <c r="D8824" s="1" t="s">
        <v>383</v>
      </c>
      <c r="E8824" t="s">
        <v>398</v>
      </c>
      <c r="F8824" s="1">
        <v>2</v>
      </c>
      <c r="G8824" s="1" t="s">
        <v>26</v>
      </c>
      <c r="H8824" s="4" t="str">
        <f>HYPERLINK("https://www.ncbi.nlm.nih.gov/geo/query/acc.cgi?acc=GSM2226582","GSM2226582")</f>
        <v>GSM2226582</v>
      </c>
      <c r="I8824" t="s">
        <v>385</v>
      </c>
      <c r="J8824" t="s">
        <v>386</v>
      </c>
      <c r="K8824" t="s">
        <v>19</v>
      </c>
      <c r="L8824" t="s">
        <v>308</v>
      </c>
      <c r="M8824" t="s">
        <v>24</v>
      </c>
      <c r="N8824" t="s">
        <v>22</v>
      </c>
    </row>
    <row r="8825" spans="1:14">
      <c r="A8825" s="4" t="str">
        <f t="shared" si="779"/>
        <v>EXP00285</v>
      </c>
      <c r="B8825" s="4" t="str">
        <f t="shared" si="780"/>
        <v>27353039</v>
      </c>
      <c r="C8825" s="4" t="str">
        <f t="shared" si="781"/>
        <v>GSE70534</v>
      </c>
      <c r="D8825" s="1" t="s">
        <v>383</v>
      </c>
      <c r="E8825" t="s">
        <v>398</v>
      </c>
      <c r="F8825" s="1">
        <v>2</v>
      </c>
      <c r="G8825" s="1" t="s">
        <v>26</v>
      </c>
      <c r="H8825" s="4" t="str">
        <f>HYPERLINK("https://www.ncbi.nlm.nih.gov/geo/query/acc.cgi?acc=GSM2226583","GSM2226583")</f>
        <v>GSM2226583</v>
      </c>
      <c r="I8825" t="s">
        <v>385</v>
      </c>
      <c r="J8825" t="s">
        <v>386</v>
      </c>
      <c r="K8825" t="s">
        <v>19</v>
      </c>
      <c r="L8825" t="s">
        <v>308</v>
      </c>
      <c r="M8825" t="s">
        <v>24</v>
      </c>
      <c r="N8825" t="s">
        <v>22</v>
      </c>
    </row>
    <row r="8826" spans="1:14">
      <c r="A8826" s="4" t="str">
        <f t="shared" si="779"/>
        <v>EXP00285</v>
      </c>
      <c r="B8826" s="4" t="str">
        <f t="shared" si="780"/>
        <v>27353039</v>
      </c>
      <c r="C8826" s="4" t="str">
        <f t="shared" si="781"/>
        <v>GSE70534</v>
      </c>
      <c r="D8826" s="1" t="s">
        <v>383</v>
      </c>
      <c r="E8826" t="s">
        <v>398</v>
      </c>
      <c r="F8826" s="1">
        <v>2</v>
      </c>
      <c r="G8826" s="1" t="s">
        <v>26</v>
      </c>
      <c r="H8826" s="4" t="str">
        <f>HYPERLINK("https://www.ncbi.nlm.nih.gov/geo/query/acc.cgi?acc=GSM2226584","GSM2226584")</f>
        <v>GSM2226584</v>
      </c>
      <c r="I8826" t="s">
        <v>385</v>
      </c>
      <c r="J8826" t="s">
        <v>386</v>
      </c>
      <c r="K8826" t="s">
        <v>19</v>
      </c>
      <c r="L8826" t="s">
        <v>308</v>
      </c>
      <c r="M8826" t="s">
        <v>24</v>
      </c>
      <c r="N8826" t="s">
        <v>22</v>
      </c>
    </row>
    <row r="8827" spans="1:14">
      <c r="A8827" s="4" t="str">
        <f t="shared" si="779"/>
        <v>EXP00285</v>
      </c>
      <c r="B8827" s="4" t="str">
        <f t="shared" si="780"/>
        <v>27353039</v>
      </c>
      <c r="C8827" s="4" t="str">
        <f t="shared" si="781"/>
        <v>GSE70534</v>
      </c>
      <c r="D8827" s="1" t="s">
        <v>383</v>
      </c>
      <c r="E8827" t="s">
        <v>398</v>
      </c>
      <c r="F8827" s="1">
        <v>2</v>
      </c>
      <c r="G8827" s="1" t="s">
        <v>26</v>
      </c>
      <c r="H8827" s="4" t="str">
        <f>HYPERLINK("https://www.ncbi.nlm.nih.gov/geo/query/acc.cgi?acc=GSM2226585","GSM2226585")</f>
        <v>GSM2226585</v>
      </c>
      <c r="I8827" t="s">
        <v>385</v>
      </c>
      <c r="J8827" t="s">
        <v>386</v>
      </c>
      <c r="K8827" t="s">
        <v>19</v>
      </c>
      <c r="L8827" t="s">
        <v>308</v>
      </c>
      <c r="M8827" t="s">
        <v>24</v>
      </c>
      <c r="N8827" t="s">
        <v>22</v>
      </c>
    </row>
    <row r="8828" spans="1:14">
      <c r="A8828" s="4" t="str">
        <f t="shared" si="779"/>
        <v>EXP00285</v>
      </c>
      <c r="B8828" s="4" t="str">
        <f t="shared" si="780"/>
        <v>27353039</v>
      </c>
      <c r="C8828" s="4" t="str">
        <f t="shared" si="781"/>
        <v>GSE70534</v>
      </c>
      <c r="D8828" s="1" t="s">
        <v>383</v>
      </c>
      <c r="E8828" t="s">
        <v>398</v>
      </c>
      <c r="F8828" s="1">
        <v>2</v>
      </c>
      <c r="G8828" s="1" t="s">
        <v>26</v>
      </c>
      <c r="H8828" s="4" t="str">
        <f>HYPERLINK("https://www.ncbi.nlm.nih.gov/geo/query/acc.cgi?acc=GSM2226586","GSM2226586")</f>
        <v>GSM2226586</v>
      </c>
      <c r="I8828" t="s">
        <v>385</v>
      </c>
      <c r="J8828" t="s">
        <v>386</v>
      </c>
      <c r="K8828" t="s">
        <v>19</v>
      </c>
      <c r="L8828" t="s">
        <v>308</v>
      </c>
      <c r="M8828" t="s">
        <v>24</v>
      </c>
      <c r="N8828" t="s">
        <v>22</v>
      </c>
    </row>
    <row r="8829" spans="1:14">
      <c r="A8829" s="4" t="str">
        <f t="shared" si="779"/>
        <v>EXP00285</v>
      </c>
      <c r="B8829" s="4" t="str">
        <f t="shared" si="780"/>
        <v>27353039</v>
      </c>
      <c r="C8829" s="4" t="str">
        <f t="shared" si="781"/>
        <v>GSE70534</v>
      </c>
      <c r="D8829" s="1" t="s">
        <v>383</v>
      </c>
      <c r="E8829" t="s">
        <v>398</v>
      </c>
      <c r="F8829" s="1">
        <v>2</v>
      </c>
      <c r="G8829" s="1" t="s">
        <v>26</v>
      </c>
      <c r="H8829" s="4" t="str">
        <f>HYPERLINK("https://www.ncbi.nlm.nih.gov/geo/query/acc.cgi?acc=GSM2226587","GSM2226587")</f>
        <v>GSM2226587</v>
      </c>
      <c r="I8829" t="s">
        <v>385</v>
      </c>
      <c r="J8829" t="s">
        <v>386</v>
      </c>
      <c r="K8829" t="s">
        <v>19</v>
      </c>
      <c r="L8829" t="s">
        <v>308</v>
      </c>
      <c r="M8829" t="s">
        <v>24</v>
      </c>
      <c r="N8829" t="s">
        <v>22</v>
      </c>
    </row>
    <row r="8830" spans="1:14">
      <c r="A8830" s="4" t="str">
        <f t="shared" si="779"/>
        <v>EXP00285</v>
      </c>
      <c r="B8830" s="4" t="str">
        <f t="shared" si="780"/>
        <v>27353039</v>
      </c>
      <c r="C8830" s="4" t="str">
        <f t="shared" si="781"/>
        <v>GSE70534</v>
      </c>
      <c r="D8830" s="1" t="s">
        <v>383</v>
      </c>
      <c r="E8830" t="s">
        <v>398</v>
      </c>
      <c r="F8830" s="1">
        <v>2</v>
      </c>
      <c r="G8830" s="1" t="s">
        <v>26</v>
      </c>
      <c r="H8830" s="4" t="str">
        <f>HYPERLINK("https://www.ncbi.nlm.nih.gov/geo/query/acc.cgi?acc=GSM2226588","GSM2226588")</f>
        <v>GSM2226588</v>
      </c>
      <c r="I8830" t="s">
        <v>385</v>
      </c>
      <c r="J8830" t="s">
        <v>386</v>
      </c>
      <c r="K8830" t="s">
        <v>19</v>
      </c>
      <c r="L8830" t="s">
        <v>308</v>
      </c>
      <c r="M8830" t="s">
        <v>24</v>
      </c>
      <c r="N8830" t="s">
        <v>22</v>
      </c>
    </row>
    <row r="8831" spans="1:14">
      <c r="A8831" s="4" t="str">
        <f t="shared" si="779"/>
        <v>EXP00285</v>
      </c>
      <c r="B8831" s="4" t="str">
        <f t="shared" si="780"/>
        <v>27353039</v>
      </c>
      <c r="C8831" s="4" t="str">
        <f t="shared" si="781"/>
        <v>GSE70534</v>
      </c>
      <c r="D8831" s="1" t="s">
        <v>383</v>
      </c>
      <c r="E8831" t="s">
        <v>398</v>
      </c>
      <c r="F8831" s="1">
        <v>2</v>
      </c>
      <c r="G8831" s="1" t="s">
        <v>26</v>
      </c>
      <c r="H8831" s="4" t="str">
        <f>HYPERLINK("https://www.ncbi.nlm.nih.gov/geo/query/acc.cgi?acc=GSM2226589","GSM2226589")</f>
        <v>GSM2226589</v>
      </c>
      <c r="I8831" t="s">
        <v>385</v>
      </c>
      <c r="J8831" t="s">
        <v>386</v>
      </c>
      <c r="K8831" t="s">
        <v>19</v>
      </c>
      <c r="L8831" t="s">
        <v>308</v>
      </c>
      <c r="M8831" t="s">
        <v>24</v>
      </c>
      <c r="N8831" t="s">
        <v>22</v>
      </c>
    </row>
    <row r="8832" spans="1:14">
      <c r="A8832" s="4" t="str">
        <f t="shared" si="779"/>
        <v>EXP00285</v>
      </c>
      <c r="B8832" s="4" t="str">
        <f t="shared" si="780"/>
        <v>27353039</v>
      </c>
      <c r="C8832" s="4" t="str">
        <f t="shared" si="781"/>
        <v>GSE70534</v>
      </c>
      <c r="D8832" s="1" t="s">
        <v>383</v>
      </c>
      <c r="E8832" t="s">
        <v>398</v>
      </c>
      <c r="F8832" s="1">
        <v>2</v>
      </c>
      <c r="G8832" s="1" t="s">
        <v>26</v>
      </c>
      <c r="H8832" s="4" t="str">
        <f>HYPERLINK("https://www.ncbi.nlm.nih.gov/geo/query/acc.cgi?acc=GSM2226590","GSM2226590")</f>
        <v>GSM2226590</v>
      </c>
      <c r="I8832" t="s">
        <v>385</v>
      </c>
      <c r="J8832" t="s">
        <v>386</v>
      </c>
      <c r="K8832" t="s">
        <v>19</v>
      </c>
      <c r="L8832" t="s">
        <v>308</v>
      </c>
      <c r="M8832" t="s">
        <v>24</v>
      </c>
      <c r="N8832" t="s">
        <v>22</v>
      </c>
    </row>
    <row r="8833" spans="1:14">
      <c r="A8833" s="4" t="str">
        <f t="shared" si="779"/>
        <v>EXP00285</v>
      </c>
      <c r="B8833" s="4" t="str">
        <f t="shared" si="780"/>
        <v>27353039</v>
      </c>
      <c r="C8833" s="4" t="str">
        <f t="shared" si="781"/>
        <v>GSE70534</v>
      </c>
      <c r="D8833" s="1" t="s">
        <v>383</v>
      </c>
      <c r="E8833" t="s">
        <v>398</v>
      </c>
      <c r="F8833" s="1">
        <v>2</v>
      </c>
      <c r="G8833" s="1" t="s">
        <v>26</v>
      </c>
      <c r="H8833" s="4" t="str">
        <f>HYPERLINK("https://www.ncbi.nlm.nih.gov/geo/query/acc.cgi?acc=GSM2226591","GSM2226591")</f>
        <v>GSM2226591</v>
      </c>
      <c r="I8833" t="s">
        <v>385</v>
      </c>
      <c r="J8833" t="s">
        <v>386</v>
      </c>
      <c r="K8833" t="s">
        <v>19</v>
      </c>
      <c r="L8833" t="s">
        <v>308</v>
      </c>
      <c r="M8833" t="s">
        <v>24</v>
      </c>
      <c r="N8833" t="s">
        <v>22</v>
      </c>
    </row>
    <row r="8834" spans="1:14">
      <c r="A8834" s="4" t="str">
        <f t="shared" si="779"/>
        <v>EXP00285</v>
      </c>
      <c r="B8834" s="4" t="str">
        <f t="shared" si="780"/>
        <v>27353039</v>
      </c>
      <c r="C8834" s="4" t="str">
        <f t="shared" si="781"/>
        <v>GSE70534</v>
      </c>
      <c r="D8834" s="1" t="s">
        <v>383</v>
      </c>
      <c r="E8834" t="s">
        <v>398</v>
      </c>
      <c r="F8834" s="1">
        <v>2</v>
      </c>
      <c r="G8834" s="1" t="s">
        <v>26</v>
      </c>
      <c r="H8834" s="4" t="str">
        <f>HYPERLINK("https://www.ncbi.nlm.nih.gov/geo/query/acc.cgi?acc=GSM2226592","GSM2226592")</f>
        <v>GSM2226592</v>
      </c>
      <c r="I8834" t="s">
        <v>385</v>
      </c>
      <c r="J8834" t="s">
        <v>386</v>
      </c>
      <c r="K8834" t="s">
        <v>19</v>
      </c>
      <c r="L8834" t="s">
        <v>308</v>
      </c>
      <c r="M8834" t="s">
        <v>24</v>
      </c>
      <c r="N8834" t="s">
        <v>22</v>
      </c>
    </row>
    <row r="8835" spans="1:14">
      <c r="A8835" s="4" t="str">
        <f t="shared" si="779"/>
        <v>EXP00285</v>
      </c>
      <c r="B8835" s="4" t="str">
        <f t="shared" si="780"/>
        <v>27353039</v>
      </c>
      <c r="C8835" s="4" t="str">
        <f t="shared" si="781"/>
        <v>GSE70534</v>
      </c>
      <c r="D8835" s="1" t="s">
        <v>383</v>
      </c>
      <c r="E8835" t="s">
        <v>398</v>
      </c>
      <c r="F8835" s="1">
        <v>2</v>
      </c>
      <c r="G8835" s="1" t="s">
        <v>26</v>
      </c>
      <c r="H8835" s="4" t="str">
        <f>HYPERLINK("https://www.ncbi.nlm.nih.gov/geo/query/acc.cgi?acc=GSM2226593","GSM2226593")</f>
        <v>GSM2226593</v>
      </c>
      <c r="I8835" t="s">
        <v>385</v>
      </c>
      <c r="J8835" t="s">
        <v>386</v>
      </c>
      <c r="K8835" t="s">
        <v>19</v>
      </c>
      <c r="L8835" t="s">
        <v>308</v>
      </c>
      <c r="M8835" t="s">
        <v>44</v>
      </c>
      <c r="N8835" t="s">
        <v>22</v>
      </c>
    </row>
    <row r="8836" spans="1:14">
      <c r="A8836" s="4" t="str">
        <f t="shared" si="779"/>
        <v>EXP00285</v>
      </c>
      <c r="B8836" s="4" t="str">
        <f t="shared" si="780"/>
        <v>27353039</v>
      </c>
      <c r="C8836" s="4" t="str">
        <f t="shared" si="781"/>
        <v>GSE70534</v>
      </c>
      <c r="D8836" s="1" t="s">
        <v>383</v>
      </c>
      <c r="E8836" t="s">
        <v>398</v>
      </c>
      <c r="F8836" s="1">
        <v>2</v>
      </c>
      <c r="G8836" s="1" t="s">
        <v>26</v>
      </c>
      <c r="H8836" s="4" t="str">
        <f>HYPERLINK("https://www.ncbi.nlm.nih.gov/geo/query/acc.cgi?acc=GSM2226594","GSM2226594")</f>
        <v>GSM2226594</v>
      </c>
      <c r="I8836" t="s">
        <v>385</v>
      </c>
      <c r="J8836" t="s">
        <v>386</v>
      </c>
      <c r="K8836" t="s">
        <v>19</v>
      </c>
      <c r="L8836" t="s">
        <v>308</v>
      </c>
      <c r="M8836" t="s">
        <v>44</v>
      </c>
      <c r="N8836" t="s">
        <v>22</v>
      </c>
    </row>
    <row r="8837" spans="1:14">
      <c r="A8837" s="4" t="str">
        <f t="shared" si="779"/>
        <v>EXP00285</v>
      </c>
      <c r="B8837" s="4" t="str">
        <f t="shared" si="780"/>
        <v>27353039</v>
      </c>
      <c r="C8837" s="4" t="str">
        <f t="shared" si="781"/>
        <v>GSE70534</v>
      </c>
      <c r="D8837" s="1" t="s">
        <v>383</v>
      </c>
      <c r="E8837" t="s">
        <v>398</v>
      </c>
      <c r="F8837" s="1">
        <v>2</v>
      </c>
      <c r="G8837" s="1" t="s">
        <v>26</v>
      </c>
      <c r="H8837" s="4" t="str">
        <f>HYPERLINK("https://www.ncbi.nlm.nih.gov/geo/query/acc.cgi?acc=GSM2226595","GSM2226595")</f>
        <v>GSM2226595</v>
      </c>
      <c r="I8837" t="s">
        <v>385</v>
      </c>
      <c r="J8837" t="s">
        <v>386</v>
      </c>
      <c r="K8837" t="s">
        <v>19</v>
      </c>
      <c r="L8837" t="s">
        <v>308</v>
      </c>
      <c r="M8837" t="s">
        <v>44</v>
      </c>
      <c r="N8837" t="s">
        <v>22</v>
      </c>
    </row>
    <row r="8838" spans="1:14">
      <c r="A8838" s="4" t="str">
        <f t="shared" si="779"/>
        <v>EXP00285</v>
      </c>
      <c r="B8838" s="4" t="str">
        <f t="shared" si="780"/>
        <v>27353039</v>
      </c>
      <c r="C8838" s="4" t="str">
        <f t="shared" si="781"/>
        <v>GSE70534</v>
      </c>
      <c r="D8838" s="1" t="s">
        <v>383</v>
      </c>
      <c r="E8838" t="s">
        <v>398</v>
      </c>
      <c r="F8838" s="1">
        <v>2</v>
      </c>
      <c r="G8838" s="1" t="s">
        <v>26</v>
      </c>
      <c r="H8838" s="4" t="str">
        <f>HYPERLINK("https://www.ncbi.nlm.nih.gov/geo/query/acc.cgi?acc=GSM2226596","GSM2226596")</f>
        <v>GSM2226596</v>
      </c>
      <c r="I8838" t="s">
        <v>385</v>
      </c>
      <c r="J8838" t="s">
        <v>386</v>
      </c>
      <c r="K8838" t="s">
        <v>19</v>
      </c>
      <c r="L8838" t="s">
        <v>308</v>
      </c>
      <c r="M8838" t="s">
        <v>44</v>
      </c>
      <c r="N8838" t="s">
        <v>22</v>
      </c>
    </row>
    <row r="8839" spans="1:14">
      <c r="A8839" s="4" t="str">
        <f t="shared" si="779"/>
        <v>EXP00285</v>
      </c>
      <c r="B8839" s="4" t="str">
        <f t="shared" si="780"/>
        <v>27353039</v>
      </c>
      <c r="C8839" s="4" t="str">
        <f t="shared" si="781"/>
        <v>GSE70534</v>
      </c>
      <c r="D8839" s="1" t="s">
        <v>383</v>
      </c>
      <c r="E8839" t="s">
        <v>398</v>
      </c>
      <c r="F8839" s="1">
        <v>2</v>
      </c>
      <c r="G8839" s="1" t="s">
        <v>26</v>
      </c>
      <c r="H8839" s="4" t="str">
        <f>HYPERLINK("https://www.ncbi.nlm.nih.gov/geo/query/acc.cgi?acc=GSM2226597","GSM2226597")</f>
        <v>GSM2226597</v>
      </c>
      <c r="I8839" t="s">
        <v>385</v>
      </c>
      <c r="J8839" t="s">
        <v>386</v>
      </c>
      <c r="K8839" t="s">
        <v>19</v>
      </c>
      <c r="L8839" t="s">
        <v>308</v>
      </c>
      <c r="M8839" t="s">
        <v>44</v>
      </c>
      <c r="N8839" t="s">
        <v>22</v>
      </c>
    </row>
    <row r="8840" spans="1:14">
      <c r="A8840" s="4" t="str">
        <f t="shared" si="779"/>
        <v>EXP00285</v>
      </c>
      <c r="B8840" s="4" t="str">
        <f t="shared" si="780"/>
        <v>27353039</v>
      </c>
      <c r="C8840" s="4" t="str">
        <f t="shared" si="781"/>
        <v>GSE70534</v>
      </c>
      <c r="D8840" s="1" t="s">
        <v>383</v>
      </c>
      <c r="E8840" t="s">
        <v>398</v>
      </c>
      <c r="F8840" s="1">
        <v>2</v>
      </c>
      <c r="G8840" s="1" t="s">
        <v>26</v>
      </c>
      <c r="H8840" s="4" t="str">
        <f>HYPERLINK("https://www.ncbi.nlm.nih.gov/geo/query/acc.cgi?acc=GSM2226598","GSM2226598")</f>
        <v>GSM2226598</v>
      </c>
      <c r="I8840" t="s">
        <v>385</v>
      </c>
      <c r="J8840" t="s">
        <v>386</v>
      </c>
      <c r="K8840" t="s">
        <v>19</v>
      </c>
      <c r="L8840" t="s">
        <v>308</v>
      </c>
      <c r="M8840" t="s">
        <v>44</v>
      </c>
      <c r="N8840" t="s">
        <v>22</v>
      </c>
    </row>
    <row r="8841" spans="1:14">
      <c r="A8841" s="4" t="str">
        <f t="shared" si="779"/>
        <v>EXP00285</v>
      </c>
      <c r="B8841" s="4" t="str">
        <f t="shared" si="780"/>
        <v>27353039</v>
      </c>
      <c r="C8841" s="4" t="str">
        <f t="shared" si="781"/>
        <v>GSE70534</v>
      </c>
      <c r="D8841" s="1" t="s">
        <v>383</v>
      </c>
      <c r="E8841" t="s">
        <v>398</v>
      </c>
      <c r="F8841" s="1">
        <v>2</v>
      </c>
      <c r="G8841" s="1" t="s">
        <v>26</v>
      </c>
      <c r="H8841" s="4" t="str">
        <f>HYPERLINK("https://www.ncbi.nlm.nih.gov/geo/query/acc.cgi?acc=GSM2226599","GSM2226599")</f>
        <v>GSM2226599</v>
      </c>
      <c r="I8841" t="s">
        <v>385</v>
      </c>
      <c r="J8841" t="s">
        <v>386</v>
      </c>
      <c r="K8841" t="s">
        <v>19</v>
      </c>
      <c r="L8841" t="s">
        <v>308</v>
      </c>
      <c r="M8841" t="s">
        <v>44</v>
      </c>
      <c r="N8841" t="s">
        <v>22</v>
      </c>
    </row>
    <row r="8842" spans="1:14">
      <c r="A8842" s="4" t="str">
        <f t="shared" si="779"/>
        <v>EXP00285</v>
      </c>
      <c r="B8842" s="4" t="str">
        <f t="shared" si="780"/>
        <v>27353039</v>
      </c>
      <c r="C8842" s="4" t="str">
        <f t="shared" si="781"/>
        <v>GSE70534</v>
      </c>
      <c r="D8842" s="1" t="s">
        <v>383</v>
      </c>
      <c r="E8842" t="s">
        <v>398</v>
      </c>
      <c r="F8842" s="1">
        <v>2</v>
      </c>
      <c r="G8842" s="1" t="s">
        <v>26</v>
      </c>
      <c r="H8842" s="4" t="str">
        <f>HYPERLINK("https://www.ncbi.nlm.nih.gov/geo/query/acc.cgi?acc=GSM2226600","GSM2226600")</f>
        <v>GSM2226600</v>
      </c>
      <c r="I8842" t="s">
        <v>385</v>
      </c>
      <c r="J8842" t="s">
        <v>386</v>
      </c>
      <c r="K8842" t="s">
        <v>19</v>
      </c>
      <c r="L8842" t="s">
        <v>308</v>
      </c>
      <c r="M8842" t="s">
        <v>44</v>
      </c>
      <c r="N8842" t="s">
        <v>22</v>
      </c>
    </row>
    <row r="8843" spans="1:14">
      <c r="A8843" s="4" t="str">
        <f t="shared" si="779"/>
        <v>EXP00285</v>
      </c>
      <c r="B8843" s="4" t="str">
        <f t="shared" si="780"/>
        <v>27353039</v>
      </c>
      <c r="C8843" s="4" t="str">
        <f t="shared" si="781"/>
        <v>GSE70534</v>
      </c>
      <c r="D8843" s="1" t="s">
        <v>383</v>
      </c>
      <c r="E8843" t="s">
        <v>398</v>
      </c>
      <c r="F8843" s="1">
        <v>2</v>
      </c>
      <c r="G8843" s="1" t="s">
        <v>26</v>
      </c>
      <c r="H8843" s="4" t="str">
        <f>HYPERLINK("https://www.ncbi.nlm.nih.gov/geo/query/acc.cgi?acc=GSM2226601","GSM2226601")</f>
        <v>GSM2226601</v>
      </c>
      <c r="I8843" t="s">
        <v>385</v>
      </c>
      <c r="J8843" t="s">
        <v>386</v>
      </c>
      <c r="K8843" t="s">
        <v>19</v>
      </c>
      <c r="L8843" t="s">
        <v>308</v>
      </c>
      <c r="M8843" t="s">
        <v>44</v>
      </c>
      <c r="N8843" t="s">
        <v>22</v>
      </c>
    </row>
    <row r="8844" spans="1:14">
      <c r="A8844" s="4" t="str">
        <f t="shared" si="779"/>
        <v>EXP00285</v>
      </c>
      <c r="B8844" s="4" t="str">
        <f t="shared" si="780"/>
        <v>27353039</v>
      </c>
      <c r="C8844" s="4" t="str">
        <f t="shared" si="781"/>
        <v>GSE70534</v>
      </c>
      <c r="D8844" s="1" t="s">
        <v>383</v>
      </c>
      <c r="E8844" t="s">
        <v>398</v>
      </c>
      <c r="F8844" s="1">
        <v>2</v>
      </c>
      <c r="G8844" s="1" t="s">
        <v>26</v>
      </c>
      <c r="H8844" s="4" t="str">
        <f>HYPERLINK("https://www.ncbi.nlm.nih.gov/geo/query/acc.cgi?acc=GSM2226602","GSM2226602")</f>
        <v>GSM2226602</v>
      </c>
      <c r="I8844" t="s">
        <v>385</v>
      </c>
      <c r="J8844" t="s">
        <v>386</v>
      </c>
      <c r="K8844" t="s">
        <v>19</v>
      </c>
      <c r="L8844" t="s">
        <v>308</v>
      </c>
      <c r="M8844" t="s">
        <v>44</v>
      </c>
      <c r="N8844" t="s">
        <v>22</v>
      </c>
    </row>
    <row r="8845" spans="1:14">
      <c r="A8845" s="4" t="str">
        <f t="shared" si="779"/>
        <v>EXP00285</v>
      </c>
      <c r="B8845" s="4" t="str">
        <f t="shared" si="780"/>
        <v>27353039</v>
      </c>
      <c r="C8845" s="4" t="str">
        <f t="shared" si="781"/>
        <v>GSE70534</v>
      </c>
      <c r="D8845" s="1" t="s">
        <v>383</v>
      </c>
      <c r="E8845" t="s">
        <v>398</v>
      </c>
      <c r="F8845" s="1">
        <v>2</v>
      </c>
      <c r="G8845" s="1" t="s">
        <v>26</v>
      </c>
      <c r="H8845" s="4" t="str">
        <f>HYPERLINK("https://www.ncbi.nlm.nih.gov/geo/query/acc.cgi?acc=GSM2226603","GSM2226603")</f>
        <v>GSM2226603</v>
      </c>
      <c r="I8845" t="s">
        <v>385</v>
      </c>
      <c r="J8845" t="s">
        <v>386</v>
      </c>
      <c r="K8845" t="s">
        <v>19</v>
      </c>
      <c r="L8845" t="s">
        <v>308</v>
      </c>
      <c r="M8845" t="s">
        <v>44</v>
      </c>
      <c r="N8845" t="s">
        <v>22</v>
      </c>
    </row>
    <row r="8846" spans="1:14">
      <c r="A8846" s="4" t="str">
        <f t="shared" si="779"/>
        <v>EXP00285</v>
      </c>
      <c r="B8846" s="4" t="str">
        <f t="shared" si="780"/>
        <v>27353039</v>
      </c>
      <c r="C8846" s="4" t="str">
        <f t="shared" si="781"/>
        <v>GSE70534</v>
      </c>
      <c r="D8846" s="1" t="s">
        <v>383</v>
      </c>
      <c r="E8846" t="s">
        <v>398</v>
      </c>
      <c r="F8846" s="1">
        <v>2</v>
      </c>
      <c r="G8846" s="1" t="s">
        <v>26</v>
      </c>
      <c r="H8846" s="4" t="str">
        <f>HYPERLINK("https://www.ncbi.nlm.nih.gov/geo/query/acc.cgi?acc=GSM2226604","GSM2226604")</f>
        <v>GSM2226604</v>
      </c>
      <c r="I8846" t="s">
        <v>385</v>
      </c>
      <c r="J8846" t="s">
        <v>386</v>
      </c>
      <c r="K8846" t="s">
        <v>19</v>
      </c>
      <c r="L8846" t="s">
        <v>308</v>
      </c>
      <c r="M8846" t="s">
        <v>44</v>
      </c>
      <c r="N8846" t="s">
        <v>22</v>
      </c>
    </row>
    <row r="8847" spans="1:14">
      <c r="A8847" s="4" t="str">
        <f t="shared" si="779"/>
        <v>EXP00285</v>
      </c>
      <c r="B8847" s="4" t="str">
        <f t="shared" si="780"/>
        <v>27353039</v>
      </c>
      <c r="C8847" s="4" t="str">
        <f t="shared" si="781"/>
        <v>GSE70534</v>
      </c>
      <c r="D8847" s="1" t="s">
        <v>383</v>
      </c>
      <c r="E8847" t="s">
        <v>398</v>
      </c>
      <c r="F8847" s="1">
        <v>2</v>
      </c>
      <c r="G8847" s="1" t="s">
        <v>26</v>
      </c>
      <c r="H8847" s="4" t="str">
        <f>HYPERLINK("https://www.ncbi.nlm.nih.gov/geo/query/acc.cgi?acc=GSM2226605","GSM2226605")</f>
        <v>GSM2226605</v>
      </c>
      <c r="I8847" t="s">
        <v>385</v>
      </c>
      <c r="J8847" t="s">
        <v>386</v>
      </c>
      <c r="K8847" t="s">
        <v>19</v>
      </c>
      <c r="L8847" t="s">
        <v>308</v>
      </c>
      <c r="M8847" t="s">
        <v>44</v>
      </c>
      <c r="N8847" t="s">
        <v>22</v>
      </c>
    </row>
    <row r="8848" spans="1:14">
      <c r="A8848" s="4" t="str">
        <f t="shared" ref="A8848:A8875" si="782">HYPERLINK("http://hcmdb.i-sanger.com/experiment/details/experiment_id/EXP00286","EXP00286")</f>
        <v>EXP00286</v>
      </c>
      <c r="B8848" s="4" t="str">
        <f t="shared" si="780"/>
        <v>27353039</v>
      </c>
      <c r="C8848" s="4" t="str">
        <f t="shared" si="781"/>
        <v>GSE70534</v>
      </c>
      <c r="D8848" s="1" t="s">
        <v>383</v>
      </c>
      <c r="E8848" t="s">
        <v>399</v>
      </c>
      <c r="F8848" s="1">
        <v>1</v>
      </c>
      <c r="G8848" s="1" t="s">
        <v>31</v>
      </c>
      <c r="H8848" s="4" t="str">
        <f>HYPERLINK("https://www.ncbi.nlm.nih.gov/geo/query/acc.cgi?acc=GSM1808456","GSM1808456")</f>
        <v>GSM1808456</v>
      </c>
      <c r="I8848" t="s">
        <v>385</v>
      </c>
      <c r="J8848" t="s">
        <v>386</v>
      </c>
      <c r="K8848" t="s">
        <v>19</v>
      </c>
      <c r="L8848" t="s">
        <v>308</v>
      </c>
      <c r="M8848" t="s">
        <v>24</v>
      </c>
      <c r="N8848" t="s">
        <v>29</v>
      </c>
    </row>
    <row r="8849" spans="1:14">
      <c r="A8849" s="4" t="str">
        <f t="shared" si="782"/>
        <v>EXP00286</v>
      </c>
      <c r="B8849" s="4" t="str">
        <f t="shared" si="780"/>
        <v>27353039</v>
      </c>
      <c r="C8849" s="4" t="str">
        <f t="shared" si="781"/>
        <v>GSE70534</v>
      </c>
      <c r="D8849" s="1" t="s">
        <v>383</v>
      </c>
      <c r="E8849" t="s">
        <v>399</v>
      </c>
      <c r="F8849" s="1">
        <v>1</v>
      </c>
      <c r="G8849" s="1" t="s">
        <v>31</v>
      </c>
      <c r="H8849" s="4" t="str">
        <f>HYPERLINK("https://www.ncbi.nlm.nih.gov/geo/query/acc.cgi?acc=GSM1808460","GSM1808460")</f>
        <v>GSM1808460</v>
      </c>
      <c r="I8849" t="s">
        <v>385</v>
      </c>
      <c r="J8849" t="s">
        <v>386</v>
      </c>
      <c r="K8849" t="s">
        <v>19</v>
      </c>
      <c r="L8849" t="s">
        <v>308</v>
      </c>
      <c r="M8849" t="s">
        <v>169</v>
      </c>
      <c r="N8849" t="s">
        <v>29</v>
      </c>
    </row>
    <row r="8850" spans="1:14">
      <c r="A8850" s="4" t="str">
        <f t="shared" si="782"/>
        <v>EXP00286</v>
      </c>
      <c r="B8850" s="4" t="str">
        <f t="shared" si="780"/>
        <v>27353039</v>
      </c>
      <c r="C8850" s="4" t="str">
        <f t="shared" si="781"/>
        <v>GSE70534</v>
      </c>
      <c r="D8850" s="1" t="s">
        <v>383</v>
      </c>
      <c r="E8850" t="s">
        <v>399</v>
      </c>
      <c r="F8850" s="1">
        <v>1</v>
      </c>
      <c r="G8850" s="1" t="s">
        <v>31</v>
      </c>
      <c r="H8850" s="4" t="str">
        <f>HYPERLINK("https://www.ncbi.nlm.nih.gov/geo/query/acc.cgi?acc=GSM1808468","GSM1808468")</f>
        <v>GSM1808468</v>
      </c>
      <c r="I8850" t="s">
        <v>385</v>
      </c>
      <c r="J8850" t="s">
        <v>386</v>
      </c>
      <c r="K8850" t="s">
        <v>19</v>
      </c>
      <c r="L8850" t="s">
        <v>308</v>
      </c>
      <c r="M8850" t="s">
        <v>24</v>
      </c>
      <c r="N8850" t="s">
        <v>29</v>
      </c>
    </row>
    <row r="8851" spans="1:14">
      <c r="A8851" s="4" t="str">
        <f t="shared" si="782"/>
        <v>EXP00286</v>
      </c>
      <c r="B8851" s="4" t="str">
        <f t="shared" si="780"/>
        <v>27353039</v>
      </c>
      <c r="C8851" s="4" t="str">
        <f t="shared" si="781"/>
        <v>GSE70534</v>
      </c>
      <c r="D8851" s="1" t="s">
        <v>383</v>
      </c>
      <c r="E8851" t="s">
        <v>399</v>
      </c>
      <c r="F8851" s="1">
        <v>1</v>
      </c>
      <c r="G8851" s="1" t="s">
        <v>31</v>
      </c>
      <c r="H8851" s="4" t="str">
        <f>HYPERLINK("https://www.ncbi.nlm.nih.gov/geo/query/acc.cgi?acc=GSM1808472","GSM1808472")</f>
        <v>GSM1808472</v>
      </c>
      <c r="I8851" t="s">
        <v>385</v>
      </c>
      <c r="J8851" t="s">
        <v>386</v>
      </c>
      <c r="K8851" t="s">
        <v>19</v>
      </c>
      <c r="L8851" t="s">
        <v>308</v>
      </c>
      <c r="M8851" t="s">
        <v>24</v>
      </c>
      <c r="N8851" t="s">
        <v>29</v>
      </c>
    </row>
    <row r="8852" spans="1:14">
      <c r="A8852" s="4" t="str">
        <f t="shared" si="782"/>
        <v>EXP00286</v>
      </c>
      <c r="B8852" s="4" t="str">
        <f t="shared" si="780"/>
        <v>27353039</v>
      </c>
      <c r="C8852" s="4" t="str">
        <f t="shared" si="781"/>
        <v>GSE70534</v>
      </c>
      <c r="D8852" s="1" t="s">
        <v>383</v>
      </c>
      <c r="E8852" t="s">
        <v>399</v>
      </c>
      <c r="F8852" s="1">
        <v>1</v>
      </c>
      <c r="G8852" s="1" t="s">
        <v>31</v>
      </c>
      <c r="H8852" s="4" t="str">
        <f>HYPERLINK("https://www.ncbi.nlm.nih.gov/geo/query/acc.cgi?acc=GSM1808476","GSM1808476")</f>
        <v>GSM1808476</v>
      </c>
      <c r="I8852" t="s">
        <v>385</v>
      </c>
      <c r="J8852" t="s">
        <v>386</v>
      </c>
      <c r="K8852" t="s">
        <v>19</v>
      </c>
      <c r="L8852" t="s">
        <v>308</v>
      </c>
      <c r="M8852" t="s">
        <v>24</v>
      </c>
      <c r="N8852" t="s">
        <v>29</v>
      </c>
    </row>
    <row r="8853" spans="1:14">
      <c r="A8853" s="4" t="str">
        <f t="shared" si="782"/>
        <v>EXP00286</v>
      </c>
      <c r="B8853" s="4" t="str">
        <f t="shared" si="780"/>
        <v>27353039</v>
      </c>
      <c r="C8853" s="4" t="str">
        <f t="shared" si="781"/>
        <v>GSE70534</v>
      </c>
      <c r="D8853" s="1" t="s">
        <v>383</v>
      </c>
      <c r="E8853" t="s">
        <v>399</v>
      </c>
      <c r="F8853" s="1">
        <v>1</v>
      </c>
      <c r="G8853" s="1" t="s">
        <v>31</v>
      </c>
      <c r="H8853" s="4" t="str">
        <f>HYPERLINK("https://www.ncbi.nlm.nih.gov/geo/query/acc.cgi?acc=GSM1808480","GSM1808480")</f>
        <v>GSM1808480</v>
      </c>
      <c r="I8853" t="s">
        <v>385</v>
      </c>
      <c r="J8853" t="s">
        <v>386</v>
      </c>
      <c r="K8853" t="s">
        <v>19</v>
      </c>
      <c r="L8853" t="s">
        <v>308</v>
      </c>
      <c r="M8853" t="s">
        <v>24</v>
      </c>
      <c r="N8853" t="s">
        <v>29</v>
      </c>
    </row>
    <row r="8854" spans="1:14">
      <c r="A8854" s="4" t="str">
        <f t="shared" si="782"/>
        <v>EXP00286</v>
      </c>
      <c r="B8854" s="4" t="str">
        <f t="shared" si="780"/>
        <v>27353039</v>
      </c>
      <c r="C8854" s="4" t="str">
        <f t="shared" si="781"/>
        <v>GSE70534</v>
      </c>
      <c r="D8854" s="1" t="s">
        <v>383</v>
      </c>
      <c r="E8854" t="s">
        <v>399</v>
      </c>
      <c r="F8854" s="1">
        <v>1</v>
      </c>
      <c r="G8854" s="1" t="s">
        <v>31</v>
      </c>
      <c r="H8854" s="4" t="str">
        <f>HYPERLINK("https://www.ncbi.nlm.nih.gov/geo/query/acc.cgi?acc=GSM1808484","GSM1808484")</f>
        <v>GSM1808484</v>
      </c>
      <c r="I8854" t="s">
        <v>385</v>
      </c>
      <c r="J8854" t="s">
        <v>386</v>
      </c>
      <c r="K8854" t="s">
        <v>19</v>
      </c>
      <c r="L8854" t="s">
        <v>308</v>
      </c>
      <c r="M8854" t="s">
        <v>169</v>
      </c>
      <c r="N8854" t="s">
        <v>29</v>
      </c>
    </row>
    <row r="8855" spans="1:14">
      <c r="A8855" s="4" t="str">
        <f t="shared" si="782"/>
        <v>EXP00286</v>
      </c>
      <c r="B8855" s="4" t="str">
        <f t="shared" si="780"/>
        <v>27353039</v>
      </c>
      <c r="C8855" s="4" t="str">
        <f t="shared" si="781"/>
        <v>GSE70534</v>
      </c>
      <c r="D8855" s="1" t="s">
        <v>383</v>
      </c>
      <c r="E8855" t="s">
        <v>399</v>
      </c>
      <c r="F8855" s="1">
        <v>1</v>
      </c>
      <c r="G8855" s="1" t="s">
        <v>31</v>
      </c>
      <c r="H8855" s="4" t="str">
        <f>HYPERLINK("https://www.ncbi.nlm.nih.gov/geo/query/acc.cgi?acc=GSM1808490","GSM1808490")</f>
        <v>GSM1808490</v>
      </c>
      <c r="I8855" t="s">
        <v>385</v>
      </c>
      <c r="J8855" t="s">
        <v>386</v>
      </c>
      <c r="K8855" t="s">
        <v>19</v>
      </c>
      <c r="L8855" t="s">
        <v>308</v>
      </c>
      <c r="M8855" t="s">
        <v>24</v>
      </c>
      <c r="N8855" t="s">
        <v>29</v>
      </c>
    </row>
    <row r="8856" spans="1:14">
      <c r="A8856" s="4" t="str">
        <f t="shared" si="782"/>
        <v>EXP00286</v>
      </c>
      <c r="B8856" s="4" t="str">
        <f t="shared" si="780"/>
        <v>27353039</v>
      </c>
      <c r="C8856" s="4" t="str">
        <f t="shared" si="781"/>
        <v>GSE70534</v>
      </c>
      <c r="D8856" s="1" t="s">
        <v>383</v>
      </c>
      <c r="E8856" t="s">
        <v>399</v>
      </c>
      <c r="F8856" s="1">
        <v>2</v>
      </c>
      <c r="G8856" s="1" t="s">
        <v>32</v>
      </c>
      <c r="H8856" s="4" t="str">
        <f>HYPERLINK("https://www.ncbi.nlm.nih.gov/geo/query/acc.cgi?acc=GSM1808466","GSM1808466")</f>
        <v>GSM1808466</v>
      </c>
      <c r="I8856" t="s">
        <v>385</v>
      </c>
      <c r="J8856" t="s">
        <v>386</v>
      </c>
      <c r="K8856" t="s">
        <v>33</v>
      </c>
      <c r="L8856" t="s">
        <v>308</v>
      </c>
      <c r="N8856" t="s">
        <v>29</v>
      </c>
    </row>
    <row r="8857" spans="1:14">
      <c r="A8857" s="4" t="str">
        <f t="shared" si="782"/>
        <v>EXP00286</v>
      </c>
      <c r="B8857" s="4" t="str">
        <f t="shared" si="780"/>
        <v>27353039</v>
      </c>
      <c r="C8857" s="4" t="str">
        <f t="shared" si="781"/>
        <v>GSE70534</v>
      </c>
      <c r="D8857" s="1" t="s">
        <v>383</v>
      </c>
      <c r="E8857" t="s">
        <v>399</v>
      </c>
      <c r="F8857" s="1">
        <v>2</v>
      </c>
      <c r="G8857" s="1" t="s">
        <v>32</v>
      </c>
      <c r="H8857" s="4" t="str">
        <f>HYPERLINK("https://www.ncbi.nlm.nih.gov/geo/query/acc.cgi?acc=GSM1808475","GSM1808475")</f>
        <v>GSM1808475</v>
      </c>
      <c r="I8857" t="s">
        <v>385</v>
      </c>
      <c r="J8857" t="s">
        <v>386</v>
      </c>
      <c r="K8857" t="s">
        <v>33</v>
      </c>
      <c r="L8857" t="s">
        <v>308</v>
      </c>
      <c r="N8857" t="s">
        <v>29</v>
      </c>
    </row>
    <row r="8858" spans="1:14">
      <c r="A8858" s="4" t="str">
        <f t="shared" si="782"/>
        <v>EXP00286</v>
      </c>
      <c r="B8858" s="4" t="str">
        <f t="shared" si="780"/>
        <v>27353039</v>
      </c>
      <c r="C8858" s="4" t="str">
        <f t="shared" si="781"/>
        <v>GSE70534</v>
      </c>
      <c r="D8858" s="1" t="s">
        <v>383</v>
      </c>
      <c r="E8858" t="s">
        <v>399</v>
      </c>
      <c r="F8858" s="1">
        <v>2</v>
      </c>
      <c r="G8858" s="1" t="s">
        <v>32</v>
      </c>
      <c r="H8858" s="4" t="str">
        <f>HYPERLINK("https://www.ncbi.nlm.nih.gov/geo/query/acc.cgi?acc=GSM1808493","GSM1808493")</f>
        <v>GSM1808493</v>
      </c>
      <c r="I8858" t="s">
        <v>385</v>
      </c>
      <c r="J8858" t="s">
        <v>386</v>
      </c>
      <c r="K8858" t="s">
        <v>33</v>
      </c>
      <c r="L8858" t="s">
        <v>308</v>
      </c>
      <c r="N8858" t="s">
        <v>29</v>
      </c>
    </row>
    <row r="8859" spans="1:14">
      <c r="A8859" s="4" t="str">
        <f t="shared" si="782"/>
        <v>EXP00286</v>
      </c>
      <c r="B8859" s="4" t="str">
        <f t="shared" si="780"/>
        <v>27353039</v>
      </c>
      <c r="C8859" s="4" t="str">
        <f t="shared" si="781"/>
        <v>GSE70534</v>
      </c>
      <c r="D8859" s="1" t="s">
        <v>383</v>
      </c>
      <c r="E8859" t="s">
        <v>399</v>
      </c>
      <c r="F8859" s="1">
        <v>2</v>
      </c>
      <c r="G8859" s="1" t="s">
        <v>32</v>
      </c>
      <c r="H8859" s="4" t="str">
        <f>HYPERLINK("https://www.ncbi.nlm.nih.gov/geo/query/acc.cgi?acc=GSM1808494","GSM1808494")</f>
        <v>GSM1808494</v>
      </c>
      <c r="I8859" t="s">
        <v>385</v>
      </c>
      <c r="J8859" t="s">
        <v>386</v>
      </c>
      <c r="K8859" t="s">
        <v>33</v>
      </c>
      <c r="L8859" t="s">
        <v>308</v>
      </c>
      <c r="N8859" t="s">
        <v>29</v>
      </c>
    </row>
    <row r="8860" spans="1:14">
      <c r="A8860" s="4" t="str">
        <f t="shared" si="782"/>
        <v>EXP00286</v>
      </c>
      <c r="B8860" s="4" t="str">
        <f t="shared" si="780"/>
        <v>27353039</v>
      </c>
      <c r="C8860" s="4" t="str">
        <f t="shared" si="781"/>
        <v>GSE70534</v>
      </c>
      <c r="D8860" s="1" t="s">
        <v>383</v>
      </c>
      <c r="E8860" t="s">
        <v>399</v>
      </c>
      <c r="F8860" s="1">
        <v>2</v>
      </c>
      <c r="G8860" s="1" t="s">
        <v>32</v>
      </c>
      <c r="H8860" s="4" t="str">
        <f>HYPERLINK("https://www.ncbi.nlm.nih.gov/geo/query/acc.cgi?acc=GSM1808495","GSM1808495")</f>
        <v>GSM1808495</v>
      </c>
      <c r="I8860" t="s">
        <v>385</v>
      </c>
      <c r="J8860" t="s">
        <v>386</v>
      </c>
      <c r="K8860" t="s">
        <v>33</v>
      </c>
      <c r="L8860" t="s">
        <v>308</v>
      </c>
      <c r="N8860" t="s">
        <v>29</v>
      </c>
    </row>
    <row r="8861" spans="1:14">
      <c r="A8861" s="4" t="str">
        <f t="shared" si="782"/>
        <v>EXP00286</v>
      </c>
      <c r="B8861" s="4" t="str">
        <f t="shared" si="780"/>
        <v>27353039</v>
      </c>
      <c r="C8861" s="4" t="str">
        <f t="shared" si="781"/>
        <v>GSE70534</v>
      </c>
      <c r="D8861" s="1" t="s">
        <v>383</v>
      </c>
      <c r="E8861" t="s">
        <v>399</v>
      </c>
      <c r="F8861" s="1">
        <v>2</v>
      </c>
      <c r="G8861" s="1" t="s">
        <v>32</v>
      </c>
      <c r="H8861" s="4" t="str">
        <f>HYPERLINK("https://www.ncbi.nlm.nih.gov/geo/query/acc.cgi?acc=GSM1808499","GSM1808499")</f>
        <v>GSM1808499</v>
      </c>
      <c r="I8861" t="s">
        <v>385</v>
      </c>
      <c r="J8861" t="s">
        <v>386</v>
      </c>
      <c r="K8861" t="s">
        <v>33</v>
      </c>
      <c r="L8861" t="s">
        <v>308</v>
      </c>
      <c r="N8861" t="s">
        <v>29</v>
      </c>
    </row>
    <row r="8862" spans="1:14">
      <c r="A8862" s="4" t="str">
        <f t="shared" si="782"/>
        <v>EXP00286</v>
      </c>
      <c r="B8862" s="4" t="str">
        <f t="shared" si="780"/>
        <v>27353039</v>
      </c>
      <c r="C8862" s="4" t="str">
        <f t="shared" si="781"/>
        <v>GSE70534</v>
      </c>
      <c r="D8862" s="1" t="s">
        <v>383</v>
      </c>
      <c r="E8862" t="s">
        <v>399</v>
      </c>
      <c r="F8862" s="1">
        <v>2</v>
      </c>
      <c r="G8862" s="1" t="s">
        <v>32</v>
      </c>
      <c r="H8862" s="4" t="str">
        <f>HYPERLINK("https://www.ncbi.nlm.nih.gov/geo/query/acc.cgi?acc=GSM1808501","GSM1808501")</f>
        <v>GSM1808501</v>
      </c>
      <c r="I8862" t="s">
        <v>385</v>
      </c>
      <c r="J8862" t="s">
        <v>386</v>
      </c>
      <c r="K8862" t="s">
        <v>33</v>
      </c>
      <c r="L8862" t="s">
        <v>308</v>
      </c>
      <c r="N8862" t="s">
        <v>29</v>
      </c>
    </row>
    <row r="8863" spans="1:14">
      <c r="A8863" s="4" t="str">
        <f t="shared" si="782"/>
        <v>EXP00286</v>
      </c>
      <c r="B8863" s="4" t="str">
        <f t="shared" si="780"/>
        <v>27353039</v>
      </c>
      <c r="C8863" s="4" t="str">
        <f t="shared" si="781"/>
        <v>GSE70534</v>
      </c>
      <c r="D8863" s="1" t="s">
        <v>383</v>
      </c>
      <c r="E8863" t="s">
        <v>399</v>
      </c>
      <c r="F8863" s="1">
        <v>2</v>
      </c>
      <c r="G8863" s="1" t="s">
        <v>32</v>
      </c>
      <c r="H8863" s="4" t="str">
        <f>HYPERLINK("https://www.ncbi.nlm.nih.gov/geo/query/acc.cgi?acc=GSM2226565","GSM2226565")</f>
        <v>GSM2226565</v>
      </c>
      <c r="I8863" t="s">
        <v>385</v>
      </c>
      <c r="J8863" t="s">
        <v>386</v>
      </c>
      <c r="K8863" t="s">
        <v>33</v>
      </c>
      <c r="L8863" t="s">
        <v>308</v>
      </c>
      <c r="N8863" t="s">
        <v>29</v>
      </c>
    </row>
    <row r="8864" spans="1:14">
      <c r="A8864" s="4" t="str">
        <f t="shared" si="782"/>
        <v>EXP00286</v>
      </c>
      <c r="B8864" s="4" t="str">
        <f t="shared" si="780"/>
        <v>27353039</v>
      </c>
      <c r="C8864" s="4" t="str">
        <f t="shared" si="781"/>
        <v>GSE70534</v>
      </c>
      <c r="D8864" s="1" t="s">
        <v>383</v>
      </c>
      <c r="E8864" t="s">
        <v>399</v>
      </c>
      <c r="F8864" s="1">
        <v>2</v>
      </c>
      <c r="G8864" s="1" t="s">
        <v>32</v>
      </c>
      <c r="H8864" s="4" t="str">
        <f>HYPERLINK("https://www.ncbi.nlm.nih.gov/geo/query/acc.cgi?acc=GSM2226566","GSM2226566")</f>
        <v>GSM2226566</v>
      </c>
      <c r="I8864" t="s">
        <v>385</v>
      </c>
      <c r="J8864" t="s">
        <v>386</v>
      </c>
      <c r="K8864" t="s">
        <v>33</v>
      </c>
      <c r="L8864" t="s">
        <v>308</v>
      </c>
      <c r="N8864" t="s">
        <v>29</v>
      </c>
    </row>
    <row r="8865" spans="1:14">
      <c r="A8865" s="4" t="str">
        <f t="shared" si="782"/>
        <v>EXP00286</v>
      </c>
      <c r="B8865" s="4" t="str">
        <f t="shared" si="780"/>
        <v>27353039</v>
      </c>
      <c r="C8865" s="4" t="str">
        <f t="shared" si="781"/>
        <v>GSE70534</v>
      </c>
      <c r="D8865" s="1" t="s">
        <v>383</v>
      </c>
      <c r="E8865" t="s">
        <v>399</v>
      </c>
      <c r="F8865" s="1">
        <v>2</v>
      </c>
      <c r="G8865" s="1" t="s">
        <v>32</v>
      </c>
      <c r="H8865" s="4" t="str">
        <f>HYPERLINK("https://www.ncbi.nlm.nih.gov/geo/query/acc.cgi?acc=GSM2226567","GSM2226567")</f>
        <v>GSM2226567</v>
      </c>
      <c r="I8865" t="s">
        <v>385</v>
      </c>
      <c r="J8865" t="s">
        <v>386</v>
      </c>
      <c r="K8865" t="s">
        <v>33</v>
      </c>
      <c r="L8865" t="s">
        <v>308</v>
      </c>
      <c r="N8865" t="s">
        <v>29</v>
      </c>
    </row>
    <row r="8866" spans="1:14">
      <c r="A8866" s="4" t="str">
        <f t="shared" si="782"/>
        <v>EXP00286</v>
      </c>
      <c r="B8866" s="4" t="str">
        <f t="shared" si="780"/>
        <v>27353039</v>
      </c>
      <c r="C8866" s="4" t="str">
        <f t="shared" si="781"/>
        <v>GSE70534</v>
      </c>
      <c r="D8866" s="1" t="s">
        <v>383</v>
      </c>
      <c r="E8866" t="s">
        <v>399</v>
      </c>
      <c r="F8866" s="1">
        <v>2</v>
      </c>
      <c r="G8866" s="1" t="s">
        <v>32</v>
      </c>
      <c r="H8866" s="4" t="str">
        <f>HYPERLINK("https://www.ncbi.nlm.nih.gov/geo/query/acc.cgi?acc=GSM2226568","GSM2226568")</f>
        <v>GSM2226568</v>
      </c>
      <c r="I8866" t="s">
        <v>385</v>
      </c>
      <c r="J8866" t="s">
        <v>386</v>
      </c>
      <c r="K8866" t="s">
        <v>33</v>
      </c>
      <c r="L8866" t="s">
        <v>308</v>
      </c>
      <c r="N8866" t="s">
        <v>29</v>
      </c>
    </row>
    <row r="8867" spans="1:14">
      <c r="A8867" s="4" t="str">
        <f t="shared" si="782"/>
        <v>EXP00286</v>
      </c>
      <c r="B8867" s="4" t="str">
        <f t="shared" ref="B8867:B8897" si="783">HYPERLINK("https://www.ncbi.nlm.nih.gov/pubmed/27353039","27353039")</f>
        <v>27353039</v>
      </c>
      <c r="C8867" s="4" t="str">
        <f t="shared" ref="C8867:C8897" si="784">HYPERLINK("https://www.ncbi.nlm.nih.gov/geo/query/acc.cgi?acc=GSE70534","GSE70534")</f>
        <v>GSE70534</v>
      </c>
      <c r="D8867" s="1" t="s">
        <v>383</v>
      </c>
      <c r="E8867" t="s">
        <v>399</v>
      </c>
      <c r="F8867" s="1">
        <v>2</v>
      </c>
      <c r="G8867" s="1" t="s">
        <v>32</v>
      </c>
      <c r="H8867" s="4" t="str">
        <f>HYPERLINK("https://www.ncbi.nlm.nih.gov/geo/query/acc.cgi?acc=GSM2226569","GSM2226569")</f>
        <v>GSM2226569</v>
      </c>
      <c r="I8867" t="s">
        <v>385</v>
      </c>
      <c r="J8867" t="s">
        <v>386</v>
      </c>
      <c r="K8867" t="s">
        <v>33</v>
      </c>
      <c r="L8867" t="s">
        <v>308</v>
      </c>
      <c r="N8867" t="s">
        <v>29</v>
      </c>
    </row>
    <row r="8868" spans="1:14">
      <c r="A8868" s="4" t="str">
        <f t="shared" si="782"/>
        <v>EXP00286</v>
      </c>
      <c r="B8868" s="4" t="str">
        <f t="shared" si="783"/>
        <v>27353039</v>
      </c>
      <c r="C8868" s="4" t="str">
        <f t="shared" si="784"/>
        <v>GSE70534</v>
      </c>
      <c r="D8868" s="1" t="s">
        <v>383</v>
      </c>
      <c r="E8868" t="s">
        <v>399</v>
      </c>
      <c r="F8868" s="1">
        <v>2</v>
      </c>
      <c r="G8868" s="1" t="s">
        <v>32</v>
      </c>
      <c r="H8868" s="4" t="str">
        <f>HYPERLINK("https://www.ncbi.nlm.nih.gov/geo/query/acc.cgi?acc=GSM2226570","GSM2226570")</f>
        <v>GSM2226570</v>
      </c>
      <c r="I8868" t="s">
        <v>385</v>
      </c>
      <c r="J8868" t="s">
        <v>386</v>
      </c>
      <c r="K8868" t="s">
        <v>33</v>
      </c>
      <c r="L8868" t="s">
        <v>308</v>
      </c>
      <c r="N8868" t="s">
        <v>29</v>
      </c>
    </row>
    <row r="8869" spans="1:14">
      <c r="A8869" s="4" t="str">
        <f t="shared" si="782"/>
        <v>EXP00286</v>
      </c>
      <c r="B8869" s="4" t="str">
        <f t="shared" si="783"/>
        <v>27353039</v>
      </c>
      <c r="C8869" s="4" t="str">
        <f t="shared" si="784"/>
        <v>GSE70534</v>
      </c>
      <c r="D8869" s="1" t="s">
        <v>383</v>
      </c>
      <c r="E8869" t="s">
        <v>399</v>
      </c>
      <c r="F8869" s="1">
        <v>2</v>
      </c>
      <c r="G8869" s="1" t="s">
        <v>32</v>
      </c>
      <c r="H8869" s="4" t="str">
        <f>HYPERLINK("https://www.ncbi.nlm.nih.gov/geo/query/acc.cgi?acc=GSM2226571","GSM2226571")</f>
        <v>GSM2226571</v>
      </c>
      <c r="I8869" t="s">
        <v>385</v>
      </c>
      <c r="J8869" t="s">
        <v>386</v>
      </c>
      <c r="K8869" t="s">
        <v>33</v>
      </c>
      <c r="L8869" t="s">
        <v>308</v>
      </c>
      <c r="N8869" t="s">
        <v>29</v>
      </c>
    </row>
    <row r="8870" spans="1:14">
      <c r="A8870" s="4" t="str">
        <f t="shared" si="782"/>
        <v>EXP00286</v>
      </c>
      <c r="B8870" s="4" t="str">
        <f t="shared" si="783"/>
        <v>27353039</v>
      </c>
      <c r="C8870" s="4" t="str">
        <f t="shared" si="784"/>
        <v>GSE70534</v>
      </c>
      <c r="D8870" s="1" t="s">
        <v>383</v>
      </c>
      <c r="E8870" t="s">
        <v>399</v>
      </c>
      <c r="F8870" s="1">
        <v>2</v>
      </c>
      <c r="G8870" s="1" t="s">
        <v>32</v>
      </c>
      <c r="H8870" s="4" t="str">
        <f>HYPERLINK("https://www.ncbi.nlm.nih.gov/geo/query/acc.cgi?acc=GSM2226572","GSM2226572")</f>
        <v>GSM2226572</v>
      </c>
      <c r="I8870" t="s">
        <v>385</v>
      </c>
      <c r="J8870" t="s">
        <v>386</v>
      </c>
      <c r="K8870" t="s">
        <v>33</v>
      </c>
      <c r="L8870" t="s">
        <v>308</v>
      </c>
      <c r="N8870" t="s">
        <v>29</v>
      </c>
    </row>
    <row r="8871" spans="1:14">
      <c r="A8871" s="4" t="str">
        <f t="shared" si="782"/>
        <v>EXP00286</v>
      </c>
      <c r="B8871" s="4" t="str">
        <f t="shared" si="783"/>
        <v>27353039</v>
      </c>
      <c r="C8871" s="4" t="str">
        <f t="shared" si="784"/>
        <v>GSE70534</v>
      </c>
      <c r="D8871" s="1" t="s">
        <v>383</v>
      </c>
      <c r="E8871" t="s">
        <v>399</v>
      </c>
      <c r="F8871" s="1">
        <v>2</v>
      </c>
      <c r="G8871" s="1" t="s">
        <v>32</v>
      </c>
      <c r="H8871" s="4" t="str">
        <f>HYPERLINK("https://www.ncbi.nlm.nih.gov/geo/query/acc.cgi?acc=GSM2226573","GSM2226573")</f>
        <v>GSM2226573</v>
      </c>
      <c r="I8871" t="s">
        <v>385</v>
      </c>
      <c r="J8871" t="s">
        <v>386</v>
      </c>
      <c r="K8871" t="s">
        <v>33</v>
      </c>
      <c r="L8871" t="s">
        <v>308</v>
      </c>
      <c r="N8871" t="s">
        <v>29</v>
      </c>
    </row>
    <row r="8872" spans="1:14">
      <c r="A8872" s="4" t="str">
        <f t="shared" si="782"/>
        <v>EXP00286</v>
      </c>
      <c r="B8872" s="4" t="str">
        <f t="shared" si="783"/>
        <v>27353039</v>
      </c>
      <c r="C8872" s="4" t="str">
        <f t="shared" si="784"/>
        <v>GSE70534</v>
      </c>
      <c r="D8872" s="1" t="s">
        <v>383</v>
      </c>
      <c r="E8872" t="s">
        <v>399</v>
      </c>
      <c r="F8872" s="1">
        <v>2</v>
      </c>
      <c r="G8872" s="1" t="s">
        <v>32</v>
      </c>
      <c r="H8872" s="4" t="str">
        <f>HYPERLINK("https://www.ncbi.nlm.nih.gov/geo/query/acc.cgi?acc=GSM2226574","GSM2226574")</f>
        <v>GSM2226574</v>
      </c>
      <c r="I8872" t="s">
        <v>385</v>
      </c>
      <c r="J8872" t="s">
        <v>386</v>
      </c>
      <c r="K8872" t="s">
        <v>33</v>
      </c>
      <c r="L8872" t="s">
        <v>308</v>
      </c>
      <c r="N8872" t="s">
        <v>29</v>
      </c>
    </row>
    <row r="8873" spans="1:14">
      <c r="A8873" s="4" t="str">
        <f t="shared" si="782"/>
        <v>EXP00286</v>
      </c>
      <c r="B8873" s="4" t="str">
        <f t="shared" si="783"/>
        <v>27353039</v>
      </c>
      <c r="C8873" s="4" t="str">
        <f t="shared" si="784"/>
        <v>GSE70534</v>
      </c>
      <c r="D8873" s="1" t="s">
        <v>383</v>
      </c>
      <c r="E8873" t="s">
        <v>399</v>
      </c>
      <c r="F8873" s="1">
        <v>2</v>
      </c>
      <c r="G8873" s="1" t="s">
        <v>32</v>
      </c>
      <c r="H8873" s="4" t="str">
        <f>HYPERLINK("https://www.ncbi.nlm.nih.gov/geo/query/acc.cgi?acc=GSM2226575","GSM2226575")</f>
        <v>GSM2226575</v>
      </c>
      <c r="I8873" t="s">
        <v>385</v>
      </c>
      <c r="J8873" t="s">
        <v>386</v>
      </c>
      <c r="K8873" t="s">
        <v>33</v>
      </c>
      <c r="L8873" t="s">
        <v>308</v>
      </c>
      <c r="N8873" t="s">
        <v>29</v>
      </c>
    </row>
    <row r="8874" spans="1:14">
      <c r="A8874" s="4" t="str">
        <f t="shared" si="782"/>
        <v>EXP00286</v>
      </c>
      <c r="B8874" s="4" t="str">
        <f t="shared" si="783"/>
        <v>27353039</v>
      </c>
      <c r="C8874" s="4" t="str">
        <f t="shared" si="784"/>
        <v>GSE70534</v>
      </c>
      <c r="D8874" s="1" t="s">
        <v>383</v>
      </c>
      <c r="E8874" t="s">
        <v>399</v>
      </c>
      <c r="F8874" s="1">
        <v>2</v>
      </c>
      <c r="G8874" s="1" t="s">
        <v>32</v>
      </c>
      <c r="H8874" s="4" t="str">
        <f>HYPERLINK("https://www.ncbi.nlm.nih.gov/geo/query/acc.cgi?acc=GSM2226576","GSM2226576")</f>
        <v>GSM2226576</v>
      </c>
      <c r="I8874" t="s">
        <v>385</v>
      </c>
      <c r="J8874" t="s">
        <v>386</v>
      </c>
      <c r="K8874" t="s">
        <v>33</v>
      </c>
      <c r="L8874" t="s">
        <v>308</v>
      </c>
      <c r="N8874" t="s">
        <v>29</v>
      </c>
    </row>
    <row r="8875" spans="1:14">
      <c r="A8875" s="4" t="str">
        <f t="shared" si="782"/>
        <v>EXP00286</v>
      </c>
      <c r="B8875" s="4" t="str">
        <f t="shared" si="783"/>
        <v>27353039</v>
      </c>
      <c r="C8875" s="4" t="str">
        <f t="shared" si="784"/>
        <v>GSE70534</v>
      </c>
      <c r="D8875" s="1" t="s">
        <v>383</v>
      </c>
      <c r="E8875" t="s">
        <v>399</v>
      </c>
      <c r="F8875" s="1">
        <v>2</v>
      </c>
      <c r="G8875" s="1" t="s">
        <v>32</v>
      </c>
      <c r="H8875" s="4" t="str">
        <f>HYPERLINK("https://www.ncbi.nlm.nih.gov/geo/query/acc.cgi?acc=GSM2226577","GSM2226577")</f>
        <v>GSM2226577</v>
      </c>
      <c r="I8875" t="s">
        <v>385</v>
      </c>
      <c r="J8875" t="s">
        <v>386</v>
      </c>
      <c r="K8875" t="s">
        <v>33</v>
      </c>
      <c r="L8875" t="s">
        <v>308</v>
      </c>
      <c r="N8875" t="s">
        <v>29</v>
      </c>
    </row>
    <row r="8876" spans="1:14">
      <c r="A8876" s="4" t="str">
        <f t="shared" ref="A8876:A8897" si="785">HYPERLINK("http://hcmdb.i-sanger.com/experiment/details/experiment_id/EXP00287","EXP00287")</f>
        <v>EXP00287</v>
      </c>
      <c r="B8876" s="4" t="str">
        <f t="shared" si="783"/>
        <v>27353039</v>
      </c>
      <c r="C8876" s="4" t="str">
        <f t="shared" si="784"/>
        <v>GSE70534</v>
      </c>
      <c r="D8876" s="1" t="s">
        <v>383</v>
      </c>
      <c r="E8876" t="s">
        <v>400</v>
      </c>
      <c r="F8876" s="1">
        <v>1</v>
      </c>
      <c r="G8876" s="1" t="s">
        <v>36</v>
      </c>
      <c r="H8876" s="4" t="str">
        <f>HYPERLINK("https://www.ncbi.nlm.nih.gov/geo/query/acc.cgi?acc=GSM1808467","GSM1808467")</f>
        <v>GSM1808467</v>
      </c>
      <c r="I8876" t="s">
        <v>385</v>
      </c>
      <c r="J8876" t="s">
        <v>386</v>
      </c>
      <c r="K8876" t="s">
        <v>33</v>
      </c>
      <c r="L8876" t="s">
        <v>308</v>
      </c>
      <c r="N8876" t="s">
        <v>37</v>
      </c>
    </row>
    <row r="8877" spans="1:14">
      <c r="A8877" s="4" t="str">
        <f t="shared" si="785"/>
        <v>EXP00287</v>
      </c>
      <c r="B8877" s="4" t="str">
        <f t="shared" si="783"/>
        <v>27353039</v>
      </c>
      <c r="C8877" s="4" t="str">
        <f t="shared" si="784"/>
        <v>GSE70534</v>
      </c>
      <c r="D8877" s="1" t="s">
        <v>383</v>
      </c>
      <c r="E8877" t="s">
        <v>400</v>
      </c>
      <c r="F8877" s="1">
        <v>1</v>
      </c>
      <c r="G8877" s="1" t="s">
        <v>36</v>
      </c>
      <c r="H8877" s="4" t="str">
        <f>HYPERLINK("https://www.ncbi.nlm.nih.gov/geo/query/acc.cgi?acc=GSM1808500","GSM1808500")</f>
        <v>GSM1808500</v>
      </c>
      <c r="I8877" t="s">
        <v>385</v>
      </c>
      <c r="J8877" t="s">
        <v>386</v>
      </c>
      <c r="K8877" t="s">
        <v>33</v>
      </c>
      <c r="L8877" t="s">
        <v>308</v>
      </c>
      <c r="N8877" t="s">
        <v>37</v>
      </c>
    </row>
    <row r="8878" spans="1:14">
      <c r="A8878" s="4" t="str">
        <f t="shared" si="785"/>
        <v>EXP00287</v>
      </c>
      <c r="B8878" s="4" t="str">
        <f t="shared" si="783"/>
        <v>27353039</v>
      </c>
      <c r="C8878" s="4" t="str">
        <f t="shared" si="784"/>
        <v>GSE70534</v>
      </c>
      <c r="D8878" s="1" t="s">
        <v>383</v>
      </c>
      <c r="E8878" t="s">
        <v>400</v>
      </c>
      <c r="F8878" s="1">
        <v>2</v>
      </c>
      <c r="G8878" s="1" t="s">
        <v>28</v>
      </c>
      <c r="H8878" s="4" t="str">
        <f>HYPERLINK("https://www.ncbi.nlm.nih.gov/geo/query/acc.cgi?acc=GSM1808466","GSM1808466")</f>
        <v>GSM1808466</v>
      </c>
      <c r="I8878" t="s">
        <v>385</v>
      </c>
      <c r="J8878" t="s">
        <v>386</v>
      </c>
      <c r="K8878" t="s">
        <v>33</v>
      </c>
      <c r="L8878" t="s">
        <v>308</v>
      </c>
      <c r="N8878" t="s">
        <v>29</v>
      </c>
    </row>
    <row r="8879" spans="1:14">
      <c r="A8879" s="4" t="str">
        <f t="shared" si="785"/>
        <v>EXP00287</v>
      </c>
      <c r="B8879" s="4" t="str">
        <f t="shared" si="783"/>
        <v>27353039</v>
      </c>
      <c r="C8879" s="4" t="str">
        <f t="shared" si="784"/>
        <v>GSE70534</v>
      </c>
      <c r="D8879" s="1" t="s">
        <v>383</v>
      </c>
      <c r="E8879" t="s">
        <v>400</v>
      </c>
      <c r="F8879" s="1">
        <v>2</v>
      </c>
      <c r="G8879" s="1" t="s">
        <v>28</v>
      </c>
      <c r="H8879" s="4" t="str">
        <f>HYPERLINK("https://www.ncbi.nlm.nih.gov/geo/query/acc.cgi?acc=GSM1808475","GSM1808475")</f>
        <v>GSM1808475</v>
      </c>
      <c r="I8879" t="s">
        <v>385</v>
      </c>
      <c r="J8879" t="s">
        <v>386</v>
      </c>
      <c r="K8879" t="s">
        <v>33</v>
      </c>
      <c r="L8879" t="s">
        <v>308</v>
      </c>
      <c r="N8879" t="s">
        <v>29</v>
      </c>
    </row>
    <row r="8880" spans="1:14">
      <c r="A8880" s="4" t="str">
        <f t="shared" si="785"/>
        <v>EXP00287</v>
      </c>
      <c r="B8880" s="4" t="str">
        <f t="shared" si="783"/>
        <v>27353039</v>
      </c>
      <c r="C8880" s="4" t="str">
        <f t="shared" si="784"/>
        <v>GSE70534</v>
      </c>
      <c r="D8880" s="1" t="s">
        <v>383</v>
      </c>
      <c r="E8880" t="s">
        <v>400</v>
      </c>
      <c r="F8880" s="1">
        <v>2</v>
      </c>
      <c r="G8880" s="1" t="s">
        <v>28</v>
      </c>
      <c r="H8880" s="4" t="str">
        <f>HYPERLINK("https://www.ncbi.nlm.nih.gov/geo/query/acc.cgi?acc=GSM1808493","GSM1808493")</f>
        <v>GSM1808493</v>
      </c>
      <c r="I8880" t="s">
        <v>385</v>
      </c>
      <c r="J8880" t="s">
        <v>386</v>
      </c>
      <c r="K8880" t="s">
        <v>33</v>
      </c>
      <c r="L8880" t="s">
        <v>308</v>
      </c>
      <c r="N8880" t="s">
        <v>29</v>
      </c>
    </row>
    <row r="8881" spans="1:14">
      <c r="A8881" s="4" t="str">
        <f t="shared" si="785"/>
        <v>EXP00287</v>
      </c>
      <c r="B8881" s="4" t="str">
        <f t="shared" si="783"/>
        <v>27353039</v>
      </c>
      <c r="C8881" s="4" t="str">
        <f t="shared" si="784"/>
        <v>GSE70534</v>
      </c>
      <c r="D8881" s="1" t="s">
        <v>383</v>
      </c>
      <c r="E8881" t="s">
        <v>400</v>
      </c>
      <c r="F8881" s="1">
        <v>2</v>
      </c>
      <c r="G8881" s="1" t="s">
        <v>28</v>
      </c>
      <c r="H8881" s="4" t="str">
        <f>HYPERLINK("https://www.ncbi.nlm.nih.gov/geo/query/acc.cgi?acc=GSM1808494","GSM1808494")</f>
        <v>GSM1808494</v>
      </c>
      <c r="I8881" t="s">
        <v>385</v>
      </c>
      <c r="J8881" t="s">
        <v>386</v>
      </c>
      <c r="K8881" t="s">
        <v>33</v>
      </c>
      <c r="L8881" t="s">
        <v>308</v>
      </c>
      <c r="N8881" t="s">
        <v>29</v>
      </c>
    </row>
    <row r="8882" spans="1:14">
      <c r="A8882" s="4" t="str">
        <f t="shared" si="785"/>
        <v>EXP00287</v>
      </c>
      <c r="B8882" s="4" t="str">
        <f t="shared" si="783"/>
        <v>27353039</v>
      </c>
      <c r="C8882" s="4" t="str">
        <f t="shared" si="784"/>
        <v>GSE70534</v>
      </c>
      <c r="D8882" s="1" t="s">
        <v>383</v>
      </c>
      <c r="E8882" t="s">
        <v>400</v>
      </c>
      <c r="F8882" s="1">
        <v>2</v>
      </c>
      <c r="G8882" s="1" t="s">
        <v>28</v>
      </c>
      <c r="H8882" s="4" t="str">
        <f>HYPERLINK("https://www.ncbi.nlm.nih.gov/geo/query/acc.cgi?acc=GSM1808495","GSM1808495")</f>
        <v>GSM1808495</v>
      </c>
      <c r="I8882" t="s">
        <v>385</v>
      </c>
      <c r="J8882" t="s">
        <v>386</v>
      </c>
      <c r="K8882" t="s">
        <v>33</v>
      </c>
      <c r="L8882" t="s">
        <v>308</v>
      </c>
      <c r="N8882" t="s">
        <v>29</v>
      </c>
    </row>
    <row r="8883" spans="1:14">
      <c r="A8883" s="4" t="str">
        <f t="shared" si="785"/>
        <v>EXP00287</v>
      </c>
      <c r="B8883" s="4" t="str">
        <f t="shared" si="783"/>
        <v>27353039</v>
      </c>
      <c r="C8883" s="4" t="str">
        <f t="shared" si="784"/>
        <v>GSE70534</v>
      </c>
      <c r="D8883" s="1" t="s">
        <v>383</v>
      </c>
      <c r="E8883" t="s">
        <v>400</v>
      </c>
      <c r="F8883" s="1">
        <v>2</v>
      </c>
      <c r="G8883" s="1" t="s">
        <v>28</v>
      </c>
      <c r="H8883" s="4" t="str">
        <f>HYPERLINK("https://www.ncbi.nlm.nih.gov/geo/query/acc.cgi?acc=GSM1808499","GSM1808499")</f>
        <v>GSM1808499</v>
      </c>
      <c r="I8883" t="s">
        <v>385</v>
      </c>
      <c r="J8883" t="s">
        <v>386</v>
      </c>
      <c r="K8883" t="s">
        <v>33</v>
      </c>
      <c r="L8883" t="s">
        <v>308</v>
      </c>
      <c r="N8883" t="s">
        <v>29</v>
      </c>
    </row>
    <row r="8884" spans="1:14">
      <c r="A8884" s="4" t="str">
        <f t="shared" si="785"/>
        <v>EXP00287</v>
      </c>
      <c r="B8884" s="4" t="str">
        <f t="shared" si="783"/>
        <v>27353039</v>
      </c>
      <c r="C8884" s="4" t="str">
        <f t="shared" si="784"/>
        <v>GSE70534</v>
      </c>
      <c r="D8884" s="1" t="s">
        <v>383</v>
      </c>
      <c r="E8884" t="s">
        <v>400</v>
      </c>
      <c r="F8884" s="1">
        <v>2</v>
      </c>
      <c r="G8884" s="1" t="s">
        <v>28</v>
      </c>
      <c r="H8884" s="4" t="str">
        <f>HYPERLINK("https://www.ncbi.nlm.nih.gov/geo/query/acc.cgi?acc=GSM1808501","GSM1808501")</f>
        <v>GSM1808501</v>
      </c>
      <c r="I8884" t="s">
        <v>385</v>
      </c>
      <c r="J8884" t="s">
        <v>386</v>
      </c>
      <c r="K8884" t="s">
        <v>33</v>
      </c>
      <c r="L8884" t="s">
        <v>308</v>
      </c>
      <c r="N8884" t="s">
        <v>29</v>
      </c>
    </row>
    <row r="8885" spans="1:14">
      <c r="A8885" s="4" t="str">
        <f t="shared" si="785"/>
        <v>EXP00287</v>
      </c>
      <c r="B8885" s="4" t="str">
        <f t="shared" si="783"/>
        <v>27353039</v>
      </c>
      <c r="C8885" s="4" t="str">
        <f t="shared" si="784"/>
        <v>GSE70534</v>
      </c>
      <c r="D8885" s="1" t="s">
        <v>383</v>
      </c>
      <c r="E8885" t="s">
        <v>400</v>
      </c>
      <c r="F8885" s="1">
        <v>2</v>
      </c>
      <c r="G8885" s="1" t="s">
        <v>28</v>
      </c>
      <c r="H8885" s="4" t="str">
        <f>HYPERLINK("https://www.ncbi.nlm.nih.gov/geo/query/acc.cgi?acc=GSM2226565","GSM2226565")</f>
        <v>GSM2226565</v>
      </c>
      <c r="I8885" t="s">
        <v>385</v>
      </c>
      <c r="J8885" t="s">
        <v>386</v>
      </c>
      <c r="K8885" t="s">
        <v>33</v>
      </c>
      <c r="L8885" t="s">
        <v>308</v>
      </c>
      <c r="N8885" t="s">
        <v>29</v>
      </c>
    </row>
    <row r="8886" spans="1:14">
      <c r="A8886" s="4" t="str">
        <f t="shared" si="785"/>
        <v>EXP00287</v>
      </c>
      <c r="B8886" s="4" t="str">
        <f t="shared" si="783"/>
        <v>27353039</v>
      </c>
      <c r="C8886" s="4" t="str">
        <f t="shared" si="784"/>
        <v>GSE70534</v>
      </c>
      <c r="D8886" s="1" t="s">
        <v>383</v>
      </c>
      <c r="E8886" t="s">
        <v>400</v>
      </c>
      <c r="F8886" s="1">
        <v>2</v>
      </c>
      <c r="G8886" s="1" t="s">
        <v>28</v>
      </c>
      <c r="H8886" s="4" t="str">
        <f>HYPERLINK("https://www.ncbi.nlm.nih.gov/geo/query/acc.cgi?acc=GSM2226566","GSM2226566")</f>
        <v>GSM2226566</v>
      </c>
      <c r="I8886" t="s">
        <v>385</v>
      </c>
      <c r="J8886" t="s">
        <v>386</v>
      </c>
      <c r="K8886" t="s">
        <v>33</v>
      </c>
      <c r="L8886" t="s">
        <v>308</v>
      </c>
      <c r="N8886" t="s">
        <v>29</v>
      </c>
    </row>
    <row r="8887" spans="1:14">
      <c r="A8887" s="4" t="str">
        <f t="shared" si="785"/>
        <v>EXP00287</v>
      </c>
      <c r="B8887" s="4" t="str">
        <f t="shared" si="783"/>
        <v>27353039</v>
      </c>
      <c r="C8887" s="4" t="str">
        <f t="shared" si="784"/>
        <v>GSE70534</v>
      </c>
      <c r="D8887" s="1" t="s">
        <v>383</v>
      </c>
      <c r="E8887" t="s">
        <v>400</v>
      </c>
      <c r="F8887" s="1">
        <v>2</v>
      </c>
      <c r="G8887" s="1" t="s">
        <v>28</v>
      </c>
      <c r="H8887" s="4" t="str">
        <f>HYPERLINK("https://www.ncbi.nlm.nih.gov/geo/query/acc.cgi?acc=GSM2226567","GSM2226567")</f>
        <v>GSM2226567</v>
      </c>
      <c r="I8887" t="s">
        <v>385</v>
      </c>
      <c r="J8887" t="s">
        <v>386</v>
      </c>
      <c r="K8887" t="s">
        <v>33</v>
      </c>
      <c r="L8887" t="s">
        <v>308</v>
      </c>
      <c r="N8887" t="s">
        <v>29</v>
      </c>
    </row>
    <row r="8888" spans="1:14">
      <c r="A8888" s="4" t="str">
        <f t="shared" si="785"/>
        <v>EXP00287</v>
      </c>
      <c r="B8888" s="4" t="str">
        <f t="shared" si="783"/>
        <v>27353039</v>
      </c>
      <c r="C8888" s="4" t="str">
        <f t="shared" si="784"/>
        <v>GSE70534</v>
      </c>
      <c r="D8888" s="1" t="s">
        <v>383</v>
      </c>
      <c r="E8888" t="s">
        <v>400</v>
      </c>
      <c r="F8888" s="1">
        <v>2</v>
      </c>
      <c r="G8888" s="1" t="s">
        <v>28</v>
      </c>
      <c r="H8888" s="4" t="str">
        <f>HYPERLINK("https://www.ncbi.nlm.nih.gov/geo/query/acc.cgi?acc=GSM2226568","GSM2226568")</f>
        <v>GSM2226568</v>
      </c>
      <c r="I8888" t="s">
        <v>385</v>
      </c>
      <c r="J8888" t="s">
        <v>386</v>
      </c>
      <c r="K8888" t="s">
        <v>33</v>
      </c>
      <c r="L8888" t="s">
        <v>308</v>
      </c>
      <c r="N8888" t="s">
        <v>29</v>
      </c>
    </row>
    <row r="8889" spans="1:14">
      <c r="A8889" s="4" t="str">
        <f t="shared" si="785"/>
        <v>EXP00287</v>
      </c>
      <c r="B8889" s="4" t="str">
        <f t="shared" si="783"/>
        <v>27353039</v>
      </c>
      <c r="C8889" s="4" t="str">
        <f t="shared" si="784"/>
        <v>GSE70534</v>
      </c>
      <c r="D8889" s="1" t="s">
        <v>383</v>
      </c>
      <c r="E8889" t="s">
        <v>400</v>
      </c>
      <c r="F8889" s="1">
        <v>2</v>
      </c>
      <c r="G8889" s="1" t="s">
        <v>28</v>
      </c>
      <c r="H8889" s="4" t="str">
        <f>HYPERLINK("https://www.ncbi.nlm.nih.gov/geo/query/acc.cgi?acc=GSM2226569","GSM2226569")</f>
        <v>GSM2226569</v>
      </c>
      <c r="I8889" t="s">
        <v>385</v>
      </c>
      <c r="J8889" t="s">
        <v>386</v>
      </c>
      <c r="K8889" t="s">
        <v>33</v>
      </c>
      <c r="L8889" t="s">
        <v>308</v>
      </c>
      <c r="N8889" t="s">
        <v>29</v>
      </c>
    </row>
    <row r="8890" spans="1:14">
      <c r="A8890" s="4" t="str">
        <f t="shared" si="785"/>
        <v>EXP00287</v>
      </c>
      <c r="B8890" s="4" t="str">
        <f t="shared" si="783"/>
        <v>27353039</v>
      </c>
      <c r="C8890" s="4" t="str">
        <f t="shared" si="784"/>
        <v>GSE70534</v>
      </c>
      <c r="D8890" s="1" t="s">
        <v>383</v>
      </c>
      <c r="E8890" t="s">
        <v>400</v>
      </c>
      <c r="F8890" s="1">
        <v>2</v>
      </c>
      <c r="G8890" s="1" t="s">
        <v>28</v>
      </c>
      <c r="H8890" s="4" t="str">
        <f>HYPERLINK("https://www.ncbi.nlm.nih.gov/geo/query/acc.cgi?acc=GSM2226570","GSM2226570")</f>
        <v>GSM2226570</v>
      </c>
      <c r="I8890" t="s">
        <v>385</v>
      </c>
      <c r="J8890" t="s">
        <v>386</v>
      </c>
      <c r="K8890" t="s">
        <v>33</v>
      </c>
      <c r="L8890" t="s">
        <v>308</v>
      </c>
      <c r="N8890" t="s">
        <v>29</v>
      </c>
    </row>
    <row r="8891" spans="1:14">
      <c r="A8891" s="4" t="str">
        <f t="shared" si="785"/>
        <v>EXP00287</v>
      </c>
      <c r="B8891" s="4" t="str">
        <f t="shared" si="783"/>
        <v>27353039</v>
      </c>
      <c r="C8891" s="4" t="str">
        <f t="shared" si="784"/>
        <v>GSE70534</v>
      </c>
      <c r="D8891" s="1" t="s">
        <v>383</v>
      </c>
      <c r="E8891" t="s">
        <v>400</v>
      </c>
      <c r="F8891" s="1">
        <v>2</v>
      </c>
      <c r="G8891" s="1" t="s">
        <v>28</v>
      </c>
      <c r="H8891" s="4" t="str">
        <f>HYPERLINK("https://www.ncbi.nlm.nih.gov/geo/query/acc.cgi?acc=GSM2226571","GSM2226571")</f>
        <v>GSM2226571</v>
      </c>
      <c r="I8891" t="s">
        <v>385</v>
      </c>
      <c r="J8891" t="s">
        <v>386</v>
      </c>
      <c r="K8891" t="s">
        <v>33</v>
      </c>
      <c r="L8891" t="s">
        <v>308</v>
      </c>
      <c r="N8891" t="s">
        <v>29</v>
      </c>
    </row>
    <row r="8892" spans="1:14">
      <c r="A8892" s="4" t="str">
        <f t="shared" si="785"/>
        <v>EXP00287</v>
      </c>
      <c r="B8892" s="4" t="str">
        <f t="shared" si="783"/>
        <v>27353039</v>
      </c>
      <c r="C8892" s="4" t="str">
        <f t="shared" si="784"/>
        <v>GSE70534</v>
      </c>
      <c r="D8892" s="1" t="s">
        <v>383</v>
      </c>
      <c r="E8892" t="s">
        <v>400</v>
      </c>
      <c r="F8892" s="1">
        <v>2</v>
      </c>
      <c r="G8892" s="1" t="s">
        <v>28</v>
      </c>
      <c r="H8892" s="4" t="str">
        <f>HYPERLINK("https://www.ncbi.nlm.nih.gov/geo/query/acc.cgi?acc=GSM2226572","GSM2226572")</f>
        <v>GSM2226572</v>
      </c>
      <c r="I8892" t="s">
        <v>385</v>
      </c>
      <c r="J8892" t="s">
        <v>386</v>
      </c>
      <c r="K8892" t="s">
        <v>33</v>
      </c>
      <c r="L8892" t="s">
        <v>308</v>
      </c>
      <c r="N8892" t="s">
        <v>29</v>
      </c>
    </row>
    <row r="8893" spans="1:14">
      <c r="A8893" s="4" t="str">
        <f t="shared" si="785"/>
        <v>EXP00287</v>
      </c>
      <c r="B8893" s="4" t="str">
        <f t="shared" si="783"/>
        <v>27353039</v>
      </c>
      <c r="C8893" s="4" t="str">
        <f t="shared" si="784"/>
        <v>GSE70534</v>
      </c>
      <c r="D8893" s="1" t="s">
        <v>383</v>
      </c>
      <c r="E8893" t="s">
        <v>400</v>
      </c>
      <c r="F8893" s="1">
        <v>2</v>
      </c>
      <c r="G8893" s="1" t="s">
        <v>28</v>
      </c>
      <c r="H8893" s="4" t="str">
        <f>HYPERLINK("https://www.ncbi.nlm.nih.gov/geo/query/acc.cgi?acc=GSM2226573","GSM2226573")</f>
        <v>GSM2226573</v>
      </c>
      <c r="I8893" t="s">
        <v>385</v>
      </c>
      <c r="J8893" t="s">
        <v>386</v>
      </c>
      <c r="K8893" t="s">
        <v>33</v>
      </c>
      <c r="L8893" t="s">
        <v>308</v>
      </c>
      <c r="N8893" t="s">
        <v>29</v>
      </c>
    </row>
    <row r="8894" spans="1:14">
      <c r="A8894" s="4" t="str">
        <f t="shared" si="785"/>
        <v>EXP00287</v>
      </c>
      <c r="B8894" s="4" t="str">
        <f t="shared" si="783"/>
        <v>27353039</v>
      </c>
      <c r="C8894" s="4" t="str">
        <f t="shared" si="784"/>
        <v>GSE70534</v>
      </c>
      <c r="D8894" s="1" t="s">
        <v>383</v>
      </c>
      <c r="E8894" t="s">
        <v>400</v>
      </c>
      <c r="F8894" s="1">
        <v>2</v>
      </c>
      <c r="G8894" s="1" t="s">
        <v>28</v>
      </c>
      <c r="H8894" s="4" t="str">
        <f>HYPERLINK("https://www.ncbi.nlm.nih.gov/geo/query/acc.cgi?acc=GSM2226574","GSM2226574")</f>
        <v>GSM2226574</v>
      </c>
      <c r="I8894" t="s">
        <v>385</v>
      </c>
      <c r="J8894" t="s">
        <v>386</v>
      </c>
      <c r="K8894" t="s">
        <v>33</v>
      </c>
      <c r="L8894" t="s">
        <v>308</v>
      </c>
      <c r="N8894" t="s">
        <v>29</v>
      </c>
    </row>
    <row r="8895" spans="1:14">
      <c r="A8895" s="4" t="str">
        <f t="shared" si="785"/>
        <v>EXP00287</v>
      </c>
      <c r="B8895" s="4" t="str">
        <f t="shared" si="783"/>
        <v>27353039</v>
      </c>
      <c r="C8895" s="4" t="str">
        <f t="shared" si="784"/>
        <v>GSE70534</v>
      </c>
      <c r="D8895" s="1" t="s">
        <v>383</v>
      </c>
      <c r="E8895" t="s">
        <v>400</v>
      </c>
      <c r="F8895" s="1">
        <v>2</v>
      </c>
      <c r="G8895" s="1" t="s">
        <v>28</v>
      </c>
      <c r="H8895" s="4" t="str">
        <f>HYPERLINK("https://www.ncbi.nlm.nih.gov/geo/query/acc.cgi?acc=GSM2226575","GSM2226575")</f>
        <v>GSM2226575</v>
      </c>
      <c r="I8895" t="s">
        <v>385</v>
      </c>
      <c r="J8895" t="s">
        <v>386</v>
      </c>
      <c r="K8895" t="s">
        <v>33</v>
      </c>
      <c r="L8895" t="s">
        <v>308</v>
      </c>
      <c r="N8895" t="s">
        <v>29</v>
      </c>
    </row>
    <row r="8896" spans="1:14">
      <c r="A8896" s="4" t="str">
        <f t="shared" si="785"/>
        <v>EXP00287</v>
      </c>
      <c r="B8896" s="4" t="str">
        <f t="shared" si="783"/>
        <v>27353039</v>
      </c>
      <c r="C8896" s="4" t="str">
        <f t="shared" si="784"/>
        <v>GSE70534</v>
      </c>
      <c r="D8896" s="1" t="s">
        <v>383</v>
      </c>
      <c r="E8896" t="s">
        <v>400</v>
      </c>
      <c r="F8896" s="1">
        <v>2</v>
      </c>
      <c r="G8896" s="1" t="s">
        <v>28</v>
      </c>
      <c r="H8896" s="4" t="str">
        <f>HYPERLINK("https://www.ncbi.nlm.nih.gov/geo/query/acc.cgi?acc=GSM2226576","GSM2226576")</f>
        <v>GSM2226576</v>
      </c>
      <c r="I8896" t="s">
        <v>385</v>
      </c>
      <c r="J8896" t="s">
        <v>386</v>
      </c>
      <c r="K8896" t="s">
        <v>33</v>
      </c>
      <c r="L8896" t="s">
        <v>308</v>
      </c>
      <c r="N8896" t="s">
        <v>29</v>
      </c>
    </row>
    <row r="8897" spans="1:14">
      <c r="A8897" s="4" t="str">
        <f t="shared" si="785"/>
        <v>EXP00287</v>
      </c>
      <c r="B8897" s="4" t="str">
        <f t="shared" si="783"/>
        <v>27353039</v>
      </c>
      <c r="C8897" s="4" t="str">
        <f t="shared" si="784"/>
        <v>GSE70534</v>
      </c>
      <c r="D8897" s="1" t="s">
        <v>383</v>
      </c>
      <c r="E8897" t="s">
        <v>400</v>
      </c>
      <c r="F8897" s="1">
        <v>2</v>
      </c>
      <c r="G8897" s="1" t="s">
        <v>28</v>
      </c>
      <c r="H8897" s="4" t="str">
        <f>HYPERLINK("https://www.ncbi.nlm.nih.gov/geo/query/acc.cgi?acc=GSM2226577","GSM2226577")</f>
        <v>GSM2226577</v>
      </c>
      <c r="I8897" t="s">
        <v>385</v>
      </c>
      <c r="J8897" t="s">
        <v>386</v>
      </c>
      <c r="K8897" t="s">
        <v>33</v>
      </c>
      <c r="L8897" t="s">
        <v>308</v>
      </c>
      <c r="N8897" t="s">
        <v>29</v>
      </c>
    </row>
    <row r="8898" spans="1:14">
      <c r="A8898" s="4" t="str">
        <f t="shared" ref="A8898:A8913" si="786">HYPERLINK("http://hcmdb.i-sanger.com/experiment/details/experiment_id/EXP00288","EXP00288")</f>
        <v>EXP00288</v>
      </c>
      <c r="B8898" s="3" t="s">
        <v>66</v>
      </c>
      <c r="C8898" s="4" t="str">
        <f t="shared" ref="C8898:C8913" si="787">HYPERLINK("https://www.ncbi.nlm.nih.gov/geo/query/acc.cgi?acc=GSE70574","GSE70574")</f>
        <v>GSE70574</v>
      </c>
      <c r="D8898" s="1" t="s">
        <v>378</v>
      </c>
      <c r="E8898" t="s">
        <v>68</v>
      </c>
      <c r="F8898" s="1">
        <v>1</v>
      </c>
      <c r="G8898" s="1" t="s">
        <v>31</v>
      </c>
      <c r="H8898" s="4" t="str">
        <f>HYPERLINK("https://www.ncbi.nlm.nih.gov/geo/query/acc.cgi?acc=GSM1810458","GSM1810458")</f>
        <v>GSM1810458</v>
      </c>
      <c r="I8898" t="s">
        <v>69</v>
      </c>
      <c r="J8898" t="s">
        <v>18</v>
      </c>
      <c r="K8898" t="s">
        <v>19</v>
      </c>
      <c r="L8898" t="s">
        <v>70</v>
      </c>
      <c r="M8898" t="s">
        <v>24</v>
      </c>
      <c r="N8898" t="s">
        <v>29</v>
      </c>
    </row>
    <row r="8899" spans="1:14">
      <c r="A8899" s="4" t="str">
        <f t="shared" si="786"/>
        <v>EXP00288</v>
      </c>
      <c r="B8899" s="3" t="s">
        <v>66</v>
      </c>
      <c r="C8899" s="4" t="str">
        <f t="shared" si="787"/>
        <v>GSE70574</v>
      </c>
      <c r="D8899" s="1" t="s">
        <v>378</v>
      </c>
      <c r="E8899" t="s">
        <v>68</v>
      </c>
      <c r="F8899" s="1">
        <v>1</v>
      </c>
      <c r="G8899" s="1" t="s">
        <v>31</v>
      </c>
      <c r="H8899" s="4" t="str">
        <f>HYPERLINK("https://www.ncbi.nlm.nih.gov/geo/query/acc.cgi?acc=GSM1810459","GSM1810459")</f>
        <v>GSM1810459</v>
      </c>
      <c r="I8899" t="s">
        <v>69</v>
      </c>
      <c r="J8899" t="s">
        <v>18</v>
      </c>
      <c r="K8899" t="s">
        <v>19</v>
      </c>
      <c r="L8899" t="s">
        <v>70</v>
      </c>
      <c r="M8899" t="s">
        <v>24</v>
      </c>
      <c r="N8899" t="s">
        <v>29</v>
      </c>
    </row>
    <row r="8900" spans="1:14">
      <c r="A8900" s="4" t="str">
        <f t="shared" si="786"/>
        <v>EXP00288</v>
      </c>
      <c r="B8900" s="3" t="s">
        <v>66</v>
      </c>
      <c r="C8900" s="4" t="str">
        <f t="shared" si="787"/>
        <v>GSE70574</v>
      </c>
      <c r="D8900" s="1" t="s">
        <v>378</v>
      </c>
      <c r="E8900" t="s">
        <v>68</v>
      </c>
      <c r="F8900" s="1">
        <v>1</v>
      </c>
      <c r="G8900" s="1" t="s">
        <v>31</v>
      </c>
      <c r="H8900" s="4" t="str">
        <f>HYPERLINK("https://www.ncbi.nlm.nih.gov/geo/query/acc.cgi?acc=GSM1810460","GSM1810460")</f>
        <v>GSM1810460</v>
      </c>
      <c r="I8900" t="s">
        <v>69</v>
      </c>
      <c r="J8900" t="s">
        <v>18</v>
      </c>
      <c r="K8900" t="s">
        <v>19</v>
      </c>
      <c r="L8900" t="s">
        <v>70</v>
      </c>
      <c r="M8900" t="s">
        <v>24</v>
      </c>
      <c r="N8900" t="s">
        <v>29</v>
      </c>
    </row>
    <row r="8901" spans="1:14">
      <c r="A8901" s="4" t="str">
        <f t="shared" si="786"/>
        <v>EXP00288</v>
      </c>
      <c r="B8901" s="3" t="s">
        <v>66</v>
      </c>
      <c r="C8901" s="4" t="str">
        <f t="shared" si="787"/>
        <v>GSE70574</v>
      </c>
      <c r="D8901" s="1" t="s">
        <v>378</v>
      </c>
      <c r="E8901" t="s">
        <v>68</v>
      </c>
      <c r="F8901" s="1">
        <v>1</v>
      </c>
      <c r="G8901" s="1" t="s">
        <v>31</v>
      </c>
      <c r="H8901" s="4" t="str">
        <f>HYPERLINK("https://www.ncbi.nlm.nih.gov/geo/query/acc.cgi?acc=GSM1810461","GSM1810461")</f>
        <v>GSM1810461</v>
      </c>
      <c r="I8901" t="s">
        <v>69</v>
      </c>
      <c r="J8901" t="s">
        <v>18</v>
      </c>
      <c r="K8901" t="s">
        <v>19</v>
      </c>
      <c r="L8901" t="s">
        <v>70</v>
      </c>
      <c r="M8901" t="s">
        <v>24</v>
      </c>
      <c r="N8901" t="s">
        <v>29</v>
      </c>
    </row>
    <row r="8902" spans="1:14">
      <c r="A8902" s="4" t="str">
        <f t="shared" si="786"/>
        <v>EXP00288</v>
      </c>
      <c r="B8902" s="3" t="s">
        <v>66</v>
      </c>
      <c r="C8902" s="4" t="str">
        <f t="shared" si="787"/>
        <v>GSE70574</v>
      </c>
      <c r="D8902" s="1" t="s">
        <v>378</v>
      </c>
      <c r="E8902" t="s">
        <v>68</v>
      </c>
      <c r="F8902" s="1">
        <v>1</v>
      </c>
      <c r="G8902" s="1" t="s">
        <v>31</v>
      </c>
      <c r="H8902" s="4" t="str">
        <f>HYPERLINK("https://www.ncbi.nlm.nih.gov/geo/query/acc.cgi?acc=GSM1810462","GSM1810462")</f>
        <v>GSM1810462</v>
      </c>
      <c r="I8902" t="s">
        <v>69</v>
      </c>
      <c r="J8902" t="s">
        <v>18</v>
      </c>
      <c r="K8902" t="s">
        <v>19</v>
      </c>
      <c r="L8902" t="s">
        <v>70</v>
      </c>
      <c r="M8902" t="s">
        <v>24</v>
      </c>
      <c r="N8902" t="s">
        <v>29</v>
      </c>
    </row>
    <row r="8903" spans="1:14">
      <c r="A8903" s="4" t="str">
        <f t="shared" si="786"/>
        <v>EXP00288</v>
      </c>
      <c r="B8903" s="3" t="s">
        <v>66</v>
      </c>
      <c r="C8903" s="4" t="str">
        <f t="shared" si="787"/>
        <v>GSE70574</v>
      </c>
      <c r="D8903" s="1" t="s">
        <v>378</v>
      </c>
      <c r="E8903" t="s">
        <v>68</v>
      </c>
      <c r="F8903" s="1">
        <v>1</v>
      </c>
      <c r="G8903" s="1" t="s">
        <v>31</v>
      </c>
      <c r="H8903" s="4" t="str">
        <f>HYPERLINK("https://www.ncbi.nlm.nih.gov/geo/query/acc.cgi?acc=GSM1810463","GSM1810463")</f>
        <v>GSM1810463</v>
      </c>
      <c r="I8903" t="s">
        <v>69</v>
      </c>
      <c r="J8903" t="s">
        <v>18</v>
      </c>
      <c r="K8903" t="s">
        <v>19</v>
      </c>
      <c r="L8903" t="s">
        <v>70</v>
      </c>
      <c r="M8903" t="s">
        <v>24</v>
      </c>
      <c r="N8903" t="s">
        <v>29</v>
      </c>
    </row>
    <row r="8904" spans="1:14">
      <c r="A8904" s="4" t="str">
        <f t="shared" si="786"/>
        <v>EXP00288</v>
      </c>
      <c r="B8904" s="3" t="s">
        <v>66</v>
      </c>
      <c r="C8904" s="4" t="str">
        <f t="shared" si="787"/>
        <v>GSE70574</v>
      </c>
      <c r="D8904" s="1" t="s">
        <v>378</v>
      </c>
      <c r="E8904" t="s">
        <v>68</v>
      </c>
      <c r="F8904" s="1">
        <v>1</v>
      </c>
      <c r="G8904" s="1" t="s">
        <v>31</v>
      </c>
      <c r="H8904" s="4" t="str">
        <f>HYPERLINK("https://www.ncbi.nlm.nih.gov/geo/query/acc.cgi?acc=GSM1810464","GSM1810464")</f>
        <v>GSM1810464</v>
      </c>
      <c r="I8904" t="s">
        <v>69</v>
      </c>
      <c r="J8904" t="s">
        <v>18</v>
      </c>
      <c r="K8904" t="s">
        <v>19</v>
      </c>
      <c r="L8904" t="s">
        <v>70</v>
      </c>
      <c r="M8904" t="s">
        <v>24</v>
      </c>
      <c r="N8904" t="s">
        <v>29</v>
      </c>
    </row>
    <row r="8905" spans="1:14">
      <c r="A8905" s="4" t="str">
        <f t="shared" si="786"/>
        <v>EXP00288</v>
      </c>
      <c r="B8905" s="3" t="s">
        <v>66</v>
      </c>
      <c r="C8905" s="4" t="str">
        <f t="shared" si="787"/>
        <v>GSE70574</v>
      </c>
      <c r="D8905" s="1" t="s">
        <v>378</v>
      </c>
      <c r="E8905" t="s">
        <v>68</v>
      </c>
      <c r="F8905" s="1">
        <v>2</v>
      </c>
      <c r="G8905" s="1" t="s">
        <v>32</v>
      </c>
      <c r="H8905" s="4" t="str">
        <f>HYPERLINK("https://www.ncbi.nlm.nih.gov/geo/query/acc.cgi?acc=GSM1810449","GSM1810449")</f>
        <v>GSM1810449</v>
      </c>
      <c r="I8905" t="s">
        <v>69</v>
      </c>
      <c r="J8905" t="s">
        <v>18</v>
      </c>
      <c r="K8905" t="s">
        <v>33</v>
      </c>
      <c r="L8905" t="s">
        <v>70</v>
      </c>
      <c r="N8905" t="s">
        <v>29</v>
      </c>
    </row>
    <row r="8906" spans="1:14">
      <c r="A8906" s="4" t="str">
        <f t="shared" si="786"/>
        <v>EXP00288</v>
      </c>
      <c r="B8906" s="3" t="s">
        <v>66</v>
      </c>
      <c r="C8906" s="4" t="str">
        <f t="shared" si="787"/>
        <v>GSE70574</v>
      </c>
      <c r="D8906" s="1" t="s">
        <v>378</v>
      </c>
      <c r="E8906" t="s">
        <v>68</v>
      </c>
      <c r="F8906" s="1">
        <v>2</v>
      </c>
      <c r="G8906" s="1" t="s">
        <v>32</v>
      </c>
      <c r="H8906" s="4" t="str">
        <f>HYPERLINK("https://www.ncbi.nlm.nih.gov/geo/query/acc.cgi?acc=GSM1810450","GSM1810450")</f>
        <v>GSM1810450</v>
      </c>
      <c r="I8906" t="s">
        <v>69</v>
      </c>
      <c r="J8906" t="s">
        <v>18</v>
      </c>
      <c r="K8906" t="s">
        <v>33</v>
      </c>
      <c r="L8906" t="s">
        <v>70</v>
      </c>
      <c r="N8906" t="s">
        <v>29</v>
      </c>
    </row>
    <row r="8907" spans="1:14">
      <c r="A8907" s="4" t="str">
        <f t="shared" si="786"/>
        <v>EXP00288</v>
      </c>
      <c r="B8907" s="3" t="s">
        <v>66</v>
      </c>
      <c r="C8907" s="4" t="str">
        <f t="shared" si="787"/>
        <v>GSE70574</v>
      </c>
      <c r="D8907" s="1" t="s">
        <v>378</v>
      </c>
      <c r="E8907" t="s">
        <v>68</v>
      </c>
      <c r="F8907" s="1">
        <v>2</v>
      </c>
      <c r="G8907" s="1" t="s">
        <v>32</v>
      </c>
      <c r="H8907" s="4" t="str">
        <f>HYPERLINK("https://www.ncbi.nlm.nih.gov/geo/query/acc.cgi?acc=GSM1810451","GSM1810451")</f>
        <v>GSM1810451</v>
      </c>
      <c r="I8907" t="s">
        <v>69</v>
      </c>
      <c r="J8907" t="s">
        <v>18</v>
      </c>
      <c r="K8907" t="s">
        <v>33</v>
      </c>
      <c r="L8907" t="s">
        <v>70</v>
      </c>
      <c r="N8907" t="s">
        <v>29</v>
      </c>
    </row>
    <row r="8908" spans="1:14">
      <c r="A8908" s="4" t="str">
        <f t="shared" si="786"/>
        <v>EXP00288</v>
      </c>
      <c r="B8908" s="3" t="s">
        <v>66</v>
      </c>
      <c r="C8908" s="4" t="str">
        <f t="shared" si="787"/>
        <v>GSE70574</v>
      </c>
      <c r="D8908" s="1" t="s">
        <v>378</v>
      </c>
      <c r="E8908" t="s">
        <v>68</v>
      </c>
      <c r="F8908" s="1">
        <v>2</v>
      </c>
      <c r="G8908" s="1" t="s">
        <v>32</v>
      </c>
      <c r="H8908" s="4" t="str">
        <f>HYPERLINK("https://www.ncbi.nlm.nih.gov/geo/query/acc.cgi?acc=GSM1810452","GSM1810452")</f>
        <v>GSM1810452</v>
      </c>
      <c r="I8908" t="s">
        <v>69</v>
      </c>
      <c r="J8908" t="s">
        <v>18</v>
      </c>
      <c r="K8908" t="s">
        <v>33</v>
      </c>
      <c r="L8908" t="s">
        <v>70</v>
      </c>
      <c r="N8908" t="s">
        <v>29</v>
      </c>
    </row>
    <row r="8909" spans="1:14">
      <c r="A8909" s="4" t="str">
        <f t="shared" si="786"/>
        <v>EXP00288</v>
      </c>
      <c r="B8909" s="3" t="s">
        <v>66</v>
      </c>
      <c r="C8909" s="4" t="str">
        <f t="shared" si="787"/>
        <v>GSE70574</v>
      </c>
      <c r="D8909" s="1" t="s">
        <v>378</v>
      </c>
      <c r="E8909" t="s">
        <v>68</v>
      </c>
      <c r="F8909" s="1">
        <v>2</v>
      </c>
      <c r="G8909" s="1" t="s">
        <v>32</v>
      </c>
      <c r="H8909" s="4" t="str">
        <f>HYPERLINK("https://www.ncbi.nlm.nih.gov/geo/query/acc.cgi?acc=GSM1810453","GSM1810453")</f>
        <v>GSM1810453</v>
      </c>
      <c r="I8909" t="s">
        <v>69</v>
      </c>
      <c r="J8909" t="s">
        <v>18</v>
      </c>
      <c r="K8909" t="s">
        <v>33</v>
      </c>
      <c r="L8909" t="s">
        <v>70</v>
      </c>
      <c r="N8909" t="s">
        <v>29</v>
      </c>
    </row>
    <row r="8910" spans="1:14">
      <c r="A8910" s="4" t="str">
        <f t="shared" si="786"/>
        <v>EXP00288</v>
      </c>
      <c r="B8910" s="3" t="s">
        <v>66</v>
      </c>
      <c r="C8910" s="4" t="str">
        <f t="shared" si="787"/>
        <v>GSE70574</v>
      </c>
      <c r="D8910" s="1" t="s">
        <v>378</v>
      </c>
      <c r="E8910" t="s">
        <v>68</v>
      </c>
      <c r="F8910" s="1">
        <v>2</v>
      </c>
      <c r="G8910" s="1" t="s">
        <v>32</v>
      </c>
      <c r="H8910" s="4" t="str">
        <f>HYPERLINK("https://www.ncbi.nlm.nih.gov/geo/query/acc.cgi?acc=GSM1810454","GSM1810454")</f>
        <v>GSM1810454</v>
      </c>
      <c r="I8910" t="s">
        <v>69</v>
      </c>
      <c r="J8910" t="s">
        <v>18</v>
      </c>
      <c r="K8910" t="s">
        <v>33</v>
      </c>
      <c r="L8910" t="s">
        <v>70</v>
      </c>
      <c r="N8910" t="s">
        <v>29</v>
      </c>
    </row>
    <row r="8911" spans="1:14">
      <c r="A8911" s="4" t="str">
        <f t="shared" si="786"/>
        <v>EXP00288</v>
      </c>
      <c r="B8911" s="3" t="s">
        <v>66</v>
      </c>
      <c r="C8911" s="4" t="str">
        <f t="shared" si="787"/>
        <v>GSE70574</v>
      </c>
      <c r="D8911" s="1" t="s">
        <v>378</v>
      </c>
      <c r="E8911" t="s">
        <v>68</v>
      </c>
      <c r="F8911" s="1">
        <v>2</v>
      </c>
      <c r="G8911" s="1" t="s">
        <v>32</v>
      </c>
      <c r="H8911" s="4" t="str">
        <f>HYPERLINK("https://www.ncbi.nlm.nih.gov/geo/query/acc.cgi?acc=GSM1810455","GSM1810455")</f>
        <v>GSM1810455</v>
      </c>
      <c r="I8911" t="s">
        <v>69</v>
      </c>
      <c r="J8911" t="s">
        <v>18</v>
      </c>
      <c r="K8911" t="s">
        <v>33</v>
      </c>
      <c r="L8911" t="s">
        <v>70</v>
      </c>
      <c r="N8911" t="s">
        <v>29</v>
      </c>
    </row>
    <row r="8912" spans="1:14">
      <c r="A8912" s="4" t="str">
        <f t="shared" si="786"/>
        <v>EXP00288</v>
      </c>
      <c r="B8912" s="3" t="s">
        <v>66</v>
      </c>
      <c r="C8912" s="4" t="str">
        <f t="shared" si="787"/>
        <v>GSE70574</v>
      </c>
      <c r="D8912" s="1" t="s">
        <v>378</v>
      </c>
      <c r="E8912" t="s">
        <v>68</v>
      </c>
      <c r="F8912" s="1">
        <v>2</v>
      </c>
      <c r="G8912" s="1" t="s">
        <v>32</v>
      </c>
      <c r="H8912" s="4" t="str">
        <f>HYPERLINK("https://www.ncbi.nlm.nih.gov/geo/query/acc.cgi?acc=GSM1810456","GSM1810456")</f>
        <v>GSM1810456</v>
      </c>
      <c r="I8912" t="s">
        <v>69</v>
      </c>
      <c r="J8912" t="s">
        <v>18</v>
      </c>
      <c r="K8912" t="s">
        <v>33</v>
      </c>
      <c r="L8912" t="s">
        <v>70</v>
      </c>
      <c r="N8912" t="s">
        <v>29</v>
      </c>
    </row>
    <row r="8913" spans="1:14">
      <c r="A8913" s="4" t="str">
        <f t="shared" si="786"/>
        <v>EXP00288</v>
      </c>
      <c r="B8913" s="3" t="s">
        <v>66</v>
      </c>
      <c r="C8913" s="4" t="str">
        <f t="shared" si="787"/>
        <v>GSE70574</v>
      </c>
      <c r="D8913" s="1" t="s">
        <v>378</v>
      </c>
      <c r="E8913" t="s">
        <v>68</v>
      </c>
      <c r="F8913" s="1">
        <v>2</v>
      </c>
      <c r="G8913" s="1" t="s">
        <v>32</v>
      </c>
      <c r="H8913" s="4" t="str">
        <f>HYPERLINK("https://www.ncbi.nlm.nih.gov/geo/query/acc.cgi?acc=GSM1810457","GSM1810457")</f>
        <v>GSM1810457</v>
      </c>
      <c r="I8913" t="s">
        <v>69</v>
      </c>
      <c r="J8913" t="s">
        <v>18</v>
      </c>
      <c r="K8913" t="s">
        <v>33</v>
      </c>
      <c r="L8913" t="s">
        <v>70</v>
      </c>
      <c r="N8913" t="s">
        <v>29</v>
      </c>
    </row>
    <row r="8914" spans="1:14">
      <c r="A8914" s="4" t="str">
        <f t="shared" ref="A8914:A8945" si="788">HYPERLINK("http://hcmdb.i-sanger.com/experiment/details/experiment_id/EXP00289","EXP00289")</f>
        <v>EXP00289</v>
      </c>
      <c r="B8914" s="4" t="str">
        <f t="shared" ref="B8914:B8945" si="789">HYPERLINK("https://www.ncbi.nlm.nih.gov/pubmed/26499327","26499327")</f>
        <v>26499327</v>
      </c>
      <c r="C8914" s="4" t="str">
        <f t="shared" ref="C8914:C8945" si="790">HYPERLINK("https://www.ncbi.nlm.nih.gov/geo/query/acc.cgi?acc=GSE71222","GSE71222")</f>
        <v>GSE71222</v>
      </c>
      <c r="D8914" s="1" t="s">
        <v>45</v>
      </c>
      <c r="E8914" t="s">
        <v>68</v>
      </c>
      <c r="F8914" s="1">
        <v>1</v>
      </c>
      <c r="G8914" s="1" t="s">
        <v>31</v>
      </c>
      <c r="H8914" s="4" t="str">
        <f>HYPERLINK("https://www.ncbi.nlm.nih.gov/geo/query/acc.cgi?acc=GSM1830790","GSM1830790")</f>
        <v>GSM1830790</v>
      </c>
      <c r="I8914" t="s">
        <v>69</v>
      </c>
      <c r="J8914" t="s">
        <v>18</v>
      </c>
      <c r="K8914" t="s">
        <v>19</v>
      </c>
      <c r="L8914" t="s">
        <v>70</v>
      </c>
      <c r="M8914" t="s">
        <v>51</v>
      </c>
      <c r="N8914" t="s">
        <v>29</v>
      </c>
    </row>
    <row r="8915" spans="1:14">
      <c r="A8915" s="4" t="str">
        <f t="shared" si="788"/>
        <v>EXP00289</v>
      </c>
      <c r="B8915" s="4" t="str">
        <f t="shared" si="789"/>
        <v>26499327</v>
      </c>
      <c r="C8915" s="4" t="str">
        <f t="shared" si="790"/>
        <v>GSE71222</v>
      </c>
      <c r="D8915" s="1" t="s">
        <v>45</v>
      </c>
      <c r="E8915" t="s">
        <v>68</v>
      </c>
      <c r="F8915" s="1">
        <v>1</v>
      </c>
      <c r="G8915" s="1" t="s">
        <v>31</v>
      </c>
      <c r="H8915" s="4" t="str">
        <f>HYPERLINK("https://www.ncbi.nlm.nih.gov/geo/query/acc.cgi?acc=GSM1830795","GSM1830795")</f>
        <v>GSM1830795</v>
      </c>
      <c r="I8915" t="s">
        <v>69</v>
      </c>
      <c r="J8915" t="s">
        <v>18</v>
      </c>
      <c r="K8915" t="s">
        <v>19</v>
      </c>
      <c r="L8915" t="s">
        <v>70</v>
      </c>
      <c r="M8915" t="s">
        <v>51</v>
      </c>
      <c r="N8915" t="s">
        <v>29</v>
      </c>
    </row>
    <row r="8916" spans="1:14">
      <c r="A8916" s="4" t="str">
        <f t="shared" si="788"/>
        <v>EXP00289</v>
      </c>
      <c r="B8916" s="4" t="str">
        <f t="shared" si="789"/>
        <v>26499327</v>
      </c>
      <c r="C8916" s="4" t="str">
        <f t="shared" si="790"/>
        <v>GSE71222</v>
      </c>
      <c r="D8916" s="1" t="s">
        <v>45</v>
      </c>
      <c r="E8916" t="s">
        <v>68</v>
      </c>
      <c r="F8916" s="1">
        <v>1</v>
      </c>
      <c r="G8916" s="1" t="s">
        <v>31</v>
      </c>
      <c r="H8916" s="4" t="str">
        <f>HYPERLINK("https://www.ncbi.nlm.nih.gov/geo/query/acc.cgi?acc=GSM1830801","GSM1830801")</f>
        <v>GSM1830801</v>
      </c>
      <c r="I8916" t="s">
        <v>69</v>
      </c>
      <c r="J8916" t="s">
        <v>18</v>
      </c>
      <c r="K8916" t="s">
        <v>19</v>
      </c>
      <c r="L8916" t="s">
        <v>70</v>
      </c>
      <c r="M8916" t="s">
        <v>51</v>
      </c>
      <c r="N8916" t="s">
        <v>29</v>
      </c>
    </row>
    <row r="8917" spans="1:14">
      <c r="A8917" s="4" t="str">
        <f t="shared" si="788"/>
        <v>EXP00289</v>
      </c>
      <c r="B8917" s="4" t="str">
        <f t="shared" si="789"/>
        <v>26499327</v>
      </c>
      <c r="C8917" s="4" t="str">
        <f t="shared" si="790"/>
        <v>GSE71222</v>
      </c>
      <c r="D8917" s="1" t="s">
        <v>45</v>
      </c>
      <c r="E8917" t="s">
        <v>68</v>
      </c>
      <c r="F8917" s="1">
        <v>1</v>
      </c>
      <c r="G8917" s="1" t="s">
        <v>31</v>
      </c>
      <c r="H8917" s="4" t="str">
        <f>HYPERLINK("https://www.ncbi.nlm.nih.gov/geo/query/acc.cgi?acc=GSM1830814","GSM1830814")</f>
        <v>GSM1830814</v>
      </c>
      <c r="I8917" t="s">
        <v>69</v>
      </c>
      <c r="J8917" t="s">
        <v>18</v>
      </c>
      <c r="K8917" t="s">
        <v>19</v>
      </c>
      <c r="L8917" t="s">
        <v>70</v>
      </c>
      <c r="M8917" t="s">
        <v>51</v>
      </c>
      <c r="N8917" t="s">
        <v>29</v>
      </c>
    </row>
    <row r="8918" spans="1:14">
      <c r="A8918" s="4" t="str">
        <f t="shared" si="788"/>
        <v>EXP00289</v>
      </c>
      <c r="B8918" s="4" t="str">
        <f t="shared" si="789"/>
        <v>26499327</v>
      </c>
      <c r="C8918" s="4" t="str">
        <f t="shared" si="790"/>
        <v>GSE71222</v>
      </c>
      <c r="D8918" s="1" t="s">
        <v>45</v>
      </c>
      <c r="E8918" t="s">
        <v>68</v>
      </c>
      <c r="F8918" s="1">
        <v>1</v>
      </c>
      <c r="G8918" s="1" t="s">
        <v>31</v>
      </c>
      <c r="H8918" s="4" t="str">
        <f>HYPERLINK("https://www.ncbi.nlm.nih.gov/geo/query/acc.cgi?acc=GSM1830816","GSM1830816")</f>
        <v>GSM1830816</v>
      </c>
      <c r="I8918" t="s">
        <v>69</v>
      </c>
      <c r="J8918" t="s">
        <v>18</v>
      </c>
      <c r="K8918" t="s">
        <v>19</v>
      </c>
      <c r="L8918" t="s">
        <v>70</v>
      </c>
      <c r="M8918" t="s">
        <v>51</v>
      </c>
      <c r="N8918" t="s">
        <v>29</v>
      </c>
    </row>
    <row r="8919" spans="1:14">
      <c r="A8919" s="4" t="str">
        <f t="shared" si="788"/>
        <v>EXP00289</v>
      </c>
      <c r="B8919" s="4" t="str">
        <f t="shared" si="789"/>
        <v>26499327</v>
      </c>
      <c r="C8919" s="4" t="str">
        <f t="shared" si="790"/>
        <v>GSE71222</v>
      </c>
      <c r="D8919" s="1" t="s">
        <v>45</v>
      </c>
      <c r="E8919" t="s">
        <v>68</v>
      </c>
      <c r="F8919" s="1">
        <v>1</v>
      </c>
      <c r="G8919" s="1" t="s">
        <v>31</v>
      </c>
      <c r="H8919" s="4" t="str">
        <f>HYPERLINK("https://www.ncbi.nlm.nih.gov/geo/query/acc.cgi?acc=GSM1830819","GSM1830819")</f>
        <v>GSM1830819</v>
      </c>
      <c r="I8919" t="s">
        <v>69</v>
      </c>
      <c r="J8919" t="s">
        <v>18</v>
      </c>
      <c r="K8919" t="s">
        <v>19</v>
      </c>
      <c r="L8919" t="s">
        <v>70</v>
      </c>
      <c r="M8919" t="s">
        <v>51</v>
      </c>
      <c r="N8919" t="s">
        <v>29</v>
      </c>
    </row>
    <row r="8920" spans="1:14">
      <c r="A8920" s="4" t="str">
        <f t="shared" si="788"/>
        <v>EXP00289</v>
      </c>
      <c r="B8920" s="4" t="str">
        <f t="shared" si="789"/>
        <v>26499327</v>
      </c>
      <c r="C8920" s="4" t="str">
        <f t="shared" si="790"/>
        <v>GSE71222</v>
      </c>
      <c r="D8920" s="1" t="s">
        <v>45</v>
      </c>
      <c r="E8920" t="s">
        <v>68</v>
      </c>
      <c r="F8920" s="1">
        <v>1</v>
      </c>
      <c r="G8920" s="1" t="s">
        <v>31</v>
      </c>
      <c r="H8920" s="4" t="str">
        <f>HYPERLINK("https://www.ncbi.nlm.nih.gov/geo/query/acc.cgi?acc=GSM1830820","GSM1830820")</f>
        <v>GSM1830820</v>
      </c>
      <c r="I8920" t="s">
        <v>69</v>
      </c>
      <c r="J8920" t="s">
        <v>18</v>
      </c>
      <c r="K8920" t="s">
        <v>19</v>
      </c>
      <c r="L8920" t="s">
        <v>70</v>
      </c>
      <c r="M8920" t="s">
        <v>51</v>
      </c>
      <c r="N8920" t="s">
        <v>29</v>
      </c>
    </row>
    <row r="8921" spans="1:14">
      <c r="A8921" s="4" t="str">
        <f t="shared" si="788"/>
        <v>EXP00289</v>
      </c>
      <c r="B8921" s="4" t="str">
        <f t="shared" si="789"/>
        <v>26499327</v>
      </c>
      <c r="C8921" s="4" t="str">
        <f t="shared" si="790"/>
        <v>GSE71222</v>
      </c>
      <c r="D8921" s="1" t="s">
        <v>45</v>
      </c>
      <c r="E8921" t="s">
        <v>68</v>
      </c>
      <c r="F8921" s="1">
        <v>1</v>
      </c>
      <c r="G8921" s="1" t="s">
        <v>31</v>
      </c>
      <c r="H8921" s="4" t="str">
        <f>HYPERLINK("https://www.ncbi.nlm.nih.gov/geo/query/acc.cgi?acc=GSM1830825","GSM1830825")</f>
        <v>GSM1830825</v>
      </c>
      <c r="I8921" t="s">
        <v>69</v>
      </c>
      <c r="J8921" t="s">
        <v>18</v>
      </c>
      <c r="K8921" t="s">
        <v>19</v>
      </c>
      <c r="L8921" t="s">
        <v>70</v>
      </c>
      <c r="M8921" t="s">
        <v>51</v>
      </c>
      <c r="N8921" t="s">
        <v>29</v>
      </c>
    </row>
    <row r="8922" spans="1:14">
      <c r="A8922" s="4" t="str">
        <f t="shared" si="788"/>
        <v>EXP00289</v>
      </c>
      <c r="B8922" s="4" t="str">
        <f t="shared" si="789"/>
        <v>26499327</v>
      </c>
      <c r="C8922" s="4" t="str">
        <f t="shared" si="790"/>
        <v>GSE71222</v>
      </c>
      <c r="D8922" s="1" t="s">
        <v>45</v>
      </c>
      <c r="E8922" t="s">
        <v>68</v>
      </c>
      <c r="F8922" s="1">
        <v>1</v>
      </c>
      <c r="G8922" s="1" t="s">
        <v>31</v>
      </c>
      <c r="H8922" s="4" t="str">
        <f>HYPERLINK("https://www.ncbi.nlm.nih.gov/geo/query/acc.cgi?acc=GSM1830828","GSM1830828")</f>
        <v>GSM1830828</v>
      </c>
      <c r="I8922" t="s">
        <v>69</v>
      </c>
      <c r="J8922" t="s">
        <v>18</v>
      </c>
      <c r="K8922" t="s">
        <v>19</v>
      </c>
      <c r="L8922" t="s">
        <v>70</v>
      </c>
      <c r="M8922" t="s">
        <v>51</v>
      </c>
      <c r="N8922" t="s">
        <v>29</v>
      </c>
    </row>
    <row r="8923" spans="1:14">
      <c r="A8923" s="4" t="str">
        <f t="shared" si="788"/>
        <v>EXP00289</v>
      </c>
      <c r="B8923" s="4" t="str">
        <f t="shared" si="789"/>
        <v>26499327</v>
      </c>
      <c r="C8923" s="4" t="str">
        <f t="shared" si="790"/>
        <v>GSE71222</v>
      </c>
      <c r="D8923" s="1" t="s">
        <v>45</v>
      </c>
      <c r="E8923" t="s">
        <v>68</v>
      </c>
      <c r="F8923" s="1">
        <v>1</v>
      </c>
      <c r="G8923" s="1" t="s">
        <v>31</v>
      </c>
      <c r="H8923" s="4" t="str">
        <f>HYPERLINK("https://www.ncbi.nlm.nih.gov/geo/query/acc.cgi?acc=GSM1830843","GSM1830843")</f>
        <v>GSM1830843</v>
      </c>
      <c r="I8923" t="s">
        <v>69</v>
      </c>
      <c r="J8923" t="s">
        <v>18</v>
      </c>
      <c r="K8923" t="s">
        <v>19</v>
      </c>
      <c r="L8923" t="s">
        <v>70</v>
      </c>
      <c r="M8923" t="s">
        <v>51</v>
      </c>
      <c r="N8923" t="s">
        <v>29</v>
      </c>
    </row>
    <row r="8924" spans="1:14">
      <c r="A8924" s="4" t="str">
        <f t="shared" si="788"/>
        <v>EXP00289</v>
      </c>
      <c r="B8924" s="4" t="str">
        <f t="shared" si="789"/>
        <v>26499327</v>
      </c>
      <c r="C8924" s="4" t="str">
        <f t="shared" si="790"/>
        <v>GSE71222</v>
      </c>
      <c r="D8924" s="1" t="s">
        <v>45</v>
      </c>
      <c r="E8924" t="s">
        <v>68</v>
      </c>
      <c r="F8924" s="1">
        <v>1</v>
      </c>
      <c r="G8924" s="1" t="s">
        <v>31</v>
      </c>
      <c r="H8924" s="4" t="str">
        <f>HYPERLINK("https://www.ncbi.nlm.nih.gov/geo/query/acc.cgi?acc=GSM1830844","GSM1830844")</f>
        <v>GSM1830844</v>
      </c>
      <c r="I8924" t="s">
        <v>69</v>
      </c>
      <c r="J8924" t="s">
        <v>18</v>
      </c>
      <c r="K8924" t="s">
        <v>19</v>
      </c>
      <c r="L8924" t="s">
        <v>70</v>
      </c>
      <c r="M8924" t="s">
        <v>51</v>
      </c>
      <c r="N8924" t="s">
        <v>29</v>
      </c>
    </row>
    <row r="8925" spans="1:14">
      <c r="A8925" s="4" t="str">
        <f t="shared" si="788"/>
        <v>EXP00289</v>
      </c>
      <c r="B8925" s="4" t="str">
        <f t="shared" si="789"/>
        <v>26499327</v>
      </c>
      <c r="C8925" s="4" t="str">
        <f t="shared" si="790"/>
        <v>GSE71222</v>
      </c>
      <c r="D8925" s="1" t="s">
        <v>45</v>
      </c>
      <c r="E8925" t="s">
        <v>68</v>
      </c>
      <c r="F8925" s="1">
        <v>1</v>
      </c>
      <c r="G8925" s="1" t="s">
        <v>31</v>
      </c>
      <c r="H8925" s="4" t="str">
        <f>HYPERLINK("https://www.ncbi.nlm.nih.gov/geo/query/acc.cgi?acc=GSM1830852","GSM1830852")</f>
        <v>GSM1830852</v>
      </c>
      <c r="I8925" t="s">
        <v>69</v>
      </c>
      <c r="J8925" t="s">
        <v>18</v>
      </c>
      <c r="K8925" t="s">
        <v>19</v>
      </c>
      <c r="L8925" t="s">
        <v>70</v>
      </c>
      <c r="M8925" t="s">
        <v>51</v>
      </c>
      <c r="N8925" t="s">
        <v>29</v>
      </c>
    </row>
    <row r="8926" spans="1:14">
      <c r="A8926" s="4" t="str">
        <f t="shared" si="788"/>
        <v>EXP00289</v>
      </c>
      <c r="B8926" s="4" t="str">
        <f t="shared" si="789"/>
        <v>26499327</v>
      </c>
      <c r="C8926" s="4" t="str">
        <f t="shared" si="790"/>
        <v>GSE71222</v>
      </c>
      <c r="D8926" s="1" t="s">
        <v>45</v>
      </c>
      <c r="E8926" t="s">
        <v>68</v>
      </c>
      <c r="F8926" s="1">
        <v>1</v>
      </c>
      <c r="G8926" s="1" t="s">
        <v>31</v>
      </c>
      <c r="H8926" s="4" t="str">
        <f>HYPERLINK("https://www.ncbi.nlm.nih.gov/geo/query/acc.cgi?acc=GSM1830867","GSM1830867")</f>
        <v>GSM1830867</v>
      </c>
      <c r="I8926" t="s">
        <v>69</v>
      </c>
      <c r="J8926" t="s">
        <v>18</v>
      </c>
      <c r="K8926" t="s">
        <v>19</v>
      </c>
      <c r="L8926" t="s">
        <v>70</v>
      </c>
      <c r="M8926" t="s">
        <v>51</v>
      </c>
      <c r="N8926" t="s">
        <v>29</v>
      </c>
    </row>
    <row r="8927" spans="1:14">
      <c r="A8927" s="4" t="str">
        <f t="shared" si="788"/>
        <v>EXP00289</v>
      </c>
      <c r="B8927" s="4" t="str">
        <f t="shared" si="789"/>
        <v>26499327</v>
      </c>
      <c r="C8927" s="4" t="str">
        <f t="shared" si="790"/>
        <v>GSE71222</v>
      </c>
      <c r="D8927" s="1" t="s">
        <v>45</v>
      </c>
      <c r="E8927" t="s">
        <v>68</v>
      </c>
      <c r="F8927" s="1">
        <v>1</v>
      </c>
      <c r="G8927" s="1" t="s">
        <v>31</v>
      </c>
      <c r="H8927" s="4" t="str">
        <f>HYPERLINK("https://www.ncbi.nlm.nih.gov/geo/query/acc.cgi?acc=GSM1830869","GSM1830869")</f>
        <v>GSM1830869</v>
      </c>
      <c r="I8927" t="s">
        <v>69</v>
      </c>
      <c r="J8927" t="s">
        <v>18</v>
      </c>
      <c r="K8927" t="s">
        <v>19</v>
      </c>
      <c r="L8927" t="s">
        <v>70</v>
      </c>
      <c r="M8927" t="s">
        <v>51</v>
      </c>
      <c r="N8927" t="s">
        <v>29</v>
      </c>
    </row>
    <row r="8928" spans="1:14">
      <c r="A8928" s="4" t="str">
        <f t="shared" si="788"/>
        <v>EXP00289</v>
      </c>
      <c r="B8928" s="4" t="str">
        <f t="shared" si="789"/>
        <v>26499327</v>
      </c>
      <c r="C8928" s="4" t="str">
        <f t="shared" si="790"/>
        <v>GSE71222</v>
      </c>
      <c r="D8928" s="1" t="s">
        <v>45</v>
      </c>
      <c r="E8928" t="s">
        <v>68</v>
      </c>
      <c r="F8928" s="1">
        <v>1</v>
      </c>
      <c r="G8928" s="1" t="s">
        <v>31</v>
      </c>
      <c r="H8928" s="4" t="str">
        <f>HYPERLINK("https://www.ncbi.nlm.nih.gov/geo/query/acc.cgi?acc=GSM1830874","GSM1830874")</f>
        <v>GSM1830874</v>
      </c>
      <c r="I8928" t="s">
        <v>69</v>
      </c>
      <c r="J8928" t="s">
        <v>18</v>
      </c>
      <c r="K8928" t="s">
        <v>19</v>
      </c>
      <c r="L8928" t="s">
        <v>70</v>
      </c>
      <c r="M8928" t="s">
        <v>51</v>
      </c>
      <c r="N8928" t="s">
        <v>29</v>
      </c>
    </row>
    <row r="8929" spans="1:14">
      <c r="A8929" s="4" t="str">
        <f t="shared" si="788"/>
        <v>EXP00289</v>
      </c>
      <c r="B8929" s="4" t="str">
        <f t="shared" si="789"/>
        <v>26499327</v>
      </c>
      <c r="C8929" s="4" t="str">
        <f t="shared" si="790"/>
        <v>GSE71222</v>
      </c>
      <c r="D8929" s="1" t="s">
        <v>45</v>
      </c>
      <c r="E8929" t="s">
        <v>68</v>
      </c>
      <c r="F8929" s="1">
        <v>1</v>
      </c>
      <c r="G8929" s="1" t="s">
        <v>31</v>
      </c>
      <c r="H8929" s="4" t="str">
        <f>HYPERLINK("https://www.ncbi.nlm.nih.gov/geo/query/acc.cgi?acc=GSM1830890","GSM1830890")</f>
        <v>GSM1830890</v>
      </c>
      <c r="I8929" t="s">
        <v>69</v>
      </c>
      <c r="J8929" t="s">
        <v>18</v>
      </c>
      <c r="K8929" t="s">
        <v>19</v>
      </c>
      <c r="L8929" t="s">
        <v>70</v>
      </c>
      <c r="M8929" t="s">
        <v>51</v>
      </c>
      <c r="N8929" t="s">
        <v>29</v>
      </c>
    </row>
    <row r="8930" spans="1:14">
      <c r="A8930" s="4" t="str">
        <f t="shared" si="788"/>
        <v>EXP00289</v>
      </c>
      <c r="B8930" s="4" t="str">
        <f t="shared" si="789"/>
        <v>26499327</v>
      </c>
      <c r="C8930" s="4" t="str">
        <f t="shared" si="790"/>
        <v>GSE71222</v>
      </c>
      <c r="D8930" s="1" t="s">
        <v>45</v>
      </c>
      <c r="E8930" t="s">
        <v>68</v>
      </c>
      <c r="F8930" s="1">
        <v>1</v>
      </c>
      <c r="G8930" s="1" t="s">
        <v>31</v>
      </c>
      <c r="H8930" s="4" t="str">
        <f>HYPERLINK("https://www.ncbi.nlm.nih.gov/geo/query/acc.cgi?acc=GSM1830897","GSM1830897")</f>
        <v>GSM1830897</v>
      </c>
      <c r="I8930" t="s">
        <v>69</v>
      </c>
      <c r="J8930" t="s">
        <v>18</v>
      </c>
      <c r="K8930" t="s">
        <v>19</v>
      </c>
      <c r="L8930" t="s">
        <v>70</v>
      </c>
      <c r="M8930" t="s">
        <v>51</v>
      </c>
      <c r="N8930" t="s">
        <v>29</v>
      </c>
    </row>
    <row r="8931" spans="1:14">
      <c r="A8931" s="4" t="str">
        <f t="shared" si="788"/>
        <v>EXP00289</v>
      </c>
      <c r="B8931" s="4" t="str">
        <f t="shared" si="789"/>
        <v>26499327</v>
      </c>
      <c r="C8931" s="4" t="str">
        <f t="shared" si="790"/>
        <v>GSE71222</v>
      </c>
      <c r="D8931" s="1" t="s">
        <v>45</v>
      </c>
      <c r="E8931" t="s">
        <v>68</v>
      </c>
      <c r="F8931" s="1">
        <v>1</v>
      </c>
      <c r="G8931" s="1" t="s">
        <v>31</v>
      </c>
      <c r="H8931" s="4" t="str">
        <f>HYPERLINK("https://www.ncbi.nlm.nih.gov/geo/query/acc.cgi?acc=GSM1830911","GSM1830911")</f>
        <v>GSM1830911</v>
      </c>
      <c r="I8931" t="s">
        <v>69</v>
      </c>
      <c r="J8931" t="s">
        <v>18</v>
      </c>
      <c r="K8931" t="s">
        <v>19</v>
      </c>
      <c r="L8931" t="s">
        <v>70</v>
      </c>
      <c r="M8931" t="s">
        <v>51</v>
      </c>
      <c r="N8931" t="s">
        <v>29</v>
      </c>
    </row>
    <row r="8932" spans="1:14">
      <c r="A8932" s="4" t="str">
        <f t="shared" si="788"/>
        <v>EXP00289</v>
      </c>
      <c r="B8932" s="4" t="str">
        <f t="shared" si="789"/>
        <v>26499327</v>
      </c>
      <c r="C8932" s="4" t="str">
        <f t="shared" si="790"/>
        <v>GSE71222</v>
      </c>
      <c r="D8932" s="1" t="s">
        <v>45</v>
      </c>
      <c r="E8932" t="s">
        <v>68</v>
      </c>
      <c r="F8932" s="1">
        <v>1</v>
      </c>
      <c r="G8932" s="1" t="s">
        <v>31</v>
      </c>
      <c r="H8932" s="4" t="str">
        <f>HYPERLINK("https://www.ncbi.nlm.nih.gov/geo/query/acc.cgi?acc=GSM1830914","GSM1830914")</f>
        <v>GSM1830914</v>
      </c>
      <c r="I8932" t="s">
        <v>69</v>
      </c>
      <c r="J8932" t="s">
        <v>18</v>
      </c>
      <c r="K8932" t="s">
        <v>19</v>
      </c>
      <c r="L8932" t="s">
        <v>70</v>
      </c>
      <c r="M8932" t="s">
        <v>51</v>
      </c>
      <c r="N8932" t="s">
        <v>29</v>
      </c>
    </row>
    <row r="8933" spans="1:14">
      <c r="A8933" s="4" t="str">
        <f t="shared" si="788"/>
        <v>EXP00289</v>
      </c>
      <c r="B8933" s="4" t="str">
        <f t="shared" si="789"/>
        <v>26499327</v>
      </c>
      <c r="C8933" s="4" t="str">
        <f t="shared" si="790"/>
        <v>GSE71222</v>
      </c>
      <c r="D8933" s="1" t="s">
        <v>45</v>
      </c>
      <c r="E8933" t="s">
        <v>68</v>
      </c>
      <c r="F8933" s="1">
        <v>1</v>
      </c>
      <c r="G8933" s="1" t="s">
        <v>31</v>
      </c>
      <c r="H8933" s="4" t="str">
        <f>HYPERLINK("https://www.ncbi.nlm.nih.gov/geo/query/acc.cgi?acc=GSM1830919","GSM1830919")</f>
        <v>GSM1830919</v>
      </c>
      <c r="I8933" t="s">
        <v>69</v>
      </c>
      <c r="J8933" t="s">
        <v>18</v>
      </c>
      <c r="K8933" t="s">
        <v>19</v>
      </c>
      <c r="L8933" t="s">
        <v>70</v>
      </c>
      <c r="M8933" t="s">
        <v>51</v>
      </c>
      <c r="N8933" t="s">
        <v>29</v>
      </c>
    </row>
    <row r="8934" spans="1:14">
      <c r="A8934" s="4" t="str">
        <f t="shared" si="788"/>
        <v>EXP00289</v>
      </c>
      <c r="B8934" s="4" t="str">
        <f t="shared" si="789"/>
        <v>26499327</v>
      </c>
      <c r="C8934" s="4" t="str">
        <f t="shared" si="790"/>
        <v>GSE71222</v>
      </c>
      <c r="D8934" s="1" t="s">
        <v>45</v>
      </c>
      <c r="E8934" t="s">
        <v>68</v>
      </c>
      <c r="F8934" s="1">
        <v>1</v>
      </c>
      <c r="G8934" s="1" t="s">
        <v>31</v>
      </c>
      <c r="H8934" s="4" t="str">
        <f>HYPERLINK("https://www.ncbi.nlm.nih.gov/geo/query/acc.cgi?acc=GSM1830926","GSM1830926")</f>
        <v>GSM1830926</v>
      </c>
      <c r="I8934" t="s">
        <v>69</v>
      </c>
      <c r="J8934" t="s">
        <v>18</v>
      </c>
      <c r="K8934" t="s">
        <v>19</v>
      </c>
      <c r="L8934" t="s">
        <v>70</v>
      </c>
      <c r="M8934" t="s">
        <v>51</v>
      </c>
      <c r="N8934" t="s">
        <v>29</v>
      </c>
    </row>
    <row r="8935" spans="1:14">
      <c r="A8935" s="4" t="str">
        <f t="shared" si="788"/>
        <v>EXP00289</v>
      </c>
      <c r="B8935" s="4" t="str">
        <f t="shared" si="789"/>
        <v>26499327</v>
      </c>
      <c r="C8935" s="4" t="str">
        <f t="shared" si="790"/>
        <v>GSE71222</v>
      </c>
      <c r="D8935" s="1" t="s">
        <v>45</v>
      </c>
      <c r="E8935" t="s">
        <v>68</v>
      </c>
      <c r="F8935" s="1">
        <v>1</v>
      </c>
      <c r="G8935" s="1" t="s">
        <v>31</v>
      </c>
      <c r="H8935" s="4" t="str">
        <f>HYPERLINK("https://www.ncbi.nlm.nih.gov/geo/query/acc.cgi?acc=GSM1830930","GSM1830930")</f>
        <v>GSM1830930</v>
      </c>
      <c r="I8935" t="s">
        <v>69</v>
      </c>
      <c r="J8935" t="s">
        <v>18</v>
      </c>
      <c r="K8935" t="s">
        <v>19</v>
      </c>
      <c r="L8935" t="s">
        <v>70</v>
      </c>
      <c r="M8935" t="s">
        <v>51</v>
      </c>
      <c r="N8935" t="s">
        <v>29</v>
      </c>
    </row>
    <row r="8936" spans="1:14">
      <c r="A8936" s="4" t="str">
        <f t="shared" si="788"/>
        <v>EXP00289</v>
      </c>
      <c r="B8936" s="4" t="str">
        <f t="shared" si="789"/>
        <v>26499327</v>
      </c>
      <c r="C8936" s="4" t="str">
        <f t="shared" si="790"/>
        <v>GSE71222</v>
      </c>
      <c r="D8936" s="1" t="s">
        <v>45</v>
      </c>
      <c r="E8936" t="s">
        <v>68</v>
      </c>
      <c r="F8936" s="1">
        <v>1</v>
      </c>
      <c r="G8936" s="1" t="s">
        <v>31</v>
      </c>
      <c r="H8936" s="4" t="str">
        <f>HYPERLINK("https://www.ncbi.nlm.nih.gov/geo/query/acc.cgi?acc=GSM1830933","GSM1830933")</f>
        <v>GSM1830933</v>
      </c>
      <c r="I8936" t="s">
        <v>69</v>
      </c>
      <c r="J8936" t="s">
        <v>18</v>
      </c>
      <c r="K8936" t="s">
        <v>19</v>
      </c>
      <c r="L8936" t="s">
        <v>70</v>
      </c>
      <c r="M8936" t="s">
        <v>51</v>
      </c>
      <c r="N8936" t="s">
        <v>29</v>
      </c>
    </row>
    <row r="8937" spans="1:14">
      <c r="A8937" s="4" t="str">
        <f t="shared" si="788"/>
        <v>EXP00289</v>
      </c>
      <c r="B8937" s="4" t="str">
        <f t="shared" si="789"/>
        <v>26499327</v>
      </c>
      <c r="C8937" s="4" t="str">
        <f t="shared" si="790"/>
        <v>GSE71222</v>
      </c>
      <c r="D8937" s="1" t="s">
        <v>45</v>
      </c>
      <c r="E8937" t="s">
        <v>68</v>
      </c>
      <c r="F8937" s="1">
        <v>1</v>
      </c>
      <c r="G8937" s="1" t="s">
        <v>31</v>
      </c>
      <c r="H8937" s="4" t="str">
        <f>HYPERLINK("https://www.ncbi.nlm.nih.gov/geo/query/acc.cgi?acc=GSM1830934","GSM1830934")</f>
        <v>GSM1830934</v>
      </c>
      <c r="I8937" t="s">
        <v>69</v>
      </c>
      <c r="J8937" t="s">
        <v>18</v>
      </c>
      <c r="K8937" t="s">
        <v>19</v>
      </c>
      <c r="L8937" t="s">
        <v>70</v>
      </c>
      <c r="M8937" t="s">
        <v>51</v>
      </c>
      <c r="N8937" t="s">
        <v>29</v>
      </c>
    </row>
    <row r="8938" spans="1:14">
      <c r="A8938" s="4" t="str">
        <f t="shared" si="788"/>
        <v>EXP00289</v>
      </c>
      <c r="B8938" s="4" t="str">
        <f t="shared" si="789"/>
        <v>26499327</v>
      </c>
      <c r="C8938" s="4" t="str">
        <f t="shared" si="790"/>
        <v>GSE71222</v>
      </c>
      <c r="D8938" s="1" t="s">
        <v>45</v>
      </c>
      <c r="E8938" t="s">
        <v>68</v>
      </c>
      <c r="F8938" s="1">
        <v>1</v>
      </c>
      <c r="G8938" s="1" t="s">
        <v>31</v>
      </c>
      <c r="H8938" s="4" t="str">
        <f>HYPERLINK("https://www.ncbi.nlm.nih.gov/geo/query/acc.cgi?acc=GSM1830938","GSM1830938")</f>
        <v>GSM1830938</v>
      </c>
      <c r="I8938" t="s">
        <v>69</v>
      </c>
      <c r="J8938" t="s">
        <v>18</v>
      </c>
      <c r="K8938" t="s">
        <v>19</v>
      </c>
      <c r="L8938" t="s">
        <v>70</v>
      </c>
      <c r="M8938" t="s">
        <v>51</v>
      </c>
      <c r="N8938" t="s">
        <v>29</v>
      </c>
    </row>
    <row r="8939" spans="1:14">
      <c r="A8939" s="4" t="str">
        <f t="shared" si="788"/>
        <v>EXP00289</v>
      </c>
      <c r="B8939" s="4" t="str">
        <f t="shared" si="789"/>
        <v>26499327</v>
      </c>
      <c r="C8939" s="4" t="str">
        <f t="shared" si="790"/>
        <v>GSE71222</v>
      </c>
      <c r="D8939" s="1" t="s">
        <v>45</v>
      </c>
      <c r="E8939" t="s">
        <v>68</v>
      </c>
      <c r="F8939" s="1">
        <v>1</v>
      </c>
      <c r="G8939" s="1" t="s">
        <v>31</v>
      </c>
      <c r="H8939" s="4" t="str">
        <f>HYPERLINK("https://www.ncbi.nlm.nih.gov/geo/query/acc.cgi?acc=GSM1830941","GSM1830941")</f>
        <v>GSM1830941</v>
      </c>
      <c r="I8939" t="s">
        <v>69</v>
      </c>
      <c r="J8939" t="s">
        <v>18</v>
      </c>
      <c r="K8939" t="s">
        <v>19</v>
      </c>
      <c r="L8939" t="s">
        <v>70</v>
      </c>
      <c r="M8939" t="s">
        <v>51</v>
      </c>
      <c r="N8939" t="s">
        <v>29</v>
      </c>
    </row>
    <row r="8940" spans="1:14">
      <c r="A8940" s="4" t="str">
        <f t="shared" si="788"/>
        <v>EXP00289</v>
      </c>
      <c r="B8940" s="4" t="str">
        <f t="shared" si="789"/>
        <v>26499327</v>
      </c>
      <c r="C8940" s="4" t="str">
        <f t="shared" si="790"/>
        <v>GSE71222</v>
      </c>
      <c r="D8940" s="1" t="s">
        <v>45</v>
      </c>
      <c r="E8940" t="s">
        <v>68</v>
      </c>
      <c r="F8940" s="1">
        <v>2</v>
      </c>
      <c r="G8940" s="1" t="s">
        <v>32</v>
      </c>
      <c r="H8940" s="4" t="str">
        <f>HYPERLINK("https://www.ncbi.nlm.nih.gov/geo/query/acc.cgi?acc=GSM1830791","GSM1830791")</f>
        <v>GSM1830791</v>
      </c>
      <c r="I8940" t="s">
        <v>69</v>
      </c>
      <c r="J8940" t="s">
        <v>18</v>
      </c>
      <c r="K8940" t="s">
        <v>33</v>
      </c>
      <c r="L8940" t="s">
        <v>70</v>
      </c>
      <c r="N8940" t="s">
        <v>29</v>
      </c>
    </row>
    <row r="8941" spans="1:14">
      <c r="A8941" s="4" t="str">
        <f t="shared" si="788"/>
        <v>EXP00289</v>
      </c>
      <c r="B8941" s="4" t="str">
        <f t="shared" si="789"/>
        <v>26499327</v>
      </c>
      <c r="C8941" s="4" t="str">
        <f t="shared" si="790"/>
        <v>GSE71222</v>
      </c>
      <c r="D8941" s="1" t="s">
        <v>45</v>
      </c>
      <c r="E8941" t="s">
        <v>68</v>
      </c>
      <c r="F8941" s="1">
        <v>2</v>
      </c>
      <c r="G8941" s="1" t="s">
        <v>32</v>
      </c>
      <c r="H8941" s="4" t="str">
        <f>HYPERLINK("https://www.ncbi.nlm.nih.gov/geo/query/acc.cgi?acc=GSM1830792","GSM1830792")</f>
        <v>GSM1830792</v>
      </c>
      <c r="I8941" t="s">
        <v>69</v>
      </c>
      <c r="J8941" t="s">
        <v>18</v>
      </c>
      <c r="K8941" t="s">
        <v>33</v>
      </c>
      <c r="L8941" t="s">
        <v>70</v>
      </c>
      <c r="N8941" t="s">
        <v>29</v>
      </c>
    </row>
    <row r="8942" spans="1:14">
      <c r="A8942" s="4" t="str">
        <f t="shared" si="788"/>
        <v>EXP00289</v>
      </c>
      <c r="B8942" s="4" t="str">
        <f t="shared" si="789"/>
        <v>26499327</v>
      </c>
      <c r="C8942" s="4" t="str">
        <f t="shared" si="790"/>
        <v>GSE71222</v>
      </c>
      <c r="D8942" s="1" t="s">
        <v>45</v>
      </c>
      <c r="E8942" t="s">
        <v>68</v>
      </c>
      <c r="F8942" s="1">
        <v>2</v>
      </c>
      <c r="G8942" s="1" t="s">
        <v>32</v>
      </c>
      <c r="H8942" s="4" t="str">
        <f>HYPERLINK("https://www.ncbi.nlm.nih.gov/geo/query/acc.cgi?acc=GSM1830793","GSM1830793")</f>
        <v>GSM1830793</v>
      </c>
      <c r="I8942" t="s">
        <v>69</v>
      </c>
      <c r="J8942" t="s">
        <v>18</v>
      </c>
      <c r="K8942" t="s">
        <v>33</v>
      </c>
      <c r="L8942" t="s">
        <v>70</v>
      </c>
      <c r="N8942" t="s">
        <v>29</v>
      </c>
    </row>
    <row r="8943" spans="1:14">
      <c r="A8943" s="4" t="str">
        <f t="shared" si="788"/>
        <v>EXP00289</v>
      </c>
      <c r="B8943" s="4" t="str">
        <f t="shared" si="789"/>
        <v>26499327</v>
      </c>
      <c r="C8943" s="4" t="str">
        <f t="shared" si="790"/>
        <v>GSE71222</v>
      </c>
      <c r="D8943" s="1" t="s">
        <v>45</v>
      </c>
      <c r="E8943" t="s">
        <v>68</v>
      </c>
      <c r="F8943" s="1">
        <v>2</v>
      </c>
      <c r="G8943" s="1" t="s">
        <v>32</v>
      </c>
      <c r="H8943" s="4" t="str">
        <f>HYPERLINK("https://www.ncbi.nlm.nih.gov/geo/query/acc.cgi?acc=GSM1830794","GSM1830794")</f>
        <v>GSM1830794</v>
      </c>
      <c r="I8943" t="s">
        <v>69</v>
      </c>
      <c r="J8943" t="s">
        <v>18</v>
      </c>
      <c r="K8943" t="s">
        <v>33</v>
      </c>
      <c r="L8943" t="s">
        <v>70</v>
      </c>
      <c r="N8943" t="s">
        <v>29</v>
      </c>
    </row>
    <row r="8944" spans="1:14">
      <c r="A8944" s="4" t="str">
        <f t="shared" si="788"/>
        <v>EXP00289</v>
      </c>
      <c r="B8944" s="4" t="str">
        <f t="shared" si="789"/>
        <v>26499327</v>
      </c>
      <c r="C8944" s="4" t="str">
        <f t="shared" si="790"/>
        <v>GSE71222</v>
      </c>
      <c r="D8944" s="1" t="s">
        <v>45</v>
      </c>
      <c r="E8944" t="s">
        <v>68</v>
      </c>
      <c r="F8944" s="1">
        <v>2</v>
      </c>
      <c r="G8944" s="1" t="s">
        <v>32</v>
      </c>
      <c r="H8944" s="4" t="str">
        <f>HYPERLINK("https://www.ncbi.nlm.nih.gov/geo/query/acc.cgi?acc=GSM1830796","GSM1830796")</f>
        <v>GSM1830796</v>
      </c>
      <c r="I8944" t="s">
        <v>69</v>
      </c>
      <c r="J8944" t="s">
        <v>18</v>
      </c>
      <c r="K8944" t="s">
        <v>33</v>
      </c>
      <c r="L8944" t="s">
        <v>70</v>
      </c>
      <c r="N8944" t="s">
        <v>29</v>
      </c>
    </row>
    <row r="8945" spans="1:14">
      <c r="A8945" s="4" t="str">
        <f t="shared" si="788"/>
        <v>EXP00289</v>
      </c>
      <c r="B8945" s="4" t="str">
        <f t="shared" si="789"/>
        <v>26499327</v>
      </c>
      <c r="C8945" s="4" t="str">
        <f t="shared" si="790"/>
        <v>GSE71222</v>
      </c>
      <c r="D8945" s="1" t="s">
        <v>45</v>
      </c>
      <c r="E8945" t="s">
        <v>68</v>
      </c>
      <c r="F8945" s="1">
        <v>2</v>
      </c>
      <c r="G8945" s="1" t="s">
        <v>32</v>
      </c>
      <c r="H8945" s="4" t="str">
        <f>HYPERLINK("https://www.ncbi.nlm.nih.gov/geo/query/acc.cgi?acc=GSM1830797","GSM1830797")</f>
        <v>GSM1830797</v>
      </c>
      <c r="I8945" t="s">
        <v>69</v>
      </c>
      <c r="J8945" t="s">
        <v>18</v>
      </c>
      <c r="K8945" t="s">
        <v>33</v>
      </c>
      <c r="L8945" t="s">
        <v>70</v>
      </c>
      <c r="N8945" t="s">
        <v>29</v>
      </c>
    </row>
    <row r="8946" spans="1:14">
      <c r="A8946" s="4" t="str">
        <f t="shared" ref="A8946:A8977" si="791">HYPERLINK("http://hcmdb.i-sanger.com/experiment/details/experiment_id/EXP00289","EXP00289")</f>
        <v>EXP00289</v>
      </c>
      <c r="B8946" s="4" t="str">
        <f t="shared" ref="B8946:B8977" si="792">HYPERLINK("https://www.ncbi.nlm.nih.gov/pubmed/26499327","26499327")</f>
        <v>26499327</v>
      </c>
      <c r="C8946" s="4" t="str">
        <f t="shared" ref="C8946:C8977" si="793">HYPERLINK("https://www.ncbi.nlm.nih.gov/geo/query/acc.cgi?acc=GSE71222","GSE71222")</f>
        <v>GSE71222</v>
      </c>
      <c r="D8946" s="1" t="s">
        <v>45</v>
      </c>
      <c r="E8946" t="s">
        <v>68</v>
      </c>
      <c r="F8946" s="1">
        <v>2</v>
      </c>
      <c r="G8946" s="1" t="s">
        <v>32</v>
      </c>
      <c r="H8946" s="4" t="str">
        <f>HYPERLINK("https://www.ncbi.nlm.nih.gov/geo/query/acc.cgi?acc=GSM1830798","GSM1830798")</f>
        <v>GSM1830798</v>
      </c>
      <c r="I8946" t="s">
        <v>69</v>
      </c>
      <c r="J8946" t="s">
        <v>18</v>
      </c>
      <c r="K8946" t="s">
        <v>33</v>
      </c>
      <c r="L8946" t="s">
        <v>70</v>
      </c>
      <c r="N8946" t="s">
        <v>29</v>
      </c>
    </row>
    <row r="8947" spans="1:14">
      <c r="A8947" s="4" t="str">
        <f t="shared" si="791"/>
        <v>EXP00289</v>
      </c>
      <c r="B8947" s="4" t="str">
        <f t="shared" si="792"/>
        <v>26499327</v>
      </c>
      <c r="C8947" s="4" t="str">
        <f t="shared" si="793"/>
        <v>GSE71222</v>
      </c>
      <c r="D8947" s="1" t="s">
        <v>45</v>
      </c>
      <c r="E8947" t="s">
        <v>68</v>
      </c>
      <c r="F8947" s="1">
        <v>2</v>
      </c>
      <c r="G8947" s="1" t="s">
        <v>32</v>
      </c>
      <c r="H8947" s="4" t="str">
        <f>HYPERLINK("https://www.ncbi.nlm.nih.gov/geo/query/acc.cgi?acc=GSM1830799","GSM1830799")</f>
        <v>GSM1830799</v>
      </c>
      <c r="I8947" t="s">
        <v>69</v>
      </c>
      <c r="J8947" t="s">
        <v>18</v>
      </c>
      <c r="K8947" t="s">
        <v>33</v>
      </c>
      <c r="L8947" t="s">
        <v>70</v>
      </c>
      <c r="N8947" t="s">
        <v>29</v>
      </c>
    </row>
    <row r="8948" spans="1:14">
      <c r="A8948" s="4" t="str">
        <f t="shared" si="791"/>
        <v>EXP00289</v>
      </c>
      <c r="B8948" s="4" t="str">
        <f t="shared" si="792"/>
        <v>26499327</v>
      </c>
      <c r="C8948" s="4" t="str">
        <f t="shared" si="793"/>
        <v>GSE71222</v>
      </c>
      <c r="D8948" s="1" t="s">
        <v>45</v>
      </c>
      <c r="E8948" t="s">
        <v>68</v>
      </c>
      <c r="F8948" s="1">
        <v>2</v>
      </c>
      <c r="G8948" s="1" t="s">
        <v>32</v>
      </c>
      <c r="H8948" s="4" t="str">
        <f>HYPERLINK("https://www.ncbi.nlm.nih.gov/geo/query/acc.cgi?acc=GSM1830800","GSM1830800")</f>
        <v>GSM1830800</v>
      </c>
      <c r="I8948" t="s">
        <v>69</v>
      </c>
      <c r="J8948" t="s">
        <v>18</v>
      </c>
      <c r="K8948" t="s">
        <v>33</v>
      </c>
      <c r="L8948" t="s">
        <v>70</v>
      </c>
      <c r="N8948" t="s">
        <v>29</v>
      </c>
    </row>
    <row r="8949" spans="1:14">
      <c r="A8949" s="4" t="str">
        <f t="shared" si="791"/>
        <v>EXP00289</v>
      </c>
      <c r="B8949" s="4" t="str">
        <f t="shared" si="792"/>
        <v>26499327</v>
      </c>
      <c r="C8949" s="4" t="str">
        <f t="shared" si="793"/>
        <v>GSE71222</v>
      </c>
      <c r="D8949" s="1" t="s">
        <v>45</v>
      </c>
      <c r="E8949" t="s">
        <v>68</v>
      </c>
      <c r="F8949" s="1">
        <v>2</v>
      </c>
      <c r="G8949" s="1" t="s">
        <v>32</v>
      </c>
      <c r="H8949" s="4" t="str">
        <f>HYPERLINK("https://www.ncbi.nlm.nih.gov/geo/query/acc.cgi?acc=GSM1830802","GSM1830802")</f>
        <v>GSM1830802</v>
      </c>
      <c r="I8949" t="s">
        <v>69</v>
      </c>
      <c r="J8949" t="s">
        <v>18</v>
      </c>
      <c r="K8949" t="s">
        <v>33</v>
      </c>
      <c r="L8949" t="s">
        <v>70</v>
      </c>
      <c r="N8949" t="s">
        <v>29</v>
      </c>
    </row>
    <row r="8950" spans="1:14">
      <c r="A8950" s="4" t="str">
        <f t="shared" si="791"/>
        <v>EXP00289</v>
      </c>
      <c r="B8950" s="4" t="str">
        <f t="shared" si="792"/>
        <v>26499327</v>
      </c>
      <c r="C8950" s="4" t="str">
        <f t="shared" si="793"/>
        <v>GSE71222</v>
      </c>
      <c r="D8950" s="1" t="s">
        <v>45</v>
      </c>
      <c r="E8950" t="s">
        <v>68</v>
      </c>
      <c r="F8950" s="1">
        <v>2</v>
      </c>
      <c r="G8950" s="1" t="s">
        <v>32</v>
      </c>
      <c r="H8950" s="4" t="str">
        <f>HYPERLINK("https://www.ncbi.nlm.nih.gov/geo/query/acc.cgi?acc=GSM1830803","GSM1830803")</f>
        <v>GSM1830803</v>
      </c>
      <c r="I8950" t="s">
        <v>69</v>
      </c>
      <c r="J8950" t="s">
        <v>18</v>
      </c>
      <c r="K8950" t="s">
        <v>33</v>
      </c>
      <c r="L8950" t="s">
        <v>70</v>
      </c>
      <c r="N8950" t="s">
        <v>29</v>
      </c>
    </row>
    <row r="8951" spans="1:14">
      <c r="A8951" s="4" t="str">
        <f t="shared" si="791"/>
        <v>EXP00289</v>
      </c>
      <c r="B8951" s="4" t="str">
        <f t="shared" si="792"/>
        <v>26499327</v>
      </c>
      <c r="C8951" s="4" t="str">
        <f t="shared" si="793"/>
        <v>GSE71222</v>
      </c>
      <c r="D8951" s="1" t="s">
        <v>45</v>
      </c>
      <c r="E8951" t="s">
        <v>68</v>
      </c>
      <c r="F8951" s="1">
        <v>2</v>
      </c>
      <c r="G8951" s="1" t="s">
        <v>32</v>
      </c>
      <c r="H8951" s="4" t="str">
        <f>HYPERLINK("https://www.ncbi.nlm.nih.gov/geo/query/acc.cgi?acc=GSM1830804","GSM1830804")</f>
        <v>GSM1830804</v>
      </c>
      <c r="I8951" t="s">
        <v>69</v>
      </c>
      <c r="J8951" t="s">
        <v>18</v>
      </c>
      <c r="K8951" t="s">
        <v>33</v>
      </c>
      <c r="L8951" t="s">
        <v>70</v>
      </c>
      <c r="N8951" t="s">
        <v>29</v>
      </c>
    </row>
    <row r="8952" spans="1:14">
      <c r="A8952" s="4" t="str">
        <f t="shared" si="791"/>
        <v>EXP00289</v>
      </c>
      <c r="B8952" s="4" t="str">
        <f t="shared" si="792"/>
        <v>26499327</v>
      </c>
      <c r="C8952" s="4" t="str">
        <f t="shared" si="793"/>
        <v>GSE71222</v>
      </c>
      <c r="D8952" s="1" t="s">
        <v>45</v>
      </c>
      <c r="E8952" t="s">
        <v>68</v>
      </c>
      <c r="F8952" s="1">
        <v>2</v>
      </c>
      <c r="G8952" s="1" t="s">
        <v>32</v>
      </c>
      <c r="H8952" s="4" t="str">
        <f>HYPERLINK("https://www.ncbi.nlm.nih.gov/geo/query/acc.cgi?acc=GSM1830805","GSM1830805")</f>
        <v>GSM1830805</v>
      </c>
      <c r="I8952" t="s">
        <v>69</v>
      </c>
      <c r="J8952" t="s">
        <v>18</v>
      </c>
      <c r="K8952" t="s">
        <v>33</v>
      </c>
      <c r="L8952" t="s">
        <v>70</v>
      </c>
      <c r="N8952" t="s">
        <v>29</v>
      </c>
    </row>
    <row r="8953" spans="1:14">
      <c r="A8953" s="4" t="str">
        <f t="shared" si="791"/>
        <v>EXP00289</v>
      </c>
      <c r="B8953" s="4" t="str">
        <f t="shared" si="792"/>
        <v>26499327</v>
      </c>
      <c r="C8953" s="4" t="str">
        <f t="shared" si="793"/>
        <v>GSE71222</v>
      </c>
      <c r="D8953" s="1" t="s">
        <v>45</v>
      </c>
      <c r="E8953" t="s">
        <v>68</v>
      </c>
      <c r="F8953" s="1">
        <v>2</v>
      </c>
      <c r="G8953" s="1" t="s">
        <v>32</v>
      </c>
      <c r="H8953" s="4" t="str">
        <f>HYPERLINK("https://www.ncbi.nlm.nih.gov/geo/query/acc.cgi?acc=GSM1830806","GSM1830806")</f>
        <v>GSM1830806</v>
      </c>
      <c r="I8953" t="s">
        <v>69</v>
      </c>
      <c r="J8953" t="s">
        <v>18</v>
      </c>
      <c r="K8953" t="s">
        <v>33</v>
      </c>
      <c r="L8953" t="s">
        <v>70</v>
      </c>
      <c r="N8953" t="s">
        <v>29</v>
      </c>
    </row>
    <row r="8954" spans="1:14">
      <c r="A8954" s="4" t="str">
        <f t="shared" si="791"/>
        <v>EXP00289</v>
      </c>
      <c r="B8954" s="4" t="str">
        <f t="shared" si="792"/>
        <v>26499327</v>
      </c>
      <c r="C8954" s="4" t="str">
        <f t="shared" si="793"/>
        <v>GSE71222</v>
      </c>
      <c r="D8954" s="1" t="s">
        <v>45</v>
      </c>
      <c r="E8954" t="s">
        <v>68</v>
      </c>
      <c r="F8954" s="1">
        <v>2</v>
      </c>
      <c r="G8954" s="1" t="s">
        <v>32</v>
      </c>
      <c r="H8954" s="4" t="str">
        <f>HYPERLINK("https://www.ncbi.nlm.nih.gov/geo/query/acc.cgi?acc=GSM1830807","GSM1830807")</f>
        <v>GSM1830807</v>
      </c>
      <c r="I8954" t="s">
        <v>69</v>
      </c>
      <c r="J8954" t="s">
        <v>18</v>
      </c>
      <c r="K8954" t="s">
        <v>33</v>
      </c>
      <c r="L8954" t="s">
        <v>70</v>
      </c>
      <c r="N8954" t="s">
        <v>29</v>
      </c>
    </row>
    <row r="8955" spans="1:14">
      <c r="A8955" s="4" t="str">
        <f t="shared" si="791"/>
        <v>EXP00289</v>
      </c>
      <c r="B8955" s="4" t="str">
        <f t="shared" si="792"/>
        <v>26499327</v>
      </c>
      <c r="C8955" s="4" t="str">
        <f t="shared" si="793"/>
        <v>GSE71222</v>
      </c>
      <c r="D8955" s="1" t="s">
        <v>45</v>
      </c>
      <c r="E8955" t="s">
        <v>68</v>
      </c>
      <c r="F8955" s="1">
        <v>2</v>
      </c>
      <c r="G8955" s="1" t="s">
        <v>32</v>
      </c>
      <c r="H8955" s="4" t="str">
        <f>HYPERLINK("https://www.ncbi.nlm.nih.gov/geo/query/acc.cgi?acc=GSM1830808","GSM1830808")</f>
        <v>GSM1830808</v>
      </c>
      <c r="I8955" t="s">
        <v>69</v>
      </c>
      <c r="J8955" t="s">
        <v>18</v>
      </c>
      <c r="K8955" t="s">
        <v>33</v>
      </c>
      <c r="L8955" t="s">
        <v>70</v>
      </c>
      <c r="N8955" t="s">
        <v>29</v>
      </c>
    </row>
    <row r="8956" spans="1:14">
      <c r="A8956" s="4" t="str">
        <f t="shared" si="791"/>
        <v>EXP00289</v>
      </c>
      <c r="B8956" s="4" t="str">
        <f t="shared" si="792"/>
        <v>26499327</v>
      </c>
      <c r="C8956" s="4" t="str">
        <f t="shared" si="793"/>
        <v>GSE71222</v>
      </c>
      <c r="D8956" s="1" t="s">
        <v>45</v>
      </c>
      <c r="E8956" t="s">
        <v>68</v>
      </c>
      <c r="F8956" s="1">
        <v>2</v>
      </c>
      <c r="G8956" s="1" t="s">
        <v>32</v>
      </c>
      <c r="H8956" s="4" t="str">
        <f>HYPERLINK("https://www.ncbi.nlm.nih.gov/geo/query/acc.cgi?acc=GSM1830809","GSM1830809")</f>
        <v>GSM1830809</v>
      </c>
      <c r="I8956" t="s">
        <v>69</v>
      </c>
      <c r="J8956" t="s">
        <v>18</v>
      </c>
      <c r="K8956" t="s">
        <v>33</v>
      </c>
      <c r="L8956" t="s">
        <v>70</v>
      </c>
      <c r="N8956" t="s">
        <v>29</v>
      </c>
    </row>
    <row r="8957" spans="1:14">
      <c r="A8957" s="4" t="str">
        <f t="shared" si="791"/>
        <v>EXP00289</v>
      </c>
      <c r="B8957" s="4" t="str">
        <f t="shared" si="792"/>
        <v>26499327</v>
      </c>
      <c r="C8957" s="4" t="str">
        <f t="shared" si="793"/>
        <v>GSE71222</v>
      </c>
      <c r="D8957" s="1" t="s">
        <v>45</v>
      </c>
      <c r="E8957" t="s">
        <v>68</v>
      </c>
      <c r="F8957" s="1">
        <v>2</v>
      </c>
      <c r="G8957" s="1" t="s">
        <v>32</v>
      </c>
      <c r="H8957" s="4" t="str">
        <f>HYPERLINK("https://www.ncbi.nlm.nih.gov/geo/query/acc.cgi?acc=GSM1830810","GSM1830810")</f>
        <v>GSM1830810</v>
      </c>
      <c r="I8957" t="s">
        <v>69</v>
      </c>
      <c r="J8957" t="s">
        <v>18</v>
      </c>
      <c r="K8957" t="s">
        <v>33</v>
      </c>
      <c r="L8957" t="s">
        <v>70</v>
      </c>
      <c r="N8957" t="s">
        <v>29</v>
      </c>
    </row>
    <row r="8958" spans="1:14">
      <c r="A8958" s="4" t="str">
        <f t="shared" si="791"/>
        <v>EXP00289</v>
      </c>
      <c r="B8958" s="4" t="str">
        <f t="shared" si="792"/>
        <v>26499327</v>
      </c>
      <c r="C8958" s="4" t="str">
        <f t="shared" si="793"/>
        <v>GSE71222</v>
      </c>
      <c r="D8958" s="1" t="s">
        <v>45</v>
      </c>
      <c r="E8958" t="s">
        <v>68</v>
      </c>
      <c r="F8958" s="1">
        <v>2</v>
      </c>
      <c r="G8958" s="1" t="s">
        <v>32</v>
      </c>
      <c r="H8958" s="4" t="str">
        <f>HYPERLINK("https://www.ncbi.nlm.nih.gov/geo/query/acc.cgi?acc=GSM1830811","GSM1830811")</f>
        <v>GSM1830811</v>
      </c>
      <c r="I8958" t="s">
        <v>69</v>
      </c>
      <c r="J8958" t="s">
        <v>18</v>
      </c>
      <c r="K8958" t="s">
        <v>33</v>
      </c>
      <c r="L8958" t="s">
        <v>70</v>
      </c>
      <c r="N8958" t="s">
        <v>29</v>
      </c>
    </row>
    <row r="8959" spans="1:14">
      <c r="A8959" s="4" t="str">
        <f t="shared" si="791"/>
        <v>EXP00289</v>
      </c>
      <c r="B8959" s="4" t="str">
        <f t="shared" si="792"/>
        <v>26499327</v>
      </c>
      <c r="C8959" s="4" t="str">
        <f t="shared" si="793"/>
        <v>GSE71222</v>
      </c>
      <c r="D8959" s="1" t="s">
        <v>45</v>
      </c>
      <c r="E8959" t="s">
        <v>68</v>
      </c>
      <c r="F8959" s="1">
        <v>2</v>
      </c>
      <c r="G8959" s="1" t="s">
        <v>32</v>
      </c>
      <c r="H8959" s="4" t="str">
        <f>HYPERLINK("https://www.ncbi.nlm.nih.gov/geo/query/acc.cgi?acc=GSM1830812","GSM1830812")</f>
        <v>GSM1830812</v>
      </c>
      <c r="I8959" t="s">
        <v>69</v>
      </c>
      <c r="J8959" t="s">
        <v>18</v>
      </c>
      <c r="K8959" t="s">
        <v>33</v>
      </c>
      <c r="L8959" t="s">
        <v>70</v>
      </c>
      <c r="N8959" t="s">
        <v>29</v>
      </c>
    </row>
    <row r="8960" spans="1:14">
      <c r="A8960" s="4" t="str">
        <f t="shared" si="791"/>
        <v>EXP00289</v>
      </c>
      <c r="B8960" s="4" t="str">
        <f t="shared" si="792"/>
        <v>26499327</v>
      </c>
      <c r="C8960" s="4" t="str">
        <f t="shared" si="793"/>
        <v>GSE71222</v>
      </c>
      <c r="D8960" s="1" t="s">
        <v>45</v>
      </c>
      <c r="E8960" t="s">
        <v>68</v>
      </c>
      <c r="F8960" s="1">
        <v>2</v>
      </c>
      <c r="G8960" s="1" t="s">
        <v>32</v>
      </c>
      <c r="H8960" s="4" t="str">
        <f>HYPERLINK("https://www.ncbi.nlm.nih.gov/geo/query/acc.cgi?acc=GSM1830813","GSM1830813")</f>
        <v>GSM1830813</v>
      </c>
      <c r="I8960" t="s">
        <v>69</v>
      </c>
      <c r="J8960" t="s">
        <v>18</v>
      </c>
      <c r="K8960" t="s">
        <v>33</v>
      </c>
      <c r="L8960" t="s">
        <v>70</v>
      </c>
      <c r="N8960" t="s">
        <v>29</v>
      </c>
    </row>
    <row r="8961" spans="1:14">
      <c r="A8961" s="4" t="str">
        <f t="shared" si="791"/>
        <v>EXP00289</v>
      </c>
      <c r="B8961" s="4" t="str">
        <f t="shared" si="792"/>
        <v>26499327</v>
      </c>
      <c r="C8961" s="4" t="str">
        <f t="shared" si="793"/>
        <v>GSE71222</v>
      </c>
      <c r="D8961" s="1" t="s">
        <v>45</v>
      </c>
      <c r="E8961" t="s">
        <v>68</v>
      </c>
      <c r="F8961" s="1">
        <v>2</v>
      </c>
      <c r="G8961" s="1" t="s">
        <v>32</v>
      </c>
      <c r="H8961" s="4" t="str">
        <f>HYPERLINK("https://www.ncbi.nlm.nih.gov/geo/query/acc.cgi?acc=GSM1830815","GSM1830815")</f>
        <v>GSM1830815</v>
      </c>
      <c r="I8961" t="s">
        <v>69</v>
      </c>
      <c r="J8961" t="s">
        <v>18</v>
      </c>
      <c r="K8961" t="s">
        <v>33</v>
      </c>
      <c r="L8961" t="s">
        <v>70</v>
      </c>
      <c r="N8961" t="s">
        <v>29</v>
      </c>
    </row>
    <row r="8962" spans="1:14">
      <c r="A8962" s="4" t="str">
        <f t="shared" si="791"/>
        <v>EXP00289</v>
      </c>
      <c r="B8962" s="4" t="str">
        <f t="shared" si="792"/>
        <v>26499327</v>
      </c>
      <c r="C8962" s="4" t="str">
        <f t="shared" si="793"/>
        <v>GSE71222</v>
      </c>
      <c r="D8962" s="1" t="s">
        <v>45</v>
      </c>
      <c r="E8962" t="s">
        <v>68</v>
      </c>
      <c r="F8962" s="1">
        <v>2</v>
      </c>
      <c r="G8962" s="1" t="s">
        <v>32</v>
      </c>
      <c r="H8962" s="4" t="str">
        <f>HYPERLINK("https://www.ncbi.nlm.nih.gov/geo/query/acc.cgi?acc=GSM1830817","GSM1830817")</f>
        <v>GSM1830817</v>
      </c>
      <c r="I8962" t="s">
        <v>69</v>
      </c>
      <c r="J8962" t="s">
        <v>18</v>
      </c>
      <c r="K8962" t="s">
        <v>33</v>
      </c>
      <c r="L8962" t="s">
        <v>70</v>
      </c>
      <c r="N8962" t="s">
        <v>29</v>
      </c>
    </row>
    <row r="8963" spans="1:14">
      <c r="A8963" s="4" t="str">
        <f t="shared" si="791"/>
        <v>EXP00289</v>
      </c>
      <c r="B8963" s="4" t="str">
        <f t="shared" si="792"/>
        <v>26499327</v>
      </c>
      <c r="C8963" s="4" t="str">
        <f t="shared" si="793"/>
        <v>GSE71222</v>
      </c>
      <c r="D8963" s="1" t="s">
        <v>45</v>
      </c>
      <c r="E8963" t="s">
        <v>68</v>
      </c>
      <c r="F8963" s="1">
        <v>2</v>
      </c>
      <c r="G8963" s="1" t="s">
        <v>32</v>
      </c>
      <c r="H8963" s="4" t="str">
        <f>HYPERLINK("https://www.ncbi.nlm.nih.gov/geo/query/acc.cgi?acc=GSM1830818","GSM1830818")</f>
        <v>GSM1830818</v>
      </c>
      <c r="I8963" t="s">
        <v>69</v>
      </c>
      <c r="J8963" t="s">
        <v>18</v>
      </c>
      <c r="K8963" t="s">
        <v>33</v>
      </c>
      <c r="L8963" t="s">
        <v>70</v>
      </c>
      <c r="N8963" t="s">
        <v>29</v>
      </c>
    </row>
    <row r="8964" spans="1:14">
      <c r="A8964" s="4" t="str">
        <f t="shared" si="791"/>
        <v>EXP00289</v>
      </c>
      <c r="B8964" s="4" t="str">
        <f t="shared" si="792"/>
        <v>26499327</v>
      </c>
      <c r="C8964" s="4" t="str">
        <f t="shared" si="793"/>
        <v>GSE71222</v>
      </c>
      <c r="D8964" s="1" t="s">
        <v>45</v>
      </c>
      <c r="E8964" t="s">
        <v>68</v>
      </c>
      <c r="F8964" s="1">
        <v>2</v>
      </c>
      <c r="G8964" s="1" t="s">
        <v>32</v>
      </c>
      <c r="H8964" s="4" t="str">
        <f>HYPERLINK("https://www.ncbi.nlm.nih.gov/geo/query/acc.cgi?acc=GSM1830821","GSM1830821")</f>
        <v>GSM1830821</v>
      </c>
      <c r="I8964" t="s">
        <v>69</v>
      </c>
      <c r="J8964" t="s">
        <v>18</v>
      </c>
      <c r="K8964" t="s">
        <v>33</v>
      </c>
      <c r="L8964" t="s">
        <v>70</v>
      </c>
      <c r="N8964" t="s">
        <v>29</v>
      </c>
    </row>
    <row r="8965" spans="1:14">
      <c r="A8965" s="4" t="str">
        <f t="shared" si="791"/>
        <v>EXP00289</v>
      </c>
      <c r="B8965" s="4" t="str">
        <f t="shared" si="792"/>
        <v>26499327</v>
      </c>
      <c r="C8965" s="4" t="str">
        <f t="shared" si="793"/>
        <v>GSE71222</v>
      </c>
      <c r="D8965" s="1" t="s">
        <v>45</v>
      </c>
      <c r="E8965" t="s">
        <v>68</v>
      </c>
      <c r="F8965" s="1">
        <v>2</v>
      </c>
      <c r="G8965" s="1" t="s">
        <v>32</v>
      </c>
      <c r="H8965" s="4" t="str">
        <f>HYPERLINK("https://www.ncbi.nlm.nih.gov/geo/query/acc.cgi?acc=GSM1830822","GSM1830822")</f>
        <v>GSM1830822</v>
      </c>
      <c r="I8965" t="s">
        <v>69</v>
      </c>
      <c r="J8965" t="s">
        <v>18</v>
      </c>
      <c r="K8965" t="s">
        <v>33</v>
      </c>
      <c r="L8965" t="s">
        <v>70</v>
      </c>
      <c r="N8965" t="s">
        <v>29</v>
      </c>
    </row>
    <row r="8966" spans="1:14">
      <c r="A8966" s="4" t="str">
        <f t="shared" si="791"/>
        <v>EXP00289</v>
      </c>
      <c r="B8966" s="4" t="str">
        <f t="shared" si="792"/>
        <v>26499327</v>
      </c>
      <c r="C8966" s="4" t="str">
        <f t="shared" si="793"/>
        <v>GSE71222</v>
      </c>
      <c r="D8966" s="1" t="s">
        <v>45</v>
      </c>
      <c r="E8966" t="s">
        <v>68</v>
      </c>
      <c r="F8966" s="1">
        <v>2</v>
      </c>
      <c r="G8966" s="1" t="s">
        <v>32</v>
      </c>
      <c r="H8966" s="4" t="str">
        <f>HYPERLINK("https://www.ncbi.nlm.nih.gov/geo/query/acc.cgi?acc=GSM1830823","GSM1830823")</f>
        <v>GSM1830823</v>
      </c>
      <c r="I8966" t="s">
        <v>69</v>
      </c>
      <c r="J8966" t="s">
        <v>18</v>
      </c>
      <c r="K8966" t="s">
        <v>33</v>
      </c>
      <c r="L8966" t="s">
        <v>70</v>
      </c>
      <c r="N8966" t="s">
        <v>29</v>
      </c>
    </row>
    <row r="8967" spans="1:14">
      <c r="A8967" s="4" t="str">
        <f t="shared" si="791"/>
        <v>EXP00289</v>
      </c>
      <c r="B8967" s="4" t="str">
        <f t="shared" si="792"/>
        <v>26499327</v>
      </c>
      <c r="C8967" s="4" t="str">
        <f t="shared" si="793"/>
        <v>GSE71222</v>
      </c>
      <c r="D8967" s="1" t="s">
        <v>45</v>
      </c>
      <c r="E8967" t="s">
        <v>68</v>
      </c>
      <c r="F8967" s="1">
        <v>2</v>
      </c>
      <c r="G8967" s="1" t="s">
        <v>32</v>
      </c>
      <c r="H8967" s="4" t="str">
        <f>HYPERLINK("https://www.ncbi.nlm.nih.gov/geo/query/acc.cgi?acc=GSM1830824","GSM1830824")</f>
        <v>GSM1830824</v>
      </c>
      <c r="I8967" t="s">
        <v>69</v>
      </c>
      <c r="J8967" t="s">
        <v>18</v>
      </c>
      <c r="K8967" t="s">
        <v>33</v>
      </c>
      <c r="L8967" t="s">
        <v>70</v>
      </c>
      <c r="N8967" t="s">
        <v>29</v>
      </c>
    </row>
    <row r="8968" spans="1:14">
      <c r="A8968" s="4" t="str">
        <f t="shared" si="791"/>
        <v>EXP00289</v>
      </c>
      <c r="B8968" s="4" t="str">
        <f t="shared" si="792"/>
        <v>26499327</v>
      </c>
      <c r="C8968" s="4" t="str">
        <f t="shared" si="793"/>
        <v>GSE71222</v>
      </c>
      <c r="D8968" s="1" t="s">
        <v>45</v>
      </c>
      <c r="E8968" t="s">
        <v>68</v>
      </c>
      <c r="F8968" s="1">
        <v>2</v>
      </c>
      <c r="G8968" s="1" t="s">
        <v>32</v>
      </c>
      <c r="H8968" s="4" t="str">
        <f>HYPERLINK("https://www.ncbi.nlm.nih.gov/geo/query/acc.cgi?acc=GSM1830826","GSM1830826")</f>
        <v>GSM1830826</v>
      </c>
      <c r="I8968" t="s">
        <v>69</v>
      </c>
      <c r="J8968" t="s">
        <v>18</v>
      </c>
      <c r="K8968" t="s">
        <v>33</v>
      </c>
      <c r="L8968" t="s">
        <v>70</v>
      </c>
      <c r="N8968" t="s">
        <v>29</v>
      </c>
    </row>
    <row r="8969" spans="1:14">
      <c r="A8969" s="4" t="str">
        <f t="shared" si="791"/>
        <v>EXP00289</v>
      </c>
      <c r="B8969" s="4" t="str">
        <f t="shared" si="792"/>
        <v>26499327</v>
      </c>
      <c r="C8969" s="4" t="str">
        <f t="shared" si="793"/>
        <v>GSE71222</v>
      </c>
      <c r="D8969" s="1" t="s">
        <v>45</v>
      </c>
      <c r="E8969" t="s">
        <v>68</v>
      </c>
      <c r="F8969" s="1">
        <v>2</v>
      </c>
      <c r="G8969" s="1" t="s">
        <v>32</v>
      </c>
      <c r="H8969" s="4" t="str">
        <f>HYPERLINK("https://www.ncbi.nlm.nih.gov/geo/query/acc.cgi?acc=GSM1830827","GSM1830827")</f>
        <v>GSM1830827</v>
      </c>
      <c r="I8969" t="s">
        <v>69</v>
      </c>
      <c r="J8969" t="s">
        <v>18</v>
      </c>
      <c r="K8969" t="s">
        <v>33</v>
      </c>
      <c r="L8969" t="s">
        <v>70</v>
      </c>
      <c r="N8969" t="s">
        <v>29</v>
      </c>
    </row>
    <row r="8970" spans="1:14">
      <c r="A8970" s="4" t="str">
        <f t="shared" si="791"/>
        <v>EXP00289</v>
      </c>
      <c r="B8970" s="4" t="str">
        <f t="shared" si="792"/>
        <v>26499327</v>
      </c>
      <c r="C8970" s="4" t="str">
        <f t="shared" si="793"/>
        <v>GSE71222</v>
      </c>
      <c r="D8970" s="1" t="s">
        <v>45</v>
      </c>
      <c r="E8970" t="s">
        <v>68</v>
      </c>
      <c r="F8970" s="1">
        <v>2</v>
      </c>
      <c r="G8970" s="1" t="s">
        <v>32</v>
      </c>
      <c r="H8970" s="4" t="str">
        <f>HYPERLINK("https://www.ncbi.nlm.nih.gov/geo/query/acc.cgi?acc=GSM1830829","GSM1830829")</f>
        <v>GSM1830829</v>
      </c>
      <c r="I8970" t="s">
        <v>69</v>
      </c>
      <c r="J8970" t="s">
        <v>18</v>
      </c>
      <c r="K8970" t="s">
        <v>33</v>
      </c>
      <c r="L8970" t="s">
        <v>70</v>
      </c>
      <c r="N8970" t="s">
        <v>29</v>
      </c>
    </row>
    <row r="8971" spans="1:14">
      <c r="A8971" s="4" t="str">
        <f t="shared" si="791"/>
        <v>EXP00289</v>
      </c>
      <c r="B8971" s="4" t="str">
        <f t="shared" si="792"/>
        <v>26499327</v>
      </c>
      <c r="C8971" s="4" t="str">
        <f t="shared" si="793"/>
        <v>GSE71222</v>
      </c>
      <c r="D8971" s="1" t="s">
        <v>45</v>
      </c>
      <c r="E8971" t="s">
        <v>68</v>
      </c>
      <c r="F8971" s="1">
        <v>2</v>
      </c>
      <c r="G8971" s="1" t="s">
        <v>32</v>
      </c>
      <c r="H8971" s="4" t="str">
        <f>HYPERLINK("https://www.ncbi.nlm.nih.gov/geo/query/acc.cgi?acc=GSM1830830","GSM1830830")</f>
        <v>GSM1830830</v>
      </c>
      <c r="I8971" t="s">
        <v>69</v>
      </c>
      <c r="J8971" t="s">
        <v>18</v>
      </c>
      <c r="K8971" t="s">
        <v>33</v>
      </c>
      <c r="L8971" t="s">
        <v>70</v>
      </c>
      <c r="N8971" t="s">
        <v>29</v>
      </c>
    </row>
    <row r="8972" spans="1:14">
      <c r="A8972" s="4" t="str">
        <f t="shared" si="791"/>
        <v>EXP00289</v>
      </c>
      <c r="B8972" s="4" t="str">
        <f t="shared" si="792"/>
        <v>26499327</v>
      </c>
      <c r="C8972" s="4" t="str">
        <f t="shared" si="793"/>
        <v>GSE71222</v>
      </c>
      <c r="D8972" s="1" t="s">
        <v>45</v>
      </c>
      <c r="E8972" t="s">
        <v>68</v>
      </c>
      <c r="F8972" s="1">
        <v>2</v>
      </c>
      <c r="G8972" s="1" t="s">
        <v>32</v>
      </c>
      <c r="H8972" s="4" t="str">
        <f>HYPERLINK("https://www.ncbi.nlm.nih.gov/geo/query/acc.cgi?acc=GSM1830831","GSM1830831")</f>
        <v>GSM1830831</v>
      </c>
      <c r="I8972" t="s">
        <v>69</v>
      </c>
      <c r="J8972" t="s">
        <v>18</v>
      </c>
      <c r="K8972" t="s">
        <v>33</v>
      </c>
      <c r="L8972" t="s">
        <v>70</v>
      </c>
      <c r="N8972" t="s">
        <v>29</v>
      </c>
    </row>
    <row r="8973" spans="1:14">
      <c r="A8973" s="4" t="str">
        <f t="shared" si="791"/>
        <v>EXP00289</v>
      </c>
      <c r="B8973" s="4" t="str">
        <f t="shared" si="792"/>
        <v>26499327</v>
      </c>
      <c r="C8973" s="4" t="str">
        <f t="shared" si="793"/>
        <v>GSE71222</v>
      </c>
      <c r="D8973" s="1" t="s">
        <v>45</v>
      </c>
      <c r="E8973" t="s">
        <v>68</v>
      </c>
      <c r="F8973" s="1">
        <v>2</v>
      </c>
      <c r="G8973" s="1" t="s">
        <v>32</v>
      </c>
      <c r="H8973" s="4" t="str">
        <f>HYPERLINK("https://www.ncbi.nlm.nih.gov/geo/query/acc.cgi?acc=GSM1830832","GSM1830832")</f>
        <v>GSM1830832</v>
      </c>
      <c r="I8973" t="s">
        <v>69</v>
      </c>
      <c r="J8973" t="s">
        <v>18</v>
      </c>
      <c r="K8973" t="s">
        <v>33</v>
      </c>
      <c r="L8973" t="s">
        <v>70</v>
      </c>
      <c r="N8973" t="s">
        <v>29</v>
      </c>
    </row>
    <row r="8974" spans="1:14">
      <c r="A8974" s="4" t="str">
        <f t="shared" si="791"/>
        <v>EXP00289</v>
      </c>
      <c r="B8974" s="4" t="str">
        <f t="shared" si="792"/>
        <v>26499327</v>
      </c>
      <c r="C8974" s="4" t="str">
        <f t="shared" si="793"/>
        <v>GSE71222</v>
      </c>
      <c r="D8974" s="1" t="s">
        <v>45</v>
      </c>
      <c r="E8974" t="s">
        <v>68</v>
      </c>
      <c r="F8974" s="1">
        <v>2</v>
      </c>
      <c r="G8974" s="1" t="s">
        <v>32</v>
      </c>
      <c r="H8974" s="4" t="str">
        <f>HYPERLINK("https://www.ncbi.nlm.nih.gov/geo/query/acc.cgi?acc=GSM1830833","GSM1830833")</f>
        <v>GSM1830833</v>
      </c>
      <c r="I8974" t="s">
        <v>69</v>
      </c>
      <c r="J8974" t="s">
        <v>18</v>
      </c>
      <c r="K8974" t="s">
        <v>33</v>
      </c>
      <c r="L8974" t="s">
        <v>70</v>
      </c>
      <c r="N8974" t="s">
        <v>29</v>
      </c>
    </row>
    <row r="8975" spans="1:14">
      <c r="A8975" s="4" t="str">
        <f t="shared" si="791"/>
        <v>EXP00289</v>
      </c>
      <c r="B8975" s="4" t="str">
        <f t="shared" si="792"/>
        <v>26499327</v>
      </c>
      <c r="C8975" s="4" t="str">
        <f t="shared" si="793"/>
        <v>GSE71222</v>
      </c>
      <c r="D8975" s="1" t="s">
        <v>45</v>
      </c>
      <c r="E8975" t="s">
        <v>68</v>
      </c>
      <c r="F8975" s="1">
        <v>2</v>
      </c>
      <c r="G8975" s="1" t="s">
        <v>32</v>
      </c>
      <c r="H8975" s="4" t="str">
        <f>HYPERLINK("https://www.ncbi.nlm.nih.gov/geo/query/acc.cgi?acc=GSM1830834","GSM1830834")</f>
        <v>GSM1830834</v>
      </c>
      <c r="I8975" t="s">
        <v>69</v>
      </c>
      <c r="J8975" t="s">
        <v>18</v>
      </c>
      <c r="K8975" t="s">
        <v>33</v>
      </c>
      <c r="L8975" t="s">
        <v>70</v>
      </c>
      <c r="N8975" t="s">
        <v>29</v>
      </c>
    </row>
    <row r="8976" spans="1:14">
      <c r="A8976" s="4" t="str">
        <f t="shared" si="791"/>
        <v>EXP00289</v>
      </c>
      <c r="B8976" s="4" t="str">
        <f t="shared" si="792"/>
        <v>26499327</v>
      </c>
      <c r="C8976" s="4" t="str">
        <f t="shared" si="793"/>
        <v>GSE71222</v>
      </c>
      <c r="D8976" s="1" t="s">
        <v>45</v>
      </c>
      <c r="E8976" t="s">
        <v>68</v>
      </c>
      <c r="F8976" s="1">
        <v>2</v>
      </c>
      <c r="G8976" s="1" t="s">
        <v>32</v>
      </c>
      <c r="H8976" s="4" t="str">
        <f>HYPERLINK("https://www.ncbi.nlm.nih.gov/geo/query/acc.cgi?acc=GSM1830835","GSM1830835")</f>
        <v>GSM1830835</v>
      </c>
      <c r="I8976" t="s">
        <v>69</v>
      </c>
      <c r="J8976" t="s">
        <v>18</v>
      </c>
      <c r="K8976" t="s">
        <v>33</v>
      </c>
      <c r="L8976" t="s">
        <v>70</v>
      </c>
      <c r="N8976" t="s">
        <v>29</v>
      </c>
    </row>
    <row r="8977" spans="1:14">
      <c r="A8977" s="4" t="str">
        <f t="shared" si="791"/>
        <v>EXP00289</v>
      </c>
      <c r="B8977" s="4" t="str">
        <f t="shared" si="792"/>
        <v>26499327</v>
      </c>
      <c r="C8977" s="4" t="str">
        <f t="shared" si="793"/>
        <v>GSE71222</v>
      </c>
      <c r="D8977" s="1" t="s">
        <v>45</v>
      </c>
      <c r="E8977" t="s">
        <v>68</v>
      </c>
      <c r="F8977" s="1">
        <v>2</v>
      </c>
      <c r="G8977" s="1" t="s">
        <v>32</v>
      </c>
      <c r="H8977" s="4" t="str">
        <f>HYPERLINK("https://www.ncbi.nlm.nih.gov/geo/query/acc.cgi?acc=GSM1830836","GSM1830836")</f>
        <v>GSM1830836</v>
      </c>
      <c r="I8977" t="s">
        <v>69</v>
      </c>
      <c r="J8977" t="s">
        <v>18</v>
      </c>
      <c r="K8977" t="s">
        <v>33</v>
      </c>
      <c r="L8977" t="s">
        <v>70</v>
      </c>
      <c r="N8977" t="s">
        <v>29</v>
      </c>
    </row>
    <row r="8978" spans="1:14">
      <c r="A8978" s="4" t="str">
        <f t="shared" ref="A8978:A9009" si="794">HYPERLINK("http://hcmdb.i-sanger.com/experiment/details/experiment_id/EXP00289","EXP00289")</f>
        <v>EXP00289</v>
      </c>
      <c r="B8978" s="4" t="str">
        <f t="shared" ref="B8978:B9009" si="795">HYPERLINK("https://www.ncbi.nlm.nih.gov/pubmed/26499327","26499327")</f>
        <v>26499327</v>
      </c>
      <c r="C8978" s="4" t="str">
        <f t="shared" ref="C8978:C9009" si="796">HYPERLINK("https://www.ncbi.nlm.nih.gov/geo/query/acc.cgi?acc=GSE71222","GSE71222")</f>
        <v>GSE71222</v>
      </c>
      <c r="D8978" s="1" t="s">
        <v>45</v>
      </c>
      <c r="E8978" t="s">
        <v>68</v>
      </c>
      <c r="F8978" s="1">
        <v>2</v>
      </c>
      <c r="G8978" s="1" t="s">
        <v>32</v>
      </c>
      <c r="H8978" s="4" t="str">
        <f>HYPERLINK("https://www.ncbi.nlm.nih.gov/geo/query/acc.cgi?acc=GSM1830837","GSM1830837")</f>
        <v>GSM1830837</v>
      </c>
      <c r="I8978" t="s">
        <v>69</v>
      </c>
      <c r="J8978" t="s">
        <v>18</v>
      </c>
      <c r="K8978" t="s">
        <v>33</v>
      </c>
      <c r="L8978" t="s">
        <v>70</v>
      </c>
      <c r="N8978" t="s">
        <v>29</v>
      </c>
    </row>
    <row r="8979" spans="1:14">
      <c r="A8979" s="4" t="str">
        <f t="shared" si="794"/>
        <v>EXP00289</v>
      </c>
      <c r="B8979" s="4" t="str">
        <f t="shared" si="795"/>
        <v>26499327</v>
      </c>
      <c r="C8979" s="4" t="str">
        <f t="shared" si="796"/>
        <v>GSE71222</v>
      </c>
      <c r="D8979" s="1" t="s">
        <v>45</v>
      </c>
      <c r="E8979" t="s">
        <v>68</v>
      </c>
      <c r="F8979" s="1">
        <v>2</v>
      </c>
      <c r="G8979" s="1" t="s">
        <v>32</v>
      </c>
      <c r="H8979" s="4" t="str">
        <f>HYPERLINK("https://www.ncbi.nlm.nih.gov/geo/query/acc.cgi?acc=GSM1830838","GSM1830838")</f>
        <v>GSM1830838</v>
      </c>
      <c r="I8979" t="s">
        <v>69</v>
      </c>
      <c r="J8979" t="s">
        <v>18</v>
      </c>
      <c r="K8979" t="s">
        <v>33</v>
      </c>
      <c r="L8979" t="s">
        <v>70</v>
      </c>
      <c r="N8979" t="s">
        <v>29</v>
      </c>
    </row>
    <row r="8980" spans="1:14">
      <c r="A8980" s="4" t="str">
        <f t="shared" si="794"/>
        <v>EXP00289</v>
      </c>
      <c r="B8980" s="4" t="str">
        <f t="shared" si="795"/>
        <v>26499327</v>
      </c>
      <c r="C8980" s="4" t="str">
        <f t="shared" si="796"/>
        <v>GSE71222</v>
      </c>
      <c r="D8980" s="1" t="s">
        <v>45</v>
      </c>
      <c r="E8980" t="s">
        <v>68</v>
      </c>
      <c r="F8980" s="1">
        <v>2</v>
      </c>
      <c r="G8980" s="1" t="s">
        <v>32</v>
      </c>
      <c r="H8980" s="4" t="str">
        <f>HYPERLINK("https://www.ncbi.nlm.nih.gov/geo/query/acc.cgi?acc=GSM1830839","GSM1830839")</f>
        <v>GSM1830839</v>
      </c>
      <c r="I8980" t="s">
        <v>69</v>
      </c>
      <c r="J8980" t="s">
        <v>18</v>
      </c>
      <c r="K8980" t="s">
        <v>33</v>
      </c>
      <c r="L8980" t="s">
        <v>70</v>
      </c>
      <c r="N8980" t="s">
        <v>29</v>
      </c>
    </row>
    <row r="8981" spans="1:14">
      <c r="A8981" s="4" t="str">
        <f t="shared" si="794"/>
        <v>EXP00289</v>
      </c>
      <c r="B8981" s="4" t="str">
        <f t="shared" si="795"/>
        <v>26499327</v>
      </c>
      <c r="C8981" s="4" t="str">
        <f t="shared" si="796"/>
        <v>GSE71222</v>
      </c>
      <c r="D8981" s="1" t="s">
        <v>45</v>
      </c>
      <c r="E8981" t="s">
        <v>68</v>
      </c>
      <c r="F8981" s="1">
        <v>2</v>
      </c>
      <c r="G8981" s="1" t="s">
        <v>32</v>
      </c>
      <c r="H8981" s="4" t="str">
        <f>HYPERLINK("https://www.ncbi.nlm.nih.gov/geo/query/acc.cgi?acc=GSM1830840","GSM1830840")</f>
        <v>GSM1830840</v>
      </c>
      <c r="I8981" t="s">
        <v>69</v>
      </c>
      <c r="J8981" t="s">
        <v>18</v>
      </c>
      <c r="K8981" t="s">
        <v>33</v>
      </c>
      <c r="L8981" t="s">
        <v>70</v>
      </c>
      <c r="N8981" t="s">
        <v>29</v>
      </c>
    </row>
    <row r="8982" spans="1:14">
      <c r="A8982" s="4" t="str">
        <f t="shared" si="794"/>
        <v>EXP00289</v>
      </c>
      <c r="B8982" s="4" t="str">
        <f t="shared" si="795"/>
        <v>26499327</v>
      </c>
      <c r="C8982" s="4" t="str">
        <f t="shared" si="796"/>
        <v>GSE71222</v>
      </c>
      <c r="D8982" s="1" t="s">
        <v>45</v>
      </c>
      <c r="E8982" t="s">
        <v>68</v>
      </c>
      <c r="F8982" s="1">
        <v>2</v>
      </c>
      <c r="G8982" s="1" t="s">
        <v>32</v>
      </c>
      <c r="H8982" s="4" t="str">
        <f>HYPERLINK("https://www.ncbi.nlm.nih.gov/geo/query/acc.cgi?acc=GSM1830841","GSM1830841")</f>
        <v>GSM1830841</v>
      </c>
      <c r="I8982" t="s">
        <v>69</v>
      </c>
      <c r="J8982" t="s">
        <v>18</v>
      </c>
      <c r="K8982" t="s">
        <v>33</v>
      </c>
      <c r="L8982" t="s">
        <v>70</v>
      </c>
      <c r="N8982" t="s">
        <v>29</v>
      </c>
    </row>
    <row r="8983" spans="1:14">
      <c r="A8983" s="4" t="str">
        <f t="shared" si="794"/>
        <v>EXP00289</v>
      </c>
      <c r="B8983" s="4" t="str">
        <f t="shared" si="795"/>
        <v>26499327</v>
      </c>
      <c r="C8983" s="4" t="str">
        <f t="shared" si="796"/>
        <v>GSE71222</v>
      </c>
      <c r="D8983" s="1" t="s">
        <v>45</v>
      </c>
      <c r="E8983" t="s">
        <v>68</v>
      </c>
      <c r="F8983" s="1">
        <v>2</v>
      </c>
      <c r="G8983" s="1" t="s">
        <v>32</v>
      </c>
      <c r="H8983" s="4" t="str">
        <f>HYPERLINK("https://www.ncbi.nlm.nih.gov/geo/query/acc.cgi?acc=GSM1830842","GSM1830842")</f>
        <v>GSM1830842</v>
      </c>
      <c r="I8983" t="s">
        <v>69</v>
      </c>
      <c r="J8983" t="s">
        <v>18</v>
      </c>
      <c r="K8983" t="s">
        <v>33</v>
      </c>
      <c r="L8983" t="s">
        <v>70</v>
      </c>
      <c r="N8983" t="s">
        <v>29</v>
      </c>
    </row>
    <row r="8984" spans="1:14">
      <c r="A8984" s="4" t="str">
        <f t="shared" si="794"/>
        <v>EXP00289</v>
      </c>
      <c r="B8984" s="4" t="str">
        <f t="shared" si="795"/>
        <v>26499327</v>
      </c>
      <c r="C8984" s="4" t="str">
        <f t="shared" si="796"/>
        <v>GSE71222</v>
      </c>
      <c r="D8984" s="1" t="s">
        <v>45</v>
      </c>
      <c r="E8984" t="s">
        <v>68</v>
      </c>
      <c r="F8984" s="1">
        <v>2</v>
      </c>
      <c r="G8984" s="1" t="s">
        <v>32</v>
      </c>
      <c r="H8984" s="4" t="str">
        <f>HYPERLINK("https://www.ncbi.nlm.nih.gov/geo/query/acc.cgi?acc=GSM1830845","GSM1830845")</f>
        <v>GSM1830845</v>
      </c>
      <c r="I8984" t="s">
        <v>69</v>
      </c>
      <c r="J8984" t="s">
        <v>18</v>
      </c>
      <c r="K8984" t="s">
        <v>33</v>
      </c>
      <c r="L8984" t="s">
        <v>70</v>
      </c>
      <c r="N8984" t="s">
        <v>29</v>
      </c>
    </row>
    <row r="8985" spans="1:14">
      <c r="A8985" s="4" t="str">
        <f t="shared" si="794"/>
        <v>EXP00289</v>
      </c>
      <c r="B8985" s="4" t="str">
        <f t="shared" si="795"/>
        <v>26499327</v>
      </c>
      <c r="C8985" s="4" t="str">
        <f t="shared" si="796"/>
        <v>GSE71222</v>
      </c>
      <c r="D8985" s="1" t="s">
        <v>45</v>
      </c>
      <c r="E8985" t="s">
        <v>68</v>
      </c>
      <c r="F8985" s="1">
        <v>2</v>
      </c>
      <c r="G8985" s="1" t="s">
        <v>32</v>
      </c>
      <c r="H8985" s="4" t="str">
        <f>HYPERLINK("https://www.ncbi.nlm.nih.gov/geo/query/acc.cgi?acc=GSM1830846","GSM1830846")</f>
        <v>GSM1830846</v>
      </c>
      <c r="I8985" t="s">
        <v>69</v>
      </c>
      <c r="J8985" t="s">
        <v>18</v>
      </c>
      <c r="K8985" t="s">
        <v>33</v>
      </c>
      <c r="L8985" t="s">
        <v>70</v>
      </c>
      <c r="N8985" t="s">
        <v>29</v>
      </c>
    </row>
    <row r="8986" spans="1:14">
      <c r="A8986" s="4" t="str">
        <f t="shared" si="794"/>
        <v>EXP00289</v>
      </c>
      <c r="B8986" s="4" t="str">
        <f t="shared" si="795"/>
        <v>26499327</v>
      </c>
      <c r="C8986" s="4" t="str">
        <f t="shared" si="796"/>
        <v>GSE71222</v>
      </c>
      <c r="D8986" s="1" t="s">
        <v>45</v>
      </c>
      <c r="E8986" t="s">
        <v>68</v>
      </c>
      <c r="F8986" s="1">
        <v>2</v>
      </c>
      <c r="G8986" s="1" t="s">
        <v>32</v>
      </c>
      <c r="H8986" s="4" t="str">
        <f>HYPERLINK("https://www.ncbi.nlm.nih.gov/geo/query/acc.cgi?acc=GSM1830847","GSM1830847")</f>
        <v>GSM1830847</v>
      </c>
      <c r="I8986" t="s">
        <v>69</v>
      </c>
      <c r="J8986" t="s">
        <v>18</v>
      </c>
      <c r="K8986" t="s">
        <v>33</v>
      </c>
      <c r="L8986" t="s">
        <v>70</v>
      </c>
      <c r="N8986" t="s">
        <v>29</v>
      </c>
    </row>
    <row r="8987" spans="1:14">
      <c r="A8987" s="4" t="str">
        <f t="shared" si="794"/>
        <v>EXP00289</v>
      </c>
      <c r="B8987" s="4" t="str">
        <f t="shared" si="795"/>
        <v>26499327</v>
      </c>
      <c r="C8987" s="4" t="str">
        <f t="shared" si="796"/>
        <v>GSE71222</v>
      </c>
      <c r="D8987" s="1" t="s">
        <v>45</v>
      </c>
      <c r="E8987" t="s">
        <v>68</v>
      </c>
      <c r="F8987" s="1">
        <v>2</v>
      </c>
      <c r="G8987" s="1" t="s">
        <v>32</v>
      </c>
      <c r="H8987" s="4" t="str">
        <f>HYPERLINK("https://www.ncbi.nlm.nih.gov/geo/query/acc.cgi?acc=GSM1830848","GSM1830848")</f>
        <v>GSM1830848</v>
      </c>
      <c r="I8987" t="s">
        <v>69</v>
      </c>
      <c r="J8987" t="s">
        <v>18</v>
      </c>
      <c r="K8987" t="s">
        <v>33</v>
      </c>
      <c r="L8987" t="s">
        <v>70</v>
      </c>
      <c r="N8987" t="s">
        <v>29</v>
      </c>
    </row>
    <row r="8988" spans="1:14">
      <c r="A8988" s="4" t="str">
        <f t="shared" si="794"/>
        <v>EXP00289</v>
      </c>
      <c r="B8988" s="4" t="str">
        <f t="shared" si="795"/>
        <v>26499327</v>
      </c>
      <c r="C8988" s="4" t="str">
        <f t="shared" si="796"/>
        <v>GSE71222</v>
      </c>
      <c r="D8988" s="1" t="s">
        <v>45</v>
      </c>
      <c r="E8988" t="s">
        <v>68</v>
      </c>
      <c r="F8988" s="1">
        <v>2</v>
      </c>
      <c r="G8988" s="1" t="s">
        <v>32</v>
      </c>
      <c r="H8988" s="4" t="str">
        <f>HYPERLINK("https://www.ncbi.nlm.nih.gov/geo/query/acc.cgi?acc=GSM1830849","GSM1830849")</f>
        <v>GSM1830849</v>
      </c>
      <c r="I8988" t="s">
        <v>69</v>
      </c>
      <c r="J8988" t="s">
        <v>18</v>
      </c>
      <c r="K8988" t="s">
        <v>33</v>
      </c>
      <c r="L8988" t="s">
        <v>70</v>
      </c>
      <c r="N8988" t="s">
        <v>29</v>
      </c>
    </row>
    <row r="8989" spans="1:14">
      <c r="A8989" s="4" t="str">
        <f t="shared" si="794"/>
        <v>EXP00289</v>
      </c>
      <c r="B8989" s="4" t="str">
        <f t="shared" si="795"/>
        <v>26499327</v>
      </c>
      <c r="C8989" s="4" t="str">
        <f t="shared" si="796"/>
        <v>GSE71222</v>
      </c>
      <c r="D8989" s="1" t="s">
        <v>45</v>
      </c>
      <c r="E8989" t="s">
        <v>68</v>
      </c>
      <c r="F8989" s="1">
        <v>2</v>
      </c>
      <c r="G8989" s="1" t="s">
        <v>32</v>
      </c>
      <c r="H8989" s="4" t="str">
        <f>HYPERLINK("https://www.ncbi.nlm.nih.gov/geo/query/acc.cgi?acc=GSM1830850","GSM1830850")</f>
        <v>GSM1830850</v>
      </c>
      <c r="I8989" t="s">
        <v>69</v>
      </c>
      <c r="J8989" t="s">
        <v>18</v>
      </c>
      <c r="K8989" t="s">
        <v>33</v>
      </c>
      <c r="L8989" t="s">
        <v>70</v>
      </c>
      <c r="N8989" t="s">
        <v>29</v>
      </c>
    </row>
    <row r="8990" spans="1:14">
      <c r="A8990" s="4" t="str">
        <f t="shared" si="794"/>
        <v>EXP00289</v>
      </c>
      <c r="B8990" s="4" t="str">
        <f t="shared" si="795"/>
        <v>26499327</v>
      </c>
      <c r="C8990" s="4" t="str">
        <f t="shared" si="796"/>
        <v>GSE71222</v>
      </c>
      <c r="D8990" s="1" t="s">
        <v>45</v>
      </c>
      <c r="E8990" t="s">
        <v>68</v>
      </c>
      <c r="F8990" s="1">
        <v>2</v>
      </c>
      <c r="G8990" s="1" t="s">
        <v>32</v>
      </c>
      <c r="H8990" s="4" t="str">
        <f>HYPERLINK("https://www.ncbi.nlm.nih.gov/geo/query/acc.cgi?acc=GSM1830851","GSM1830851")</f>
        <v>GSM1830851</v>
      </c>
      <c r="I8990" t="s">
        <v>69</v>
      </c>
      <c r="J8990" t="s">
        <v>18</v>
      </c>
      <c r="K8990" t="s">
        <v>33</v>
      </c>
      <c r="L8990" t="s">
        <v>70</v>
      </c>
      <c r="N8990" t="s">
        <v>29</v>
      </c>
    </row>
    <row r="8991" spans="1:14">
      <c r="A8991" s="4" t="str">
        <f t="shared" si="794"/>
        <v>EXP00289</v>
      </c>
      <c r="B8991" s="4" t="str">
        <f t="shared" si="795"/>
        <v>26499327</v>
      </c>
      <c r="C8991" s="4" t="str">
        <f t="shared" si="796"/>
        <v>GSE71222</v>
      </c>
      <c r="D8991" s="1" t="s">
        <v>45</v>
      </c>
      <c r="E8991" t="s">
        <v>68</v>
      </c>
      <c r="F8991" s="1">
        <v>2</v>
      </c>
      <c r="G8991" s="1" t="s">
        <v>32</v>
      </c>
      <c r="H8991" s="4" t="str">
        <f>HYPERLINK("https://www.ncbi.nlm.nih.gov/geo/query/acc.cgi?acc=GSM1830853","GSM1830853")</f>
        <v>GSM1830853</v>
      </c>
      <c r="I8991" t="s">
        <v>69</v>
      </c>
      <c r="J8991" t="s">
        <v>18</v>
      </c>
      <c r="K8991" t="s">
        <v>33</v>
      </c>
      <c r="L8991" t="s">
        <v>70</v>
      </c>
      <c r="N8991" t="s">
        <v>29</v>
      </c>
    </row>
    <row r="8992" spans="1:14">
      <c r="A8992" s="4" t="str">
        <f t="shared" si="794"/>
        <v>EXP00289</v>
      </c>
      <c r="B8992" s="4" t="str">
        <f t="shared" si="795"/>
        <v>26499327</v>
      </c>
      <c r="C8992" s="4" t="str">
        <f t="shared" si="796"/>
        <v>GSE71222</v>
      </c>
      <c r="D8992" s="1" t="s">
        <v>45</v>
      </c>
      <c r="E8992" t="s">
        <v>68</v>
      </c>
      <c r="F8992" s="1">
        <v>2</v>
      </c>
      <c r="G8992" s="1" t="s">
        <v>32</v>
      </c>
      <c r="H8992" s="4" t="str">
        <f>HYPERLINK("https://www.ncbi.nlm.nih.gov/geo/query/acc.cgi?acc=GSM1830854","GSM1830854")</f>
        <v>GSM1830854</v>
      </c>
      <c r="I8992" t="s">
        <v>69</v>
      </c>
      <c r="J8992" t="s">
        <v>18</v>
      </c>
      <c r="K8992" t="s">
        <v>33</v>
      </c>
      <c r="L8992" t="s">
        <v>70</v>
      </c>
      <c r="N8992" t="s">
        <v>29</v>
      </c>
    </row>
    <row r="8993" spans="1:14">
      <c r="A8993" s="4" t="str">
        <f t="shared" si="794"/>
        <v>EXP00289</v>
      </c>
      <c r="B8993" s="4" t="str">
        <f t="shared" si="795"/>
        <v>26499327</v>
      </c>
      <c r="C8993" s="4" t="str">
        <f t="shared" si="796"/>
        <v>GSE71222</v>
      </c>
      <c r="D8993" s="1" t="s">
        <v>45</v>
      </c>
      <c r="E8993" t="s">
        <v>68</v>
      </c>
      <c r="F8993" s="1">
        <v>2</v>
      </c>
      <c r="G8993" s="1" t="s">
        <v>32</v>
      </c>
      <c r="H8993" s="4" t="str">
        <f>HYPERLINK("https://www.ncbi.nlm.nih.gov/geo/query/acc.cgi?acc=GSM1830855","GSM1830855")</f>
        <v>GSM1830855</v>
      </c>
      <c r="I8993" t="s">
        <v>69</v>
      </c>
      <c r="J8993" t="s">
        <v>18</v>
      </c>
      <c r="K8993" t="s">
        <v>33</v>
      </c>
      <c r="L8993" t="s">
        <v>70</v>
      </c>
      <c r="N8993" t="s">
        <v>29</v>
      </c>
    </row>
    <row r="8994" spans="1:14">
      <c r="A8994" s="4" t="str">
        <f t="shared" si="794"/>
        <v>EXP00289</v>
      </c>
      <c r="B8994" s="4" t="str">
        <f t="shared" si="795"/>
        <v>26499327</v>
      </c>
      <c r="C8994" s="4" t="str">
        <f t="shared" si="796"/>
        <v>GSE71222</v>
      </c>
      <c r="D8994" s="1" t="s">
        <v>45</v>
      </c>
      <c r="E8994" t="s">
        <v>68</v>
      </c>
      <c r="F8994" s="1">
        <v>2</v>
      </c>
      <c r="G8994" s="1" t="s">
        <v>32</v>
      </c>
      <c r="H8994" s="4" t="str">
        <f>HYPERLINK("https://www.ncbi.nlm.nih.gov/geo/query/acc.cgi?acc=GSM1830856","GSM1830856")</f>
        <v>GSM1830856</v>
      </c>
      <c r="I8994" t="s">
        <v>69</v>
      </c>
      <c r="J8994" t="s">
        <v>18</v>
      </c>
      <c r="K8994" t="s">
        <v>33</v>
      </c>
      <c r="L8994" t="s">
        <v>70</v>
      </c>
      <c r="N8994" t="s">
        <v>29</v>
      </c>
    </row>
    <row r="8995" spans="1:14">
      <c r="A8995" s="4" t="str">
        <f t="shared" si="794"/>
        <v>EXP00289</v>
      </c>
      <c r="B8995" s="4" t="str">
        <f t="shared" si="795"/>
        <v>26499327</v>
      </c>
      <c r="C8995" s="4" t="str">
        <f t="shared" si="796"/>
        <v>GSE71222</v>
      </c>
      <c r="D8995" s="1" t="s">
        <v>45</v>
      </c>
      <c r="E8995" t="s">
        <v>68</v>
      </c>
      <c r="F8995" s="1">
        <v>2</v>
      </c>
      <c r="G8995" s="1" t="s">
        <v>32</v>
      </c>
      <c r="H8995" s="4" t="str">
        <f>HYPERLINK("https://www.ncbi.nlm.nih.gov/geo/query/acc.cgi?acc=GSM1830857","GSM1830857")</f>
        <v>GSM1830857</v>
      </c>
      <c r="I8995" t="s">
        <v>69</v>
      </c>
      <c r="J8995" t="s">
        <v>18</v>
      </c>
      <c r="K8995" t="s">
        <v>33</v>
      </c>
      <c r="L8995" t="s">
        <v>70</v>
      </c>
      <c r="N8995" t="s">
        <v>29</v>
      </c>
    </row>
    <row r="8996" spans="1:14">
      <c r="A8996" s="4" t="str">
        <f t="shared" si="794"/>
        <v>EXP00289</v>
      </c>
      <c r="B8996" s="4" t="str">
        <f t="shared" si="795"/>
        <v>26499327</v>
      </c>
      <c r="C8996" s="4" t="str">
        <f t="shared" si="796"/>
        <v>GSE71222</v>
      </c>
      <c r="D8996" s="1" t="s">
        <v>45</v>
      </c>
      <c r="E8996" t="s">
        <v>68</v>
      </c>
      <c r="F8996" s="1">
        <v>2</v>
      </c>
      <c r="G8996" s="1" t="s">
        <v>32</v>
      </c>
      <c r="H8996" s="4" t="str">
        <f>HYPERLINK("https://www.ncbi.nlm.nih.gov/geo/query/acc.cgi?acc=GSM1830858","GSM1830858")</f>
        <v>GSM1830858</v>
      </c>
      <c r="I8996" t="s">
        <v>69</v>
      </c>
      <c r="J8996" t="s">
        <v>18</v>
      </c>
      <c r="K8996" t="s">
        <v>33</v>
      </c>
      <c r="L8996" t="s">
        <v>70</v>
      </c>
      <c r="N8996" t="s">
        <v>29</v>
      </c>
    </row>
    <row r="8997" spans="1:14">
      <c r="A8997" s="4" t="str">
        <f t="shared" si="794"/>
        <v>EXP00289</v>
      </c>
      <c r="B8997" s="4" t="str">
        <f t="shared" si="795"/>
        <v>26499327</v>
      </c>
      <c r="C8997" s="4" t="str">
        <f t="shared" si="796"/>
        <v>GSE71222</v>
      </c>
      <c r="D8997" s="1" t="s">
        <v>45</v>
      </c>
      <c r="E8997" t="s">
        <v>68</v>
      </c>
      <c r="F8997" s="1">
        <v>2</v>
      </c>
      <c r="G8997" s="1" t="s">
        <v>32</v>
      </c>
      <c r="H8997" s="4" t="str">
        <f>HYPERLINK("https://www.ncbi.nlm.nih.gov/geo/query/acc.cgi?acc=GSM1830859","GSM1830859")</f>
        <v>GSM1830859</v>
      </c>
      <c r="I8997" t="s">
        <v>69</v>
      </c>
      <c r="J8997" t="s">
        <v>18</v>
      </c>
      <c r="K8997" t="s">
        <v>33</v>
      </c>
      <c r="L8997" t="s">
        <v>70</v>
      </c>
      <c r="N8997" t="s">
        <v>29</v>
      </c>
    </row>
    <row r="8998" spans="1:14">
      <c r="A8998" s="4" t="str">
        <f t="shared" si="794"/>
        <v>EXP00289</v>
      </c>
      <c r="B8998" s="4" t="str">
        <f t="shared" si="795"/>
        <v>26499327</v>
      </c>
      <c r="C8998" s="4" t="str">
        <f t="shared" si="796"/>
        <v>GSE71222</v>
      </c>
      <c r="D8998" s="1" t="s">
        <v>45</v>
      </c>
      <c r="E8998" t="s">
        <v>68</v>
      </c>
      <c r="F8998" s="1">
        <v>2</v>
      </c>
      <c r="G8998" s="1" t="s">
        <v>32</v>
      </c>
      <c r="H8998" s="4" t="str">
        <f>HYPERLINK("https://www.ncbi.nlm.nih.gov/geo/query/acc.cgi?acc=GSM1830860","GSM1830860")</f>
        <v>GSM1830860</v>
      </c>
      <c r="I8998" t="s">
        <v>69</v>
      </c>
      <c r="J8998" t="s">
        <v>18</v>
      </c>
      <c r="K8998" t="s">
        <v>33</v>
      </c>
      <c r="L8998" t="s">
        <v>70</v>
      </c>
      <c r="N8998" t="s">
        <v>29</v>
      </c>
    </row>
    <row r="8999" spans="1:14">
      <c r="A8999" s="4" t="str">
        <f t="shared" si="794"/>
        <v>EXP00289</v>
      </c>
      <c r="B8999" s="4" t="str">
        <f t="shared" si="795"/>
        <v>26499327</v>
      </c>
      <c r="C8999" s="4" t="str">
        <f t="shared" si="796"/>
        <v>GSE71222</v>
      </c>
      <c r="D8999" s="1" t="s">
        <v>45</v>
      </c>
      <c r="E8999" t="s">
        <v>68</v>
      </c>
      <c r="F8999" s="1">
        <v>2</v>
      </c>
      <c r="G8999" s="1" t="s">
        <v>32</v>
      </c>
      <c r="H8999" s="4" t="str">
        <f>HYPERLINK("https://www.ncbi.nlm.nih.gov/geo/query/acc.cgi?acc=GSM1830861","GSM1830861")</f>
        <v>GSM1830861</v>
      </c>
      <c r="I8999" t="s">
        <v>69</v>
      </c>
      <c r="J8999" t="s">
        <v>18</v>
      </c>
      <c r="K8999" t="s">
        <v>33</v>
      </c>
      <c r="L8999" t="s">
        <v>70</v>
      </c>
      <c r="N8999" t="s">
        <v>29</v>
      </c>
    </row>
    <row r="9000" spans="1:14">
      <c r="A9000" s="4" t="str">
        <f t="shared" si="794"/>
        <v>EXP00289</v>
      </c>
      <c r="B9000" s="4" t="str">
        <f t="shared" si="795"/>
        <v>26499327</v>
      </c>
      <c r="C9000" s="4" t="str">
        <f t="shared" si="796"/>
        <v>GSE71222</v>
      </c>
      <c r="D9000" s="1" t="s">
        <v>45</v>
      </c>
      <c r="E9000" t="s">
        <v>68</v>
      </c>
      <c r="F9000" s="1">
        <v>2</v>
      </c>
      <c r="G9000" s="1" t="s">
        <v>32</v>
      </c>
      <c r="H9000" s="4" t="str">
        <f>HYPERLINK("https://www.ncbi.nlm.nih.gov/geo/query/acc.cgi?acc=GSM1830862","GSM1830862")</f>
        <v>GSM1830862</v>
      </c>
      <c r="I9000" t="s">
        <v>69</v>
      </c>
      <c r="J9000" t="s">
        <v>18</v>
      </c>
      <c r="K9000" t="s">
        <v>33</v>
      </c>
      <c r="L9000" t="s">
        <v>70</v>
      </c>
      <c r="N9000" t="s">
        <v>29</v>
      </c>
    </row>
    <row r="9001" spans="1:14">
      <c r="A9001" s="4" t="str">
        <f t="shared" si="794"/>
        <v>EXP00289</v>
      </c>
      <c r="B9001" s="4" t="str">
        <f t="shared" si="795"/>
        <v>26499327</v>
      </c>
      <c r="C9001" s="4" t="str">
        <f t="shared" si="796"/>
        <v>GSE71222</v>
      </c>
      <c r="D9001" s="1" t="s">
        <v>45</v>
      </c>
      <c r="E9001" t="s">
        <v>68</v>
      </c>
      <c r="F9001" s="1">
        <v>2</v>
      </c>
      <c r="G9001" s="1" t="s">
        <v>32</v>
      </c>
      <c r="H9001" s="4" t="str">
        <f>HYPERLINK("https://www.ncbi.nlm.nih.gov/geo/query/acc.cgi?acc=GSM1830863","GSM1830863")</f>
        <v>GSM1830863</v>
      </c>
      <c r="I9001" t="s">
        <v>69</v>
      </c>
      <c r="J9001" t="s">
        <v>18</v>
      </c>
      <c r="K9001" t="s">
        <v>33</v>
      </c>
      <c r="L9001" t="s">
        <v>70</v>
      </c>
      <c r="N9001" t="s">
        <v>29</v>
      </c>
    </row>
    <row r="9002" spans="1:14">
      <c r="A9002" s="4" t="str">
        <f t="shared" si="794"/>
        <v>EXP00289</v>
      </c>
      <c r="B9002" s="4" t="str">
        <f t="shared" si="795"/>
        <v>26499327</v>
      </c>
      <c r="C9002" s="4" t="str">
        <f t="shared" si="796"/>
        <v>GSE71222</v>
      </c>
      <c r="D9002" s="1" t="s">
        <v>45</v>
      </c>
      <c r="E9002" t="s">
        <v>68</v>
      </c>
      <c r="F9002" s="1">
        <v>2</v>
      </c>
      <c r="G9002" s="1" t="s">
        <v>32</v>
      </c>
      <c r="H9002" s="4" t="str">
        <f>HYPERLINK("https://www.ncbi.nlm.nih.gov/geo/query/acc.cgi?acc=GSM1830864","GSM1830864")</f>
        <v>GSM1830864</v>
      </c>
      <c r="I9002" t="s">
        <v>69</v>
      </c>
      <c r="J9002" t="s">
        <v>18</v>
      </c>
      <c r="K9002" t="s">
        <v>33</v>
      </c>
      <c r="L9002" t="s">
        <v>70</v>
      </c>
      <c r="N9002" t="s">
        <v>29</v>
      </c>
    </row>
    <row r="9003" spans="1:14">
      <c r="A9003" s="4" t="str">
        <f t="shared" si="794"/>
        <v>EXP00289</v>
      </c>
      <c r="B9003" s="4" t="str">
        <f t="shared" si="795"/>
        <v>26499327</v>
      </c>
      <c r="C9003" s="4" t="str">
        <f t="shared" si="796"/>
        <v>GSE71222</v>
      </c>
      <c r="D9003" s="1" t="s">
        <v>45</v>
      </c>
      <c r="E9003" t="s">
        <v>68</v>
      </c>
      <c r="F9003" s="1">
        <v>2</v>
      </c>
      <c r="G9003" s="1" t="s">
        <v>32</v>
      </c>
      <c r="H9003" s="4" t="str">
        <f>HYPERLINK("https://www.ncbi.nlm.nih.gov/geo/query/acc.cgi?acc=GSM1830865","GSM1830865")</f>
        <v>GSM1830865</v>
      </c>
      <c r="I9003" t="s">
        <v>69</v>
      </c>
      <c r="J9003" t="s">
        <v>18</v>
      </c>
      <c r="K9003" t="s">
        <v>33</v>
      </c>
      <c r="L9003" t="s">
        <v>70</v>
      </c>
      <c r="N9003" t="s">
        <v>29</v>
      </c>
    </row>
    <row r="9004" spans="1:14">
      <c r="A9004" s="4" t="str">
        <f t="shared" si="794"/>
        <v>EXP00289</v>
      </c>
      <c r="B9004" s="4" t="str">
        <f t="shared" si="795"/>
        <v>26499327</v>
      </c>
      <c r="C9004" s="4" t="str">
        <f t="shared" si="796"/>
        <v>GSE71222</v>
      </c>
      <c r="D9004" s="1" t="s">
        <v>45</v>
      </c>
      <c r="E9004" t="s">
        <v>68</v>
      </c>
      <c r="F9004" s="1">
        <v>2</v>
      </c>
      <c r="G9004" s="1" t="s">
        <v>32</v>
      </c>
      <c r="H9004" s="4" t="str">
        <f>HYPERLINK("https://www.ncbi.nlm.nih.gov/geo/query/acc.cgi?acc=GSM1830866","GSM1830866")</f>
        <v>GSM1830866</v>
      </c>
      <c r="I9004" t="s">
        <v>69</v>
      </c>
      <c r="J9004" t="s">
        <v>18</v>
      </c>
      <c r="K9004" t="s">
        <v>33</v>
      </c>
      <c r="L9004" t="s">
        <v>70</v>
      </c>
      <c r="N9004" t="s">
        <v>29</v>
      </c>
    </row>
    <row r="9005" spans="1:14">
      <c r="A9005" s="4" t="str">
        <f t="shared" si="794"/>
        <v>EXP00289</v>
      </c>
      <c r="B9005" s="4" t="str">
        <f t="shared" si="795"/>
        <v>26499327</v>
      </c>
      <c r="C9005" s="4" t="str">
        <f t="shared" si="796"/>
        <v>GSE71222</v>
      </c>
      <c r="D9005" s="1" t="s">
        <v>45</v>
      </c>
      <c r="E9005" t="s">
        <v>68</v>
      </c>
      <c r="F9005" s="1">
        <v>2</v>
      </c>
      <c r="G9005" s="1" t="s">
        <v>32</v>
      </c>
      <c r="H9005" s="4" t="str">
        <f>HYPERLINK("https://www.ncbi.nlm.nih.gov/geo/query/acc.cgi?acc=GSM1830868","GSM1830868")</f>
        <v>GSM1830868</v>
      </c>
      <c r="I9005" t="s">
        <v>69</v>
      </c>
      <c r="J9005" t="s">
        <v>18</v>
      </c>
      <c r="K9005" t="s">
        <v>33</v>
      </c>
      <c r="L9005" t="s">
        <v>70</v>
      </c>
      <c r="N9005" t="s">
        <v>29</v>
      </c>
    </row>
    <row r="9006" spans="1:14">
      <c r="A9006" s="4" t="str">
        <f t="shared" si="794"/>
        <v>EXP00289</v>
      </c>
      <c r="B9006" s="4" t="str">
        <f t="shared" si="795"/>
        <v>26499327</v>
      </c>
      <c r="C9006" s="4" t="str">
        <f t="shared" si="796"/>
        <v>GSE71222</v>
      </c>
      <c r="D9006" s="1" t="s">
        <v>45</v>
      </c>
      <c r="E9006" t="s">
        <v>68</v>
      </c>
      <c r="F9006" s="1">
        <v>2</v>
      </c>
      <c r="G9006" s="1" t="s">
        <v>32</v>
      </c>
      <c r="H9006" s="4" t="str">
        <f>HYPERLINK("https://www.ncbi.nlm.nih.gov/geo/query/acc.cgi?acc=GSM1830870","GSM1830870")</f>
        <v>GSM1830870</v>
      </c>
      <c r="I9006" t="s">
        <v>69</v>
      </c>
      <c r="J9006" t="s">
        <v>18</v>
      </c>
      <c r="K9006" t="s">
        <v>33</v>
      </c>
      <c r="L9006" t="s">
        <v>70</v>
      </c>
      <c r="N9006" t="s">
        <v>29</v>
      </c>
    </row>
    <row r="9007" spans="1:14">
      <c r="A9007" s="4" t="str">
        <f t="shared" si="794"/>
        <v>EXP00289</v>
      </c>
      <c r="B9007" s="4" t="str">
        <f t="shared" si="795"/>
        <v>26499327</v>
      </c>
      <c r="C9007" s="4" t="str">
        <f t="shared" si="796"/>
        <v>GSE71222</v>
      </c>
      <c r="D9007" s="1" t="s">
        <v>45</v>
      </c>
      <c r="E9007" t="s">
        <v>68</v>
      </c>
      <c r="F9007" s="1">
        <v>2</v>
      </c>
      <c r="G9007" s="1" t="s">
        <v>32</v>
      </c>
      <c r="H9007" s="4" t="str">
        <f>HYPERLINK("https://www.ncbi.nlm.nih.gov/geo/query/acc.cgi?acc=GSM1830871","GSM1830871")</f>
        <v>GSM1830871</v>
      </c>
      <c r="I9007" t="s">
        <v>69</v>
      </c>
      <c r="J9007" t="s">
        <v>18</v>
      </c>
      <c r="K9007" t="s">
        <v>33</v>
      </c>
      <c r="L9007" t="s">
        <v>70</v>
      </c>
      <c r="N9007" t="s">
        <v>29</v>
      </c>
    </row>
    <row r="9008" spans="1:14">
      <c r="A9008" s="4" t="str">
        <f t="shared" si="794"/>
        <v>EXP00289</v>
      </c>
      <c r="B9008" s="4" t="str">
        <f t="shared" si="795"/>
        <v>26499327</v>
      </c>
      <c r="C9008" s="4" t="str">
        <f t="shared" si="796"/>
        <v>GSE71222</v>
      </c>
      <c r="D9008" s="1" t="s">
        <v>45</v>
      </c>
      <c r="E9008" t="s">
        <v>68</v>
      </c>
      <c r="F9008" s="1">
        <v>2</v>
      </c>
      <c r="G9008" s="1" t="s">
        <v>32</v>
      </c>
      <c r="H9008" s="4" t="str">
        <f>HYPERLINK("https://www.ncbi.nlm.nih.gov/geo/query/acc.cgi?acc=GSM1830872","GSM1830872")</f>
        <v>GSM1830872</v>
      </c>
      <c r="I9008" t="s">
        <v>69</v>
      </c>
      <c r="J9008" t="s">
        <v>18</v>
      </c>
      <c r="K9008" t="s">
        <v>33</v>
      </c>
      <c r="L9008" t="s">
        <v>70</v>
      </c>
      <c r="N9008" t="s">
        <v>29</v>
      </c>
    </row>
    <row r="9009" spans="1:14">
      <c r="A9009" s="4" t="str">
        <f t="shared" si="794"/>
        <v>EXP00289</v>
      </c>
      <c r="B9009" s="4" t="str">
        <f t="shared" si="795"/>
        <v>26499327</v>
      </c>
      <c r="C9009" s="4" t="str">
        <f t="shared" si="796"/>
        <v>GSE71222</v>
      </c>
      <c r="D9009" s="1" t="s">
        <v>45</v>
      </c>
      <c r="E9009" t="s">
        <v>68</v>
      </c>
      <c r="F9009" s="1">
        <v>2</v>
      </c>
      <c r="G9009" s="1" t="s">
        <v>32</v>
      </c>
      <c r="H9009" s="4" t="str">
        <f>HYPERLINK("https://www.ncbi.nlm.nih.gov/geo/query/acc.cgi?acc=GSM1830873","GSM1830873")</f>
        <v>GSM1830873</v>
      </c>
      <c r="I9009" t="s">
        <v>69</v>
      </c>
      <c r="J9009" t="s">
        <v>18</v>
      </c>
      <c r="K9009" t="s">
        <v>33</v>
      </c>
      <c r="L9009" t="s">
        <v>70</v>
      </c>
      <c r="N9009" t="s">
        <v>29</v>
      </c>
    </row>
    <row r="9010" spans="1:14">
      <c r="A9010" s="4" t="str">
        <f t="shared" ref="A9010:A9041" si="797">HYPERLINK("http://hcmdb.i-sanger.com/experiment/details/experiment_id/EXP00289","EXP00289")</f>
        <v>EXP00289</v>
      </c>
      <c r="B9010" s="4" t="str">
        <f t="shared" ref="B9010:B9041" si="798">HYPERLINK("https://www.ncbi.nlm.nih.gov/pubmed/26499327","26499327")</f>
        <v>26499327</v>
      </c>
      <c r="C9010" s="4" t="str">
        <f t="shared" ref="C9010:C9041" si="799">HYPERLINK("https://www.ncbi.nlm.nih.gov/geo/query/acc.cgi?acc=GSE71222","GSE71222")</f>
        <v>GSE71222</v>
      </c>
      <c r="D9010" s="1" t="s">
        <v>45</v>
      </c>
      <c r="E9010" t="s">
        <v>68</v>
      </c>
      <c r="F9010" s="1">
        <v>2</v>
      </c>
      <c r="G9010" s="1" t="s">
        <v>32</v>
      </c>
      <c r="H9010" s="4" t="str">
        <f>HYPERLINK("https://www.ncbi.nlm.nih.gov/geo/query/acc.cgi?acc=GSM1830875","GSM1830875")</f>
        <v>GSM1830875</v>
      </c>
      <c r="I9010" t="s">
        <v>69</v>
      </c>
      <c r="J9010" t="s">
        <v>18</v>
      </c>
      <c r="K9010" t="s">
        <v>33</v>
      </c>
      <c r="L9010" t="s">
        <v>70</v>
      </c>
      <c r="N9010" t="s">
        <v>29</v>
      </c>
    </row>
    <row r="9011" spans="1:14">
      <c r="A9011" s="4" t="str">
        <f t="shared" si="797"/>
        <v>EXP00289</v>
      </c>
      <c r="B9011" s="4" t="str">
        <f t="shared" si="798"/>
        <v>26499327</v>
      </c>
      <c r="C9011" s="4" t="str">
        <f t="shared" si="799"/>
        <v>GSE71222</v>
      </c>
      <c r="D9011" s="1" t="s">
        <v>45</v>
      </c>
      <c r="E9011" t="s">
        <v>68</v>
      </c>
      <c r="F9011" s="1">
        <v>2</v>
      </c>
      <c r="G9011" s="1" t="s">
        <v>32</v>
      </c>
      <c r="H9011" s="4" t="str">
        <f>HYPERLINK("https://www.ncbi.nlm.nih.gov/geo/query/acc.cgi?acc=GSM1830876","GSM1830876")</f>
        <v>GSM1830876</v>
      </c>
      <c r="I9011" t="s">
        <v>69</v>
      </c>
      <c r="J9011" t="s">
        <v>18</v>
      </c>
      <c r="K9011" t="s">
        <v>33</v>
      </c>
      <c r="L9011" t="s">
        <v>70</v>
      </c>
      <c r="N9011" t="s">
        <v>29</v>
      </c>
    </row>
    <row r="9012" spans="1:14">
      <c r="A9012" s="4" t="str">
        <f t="shared" si="797"/>
        <v>EXP00289</v>
      </c>
      <c r="B9012" s="4" t="str">
        <f t="shared" si="798"/>
        <v>26499327</v>
      </c>
      <c r="C9012" s="4" t="str">
        <f t="shared" si="799"/>
        <v>GSE71222</v>
      </c>
      <c r="D9012" s="1" t="s">
        <v>45</v>
      </c>
      <c r="E9012" t="s">
        <v>68</v>
      </c>
      <c r="F9012" s="1">
        <v>2</v>
      </c>
      <c r="G9012" s="1" t="s">
        <v>32</v>
      </c>
      <c r="H9012" s="4" t="str">
        <f>HYPERLINK("https://www.ncbi.nlm.nih.gov/geo/query/acc.cgi?acc=GSM1830877","GSM1830877")</f>
        <v>GSM1830877</v>
      </c>
      <c r="I9012" t="s">
        <v>69</v>
      </c>
      <c r="J9012" t="s">
        <v>18</v>
      </c>
      <c r="K9012" t="s">
        <v>33</v>
      </c>
      <c r="L9012" t="s">
        <v>70</v>
      </c>
      <c r="N9012" t="s">
        <v>29</v>
      </c>
    </row>
    <row r="9013" spans="1:14">
      <c r="A9013" s="4" t="str">
        <f t="shared" si="797"/>
        <v>EXP00289</v>
      </c>
      <c r="B9013" s="4" t="str">
        <f t="shared" si="798"/>
        <v>26499327</v>
      </c>
      <c r="C9013" s="4" t="str">
        <f t="shared" si="799"/>
        <v>GSE71222</v>
      </c>
      <c r="D9013" s="1" t="s">
        <v>45</v>
      </c>
      <c r="E9013" t="s">
        <v>68</v>
      </c>
      <c r="F9013" s="1">
        <v>2</v>
      </c>
      <c r="G9013" s="1" t="s">
        <v>32</v>
      </c>
      <c r="H9013" s="4" t="str">
        <f>HYPERLINK("https://www.ncbi.nlm.nih.gov/geo/query/acc.cgi?acc=GSM1830878","GSM1830878")</f>
        <v>GSM1830878</v>
      </c>
      <c r="I9013" t="s">
        <v>69</v>
      </c>
      <c r="J9013" t="s">
        <v>18</v>
      </c>
      <c r="K9013" t="s">
        <v>33</v>
      </c>
      <c r="L9013" t="s">
        <v>70</v>
      </c>
      <c r="N9013" t="s">
        <v>29</v>
      </c>
    </row>
    <row r="9014" spans="1:14">
      <c r="A9014" s="4" t="str">
        <f t="shared" si="797"/>
        <v>EXP00289</v>
      </c>
      <c r="B9014" s="4" t="str">
        <f t="shared" si="798"/>
        <v>26499327</v>
      </c>
      <c r="C9014" s="4" t="str">
        <f t="shared" si="799"/>
        <v>GSE71222</v>
      </c>
      <c r="D9014" s="1" t="s">
        <v>45</v>
      </c>
      <c r="E9014" t="s">
        <v>68</v>
      </c>
      <c r="F9014" s="1">
        <v>2</v>
      </c>
      <c r="G9014" s="1" t="s">
        <v>32</v>
      </c>
      <c r="H9014" s="4" t="str">
        <f>HYPERLINK("https://www.ncbi.nlm.nih.gov/geo/query/acc.cgi?acc=GSM1830879","GSM1830879")</f>
        <v>GSM1830879</v>
      </c>
      <c r="I9014" t="s">
        <v>69</v>
      </c>
      <c r="J9014" t="s">
        <v>18</v>
      </c>
      <c r="K9014" t="s">
        <v>33</v>
      </c>
      <c r="L9014" t="s">
        <v>70</v>
      </c>
      <c r="N9014" t="s">
        <v>29</v>
      </c>
    </row>
    <row r="9015" spans="1:14">
      <c r="A9015" s="4" t="str">
        <f t="shared" si="797"/>
        <v>EXP00289</v>
      </c>
      <c r="B9015" s="4" t="str">
        <f t="shared" si="798"/>
        <v>26499327</v>
      </c>
      <c r="C9015" s="4" t="str">
        <f t="shared" si="799"/>
        <v>GSE71222</v>
      </c>
      <c r="D9015" s="1" t="s">
        <v>45</v>
      </c>
      <c r="E9015" t="s">
        <v>68</v>
      </c>
      <c r="F9015" s="1">
        <v>2</v>
      </c>
      <c r="G9015" s="1" t="s">
        <v>32</v>
      </c>
      <c r="H9015" s="4" t="str">
        <f>HYPERLINK("https://www.ncbi.nlm.nih.gov/geo/query/acc.cgi?acc=GSM1830880","GSM1830880")</f>
        <v>GSM1830880</v>
      </c>
      <c r="I9015" t="s">
        <v>69</v>
      </c>
      <c r="J9015" t="s">
        <v>18</v>
      </c>
      <c r="K9015" t="s">
        <v>33</v>
      </c>
      <c r="L9015" t="s">
        <v>70</v>
      </c>
      <c r="N9015" t="s">
        <v>29</v>
      </c>
    </row>
    <row r="9016" spans="1:14">
      <c r="A9016" s="4" t="str">
        <f t="shared" si="797"/>
        <v>EXP00289</v>
      </c>
      <c r="B9016" s="4" t="str">
        <f t="shared" si="798"/>
        <v>26499327</v>
      </c>
      <c r="C9016" s="4" t="str">
        <f t="shared" si="799"/>
        <v>GSE71222</v>
      </c>
      <c r="D9016" s="1" t="s">
        <v>45</v>
      </c>
      <c r="E9016" t="s">
        <v>68</v>
      </c>
      <c r="F9016" s="1">
        <v>2</v>
      </c>
      <c r="G9016" s="1" t="s">
        <v>32</v>
      </c>
      <c r="H9016" s="4" t="str">
        <f>HYPERLINK("https://www.ncbi.nlm.nih.gov/geo/query/acc.cgi?acc=GSM1830881","GSM1830881")</f>
        <v>GSM1830881</v>
      </c>
      <c r="I9016" t="s">
        <v>69</v>
      </c>
      <c r="J9016" t="s">
        <v>18</v>
      </c>
      <c r="K9016" t="s">
        <v>33</v>
      </c>
      <c r="L9016" t="s">
        <v>70</v>
      </c>
      <c r="N9016" t="s">
        <v>29</v>
      </c>
    </row>
    <row r="9017" spans="1:14">
      <c r="A9017" s="4" t="str">
        <f t="shared" si="797"/>
        <v>EXP00289</v>
      </c>
      <c r="B9017" s="4" t="str">
        <f t="shared" si="798"/>
        <v>26499327</v>
      </c>
      <c r="C9017" s="4" t="str">
        <f t="shared" si="799"/>
        <v>GSE71222</v>
      </c>
      <c r="D9017" s="1" t="s">
        <v>45</v>
      </c>
      <c r="E9017" t="s">
        <v>68</v>
      </c>
      <c r="F9017" s="1">
        <v>2</v>
      </c>
      <c r="G9017" s="1" t="s">
        <v>32</v>
      </c>
      <c r="H9017" s="4" t="str">
        <f>HYPERLINK("https://www.ncbi.nlm.nih.gov/geo/query/acc.cgi?acc=GSM1830882","GSM1830882")</f>
        <v>GSM1830882</v>
      </c>
      <c r="I9017" t="s">
        <v>69</v>
      </c>
      <c r="J9017" t="s">
        <v>18</v>
      </c>
      <c r="K9017" t="s">
        <v>33</v>
      </c>
      <c r="L9017" t="s">
        <v>70</v>
      </c>
      <c r="N9017" t="s">
        <v>29</v>
      </c>
    </row>
    <row r="9018" spans="1:14">
      <c r="A9018" s="4" t="str">
        <f t="shared" si="797"/>
        <v>EXP00289</v>
      </c>
      <c r="B9018" s="4" t="str">
        <f t="shared" si="798"/>
        <v>26499327</v>
      </c>
      <c r="C9018" s="4" t="str">
        <f t="shared" si="799"/>
        <v>GSE71222</v>
      </c>
      <c r="D9018" s="1" t="s">
        <v>45</v>
      </c>
      <c r="E9018" t="s">
        <v>68</v>
      </c>
      <c r="F9018" s="1">
        <v>2</v>
      </c>
      <c r="G9018" s="1" t="s">
        <v>32</v>
      </c>
      <c r="H9018" s="4" t="str">
        <f>HYPERLINK("https://www.ncbi.nlm.nih.gov/geo/query/acc.cgi?acc=GSM1830883","GSM1830883")</f>
        <v>GSM1830883</v>
      </c>
      <c r="I9018" t="s">
        <v>69</v>
      </c>
      <c r="J9018" t="s">
        <v>18</v>
      </c>
      <c r="K9018" t="s">
        <v>33</v>
      </c>
      <c r="L9018" t="s">
        <v>70</v>
      </c>
      <c r="N9018" t="s">
        <v>29</v>
      </c>
    </row>
    <row r="9019" spans="1:14">
      <c r="A9019" s="4" t="str">
        <f t="shared" si="797"/>
        <v>EXP00289</v>
      </c>
      <c r="B9019" s="4" t="str">
        <f t="shared" si="798"/>
        <v>26499327</v>
      </c>
      <c r="C9019" s="4" t="str">
        <f t="shared" si="799"/>
        <v>GSE71222</v>
      </c>
      <c r="D9019" s="1" t="s">
        <v>45</v>
      </c>
      <c r="E9019" t="s">
        <v>68</v>
      </c>
      <c r="F9019" s="1">
        <v>2</v>
      </c>
      <c r="G9019" s="1" t="s">
        <v>32</v>
      </c>
      <c r="H9019" s="4" t="str">
        <f>HYPERLINK("https://www.ncbi.nlm.nih.gov/geo/query/acc.cgi?acc=GSM1830884","GSM1830884")</f>
        <v>GSM1830884</v>
      </c>
      <c r="I9019" t="s">
        <v>69</v>
      </c>
      <c r="J9019" t="s">
        <v>18</v>
      </c>
      <c r="K9019" t="s">
        <v>33</v>
      </c>
      <c r="L9019" t="s">
        <v>70</v>
      </c>
      <c r="N9019" t="s">
        <v>29</v>
      </c>
    </row>
    <row r="9020" spans="1:14">
      <c r="A9020" s="4" t="str">
        <f t="shared" si="797"/>
        <v>EXP00289</v>
      </c>
      <c r="B9020" s="4" t="str">
        <f t="shared" si="798"/>
        <v>26499327</v>
      </c>
      <c r="C9020" s="4" t="str">
        <f t="shared" si="799"/>
        <v>GSE71222</v>
      </c>
      <c r="D9020" s="1" t="s">
        <v>45</v>
      </c>
      <c r="E9020" t="s">
        <v>68</v>
      </c>
      <c r="F9020" s="1">
        <v>2</v>
      </c>
      <c r="G9020" s="1" t="s">
        <v>32</v>
      </c>
      <c r="H9020" s="4" t="str">
        <f>HYPERLINK("https://www.ncbi.nlm.nih.gov/geo/query/acc.cgi?acc=GSM1830885","GSM1830885")</f>
        <v>GSM1830885</v>
      </c>
      <c r="I9020" t="s">
        <v>69</v>
      </c>
      <c r="J9020" t="s">
        <v>18</v>
      </c>
      <c r="K9020" t="s">
        <v>33</v>
      </c>
      <c r="L9020" t="s">
        <v>70</v>
      </c>
      <c r="N9020" t="s">
        <v>29</v>
      </c>
    </row>
    <row r="9021" spans="1:14">
      <c r="A9021" s="4" t="str">
        <f t="shared" si="797"/>
        <v>EXP00289</v>
      </c>
      <c r="B9021" s="4" t="str">
        <f t="shared" si="798"/>
        <v>26499327</v>
      </c>
      <c r="C9021" s="4" t="str">
        <f t="shared" si="799"/>
        <v>GSE71222</v>
      </c>
      <c r="D9021" s="1" t="s">
        <v>45</v>
      </c>
      <c r="E9021" t="s">
        <v>68</v>
      </c>
      <c r="F9021" s="1">
        <v>2</v>
      </c>
      <c r="G9021" s="1" t="s">
        <v>32</v>
      </c>
      <c r="H9021" s="4" t="str">
        <f>HYPERLINK("https://www.ncbi.nlm.nih.gov/geo/query/acc.cgi?acc=GSM1830886","GSM1830886")</f>
        <v>GSM1830886</v>
      </c>
      <c r="I9021" t="s">
        <v>69</v>
      </c>
      <c r="J9021" t="s">
        <v>18</v>
      </c>
      <c r="K9021" t="s">
        <v>33</v>
      </c>
      <c r="L9021" t="s">
        <v>70</v>
      </c>
      <c r="N9021" t="s">
        <v>29</v>
      </c>
    </row>
    <row r="9022" spans="1:14">
      <c r="A9022" s="4" t="str">
        <f t="shared" si="797"/>
        <v>EXP00289</v>
      </c>
      <c r="B9022" s="4" t="str">
        <f t="shared" si="798"/>
        <v>26499327</v>
      </c>
      <c r="C9022" s="4" t="str">
        <f t="shared" si="799"/>
        <v>GSE71222</v>
      </c>
      <c r="D9022" s="1" t="s">
        <v>45</v>
      </c>
      <c r="E9022" t="s">
        <v>68</v>
      </c>
      <c r="F9022" s="1">
        <v>2</v>
      </c>
      <c r="G9022" s="1" t="s">
        <v>32</v>
      </c>
      <c r="H9022" s="4" t="str">
        <f>HYPERLINK("https://www.ncbi.nlm.nih.gov/geo/query/acc.cgi?acc=GSM1830887","GSM1830887")</f>
        <v>GSM1830887</v>
      </c>
      <c r="I9022" t="s">
        <v>69</v>
      </c>
      <c r="J9022" t="s">
        <v>18</v>
      </c>
      <c r="K9022" t="s">
        <v>33</v>
      </c>
      <c r="L9022" t="s">
        <v>70</v>
      </c>
      <c r="N9022" t="s">
        <v>29</v>
      </c>
    </row>
    <row r="9023" spans="1:14">
      <c r="A9023" s="4" t="str">
        <f t="shared" si="797"/>
        <v>EXP00289</v>
      </c>
      <c r="B9023" s="4" t="str">
        <f t="shared" si="798"/>
        <v>26499327</v>
      </c>
      <c r="C9023" s="4" t="str">
        <f t="shared" si="799"/>
        <v>GSE71222</v>
      </c>
      <c r="D9023" s="1" t="s">
        <v>45</v>
      </c>
      <c r="E9023" t="s">
        <v>68</v>
      </c>
      <c r="F9023" s="1">
        <v>2</v>
      </c>
      <c r="G9023" s="1" t="s">
        <v>32</v>
      </c>
      <c r="H9023" s="4" t="str">
        <f>HYPERLINK("https://www.ncbi.nlm.nih.gov/geo/query/acc.cgi?acc=GSM1830888","GSM1830888")</f>
        <v>GSM1830888</v>
      </c>
      <c r="I9023" t="s">
        <v>69</v>
      </c>
      <c r="J9023" t="s">
        <v>18</v>
      </c>
      <c r="K9023" t="s">
        <v>33</v>
      </c>
      <c r="L9023" t="s">
        <v>70</v>
      </c>
      <c r="N9023" t="s">
        <v>29</v>
      </c>
    </row>
    <row r="9024" spans="1:14">
      <c r="A9024" s="4" t="str">
        <f t="shared" si="797"/>
        <v>EXP00289</v>
      </c>
      <c r="B9024" s="4" t="str">
        <f t="shared" si="798"/>
        <v>26499327</v>
      </c>
      <c r="C9024" s="4" t="str">
        <f t="shared" si="799"/>
        <v>GSE71222</v>
      </c>
      <c r="D9024" s="1" t="s">
        <v>45</v>
      </c>
      <c r="E9024" t="s">
        <v>68</v>
      </c>
      <c r="F9024" s="1">
        <v>2</v>
      </c>
      <c r="G9024" s="1" t="s">
        <v>32</v>
      </c>
      <c r="H9024" s="4" t="str">
        <f>HYPERLINK("https://www.ncbi.nlm.nih.gov/geo/query/acc.cgi?acc=GSM1830889","GSM1830889")</f>
        <v>GSM1830889</v>
      </c>
      <c r="I9024" t="s">
        <v>69</v>
      </c>
      <c r="J9024" t="s">
        <v>18</v>
      </c>
      <c r="K9024" t="s">
        <v>33</v>
      </c>
      <c r="L9024" t="s">
        <v>70</v>
      </c>
      <c r="N9024" t="s">
        <v>29</v>
      </c>
    </row>
    <row r="9025" spans="1:14">
      <c r="A9025" s="4" t="str">
        <f t="shared" si="797"/>
        <v>EXP00289</v>
      </c>
      <c r="B9025" s="4" t="str">
        <f t="shared" si="798"/>
        <v>26499327</v>
      </c>
      <c r="C9025" s="4" t="str">
        <f t="shared" si="799"/>
        <v>GSE71222</v>
      </c>
      <c r="D9025" s="1" t="s">
        <v>45</v>
      </c>
      <c r="E9025" t="s">
        <v>68</v>
      </c>
      <c r="F9025" s="1">
        <v>2</v>
      </c>
      <c r="G9025" s="1" t="s">
        <v>32</v>
      </c>
      <c r="H9025" s="4" t="str">
        <f>HYPERLINK("https://www.ncbi.nlm.nih.gov/geo/query/acc.cgi?acc=GSM1830891","GSM1830891")</f>
        <v>GSM1830891</v>
      </c>
      <c r="I9025" t="s">
        <v>69</v>
      </c>
      <c r="J9025" t="s">
        <v>18</v>
      </c>
      <c r="K9025" t="s">
        <v>33</v>
      </c>
      <c r="L9025" t="s">
        <v>70</v>
      </c>
      <c r="N9025" t="s">
        <v>29</v>
      </c>
    </row>
    <row r="9026" spans="1:14">
      <c r="A9026" s="4" t="str">
        <f t="shared" si="797"/>
        <v>EXP00289</v>
      </c>
      <c r="B9026" s="4" t="str">
        <f t="shared" si="798"/>
        <v>26499327</v>
      </c>
      <c r="C9026" s="4" t="str">
        <f t="shared" si="799"/>
        <v>GSE71222</v>
      </c>
      <c r="D9026" s="1" t="s">
        <v>45</v>
      </c>
      <c r="E9026" t="s">
        <v>68</v>
      </c>
      <c r="F9026" s="1">
        <v>2</v>
      </c>
      <c r="G9026" s="1" t="s">
        <v>32</v>
      </c>
      <c r="H9026" s="4" t="str">
        <f>HYPERLINK("https://www.ncbi.nlm.nih.gov/geo/query/acc.cgi?acc=GSM1830892","GSM1830892")</f>
        <v>GSM1830892</v>
      </c>
      <c r="I9026" t="s">
        <v>69</v>
      </c>
      <c r="J9026" t="s">
        <v>18</v>
      </c>
      <c r="K9026" t="s">
        <v>33</v>
      </c>
      <c r="L9026" t="s">
        <v>70</v>
      </c>
      <c r="N9026" t="s">
        <v>29</v>
      </c>
    </row>
    <row r="9027" spans="1:14">
      <c r="A9027" s="4" t="str">
        <f t="shared" si="797"/>
        <v>EXP00289</v>
      </c>
      <c r="B9027" s="4" t="str">
        <f t="shared" si="798"/>
        <v>26499327</v>
      </c>
      <c r="C9027" s="4" t="str">
        <f t="shared" si="799"/>
        <v>GSE71222</v>
      </c>
      <c r="D9027" s="1" t="s">
        <v>45</v>
      </c>
      <c r="E9027" t="s">
        <v>68</v>
      </c>
      <c r="F9027" s="1">
        <v>2</v>
      </c>
      <c r="G9027" s="1" t="s">
        <v>32</v>
      </c>
      <c r="H9027" s="4" t="str">
        <f>HYPERLINK("https://www.ncbi.nlm.nih.gov/geo/query/acc.cgi?acc=GSM1830893","GSM1830893")</f>
        <v>GSM1830893</v>
      </c>
      <c r="I9027" t="s">
        <v>69</v>
      </c>
      <c r="J9027" t="s">
        <v>18</v>
      </c>
      <c r="K9027" t="s">
        <v>33</v>
      </c>
      <c r="L9027" t="s">
        <v>70</v>
      </c>
      <c r="N9027" t="s">
        <v>29</v>
      </c>
    </row>
    <row r="9028" spans="1:14">
      <c r="A9028" s="4" t="str">
        <f t="shared" si="797"/>
        <v>EXP00289</v>
      </c>
      <c r="B9028" s="4" t="str">
        <f t="shared" si="798"/>
        <v>26499327</v>
      </c>
      <c r="C9028" s="4" t="str">
        <f t="shared" si="799"/>
        <v>GSE71222</v>
      </c>
      <c r="D9028" s="1" t="s">
        <v>45</v>
      </c>
      <c r="E9028" t="s">
        <v>68</v>
      </c>
      <c r="F9028" s="1">
        <v>2</v>
      </c>
      <c r="G9028" s="1" t="s">
        <v>32</v>
      </c>
      <c r="H9028" s="4" t="str">
        <f>HYPERLINK("https://www.ncbi.nlm.nih.gov/geo/query/acc.cgi?acc=GSM1830894","GSM1830894")</f>
        <v>GSM1830894</v>
      </c>
      <c r="I9028" t="s">
        <v>69</v>
      </c>
      <c r="J9028" t="s">
        <v>18</v>
      </c>
      <c r="K9028" t="s">
        <v>33</v>
      </c>
      <c r="L9028" t="s">
        <v>70</v>
      </c>
      <c r="N9028" t="s">
        <v>29</v>
      </c>
    </row>
    <row r="9029" spans="1:14">
      <c r="A9029" s="4" t="str">
        <f t="shared" si="797"/>
        <v>EXP00289</v>
      </c>
      <c r="B9029" s="4" t="str">
        <f t="shared" si="798"/>
        <v>26499327</v>
      </c>
      <c r="C9029" s="4" t="str">
        <f t="shared" si="799"/>
        <v>GSE71222</v>
      </c>
      <c r="D9029" s="1" t="s">
        <v>45</v>
      </c>
      <c r="E9029" t="s">
        <v>68</v>
      </c>
      <c r="F9029" s="1">
        <v>2</v>
      </c>
      <c r="G9029" s="1" t="s">
        <v>32</v>
      </c>
      <c r="H9029" s="4" t="str">
        <f>HYPERLINK("https://www.ncbi.nlm.nih.gov/geo/query/acc.cgi?acc=GSM1830895","GSM1830895")</f>
        <v>GSM1830895</v>
      </c>
      <c r="I9029" t="s">
        <v>69</v>
      </c>
      <c r="J9029" t="s">
        <v>18</v>
      </c>
      <c r="K9029" t="s">
        <v>33</v>
      </c>
      <c r="L9029" t="s">
        <v>70</v>
      </c>
      <c r="N9029" t="s">
        <v>29</v>
      </c>
    </row>
    <row r="9030" spans="1:14">
      <c r="A9030" s="4" t="str">
        <f t="shared" si="797"/>
        <v>EXP00289</v>
      </c>
      <c r="B9030" s="4" t="str">
        <f t="shared" si="798"/>
        <v>26499327</v>
      </c>
      <c r="C9030" s="4" t="str">
        <f t="shared" si="799"/>
        <v>GSE71222</v>
      </c>
      <c r="D9030" s="1" t="s">
        <v>45</v>
      </c>
      <c r="E9030" t="s">
        <v>68</v>
      </c>
      <c r="F9030" s="1">
        <v>2</v>
      </c>
      <c r="G9030" s="1" t="s">
        <v>32</v>
      </c>
      <c r="H9030" s="4" t="str">
        <f>HYPERLINK("https://www.ncbi.nlm.nih.gov/geo/query/acc.cgi?acc=GSM1830896","GSM1830896")</f>
        <v>GSM1830896</v>
      </c>
      <c r="I9030" t="s">
        <v>69</v>
      </c>
      <c r="J9030" t="s">
        <v>18</v>
      </c>
      <c r="K9030" t="s">
        <v>33</v>
      </c>
      <c r="L9030" t="s">
        <v>70</v>
      </c>
      <c r="N9030" t="s">
        <v>29</v>
      </c>
    </row>
    <row r="9031" spans="1:14">
      <c r="A9031" s="4" t="str">
        <f t="shared" si="797"/>
        <v>EXP00289</v>
      </c>
      <c r="B9031" s="4" t="str">
        <f t="shared" si="798"/>
        <v>26499327</v>
      </c>
      <c r="C9031" s="4" t="str">
        <f t="shared" si="799"/>
        <v>GSE71222</v>
      </c>
      <c r="D9031" s="1" t="s">
        <v>45</v>
      </c>
      <c r="E9031" t="s">
        <v>68</v>
      </c>
      <c r="F9031" s="1">
        <v>2</v>
      </c>
      <c r="G9031" s="1" t="s">
        <v>32</v>
      </c>
      <c r="H9031" s="4" t="str">
        <f>HYPERLINK("https://www.ncbi.nlm.nih.gov/geo/query/acc.cgi?acc=GSM1830898","GSM1830898")</f>
        <v>GSM1830898</v>
      </c>
      <c r="I9031" t="s">
        <v>69</v>
      </c>
      <c r="J9031" t="s">
        <v>18</v>
      </c>
      <c r="K9031" t="s">
        <v>33</v>
      </c>
      <c r="L9031" t="s">
        <v>70</v>
      </c>
      <c r="N9031" t="s">
        <v>29</v>
      </c>
    </row>
    <row r="9032" spans="1:14">
      <c r="A9032" s="4" t="str">
        <f t="shared" si="797"/>
        <v>EXP00289</v>
      </c>
      <c r="B9032" s="4" t="str">
        <f t="shared" si="798"/>
        <v>26499327</v>
      </c>
      <c r="C9032" s="4" t="str">
        <f t="shared" si="799"/>
        <v>GSE71222</v>
      </c>
      <c r="D9032" s="1" t="s">
        <v>45</v>
      </c>
      <c r="E9032" t="s">
        <v>68</v>
      </c>
      <c r="F9032" s="1">
        <v>2</v>
      </c>
      <c r="G9032" s="1" t="s">
        <v>32</v>
      </c>
      <c r="H9032" s="4" t="str">
        <f>HYPERLINK("https://www.ncbi.nlm.nih.gov/geo/query/acc.cgi?acc=GSM1830899","GSM1830899")</f>
        <v>GSM1830899</v>
      </c>
      <c r="I9032" t="s">
        <v>69</v>
      </c>
      <c r="J9032" t="s">
        <v>18</v>
      </c>
      <c r="K9032" t="s">
        <v>33</v>
      </c>
      <c r="L9032" t="s">
        <v>70</v>
      </c>
      <c r="N9032" t="s">
        <v>29</v>
      </c>
    </row>
    <row r="9033" spans="1:14">
      <c r="A9033" s="4" t="str">
        <f t="shared" si="797"/>
        <v>EXP00289</v>
      </c>
      <c r="B9033" s="4" t="str">
        <f t="shared" si="798"/>
        <v>26499327</v>
      </c>
      <c r="C9033" s="4" t="str">
        <f t="shared" si="799"/>
        <v>GSE71222</v>
      </c>
      <c r="D9033" s="1" t="s">
        <v>45</v>
      </c>
      <c r="E9033" t="s">
        <v>68</v>
      </c>
      <c r="F9033" s="1">
        <v>2</v>
      </c>
      <c r="G9033" s="1" t="s">
        <v>32</v>
      </c>
      <c r="H9033" s="4" t="str">
        <f>HYPERLINK("https://www.ncbi.nlm.nih.gov/geo/query/acc.cgi?acc=GSM1830900","GSM1830900")</f>
        <v>GSM1830900</v>
      </c>
      <c r="I9033" t="s">
        <v>69</v>
      </c>
      <c r="J9033" t="s">
        <v>18</v>
      </c>
      <c r="K9033" t="s">
        <v>33</v>
      </c>
      <c r="L9033" t="s">
        <v>70</v>
      </c>
      <c r="N9033" t="s">
        <v>29</v>
      </c>
    </row>
    <row r="9034" spans="1:14">
      <c r="A9034" s="4" t="str">
        <f t="shared" si="797"/>
        <v>EXP00289</v>
      </c>
      <c r="B9034" s="4" t="str">
        <f t="shared" si="798"/>
        <v>26499327</v>
      </c>
      <c r="C9034" s="4" t="str">
        <f t="shared" si="799"/>
        <v>GSE71222</v>
      </c>
      <c r="D9034" s="1" t="s">
        <v>45</v>
      </c>
      <c r="E9034" t="s">
        <v>68</v>
      </c>
      <c r="F9034" s="1">
        <v>2</v>
      </c>
      <c r="G9034" s="1" t="s">
        <v>32</v>
      </c>
      <c r="H9034" s="4" t="str">
        <f>HYPERLINK("https://www.ncbi.nlm.nih.gov/geo/query/acc.cgi?acc=GSM1830901","GSM1830901")</f>
        <v>GSM1830901</v>
      </c>
      <c r="I9034" t="s">
        <v>69</v>
      </c>
      <c r="J9034" t="s">
        <v>18</v>
      </c>
      <c r="K9034" t="s">
        <v>33</v>
      </c>
      <c r="L9034" t="s">
        <v>70</v>
      </c>
      <c r="N9034" t="s">
        <v>29</v>
      </c>
    </row>
    <row r="9035" spans="1:14">
      <c r="A9035" s="4" t="str">
        <f t="shared" si="797"/>
        <v>EXP00289</v>
      </c>
      <c r="B9035" s="4" t="str">
        <f t="shared" si="798"/>
        <v>26499327</v>
      </c>
      <c r="C9035" s="4" t="str">
        <f t="shared" si="799"/>
        <v>GSE71222</v>
      </c>
      <c r="D9035" s="1" t="s">
        <v>45</v>
      </c>
      <c r="E9035" t="s">
        <v>68</v>
      </c>
      <c r="F9035" s="1">
        <v>2</v>
      </c>
      <c r="G9035" s="1" t="s">
        <v>32</v>
      </c>
      <c r="H9035" s="4" t="str">
        <f>HYPERLINK("https://www.ncbi.nlm.nih.gov/geo/query/acc.cgi?acc=GSM1830902","GSM1830902")</f>
        <v>GSM1830902</v>
      </c>
      <c r="I9035" t="s">
        <v>69</v>
      </c>
      <c r="J9035" t="s">
        <v>18</v>
      </c>
      <c r="K9035" t="s">
        <v>33</v>
      </c>
      <c r="L9035" t="s">
        <v>70</v>
      </c>
      <c r="N9035" t="s">
        <v>29</v>
      </c>
    </row>
    <row r="9036" spans="1:14">
      <c r="A9036" s="4" t="str">
        <f t="shared" si="797"/>
        <v>EXP00289</v>
      </c>
      <c r="B9036" s="4" t="str">
        <f t="shared" si="798"/>
        <v>26499327</v>
      </c>
      <c r="C9036" s="4" t="str">
        <f t="shared" si="799"/>
        <v>GSE71222</v>
      </c>
      <c r="D9036" s="1" t="s">
        <v>45</v>
      </c>
      <c r="E9036" t="s">
        <v>68</v>
      </c>
      <c r="F9036" s="1">
        <v>2</v>
      </c>
      <c r="G9036" s="1" t="s">
        <v>32</v>
      </c>
      <c r="H9036" s="4" t="str">
        <f>HYPERLINK("https://www.ncbi.nlm.nih.gov/geo/query/acc.cgi?acc=GSM1830903","GSM1830903")</f>
        <v>GSM1830903</v>
      </c>
      <c r="I9036" t="s">
        <v>69</v>
      </c>
      <c r="J9036" t="s">
        <v>18</v>
      </c>
      <c r="K9036" t="s">
        <v>33</v>
      </c>
      <c r="L9036" t="s">
        <v>70</v>
      </c>
      <c r="N9036" t="s">
        <v>29</v>
      </c>
    </row>
    <row r="9037" spans="1:14">
      <c r="A9037" s="4" t="str">
        <f t="shared" si="797"/>
        <v>EXP00289</v>
      </c>
      <c r="B9037" s="4" t="str">
        <f t="shared" si="798"/>
        <v>26499327</v>
      </c>
      <c r="C9037" s="4" t="str">
        <f t="shared" si="799"/>
        <v>GSE71222</v>
      </c>
      <c r="D9037" s="1" t="s">
        <v>45</v>
      </c>
      <c r="E9037" t="s">
        <v>68</v>
      </c>
      <c r="F9037" s="1">
        <v>2</v>
      </c>
      <c r="G9037" s="1" t="s">
        <v>32</v>
      </c>
      <c r="H9037" s="4" t="str">
        <f>HYPERLINK("https://www.ncbi.nlm.nih.gov/geo/query/acc.cgi?acc=GSM1830904","GSM1830904")</f>
        <v>GSM1830904</v>
      </c>
      <c r="I9037" t="s">
        <v>69</v>
      </c>
      <c r="J9037" t="s">
        <v>18</v>
      </c>
      <c r="K9037" t="s">
        <v>33</v>
      </c>
      <c r="L9037" t="s">
        <v>70</v>
      </c>
      <c r="N9037" t="s">
        <v>29</v>
      </c>
    </row>
    <row r="9038" spans="1:14">
      <c r="A9038" s="4" t="str">
        <f t="shared" si="797"/>
        <v>EXP00289</v>
      </c>
      <c r="B9038" s="4" t="str">
        <f t="shared" si="798"/>
        <v>26499327</v>
      </c>
      <c r="C9038" s="4" t="str">
        <f t="shared" si="799"/>
        <v>GSE71222</v>
      </c>
      <c r="D9038" s="1" t="s">
        <v>45</v>
      </c>
      <c r="E9038" t="s">
        <v>68</v>
      </c>
      <c r="F9038" s="1">
        <v>2</v>
      </c>
      <c r="G9038" s="1" t="s">
        <v>32</v>
      </c>
      <c r="H9038" s="4" t="str">
        <f>HYPERLINK("https://www.ncbi.nlm.nih.gov/geo/query/acc.cgi?acc=GSM1830905","GSM1830905")</f>
        <v>GSM1830905</v>
      </c>
      <c r="I9038" t="s">
        <v>69</v>
      </c>
      <c r="J9038" t="s">
        <v>18</v>
      </c>
      <c r="K9038" t="s">
        <v>33</v>
      </c>
      <c r="L9038" t="s">
        <v>70</v>
      </c>
      <c r="N9038" t="s">
        <v>29</v>
      </c>
    </row>
    <row r="9039" spans="1:14">
      <c r="A9039" s="4" t="str">
        <f t="shared" si="797"/>
        <v>EXP00289</v>
      </c>
      <c r="B9039" s="4" t="str">
        <f t="shared" si="798"/>
        <v>26499327</v>
      </c>
      <c r="C9039" s="4" t="str">
        <f t="shared" si="799"/>
        <v>GSE71222</v>
      </c>
      <c r="D9039" s="1" t="s">
        <v>45</v>
      </c>
      <c r="E9039" t="s">
        <v>68</v>
      </c>
      <c r="F9039" s="1">
        <v>2</v>
      </c>
      <c r="G9039" s="1" t="s">
        <v>32</v>
      </c>
      <c r="H9039" s="4" t="str">
        <f>HYPERLINK("https://www.ncbi.nlm.nih.gov/geo/query/acc.cgi?acc=GSM1830906","GSM1830906")</f>
        <v>GSM1830906</v>
      </c>
      <c r="I9039" t="s">
        <v>69</v>
      </c>
      <c r="J9039" t="s">
        <v>18</v>
      </c>
      <c r="K9039" t="s">
        <v>33</v>
      </c>
      <c r="L9039" t="s">
        <v>70</v>
      </c>
      <c r="N9039" t="s">
        <v>29</v>
      </c>
    </row>
    <row r="9040" spans="1:14">
      <c r="A9040" s="4" t="str">
        <f t="shared" si="797"/>
        <v>EXP00289</v>
      </c>
      <c r="B9040" s="4" t="str">
        <f t="shared" si="798"/>
        <v>26499327</v>
      </c>
      <c r="C9040" s="4" t="str">
        <f t="shared" si="799"/>
        <v>GSE71222</v>
      </c>
      <c r="D9040" s="1" t="s">
        <v>45</v>
      </c>
      <c r="E9040" t="s">
        <v>68</v>
      </c>
      <c r="F9040" s="1">
        <v>2</v>
      </c>
      <c r="G9040" s="1" t="s">
        <v>32</v>
      </c>
      <c r="H9040" s="4" t="str">
        <f>HYPERLINK("https://www.ncbi.nlm.nih.gov/geo/query/acc.cgi?acc=GSM1830907","GSM1830907")</f>
        <v>GSM1830907</v>
      </c>
      <c r="I9040" t="s">
        <v>69</v>
      </c>
      <c r="J9040" t="s">
        <v>18</v>
      </c>
      <c r="K9040" t="s">
        <v>33</v>
      </c>
      <c r="L9040" t="s">
        <v>70</v>
      </c>
      <c r="N9040" t="s">
        <v>29</v>
      </c>
    </row>
    <row r="9041" spans="1:14">
      <c r="A9041" s="4" t="str">
        <f t="shared" si="797"/>
        <v>EXP00289</v>
      </c>
      <c r="B9041" s="4" t="str">
        <f t="shared" si="798"/>
        <v>26499327</v>
      </c>
      <c r="C9041" s="4" t="str">
        <f t="shared" si="799"/>
        <v>GSE71222</v>
      </c>
      <c r="D9041" s="1" t="s">
        <v>45</v>
      </c>
      <c r="E9041" t="s">
        <v>68</v>
      </c>
      <c r="F9041" s="1">
        <v>2</v>
      </c>
      <c r="G9041" s="1" t="s">
        <v>32</v>
      </c>
      <c r="H9041" s="4" t="str">
        <f>HYPERLINK("https://www.ncbi.nlm.nih.gov/geo/query/acc.cgi?acc=GSM1830908","GSM1830908")</f>
        <v>GSM1830908</v>
      </c>
      <c r="I9041" t="s">
        <v>69</v>
      </c>
      <c r="J9041" t="s">
        <v>18</v>
      </c>
      <c r="K9041" t="s">
        <v>33</v>
      </c>
      <c r="L9041" t="s">
        <v>70</v>
      </c>
      <c r="N9041" t="s">
        <v>29</v>
      </c>
    </row>
    <row r="9042" spans="1:14">
      <c r="A9042" s="4" t="str">
        <f t="shared" ref="A9042:A9065" si="800">HYPERLINK("http://hcmdb.i-sanger.com/experiment/details/experiment_id/EXP00289","EXP00289")</f>
        <v>EXP00289</v>
      </c>
      <c r="B9042" s="4" t="str">
        <f t="shared" ref="B9042:B9065" si="801">HYPERLINK("https://www.ncbi.nlm.nih.gov/pubmed/26499327","26499327")</f>
        <v>26499327</v>
      </c>
      <c r="C9042" s="4" t="str">
        <f t="shared" ref="C9042:C9065" si="802">HYPERLINK("https://www.ncbi.nlm.nih.gov/geo/query/acc.cgi?acc=GSE71222","GSE71222")</f>
        <v>GSE71222</v>
      </c>
      <c r="D9042" s="1" t="s">
        <v>45</v>
      </c>
      <c r="E9042" t="s">
        <v>68</v>
      </c>
      <c r="F9042" s="1">
        <v>2</v>
      </c>
      <c r="G9042" s="1" t="s">
        <v>32</v>
      </c>
      <c r="H9042" s="4" t="str">
        <f>HYPERLINK("https://www.ncbi.nlm.nih.gov/geo/query/acc.cgi?acc=GSM1830909","GSM1830909")</f>
        <v>GSM1830909</v>
      </c>
      <c r="I9042" t="s">
        <v>69</v>
      </c>
      <c r="J9042" t="s">
        <v>18</v>
      </c>
      <c r="K9042" t="s">
        <v>33</v>
      </c>
      <c r="L9042" t="s">
        <v>70</v>
      </c>
      <c r="N9042" t="s">
        <v>29</v>
      </c>
    </row>
    <row r="9043" spans="1:14">
      <c r="A9043" s="4" t="str">
        <f t="shared" si="800"/>
        <v>EXP00289</v>
      </c>
      <c r="B9043" s="4" t="str">
        <f t="shared" si="801"/>
        <v>26499327</v>
      </c>
      <c r="C9043" s="4" t="str">
        <f t="shared" si="802"/>
        <v>GSE71222</v>
      </c>
      <c r="D9043" s="1" t="s">
        <v>45</v>
      </c>
      <c r="E9043" t="s">
        <v>68</v>
      </c>
      <c r="F9043" s="1">
        <v>2</v>
      </c>
      <c r="G9043" s="1" t="s">
        <v>32</v>
      </c>
      <c r="H9043" s="4" t="str">
        <f>HYPERLINK("https://www.ncbi.nlm.nih.gov/geo/query/acc.cgi?acc=GSM1830910","GSM1830910")</f>
        <v>GSM1830910</v>
      </c>
      <c r="I9043" t="s">
        <v>69</v>
      </c>
      <c r="J9043" t="s">
        <v>18</v>
      </c>
      <c r="K9043" t="s">
        <v>33</v>
      </c>
      <c r="L9043" t="s">
        <v>70</v>
      </c>
      <c r="N9043" t="s">
        <v>29</v>
      </c>
    </row>
    <row r="9044" spans="1:14">
      <c r="A9044" s="4" t="str">
        <f t="shared" si="800"/>
        <v>EXP00289</v>
      </c>
      <c r="B9044" s="4" t="str">
        <f t="shared" si="801"/>
        <v>26499327</v>
      </c>
      <c r="C9044" s="4" t="str">
        <f t="shared" si="802"/>
        <v>GSE71222</v>
      </c>
      <c r="D9044" s="1" t="s">
        <v>45</v>
      </c>
      <c r="E9044" t="s">
        <v>68</v>
      </c>
      <c r="F9044" s="1">
        <v>2</v>
      </c>
      <c r="G9044" s="1" t="s">
        <v>32</v>
      </c>
      <c r="H9044" s="4" t="str">
        <f>HYPERLINK("https://www.ncbi.nlm.nih.gov/geo/query/acc.cgi?acc=GSM1830912","GSM1830912")</f>
        <v>GSM1830912</v>
      </c>
      <c r="I9044" t="s">
        <v>69</v>
      </c>
      <c r="J9044" t="s">
        <v>18</v>
      </c>
      <c r="K9044" t="s">
        <v>33</v>
      </c>
      <c r="L9044" t="s">
        <v>70</v>
      </c>
      <c r="N9044" t="s">
        <v>29</v>
      </c>
    </row>
    <row r="9045" spans="1:14">
      <c r="A9045" s="4" t="str">
        <f t="shared" si="800"/>
        <v>EXP00289</v>
      </c>
      <c r="B9045" s="4" t="str">
        <f t="shared" si="801"/>
        <v>26499327</v>
      </c>
      <c r="C9045" s="4" t="str">
        <f t="shared" si="802"/>
        <v>GSE71222</v>
      </c>
      <c r="D9045" s="1" t="s">
        <v>45</v>
      </c>
      <c r="E9045" t="s">
        <v>68</v>
      </c>
      <c r="F9045" s="1">
        <v>2</v>
      </c>
      <c r="G9045" s="1" t="s">
        <v>32</v>
      </c>
      <c r="H9045" s="4" t="str">
        <f>HYPERLINK("https://www.ncbi.nlm.nih.gov/geo/query/acc.cgi?acc=GSM1830913","GSM1830913")</f>
        <v>GSM1830913</v>
      </c>
      <c r="I9045" t="s">
        <v>69</v>
      </c>
      <c r="J9045" t="s">
        <v>18</v>
      </c>
      <c r="K9045" t="s">
        <v>33</v>
      </c>
      <c r="L9045" t="s">
        <v>70</v>
      </c>
      <c r="N9045" t="s">
        <v>29</v>
      </c>
    </row>
    <row r="9046" spans="1:14">
      <c r="A9046" s="4" t="str">
        <f t="shared" si="800"/>
        <v>EXP00289</v>
      </c>
      <c r="B9046" s="4" t="str">
        <f t="shared" si="801"/>
        <v>26499327</v>
      </c>
      <c r="C9046" s="4" t="str">
        <f t="shared" si="802"/>
        <v>GSE71222</v>
      </c>
      <c r="D9046" s="1" t="s">
        <v>45</v>
      </c>
      <c r="E9046" t="s">
        <v>68</v>
      </c>
      <c r="F9046" s="1">
        <v>2</v>
      </c>
      <c r="G9046" s="1" t="s">
        <v>32</v>
      </c>
      <c r="H9046" s="4" t="str">
        <f>HYPERLINK("https://www.ncbi.nlm.nih.gov/geo/query/acc.cgi?acc=GSM1830915","GSM1830915")</f>
        <v>GSM1830915</v>
      </c>
      <c r="I9046" t="s">
        <v>69</v>
      </c>
      <c r="J9046" t="s">
        <v>18</v>
      </c>
      <c r="K9046" t="s">
        <v>33</v>
      </c>
      <c r="L9046" t="s">
        <v>70</v>
      </c>
      <c r="N9046" t="s">
        <v>29</v>
      </c>
    </row>
    <row r="9047" spans="1:14">
      <c r="A9047" s="4" t="str">
        <f t="shared" si="800"/>
        <v>EXP00289</v>
      </c>
      <c r="B9047" s="4" t="str">
        <f t="shared" si="801"/>
        <v>26499327</v>
      </c>
      <c r="C9047" s="4" t="str">
        <f t="shared" si="802"/>
        <v>GSE71222</v>
      </c>
      <c r="D9047" s="1" t="s">
        <v>45</v>
      </c>
      <c r="E9047" t="s">
        <v>68</v>
      </c>
      <c r="F9047" s="1">
        <v>2</v>
      </c>
      <c r="G9047" s="1" t="s">
        <v>32</v>
      </c>
      <c r="H9047" s="4" t="str">
        <f>HYPERLINK("https://www.ncbi.nlm.nih.gov/geo/query/acc.cgi?acc=GSM1830916","GSM1830916")</f>
        <v>GSM1830916</v>
      </c>
      <c r="I9047" t="s">
        <v>69</v>
      </c>
      <c r="J9047" t="s">
        <v>18</v>
      </c>
      <c r="K9047" t="s">
        <v>33</v>
      </c>
      <c r="L9047" t="s">
        <v>70</v>
      </c>
      <c r="N9047" t="s">
        <v>29</v>
      </c>
    </row>
    <row r="9048" spans="1:14">
      <c r="A9048" s="4" t="str">
        <f t="shared" si="800"/>
        <v>EXP00289</v>
      </c>
      <c r="B9048" s="4" t="str">
        <f t="shared" si="801"/>
        <v>26499327</v>
      </c>
      <c r="C9048" s="4" t="str">
        <f t="shared" si="802"/>
        <v>GSE71222</v>
      </c>
      <c r="D9048" s="1" t="s">
        <v>45</v>
      </c>
      <c r="E9048" t="s">
        <v>68</v>
      </c>
      <c r="F9048" s="1">
        <v>2</v>
      </c>
      <c r="G9048" s="1" t="s">
        <v>32</v>
      </c>
      <c r="H9048" s="4" t="str">
        <f>HYPERLINK("https://www.ncbi.nlm.nih.gov/geo/query/acc.cgi?acc=GSM1830917","GSM1830917")</f>
        <v>GSM1830917</v>
      </c>
      <c r="I9048" t="s">
        <v>69</v>
      </c>
      <c r="J9048" t="s">
        <v>18</v>
      </c>
      <c r="K9048" t="s">
        <v>33</v>
      </c>
      <c r="L9048" t="s">
        <v>70</v>
      </c>
      <c r="N9048" t="s">
        <v>29</v>
      </c>
    </row>
    <row r="9049" spans="1:14">
      <c r="A9049" s="4" t="str">
        <f t="shared" si="800"/>
        <v>EXP00289</v>
      </c>
      <c r="B9049" s="4" t="str">
        <f t="shared" si="801"/>
        <v>26499327</v>
      </c>
      <c r="C9049" s="4" t="str">
        <f t="shared" si="802"/>
        <v>GSE71222</v>
      </c>
      <c r="D9049" s="1" t="s">
        <v>45</v>
      </c>
      <c r="E9049" t="s">
        <v>68</v>
      </c>
      <c r="F9049" s="1">
        <v>2</v>
      </c>
      <c r="G9049" s="1" t="s">
        <v>32</v>
      </c>
      <c r="H9049" s="4" t="str">
        <f>HYPERLINK("https://www.ncbi.nlm.nih.gov/geo/query/acc.cgi?acc=GSM1830918","GSM1830918")</f>
        <v>GSM1830918</v>
      </c>
      <c r="I9049" t="s">
        <v>69</v>
      </c>
      <c r="J9049" t="s">
        <v>18</v>
      </c>
      <c r="K9049" t="s">
        <v>33</v>
      </c>
      <c r="L9049" t="s">
        <v>70</v>
      </c>
      <c r="N9049" t="s">
        <v>29</v>
      </c>
    </row>
    <row r="9050" spans="1:14">
      <c r="A9050" s="4" t="str">
        <f t="shared" si="800"/>
        <v>EXP00289</v>
      </c>
      <c r="B9050" s="4" t="str">
        <f t="shared" si="801"/>
        <v>26499327</v>
      </c>
      <c r="C9050" s="4" t="str">
        <f t="shared" si="802"/>
        <v>GSE71222</v>
      </c>
      <c r="D9050" s="1" t="s">
        <v>45</v>
      </c>
      <c r="E9050" t="s">
        <v>68</v>
      </c>
      <c r="F9050" s="1">
        <v>2</v>
      </c>
      <c r="G9050" s="1" t="s">
        <v>32</v>
      </c>
      <c r="H9050" s="4" t="str">
        <f>HYPERLINK("https://www.ncbi.nlm.nih.gov/geo/query/acc.cgi?acc=GSM1830920","GSM1830920")</f>
        <v>GSM1830920</v>
      </c>
      <c r="I9050" t="s">
        <v>69</v>
      </c>
      <c r="J9050" t="s">
        <v>18</v>
      </c>
      <c r="K9050" t="s">
        <v>33</v>
      </c>
      <c r="L9050" t="s">
        <v>70</v>
      </c>
      <c r="N9050" t="s">
        <v>29</v>
      </c>
    </row>
    <row r="9051" spans="1:14">
      <c r="A9051" s="4" t="str">
        <f t="shared" si="800"/>
        <v>EXP00289</v>
      </c>
      <c r="B9051" s="4" t="str">
        <f t="shared" si="801"/>
        <v>26499327</v>
      </c>
      <c r="C9051" s="4" t="str">
        <f t="shared" si="802"/>
        <v>GSE71222</v>
      </c>
      <c r="D9051" s="1" t="s">
        <v>45</v>
      </c>
      <c r="E9051" t="s">
        <v>68</v>
      </c>
      <c r="F9051" s="1">
        <v>2</v>
      </c>
      <c r="G9051" s="1" t="s">
        <v>32</v>
      </c>
      <c r="H9051" s="4" t="str">
        <f>HYPERLINK("https://www.ncbi.nlm.nih.gov/geo/query/acc.cgi?acc=GSM1830921","GSM1830921")</f>
        <v>GSM1830921</v>
      </c>
      <c r="I9051" t="s">
        <v>69</v>
      </c>
      <c r="J9051" t="s">
        <v>18</v>
      </c>
      <c r="K9051" t="s">
        <v>33</v>
      </c>
      <c r="L9051" t="s">
        <v>70</v>
      </c>
      <c r="N9051" t="s">
        <v>29</v>
      </c>
    </row>
    <row r="9052" spans="1:14">
      <c r="A9052" s="4" t="str">
        <f t="shared" si="800"/>
        <v>EXP00289</v>
      </c>
      <c r="B9052" s="4" t="str">
        <f t="shared" si="801"/>
        <v>26499327</v>
      </c>
      <c r="C9052" s="4" t="str">
        <f t="shared" si="802"/>
        <v>GSE71222</v>
      </c>
      <c r="D9052" s="1" t="s">
        <v>45</v>
      </c>
      <c r="E9052" t="s">
        <v>68</v>
      </c>
      <c r="F9052" s="1">
        <v>2</v>
      </c>
      <c r="G9052" s="1" t="s">
        <v>32</v>
      </c>
      <c r="H9052" s="4" t="str">
        <f>HYPERLINK("https://www.ncbi.nlm.nih.gov/geo/query/acc.cgi?acc=GSM1830922","GSM1830922")</f>
        <v>GSM1830922</v>
      </c>
      <c r="I9052" t="s">
        <v>69</v>
      </c>
      <c r="J9052" t="s">
        <v>18</v>
      </c>
      <c r="K9052" t="s">
        <v>33</v>
      </c>
      <c r="L9052" t="s">
        <v>70</v>
      </c>
      <c r="N9052" t="s">
        <v>29</v>
      </c>
    </row>
    <row r="9053" spans="1:14">
      <c r="A9053" s="4" t="str">
        <f t="shared" si="800"/>
        <v>EXP00289</v>
      </c>
      <c r="B9053" s="4" t="str">
        <f t="shared" si="801"/>
        <v>26499327</v>
      </c>
      <c r="C9053" s="4" t="str">
        <f t="shared" si="802"/>
        <v>GSE71222</v>
      </c>
      <c r="D9053" s="1" t="s">
        <v>45</v>
      </c>
      <c r="E9053" t="s">
        <v>68</v>
      </c>
      <c r="F9053" s="1">
        <v>2</v>
      </c>
      <c r="G9053" s="1" t="s">
        <v>32</v>
      </c>
      <c r="H9053" s="4" t="str">
        <f>HYPERLINK("https://www.ncbi.nlm.nih.gov/geo/query/acc.cgi?acc=GSM1830923","GSM1830923")</f>
        <v>GSM1830923</v>
      </c>
      <c r="I9053" t="s">
        <v>69</v>
      </c>
      <c r="J9053" t="s">
        <v>18</v>
      </c>
      <c r="K9053" t="s">
        <v>33</v>
      </c>
      <c r="L9053" t="s">
        <v>70</v>
      </c>
      <c r="N9053" t="s">
        <v>29</v>
      </c>
    </row>
    <row r="9054" spans="1:14">
      <c r="A9054" s="4" t="str">
        <f t="shared" si="800"/>
        <v>EXP00289</v>
      </c>
      <c r="B9054" s="4" t="str">
        <f t="shared" si="801"/>
        <v>26499327</v>
      </c>
      <c r="C9054" s="4" t="str">
        <f t="shared" si="802"/>
        <v>GSE71222</v>
      </c>
      <c r="D9054" s="1" t="s">
        <v>45</v>
      </c>
      <c r="E9054" t="s">
        <v>68</v>
      </c>
      <c r="F9054" s="1">
        <v>2</v>
      </c>
      <c r="G9054" s="1" t="s">
        <v>32</v>
      </c>
      <c r="H9054" s="4" t="str">
        <f>HYPERLINK("https://www.ncbi.nlm.nih.gov/geo/query/acc.cgi?acc=GSM1830924","GSM1830924")</f>
        <v>GSM1830924</v>
      </c>
      <c r="I9054" t="s">
        <v>69</v>
      </c>
      <c r="J9054" t="s">
        <v>18</v>
      </c>
      <c r="K9054" t="s">
        <v>33</v>
      </c>
      <c r="L9054" t="s">
        <v>70</v>
      </c>
      <c r="N9054" t="s">
        <v>29</v>
      </c>
    </row>
    <row r="9055" spans="1:14">
      <c r="A9055" s="4" t="str">
        <f t="shared" si="800"/>
        <v>EXP00289</v>
      </c>
      <c r="B9055" s="4" t="str">
        <f t="shared" si="801"/>
        <v>26499327</v>
      </c>
      <c r="C9055" s="4" t="str">
        <f t="shared" si="802"/>
        <v>GSE71222</v>
      </c>
      <c r="D9055" s="1" t="s">
        <v>45</v>
      </c>
      <c r="E9055" t="s">
        <v>68</v>
      </c>
      <c r="F9055" s="1">
        <v>2</v>
      </c>
      <c r="G9055" s="1" t="s">
        <v>32</v>
      </c>
      <c r="H9055" s="4" t="str">
        <f>HYPERLINK("https://www.ncbi.nlm.nih.gov/geo/query/acc.cgi?acc=GSM1830925","GSM1830925")</f>
        <v>GSM1830925</v>
      </c>
      <c r="I9055" t="s">
        <v>69</v>
      </c>
      <c r="J9055" t="s">
        <v>18</v>
      </c>
      <c r="K9055" t="s">
        <v>33</v>
      </c>
      <c r="L9055" t="s">
        <v>70</v>
      </c>
      <c r="N9055" t="s">
        <v>29</v>
      </c>
    </row>
    <row r="9056" spans="1:14">
      <c r="A9056" s="4" t="str">
        <f t="shared" si="800"/>
        <v>EXP00289</v>
      </c>
      <c r="B9056" s="4" t="str">
        <f t="shared" si="801"/>
        <v>26499327</v>
      </c>
      <c r="C9056" s="4" t="str">
        <f t="shared" si="802"/>
        <v>GSE71222</v>
      </c>
      <c r="D9056" s="1" t="s">
        <v>45</v>
      </c>
      <c r="E9056" t="s">
        <v>68</v>
      </c>
      <c r="F9056" s="1">
        <v>2</v>
      </c>
      <c r="G9056" s="1" t="s">
        <v>32</v>
      </c>
      <c r="H9056" s="4" t="str">
        <f>HYPERLINK("https://www.ncbi.nlm.nih.gov/geo/query/acc.cgi?acc=GSM1830927","GSM1830927")</f>
        <v>GSM1830927</v>
      </c>
      <c r="I9056" t="s">
        <v>69</v>
      </c>
      <c r="J9056" t="s">
        <v>18</v>
      </c>
      <c r="K9056" t="s">
        <v>33</v>
      </c>
      <c r="L9056" t="s">
        <v>70</v>
      </c>
      <c r="N9056" t="s">
        <v>29</v>
      </c>
    </row>
    <row r="9057" spans="1:14">
      <c r="A9057" s="4" t="str">
        <f t="shared" si="800"/>
        <v>EXP00289</v>
      </c>
      <c r="B9057" s="4" t="str">
        <f t="shared" si="801"/>
        <v>26499327</v>
      </c>
      <c r="C9057" s="4" t="str">
        <f t="shared" si="802"/>
        <v>GSE71222</v>
      </c>
      <c r="D9057" s="1" t="s">
        <v>45</v>
      </c>
      <c r="E9057" t="s">
        <v>68</v>
      </c>
      <c r="F9057" s="1">
        <v>2</v>
      </c>
      <c r="G9057" s="1" t="s">
        <v>32</v>
      </c>
      <c r="H9057" s="4" t="str">
        <f>HYPERLINK("https://www.ncbi.nlm.nih.gov/geo/query/acc.cgi?acc=GSM1830928","GSM1830928")</f>
        <v>GSM1830928</v>
      </c>
      <c r="I9057" t="s">
        <v>69</v>
      </c>
      <c r="J9057" t="s">
        <v>18</v>
      </c>
      <c r="K9057" t="s">
        <v>33</v>
      </c>
      <c r="L9057" t="s">
        <v>70</v>
      </c>
      <c r="N9057" t="s">
        <v>29</v>
      </c>
    </row>
    <row r="9058" spans="1:14">
      <c r="A9058" s="4" t="str">
        <f t="shared" si="800"/>
        <v>EXP00289</v>
      </c>
      <c r="B9058" s="4" t="str">
        <f t="shared" si="801"/>
        <v>26499327</v>
      </c>
      <c r="C9058" s="4" t="str">
        <f t="shared" si="802"/>
        <v>GSE71222</v>
      </c>
      <c r="D9058" s="1" t="s">
        <v>45</v>
      </c>
      <c r="E9058" t="s">
        <v>68</v>
      </c>
      <c r="F9058" s="1">
        <v>2</v>
      </c>
      <c r="G9058" s="1" t="s">
        <v>32</v>
      </c>
      <c r="H9058" s="4" t="str">
        <f>HYPERLINK("https://www.ncbi.nlm.nih.gov/geo/query/acc.cgi?acc=GSM1830929","GSM1830929")</f>
        <v>GSM1830929</v>
      </c>
      <c r="I9058" t="s">
        <v>69</v>
      </c>
      <c r="J9058" t="s">
        <v>18</v>
      </c>
      <c r="K9058" t="s">
        <v>33</v>
      </c>
      <c r="L9058" t="s">
        <v>70</v>
      </c>
      <c r="N9058" t="s">
        <v>29</v>
      </c>
    </row>
    <row r="9059" spans="1:14">
      <c r="A9059" s="4" t="str">
        <f t="shared" si="800"/>
        <v>EXP00289</v>
      </c>
      <c r="B9059" s="4" t="str">
        <f t="shared" si="801"/>
        <v>26499327</v>
      </c>
      <c r="C9059" s="4" t="str">
        <f t="shared" si="802"/>
        <v>GSE71222</v>
      </c>
      <c r="D9059" s="1" t="s">
        <v>45</v>
      </c>
      <c r="E9059" t="s">
        <v>68</v>
      </c>
      <c r="F9059" s="1">
        <v>2</v>
      </c>
      <c r="G9059" s="1" t="s">
        <v>32</v>
      </c>
      <c r="H9059" s="4" t="str">
        <f>HYPERLINK("https://www.ncbi.nlm.nih.gov/geo/query/acc.cgi?acc=GSM1830931","GSM1830931")</f>
        <v>GSM1830931</v>
      </c>
      <c r="I9059" t="s">
        <v>69</v>
      </c>
      <c r="J9059" t="s">
        <v>18</v>
      </c>
      <c r="K9059" t="s">
        <v>33</v>
      </c>
      <c r="L9059" t="s">
        <v>70</v>
      </c>
      <c r="N9059" t="s">
        <v>29</v>
      </c>
    </row>
    <row r="9060" spans="1:14">
      <c r="A9060" s="4" t="str">
        <f t="shared" si="800"/>
        <v>EXP00289</v>
      </c>
      <c r="B9060" s="4" t="str">
        <f t="shared" si="801"/>
        <v>26499327</v>
      </c>
      <c r="C9060" s="4" t="str">
        <f t="shared" si="802"/>
        <v>GSE71222</v>
      </c>
      <c r="D9060" s="1" t="s">
        <v>45</v>
      </c>
      <c r="E9060" t="s">
        <v>68</v>
      </c>
      <c r="F9060" s="1">
        <v>2</v>
      </c>
      <c r="G9060" s="1" t="s">
        <v>32</v>
      </c>
      <c r="H9060" s="4" t="str">
        <f>HYPERLINK("https://www.ncbi.nlm.nih.gov/geo/query/acc.cgi?acc=GSM1830932","GSM1830932")</f>
        <v>GSM1830932</v>
      </c>
      <c r="I9060" t="s">
        <v>69</v>
      </c>
      <c r="J9060" t="s">
        <v>18</v>
      </c>
      <c r="K9060" t="s">
        <v>33</v>
      </c>
      <c r="L9060" t="s">
        <v>70</v>
      </c>
      <c r="N9060" t="s">
        <v>29</v>
      </c>
    </row>
    <row r="9061" spans="1:14">
      <c r="A9061" s="4" t="str">
        <f t="shared" si="800"/>
        <v>EXP00289</v>
      </c>
      <c r="B9061" s="4" t="str">
        <f t="shared" si="801"/>
        <v>26499327</v>
      </c>
      <c r="C9061" s="4" t="str">
        <f t="shared" si="802"/>
        <v>GSE71222</v>
      </c>
      <c r="D9061" s="1" t="s">
        <v>45</v>
      </c>
      <c r="E9061" t="s">
        <v>68</v>
      </c>
      <c r="F9061" s="1">
        <v>2</v>
      </c>
      <c r="G9061" s="1" t="s">
        <v>32</v>
      </c>
      <c r="H9061" s="4" t="str">
        <f>HYPERLINK("https://www.ncbi.nlm.nih.gov/geo/query/acc.cgi?acc=GSM1830935","GSM1830935")</f>
        <v>GSM1830935</v>
      </c>
      <c r="I9061" t="s">
        <v>69</v>
      </c>
      <c r="J9061" t="s">
        <v>18</v>
      </c>
      <c r="K9061" t="s">
        <v>33</v>
      </c>
      <c r="L9061" t="s">
        <v>70</v>
      </c>
      <c r="N9061" t="s">
        <v>29</v>
      </c>
    </row>
    <row r="9062" spans="1:14">
      <c r="A9062" s="4" t="str">
        <f t="shared" si="800"/>
        <v>EXP00289</v>
      </c>
      <c r="B9062" s="4" t="str">
        <f t="shared" si="801"/>
        <v>26499327</v>
      </c>
      <c r="C9062" s="4" t="str">
        <f t="shared" si="802"/>
        <v>GSE71222</v>
      </c>
      <c r="D9062" s="1" t="s">
        <v>45</v>
      </c>
      <c r="E9062" t="s">
        <v>68</v>
      </c>
      <c r="F9062" s="1">
        <v>2</v>
      </c>
      <c r="G9062" s="1" t="s">
        <v>32</v>
      </c>
      <c r="H9062" s="4" t="str">
        <f>HYPERLINK("https://www.ncbi.nlm.nih.gov/geo/query/acc.cgi?acc=GSM1830936","GSM1830936")</f>
        <v>GSM1830936</v>
      </c>
      <c r="I9062" t="s">
        <v>69</v>
      </c>
      <c r="J9062" t="s">
        <v>18</v>
      </c>
      <c r="K9062" t="s">
        <v>33</v>
      </c>
      <c r="L9062" t="s">
        <v>70</v>
      </c>
      <c r="N9062" t="s">
        <v>29</v>
      </c>
    </row>
    <row r="9063" spans="1:14">
      <c r="A9063" s="4" t="str">
        <f t="shared" si="800"/>
        <v>EXP00289</v>
      </c>
      <c r="B9063" s="4" t="str">
        <f t="shared" si="801"/>
        <v>26499327</v>
      </c>
      <c r="C9063" s="4" t="str">
        <f t="shared" si="802"/>
        <v>GSE71222</v>
      </c>
      <c r="D9063" s="1" t="s">
        <v>45</v>
      </c>
      <c r="E9063" t="s">
        <v>68</v>
      </c>
      <c r="F9063" s="1">
        <v>2</v>
      </c>
      <c r="G9063" s="1" t="s">
        <v>32</v>
      </c>
      <c r="H9063" s="4" t="str">
        <f>HYPERLINK("https://www.ncbi.nlm.nih.gov/geo/query/acc.cgi?acc=GSM1830937","GSM1830937")</f>
        <v>GSM1830937</v>
      </c>
      <c r="I9063" t="s">
        <v>69</v>
      </c>
      <c r="J9063" t="s">
        <v>18</v>
      </c>
      <c r="K9063" t="s">
        <v>33</v>
      </c>
      <c r="L9063" t="s">
        <v>70</v>
      </c>
      <c r="N9063" t="s">
        <v>29</v>
      </c>
    </row>
    <row r="9064" spans="1:14">
      <c r="A9064" s="4" t="str">
        <f t="shared" si="800"/>
        <v>EXP00289</v>
      </c>
      <c r="B9064" s="4" t="str">
        <f t="shared" si="801"/>
        <v>26499327</v>
      </c>
      <c r="C9064" s="4" t="str">
        <f t="shared" si="802"/>
        <v>GSE71222</v>
      </c>
      <c r="D9064" s="1" t="s">
        <v>45</v>
      </c>
      <c r="E9064" t="s">
        <v>68</v>
      </c>
      <c r="F9064" s="1">
        <v>2</v>
      </c>
      <c r="G9064" s="1" t="s">
        <v>32</v>
      </c>
      <c r="H9064" s="4" t="str">
        <f>HYPERLINK("https://www.ncbi.nlm.nih.gov/geo/query/acc.cgi?acc=GSM1830939","GSM1830939")</f>
        <v>GSM1830939</v>
      </c>
      <c r="I9064" t="s">
        <v>69</v>
      </c>
      <c r="J9064" t="s">
        <v>18</v>
      </c>
      <c r="K9064" t="s">
        <v>33</v>
      </c>
      <c r="L9064" t="s">
        <v>70</v>
      </c>
      <c r="N9064" t="s">
        <v>29</v>
      </c>
    </row>
    <row r="9065" spans="1:14">
      <c r="A9065" s="4" t="str">
        <f t="shared" si="800"/>
        <v>EXP00289</v>
      </c>
      <c r="B9065" s="4" t="str">
        <f t="shared" si="801"/>
        <v>26499327</v>
      </c>
      <c r="C9065" s="4" t="str">
        <f t="shared" si="802"/>
        <v>GSE71222</v>
      </c>
      <c r="D9065" s="1" t="s">
        <v>45</v>
      </c>
      <c r="E9065" t="s">
        <v>68</v>
      </c>
      <c r="F9065" s="1">
        <v>2</v>
      </c>
      <c r="G9065" s="1" t="s">
        <v>32</v>
      </c>
      <c r="H9065" s="4" t="str">
        <f>HYPERLINK("https://www.ncbi.nlm.nih.gov/geo/query/acc.cgi?acc=GSM1830940","GSM1830940")</f>
        <v>GSM1830940</v>
      </c>
      <c r="I9065" t="s">
        <v>69</v>
      </c>
      <c r="J9065" t="s">
        <v>18</v>
      </c>
      <c r="K9065" t="s">
        <v>33</v>
      </c>
      <c r="L9065" t="s">
        <v>70</v>
      </c>
      <c r="N9065" t="s">
        <v>29</v>
      </c>
    </row>
    <row r="9066" spans="1:14">
      <c r="A9066" s="4" t="str">
        <f t="shared" ref="A9066:A9081" si="803">HYPERLINK("http://hcmdb.i-sanger.com/experiment/details/experiment_id/EXP00290","EXP00290")</f>
        <v>EXP00290</v>
      </c>
      <c r="B9066" s="4" t="str">
        <f t="shared" ref="B9066:B9109" si="804">HYPERLINK("https://www.ncbi.nlm.nih.gov/pubmed/26868958","26868958")</f>
        <v>26868958</v>
      </c>
      <c r="C9066" s="4" t="str">
        <f t="shared" ref="C9066:C9109" si="805">HYPERLINK("https://www.ncbi.nlm.nih.gov/geo/query/acc.cgi?acc=GSE72199","GSE72199")</f>
        <v>GSE72199</v>
      </c>
      <c r="D9066" s="1" t="s">
        <v>401</v>
      </c>
      <c r="E9066" t="s">
        <v>72</v>
      </c>
      <c r="F9066" s="1">
        <v>1</v>
      </c>
      <c r="G9066" s="1" t="s">
        <v>26</v>
      </c>
      <c r="H9066" s="4" t="str">
        <f>HYPERLINK("https://www.ncbi.nlm.nih.gov/geo/query/acc.cgi?acc=GSM1857446","GSM1857446")</f>
        <v>GSM1857446</v>
      </c>
      <c r="I9066" t="s">
        <v>69</v>
      </c>
      <c r="J9066" t="s">
        <v>18</v>
      </c>
      <c r="K9066" t="s">
        <v>19</v>
      </c>
      <c r="L9066" t="s">
        <v>70</v>
      </c>
      <c r="M9066" t="s">
        <v>44</v>
      </c>
      <c r="N9066" t="s">
        <v>22</v>
      </c>
    </row>
    <row r="9067" spans="1:14">
      <c r="A9067" s="4" t="str">
        <f t="shared" si="803"/>
        <v>EXP00290</v>
      </c>
      <c r="B9067" s="4" t="str">
        <f t="shared" si="804"/>
        <v>26868958</v>
      </c>
      <c r="C9067" s="4" t="str">
        <f t="shared" si="805"/>
        <v>GSE72199</v>
      </c>
      <c r="D9067" s="1" t="s">
        <v>401</v>
      </c>
      <c r="E9067" t="s">
        <v>72</v>
      </c>
      <c r="F9067" s="1">
        <v>1</v>
      </c>
      <c r="G9067" s="1" t="s">
        <v>26</v>
      </c>
      <c r="H9067" s="4" t="str">
        <f>HYPERLINK("https://www.ncbi.nlm.nih.gov/geo/query/acc.cgi?acc=GSM1857447","GSM1857447")</f>
        <v>GSM1857447</v>
      </c>
      <c r="I9067" t="s">
        <v>69</v>
      </c>
      <c r="J9067" t="s">
        <v>18</v>
      </c>
      <c r="K9067" t="s">
        <v>19</v>
      </c>
      <c r="L9067" t="s">
        <v>70</v>
      </c>
      <c r="M9067" t="s">
        <v>44</v>
      </c>
      <c r="N9067" t="s">
        <v>22</v>
      </c>
    </row>
    <row r="9068" spans="1:14">
      <c r="A9068" s="4" t="str">
        <f t="shared" si="803"/>
        <v>EXP00290</v>
      </c>
      <c r="B9068" s="4" t="str">
        <f t="shared" si="804"/>
        <v>26868958</v>
      </c>
      <c r="C9068" s="4" t="str">
        <f t="shared" si="805"/>
        <v>GSE72199</v>
      </c>
      <c r="D9068" s="1" t="s">
        <v>401</v>
      </c>
      <c r="E9068" t="s">
        <v>72</v>
      </c>
      <c r="F9068" s="1">
        <v>1</v>
      </c>
      <c r="G9068" s="1" t="s">
        <v>26</v>
      </c>
      <c r="H9068" s="4" t="str">
        <f>HYPERLINK("https://www.ncbi.nlm.nih.gov/geo/query/acc.cgi?acc=GSM1857448","GSM1857448")</f>
        <v>GSM1857448</v>
      </c>
      <c r="I9068" t="s">
        <v>69</v>
      </c>
      <c r="J9068" t="s">
        <v>18</v>
      </c>
      <c r="K9068" t="s">
        <v>19</v>
      </c>
      <c r="L9068" t="s">
        <v>70</v>
      </c>
      <c r="M9068" t="s">
        <v>44</v>
      </c>
      <c r="N9068" t="s">
        <v>22</v>
      </c>
    </row>
    <row r="9069" spans="1:14">
      <c r="A9069" s="4" t="str">
        <f t="shared" si="803"/>
        <v>EXP00290</v>
      </c>
      <c r="B9069" s="4" t="str">
        <f t="shared" si="804"/>
        <v>26868958</v>
      </c>
      <c r="C9069" s="4" t="str">
        <f t="shared" si="805"/>
        <v>GSE72199</v>
      </c>
      <c r="D9069" s="1" t="s">
        <v>401</v>
      </c>
      <c r="E9069" t="s">
        <v>72</v>
      </c>
      <c r="F9069" s="1">
        <v>1</v>
      </c>
      <c r="G9069" s="1" t="s">
        <v>26</v>
      </c>
      <c r="H9069" s="4" t="str">
        <f>HYPERLINK("https://www.ncbi.nlm.nih.gov/geo/query/acc.cgi?acc=GSM1857449","GSM1857449")</f>
        <v>GSM1857449</v>
      </c>
      <c r="I9069" t="s">
        <v>69</v>
      </c>
      <c r="J9069" t="s">
        <v>18</v>
      </c>
      <c r="K9069" t="s">
        <v>19</v>
      </c>
      <c r="L9069" t="s">
        <v>70</v>
      </c>
      <c r="M9069" t="s">
        <v>44</v>
      </c>
      <c r="N9069" t="s">
        <v>22</v>
      </c>
    </row>
    <row r="9070" spans="1:14">
      <c r="A9070" s="4" t="str">
        <f t="shared" si="803"/>
        <v>EXP00290</v>
      </c>
      <c r="B9070" s="4" t="str">
        <f t="shared" si="804"/>
        <v>26868958</v>
      </c>
      <c r="C9070" s="4" t="str">
        <f t="shared" si="805"/>
        <v>GSE72199</v>
      </c>
      <c r="D9070" s="1" t="s">
        <v>401</v>
      </c>
      <c r="E9070" t="s">
        <v>72</v>
      </c>
      <c r="F9070" s="1">
        <v>1</v>
      </c>
      <c r="G9070" s="1" t="s">
        <v>26</v>
      </c>
      <c r="H9070" s="4" t="str">
        <f>HYPERLINK("https://www.ncbi.nlm.nih.gov/geo/query/acc.cgi?acc=GSM1857450","GSM1857450")</f>
        <v>GSM1857450</v>
      </c>
      <c r="I9070" t="s">
        <v>69</v>
      </c>
      <c r="J9070" t="s">
        <v>18</v>
      </c>
      <c r="K9070" t="s">
        <v>19</v>
      </c>
      <c r="L9070" t="s">
        <v>70</v>
      </c>
      <c r="M9070" t="s">
        <v>44</v>
      </c>
      <c r="N9070" t="s">
        <v>22</v>
      </c>
    </row>
    <row r="9071" spans="1:14">
      <c r="A9071" s="4" t="str">
        <f t="shared" si="803"/>
        <v>EXP00290</v>
      </c>
      <c r="B9071" s="4" t="str">
        <f t="shared" si="804"/>
        <v>26868958</v>
      </c>
      <c r="C9071" s="4" t="str">
        <f t="shared" si="805"/>
        <v>GSE72199</v>
      </c>
      <c r="D9071" s="1" t="s">
        <v>401</v>
      </c>
      <c r="E9071" t="s">
        <v>72</v>
      </c>
      <c r="F9071" s="1">
        <v>1</v>
      </c>
      <c r="G9071" s="1" t="s">
        <v>26</v>
      </c>
      <c r="H9071" s="4" t="str">
        <f>HYPERLINK("https://www.ncbi.nlm.nih.gov/geo/query/acc.cgi?acc=GSM1857462","GSM1857462")</f>
        <v>GSM1857462</v>
      </c>
      <c r="I9071" t="s">
        <v>69</v>
      </c>
      <c r="J9071" t="s">
        <v>18</v>
      </c>
      <c r="K9071" t="s">
        <v>19</v>
      </c>
      <c r="L9071" t="s">
        <v>70</v>
      </c>
      <c r="M9071" t="s">
        <v>44</v>
      </c>
      <c r="N9071" t="s">
        <v>22</v>
      </c>
    </row>
    <row r="9072" spans="1:14">
      <c r="A9072" s="4" t="str">
        <f t="shared" si="803"/>
        <v>EXP00290</v>
      </c>
      <c r="B9072" s="4" t="str">
        <f t="shared" si="804"/>
        <v>26868958</v>
      </c>
      <c r="C9072" s="4" t="str">
        <f t="shared" si="805"/>
        <v>GSE72199</v>
      </c>
      <c r="D9072" s="1" t="s">
        <v>401</v>
      </c>
      <c r="E9072" t="s">
        <v>72</v>
      </c>
      <c r="F9072" s="1">
        <v>1</v>
      </c>
      <c r="G9072" s="1" t="s">
        <v>26</v>
      </c>
      <c r="H9072" s="4" t="str">
        <f>HYPERLINK("https://www.ncbi.nlm.nih.gov/geo/query/acc.cgi?acc=GSM1857463","GSM1857463")</f>
        <v>GSM1857463</v>
      </c>
      <c r="I9072" t="s">
        <v>69</v>
      </c>
      <c r="J9072" t="s">
        <v>18</v>
      </c>
      <c r="K9072" t="s">
        <v>19</v>
      </c>
      <c r="L9072" t="s">
        <v>70</v>
      </c>
      <c r="M9072" t="s">
        <v>44</v>
      </c>
      <c r="N9072" t="s">
        <v>22</v>
      </c>
    </row>
    <row r="9073" spans="1:14">
      <c r="A9073" s="4" t="str">
        <f t="shared" si="803"/>
        <v>EXP00290</v>
      </c>
      <c r="B9073" s="4" t="str">
        <f t="shared" si="804"/>
        <v>26868958</v>
      </c>
      <c r="C9073" s="4" t="str">
        <f t="shared" si="805"/>
        <v>GSE72199</v>
      </c>
      <c r="D9073" s="1" t="s">
        <v>401</v>
      </c>
      <c r="E9073" t="s">
        <v>72</v>
      </c>
      <c r="F9073" s="1">
        <v>1</v>
      </c>
      <c r="G9073" s="1" t="s">
        <v>26</v>
      </c>
      <c r="H9073" s="4" t="str">
        <f>HYPERLINK("https://www.ncbi.nlm.nih.gov/geo/query/acc.cgi?acc=GSM1857464","GSM1857464")</f>
        <v>GSM1857464</v>
      </c>
      <c r="I9073" t="s">
        <v>69</v>
      </c>
      <c r="J9073" t="s">
        <v>18</v>
      </c>
      <c r="K9073" t="s">
        <v>19</v>
      </c>
      <c r="L9073" t="s">
        <v>70</v>
      </c>
      <c r="M9073" t="s">
        <v>44</v>
      </c>
      <c r="N9073" t="s">
        <v>22</v>
      </c>
    </row>
    <row r="9074" spans="1:14">
      <c r="A9074" s="4" t="str">
        <f t="shared" si="803"/>
        <v>EXP00290</v>
      </c>
      <c r="B9074" s="4" t="str">
        <f t="shared" si="804"/>
        <v>26868958</v>
      </c>
      <c r="C9074" s="4" t="str">
        <f t="shared" si="805"/>
        <v>GSE72199</v>
      </c>
      <c r="D9074" s="1" t="s">
        <v>401</v>
      </c>
      <c r="E9074" t="s">
        <v>72</v>
      </c>
      <c r="F9074" s="1">
        <v>2</v>
      </c>
      <c r="G9074" s="1" t="s">
        <v>28</v>
      </c>
      <c r="H9074" s="4" t="str">
        <f>HYPERLINK("https://www.ncbi.nlm.nih.gov/geo/query/acc.cgi?acc=GSM1857440","GSM1857440")</f>
        <v>GSM1857440</v>
      </c>
      <c r="I9074" t="s">
        <v>69</v>
      </c>
      <c r="J9074" t="s">
        <v>18</v>
      </c>
      <c r="K9074" t="s">
        <v>19</v>
      </c>
      <c r="L9074" t="s">
        <v>70</v>
      </c>
      <c r="M9074" t="s">
        <v>44</v>
      </c>
      <c r="N9074" t="s">
        <v>29</v>
      </c>
    </row>
    <row r="9075" spans="1:14">
      <c r="A9075" s="4" t="str">
        <f t="shared" si="803"/>
        <v>EXP00290</v>
      </c>
      <c r="B9075" s="4" t="str">
        <f t="shared" si="804"/>
        <v>26868958</v>
      </c>
      <c r="C9075" s="4" t="str">
        <f t="shared" si="805"/>
        <v>GSE72199</v>
      </c>
      <c r="D9075" s="1" t="s">
        <v>401</v>
      </c>
      <c r="E9075" t="s">
        <v>72</v>
      </c>
      <c r="F9075" s="1">
        <v>2</v>
      </c>
      <c r="G9075" s="1" t="s">
        <v>28</v>
      </c>
      <c r="H9075" s="4" t="str">
        <f>HYPERLINK("https://www.ncbi.nlm.nih.gov/geo/query/acc.cgi?acc=GSM1857441","GSM1857441")</f>
        <v>GSM1857441</v>
      </c>
      <c r="I9075" t="s">
        <v>69</v>
      </c>
      <c r="J9075" t="s">
        <v>18</v>
      </c>
      <c r="K9075" t="s">
        <v>19</v>
      </c>
      <c r="L9075" t="s">
        <v>70</v>
      </c>
      <c r="M9075" t="s">
        <v>44</v>
      </c>
      <c r="N9075" t="s">
        <v>29</v>
      </c>
    </row>
    <row r="9076" spans="1:14">
      <c r="A9076" s="4" t="str">
        <f t="shared" si="803"/>
        <v>EXP00290</v>
      </c>
      <c r="B9076" s="4" t="str">
        <f t="shared" si="804"/>
        <v>26868958</v>
      </c>
      <c r="C9076" s="4" t="str">
        <f t="shared" si="805"/>
        <v>GSE72199</v>
      </c>
      <c r="D9076" s="1" t="s">
        <v>401</v>
      </c>
      <c r="E9076" t="s">
        <v>72</v>
      </c>
      <c r="F9076" s="1">
        <v>2</v>
      </c>
      <c r="G9076" s="1" t="s">
        <v>28</v>
      </c>
      <c r="H9076" s="4" t="str">
        <f>HYPERLINK("https://www.ncbi.nlm.nih.gov/geo/query/acc.cgi?acc=GSM1857442","GSM1857442")</f>
        <v>GSM1857442</v>
      </c>
      <c r="I9076" t="s">
        <v>69</v>
      </c>
      <c r="J9076" t="s">
        <v>18</v>
      </c>
      <c r="K9076" t="s">
        <v>19</v>
      </c>
      <c r="L9076" t="s">
        <v>70</v>
      </c>
      <c r="M9076" t="s">
        <v>44</v>
      </c>
      <c r="N9076" t="s">
        <v>29</v>
      </c>
    </row>
    <row r="9077" spans="1:14">
      <c r="A9077" s="4" t="str">
        <f t="shared" si="803"/>
        <v>EXP00290</v>
      </c>
      <c r="B9077" s="4" t="str">
        <f t="shared" si="804"/>
        <v>26868958</v>
      </c>
      <c r="C9077" s="4" t="str">
        <f t="shared" si="805"/>
        <v>GSE72199</v>
      </c>
      <c r="D9077" s="1" t="s">
        <v>401</v>
      </c>
      <c r="E9077" t="s">
        <v>72</v>
      </c>
      <c r="F9077" s="1">
        <v>2</v>
      </c>
      <c r="G9077" s="1" t="s">
        <v>28</v>
      </c>
      <c r="H9077" s="4" t="str">
        <f>HYPERLINK("https://www.ncbi.nlm.nih.gov/geo/query/acc.cgi?acc=GSM1857443","GSM1857443")</f>
        <v>GSM1857443</v>
      </c>
      <c r="I9077" t="s">
        <v>69</v>
      </c>
      <c r="J9077" t="s">
        <v>18</v>
      </c>
      <c r="K9077" t="s">
        <v>19</v>
      </c>
      <c r="L9077" t="s">
        <v>70</v>
      </c>
      <c r="M9077" t="s">
        <v>44</v>
      </c>
      <c r="N9077" t="s">
        <v>29</v>
      </c>
    </row>
    <row r="9078" spans="1:14">
      <c r="A9078" s="4" t="str">
        <f t="shared" si="803"/>
        <v>EXP00290</v>
      </c>
      <c r="B9078" s="4" t="str">
        <f t="shared" si="804"/>
        <v>26868958</v>
      </c>
      <c r="C9078" s="4" t="str">
        <f t="shared" si="805"/>
        <v>GSE72199</v>
      </c>
      <c r="D9078" s="1" t="s">
        <v>401</v>
      </c>
      <c r="E9078" t="s">
        <v>72</v>
      </c>
      <c r="F9078" s="1">
        <v>2</v>
      </c>
      <c r="G9078" s="1" t="s">
        <v>28</v>
      </c>
      <c r="H9078" s="4" t="str">
        <f>HYPERLINK("https://www.ncbi.nlm.nih.gov/geo/query/acc.cgi?acc=GSM1857444","GSM1857444")</f>
        <v>GSM1857444</v>
      </c>
      <c r="I9078" t="s">
        <v>69</v>
      </c>
      <c r="J9078" t="s">
        <v>18</v>
      </c>
      <c r="K9078" t="s">
        <v>19</v>
      </c>
      <c r="L9078" t="s">
        <v>70</v>
      </c>
      <c r="M9078" t="s">
        <v>44</v>
      </c>
      <c r="N9078" t="s">
        <v>29</v>
      </c>
    </row>
    <row r="9079" spans="1:14">
      <c r="A9079" s="4" t="str">
        <f t="shared" si="803"/>
        <v>EXP00290</v>
      </c>
      <c r="B9079" s="4" t="str">
        <f t="shared" si="804"/>
        <v>26868958</v>
      </c>
      <c r="C9079" s="4" t="str">
        <f t="shared" si="805"/>
        <v>GSE72199</v>
      </c>
      <c r="D9079" s="1" t="s">
        <v>401</v>
      </c>
      <c r="E9079" t="s">
        <v>72</v>
      </c>
      <c r="F9079" s="1">
        <v>2</v>
      </c>
      <c r="G9079" s="1" t="s">
        <v>28</v>
      </c>
      <c r="H9079" s="4" t="str">
        <f>HYPERLINK("https://www.ncbi.nlm.nih.gov/geo/query/acc.cgi?acc=GSM1857445","GSM1857445")</f>
        <v>GSM1857445</v>
      </c>
      <c r="I9079" t="s">
        <v>69</v>
      </c>
      <c r="J9079" t="s">
        <v>18</v>
      </c>
      <c r="K9079" t="s">
        <v>19</v>
      </c>
      <c r="L9079" t="s">
        <v>70</v>
      </c>
      <c r="M9079" t="s">
        <v>44</v>
      </c>
      <c r="N9079" t="s">
        <v>29</v>
      </c>
    </row>
    <row r="9080" spans="1:14">
      <c r="A9080" s="4" t="str">
        <f t="shared" si="803"/>
        <v>EXP00290</v>
      </c>
      <c r="B9080" s="4" t="str">
        <f t="shared" si="804"/>
        <v>26868958</v>
      </c>
      <c r="C9080" s="4" t="str">
        <f t="shared" si="805"/>
        <v>GSE72199</v>
      </c>
      <c r="D9080" s="1" t="s">
        <v>401</v>
      </c>
      <c r="E9080" t="s">
        <v>72</v>
      </c>
      <c r="F9080" s="1">
        <v>2</v>
      </c>
      <c r="G9080" s="1" t="s">
        <v>28</v>
      </c>
      <c r="H9080" s="4" t="str">
        <f>HYPERLINK("https://www.ncbi.nlm.nih.gov/geo/query/acc.cgi?acc=GSM1857451","GSM1857451")</f>
        <v>GSM1857451</v>
      </c>
      <c r="I9080" t="s">
        <v>69</v>
      </c>
      <c r="J9080" t="s">
        <v>18</v>
      </c>
      <c r="K9080" t="s">
        <v>19</v>
      </c>
      <c r="L9080" t="s">
        <v>70</v>
      </c>
      <c r="M9080" t="s">
        <v>44</v>
      </c>
      <c r="N9080" t="s">
        <v>29</v>
      </c>
    </row>
    <row r="9081" spans="1:14">
      <c r="A9081" s="4" t="str">
        <f t="shared" si="803"/>
        <v>EXP00290</v>
      </c>
      <c r="B9081" s="4" t="str">
        <f t="shared" si="804"/>
        <v>26868958</v>
      </c>
      <c r="C9081" s="4" t="str">
        <f t="shared" si="805"/>
        <v>GSE72199</v>
      </c>
      <c r="D9081" s="1" t="s">
        <v>401</v>
      </c>
      <c r="E9081" t="s">
        <v>72</v>
      </c>
      <c r="F9081" s="1">
        <v>2</v>
      </c>
      <c r="G9081" s="1" t="s">
        <v>28</v>
      </c>
      <c r="H9081" s="4" t="str">
        <f>HYPERLINK("https://www.ncbi.nlm.nih.gov/geo/query/acc.cgi?acc=GSM1857452","GSM1857452")</f>
        <v>GSM1857452</v>
      </c>
      <c r="I9081" t="s">
        <v>69</v>
      </c>
      <c r="J9081" t="s">
        <v>18</v>
      </c>
      <c r="K9081" t="s">
        <v>19</v>
      </c>
      <c r="L9081" t="s">
        <v>70</v>
      </c>
      <c r="M9081" t="s">
        <v>44</v>
      </c>
      <c r="N9081" t="s">
        <v>29</v>
      </c>
    </row>
    <row r="9082" spans="1:14">
      <c r="A9082" s="4" t="str">
        <f t="shared" ref="A9082:A9109" si="806">HYPERLINK("http://hcmdb.i-sanger.com/experiment/details/experiment_id/EXP00291","EXP00291")</f>
        <v>EXP00291</v>
      </c>
      <c r="B9082" s="4" t="str">
        <f t="shared" si="804"/>
        <v>26868958</v>
      </c>
      <c r="C9082" s="4" t="str">
        <f t="shared" si="805"/>
        <v>GSE72199</v>
      </c>
      <c r="D9082" s="1" t="s">
        <v>401</v>
      </c>
      <c r="E9082" t="s">
        <v>68</v>
      </c>
      <c r="F9082" s="1">
        <v>1</v>
      </c>
      <c r="G9082" s="1" t="s">
        <v>31</v>
      </c>
      <c r="H9082" s="4" t="str">
        <f>HYPERLINK("https://www.ncbi.nlm.nih.gov/geo/query/acc.cgi?acc=GSM1857440","GSM1857440")</f>
        <v>GSM1857440</v>
      </c>
      <c r="I9082" t="s">
        <v>69</v>
      </c>
      <c r="J9082" t="s">
        <v>18</v>
      </c>
      <c r="K9082" t="s">
        <v>19</v>
      </c>
      <c r="L9082" t="s">
        <v>70</v>
      </c>
      <c r="M9082" t="s">
        <v>44</v>
      </c>
      <c r="N9082" t="s">
        <v>29</v>
      </c>
    </row>
    <row r="9083" spans="1:14">
      <c r="A9083" s="4" t="str">
        <f t="shared" si="806"/>
        <v>EXP00291</v>
      </c>
      <c r="B9083" s="4" t="str">
        <f t="shared" si="804"/>
        <v>26868958</v>
      </c>
      <c r="C9083" s="4" t="str">
        <f t="shared" si="805"/>
        <v>GSE72199</v>
      </c>
      <c r="D9083" s="1" t="s">
        <v>401</v>
      </c>
      <c r="E9083" t="s">
        <v>68</v>
      </c>
      <c r="F9083" s="1">
        <v>1</v>
      </c>
      <c r="G9083" s="1" t="s">
        <v>31</v>
      </c>
      <c r="H9083" s="4" t="str">
        <f>HYPERLINK("https://www.ncbi.nlm.nih.gov/geo/query/acc.cgi?acc=GSM1857441","GSM1857441")</f>
        <v>GSM1857441</v>
      </c>
      <c r="I9083" t="s">
        <v>69</v>
      </c>
      <c r="J9083" t="s">
        <v>18</v>
      </c>
      <c r="K9083" t="s">
        <v>19</v>
      </c>
      <c r="L9083" t="s">
        <v>70</v>
      </c>
      <c r="M9083" t="s">
        <v>44</v>
      </c>
      <c r="N9083" t="s">
        <v>29</v>
      </c>
    </row>
    <row r="9084" spans="1:14">
      <c r="A9084" s="4" t="str">
        <f t="shared" si="806"/>
        <v>EXP00291</v>
      </c>
      <c r="B9084" s="4" t="str">
        <f t="shared" si="804"/>
        <v>26868958</v>
      </c>
      <c r="C9084" s="4" t="str">
        <f t="shared" si="805"/>
        <v>GSE72199</v>
      </c>
      <c r="D9084" s="1" t="s">
        <v>401</v>
      </c>
      <c r="E9084" t="s">
        <v>68</v>
      </c>
      <c r="F9084" s="1">
        <v>1</v>
      </c>
      <c r="G9084" s="1" t="s">
        <v>31</v>
      </c>
      <c r="H9084" s="4" t="str">
        <f>HYPERLINK("https://www.ncbi.nlm.nih.gov/geo/query/acc.cgi?acc=GSM1857442","GSM1857442")</f>
        <v>GSM1857442</v>
      </c>
      <c r="I9084" t="s">
        <v>69</v>
      </c>
      <c r="J9084" t="s">
        <v>18</v>
      </c>
      <c r="K9084" t="s">
        <v>19</v>
      </c>
      <c r="L9084" t="s">
        <v>70</v>
      </c>
      <c r="M9084" t="s">
        <v>44</v>
      </c>
      <c r="N9084" t="s">
        <v>29</v>
      </c>
    </row>
    <row r="9085" spans="1:14">
      <c r="A9085" s="4" t="str">
        <f t="shared" si="806"/>
        <v>EXP00291</v>
      </c>
      <c r="B9085" s="4" t="str">
        <f t="shared" si="804"/>
        <v>26868958</v>
      </c>
      <c r="C9085" s="4" t="str">
        <f t="shared" si="805"/>
        <v>GSE72199</v>
      </c>
      <c r="D9085" s="1" t="s">
        <v>401</v>
      </c>
      <c r="E9085" t="s">
        <v>68</v>
      </c>
      <c r="F9085" s="1">
        <v>1</v>
      </c>
      <c r="G9085" s="1" t="s">
        <v>31</v>
      </c>
      <c r="H9085" s="4" t="str">
        <f>HYPERLINK("https://www.ncbi.nlm.nih.gov/geo/query/acc.cgi?acc=GSM1857443","GSM1857443")</f>
        <v>GSM1857443</v>
      </c>
      <c r="I9085" t="s">
        <v>69</v>
      </c>
      <c r="J9085" t="s">
        <v>18</v>
      </c>
      <c r="K9085" t="s">
        <v>19</v>
      </c>
      <c r="L9085" t="s">
        <v>70</v>
      </c>
      <c r="M9085" t="s">
        <v>44</v>
      </c>
      <c r="N9085" t="s">
        <v>29</v>
      </c>
    </row>
    <row r="9086" spans="1:14">
      <c r="A9086" s="4" t="str">
        <f t="shared" si="806"/>
        <v>EXP00291</v>
      </c>
      <c r="B9086" s="4" t="str">
        <f t="shared" si="804"/>
        <v>26868958</v>
      </c>
      <c r="C9086" s="4" t="str">
        <f t="shared" si="805"/>
        <v>GSE72199</v>
      </c>
      <c r="D9086" s="1" t="s">
        <v>401</v>
      </c>
      <c r="E9086" t="s">
        <v>68</v>
      </c>
      <c r="F9086" s="1">
        <v>1</v>
      </c>
      <c r="G9086" s="1" t="s">
        <v>31</v>
      </c>
      <c r="H9086" s="4" t="str">
        <f>HYPERLINK("https://www.ncbi.nlm.nih.gov/geo/query/acc.cgi?acc=GSM1857444","GSM1857444")</f>
        <v>GSM1857444</v>
      </c>
      <c r="I9086" t="s">
        <v>69</v>
      </c>
      <c r="J9086" t="s">
        <v>18</v>
      </c>
      <c r="K9086" t="s">
        <v>19</v>
      </c>
      <c r="L9086" t="s">
        <v>70</v>
      </c>
      <c r="M9086" t="s">
        <v>44</v>
      </c>
      <c r="N9086" t="s">
        <v>29</v>
      </c>
    </row>
    <row r="9087" spans="1:14">
      <c r="A9087" s="4" t="str">
        <f t="shared" si="806"/>
        <v>EXP00291</v>
      </c>
      <c r="B9087" s="4" t="str">
        <f t="shared" si="804"/>
        <v>26868958</v>
      </c>
      <c r="C9087" s="4" t="str">
        <f t="shared" si="805"/>
        <v>GSE72199</v>
      </c>
      <c r="D9087" s="1" t="s">
        <v>401</v>
      </c>
      <c r="E9087" t="s">
        <v>68</v>
      </c>
      <c r="F9087" s="1">
        <v>1</v>
      </c>
      <c r="G9087" s="1" t="s">
        <v>31</v>
      </c>
      <c r="H9087" s="4" t="str">
        <f>HYPERLINK("https://www.ncbi.nlm.nih.gov/geo/query/acc.cgi?acc=GSM1857445","GSM1857445")</f>
        <v>GSM1857445</v>
      </c>
      <c r="I9087" t="s">
        <v>69</v>
      </c>
      <c r="J9087" t="s">
        <v>18</v>
      </c>
      <c r="K9087" t="s">
        <v>19</v>
      </c>
      <c r="L9087" t="s">
        <v>70</v>
      </c>
      <c r="M9087" t="s">
        <v>44</v>
      </c>
      <c r="N9087" t="s">
        <v>29</v>
      </c>
    </row>
    <row r="9088" spans="1:14">
      <c r="A9088" s="4" t="str">
        <f t="shared" si="806"/>
        <v>EXP00291</v>
      </c>
      <c r="B9088" s="4" t="str">
        <f t="shared" si="804"/>
        <v>26868958</v>
      </c>
      <c r="C9088" s="4" t="str">
        <f t="shared" si="805"/>
        <v>GSE72199</v>
      </c>
      <c r="D9088" s="1" t="s">
        <v>401</v>
      </c>
      <c r="E9088" t="s">
        <v>68</v>
      </c>
      <c r="F9088" s="1">
        <v>1</v>
      </c>
      <c r="G9088" s="1" t="s">
        <v>31</v>
      </c>
      <c r="H9088" s="4" t="str">
        <f>HYPERLINK("https://www.ncbi.nlm.nih.gov/geo/query/acc.cgi?acc=GSM1857451","GSM1857451")</f>
        <v>GSM1857451</v>
      </c>
      <c r="I9088" t="s">
        <v>69</v>
      </c>
      <c r="J9088" t="s">
        <v>18</v>
      </c>
      <c r="K9088" t="s">
        <v>19</v>
      </c>
      <c r="L9088" t="s">
        <v>70</v>
      </c>
      <c r="M9088" t="s">
        <v>44</v>
      </c>
      <c r="N9088" t="s">
        <v>29</v>
      </c>
    </row>
    <row r="9089" spans="1:14">
      <c r="A9089" s="4" t="str">
        <f t="shared" si="806"/>
        <v>EXP00291</v>
      </c>
      <c r="B9089" s="4" t="str">
        <f t="shared" si="804"/>
        <v>26868958</v>
      </c>
      <c r="C9089" s="4" t="str">
        <f t="shared" si="805"/>
        <v>GSE72199</v>
      </c>
      <c r="D9089" s="1" t="s">
        <v>401</v>
      </c>
      <c r="E9089" t="s">
        <v>68</v>
      </c>
      <c r="F9089" s="1">
        <v>1</v>
      </c>
      <c r="G9089" s="1" t="s">
        <v>31</v>
      </c>
      <c r="H9089" s="4" t="str">
        <f>HYPERLINK("https://www.ncbi.nlm.nih.gov/geo/query/acc.cgi?acc=GSM1857452","GSM1857452")</f>
        <v>GSM1857452</v>
      </c>
      <c r="I9089" t="s">
        <v>69</v>
      </c>
      <c r="J9089" t="s">
        <v>18</v>
      </c>
      <c r="K9089" t="s">
        <v>19</v>
      </c>
      <c r="L9089" t="s">
        <v>70</v>
      </c>
      <c r="M9089" t="s">
        <v>44</v>
      </c>
      <c r="N9089" t="s">
        <v>29</v>
      </c>
    </row>
    <row r="9090" spans="1:14">
      <c r="A9090" s="4" t="str">
        <f t="shared" si="806"/>
        <v>EXP00291</v>
      </c>
      <c r="B9090" s="4" t="str">
        <f t="shared" si="804"/>
        <v>26868958</v>
      </c>
      <c r="C9090" s="4" t="str">
        <f t="shared" si="805"/>
        <v>GSE72199</v>
      </c>
      <c r="D9090" s="1" t="s">
        <v>401</v>
      </c>
      <c r="E9090" t="s">
        <v>68</v>
      </c>
      <c r="F9090" s="1">
        <v>2</v>
      </c>
      <c r="G9090" s="1" t="s">
        <v>32</v>
      </c>
      <c r="H9090" s="4" t="str">
        <f>HYPERLINK("https://www.ncbi.nlm.nih.gov/geo/query/acc.cgi?acc=GSM1857453","GSM1857453")</f>
        <v>GSM1857453</v>
      </c>
      <c r="I9090" t="s">
        <v>69</v>
      </c>
      <c r="J9090" t="s">
        <v>18</v>
      </c>
      <c r="K9090" t="s">
        <v>33</v>
      </c>
      <c r="L9090" t="s">
        <v>70</v>
      </c>
      <c r="N9090" t="s">
        <v>29</v>
      </c>
    </row>
    <row r="9091" spans="1:14">
      <c r="A9091" s="4" t="str">
        <f t="shared" si="806"/>
        <v>EXP00291</v>
      </c>
      <c r="B9091" s="4" t="str">
        <f t="shared" si="804"/>
        <v>26868958</v>
      </c>
      <c r="C9091" s="4" t="str">
        <f t="shared" si="805"/>
        <v>GSE72199</v>
      </c>
      <c r="D9091" s="1" t="s">
        <v>401</v>
      </c>
      <c r="E9091" t="s">
        <v>68</v>
      </c>
      <c r="F9091" s="1">
        <v>2</v>
      </c>
      <c r="G9091" s="1" t="s">
        <v>32</v>
      </c>
      <c r="H9091" s="4" t="str">
        <f>HYPERLINK("https://www.ncbi.nlm.nih.gov/geo/query/acc.cgi?acc=GSM1857454","GSM1857454")</f>
        <v>GSM1857454</v>
      </c>
      <c r="I9091" t="s">
        <v>69</v>
      </c>
      <c r="J9091" t="s">
        <v>18</v>
      </c>
      <c r="K9091" t="s">
        <v>33</v>
      </c>
      <c r="L9091" t="s">
        <v>70</v>
      </c>
      <c r="N9091" t="s">
        <v>29</v>
      </c>
    </row>
    <row r="9092" spans="1:14">
      <c r="A9092" s="4" t="str">
        <f t="shared" si="806"/>
        <v>EXP00291</v>
      </c>
      <c r="B9092" s="4" t="str">
        <f t="shared" si="804"/>
        <v>26868958</v>
      </c>
      <c r="C9092" s="4" t="str">
        <f t="shared" si="805"/>
        <v>GSE72199</v>
      </c>
      <c r="D9092" s="1" t="s">
        <v>401</v>
      </c>
      <c r="E9092" t="s">
        <v>68</v>
      </c>
      <c r="F9092" s="1">
        <v>2</v>
      </c>
      <c r="G9092" s="1" t="s">
        <v>32</v>
      </c>
      <c r="H9092" s="4" t="str">
        <f>HYPERLINK("https://www.ncbi.nlm.nih.gov/geo/query/acc.cgi?acc=GSM1857455","GSM1857455")</f>
        <v>GSM1857455</v>
      </c>
      <c r="I9092" t="s">
        <v>69</v>
      </c>
      <c r="J9092" t="s">
        <v>18</v>
      </c>
      <c r="K9092" t="s">
        <v>33</v>
      </c>
      <c r="L9092" t="s">
        <v>70</v>
      </c>
      <c r="N9092" t="s">
        <v>29</v>
      </c>
    </row>
    <row r="9093" spans="1:14">
      <c r="A9093" s="4" t="str">
        <f t="shared" si="806"/>
        <v>EXP00291</v>
      </c>
      <c r="B9093" s="4" t="str">
        <f t="shared" si="804"/>
        <v>26868958</v>
      </c>
      <c r="C9093" s="4" t="str">
        <f t="shared" si="805"/>
        <v>GSE72199</v>
      </c>
      <c r="D9093" s="1" t="s">
        <v>401</v>
      </c>
      <c r="E9093" t="s">
        <v>68</v>
      </c>
      <c r="F9093" s="1">
        <v>2</v>
      </c>
      <c r="G9093" s="1" t="s">
        <v>32</v>
      </c>
      <c r="H9093" s="4" t="str">
        <f>HYPERLINK("https://www.ncbi.nlm.nih.gov/geo/query/acc.cgi?acc=GSM1857456","GSM1857456")</f>
        <v>GSM1857456</v>
      </c>
      <c r="I9093" t="s">
        <v>69</v>
      </c>
      <c r="J9093" t="s">
        <v>18</v>
      </c>
      <c r="K9093" t="s">
        <v>33</v>
      </c>
      <c r="L9093" t="s">
        <v>70</v>
      </c>
      <c r="N9093" t="s">
        <v>29</v>
      </c>
    </row>
    <row r="9094" spans="1:14">
      <c r="A9094" s="4" t="str">
        <f t="shared" si="806"/>
        <v>EXP00291</v>
      </c>
      <c r="B9094" s="4" t="str">
        <f t="shared" si="804"/>
        <v>26868958</v>
      </c>
      <c r="C9094" s="4" t="str">
        <f t="shared" si="805"/>
        <v>GSE72199</v>
      </c>
      <c r="D9094" s="1" t="s">
        <v>401</v>
      </c>
      <c r="E9094" t="s">
        <v>68</v>
      </c>
      <c r="F9094" s="1">
        <v>2</v>
      </c>
      <c r="G9094" s="1" t="s">
        <v>32</v>
      </c>
      <c r="H9094" s="4" t="str">
        <f>HYPERLINK("https://www.ncbi.nlm.nih.gov/geo/query/acc.cgi?acc=GSM1857457","GSM1857457")</f>
        <v>GSM1857457</v>
      </c>
      <c r="I9094" t="s">
        <v>69</v>
      </c>
      <c r="J9094" t="s">
        <v>18</v>
      </c>
      <c r="K9094" t="s">
        <v>33</v>
      </c>
      <c r="L9094" t="s">
        <v>70</v>
      </c>
      <c r="N9094" t="s">
        <v>29</v>
      </c>
    </row>
    <row r="9095" spans="1:14">
      <c r="A9095" s="4" t="str">
        <f t="shared" si="806"/>
        <v>EXP00291</v>
      </c>
      <c r="B9095" s="4" t="str">
        <f t="shared" si="804"/>
        <v>26868958</v>
      </c>
      <c r="C9095" s="4" t="str">
        <f t="shared" si="805"/>
        <v>GSE72199</v>
      </c>
      <c r="D9095" s="1" t="s">
        <v>401</v>
      </c>
      <c r="E9095" t="s">
        <v>68</v>
      </c>
      <c r="F9095" s="1">
        <v>2</v>
      </c>
      <c r="G9095" s="1" t="s">
        <v>32</v>
      </c>
      <c r="H9095" s="4" t="str">
        <f>HYPERLINK("https://www.ncbi.nlm.nih.gov/geo/query/acc.cgi?acc=GSM1857458","GSM1857458")</f>
        <v>GSM1857458</v>
      </c>
      <c r="I9095" t="s">
        <v>69</v>
      </c>
      <c r="J9095" t="s">
        <v>18</v>
      </c>
      <c r="K9095" t="s">
        <v>33</v>
      </c>
      <c r="L9095" t="s">
        <v>70</v>
      </c>
      <c r="N9095" t="s">
        <v>29</v>
      </c>
    </row>
    <row r="9096" spans="1:14">
      <c r="A9096" s="4" t="str">
        <f t="shared" si="806"/>
        <v>EXP00291</v>
      </c>
      <c r="B9096" s="4" t="str">
        <f t="shared" si="804"/>
        <v>26868958</v>
      </c>
      <c r="C9096" s="4" t="str">
        <f t="shared" si="805"/>
        <v>GSE72199</v>
      </c>
      <c r="D9096" s="1" t="s">
        <v>401</v>
      </c>
      <c r="E9096" t="s">
        <v>68</v>
      </c>
      <c r="F9096" s="1">
        <v>2</v>
      </c>
      <c r="G9096" s="1" t="s">
        <v>32</v>
      </c>
      <c r="H9096" s="4" t="str">
        <f>HYPERLINK("https://www.ncbi.nlm.nih.gov/geo/query/acc.cgi?acc=GSM1857459","GSM1857459")</f>
        <v>GSM1857459</v>
      </c>
      <c r="I9096" t="s">
        <v>69</v>
      </c>
      <c r="J9096" t="s">
        <v>18</v>
      </c>
      <c r="K9096" t="s">
        <v>33</v>
      </c>
      <c r="L9096" t="s">
        <v>70</v>
      </c>
      <c r="N9096" t="s">
        <v>29</v>
      </c>
    </row>
    <row r="9097" spans="1:14">
      <c r="A9097" s="4" t="str">
        <f t="shared" si="806"/>
        <v>EXP00291</v>
      </c>
      <c r="B9097" s="4" t="str">
        <f t="shared" si="804"/>
        <v>26868958</v>
      </c>
      <c r="C9097" s="4" t="str">
        <f t="shared" si="805"/>
        <v>GSE72199</v>
      </c>
      <c r="D9097" s="1" t="s">
        <v>401</v>
      </c>
      <c r="E9097" t="s">
        <v>68</v>
      </c>
      <c r="F9097" s="1">
        <v>2</v>
      </c>
      <c r="G9097" s="1" t="s">
        <v>32</v>
      </c>
      <c r="H9097" s="4" t="str">
        <f>HYPERLINK("https://www.ncbi.nlm.nih.gov/geo/query/acc.cgi?acc=GSM1857460","GSM1857460")</f>
        <v>GSM1857460</v>
      </c>
      <c r="I9097" t="s">
        <v>69</v>
      </c>
      <c r="J9097" t="s">
        <v>18</v>
      </c>
      <c r="K9097" t="s">
        <v>33</v>
      </c>
      <c r="L9097" t="s">
        <v>70</v>
      </c>
      <c r="N9097" t="s">
        <v>29</v>
      </c>
    </row>
    <row r="9098" spans="1:14">
      <c r="A9098" s="4" t="str">
        <f t="shared" si="806"/>
        <v>EXP00291</v>
      </c>
      <c r="B9098" s="4" t="str">
        <f t="shared" si="804"/>
        <v>26868958</v>
      </c>
      <c r="C9098" s="4" t="str">
        <f t="shared" si="805"/>
        <v>GSE72199</v>
      </c>
      <c r="D9098" s="1" t="s">
        <v>401</v>
      </c>
      <c r="E9098" t="s">
        <v>68</v>
      </c>
      <c r="F9098" s="1">
        <v>2</v>
      </c>
      <c r="G9098" s="1" t="s">
        <v>32</v>
      </c>
      <c r="H9098" s="4" t="str">
        <f>HYPERLINK("https://www.ncbi.nlm.nih.gov/geo/query/acc.cgi?acc=GSM1857461","GSM1857461")</f>
        <v>GSM1857461</v>
      </c>
      <c r="I9098" t="s">
        <v>69</v>
      </c>
      <c r="J9098" t="s">
        <v>18</v>
      </c>
      <c r="K9098" t="s">
        <v>33</v>
      </c>
      <c r="L9098" t="s">
        <v>70</v>
      </c>
      <c r="N9098" t="s">
        <v>29</v>
      </c>
    </row>
    <row r="9099" spans="1:14">
      <c r="A9099" s="4" t="str">
        <f t="shared" si="806"/>
        <v>EXP00291</v>
      </c>
      <c r="B9099" s="4" t="str">
        <f t="shared" si="804"/>
        <v>26868958</v>
      </c>
      <c r="C9099" s="4" t="str">
        <f t="shared" si="805"/>
        <v>GSE72199</v>
      </c>
      <c r="D9099" s="1" t="s">
        <v>401</v>
      </c>
      <c r="E9099" t="s">
        <v>68</v>
      </c>
      <c r="F9099" s="1">
        <v>2</v>
      </c>
      <c r="G9099" s="1" t="s">
        <v>32</v>
      </c>
      <c r="H9099" s="4" t="str">
        <f>HYPERLINK("https://www.ncbi.nlm.nih.gov/geo/query/acc.cgi?acc=GSM1857465","GSM1857465")</f>
        <v>GSM1857465</v>
      </c>
      <c r="I9099" t="s">
        <v>69</v>
      </c>
      <c r="J9099" t="s">
        <v>18</v>
      </c>
      <c r="K9099" t="s">
        <v>33</v>
      </c>
      <c r="L9099" t="s">
        <v>70</v>
      </c>
      <c r="N9099" t="s">
        <v>29</v>
      </c>
    </row>
    <row r="9100" spans="1:14">
      <c r="A9100" s="4" t="str">
        <f t="shared" si="806"/>
        <v>EXP00291</v>
      </c>
      <c r="B9100" s="4" t="str">
        <f t="shared" si="804"/>
        <v>26868958</v>
      </c>
      <c r="C9100" s="4" t="str">
        <f t="shared" si="805"/>
        <v>GSE72199</v>
      </c>
      <c r="D9100" s="1" t="s">
        <v>401</v>
      </c>
      <c r="E9100" t="s">
        <v>68</v>
      </c>
      <c r="F9100" s="1">
        <v>2</v>
      </c>
      <c r="G9100" s="1" t="s">
        <v>32</v>
      </c>
      <c r="H9100" s="4" t="str">
        <f>HYPERLINK("https://www.ncbi.nlm.nih.gov/geo/query/acc.cgi?acc=GSM1857466","GSM1857466")</f>
        <v>GSM1857466</v>
      </c>
      <c r="I9100" t="s">
        <v>69</v>
      </c>
      <c r="J9100" t="s">
        <v>18</v>
      </c>
      <c r="K9100" t="s">
        <v>33</v>
      </c>
      <c r="L9100" t="s">
        <v>70</v>
      </c>
      <c r="N9100" t="s">
        <v>29</v>
      </c>
    </row>
    <row r="9101" spans="1:14">
      <c r="A9101" s="4" t="str">
        <f t="shared" si="806"/>
        <v>EXP00291</v>
      </c>
      <c r="B9101" s="4" t="str">
        <f t="shared" si="804"/>
        <v>26868958</v>
      </c>
      <c r="C9101" s="4" t="str">
        <f t="shared" si="805"/>
        <v>GSE72199</v>
      </c>
      <c r="D9101" s="1" t="s">
        <v>401</v>
      </c>
      <c r="E9101" t="s">
        <v>68</v>
      </c>
      <c r="F9101" s="1">
        <v>2</v>
      </c>
      <c r="G9101" s="1" t="s">
        <v>32</v>
      </c>
      <c r="H9101" s="4" t="str">
        <f>HYPERLINK("https://www.ncbi.nlm.nih.gov/geo/query/acc.cgi?acc=GSM1857467","GSM1857467")</f>
        <v>GSM1857467</v>
      </c>
      <c r="I9101" t="s">
        <v>69</v>
      </c>
      <c r="J9101" t="s">
        <v>18</v>
      </c>
      <c r="K9101" t="s">
        <v>33</v>
      </c>
      <c r="L9101" t="s">
        <v>70</v>
      </c>
      <c r="N9101" t="s">
        <v>29</v>
      </c>
    </row>
    <row r="9102" spans="1:14">
      <c r="A9102" s="4" t="str">
        <f t="shared" si="806"/>
        <v>EXP00291</v>
      </c>
      <c r="B9102" s="4" t="str">
        <f t="shared" si="804"/>
        <v>26868958</v>
      </c>
      <c r="C9102" s="4" t="str">
        <f t="shared" si="805"/>
        <v>GSE72199</v>
      </c>
      <c r="D9102" s="1" t="s">
        <v>401</v>
      </c>
      <c r="E9102" t="s">
        <v>68</v>
      </c>
      <c r="F9102" s="1">
        <v>2</v>
      </c>
      <c r="G9102" s="1" t="s">
        <v>32</v>
      </c>
      <c r="H9102" s="4" t="str">
        <f>HYPERLINK("https://www.ncbi.nlm.nih.gov/geo/query/acc.cgi?acc=GSM1857468","GSM1857468")</f>
        <v>GSM1857468</v>
      </c>
      <c r="I9102" t="s">
        <v>69</v>
      </c>
      <c r="J9102" t="s">
        <v>18</v>
      </c>
      <c r="K9102" t="s">
        <v>33</v>
      </c>
      <c r="L9102" t="s">
        <v>70</v>
      </c>
      <c r="N9102" t="s">
        <v>29</v>
      </c>
    </row>
    <row r="9103" spans="1:14">
      <c r="A9103" s="4" t="str">
        <f t="shared" si="806"/>
        <v>EXP00291</v>
      </c>
      <c r="B9103" s="4" t="str">
        <f t="shared" si="804"/>
        <v>26868958</v>
      </c>
      <c r="C9103" s="4" t="str">
        <f t="shared" si="805"/>
        <v>GSE72199</v>
      </c>
      <c r="D9103" s="1" t="s">
        <v>401</v>
      </c>
      <c r="E9103" t="s">
        <v>68</v>
      </c>
      <c r="F9103" s="1">
        <v>2</v>
      </c>
      <c r="G9103" s="1" t="s">
        <v>32</v>
      </c>
      <c r="H9103" s="4" t="str">
        <f>HYPERLINK("https://www.ncbi.nlm.nih.gov/geo/query/acc.cgi?acc=GSM1857469","GSM1857469")</f>
        <v>GSM1857469</v>
      </c>
      <c r="I9103" t="s">
        <v>69</v>
      </c>
      <c r="J9103" t="s">
        <v>18</v>
      </c>
      <c r="K9103" t="s">
        <v>33</v>
      </c>
      <c r="L9103" t="s">
        <v>70</v>
      </c>
      <c r="N9103" t="s">
        <v>29</v>
      </c>
    </row>
    <row r="9104" spans="1:14">
      <c r="A9104" s="4" t="str">
        <f t="shared" si="806"/>
        <v>EXP00291</v>
      </c>
      <c r="B9104" s="4" t="str">
        <f t="shared" si="804"/>
        <v>26868958</v>
      </c>
      <c r="C9104" s="4" t="str">
        <f t="shared" si="805"/>
        <v>GSE72199</v>
      </c>
      <c r="D9104" s="1" t="s">
        <v>401</v>
      </c>
      <c r="E9104" t="s">
        <v>68</v>
      </c>
      <c r="F9104" s="1">
        <v>2</v>
      </c>
      <c r="G9104" s="1" t="s">
        <v>32</v>
      </c>
      <c r="H9104" s="4" t="str">
        <f>HYPERLINK("https://www.ncbi.nlm.nih.gov/geo/query/acc.cgi?acc=GSM1857470","GSM1857470")</f>
        <v>GSM1857470</v>
      </c>
      <c r="I9104" t="s">
        <v>69</v>
      </c>
      <c r="J9104" t="s">
        <v>18</v>
      </c>
      <c r="K9104" t="s">
        <v>33</v>
      </c>
      <c r="L9104" t="s">
        <v>70</v>
      </c>
      <c r="N9104" t="s">
        <v>29</v>
      </c>
    </row>
    <row r="9105" spans="1:14">
      <c r="A9105" s="4" t="str">
        <f t="shared" si="806"/>
        <v>EXP00291</v>
      </c>
      <c r="B9105" s="4" t="str">
        <f t="shared" si="804"/>
        <v>26868958</v>
      </c>
      <c r="C9105" s="4" t="str">
        <f t="shared" si="805"/>
        <v>GSE72199</v>
      </c>
      <c r="D9105" s="1" t="s">
        <v>401</v>
      </c>
      <c r="E9105" t="s">
        <v>68</v>
      </c>
      <c r="F9105" s="1">
        <v>2</v>
      </c>
      <c r="G9105" s="1" t="s">
        <v>32</v>
      </c>
      <c r="H9105" s="4" t="str">
        <f>HYPERLINK("https://www.ncbi.nlm.nih.gov/geo/query/acc.cgi?acc=GSM1857471","GSM1857471")</f>
        <v>GSM1857471</v>
      </c>
      <c r="I9105" t="s">
        <v>69</v>
      </c>
      <c r="J9105" t="s">
        <v>18</v>
      </c>
      <c r="K9105" t="s">
        <v>33</v>
      </c>
      <c r="L9105" t="s">
        <v>70</v>
      </c>
      <c r="N9105" t="s">
        <v>29</v>
      </c>
    </row>
    <row r="9106" spans="1:14">
      <c r="A9106" s="4" t="str">
        <f t="shared" si="806"/>
        <v>EXP00291</v>
      </c>
      <c r="B9106" s="4" t="str">
        <f t="shared" si="804"/>
        <v>26868958</v>
      </c>
      <c r="C9106" s="4" t="str">
        <f t="shared" si="805"/>
        <v>GSE72199</v>
      </c>
      <c r="D9106" s="1" t="s">
        <v>401</v>
      </c>
      <c r="E9106" t="s">
        <v>68</v>
      </c>
      <c r="F9106" s="1">
        <v>2</v>
      </c>
      <c r="G9106" s="1" t="s">
        <v>32</v>
      </c>
      <c r="H9106" s="4" t="str">
        <f>HYPERLINK("https://www.ncbi.nlm.nih.gov/geo/query/acc.cgi?acc=GSM1857472","GSM1857472")</f>
        <v>GSM1857472</v>
      </c>
      <c r="I9106" t="s">
        <v>69</v>
      </c>
      <c r="J9106" t="s">
        <v>18</v>
      </c>
      <c r="K9106" t="s">
        <v>33</v>
      </c>
      <c r="L9106" t="s">
        <v>70</v>
      </c>
      <c r="N9106" t="s">
        <v>29</v>
      </c>
    </row>
    <row r="9107" spans="1:14">
      <c r="A9107" s="4" t="str">
        <f t="shared" si="806"/>
        <v>EXP00291</v>
      </c>
      <c r="B9107" s="4" t="str">
        <f t="shared" si="804"/>
        <v>26868958</v>
      </c>
      <c r="C9107" s="4" t="str">
        <f t="shared" si="805"/>
        <v>GSE72199</v>
      </c>
      <c r="D9107" s="1" t="s">
        <v>401</v>
      </c>
      <c r="E9107" t="s">
        <v>68</v>
      </c>
      <c r="F9107" s="1">
        <v>2</v>
      </c>
      <c r="G9107" s="1" t="s">
        <v>32</v>
      </c>
      <c r="H9107" s="4" t="str">
        <f>HYPERLINK("https://www.ncbi.nlm.nih.gov/geo/query/acc.cgi?acc=GSM1857473","GSM1857473")</f>
        <v>GSM1857473</v>
      </c>
      <c r="I9107" t="s">
        <v>69</v>
      </c>
      <c r="J9107" t="s">
        <v>18</v>
      </c>
      <c r="K9107" t="s">
        <v>33</v>
      </c>
      <c r="L9107" t="s">
        <v>70</v>
      </c>
      <c r="N9107" t="s">
        <v>29</v>
      </c>
    </row>
    <row r="9108" spans="1:14">
      <c r="A9108" s="4" t="str">
        <f t="shared" si="806"/>
        <v>EXP00291</v>
      </c>
      <c r="B9108" s="4" t="str">
        <f t="shared" si="804"/>
        <v>26868958</v>
      </c>
      <c r="C9108" s="4" t="str">
        <f t="shared" si="805"/>
        <v>GSE72199</v>
      </c>
      <c r="D9108" s="1" t="s">
        <v>401</v>
      </c>
      <c r="E9108" t="s">
        <v>68</v>
      </c>
      <c r="F9108" s="1">
        <v>2</v>
      </c>
      <c r="G9108" s="1" t="s">
        <v>32</v>
      </c>
      <c r="H9108" s="4" t="str">
        <f>HYPERLINK("https://www.ncbi.nlm.nih.gov/geo/query/acc.cgi?acc=GSM1857474","GSM1857474")</f>
        <v>GSM1857474</v>
      </c>
      <c r="I9108" t="s">
        <v>69</v>
      </c>
      <c r="J9108" t="s">
        <v>18</v>
      </c>
      <c r="K9108" t="s">
        <v>33</v>
      </c>
      <c r="L9108" t="s">
        <v>70</v>
      </c>
      <c r="N9108" t="s">
        <v>29</v>
      </c>
    </row>
    <row r="9109" spans="1:14">
      <c r="A9109" s="4" t="str">
        <f t="shared" si="806"/>
        <v>EXP00291</v>
      </c>
      <c r="B9109" s="4" t="str">
        <f t="shared" si="804"/>
        <v>26868958</v>
      </c>
      <c r="C9109" s="4" t="str">
        <f t="shared" si="805"/>
        <v>GSE72199</v>
      </c>
      <c r="D9109" s="1" t="s">
        <v>401</v>
      </c>
      <c r="E9109" t="s">
        <v>68</v>
      </c>
      <c r="F9109" s="1">
        <v>2</v>
      </c>
      <c r="G9109" s="1" t="s">
        <v>32</v>
      </c>
      <c r="H9109" s="4" t="str">
        <f>HYPERLINK("https://www.ncbi.nlm.nih.gov/geo/query/acc.cgi?acc=GSM1857475","GSM1857475")</f>
        <v>GSM1857475</v>
      </c>
      <c r="I9109" t="s">
        <v>69</v>
      </c>
      <c r="J9109" t="s">
        <v>18</v>
      </c>
      <c r="K9109" t="s">
        <v>33</v>
      </c>
      <c r="L9109" t="s">
        <v>70</v>
      </c>
      <c r="N9109" t="s">
        <v>29</v>
      </c>
    </row>
    <row r="9110" spans="1:14">
      <c r="A9110" s="4" t="str">
        <f t="shared" ref="A9110:A9115" si="807">HYPERLINK("http://hcmdb.i-sanger.com/experiment/details/experiment_id/EXP00292","EXP00292")</f>
        <v>EXP00292</v>
      </c>
      <c r="B9110" s="3" t="s">
        <v>66</v>
      </c>
      <c r="C9110" s="4" t="str">
        <f t="shared" ref="C9110:C9121" si="808">HYPERLINK("https://www.ncbi.nlm.nih.gov/geo/query/acc.cgi?acc=GSE72304","GSE72304")</f>
        <v>GSE72304</v>
      </c>
      <c r="D9110" s="1" t="s">
        <v>402</v>
      </c>
      <c r="E9110" t="s">
        <v>191</v>
      </c>
      <c r="F9110" s="1">
        <v>1</v>
      </c>
      <c r="G9110" s="1" t="s">
        <v>26</v>
      </c>
      <c r="H9110" s="4" t="str">
        <f>HYPERLINK("https://www.ncbi.nlm.nih.gov/geo/query/acc.cgi?acc=GSM1859833","GSM1859833")</f>
        <v>GSM1859833</v>
      </c>
      <c r="I9110" t="s">
        <v>59</v>
      </c>
      <c r="J9110" t="s">
        <v>60</v>
      </c>
      <c r="K9110" t="s">
        <v>19</v>
      </c>
      <c r="L9110" t="s">
        <v>61</v>
      </c>
      <c r="M9110" t="s">
        <v>98</v>
      </c>
      <c r="N9110" t="s">
        <v>22</v>
      </c>
    </row>
    <row r="9111" spans="1:14">
      <c r="A9111" s="4" t="str">
        <f t="shared" si="807"/>
        <v>EXP00292</v>
      </c>
      <c r="B9111" s="3" t="s">
        <v>66</v>
      </c>
      <c r="C9111" s="4" t="str">
        <f t="shared" si="808"/>
        <v>GSE72304</v>
      </c>
      <c r="D9111" s="1" t="s">
        <v>402</v>
      </c>
      <c r="E9111" t="s">
        <v>191</v>
      </c>
      <c r="F9111" s="1">
        <v>1</v>
      </c>
      <c r="G9111" s="1" t="s">
        <v>26</v>
      </c>
      <c r="H9111" s="4" t="str">
        <f>HYPERLINK("https://www.ncbi.nlm.nih.gov/geo/query/acc.cgi?acc=GSM1859835","GSM1859835")</f>
        <v>GSM1859835</v>
      </c>
      <c r="I9111" t="s">
        <v>59</v>
      </c>
      <c r="J9111" t="s">
        <v>60</v>
      </c>
      <c r="K9111" t="s">
        <v>19</v>
      </c>
      <c r="L9111" t="s">
        <v>61</v>
      </c>
      <c r="M9111" t="s">
        <v>98</v>
      </c>
      <c r="N9111" t="s">
        <v>22</v>
      </c>
    </row>
    <row r="9112" spans="1:14">
      <c r="A9112" s="4" t="str">
        <f t="shared" si="807"/>
        <v>EXP00292</v>
      </c>
      <c r="B9112" s="3" t="s">
        <v>66</v>
      </c>
      <c r="C9112" s="4" t="str">
        <f t="shared" si="808"/>
        <v>GSE72304</v>
      </c>
      <c r="D9112" s="1" t="s">
        <v>402</v>
      </c>
      <c r="E9112" t="s">
        <v>191</v>
      </c>
      <c r="F9112" s="1">
        <v>2</v>
      </c>
      <c r="G9112" s="1" t="s">
        <v>28</v>
      </c>
      <c r="H9112" s="4" t="str">
        <f>HYPERLINK("https://www.ncbi.nlm.nih.gov/geo/query/acc.cgi?acc=GSM1859825","GSM1859825")</f>
        <v>GSM1859825</v>
      </c>
      <c r="I9112" t="s">
        <v>59</v>
      </c>
      <c r="J9112" t="s">
        <v>60</v>
      </c>
      <c r="K9112" t="s">
        <v>19</v>
      </c>
      <c r="L9112" t="s">
        <v>61</v>
      </c>
      <c r="M9112" t="s">
        <v>98</v>
      </c>
      <c r="N9112" t="s">
        <v>29</v>
      </c>
    </row>
    <row r="9113" spans="1:14">
      <c r="A9113" s="4" t="str">
        <f t="shared" si="807"/>
        <v>EXP00292</v>
      </c>
      <c r="B9113" s="3" t="s">
        <v>66</v>
      </c>
      <c r="C9113" s="4" t="str">
        <f t="shared" si="808"/>
        <v>GSE72304</v>
      </c>
      <c r="D9113" s="1" t="s">
        <v>402</v>
      </c>
      <c r="E9113" t="s">
        <v>191</v>
      </c>
      <c r="F9113" s="1">
        <v>2</v>
      </c>
      <c r="G9113" s="1" t="s">
        <v>28</v>
      </c>
      <c r="H9113" s="4" t="str">
        <f>HYPERLINK("https://www.ncbi.nlm.nih.gov/geo/query/acc.cgi?acc=GSM1859827","GSM1859827")</f>
        <v>GSM1859827</v>
      </c>
      <c r="I9113" t="s">
        <v>59</v>
      </c>
      <c r="J9113" t="s">
        <v>60</v>
      </c>
      <c r="K9113" t="s">
        <v>19</v>
      </c>
      <c r="L9113" t="s">
        <v>61</v>
      </c>
      <c r="M9113" t="s">
        <v>98</v>
      </c>
      <c r="N9113" t="s">
        <v>29</v>
      </c>
    </row>
    <row r="9114" spans="1:14">
      <c r="A9114" s="4" t="str">
        <f t="shared" si="807"/>
        <v>EXP00292</v>
      </c>
      <c r="B9114" s="3" t="s">
        <v>66</v>
      </c>
      <c r="C9114" s="4" t="str">
        <f t="shared" si="808"/>
        <v>GSE72304</v>
      </c>
      <c r="D9114" s="1" t="s">
        <v>402</v>
      </c>
      <c r="E9114" t="s">
        <v>191</v>
      </c>
      <c r="F9114" s="1">
        <v>2</v>
      </c>
      <c r="G9114" s="1" t="s">
        <v>28</v>
      </c>
      <c r="H9114" s="4" t="str">
        <f>HYPERLINK("https://www.ncbi.nlm.nih.gov/geo/query/acc.cgi?acc=GSM1859829","GSM1859829")</f>
        <v>GSM1859829</v>
      </c>
      <c r="I9114" t="s">
        <v>59</v>
      </c>
      <c r="J9114" t="s">
        <v>60</v>
      </c>
      <c r="K9114" t="s">
        <v>19</v>
      </c>
      <c r="L9114" t="s">
        <v>61</v>
      </c>
      <c r="M9114" t="s">
        <v>98</v>
      </c>
      <c r="N9114" t="s">
        <v>29</v>
      </c>
    </row>
    <row r="9115" spans="1:14">
      <c r="A9115" s="4" t="str">
        <f t="shared" si="807"/>
        <v>EXP00292</v>
      </c>
      <c r="B9115" s="3" t="s">
        <v>66</v>
      </c>
      <c r="C9115" s="4" t="str">
        <f t="shared" si="808"/>
        <v>GSE72304</v>
      </c>
      <c r="D9115" s="1" t="s">
        <v>402</v>
      </c>
      <c r="E9115" t="s">
        <v>191</v>
      </c>
      <c r="F9115" s="1">
        <v>2</v>
      </c>
      <c r="G9115" s="1" t="s">
        <v>28</v>
      </c>
      <c r="H9115" s="4" t="str">
        <f>HYPERLINK("https://www.ncbi.nlm.nih.gov/geo/query/acc.cgi?acc=GSM1859831","GSM1859831")</f>
        <v>GSM1859831</v>
      </c>
      <c r="I9115" t="s">
        <v>59</v>
      </c>
      <c r="J9115" t="s">
        <v>60</v>
      </c>
      <c r="K9115" t="s">
        <v>19</v>
      </c>
      <c r="L9115" t="s">
        <v>61</v>
      </c>
      <c r="M9115" t="s">
        <v>98</v>
      </c>
      <c r="N9115" t="s">
        <v>29</v>
      </c>
    </row>
    <row r="9116" spans="1:14">
      <c r="A9116" s="4" t="str">
        <f t="shared" ref="A9116:A9121" si="809">HYPERLINK("http://hcmdb.i-sanger.com/experiment/details/experiment_id/EXP00293","EXP00293")</f>
        <v>EXP00293</v>
      </c>
      <c r="B9116" s="3" t="s">
        <v>66</v>
      </c>
      <c r="C9116" s="4" t="str">
        <f t="shared" si="808"/>
        <v>GSE72304</v>
      </c>
      <c r="D9116" s="1" t="s">
        <v>402</v>
      </c>
      <c r="E9116" t="s">
        <v>403</v>
      </c>
      <c r="F9116" s="1">
        <v>1</v>
      </c>
      <c r="G9116" s="1" t="s">
        <v>36</v>
      </c>
      <c r="H9116" s="4" t="str">
        <f>HYPERLINK("https://www.ncbi.nlm.nih.gov/geo/query/acc.cgi?acc=GSM1859821","GSM1859821")</f>
        <v>GSM1859821</v>
      </c>
      <c r="I9116" t="s">
        <v>59</v>
      </c>
      <c r="J9116" t="s">
        <v>60</v>
      </c>
      <c r="K9116" t="s">
        <v>19</v>
      </c>
      <c r="L9116" t="s">
        <v>61</v>
      </c>
      <c r="M9116" t="s">
        <v>98</v>
      </c>
      <c r="N9116" t="s">
        <v>37</v>
      </c>
    </row>
    <row r="9117" spans="1:14">
      <c r="A9117" s="4" t="str">
        <f t="shared" si="809"/>
        <v>EXP00293</v>
      </c>
      <c r="B9117" s="3" t="s">
        <v>66</v>
      </c>
      <c r="C9117" s="4" t="str">
        <f t="shared" si="808"/>
        <v>GSE72304</v>
      </c>
      <c r="D9117" s="1" t="s">
        <v>402</v>
      </c>
      <c r="E9117" t="s">
        <v>403</v>
      </c>
      <c r="F9117" s="1">
        <v>1</v>
      </c>
      <c r="G9117" s="1" t="s">
        <v>36</v>
      </c>
      <c r="H9117" s="4" t="str">
        <f>HYPERLINK("https://www.ncbi.nlm.nih.gov/geo/query/acc.cgi?acc=GSM1859823","GSM1859823")</f>
        <v>GSM1859823</v>
      </c>
      <c r="I9117" t="s">
        <v>59</v>
      </c>
      <c r="J9117" t="s">
        <v>60</v>
      </c>
      <c r="K9117" t="s">
        <v>19</v>
      </c>
      <c r="L9117" t="s">
        <v>61</v>
      </c>
      <c r="M9117" t="s">
        <v>98</v>
      </c>
      <c r="N9117" t="s">
        <v>37</v>
      </c>
    </row>
    <row r="9118" spans="1:14">
      <c r="A9118" s="4" t="str">
        <f t="shared" si="809"/>
        <v>EXP00293</v>
      </c>
      <c r="B9118" s="3" t="s">
        <v>66</v>
      </c>
      <c r="C9118" s="4" t="str">
        <f t="shared" si="808"/>
        <v>GSE72304</v>
      </c>
      <c r="D9118" s="1" t="s">
        <v>402</v>
      </c>
      <c r="E9118" t="s">
        <v>403</v>
      </c>
      <c r="F9118" s="1">
        <v>2</v>
      </c>
      <c r="G9118" s="1" t="s">
        <v>28</v>
      </c>
      <c r="H9118" s="4" t="str">
        <f>HYPERLINK("https://www.ncbi.nlm.nih.gov/geo/query/acc.cgi?acc=GSM1859825","GSM1859825")</f>
        <v>GSM1859825</v>
      </c>
      <c r="I9118" t="s">
        <v>59</v>
      </c>
      <c r="J9118" t="s">
        <v>60</v>
      </c>
      <c r="K9118" t="s">
        <v>19</v>
      </c>
      <c r="L9118" t="s">
        <v>61</v>
      </c>
      <c r="M9118" t="s">
        <v>98</v>
      </c>
      <c r="N9118" t="s">
        <v>29</v>
      </c>
    </row>
    <row r="9119" spans="1:14">
      <c r="A9119" s="4" t="str">
        <f t="shared" si="809"/>
        <v>EXP00293</v>
      </c>
      <c r="B9119" s="3" t="s">
        <v>66</v>
      </c>
      <c r="C9119" s="4" t="str">
        <f t="shared" si="808"/>
        <v>GSE72304</v>
      </c>
      <c r="D9119" s="1" t="s">
        <v>402</v>
      </c>
      <c r="E9119" t="s">
        <v>403</v>
      </c>
      <c r="F9119" s="1">
        <v>2</v>
      </c>
      <c r="G9119" s="1" t="s">
        <v>28</v>
      </c>
      <c r="H9119" s="4" t="str">
        <f>HYPERLINK("https://www.ncbi.nlm.nih.gov/geo/query/acc.cgi?acc=GSM1859827","GSM1859827")</f>
        <v>GSM1859827</v>
      </c>
      <c r="I9119" t="s">
        <v>59</v>
      </c>
      <c r="J9119" t="s">
        <v>60</v>
      </c>
      <c r="K9119" t="s">
        <v>19</v>
      </c>
      <c r="L9119" t="s">
        <v>61</v>
      </c>
      <c r="M9119" t="s">
        <v>98</v>
      </c>
      <c r="N9119" t="s">
        <v>29</v>
      </c>
    </row>
    <row r="9120" spans="1:14">
      <c r="A9120" s="4" t="str">
        <f t="shared" si="809"/>
        <v>EXP00293</v>
      </c>
      <c r="B9120" s="3" t="s">
        <v>66</v>
      </c>
      <c r="C9120" s="4" t="str">
        <f t="shared" si="808"/>
        <v>GSE72304</v>
      </c>
      <c r="D9120" s="1" t="s">
        <v>402</v>
      </c>
      <c r="E9120" t="s">
        <v>403</v>
      </c>
      <c r="F9120" s="1">
        <v>2</v>
      </c>
      <c r="G9120" s="1" t="s">
        <v>28</v>
      </c>
      <c r="H9120" s="4" t="str">
        <f>HYPERLINK("https://www.ncbi.nlm.nih.gov/geo/query/acc.cgi?acc=GSM1859829","GSM1859829")</f>
        <v>GSM1859829</v>
      </c>
      <c r="I9120" t="s">
        <v>59</v>
      </c>
      <c r="J9120" t="s">
        <v>60</v>
      </c>
      <c r="K9120" t="s">
        <v>19</v>
      </c>
      <c r="L9120" t="s">
        <v>61</v>
      </c>
      <c r="M9120" t="s">
        <v>98</v>
      </c>
      <c r="N9120" t="s">
        <v>29</v>
      </c>
    </row>
    <row r="9121" spans="1:14">
      <c r="A9121" s="4" t="str">
        <f t="shared" si="809"/>
        <v>EXP00293</v>
      </c>
      <c r="B9121" s="3" t="s">
        <v>66</v>
      </c>
      <c r="C9121" s="4" t="str">
        <f t="shared" si="808"/>
        <v>GSE72304</v>
      </c>
      <c r="D9121" s="1" t="s">
        <v>402</v>
      </c>
      <c r="E9121" t="s">
        <v>403</v>
      </c>
      <c r="F9121" s="1">
        <v>2</v>
      </c>
      <c r="G9121" s="1" t="s">
        <v>28</v>
      </c>
      <c r="H9121" s="4" t="str">
        <f>HYPERLINK("https://www.ncbi.nlm.nih.gov/geo/query/acc.cgi?acc=GSM1859831","GSM1859831")</f>
        <v>GSM1859831</v>
      </c>
      <c r="I9121" t="s">
        <v>59</v>
      </c>
      <c r="J9121" t="s">
        <v>60</v>
      </c>
      <c r="K9121" t="s">
        <v>19</v>
      </c>
      <c r="L9121" t="s">
        <v>61</v>
      </c>
      <c r="M9121" t="s">
        <v>98</v>
      </c>
      <c r="N9121" t="s">
        <v>29</v>
      </c>
    </row>
    <row r="9122" spans="1:14">
      <c r="A9122" s="4" t="str">
        <f t="shared" ref="A9122:A9125" si="810">HYPERLINK("http://hcmdb.i-sanger.com/experiment/details/experiment_id/EXP00294","EXP00294")</f>
        <v>EXP00294</v>
      </c>
      <c r="B9122" s="3" t="s">
        <v>66</v>
      </c>
      <c r="C9122" s="4" t="str">
        <f t="shared" ref="C9122:C9133" si="811">HYPERLINK("https://www.ncbi.nlm.nih.gov/geo/query/acc.cgi?acc=GSE73178","GSE73178")</f>
        <v>GSE73178</v>
      </c>
      <c r="D9122" s="1" t="s">
        <v>404</v>
      </c>
      <c r="E9122" t="s">
        <v>72</v>
      </c>
      <c r="F9122" s="1">
        <v>1</v>
      </c>
      <c r="G9122" s="1" t="s">
        <v>26</v>
      </c>
      <c r="H9122" s="4" t="str">
        <f>HYPERLINK("https://www.ncbi.nlm.nih.gov/geo/query/acc.cgi?acc=GSM1888181","GSM1888181")</f>
        <v>GSM1888181</v>
      </c>
      <c r="I9122" t="s">
        <v>69</v>
      </c>
      <c r="J9122" t="s">
        <v>18</v>
      </c>
      <c r="K9122" t="s">
        <v>19</v>
      </c>
      <c r="L9122" t="s">
        <v>70</v>
      </c>
      <c r="M9122" t="s">
        <v>44</v>
      </c>
      <c r="N9122" t="s">
        <v>22</v>
      </c>
    </row>
    <row r="9123" spans="1:14">
      <c r="A9123" s="4" t="str">
        <f t="shared" si="810"/>
        <v>EXP00294</v>
      </c>
      <c r="B9123" s="3" t="s">
        <v>66</v>
      </c>
      <c r="C9123" s="4" t="str">
        <f t="shared" si="811"/>
        <v>GSE73178</v>
      </c>
      <c r="D9123" s="1" t="s">
        <v>404</v>
      </c>
      <c r="E9123" t="s">
        <v>72</v>
      </c>
      <c r="F9123" s="1">
        <v>1</v>
      </c>
      <c r="G9123" s="1" t="s">
        <v>26</v>
      </c>
      <c r="H9123" s="4" t="str">
        <f>HYPERLINK("https://www.ncbi.nlm.nih.gov/geo/query/acc.cgi?acc=GSM1888185","GSM1888185")</f>
        <v>GSM1888185</v>
      </c>
      <c r="I9123" t="s">
        <v>69</v>
      </c>
      <c r="J9123" t="s">
        <v>18</v>
      </c>
      <c r="K9123" t="s">
        <v>19</v>
      </c>
      <c r="L9123" t="s">
        <v>70</v>
      </c>
      <c r="M9123" t="s">
        <v>44</v>
      </c>
      <c r="N9123" t="s">
        <v>22</v>
      </c>
    </row>
    <row r="9124" spans="1:14">
      <c r="A9124" s="4" t="str">
        <f t="shared" si="810"/>
        <v>EXP00294</v>
      </c>
      <c r="B9124" s="3" t="s">
        <v>66</v>
      </c>
      <c r="C9124" s="4" t="str">
        <f t="shared" si="811"/>
        <v>GSE73178</v>
      </c>
      <c r="D9124" s="1" t="s">
        <v>404</v>
      </c>
      <c r="E9124" t="s">
        <v>72</v>
      </c>
      <c r="F9124" s="1">
        <v>2</v>
      </c>
      <c r="G9124" s="1" t="s">
        <v>28</v>
      </c>
      <c r="H9124" s="4" t="str">
        <f>HYPERLINK("https://www.ncbi.nlm.nih.gov/geo/query/acc.cgi?acc=GSM1888179","GSM1888179")</f>
        <v>GSM1888179</v>
      </c>
      <c r="I9124" t="s">
        <v>69</v>
      </c>
      <c r="J9124" t="s">
        <v>18</v>
      </c>
      <c r="K9124" t="s">
        <v>19</v>
      </c>
      <c r="L9124" t="s">
        <v>70</v>
      </c>
      <c r="M9124" t="s">
        <v>44</v>
      </c>
      <c r="N9124" t="s">
        <v>29</v>
      </c>
    </row>
    <row r="9125" spans="1:14">
      <c r="A9125" s="4" t="str">
        <f t="shared" si="810"/>
        <v>EXP00294</v>
      </c>
      <c r="B9125" s="3" t="s">
        <v>66</v>
      </c>
      <c r="C9125" s="4" t="str">
        <f t="shared" si="811"/>
        <v>GSE73178</v>
      </c>
      <c r="D9125" s="1" t="s">
        <v>404</v>
      </c>
      <c r="E9125" t="s">
        <v>72</v>
      </c>
      <c r="F9125" s="1">
        <v>2</v>
      </c>
      <c r="G9125" s="1" t="s">
        <v>28</v>
      </c>
      <c r="H9125" s="4" t="str">
        <f>HYPERLINK("https://www.ncbi.nlm.nih.gov/geo/query/acc.cgi?acc=GSM1888183","GSM1888183")</f>
        <v>GSM1888183</v>
      </c>
      <c r="I9125" t="s">
        <v>69</v>
      </c>
      <c r="J9125" t="s">
        <v>18</v>
      </c>
      <c r="K9125" t="s">
        <v>19</v>
      </c>
      <c r="L9125" t="s">
        <v>70</v>
      </c>
      <c r="M9125" t="s">
        <v>44</v>
      </c>
      <c r="N9125" t="s">
        <v>29</v>
      </c>
    </row>
    <row r="9126" spans="1:14">
      <c r="A9126" s="4" t="str">
        <f t="shared" ref="A9126:A9129" si="812">HYPERLINK("http://hcmdb.i-sanger.com/experiment/details/experiment_id/EXP00295","EXP00295")</f>
        <v>EXP00295</v>
      </c>
      <c r="B9126" s="3" t="s">
        <v>66</v>
      </c>
      <c r="C9126" s="4" t="str">
        <f t="shared" si="811"/>
        <v>GSE73178</v>
      </c>
      <c r="D9126" s="1" t="s">
        <v>404</v>
      </c>
      <c r="E9126" t="s">
        <v>73</v>
      </c>
      <c r="F9126" s="1">
        <v>1</v>
      </c>
      <c r="G9126" s="1" t="s">
        <v>36</v>
      </c>
      <c r="H9126" s="4" t="str">
        <f>HYPERLINK("https://www.ncbi.nlm.nih.gov/geo/query/acc.cgi?acc=GSM1888180","GSM1888180")</f>
        <v>GSM1888180</v>
      </c>
      <c r="I9126" t="s">
        <v>69</v>
      </c>
      <c r="J9126" t="s">
        <v>18</v>
      </c>
      <c r="K9126" t="s">
        <v>19</v>
      </c>
      <c r="L9126" t="s">
        <v>70</v>
      </c>
      <c r="M9126" t="s">
        <v>44</v>
      </c>
      <c r="N9126" t="s">
        <v>37</v>
      </c>
    </row>
    <row r="9127" spans="1:14">
      <c r="A9127" s="4" t="str">
        <f t="shared" si="812"/>
        <v>EXP00295</v>
      </c>
      <c r="B9127" s="3" t="s">
        <v>66</v>
      </c>
      <c r="C9127" s="4" t="str">
        <f t="shared" si="811"/>
        <v>GSE73178</v>
      </c>
      <c r="D9127" s="1" t="s">
        <v>404</v>
      </c>
      <c r="E9127" t="s">
        <v>73</v>
      </c>
      <c r="F9127" s="1">
        <v>1</v>
      </c>
      <c r="G9127" s="1" t="s">
        <v>36</v>
      </c>
      <c r="H9127" s="4" t="str">
        <f>HYPERLINK("https://www.ncbi.nlm.nih.gov/geo/query/acc.cgi?acc=GSM1888184","GSM1888184")</f>
        <v>GSM1888184</v>
      </c>
      <c r="I9127" t="s">
        <v>69</v>
      </c>
      <c r="J9127" t="s">
        <v>18</v>
      </c>
      <c r="K9127" t="s">
        <v>19</v>
      </c>
      <c r="L9127" t="s">
        <v>70</v>
      </c>
      <c r="M9127" t="s">
        <v>44</v>
      </c>
      <c r="N9127" t="s">
        <v>37</v>
      </c>
    </row>
    <row r="9128" spans="1:14">
      <c r="A9128" s="4" t="str">
        <f t="shared" si="812"/>
        <v>EXP00295</v>
      </c>
      <c r="B9128" s="3" t="s">
        <v>66</v>
      </c>
      <c r="C9128" s="4" t="str">
        <f t="shared" si="811"/>
        <v>GSE73178</v>
      </c>
      <c r="D9128" s="1" t="s">
        <v>404</v>
      </c>
      <c r="E9128" t="s">
        <v>73</v>
      </c>
      <c r="F9128" s="1">
        <v>2</v>
      </c>
      <c r="G9128" s="1" t="s">
        <v>28</v>
      </c>
      <c r="H9128" s="4" t="str">
        <f>HYPERLINK("https://www.ncbi.nlm.nih.gov/geo/query/acc.cgi?acc=GSM1888179","GSM1888179")</f>
        <v>GSM1888179</v>
      </c>
      <c r="I9128" t="s">
        <v>69</v>
      </c>
      <c r="J9128" t="s">
        <v>18</v>
      </c>
      <c r="K9128" t="s">
        <v>19</v>
      </c>
      <c r="L9128" t="s">
        <v>70</v>
      </c>
      <c r="M9128" t="s">
        <v>44</v>
      </c>
      <c r="N9128" t="s">
        <v>29</v>
      </c>
    </row>
    <row r="9129" spans="1:14">
      <c r="A9129" s="4" t="str">
        <f t="shared" si="812"/>
        <v>EXP00295</v>
      </c>
      <c r="B9129" s="3" t="s">
        <v>66</v>
      </c>
      <c r="C9129" s="4" t="str">
        <f t="shared" si="811"/>
        <v>GSE73178</v>
      </c>
      <c r="D9129" s="1" t="s">
        <v>404</v>
      </c>
      <c r="E9129" t="s">
        <v>73</v>
      </c>
      <c r="F9129" s="1">
        <v>2</v>
      </c>
      <c r="G9129" s="1" t="s">
        <v>28</v>
      </c>
      <c r="H9129" s="4" t="str">
        <f>HYPERLINK("https://www.ncbi.nlm.nih.gov/geo/query/acc.cgi?acc=GSM1888183","GSM1888183")</f>
        <v>GSM1888183</v>
      </c>
      <c r="I9129" t="s">
        <v>69</v>
      </c>
      <c r="J9129" t="s">
        <v>18</v>
      </c>
      <c r="K9129" t="s">
        <v>19</v>
      </c>
      <c r="L9129" t="s">
        <v>70</v>
      </c>
      <c r="M9129" t="s">
        <v>44</v>
      </c>
      <c r="N9129" t="s">
        <v>29</v>
      </c>
    </row>
    <row r="9130" spans="1:14">
      <c r="A9130" s="4" t="str">
        <f t="shared" ref="A9130:A9133" si="813">HYPERLINK("http://hcmdb.i-sanger.com/experiment/details/experiment_id/EXP00296","EXP00296")</f>
        <v>EXP00296</v>
      </c>
      <c r="B9130" s="3" t="s">
        <v>66</v>
      </c>
      <c r="C9130" s="4" t="str">
        <f t="shared" si="811"/>
        <v>GSE73178</v>
      </c>
      <c r="D9130" s="1" t="s">
        <v>404</v>
      </c>
      <c r="E9130" t="s">
        <v>74</v>
      </c>
      <c r="F9130" s="1">
        <v>1</v>
      </c>
      <c r="G9130" s="1" t="s">
        <v>75</v>
      </c>
      <c r="H9130" s="4" t="str">
        <f>HYPERLINK("https://www.ncbi.nlm.nih.gov/geo/query/acc.cgi?acc=GSM1888182","GSM1888182")</f>
        <v>GSM1888182</v>
      </c>
      <c r="I9130" t="s">
        <v>69</v>
      </c>
      <c r="J9130" t="s">
        <v>18</v>
      </c>
      <c r="K9130" t="s">
        <v>19</v>
      </c>
      <c r="L9130" t="s">
        <v>70</v>
      </c>
      <c r="M9130" t="s">
        <v>44</v>
      </c>
      <c r="N9130" t="s">
        <v>76</v>
      </c>
    </row>
    <row r="9131" spans="1:14">
      <c r="A9131" s="4" t="str">
        <f t="shared" si="813"/>
        <v>EXP00296</v>
      </c>
      <c r="B9131" s="3" t="s">
        <v>66</v>
      </c>
      <c r="C9131" s="4" t="str">
        <f t="shared" si="811"/>
        <v>GSE73178</v>
      </c>
      <c r="D9131" s="1" t="s">
        <v>404</v>
      </c>
      <c r="E9131" t="s">
        <v>74</v>
      </c>
      <c r="F9131" s="1">
        <v>1</v>
      </c>
      <c r="G9131" s="1" t="s">
        <v>75</v>
      </c>
      <c r="H9131" s="4" t="str">
        <f>HYPERLINK("https://www.ncbi.nlm.nih.gov/geo/query/acc.cgi?acc=GSM1888186","GSM1888186")</f>
        <v>GSM1888186</v>
      </c>
      <c r="I9131" t="s">
        <v>69</v>
      </c>
      <c r="J9131" t="s">
        <v>18</v>
      </c>
      <c r="K9131" t="s">
        <v>19</v>
      </c>
      <c r="L9131" t="s">
        <v>70</v>
      </c>
      <c r="M9131" t="s">
        <v>44</v>
      </c>
      <c r="N9131" t="s">
        <v>76</v>
      </c>
    </row>
    <row r="9132" spans="1:14">
      <c r="A9132" s="4" t="str">
        <f t="shared" si="813"/>
        <v>EXP00296</v>
      </c>
      <c r="B9132" s="3" t="s">
        <v>66</v>
      </c>
      <c r="C9132" s="4" t="str">
        <f t="shared" si="811"/>
        <v>GSE73178</v>
      </c>
      <c r="D9132" s="1" t="s">
        <v>404</v>
      </c>
      <c r="E9132" t="s">
        <v>74</v>
      </c>
      <c r="F9132" s="1">
        <v>2</v>
      </c>
      <c r="G9132" s="1" t="s">
        <v>26</v>
      </c>
      <c r="H9132" s="4" t="str">
        <f>HYPERLINK("https://www.ncbi.nlm.nih.gov/geo/query/acc.cgi?acc=GSM1888181","GSM1888181")</f>
        <v>GSM1888181</v>
      </c>
      <c r="I9132" t="s">
        <v>69</v>
      </c>
      <c r="J9132" t="s">
        <v>18</v>
      </c>
      <c r="K9132" t="s">
        <v>19</v>
      </c>
      <c r="L9132" t="s">
        <v>70</v>
      </c>
      <c r="M9132" t="s">
        <v>44</v>
      </c>
      <c r="N9132" t="s">
        <v>22</v>
      </c>
    </row>
    <row r="9133" spans="1:14">
      <c r="A9133" s="4" t="str">
        <f t="shared" si="813"/>
        <v>EXP00296</v>
      </c>
      <c r="B9133" s="3" t="s">
        <v>66</v>
      </c>
      <c r="C9133" s="4" t="str">
        <f t="shared" si="811"/>
        <v>GSE73178</v>
      </c>
      <c r="D9133" s="1" t="s">
        <v>404</v>
      </c>
      <c r="E9133" t="s">
        <v>74</v>
      </c>
      <c r="F9133" s="1">
        <v>2</v>
      </c>
      <c r="G9133" s="1" t="s">
        <v>26</v>
      </c>
      <c r="H9133" s="4" t="str">
        <f>HYPERLINK("https://www.ncbi.nlm.nih.gov/geo/query/acc.cgi?acc=GSM1888185","GSM1888185")</f>
        <v>GSM1888185</v>
      </c>
      <c r="I9133" t="s">
        <v>69</v>
      </c>
      <c r="J9133" t="s">
        <v>18</v>
      </c>
      <c r="K9133" t="s">
        <v>19</v>
      </c>
      <c r="L9133" t="s">
        <v>70</v>
      </c>
      <c r="M9133" t="s">
        <v>44</v>
      </c>
      <c r="N9133" t="s">
        <v>22</v>
      </c>
    </row>
    <row r="9134" spans="1:14">
      <c r="A9134" s="4" t="str">
        <f t="shared" ref="A9134:A9137" si="814">HYPERLINK("http://hcmdb.i-sanger.com/experiment/details/experiment_id/EXP00297","EXP00297")</f>
        <v>EXP00297</v>
      </c>
      <c r="B9134" s="4" t="str">
        <f t="shared" ref="B9134:B9197" si="815">HYPERLINK("https://www.ncbi.nlm.nih.gov/pubmed/26446169","26446169")</f>
        <v>26446169</v>
      </c>
      <c r="C9134" s="4" t="str">
        <f t="shared" ref="C9134:C9197" si="816">HYPERLINK("https://www.ncbi.nlm.nih.gov/geo/query/acc.cgi?acc=GSE73338","GSE73338")</f>
        <v>GSE73338</v>
      </c>
      <c r="D9134" s="1" t="s">
        <v>405</v>
      </c>
      <c r="E9134" t="s">
        <v>406</v>
      </c>
      <c r="F9134" s="1">
        <v>1</v>
      </c>
      <c r="G9134" s="1" t="s">
        <v>26</v>
      </c>
      <c r="H9134" s="4" t="str">
        <f>HYPERLINK("https://www.ncbi.nlm.nih.gov/geo/query/acc.cgi?acc=GSM1891323","GSM1891323")</f>
        <v>GSM1891323</v>
      </c>
      <c r="I9134" t="s">
        <v>407</v>
      </c>
      <c r="J9134" t="s">
        <v>408</v>
      </c>
      <c r="K9134" t="s">
        <v>19</v>
      </c>
      <c r="L9134" t="s">
        <v>113</v>
      </c>
      <c r="M9134" t="s">
        <v>44</v>
      </c>
      <c r="N9134" t="s">
        <v>22</v>
      </c>
    </row>
    <row r="9135" spans="1:14">
      <c r="A9135" s="4" t="str">
        <f t="shared" si="814"/>
        <v>EXP00297</v>
      </c>
      <c r="B9135" s="4" t="str">
        <f t="shared" si="815"/>
        <v>26446169</v>
      </c>
      <c r="C9135" s="4" t="str">
        <f t="shared" si="816"/>
        <v>GSE73338</v>
      </c>
      <c r="D9135" s="1" t="s">
        <v>405</v>
      </c>
      <c r="E9135" t="s">
        <v>406</v>
      </c>
      <c r="F9135" s="1">
        <v>1</v>
      </c>
      <c r="G9135" s="1" t="s">
        <v>26</v>
      </c>
      <c r="H9135" s="4" t="str">
        <f>HYPERLINK("https://www.ncbi.nlm.nih.gov/geo/query/acc.cgi?acc=GSM1891326","GSM1891326")</f>
        <v>GSM1891326</v>
      </c>
      <c r="I9135" t="s">
        <v>407</v>
      </c>
      <c r="J9135" t="s">
        <v>408</v>
      </c>
      <c r="K9135" t="s">
        <v>19</v>
      </c>
      <c r="L9135" t="s">
        <v>113</v>
      </c>
      <c r="M9135" t="s">
        <v>44</v>
      </c>
      <c r="N9135" t="s">
        <v>22</v>
      </c>
    </row>
    <row r="9136" spans="1:14">
      <c r="A9136" s="4" t="str">
        <f t="shared" si="814"/>
        <v>EXP00297</v>
      </c>
      <c r="B9136" s="4" t="str">
        <f t="shared" si="815"/>
        <v>26446169</v>
      </c>
      <c r="C9136" s="4" t="str">
        <f t="shared" si="816"/>
        <v>GSE73338</v>
      </c>
      <c r="D9136" s="1" t="s">
        <v>405</v>
      </c>
      <c r="E9136" t="s">
        <v>406</v>
      </c>
      <c r="F9136" s="1">
        <v>2</v>
      </c>
      <c r="G9136" s="1" t="s">
        <v>28</v>
      </c>
      <c r="H9136" s="4" t="str">
        <f>HYPERLINK("https://www.ncbi.nlm.nih.gov/geo/query/acc.cgi?acc=GSM1891266","GSM1891266")</f>
        <v>GSM1891266</v>
      </c>
      <c r="I9136" t="s">
        <v>407</v>
      </c>
      <c r="J9136" t="s">
        <v>408</v>
      </c>
      <c r="K9136" t="s">
        <v>19</v>
      </c>
      <c r="L9136" t="s">
        <v>113</v>
      </c>
      <c r="M9136" t="s">
        <v>44</v>
      </c>
      <c r="N9136" t="s">
        <v>29</v>
      </c>
    </row>
    <row r="9137" spans="1:14">
      <c r="A9137" s="4" t="str">
        <f t="shared" si="814"/>
        <v>EXP00297</v>
      </c>
      <c r="B9137" s="4" t="str">
        <f t="shared" si="815"/>
        <v>26446169</v>
      </c>
      <c r="C9137" s="4" t="str">
        <f t="shared" si="816"/>
        <v>GSE73338</v>
      </c>
      <c r="D9137" s="1" t="s">
        <v>405</v>
      </c>
      <c r="E9137" t="s">
        <v>406</v>
      </c>
      <c r="F9137" s="1">
        <v>2</v>
      </c>
      <c r="G9137" s="1" t="s">
        <v>28</v>
      </c>
      <c r="H9137" s="4" t="str">
        <f>HYPERLINK("https://www.ncbi.nlm.nih.gov/geo/query/acc.cgi?acc=GSM1891291","GSM1891291")</f>
        <v>GSM1891291</v>
      </c>
      <c r="I9137" t="s">
        <v>407</v>
      </c>
      <c r="J9137" t="s">
        <v>408</v>
      </c>
      <c r="K9137" t="s">
        <v>19</v>
      </c>
      <c r="L9137" t="s">
        <v>113</v>
      </c>
      <c r="M9137" t="s">
        <v>44</v>
      </c>
      <c r="N9137" t="s">
        <v>29</v>
      </c>
    </row>
    <row r="9138" spans="1:14">
      <c r="A9138" s="4" t="str">
        <f t="shared" ref="A9138:A9143" si="817">HYPERLINK("http://hcmdb.i-sanger.com/experiment/details/experiment_id/EXP00298","EXP00298")</f>
        <v>EXP00298</v>
      </c>
      <c r="B9138" s="4" t="str">
        <f t="shared" si="815"/>
        <v>26446169</v>
      </c>
      <c r="C9138" s="4" t="str">
        <f t="shared" si="816"/>
        <v>GSE73338</v>
      </c>
      <c r="D9138" s="1" t="s">
        <v>405</v>
      </c>
      <c r="E9138" t="s">
        <v>409</v>
      </c>
      <c r="F9138" s="1">
        <v>1</v>
      </c>
      <c r="G9138" s="1" t="s">
        <v>26</v>
      </c>
      <c r="H9138" s="4" t="str">
        <f>HYPERLINK("https://www.ncbi.nlm.nih.gov/geo/query/acc.cgi?acc=GSM1891321","GSM1891321")</f>
        <v>GSM1891321</v>
      </c>
      <c r="I9138" t="s">
        <v>407</v>
      </c>
      <c r="J9138" t="s">
        <v>408</v>
      </c>
      <c r="K9138" t="s">
        <v>19</v>
      </c>
      <c r="L9138" t="s">
        <v>113</v>
      </c>
      <c r="M9138" t="s">
        <v>24</v>
      </c>
      <c r="N9138" t="s">
        <v>22</v>
      </c>
    </row>
    <row r="9139" spans="1:14">
      <c r="A9139" s="4" t="str">
        <f t="shared" si="817"/>
        <v>EXP00298</v>
      </c>
      <c r="B9139" s="4" t="str">
        <f t="shared" si="815"/>
        <v>26446169</v>
      </c>
      <c r="C9139" s="4" t="str">
        <f t="shared" si="816"/>
        <v>GSE73338</v>
      </c>
      <c r="D9139" s="1" t="s">
        <v>405</v>
      </c>
      <c r="E9139" t="s">
        <v>409</v>
      </c>
      <c r="F9139" s="1">
        <v>1</v>
      </c>
      <c r="G9139" s="1" t="s">
        <v>26</v>
      </c>
      <c r="H9139" s="4" t="str">
        <f>HYPERLINK("https://www.ncbi.nlm.nih.gov/geo/query/acc.cgi?acc=GSM1891325","GSM1891325")</f>
        <v>GSM1891325</v>
      </c>
      <c r="I9139" t="s">
        <v>407</v>
      </c>
      <c r="J9139" t="s">
        <v>408</v>
      </c>
      <c r="K9139" t="s">
        <v>19</v>
      </c>
      <c r="L9139" t="s">
        <v>113</v>
      </c>
      <c r="M9139" t="s">
        <v>24</v>
      </c>
      <c r="N9139" t="s">
        <v>22</v>
      </c>
    </row>
    <row r="9140" spans="1:14">
      <c r="A9140" s="4" t="str">
        <f t="shared" si="817"/>
        <v>EXP00298</v>
      </c>
      <c r="B9140" s="4" t="str">
        <f t="shared" si="815"/>
        <v>26446169</v>
      </c>
      <c r="C9140" s="4" t="str">
        <f t="shared" si="816"/>
        <v>GSE73338</v>
      </c>
      <c r="D9140" s="1" t="s">
        <v>405</v>
      </c>
      <c r="E9140" t="s">
        <v>409</v>
      </c>
      <c r="F9140" s="1">
        <v>1</v>
      </c>
      <c r="G9140" s="1" t="s">
        <v>26</v>
      </c>
      <c r="H9140" s="4" t="str">
        <f>HYPERLINK("https://www.ncbi.nlm.nih.gov/geo/query/acc.cgi?acc=GSM1891327","GSM1891327")</f>
        <v>GSM1891327</v>
      </c>
      <c r="I9140" t="s">
        <v>407</v>
      </c>
      <c r="J9140" t="s">
        <v>408</v>
      </c>
      <c r="K9140" t="s">
        <v>19</v>
      </c>
      <c r="L9140" t="s">
        <v>113</v>
      </c>
      <c r="M9140" t="s">
        <v>24</v>
      </c>
      <c r="N9140" t="s">
        <v>22</v>
      </c>
    </row>
    <row r="9141" spans="1:14">
      <c r="A9141" s="4" t="str">
        <f t="shared" si="817"/>
        <v>EXP00298</v>
      </c>
      <c r="B9141" s="4" t="str">
        <f t="shared" si="815"/>
        <v>26446169</v>
      </c>
      <c r="C9141" s="4" t="str">
        <f t="shared" si="816"/>
        <v>GSE73338</v>
      </c>
      <c r="D9141" s="1" t="s">
        <v>405</v>
      </c>
      <c r="E9141" t="s">
        <v>409</v>
      </c>
      <c r="F9141" s="1">
        <v>2</v>
      </c>
      <c r="G9141" s="1" t="s">
        <v>28</v>
      </c>
      <c r="H9141" s="4" t="str">
        <f>HYPERLINK("https://www.ncbi.nlm.nih.gov/geo/query/acc.cgi?acc=GSM1891237","GSM1891237")</f>
        <v>GSM1891237</v>
      </c>
      <c r="I9141" t="s">
        <v>407</v>
      </c>
      <c r="J9141" t="s">
        <v>408</v>
      </c>
      <c r="K9141" t="s">
        <v>19</v>
      </c>
      <c r="L9141" t="s">
        <v>113</v>
      </c>
      <c r="M9141" t="s">
        <v>24</v>
      </c>
      <c r="N9141" t="s">
        <v>29</v>
      </c>
    </row>
    <row r="9142" spans="1:14">
      <c r="A9142" s="4" t="str">
        <f t="shared" si="817"/>
        <v>EXP00298</v>
      </c>
      <c r="B9142" s="4" t="str">
        <f t="shared" si="815"/>
        <v>26446169</v>
      </c>
      <c r="C9142" s="4" t="str">
        <f t="shared" si="816"/>
        <v>GSE73338</v>
      </c>
      <c r="D9142" s="1" t="s">
        <v>405</v>
      </c>
      <c r="E9142" t="s">
        <v>409</v>
      </c>
      <c r="F9142" s="1">
        <v>2</v>
      </c>
      <c r="G9142" s="1" t="s">
        <v>28</v>
      </c>
      <c r="H9142" s="4" t="str">
        <f>HYPERLINK("https://www.ncbi.nlm.nih.gov/geo/query/acc.cgi?acc=GSM1891255","GSM1891255")</f>
        <v>GSM1891255</v>
      </c>
      <c r="I9142" t="s">
        <v>407</v>
      </c>
      <c r="J9142" t="s">
        <v>408</v>
      </c>
      <c r="K9142" t="s">
        <v>19</v>
      </c>
      <c r="L9142" t="s">
        <v>113</v>
      </c>
      <c r="M9142" t="s">
        <v>24</v>
      </c>
      <c r="N9142" t="s">
        <v>29</v>
      </c>
    </row>
    <row r="9143" spans="1:14">
      <c r="A9143" s="4" t="str">
        <f t="shared" si="817"/>
        <v>EXP00298</v>
      </c>
      <c r="B9143" s="4" t="str">
        <f t="shared" si="815"/>
        <v>26446169</v>
      </c>
      <c r="C9143" s="4" t="str">
        <f t="shared" si="816"/>
        <v>GSE73338</v>
      </c>
      <c r="D9143" s="1" t="s">
        <v>405</v>
      </c>
      <c r="E9143" t="s">
        <v>409</v>
      </c>
      <c r="F9143" s="1">
        <v>2</v>
      </c>
      <c r="G9143" s="1" t="s">
        <v>28</v>
      </c>
      <c r="H9143" s="4" t="str">
        <f>HYPERLINK("https://www.ncbi.nlm.nih.gov/geo/query/acc.cgi?acc=GSM1891315","GSM1891315")</f>
        <v>GSM1891315</v>
      </c>
      <c r="I9143" t="s">
        <v>407</v>
      </c>
      <c r="J9143" t="s">
        <v>408</v>
      </c>
      <c r="K9143" t="s">
        <v>19</v>
      </c>
      <c r="L9143" t="s">
        <v>113</v>
      </c>
      <c r="M9143" t="s">
        <v>24</v>
      </c>
      <c r="N9143" t="s">
        <v>29</v>
      </c>
    </row>
    <row r="9144" spans="1:14">
      <c r="A9144" s="4" t="str">
        <f t="shared" ref="A9144:A9148" si="818">HYPERLINK("http://hcmdb.i-sanger.com/experiment/details/experiment_id/EXP00299","EXP00299")</f>
        <v>EXP00299</v>
      </c>
      <c r="B9144" s="4" t="str">
        <f t="shared" si="815"/>
        <v>26446169</v>
      </c>
      <c r="C9144" s="4" t="str">
        <f t="shared" si="816"/>
        <v>GSE73338</v>
      </c>
      <c r="D9144" s="1" t="s">
        <v>405</v>
      </c>
      <c r="E9144" t="s">
        <v>410</v>
      </c>
      <c r="F9144" s="1">
        <v>1</v>
      </c>
      <c r="G9144" s="1" t="s">
        <v>36</v>
      </c>
      <c r="H9144" s="4" t="str">
        <f>HYPERLINK("https://www.ncbi.nlm.nih.gov/geo/query/acc.cgi?acc=GSM1891297","GSM1891297")</f>
        <v>GSM1891297</v>
      </c>
      <c r="I9144" t="s">
        <v>407</v>
      </c>
      <c r="J9144" t="s">
        <v>408</v>
      </c>
      <c r="K9144" t="s">
        <v>19</v>
      </c>
      <c r="L9144" t="s">
        <v>113</v>
      </c>
      <c r="M9144" t="s">
        <v>44</v>
      </c>
      <c r="N9144" t="s">
        <v>37</v>
      </c>
    </row>
    <row r="9145" spans="1:14">
      <c r="A9145" s="4" t="str">
        <f t="shared" si="818"/>
        <v>EXP00299</v>
      </c>
      <c r="B9145" s="4" t="str">
        <f t="shared" si="815"/>
        <v>26446169</v>
      </c>
      <c r="C9145" s="4" t="str">
        <f t="shared" si="816"/>
        <v>GSE73338</v>
      </c>
      <c r="D9145" s="1" t="s">
        <v>405</v>
      </c>
      <c r="E9145" t="s">
        <v>410</v>
      </c>
      <c r="F9145" s="1">
        <v>1</v>
      </c>
      <c r="G9145" s="1" t="s">
        <v>36</v>
      </c>
      <c r="H9145" s="4" t="str">
        <f>HYPERLINK("https://www.ncbi.nlm.nih.gov/geo/query/acc.cgi?acc=GSM1891298","GSM1891298")</f>
        <v>GSM1891298</v>
      </c>
      <c r="I9145" t="s">
        <v>407</v>
      </c>
      <c r="J9145" t="s">
        <v>408</v>
      </c>
      <c r="K9145" t="s">
        <v>19</v>
      </c>
      <c r="L9145" t="s">
        <v>113</v>
      </c>
      <c r="M9145" t="s">
        <v>44</v>
      </c>
      <c r="N9145" t="s">
        <v>37</v>
      </c>
    </row>
    <row r="9146" spans="1:14">
      <c r="A9146" s="4" t="str">
        <f t="shared" si="818"/>
        <v>EXP00299</v>
      </c>
      <c r="B9146" s="4" t="str">
        <f t="shared" si="815"/>
        <v>26446169</v>
      </c>
      <c r="C9146" s="4" t="str">
        <f t="shared" si="816"/>
        <v>GSE73338</v>
      </c>
      <c r="D9146" s="1" t="s">
        <v>405</v>
      </c>
      <c r="E9146" t="s">
        <v>410</v>
      </c>
      <c r="F9146" s="1">
        <v>1</v>
      </c>
      <c r="G9146" s="1" t="s">
        <v>36</v>
      </c>
      <c r="H9146" s="4" t="str">
        <f>HYPERLINK("https://www.ncbi.nlm.nih.gov/geo/query/acc.cgi?acc=GSM1891299","GSM1891299")</f>
        <v>GSM1891299</v>
      </c>
      <c r="I9146" t="s">
        <v>407</v>
      </c>
      <c r="J9146" t="s">
        <v>408</v>
      </c>
      <c r="K9146" t="s">
        <v>19</v>
      </c>
      <c r="L9146" t="s">
        <v>113</v>
      </c>
      <c r="M9146" t="s">
        <v>44</v>
      </c>
      <c r="N9146" t="s">
        <v>37</v>
      </c>
    </row>
    <row r="9147" spans="1:14">
      <c r="A9147" s="4" t="str">
        <f t="shared" si="818"/>
        <v>EXP00299</v>
      </c>
      <c r="B9147" s="4" t="str">
        <f t="shared" si="815"/>
        <v>26446169</v>
      </c>
      <c r="C9147" s="4" t="str">
        <f t="shared" si="816"/>
        <v>GSE73338</v>
      </c>
      <c r="D9147" s="1" t="s">
        <v>405</v>
      </c>
      <c r="E9147" t="s">
        <v>410</v>
      </c>
      <c r="F9147" s="1">
        <v>2</v>
      </c>
      <c r="G9147" s="1" t="s">
        <v>28</v>
      </c>
      <c r="H9147" s="4" t="str">
        <f>HYPERLINK("https://www.ncbi.nlm.nih.gov/geo/query/acc.cgi?acc=GSM1891266","GSM1891266")</f>
        <v>GSM1891266</v>
      </c>
      <c r="I9147" t="s">
        <v>407</v>
      </c>
      <c r="J9147" t="s">
        <v>408</v>
      </c>
      <c r="K9147" t="s">
        <v>19</v>
      </c>
      <c r="L9147" t="s">
        <v>113</v>
      </c>
      <c r="M9147" t="s">
        <v>44</v>
      </c>
      <c r="N9147" t="s">
        <v>29</v>
      </c>
    </row>
    <row r="9148" spans="1:14">
      <c r="A9148" s="4" t="str">
        <f t="shared" si="818"/>
        <v>EXP00299</v>
      </c>
      <c r="B9148" s="4" t="str">
        <f t="shared" si="815"/>
        <v>26446169</v>
      </c>
      <c r="C9148" s="4" t="str">
        <f t="shared" si="816"/>
        <v>GSE73338</v>
      </c>
      <c r="D9148" s="1" t="s">
        <v>405</v>
      </c>
      <c r="E9148" t="s">
        <v>410</v>
      </c>
      <c r="F9148" s="1">
        <v>2</v>
      </c>
      <c r="G9148" s="1" t="s">
        <v>28</v>
      </c>
      <c r="H9148" s="4" t="str">
        <f>HYPERLINK("https://www.ncbi.nlm.nih.gov/geo/query/acc.cgi?acc=GSM1891291","GSM1891291")</f>
        <v>GSM1891291</v>
      </c>
      <c r="I9148" t="s">
        <v>407</v>
      </c>
      <c r="J9148" t="s">
        <v>408</v>
      </c>
      <c r="K9148" t="s">
        <v>19</v>
      </c>
      <c r="L9148" t="s">
        <v>113</v>
      </c>
      <c r="M9148" t="s">
        <v>44</v>
      </c>
      <c r="N9148" t="s">
        <v>29</v>
      </c>
    </row>
    <row r="9149" spans="1:14">
      <c r="A9149" s="4" t="str">
        <f t="shared" ref="A9149:A9153" si="819">HYPERLINK("http://hcmdb.i-sanger.com/experiment/details/experiment_id/EXP00300","EXP00300")</f>
        <v>EXP00300</v>
      </c>
      <c r="B9149" s="4" t="str">
        <f t="shared" si="815"/>
        <v>26446169</v>
      </c>
      <c r="C9149" s="4" t="str">
        <f t="shared" si="816"/>
        <v>GSE73338</v>
      </c>
      <c r="D9149" s="1" t="s">
        <v>405</v>
      </c>
      <c r="E9149" t="s">
        <v>411</v>
      </c>
      <c r="F9149" s="1">
        <v>1</v>
      </c>
      <c r="G9149" s="1" t="s">
        <v>412</v>
      </c>
      <c r="H9149" s="4" t="str">
        <f>HYPERLINK("https://www.ncbi.nlm.nih.gov/geo/query/acc.cgi?acc=GSM1891266","GSM1891266")</f>
        <v>GSM1891266</v>
      </c>
      <c r="I9149" t="s">
        <v>407</v>
      </c>
      <c r="J9149" t="s">
        <v>408</v>
      </c>
      <c r="K9149" t="s">
        <v>19</v>
      </c>
      <c r="L9149" t="s">
        <v>113</v>
      </c>
      <c r="M9149" t="s">
        <v>44</v>
      </c>
      <c r="N9149" t="s">
        <v>29</v>
      </c>
    </row>
    <row r="9150" spans="1:14">
      <c r="A9150" s="4" t="str">
        <f t="shared" si="819"/>
        <v>EXP00300</v>
      </c>
      <c r="B9150" s="4" t="str">
        <f t="shared" si="815"/>
        <v>26446169</v>
      </c>
      <c r="C9150" s="4" t="str">
        <f t="shared" si="816"/>
        <v>GSE73338</v>
      </c>
      <c r="D9150" s="1" t="s">
        <v>405</v>
      </c>
      <c r="E9150" t="s">
        <v>411</v>
      </c>
      <c r="F9150" s="1">
        <v>1</v>
      </c>
      <c r="G9150" s="1" t="s">
        <v>412</v>
      </c>
      <c r="H9150" s="4" t="str">
        <f>HYPERLINK("https://www.ncbi.nlm.nih.gov/geo/query/acc.cgi?acc=GSM1891291","GSM1891291")</f>
        <v>GSM1891291</v>
      </c>
      <c r="I9150" t="s">
        <v>407</v>
      </c>
      <c r="J9150" t="s">
        <v>408</v>
      </c>
      <c r="K9150" t="s">
        <v>19</v>
      </c>
      <c r="L9150" t="s">
        <v>113</v>
      </c>
      <c r="M9150" t="s">
        <v>44</v>
      </c>
      <c r="N9150" t="s">
        <v>29</v>
      </c>
    </row>
    <row r="9151" spans="1:14">
      <c r="A9151" s="4" t="str">
        <f t="shared" si="819"/>
        <v>EXP00300</v>
      </c>
      <c r="B9151" s="4" t="str">
        <f t="shared" si="815"/>
        <v>26446169</v>
      </c>
      <c r="C9151" s="4" t="str">
        <f t="shared" si="816"/>
        <v>GSE73338</v>
      </c>
      <c r="D9151" s="1" t="s">
        <v>405</v>
      </c>
      <c r="E9151" t="s">
        <v>411</v>
      </c>
      <c r="F9151" s="1">
        <v>2</v>
      </c>
      <c r="G9151" s="1" t="s">
        <v>413</v>
      </c>
      <c r="H9151" s="4" t="str">
        <f>HYPERLINK("https://www.ncbi.nlm.nih.gov/geo/query/acc.cgi?acc=GSM1891237","GSM1891237")</f>
        <v>GSM1891237</v>
      </c>
      <c r="I9151" t="s">
        <v>407</v>
      </c>
      <c r="J9151" t="s">
        <v>408</v>
      </c>
      <c r="K9151" t="s">
        <v>19</v>
      </c>
      <c r="L9151" t="s">
        <v>113</v>
      </c>
      <c r="M9151" t="s">
        <v>24</v>
      </c>
      <c r="N9151" t="s">
        <v>29</v>
      </c>
    </row>
    <row r="9152" spans="1:14">
      <c r="A9152" s="4" t="str">
        <f t="shared" si="819"/>
        <v>EXP00300</v>
      </c>
      <c r="B9152" s="4" t="str">
        <f t="shared" si="815"/>
        <v>26446169</v>
      </c>
      <c r="C9152" s="4" t="str">
        <f t="shared" si="816"/>
        <v>GSE73338</v>
      </c>
      <c r="D9152" s="1" t="s">
        <v>405</v>
      </c>
      <c r="E9152" t="s">
        <v>411</v>
      </c>
      <c r="F9152" s="1">
        <v>2</v>
      </c>
      <c r="G9152" s="1" t="s">
        <v>413</v>
      </c>
      <c r="H9152" s="4" t="str">
        <f>HYPERLINK("https://www.ncbi.nlm.nih.gov/geo/query/acc.cgi?acc=GSM1891255","GSM1891255")</f>
        <v>GSM1891255</v>
      </c>
      <c r="I9152" t="s">
        <v>407</v>
      </c>
      <c r="J9152" t="s">
        <v>408</v>
      </c>
      <c r="K9152" t="s">
        <v>19</v>
      </c>
      <c r="L9152" t="s">
        <v>113</v>
      </c>
      <c r="M9152" t="s">
        <v>24</v>
      </c>
      <c r="N9152" t="s">
        <v>29</v>
      </c>
    </row>
    <row r="9153" spans="1:14">
      <c r="A9153" s="4" t="str">
        <f t="shared" si="819"/>
        <v>EXP00300</v>
      </c>
      <c r="B9153" s="4" t="str">
        <f t="shared" si="815"/>
        <v>26446169</v>
      </c>
      <c r="C9153" s="4" t="str">
        <f t="shared" si="816"/>
        <v>GSE73338</v>
      </c>
      <c r="D9153" s="1" t="s">
        <v>405</v>
      </c>
      <c r="E9153" t="s">
        <v>411</v>
      </c>
      <c r="F9153" s="1">
        <v>2</v>
      </c>
      <c r="G9153" s="1" t="s">
        <v>413</v>
      </c>
      <c r="H9153" s="4" t="str">
        <f>HYPERLINK("https://www.ncbi.nlm.nih.gov/geo/query/acc.cgi?acc=GSM1891315","GSM1891315")</f>
        <v>GSM1891315</v>
      </c>
      <c r="I9153" t="s">
        <v>407</v>
      </c>
      <c r="J9153" t="s">
        <v>408</v>
      </c>
      <c r="K9153" t="s">
        <v>19</v>
      </c>
      <c r="L9153" t="s">
        <v>113</v>
      </c>
      <c r="M9153" t="s">
        <v>24</v>
      </c>
      <c r="N9153" t="s">
        <v>29</v>
      </c>
    </row>
    <row r="9154" spans="1:14">
      <c r="A9154" s="4" t="str">
        <f t="shared" ref="A9154:A9158" si="820">HYPERLINK("http://hcmdb.i-sanger.com/experiment/details/experiment_id/EXP00301","EXP00301")</f>
        <v>EXP00301</v>
      </c>
      <c r="B9154" s="4" t="str">
        <f t="shared" si="815"/>
        <v>26446169</v>
      </c>
      <c r="C9154" s="4" t="str">
        <f t="shared" si="816"/>
        <v>GSE73338</v>
      </c>
      <c r="D9154" s="1" t="s">
        <v>405</v>
      </c>
      <c r="E9154" t="s">
        <v>414</v>
      </c>
      <c r="F9154" s="1">
        <v>1</v>
      </c>
      <c r="G9154" s="1" t="s">
        <v>415</v>
      </c>
      <c r="H9154" s="4" t="str">
        <f>HYPERLINK("https://www.ncbi.nlm.nih.gov/geo/query/acc.cgi?acc=GSM1891323","GSM1891323")</f>
        <v>GSM1891323</v>
      </c>
      <c r="I9154" t="s">
        <v>407</v>
      </c>
      <c r="J9154" t="s">
        <v>408</v>
      </c>
      <c r="K9154" t="s">
        <v>19</v>
      </c>
      <c r="L9154" t="s">
        <v>113</v>
      </c>
      <c r="M9154" t="s">
        <v>44</v>
      </c>
      <c r="N9154" t="s">
        <v>22</v>
      </c>
    </row>
    <row r="9155" spans="1:14">
      <c r="A9155" s="4" t="str">
        <f t="shared" si="820"/>
        <v>EXP00301</v>
      </c>
      <c r="B9155" s="4" t="str">
        <f t="shared" si="815"/>
        <v>26446169</v>
      </c>
      <c r="C9155" s="4" t="str">
        <f t="shared" si="816"/>
        <v>GSE73338</v>
      </c>
      <c r="D9155" s="1" t="s">
        <v>405</v>
      </c>
      <c r="E9155" t="s">
        <v>414</v>
      </c>
      <c r="F9155" s="1">
        <v>1</v>
      </c>
      <c r="G9155" s="1" t="s">
        <v>415</v>
      </c>
      <c r="H9155" s="4" t="str">
        <f>HYPERLINK("https://www.ncbi.nlm.nih.gov/geo/query/acc.cgi?acc=GSM1891326","GSM1891326")</f>
        <v>GSM1891326</v>
      </c>
      <c r="I9155" t="s">
        <v>407</v>
      </c>
      <c r="J9155" t="s">
        <v>408</v>
      </c>
      <c r="K9155" t="s">
        <v>19</v>
      </c>
      <c r="L9155" t="s">
        <v>113</v>
      </c>
      <c r="M9155" t="s">
        <v>44</v>
      </c>
      <c r="N9155" t="s">
        <v>22</v>
      </c>
    </row>
    <row r="9156" spans="1:14">
      <c r="A9156" s="4" t="str">
        <f t="shared" si="820"/>
        <v>EXP00301</v>
      </c>
      <c r="B9156" s="4" t="str">
        <f t="shared" si="815"/>
        <v>26446169</v>
      </c>
      <c r="C9156" s="4" t="str">
        <f t="shared" si="816"/>
        <v>GSE73338</v>
      </c>
      <c r="D9156" s="1" t="s">
        <v>405</v>
      </c>
      <c r="E9156" t="s">
        <v>414</v>
      </c>
      <c r="F9156" s="1">
        <v>2</v>
      </c>
      <c r="G9156" s="1" t="s">
        <v>416</v>
      </c>
      <c r="H9156" s="4" t="str">
        <f>HYPERLINK("https://www.ncbi.nlm.nih.gov/geo/query/acc.cgi?acc=GSM1891321","GSM1891321")</f>
        <v>GSM1891321</v>
      </c>
      <c r="I9156" t="s">
        <v>407</v>
      </c>
      <c r="J9156" t="s">
        <v>408</v>
      </c>
      <c r="K9156" t="s">
        <v>19</v>
      </c>
      <c r="L9156" t="s">
        <v>113</v>
      </c>
      <c r="M9156" t="s">
        <v>24</v>
      </c>
      <c r="N9156" t="s">
        <v>22</v>
      </c>
    </row>
    <row r="9157" spans="1:14">
      <c r="A9157" s="4" t="str">
        <f t="shared" si="820"/>
        <v>EXP00301</v>
      </c>
      <c r="B9157" s="4" t="str">
        <f t="shared" si="815"/>
        <v>26446169</v>
      </c>
      <c r="C9157" s="4" t="str">
        <f t="shared" si="816"/>
        <v>GSE73338</v>
      </c>
      <c r="D9157" s="1" t="s">
        <v>405</v>
      </c>
      <c r="E9157" t="s">
        <v>414</v>
      </c>
      <c r="F9157" s="1">
        <v>2</v>
      </c>
      <c r="G9157" s="1" t="s">
        <v>416</v>
      </c>
      <c r="H9157" s="4" t="str">
        <f>HYPERLINK("https://www.ncbi.nlm.nih.gov/geo/query/acc.cgi?acc=GSM1891325","GSM1891325")</f>
        <v>GSM1891325</v>
      </c>
      <c r="I9157" t="s">
        <v>407</v>
      </c>
      <c r="J9157" t="s">
        <v>408</v>
      </c>
      <c r="K9157" t="s">
        <v>19</v>
      </c>
      <c r="L9157" t="s">
        <v>113</v>
      </c>
      <c r="M9157" t="s">
        <v>24</v>
      </c>
      <c r="N9157" t="s">
        <v>22</v>
      </c>
    </row>
    <row r="9158" spans="1:14">
      <c r="A9158" s="4" t="str">
        <f t="shared" si="820"/>
        <v>EXP00301</v>
      </c>
      <c r="B9158" s="4" t="str">
        <f t="shared" si="815"/>
        <v>26446169</v>
      </c>
      <c r="C9158" s="4" t="str">
        <f t="shared" si="816"/>
        <v>GSE73338</v>
      </c>
      <c r="D9158" s="1" t="s">
        <v>405</v>
      </c>
      <c r="E9158" t="s">
        <v>414</v>
      </c>
      <c r="F9158" s="1">
        <v>2</v>
      </c>
      <c r="G9158" s="1" t="s">
        <v>416</v>
      </c>
      <c r="H9158" s="4" t="str">
        <f>HYPERLINK("https://www.ncbi.nlm.nih.gov/geo/query/acc.cgi?acc=GSM1891327","GSM1891327")</f>
        <v>GSM1891327</v>
      </c>
      <c r="I9158" t="s">
        <v>407</v>
      </c>
      <c r="J9158" t="s">
        <v>408</v>
      </c>
      <c r="K9158" t="s">
        <v>19</v>
      </c>
      <c r="L9158" t="s">
        <v>113</v>
      </c>
      <c r="M9158" t="s">
        <v>24</v>
      </c>
      <c r="N9158" t="s">
        <v>22</v>
      </c>
    </row>
    <row r="9159" spans="1:14">
      <c r="A9159" s="4" t="str">
        <f t="shared" ref="A9159:A9168" si="821">HYPERLINK("http://hcmdb.i-sanger.com/experiment/details/experiment_id/EXP00302","EXP00302")</f>
        <v>EXP00302</v>
      </c>
      <c r="B9159" s="4" t="str">
        <f t="shared" si="815"/>
        <v>26446169</v>
      </c>
      <c r="C9159" s="4" t="str">
        <f t="shared" si="816"/>
        <v>GSE73338</v>
      </c>
      <c r="D9159" s="1" t="s">
        <v>405</v>
      </c>
      <c r="E9159" t="s">
        <v>417</v>
      </c>
      <c r="F9159" s="1">
        <v>1</v>
      </c>
      <c r="G9159" s="1" t="s">
        <v>26</v>
      </c>
      <c r="H9159" s="4" t="str">
        <f>HYPERLINK("https://www.ncbi.nlm.nih.gov/geo/query/acc.cgi?acc=GSM1891321","GSM1891321")</f>
        <v>GSM1891321</v>
      </c>
      <c r="I9159" t="s">
        <v>407</v>
      </c>
      <c r="J9159" t="s">
        <v>408</v>
      </c>
      <c r="K9159" t="s">
        <v>19</v>
      </c>
      <c r="L9159" t="s">
        <v>113</v>
      </c>
      <c r="M9159" t="s">
        <v>24</v>
      </c>
      <c r="N9159" t="s">
        <v>22</v>
      </c>
    </row>
    <row r="9160" spans="1:14">
      <c r="A9160" s="4" t="str">
        <f t="shared" si="821"/>
        <v>EXP00302</v>
      </c>
      <c r="B9160" s="4" t="str">
        <f t="shared" si="815"/>
        <v>26446169</v>
      </c>
      <c r="C9160" s="4" t="str">
        <f t="shared" si="816"/>
        <v>GSE73338</v>
      </c>
      <c r="D9160" s="1" t="s">
        <v>405</v>
      </c>
      <c r="E9160" t="s">
        <v>417</v>
      </c>
      <c r="F9160" s="1">
        <v>1</v>
      </c>
      <c r="G9160" s="1" t="s">
        <v>26</v>
      </c>
      <c r="H9160" s="4" t="str">
        <f>HYPERLINK("https://www.ncbi.nlm.nih.gov/geo/query/acc.cgi?acc=GSM1891323","GSM1891323")</f>
        <v>GSM1891323</v>
      </c>
      <c r="I9160" t="s">
        <v>407</v>
      </c>
      <c r="J9160" t="s">
        <v>408</v>
      </c>
      <c r="K9160" t="s">
        <v>19</v>
      </c>
      <c r="L9160" t="s">
        <v>113</v>
      </c>
      <c r="M9160" t="s">
        <v>44</v>
      </c>
      <c r="N9160" t="s">
        <v>22</v>
      </c>
    </row>
    <row r="9161" spans="1:14">
      <c r="A9161" s="4" t="str">
        <f t="shared" si="821"/>
        <v>EXP00302</v>
      </c>
      <c r="B9161" s="4" t="str">
        <f t="shared" si="815"/>
        <v>26446169</v>
      </c>
      <c r="C9161" s="4" t="str">
        <f t="shared" si="816"/>
        <v>GSE73338</v>
      </c>
      <c r="D9161" s="1" t="s">
        <v>405</v>
      </c>
      <c r="E9161" t="s">
        <v>417</v>
      </c>
      <c r="F9161" s="1">
        <v>1</v>
      </c>
      <c r="G9161" s="1" t="s">
        <v>26</v>
      </c>
      <c r="H9161" s="4" t="str">
        <f>HYPERLINK("https://www.ncbi.nlm.nih.gov/geo/query/acc.cgi?acc=GSM1891325","GSM1891325")</f>
        <v>GSM1891325</v>
      </c>
      <c r="I9161" t="s">
        <v>407</v>
      </c>
      <c r="J9161" t="s">
        <v>408</v>
      </c>
      <c r="K9161" t="s">
        <v>19</v>
      </c>
      <c r="L9161" t="s">
        <v>113</v>
      </c>
      <c r="M9161" t="s">
        <v>24</v>
      </c>
      <c r="N9161" t="s">
        <v>22</v>
      </c>
    </row>
    <row r="9162" spans="1:14">
      <c r="A9162" s="4" t="str">
        <f t="shared" si="821"/>
        <v>EXP00302</v>
      </c>
      <c r="B9162" s="4" t="str">
        <f t="shared" si="815"/>
        <v>26446169</v>
      </c>
      <c r="C9162" s="4" t="str">
        <f t="shared" si="816"/>
        <v>GSE73338</v>
      </c>
      <c r="D9162" s="1" t="s">
        <v>405</v>
      </c>
      <c r="E9162" t="s">
        <v>417</v>
      </c>
      <c r="F9162" s="1">
        <v>1</v>
      </c>
      <c r="G9162" s="1" t="s">
        <v>26</v>
      </c>
      <c r="H9162" s="4" t="str">
        <f>HYPERLINK("https://www.ncbi.nlm.nih.gov/geo/query/acc.cgi?acc=GSM1891326","GSM1891326")</f>
        <v>GSM1891326</v>
      </c>
      <c r="I9162" t="s">
        <v>407</v>
      </c>
      <c r="J9162" t="s">
        <v>408</v>
      </c>
      <c r="K9162" t="s">
        <v>19</v>
      </c>
      <c r="L9162" t="s">
        <v>113</v>
      </c>
      <c r="M9162" t="s">
        <v>44</v>
      </c>
      <c r="N9162" t="s">
        <v>22</v>
      </c>
    </row>
    <row r="9163" spans="1:14">
      <c r="A9163" s="4" t="str">
        <f t="shared" si="821"/>
        <v>EXP00302</v>
      </c>
      <c r="B9163" s="4" t="str">
        <f t="shared" si="815"/>
        <v>26446169</v>
      </c>
      <c r="C9163" s="4" t="str">
        <f t="shared" si="816"/>
        <v>GSE73338</v>
      </c>
      <c r="D9163" s="1" t="s">
        <v>405</v>
      </c>
      <c r="E9163" t="s">
        <v>417</v>
      </c>
      <c r="F9163" s="1">
        <v>1</v>
      </c>
      <c r="G9163" s="1" t="s">
        <v>26</v>
      </c>
      <c r="H9163" s="4" t="str">
        <f>HYPERLINK("https://www.ncbi.nlm.nih.gov/geo/query/acc.cgi?acc=GSM1891327","GSM1891327")</f>
        <v>GSM1891327</v>
      </c>
      <c r="I9163" t="s">
        <v>407</v>
      </c>
      <c r="J9163" t="s">
        <v>408</v>
      </c>
      <c r="K9163" t="s">
        <v>19</v>
      </c>
      <c r="L9163" t="s">
        <v>113</v>
      </c>
      <c r="M9163" t="s">
        <v>24</v>
      </c>
      <c r="N9163" t="s">
        <v>22</v>
      </c>
    </row>
    <row r="9164" spans="1:14">
      <c r="A9164" s="4" t="str">
        <f t="shared" si="821"/>
        <v>EXP00302</v>
      </c>
      <c r="B9164" s="4" t="str">
        <f t="shared" si="815"/>
        <v>26446169</v>
      </c>
      <c r="C9164" s="4" t="str">
        <f t="shared" si="816"/>
        <v>GSE73338</v>
      </c>
      <c r="D9164" s="1" t="s">
        <v>405</v>
      </c>
      <c r="E9164" t="s">
        <v>417</v>
      </c>
      <c r="F9164" s="1">
        <v>2</v>
      </c>
      <c r="G9164" s="1" t="s">
        <v>28</v>
      </c>
      <c r="H9164" s="4" t="str">
        <f>HYPERLINK("https://www.ncbi.nlm.nih.gov/geo/query/acc.cgi?acc=GSM1891237","GSM1891237")</f>
        <v>GSM1891237</v>
      </c>
      <c r="I9164" t="s">
        <v>407</v>
      </c>
      <c r="J9164" t="s">
        <v>408</v>
      </c>
      <c r="K9164" t="s">
        <v>19</v>
      </c>
      <c r="L9164" t="s">
        <v>113</v>
      </c>
      <c r="M9164" t="s">
        <v>24</v>
      </c>
      <c r="N9164" t="s">
        <v>29</v>
      </c>
    </row>
    <row r="9165" spans="1:14">
      <c r="A9165" s="4" t="str">
        <f t="shared" si="821"/>
        <v>EXP00302</v>
      </c>
      <c r="B9165" s="4" t="str">
        <f t="shared" si="815"/>
        <v>26446169</v>
      </c>
      <c r="C9165" s="4" t="str">
        <f t="shared" si="816"/>
        <v>GSE73338</v>
      </c>
      <c r="D9165" s="1" t="s">
        <v>405</v>
      </c>
      <c r="E9165" t="s">
        <v>417</v>
      </c>
      <c r="F9165" s="1">
        <v>2</v>
      </c>
      <c r="G9165" s="1" t="s">
        <v>28</v>
      </c>
      <c r="H9165" s="4" t="str">
        <f>HYPERLINK("https://www.ncbi.nlm.nih.gov/geo/query/acc.cgi?acc=GSM1891255","GSM1891255")</f>
        <v>GSM1891255</v>
      </c>
      <c r="I9165" t="s">
        <v>407</v>
      </c>
      <c r="J9165" t="s">
        <v>408</v>
      </c>
      <c r="K9165" t="s">
        <v>19</v>
      </c>
      <c r="L9165" t="s">
        <v>113</v>
      </c>
      <c r="M9165" t="s">
        <v>24</v>
      </c>
      <c r="N9165" t="s">
        <v>29</v>
      </c>
    </row>
    <row r="9166" spans="1:14">
      <c r="A9166" s="4" t="str">
        <f t="shared" si="821"/>
        <v>EXP00302</v>
      </c>
      <c r="B9166" s="4" t="str">
        <f t="shared" si="815"/>
        <v>26446169</v>
      </c>
      <c r="C9166" s="4" t="str">
        <f t="shared" si="816"/>
        <v>GSE73338</v>
      </c>
      <c r="D9166" s="1" t="s">
        <v>405</v>
      </c>
      <c r="E9166" t="s">
        <v>417</v>
      </c>
      <c r="F9166" s="1">
        <v>2</v>
      </c>
      <c r="G9166" s="1" t="s">
        <v>28</v>
      </c>
      <c r="H9166" s="4" t="str">
        <f>HYPERLINK("https://www.ncbi.nlm.nih.gov/geo/query/acc.cgi?acc=GSM1891266","GSM1891266")</f>
        <v>GSM1891266</v>
      </c>
      <c r="I9166" t="s">
        <v>407</v>
      </c>
      <c r="J9166" t="s">
        <v>408</v>
      </c>
      <c r="K9166" t="s">
        <v>19</v>
      </c>
      <c r="L9166" t="s">
        <v>113</v>
      </c>
      <c r="M9166" t="s">
        <v>44</v>
      </c>
      <c r="N9166" t="s">
        <v>29</v>
      </c>
    </row>
    <row r="9167" spans="1:14">
      <c r="A9167" s="4" t="str">
        <f t="shared" si="821"/>
        <v>EXP00302</v>
      </c>
      <c r="B9167" s="4" t="str">
        <f t="shared" si="815"/>
        <v>26446169</v>
      </c>
      <c r="C9167" s="4" t="str">
        <f t="shared" si="816"/>
        <v>GSE73338</v>
      </c>
      <c r="D9167" s="1" t="s">
        <v>405</v>
      </c>
      <c r="E9167" t="s">
        <v>417</v>
      </c>
      <c r="F9167" s="1">
        <v>2</v>
      </c>
      <c r="G9167" s="1" t="s">
        <v>28</v>
      </c>
      <c r="H9167" s="4" t="str">
        <f>HYPERLINK("https://www.ncbi.nlm.nih.gov/geo/query/acc.cgi?acc=GSM1891291","GSM1891291")</f>
        <v>GSM1891291</v>
      </c>
      <c r="I9167" t="s">
        <v>407</v>
      </c>
      <c r="J9167" t="s">
        <v>408</v>
      </c>
      <c r="K9167" t="s">
        <v>19</v>
      </c>
      <c r="L9167" t="s">
        <v>113</v>
      </c>
      <c r="M9167" t="s">
        <v>44</v>
      </c>
      <c r="N9167" t="s">
        <v>29</v>
      </c>
    </row>
    <row r="9168" spans="1:14">
      <c r="A9168" s="4" t="str">
        <f t="shared" si="821"/>
        <v>EXP00302</v>
      </c>
      <c r="B9168" s="4" t="str">
        <f t="shared" si="815"/>
        <v>26446169</v>
      </c>
      <c r="C9168" s="4" t="str">
        <f t="shared" si="816"/>
        <v>GSE73338</v>
      </c>
      <c r="D9168" s="1" t="s">
        <v>405</v>
      </c>
      <c r="E9168" t="s">
        <v>417</v>
      </c>
      <c r="F9168" s="1">
        <v>2</v>
      </c>
      <c r="G9168" s="1" t="s">
        <v>28</v>
      </c>
      <c r="H9168" s="4" t="str">
        <f>HYPERLINK("https://www.ncbi.nlm.nih.gov/geo/query/acc.cgi?acc=GSM1891315","GSM1891315")</f>
        <v>GSM1891315</v>
      </c>
      <c r="I9168" t="s">
        <v>407</v>
      </c>
      <c r="J9168" t="s">
        <v>408</v>
      </c>
      <c r="K9168" t="s">
        <v>19</v>
      </c>
      <c r="L9168" t="s">
        <v>113</v>
      </c>
      <c r="M9168" t="s">
        <v>24</v>
      </c>
      <c r="N9168" t="s">
        <v>29</v>
      </c>
    </row>
    <row r="9169" spans="1:14">
      <c r="A9169" s="4" t="str">
        <f t="shared" ref="A9169:A9176" si="822">HYPERLINK("http://hcmdb.i-sanger.com/experiment/details/experiment_id/EXP00303","EXP00303")</f>
        <v>EXP00303</v>
      </c>
      <c r="B9169" s="4" t="str">
        <f t="shared" si="815"/>
        <v>26446169</v>
      </c>
      <c r="C9169" s="4" t="str">
        <f t="shared" si="816"/>
        <v>GSE73338</v>
      </c>
      <c r="D9169" s="1" t="s">
        <v>405</v>
      </c>
      <c r="E9169" t="s">
        <v>418</v>
      </c>
      <c r="F9169" s="1">
        <v>1</v>
      </c>
      <c r="G9169" s="1" t="s">
        <v>36</v>
      </c>
      <c r="H9169" s="4" t="str">
        <f>HYPERLINK("https://www.ncbi.nlm.nih.gov/geo/query/acc.cgi?acc=GSM1891297","GSM1891297")</f>
        <v>GSM1891297</v>
      </c>
      <c r="I9169" t="s">
        <v>407</v>
      </c>
      <c r="J9169" t="s">
        <v>408</v>
      </c>
      <c r="K9169" t="s">
        <v>19</v>
      </c>
      <c r="L9169" t="s">
        <v>113</v>
      </c>
      <c r="M9169" t="s">
        <v>44</v>
      </c>
      <c r="N9169" t="s">
        <v>37</v>
      </c>
    </row>
    <row r="9170" spans="1:14">
      <c r="A9170" s="4" t="str">
        <f t="shared" si="822"/>
        <v>EXP00303</v>
      </c>
      <c r="B9170" s="4" t="str">
        <f t="shared" si="815"/>
        <v>26446169</v>
      </c>
      <c r="C9170" s="4" t="str">
        <f t="shared" si="816"/>
        <v>GSE73338</v>
      </c>
      <c r="D9170" s="1" t="s">
        <v>405</v>
      </c>
      <c r="E9170" t="s">
        <v>418</v>
      </c>
      <c r="F9170" s="1">
        <v>1</v>
      </c>
      <c r="G9170" s="1" t="s">
        <v>36</v>
      </c>
      <c r="H9170" s="4" t="str">
        <f>HYPERLINK("https://www.ncbi.nlm.nih.gov/geo/query/acc.cgi?acc=GSM1891298","GSM1891298")</f>
        <v>GSM1891298</v>
      </c>
      <c r="I9170" t="s">
        <v>407</v>
      </c>
      <c r="J9170" t="s">
        <v>408</v>
      </c>
      <c r="K9170" t="s">
        <v>19</v>
      </c>
      <c r="L9170" t="s">
        <v>113</v>
      </c>
      <c r="M9170" t="s">
        <v>44</v>
      </c>
      <c r="N9170" t="s">
        <v>37</v>
      </c>
    </row>
    <row r="9171" spans="1:14">
      <c r="A9171" s="4" t="str">
        <f t="shared" si="822"/>
        <v>EXP00303</v>
      </c>
      <c r="B9171" s="4" t="str">
        <f t="shared" si="815"/>
        <v>26446169</v>
      </c>
      <c r="C9171" s="4" t="str">
        <f t="shared" si="816"/>
        <v>GSE73338</v>
      </c>
      <c r="D9171" s="1" t="s">
        <v>405</v>
      </c>
      <c r="E9171" t="s">
        <v>418</v>
      </c>
      <c r="F9171" s="1">
        <v>1</v>
      </c>
      <c r="G9171" s="1" t="s">
        <v>36</v>
      </c>
      <c r="H9171" s="4" t="str">
        <f>HYPERLINK("https://www.ncbi.nlm.nih.gov/geo/query/acc.cgi?acc=GSM1891299","GSM1891299")</f>
        <v>GSM1891299</v>
      </c>
      <c r="I9171" t="s">
        <v>407</v>
      </c>
      <c r="J9171" t="s">
        <v>408</v>
      </c>
      <c r="K9171" t="s">
        <v>19</v>
      </c>
      <c r="L9171" t="s">
        <v>113</v>
      </c>
      <c r="M9171" t="s">
        <v>44</v>
      </c>
      <c r="N9171" t="s">
        <v>37</v>
      </c>
    </row>
    <row r="9172" spans="1:14">
      <c r="A9172" s="4" t="str">
        <f t="shared" si="822"/>
        <v>EXP00303</v>
      </c>
      <c r="B9172" s="4" t="str">
        <f t="shared" si="815"/>
        <v>26446169</v>
      </c>
      <c r="C9172" s="4" t="str">
        <f t="shared" si="816"/>
        <v>GSE73338</v>
      </c>
      <c r="D9172" s="1" t="s">
        <v>405</v>
      </c>
      <c r="E9172" t="s">
        <v>418</v>
      </c>
      <c r="F9172" s="1">
        <v>2</v>
      </c>
      <c r="G9172" s="1" t="s">
        <v>28</v>
      </c>
      <c r="H9172" s="4" t="str">
        <f>HYPERLINK("https://www.ncbi.nlm.nih.gov/geo/query/acc.cgi?acc=GSM1891237","GSM1891237")</f>
        <v>GSM1891237</v>
      </c>
      <c r="I9172" t="s">
        <v>407</v>
      </c>
      <c r="J9172" t="s">
        <v>408</v>
      </c>
      <c r="K9172" t="s">
        <v>19</v>
      </c>
      <c r="L9172" t="s">
        <v>113</v>
      </c>
      <c r="M9172" t="s">
        <v>24</v>
      </c>
      <c r="N9172" t="s">
        <v>29</v>
      </c>
    </row>
    <row r="9173" spans="1:14">
      <c r="A9173" s="4" t="str">
        <f t="shared" si="822"/>
        <v>EXP00303</v>
      </c>
      <c r="B9173" s="4" t="str">
        <f t="shared" si="815"/>
        <v>26446169</v>
      </c>
      <c r="C9173" s="4" t="str">
        <f t="shared" si="816"/>
        <v>GSE73338</v>
      </c>
      <c r="D9173" s="1" t="s">
        <v>405</v>
      </c>
      <c r="E9173" t="s">
        <v>418</v>
      </c>
      <c r="F9173" s="1">
        <v>2</v>
      </c>
      <c r="G9173" s="1" t="s">
        <v>28</v>
      </c>
      <c r="H9173" s="4" t="str">
        <f>HYPERLINK("https://www.ncbi.nlm.nih.gov/geo/query/acc.cgi?acc=GSM1891255","GSM1891255")</f>
        <v>GSM1891255</v>
      </c>
      <c r="I9173" t="s">
        <v>407</v>
      </c>
      <c r="J9173" t="s">
        <v>408</v>
      </c>
      <c r="K9173" t="s">
        <v>19</v>
      </c>
      <c r="L9173" t="s">
        <v>113</v>
      </c>
      <c r="M9173" t="s">
        <v>24</v>
      </c>
      <c r="N9173" t="s">
        <v>29</v>
      </c>
    </row>
    <row r="9174" spans="1:14">
      <c r="A9174" s="4" t="str">
        <f t="shared" si="822"/>
        <v>EXP00303</v>
      </c>
      <c r="B9174" s="4" t="str">
        <f t="shared" si="815"/>
        <v>26446169</v>
      </c>
      <c r="C9174" s="4" t="str">
        <f t="shared" si="816"/>
        <v>GSE73338</v>
      </c>
      <c r="D9174" s="1" t="s">
        <v>405</v>
      </c>
      <c r="E9174" t="s">
        <v>418</v>
      </c>
      <c r="F9174" s="1">
        <v>2</v>
      </c>
      <c r="G9174" s="1" t="s">
        <v>28</v>
      </c>
      <c r="H9174" s="4" t="str">
        <f>HYPERLINK("https://www.ncbi.nlm.nih.gov/geo/query/acc.cgi?acc=GSM1891266","GSM1891266")</f>
        <v>GSM1891266</v>
      </c>
      <c r="I9174" t="s">
        <v>407</v>
      </c>
      <c r="J9174" t="s">
        <v>408</v>
      </c>
      <c r="K9174" t="s">
        <v>19</v>
      </c>
      <c r="L9174" t="s">
        <v>113</v>
      </c>
      <c r="M9174" t="s">
        <v>44</v>
      </c>
      <c r="N9174" t="s">
        <v>29</v>
      </c>
    </row>
    <row r="9175" spans="1:14">
      <c r="A9175" s="4" t="str">
        <f t="shared" si="822"/>
        <v>EXP00303</v>
      </c>
      <c r="B9175" s="4" t="str">
        <f t="shared" si="815"/>
        <v>26446169</v>
      </c>
      <c r="C9175" s="4" t="str">
        <f t="shared" si="816"/>
        <v>GSE73338</v>
      </c>
      <c r="D9175" s="1" t="s">
        <v>405</v>
      </c>
      <c r="E9175" t="s">
        <v>418</v>
      </c>
      <c r="F9175" s="1">
        <v>2</v>
      </c>
      <c r="G9175" s="1" t="s">
        <v>28</v>
      </c>
      <c r="H9175" s="4" t="str">
        <f>HYPERLINK("https://www.ncbi.nlm.nih.gov/geo/query/acc.cgi?acc=GSM1891291","GSM1891291")</f>
        <v>GSM1891291</v>
      </c>
      <c r="I9175" t="s">
        <v>407</v>
      </c>
      <c r="J9175" t="s">
        <v>408</v>
      </c>
      <c r="K9175" t="s">
        <v>19</v>
      </c>
      <c r="L9175" t="s">
        <v>113</v>
      </c>
      <c r="M9175" t="s">
        <v>44</v>
      </c>
      <c r="N9175" t="s">
        <v>29</v>
      </c>
    </row>
    <row r="9176" spans="1:14">
      <c r="A9176" s="4" t="str">
        <f t="shared" si="822"/>
        <v>EXP00303</v>
      </c>
      <c r="B9176" s="4" t="str">
        <f t="shared" si="815"/>
        <v>26446169</v>
      </c>
      <c r="C9176" s="4" t="str">
        <f t="shared" si="816"/>
        <v>GSE73338</v>
      </c>
      <c r="D9176" s="1" t="s">
        <v>405</v>
      </c>
      <c r="E9176" t="s">
        <v>418</v>
      </c>
      <c r="F9176" s="1">
        <v>2</v>
      </c>
      <c r="G9176" s="1" t="s">
        <v>28</v>
      </c>
      <c r="H9176" s="4" t="str">
        <f>HYPERLINK("https://www.ncbi.nlm.nih.gov/geo/query/acc.cgi?acc=GSM1891315","GSM1891315")</f>
        <v>GSM1891315</v>
      </c>
      <c r="I9176" t="s">
        <v>407</v>
      </c>
      <c r="J9176" t="s">
        <v>408</v>
      </c>
      <c r="K9176" t="s">
        <v>19</v>
      </c>
      <c r="L9176" t="s">
        <v>113</v>
      </c>
      <c r="M9176" t="s">
        <v>24</v>
      </c>
      <c r="N9176" t="s">
        <v>29</v>
      </c>
    </row>
    <row r="9177" spans="1:14">
      <c r="A9177" s="4" t="str">
        <f t="shared" ref="A9177:A9208" si="823">HYPERLINK("http://hcmdb.i-sanger.com/experiment/details/experiment_id/EXP00304","EXP00304")</f>
        <v>EXP00304</v>
      </c>
      <c r="B9177" s="4" t="str">
        <f t="shared" si="815"/>
        <v>26446169</v>
      </c>
      <c r="C9177" s="4" t="str">
        <f t="shared" si="816"/>
        <v>GSE73338</v>
      </c>
      <c r="D9177" s="1" t="s">
        <v>405</v>
      </c>
      <c r="E9177" t="s">
        <v>419</v>
      </c>
      <c r="F9177" s="1">
        <v>1</v>
      </c>
      <c r="G9177" s="1" t="s">
        <v>31</v>
      </c>
      <c r="H9177" s="4" t="str">
        <f>HYPERLINK("https://www.ncbi.nlm.nih.gov/geo/query/acc.cgi?acc=GSM1891237","GSM1891237")</f>
        <v>GSM1891237</v>
      </c>
      <c r="I9177" t="s">
        <v>407</v>
      </c>
      <c r="J9177" t="s">
        <v>408</v>
      </c>
      <c r="K9177" t="s">
        <v>19</v>
      </c>
      <c r="L9177" t="s">
        <v>113</v>
      </c>
      <c r="M9177" t="s">
        <v>24</v>
      </c>
      <c r="N9177" t="s">
        <v>29</v>
      </c>
    </row>
    <row r="9178" spans="1:14">
      <c r="A9178" s="4" t="str">
        <f t="shared" si="823"/>
        <v>EXP00304</v>
      </c>
      <c r="B9178" s="4" t="str">
        <f t="shared" si="815"/>
        <v>26446169</v>
      </c>
      <c r="C9178" s="4" t="str">
        <f t="shared" si="816"/>
        <v>GSE73338</v>
      </c>
      <c r="D9178" s="1" t="s">
        <v>405</v>
      </c>
      <c r="E9178" t="s">
        <v>419</v>
      </c>
      <c r="F9178" s="1">
        <v>1</v>
      </c>
      <c r="G9178" s="1" t="s">
        <v>31</v>
      </c>
      <c r="H9178" s="4" t="str">
        <f>HYPERLINK("https://www.ncbi.nlm.nih.gov/geo/query/acc.cgi?acc=GSM1891255","GSM1891255")</f>
        <v>GSM1891255</v>
      </c>
      <c r="I9178" t="s">
        <v>407</v>
      </c>
      <c r="J9178" t="s">
        <v>408</v>
      </c>
      <c r="K9178" t="s">
        <v>19</v>
      </c>
      <c r="L9178" t="s">
        <v>113</v>
      </c>
      <c r="M9178" t="s">
        <v>24</v>
      </c>
      <c r="N9178" t="s">
        <v>29</v>
      </c>
    </row>
    <row r="9179" spans="1:14">
      <c r="A9179" s="4" t="str">
        <f t="shared" si="823"/>
        <v>EXP00304</v>
      </c>
      <c r="B9179" s="4" t="str">
        <f t="shared" si="815"/>
        <v>26446169</v>
      </c>
      <c r="C9179" s="4" t="str">
        <f t="shared" si="816"/>
        <v>GSE73338</v>
      </c>
      <c r="D9179" s="1" t="s">
        <v>405</v>
      </c>
      <c r="E9179" t="s">
        <v>419</v>
      </c>
      <c r="F9179" s="1">
        <v>1</v>
      </c>
      <c r="G9179" s="1" t="s">
        <v>31</v>
      </c>
      <c r="H9179" s="4" t="str">
        <f>HYPERLINK("https://www.ncbi.nlm.nih.gov/geo/query/acc.cgi?acc=GSM1891266","GSM1891266")</f>
        <v>GSM1891266</v>
      </c>
      <c r="I9179" t="s">
        <v>407</v>
      </c>
      <c r="J9179" t="s">
        <v>408</v>
      </c>
      <c r="K9179" t="s">
        <v>19</v>
      </c>
      <c r="L9179" t="s">
        <v>113</v>
      </c>
      <c r="M9179" t="s">
        <v>44</v>
      </c>
      <c r="N9179" t="s">
        <v>29</v>
      </c>
    </row>
    <row r="9180" spans="1:14">
      <c r="A9180" s="4" t="str">
        <f t="shared" si="823"/>
        <v>EXP00304</v>
      </c>
      <c r="B9180" s="4" t="str">
        <f t="shared" si="815"/>
        <v>26446169</v>
      </c>
      <c r="C9180" s="4" t="str">
        <f t="shared" si="816"/>
        <v>GSE73338</v>
      </c>
      <c r="D9180" s="1" t="s">
        <v>405</v>
      </c>
      <c r="E9180" t="s">
        <v>419</v>
      </c>
      <c r="F9180" s="1">
        <v>1</v>
      </c>
      <c r="G9180" s="1" t="s">
        <v>31</v>
      </c>
      <c r="H9180" s="4" t="str">
        <f>HYPERLINK("https://www.ncbi.nlm.nih.gov/geo/query/acc.cgi?acc=GSM1891291","GSM1891291")</f>
        <v>GSM1891291</v>
      </c>
      <c r="I9180" t="s">
        <v>407</v>
      </c>
      <c r="J9180" t="s">
        <v>408</v>
      </c>
      <c r="K9180" t="s">
        <v>19</v>
      </c>
      <c r="L9180" t="s">
        <v>113</v>
      </c>
      <c r="M9180" t="s">
        <v>44</v>
      </c>
      <c r="N9180" t="s">
        <v>29</v>
      </c>
    </row>
    <row r="9181" spans="1:14">
      <c r="A9181" s="4" t="str">
        <f t="shared" si="823"/>
        <v>EXP00304</v>
      </c>
      <c r="B9181" s="4" t="str">
        <f t="shared" si="815"/>
        <v>26446169</v>
      </c>
      <c r="C9181" s="4" t="str">
        <f t="shared" si="816"/>
        <v>GSE73338</v>
      </c>
      <c r="D9181" s="1" t="s">
        <v>405</v>
      </c>
      <c r="E9181" t="s">
        <v>419</v>
      </c>
      <c r="F9181" s="1">
        <v>1</v>
      </c>
      <c r="G9181" s="1" t="s">
        <v>31</v>
      </c>
      <c r="H9181" s="4" t="str">
        <f>HYPERLINK("https://www.ncbi.nlm.nih.gov/geo/query/acc.cgi?acc=GSM1891315","GSM1891315")</f>
        <v>GSM1891315</v>
      </c>
      <c r="I9181" t="s">
        <v>407</v>
      </c>
      <c r="J9181" t="s">
        <v>408</v>
      </c>
      <c r="K9181" t="s">
        <v>19</v>
      </c>
      <c r="L9181" t="s">
        <v>113</v>
      </c>
      <c r="M9181" t="s">
        <v>24</v>
      </c>
      <c r="N9181" t="s">
        <v>29</v>
      </c>
    </row>
    <row r="9182" spans="1:14">
      <c r="A9182" s="4" t="str">
        <f t="shared" si="823"/>
        <v>EXP00304</v>
      </c>
      <c r="B9182" s="4" t="str">
        <f t="shared" si="815"/>
        <v>26446169</v>
      </c>
      <c r="C9182" s="4" t="str">
        <f t="shared" si="816"/>
        <v>GSE73338</v>
      </c>
      <c r="D9182" s="1" t="s">
        <v>405</v>
      </c>
      <c r="E9182" t="s">
        <v>419</v>
      </c>
      <c r="F9182" s="1">
        <v>2</v>
      </c>
      <c r="G9182" s="1" t="s">
        <v>32</v>
      </c>
      <c r="H9182" s="4" t="str">
        <f>HYPERLINK("https://www.ncbi.nlm.nih.gov/geo/query/acc.cgi?acc=GSM1891230","GSM1891230")</f>
        <v>GSM1891230</v>
      </c>
      <c r="I9182" t="s">
        <v>407</v>
      </c>
      <c r="J9182" t="s">
        <v>408</v>
      </c>
      <c r="K9182" t="s">
        <v>33</v>
      </c>
      <c r="L9182" t="s">
        <v>113</v>
      </c>
      <c r="N9182" t="s">
        <v>29</v>
      </c>
    </row>
    <row r="9183" spans="1:14">
      <c r="A9183" s="4" t="str">
        <f t="shared" si="823"/>
        <v>EXP00304</v>
      </c>
      <c r="B9183" s="4" t="str">
        <f t="shared" si="815"/>
        <v>26446169</v>
      </c>
      <c r="C9183" s="4" t="str">
        <f t="shared" si="816"/>
        <v>GSE73338</v>
      </c>
      <c r="D9183" s="1" t="s">
        <v>405</v>
      </c>
      <c r="E9183" t="s">
        <v>419</v>
      </c>
      <c r="F9183" s="1">
        <v>2</v>
      </c>
      <c r="G9183" s="1" t="s">
        <v>32</v>
      </c>
      <c r="H9183" s="4" t="str">
        <f>HYPERLINK("https://www.ncbi.nlm.nih.gov/geo/query/acc.cgi?acc=GSM1891231","GSM1891231")</f>
        <v>GSM1891231</v>
      </c>
      <c r="I9183" t="s">
        <v>407</v>
      </c>
      <c r="J9183" t="s">
        <v>408</v>
      </c>
      <c r="K9183" t="s">
        <v>33</v>
      </c>
      <c r="L9183" t="s">
        <v>113</v>
      </c>
      <c r="N9183" t="s">
        <v>29</v>
      </c>
    </row>
    <row r="9184" spans="1:14">
      <c r="A9184" s="4" t="str">
        <f t="shared" si="823"/>
        <v>EXP00304</v>
      </c>
      <c r="B9184" s="4" t="str">
        <f t="shared" si="815"/>
        <v>26446169</v>
      </c>
      <c r="C9184" s="4" t="str">
        <f t="shared" si="816"/>
        <v>GSE73338</v>
      </c>
      <c r="D9184" s="1" t="s">
        <v>405</v>
      </c>
      <c r="E9184" t="s">
        <v>419</v>
      </c>
      <c r="F9184" s="1">
        <v>2</v>
      </c>
      <c r="G9184" s="1" t="s">
        <v>32</v>
      </c>
      <c r="H9184" s="4" t="str">
        <f>HYPERLINK("https://www.ncbi.nlm.nih.gov/geo/query/acc.cgi?acc=GSM1891232","GSM1891232")</f>
        <v>GSM1891232</v>
      </c>
      <c r="I9184" t="s">
        <v>407</v>
      </c>
      <c r="J9184" t="s">
        <v>420</v>
      </c>
      <c r="K9184" t="s">
        <v>33</v>
      </c>
      <c r="L9184" t="s">
        <v>113</v>
      </c>
      <c r="N9184" t="s">
        <v>29</v>
      </c>
    </row>
    <row r="9185" spans="1:14">
      <c r="A9185" s="4" t="str">
        <f t="shared" si="823"/>
        <v>EXP00304</v>
      </c>
      <c r="B9185" s="4" t="str">
        <f t="shared" si="815"/>
        <v>26446169</v>
      </c>
      <c r="C9185" s="4" t="str">
        <f t="shared" si="816"/>
        <v>GSE73338</v>
      </c>
      <c r="D9185" s="1" t="s">
        <v>405</v>
      </c>
      <c r="E9185" t="s">
        <v>419</v>
      </c>
      <c r="F9185" s="1">
        <v>2</v>
      </c>
      <c r="G9185" s="1" t="s">
        <v>32</v>
      </c>
      <c r="H9185" s="4" t="str">
        <f>HYPERLINK("https://www.ncbi.nlm.nih.gov/geo/query/acc.cgi?acc=GSM1891233","GSM1891233")</f>
        <v>GSM1891233</v>
      </c>
      <c r="I9185" t="s">
        <v>407</v>
      </c>
      <c r="J9185" t="s">
        <v>408</v>
      </c>
      <c r="K9185" t="s">
        <v>33</v>
      </c>
      <c r="L9185" t="s">
        <v>113</v>
      </c>
      <c r="N9185" t="s">
        <v>29</v>
      </c>
    </row>
    <row r="9186" spans="1:14">
      <c r="A9186" s="4" t="str">
        <f t="shared" si="823"/>
        <v>EXP00304</v>
      </c>
      <c r="B9186" s="4" t="str">
        <f t="shared" si="815"/>
        <v>26446169</v>
      </c>
      <c r="C9186" s="4" t="str">
        <f t="shared" si="816"/>
        <v>GSE73338</v>
      </c>
      <c r="D9186" s="1" t="s">
        <v>405</v>
      </c>
      <c r="E9186" t="s">
        <v>419</v>
      </c>
      <c r="F9186" s="1">
        <v>2</v>
      </c>
      <c r="G9186" s="1" t="s">
        <v>32</v>
      </c>
      <c r="H9186" s="4" t="str">
        <f>HYPERLINK("https://www.ncbi.nlm.nih.gov/geo/query/acc.cgi?acc=GSM1891234","GSM1891234")</f>
        <v>GSM1891234</v>
      </c>
      <c r="I9186" t="s">
        <v>407</v>
      </c>
      <c r="J9186" t="s">
        <v>408</v>
      </c>
      <c r="K9186" t="s">
        <v>33</v>
      </c>
      <c r="L9186" t="s">
        <v>113</v>
      </c>
      <c r="N9186" t="s">
        <v>29</v>
      </c>
    </row>
    <row r="9187" spans="1:14">
      <c r="A9187" s="4" t="str">
        <f t="shared" si="823"/>
        <v>EXP00304</v>
      </c>
      <c r="B9187" s="4" t="str">
        <f t="shared" si="815"/>
        <v>26446169</v>
      </c>
      <c r="C9187" s="4" t="str">
        <f t="shared" si="816"/>
        <v>GSE73338</v>
      </c>
      <c r="D9187" s="1" t="s">
        <v>405</v>
      </c>
      <c r="E9187" t="s">
        <v>419</v>
      </c>
      <c r="F9187" s="1">
        <v>2</v>
      </c>
      <c r="G9187" s="1" t="s">
        <v>32</v>
      </c>
      <c r="H9187" s="4" t="str">
        <f>HYPERLINK("https://www.ncbi.nlm.nih.gov/geo/query/acc.cgi?acc=GSM1891235","GSM1891235")</f>
        <v>GSM1891235</v>
      </c>
      <c r="I9187" t="s">
        <v>407</v>
      </c>
      <c r="J9187" t="s">
        <v>408</v>
      </c>
      <c r="K9187" t="s">
        <v>33</v>
      </c>
      <c r="L9187" t="s">
        <v>113</v>
      </c>
      <c r="N9187" t="s">
        <v>29</v>
      </c>
    </row>
    <row r="9188" spans="1:14">
      <c r="A9188" s="4" t="str">
        <f t="shared" si="823"/>
        <v>EXP00304</v>
      </c>
      <c r="B9188" s="4" t="str">
        <f t="shared" si="815"/>
        <v>26446169</v>
      </c>
      <c r="C9188" s="4" t="str">
        <f t="shared" si="816"/>
        <v>GSE73338</v>
      </c>
      <c r="D9188" s="1" t="s">
        <v>405</v>
      </c>
      <c r="E9188" t="s">
        <v>419</v>
      </c>
      <c r="F9188" s="1">
        <v>2</v>
      </c>
      <c r="G9188" s="1" t="s">
        <v>32</v>
      </c>
      <c r="H9188" s="4" t="str">
        <f>HYPERLINK("https://www.ncbi.nlm.nih.gov/geo/query/acc.cgi?acc=GSM1891236","GSM1891236")</f>
        <v>GSM1891236</v>
      </c>
      <c r="I9188" t="s">
        <v>407</v>
      </c>
      <c r="J9188" t="s">
        <v>408</v>
      </c>
      <c r="K9188" t="s">
        <v>33</v>
      </c>
      <c r="L9188" t="s">
        <v>113</v>
      </c>
      <c r="N9188" t="s">
        <v>29</v>
      </c>
    </row>
    <row r="9189" spans="1:14">
      <c r="A9189" s="4" t="str">
        <f t="shared" si="823"/>
        <v>EXP00304</v>
      </c>
      <c r="B9189" s="4" t="str">
        <f t="shared" si="815"/>
        <v>26446169</v>
      </c>
      <c r="C9189" s="4" t="str">
        <f t="shared" si="816"/>
        <v>GSE73338</v>
      </c>
      <c r="D9189" s="1" t="s">
        <v>405</v>
      </c>
      <c r="E9189" t="s">
        <v>419</v>
      </c>
      <c r="F9189" s="1">
        <v>2</v>
      </c>
      <c r="G9189" s="1" t="s">
        <v>32</v>
      </c>
      <c r="H9189" s="4" t="str">
        <f>HYPERLINK("https://www.ncbi.nlm.nih.gov/geo/query/acc.cgi?acc=GSM1891238","GSM1891238")</f>
        <v>GSM1891238</v>
      </c>
      <c r="I9189" t="s">
        <v>407</v>
      </c>
      <c r="J9189" t="s">
        <v>420</v>
      </c>
      <c r="K9189" t="s">
        <v>33</v>
      </c>
      <c r="L9189" t="s">
        <v>113</v>
      </c>
      <c r="N9189" t="s">
        <v>29</v>
      </c>
    </row>
    <row r="9190" spans="1:14">
      <c r="A9190" s="4" t="str">
        <f t="shared" si="823"/>
        <v>EXP00304</v>
      </c>
      <c r="B9190" s="4" t="str">
        <f t="shared" si="815"/>
        <v>26446169</v>
      </c>
      <c r="C9190" s="4" t="str">
        <f t="shared" si="816"/>
        <v>GSE73338</v>
      </c>
      <c r="D9190" s="1" t="s">
        <v>405</v>
      </c>
      <c r="E9190" t="s">
        <v>419</v>
      </c>
      <c r="F9190" s="1">
        <v>2</v>
      </c>
      <c r="G9190" s="1" t="s">
        <v>32</v>
      </c>
      <c r="H9190" s="4" t="str">
        <f>HYPERLINK("https://www.ncbi.nlm.nih.gov/geo/query/acc.cgi?acc=GSM1891239","GSM1891239")</f>
        <v>GSM1891239</v>
      </c>
      <c r="I9190" t="s">
        <v>407</v>
      </c>
      <c r="J9190" t="s">
        <v>420</v>
      </c>
      <c r="K9190" t="s">
        <v>33</v>
      </c>
      <c r="L9190" t="s">
        <v>113</v>
      </c>
      <c r="N9190" t="s">
        <v>29</v>
      </c>
    </row>
    <row r="9191" spans="1:14">
      <c r="A9191" s="4" t="str">
        <f t="shared" si="823"/>
        <v>EXP00304</v>
      </c>
      <c r="B9191" s="4" t="str">
        <f t="shared" si="815"/>
        <v>26446169</v>
      </c>
      <c r="C9191" s="4" t="str">
        <f t="shared" si="816"/>
        <v>GSE73338</v>
      </c>
      <c r="D9191" s="1" t="s">
        <v>405</v>
      </c>
      <c r="E9191" t="s">
        <v>419</v>
      </c>
      <c r="F9191" s="1">
        <v>2</v>
      </c>
      <c r="G9191" s="1" t="s">
        <v>32</v>
      </c>
      <c r="H9191" s="4" t="str">
        <f>HYPERLINK("https://www.ncbi.nlm.nih.gov/geo/query/acc.cgi?acc=GSM1891240","GSM1891240")</f>
        <v>GSM1891240</v>
      </c>
      <c r="I9191" t="s">
        <v>407</v>
      </c>
      <c r="J9191" t="s">
        <v>420</v>
      </c>
      <c r="K9191" t="s">
        <v>33</v>
      </c>
      <c r="L9191" t="s">
        <v>113</v>
      </c>
      <c r="N9191" t="s">
        <v>29</v>
      </c>
    </row>
    <row r="9192" spans="1:14">
      <c r="A9192" s="4" t="str">
        <f t="shared" si="823"/>
        <v>EXP00304</v>
      </c>
      <c r="B9192" s="4" t="str">
        <f t="shared" si="815"/>
        <v>26446169</v>
      </c>
      <c r="C9192" s="4" t="str">
        <f t="shared" si="816"/>
        <v>GSE73338</v>
      </c>
      <c r="D9192" s="1" t="s">
        <v>405</v>
      </c>
      <c r="E9192" t="s">
        <v>419</v>
      </c>
      <c r="F9192" s="1">
        <v>2</v>
      </c>
      <c r="G9192" s="1" t="s">
        <v>32</v>
      </c>
      <c r="H9192" s="4" t="str">
        <f>HYPERLINK("https://www.ncbi.nlm.nih.gov/geo/query/acc.cgi?acc=GSM1891241","GSM1891241")</f>
        <v>GSM1891241</v>
      </c>
      <c r="I9192" t="s">
        <v>407</v>
      </c>
      <c r="J9192" t="s">
        <v>408</v>
      </c>
      <c r="K9192" t="s">
        <v>33</v>
      </c>
      <c r="L9192" t="s">
        <v>113</v>
      </c>
      <c r="N9192" t="s">
        <v>29</v>
      </c>
    </row>
    <row r="9193" spans="1:14">
      <c r="A9193" s="4" t="str">
        <f t="shared" si="823"/>
        <v>EXP00304</v>
      </c>
      <c r="B9193" s="4" t="str">
        <f t="shared" si="815"/>
        <v>26446169</v>
      </c>
      <c r="C9193" s="4" t="str">
        <f t="shared" si="816"/>
        <v>GSE73338</v>
      </c>
      <c r="D9193" s="1" t="s">
        <v>405</v>
      </c>
      <c r="E9193" t="s">
        <v>419</v>
      </c>
      <c r="F9193" s="1">
        <v>2</v>
      </c>
      <c r="G9193" s="1" t="s">
        <v>32</v>
      </c>
      <c r="H9193" s="4" t="str">
        <f>HYPERLINK("https://www.ncbi.nlm.nih.gov/geo/query/acc.cgi?acc=GSM1891242","GSM1891242")</f>
        <v>GSM1891242</v>
      </c>
      <c r="I9193" t="s">
        <v>407</v>
      </c>
      <c r="J9193" t="s">
        <v>408</v>
      </c>
      <c r="K9193" t="s">
        <v>33</v>
      </c>
      <c r="L9193" t="s">
        <v>113</v>
      </c>
      <c r="N9193" t="s">
        <v>29</v>
      </c>
    </row>
    <row r="9194" spans="1:14">
      <c r="A9194" s="4" t="str">
        <f t="shared" si="823"/>
        <v>EXP00304</v>
      </c>
      <c r="B9194" s="4" t="str">
        <f t="shared" si="815"/>
        <v>26446169</v>
      </c>
      <c r="C9194" s="4" t="str">
        <f t="shared" si="816"/>
        <v>GSE73338</v>
      </c>
      <c r="D9194" s="1" t="s">
        <v>405</v>
      </c>
      <c r="E9194" t="s">
        <v>419</v>
      </c>
      <c r="F9194" s="1">
        <v>2</v>
      </c>
      <c r="G9194" s="1" t="s">
        <v>32</v>
      </c>
      <c r="H9194" s="4" t="str">
        <f>HYPERLINK("https://www.ncbi.nlm.nih.gov/geo/query/acc.cgi?acc=GSM1891243","GSM1891243")</f>
        <v>GSM1891243</v>
      </c>
      <c r="I9194" t="s">
        <v>407</v>
      </c>
      <c r="J9194" t="s">
        <v>408</v>
      </c>
      <c r="K9194" t="s">
        <v>33</v>
      </c>
      <c r="L9194" t="s">
        <v>113</v>
      </c>
      <c r="N9194" t="s">
        <v>29</v>
      </c>
    </row>
    <row r="9195" spans="1:14">
      <c r="A9195" s="4" t="str">
        <f t="shared" si="823"/>
        <v>EXP00304</v>
      </c>
      <c r="B9195" s="4" t="str">
        <f t="shared" si="815"/>
        <v>26446169</v>
      </c>
      <c r="C9195" s="4" t="str">
        <f t="shared" si="816"/>
        <v>GSE73338</v>
      </c>
      <c r="D9195" s="1" t="s">
        <v>405</v>
      </c>
      <c r="E9195" t="s">
        <v>419</v>
      </c>
      <c r="F9195" s="1">
        <v>2</v>
      </c>
      <c r="G9195" s="1" t="s">
        <v>32</v>
      </c>
      <c r="H9195" s="4" t="str">
        <f>HYPERLINK("https://www.ncbi.nlm.nih.gov/geo/query/acc.cgi?acc=GSM1891244","GSM1891244")</f>
        <v>GSM1891244</v>
      </c>
      <c r="I9195" t="s">
        <v>407</v>
      </c>
      <c r="J9195" t="s">
        <v>420</v>
      </c>
      <c r="K9195" t="s">
        <v>33</v>
      </c>
      <c r="L9195" t="s">
        <v>113</v>
      </c>
      <c r="N9195" t="s">
        <v>29</v>
      </c>
    </row>
    <row r="9196" spans="1:14">
      <c r="A9196" s="4" t="str">
        <f t="shared" si="823"/>
        <v>EXP00304</v>
      </c>
      <c r="B9196" s="4" t="str">
        <f t="shared" si="815"/>
        <v>26446169</v>
      </c>
      <c r="C9196" s="4" t="str">
        <f t="shared" si="816"/>
        <v>GSE73338</v>
      </c>
      <c r="D9196" s="1" t="s">
        <v>405</v>
      </c>
      <c r="E9196" t="s">
        <v>419</v>
      </c>
      <c r="F9196" s="1">
        <v>2</v>
      </c>
      <c r="G9196" s="1" t="s">
        <v>32</v>
      </c>
      <c r="H9196" s="4" t="str">
        <f>HYPERLINK("https://www.ncbi.nlm.nih.gov/geo/query/acc.cgi?acc=GSM1891245","GSM1891245")</f>
        <v>GSM1891245</v>
      </c>
      <c r="I9196" t="s">
        <v>407</v>
      </c>
      <c r="J9196" t="s">
        <v>408</v>
      </c>
      <c r="K9196" t="s">
        <v>33</v>
      </c>
      <c r="L9196" t="s">
        <v>113</v>
      </c>
      <c r="N9196" t="s">
        <v>29</v>
      </c>
    </row>
    <row r="9197" spans="1:14">
      <c r="A9197" s="4" t="str">
        <f t="shared" si="823"/>
        <v>EXP00304</v>
      </c>
      <c r="B9197" s="4" t="str">
        <f t="shared" si="815"/>
        <v>26446169</v>
      </c>
      <c r="C9197" s="4" t="str">
        <f t="shared" si="816"/>
        <v>GSE73338</v>
      </c>
      <c r="D9197" s="1" t="s">
        <v>405</v>
      </c>
      <c r="E9197" t="s">
        <v>419</v>
      </c>
      <c r="F9197" s="1">
        <v>2</v>
      </c>
      <c r="G9197" s="1" t="s">
        <v>32</v>
      </c>
      <c r="H9197" s="4" t="str">
        <f>HYPERLINK("https://www.ncbi.nlm.nih.gov/geo/query/acc.cgi?acc=GSM1891246","GSM1891246")</f>
        <v>GSM1891246</v>
      </c>
      <c r="I9197" t="s">
        <v>407</v>
      </c>
      <c r="J9197" t="s">
        <v>408</v>
      </c>
      <c r="K9197" t="s">
        <v>33</v>
      </c>
      <c r="L9197" t="s">
        <v>113</v>
      </c>
      <c r="N9197" t="s">
        <v>29</v>
      </c>
    </row>
    <row r="9198" spans="1:14">
      <c r="A9198" s="4" t="str">
        <f t="shared" si="823"/>
        <v>EXP00304</v>
      </c>
      <c r="B9198" s="4" t="str">
        <f t="shared" ref="B9198:B9261" si="824">HYPERLINK("https://www.ncbi.nlm.nih.gov/pubmed/26446169","26446169")</f>
        <v>26446169</v>
      </c>
      <c r="C9198" s="4" t="str">
        <f t="shared" ref="C9198:C9261" si="825">HYPERLINK("https://www.ncbi.nlm.nih.gov/geo/query/acc.cgi?acc=GSE73338","GSE73338")</f>
        <v>GSE73338</v>
      </c>
      <c r="D9198" s="1" t="s">
        <v>405</v>
      </c>
      <c r="E9198" t="s">
        <v>419</v>
      </c>
      <c r="F9198" s="1">
        <v>2</v>
      </c>
      <c r="G9198" s="1" t="s">
        <v>32</v>
      </c>
      <c r="H9198" s="4" t="str">
        <f>HYPERLINK("https://www.ncbi.nlm.nih.gov/geo/query/acc.cgi?acc=GSM1891247","GSM1891247")</f>
        <v>GSM1891247</v>
      </c>
      <c r="I9198" t="s">
        <v>407</v>
      </c>
      <c r="J9198" t="s">
        <v>408</v>
      </c>
      <c r="K9198" t="s">
        <v>33</v>
      </c>
      <c r="L9198" t="s">
        <v>113</v>
      </c>
      <c r="N9198" t="s">
        <v>29</v>
      </c>
    </row>
    <row r="9199" spans="1:14">
      <c r="A9199" s="4" t="str">
        <f t="shared" si="823"/>
        <v>EXP00304</v>
      </c>
      <c r="B9199" s="4" t="str">
        <f t="shared" si="824"/>
        <v>26446169</v>
      </c>
      <c r="C9199" s="4" t="str">
        <f t="shared" si="825"/>
        <v>GSE73338</v>
      </c>
      <c r="D9199" s="1" t="s">
        <v>405</v>
      </c>
      <c r="E9199" t="s">
        <v>419</v>
      </c>
      <c r="F9199" s="1">
        <v>2</v>
      </c>
      <c r="G9199" s="1" t="s">
        <v>32</v>
      </c>
      <c r="H9199" s="4" t="str">
        <f>HYPERLINK("https://www.ncbi.nlm.nih.gov/geo/query/acc.cgi?acc=GSM1891248","GSM1891248")</f>
        <v>GSM1891248</v>
      </c>
      <c r="I9199" t="s">
        <v>407</v>
      </c>
      <c r="J9199" t="s">
        <v>408</v>
      </c>
      <c r="K9199" t="s">
        <v>33</v>
      </c>
      <c r="L9199" t="s">
        <v>113</v>
      </c>
      <c r="N9199" t="s">
        <v>29</v>
      </c>
    </row>
    <row r="9200" spans="1:14">
      <c r="A9200" s="4" t="str">
        <f t="shared" si="823"/>
        <v>EXP00304</v>
      </c>
      <c r="B9200" s="4" t="str">
        <f t="shared" si="824"/>
        <v>26446169</v>
      </c>
      <c r="C9200" s="4" t="str">
        <f t="shared" si="825"/>
        <v>GSE73338</v>
      </c>
      <c r="D9200" s="1" t="s">
        <v>405</v>
      </c>
      <c r="E9200" t="s">
        <v>419</v>
      </c>
      <c r="F9200" s="1">
        <v>2</v>
      </c>
      <c r="G9200" s="1" t="s">
        <v>32</v>
      </c>
      <c r="H9200" s="4" t="str">
        <f>HYPERLINK("https://www.ncbi.nlm.nih.gov/geo/query/acc.cgi?acc=GSM1891249","GSM1891249")</f>
        <v>GSM1891249</v>
      </c>
      <c r="I9200" t="s">
        <v>407</v>
      </c>
      <c r="J9200" t="s">
        <v>408</v>
      </c>
      <c r="K9200" t="s">
        <v>33</v>
      </c>
      <c r="L9200" t="s">
        <v>113</v>
      </c>
      <c r="N9200" t="s">
        <v>29</v>
      </c>
    </row>
    <row r="9201" spans="1:14">
      <c r="A9201" s="4" t="str">
        <f t="shared" si="823"/>
        <v>EXP00304</v>
      </c>
      <c r="B9201" s="4" t="str">
        <f t="shared" si="824"/>
        <v>26446169</v>
      </c>
      <c r="C9201" s="4" t="str">
        <f t="shared" si="825"/>
        <v>GSE73338</v>
      </c>
      <c r="D9201" s="1" t="s">
        <v>405</v>
      </c>
      <c r="E9201" t="s">
        <v>419</v>
      </c>
      <c r="F9201" s="1">
        <v>2</v>
      </c>
      <c r="G9201" s="1" t="s">
        <v>32</v>
      </c>
      <c r="H9201" s="4" t="str">
        <f>HYPERLINK("https://www.ncbi.nlm.nih.gov/geo/query/acc.cgi?acc=GSM1891250","GSM1891250")</f>
        <v>GSM1891250</v>
      </c>
      <c r="I9201" t="s">
        <v>407</v>
      </c>
      <c r="J9201" t="s">
        <v>408</v>
      </c>
      <c r="K9201" t="s">
        <v>33</v>
      </c>
      <c r="L9201" t="s">
        <v>113</v>
      </c>
      <c r="N9201" t="s">
        <v>29</v>
      </c>
    </row>
    <row r="9202" spans="1:14">
      <c r="A9202" s="4" t="str">
        <f t="shared" si="823"/>
        <v>EXP00304</v>
      </c>
      <c r="B9202" s="4" t="str">
        <f t="shared" si="824"/>
        <v>26446169</v>
      </c>
      <c r="C9202" s="4" t="str">
        <f t="shared" si="825"/>
        <v>GSE73338</v>
      </c>
      <c r="D9202" s="1" t="s">
        <v>405</v>
      </c>
      <c r="E9202" t="s">
        <v>419</v>
      </c>
      <c r="F9202" s="1">
        <v>2</v>
      </c>
      <c r="G9202" s="1" t="s">
        <v>32</v>
      </c>
      <c r="H9202" s="4" t="str">
        <f>HYPERLINK("https://www.ncbi.nlm.nih.gov/geo/query/acc.cgi?acc=GSM1891251","GSM1891251")</f>
        <v>GSM1891251</v>
      </c>
      <c r="I9202" t="s">
        <v>407</v>
      </c>
      <c r="J9202" t="s">
        <v>408</v>
      </c>
      <c r="K9202" t="s">
        <v>33</v>
      </c>
      <c r="L9202" t="s">
        <v>113</v>
      </c>
      <c r="N9202" t="s">
        <v>29</v>
      </c>
    </row>
    <row r="9203" spans="1:14">
      <c r="A9203" s="4" t="str">
        <f t="shared" si="823"/>
        <v>EXP00304</v>
      </c>
      <c r="B9203" s="4" t="str">
        <f t="shared" si="824"/>
        <v>26446169</v>
      </c>
      <c r="C9203" s="4" t="str">
        <f t="shared" si="825"/>
        <v>GSE73338</v>
      </c>
      <c r="D9203" s="1" t="s">
        <v>405</v>
      </c>
      <c r="E9203" t="s">
        <v>419</v>
      </c>
      <c r="F9203" s="1">
        <v>2</v>
      </c>
      <c r="G9203" s="1" t="s">
        <v>32</v>
      </c>
      <c r="H9203" s="4" t="str">
        <f>HYPERLINK("https://www.ncbi.nlm.nih.gov/geo/query/acc.cgi?acc=GSM1891252","GSM1891252")</f>
        <v>GSM1891252</v>
      </c>
      <c r="I9203" t="s">
        <v>407</v>
      </c>
      <c r="J9203" t="s">
        <v>420</v>
      </c>
      <c r="K9203" t="s">
        <v>33</v>
      </c>
      <c r="L9203" t="s">
        <v>113</v>
      </c>
      <c r="N9203" t="s">
        <v>29</v>
      </c>
    </row>
    <row r="9204" spans="1:14">
      <c r="A9204" s="4" t="str">
        <f t="shared" si="823"/>
        <v>EXP00304</v>
      </c>
      <c r="B9204" s="4" t="str">
        <f t="shared" si="824"/>
        <v>26446169</v>
      </c>
      <c r="C9204" s="4" t="str">
        <f t="shared" si="825"/>
        <v>GSE73338</v>
      </c>
      <c r="D9204" s="1" t="s">
        <v>405</v>
      </c>
      <c r="E9204" t="s">
        <v>419</v>
      </c>
      <c r="F9204" s="1">
        <v>2</v>
      </c>
      <c r="G9204" s="1" t="s">
        <v>32</v>
      </c>
      <c r="H9204" s="4" t="str">
        <f>HYPERLINK("https://www.ncbi.nlm.nih.gov/geo/query/acc.cgi?acc=GSM1891253","GSM1891253")</f>
        <v>GSM1891253</v>
      </c>
      <c r="I9204" t="s">
        <v>407</v>
      </c>
      <c r="J9204" t="s">
        <v>408</v>
      </c>
      <c r="K9204" t="s">
        <v>33</v>
      </c>
      <c r="L9204" t="s">
        <v>113</v>
      </c>
      <c r="N9204" t="s">
        <v>29</v>
      </c>
    </row>
    <row r="9205" spans="1:14">
      <c r="A9205" s="4" t="str">
        <f t="shared" si="823"/>
        <v>EXP00304</v>
      </c>
      <c r="B9205" s="4" t="str">
        <f t="shared" si="824"/>
        <v>26446169</v>
      </c>
      <c r="C9205" s="4" t="str">
        <f t="shared" si="825"/>
        <v>GSE73338</v>
      </c>
      <c r="D9205" s="1" t="s">
        <v>405</v>
      </c>
      <c r="E9205" t="s">
        <v>419</v>
      </c>
      <c r="F9205" s="1">
        <v>2</v>
      </c>
      <c r="G9205" s="1" t="s">
        <v>32</v>
      </c>
      <c r="H9205" s="4" t="str">
        <f>HYPERLINK("https://www.ncbi.nlm.nih.gov/geo/query/acc.cgi?acc=GSM1891254","GSM1891254")</f>
        <v>GSM1891254</v>
      </c>
      <c r="I9205" t="s">
        <v>407</v>
      </c>
      <c r="J9205" t="s">
        <v>408</v>
      </c>
      <c r="K9205" t="s">
        <v>33</v>
      </c>
      <c r="L9205" t="s">
        <v>113</v>
      </c>
      <c r="N9205" t="s">
        <v>29</v>
      </c>
    </row>
    <row r="9206" spans="1:14">
      <c r="A9206" s="4" t="str">
        <f t="shared" si="823"/>
        <v>EXP00304</v>
      </c>
      <c r="B9206" s="4" t="str">
        <f t="shared" si="824"/>
        <v>26446169</v>
      </c>
      <c r="C9206" s="4" t="str">
        <f t="shared" si="825"/>
        <v>GSE73338</v>
      </c>
      <c r="D9206" s="1" t="s">
        <v>405</v>
      </c>
      <c r="E9206" t="s">
        <v>419</v>
      </c>
      <c r="F9206" s="1">
        <v>2</v>
      </c>
      <c r="G9206" s="1" t="s">
        <v>32</v>
      </c>
      <c r="H9206" s="4" t="str">
        <f>HYPERLINK("https://www.ncbi.nlm.nih.gov/geo/query/acc.cgi?acc=GSM1891256","GSM1891256")</f>
        <v>GSM1891256</v>
      </c>
      <c r="I9206" t="s">
        <v>407</v>
      </c>
      <c r="J9206" t="s">
        <v>420</v>
      </c>
      <c r="K9206" t="s">
        <v>33</v>
      </c>
      <c r="L9206" t="s">
        <v>113</v>
      </c>
      <c r="N9206" t="s">
        <v>29</v>
      </c>
    </row>
    <row r="9207" spans="1:14">
      <c r="A9207" s="4" t="str">
        <f t="shared" si="823"/>
        <v>EXP00304</v>
      </c>
      <c r="B9207" s="4" t="str">
        <f t="shared" si="824"/>
        <v>26446169</v>
      </c>
      <c r="C9207" s="4" t="str">
        <f t="shared" si="825"/>
        <v>GSE73338</v>
      </c>
      <c r="D9207" s="1" t="s">
        <v>405</v>
      </c>
      <c r="E9207" t="s">
        <v>419</v>
      </c>
      <c r="F9207" s="1">
        <v>2</v>
      </c>
      <c r="G9207" s="1" t="s">
        <v>32</v>
      </c>
      <c r="H9207" s="4" t="str">
        <f>HYPERLINK("https://www.ncbi.nlm.nih.gov/geo/query/acc.cgi?acc=GSM1891257","GSM1891257")</f>
        <v>GSM1891257</v>
      </c>
      <c r="I9207" t="s">
        <v>407</v>
      </c>
      <c r="J9207" t="s">
        <v>408</v>
      </c>
      <c r="K9207" t="s">
        <v>33</v>
      </c>
      <c r="L9207" t="s">
        <v>113</v>
      </c>
      <c r="N9207" t="s">
        <v>29</v>
      </c>
    </row>
    <row r="9208" spans="1:14">
      <c r="A9208" s="4" t="str">
        <f t="shared" si="823"/>
        <v>EXP00304</v>
      </c>
      <c r="B9208" s="4" t="str">
        <f t="shared" si="824"/>
        <v>26446169</v>
      </c>
      <c r="C9208" s="4" t="str">
        <f t="shared" si="825"/>
        <v>GSE73338</v>
      </c>
      <c r="D9208" s="1" t="s">
        <v>405</v>
      </c>
      <c r="E9208" t="s">
        <v>419</v>
      </c>
      <c r="F9208" s="1">
        <v>2</v>
      </c>
      <c r="G9208" s="1" t="s">
        <v>32</v>
      </c>
      <c r="H9208" s="4" t="str">
        <f>HYPERLINK("https://www.ncbi.nlm.nih.gov/geo/query/acc.cgi?acc=GSM1891258","GSM1891258")</f>
        <v>GSM1891258</v>
      </c>
      <c r="I9208" t="s">
        <v>407</v>
      </c>
      <c r="J9208" t="s">
        <v>420</v>
      </c>
      <c r="K9208" t="s">
        <v>33</v>
      </c>
      <c r="L9208" t="s">
        <v>113</v>
      </c>
      <c r="N9208" t="s">
        <v>29</v>
      </c>
    </row>
    <row r="9209" spans="1:14">
      <c r="A9209" s="4" t="str">
        <f t="shared" ref="A9209:A9240" si="826">HYPERLINK("http://hcmdb.i-sanger.com/experiment/details/experiment_id/EXP00304","EXP00304")</f>
        <v>EXP00304</v>
      </c>
      <c r="B9209" s="4" t="str">
        <f t="shared" si="824"/>
        <v>26446169</v>
      </c>
      <c r="C9209" s="4" t="str">
        <f t="shared" si="825"/>
        <v>GSE73338</v>
      </c>
      <c r="D9209" s="1" t="s">
        <v>405</v>
      </c>
      <c r="E9209" t="s">
        <v>419</v>
      </c>
      <c r="F9209" s="1">
        <v>2</v>
      </c>
      <c r="G9209" s="1" t="s">
        <v>32</v>
      </c>
      <c r="H9209" s="4" t="str">
        <f>HYPERLINK("https://www.ncbi.nlm.nih.gov/geo/query/acc.cgi?acc=GSM1891259","GSM1891259")</f>
        <v>GSM1891259</v>
      </c>
      <c r="I9209" t="s">
        <v>407</v>
      </c>
      <c r="J9209" t="s">
        <v>408</v>
      </c>
      <c r="K9209" t="s">
        <v>33</v>
      </c>
      <c r="L9209" t="s">
        <v>113</v>
      </c>
      <c r="N9209" t="s">
        <v>29</v>
      </c>
    </row>
    <row r="9210" spans="1:14">
      <c r="A9210" s="4" t="str">
        <f t="shared" si="826"/>
        <v>EXP00304</v>
      </c>
      <c r="B9210" s="4" t="str">
        <f t="shared" si="824"/>
        <v>26446169</v>
      </c>
      <c r="C9210" s="4" t="str">
        <f t="shared" si="825"/>
        <v>GSE73338</v>
      </c>
      <c r="D9210" s="1" t="s">
        <v>405</v>
      </c>
      <c r="E9210" t="s">
        <v>419</v>
      </c>
      <c r="F9210" s="1">
        <v>2</v>
      </c>
      <c r="G9210" s="1" t="s">
        <v>32</v>
      </c>
      <c r="H9210" s="4" t="str">
        <f>HYPERLINK("https://www.ncbi.nlm.nih.gov/geo/query/acc.cgi?acc=GSM1891260","GSM1891260")</f>
        <v>GSM1891260</v>
      </c>
      <c r="I9210" t="s">
        <v>407</v>
      </c>
      <c r="J9210" t="s">
        <v>408</v>
      </c>
      <c r="K9210" t="s">
        <v>33</v>
      </c>
      <c r="L9210" t="s">
        <v>113</v>
      </c>
      <c r="N9210" t="s">
        <v>29</v>
      </c>
    </row>
    <row r="9211" spans="1:14">
      <c r="A9211" s="4" t="str">
        <f t="shared" si="826"/>
        <v>EXP00304</v>
      </c>
      <c r="B9211" s="4" t="str">
        <f t="shared" si="824"/>
        <v>26446169</v>
      </c>
      <c r="C9211" s="4" t="str">
        <f t="shared" si="825"/>
        <v>GSE73338</v>
      </c>
      <c r="D9211" s="1" t="s">
        <v>405</v>
      </c>
      <c r="E9211" t="s">
        <v>419</v>
      </c>
      <c r="F9211" s="1">
        <v>2</v>
      </c>
      <c r="G9211" s="1" t="s">
        <v>32</v>
      </c>
      <c r="H9211" s="4" t="str">
        <f>HYPERLINK("https://www.ncbi.nlm.nih.gov/geo/query/acc.cgi?acc=GSM1891261","GSM1891261")</f>
        <v>GSM1891261</v>
      </c>
      <c r="I9211" t="s">
        <v>407</v>
      </c>
      <c r="J9211" t="s">
        <v>408</v>
      </c>
      <c r="K9211" t="s">
        <v>33</v>
      </c>
      <c r="L9211" t="s">
        <v>113</v>
      </c>
      <c r="N9211" t="s">
        <v>29</v>
      </c>
    </row>
    <row r="9212" spans="1:14">
      <c r="A9212" s="4" t="str">
        <f t="shared" si="826"/>
        <v>EXP00304</v>
      </c>
      <c r="B9212" s="4" t="str">
        <f t="shared" si="824"/>
        <v>26446169</v>
      </c>
      <c r="C9212" s="4" t="str">
        <f t="shared" si="825"/>
        <v>GSE73338</v>
      </c>
      <c r="D9212" s="1" t="s">
        <v>405</v>
      </c>
      <c r="E9212" t="s">
        <v>419</v>
      </c>
      <c r="F9212" s="1">
        <v>2</v>
      </c>
      <c r="G9212" s="1" t="s">
        <v>32</v>
      </c>
      <c r="H9212" s="4" t="str">
        <f>HYPERLINK("https://www.ncbi.nlm.nih.gov/geo/query/acc.cgi?acc=GSM1891262","GSM1891262")</f>
        <v>GSM1891262</v>
      </c>
      <c r="I9212" t="s">
        <v>407</v>
      </c>
      <c r="J9212" t="s">
        <v>408</v>
      </c>
      <c r="K9212" t="s">
        <v>33</v>
      </c>
      <c r="L9212" t="s">
        <v>113</v>
      </c>
      <c r="N9212" t="s">
        <v>29</v>
      </c>
    </row>
    <row r="9213" spans="1:14">
      <c r="A9213" s="4" t="str">
        <f t="shared" si="826"/>
        <v>EXP00304</v>
      </c>
      <c r="B9213" s="4" t="str">
        <f t="shared" si="824"/>
        <v>26446169</v>
      </c>
      <c r="C9213" s="4" t="str">
        <f t="shared" si="825"/>
        <v>GSE73338</v>
      </c>
      <c r="D9213" s="1" t="s">
        <v>405</v>
      </c>
      <c r="E9213" t="s">
        <v>419</v>
      </c>
      <c r="F9213" s="1">
        <v>2</v>
      </c>
      <c r="G9213" s="1" t="s">
        <v>32</v>
      </c>
      <c r="H9213" s="4" t="str">
        <f>HYPERLINK("https://www.ncbi.nlm.nih.gov/geo/query/acc.cgi?acc=GSM1891263","GSM1891263")</f>
        <v>GSM1891263</v>
      </c>
      <c r="I9213" t="s">
        <v>407</v>
      </c>
      <c r="J9213" t="s">
        <v>408</v>
      </c>
      <c r="K9213" t="s">
        <v>33</v>
      </c>
      <c r="L9213" t="s">
        <v>113</v>
      </c>
      <c r="N9213" t="s">
        <v>29</v>
      </c>
    </row>
    <row r="9214" spans="1:14">
      <c r="A9214" s="4" t="str">
        <f t="shared" si="826"/>
        <v>EXP00304</v>
      </c>
      <c r="B9214" s="4" t="str">
        <f t="shared" si="824"/>
        <v>26446169</v>
      </c>
      <c r="C9214" s="4" t="str">
        <f t="shared" si="825"/>
        <v>GSE73338</v>
      </c>
      <c r="D9214" s="1" t="s">
        <v>405</v>
      </c>
      <c r="E9214" t="s">
        <v>419</v>
      </c>
      <c r="F9214" s="1">
        <v>2</v>
      </c>
      <c r="G9214" s="1" t="s">
        <v>32</v>
      </c>
      <c r="H9214" s="4" t="str">
        <f>HYPERLINK("https://www.ncbi.nlm.nih.gov/geo/query/acc.cgi?acc=GSM1891264","GSM1891264")</f>
        <v>GSM1891264</v>
      </c>
      <c r="I9214" t="s">
        <v>407</v>
      </c>
      <c r="J9214" t="s">
        <v>408</v>
      </c>
      <c r="K9214" t="s">
        <v>33</v>
      </c>
      <c r="L9214" t="s">
        <v>113</v>
      </c>
      <c r="N9214" t="s">
        <v>29</v>
      </c>
    </row>
    <row r="9215" spans="1:14">
      <c r="A9215" s="4" t="str">
        <f t="shared" si="826"/>
        <v>EXP00304</v>
      </c>
      <c r="B9215" s="4" t="str">
        <f t="shared" si="824"/>
        <v>26446169</v>
      </c>
      <c r="C9215" s="4" t="str">
        <f t="shared" si="825"/>
        <v>GSE73338</v>
      </c>
      <c r="D9215" s="1" t="s">
        <v>405</v>
      </c>
      <c r="E9215" t="s">
        <v>419</v>
      </c>
      <c r="F9215" s="1">
        <v>2</v>
      </c>
      <c r="G9215" s="1" t="s">
        <v>32</v>
      </c>
      <c r="H9215" s="4" t="str">
        <f>HYPERLINK("https://www.ncbi.nlm.nih.gov/geo/query/acc.cgi?acc=GSM1891265","GSM1891265")</f>
        <v>GSM1891265</v>
      </c>
      <c r="I9215" t="s">
        <v>407</v>
      </c>
      <c r="J9215" t="s">
        <v>408</v>
      </c>
      <c r="K9215" t="s">
        <v>33</v>
      </c>
      <c r="L9215" t="s">
        <v>113</v>
      </c>
      <c r="N9215" t="s">
        <v>29</v>
      </c>
    </row>
    <row r="9216" spans="1:14">
      <c r="A9216" s="4" t="str">
        <f t="shared" si="826"/>
        <v>EXP00304</v>
      </c>
      <c r="B9216" s="4" t="str">
        <f t="shared" si="824"/>
        <v>26446169</v>
      </c>
      <c r="C9216" s="4" t="str">
        <f t="shared" si="825"/>
        <v>GSE73338</v>
      </c>
      <c r="D9216" s="1" t="s">
        <v>405</v>
      </c>
      <c r="E9216" t="s">
        <v>419</v>
      </c>
      <c r="F9216" s="1">
        <v>2</v>
      </c>
      <c r="G9216" s="1" t="s">
        <v>32</v>
      </c>
      <c r="H9216" s="4" t="str">
        <f>HYPERLINK("https://www.ncbi.nlm.nih.gov/geo/query/acc.cgi?acc=GSM1891267","GSM1891267")</f>
        <v>GSM1891267</v>
      </c>
      <c r="I9216" t="s">
        <v>407</v>
      </c>
      <c r="J9216" t="s">
        <v>408</v>
      </c>
      <c r="K9216" t="s">
        <v>33</v>
      </c>
      <c r="L9216" t="s">
        <v>113</v>
      </c>
      <c r="N9216" t="s">
        <v>29</v>
      </c>
    </row>
    <row r="9217" spans="1:14">
      <c r="A9217" s="4" t="str">
        <f t="shared" si="826"/>
        <v>EXP00304</v>
      </c>
      <c r="B9217" s="4" t="str">
        <f t="shared" si="824"/>
        <v>26446169</v>
      </c>
      <c r="C9217" s="4" t="str">
        <f t="shared" si="825"/>
        <v>GSE73338</v>
      </c>
      <c r="D9217" s="1" t="s">
        <v>405</v>
      </c>
      <c r="E9217" t="s">
        <v>419</v>
      </c>
      <c r="F9217" s="1">
        <v>2</v>
      </c>
      <c r="G9217" s="1" t="s">
        <v>32</v>
      </c>
      <c r="H9217" s="4" t="str">
        <f>HYPERLINK("https://www.ncbi.nlm.nih.gov/geo/query/acc.cgi?acc=GSM1891268","GSM1891268")</f>
        <v>GSM1891268</v>
      </c>
      <c r="I9217" t="s">
        <v>407</v>
      </c>
      <c r="J9217" t="s">
        <v>420</v>
      </c>
      <c r="K9217" t="s">
        <v>33</v>
      </c>
      <c r="L9217" t="s">
        <v>113</v>
      </c>
      <c r="N9217" t="s">
        <v>29</v>
      </c>
    </row>
    <row r="9218" spans="1:14">
      <c r="A9218" s="4" t="str">
        <f t="shared" si="826"/>
        <v>EXP00304</v>
      </c>
      <c r="B9218" s="4" t="str">
        <f t="shared" si="824"/>
        <v>26446169</v>
      </c>
      <c r="C9218" s="4" t="str">
        <f t="shared" si="825"/>
        <v>GSE73338</v>
      </c>
      <c r="D9218" s="1" t="s">
        <v>405</v>
      </c>
      <c r="E9218" t="s">
        <v>419</v>
      </c>
      <c r="F9218" s="1">
        <v>2</v>
      </c>
      <c r="G9218" s="1" t="s">
        <v>32</v>
      </c>
      <c r="H9218" s="4" t="str">
        <f>HYPERLINK("https://www.ncbi.nlm.nih.gov/geo/query/acc.cgi?acc=GSM1891269","GSM1891269")</f>
        <v>GSM1891269</v>
      </c>
      <c r="I9218" t="s">
        <v>407</v>
      </c>
      <c r="J9218" t="s">
        <v>408</v>
      </c>
      <c r="K9218" t="s">
        <v>33</v>
      </c>
      <c r="L9218" t="s">
        <v>113</v>
      </c>
      <c r="N9218" t="s">
        <v>29</v>
      </c>
    </row>
    <row r="9219" spans="1:14">
      <c r="A9219" s="4" t="str">
        <f t="shared" si="826"/>
        <v>EXP00304</v>
      </c>
      <c r="B9219" s="4" t="str">
        <f t="shared" si="824"/>
        <v>26446169</v>
      </c>
      <c r="C9219" s="4" t="str">
        <f t="shared" si="825"/>
        <v>GSE73338</v>
      </c>
      <c r="D9219" s="1" t="s">
        <v>405</v>
      </c>
      <c r="E9219" t="s">
        <v>419</v>
      </c>
      <c r="F9219" s="1">
        <v>2</v>
      </c>
      <c r="G9219" s="1" t="s">
        <v>32</v>
      </c>
      <c r="H9219" s="4" t="str">
        <f>HYPERLINK("https://www.ncbi.nlm.nih.gov/geo/query/acc.cgi?acc=GSM1891270","GSM1891270")</f>
        <v>GSM1891270</v>
      </c>
      <c r="I9219" t="s">
        <v>407</v>
      </c>
      <c r="J9219" t="s">
        <v>408</v>
      </c>
      <c r="K9219" t="s">
        <v>33</v>
      </c>
      <c r="L9219" t="s">
        <v>113</v>
      </c>
      <c r="N9219" t="s">
        <v>29</v>
      </c>
    </row>
    <row r="9220" spans="1:14">
      <c r="A9220" s="4" t="str">
        <f t="shared" si="826"/>
        <v>EXP00304</v>
      </c>
      <c r="B9220" s="4" t="str">
        <f t="shared" si="824"/>
        <v>26446169</v>
      </c>
      <c r="C9220" s="4" t="str">
        <f t="shared" si="825"/>
        <v>GSE73338</v>
      </c>
      <c r="D9220" s="1" t="s">
        <v>405</v>
      </c>
      <c r="E9220" t="s">
        <v>419</v>
      </c>
      <c r="F9220" s="1">
        <v>2</v>
      </c>
      <c r="G9220" s="1" t="s">
        <v>32</v>
      </c>
      <c r="H9220" s="4" t="str">
        <f>HYPERLINK("https://www.ncbi.nlm.nih.gov/geo/query/acc.cgi?acc=GSM1891271","GSM1891271")</f>
        <v>GSM1891271</v>
      </c>
      <c r="I9220" t="s">
        <v>407</v>
      </c>
      <c r="J9220" t="s">
        <v>408</v>
      </c>
      <c r="K9220" t="s">
        <v>33</v>
      </c>
      <c r="L9220" t="s">
        <v>113</v>
      </c>
      <c r="N9220" t="s">
        <v>29</v>
      </c>
    </row>
    <row r="9221" spans="1:14">
      <c r="A9221" s="4" t="str">
        <f t="shared" si="826"/>
        <v>EXP00304</v>
      </c>
      <c r="B9221" s="4" t="str">
        <f t="shared" si="824"/>
        <v>26446169</v>
      </c>
      <c r="C9221" s="4" t="str">
        <f t="shared" si="825"/>
        <v>GSE73338</v>
      </c>
      <c r="D9221" s="1" t="s">
        <v>405</v>
      </c>
      <c r="E9221" t="s">
        <v>419</v>
      </c>
      <c r="F9221" s="1">
        <v>2</v>
      </c>
      <c r="G9221" s="1" t="s">
        <v>32</v>
      </c>
      <c r="H9221" s="4" t="str">
        <f>HYPERLINK("https://www.ncbi.nlm.nih.gov/geo/query/acc.cgi?acc=GSM1891272","GSM1891272")</f>
        <v>GSM1891272</v>
      </c>
      <c r="I9221" t="s">
        <v>407</v>
      </c>
      <c r="J9221" t="s">
        <v>408</v>
      </c>
      <c r="K9221" t="s">
        <v>33</v>
      </c>
      <c r="L9221" t="s">
        <v>113</v>
      </c>
      <c r="N9221" t="s">
        <v>29</v>
      </c>
    </row>
    <row r="9222" spans="1:14">
      <c r="A9222" s="4" t="str">
        <f t="shared" si="826"/>
        <v>EXP00304</v>
      </c>
      <c r="B9222" s="4" t="str">
        <f t="shared" si="824"/>
        <v>26446169</v>
      </c>
      <c r="C9222" s="4" t="str">
        <f t="shared" si="825"/>
        <v>GSE73338</v>
      </c>
      <c r="D9222" s="1" t="s">
        <v>405</v>
      </c>
      <c r="E9222" t="s">
        <v>419</v>
      </c>
      <c r="F9222" s="1">
        <v>2</v>
      </c>
      <c r="G9222" s="1" t="s">
        <v>32</v>
      </c>
      <c r="H9222" s="4" t="str">
        <f>HYPERLINK("https://www.ncbi.nlm.nih.gov/geo/query/acc.cgi?acc=GSM1891274","GSM1891274")</f>
        <v>GSM1891274</v>
      </c>
      <c r="I9222" t="s">
        <v>407</v>
      </c>
      <c r="J9222" t="s">
        <v>408</v>
      </c>
      <c r="K9222" t="s">
        <v>33</v>
      </c>
      <c r="L9222" t="s">
        <v>113</v>
      </c>
      <c r="N9222" t="s">
        <v>29</v>
      </c>
    </row>
    <row r="9223" spans="1:14">
      <c r="A9223" s="4" t="str">
        <f t="shared" si="826"/>
        <v>EXP00304</v>
      </c>
      <c r="B9223" s="4" t="str">
        <f t="shared" si="824"/>
        <v>26446169</v>
      </c>
      <c r="C9223" s="4" t="str">
        <f t="shared" si="825"/>
        <v>GSE73338</v>
      </c>
      <c r="D9223" s="1" t="s">
        <v>405</v>
      </c>
      <c r="E9223" t="s">
        <v>419</v>
      </c>
      <c r="F9223" s="1">
        <v>2</v>
      </c>
      <c r="G9223" s="1" t="s">
        <v>32</v>
      </c>
      <c r="H9223" s="4" t="str">
        <f>HYPERLINK("https://www.ncbi.nlm.nih.gov/geo/query/acc.cgi?acc=GSM1891275","GSM1891275")</f>
        <v>GSM1891275</v>
      </c>
      <c r="I9223" t="s">
        <v>407</v>
      </c>
      <c r="J9223" t="s">
        <v>408</v>
      </c>
      <c r="K9223" t="s">
        <v>33</v>
      </c>
      <c r="L9223" t="s">
        <v>113</v>
      </c>
      <c r="N9223" t="s">
        <v>29</v>
      </c>
    </row>
    <row r="9224" spans="1:14">
      <c r="A9224" s="4" t="str">
        <f t="shared" si="826"/>
        <v>EXP00304</v>
      </c>
      <c r="B9224" s="4" t="str">
        <f t="shared" si="824"/>
        <v>26446169</v>
      </c>
      <c r="C9224" s="4" t="str">
        <f t="shared" si="825"/>
        <v>GSE73338</v>
      </c>
      <c r="D9224" s="1" t="s">
        <v>405</v>
      </c>
      <c r="E9224" t="s">
        <v>419</v>
      </c>
      <c r="F9224" s="1">
        <v>2</v>
      </c>
      <c r="G9224" s="1" t="s">
        <v>32</v>
      </c>
      <c r="H9224" s="4" t="str">
        <f>HYPERLINK("https://www.ncbi.nlm.nih.gov/geo/query/acc.cgi?acc=GSM1891276","GSM1891276")</f>
        <v>GSM1891276</v>
      </c>
      <c r="I9224" t="s">
        <v>407</v>
      </c>
      <c r="J9224" t="s">
        <v>408</v>
      </c>
      <c r="K9224" t="s">
        <v>33</v>
      </c>
      <c r="L9224" t="s">
        <v>113</v>
      </c>
      <c r="N9224" t="s">
        <v>29</v>
      </c>
    </row>
    <row r="9225" spans="1:14">
      <c r="A9225" s="4" t="str">
        <f t="shared" si="826"/>
        <v>EXP00304</v>
      </c>
      <c r="B9225" s="4" t="str">
        <f t="shared" si="824"/>
        <v>26446169</v>
      </c>
      <c r="C9225" s="4" t="str">
        <f t="shared" si="825"/>
        <v>GSE73338</v>
      </c>
      <c r="D9225" s="1" t="s">
        <v>405</v>
      </c>
      <c r="E9225" t="s">
        <v>419</v>
      </c>
      <c r="F9225" s="1">
        <v>2</v>
      </c>
      <c r="G9225" s="1" t="s">
        <v>32</v>
      </c>
      <c r="H9225" s="4" t="str">
        <f>HYPERLINK("https://www.ncbi.nlm.nih.gov/geo/query/acc.cgi?acc=GSM1891277","GSM1891277")</f>
        <v>GSM1891277</v>
      </c>
      <c r="I9225" t="s">
        <v>407</v>
      </c>
      <c r="J9225" t="s">
        <v>408</v>
      </c>
      <c r="K9225" t="s">
        <v>33</v>
      </c>
      <c r="L9225" t="s">
        <v>113</v>
      </c>
      <c r="N9225" t="s">
        <v>29</v>
      </c>
    </row>
    <row r="9226" spans="1:14">
      <c r="A9226" s="4" t="str">
        <f t="shared" si="826"/>
        <v>EXP00304</v>
      </c>
      <c r="B9226" s="4" t="str">
        <f t="shared" si="824"/>
        <v>26446169</v>
      </c>
      <c r="C9226" s="4" t="str">
        <f t="shared" si="825"/>
        <v>GSE73338</v>
      </c>
      <c r="D9226" s="1" t="s">
        <v>405</v>
      </c>
      <c r="E9226" t="s">
        <v>419</v>
      </c>
      <c r="F9226" s="1">
        <v>2</v>
      </c>
      <c r="G9226" s="1" t="s">
        <v>32</v>
      </c>
      <c r="H9226" s="4" t="str">
        <f>HYPERLINK("https://www.ncbi.nlm.nih.gov/geo/query/acc.cgi?acc=GSM1891278","GSM1891278")</f>
        <v>GSM1891278</v>
      </c>
      <c r="I9226" t="s">
        <v>407</v>
      </c>
      <c r="J9226" t="s">
        <v>408</v>
      </c>
      <c r="K9226" t="s">
        <v>33</v>
      </c>
      <c r="L9226" t="s">
        <v>113</v>
      </c>
      <c r="N9226" t="s">
        <v>29</v>
      </c>
    </row>
    <row r="9227" spans="1:14">
      <c r="A9227" s="4" t="str">
        <f t="shared" si="826"/>
        <v>EXP00304</v>
      </c>
      <c r="B9227" s="4" t="str">
        <f t="shared" si="824"/>
        <v>26446169</v>
      </c>
      <c r="C9227" s="4" t="str">
        <f t="shared" si="825"/>
        <v>GSE73338</v>
      </c>
      <c r="D9227" s="1" t="s">
        <v>405</v>
      </c>
      <c r="E9227" t="s">
        <v>419</v>
      </c>
      <c r="F9227" s="1">
        <v>2</v>
      </c>
      <c r="G9227" s="1" t="s">
        <v>32</v>
      </c>
      <c r="H9227" s="4" t="str">
        <f>HYPERLINK("https://www.ncbi.nlm.nih.gov/geo/query/acc.cgi?acc=GSM1891279","GSM1891279")</f>
        <v>GSM1891279</v>
      </c>
      <c r="I9227" t="s">
        <v>407</v>
      </c>
      <c r="J9227" t="s">
        <v>408</v>
      </c>
      <c r="K9227" t="s">
        <v>33</v>
      </c>
      <c r="L9227" t="s">
        <v>113</v>
      </c>
      <c r="N9227" t="s">
        <v>29</v>
      </c>
    </row>
    <row r="9228" spans="1:14">
      <c r="A9228" s="4" t="str">
        <f t="shared" si="826"/>
        <v>EXP00304</v>
      </c>
      <c r="B9228" s="4" t="str">
        <f t="shared" si="824"/>
        <v>26446169</v>
      </c>
      <c r="C9228" s="4" t="str">
        <f t="shared" si="825"/>
        <v>GSE73338</v>
      </c>
      <c r="D9228" s="1" t="s">
        <v>405</v>
      </c>
      <c r="E9228" t="s">
        <v>419</v>
      </c>
      <c r="F9228" s="1">
        <v>2</v>
      </c>
      <c r="G9228" s="1" t="s">
        <v>32</v>
      </c>
      <c r="H9228" s="4" t="str">
        <f>HYPERLINK("https://www.ncbi.nlm.nih.gov/geo/query/acc.cgi?acc=GSM1891280","GSM1891280")</f>
        <v>GSM1891280</v>
      </c>
      <c r="I9228" t="s">
        <v>407</v>
      </c>
      <c r="J9228" t="s">
        <v>408</v>
      </c>
      <c r="K9228" t="s">
        <v>33</v>
      </c>
      <c r="L9228" t="s">
        <v>113</v>
      </c>
      <c r="N9228" t="s">
        <v>29</v>
      </c>
    </row>
    <row r="9229" spans="1:14">
      <c r="A9229" s="4" t="str">
        <f t="shared" si="826"/>
        <v>EXP00304</v>
      </c>
      <c r="B9229" s="4" t="str">
        <f t="shared" si="824"/>
        <v>26446169</v>
      </c>
      <c r="C9229" s="4" t="str">
        <f t="shared" si="825"/>
        <v>GSE73338</v>
      </c>
      <c r="D9229" s="1" t="s">
        <v>405</v>
      </c>
      <c r="E9229" t="s">
        <v>419</v>
      </c>
      <c r="F9229" s="1">
        <v>2</v>
      </c>
      <c r="G9229" s="1" t="s">
        <v>32</v>
      </c>
      <c r="H9229" s="4" t="str">
        <f>HYPERLINK("https://www.ncbi.nlm.nih.gov/geo/query/acc.cgi?acc=GSM1891281","GSM1891281")</f>
        <v>GSM1891281</v>
      </c>
      <c r="I9229" t="s">
        <v>407</v>
      </c>
      <c r="J9229" t="s">
        <v>420</v>
      </c>
      <c r="K9229" t="s">
        <v>33</v>
      </c>
      <c r="L9229" t="s">
        <v>113</v>
      </c>
      <c r="N9229" t="s">
        <v>29</v>
      </c>
    </row>
    <row r="9230" spans="1:14">
      <c r="A9230" s="4" t="str">
        <f t="shared" si="826"/>
        <v>EXP00304</v>
      </c>
      <c r="B9230" s="4" t="str">
        <f t="shared" si="824"/>
        <v>26446169</v>
      </c>
      <c r="C9230" s="4" t="str">
        <f t="shared" si="825"/>
        <v>GSE73338</v>
      </c>
      <c r="D9230" s="1" t="s">
        <v>405</v>
      </c>
      <c r="E9230" t="s">
        <v>419</v>
      </c>
      <c r="F9230" s="1">
        <v>2</v>
      </c>
      <c r="G9230" s="1" t="s">
        <v>32</v>
      </c>
      <c r="H9230" s="4" t="str">
        <f>HYPERLINK("https://www.ncbi.nlm.nih.gov/geo/query/acc.cgi?acc=GSM1891282","GSM1891282")</f>
        <v>GSM1891282</v>
      </c>
      <c r="I9230" t="s">
        <v>407</v>
      </c>
      <c r="J9230" t="s">
        <v>408</v>
      </c>
      <c r="K9230" t="s">
        <v>33</v>
      </c>
      <c r="L9230" t="s">
        <v>113</v>
      </c>
      <c r="N9230" t="s">
        <v>29</v>
      </c>
    </row>
    <row r="9231" spans="1:14">
      <c r="A9231" s="4" t="str">
        <f t="shared" si="826"/>
        <v>EXP00304</v>
      </c>
      <c r="B9231" s="4" t="str">
        <f t="shared" si="824"/>
        <v>26446169</v>
      </c>
      <c r="C9231" s="4" t="str">
        <f t="shared" si="825"/>
        <v>GSE73338</v>
      </c>
      <c r="D9231" s="1" t="s">
        <v>405</v>
      </c>
      <c r="E9231" t="s">
        <v>419</v>
      </c>
      <c r="F9231" s="1">
        <v>2</v>
      </c>
      <c r="G9231" s="1" t="s">
        <v>32</v>
      </c>
      <c r="H9231" s="4" t="str">
        <f>HYPERLINK("https://www.ncbi.nlm.nih.gov/geo/query/acc.cgi?acc=GSM1891283","GSM1891283")</f>
        <v>GSM1891283</v>
      </c>
      <c r="I9231" t="s">
        <v>407</v>
      </c>
      <c r="J9231" t="s">
        <v>420</v>
      </c>
      <c r="K9231" t="s">
        <v>33</v>
      </c>
      <c r="L9231" t="s">
        <v>113</v>
      </c>
      <c r="N9231" t="s">
        <v>29</v>
      </c>
    </row>
    <row r="9232" spans="1:14">
      <c r="A9232" s="4" t="str">
        <f t="shared" si="826"/>
        <v>EXP00304</v>
      </c>
      <c r="B9232" s="4" t="str">
        <f t="shared" si="824"/>
        <v>26446169</v>
      </c>
      <c r="C9232" s="4" t="str">
        <f t="shared" si="825"/>
        <v>GSE73338</v>
      </c>
      <c r="D9232" s="1" t="s">
        <v>405</v>
      </c>
      <c r="E9232" t="s">
        <v>419</v>
      </c>
      <c r="F9232" s="1">
        <v>2</v>
      </c>
      <c r="G9232" s="1" t="s">
        <v>32</v>
      </c>
      <c r="H9232" s="4" t="str">
        <f>HYPERLINK("https://www.ncbi.nlm.nih.gov/geo/query/acc.cgi?acc=GSM1891284","GSM1891284")</f>
        <v>GSM1891284</v>
      </c>
      <c r="I9232" t="s">
        <v>407</v>
      </c>
      <c r="J9232" t="s">
        <v>408</v>
      </c>
      <c r="K9232" t="s">
        <v>33</v>
      </c>
      <c r="L9232" t="s">
        <v>113</v>
      </c>
      <c r="N9232" t="s">
        <v>29</v>
      </c>
    </row>
    <row r="9233" spans="1:14">
      <c r="A9233" s="4" t="str">
        <f t="shared" si="826"/>
        <v>EXP00304</v>
      </c>
      <c r="B9233" s="4" t="str">
        <f t="shared" si="824"/>
        <v>26446169</v>
      </c>
      <c r="C9233" s="4" t="str">
        <f t="shared" si="825"/>
        <v>GSE73338</v>
      </c>
      <c r="D9233" s="1" t="s">
        <v>405</v>
      </c>
      <c r="E9233" t="s">
        <v>419</v>
      </c>
      <c r="F9233" s="1">
        <v>2</v>
      </c>
      <c r="G9233" s="1" t="s">
        <v>32</v>
      </c>
      <c r="H9233" s="4" t="str">
        <f>HYPERLINK("https://www.ncbi.nlm.nih.gov/geo/query/acc.cgi?acc=GSM1891285","GSM1891285")</f>
        <v>GSM1891285</v>
      </c>
      <c r="I9233" t="s">
        <v>407</v>
      </c>
      <c r="J9233" t="s">
        <v>408</v>
      </c>
      <c r="K9233" t="s">
        <v>33</v>
      </c>
      <c r="L9233" t="s">
        <v>113</v>
      </c>
      <c r="N9233" t="s">
        <v>29</v>
      </c>
    </row>
    <row r="9234" spans="1:14">
      <c r="A9234" s="4" t="str">
        <f t="shared" si="826"/>
        <v>EXP00304</v>
      </c>
      <c r="B9234" s="4" t="str">
        <f t="shared" si="824"/>
        <v>26446169</v>
      </c>
      <c r="C9234" s="4" t="str">
        <f t="shared" si="825"/>
        <v>GSE73338</v>
      </c>
      <c r="D9234" s="1" t="s">
        <v>405</v>
      </c>
      <c r="E9234" t="s">
        <v>419</v>
      </c>
      <c r="F9234" s="1">
        <v>2</v>
      </c>
      <c r="G9234" s="1" t="s">
        <v>32</v>
      </c>
      <c r="H9234" s="4" t="str">
        <f>HYPERLINK("https://www.ncbi.nlm.nih.gov/geo/query/acc.cgi?acc=GSM1891286","GSM1891286")</f>
        <v>GSM1891286</v>
      </c>
      <c r="I9234" t="s">
        <v>407</v>
      </c>
      <c r="J9234" t="s">
        <v>408</v>
      </c>
      <c r="K9234" t="s">
        <v>33</v>
      </c>
      <c r="L9234" t="s">
        <v>113</v>
      </c>
      <c r="N9234" t="s">
        <v>29</v>
      </c>
    </row>
    <row r="9235" spans="1:14">
      <c r="A9235" s="4" t="str">
        <f t="shared" si="826"/>
        <v>EXP00304</v>
      </c>
      <c r="B9235" s="4" t="str">
        <f t="shared" si="824"/>
        <v>26446169</v>
      </c>
      <c r="C9235" s="4" t="str">
        <f t="shared" si="825"/>
        <v>GSE73338</v>
      </c>
      <c r="D9235" s="1" t="s">
        <v>405</v>
      </c>
      <c r="E9235" t="s">
        <v>419</v>
      </c>
      <c r="F9235" s="1">
        <v>2</v>
      </c>
      <c r="G9235" s="1" t="s">
        <v>32</v>
      </c>
      <c r="H9235" s="4" t="str">
        <f>HYPERLINK("https://www.ncbi.nlm.nih.gov/geo/query/acc.cgi?acc=GSM1891287","GSM1891287")</f>
        <v>GSM1891287</v>
      </c>
      <c r="I9235" t="s">
        <v>407</v>
      </c>
      <c r="J9235" t="s">
        <v>408</v>
      </c>
      <c r="K9235" t="s">
        <v>33</v>
      </c>
      <c r="L9235" t="s">
        <v>113</v>
      </c>
      <c r="N9235" t="s">
        <v>29</v>
      </c>
    </row>
    <row r="9236" spans="1:14">
      <c r="A9236" s="4" t="str">
        <f t="shared" si="826"/>
        <v>EXP00304</v>
      </c>
      <c r="B9236" s="4" t="str">
        <f t="shared" si="824"/>
        <v>26446169</v>
      </c>
      <c r="C9236" s="4" t="str">
        <f t="shared" si="825"/>
        <v>GSE73338</v>
      </c>
      <c r="D9236" s="1" t="s">
        <v>405</v>
      </c>
      <c r="E9236" t="s">
        <v>419</v>
      </c>
      <c r="F9236" s="1">
        <v>2</v>
      </c>
      <c r="G9236" s="1" t="s">
        <v>32</v>
      </c>
      <c r="H9236" s="4" t="str">
        <f>HYPERLINK("https://www.ncbi.nlm.nih.gov/geo/query/acc.cgi?acc=GSM1891288","GSM1891288")</f>
        <v>GSM1891288</v>
      </c>
      <c r="I9236" t="s">
        <v>407</v>
      </c>
      <c r="J9236" t="s">
        <v>408</v>
      </c>
      <c r="K9236" t="s">
        <v>33</v>
      </c>
      <c r="L9236" t="s">
        <v>113</v>
      </c>
      <c r="N9236" t="s">
        <v>29</v>
      </c>
    </row>
    <row r="9237" spans="1:14">
      <c r="A9237" s="4" t="str">
        <f t="shared" si="826"/>
        <v>EXP00304</v>
      </c>
      <c r="B9237" s="4" t="str">
        <f t="shared" si="824"/>
        <v>26446169</v>
      </c>
      <c r="C9237" s="4" t="str">
        <f t="shared" si="825"/>
        <v>GSE73338</v>
      </c>
      <c r="D9237" s="1" t="s">
        <v>405</v>
      </c>
      <c r="E9237" t="s">
        <v>419</v>
      </c>
      <c r="F9237" s="1">
        <v>2</v>
      </c>
      <c r="G9237" s="1" t="s">
        <v>32</v>
      </c>
      <c r="H9237" s="4" t="str">
        <f>HYPERLINK("https://www.ncbi.nlm.nih.gov/geo/query/acc.cgi?acc=GSM1891289","GSM1891289")</f>
        <v>GSM1891289</v>
      </c>
      <c r="I9237" t="s">
        <v>407</v>
      </c>
      <c r="J9237" t="s">
        <v>420</v>
      </c>
      <c r="K9237" t="s">
        <v>33</v>
      </c>
      <c r="L9237" t="s">
        <v>113</v>
      </c>
      <c r="N9237" t="s">
        <v>29</v>
      </c>
    </row>
    <row r="9238" spans="1:14">
      <c r="A9238" s="4" t="str">
        <f t="shared" si="826"/>
        <v>EXP00304</v>
      </c>
      <c r="B9238" s="4" t="str">
        <f t="shared" si="824"/>
        <v>26446169</v>
      </c>
      <c r="C9238" s="4" t="str">
        <f t="shared" si="825"/>
        <v>GSE73338</v>
      </c>
      <c r="D9238" s="1" t="s">
        <v>405</v>
      </c>
      <c r="E9238" t="s">
        <v>419</v>
      </c>
      <c r="F9238" s="1">
        <v>2</v>
      </c>
      <c r="G9238" s="1" t="s">
        <v>32</v>
      </c>
      <c r="H9238" s="4" t="str">
        <f>HYPERLINK("https://www.ncbi.nlm.nih.gov/geo/query/acc.cgi?acc=GSM1891292","GSM1891292")</f>
        <v>GSM1891292</v>
      </c>
      <c r="I9238" t="s">
        <v>407</v>
      </c>
      <c r="J9238" t="s">
        <v>408</v>
      </c>
      <c r="K9238" t="s">
        <v>33</v>
      </c>
      <c r="L9238" t="s">
        <v>113</v>
      </c>
      <c r="N9238" t="s">
        <v>29</v>
      </c>
    </row>
    <row r="9239" spans="1:14">
      <c r="A9239" s="4" t="str">
        <f t="shared" si="826"/>
        <v>EXP00304</v>
      </c>
      <c r="B9239" s="4" t="str">
        <f t="shared" si="824"/>
        <v>26446169</v>
      </c>
      <c r="C9239" s="4" t="str">
        <f t="shared" si="825"/>
        <v>GSE73338</v>
      </c>
      <c r="D9239" s="1" t="s">
        <v>405</v>
      </c>
      <c r="E9239" t="s">
        <v>419</v>
      </c>
      <c r="F9239" s="1">
        <v>2</v>
      </c>
      <c r="G9239" s="1" t="s">
        <v>32</v>
      </c>
      <c r="H9239" s="4" t="str">
        <f>HYPERLINK("https://www.ncbi.nlm.nih.gov/geo/query/acc.cgi?acc=GSM1891301","GSM1891301")</f>
        <v>GSM1891301</v>
      </c>
      <c r="I9239" t="s">
        <v>407</v>
      </c>
      <c r="J9239" t="s">
        <v>408</v>
      </c>
      <c r="K9239" t="s">
        <v>33</v>
      </c>
      <c r="L9239" t="s">
        <v>113</v>
      </c>
      <c r="N9239" t="s">
        <v>29</v>
      </c>
    </row>
    <row r="9240" spans="1:14">
      <c r="A9240" s="4" t="str">
        <f t="shared" si="826"/>
        <v>EXP00304</v>
      </c>
      <c r="B9240" s="4" t="str">
        <f t="shared" si="824"/>
        <v>26446169</v>
      </c>
      <c r="C9240" s="4" t="str">
        <f t="shared" si="825"/>
        <v>GSE73338</v>
      </c>
      <c r="D9240" s="1" t="s">
        <v>405</v>
      </c>
      <c r="E9240" t="s">
        <v>419</v>
      </c>
      <c r="F9240" s="1">
        <v>2</v>
      </c>
      <c r="G9240" s="1" t="s">
        <v>32</v>
      </c>
      <c r="H9240" s="4" t="str">
        <f>HYPERLINK("https://www.ncbi.nlm.nih.gov/geo/query/acc.cgi?acc=GSM1891302","GSM1891302")</f>
        <v>GSM1891302</v>
      </c>
      <c r="I9240" t="s">
        <v>407</v>
      </c>
      <c r="J9240" t="s">
        <v>408</v>
      </c>
      <c r="K9240" t="s">
        <v>33</v>
      </c>
      <c r="L9240" t="s">
        <v>113</v>
      </c>
      <c r="N9240" t="s">
        <v>29</v>
      </c>
    </row>
    <row r="9241" spans="1:14">
      <c r="A9241" s="4" t="str">
        <f t="shared" ref="A9241:A9256" si="827">HYPERLINK("http://hcmdb.i-sanger.com/experiment/details/experiment_id/EXP00304","EXP00304")</f>
        <v>EXP00304</v>
      </c>
      <c r="B9241" s="4" t="str">
        <f t="shared" si="824"/>
        <v>26446169</v>
      </c>
      <c r="C9241" s="4" t="str">
        <f t="shared" si="825"/>
        <v>GSE73338</v>
      </c>
      <c r="D9241" s="1" t="s">
        <v>405</v>
      </c>
      <c r="E9241" t="s">
        <v>419</v>
      </c>
      <c r="F9241" s="1">
        <v>2</v>
      </c>
      <c r="G9241" s="1" t="s">
        <v>32</v>
      </c>
      <c r="H9241" s="4" t="str">
        <f>HYPERLINK("https://www.ncbi.nlm.nih.gov/geo/query/acc.cgi?acc=GSM1891303","GSM1891303")</f>
        <v>GSM1891303</v>
      </c>
      <c r="I9241" t="s">
        <v>407</v>
      </c>
      <c r="J9241" t="s">
        <v>408</v>
      </c>
      <c r="K9241" t="s">
        <v>33</v>
      </c>
      <c r="L9241" t="s">
        <v>113</v>
      </c>
      <c r="N9241" t="s">
        <v>29</v>
      </c>
    </row>
    <row r="9242" spans="1:14">
      <c r="A9242" s="4" t="str">
        <f t="shared" si="827"/>
        <v>EXP00304</v>
      </c>
      <c r="B9242" s="4" t="str">
        <f t="shared" si="824"/>
        <v>26446169</v>
      </c>
      <c r="C9242" s="4" t="str">
        <f t="shared" si="825"/>
        <v>GSE73338</v>
      </c>
      <c r="D9242" s="1" t="s">
        <v>405</v>
      </c>
      <c r="E9242" t="s">
        <v>419</v>
      </c>
      <c r="F9242" s="1">
        <v>2</v>
      </c>
      <c r="G9242" s="1" t="s">
        <v>32</v>
      </c>
      <c r="H9242" s="4" t="str">
        <f>HYPERLINK("https://www.ncbi.nlm.nih.gov/geo/query/acc.cgi?acc=GSM1891304","GSM1891304")</f>
        <v>GSM1891304</v>
      </c>
      <c r="I9242" t="s">
        <v>407</v>
      </c>
      <c r="J9242" t="s">
        <v>408</v>
      </c>
      <c r="K9242" t="s">
        <v>33</v>
      </c>
      <c r="L9242" t="s">
        <v>113</v>
      </c>
      <c r="N9242" t="s">
        <v>29</v>
      </c>
    </row>
    <row r="9243" spans="1:14">
      <c r="A9243" s="4" t="str">
        <f t="shared" si="827"/>
        <v>EXP00304</v>
      </c>
      <c r="B9243" s="4" t="str">
        <f t="shared" si="824"/>
        <v>26446169</v>
      </c>
      <c r="C9243" s="4" t="str">
        <f t="shared" si="825"/>
        <v>GSE73338</v>
      </c>
      <c r="D9243" s="1" t="s">
        <v>405</v>
      </c>
      <c r="E9243" t="s">
        <v>419</v>
      </c>
      <c r="F9243" s="1">
        <v>2</v>
      </c>
      <c r="G9243" s="1" t="s">
        <v>32</v>
      </c>
      <c r="H9243" s="4" t="str">
        <f>HYPERLINK("https://www.ncbi.nlm.nih.gov/geo/query/acc.cgi?acc=GSM1891305","GSM1891305")</f>
        <v>GSM1891305</v>
      </c>
      <c r="I9243" t="s">
        <v>407</v>
      </c>
      <c r="J9243" t="s">
        <v>408</v>
      </c>
      <c r="K9243" t="s">
        <v>33</v>
      </c>
      <c r="L9243" t="s">
        <v>113</v>
      </c>
      <c r="N9243" t="s">
        <v>29</v>
      </c>
    </row>
    <row r="9244" spans="1:14">
      <c r="A9244" s="4" t="str">
        <f t="shared" si="827"/>
        <v>EXP00304</v>
      </c>
      <c r="B9244" s="4" t="str">
        <f t="shared" si="824"/>
        <v>26446169</v>
      </c>
      <c r="C9244" s="4" t="str">
        <f t="shared" si="825"/>
        <v>GSE73338</v>
      </c>
      <c r="D9244" s="1" t="s">
        <v>405</v>
      </c>
      <c r="E9244" t="s">
        <v>419</v>
      </c>
      <c r="F9244" s="1">
        <v>2</v>
      </c>
      <c r="G9244" s="1" t="s">
        <v>32</v>
      </c>
      <c r="H9244" s="4" t="str">
        <f>HYPERLINK("https://www.ncbi.nlm.nih.gov/geo/query/acc.cgi?acc=GSM1891306","GSM1891306")</f>
        <v>GSM1891306</v>
      </c>
      <c r="I9244" t="s">
        <v>407</v>
      </c>
      <c r="J9244" t="s">
        <v>408</v>
      </c>
      <c r="K9244" t="s">
        <v>33</v>
      </c>
      <c r="L9244" t="s">
        <v>113</v>
      </c>
      <c r="N9244" t="s">
        <v>29</v>
      </c>
    </row>
    <row r="9245" spans="1:14">
      <c r="A9245" s="4" t="str">
        <f t="shared" si="827"/>
        <v>EXP00304</v>
      </c>
      <c r="B9245" s="4" t="str">
        <f t="shared" si="824"/>
        <v>26446169</v>
      </c>
      <c r="C9245" s="4" t="str">
        <f t="shared" si="825"/>
        <v>GSE73338</v>
      </c>
      <c r="D9245" s="1" t="s">
        <v>405</v>
      </c>
      <c r="E9245" t="s">
        <v>419</v>
      </c>
      <c r="F9245" s="1">
        <v>2</v>
      </c>
      <c r="G9245" s="1" t="s">
        <v>32</v>
      </c>
      <c r="H9245" s="4" t="str">
        <f>HYPERLINK("https://www.ncbi.nlm.nih.gov/geo/query/acc.cgi?acc=GSM1891307","GSM1891307")</f>
        <v>GSM1891307</v>
      </c>
      <c r="I9245" t="s">
        <v>407</v>
      </c>
      <c r="J9245" t="s">
        <v>420</v>
      </c>
      <c r="K9245" t="s">
        <v>33</v>
      </c>
      <c r="L9245" t="s">
        <v>113</v>
      </c>
      <c r="N9245" t="s">
        <v>29</v>
      </c>
    </row>
    <row r="9246" spans="1:14">
      <c r="A9246" s="4" t="str">
        <f t="shared" si="827"/>
        <v>EXP00304</v>
      </c>
      <c r="B9246" s="4" t="str">
        <f t="shared" si="824"/>
        <v>26446169</v>
      </c>
      <c r="C9246" s="4" t="str">
        <f t="shared" si="825"/>
        <v>GSE73338</v>
      </c>
      <c r="D9246" s="1" t="s">
        <v>405</v>
      </c>
      <c r="E9246" t="s">
        <v>419</v>
      </c>
      <c r="F9246" s="1">
        <v>2</v>
      </c>
      <c r="G9246" s="1" t="s">
        <v>32</v>
      </c>
      <c r="H9246" s="4" t="str">
        <f>HYPERLINK("https://www.ncbi.nlm.nih.gov/geo/query/acc.cgi?acc=GSM1891308","GSM1891308")</f>
        <v>GSM1891308</v>
      </c>
      <c r="I9246" t="s">
        <v>407</v>
      </c>
      <c r="J9246" t="s">
        <v>420</v>
      </c>
      <c r="K9246" t="s">
        <v>33</v>
      </c>
      <c r="L9246" t="s">
        <v>113</v>
      </c>
      <c r="N9246" t="s">
        <v>29</v>
      </c>
    </row>
    <row r="9247" spans="1:14">
      <c r="A9247" s="4" t="str">
        <f t="shared" si="827"/>
        <v>EXP00304</v>
      </c>
      <c r="B9247" s="4" t="str">
        <f t="shared" si="824"/>
        <v>26446169</v>
      </c>
      <c r="C9247" s="4" t="str">
        <f t="shared" si="825"/>
        <v>GSE73338</v>
      </c>
      <c r="D9247" s="1" t="s">
        <v>405</v>
      </c>
      <c r="E9247" t="s">
        <v>419</v>
      </c>
      <c r="F9247" s="1">
        <v>2</v>
      </c>
      <c r="G9247" s="1" t="s">
        <v>32</v>
      </c>
      <c r="H9247" s="4" t="str">
        <f>HYPERLINK("https://www.ncbi.nlm.nih.gov/geo/query/acc.cgi?acc=GSM1891309","GSM1891309")</f>
        <v>GSM1891309</v>
      </c>
      <c r="I9247" t="s">
        <v>407</v>
      </c>
      <c r="J9247" t="s">
        <v>408</v>
      </c>
      <c r="K9247" t="s">
        <v>33</v>
      </c>
      <c r="L9247" t="s">
        <v>113</v>
      </c>
      <c r="N9247" t="s">
        <v>29</v>
      </c>
    </row>
    <row r="9248" spans="1:14">
      <c r="A9248" s="4" t="str">
        <f t="shared" si="827"/>
        <v>EXP00304</v>
      </c>
      <c r="B9248" s="4" t="str">
        <f t="shared" si="824"/>
        <v>26446169</v>
      </c>
      <c r="C9248" s="4" t="str">
        <f t="shared" si="825"/>
        <v>GSE73338</v>
      </c>
      <c r="D9248" s="1" t="s">
        <v>405</v>
      </c>
      <c r="E9248" t="s">
        <v>419</v>
      </c>
      <c r="F9248" s="1">
        <v>2</v>
      </c>
      <c r="G9248" s="1" t="s">
        <v>32</v>
      </c>
      <c r="H9248" s="4" t="str">
        <f>HYPERLINK("https://www.ncbi.nlm.nih.gov/geo/query/acc.cgi?acc=GSM1891310","GSM1891310")</f>
        <v>GSM1891310</v>
      </c>
      <c r="I9248" t="s">
        <v>407</v>
      </c>
      <c r="J9248" t="s">
        <v>420</v>
      </c>
      <c r="K9248" t="s">
        <v>33</v>
      </c>
      <c r="L9248" t="s">
        <v>113</v>
      </c>
      <c r="N9248" t="s">
        <v>29</v>
      </c>
    </row>
    <row r="9249" spans="1:14">
      <c r="A9249" s="4" t="str">
        <f t="shared" si="827"/>
        <v>EXP00304</v>
      </c>
      <c r="B9249" s="4" t="str">
        <f t="shared" si="824"/>
        <v>26446169</v>
      </c>
      <c r="C9249" s="4" t="str">
        <f t="shared" si="825"/>
        <v>GSE73338</v>
      </c>
      <c r="D9249" s="1" t="s">
        <v>405</v>
      </c>
      <c r="E9249" t="s">
        <v>419</v>
      </c>
      <c r="F9249" s="1">
        <v>2</v>
      </c>
      <c r="G9249" s="1" t="s">
        <v>32</v>
      </c>
      <c r="H9249" s="4" t="str">
        <f>HYPERLINK("https://www.ncbi.nlm.nih.gov/geo/query/acc.cgi?acc=GSM1891311","GSM1891311")</f>
        <v>GSM1891311</v>
      </c>
      <c r="I9249" t="s">
        <v>407</v>
      </c>
      <c r="J9249" t="s">
        <v>408</v>
      </c>
      <c r="K9249" t="s">
        <v>33</v>
      </c>
      <c r="L9249" t="s">
        <v>113</v>
      </c>
      <c r="N9249" t="s">
        <v>29</v>
      </c>
    </row>
    <row r="9250" spans="1:14">
      <c r="A9250" s="4" t="str">
        <f t="shared" si="827"/>
        <v>EXP00304</v>
      </c>
      <c r="B9250" s="4" t="str">
        <f t="shared" si="824"/>
        <v>26446169</v>
      </c>
      <c r="C9250" s="4" t="str">
        <f t="shared" si="825"/>
        <v>GSE73338</v>
      </c>
      <c r="D9250" s="1" t="s">
        <v>405</v>
      </c>
      <c r="E9250" t="s">
        <v>419</v>
      </c>
      <c r="F9250" s="1">
        <v>2</v>
      </c>
      <c r="G9250" s="1" t="s">
        <v>32</v>
      </c>
      <c r="H9250" s="4" t="str">
        <f>HYPERLINK("https://www.ncbi.nlm.nih.gov/geo/query/acc.cgi?acc=GSM1891312","GSM1891312")</f>
        <v>GSM1891312</v>
      </c>
      <c r="I9250" t="s">
        <v>407</v>
      </c>
      <c r="J9250" t="s">
        <v>420</v>
      </c>
      <c r="K9250" t="s">
        <v>33</v>
      </c>
      <c r="L9250" t="s">
        <v>113</v>
      </c>
      <c r="N9250" t="s">
        <v>29</v>
      </c>
    </row>
    <row r="9251" spans="1:14">
      <c r="A9251" s="4" t="str">
        <f t="shared" si="827"/>
        <v>EXP00304</v>
      </c>
      <c r="B9251" s="4" t="str">
        <f t="shared" si="824"/>
        <v>26446169</v>
      </c>
      <c r="C9251" s="4" t="str">
        <f t="shared" si="825"/>
        <v>GSE73338</v>
      </c>
      <c r="D9251" s="1" t="s">
        <v>405</v>
      </c>
      <c r="E9251" t="s">
        <v>419</v>
      </c>
      <c r="F9251" s="1">
        <v>2</v>
      </c>
      <c r="G9251" s="1" t="s">
        <v>32</v>
      </c>
      <c r="H9251" s="4" t="str">
        <f>HYPERLINK("https://www.ncbi.nlm.nih.gov/geo/query/acc.cgi?acc=GSM1891313","GSM1891313")</f>
        <v>GSM1891313</v>
      </c>
      <c r="I9251" t="s">
        <v>407</v>
      </c>
      <c r="J9251" t="s">
        <v>408</v>
      </c>
      <c r="K9251" t="s">
        <v>33</v>
      </c>
      <c r="L9251" t="s">
        <v>113</v>
      </c>
      <c r="N9251" t="s">
        <v>29</v>
      </c>
    </row>
    <row r="9252" spans="1:14">
      <c r="A9252" s="4" t="str">
        <f t="shared" si="827"/>
        <v>EXP00304</v>
      </c>
      <c r="B9252" s="4" t="str">
        <f t="shared" si="824"/>
        <v>26446169</v>
      </c>
      <c r="C9252" s="4" t="str">
        <f t="shared" si="825"/>
        <v>GSE73338</v>
      </c>
      <c r="D9252" s="1" t="s">
        <v>405</v>
      </c>
      <c r="E9252" t="s">
        <v>419</v>
      </c>
      <c r="F9252" s="1">
        <v>2</v>
      </c>
      <c r="G9252" s="1" t="s">
        <v>32</v>
      </c>
      <c r="H9252" s="4" t="str">
        <f>HYPERLINK("https://www.ncbi.nlm.nih.gov/geo/query/acc.cgi?acc=GSM1891314","GSM1891314")</f>
        <v>GSM1891314</v>
      </c>
      <c r="I9252" t="s">
        <v>407</v>
      </c>
      <c r="J9252" t="s">
        <v>420</v>
      </c>
      <c r="K9252" t="s">
        <v>33</v>
      </c>
      <c r="L9252" t="s">
        <v>113</v>
      </c>
      <c r="N9252" t="s">
        <v>29</v>
      </c>
    </row>
    <row r="9253" spans="1:14">
      <c r="A9253" s="4" t="str">
        <f t="shared" si="827"/>
        <v>EXP00304</v>
      </c>
      <c r="B9253" s="4" t="str">
        <f t="shared" si="824"/>
        <v>26446169</v>
      </c>
      <c r="C9253" s="4" t="str">
        <f t="shared" si="825"/>
        <v>GSE73338</v>
      </c>
      <c r="D9253" s="1" t="s">
        <v>405</v>
      </c>
      <c r="E9253" t="s">
        <v>419</v>
      </c>
      <c r="F9253" s="1">
        <v>2</v>
      </c>
      <c r="G9253" s="1" t="s">
        <v>32</v>
      </c>
      <c r="H9253" s="4" t="str">
        <f>HYPERLINK("https://www.ncbi.nlm.nih.gov/geo/query/acc.cgi?acc=GSM1891316","GSM1891316")</f>
        <v>GSM1891316</v>
      </c>
      <c r="I9253" t="s">
        <v>407</v>
      </c>
      <c r="J9253" t="s">
        <v>420</v>
      </c>
      <c r="K9253" t="s">
        <v>33</v>
      </c>
      <c r="L9253" t="s">
        <v>113</v>
      </c>
      <c r="N9253" t="s">
        <v>29</v>
      </c>
    </row>
    <row r="9254" spans="1:14">
      <c r="A9254" s="4" t="str">
        <f t="shared" si="827"/>
        <v>EXP00304</v>
      </c>
      <c r="B9254" s="4" t="str">
        <f t="shared" si="824"/>
        <v>26446169</v>
      </c>
      <c r="C9254" s="4" t="str">
        <f t="shared" si="825"/>
        <v>GSE73338</v>
      </c>
      <c r="D9254" s="1" t="s">
        <v>405</v>
      </c>
      <c r="E9254" t="s">
        <v>419</v>
      </c>
      <c r="F9254" s="1">
        <v>2</v>
      </c>
      <c r="G9254" s="1" t="s">
        <v>32</v>
      </c>
      <c r="H9254" s="4" t="str">
        <f>HYPERLINK("https://www.ncbi.nlm.nih.gov/geo/query/acc.cgi?acc=GSM1891317","GSM1891317")</f>
        <v>GSM1891317</v>
      </c>
      <c r="I9254" t="s">
        <v>407</v>
      </c>
      <c r="J9254" t="s">
        <v>408</v>
      </c>
      <c r="K9254" t="s">
        <v>33</v>
      </c>
      <c r="L9254" t="s">
        <v>113</v>
      </c>
      <c r="N9254" t="s">
        <v>29</v>
      </c>
    </row>
    <row r="9255" spans="1:14">
      <c r="A9255" s="4" t="str">
        <f t="shared" si="827"/>
        <v>EXP00304</v>
      </c>
      <c r="B9255" s="4" t="str">
        <f t="shared" si="824"/>
        <v>26446169</v>
      </c>
      <c r="C9255" s="4" t="str">
        <f t="shared" si="825"/>
        <v>GSE73338</v>
      </c>
      <c r="D9255" s="1" t="s">
        <v>405</v>
      </c>
      <c r="E9255" t="s">
        <v>419</v>
      </c>
      <c r="F9255" s="1">
        <v>2</v>
      </c>
      <c r="G9255" s="1" t="s">
        <v>32</v>
      </c>
      <c r="H9255" s="4" t="str">
        <f>HYPERLINK("https://www.ncbi.nlm.nih.gov/geo/query/acc.cgi?acc=GSM1891318","GSM1891318")</f>
        <v>GSM1891318</v>
      </c>
      <c r="I9255" t="s">
        <v>407</v>
      </c>
      <c r="J9255" t="s">
        <v>408</v>
      </c>
      <c r="K9255" t="s">
        <v>33</v>
      </c>
      <c r="L9255" t="s">
        <v>113</v>
      </c>
      <c r="N9255" t="s">
        <v>29</v>
      </c>
    </row>
    <row r="9256" spans="1:14">
      <c r="A9256" s="4" t="str">
        <f t="shared" si="827"/>
        <v>EXP00304</v>
      </c>
      <c r="B9256" s="4" t="str">
        <f t="shared" si="824"/>
        <v>26446169</v>
      </c>
      <c r="C9256" s="4" t="str">
        <f t="shared" si="825"/>
        <v>GSE73338</v>
      </c>
      <c r="D9256" s="1" t="s">
        <v>405</v>
      </c>
      <c r="E9256" t="s">
        <v>419</v>
      </c>
      <c r="F9256" s="1">
        <v>2</v>
      </c>
      <c r="G9256" s="1" t="s">
        <v>32</v>
      </c>
      <c r="H9256" s="4" t="str">
        <f>HYPERLINK("https://www.ncbi.nlm.nih.gov/geo/query/acc.cgi?acc=GSM1891319","GSM1891319")</f>
        <v>GSM1891319</v>
      </c>
      <c r="I9256" t="s">
        <v>407</v>
      </c>
      <c r="J9256" t="s">
        <v>408</v>
      </c>
      <c r="K9256" t="s">
        <v>33</v>
      </c>
      <c r="L9256" t="s">
        <v>113</v>
      </c>
      <c r="N9256" t="s">
        <v>29</v>
      </c>
    </row>
    <row r="9257" spans="1:14">
      <c r="A9257" s="4" t="str">
        <f t="shared" ref="A9257:A9288" si="828">HYPERLINK("http://hcmdb.i-sanger.com/experiment/details/experiment_id/EXP00305","EXP00305")</f>
        <v>EXP00305</v>
      </c>
      <c r="B9257" s="4" t="str">
        <f t="shared" si="824"/>
        <v>26446169</v>
      </c>
      <c r="C9257" s="4" t="str">
        <f t="shared" si="825"/>
        <v>GSE73338</v>
      </c>
      <c r="D9257" s="1" t="s">
        <v>405</v>
      </c>
      <c r="E9257" t="s">
        <v>421</v>
      </c>
      <c r="F9257" s="1">
        <v>1</v>
      </c>
      <c r="G9257" s="1" t="s">
        <v>36</v>
      </c>
      <c r="H9257" s="4" t="str">
        <f>HYPERLINK("https://www.ncbi.nlm.nih.gov/geo/query/acc.cgi?acc=GSM1891273","GSM1891273")</f>
        <v>GSM1891273</v>
      </c>
      <c r="I9257" t="s">
        <v>407</v>
      </c>
      <c r="J9257" t="s">
        <v>408</v>
      </c>
      <c r="K9257" t="s">
        <v>33</v>
      </c>
      <c r="L9257" t="s">
        <v>113</v>
      </c>
      <c r="N9257" t="s">
        <v>37</v>
      </c>
    </row>
    <row r="9258" spans="1:14">
      <c r="A9258" s="4" t="str">
        <f t="shared" si="828"/>
        <v>EXP00305</v>
      </c>
      <c r="B9258" s="4" t="str">
        <f t="shared" si="824"/>
        <v>26446169</v>
      </c>
      <c r="C9258" s="4" t="str">
        <f t="shared" si="825"/>
        <v>GSE73338</v>
      </c>
      <c r="D9258" s="1" t="s">
        <v>405</v>
      </c>
      <c r="E9258" t="s">
        <v>421</v>
      </c>
      <c r="F9258" s="1">
        <v>1</v>
      </c>
      <c r="G9258" s="1" t="s">
        <v>36</v>
      </c>
      <c r="H9258" s="4" t="str">
        <f>HYPERLINK("https://www.ncbi.nlm.nih.gov/geo/query/acc.cgi?acc=GSM1891290","GSM1891290")</f>
        <v>GSM1891290</v>
      </c>
      <c r="I9258" t="s">
        <v>407</v>
      </c>
      <c r="J9258" t="s">
        <v>420</v>
      </c>
      <c r="K9258" t="s">
        <v>33</v>
      </c>
      <c r="L9258" t="s">
        <v>113</v>
      </c>
      <c r="N9258" t="s">
        <v>37</v>
      </c>
    </row>
    <row r="9259" spans="1:14">
      <c r="A9259" s="4" t="str">
        <f t="shared" si="828"/>
        <v>EXP00305</v>
      </c>
      <c r="B9259" s="4" t="str">
        <f t="shared" si="824"/>
        <v>26446169</v>
      </c>
      <c r="C9259" s="4" t="str">
        <f t="shared" si="825"/>
        <v>GSE73338</v>
      </c>
      <c r="D9259" s="1" t="s">
        <v>405</v>
      </c>
      <c r="E9259" t="s">
        <v>421</v>
      </c>
      <c r="F9259" s="1">
        <v>1</v>
      </c>
      <c r="G9259" s="1" t="s">
        <v>36</v>
      </c>
      <c r="H9259" s="4" t="str">
        <f>HYPERLINK("https://www.ncbi.nlm.nih.gov/geo/query/acc.cgi?acc=GSM1891293","GSM1891293")</f>
        <v>GSM1891293</v>
      </c>
      <c r="I9259" t="s">
        <v>407</v>
      </c>
      <c r="J9259" t="s">
        <v>408</v>
      </c>
      <c r="K9259" t="s">
        <v>33</v>
      </c>
      <c r="L9259" t="s">
        <v>113</v>
      </c>
      <c r="N9259" t="s">
        <v>37</v>
      </c>
    </row>
    <row r="9260" spans="1:14">
      <c r="A9260" s="4" t="str">
        <f t="shared" si="828"/>
        <v>EXP00305</v>
      </c>
      <c r="B9260" s="4" t="str">
        <f t="shared" si="824"/>
        <v>26446169</v>
      </c>
      <c r="C9260" s="4" t="str">
        <f t="shared" si="825"/>
        <v>GSE73338</v>
      </c>
      <c r="D9260" s="1" t="s">
        <v>405</v>
      </c>
      <c r="E9260" t="s">
        <v>421</v>
      </c>
      <c r="F9260" s="1">
        <v>1</v>
      </c>
      <c r="G9260" s="1" t="s">
        <v>36</v>
      </c>
      <c r="H9260" s="4" t="str">
        <f>HYPERLINK("https://www.ncbi.nlm.nih.gov/geo/query/acc.cgi?acc=GSM1891294","GSM1891294")</f>
        <v>GSM1891294</v>
      </c>
      <c r="I9260" t="s">
        <v>407</v>
      </c>
      <c r="J9260" t="s">
        <v>408</v>
      </c>
      <c r="K9260" t="s">
        <v>33</v>
      </c>
      <c r="L9260" t="s">
        <v>113</v>
      </c>
      <c r="N9260" t="s">
        <v>37</v>
      </c>
    </row>
    <row r="9261" spans="1:14">
      <c r="A9261" s="4" t="str">
        <f t="shared" si="828"/>
        <v>EXP00305</v>
      </c>
      <c r="B9261" s="4" t="str">
        <f t="shared" si="824"/>
        <v>26446169</v>
      </c>
      <c r="C9261" s="4" t="str">
        <f t="shared" si="825"/>
        <v>GSE73338</v>
      </c>
      <c r="D9261" s="1" t="s">
        <v>405</v>
      </c>
      <c r="E9261" t="s">
        <v>421</v>
      </c>
      <c r="F9261" s="1">
        <v>1</v>
      </c>
      <c r="G9261" s="1" t="s">
        <v>36</v>
      </c>
      <c r="H9261" s="4" t="str">
        <f>HYPERLINK("https://www.ncbi.nlm.nih.gov/geo/query/acc.cgi?acc=GSM1891295","GSM1891295")</f>
        <v>GSM1891295</v>
      </c>
      <c r="I9261" t="s">
        <v>407</v>
      </c>
      <c r="J9261" t="s">
        <v>408</v>
      </c>
      <c r="K9261" t="s">
        <v>33</v>
      </c>
      <c r="L9261" t="s">
        <v>113</v>
      </c>
      <c r="N9261" t="s">
        <v>37</v>
      </c>
    </row>
    <row r="9262" spans="1:14">
      <c r="A9262" s="4" t="str">
        <f t="shared" si="828"/>
        <v>EXP00305</v>
      </c>
      <c r="B9262" s="4" t="str">
        <f t="shared" ref="B9262:B9325" si="829">HYPERLINK("https://www.ncbi.nlm.nih.gov/pubmed/26446169","26446169")</f>
        <v>26446169</v>
      </c>
      <c r="C9262" s="4" t="str">
        <f t="shared" ref="C9262:C9325" si="830">HYPERLINK("https://www.ncbi.nlm.nih.gov/geo/query/acc.cgi?acc=GSE73338","GSE73338")</f>
        <v>GSE73338</v>
      </c>
      <c r="D9262" s="1" t="s">
        <v>405</v>
      </c>
      <c r="E9262" t="s">
        <v>421</v>
      </c>
      <c r="F9262" s="1">
        <v>1</v>
      </c>
      <c r="G9262" s="1" t="s">
        <v>36</v>
      </c>
      <c r="H9262" s="4" t="str">
        <f>HYPERLINK("https://www.ncbi.nlm.nih.gov/geo/query/acc.cgi?acc=GSM1891296","GSM1891296")</f>
        <v>GSM1891296</v>
      </c>
      <c r="I9262" t="s">
        <v>407</v>
      </c>
      <c r="J9262" t="s">
        <v>408</v>
      </c>
      <c r="K9262" t="s">
        <v>33</v>
      </c>
      <c r="L9262" t="s">
        <v>113</v>
      </c>
      <c r="N9262" t="s">
        <v>37</v>
      </c>
    </row>
    <row r="9263" spans="1:14">
      <c r="A9263" s="4" t="str">
        <f t="shared" si="828"/>
        <v>EXP00305</v>
      </c>
      <c r="B9263" s="4" t="str">
        <f t="shared" si="829"/>
        <v>26446169</v>
      </c>
      <c r="C9263" s="4" t="str">
        <f t="shared" si="830"/>
        <v>GSE73338</v>
      </c>
      <c r="D9263" s="1" t="s">
        <v>405</v>
      </c>
      <c r="E9263" t="s">
        <v>421</v>
      </c>
      <c r="F9263" s="1">
        <v>2</v>
      </c>
      <c r="G9263" s="1" t="s">
        <v>28</v>
      </c>
      <c r="H9263" s="4" t="str">
        <f>HYPERLINK("https://www.ncbi.nlm.nih.gov/geo/query/acc.cgi?acc=GSM1891230","GSM1891230")</f>
        <v>GSM1891230</v>
      </c>
      <c r="I9263" t="s">
        <v>407</v>
      </c>
      <c r="J9263" t="s">
        <v>408</v>
      </c>
      <c r="K9263" t="s">
        <v>33</v>
      </c>
      <c r="L9263" t="s">
        <v>113</v>
      </c>
      <c r="N9263" t="s">
        <v>29</v>
      </c>
    </row>
    <row r="9264" spans="1:14">
      <c r="A9264" s="4" t="str">
        <f t="shared" si="828"/>
        <v>EXP00305</v>
      </c>
      <c r="B9264" s="4" t="str">
        <f t="shared" si="829"/>
        <v>26446169</v>
      </c>
      <c r="C9264" s="4" t="str">
        <f t="shared" si="830"/>
        <v>GSE73338</v>
      </c>
      <c r="D9264" s="1" t="s">
        <v>405</v>
      </c>
      <c r="E9264" t="s">
        <v>421</v>
      </c>
      <c r="F9264" s="1">
        <v>2</v>
      </c>
      <c r="G9264" s="1" t="s">
        <v>28</v>
      </c>
      <c r="H9264" s="4" t="str">
        <f>HYPERLINK("https://www.ncbi.nlm.nih.gov/geo/query/acc.cgi?acc=GSM1891231","GSM1891231")</f>
        <v>GSM1891231</v>
      </c>
      <c r="I9264" t="s">
        <v>407</v>
      </c>
      <c r="J9264" t="s">
        <v>408</v>
      </c>
      <c r="K9264" t="s">
        <v>33</v>
      </c>
      <c r="L9264" t="s">
        <v>113</v>
      </c>
      <c r="N9264" t="s">
        <v>29</v>
      </c>
    </row>
    <row r="9265" spans="1:14">
      <c r="A9265" s="4" t="str">
        <f t="shared" si="828"/>
        <v>EXP00305</v>
      </c>
      <c r="B9265" s="4" t="str">
        <f t="shared" si="829"/>
        <v>26446169</v>
      </c>
      <c r="C9265" s="4" t="str">
        <f t="shared" si="830"/>
        <v>GSE73338</v>
      </c>
      <c r="D9265" s="1" t="s">
        <v>405</v>
      </c>
      <c r="E9265" t="s">
        <v>421</v>
      </c>
      <c r="F9265" s="1">
        <v>2</v>
      </c>
      <c r="G9265" s="1" t="s">
        <v>28</v>
      </c>
      <c r="H9265" s="4" t="str">
        <f>HYPERLINK("https://www.ncbi.nlm.nih.gov/geo/query/acc.cgi?acc=GSM1891232","GSM1891232")</f>
        <v>GSM1891232</v>
      </c>
      <c r="I9265" t="s">
        <v>407</v>
      </c>
      <c r="J9265" t="s">
        <v>420</v>
      </c>
      <c r="K9265" t="s">
        <v>33</v>
      </c>
      <c r="L9265" t="s">
        <v>113</v>
      </c>
      <c r="N9265" t="s">
        <v>29</v>
      </c>
    </row>
    <row r="9266" spans="1:14">
      <c r="A9266" s="4" t="str">
        <f t="shared" si="828"/>
        <v>EXP00305</v>
      </c>
      <c r="B9266" s="4" t="str">
        <f t="shared" si="829"/>
        <v>26446169</v>
      </c>
      <c r="C9266" s="4" t="str">
        <f t="shared" si="830"/>
        <v>GSE73338</v>
      </c>
      <c r="D9266" s="1" t="s">
        <v>405</v>
      </c>
      <c r="E9266" t="s">
        <v>421</v>
      </c>
      <c r="F9266" s="1">
        <v>2</v>
      </c>
      <c r="G9266" s="1" t="s">
        <v>28</v>
      </c>
      <c r="H9266" s="4" t="str">
        <f>HYPERLINK("https://www.ncbi.nlm.nih.gov/geo/query/acc.cgi?acc=GSM1891233","GSM1891233")</f>
        <v>GSM1891233</v>
      </c>
      <c r="I9266" t="s">
        <v>407</v>
      </c>
      <c r="J9266" t="s">
        <v>408</v>
      </c>
      <c r="K9266" t="s">
        <v>33</v>
      </c>
      <c r="L9266" t="s">
        <v>113</v>
      </c>
      <c r="N9266" t="s">
        <v>29</v>
      </c>
    </row>
    <row r="9267" spans="1:14">
      <c r="A9267" s="4" t="str">
        <f t="shared" si="828"/>
        <v>EXP00305</v>
      </c>
      <c r="B9267" s="4" t="str">
        <f t="shared" si="829"/>
        <v>26446169</v>
      </c>
      <c r="C9267" s="4" t="str">
        <f t="shared" si="830"/>
        <v>GSE73338</v>
      </c>
      <c r="D9267" s="1" t="s">
        <v>405</v>
      </c>
      <c r="E9267" t="s">
        <v>421</v>
      </c>
      <c r="F9267" s="1">
        <v>2</v>
      </c>
      <c r="G9267" s="1" t="s">
        <v>28</v>
      </c>
      <c r="H9267" s="4" t="str">
        <f>HYPERLINK("https://www.ncbi.nlm.nih.gov/geo/query/acc.cgi?acc=GSM1891234","GSM1891234")</f>
        <v>GSM1891234</v>
      </c>
      <c r="I9267" t="s">
        <v>407</v>
      </c>
      <c r="J9267" t="s">
        <v>408</v>
      </c>
      <c r="K9267" t="s">
        <v>33</v>
      </c>
      <c r="L9267" t="s">
        <v>113</v>
      </c>
      <c r="N9267" t="s">
        <v>29</v>
      </c>
    </row>
    <row r="9268" spans="1:14">
      <c r="A9268" s="4" t="str">
        <f t="shared" si="828"/>
        <v>EXP00305</v>
      </c>
      <c r="B9268" s="4" t="str">
        <f t="shared" si="829"/>
        <v>26446169</v>
      </c>
      <c r="C9268" s="4" t="str">
        <f t="shared" si="830"/>
        <v>GSE73338</v>
      </c>
      <c r="D9268" s="1" t="s">
        <v>405</v>
      </c>
      <c r="E9268" t="s">
        <v>421</v>
      </c>
      <c r="F9268" s="1">
        <v>2</v>
      </c>
      <c r="G9268" s="1" t="s">
        <v>28</v>
      </c>
      <c r="H9268" s="4" t="str">
        <f>HYPERLINK("https://www.ncbi.nlm.nih.gov/geo/query/acc.cgi?acc=GSM1891235","GSM1891235")</f>
        <v>GSM1891235</v>
      </c>
      <c r="I9268" t="s">
        <v>407</v>
      </c>
      <c r="J9268" t="s">
        <v>408</v>
      </c>
      <c r="K9268" t="s">
        <v>33</v>
      </c>
      <c r="L9268" t="s">
        <v>113</v>
      </c>
      <c r="N9268" t="s">
        <v>29</v>
      </c>
    </row>
    <row r="9269" spans="1:14">
      <c r="A9269" s="4" t="str">
        <f t="shared" si="828"/>
        <v>EXP00305</v>
      </c>
      <c r="B9269" s="4" t="str">
        <f t="shared" si="829"/>
        <v>26446169</v>
      </c>
      <c r="C9269" s="4" t="str">
        <f t="shared" si="830"/>
        <v>GSE73338</v>
      </c>
      <c r="D9269" s="1" t="s">
        <v>405</v>
      </c>
      <c r="E9269" t="s">
        <v>421</v>
      </c>
      <c r="F9269" s="1">
        <v>2</v>
      </c>
      <c r="G9269" s="1" t="s">
        <v>28</v>
      </c>
      <c r="H9269" s="4" t="str">
        <f>HYPERLINK("https://www.ncbi.nlm.nih.gov/geo/query/acc.cgi?acc=GSM1891236","GSM1891236")</f>
        <v>GSM1891236</v>
      </c>
      <c r="I9269" t="s">
        <v>407</v>
      </c>
      <c r="J9269" t="s">
        <v>408</v>
      </c>
      <c r="K9269" t="s">
        <v>33</v>
      </c>
      <c r="L9269" t="s">
        <v>113</v>
      </c>
      <c r="N9269" t="s">
        <v>29</v>
      </c>
    </row>
    <row r="9270" spans="1:14">
      <c r="A9270" s="4" t="str">
        <f t="shared" si="828"/>
        <v>EXP00305</v>
      </c>
      <c r="B9270" s="4" t="str">
        <f t="shared" si="829"/>
        <v>26446169</v>
      </c>
      <c r="C9270" s="4" t="str">
        <f t="shared" si="830"/>
        <v>GSE73338</v>
      </c>
      <c r="D9270" s="1" t="s">
        <v>405</v>
      </c>
      <c r="E9270" t="s">
        <v>421</v>
      </c>
      <c r="F9270" s="1">
        <v>2</v>
      </c>
      <c r="G9270" s="1" t="s">
        <v>28</v>
      </c>
      <c r="H9270" s="4" t="str">
        <f>HYPERLINK("https://www.ncbi.nlm.nih.gov/geo/query/acc.cgi?acc=GSM1891238","GSM1891238")</f>
        <v>GSM1891238</v>
      </c>
      <c r="I9270" t="s">
        <v>407</v>
      </c>
      <c r="J9270" t="s">
        <v>420</v>
      </c>
      <c r="K9270" t="s">
        <v>33</v>
      </c>
      <c r="L9270" t="s">
        <v>113</v>
      </c>
      <c r="N9270" t="s">
        <v>29</v>
      </c>
    </row>
    <row r="9271" spans="1:14">
      <c r="A9271" s="4" t="str">
        <f t="shared" si="828"/>
        <v>EXP00305</v>
      </c>
      <c r="B9271" s="4" t="str">
        <f t="shared" si="829"/>
        <v>26446169</v>
      </c>
      <c r="C9271" s="4" t="str">
        <f t="shared" si="830"/>
        <v>GSE73338</v>
      </c>
      <c r="D9271" s="1" t="s">
        <v>405</v>
      </c>
      <c r="E9271" t="s">
        <v>421</v>
      </c>
      <c r="F9271" s="1">
        <v>2</v>
      </c>
      <c r="G9271" s="1" t="s">
        <v>28</v>
      </c>
      <c r="H9271" s="4" t="str">
        <f>HYPERLINK("https://www.ncbi.nlm.nih.gov/geo/query/acc.cgi?acc=GSM1891239","GSM1891239")</f>
        <v>GSM1891239</v>
      </c>
      <c r="I9271" t="s">
        <v>407</v>
      </c>
      <c r="J9271" t="s">
        <v>420</v>
      </c>
      <c r="K9271" t="s">
        <v>33</v>
      </c>
      <c r="L9271" t="s">
        <v>113</v>
      </c>
      <c r="N9271" t="s">
        <v>29</v>
      </c>
    </row>
    <row r="9272" spans="1:14">
      <c r="A9272" s="4" t="str">
        <f t="shared" si="828"/>
        <v>EXP00305</v>
      </c>
      <c r="B9272" s="4" t="str">
        <f t="shared" si="829"/>
        <v>26446169</v>
      </c>
      <c r="C9272" s="4" t="str">
        <f t="shared" si="830"/>
        <v>GSE73338</v>
      </c>
      <c r="D9272" s="1" t="s">
        <v>405</v>
      </c>
      <c r="E9272" t="s">
        <v>421</v>
      </c>
      <c r="F9272" s="1">
        <v>2</v>
      </c>
      <c r="G9272" s="1" t="s">
        <v>28</v>
      </c>
      <c r="H9272" s="4" t="str">
        <f>HYPERLINK("https://www.ncbi.nlm.nih.gov/geo/query/acc.cgi?acc=GSM1891240","GSM1891240")</f>
        <v>GSM1891240</v>
      </c>
      <c r="I9272" t="s">
        <v>407</v>
      </c>
      <c r="J9272" t="s">
        <v>420</v>
      </c>
      <c r="K9272" t="s">
        <v>33</v>
      </c>
      <c r="L9272" t="s">
        <v>113</v>
      </c>
      <c r="N9272" t="s">
        <v>29</v>
      </c>
    </row>
    <row r="9273" spans="1:14">
      <c r="A9273" s="4" t="str">
        <f t="shared" si="828"/>
        <v>EXP00305</v>
      </c>
      <c r="B9273" s="4" t="str">
        <f t="shared" si="829"/>
        <v>26446169</v>
      </c>
      <c r="C9273" s="4" t="str">
        <f t="shared" si="830"/>
        <v>GSE73338</v>
      </c>
      <c r="D9273" s="1" t="s">
        <v>405</v>
      </c>
      <c r="E9273" t="s">
        <v>421</v>
      </c>
      <c r="F9273" s="1">
        <v>2</v>
      </c>
      <c r="G9273" s="1" t="s">
        <v>28</v>
      </c>
      <c r="H9273" s="4" t="str">
        <f>HYPERLINK("https://www.ncbi.nlm.nih.gov/geo/query/acc.cgi?acc=GSM1891241","GSM1891241")</f>
        <v>GSM1891241</v>
      </c>
      <c r="I9273" t="s">
        <v>407</v>
      </c>
      <c r="J9273" t="s">
        <v>408</v>
      </c>
      <c r="K9273" t="s">
        <v>33</v>
      </c>
      <c r="L9273" t="s">
        <v>113</v>
      </c>
      <c r="N9273" t="s">
        <v>29</v>
      </c>
    </row>
    <row r="9274" spans="1:14">
      <c r="A9274" s="4" t="str">
        <f t="shared" si="828"/>
        <v>EXP00305</v>
      </c>
      <c r="B9274" s="4" t="str">
        <f t="shared" si="829"/>
        <v>26446169</v>
      </c>
      <c r="C9274" s="4" t="str">
        <f t="shared" si="830"/>
        <v>GSE73338</v>
      </c>
      <c r="D9274" s="1" t="s">
        <v>405</v>
      </c>
      <c r="E9274" t="s">
        <v>421</v>
      </c>
      <c r="F9274" s="1">
        <v>2</v>
      </c>
      <c r="G9274" s="1" t="s">
        <v>28</v>
      </c>
      <c r="H9274" s="4" t="str">
        <f>HYPERLINK("https://www.ncbi.nlm.nih.gov/geo/query/acc.cgi?acc=GSM1891242","GSM1891242")</f>
        <v>GSM1891242</v>
      </c>
      <c r="I9274" t="s">
        <v>407</v>
      </c>
      <c r="J9274" t="s">
        <v>408</v>
      </c>
      <c r="K9274" t="s">
        <v>33</v>
      </c>
      <c r="L9274" t="s">
        <v>113</v>
      </c>
      <c r="N9274" t="s">
        <v>29</v>
      </c>
    </row>
    <row r="9275" spans="1:14">
      <c r="A9275" s="4" t="str">
        <f t="shared" si="828"/>
        <v>EXP00305</v>
      </c>
      <c r="B9275" s="4" t="str">
        <f t="shared" si="829"/>
        <v>26446169</v>
      </c>
      <c r="C9275" s="4" t="str">
        <f t="shared" si="830"/>
        <v>GSE73338</v>
      </c>
      <c r="D9275" s="1" t="s">
        <v>405</v>
      </c>
      <c r="E9275" t="s">
        <v>421</v>
      </c>
      <c r="F9275" s="1">
        <v>2</v>
      </c>
      <c r="G9275" s="1" t="s">
        <v>28</v>
      </c>
      <c r="H9275" s="4" t="str">
        <f>HYPERLINK("https://www.ncbi.nlm.nih.gov/geo/query/acc.cgi?acc=GSM1891243","GSM1891243")</f>
        <v>GSM1891243</v>
      </c>
      <c r="I9275" t="s">
        <v>407</v>
      </c>
      <c r="J9275" t="s">
        <v>408</v>
      </c>
      <c r="K9275" t="s">
        <v>33</v>
      </c>
      <c r="L9275" t="s">
        <v>113</v>
      </c>
      <c r="N9275" t="s">
        <v>29</v>
      </c>
    </row>
    <row r="9276" spans="1:14">
      <c r="A9276" s="4" t="str">
        <f t="shared" si="828"/>
        <v>EXP00305</v>
      </c>
      <c r="B9276" s="4" t="str">
        <f t="shared" si="829"/>
        <v>26446169</v>
      </c>
      <c r="C9276" s="4" t="str">
        <f t="shared" si="830"/>
        <v>GSE73338</v>
      </c>
      <c r="D9276" s="1" t="s">
        <v>405</v>
      </c>
      <c r="E9276" t="s">
        <v>421</v>
      </c>
      <c r="F9276" s="1">
        <v>2</v>
      </c>
      <c r="G9276" s="1" t="s">
        <v>28</v>
      </c>
      <c r="H9276" s="4" t="str">
        <f>HYPERLINK("https://www.ncbi.nlm.nih.gov/geo/query/acc.cgi?acc=GSM1891244","GSM1891244")</f>
        <v>GSM1891244</v>
      </c>
      <c r="I9276" t="s">
        <v>407</v>
      </c>
      <c r="J9276" t="s">
        <v>420</v>
      </c>
      <c r="K9276" t="s">
        <v>33</v>
      </c>
      <c r="L9276" t="s">
        <v>113</v>
      </c>
      <c r="N9276" t="s">
        <v>29</v>
      </c>
    </row>
    <row r="9277" spans="1:14">
      <c r="A9277" s="4" t="str">
        <f t="shared" si="828"/>
        <v>EXP00305</v>
      </c>
      <c r="B9277" s="4" t="str">
        <f t="shared" si="829"/>
        <v>26446169</v>
      </c>
      <c r="C9277" s="4" t="str">
        <f t="shared" si="830"/>
        <v>GSE73338</v>
      </c>
      <c r="D9277" s="1" t="s">
        <v>405</v>
      </c>
      <c r="E9277" t="s">
        <v>421</v>
      </c>
      <c r="F9277" s="1">
        <v>2</v>
      </c>
      <c r="G9277" s="1" t="s">
        <v>28</v>
      </c>
      <c r="H9277" s="4" t="str">
        <f>HYPERLINK("https://www.ncbi.nlm.nih.gov/geo/query/acc.cgi?acc=GSM1891245","GSM1891245")</f>
        <v>GSM1891245</v>
      </c>
      <c r="I9277" t="s">
        <v>407</v>
      </c>
      <c r="J9277" t="s">
        <v>408</v>
      </c>
      <c r="K9277" t="s">
        <v>33</v>
      </c>
      <c r="L9277" t="s">
        <v>113</v>
      </c>
      <c r="N9277" t="s">
        <v>29</v>
      </c>
    </row>
    <row r="9278" spans="1:14">
      <c r="A9278" s="4" t="str">
        <f t="shared" si="828"/>
        <v>EXP00305</v>
      </c>
      <c r="B9278" s="4" t="str">
        <f t="shared" si="829"/>
        <v>26446169</v>
      </c>
      <c r="C9278" s="4" t="str">
        <f t="shared" si="830"/>
        <v>GSE73338</v>
      </c>
      <c r="D9278" s="1" t="s">
        <v>405</v>
      </c>
      <c r="E9278" t="s">
        <v>421</v>
      </c>
      <c r="F9278" s="1">
        <v>2</v>
      </c>
      <c r="G9278" s="1" t="s">
        <v>28</v>
      </c>
      <c r="H9278" s="4" t="str">
        <f>HYPERLINK("https://www.ncbi.nlm.nih.gov/geo/query/acc.cgi?acc=GSM1891246","GSM1891246")</f>
        <v>GSM1891246</v>
      </c>
      <c r="I9278" t="s">
        <v>407</v>
      </c>
      <c r="J9278" t="s">
        <v>408</v>
      </c>
      <c r="K9278" t="s">
        <v>33</v>
      </c>
      <c r="L9278" t="s">
        <v>113</v>
      </c>
      <c r="N9278" t="s">
        <v>29</v>
      </c>
    </row>
    <row r="9279" spans="1:14">
      <c r="A9279" s="4" t="str">
        <f t="shared" si="828"/>
        <v>EXP00305</v>
      </c>
      <c r="B9279" s="4" t="str">
        <f t="shared" si="829"/>
        <v>26446169</v>
      </c>
      <c r="C9279" s="4" t="str">
        <f t="shared" si="830"/>
        <v>GSE73338</v>
      </c>
      <c r="D9279" s="1" t="s">
        <v>405</v>
      </c>
      <c r="E9279" t="s">
        <v>421</v>
      </c>
      <c r="F9279" s="1">
        <v>2</v>
      </c>
      <c r="G9279" s="1" t="s">
        <v>28</v>
      </c>
      <c r="H9279" s="4" t="str">
        <f>HYPERLINK("https://www.ncbi.nlm.nih.gov/geo/query/acc.cgi?acc=GSM1891247","GSM1891247")</f>
        <v>GSM1891247</v>
      </c>
      <c r="I9279" t="s">
        <v>407</v>
      </c>
      <c r="J9279" t="s">
        <v>408</v>
      </c>
      <c r="K9279" t="s">
        <v>33</v>
      </c>
      <c r="L9279" t="s">
        <v>113</v>
      </c>
      <c r="N9279" t="s">
        <v>29</v>
      </c>
    </row>
    <row r="9280" spans="1:14">
      <c r="A9280" s="4" t="str">
        <f t="shared" si="828"/>
        <v>EXP00305</v>
      </c>
      <c r="B9280" s="4" t="str">
        <f t="shared" si="829"/>
        <v>26446169</v>
      </c>
      <c r="C9280" s="4" t="str">
        <f t="shared" si="830"/>
        <v>GSE73338</v>
      </c>
      <c r="D9280" s="1" t="s">
        <v>405</v>
      </c>
      <c r="E9280" t="s">
        <v>421</v>
      </c>
      <c r="F9280" s="1">
        <v>2</v>
      </c>
      <c r="G9280" s="1" t="s">
        <v>28</v>
      </c>
      <c r="H9280" s="4" t="str">
        <f>HYPERLINK("https://www.ncbi.nlm.nih.gov/geo/query/acc.cgi?acc=GSM1891248","GSM1891248")</f>
        <v>GSM1891248</v>
      </c>
      <c r="I9280" t="s">
        <v>407</v>
      </c>
      <c r="J9280" t="s">
        <v>408</v>
      </c>
      <c r="K9280" t="s">
        <v>33</v>
      </c>
      <c r="L9280" t="s">
        <v>113</v>
      </c>
      <c r="N9280" t="s">
        <v>29</v>
      </c>
    </row>
    <row r="9281" spans="1:14">
      <c r="A9281" s="4" t="str">
        <f t="shared" si="828"/>
        <v>EXP00305</v>
      </c>
      <c r="B9281" s="4" t="str">
        <f t="shared" si="829"/>
        <v>26446169</v>
      </c>
      <c r="C9281" s="4" t="str">
        <f t="shared" si="830"/>
        <v>GSE73338</v>
      </c>
      <c r="D9281" s="1" t="s">
        <v>405</v>
      </c>
      <c r="E9281" t="s">
        <v>421</v>
      </c>
      <c r="F9281" s="1">
        <v>2</v>
      </c>
      <c r="G9281" s="1" t="s">
        <v>28</v>
      </c>
      <c r="H9281" s="4" t="str">
        <f>HYPERLINK("https://www.ncbi.nlm.nih.gov/geo/query/acc.cgi?acc=GSM1891249","GSM1891249")</f>
        <v>GSM1891249</v>
      </c>
      <c r="I9281" t="s">
        <v>407</v>
      </c>
      <c r="J9281" t="s">
        <v>408</v>
      </c>
      <c r="K9281" t="s">
        <v>33</v>
      </c>
      <c r="L9281" t="s">
        <v>113</v>
      </c>
      <c r="N9281" t="s">
        <v>29</v>
      </c>
    </row>
    <row r="9282" spans="1:14">
      <c r="A9282" s="4" t="str">
        <f t="shared" si="828"/>
        <v>EXP00305</v>
      </c>
      <c r="B9282" s="4" t="str">
        <f t="shared" si="829"/>
        <v>26446169</v>
      </c>
      <c r="C9282" s="4" t="str">
        <f t="shared" si="830"/>
        <v>GSE73338</v>
      </c>
      <c r="D9282" s="1" t="s">
        <v>405</v>
      </c>
      <c r="E9282" t="s">
        <v>421</v>
      </c>
      <c r="F9282" s="1">
        <v>2</v>
      </c>
      <c r="G9282" s="1" t="s">
        <v>28</v>
      </c>
      <c r="H9282" s="4" t="str">
        <f>HYPERLINK("https://www.ncbi.nlm.nih.gov/geo/query/acc.cgi?acc=GSM1891250","GSM1891250")</f>
        <v>GSM1891250</v>
      </c>
      <c r="I9282" t="s">
        <v>407</v>
      </c>
      <c r="J9282" t="s">
        <v>408</v>
      </c>
      <c r="K9282" t="s">
        <v>33</v>
      </c>
      <c r="L9282" t="s">
        <v>113</v>
      </c>
      <c r="N9282" t="s">
        <v>29</v>
      </c>
    </row>
    <row r="9283" spans="1:14">
      <c r="A9283" s="4" t="str">
        <f t="shared" si="828"/>
        <v>EXP00305</v>
      </c>
      <c r="B9283" s="4" t="str">
        <f t="shared" si="829"/>
        <v>26446169</v>
      </c>
      <c r="C9283" s="4" t="str">
        <f t="shared" si="830"/>
        <v>GSE73338</v>
      </c>
      <c r="D9283" s="1" t="s">
        <v>405</v>
      </c>
      <c r="E9283" t="s">
        <v>421</v>
      </c>
      <c r="F9283" s="1">
        <v>2</v>
      </c>
      <c r="G9283" s="1" t="s">
        <v>28</v>
      </c>
      <c r="H9283" s="4" t="str">
        <f>HYPERLINK("https://www.ncbi.nlm.nih.gov/geo/query/acc.cgi?acc=GSM1891251","GSM1891251")</f>
        <v>GSM1891251</v>
      </c>
      <c r="I9283" t="s">
        <v>407</v>
      </c>
      <c r="J9283" t="s">
        <v>408</v>
      </c>
      <c r="K9283" t="s">
        <v>33</v>
      </c>
      <c r="L9283" t="s">
        <v>113</v>
      </c>
      <c r="N9283" t="s">
        <v>29</v>
      </c>
    </row>
    <row r="9284" spans="1:14">
      <c r="A9284" s="4" t="str">
        <f t="shared" si="828"/>
        <v>EXP00305</v>
      </c>
      <c r="B9284" s="4" t="str">
        <f t="shared" si="829"/>
        <v>26446169</v>
      </c>
      <c r="C9284" s="4" t="str">
        <f t="shared" si="830"/>
        <v>GSE73338</v>
      </c>
      <c r="D9284" s="1" t="s">
        <v>405</v>
      </c>
      <c r="E9284" t="s">
        <v>421</v>
      </c>
      <c r="F9284" s="1">
        <v>2</v>
      </c>
      <c r="G9284" s="1" t="s">
        <v>28</v>
      </c>
      <c r="H9284" s="4" t="str">
        <f>HYPERLINK("https://www.ncbi.nlm.nih.gov/geo/query/acc.cgi?acc=GSM1891252","GSM1891252")</f>
        <v>GSM1891252</v>
      </c>
      <c r="I9284" t="s">
        <v>407</v>
      </c>
      <c r="J9284" t="s">
        <v>420</v>
      </c>
      <c r="K9284" t="s">
        <v>33</v>
      </c>
      <c r="L9284" t="s">
        <v>113</v>
      </c>
      <c r="N9284" t="s">
        <v>29</v>
      </c>
    </row>
    <row r="9285" spans="1:14">
      <c r="A9285" s="4" t="str">
        <f t="shared" si="828"/>
        <v>EXP00305</v>
      </c>
      <c r="B9285" s="4" t="str">
        <f t="shared" si="829"/>
        <v>26446169</v>
      </c>
      <c r="C9285" s="4" t="str">
        <f t="shared" si="830"/>
        <v>GSE73338</v>
      </c>
      <c r="D9285" s="1" t="s">
        <v>405</v>
      </c>
      <c r="E9285" t="s">
        <v>421</v>
      </c>
      <c r="F9285" s="1">
        <v>2</v>
      </c>
      <c r="G9285" s="1" t="s">
        <v>28</v>
      </c>
      <c r="H9285" s="4" t="str">
        <f>HYPERLINK("https://www.ncbi.nlm.nih.gov/geo/query/acc.cgi?acc=GSM1891253","GSM1891253")</f>
        <v>GSM1891253</v>
      </c>
      <c r="I9285" t="s">
        <v>407</v>
      </c>
      <c r="J9285" t="s">
        <v>408</v>
      </c>
      <c r="K9285" t="s">
        <v>33</v>
      </c>
      <c r="L9285" t="s">
        <v>113</v>
      </c>
      <c r="N9285" t="s">
        <v>29</v>
      </c>
    </row>
    <row r="9286" spans="1:14">
      <c r="A9286" s="4" t="str">
        <f t="shared" si="828"/>
        <v>EXP00305</v>
      </c>
      <c r="B9286" s="4" t="str">
        <f t="shared" si="829"/>
        <v>26446169</v>
      </c>
      <c r="C9286" s="4" t="str">
        <f t="shared" si="830"/>
        <v>GSE73338</v>
      </c>
      <c r="D9286" s="1" t="s">
        <v>405</v>
      </c>
      <c r="E9286" t="s">
        <v>421</v>
      </c>
      <c r="F9286" s="1">
        <v>2</v>
      </c>
      <c r="G9286" s="1" t="s">
        <v>28</v>
      </c>
      <c r="H9286" s="4" t="str">
        <f>HYPERLINK("https://www.ncbi.nlm.nih.gov/geo/query/acc.cgi?acc=GSM1891254","GSM1891254")</f>
        <v>GSM1891254</v>
      </c>
      <c r="I9286" t="s">
        <v>407</v>
      </c>
      <c r="J9286" t="s">
        <v>408</v>
      </c>
      <c r="K9286" t="s">
        <v>33</v>
      </c>
      <c r="L9286" t="s">
        <v>113</v>
      </c>
      <c r="N9286" t="s">
        <v>29</v>
      </c>
    </row>
    <row r="9287" spans="1:14">
      <c r="A9287" s="4" t="str">
        <f t="shared" si="828"/>
        <v>EXP00305</v>
      </c>
      <c r="B9287" s="4" t="str">
        <f t="shared" si="829"/>
        <v>26446169</v>
      </c>
      <c r="C9287" s="4" t="str">
        <f t="shared" si="830"/>
        <v>GSE73338</v>
      </c>
      <c r="D9287" s="1" t="s">
        <v>405</v>
      </c>
      <c r="E9287" t="s">
        <v>421</v>
      </c>
      <c r="F9287" s="1">
        <v>2</v>
      </c>
      <c r="G9287" s="1" t="s">
        <v>28</v>
      </c>
      <c r="H9287" s="4" t="str">
        <f>HYPERLINK("https://www.ncbi.nlm.nih.gov/geo/query/acc.cgi?acc=GSM1891256","GSM1891256")</f>
        <v>GSM1891256</v>
      </c>
      <c r="I9287" t="s">
        <v>407</v>
      </c>
      <c r="J9287" t="s">
        <v>420</v>
      </c>
      <c r="K9287" t="s">
        <v>33</v>
      </c>
      <c r="L9287" t="s">
        <v>113</v>
      </c>
      <c r="N9287" t="s">
        <v>29</v>
      </c>
    </row>
    <row r="9288" spans="1:14">
      <c r="A9288" s="4" t="str">
        <f t="shared" si="828"/>
        <v>EXP00305</v>
      </c>
      <c r="B9288" s="4" t="str">
        <f t="shared" si="829"/>
        <v>26446169</v>
      </c>
      <c r="C9288" s="4" t="str">
        <f t="shared" si="830"/>
        <v>GSE73338</v>
      </c>
      <c r="D9288" s="1" t="s">
        <v>405</v>
      </c>
      <c r="E9288" t="s">
        <v>421</v>
      </c>
      <c r="F9288" s="1">
        <v>2</v>
      </c>
      <c r="G9288" s="1" t="s">
        <v>28</v>
      </c>
      <c r="H9288" s="4" t="str">
        <f>HYPERLINK("https://www.ncbi.nlm.nih.gov/geo/query/acc.cgi?acc=GSM1891257","GSM1891257")</f>
        <v>GSM1891257</v>
      </c>
      <c r="I9288" t="s">
        <v>407</v>
      </c>
      <c r="J9288" t="s">
        <v>408</v>
      </c>
      <c r="K9288" t="s">
        <v>33</v>
      </c>
      <c r="L9288" t="s">
        <v>113</v>
      </c>
      <c r="N9288" t="s">
        <v>29</v>
      </c>
    </row>
    <row r="9289" spans="1:14">
      <c r="A9289" s="4" t="str">
        <f t="shared" ref="A9289:A9320" si="831">HYPERLINK("http://hcmdb.i-sanger.com/experiment/details/experiment_id/EXP00305","EXP00305")</f>
        <v>EXP00305</v>
      </c>
      <c r="B9289" s="4" t="str">
        <f t="shared" si="829"/>
        <v>26446169</v>
      </c>
      <c r="C9289" s="4" t="str">
        <f t="shared" si="830"/>
        <v>GSE73338</v>
      </c>
      <c r="D9289" s="1" t="s">
        <v>405</v>
      </c>
      <c r="E9289" t="s">
        <v>421</v>
      </c>
      <c r="F9289" s="1">
        <v>2</v>
      </c>
      <c r="G9289" s="1" t="s">
        <v>28</v>
      </c>
      <c r="H9289" s="4" t="str">
        <f>HYPERLINK("https://www.ncbi.nlm.nih.gov/geo/query/acc.cgi?acc=GSM1891258","GSM1891258")</f>
        <v>GSM1891258</v>
      </c>
      <c r="I9289" t="s">
        <v>407</v>
      </c>
      <c r="J9289" t="s">
        <v>420</v>
      </c>
      <c r="K9289" t="s">
        <v>33</v>
      </c>
      <c r="L9289" t="s">
        <v>113</v>
      </c>
      <c r="N9289" t="s">
        <v>29</v>
      </c>
    </row>
    <row r="9290" spans="1:14">
      <c r="A9290" s="4" t="str">
        <f t="shared" si="831"/>
        <v>EXP00305</v>
      </c>
      <c r="B9290" s="4" t="str">
        <f t="shared" si="829"/>
        <v>26446169</v>
      </c>
      <c r="C9290" s="4" t="str">
        <f t="shared" si="830"/>
        <v>GSE73338</v>
      </c>
      <c r="D9290" s="1" t="s">
        <v>405</v>
      </c>
      <c r="E9290" t="s">
        <v>421</v>
      </c>
      <c r="F9290" s="1">
        <v>2</v>
      </c>
      <c r="G9290" s="1" t="s">
        <v>28</v>
      </c>
      <c r="H9290" s="4" t="str">
        <f>HYPERLINK("https://www.ncbi.nlm.nih.gov/geo/query/acc.cgi?acc=GSM1891259","GSM1891259")</f>
        <v>GSM1891259</v>
      </c>
      <c r="I9290" t="s">
        <v>407</v>
      </c>
      <c r="J9290" t="s">
        <v>408</v>
      </c>
      <c r="K9290" t="s">
        <v>33</v>
      </c>
      <c r="L9290" t="s">
        <v>113</v>
      </c>
      <c r="N9290" t="s">
        <v>29</v>
      </c>
    </row>
    <row r="9291" spans="1:14">
      <c r="A9291" s="4" t="str">
        <f t="shared" si="831"/>
        <v>EXP00305</v>
      </c>
      <c r="B9291" s="4" t="str">
        <f t="shared" si="829"/>
        <v>26446169</v>
      </c>
      <c r="C9291" s="4" t="str">
        <f t="shared" si="830"/>
        <v>GSE73338</v>
      </c>
      <c r="D9291" s="1" t="s">
        <v>405</v>
      </c>
      <c r="E9291" t="s">
        <v>421</v>
      </c>
      <c r="F9291" s="1">
        <v>2</v>
      </c>
      <c r="G9291" s="1" t="s">
        <v>28</v>
      </c>
      <c r="H9291" s="4" t="str">
        <f>HYPERLINK("https://www.ncbi.nlm.nih.gov/geo/query/acc.cgi?acc=GSM1891260","GSM1891260")</f>
        <v>GSM1891260</v>
      </c>
      <c r="I9291" t="s">
        <v>407</v>
      </c>
      <c r="J9291" t="s">
        <v>408</v>
      </c>
      <c r="K9291" t="s">
        <v>33</v>
      </c>
      <c r="L9291" t="s">
        <v>113</v>
      </c>
      <c r="N9291" t="s">
        <v>29</v>
      </c>
    </row>
    <row r="9292" spans="1:14">
      <c r="A9292" s="4" t="str">
        <f t="shared" si="831"/>
        <v>EXP00305</v>
      </c>
      <c r="B9292" s="4" t="str">
        <f t="shared" si="829"/>
        <v>26446169</v>
      </c>
      <c r="C9292" s="4" t="str">
        <f t="shared" si="830"/>
        <v>GSE73338</v>
      </c>
      <c r="D9292" s="1" t="s">
        <v>405</v>
      </c>
      <c r="E9292" t="s">
        <v>421</v>
      </c>
      <c r="F9292" s="1">
        <v>2</v>
      </c>
      <c r="G9292" s="1" t="s">
        <v>28</v>
      </c>
      <c r="H9292" s="4" t="str">
        <f>HYPERLINK("https://www.ncbi.nlm.nih.gov/geo/query/acc.cgi?acc=GSM1891261","GSM1891261")</f>
        <v>GSM1891261</v>
      </c>
      <c r="I9292" t="s">
        <v>407</v>
      </c>
      <c r="J9292" t="s">
        <v>408</v>
      </c>
      <c r="K9292" t="s">
        <v>33</v>
      </c>
      <c r="L9292" t="s">
        <v>113</v>
      </c>
      <c r="N9292" t="s">
        <v>29</v>
      </c>
    </row>
    <row r="9293" spans="1:14">
      <c r="A9293" s="4" t="str">
        <f t="shared" si="831"/>
        <v>EXP00305</v>
      </c>
      <c r="B9293" s="4" t="str">
        <f t="shared" si="829"/>
        <v>26446169</v>
      </c>
      <c r="C9293" s="4" t="str">
        <f t="shared" si="830"/>
        <v>GSE73338</v>
      </c>
      <c r="D9293" s="1" t="s">
        <v>405</v>
      </c>
      <c r="E9293" t="s">
        <v>421</v>
      </c>
      <c r="F9293" s="1">
        <v>2</v>
      </c>
      <c r="G9293" s="1" t="s">
        <v>28</v>
      </c>
      <c r="H9293" s="4" t="str">
        <f>HYPERLINK("https://www.ncbi.nlm.nih.gov/geo/query/acc.cgi?acc=GSM1891262","GSM1891262")</f>
        <v>GSM1891262</v>
      </c>
      <c r="I9293" t="s">
        <v>407</v>
      </c>
      <c r="J9293" t="s">
        <v>408</v>
      </c>
      <c r="K9293" t="s">
        <v>33</v>
      </c>
      <c r="L9293" t="s">
        <v>113</v>
      </c>
      <c r="N9293" t="s">
        <v>29</v>
      </c>
    </row>
    <row r="9294" spans="1:14">
      <c r="A9294" s="4" t="str">
        <f t="shared" si="831"/>
        <v>EXP00305</v>
      </c>
      <c r="B9294" s="4" t="str">
        <f t="shared" si="829"/>
        <v>26446169</v>
      </c>
      <c r="C9294" s="4" t="str">
        <f t="shared" si="830"/>
        <v>GSE73338</v>
      </c>
      <c r="D9294" s="1" t="s">
        <v>405</v>
      </c>
      <c r="E9294" t="s">
        <v>421</v>
      </c>
      <c r="F9294" s="1">
        <v>2</v>
      </c>
      <c r="G9294" s="1" t="s">
        <v>28</v>
      </c>
      <c r="H9294" s="4" t="str">
        <f>HYPERLINK("https://www.ncbi.nlm.nih.gov/geo/query/acc.cgi?acc=GSM1891263","GSM1891263")</f>
        <v>GSM1891263</v>
      </c>
      <c r="I9294" t="s">
        <v>407</v>
      </c>
      <c r="J9294" t="s">
        <v>408</v>
      </c>
      <c r="K9294" t="s">
        <v>33</v>
      </c>
      <c r="L9294" t="s">
        <v>113</v>
      </c>
      <c r="N9294" t="s">
        <v>29</v>
      </c>
    </row>
    <row r="9295" spans="1:14">
      <c r="A9295" s="4" t="str">
        <f t="shared" si="831"/>
        <v>EXP00305</v>
      </c>
      <c r="B9295" s="4" t="str">
        <f t="shared" si="829"/>
        <v>26446169</v>
      </c>
      <c r="C9295" s="4" t="str">
        <f t="shared" si="830"/>
        <v>GSE73338</v>
      </c>
      <c r="D9295" s="1" t="s">
        <v>405</v>
      </c>
      <c r="E9295" t="s">
        <v>421</v>
      </c>
      <c r="F9295" s="1">
        <v>2</v>
      </c>
      <c r="G9295" s="1" t="s">
        <v>28</v>
      </c>
      <c r="H9295" s="4" t="str">
        <f>HYPERLINK("https://www.ncbi.nlm.nih.gov/geo/query/acc.cgi?acc=GSM1891264","GSM1891264")</f>
        <v>GSM1891264</v>
      </c>
      <c r="I9295" t="s">
        <v>407</v>
      </c>
      <c r="J9295" t="s">
        <v>408</v>
      </c>
      <c r="K9295" t="s">
        <v>33</v>
      </c>
      <c r="L9295" t="s">
        <v>113</v>
      </c>
      <c r="N9295" t="s">
        <v>29</v>
      </c>
    </row>
    <row r="9296" spans="1:14">
      <c r="A9296" s="4" t="str">
        <f t="shared" si="831"/>
        <v>EXP00305</v>
      </c>
      <c r="B9296" s="4" t="str">
        <f t="shared" si="829"/>
        <v>26446169</v>
      </c>
      <c r="C9296" s="4" t="str">
        <f t="shared" si="830"/>
        <v>GSE73338</v>
      </c>
      <c r="D9296" s="1" t="s">
        <v>405</v>
      </c>
      <c r="E9296" t="s">
        <v>421</v>
      </c>
      <c r="F9296" s="1">
        <v>2</v>
      </c>
      <c r="G9296" s="1" t="s">
        <v>28</v>
      </c>
      <c r="H9296" s="4" t="str">
        <f>HYPERLINK("https://www.ncbi.nlm.nih.gov/geo/query/acc.cgi?acc=GSM1891265","GSM1891265")</f>
        <v>GSM1891265</v>
      </c>
      <c r="I9296" t="s">
        <v>407</v>
      </c>
      <c r="J9296" t="s">
        <v>408</v>
      </c>
      <c r="K9296" t="s">
        <v>33</v>
      </c>
      <c r="L9296" t="s">
        <v>113</v>
      </c>
      <c r="N9296" t="s">
        <v>29</v>
      </c>
    </row>
    <row r="9297" spans="1:14">
      <c r="A9297" s="4" t="str">
        <f t="shared" si="831"/>
        <v>EXP00305</v>
      </c>
      <c r="B9297" s="4" t="str">
        <f t="shared" si="829"/>
        <v>26446169</v>
      </c>
      <c r="C9297" s="4" t="str">
        <f t="shared" si="830"/>
        <v>GSE73338</v>
      </c>
      <c r="D9297" s="1" t="s">
        <v>405</v>
      </c>
      <c r="E9297" t="s">
        <v>421</v>
      </c>
      <c r="F9297" s="1">
        <v>2</v>
      </c>
      <c r="G9297" s="1" t="s">
        <v>28</v>
      </c>
      <c r="H9297" s="4" t="str">
        <f>HYPERLINK("https://www.ncbi.nlm.nih.gov/geo/query/acc.cgi?acc=GSM1891267","GSM1891267")</f>
        <v>GSM1891267</v>
      </c>
      <c r="I9297" t="s">
        <v>407</v>
      </c>
      <c r="J9297" t="s">
        <v>408</v>
      </c>
      <c r="K9297" t="s">
        <v>33</v>
      </c>
      <c r="L9297" t="s">
        <v>113</v>
      </c>
      <c r="N9297" t="s">
        <v>29</v>
      </c>
    </row>
    <row r="9298" spans="1:14">
      <c r="A9298" s="4" t="str">
        <f t="shared" si="831"/>
        <v>EXP00305</v>
      </c>
      <c r="B9298" s="4" t="str">
        <f t="shared" si="829"/>
        <v>26446169</v>
      </c>
      <c r="C9298" s="4" t="str">
        <f t="shared" si="830"/>
        <v>GSE73338</v>
      </c>
      <c r="D9298" s="1" t="s">
        <v>405</v>
      </c>
      <c r="E9298" t="s">
        <v>421</v>
      </c>
      <c r="F9298" s="1">
        <v>2</v>
      </c>
      <c r="G9298" s="1" t="s">
        <v>28</v>
      </c>
      <c r="H9298" s="4" t="str">
        <f>HYPERLINK("https://www.ncbi.nlm.nih.gov/geo/query/acc.cgi?acc=GSM1891268","GSM1891268")</f>
        <v>GSM1891268</v>
      </c>
      <c r="I9298" t="s">
        <v>407</v>
      </c>
      <c r="J9298" t="s">
        <v>420</v>
      </c>
      <c r="K9298" t="s">
        <v>33</v>
      </c>
      <c r="L9298" t="s">
        <v>113</v>
      </c>
      <c r="N9298" t="s">
        <v>29</v>
      </c>
    </row>
    <row r="9299" spans="1:14">
      <c r="A9299" s="4" t="str">
        <f t="shared" si="831"/>
        <v>EXP00305</v>
      </c>
      <c r="B9299" s="4" t="str">
        <f t="shared" si="829"/>
        <v>26446169</v>
      </c>
      <c r="C9299" s="4" t="str">
        <f t="shared" si="830"/>
        <v>GSE73338</v>
      </c>
      <c r="D9299" s="1" t="s">
        <v>405</v>
      </c>
      <c r="E9299" t="s">
        <v>421</v>
      </c>
      <c r="F9299" s="1">
        <v>2</v>
      </c>
      <c r="G9299" s="1" t="s">
        <v>28</v>
      </c>
      <c r="H9299" s="4" t="str">
        <f>HYPERLINK("https://www.ncbi.nlm.nih.gov/geo/query/acc.cgi?acc=GSM1891269","GSM1891269")</f>
        <v>GSM1891269</v>
      </c>
      <c r="I9299" t="s">
        <v>407</v>
      </c>
      <c r="J9299" t="s">
        <v>408</v>
      </c>
      <c r="K9299" t="s">
        <v>33</v>
      </c>
      <c r="L9299" t="s">
        <v>113</v>
      </c>
      <c r="N9299" t="s">
        <v>29</v>
      </c>
    </row>
    <row r="9300" spans="1:14">
      <c r="A9300" s="4" t="str">
        <f t="shared" si="831"/>
        <v>EXP00305</v>
      </c>
      <c r="B9300" s="4" t="str">
        <f t="shared" si="829"/>
        <v>26446169</v>
      </c>
      <c r="C9300" s="4" t="str">
        <f t="shared" si="830"/>
        <v>GSE73338</v>
      </c>
      <c r="D9300" s="1" t="s">
        <v>405</v>
      </c>
      <c r="E9300" t="s">
        <v>421</v>
      </c>
      <c r="F9300" s="1">
        <v>2</v>
      </c>
      <c r="G9300" s="1" t="s">
        <v>28</v>
      </c>
      <c r="H9300" s="4" t="str">
        <f>HYPERLINK("https://www.ncbi.nlm.nih.gov/geo/query/acc.cgi?acc=GSM1891270","GSM1891270")</f>
        <v>GSM1891270</v>
      </c>
      <c r="I9300" t="s">
        <v>407</v>
      </c>
      <c r="J9300" t="s">
        <v>408</v>
      </c>
      <c r="K9300" t="s">
        <v>33</v>
      </c>
      <c r="L9300" t="s">
        <v>113</v>
      </c>
      <c r="N9300" t="s">
        <v>29</v>
      </c>
    </row>
    <row r="9301" spans="1:14">
      <c r="A9301" s="4" t="str">
        <f t="shared" si="831"/>
        <v>EXP00305</v>
      </c>
      <c r="B9301" s="4" t="str">
        <f t="shared" si="829"/>
        <v>26446169</v>
      </c>
      <c r="C9301" s="4" t="str">
        <f t="shared" si="830"/>
        <v>GSE73338</v>
      </c>
      <c r="D9301" s="1" t="s">
        <v>405</v>
      </c>
      <c r="E9301" t="s">
        <v>421</v>
      </c>
      <c r="F9301" s="1">
        <v>2</v>
      </c>
      <c r="G9301" s="1" t="s">
        <v>28</v>
      </c>
      <c r="H9301" s="4" t="str">
        <f>HYPERLINK("https://www.ncbi.nlm.nih.gov/geo/query/acc.cgi?acc=GSM1891271","GSM1891271")</f>
        <v>GSM1891271</v>
      </c>
      <c r="I9301" t="s">
        <v>407</v>
      </c>
      <c r="J9301" t="s">
        <v>408</v>
      </c>
      <c r="K9301" t="s">
        <v>33</v>
      </c>
      <c r="L9301" t="s">
        <v>113</v>
      </c>
      <c r="N9301" t="s">
        <v>29</v>
      </c>
    </row>
    <row r="9302" spans="1:14">
      <c r="A9302" s="4" t="str">
        <f t="shared" si="831"/>
        <v>EXP00305</v>
      </c>
      <c r="B9302" s="4" t="str">
        <f t="shared" si="829"/>
        <v>26446169</v>
      </c>
      <c r="C9302" s="4" t="str">
        <f t="shared" si="830"/>
        <v>GSE73338</v>
      </c>
      <c r="D9302" s="1" t="s">
        <v>405</v>
      </c>
      <c r="E9302" t="s">
        <v>421</v>
      </c>
      <c r="F9302" s="1">
        <v>2</v>
      </c>
      <c r="G9302" s="1" t="s">
        <v>28</v>
      </c>
      <c r="H9302" s="4" t="str">
        <f>HYPERLINK("https://www.ncbi.nlm.nih.gov/geo/query/acc.cgi?acc=GSM1891272","GSM1891272")</f>
        <v>GSM1891272</v>
      </c>
      <c r="I9302" t="s">
        <v>407</v>
      </c>
      <c r="J9302" t="s">
        <v>408</v>
      </c>
      <c r="K9302" t="s">
        <v>33</v>
      </c>
      <c r="L9302" t="s">
        <v>113</v>
      </c>
      <c r="N9302" t="s">
        <v>29</v>
      </c>
    </row>
    <row r="9303" spans="1:14">
      <c r="A9303" s="4" t="str">
        <f t="shared" si="831"/>
        <v>EXP00305</v>
      </c>
      <c r="B9303" s="4" t="str">
        <f t="shared" si="829"/>
        <v>26446169</v>
      </c>
      <c r="C9303" s="4" t="str">
        <f t="shared" si="830"/>
        <v>GSE73338</v>
      </c>
      <c r="D9303" s="1" t="s">
        <v>405</v>
      </c>
      <c r="E9303" t="s">
        <v>421</v>
      </c>
      <c r="F9303" s="1">
        <v>2</v>
      </c>
      <c r="G9303" s="1" t="s">
        <v>28</v>
      </c>
      <c r="H9303" s="4" t="str">
        <f>HYPERLINK("https://www.ncbi.nlm.nih.gov/geo/query/acc.cgi?acc=GSM1891274","GSM1891274")</f>
        <v>GSM1891274</v>
      </c>
      <c r="I9303" t="s">
        <v>407</v>
      </c>
      <c r="J9303" t="s">
        <v>408</v>
      </c>
      <c r="K9303" t="s">
        <v>33</v>
      </c>
      <c r="L9303" t="s">
        <v>113</v>
      </c>
      <c r="N9303" t="s">
        <v>29</v>
      </c>
    </row>
    <row r="9304" spans="1:14">
      <c r="A9304" s="4" t="str">
        <f t="shared" si="831"/>
        <v>EXP00305</v>
      </c>
      <c r="B9304" s="4" t="str">
        <f t="shared" si="829"/>
        <v>26446169</v>
      </c>
      <c r="C9304" s="4" t="str">
        <f t="shared" si="830"/>
        <v>GSE73338</v>
      </c>
      <c r="D9304" s="1" t="s">
        <v>405</v>
      </c>
      <c r="E9304" t="s">
        <v>421</v>
      </c>
      <c r="F9304" s="1">
        <v>2</v>
      </c>
      <c r="G9304" s="1" t="s">
        <v>28</v>
      </c>
      <c r="H9304" s="4" t="str">
        <f>HYPERLINK("https://www.ncbi.nlm.nih.gov/geo/query/acc.cgi?acc=GSM1891275","GSM1891275")</f>
        <v>GSM1891275</v>
      </c>
      <c r="I9304" t="s">
        <v>407</v>
      </c>
      <c r="J9304" t="s">
        <v>408</v>
      </c>
      <c r="K9304" t="s">
        <v>33</v>
      </c>
      <c r="L9304" t="s">
        <v>113</v>
      </c>
      <c r="N9304" t="s">
        <v>29</v>
      </c>
    </row>
    <row r="9305" spans="1:14">
      <c r="A9305" s="4" t="str">
        <f t="shared" si="831"/>
        <v>EXP00305</v>
      </c>
      <c r="B9305" s="4" t="str">
        <f t="shared" si="829"/>
        <v>26446169</v>
      </c>
      <c r="C9305" s="4" t="str">
        <f t="shared" si="830"/>
        <v>GSE73338</v>
      </c>
      <c r="D9305" s="1" t="s">
        <v>405</v>
      </c>
      <c r="E9305" t="s">
        <v>421</v>
      </c>
      <c r="F9305" s="1">
        <v>2</v>
      </c>
      <c r="G9305" s="1" t="s">
        <v>28</v>
      </c>
      <c r="H9305" s="4" t="str">
        <f>HYPERLINK("https://www.ncbi.nlm.nih.gov/geo/query/acc.cgi?acc=GSM1891276","GSM1891276")</f>
        <v>GSM1891276</v>
      </c>
      <c r="I9305" t="s">
        <v>407</v>
      </c>
      <c r="J9305" t="s">
        <v>408</v>
      </c>
      <c r="K9305" t="s">
        <v>33</v>
      </c>
      <c r="L9305" t="s">
        <v>113</v>
      </c>
      <c r="N9305" t="s">
        <v>29</v>
      </c>
    </row>
    <row r="9306" spans="1:14">
      <c r="A9306" s="4" t="str">
        <f t="shared" si="831"/>
        <v>EXP00305</v>
      </c>
      <c r="B9306" s="4" t="str">
        <f t="shared" si="829"/>
        <v>26446169</v>
      </c>
      <c r="C9306" s="4" t="str">
        <f t="shared" si="830"/>
        <v>GSE73338</v>
      </c>
      <c r="D9306" s="1" t="s">
        <v>405</v>
      </c>
      <c r="E9306" t="s">
        <v>421</v>
      </c>
      <c r="F9306" s="1">
        <v>2</v>
      </c>
      <c r="G9306" s="1" t="s">
        <v>28</v>
      </c>
      <c r="H9306" s="4" t="str">
        <f>HYPERLINK("https://www.ncbi.nlm.nih.gov/geo/query/acc.cgi?acc=GSM1891277","GSM1891277")</f>
        <v>GSM1891277</v>
      </c>
      <c r="I9306" t="s">
        <v>407</v>
      </c>
      <c r="J9306" t="s">
        <v>408</v>
      </c>
      <c r="K9306" t="s">
        <v>33</v>
      </c>
      <c r="L9306" t="s">
        <v>113</v>
      </c>
      <c r="N9306" t="s">
        <v>29</v>
      </c>
    </row>
    <row r="9307" spans="1:14">
      <c r="A9307" s="4" t="str">
        <f t="shared" si="831"/>
        <v>EXP00305</v>
      </c>
      <c r="B9307" s="4" t="str">
        <f t="shared" si="829"/>
        <v>26446169</v>
      </c>
      <c r="C9307" s="4" t="str">
        <f t="shared" si="830"/>
        <v>GSE73338</v>
      </c>
      <c r="D9307" s="1" t="s">
        <v>405</v>
      </c>
      <c r="E9307" t="s">
        <v>421</v>
      </c>
      <c r="F9307" s="1">
        <v>2</v>
      </c>
      <c r="G9307" s="1" t="s">
        <v>28</v>
      </c>
      <c r="H9307" s="4" t="str">
        <f>HYPERLINK("https://www.ncbi.nlm.nih.gov/geo/query/acc.cgi?acc=GSM1891278","GSM1891278")</f>
        <v>GSM1891278</v>
      </c>
      <c r="I9307" t="s">
        <v>407</v>
      </c>
      <c r="J9307" t="s">
        <v>408</v>
      </c>
      <c r="K9307" t="s">
        <v>33</v>
      </c>
      <c r="L9307" t="s">
        <v>113</v>
      </c>
      <c r="N9307" t="s">
        <v>29</v>
      </c>
    </row>
    <row r="9308" spans="1:14">
      <c r="A9308" s="4" t="str">
        <f t="shared" si="831"/>
        <v>EXP00305</v>
      </c>
      <c r="B9308" s="4" t="str">
        <f t="shared" si="829"/>
        <v>26446169</v>
      </c>
      <c r="C9308" s="4" t="str">
        <f t="shared" si="830"/>
        <v>GSE73338</v>
      </c>
      <c r="D9308" s="1" t="s">
        <v>405</v>
      </c>
      <c r="E9308" t="s">
        <v>421</v>
      </c>
      <c r="F9308" s="1">
        <v>2</v>
      </c>
      <c r="G9308" s="1" t="s">
        <v>28</v>
      </c>
      <c r="H9308" s="4" t="str">
        <f>HYPERLINK("https://www.ncbi.nlm.nih.gov/geo/query/acc.cgi?acc=GSM1891279","GSM1891279")</f>
        <v>GSM1891279</v>
      </c>
      <c r="I9308" t="s">
        <v>407</v>
      </c>
      <c r="J9308" t="s">
        <v>408</v>
      </c>
      <c r="K9308" t="s">
        <v>33</v>
      </c>
      <c r="L9308" t="s">
        <v>113</v>
      </c>
      <c r="N9308" t="s">
        <v>29</v>
      </c>
    </row>
    <row r="9309" spans="1:14">
      <c r="A9309" s="4" t="str">
        <f t="shared" si="831"/>
        <v>EXP00305</v>
      </c>
      <c r="B9309" s="4" t="str">
        <f t="shared" si="829"/>
        <v>26446169</v>
      </c>
      <c r="C9309" s="4" t="str">
        <f t="shared" si="830"/>
        <v>GSE73338</v>
      </c>
      <c r="D9309" s="1" t="s">
        <v>405</v>
      </c>
      <c r="E9309" t="s">
        <v>421</v>
      </c>
      <c r="F9309" s="1">
        <v>2</v>
      </c>
      <c r="G9309" s="1" t="s">
        <v>28</v>
      </c>
      <c r="H9309" s="4" t="str">
        <f>HYPERLINK("https://www.ncbi.nlm.nih.gov/geo/query/acc.cgi?acc=GSM1891280","GSM1891280")</f>
        <v>GSM1891280</v>
      </c>
      <c r="I9309" t="s">
        <v>407</v>
      </c>
      <c r="J9309" t="s">
        <v>408</v>
      </c>
      <c r="K9309" t="s">
        <v>33</v>
      </c>
      <c r="L9309" t="s">
        <v>113</v>
      </c>
      <c r="N9309" t="s">
        <v>29</v>
      </c>
    </row>
    <row r="9310" spans="1:14">
      <c r="A9310" s="4" t="str">
        <f t="shared" si="831"/>
        <v>EXP00305</v>
      </c>
      <c r="B9310" s="4" t="str">
        <f t="shared" si="829"/>
        <v>26446169</v>
      </c>
      <c r="C9310" s="4" t="str">
        <f t="shared" si="830"/>
        <v>GSE73338</v>
      </c>
      <c r="D9310" s="1" t="s">
        <v>405</v>
      </c>
      <c r="E9310" t="s">
        <v>421</v>
      </c>
      <c r="F9310" s="1">
        <v>2</v>
      </c>
      <c r="G9310" s="1" t="s">
        <v>28</v>
      </c>
      <c r="H9310" s="4" t="str">
        <f>HYPERLINK("https://www.ncbi.nlm.nih.gov/geo/query/acc.cgi?acc=GSM1891281","GSM1891281")</f>
        <v>GSM1891281</v>
      </c>
      <c r="I9310" t="s">
        <v>407</v>
      </c>
      <c r="J9310" t="s">
        <v>420</v>
      </c>
      <c r="K9310" t="s">
        <v>33</v>
      </c>
      <c r="L9310" t="s">
        <v>113</v>
      </c>
      <c r="N9310" t="s">
        <v>29</v>
      </c>
    </row>
    <row r="9311" spans="1:14">
      <c r="A9311" s="4" t="str">
        <f t="shared" si="831"/>
        <v>EXP00305</v>
      </c>
      <c r="B9311" s="4" t="str">
        <f t="shared" si="829"/>
        <v>26446169</v>
      </c>
      <c r="C9311" s="4" t="str">
        <f t="shared" si="830"/>
        <v>GSE73338</v>
      </c>
      <c r="D9311" s="1" t="s">
        <v>405</v>
      </c>
      <c r="E9311" t="s">
        <v>421</v>
      </c>
      <c r="F9311" s="1">
        <v>2</v>
      </c>
      <c r="G9311" s="1" t="s">
        <v>28</v>
      </c>
      <c r="H9311" s="4" t="str">
        <f>HYPERLINK("https://www.ncbi.nlm.nih.gov/geo/query/acc.cgi?acc=GSM1891282","GSM1891282")</f>
        <v>GSM1891282</v>
      </c>
      <c r="I9311" t="s">
        <v>407</v>
      </c>
      <c r="J9311" t="s">
        <v>408</v>
      </c>
      <c r="K9311" t="s">
        <v>33</v>
      </c>
      <c r="L9311" t="s">
        <v>113</v>
      </c>
      <c r="N9311" t="s">
        <v>29</v>
      </c>
    </row>
    <row r="9312" spans="1:14">
      <c r="A9312" s="4" t="str">
        <f t="shared" si="831"/>
        <v>EXP00305</v>
      </c>
      <c r="B9312" s="4" t="str">
        <f t="shared" si="829"/>
        <v>26446169</v>
      </c>
      <c r="C9312" s="4" t="str">
        <f t="shared" si="830"/>
        <v>GSE73338</v>
      </c>
      <c r="D9312" s="1" t="s">
        <v>405</v>
      </c>
      <c r="E9312" t="s">
        <v>421</v>
      </c>
      <c r="F9312" s="1">
        <v>2</v>
      </c>
      <c r="G9312" s="1" t="s">
        <v>28</v>
      </c>
      <c r="H9312" s="4" t="str">
        <f>HYPERLINK("https://www.ncbi.nlm.nih.gov/geo/query/acc.cgi?acc=GSM1891283","GSM1891283")</f>
        <v>GSM1891283</v>
      </c>
      <c r="I9312" t="s">
        <v>407</v>
      </c>
      <c r="J9312" t="s">
        <v>420</v>
      </c>
      <c r="K9312" t="s">
        <v>33</v>
      </c>
      <c r="L9312" t="s">
        <v>113</v>
      </c>
      <c r="N9312" t="s">
        <v>29</v>
      </c>
    </row>
    <row r="9313" spans="1:14">
      <c r="A9313" s="4" t="str">
        <f t="shared" si="831"/>
        <v>EXP00305</v>
      </c>
      <c r="B9313" s="4" t="str">
        <f t="shared" si="829"/>
        <v>26446169</v>
      </c>
      <c r="C9313" s="4" t="str">
        <f t="shared" si="830"/>
        <v>GSE73338</v>
      </c>
      <c r="D9313" s="1" t="s">
        <v>405</v>
      </c>
      <c r="E9313" t="s">
        <v>421</v>
      </c>
      <c r="F9313" s="1">
        <v>2</v>
      </c>
      <c r="G9313" s="1" t="s">
        <v>28</v>
      </c>
      <c r="H9313" s="4" t="str">
        <f>HYPERLINK("https://www.ncbi.nlm.nih.gov/geo/query/acc.cgi?acc=GSM1891284","GSM1891284")</f>
        <v>GSM1891284</v>
      </c>
      <c r="I9313" t="s">
        <v>407</v>
      </c>
      <c r="J9313" t="s">
        <v>408</v>
      </c>
      <c r="K9313" t="s">
        <v>33</v>
      </c>
      <c r="L9313" t="s">
        <v>113</v>
      </c>
      <c r="N9313" t="s">
        <v>29</v>
      </c>
    </row>
    <row r="9314" spans="1:14">
      <c r="A9314" s="4" t="str">
        <f t="shared" si="831"/>
        <v>EXP00305</v>
      </c>
      <c r="B9314" s="4" t="str">
        <f t="shared" si="829"/>
        <v>26446169</v>
      </c>
      <c r="C9314" s="4" t="str">
        <f t="shared" si="830"/>
        <v>GSE73338</v>
      </c>
      <c r="D9314" s="1" t="s">
        <v>405</v>
      </c>
      <c r="E9314" t="s">
        <v>421</v>
      </c>
      <c r="F9314" s="1">
        <v>2</v>
      </c>
      <c r="G9314" s="1" t="s">
        <v>28</v>
      </c>
      <c r="H9314" s="4" t="str">
        <f>HYPERLINK("https://www.ncbi.nlm.nih.gov/geo/query/acc.cgi?acc=GSM1891285","GSM1891285")</f>
        <v>GSM1891285</v>
      </c>
      <c r="I9314" t="s">
        <v>407</v>
      </c>
      <c r="J9314" t="s">
        <v>408</v>
      </c>
      <c r="K9314" t="s">
        <v>33</v>
      </c>
      <c r="L9314" t="s">
        <v>113</v>
      </c>
      <c r="N9314" t="s">
        <v>29</v>
      </c>
    </row>
    <row r="9315" spans="1:14">
      <c r="A9315" s="4" t="str">
        <f t="shared" si="831"/>
        <v>EXP00305</v>
      </c>
      <c r="B9315" s="4" t="str">
        <f t="shared" si="829"/>
        <v>26446169</v>
      </c>
      <c r="C9315" s="4" t="str">
        <f t="shared" si="830"/>
        <v>GSE73338</v>
      </c>
      <c r="D9315" s="1" t="s">
        <v>405</v>
      </c>
      <c r="E9315" t="s">
        <v>421</v>
      </c>
      <c r="F9315" s="1">
        <v>2</v>
      </c>
      <c r="G9315" s="1" t="s">
        <v>28</v>
      </c>
      <c r="H9315" s="4" t="str">
        <f>HYPERLINK("https://www.ncbi.nlm.nih.gov/geo/query/acc.cgi?acc=GSM1891286","GSM1891286")</f>
        <v>GSM1891286</v>
      </c>
      <c r="I9315" t="s">
        <v>407</v>
      </c>
      <c r="J9315" t="s">
        <v>408</v>
      </c>
      <c r="K9315" t="s">
        <v>33</v>
      </c>
      <c r="L9315" t="s">
        <v>113</v>
      </c>
      <c r="N9315" t="s">
        <v>29</v>
      </c>
    </row>
    <row r="9316" spans="1:14">
      <c r="A9316" s="4" t="str">
        <f t="shared" si="831"/>
        <v>EXP00305</v>
      </c>
      <c r="B9316" s="4" t="str">
        <f t="shared" si="829"/>
        <v>26446169</v>
      </c>
      <c r="C9316" s="4" t="str">
        <f t="shared" si="830"/>
        <v>GSE73338</v>
      </c>
      <c r="D9316" s="1" t="s">
        <v>405</v>
      </c>
      <c r="E9316" t="s">
        <v>421</v>
      </c>
      <c r="F9316" s="1">
        <v>2</v>
      </c>
      <c r="G9316" s="1" t="s">
        <v>28</v>
      </c>
      <c r="H9316" s="4" t="str">
        <f>HYPERLINK("https://www.ncbi.nlm.nih.gov/geo/query/acc.cgi?acc=GSM1891287","GSM1891287")</f>
        <v>GSM1891287</v>
      </c>
      <c r="I9316" t="s">
        <v>407</v>
      </c>
      <c r="J9316" t="s">
        <v>408</v>
      </c>
      <c r="K9316" t="s">
        <v>33</v>
      </c>
      <c r="L9316" t="s">
        <v>113</v>
      </c>
      <c r="N9316" t="s">
        <v>29</v>
      </c>
    </row>
    <row r="9317" spans="1:14">
      <c r="A9317" s="4" t="str">
        <f t="shared" si="831"/>
        <v>EXP00305</v>
      </c>
      <c r="B9317" s="4" t="str">
        <f t="shared" si="829"/>
        <v>26446169</v>
      </c>
      <c r="C9317" s="4" t="str">
        <f t="shared" si="830"/>
        <v>GSE73338</v>
      </c>
      <c r="D9317" s="1" t="s">
        <v>405</v>
      </c>
      <c r="E9317" t="s">
        <v>421</v>
      </c>
      <c r="F9317" s="1">
        <v>2</v>
      </c>
      <c r="G9317" s="1" t="s">
        <v>28</v>
      </c>
      <c r="H9317" s="4" t="str">
        <f>HYPERLINK("https://www.ncbi.nlm.nih.gov/geo/query/acc.cgi?acc=GSM1891288","GSM1891288")</f>
        <v>GSM1891288</v>
      </c>
      <c r="I9317" t="s">
        <v>407</v>
      </c>
      <c r="J9317" t="s">
        <v>408</v>
      </c>
      <c r="K9317" t="s">
        <v>33</v>
      </c>
      <c r="L9317" t="s">
        <v>113</v>
      </c>
      <c r="N9317" t="s">
        <v>29</v>
      </c>
    </row>
    <row r="9318" spans="1:14">
      <c r="A9318" s="4" t="str">
        <f t="shared" si="831"/>
        <v>EXP00305</v>
      </c>
      <c r="B9318" s="4" t="str">
        <f t="shared" si="829"/>
        <v>26446169</v>
      </c>
      <c r="C9318" s="4" t="str">
        <f t="shared" si="830"/>
        <v>GSE73338</v>
      </c>
      <c r="D9318" s="1" t="s">
        <v>405</v>
      </c>
      <c r="E9318" t="s">
        <v>421</v>
      </c>
      <c r="F9318" s="1">
        <v>2</v>
      </c>
      <c r="G9318" s="1" t="s">
        <v>28</v>
      </c>
      <c r="H9318" s="4" t="str">
        <f>HYPERLINK("https://www.ncbi.nlm.nih.gov/geo/query/acc.cgi?acc=GSM1891289","GSM1891289")</f>
        <v>GSM1891289</v>
      </c>
      <c r="I9318" t="s">
        <v>407</v>
      </c>
      <c r="J9318" t="s">
        <v>420</v>
      </c>
      <c r="K9318" t="s">
        <v>33</v>
      </c>
      <c r="L9318" t="s">
        <v>113</v>
      </c>
      <c r="N9318" t="s">
        <v>29</v>
      </c>
    </row>
    <row r="9319" spans="1:14">
      <c r="A9319" s="4" t="str">
        <f t="shared" si="831"/>
        <v>EXP00305</v>
      </c>
      <c r="B9319" s="4" t="str">
        <f t="shared" si="829"/>
        <v>26446169</v>
      </c>
      <c r="C9319" s="4" t="str">
        <f t="shared" si="830"/>
        <v>GSE73338</v>
      </c>
      <c r="D9319" s="1" t="s">
        <v>405</v>
      </c>
      <c r="E9319" t="s">
        <v>421</v>
      </c>
      <c r="F9319" s="1">
        <v>2</v>
      </c>
      <c r="G9319" s="1" t="s">
        <v>28</v>
      </c>
      <c r="H9319" s="4" t="str">
        <f>HYPERLINK("https://www.ncbi.nlm.nih.gov/geo/query/acc.cgi?acc=GSM1891292","GSM1891292")</f>
        <v>GSM1891292</v>
      </c>
      <c r="I9319" t="s">
        <v>407</v>
      </c>
      <c r="J9319" t="s">
        <v>408</v>
      </c>
      <c r="K9319" t="s">
        <v>33</v>
      </c>
      <c r="L9319" t="s">
        <v>113</v>
      </c>
      <c r="N9319" t="s">
        <v>29</v>
      </c>
    </row>
    <row r="9320" spans="1:14">
      <c r="A9320" s="4" t="str">
        <f t="shared" si="831"/>
        <v>EXP00305</v>
      </c>
      <c r="B9320" s="4" t="str">
        <f t="shared" si="829"/>
        <v>26446169</v>
      </c>
      <c r="C9320" s="4" t="str">
        <f t="shared" si="830"/>
        <v>GSE73338</v>
      </c>
      <c r="D9320" s="1" t="s">
        <v>405</v>
      </c>
      <c r="E9320" t="s">
        <v>421</v>
      </c>
      <c r="F9320" s="1">
        <v>2</v>
      </c>
      <c r="G9320" s="1" t="s">
        <v>28</v>
      </c>
      <c r="H9320" s="4" t="str">
        <f>HYPERLINK("https://www.ncbi.nlm.nih.gov/geo/query/acc.cgi?acc=GSM1891301","GSM1891301")</f>
        <v>GSM1891301</v>
      </c>
      <c r="I9320" t="s">
        <v>407</v>
      </c>
      <c r="J9320" t="s">
        <v>408</v>
      </c>
      <c r="K9320" t="s">
        <v>33</v>
      </c>
      <c r="L9320" t="s">
        <v>113</v>
      </c>
      <c r="N9320" t="s">
        <v>29</v>
      </c>
    </row>
    <row r="9321" spans="1:14">
      <c r="A9321" s="4" t="str">
        <f t="shared" ref="A9321:A9337" si="832">HYPERLINK("http://hcmdb.i-sanger.com/experiment/details/experiment_id/EXP00305","EXP00305")</f>
        <v>EXP00305</v>
      </c>
      <c r="B9321" s="4" t="str">
        <f t="shared" si="829"/>
        <v>26446169</v>
      </c>
      <c r="C9321" s="4" t="str">
        <f t="shared" si="830"/>
        <v>GSE73338</v>
      </c>
      <c r="D9321" s="1" t="s">
        <v>405</v>
      </c>
      <c r="E9321" t="s">
        <v>421</v>
      </c>
      <c r="F9321" s="1">
        <v>2</v>
      </c>
      <c r="G9321" s="1" t="s">
        <v>28</v>
      </c>
      <c r="H9321" s="4" t="str">
        <f>HYPERLINK("https://www.ncbi.nlm.nih.gov/geo/query/acc.cgi?acc=GSM1891302","GSM1891302")</f>
        <v>GSM1891302</v>
      </c>
      <c r="I9321" t="s">
        <v>407</v>
      </c>
      <c r="J9321" t="s">
        <v>408</v>
      </c>
      <c r="K9321" t="s">
        <v>33</v>
      </c>
      <c r="L9321" t="s">
        <v>113</v>
      </c>
      <c r="N9321" t="s">
        <v>29</v>
      </c>
    </row>
    <row r="9322" spans="1:14">
      <c r="A9322" s="4" t="str">
        <f t="shared" si="832"/>
        <v>EXP00305</v>
      </c>
      <c r="B9322" s="4" t="str">
        <f t="shared" si="829"/>
        <v>26446169</v>
      </c>
      <c r="C9322" s="4" t="str">
        <f t="shared" si="830"/>
        <v>GSE73338</v>
      </c>
      <c r="D9322" s="1" t="s">
        <v>405</v>
      </c>
      <c r="E9322" t="s">
        <v>421</v>
      </c>
      <c r="F9322" s="1">
        <v>2</v>
      </c>
      <c r="G9322" s="1" t="s">
        <v>28</v>
      </c>
      <c r="H9322" s="4" t="str">
        <f>HYPERLINK("https://www.ncbi.nlm.nih.gov/geo/query/acc.cgi?acc=GSM1891303","GSM1891303")</f>
        <v>GSM1891303</v>
      </c>
      <c r="I9322" t="s">
        <v>407</v>
      </c>
      <c r="J9322" t="s">
        <v>408</v>
      </c>
      <c r="K9322" t="s">
        <v>33</v>
      </c>
      <c r="L9322" t="s">
        <v>113</v>
      </c>
      <c r="N9322" t="s">
        <v>29</v>
      </c>
    </row>
    <row r="9323" spans="1:14">
      <c r="A9323" s="4" t="str">
        <f t="shared" si="832"/>
        <v>EXP00305</v>
      </c>
      <c r="B9323" s="4" t="str">
        <f t="shared" si="829"/>
        <v>26446169</v>
      </c>
      <c r="C9323" s="4" t="str">
        <f t="shared" si="830"/>
        <v>GSE73338</v>
      </c>
      <c r="D9323" s="1" t="s">
        <v>405</v>
      </c>
      <c r="E9323" t="s">
        <v>421</v>
      </c>
      <c r="F9323" s="1">
        <v>2</v>
      </c>
      <c r="G9323" s="1" t="s">
        <v>28</v>
      </c>
      <c r="H9323" s="4" t="str">
        <f>HYPERLINK("https://www.ncbi.nlm.nih.gov/geo/query/acc.cgi?acc=GSM1891304","GSM1891304")</f>
        <v>GSM1891304</v>
      </c>
      <c r="I9323" t="s">
        <v>407</v>
      </c>
      <c r="J9323" t="s">
        <v>408</v>
      </c>
      <c r="K9323" t="s">
        <v>33</v>
      </c>
      <c r="L9323" t="s">
        <v>113</v>
      </c>
      <c r="N9323" t="s">
        <v>29</v>
      </c>
    </row>
    <row r="9324" spans="1:14">
      <c r="A9324" s="4" t="str">
        <f t="shared" si="832"/>
        <v>EXP00305</v>
      </c>
      <c r="B9324" s="4" t="str">
        <f t="shared" si="829"/>
        <v>26446169</v>
      </c>
      <c r="C9324" s="4" t="str">
        <f t="shared" si="830"/>
        <v>GSE73338</v>
      </c>
      <c r="D9324" s="1" t="s">
        <v>405</v>
      </c>
      <c r="E9324" t="s">
        <v>421</v>
      </c>
      <c r="F9324" s="1">
        <v>2</v>
      </c>
      <c r="G9324" s="1" t="s">
        <v>28</v>
      </c>
      <c r="H9324" s="4" t="str">
        <f>HYPERLINK("https://www.ncbi.nlm.nih.gov/geo/query/acc.cgi?acc=GSM1891305","GSM1891305")</f>
        <v>GSM1891305</v>
      </c>
      <c r="I9324" t="s">
        <v>407</v>
      </c>
      <c r="J9324" t="s">
        <v>408</v>
      </c>
      <c r="K9324" t="s">
        <v>33</v>
      </c>
      <c r="L9324" t="s">
        <v>113</v>
      </c>
      <c r="N9324" t="s">
        <v>29</v>
      </c>
    </row>
    <row r="9325" spans="1:14">
      <c r="A9325" s="4" t="str">
        <f t="shared" si="832"/>
        <v>EXP00305</v>
      </c>
      <c r="B9325" s="4" t="str">
        <f t="shared" si="829"/>
        <v>26446169</v>
      </c>
      <c r="C9325" s="4" t="str">
        <f t="shared" si="830"/>
        <v>GSE73338</v>
      </c>
      <c r="D9325" s="1" t="s">
        <v>405</v>
      </c>
      <c r="E9325" t="s">
        <v>421</v>
      </c>
      <c r="F9325" s="1">
        <v>2</v>
      </c>
      <c r="G9325" s="1" t="s">
        <v>28</v>
      </c>
      <c r="H9325" s="4" t="str">
        <f>HYPERLINK("https://www.ncbi.nlm.nih.gov/geo/query/acc.cgi?acc=GSM1891306","GSM1891306")</f>
        <v>GSM1891306</v>
      </c>
      <c r="I9325" t="s">
        <v>407</v>
      </c>
      <c r="J9325" t="s">
        <v>408</v>
      </c>
      <c r="K9325" t="s">
        <v>33</v>
      </c>
      <c r="L9325" t="s">
        <v>113</v>
      </c>
      <c r="N9325" t="s">
        <v>29</v>
      </c>
    </row>
    <row r="9326" spans="1:14">
      <c r="A9326" s="4" t="str">
        <f t="shared" si="832"/>
        <v>EXP00305</v>
      </c>
      <c r="B9326" s="4" t="str">
        <f t="shared" ref="B9326:B9389" si="833">HYPERLINK("https://www.ncbi.nlm.nih.gov/pubmed/26446169","26446169")</f>
        <v>26446169</v>
      </c>
      <c r="C9326" s="4" t="str">
        <f t="shared" ref="C9326:C9389" si="834">HYPERLINK("https://www.ncbi.nlm.nih.gov/geo/query/acc.cgi?acc=GSE73338","GSE73338")</f>
        <v>GSE73338</v>
      </c>
      <c r="D9326" s="1" t="s">
        <v>405</v>
      </c>
      <c r="E9326" t="s">
        <v>421</v>
      </c>
      <c r="F9326" s="1">
        <v>2</v>
      </c>
      <c r="G9326" s="1" t="s">
        <v>28</v>
      </c>
      <c r="H9326" s="4" t="str">
        <f>HYPERLINK("https://www.ncbi.nlm.nih.gov/geo/query/acc.cgi?acc=GSM1891307","GSM1891307")</f>
        <v>GSM1891307</v>
      </c>
      <c r="I9326" t="s">
        <v>407</v>
      </c>
      <c r="J9326" t="s">
        <v>420</v>
      </c>
      <c r="K9326" t="s">
        <v>33</v>
      </c>
      <c r="L9326" t="s">
        <v>113</v>
      </c>
      <c r="N9326" t="s">
        <v>29</v>
      </c>
    </row>
    <row r="9327" spans="1:14">
      <c r="A9327" s="4" t="str">
        <f t="shared" si="832"/>
        <v>EXP00305</v>
      </c>
      <c r="B9327" s="4" t="str">
        <f t="shared" si="833"/>
        <v>26446169</v>
      </c>
      <c r="C9327" s="4" t="str">
        <f t="shared" si="834"/>
        <v>GSE73338</v>
      </c>
      <c r="D9327" s="1" t="s">
        <v>405</v>
      </c>
      <c r="E9327" t="s">
        <v>421</v>
      </c>
      <c r="F9327" s="1">
        <v>2</v>
      </c>
      <c r="G9327" s="1" t="s">
        <v>28</v>
      </c>
      <c r="H9327" s="4" t="str">
        <f>HYPERLINK("https://www.ncbi.nlm.nih.gov/geo/query/acc.cgi?acc=GSM1891308","GSM1891308")</f>
        <v>GSM1891308</v>
      </c>
      <c r="I9327" t="s">
        <v>407</v>
      </c>
      <c r="J9327" t="s">
        <v>420</v>
      </c>
      <c r="K9327" t="s">
        <v>33</v>
      </c>
      <c r="L9327" t="s">
        <v>113</v>
      </c>
      <c r="N9327" t="s">
        <v>29</v>
      </c>
    </row>
    <row r="9328" spans="1:14">
      <c r="A9328" s="4" t="str">
        <f t="shared" si="832"/>
        <v>EXP00305</v>
      </c>
      <c r="B9328" s="4" t="str">
        <f t="shared" si="833"/>
        <v>26446169</v>
      </c>
      <c r="C9328" s="4" t="str">
        <f t="shared" si="834"/>
        <v>GSE73338</v>
      </c>
      <c r="D9328" s="1" t="s">
        <v>405</v>
      </c>
      <c r="E9328" t="s">
        <v>421</v>
      </c>
      <c r="F9328" s="1">
        <v>2</v>
      </c>
      <c r="G9328" s="1" t="s">
        <v>28</v>
      </c>
      <c r="H9328" s="4" t="str">
        <f>HYPERLINK("https://www.ncbi.nlm.nih.gov/geo/query/acc.cgi?acc=GSM1891309","GSM1891309")</f>
        <v>GSM1891309</v>
      </c>
      <c r="I9328" t="s">
        <v>407</v>
      </c>
      <c r="J9328" t="s">
        <v>408</v>
      </c>
      <c r="K9328" t="s">
        <v>33</v>
      </c>
      <c r="L9328" t="s">
        <v>113</v>
      </c>
      <c r="N9328" t="s">
        <v>29</v>
      </c>
    </row>
    <row r="9329" spans="1:14">
      <c r="A9329" s="4" t="str">
        <f t="shared" si="832"/>
        <v>EXP00305</v>
      </c>
      <c r="B9329" s="4" t="str">
        <f t="shared" si="833"/>
        <v>26446169</v>
      </c>
      <c r="C9329" s="4" t="str">
        <f t="shared" si="834"/>
        <v>GSE73338</v>
      </c>
      <c r="D9329" s="1" t="s">
        <v>405</v>
      </c>
      <c r="E9329" t="s">
        <v>421</v>
      </c>
      <c r="F9329" s="1">
        <v>2</v>
      </c>
      <c r="G9329" s="1" t="s">
        <v>28</v>
      </c>
      <c r="H9329" s="4" t="str">
        <f>HYPERLINK("https://www.ncbi.nlm.nih.gov/geo/query/acc.cgi?acc=GSM1891310","GSM1891310")</f>
        <v>GSM1891310</v>
      </c>
      <c r="I9329" t="s">
        <v>407</v>
      </c>
      <c r="J9329" t="s">
        <v>420</v>
      </c>
      <c r="K9329" t="s">
        <v>33</v>
      </c>
      <c r="L9329" t="s">
        <v>113</v>
      </c>
      <c r="N9329" t="s">
        <v>29</v>
      </c>
    </row>
    <row r="9330" spans="1:14">
      <c r="A9330" s="4" t="str">
        <f t="shared" si="832"/>
        <v>EXP00305</v>
      </c>
      <c r="B9330" s="4" t="str">
        <f t="shared" si="833"/>
        <v>26446169</v>
      </c>
      <c r="C9330" s="4" t="str">
        <f t="shared" si="834"/>
        <v>GSE73338</v>
      </c>
      <c r="D9330" s="1" t="s">
        <v>405</v>
      </c>
      <c r="E9330" t="s">
        <v>421</v>
      </c>
      <c r="F9330" s="1">
        <v>2</v>
      </c>
      <c r="G9330" s="1" t="s">
        <v>28</v>
      </c>
      <c r="H9330" s="4" t="str">
        <f>HYPERLINK("https://www.ncbi.nlm.nih.gov/geo/query/acc.cgi?acc=GSM1891311","GSM1891311")</f>
        <v>GSM1891311</v>
      </c>
      <c r="I9330" t="s">
        <v>407</v>
      </c>
      <c r="J9330" t="s">
        <v>408</v>
      </c>
      <c r="K9330" t="s">
        <v>33</v>
      </c>
      <c r="L9330" t="s">
        <v>113</v>
      </c>
      <c r="N9330" t="s">
        <v>29</v>
      </c>
    </row>
    <row r="9331" spans="1:14">
      <c r="A9331" s="4" t="str">
        <f t="shared" si="832"/>
        <v>EXP00305</v>
      </c>
      <c r="B9331" s="4" t="str">
        <f t="shared" si="833"/>
        <v>26446169</v>
      </c>
      <c r="C9331" s="4" t="str">
        <f t="shared" si="834"/>
        <v>GSE73338</v>
      </c>
      <c r="D9331" s="1" t="s">
        <v>405</v>
      </c>
      <c r="E9331" t="s">
        <v>421</v>
      </c>
      <c r="F9331" s="1">
        <v>2</v>
      </c>
      <c r="G9331" s="1" t="s">
        <v>28</v>
      </c>
      <c r="H9331" s="4" t="str">
        <f>HYPERLINK("https://www.ncbi.nlm.nih.gov/geo/query/acc.cgi?acc=GSM1891312","GSM1891312")</f>
        <v>GSM1891312</v>
      </c>
      <c r="I9331" t="s">
        <v>407</v>
      </c>
      <c r="J9331" t="s">
        <v>420</v>
      </c>
      <c r="K9331" t="s">
        <v>33</v>
      </c>
      <c r="L9331" t="s">
        <v>113</v>
      </c>
      <c r="N9331" t="s">
        <v>29</v>
      </c>
    </row>
    <row r="9332" spans="1:14">
      <c r="A9332" s="4" t="str">
        <f t="shared" si="832"/>
        <v>EXP00305</v>
      </c>
      <c r="B9332" s="4" t="str">
        <f t="shared" si="833"/>
        <v>26446169</v>
      </c>
      <c r="C9332" s="4" t="str">
        <f t="shared" si="834"/>
        <v>GSE73338</v>
      </c>
      <c r="D9332" s="1" t="s">
        <v>405</v>
      </c>
      <c r="E9332" t="s">
        <v>421</v>
      </c>
      <c r="F9332" s="1">
        <v>2</v>
      </c>
      <c r="G9332" s="1" t="s">
        <v>28</v>
      </c>
      <c r="H9332" s="4" t="str">
        <f>HYPERLINK("https://www.ncbi.nlm.nih.gov/geo/query/acc.cgi?acc=GSM1891313","GSM1891313")</f>
        <v>GSM1891313</v>
      </c>
      <c r="I9332" t="s">
        <v>407</v>
      </c>
      <c r="J9332" t="s">
        <v>408</v>
      </c>
      <c r="K9332" t="s">
        <v>33</v>
      </c>
      <c r="L9332" t="s">
        <v>113</v>
      </c>
      <c r="N9332" t="s">
        <v>29</v>
      </c>
    </row>
    <row r="9333" spans="1:14">
      <c r="A9333" s="4" t="str">
        <f t="shared" si="832"/>
        <v>EXP00305</v>
      </c>
      <c r="B9333" s="4" t="str">
        <f t="shared" si="833"/>
        <v>26446169</v>
      </c>
      <c r="C9333" s="4" t="str">
        <f t="shared" si="834"/>
        <v>GSE73338</v>
      </c>
      <c r="D9333" s="1" t="s">
        <v>405</v>
      </c>
      <c r="E9333" t="s">
        <v>421</v>
      </c>
      <c r="F9333" s="1">
        <v>2</v>
      </c>
      <c r="G9333" s="1" t="s">
        <v>28</v>
      </c>
      <c r="H9333" s="4" t="str">
        <f>HYPERLINK("https://www.ncbi.nlm.nih.gov/geo/query/acc.cgi?acc=GSM1891314","GSM1891314")</f>
        <v>GSM1891314</v>
      </c>
      <c r="I9333" t="s">
        <v>407</v>
      </c>
      <c r="J9333" t="s">
        <v>420</v>
      </c>
      <c r="K9333" t="s">
        <v>33</v>
      </c>
      <c r="L9333" t="s">
        <v>113</v>
      </c>
      <c r="N9333" t="s">
        <v>29</v>
      </c>
    </row>
    <row r="9334" spans="1:14">
      <c r="A9334" s="4" t="str">
        <f t="shared" si="832"/>
        <v>EXP00305</v>
      </c>
      <c r="B9334" s="4" t="str">
        <f t="shared" si="833"/>
        <v>26446169</v>
      </c>
      <c r="C9334" s="4" t="str">
        <f t="shared" si="834"/>
        <v>GSE73338</v>
      </c>
      <c r="D9334" s="1" t="s">
        <v>405</v>
      </c>
      <c r="E9334" t="s">
        <v>421</v>
      </c>
      <c r="F9334" s="1">
        <v>2</v>
      </c>
      <c r="G9334" s="1" t="s">
        <v>28</v>
      </c>
      <c r="H9334" s="4" t="str">
        <f>HYPERLINK("https://www.ncbi.nlm.nih.gov/geo/query/acc.cgi?acc=GSM1891316","GSM1891316")</f>
        <v>GSM1891316</v>
      </c>
      <c r="I9334" t="s">
        <v>407</v>
      </c>
      <c r="J9334" t="s">
        <v>420</v>
      </c>
      <c r="K9334" t="s">
        <v>33</v>
      </c>
      <c r="L9334" t="s">
        <v>113</v>
      </c>
      <c r="N9334" t="s">
        <v>29</v>
      </c>
    </row>
    <row r="9335" spans="1:14">
      <c r="A9335" s="4" t="str">
        <f t="shared" si="832"/>
        <v>EXP00305</v>
      </c>
      <c r="B9335" s="4" t="str">
        <f t="shared" si="833"/>
        <v>26446169</v>
      </c>
      <c r="C9335" s="4" t="str">
        <f t="shared" si="834"/>
        <v>GSE73338</v>
      </c>
      <c r="D9335" s="1" t="s">
        <v>405</v>
      </c>
      <c r="E9335" t="s">
        <v>421</v>
      </c>
      <c r="F9335" s="1">
        <v>2</v>
      </c>
      <c r="G9335" s="1" t="s">
        <v>28</v>
      </c>
      <c r="H9335" s="4" t="str">
        <f>HYPERLINK("https://www.ncbi.nlm.nih.gov/geo/query/acc.cgi?acc=GSM1891317","GSM1891317")</f>
        <v>GSM1891317</v>
      </c>
      <c r="I9335" t="s">
        <v>407</v>
      </c>
      <c r="J9335" t="s">
        <v>408</v>
      </c>
      <c r="K9335" t="s">
        <v>33</v>
      </c>
      <c r="L9335" t="s">
        <v>113</v>
      </c>
      <c r="N9335" t="s">
        <v>29</v>
      </c>
    </row>
    <row r="9336" spans="1:14">
      <c r="A9336" s="4" t="str">
        <f t="shared" si="832"/>
        <v>EXP00305</v>
      </c>
      <c r="B9336" s="4" t="str">
        <f t="shared" si="833"/>
        <v>26446169</v>
      </c>
      <c r="C9336" s="4" t="str">
        <f t="shared" si="834"/>
        <v>GSE73338</v>
      </c>
      <c r="D9336" s="1" t="s">
        <v>405</v>
      </c>
      <c r="E9336" t="s">
        <v>421</v>
      </c>
      <c r="F9336" s="1">
        <v>2</v>
      </c>
      <c r="G9336" s="1" t="s">
        <v>28</v>
      </c>
      <c r="H9336" s="4" t="str">
        <f>HYPERLINK("https://www.ncbi.nlm.nih.gov/geo/query/acc.cgi?acc=GSM1891318","GSM1891318")</f>
        <v>GSM1891318</v>
      </c>
      <c r="I9336" t="s">
        <v>407</v>
      </c>
      <c r="J9336" t="s">
        <v>408</v>
      </c>
      <c r="K9336" t="s">
        <v>33</v>
      </c>
      <c r="L9336" t="s">
        <v>113</v>
      </c>
      <c r="N9336" t="s">
        <v>29</v>
      </c>
    </row>
    <row r="9337" spans="1:14">
      <c r="A9337" s="4" t="str">
        <f t="shared" si="832"/>
        <v>EXP00305</v>
      </c>
      <c r="B9337" s="4" t="str">
        <f t="shared" si="833"/>
        <v>26446169</v>
      </c>
      <c r="C9337" s="4" t="str">
        <f t="shared" si="834"/>
        <v>GSE73338</v>
      </c>
      <c r="D9337" s="1" t="s">
        <v>405</v>
      </c>
      <c r="E9337" t="s">
        <v>421</v>
      </c>
      <c r="F9337" s="1">
        <v>2</v>
      </c>
      <c r="G9337" s="1" t="s">
        <v>28</v>
      </c>
      <c r="H9337" s="4" t="str">
        <f>HYPERLINK("https://www.ncbi.nlm.nih.gov/geo/query/acc.cgi?acc=GSM1891319","GSM1891319")</f>
        <v>GSM1891319</v>
      </c>
      <c r="I9337" t="s">
        <v>407</v>
      </c>
      <c r="J9337" t="s">
        <v>408</v>
      </c>
      <c r="K9337" t="s">
        <v>33</v>
      </c>
      <c r="L9337" t="s">
        <v>113</v>
      </c>
      <c r="N9337" t="s">
        <v>29</v>
      </c>
    </row>
    <row r="9338" spans="1:14">
      <c r="A9338" s="4" t="str">
        <f t="shared" ref="A9338:A9341" si="835">HYPERLINK("http://hcmdb.i-sanger.com/experiment/details/experiment_id/EXP00306","EXP00306")</f>
        <v>EXP00306</v>
      </c>
      <c r="B9338" s="4" t="str">
        <f t="shared" si="833"/>
        <v>26446169</v>
      </c>
      <c r="C9338" s="4" t="str">
        <f t="shared" si="834"/>
        <v>GSE73338</v>
      </c>
      <c r="D9338" s="1" t="s">
        <v>405</v>
      </c>
      <c r="E9338" t="s">
        <v>422</v>
      </c>
      <c r="F9338" s="1">
        <v>1</v>
      </c>
      <c r="G9338" s="1" t="s">
        <v>26</v>
      </c>
      <c r="H9338" s="4" t="str">
        <f>HYPERLINK("https://www.ncbi.nlm.nih.gov/geo/query/acc.cgi?acc=GSM1891323","GSM1891323")</f>
        <v>GSM1891323</v>
      </c>
      <c r="I9338" t="s">
        <v>407</v>
      </c>
      <c r="J9338" t="s">
        <v>408</v>
      </c>
      <c r="K9338" t="s">
        <v>19</v>
      </c>
      <c r="L9338" t="s">
        <v>113</v>
      </c>
      <c r="M9338" t="s">
        <v>44</v>
      </c>
      <c r="N9338" t="s">
        <v>22</v>
      </c>
    </row>
    <row r="9339" spans="1:14">
      <c r="A9339" s="4" t="str">
        <f t="shared" si="835"/>
        <v>EXP00306</v>
      </c>
      <c r="B9339" s="4" t="str">
        <f t="shared" si="833"/>
        <v>26446169</v>
      </c>
      <c r="C9339" s="4" t="str">
        <f t="shared" si="834"/>
        <v>GSE73338</v>
      </c>
      <c r="D9339" s="1" t="s">
        <v>405</v>
      </c>
      <c r="E9339" t="s">
        <v>422</v>
      </c>
      <c r="F9339" s="1">
        <v>1</v>
      </c>
      <c r="G9339" s="1" t="s">
        <v>26</v>
      </c>
      <c r="H9339" s="4" t="str">
        <f>HYPERLINK("https://www.ncbi.nlm.nih.gov/geo/query/acc.cgi?acc=GSM1891326","GSM1891326")</f>
        <v>GSM1891326</v>
      </c>
      <c r="I9339" t="s">
        <v>407</v>
      </c>
      <c r="J9339" t="s">
        <v>408</v>
      </c>
      <c r="K9339" t="s">
        <v>19</v>
      </c>
      <c r="L9339" t="s">
        <v>113</v>
      </c>
      <c r="M9339" t="s">
        <v>44</v>
      </c>
      <c r="N9339" t="s">
        <v>22</v>
      </c>
    </row>
    <row r="9340" spans="1:14">
      <c r="A9340" s="4" t="str">
        <f t="shared" si="835"/>
        <v>EXP00306</v>
      </c>
      <c r="B9340" s="4" t="str">
        <f t="shared" si="833"/>
        <v>26446169</v>
      </c>
      <c r="C9340" s="4" t="str">
        <f t="shared" si="834"/>
        <v>GSE73338</v>
      </c>
      <c r="D9340" s="1" t="s">
        <v>405</v>
      </c>
      <c r="E9340" t="s">
        <v>422</v>
      </c>
      <c r="F9340" s="1">
        <v>2</v>
      </c>
      <c r="G9340" s="1" t="s">
        <v>28</v>
      </c>
      <c r="H9340" s="4" t="str">
        <f>HYPERLINK("https://www.ncbi.nlm.nih.gov/geo/query/acc.cgi?acc=GSM1891266","GSM1891266")</f>
        <v>GSM1891266</v>
      </c>
      <c r="I9340" t="s">
        <v>407</v>
      </c>
      <c r="J9340" t="s">
        <v>408</v>
      </c>
      <c r="K9340" t="s">
        <v>19</v>
      </c>
      <c r="L9340" t="s">
        <v>113</v>
      </c>
      <c r="M9340" t="s">
        <v>44</v>
      </c>
      <c r="N9340" t="s">
        <v>29</v>
      </c>
    </row>
    <row r="9341" spans="1:14">
      <c r="A9341" s="4" t="str">
        <f t="shared" si="835"/>
        <v>EXP00306</v>
      </c>
      <c r="B9341" s="4" t="str">
        <f t="shared" si="833"/>
        <v>26446169</v>
      </c>
      <c r="C9341" s="4" t="str">
        <f t="shared" si="834"/>
        <v>GSE73338</v>
      </c>
      <c r="D9341" s="1" t="s">
        <v>405</v>
      </c>
      <c r="E9341" t="s">
        <v>422</v>
      </c>
      <c r="F9341" s="1">
        <v>2</v>
      </c>
      <c r="G9341" s="1" t="s">
        <v>28</v>
      </c>
      <c r="H9341" s="4" t="str">
        <f>HYPERLINK("https://www.ncbi.nlm.nih.gov/geo/query/acc.cgi?acc=GSM1891291","GSM1891291")</f>
        <v>GSM1891291</v>
      </c>
      <c r="I9341" t="s">
        <v>407</v>
      </c>
      <c r="J9341" t="s">
        <v>408</v>
      </c>
      <c r="K9341" t="s">
        <v>19</v>
      </c>
      <c r="L9341" t="s">
        <v>113</v>
      </c>
      <c r="M9341" t="s">
        <v>44</v>
      </c>
      <c r="N9341" t="s">
        <v>29</v>
      </c>
    </row>
    <row r="9342" spans="1:14">
      <c r="A9342" s="4" t="str">
        <f t="shared" ref="A9342:A9347" si="836">HYPERLINK("http://hcmdb.i-sanger.com/experiment/details/experiment_id/EXP00307","EXP00307")</f>
        <v>EXP00307</v>
      </c>
      <c r="B9342" s="4" t="str">
        <f t="shared" si="833"/>
        <v>26446169</v>
      </c>
      <c r="C9342" s="4" t="str">
        <f t="shared" si="834"/>
        <v>GSE73338</v>
      </c>
      <c r="D9342" s="1" t="s">
        <v>405</v>
      </c>
      <c r="E9342" t="s">
        <v>423</v>
      </c>
      <c r="F9342" s="1">
        <v>1</v>
      </c>
      <c r="G9342" s="1" t="s">
        <v>26</v>
      </c>
      <c r="H9342" s="4" t="str">
        <f>HYPERLINK("https://www.ncbi.nlm.nih.gov/geo/query/acc.cgi?acc=GSM1891321","GSM1891321")</f>
        <v>GSM1891321</v>
      </c>
      <c r="I9342" t="s">
        <v>407</v>
      </c>
      <c r="J9342" t="s">
        <v>408</v>
      </c>
      <c r="K9342" t="s">
        <v>19</v>
      </c>
      <c r="L9342" t="s">
        <v>113</v>
      </c>
      <c r="M9342" t="s">
        <v>24</v>
      </c>
      <c r="N9342" t="s">
        <v>22</v>
      </c>
    </row>
    <row r="9343" spans="1:14">
      <c r="A9343" s="4" t="str">
        <f t="shared" si="836"/>
        <v>EXP00307</v>
      </c>
      <c r="B9343" s="4" t="str">
        <f t="shared" si="833"/>
        <v>26446169</v>
      </c>
      <c r="C9343" s="4" t="str">
        <f t="shared" si="834"/>
        <v>GSE73338</v>
      </c>
      <c r="D9343" s="1" t="s">
        <v>405</v>
      </c>
      <c r="E9343" t="s">
        <v>423</v>
      </c>
      <c r="F9343" s="1">
        <v>1</v>
      </c>
      <c r="G9343" s="1" t="s">
        <v>26</v>
      </c>
      <c r="H9343" s="4" t="str">
        <f>HYPERLINK("https://www.ncbi.nlm.nih.gov/geo/query/acc.cgi?acc=GSM1891325","GSM1891325")</f>
        <v>GSM1891325</v>
      </c>
      <c r="I9343" t="s">
        <v>407</v>
      </c>
      <c r="J9343" t="s">
        <v>408</v>
      </c>
      <c r="K9343" t="s">
        <v>19</v>
      </c>
      <c r="L9343" t="s">
        <v>113</v>
      </c>
      <c r="M9343" t="s">
        <v>24</v>
      </c>
      <c r="N9343" t="s">
        <v>22</v>
      </c>
    </row>
    <row r="9344" spans="1:14">
      <c r="A9344" s="4" t="str">
        <f t="shared" si="836"/>
        <v>EXP00307</v>
      </c>
      <c r="B9344" s="4" t="str">
        <f t="shared" si="833"/>
        <v>26446169</v>
      </c>
      <c r="C9344" s="4" t="str">
        <f t="shared" si="834"/>
        <v>GSE73338</v>
      </c>
      <c r="D9344" s="1" t="s">
        <v>405</v>
      </c>
      <c r="E9344" t="s">
        <v>423</v>
      </c>
      <c r="F9344" s="1">
        <v>1</v>
      </c>
      <c r="G9344" s="1" t="s">
        <v>26</v>
      </c>
      <c r="H9344" s="4" t="str">
        <f>HYPERLINK("https://www.ncbi.nlm.nih.gov/geo/query/acc.cgi?acc=GSM1891327","GSM1891327")</f>
        <v>GSM1891327</v>
      </c>
      <c r="I9344" t="s">
        <v>407</v>
      </c>
      <c r="J9344" t="s">
        <v>408</v>
      </c>
      <c r="K9344" t="s">
        <v>19</v>
      </c>
      <c r="L9344" t="s">
        <v>113</v>
      </c>
      <c r="M9344" t="s">
        <v>24</v>
      </c>
      <c r="N9344" t="s">
        <v>22</v>
      </c>
    </row>
    <row r="9345" spans="1:14">
      <c r="A9345" s="4" t="str">
        <f t="shared" si="836"/>
        <v>EXP00307</v>
      </c>
      <c r="B9345" s="4" t="str">
        <f t="shared" si="833"/>
        <v>26446169</v>
      </c>
      <c r="C9345" s="4" t="str">
        <f t="shared" si="834"/>
        <v>GSE73338</v>
      </c>
      <c r="D9345" s="1" t="s">
        <v>405</v>
      </c>
      <c r="E9345" t="s">
        <v>423</v>
      </c>
      <c r="F9345" s="1">
        <v>2</v>
      </c>
      <c r="G9345" s="1" t="s">
        <v>28</v>
      </c>
      <c r="H9345" s="4" t="str">
        <f>HYPERLINK("https://www.ncbi.nlm.nih.gov/geo/query/acc.cgi?acc=GSM1891237","GSM1891237")</f>
        <v>GSM1891237</v>
      </c>
      <c r="I9345" t="s">
        <v>407</v>
      </c>
      <c r="J9345" t="s">
        <v>408</v>
      </c>
      <c r="K9345" t="s">
        <v>19</v>
      </c>
      <c r="L9345" t="s">
        <v>113</v>
      </c>
      <c r="M9345" t="s">
        <v>24</v>
      </c>
      <c r="N9345" t="s">
        <v>29</v>
      </c>
    </row>
    <row r="9346" spans="1:14">
      <c r="A9346" s="4" t="str">
        <f t="shared" si="836"/>
        <v>EXP00307</v>
      </c>
      <c r="B9346" s="4" t="str">
        <f t="shared" si="833"/>
        <v>26446169</v>
      </c>
      <c r="C9346" s="4" t="str">
        <f t="shared" si="834"/>
        <v>GSE73338</v>
      </c>
      <c r="D9346" s="1" t="s">
        <v>405</v>
      </c>
      <c r="E9346" t="s">
        <v>423</v>
      </c>
      <c r="F9346" s="1">
        <v>2</v>
      </c>
      <c r="G9346" s="1" t="s">
        <v>28</v>
      </c>
      <c r="H9346" s="4" t="str">
        <f>HYPERLINK("https://www.ncbi.nlm.nih.gov/geo/query/acc.cgi?acc=GSM1891255","GSM1891255")</f>
        <v>GSM1891255</v>
      </c>
      <c r="I9346" t="s">
        <v>407</v>
      </c>
      <c r="J9346" t="s">
        <v>408</v>
      </c>
      <c r="K9346" t="s">
        <v>19</v>
      </c>
      <c r="L9346" t="s">
        <v>113</v>
      </c>
      <c r="M9346" t="s">
        <v>24</v>
      </c>
      <c r="N9346" t="s">
        <v>29</v>
      </c>
    </row>
    <row r="9347" spans="1:14">
      <c r="A9347" s="4" t="str">
        <f t="shared" si="836"/>
        <v>EXP00307</v>
      </c>
      <c r="B9347" s="4" t="str">
        <f t="shared" si="833"/>
        <v>26446169</v>
      </c>
      <c r="C9347" s="4" t="str">
        <f t="shared" si="834"/>
        <v>GSE73338</v>
      </c>
      <c r="D9347" s="1" t="s">
        <v>405</v>
      </c>
      <c r="E9347" t="s">
        <v>423</v>
      </c>
      <c r="F9347" s="1">
        <v>2</v>
      </c>
      <c r="G9347" s="1" t="s">
        <v>28</v>
      </c>
      <c r="H9347" s="4" t="str">
        <f>HYPERLINK("https://www.ncbi.nlm.nih.gov/geo/query/acc.cgi?acc=GSM1891315","GSM1891315")</f>
        <v>GSM1891315</v>
      </c>
      <c r="I9347" t="s">
        <v>407</v>
      </c>
      <c r="J9347" t="s">
        <v>408</v>
      </c>
      <c r="K9347" t="s">
        <v>19</v>
      </c>
      <c r="L9347" t="s">
        <v>113</v>
      </c>
      <c r="M9347" t="s">
        <v>24</v>
      </c>
      <c r="N9347" t="s">
        <v>29</v>
      </c>
    </row>
    <row r="9348" spans="1:14">
      <c r="A9348" s="4" t="str">
        <f t="shared" ref="A9348:A9352" si="837">HYPERLINK("http://hcmdb.i-sanger.com/experiment/details/experiment_id/EXP00308","EXP00308")</f>
        <v>EXP00308</v>
      </c>
      <c r="B9348" s="4" t="str">
        <f t="shared" si="833"/>
        <v>26446169</v>
      </c>
      <c r="C9348" s="4" t="str">
        <f t="shared" si="834"/>
        <v>GSE73338</v>
      </c>
      <c r="D9348" s="1" t="s">
        <v>405</v>
      </c>
      <c r="E9348" t="s">
        <v>424</v>
      </c>
      <c r="F9348" s="1">
        <v>1</v>
      </c>
      <c r="G9348" s="1" t="s">
        <v>36</v>
      </c>
      <c r="H9348" s="4" t="str">
        <f>HYPERLINK("https://www.ncbi.nlm.nih.gov/geo/query/acc.cgi?acc=GSM1891297","GSM1891297")</f>
        <v>GSM1891297</v>
      </c>
      <c r="I9348" t="s">
        <v>407</v>
      </c>
      <c r="J9348" t="s">
        <v>408</v>
      </c>
      <c r="K9348" t="s">
        <v>19</v>
      </c>
      <c r="L9348" t="s">
        <v>113</v>
      </c>
      <c r="M9348" t="s">
        <v>44</v>
      </c>
      <c r="N9348" t="s">
        <v>37</v>
      </c>
    </row>
    <row r="9349" spans="1:14">
      <c r="A9349" s="4" t="str">
        <f t="shared" si="837"/>
        <v>EXP00308</v>
      </c>
      <c r="B9349" s="4" t="str">
        <f t="shared" si="833"/>
        <v>26446169</v>
      </c>
      <c r="C9349" s="4" t="str">
        <f t="shared" si="834"/>
        <v>GSE73338</v>
      </c>
      <c r="D9349" s="1" t="s">
        <v>405</v>
      </c>
      <c r="E9349" t="s">
        <v>424</v>
      </c>
      <c r="F9349" s="1">
        <v>1</v>
      </c>
      <c r="G9349" s="1" t="s">
        <v>36</v>
      </c>
      <c r="H9349" s="4" t="str">
        <f>HYPERLINK("https://www.ncbi.nlm.nih.gov/geo/query/acc.cgi?acc=GSM1891298","GSM1891298")</f>
        <v>GSM1891298</v>
      </c>
      <c r="I9349" t="s">
        <v>407</v>
      </c>
      <c r="J9349" t="s">
        <v>408</v>
      </c>
      <c r="K9349" t="s">
        <v>19</v>
      </c>
      <c r="L9349" t="s">
        <v>113</v>
      </c>
      <c r="M9349" t="s">
        <v>44</v>
      </c>
      <c r="N9349" t="s">
        <v>37</v>
      </c>
    </row>
    <row r="9350" spans="1:14">
      <c r="A9350" s="4" t="str">
        <f t="shared" si="837"/>
        <v>EXP00308</v>
      </c>
      <c r="B9350" s="4" t="str">
        <f t="shared" si="833"/>
        <v>26446169</v>
      </c>
      <c r="C9350" s="4" t="str">
        <f t="shared" si="834"/>
        <v>GSE73338</v>
      </c>
      <c r="D9350" s="1" t="s">
        <v>405</v>
      </c>
      <c r="E9350" t="s">
        <v>424</v>
      </c>
      <c r="F9350" s="1">
        <v>1</v>
      </c>
      <c r="G9350" s="1" t="s">
        <v>36</v>
      </c>
      <c r="H9350" s="4" t="str">
        <f>HYPERLINK("https://www.ncbi.nlm.nih.gov/geo/query/acc.cgi?acc=GSM1891299","GSM1891299")</f>
        <v>GSM1891299</v>
      </c>
      <c r="I9350" t="s">
        <v>407</v>
      </c>
      <c r="J9350" t="s">
        <v>408</v>
      </c>
      <c r="K9350" t="s">
        <v>19</v>
      </c>
      <c r="L9350" t="s">
        <v>113</v>
      </c>
      <c r="M9350" t="s">
        <v>44</v>
      </c>
      <c r="N9350" t="s">
        <v>37</v>
      </c>
    </row>
    <row r="9351" spans="1:14">
      <c r="A9351" s="4" t="str">
        <f t="shared" si="837"/>
        <v>EXP00308</v>
      </c>
      <c r="B9351" s="4" t="str">
        <f t="shared" si="833"/>
        <v>26446169</v>
      </c>
      <c r="C9351" s="4" t="str">
        <f t="shared" si="834"/>
        <v>GSE73338</v>
      </c>
      <c r="D9351" s="1" t="s">
        <v>405</v>
      </c>
      <c r="E9351" t="s">
        <v>424</v>
      </c>
      <c r="F9351" s="1">
        <v>2</v>
      </c>
      <c r="G9351" s="1" t="s">
        <v>28</v>
      </c>
      <c r="H9351" s="4" t="str">
        <f>HYPERLINK("https://www.ncbi.nlm.nih.gov/geo/query/acc.cgi?acc=GSM1891266","GSM1891266")</f>
        <v>GSM1891266</v>
      </c>
      <c r="I9351" t="s">
        <v>407</v>
      </c>
      <c r="J9351" t="s">
        <v>408</v>
      </c>
      <c r="K9351" t="s">
        <v>19</v>
      </c>
      <c r="L9351" t="s">
        <v>113</v>
      </c>
      <c r="M9351" t="s">
        <v>44</v>
      </c>
      <c r="N9351" t="s">
        <v>29</v>
      </c>
    </row>
    <row r="9352" spans="1:14">
      <c r="A9352" s="4" t="str">
        <f t="shared" si="837"/>
        <v>EXP00308</v>
      </c>
      <c r="B9352" s="4" t="str">
        <f t="shared" si="833"/>
        <v>26446169</v>
      </c>
      <c r="C9352" s="4" t="str">
        <f t="shared" si="834"/>
        <v>GSE73338</v>
      </c>
      <c r="D9352" s="1" t="s">
        <v>405</v>
      </c>
      <c r="E9352" t="s">
        <v>424</v>
      </c>
      <c r="F9352" s="1">
        <v>2</v>
      </c>
      <c r="G9352" s="1" t="s">
        <v>28</v>
      </c>
      <c r="H9352" s="4" t="str">
        <f>HYPERLINK("https://www.ncbi.nlm.nih.gov/geo/query/acc.cgi?acc=GSM1891291","GSM1891291")</f>
        <v>GSM1891291</v>
      </c>
      <c r="I9352" t="s">
        <v>407</v>
      </c>
      <c r="J9352" t="s">
        <v>408</v>
      </c>
      <c r="K9352" t="s">
        <v>19</v>
      </c>
      <c r="L9352" t="s">
        <v>113</v>
      </c>
      <c r="M9352" t="s">
        <v>44</v>
      </c>
      <c r="N9352" t="s">
        <v>29</v>
      </c>
    </row>
    <row r="9353" spans="1:14">
      <c r="A9353" s="4" t="str">
        <f t="shared" ref="A9353:A9357" si="838">HYPERLINK("http://hcmdb.i-sanger.com/experiment/details/experiment_id/EXP00309","EXP00309")</f>
        <v>EXP00309</v>
      </c>
      <c r="B9353" s="4" t="str">
        <f t="shared" si="833"/>
        <v>26446169</v>
      </c>
      <c r="C9353" s="4" t="str">
        <f t="shared" si="834"/>
        <v>GSE73338</v>
      </c>
      <c r="D9353" s="1" t="s">
        <v>405</v>
      </c>
      <c r="E9353" t="s">
        <v>425</v>
      </c>
      <c r="F9353" s="1">
        <v>1</v>
      </c>
      <c r="G9353" s="1" t="s">
        <v>426</v>
      </c>
      <c r="H9353" s="4" t="str">
        <f>HYPERLINK("https://www.ncbi.nlm.nih.gov/geo/query/acc.cgi?acc=GSM1891266","GSM1891266")</f>
        <v>GSM1891266</v>
      </c>
      <c r="I9353" t="s">
        <v>407</v>
      </c>
      <c r="J9353" t="s">
        <v>408</v>
      </c>
      <c r="K9353" t="s">
        <v>19</v>
      </c>
      <c r="L9353" t="s">
        <v>113</v>
      </c>
      <c r="M9353" t="s">
        <v>44</v>
      </c>
      <c r="N9353" t="s">
        <v>29</v>
      </c>
    </row>
    <row r="9354" spans="1:14">
      <c r="A9354" s="4" t="str">
        <f t="shared" si="838"/>
        <v>EXP00309</v>
      </c>
      <c r="B9354" s="4" t="str">
        <f t="shared" si="833"/>
        <v>26446169</v>
      </c>
      <c r="C9354" s="4" t="str">
        <f t="shared" si="834"/>
        <v>GSE73338</v>
      </c>
      <c r="D9354" s="1" t="s">
        <v>405</v>
      </c>
      <c r="E9354" t="s">
        <v>425</v>
      </c>
      <c r="F9354" s="1">
        <v>1</v>
      </c>
      <c r="G9354" s="1" t="s">
        <v>426</v>
      </c>
      <c r="H9354" s="4" t="str">
        <f>HYPERLINK("https://www.ncbi.nlm.nih.gov/geo/query/acc.cgi?acc=GSM1891291","GSM1891291")</f>
        <v>GSM1891291</v>
      </c>
      <c r="I9354" t="s">
        <v>407</v>
      </c>
      <c r="J9354" t="s">
        <v>408</v>
      </c>
      <c r="K9354" t="s">
        <v>19</v>
      </c>
      <c r="L9354" t="s">
        <v>113</v>
      </c>
      <c r="M9354" t="s">
        <v>44</v>
      </c>
      <c r="N9354" t="s">
        <v>29</v>
      </c>
    </row>
    <row r="9355" spans="1:14">
      <c r="A9355" s="4" t="str">
        <f t="shared" si="838"/>
        <v>EXP00309</v>
      </c>
      <c r="B9355" s="4" t="str">
        <f t="shared" si="833"/>
        <v>26446169</v>
      </c>
      <c r="C9355" s="4" t="str">
        <f t="shared" si="834"/>
        <v>GSE73338</v>
      </c>
      <c r="D9355" s="1" t="s">
        <v>405</v>
      </c>
      <c r="E9355" t="s">
        <v>425</v>
      </c>
      <c r="F9355" s="1">
        <v>2</v>
      </c>
      <c r="G9355" s="1" t="s">
        <v>427</v>
      </c>
      <c r="H9355" s="4" t="str">
        <f>HYPERLINK("https://www.ncbi.nlm.nih.gov/geo/query/acc.cgi?acc=GSM1891237","GSM1891237")</f>
        <v>GSM1891237</v>
      </c>
      <c r="I9355" t="s">
        <v>407</v>
      </c>
      <c r="J9355" t="s">
        <v>408</v>
      </c>
      <c r="K9355" t="s">
        <v>19</v>
      </c>
      <c r="L9355" t="s">
        <v>113</v>
      </c>
      <c r="M9355" t="s">
        <v>24</v>
      </c>
      <c r="N9355" t="s">
        <v>29</v>
      </c>
    </row>
    <row r="9356" spans="1:14">
      <c r="A9356" s="4" t="str">
        <f t="shared" si="838"/>
        <v>EXP00309</v>
      </c>
      <c r="B9356" s="4" t="str">
        <f t="shared" si="833"/>
        <v>26446169</v>
      </c>
      <c r="C9356" s="4" t="str">
        <f t="shared" si="834"/>
        <v>GSE73338</v>
      </c>
      <c r="D9356" s="1" t="s">
        <v>405</v>
      </c>
      <c r="E9356" t="s">
        <v>425</v>
      </c>
      <c r="F9356" s="1">
        <v>2</v>
      </c>
      <c r="G9356" s="1" t="s">
        <v>427</v>
      </c>
      <c r="H9356" s="4" t="str">
        <f>HYPERLINK("https://www.ncbi.nlm.nih.gov/geo/query/acc.cgi?acc=GSM1891255","GSM1891255")</f>
        <v>GSM1891255</v>
      </c>
      <c r="I9356" t="s">
        <v>407</v>
      </c>
      <c r="J9356" t="s">
        <v>408</v>
      </c>
      <c r="K9356" t="s">
        <v>19</v>
      </c>
      <c r="L9356" t="s">
        <v>113</v>
      </c>
      <c r="M9356" t="s">
        <v>24</v>
      </c>
      <c r="N9356" t="s">
        <v>29</v>
      </c>
    </row>
    <row r="9357" spans="1:14">
      <c r="A9357" s="4" t="str">
        <f t="shared" si="838"/>
        <v>EXP00309</v>
      </c>
      <c r="B9357" s="4" t="str">
        <f t="shared" si="833"/>
        <v>26446169</v>
      </c>
      <c r="C9357" s="4" t="str">
        <f t="shared" si="834"/>
        <v>GSE73338</v>
      </c>
      <c r="D9357" s="1" t="s">
        <v>405</v>
      </c>
      <c r="E9357" t="s">
        <v>425</v>
      </c>
      <c r="F9357" s="1">
        <v>2</v>
      </c>
      <c r="G9357" s="1" t="s">
        <v>427</v>
      </c>
      <c r="H9357" s="4" t="str">
        <f>HYPERLINK("https://www.ncbi.nlm.nih.gov/geo/query/acc.cgi?acc=GSM1891315","GSM1891315")</f>
        <v>GSM1891315</v>
      </c>
      <c r="I9357" t="s">
        <v>407</v>
      </c>
      <c r="J9357" t="s">
        <v>408</v>
      </c>
      <c r="K9357" t="s">
        <v>19</v>
      </c>
      <c r="L9357" t="s">
        <v>113</v>
      </c>
      <c r="M9357" t="s">
        <v>24</v>
      </c>
      <c r="N9357" t="s">
        <v>29</v>
      </c>
    </row>
    <row r="9358" spans="1:14">
      <c r="A9358" s="4" t="str">
        <f t="shared" ref="A9358:A9362" si="839">HYPERLINK("http://hcmdb.i-sanger.com/experiment/details/experiment_id/EXP00310","EXP00310")</f>
        <v>EXP00310</v>
      </c>
      <c r="B9358" s="4" t="str">
        <f t="shared" si="833"/>
        <v>26446169</v>
      </c>
      <c r="C9358" s="4" t="str">
        <f t="shared" si="834"/>
        <v>GSE73338</v>
      </c>
      <c r="D9358" s="1" t="s">
        <v>405</v>
      </c>
      <c r="E9358" t="s">
        <v>428</v>
      </c>
      <c r="F9358" s="1">
        <v>1</v>
      </c>
      <c r="G9358" s="1" t="s">
        <v>429</v>
      </c>
      <c r="H9358" s="4" t="str">
        <f>HYPERLINK("https://www.ncbi.nlm.nih.gov/geo/query/acc.cgi?acc=GSM1891323","GSM1891323")</f>
        <v>GSM1891323</v>
      </c>
      <c r="I9358" t="s">
        <v>407</v>
      </c>
      <c r="J9358" t="s">
        <v>408</v>
      </c>
      <c r="K9358" t="s">
        <v>19</v>
      </c>
      <c r="L9358" t="s">
        <v>113</v>
      </c>
      <c r="M9358" t="s">
        <v>44</v>
      </c>
      <c r="N9358" t="s">
        <v>22</v>
      </c>
    </row>
    <row r="9359" spans="1:14">
      <c r="A9359" s="4" t="str">
        <f t="shared" si="839"/>
        <v>EXP00310</v>
      </c>
      <c r="B9359" s="4" t="str">
        <f t="shared" si="833"/>
        <v>26446169</v>
      </c>
      <c r="C9359" s="4" t="str">
        <f t="shared" si="834"/>
        <v>GSE73338</v>
      </c>
      <c r="D9359" s="1" t="s">
        <v>405</v>
      </c>
      <c r="E9359" t="s">
        <v>428</v>
      </c>
      <c r="F9359" s="1">
        <v>1</v>
      </c>
      <c r="G9359" s="1" t="s">
        <v>429</v>
      </c>
      <c r="H9359" s="4" t="str">
        <f>HYPERLINK("https://www.ncbi.nlm.nih.gov/geo/query/acc.cgi?acc=GSM1891326","GSM1891326")</f>
        <v>GSM1891326</v>
      </c>
      <c r="I9359" t="s">
        <v>407</v>
      </c>
      <c r="J9359" t="s">
        <v>408</v>
      </c>
      <c r="K9359" t="s">
        <v>19</v>
      </c>
      <c r="L9359" t="s">
        <v>113</v>
      </c>
      <c r="M9359" t="s">
        <v>44</v>
      </c>
      <c r="N9359" t="s">
        <v>22</v>
      </c>
    </row>
    <row r="9360" spans="1:14">
      <c r="A9360" s="4" t="str">
        <f t="shared" si="839"/>
        <v>EXP00310</v>
      </c>
      <c r="B9360" s="4" t="str">
        <f t="shared" si="833"/>
        <v>26446169</v>
      </c>
      <c r="C9360" s="4" t="str">
        <f t="shared" si="834"/>
        <v>GSE73338</v>
      </c>
      <c r="D9360" s="1" t="s">
        <v>405</v>
      </c>
      <c r="E9360" t="s">
        <v>428</v>
      </c>
      <c r="F9360" s="1">
        <v>2</v>
      </c>
      <c r="G9360" s="1" t="s">
        <v>430</v>
      </c>
      <c r="H9360" s="4" t="str">
        <f>HYPERLINK("https://www.ncbi.nlm.nih.gov/geo/query/acc.cgi?acc=GSM1891321","GSM1891321")</f>
        <v>GSM1891321</v>
      </c>
      <c r="I9360" t="s">
        <v>407</v>
      </c>
      <c r="J9360" t="s">
        <v>408</v>
      </c>
      <c r="K9360" t="s">
        <v>19</v>
      </c>
      <c r="L9360" t="s">
        <v>113</v>
      </c>
      <c r="M9360" t="s">
        <v>24</v>
      </c>
      <c r="N9360" t="s">
        <v>22</v>
      </c>
    </row>
    <row r="9361" spans="1:14">
      <c r="A9361" s="4" t="str">
        <f t="shared" si="839"/>
        <v>EXP00310</v>
      </c>
      <c r="B9361" s="4" t="str">
        <f t="shared" si="833"/>
        <v>26446169</v>
      </c>
      <c r="C9361" s="4" t="str">
        <f t="shared" si="834"/>
        <v>GSE73338</v>
      </c>
      <c r="D9361" s="1" t="s">
        <v>405</v>
      </c>
      <c r="E9361" t="s">
        <v>428</v>
      </c>
      <c r="F9361" s="1">
        <v>2</v>
      </c>
      <c r="G9361" s="1" t="s">
        <v>430</v>
      </c>
      <c r="H9361" s="4" t="str">
        <f>HYPERLINK("https://www.ncbi.nlm.nih.gov/geo/query/acc.cgi?acc=GSM1891325","GSM1891325")</f>
        <v>GSM1891325</v>
      </c>
      <c r="I9361" t="s">
        <v>407</v>
      </c>
      <c r="J9361" t="s">
        <v>408</v>
      </c>
      <c r="K9361" t="s">
        <v>19</v>
      </c>
      <c r="L9361" t="s">
        <v>113</v>
      </c>
      <c r="M9361" t="s">
        <v>24</v>
      </c>
      <c r="N9361" t="s">
        <v>22</v>
      </c>
    </row>
    <row r="9362" spans="1:14">
      <c r="A9362" s="4" t="str">
        <f t="shared" si="839"/>
        <v>EXP00310</v>
      </c>
      <c r="B9362" s="4" t="str">
        <f t="shared" si="833"/>
        <v>26446169</v>
      </c>
      <c r="C9362" s="4" t="str">
        <f t="shared" si="834"/>
        <v>GSE73338</v>
      </c>
      <c r="D9362" s="1" t="s">
        <v>405</v>
      </c>
      <c r="E9362" t="s">
        <v>428</v>
      </c>
      <c r="F9362" s="1">
        <v>2</v>
      </c>
      <c r="G9362" s="1" t="s">
        <v>430</v>
      </c>
      <c r="H9362" s="4" t="str">
        <f>HYPERLINK("https://www.ncbi.nlm.nih.gov/geo/query/acc.cgi?acc=GSM1891327","GSM1891327")</f>
        <v>GSM1891327</v>
      </c>
      <c r="I9362" t="s">
        <v>407</v>
      </c>
      <c r="J9362" t="s">
        <v>408</v>
      </c>
      <c r="K9362" t="s">
        <v>19</v>
      </c>
      <c r="L9362" t="s">
        <v>113</v>
      </c>
      <c r="M9362" t="s">
        <v>24</v>
      </c>
      <c r="N9362" t="s">
        <v>22</v>
      </c>
    </row>
    <row r="9363" spans="1:14">
      <c r="A9363" s="4" t="str">
        <f t="shared" ref="A9363:A9372" si="840">HYPERLINK("http://hcmdb.i-sanger.com/experiment/details/experiment_id/EXP00311","EXP00311")</f>
        <v>EXP00311</v>
      </c>
      <c r="B9363" s="4" t="str">
        <f t="shared" si="833"/>
        <v>26446169</v>
      </c>
      <c r="C9363" s="4" t="str">
        <f t="shared" si="834"/>
        <v>GSE73338</v>
      </c>
      <c r="D9363" s="1" t="s">
        <v>405</v>
      </c>
      <c r="E9363" t="s">
        <v>431</v>
      </c>
      <c r="F9363" s="1">
        <v>1</v>
      </c>
      <c r="G9363" s="1" t="s">
        <v>26</v>
      </c>
      <c r="H9363" s="4" t="str">
        <f>HYPERLINK("https://www.ncbi.nlm.nih.gov/geo/query/acc.cgi?acc=GSM1891321","GSM1891321")</f>
        <v>GSM1891321</v>
      </c>
      <c r="I9363" t="s">
        <v>407</v>
      </c>
      <c r="J9363" t="s">
        <v>408</v>
      </c>
      <c r="K9363" t="s">
        <v>19</v>
      </c>
      <c r="L9363" t="s">
        <v>113</v>
      </c>
      <c r="M9363" t="s">
        <v>24</v>
      </c>
      <c r="N9363" t="s">
        <v>22</v>
      </c>
    </row>
    <row r="9364" spans="1:14">
      <c r="A9364" s="4" t="str">
        <f t="shared" si="840"/>
        <v>EXP00311</v>
      </c>
      <c r="B9364" s="4" t="str">
        <f t="shared" si="833"/>
        <v>26446169</v>
      </c>
      <c r="C9364" s="4" t="str">
        <f t="shared" si="834"/>
        <v>GSE73338</v>
      </c>
      <c r="D9364" s="1" t="s">
        <v>405</v>
      </c>
      <c r="E9364" t="s">
        <v>431</v>
      </c>
      <c r="F9364" s="1">
        <v>1</v>
      </c>
      <c r="G9364" s="1" t="s">
        <v>26</v>
      </c>
      <c r="H9364" s="4" t="str">
        <f>HYPERLINK("https://www.ncbi.nlm.nih.gov/geo/query/acc.cgi?acc=GSM1891323","GSM1891323")</f>
        <v>GSM1891323</v>
      </c>
      <c r="I9364" t="s">
        <v>407</v>
      </c>
      <c r="J9364" t="s">
        <v>408</v>
      </c>
      <c r="K9364" t="s">
        <v>19</v>
      </c>
      <c r="L9364" t="s">
        <v>113</v>
      </c>
      <c r="M9364" t="s">
        <v>44</v>
      </c>
      <c r="N9364" t="s">
        <v>22</v>
      </c>
    </row>
    <row r="9365" spans="1:14">
      <c r="A9365" s="4" t="str">
        <f t="shared" si="840"/>
        <v>EXP00311</v>
      </c>
      <c r="B9365" s="4" t="str">
        <f t="shared" si="833"/>
        <v>26446169</v>
      </c>
      <c r="C9365" s="4" t="str">
        <f t="shared" si="834"/>
        <v>GSE73338</v>
      </c>
      <c r="D9365" s="1" t="s">
        <v>405</v>
      </c>
      <c r="E9365" t="s">
        <v>431</v>
      </c>
      <c r="F9365" s="1">
        <v>1</v>
      </c>
      <c r="G9365" s="1" t="s">
        <v>26</v>
      </c>
      <c r="H9365" s="4" t="str">
        <f>HYPERLINK("https://www.ncbi.nlm.nih.gov/geo/query/acc.cgi?acc=GSM1891325","GSM1891325")</f>
        <v>GSM1891325</v>
      </c>
      <c r="I9365" t="s">
        <v>407</v>
      </c>
      <c r="J9365" t="s">
        <v>408</v>
      </c>
      <c r="K9365" t="s">
        <v>19</v>
      </c>
      <c r="L9365" t="s">
        <v>113</v>
      </c>
      <c r="M9365" t="s">
        <v>24</v>
      </c>
      <c r="N9365" t="s">
        <v>22</v>
      </c>
    </row>
    <row r="9366" spans="1:14">
      <c r="A9366" s="4" t="str">
        <f t="shared" si="840"/>
        <v>EXP00311</v>
      </c>
      <c r="B9366" s="4" t="str">
        <f t="shared" si="833"/>
        <v>26446169</v>
      </c>
      <c r="C9366" s="4" t="str">
        <f t="shared" si="834"/>
        <v>GSE73338</v>
      </c>
      <c r="D9366" s="1" t="s">
        <v>405</v>
      </c>
      <c r="E9366" t="s">
        <v>431</v>
      </c>
      <c r="F9366" s="1">
        <v>1</v>
      </c>
      <c r="G9366" s="1" t="s">
        <v>26</v>
      </c>
      <c r="H9366" s="4" t="str">
        <f>HYPERLINK("https://www.ncbi.nlm.nih.gov/geo/query/acc.cgi?acc=GSM1891326","GSM1891326")</f>
        <v>GSM1891326</v>
      </c>
      <c r="I9366" t="s">
        <v>407</v>
      </c>
      <c r="J9366" t="s">
        <v>408</v>
      </c>
      <c r="K9366" t="s">
        <v>19</v>
      </c>
      <c r="L9366" t="s">
        <v>113</v>
      </c>
      <c r="M9366" t="s">
        <v>44</v>
      </c>
      <c r="N9366" t="s">
        <v>22</v>
      </c>
    </row>
    <row r="9367" spans="1:14">
      <c r="A9367" s="4" t="str">
        <f t="shared" si="840"/>
        <v>EXP00311</v>
      </c>
      <c r="B9367" s="4" t="str">
        <f t="shared" si="833"/>
        <v>26446169</v>
      </c>
      <c r="C9367" s="4" t="str">
        <f t="shared" si="834"/>
        <v>GSE73338</v>
      </c>
      <c r="D9367" s="1" t="s">
        <v>405</v>
      </c>
      <c r="E9367" t="s">
        <v>431</v>
      </c>
      <c r="F9367" s="1">
        <v>1</v>
      </c>
      <c r="G9367" s="1" t="s">
        <v>26</v>
      </c>
      <c r="H9367" s="4" t="str">
        <f>HYPERLINK("https://www.ncbi.nlm.nih.gov/geo/query/acc.cgi?acc=GSM1891327","GSM1891327")</f>
        <v>GSM1891327</v>
      </c>
      <c r="I9367" t="s">
        <v>407</v>
      </c>
      <c r="J9367" t="s">
        <v>408</v>
      </c>
      <c r="K9367" t="s">
        <v>19</v>
      </c>
      <c r="L9367" t="s">
        <v>113</v>
      </c>
      <c r="M9367" t="s">
        <v>24</v>
      </c>
      <c r="N9367" t="s">
        <v>22</v>
      </c>
    </row>
    <row r="9368" spans="1:14">
      <c r="A9368" s="4" t="str">
        <f t="shared" si="840"/>
        <v>EXP00311</v>
      </c>
      <c r="B9368" s="4" t="str">
        <f t="shared" si="833"/>
        <v>26446169</v>
      </c>
      <c r="C9368" s="4" t="str">
        <f t="shared" si="834"/>
        <v>GSE73338</v>
      </c>
      <c r="D9368" s="1" t="s">
        <v>405</v>
      </c>
      <c r="E9368" t="s">
        <v>431</v>
      </c>
      <c r="F9368" s="1">
        <v>2</v>
      </c>
      <c r="G9368" s="1" t="s">
        <v>28</v>
      </c>
      <c r="H9368" s="4" t="str">
        <f>HYPERLINK("https://www.ncbi.nlm.nih.gov/geo/query/acc.cgi?acc=GSM1891237","GSM1891237")</f>
        <v>GSM1891237</v>
      </c>
      <c r="I9368" t="s">
        <v>407</v>
      </c>
      <c r="J9368" t="s">
        <v>408</v>
      </c>
      <c r="K9368" t="s">
        <v>19</v>
      </c>
      <c r="L9368" t="s">
        <v>113</v>
      </c>
      <c r="M9368" t="s">
        <v>24</v>
      </c>
      <c r="N9368" t="s">
        <v>29</v>
      </c>
    </row>
    <row r="9369" spans="1:14">
      <c r="A9369" s="4" t="str">
        <f t="shared" si="840"/>
        <v>EXP00311</v>
      </c>
      <c r="B9369" s="4" t="str">
        <f t="shared" si="833"/>
        <v>26446169</v>
      </c>
      <c r="C9369" s="4" t="str">
        <f t="shared" si="834"/>
        <v>GSE73338</v>
      </c>
      <c r="D9369" s="1" t="s">
        <v>405</v>
      </c>
      <c r="E9369" t="s">
        <v>431</v>
      </c>
      <c r="F9369" s="1">
        <v>2</v>
      </c>
      <c r="G9369" s="1" t="s">
        <v>28</v>
      </c>
      <c r="H9369" s="4" t="str">
        <f>HYPERLINK("https://www.ncbi.nlm.nih.gov/geo/query/acc.cgi?acc=GSM1891255","GSM1891255")</f>
        <v>GSM1891255</v>
      </c>
      <c r="I9369" t="s">
        <v>407</v>
      </c>
      <c r="J9369" t="s">
        <v>408</v>
      </c>
      <c r="K9369" t="s">
        <v>19</v>
      </c>
      <c r="L9369" t="s">
        <v>113</v>
      </c>
      <c r="M9369" t="s">
        <v>24</v>
      </c>
      <c r="N9369" t="s">
        <v>29</v>
      </c>
    </row>
    <row r="9370" spans="1:14">
      <c r="A9370" s="4" t="str">
        <f t="shared" si="840"/>
        <v>EXP00311</v>
      </c>
      <c r="B9370" s="4" t="str">
        <f t="shared" si="833"/>
        <v>26446169</v>
      </c>
      <c r="C9370" s="4" t="str">
        <f t="shared" si="834"/>
        <v>GSE73338</v>
      </c>
      <c r="D9370" s="1" t="s">
        <v>405</v>
      </c>
      <c r="E9370" t="s">
        <v>431</v>
      </c>
      <c r="F9370" s="1">
        <v>2</v>
      </c>
      <c r="G9370" s="1" t="s">
        <v>28</v>
      </c>
      <c r="H9370" s="4" t="str">
        <f>HYPERLINK("https://www.ncbi.nlm.nih.gov/geo/query/acc.cgi?acc=GSM1891266","GSM1891266")</f>
        <v>GSM1891266</v>
      </c>
      <c r="I9370" t="s">
        <v>407</v>
      </c>
      <c r="J9370" t="s">
        <v>408</v>
      </c>
      <c r="K9370" t="s">
        <v>19</v>
      </c>
      <c r="L9370" t="s">
        <v>113</v>
      </c>
      <c r="M9370" t="s">
        <v>44</v>
      </c>
      <c r="N9370" t="s">
        <v>29</v>
      </c>
    </row>
    <row r="9371" spans="1:14">
      <c r="A9371" s="4" t="str">
        <f t="shared" si="840"/>
        <v>EXP00311</v>
      </c>
      <c r="B9371" s="4" t="str">
        <f t="shared" si="833"/>
        <v>26446169</v>
      </c>
      <c r="C9371" s="4" t="str">
        <f t="shared" si="834"/>
        <v>GSE73338</v>
      </c>
      <c r="D9371" s="1" t="s">
        <v>405</v>
      </c>
      <c r="E9371" t="s">
        <v>431</v>
      </c>
      <c r="F9371" s="1">
        <v>2</v>
      </c>
      <c r="G9371" s="1" t="s">
        <v>28</v>
      </c>
      <c r="H9371" s="4" t="str">
        <f>HYPERLINK("https://www.ncbi.nlm.nih.gov/geo/query/acc.cgi?acc=GSM1891291","GSM1891291")</f>
        <v>GSM1891291</v>
      </c>
      <c r="I9371" t="s">
        <v>407</v>
      </c>
      <c r="J9371" t="s">
        <v>408</v>
      </c>
      <c r="K9371" t="s">
        <v>19</v>
      </c>
      <c r="L9371" t="s">
        <v>113</v>
      </c>
      <c r="M9371" t="s">
        <v>44</v>
      </c>
      <c r="N9371" t="s">
        <v>29</v>
      </c>
    </row>
    <row r="9372" spans="1:14">
      <c r="A9372" s="4" t="str">
        <f t="shared" si="840"/>
        <v>EXP00311</v>
      </c>
      <c r="B9372" s="4" t="str">
        <f t="shared" si="833"/>
        <v>26446169</v>
      </c>
      <c r="C9372" s="4" t="str">
        <f t="shared" si="834"/>
        <v>GSE73338</v>
      </c>
      <c r="D9372" s="1" t="s">
        <v>405</v>
      </c>
      <c r="E9372" t="s">
        <v>431</v>
      </c>
      <c r="F9372" s="1">
        <v>2</v>
      </c>
      <c r="G9372" s="1" t="s">
        <v>28</v>
      </c>
      <c r="H9372" s="4" t="str">
        <f>HYPERLINK("https://www.ncbi.nlm.nih.gov/geo/query/acc.cgi?acc=GSM1891315","GSM1891315")</f>
        <v>GSM1891315</v>
      </c>
      <c r="I9372" t="s">
        <v>407</v>
      </c>
      <c r="J9372" t="s">
        <v>408</v>
      </c>
      <c r="K9372" t="s">
        <v>19</v>
      </c>
      <c r="L9372" t="s">
        <v>113</v>
      </c>
      <c r="M9372" t="s">
        <v>24</v>
      </c>
      <c r="N9372" t="s">
        <v>29</v>
      </c>
    </row>
    <row r="9373" spans="1:14">
      <c r="A9373" s="4" t="str">
        <f t="shared" ref="A9373:A9380" si="841">HYPERLINK("http://hcmdb.i-sanger.com/experiment/details/experiment_id/EXP00312","EXP00312")</f>
        <v>EXP00312</v>
      </c>
      <c r="B9373" s="4" t="str">
        <f t="shared" si="833"/>
        <v>26446169</v>
      </c>
      <c r="C9373" s="4" t="str">
        <f t="shared" si="834"/>
        <v>GSE73338</v>
      </c>
      <c r="D9373" s="1" t="s">
        <v>405</v>
      </c>
      <c r="E9373" t="s">
        <v>432</v>
      </c>
      <c r="F9373" s="1">
        <v>1</v>
      </c>
      <c r="G9373" s="1" t="s">
        <v>36</v>
      </c>
      <c r="H9373" s="4" t="str">
        <f>HYPERLINK("https://www.ncbi.nlm.nih.gov/geo/query/acc.cgi?acc=GSM1891297","GSM1891297")</f>
        <v>GSM1891297</v>
      </c>
      <c r="I9373" t="s">
        <v>407</v>
      </c>
      <c r="J9373" t="s">
        <v>408</v>
      </c>
      <c r="K9373" t="s">
        <v>19</v>
      </c>
      <c r="L9373" t="s">
        <v>113</v>
      </c>
      <c r="M9373" t="s">
        <v>44</v>
      </c>
      <c r="N9373" t="s">
        <v>37</v>
      </c>
    </row>
    <row r="9374" spans="1:14">
      <c r="A9374" s="4" t="str">
        <f t="shared" si="841"/>
        <v>EXP00312</v>
      </c>
      <c r="B9374" s="4" t="str">
        <f t="shared" si="833"/>
        <v>26446169</v>
      </c>
      <c r="C9374" s="4" t="str">
        <f t="shared" si="834"/>
        <v>GSE73338</v>
      </c>
      <c r="D9374" s="1" t="s">
        <v>405</v>
      </c>
      <c r="E9374" t="s">
        <v>432</v>
      </c>
      <c r="F9374" s="1">
        <v>1</v>
      </c>
      <c r="G9374" s="1" t="s">
        <v>36</v>
      </c>
      <c r="H9374" s="4" t="str">
        <f>HYPERLINK("https://www.ncbi.nlm.nih.gov/geo/query/acc.cgi?acc=GSM1891298","GSM1891298")</f>
        <v>GSM1891298</v>
      </c>
      <c r="I9374" t="s">
        <v>407</v>
      </c>
      <c r="J9374" t="s">
        <v>408</v>
      </c>
      <c r="K9374" t="s">
        <v>19</v>
      </c>
      <c r="L9374" t="s">
        <v>113</v>
      </c>
      <c r="M9374" t="s">
        <v>44</v>
      </c>
      <c r="N9374" t="s">
        <v>37</v>
      </c>
    </row>
    <row r="9375" spans="1:14">
      <c r="A9375" s="4" t="str">
        <f t="shared" si="841"/>
        <v>EXP00312</v>
      </c>
      <c r="B9375" s="4" t="str">
        <f t="shared" si="833"/>
        <v>26446169</v>
      </c>
      <c r="C9375" s="4" t="str">
        <f t="shared" si="834"/>
        <v>GSE73338</v>
      </c>
      <c r="D9375" s="1" t="s">
        <v>405</v>
      </c>
      <c r="E9375" t="s">
        <v>432</v>
      </c>
      <c r="F9375" s="1">
        <v>1</v>
      </c>
      <c r="G9375" s="1" t="s">
        <v>36</v>
      </c>
      <c r="H9375" s="4" t="str">
        <f>HYPERLINK("https://www.ncbi.nlm.nih.gov/geo/query/acc.cgi?acc=GSM1891299","GSM1891299")</f>
        <v>GSM1891299</v>
      </c>
      <c r="I9375" t="s">
        <v>407</v>
      </c>
      <c r="J9375" t="s">
        <v>408</v>
      </c>
      <c r="K9375" t="s">
        <v>19</v>
      </c>
      <c r="L9375" t="s">
        <v>113</v>
      </c>
      <c r="M9375" t="s">
        <v>44</v>
      </c>
      <c r="N9375" t="s">
        <v>37</v>
      </c>
    </row>
    <row r="9376" spans="1:14">
      <c r="A9376" s="4" t="str">
        <f t="shared" si="841"/>
        <v>EXP00312</v>
      </c>
      <c r="B9376" s="4" t="str">
        <f t="shared" si="833"/>
        <v>26446169</v>
      </c>
      <c r="C9376" s="4" t="str">
        <f t="shared" si="834"/>
        <v>GSE73338</v>
      </c>
      <c r="D9376" s="1" t="s">
        <v>405</v>
      </c>
      <c r="E9376" t="s">
        <v>432</v>
      </c>
      <c r="F9376" s="1">
        <v>2</v>
      </c>
      <c r="G9376" s="1" t="s">
        <v>28</v>
      </c>
      <c r="H9376" s="4" t="str">
        <f>HYPERLINK("https://www.ncbi.nlm.nih.gov/geo/query/acc.cgi?acc=GSM1891237","GSM1891237")</f>
        <v>GSM1891237</v>
      </c>
      <c r="I9376" t="s">
        <v>407</v>
      </c>
      <c r="J9376" t="s">
        <v>408</v>
      </c>
      <c r="K9376" t="s">
        <v>19</v>
      </c>
      <c r="L9376" t="s">
        <v>113</v>
      </c>
      <c r="M9376" t="s">
        <v>24</v>
      </c>
      <c r="N9376" t="s">
        <v>29</v>
      </c>
    </row>
    <row r="9377" spans="1:14">
      <c r="A9377" s="4" t="str">
        <f t="shared" si="841"/>
        <v>EXP00312</v>
      </c>
      <c r="B9377" s="4" t="str">
        <f t="shared" si="833"/>
        <v>26446169</v>
      </c>
      <c r="C9377" s="4" t="str">
        <f t="shared" si="834"/>
        <v>GSE73338</v>
      </c>
      <c r="D9377" s="1" t="s">
        <v>405</v>
      </c>
      <c r="E9377" t="s">
        <v>432</v>
      </c>
      <c r="F9377" s="1">
        <v>2</v>
      </c>
      <c r="G9377" s="1" t="s">
        <v>28</v>
      </c>
      <c r="H9377" s="4" t="str">
        <f>HYPERLINK("https://www.ncbi.nlm.nih.gov/geo/query/acc.cgi?acc=GSM1891255","GSM1891255")</f>
        <v>GSM1891255</v>
      </c>
      <c r="I9377" t="s">
        <v>407</v>
      </c>
      <c r="J9377" t="s">
        <v>408</v>
      </c>
      <c r="K9377" t="s">
        <v>19</v>
      </c>
      <c r="L9377" t="s">
        <v>113</v>
      </c>
      <c r="M9377" t="s">
        <v>24</v>
      </c>
      <c r="N9377" t="s">
        <v>29</v>
      </c>
    </row>
    <row r="9378" spans="1:14">
      <c r="A9378" s="4" t="str">
        <f t="shared" si="841"/>
        <v>EXP00312</v>
      </c>
      <c r="B9378" s="4" t="str">
        <f t="shared" si="833"/>
        <v>26446169</v>
      </c>
      <c r="C9378" s="4" t="str">
        <f t="shared" si="834"/>
        <v>GSE73338</v>
      </c>
      <c r="D9378" s="1" t="s">
        <v>405</v>
      </c>
      <c r="E9378" t="s">
        <v>432</v>
      </c>
      <c r="F9378" s="1">
        <v>2</v>
      </c>
      <c r="G9378" s="1" t="s">
        <v>28</v>
      </c>
      <c r="H9378" s="4" t="str">
        <f>HYPERLINK("https://www.ncbi.nlm.nih.gov/geo/query/acc.cgi?acc=GSM1891266","GSM1891266")</f>
        <v>GSM1891266</v>
      </c>
      <c r="I9378" t="s">
        <v>407</v>
      </c>
      <c r="J9378" t="s">
        <v>408</v>
      </c>
      <c r="K9378" t="s">
        <v>19</v>
      </c>
      <c r="L9378" t="s">
        <v>113</v>
      </c>
      <c r="M9378" t="s">
        <v>44</v>
      </c>
      <c r="N9378" t="s">
        <v>29</v>
      </c>
    </row>
    <row r="9379" spans="1:14">
      <c r="A9379" s="4" t="str">
        <f t="shared" si="841"/>
        <v>EXP00312</v>
      </c>
      <c r="B9379" s="4" t="str">
        <f t="shared" si="833"/>
        <v>26446169</v>
      </c>
      <c r="C9379" s="4" t="str">
        <f t="shared" si="834"/>
        <v>GSE73338</v>
      </c>
      <c r="D9379" s="1" t="s">
        <v>405</v>
      </c>
      <c r="E9379" t="s">
        <v>432</v>
      </c>
      <c r="F9379" s="1">
        <v>2</v>
      </c>
      <c r="G9379" s="1" t="s">
        <v>28</v>
      </c>
      <c r="H9379" s="4" t="str">
        <f>HYPERLINK("https://www.ncbi.nlm.nih.gov/geo/query/acc.cgi?acc=GSM1891291","GSM1891291")</f>
        <v>GSM1891291</v>
      </c>
      <c r="I9379" t="s">
        <v>407</v>
      </c>
      <c r="J9379" t="s">
        <v>408</v>
      </c>
      <c r="K9379" t="s">
        <v>19</v>
      </c>
      <c r="L9379" t="s">
        <v>113</v>
      </c>
      <c r="M9379" t="s">
        <v>44</v>
      </c>
      <c r="N9379" t="s">
        <v>29</v>
      </c>
    </row>
    <row r="9380" spans="1:14">
      <c r="A9380" s="4" t="str">
        <f t="shared" si="841"/>
        <v>EXP00312</v>
      </c>
      <c r="B9380" s="4" t="str">
        <f t="shared" si="833"/>
        <v>26446169</v>
      </c>
      <c r="C9380" s="4" t="str">
        <f t="shared" si="834"/>
        <v>GSE73338</v>
      </c>
      <c r="D9380" s="1" t="s">
        <v>405</v>
      </c>
      <c r="E9380" t="s">
        <v>432</v>
      </c>
      <c r="F9380" s="1">
        <v>2</v>
      </c>
      <c r="G9380" s="1" t="s">
        <v>28</v>
      </c>
      <c r="H9380" s="4" t="str">
        <f>HYPERLINK("https://www.ncbi.nlm.nih.gov/geo/query/acc.cgi?acc=GSM1891315","GSM1891315")</f>
        <v>GSM1891315</v>
      </c>
      <c r="I9380" t="s">
        <v>407</v>
      </c>
      <c r="J9380" t="s">
        <v>408</v>
      </c>
      <c r="K9380" t="s">
        <v>19</v>
      </c>
      <c r="L9380" t="s">
        <v>113</v>
      </c>
      <c r="M9380" t="s">
        <v>24</v>
      </c>
      <c r="N9380" t="s">
        <v>29</v>
      </c>
    </row>
    <row r="9381" spans="1:14">
      <c r="A9381" s="4" t="str">
        <f t="shared" ref="A9381:A9412" si="842">HYPERLINK("http://hcmdb.i-sanger.com/experiment/details/experiment_id/EXP00313","EXP00313")</f>
        <v>EXP00313</v>
      </c>
      <c r="B9381" s="4" t="str">
        <f t="shared" si="833"/>
        <v>26446169</v>
      </c>
      <c r="C9381" s="4" t="str">
        <f t="shared" si="834"/>
        <v>GSE73338</v>
      </c>
      <c r="D9381" s="1" t="s">
        <v>405</v>
      </c>
      <c r="E9381" t="s">
        <v>433</v>
      </c>
      <c r="F9381" s="1">
        <v>1</v>
      </c>
      <c r="G9381" s="1" t="s">
        <v>31</v>
      </c>
      <c r="H9381" s="4" t="str">
        <f>HYPERLINK("https://www.ncbi.nlm.nih.gov/geo/query/acc.cgi?acc=GSM1891237","GSM1891237")</f>
        <v>GSM1891237</v>
      </c>
      <c r="I9381" t="s">
        <v>407</v>
      </c>
      <c r="J9381" t="s">
        <v>408</v>
      </c>
      <c r="K9381" t="s">
        <v>19</v>
      </c>
      <c r="L9381" t="s">
        <v>113</v>
      </c>
      <c r="M9381" t="s">
        <v>24</v>
      </c>
      <c r="N9381" t="s">
        <v>29</v>
      </c>
    </row>
    <row r="9382" spans="1:14">
      <c r="A9382" s="4" t="str">
        <f t="shared" si="842"/>
        <v>EXP00313</v>
      </c>
      <c r="B9382" s="4" t="str">
        <f t="shared" si="833"/>
        <v>26446169</v>
      </c>
      <c r="C9382" s="4" t="str">
        <f t="shared" si="834"/>
        <v>GSE73338</v>
      </c>
      <c r="D9382" s="1" t="s">
        <v>405</v>
      </c>
      <c r="E9382" t="s">
        <v>433</v>
      </c>
      <c r="F9382" s="1">
        <v>1</v>
      </c>
      <c r="G9382" s="1" t="s">
        <v>31</v>
      </c>
      <c r="H9382" s="4" t="str">
        <f>HYPERLINK("https://www.ncbi.nlm.nih.gov/geo/query/acc.cgi?acc=GSM1891255","GSM1891255")</f>
        <v>GSM1891255</v>
      </c>
      <c r="I9382" t="s">
        <v>407</v>
      </c>
      <c r="J9382" t="s">
        <v>408</v>
      </c>
      <c r="K9382" t="s">
        <v>19</v>
      </c>
      <c r="L9382" t="s">
        <v>113</v>
      </c>
      <c r="M9382" t="s">
        <v>24</v>
      </c>
      <c r="N9382" t="s">
        <v>29</v>
      </c>
    </row>
    <row r="9383" spans="1:14">
      <c r="A9383" s="4" t="str">
        <f t="shared" si="842"/>
        <v>EXP00313</v>
      </c>
      <c r="B9383" s="4" t="str">
        <f t="shared" si="833"/>
        <v>26446169</v>
      </c>
      <c r="C9383" s="4" t="str">
        <f t="shared" si="834"/>
        <v>GSE73338</v>
      </c>
      <c r="D9383" s="1" t="s">
        <v>405</v>
      </c>
      <c r="E9383" t="s">
        <v>433</v>
      </c>
      <c r="F9383" s="1">
        <v>1</v>
      </c>
      <c r="G9383" s="1" t="s">
        <v>31</v>
      </c>
      <c r="H9383" s="4" t="str">
        <f>HYPERLINK("https://www.ncbi.nlm.nih.gov/geo/query/acc.cgi?acc=GSM1891266","GSM1891266")</f>
        <v>GSM1891266</v>
      </c>
      <c r="I9383" t="s">
        <v>407</v>
      </c>
      <c r="J9383" t="s">
        <v>408</v>
      </c>
      <c r="K9383" t="s">
        <v>19</v>
      </c>
      <c r="L9383" t="s">
        <v>113</v>
      </c>
      <c r="M9383" t="s">
        <v>44</v>
      </c>
      <c r="N9383" t="s">
        <v>29</v>
      </c>
    </row>
    <row r="9384" spans="1:14">
      <c r="A9384" s="4" t="str">
        <f t="shared" si="842"/>
        <v>EXP00313</v>
      </c>
      <c r="B9384" s="4" t="str">
        <f t="shared" si="833"/>
        <v>26446169</v>
      </c>
      <c r="C9384" s="4" t="str">
        <f t="shared" si="834"/>
        <v>GSE73338</v>
      </c>
      <c r="D9384" s="1" t="s">
        <v>405</v>
      </c>
      <c r="E9384" t="s">
        <v>433</v>
      </c>
      <c r="F9384" s="1">
        <v>1</v>
      </c>
      <c r="G9384" s="1" t="s">
        <v>31</v>
      </c>
      <c r="H9384" s="4" t="str">
        <f>HYPERLINK("https://www.ncbi.nlm.nih.gov/geo/query/acc.cgi?acc=GSM1891291","GSM1891291")</f>
        <v>GSM1891291</v>
      </c>
      <c r="I9384" t="s">
        <v>407</v>
      </c>
      <c r="J9384" t="s">
        <v>408</v>
      </c>
      <c r="K9384" t="s">
        <v>19</v>
      </c>
      <c r="L9384" t="s">
        <v>113</v>
      </c>
      <c r="M9384" t="s">
        <v>44</v>
      </c>
      <c r="N9384" t="s">
        <v>29</v>
      </c>
    </row>
    <row r="9385" spans="1:14">
      <c r="A9385" s="4" t="str">
        <f t="shared" si="842"/>
        <v>EXP00313</v>
      </c>
      <c r="B9385" s="4" t="str">
        <f t="shared" si="833"/>
        <v>26446169</v>
      </c>
      <c r="C9385" s="4" t="str">
        <f t="shared" si="834"/>
        <v>GSE73338</v>
      </c>
      <c r="D9385" s="1" t="s">
        <v>405</v>
      </c>
      <c r="E9385" t="s">
        <v>433</v>
      </c>
      <c r="F9385" s="1">
        <v>1</v>
      </c>
      <c r="G9385" s="1" t="s">
        <v>31</v>
      </c>
      <c r="H9385" s="4" t="str">
        <f>HYPERLINK("https://www.ncbi.nlm.nih.gov/geo/query/acc.cgi?acc=GSM1891315","GSM1891315")</f>
        <v>GSM1891315</v>
      </c>
      <c r="I9385" t="s">
        <v>407</v>
      </c>
      <c r="J9385" t="s">
        <v>408</v>
      </c>
      <c r="K9385" t="s">
        <v>19</v>
      </c>
      <c r="L9385" t="s">
        <v>113</v>
      </c>
      <c r="M9385" t="s">
        <v>24</v>
      </c>
      <c r="N9385" t="s">
        <v>29</v>
      </c>
    </row>
    <row r="9386" spans="1:14">
      <c r="A9386" s="4" t="str">
        <f t="shared" si="842"/>
        <v>EXP00313</v>
      </c>
      <c r="B9386" s="4" t="str">
        <f t="shared" si="833"/>
        <v>26446169</v>
      </c>
      <c r="C9386" s="4" t="str">
        <f t="shared" si="834"/>
        <v>GSE73338</v>
      </c>
      <c r="D9386" s="1" t="s">
        <v>405</v>
      </c>
      <c r="E9386" t="s">
        <v>433</v>
      </c>
      <c r="F9386" s="1">
        <v>2</v>
      </c>
      <c r="G9386" s="1" t="s">
        <v>32</v>
      </c>
      <c r="H9386" s="4" t="str">
        <f>HYPERLINK("https://www.ncbi.nlm.nih.gov/geo/query/acc.cgi?acc=GSM1891230","GSM1891230")</f>
        <v>GSM1891230</v>
      </c>
      <c r="I9386" t="s">
        <v>407</v>
      </c>
      <c r="J9386" t="s">
        <v>408</v>
      </c>
      <c r="K9386" t="s">
        <v>33</v>
      </c>
      <c r="L9386" t="s">
        <v>113</v>
      </c>
      <c r="N9386" t="s">
        <v>29</v>
      </c>
    </row>
    <row r="9387" spans="1:14">
      <c r="A9387" s="4" t="str">
        <f t="shared" si="842"/>
        <v>EXP00313</v>
      </c>
      <c r="B9387" s="4" t="str">
        <f t="shared" si="833"/>
        <v>26446169</v>
      </c>
      <c r="C9387" s="4" t="str">
        <f t="shared" si="834"/>
        <v>GSE73338</v>
      </c>
      <c r="D9387" s="1" t="s">
        <v>405</v>
      </c>
      <c r="E9387" t="s">
        <v>433</v>
      </c>
      <c r="F9387" s="1">
        <v>2</v>
      </c>
      <c r="G9387" s="1" t="s">
        <v>32</v>
      </c>
      <c r="H9387" s="4" t="str">
        <f>HYPERLINK("https://www.ncbi.nlm.nih.gov/geo/query/acc.cgi?acc=GSM1891231","GSM1891231")</f>
        <v>GSM1891231</v>
      </c>
      <c r="I9387" t="s">
        <v>407</v>
      </c>
      <c r="J9387" t="s">
        <v>408</v>
      </c>
      <c r="K9387" t="s">
        <v>33</v>
      </c>
      <c r="L9387" t="s">
        <v>113</v>
      </c>
      <c r="N9387" t="s">
        <v>29</v>
      </c>
    </row>
    <row r="9388" spans="1:14">
      <c r="A9388" s="4" t="str">
        <f t="shared" si="842"/>
        <v>EXP00313</v>
      </c>
      <c r="B9388" s="4" t="str">
        <f t="shared" si="833"/>
        <v>26446169</v>
      </c>
      <c r="C9388" s="4" t="str">
        <f t="shared" si="834"/>
        <v>GSE73338</v>
      </c>
      <c r="D9388" s="1" t="s">
        <v>405</v>
      </c>
      <c r="E9388" t="s">
        <v>433</v>
      </c>
      <c r="F9388" s="1">
        <v>2</v>
      </c>
      <c r="G9388" s="1" t="s">
        <v>32</v>
      </c>
      <c r="H9388" s="4" t="str">
        <f>HYPERLINK("https://www.ncbi.nlm.nih.gov/geo/query/acc.cgi?acc=GSM1891233","GSM1891233")</f>
        <v>GSM1891233</v>
      </c>
      <c r="I9388" t="s">
        <v>407</v>
      </c>
      <c r="J9388" t="s">
        <v>408</v>
      </c>
      <c r="K9388" t="s">
        <v>33</v>
      </c>
      <c r="L9388" t="s">
        <v>113</v>
      </c>
      <c r="N9388" t="s">
        <v>29</v>
      </c>
    </row>
    <row r="9389" spans="1:14">
      <c r="A9389" s="4" t="str">
        <f t="shared" si="842"/>
        <v>EXP00313</v>
      </c>
      <c r="B9389" s="4" t="str">
        <f t="shared" si="833"/>
        <v>26446169</v>
      </c>
      <c r="C9389" s="4" t="str">
        <f t="shared" si="834"/>
        <v>GSE73338</v>
      </c>
      <c r="D9389" s="1" t="s">
        <v>405</v>
      </c>
      <c r="E9389" t="s">
        <v>433</v>
      </c>
      <c r="F9389" s="1">
        <v>2</v>
      </c>
      <c r="G9389" s="1" t="s">
        <v>32</v>
      </c>
      <c r="H9389" s="4" t="str">
        <f>HYPERLINK("https://www.ncbi.nlm.nih.gov/geo/query/acc.cgi?acc=GSM1891234","GSM1891234")</f>
        <v>GSM1891234</v>
      </c>
      <c r="I9389" t="s">
        <v>407</v>
      </c>
      <c r="J9389" t="s">
        <v>408</v>
      </c>
      <c r="K9389" t="s">
        <v>33</v>
      </c>
      <c r="L9389" t="s">
        <v>113</v>
      </c>
      <c r="N9389" t="s">
        <v>29</v>
      </c>
    </row>
    <row r="9390" spans="1:14">
      <c r="A9390" s="4" t="str">
        <f t="shared" si="842"/>
        <v>EXP00313</v>
      </c>
      <c r="B9390" s="4" t="str">
        <f t="shared" ref="B9390:B9453" si="843">HYPERLINK("https://www.ncbi.nlm.nih.gov/pubmed/26446169","26446169")</f>
        <v>26446169</v>
      </c>
      <c r="C9390" s="4" t="str">
        <f t="shared" ref="C9390:C9453" si="844">HYPERLINK("https://www.ncbi.nlm.nih.gov/geo/query/acc.cgi?acc=GSE73338","GSE73338")</f>
        <v>GSE73338</v>
      </c>
      <c r="D9390" s="1" t="s">
        <v>405</v>
      </c>
      <c r="E9390" t="s">
        <v>433</v>
      </c>
      <c r="F9390" s="1">
        <v>2</v>
      </c>
      <c r="G9390" s="1" t="s">
        <v>32</v>
      </c>
      <c r="H9390" s="4" t="str">
        <f>HYPERLINK("https://www.ncbi.nlm.nih.gov/geo/query/acc.cgi?acc=GSM1891235","GSM1891235")</f>
        <v>GSM1891235</v>
      </c>
      <c r="I9390" t="s">
        <v>407</v>
      </c>
      <c r="J9390" t="s">
        <v>408</v>
      </c>
      <c r="K9390" t="s">
        <v>33</v>
      </c>
      <c r="L9390" t="s">
        <v>113</v>
      </c>
      <c r="N9390" t="s">
        <v>29</v>
      </c>
    </row>
    <row r="9391" spans="1:14">
      <c r="A9391" s="4" t="str">
        <f t="shared" si="842"/>
        <v>EXP00313</v>
      </c>
      <c r="B9391" s="4" t="str">
        <f t="shared" si="843"/>
        <v>26446169</v>
      </c>
      <c r="C9391" s="4" t="str">
        <f t="shared" si="844"/>
        <v>GSE73338</v>
      </c>
      <c r="D9391" s="1" t="s">
        <v>405</v>
      </c>
      <c r="E9391" t="s">
        <v>433</v>
      </c>
      <c r="F9391" s="1">
        <v>2</v>
      </c>
      <c r="G9391" s="1" t="s">
        <v>32</v>
      </c>
      <c r="H9391" s="4" t="str">
        <f>HYPERLINK("https://www.ncbi.nlm.nih.gov/geo/query/acc.cgi?acc=GSM1891236","GSM1891236")</f>
        <v>GSM1891236</v>
      </c>
      <c r="I9391" t="s">
        <v>407</v>
      </c>
      <c r="J9391" t="s">
        <v>408</v>
      </c>
      <c r="K9391" t="s">
        <v>33</v>
      </c>
      <c r="L9391" t="s">
        <v>113</v>
      </c>
      <c r="N9391" t="s">
        <v>29</v>
      </c>
    </row>
    <row r="9392" spans="1:14">
      <c r="A9392" s="4" t="str">
        <f t="shared" si="842"/>
        <v>EXP00313</v>
      </c>
      <c r="B9392" s="4" t="str">
        <f t="shared" si="843"/>
        <v>26446169</v>
      </c>
      <c r="C9392" s="4" t="str">
        <f t="shared" si="844"/>
        <v>GSE73338</v>
      </c>
      <c r="D9392" s="1" t="s">
        <v>405</v>
      </c>
      <c r="E9392" t="s">
        <v>433</v>
      </c>
      <c r="F9392" s="1">
        <v>2</v>
      </c>
      <c r="G9392" s="1" t="s">
        <v>32</v>
      </c>
      <c r="H9392" s="4" t="str">
        <f>HYPERLINK("https://www.ncbi.nlm.nih.gov/geo/query/acc.cgi?acc=GSM1891241","GSM1891241")</f>
        <v>GSM1891241</v>
      </c>
      <c r="I9392" t="s">
        <v>407</v>
      </c>
      <c r="J9392" t="s">
        <v>408</v>
      </c>
      <c r="K9392" t="s">
        <v>33</v>
      </c>
      <c r="L9392" t="s">
        <v>113</v>
      </c>
      <c r="N9392" t="s">
        <v>29</v>
      </c>
    </row>
    <row r="9393" spans="1:14">
      <c r="A9393" s="4" t="str">
        <f t="shared" si="842"/>
        <v>EXP00313</v>
      </c>
      <c r="B9393" s="4" t="str">
        <f t="shared" si="843"/>
        <v>26446169</v>
      </c>
      <c r="C9393" s="4" t="str">
        <f t="shared" si="844"/>
        <v>GSE73338</v>
      </c>
      <c r="D9393" s="1" t="s">
        <v>405</v>
      </c>
      <c r="E9393" t="s">
        <v>433</v>
      </c>
      <c r="F9393" s="1">
        <v>2</v>
      </c>
      <c r="G9393" s="1" t="s">
        <v>32</v>
      </c>
      <c r="H9393" s="4" t="str">
        <f>HYPERLINK("https://www.ncbi.nlm.nih.gov/geo/query/acc.cgi?acc=GSM1891242","GSM1891242")</f>
        <v>GSM1891242</v>
      </c>
      <c r="I9393" t="s">
        <v>407</v>
      </c>
      <c r="J9393" t="s">
        <v>408</v>
      </c>
      <c r="K9393" t="s">
        <v>33</v>
      </c>
      <c r="L9393" t="s">
        <v>113</v>
      </c>
      <c r="N9393" t="s">
        <v>29</v>
      </c>
    </row>
    <row r="9394" spans="1:14">
      <c r="A9394" s="4" t="str">
        <f t="shared" si="842"/>
        <v>EXP00313</v>
      </c>
      <c r="B9394" s="4" t="str">
        <f t="shared" si="843"/>
        <v>26446169</v>
      </c>
      <c r="C9394" s="4" t="str">
        <f t="shared" si="844"/>
        <v>GSE73338</v>
      </c>
      <c r="D9394" s="1" t="s">
        <v>405</v>
      </c>
      <c r="E9394" t="s">
        <v>433</v>
      </c>
      <c r="F9394" s="1">
        <v>2</v>
      </c>
      <c r="G9394" s="1" t="s">
        <v>32</v>
      </c>
      <c r="H9394" s="4" t="str">
        <f>HYPERLINK("https://www.ncbi.nlm.nih.gov/geo/query/acc.cgi?acc=GSM1891243","GSM1891243")</f>
        <v>GSM1891243</v>
      </c>
      <c r="I9394" t="s">
        <v>407</v>
      </c>
      <c r="J9394" t="s">
        <v>408</v>
      </c>
      <c r="K9394" t="s">
        <v>33</v>
      </c>
      <c r="L9394" t="s">
        <v>113</v>
      </c>
      <c r="N9394" t="s">
        <v>29</v>
      </c>
    </row>
    <row r="9395" spans="1:14">
      <c r="A9395" s="4" t="str">
        <f t="shared" si="842"/>
        <v>EXP00313</v>
      </c>
      <c r="B9395" s="4" t="str">
        <f t="shared" si="843"/>
        <v>26446169</v>
      </c>
      <c r="C9395" s="4" t="str">
        <f t="shared" si="844"/>
        <v>GSE73338</v>
      </c>
      <c r="D9395" s="1" t="s">
        <v>405</v>
      </c>
      <c r="E9395" t="s">
        <v>433</v>
      </c>
      <c r="F9395" s="1">
        <v>2</v>
      </c>
      <c r="G9395" s="1" t="s">
        <v>32</v>
      </c>
      <c r="H9395" s="4" t="str">
        <f>HYPERLINK("https://www.ncbi.nlm.nih.gov/geo/query/acc.cgi?acc=GSM1891245","GSM1891245")</f>
        <v>GSM1891245</v>
      </c>
      <c r="I9395" t="s">
        <v>407</v>
      </c>
      <c r="J9395" t="s">
        <v>408</v>
      </c>
      <c r="K9395" t="s">
        <v>33</v>
      </c>
      <c r="L9395" t="s">
        <v>113</v>
      </c>
      <c r="N9395" t="s">
        <v>29</v>
      </c>
    </row>
    <row r="9396" spans="1:14">
      <c r="A9396" s="4" t="str">
        <f t="shared" si="842"/>
        <v>EXP00313</v>
      </c>
      <c r="B9396" s="4" t="str">
        <f t="shared" si="843"/>
        <v>26446169</v>
      </c>
      <c r="C9396" s="4" t="str">
        <f t="shared" si="844"/>
        <v>GSE73338</v>
      </c>
      <c r="D9396" s="1" t="s">
        <v>405</v>
      </c>
      <c r="E9396" t="s">
        <v>433</v>
      </c>
      <c r="F9396" s="1">
        <v>2</v>
      </c>
      <c r="G9396" s="1" t="s">
        <v>32</v>
      </c>
      <c r="H9396" s="4" t="str">
        <f>HYPERLINK("https://www.ncbi.nlm.nih.gov/geo/query/acc.cgi?acc=GSM1891246","GSM1891246")</f>
        <v>GSM1891246</v>
      </c>
      <c r="I9396" t="s">
        <v>407</v>
      </c>
      <c r="J9396" t="s">
        <v>408</v>
      </c>
      <c r="K9396" t="s">
        <v>33</v>
      </c>
      <c r="L9396" t="s">
        <v>113</v>
      </c>
      <c r="N9396" t="s">
        <v>29</v>
      </c>
    </row>
    <row r="9397" spans="1:14">
      <c r="A9397" s="4" t="str">
        <f t="shared" si="842"/>
        <v>EXP00313</v>
      </c>
      <c r="B9397" s="4" t="str">
        <f t="shared" si="843"/>
        <v>26446169</v>
      </c>
      <c r="C9397" s="4" t="str">
        <f t="shared" si="844"/>
        <v>GSE73338</v>
      </c>
      <c r="D9397" s="1" t="s">
        <v>405</v>
      </c>
      <c r="E9397" t="s">
        <v>433</v>
      </c>
      <c r="F9397" s="1">
        <v>2</v>
      </c>
      <c r="G9397" s="1" t="s">
        <v>32</v>
      </c>
      <c r="H9397" s="4" t="str">
        <f>HYPERLINK("https://www.ncbi.nlm.nih.gov/geo/query/acc.cgi?acc=GSM1891247","GSM1891247")</f>
        <v>GSM1891247</v>
      </c>
      <c r="I9397" t="s">
        <v>407</v>
      </c>
      <c r="J9397" t="s">
        <v>408</v>
      </c>
      <c r="K9397" t="s">
        <v>33</v>
      </c>
      <c r="L9397" t="s">
        <v>113</v>
      </c>
      <c r="N9397" t="s">
        <v>29</v>
      </c>
    </row>
    <row r="9398" spans="1:14">
      <c r="A9398" s="4" t="str">
        <f t="shared" si="842"/>
        <v>EXP00313</v>
      </c>
      <c r="B9398" s="4" t="str">
        <f t="shared" si="843"/>
        <v>26446169</v>
      </c>
      <c r="C9398" s="4" t="str">
        <f t="shared" si="844"/>
        <v>GSE73338</v>
      </c>
      <c r="D9398" s="1" t="s">
        <v>405</v>
      </c>
      <c r="E9398" t="s">
        <v>433</v>
      </c>
      <c r="F9398" s="1">
        <v>2</v>
      </c>
      <c r="G9398" s="1" t="s">
        <v>32</v>
      </c>
      <c r="H9398" s="4" t="str">
        <f>HYPERLINK("https://www.ncbi.nlm.nih.gov/geo/query/acc.cgi?acc=GSM1891248","GSM1891248")</f>
        <v>GSM1891248</v>
      </c>
      <c r="I9398" t="s">
        <v>407</v>
      </c>
      <c r="J9398" t="s">
        <v>408</v>
      </c>
      <c r="K9398" t="s">
        <v>33</v>
      </c>
      <c r="L9398" t="s">
        <v>113</v>
      </c>
      <c r="N9398" t="s">
        <v>29</v>
      </c>
    </row>
    <row r="9399" spans="1:14">
      <c r="A9399" s="4" t="str">
        <f t="shared" si="842"/>
        <v>EXP00313</v>
      </c>
      <c r="B9399" s="4" t="str">
        <f t="shared" si="843"/>
        <v>26446169</v>
      </c>
      <c r="C9399" s="4" t="str">
        <f t="shared" si="844"/>
        <v>GSE73338</v>
      </c>
      <c r="D9399" s="1" t="s">
        <v>405</v>
      </c>
      <c r="E9399" t="s">
        <v>433</v>
      </c>
      <c r="F9399" s="1">
        <v>2</v>
      </c>
      <c r="G9399" s="1" t="s">
        <v>32</v>
      </c>
      <c r="H9399" s="4" t="str">
        <f>HYPERLINK("https://www.ncbi.nlm.nih.gov/geo/query/acc.cgi?acc=GSM1891249","GSM1891249")</f>
        <v>GSM1891249</v>
      </c>
      <c r="I9399" t="s">
        <v>407</v>
      </c>
      <c r="J9399" t="s">
        <v>408</v>
      </c>
      <c r="K9399" t="s">
        <v>33</v>
      </c>
      <c r="L9399" t="s">
        <v>113</v>
      </c>
      <c r="N9399" t="s">
        <v>29</v>
      </c>
    </row>
    <row r="9400" spans="1:14">
      <c r="A9400" s="4" t="str">
        <f t="shared" si="842"/>
        <v>EXP00313</v>
      </c>
      <c r="B9400" s="4" t="str">
        <f t="shared" si="843"/>
        <v>26446169</v>
      </c>
      <c r="C9400" s="4" t="str">
        <f t="shared" si="844"/>
        <v>GSE73338</v>
      </c>
      <c r="D9400" s="1" t="s">
        <v>405</v>
      </c>
      <c r="E9400" t="s">
        <v>433</v>
      </c>
      <c r="F9400" s="1">
        <v>2</v>
      </c>
      <c r="G9400" s="1" t="s">
        <v>32</v>
      </c>
      <c r="H9400" s="4" t="str">
        <f>HYPERLINK("https://www.ncbi.nlm.nih.gov/geo/query/acc.cgi?acc=GSM1891250","GSM1891250")</f>
        <v>GSM1891250</v>
      </c>
      <c r="I9400" t="s">
        <v>407</v>
      </c>
      <c r="J9400" t="s">
        <v>408</v>
      </c>
      <c r="K9400" t="s">
        <v>33</v>
      </c>
      <c r="L9400" t="s">
        <v>113</v>
      </c>
      <c r="N9400" t="s">
        <v>29</v>
      </c>
    </row>
    <row r="9401" spans="1:14">
      <c r="A9401" s="4" t="str">
        <f t="shared" si="842"/>
        <v>EXP00313</v>
      </c>
      <c r="B9401" s="4" t="str">
        <f t="shared" si="843"/>
        <v>26446169</v>
      </c>
      <c r="C9401" s="4" t="str">
        <f t="shared" si="844"/>
        <v>GSE73338</v>
      </c>
      <c r="D9401" s="1" t="s">
        <v>405</v>
      </c>
      <c r="E9401" t="s">
        <v>433</v>
      </c>
      <c r="F9401" s="1">
        <v>2</v>
      </c>
      <c r="G9401" s="1" t="s">
        <v>32</v>
      </c>
      <c r="H9401" s="4" t="str">
        <f>HYPERLINK("https://www.ncbi.nlm.nih.gov/geo/query/acc.cgi?acc=GSM1891251","GSM1891251")</f>
        <v>GSM1891251</v>
      </c>
      <c r="I9401" t="s">
        <v>407</v>
      </c>
      <c r="J9401" t="s">
        <v>408</v>
      </c>
      <c r="K9401" t="s">
        <v>33</v>
      </c>
      <c r="L9401" t="s">
        <v>113</v>
      </c>
      <c r="N9401" t="s">
        <v>29</v>
      </c>
    </row>
    <row r="9402" spans="1:14">
      <c r="A9402" s="4" t="str">
        <f t="shared" si="842"/>
        <v>EXP00313</v>
      </c>
      <c r="B9402" s="4" t="str">
        <f t="shared" si="843"/>
        <v>26446169</v>
      </c>
      <c r="C9402" s="4" t="str">
        <f t="shared" si="844"/>
        <v>GSE73338</v>
      </c>
      <c r="D9402" s="1" t="s">
        <v>405</v>
      </c>
      <c r="E9402" t="s">
        <v>433</v>
      </c>
      <c r="F9402" s="1">
        <v>2</v>
      </c>
      <c r="G9402" s="1" t="s">
        <v>32</v>
      </c>
      <c r="H9402" s="4" t="str">
        <f>HYPERLINK("https://www.ncbi.nlm.nih.gov/geo/query/acc.cgi?acc=GSM1891253","GSM1891253")</f>
        <v>GSM1891253</v>
      </c>
      <c r="I9402" t="s">
        <v>407</v>
      </c>
      <c r="J9402" t="s">
        <v>408</v>
      </c>
      <c r="K9402" t="s">
        <v>33</v>
      </c>
      <c r="L9402" t="s">
        <v>113</v>
      </c>
      <c r="N9402" t="s">
        <v>29</v>
      </c>
    </row>
    <row r="9403" spans="1:14">
      <c r="A9403" s="4" t="str">
        <f t="shared" si="842"/>
        <v>EXP00313</v>
      </c>
      <c r="B9403" s="4" t="str">
        <f t="shared" si="843"/>
        <v>26446169</v>
      </c>
      <c r="C9403" s="4" t="str">
        <f t="shared" si="844"/>
        <v>GSE73338</v>
      </c>
      <c r="D9403" s="1" t="s">
        <v>405</v>
      </c>
      <c r="E9403" t="s">
        <v>433</v>
      </c>
      <c r="F9403" s="1">
        <v>2</v>
      </c>
      <c r="G9403" s="1" t="s">
        <v>32</v>
      </c>
      <c r="H9403" s="4" t="str">
        <f>HYPERLINK("https://www.ncbi.nlm.nih.gov/geo/query/acc.cgi?acc=GSM1891254","GSM1891254")</f>
        <v>GSM1891254</v>
      </c>
      <c r="I9403" t="s">
        <v>407</v>
      </c>
      <c r="J9403" t="s">
        <v>408</v>
      </c>
      <c r="K9403" t="s">
        <v>33</v>
      </c>
      <c r="L9403" t="s">
        <v>113</v>
      </c>
      <c r="N9403" t="s">
        <v>29</v>
      </c>
    </row>
    <row r="9404" spans="1:14">
      <c r="A9404" s="4" t="str">
        <f t="shared" si="842"/>
        <v>EXP00313</v>
      </c>
      <c r="B9404" s="4" t="str">
        <f t="shared" si="843"/>
        <v>26446169</v>
      </c>
      <c r="C9404" s="4" t="str">
        <f t="shared" si="844"/>
        <v>GSE73338</v>
      </c>
      <c r="D9404" s="1" t="s">
        <v>405</v>
      </c>
      <c r="E9404" t="s">
        <v>433</v>
      </c>
      <c r="F9404" s="1">
        <v>2</v>
      </c>
      <c r="G9404" s="1" t="s">
        <v>32</v>
      </c>
      <c r="H9404" s="4" t="str">
        <f>HYPERLINK("https://www.ncbi.nlm.nih.gov/geo/query/acc.cgi?acc=GSM1891257","GSM1891257")</f>
        <v>GSM1891257</v>
      </c>
      <c r="I9404" t="s">
        <v>407</v>
      </c>
      <c r="J9404" t="s">
        <v>408</v>
      </c>
      <c r="K9404" t="s">
        <v>33</v>
      </c>
      <c r="L9404" t="s">
        <v>113</v>
      </c>
      <c r="N9404" t="s">
        <v>29</v>
      </c>
    </row>
    <row r="9405" spans="1:14">
      <c r="A9405" s="4" t="str">
        <f t="shared" si="842"/>
        <v>EXP00313</v>
      </c>
      <c r="B9405" s="4" t="str">
        <f t="shared" si="843"/>
        <v>26446169</v>
      </c>
      <c r="C9405" s="4" t="str">
        <f t="shared" si="844"/>
        <v>GSE73338</v>
      </c>
      <c r="D9405" s="1" t="s">
        <v>405</v>
      </c>
      <c r="E9405" t="s">
        <v>433</v>
      </c>
      <c r="F9405" s="1">
        <v>2</v>
      </c>
      <c r="G9405" s="1" t="s">
        <v>32</v>
      </c>
      <c r="H9405" s="4" t="str">
        <f>HYPERLINK("https://www.ncbi.nlm.nih.gov/geo/query/acc.cgi?acc=GSM1891259","GSM1891259")</f>
        <v>GSM1891259</v>
      </c>
      <c r="I9405" t="s">
        <v>407</v>
      </c>
      <c r="J9405" t="s">
        <v>408</v>
      </c>
      <c r="K9405" t="s">
        <v>33</v>
      </c>
      <c r="L9405" t="s">
        <v>113</v>
      </c>
      <c r="N9405" t="s">
        <v>29</v>
      </c>
    </row>
    <row r="9406" spans="1:14">
      <c r="A9406" s="4" t="str">
        <f t="shared" si="842"/>
        <v>EXP00313</v>
      </c>
      <c r="B9406" s="4" t="str">
        <f t="shared" si="843"/>
        <v>26446169</v>
      </c>
      <c r="C9406" s="4" t="str">
        <f t="shared" si="844"/>
        <v>GSE73338</v>
      </c>
      <c r="D9406" s="1" t="s">
        <v>405</v>
      </c>
      <c r="E9406" t="s">
        <v>433</v>
      </c>
      <c r="F9406" s="1">
        <v>2</v>
      </c>
      <c r="G9406" s="1" t="s">
        <v>32</v>
      </c>
      <c r="H9406" s="4" t="str">
        <f>HYPERLINK("https://www.ncbi.nlm.nih.gov/geo/query/acc.cgi?acc=GSM1891260","GSM1891260")</f>
        <v>GSM1891260</v>
      </c>
      <c r="I9406" t="s">
        <v>407</v>
      </c>
      <c r="J9406" t="s">
        <v>408</v>
      </c>
      <c r="K9406" t="s">
        <v>33</v>
      </c>
      <c r="L9406" t="s">
        <v>113</v>
      </c>
      <c r="N9406" t="s">
        <v>29</v>
      </c>
    </row>
    <row r="9407" spans="1:14">
      <c r="A9407" s="4" t="str">
        <f t="shared" si="842"/>
        <v>EXP00313</v>
      </c>
      <c r="B9407" s="4" t="str">
        <f t="shared" si="843"/>
        <v>26446169</v>
      </c>
      <c r="C9407" s="4" t="str">
        <f t="shared" si="844"/>
        <v>GSE73338</v>
      </c>
      <c r="D9407" s="1" t="s">
        <v>405</v>
      </c>
      <c r="E9407" t="s">
        <v>433</v>
      </c>
      <c r="F9407" s="1">
        <v>2</v>
      </c>
      <c r="G9407" s="1" t="s">
        <v>32</v>
      </c>
      <c r="H9407" s="4" t="str">
        <f>HYPERLINK("https://www.ncbi.nlm.nih.gov/geo/query/acc.cgi?acc=GSM1891261","GSM1891261")</f>
        <v>GSM1891261</v>
      </c>
      <c r="I9407" t="s">
        <v>407</v>
      </c>
      <c r="J9407" t="s">
        <v>408</v>
      </c>
      <c r="K9407" t="s">
        <v>33</v>
      </c>
      <c r="L9407" t="s">
        <v>113</v>
      </c>
      <c r="N9407" t="s">
        <v>29</v>
      </c>
    </row>
    <row r="9408" spans="1:14">
      <c r="A9408" s="4" t="str">
        <f t="shared" si="842"/>
        <v>EXP00313</v>
      </c>
      <c r="B9408" s="4" t="str">
        <f t="shared" si="843"/>
        <v>26446169</v>
      </c>
      <c r="C9408" s="4" t="str">
        <f t="shared" si="844"/>
        <v>GSE73338</v>
      </c>
      <c r="D9408" s="1" t="s">
        <v>405</v>
      </c>
      <c r="E9408" t="s">
        <v>433</v>
      </c>
      <c r="F9408" s="1">
        <v>2</v>
      </c>
      <c r="G9408" s="1" t="s">
        <v>32</v>
      </c>
      <c r="H9408" s="4" t="str">
        <f>HYPERLINK("https://www.ncbi.nlm.nih.gov/geo/query/acc.cgi?acc=GSM1891262","GSM1891262")</f>
        <v>GSM1891262</v>
      </c>
      <c r="I9408" t="s">
        <v>407</v>
      </c>
      <c r="J9408" t="s">
        <v>408</v>
      </c>
      <c r="K9408" t="s">
        <v>33</v>
      </c>
      <c r="L9408" t="s">
        <v>113</v>
      </c>
      <c r="N9408" t="s">
        <v>29</v>
      </c>
    </row>
    <row r="9409" spans="1:14">
      <c r="A9409" s="4" t="str">
        <f t="shared" si="842"/>
        <v>EXP00313</v>
      </c>
      <c r="B9409" s="4" t="str">
        <f t="shared" si="843"/>
        <v>26446169</v>
      </c>
      <c r="C9409" s="4" t="str">
        <f t="shared" si="844"/>
        <v>GSE73338</v>
      </c>
      <c r="D9409" s="1" t="s">
        <v>405</v>
      </c>
      <c r="E9409" t="s">
        <v>433</v>
      </c>
      <c r="F9409" s="1">
        <v>2</v>
      </c>
      <c r="G9409" s="1" t="s">
        <v>32</v>
      </c>
      <c r="H9409" s="4" t="str">
        <f>HYPERLINK("https://www.ncbi.nlm.nih.gov/geo/query/acc.cgi?acc=GSM1891263","GSM1891263")</f>
        <v>GSM1891263</v>
      </c>
      <c r="I9409" t="s">
        <v>407</v>
      </c>
      <c r="J9409" t="s">
        <v>408</v>
      </c>
      <c r="K9409" t="s">
        <v>33</v>
      </c>
      <c r="L9409" t="s">
        <v>113</v>
      </c>
      <c r="N9409" t="s">
        <v>29</v>
      </c>
    </row>
    <row r="9410" spans="1:14">
      <c r="A9410" s="4" t="str">
        <f t="shared" si="842"/>
        <v>EXP00313</v>
      </c>
      <c r="B9410" s="4" t="str">
        <f t="shared" si="843"/>
        <v>26446169</v>
      </c>
      <c r="C9410" s="4" t="str">
        <f t="shared" si="844"/>
        <v>GSE73338</v>
      </c>
      <c r="D9410" s="1" t="s">
        <v>405</v>
      </c>
      <c r="E9410" t="s">
        <v>433</v>
      </c>
      <c r="F9410" s="1">
        <v>2</v>
      </c>
      <c r="G9410" s="1" t="s">
        <v>32</v>
      </c>
      <c r="H9410" s="4" t="str">
        <f>HYPERLINK("https://www.ncbi.nlm.nih.gov/geo/query/acc.cgi?acc=GSM1891264","GSM1891264")</f>
        <v>GSM1891264</v>
      </c>
      <c r="I9410" t="s">
        <v>407</v>
      </c>
      <c r="J9410" t="s">
        <v>408</v>
      </c>
      <c r="K9410" t="s">
        <v>33</v>
      </c>
      <c r="L9410" t="s">
        <v>113</v>
      </c>
      <c r="N9410" t="s">
        <v>29</v>
      </c>
    </row>
    <row r="9411" spans="1:14">
      <c r="A9411" s="4" t="str">
        <f t="shared" si="842"/>
        <v>EXP00313</v>
      </c>
      <c r="B9411" s="4" t="str">
        <f t="shared" si="843"/>
        <v>26446169</v>
      </c>
      <c r="C9411" s="4" t="str">
        <f t="shared" si="844"/>
        <v>GSE73338</v>
      </c>
      <c r="D9411" s="1" t="s">
        <v>405</v>
      </c>
      <c r="E9411" t="s">
        <v>433</v>
      </c>
      <c r="F9411" s="1">
        <v>2</v>
      </c>
      <c r="G9411" s="1" t="s">
        <v>32</v>
      </c>
      <c r="H9411" s="4" t="str">
        <f>HYPERLINK("https://www.ncbi.nlm.nih.gov/geo/query/acc.cgi?acc=GSM1891265","GSM1891265")</f>
        <v>GSM1891265</v>
      </c>
      <c r="I9411" t="s">
        <v>407</v>
      </c>
      <c r="J9411" t="s">
        <v>408</v>
      </c>
      <c r="K9411" t="s">
        <v>33</v>
      </c>
      <c r="L9411" t="s">
        <v>113</v>
      </c>
      <c r="N9411" t="s">
        <v>29</v>
      </c>
    </row>
    <row r="9412" spans="1:14">
      <c r="A9412" s="4" t="str">
        <f t="shared" si="842"/>
        <v>EXP00313</v>
      </c>
      <c r="B9412" s="4" t="str">
        <f t="shared" si="843"/>
        <v>26446169</v>
      </c>
      <c r="C9412" s="4" t="str">
        <f t="shared" si="844"/>
        <v>GSE73338</v>
      </c>
      <c r="D9412" s="1" t="s">
        <v>405</v>
      </c>
      <c r="E9412" t="s">
        <v>433</v>
      </c>
      <c r="F9412" s="1">
        <v>2</v>
      </c>
      <c r="G9412" s="1" t="s">
        <v>32</v>
      </c>
      <c r="H9412" s="4" t="str">
        <f>HYPERLINK("https://www.ncbi.nlm.nih.gov/geo/query/acc.cgi?acc=GSM1891267","GSM1891267")</f>
        <v>GSM1891267</v>
      </c>
      <c r="I9412" t="s">
        <v>407</v>
      </c>
      <c r="J9412" t="s">
        <v>408</v>
      </c>
      <c r="K9412" t="s">
        <v>33</v>
      </c>
      <c r="L9412" t="s">
        <v>113</v>
      </c>
      <c r="N9412" t="s">
        <v>29</v>
      </c>
    </row>
    <row r="9413" spans="1:14">
      <c r="A9413" s="4" t="str">
        <f t="shared" ref="A9413:A9442" si="845">HYPERLINK("http://hcmdb.i-sanger.com/experiment/details/experiment_id/EXP00313","EXP00313")</f>
        <v>EXP00313</v>
      </c>
      <c r="B9413" s="4" t="str">
        <f t="shared" si="843"/>
        <v>26446169</v>
      </c>
      <c r="C9413" s="4" t="str">
        <f t="shared" si="844"/>
        <v>GSE73338</v>
      </c>
      <c r="D9413" s="1" t="s">
        <v>405</v>
      </c>
      <c r="E9413" t="s">
        <v>433</v>
      </c>
      <c r="F9413" s="1">
        <v>2</v>
      </c>
      <c r="G9413" s="1" t="s">
        <v>32</v>
      </c>
      <c r="H9413" s="4" t="str">
        <f>HYPERLINK("https://www.ncbi.nlm.nih.gov/geo/query/acc.cgi?acc=GSM1891269","GSM1891269")</f>
        <v>GSM1891269</v>
      </c>
      <c r="I9413" t="s">
        <v>407</v>
      </c>
      <c r="J9413" t="s">
        <v>408</v>
      </c>
      <c r="K9413" t="s">
        <v>33</v>
      </c>
      <c r="L9413" t="s">
        <v>113</v>
      </c>
      <c r="N9413" t="s">
        <v>29</v>
      </c>
    </row>
    <row r="9414" spans="1:14">
      <c r="A9414" s="4" t="str">
        <f t="shared" si="845"/>
        <v>EXP00313</v>
      </c>
      <c r="B9414" s="4" t="str">
        <f t="shared" si="843"/>
        <v>26446169</v>
      </c>
      <c r="C9414" s="4" t="str">
        <f t="shared" si="844"/>
        <v>GSE73338</v>
      </c>
      <c r="D9414" s="1" t="s">
        <v>405</v>
      </c>
      <c r="E9414" t="s">
        <v>433</v>
      </c>
      <c r="F9414" s="1">
        <v>2</v>
      </c>
      <c r="G9414" s="1" t="s">
        <v>32</v>
      </c>
      <c r="H9414" s="4" t="str">
        <f>HYPERLINK("https://www.ncbi.nlm.nih.gov/geo/query/acc.cgi?acc=GSM1891270","GSM1891270")</f>
        <v>GSM1891270</v>
      </c>
      <c r="I9414" t="s">
        <v>407</v>
      </c>
      <c r="J9414" t="s">
        <v>408</v>
      </c>
      <c r="K9414" t="s">
        <v>33</v>
      </c>
      <c r="L9414" t="s">
        <v>113</v>
      </c>
      <c r="N9414" t="s">
        <v>29</v>
      </c>
    </row>
    <row r="9415" spans="1:14">
      <c r="A9415" s="4" t="str">
        <f t="shared" si="845"/>
        <v>EXP00313</v>
      </c>
      <c r="B9415" s="4" t="str">
        <f t="shared" si="843"/>
        <v>26446169</v>
      </c>
      <c r="C9415" s="4" t="str">
        <f t="shared" si="844"/>
        <v>GSE73338</v>
      </c>
      <c r="D9415" s="1" t="s">
        <v>405</v>
      </c>
      <c r="E9415" t="s">
        <v>433</v>
      </c>
      <c r="F9415" s="1">
        <v>2</v>
      </c>
      <c r="G9415" s="1" t="s">
        <v>32</v>
      </c>
      <c r="H9415" s="4" t="str">
        <f>HYPERLINK("https://www.ncbi.nlm.nih.gov/geo/query/acc.cgi?acc=GSM1891271","GSM1891271")</f>
        <v>GSM1891271</v>
      </c>
      <c r="I9415" t="s">
        <v>407</v>
      </c>
      <c r="J9415" t="s">
        <v>408</v>
      </c>
      <c r="K9415" t="s">
        <v>33</v>
      </c>
      <c r="L9415" t="s">
        <v>113</v>
      </c>
      <c r="N9415" t="s">
        <v>29</v>
      </c>
    </row>
    <row r="9416" spans="1:14">
      <c r="A9416" s="4" t="str">
        <f t="shared" si="845"/>
        <v>EXP00313</v>
      </c>
      <c r="B9416" s="4" t="str">
        <f t="shared" si="843"/>
        <v>26446169</v>
      </c>
      <c r="C9416" s="4" t="str">
        <f t="shared" si="844"/>
        <v>GSE73338</v>
      </c>
      <c r="D9416" s="1" t="s">
        <v>405</v>
      </c>
      <c r="E9416" t="s">
        <v>433</v>
      </c>
      <c r="F9416" s="1">
        <v>2</v>
      </c>
      <c r="G9416" s="1" t="s">
        <v>32</v>
      </c>
      <c r="H9416" s="4" t="str">
        <f>HYPERLINK("https://www.ncbi.nlm.nih.gov/geo/query/acc.cgi?acc=GSM1891272","GSM1891272")</f>
        <v>GSM1891272</v>
      </c>
      <c r="I9416" t="s">
        <v>407</v>
      </c>
      <c r="J9416" t="s">
        <v>408</v>
      </c>
      <c r="K9416" t="s">
        <v>33</v>
      </c>
      <c r="L9416" t="s">
        <v>113</v>
      </c>
      <c r="N9416" t="s">
        <v>29</v>
      </c>
    </row>
    <row r="9417" spans="1:14">
      <c r="A9417" s="4" t="str">
        <f t="shared" si="845"/>
        <v>EXP00313</v>
      </c>
      <c r="B9417" s="4" t="str">
        <f t="shared" si="843"/>
        <v>26446169</v>
      </c>
      <c r="C9417" s="4" t="str">
        <f t="shared" si="844"/>
        <v>GSE73338</v>
      </c>
      <c r="D9417" s="1" t="s">
        <v>405</v>
      </c>
      <c r="E9417" t="s">
        <v>433</v>
      </c>
      <c r="F9417" s="1">
        <v>2</v>
      </c>
      <c r="G9417" s="1" t="s">
        <v>32</v>
      </c>
      <c r="H9417" s="4" t="str">
        <f>HYPERLINK("https://www.ncbi.nlm.nih.gov/geo/query/acc.cgi?acc=GSM1891274","GSM1891274")</f>
        <v>GSM1891274</v>
      </c>
      <c r="I9417" t="s">
        <v>407</v>
      </c>
      <c r="J9417" t="s">
        <v>408</v>
      </c>
      <c r="K9417" t="s">
        <v>33</v>
      </c>
      <c r="L9417" t="s">
        <v>113</v>
      </c>
      <c r="N9417" t="s">
        <v>29</v>
      </c>
    </row>
    <row r="9418" spans="1:14">
      <c r="A9418" s="4" t="str">
        <f t="shared" si="845"/>
        <v>EXP00313</v>
      </c>
      <c r="B9418" s="4" t="str">
        <f t="shared" si="843"/>
        <v>26446169</v>
      </c>
      <c r="C9418" s="4" t="str">
        <f t="shared" si="844"/>
        <v>GSE73338</v>
      </c>
      <c r="D9418" s="1" t="s">
        <v>405</v>
      </c>
      <c r="E9418" t="s">
        <v>433</v>
      </c>
      <c r="F9418" s="1">
        <v>2</v>
      </c>
      <c r="G9418" s="1" t="s">
        <v>32</v>
      </c>
      <c r="H9418" s="4" t="str">
        <f>HYPERLINK("https://www.ncbi.nlm.nih.gov/geo/query/acc.cgi?acc=GSM1891275","GSM1891275")</f>
        <v>GSM1891275</v>
      </c>
      <c r="I9418" t="s">
        <v>407</v>
      </c>
      <c r="J9418" t="s">
        <v>408</v>
      </c>
      <c r="K9418" t="s">
        <v>33</v>
      </c>
      <c r="L9418" t="s">
        <v>113</v>
      </c>
      <c r="N9418" t="s">
        <v>29</v>
      </c>
    </row>
    <row r="9419" spans="1:14">
      <c r="A9419" s="4" t="str">
        <f t="shared" si="845"/>
        <v>EXP00313</v>
      </c>
      <c r="B9419" s="4" t="str">
        <f t="shared" si="843"/>
        <v>26446169</v>
      </c>
      <c r="C9419" s="4" t="str">
        <f t="shared" si="844"/>
        <v>GSE73338</v>
      </c>
      <c r="D9419" s="1" t="s">
        <v>405</v>
      </c>
      <c r="E9419" t="s">
        <v>433</v>
      </c>
      <c r="F9419" s="1">
        <v>2</v>
      </c>
      <c r="G9419" s="1" t="s">
        <v>32</v>
      </c>
      <c r="H9419" s="4" t="str">
        <f>HYPERLINK("https://www.ncbi.nlm.nih.gov/geo/query/acc.cgi?acc=GSM1891276","GSM1891276")</f>
        <v>GSM1891276</v>
      </c>
      <c r="I9419" t="s">
        <v>407</v>
      </c>
      <c r="J9419" t="s">
        <v>408</v>
      </c>
      <c r="K9419" t="s">
        <v>33</v>
      </c>
      <c r="L9419" t="s">
        <v>113</v>
      </c>
      <c r="N9419" t="s">
        <v>29</v>
      </c>
    </row>
    <row r="9420" spans="1:14">
      <c r="A9420" s="4" t="str">
        <f t="shared" si="845"/>
        <v>EXP00313</v>
      </c>
      <c r="B9420" s="4" t="str">
        <f t="shared" si="843"/>
        <v>26446169</v>
      </c>
      <c r="C9420" s="4" t="str">
        <f t="shared" si="844"/>
        <v>GSE73338</v>
      </c>
      <c r="D9420" s="1" t="s">
        <v>405</v>
      </c>
      <c r="E9420" t="s">
        <v>433</v>
      </c>
      <c r="F9420" s="1">
        <v>2</v>
      </c>
      <c r="G9420" s="1" t="s">
        <v>32</v>
      </c>
      <c r="H9420" s="4" t="str">
        <f>HYPERLINK("https://www.ncbi.nlm.nih.gov/geo/query/acc.cgi?acc=GSM1891277","GSM1891277")</f>
        <v>GSM1891277</v>
      </c>
      <c r="I9420" t="s">
        <v>407</v>
      </c>
      <c r="J9420" t="s">
        <v>408</v>
      </c>
      <c r="K9420" t="s">
        <v>33</v>
      </c>
      <c r="L9420" t="s">
        <v>113</v>
      </c>
      <c r="N9420" t="s">
        <v>29</v>
      </c>
    </row>
    <row r="9421" spans="1:14">
      <c r="A9421" s="4" t="str">
        <f t="shared" si="845"/>
        <v>EXP00313</v>
      </c>
      <c r="B9421" s="4" t="str">
        <f t="shared" si="843"/>
        <v>26446169</v>
      </c>
      <c r="C9421" s="4" t="str">
        <f t="shared" si="844"/>
        <v>GSE73338</v>
      </c>
      <c r="D9421" s="1" t="s">
        <v>405</v>
      </c>
      <c r="E9421" t="s">
        <v>433</v>
      </c>
      <c r="F9421" s="1">
        <v>2</v>
      </c>
      <c r="G9421" s="1" t="s">
        <v>32</v>
      </c>
      <c r="H9421" s="4" t="str">
        <f>HYPERLINK("https://www.ncbi.nlm.nih.gov/geo/query/acc.cgi?acc=GSM1891278","GSM1891278")</f>
        <v>GSM1891278</v>
      </c>
      <c r="I9421" t="s">
        <v>407</v>
      </c>
      <c r="J9421" t="s">
        <v>408</v>
      </c>
      <c r="K9421" t="s">
        <v>33</v>
      </c>
      <c r="L9421" t="s">
        <v>113</v>
      </c>
      <c r="N9421" t="s">
        <v>29</v>
      </c>
    </row>
    <row r="9422" spans="1:14">
      <c r="A9422" s="4" t="str">
        <f t="shared" si="845"/>
        <v>EXP00313</v>
      </c>
      <c r="B9422" s="4" t="str">
        <f t="shared" si="843"/>
        <v>26446169</v>
      </c>
      <c r="C9422" s="4" t="str">
        <f t="shared" si="844"/>
        <v>GSE73338</v>
      </c>
      <c r="D9422" s="1" t="s">
        <v>405</v>
      </c>
      <c r="E9422" t="s">
        <v>433</v>
      </c>
      <c r="F9422" s="1">
        <v>2</v>
      </c>
      <c r="G9422" s="1" t="s">
        <v>32</v>
      </c>
      <c r="H9422" s="4" t="str">
        <f>HYPERLINK("https://www.ncbi.nlm.nih.gov/geo/query/acc.cgi?acc=GSM1891279","GSM1891279")</f>
        <v>GSM1891279</v>
      </c>
      <c r="I9422" t="s">
        <v>407</v>
      </c>
      <c r="J9422" t="s">
        <v>408</v>
      </c>
      <c r="K9422" t="s">
        <v>33</v>
      </c>
      <c r="L9422" t="s">
        <v>113</v>
      </c>
      <c r="N9422" t="s">
        <v>29</v>
      </c>
    </row>
    <row r="9423" spans="1:14">
      <c r="A9423" s="4" t="str">
        <f t="shared" si="845"/>
        <v>EXP00313</v>
      </c>
      <c r="B9423" s="4" t="str">
        <f t="shared" si="843"/>
        <v>26446169</v>
      </c>
      <c r="C9423" s="4" t="str">
        <f t="shared" si="844"/>
        <v>GSE73338</v>
      </c>
      <c r="D9423" s="1" t="s">
        <v>405</v>
      </c>
      <c r="E9423" t="s">
        <v>433</v>
      </c>
      <c r="F9423" s="1">
        <v>2</v>
      </c>
      <c r="G9423" s="1" t="s">
        <v>32</v>
      </c>
      <c r="H9423" s="4" t="str">
        <f>HYPERLINK("https://www.ncbi.nlm.nih.gov/geo/query/acc.cgi?acc=GSM1891280","GSM1891280")</f>
        <v>GSM1891280</v>
      </c>
      <c r="I9423" t="s">
        <v>407</v>
      </c>
      <c r="J9423" t="s">
        <v>408</v>
      </c>
      <c r="K9423" t="s">
        <v>33</v>
      </c>
      <c r="L9423" t="s">
        <v>113</v>
      </c>
      <c r="N9423" t="s">
        <v>29</v>
      </c>
    </row>
    <row r="9424" spans="1:14">
      <c r="A9424" s="4" t="str">
        <f t="shared" si="845"/>
        <v>EXP00313</v>
      </c>
      <c r="B9424" s="4" t="str">
        <f t="shared" si="843"/>
        <v>26446169</v>
      </c>
      <c r="C9424" s="4" t="str">
        <f t="shared" si="844"/>
        <v>GSE73338</v>
      </c>
      <c r="D9424" s="1" t="s">
        <v>405</v>
      </c>
      <c r="E9424" t="s">
        <v>433</v>
      </c>
      <c r="F9424" s="1">
        <v>2</v>
      </c>
      <c r="G9424" s="1" t="s">
        <v>32</v>
      </c>
      <c r="H9424" s="4" t="str">
        <f>HYPERLINK("https://www.ncbi.nlm.nih.gov/geo/query/acc.cgi?acc=GSM1891282","GSM1891282")</f>
        <v>GSM1891282</v>
      </c>
      <c r="I9424" t="s">
        <v>407</v>
      </c>
      <c r="J9424" t="s">
        <v>408</v>
      </c>
      <c r="K9424" t="s">
        <v>33</v>
      </c>
      <c r="L9424" t="s">
        <v>113</v>
      </c>
      <c r="N9424" t="s">
        <v>29</v>
      </c>
    </row>
    <row r="9425" spans="1:14">
      <c r="A9425" s="4" t="str">
        <f t="shared" si="845"/>
        <v>EXP00313</v>
      </c>
      <c r="B9425" s="4" t="str">
        <f t="shared" si="843"/>
        <v>26446169</v>
      </c>
      <c r="C9425" s="4" t="str">
        <f t="shared" si="844"/>
        <v>GSE73338</v>
      </c>
      <c r="D9425" s="1" t="s">
        <v>405</v>
      </c>
      <c r="E9425" t="s">
        <v>433</v>
      </c>
      <c r="F9425" s="1">
        <v>2</v>
      </c>
      <c r="G9425" s="1" t="s">
        <v>32</v>
      </c>
      <c r="H9425" s="4" t="str">
        <f>HYPERLINK("https://www.ncbi.nlm.nih.gov/geo/query/acc.cgi?acc=GSM1891284","GSM1891284")</f>
        <v>GSM1891284</v>
      </c>
      <c r="I9425" t="s">
        <v>407</v>
      </c>
      <c r="J9425" t="s">
        <v>408</v>
      </c>
      <c r="K9425" t="s">
        <v>33</v>
      </c>
      <c r="L9425" t="s">
        <v>113</v>
      </c>
      <c r="N9425" t="s">
        <v>29</v>
      </c>
    </row>
    <row r="9426" spans="1:14">
      <c r="A9426" s="4" t="str">
        <f t="shared" si="845"/>
        <v>EXP00313</v>
      </c>
      <c r="B9426" s="4" t="str">
        <f t="shared" si="843"/>
        <v>26446169</v>
      </c>
      <c r="C9426" s="4" t="str">
        <f t="shared" si="844"/>
        <v>GSE73338</v>
      </c>
      <c r="D9426" s="1" t="s">
        <v>405</v>
      </c>
      <c r="E9426" t="s">
        <v>433</v>
      </c>
      <c r="F9426" s="1">
        <v>2</v>
      </c>
      <c r="G9426" s="1" t="s">
        <v>32</v>
      </c>
      <c r="H9426" s="4" t="str">
        <f>HYPERLINK("https://www.ncbi.nlm.nih.gov/geo/query/acc.cgi?acc=GSM1891285","GSM1891285")</f>
        <v>GSM1891285</v>
      </c>
      <c r="I9426" t="s">
        <v>407</v>
      </c>
      <c r="J9426" t="s">
        <v>408</v>
      </c>
      <c r="K9426" t="s">
        <v>33</v>
      </c>
      <c r="L9426" t="s">
        <v>113</v>
      </c>
      <c r="N9426" t="s">
        <v>29</v>
      </c>
    </row>
    <row r="9427" spans="1:14">
      <c r="A9427" s="4" t="str">
        <f t="shared" si="845"/>
        <v>EXP00313</v>
      </c>
      <c r="B9427" s="4" t="str">
        <f t="shared" si="843"/>
        <v>26446169</v>
      </c>
      <c r="C9427" s="4" t="str">
        <f t="shared" si="844"/>
        <v>GSE73338</v>
      </c>
      <c r="D9427" s="1" t="s">
        <v>405</v>
      </c>
      <c r="E9427" t="s">
        <v>433</v>
      </c>
      <c r="F9427" s="1">
        <v>2</v>
      </c>
      <c r="G9427" s="1" t="s">
        <v>32</v>
      </c>
      <c r="H9427" s="4" t="str">
        <f>HYPERLINK("https://www.ncbi.nlm.nih.gov/geo/query/acc.cgi?acc=GSM1891286","GSM1891286")</f>
        <v>GSM1891286</v>
      </c>
      <c r="I9427" t="s">
        <v>407</v>
      </c>
      <c r="J9427" t="s">
        <v>408</v>
      </c>
      <c r="K9427" t="s">
        <v>33</v>
      </c>
      <c r="L9427" t="s">
        <v>113</v>
      </c>
      <c r="N9427" t="s">
        <v>29</v>
      </c>
    </row>
    <row r="9428" spans="1:14">
      <c r="A9428" s="4" t="str">
        <f t="shared" si="845"/>
        <v>EXP00313</v>
      </c>
      <c r="B9428" s="4" t="str">
        <f t="shared" si="843"/>
        <v>26446169</v>
      </c>
      <c r="C9428" s="4" t="str">
        <f t="shared" si="844"/>
        <v>GSE73338</v>
      </c>
      <c r="D9428" s="1" t="s">
        <v>405</v>
      </c>
      <c r="E9428" t="s">
        <v>433</v>
      </c>
      <c r="F9428" s="1">
        <v>2</v>
      </c>
      <c r="G9428" s="1" t="s">
        <v>32</v>
      </c>
      <c r="H9428" s="4" t="str">
        <f>HYPERLINK("https://www.ncbi.nlm.nih.gov/geo/query/acc.cgi?acc=GSM1891287","GSM1891287")</f>
        <v>GSM1891287</v>
      </c>
      <c r="I9428" t="s">
        <v>407</v>
      </c>
      <c r="J9428" t="s">
        <v>408</v>
      </c>
      <c r="K9428" t="s">
        <v>33</v>
      </c>
      <c r="L9428" t="s">
        <v>113</v>
      </c>
      <c r="N9428" t="s">
        <v>29</v>
      </c>
    </row>
    <row r="9429" spans="1:14">
      <c r="A9429" s="4" t="str">
        <f t="shared" si="845"/>
        <v>EXP00313</v>
      </c>
      <c r="B9429" s="4" t="str">
        <f t="shared" si="843"/>
        <v>26446169</v>
      </c>
      <c r="C9429" s="4" t="str">
        <f t="shared" si="844"/>
        <v>GSE73338</v>
      </c>
      <c r="D9429" s="1" t="s">
        <v>405</v>
      </c>
      <c r="E9429" t="s">
        <v>433</v>
      </c>
      <c r="F9429" s="1">
        <v>2</v>
      </c>
      <c r="G9429" s="1" t="s">
        <v>32</v>
      </c>
      <c r="H9429" s="4" t="str">
        <f>HYPERLINK("https://www.ncbi.nlm.nih.gov/geo/query/acc.cgi?acc=GSM1891288","GSM1891288")</f>
        <v>GSM1891288</v>
      </c>
      <c r="I9429" t="s">
        <v>407</v>
      </c>
      <c r="J9429" t="s">
        <v>408</v>
      </c>
      <c r="K9429" t="s">
        <v>33</v>
      </c>
      <c r="L9429" t="s">
        <v>113</v>
      </c>
      <c r="N9429" t="s">
        <v>29</v>
      </c>
    </row>
    <row r="9430" spans="1:14">
      <c r="A9430" s="4" t="str">
        <f t="shared" si="845"/>
        <v>EXP00313</v>
      </c>
      <c r="B9430" s="4" t="str">
        <f t="shared" si="843"/>
        <v>26446169</v>
      </c>
      <c r="C9430" s="4" t="str">
        <f t="shared" si="844"/>
        <v>GSE73338</v>
      </c>
      <c r="D9430" s="1" t="s">
        <v>405</v>
      </c>
      <c r="E9430" t="s">
        <v>433</v>
      </c>
      <c r="F9430" s="1">
        <v>2</v>
      </c>
      <c r="G9430" s="1" t="s">
        <v>32</v>
      </c>
      <c r="H9430" s="4" t="str">
        <f>HYPERLINK("https://www.ncbi.nlm.nih.gov/geo/query/acc.cgi?acc=GSM1891292","GSM1891292")</f>
        <v>GSM1891292</v>
      </c>
      <c r="I9430" t="s">
        <v>407</v>
      </c>
      <c r="J9430" t="s">
        <v>408</v>
      </c>
      <c r="K9430" t="s">
        <v>33</v>
      </c>
      <c r="L9430" t="s">
        <v>113</v>
      </c>
      <c r="N9430" t="s">
        <v>29</v>
      </c>
    </row>
    <row r="9431" spans="1:14">
      <c r="A9431" s="4" t="str">
        <f t="shared" si="845"/>
        <v>EXP00313</v>
      </c>
      <c r="B9431" s="4" t="str">
        <f t="shared" si="843"/>
        <v>26446169</v>
      </c>
      <c r="C9431" s="4" t="str">
        <f t="shared" si="844"/>
        <v>GSE73338</v>
      </c>
      <c r="D9431" s="1" t="s">
        <v>405</v>
      </c>
      <c r="E9431" t="s">
        <v>433</v>
      </c>
      <c r="F9431" s="1">
        <v>2</v>
      </c>
      <c r="G9431" s="1" t="s">
        <v>32</v>
      </c>
      <c r="H9431" s="4" t="str">
        <f>HYPERLINK("https://www.ncbi.nlm.nih.gov/geo/query/acc.cgi?acc=GSM1891301","GSM1891301")</f>
        <v>GSM1891301</v>
      </c>
      <c r="I9431" t="s">
        <v>407</v>
      </c>
      <c r="J9431" t="s">
        <v>408</v>
      </c>
      <c r="K9431" t="s">
        <v>33</v>
      </c>
      <c r="L9431" t="s">
        <v>113</v>
      </c>
      <c r="N9431" t="s">
        <v>29</v>
      </c>
    </row>
    <row r="9432" spans="1:14">
      <c r="A9432" s="4" t="str">
        <f t="shared" si="845"/>
        <v>EXP00313</v>
      </c>
      <c r="B9432" s="4" t="str">
        <f t="shared" si="843"/>
        <v>26446169</v>
      </c>
      <c r="C9432" s="4" t="str">
        <f t="shared" si="844"/>
        <v>GSE73338</v>
      </c>
      <c r="D9432" s="1" t="s">
        <v>405</v>
      </c>
      <c r="E9432" t="s">
        <v>433</v>
      </c>
      <c r="F9432" s="1">
        <v>2</v>
      </c>
      <c r="G9432" s="1" t="s">
        <v>32</v>
      </c>
      <c r="H9432" s="4" t="str">
        <f>HYPERLINK("https://www.ncbi.nlm.nih.gov/geo/query/acc.cgi?acc=GSM1891302","GSM1891302")</f>
        <v>GSM1891302</v>
      </c>
      <c r="I9432" t="s">
        <v>407</v>
      </c>
      <c r="J9432" t="s">
        <v>408</v>
      </c>
      <c r="K9432" t="s">
        <v>33</v>
      </c>
      <c r="L9432" t="s">
        <v>113</v>
      </c>
      <c r="N9432" t="s">
        <v>29</v>
      </c>
    </row>
    <row r="9433" spans="1:14">
      <c r="A9433" s="4" t="str">
        <f t="shared" si="845"/>
        <v>EXP00313</v>
      </c>
      <c r="B9433" s="4" t="str">
        <f t="shared" si="843"/>
        <v>26446169</v>
      </c>
      <c r="C9433" s="4" t="str">
        <f t="shared" si="844"/>
        <v>GSE73338</v>
      </c>
      <c r="D9433" s="1" t="s">
        <v>405</v>
      </c>
      <c r="E9433" t="s">
        <v>433</v>
      </c>
      <c r="F9433" s="1">
        <v>2</v>
      </c>
      <c r="G9433" s="1" t="s">
        <v>32</v>
      </c>
      <c r="H9433" s="4" t="str">
        <f>HYPERLINK("https://www.ncbi.nlm.nih.gov/geo/query/acc.cgi?acc=GSM1891303","GSM1891303")</f>
        <v>GSM1891303</v>
      </c>
      <c r="I9433" t="s">
        <v>407</v>
      </c>
      <c r="J9433" t="s">
        <v>408</v>
      </c>
      <c r="K9433" t="s">
        <v>33</v>
      </c>
      <c r="L9433" t="s">
        <v>113</v>
      </c>
      <c r="N9433" t="s">
        <v>29</v>
      </c>
    </row>
    <row r="9434" spans="1:14">
      <c r="A9434" s="4" t="str">
        <f t="shared" si="845"/>
        <v>EXP00313</v>
      </c>
      <c r="B9434" s="4" t="str">
        <f t="shared" si="843"/>
        <v>26446169</v>
      </c>
      <c r="C9434" s="4" t="str">
        <f t="shared" si="844"/>
        <v>GSE73338</v>
      </c>
      <c r="D9434" s="1" t="s">
        <v>405</v>
      </c>
      <c r="E9434" t="s">
        <v>433</v>
      </c>
      <c r="F9434" s="1">
        <v>2</v>
      </c>
      <c r="G9434" s="1" t="s">
        <v>32</v>
      </c>
      <c r="H9434" s="4" t="str">
        <f>HYPERLINK("https://www.ncbi.nlm.nih.gov/geo/query/acc.cgi?acc=GSM1891304","GSM1891304")</f>
        <v>GSM1891304</v>
      </c>
      <c r="I9434" t="s">
        <v>407</v>
      </c>
      <c r="J9434" t="s">
        <v>408</v>
      </c>
      <c r="K9434" t="s">
        <v>33</v>
      </c>
      <c r="L9434" t="s">
        <v>113</v>
      </c>
      <c r="N9434" t="s">
        <v>29</v>
      </c>
    </row>
    <row r="9435" spans="1:14">
      <c r="A9435" s="4" t="str">
        <f t="shared" si="845"/>
        <v>EXP00313</v>
      </c>
      <c r="B9435" s="4" t="str">
        <f t="shared" si="843"/>
        <v>26446169</v>
      </c>
      <c r="C9435" s="4" t="str">
        <f t="shared" si="844"/>
        <v>GSE73338</v>
      </c>
      <c r="D9435" s="1" t="s">
        <v>405</v>
      </c>
      <c r="E9435" t="s">
        <v>433</v>
      </c>
      <c r="F9435" s="1">
        <v>2</v>
      </c>
      <c r="G9435" s="1" t="s">
        <v>32</v>
      </c>
      <c r="H9435" s="4" t="str">
        <f>HYPERLINK("https://www.ncbi.nlm.nih.gov/geo/query/acc.cgi?acc=GSM1891305","GSM1891305")</f>
        <v>GSM1891305</v>
      </c>
      <c r="I9435" t="s">
        <v>407</v>
      </c>
      <c r="J9435" t="s">
        <v>408</v>
      </c>
      <c r="K9435" t="s">
        <v>33</v>
      </c>
      <c r="L9435" t="s">
        <v>113</v>
      </c>
      <c r="N9435" t="s">
        <v>29</v>
      </c>
    </row>
    <row r="9436" spans="1:14">
      <c r="A9436" s="4" t="str">
        <f t="shared" si="845"/>
        <v>EXP00313</v>
      </c>
      <c r="B9436" s="4" t="str">
        <f t="shared" si="843"/>
        <v>26446169</v>
      </c>
      <c r="C9436" s="4" t="str">
        <f t="shared" si="844"/>
        <v>GSE73338</v>
      </c>
      <c r="D9436" s="1" t="s">
        <v>405</v>
      </c>
      <c r="E9436" t="s">
        <v>433</v>
      </c>
      <c r="F9436" s="1">
        <v>2</v>
      </c>
      <c r="G9436" s="1" t="s">
        <v>32</v>
      </c>
      <c r="H9436" s="4" t="str">
        <f>HYPERLINK("https://www.ncbi.nlm.nih.gov/geo/query/acc.cgi?acc=GSM1891306","GSM1891306")</f>
        <v>GSM1891306</v>
      </c>
      <c r="I9436" t="s">
        <v>407</v>
      </c>
      <c r="J9436" t="s">
        <v>408</v>
      </c>
      <c r="K9436" t="s">
        <v>33</v>
      </c>
      <c r="L9436" t="s">
        <v>113</v>
      </c>
      <c r="N9436" t="s">
        <v>29</v>
      </c>
    </row>
    <row r="9437" spans="1:14">
      <c r="A9437" s="4" t="str">
        <f t="shared" si="845"/>
        <v>EXP00313</v>
      </c>
      <c r="B9437" s="4" t="str">
        <f t="shared" si="843"/>
        <v>26446169</v>
      </c>
      <c r="C9437" s="4" t="str">
        <f t="shared" si="844"/>
        <v>GSE73338</v>
      </c>
      <c r="D9437" s="1" t="s">
        <v>405</v>
      </c>
      <c r="E9437" t="s">
        <v>433</v>
      </c>
      <c r="F9437" s="1">
        <v>2</v>
      </c>
      <c r="G9437" s="1" t="s">
        <v>32</v>
      </c>
      <c r="H9437" s="4" t="str">
        <f>HYPERLINK("https://www.ncbi.nlm.nih.gov/geo/query/acc.cgi?acc=GSM1891309","GSM1891309")</f>
        <v>GSM1891309</v>
      </c>
      <c r="I9437" t="s">
        <v>407</v>
      </c>
      <c r="J9437" t="s">
        <v>408</v>
      </c>
      <c r="K9437" t="s">
        <v>33</v>
      </c>
      <c r="L9437" t="s">
        <v>113</v>
      </c>
      <c r="N9437" t="s">
        <v>29</v>
      </c>
    </row>
    <row r="9438" spans="1:14">
      <c r="A9438" s="4" t="str">
        <f t="shared" si="845"/>
        <v>EXP00313</v>
      </c>
      <c r="B9438" s="4" t="str">
        <f t="shared" si="843"/>
        <v>26446169</v>
      </c>
      <c r="C9438" s="4" t="str">
        <f t="shared" si="844"/>
        <v>GSE73338</v>
      </c>
      <c r="D9438" s="1" t="s">
        <v>405</v>
      </c>
      <c r="E9438" t="s">
        <v>433</v>
      </c>
      <c r="F9438" s="1">
        <v>2</v>
      </c>
      <c r="G9438" s="1" t="s">
        <v>32</v>
      </c>
      <c r="H9438" s="4" t="str">
        <f>HYPERLINK("https://www.ncbi.nlm.nih.gov/geo/query/acc.cgi?acc=GSM1891311","GSM1891311")</f>
        <v>GSM1891311</v>
      </c>
      <c r="I9438" t="s">
        <v>407</v>
      </c>
      <c r="J9438" t="s">
        <v>408</v>
      </c>
      <c r="K9438" t="s">
        <v>33</v>
      </c>
      <c r="L9438" t="s">
        <v>113</v>
      </c>
      <c r="N9438" t="s">
        <v>29</v>
      </c>
    </row>
    <row r="9439" spans="1:14">
      <c r="A9439" s="4" t="str">
        <f t="shared" si="845"/>
        <v>EXP00313</v>
      </c>
      <c r="B9439" s="4" t="str">
        <f t="shared" si="843"/>
        <v>26446169</v>
      </c>
      <c r="C9439" s="4" t="str">
        <f t="shared" si="844"/>
        <v>GSE73338</v>
      </c>
      <c r="D9439" s="1" t="s">
        <v>405</v>
      </c>
      <c r="E9439" t="s">
        <v>433</v>
      </c>
      <c r="F9439" s="1">
        <v>2</v>
      </c>
      <c r="G9439" s="1" t="s">
        <v>32</v>
      </c>
      <c r="H9439" s="4" t="str">
        <f>HYPERLINK("https://www.ncbi.nlm.nih.gov/geo/query/acc.cgi?acc=GSM1891313","GSM1891313")</f>
        <v>GSM1891313</v>
      </c>
      <c r="I9439" t="s">
        <v>407</v>
      </c>
      <c r="J9439" t="s">
        <v>408</v>
      </c>
      <c r="K9439" t="s">
        <v>33</v>
      </c>
      <c r="L9439" t="s">
        <v>113</v>
      </c>
      <c r="N9439" t="s">
        <v>29</v>
      </c>
    </row>
    <row r="9440" spans="1:14">
      <c r="A9440" s="4" t="str">
        <f t="shared" si="845"/>
        <v>EXP00313</v>
      </c>
      <c r="B9440" s="4" t="str">
        <f t="shared" si="843"/>
        <v>26446169</v>
      </c>
      <c r="C9440" s="4" t="str">
        <f t="shared" si="844"/>
        <v>GSE73338</v>
      </c>
      <c r="D9440" s="1" t="s">
        <v>405</v>
      </c>
      <c r="E9440" t="s">
        <v>433</v>
      </c>
      <c r="F9440" s="1">
        <v>2</v>
      </c>
      <c r="G9440" s="1" t="s">
        <v>32</v>
      </c>
      <c r="H9440" s="4" t="str">
        <f>HYPERLINK("https://www.ncbi.nlm.nih.gov/geo/query/acc.cgi?acc=GSM1891317","GSM1891317")</f>
        <v>GSM1891317</v>
      </c>
      <c r="I9440" t="s">
        <v>407</v>
      </c>
      <c r="J9440" t="s">
        <v>408</v>
      </c>
      <c r="K9440" t="s">
        <v>33</v>
      </c>
      <c r="L9440" t="s">
        <v>113</v>
      </c>
      <c r="N9440" t="s">
        <v>29</v>
      </c>
    </row>
    <row r="9441" spans="1:14">
      <c r="A9441" s="4" t="str">
        <f t="shared" si="845"/>
        <v>EXP00313</v>
      </c>
      <c r="B9441" s="4" t="str">
        <f t="shared" si="843"/>
        <v>26446169</v>
      </c>
      <c r="C9441" s="4" t="str">
        <f t="shared" si="844"/>
        <v>GSE73338</v>
      </c>
      <c r="D9441" s="1" t="s">
        <v>405</v>
      </c>
      <c r="E9441" t="s">
        <v>433</v>
      </c>
      <c r="F9441" s="1">
        <v>2</v>
      </c>
      <c r="G9441" s="1" t="s">
        <v>32</v>
      </c>
      <c r="H9441" s="4" t="str">
        <f>HYPERLINK("https://www.ncbi.nlm.nih.gov/geo/query/acc.cgi?acc=GSM1891318","GSM1891318")</f>
        <v>GSM1891318</v>
      </c>
      <c r="I9441" t="s">
        <v>407</v>
      </c>
      <c r="J9441" t="s">
        <v>408</v>
      </c>
      <c r="K9441" t="s">
        <v>33</v>
      </c>
      <c r="L9441" t="s">
        <v>113</v>
      </c>
      <c r="N9441" t="s">
        <v>29</v>
      </c>
    </row>
    <row r="9442" spans="1:14">
      <c r="A9442" s="4" t="str">
        <f t="shared" si="845"/>
        <v>EXP00313</v>
      </c>
      <c r="B9442" s="4" t="str">
        <f t="shared" si="843"/>
        <v>26446169</v>
      </c>
      <c r="C9442" s="4" t="str">
        <f t="shared" si="844"/>
        <v>GSE73338</v>
      </c>
      <c r="D9442" s="1" t="s">
        <v>405</v>
      </c>
      <c r="E9442" t="s">
        <v>433</v>
      </c>
      <c r="F9442" s="1">
        <v>2</v>
      </c>
      <c r="G9442" s="1" t="s">
        <v>32</v>
      </c>
      <c r="H9442" s="4" t="str">
        <f>HYPERLINK("https://www.ncbi.nlm.nih.gov/geo/query/acc.cgi?acc=GSM1891319","GSM1891319")</f>
        <v>GSM1891319</v>
      </c>
      <c r="I9442" t="s">
        <v>407</v>
      </c>
      <c r="J9442" t="s">
        <v>408</v>
      </c>
      <c r="K9442" t="s">
        <v>33</v>
      </c>
      <c r="L9442" t="s">
        <v>113</v>
      </c>
      <c r="N9442" t="s">
        <v>29</v>
      </c>
    </row>
    <row r="9443" spans="1:14">
      <c r="A9443" s="4" t="str">
        <f t="shared" ref="A9443:A9474" si="846">HYPERLINK("http://hcmdb.i-sanger.com/experiment/details/experiment_id/EXP00314","EXP00314")</f>
        <v>EXP00314</v>
      </c>
      <c r="B9443" s="4" t="str">
        <f t="shared" si="843"/>
        <v>26446169</v>
      </c>
      <c r="C9443" s="4" t="str">
        <f t="shared" si="844"/>
        <v>GSE73338</v>
      </c>
      <c r="D9443" s="1" t="s">
        <v>405</v>
      </c>
      <c r="E9443" t="s">
        <v>434</v>
      </c>
      <c r="F9443" s="1">
        <v>1</v>
      </c>
      <c r="G9443" s="1" t="s">
        <v>36</v>
      </c>
      <c r="H9443" s="4" t="str">
        <f>HYPERLINK("https://www.ncbi.nlm.nih.gov/geo/query/acc.cgi?acc=GSM1891273","GSM1891273")</f>
        <v>GSM1891273</v>
      </c>
      <c r="I9443" t="s">
        <v>407</v>
      </c>
      <c r="J9443" t="s">
        <v>408</v>
      </c>
      <c r="K9443" t="s">
        <v>33</v>
      </c>
      <c r="L9443" t="s">
        <v>113</v>
      </c>
      <c r="N9443" t="s">
        <v>37</v>
      </c>
    </row>
    <row r="9444" spans="1:14">
      <c r="A9444" s="4" t="str">
        <f t="shared" si="846"/>
        <v>EXP00314</v>
      </c>
      <c r="B9444" s="4" t="str">
        <f t="shared" si="843"/>
        <v>26446169</v>
      </c>
      <c r="C9444" s="4" t="str">
        <f t="shared" si="844"/>
        <v>GSE73338</v>
      </c>
      <c r="D9444" s="1" t="s">
        <v>405</v>
      </c>
      <c r="E9444" t="s">
        <v>434</v>
      </c>
      <c r="F9444" s="1">
        <v>1</v>
      </c>
      <c r="G9444" s="1" t="s">
        <v>36</v>
      </c>
      <c r="H9444" s="4" t="str">
        <f>HYPERLINK("https://www.ncbi.nlm.nih.gov/geo/query/acc.cgi?acc=GSM1891293","GSM1891293")</f>
        <v>GSM1891293</v>
      </c>
      <c r="I9444" t="s">
        <v>407</v>
      </c>
      <c r="J9444" t="s">
        <v>408</v>
      </c>
      <c r="K9444" t="s">
        <v>33</v>
      </c>
      <c r="L9444" t="s">
        <v>113</v>
      </c>
      <c r="N9444" t="s">
        <v>37</v>
      </c>
    </row>
    <row r="9445" spans="1:14">
      <c r="A9445" s="4" t="str">
        <f t="shared" si="846"/>
        <v>EXP00314</v>
      </c>
      <c r="B9445" s="4" t="str">
        <f t="shared" si="843"/>
        <v>26446169</v>
      </c>
      <c r="C9445" s="4" t="str">
        <f t="shared" si="844"/>
        <v>GSE73338</v>
      </c>
      <c r="D9445" s="1" t="s">
        <v>405</v>
      </c>
      <c r="E9445" t="s">
        <v>434</v>
      </c>
      <c r="F9445" s="1">
        <v>1</v>
      </c>
      <c r="G9445" s="1" t="s">
        <v>36</v>
      </c>
      <c r="H9445" s="4" t="str">
        <f>HYPERLINK("https://www.ncbi.nlm.nih.gov/geo/query/acc.cgi?acc=GSM1891294","GSM1891294")</f>
        <v>GSM1891294</v>
      </c>
      <c r="I9445" t="s">
        <v>407</v>
      </c>
      <c r="J9445" t="s">
        <v>408</v>
      </c>
      <c r="K9445" t="s">
        <v>33</v>
      </c>
      <c r="L9445" t="s">
        <v>113</v>
      </c>
      <c r="N9445" t="s">
        <v>37</v>
      </c>
    </row>
    <row r="9446" spans="1:14">
      <c r="A9446" s="4" t="str">
        <f t="shared" si="846"/>
        <v>EXP00314</v>
      </c>
      <c r="B9446" s="4" t="str">
        <f t="shared" si="843"/>
        <v>26446169</v>
      </c>
      <c r="C9446" s="4" t="str">
        <f t="shared" si="844"/>
        <v>GSE73338</v>
      </c>
      <c r="D9446" s="1" t="s">
        <v>405</v>
      </c>
      <c r="E9446" t="s">
        <v>434</v>
      </c>
      <c r="F9446" s="1">
        <v>1</v>
      </c>
      <c r="G9446" s="1" t="s">
        <v>36</v>
      </c>
      <c r="H9446" s="4" t="str">
        <f>HYPERLINK("https://www.ncbi.nlm.nih.gov/geo/query/acc.cgi?acc=GSM1891295","GSM1891295")</f>
        <v>GSM1891295</v>
      </c>
      <c r="I9446" t="s">
        <v>407</v>
      </c>
      <c r="J9446" t="s">
        <v>408</v>
      </c>
      <c r="K9446" t="s">
        <v>33</v>
      </c>
      <c r="L9446" t="s">
        <v>113</v>
      </c>
      <c r="N9446" t="s">
        <v>37</v>
      </c>
    </row>
    <row r="9447" spans="1:14">
      <c r="A9447" s="4" t="str">
        <f t="shared" si="846"/>
        <v>EXP00314</v>
      </c>
      <c r="B9447" s="4" t="str">
        <f t="shared" si="843"/>
        <v>26446169</v>
      </c>
      <c r="C9447" s="4" t="str">
        <f t="shared" si="844"/>
        <v>GSE73338</v>
      </c>
      <c r="D9447" s="1" t="s">
        <v>405</v>
      </c>
      <c r="E9447" t="s">
        <v>434</v>
      </c>
      <c r="F9447" s="1">
        <v>1</v>
      </c>
      <c r="G9447" s="1" t="s">
        <v>36</v>
      </c>
      <c r="H9447" s="4" t="str">
        <f>HYPERLINK("https://www.ncbi.nlm.nih.gov/geo/query/acc.cgi?acc=GSM1891296","GSM1891296")</f>
        <v>GSM1891296</v>
      </c>
      <c r="I9447" t="s">
        <v>407</v>
      </c>
      <c r="J9447" t="s">
        <v>408</v>
      </c>
      <c r="K9447" t="s">
        <v>33</v>
      </c>
      <c r="L9447" t="s">
        <v>113</v>
      </c>
      <c r="N9447" t="s">
        <v>37</v>
      </c>
    </row>
    <row r="9448" spans="1:14">
      <c r="A9448" s="4" t="str">
        <f t="shared" si="846"/>
        <v>EXP00314</v>
      </c>
      <c r="B9448" s="4" t="str">
        <f t="shared" si="843"/>
        <v>26446169</v>
      </c>
      <c r="C9448" s="4" t="str">
        <f t="shared" si="844"/>
        <v>GSE73338</v>
      </c>
      <c r="D9448" s="1" t="s">
        <v>405</v>
      </c>
      <c r="E9448" t="s">
        <v>434</v>
      </c>
      <c r="F9448" s="1">
        <v>2</v>
      </c>
      <c r="G9448" s="1" t="s">
        <v>28</v>
      </c>
      <c r="H9448" s="4" t="str">
        <f>HYPERLINK("https://www.ncbi.nlm.nih.gov/geo/query/acc.cgi?acc=GSM1891230","GSM1891230")</f>
        <v>GSM1891230</v>
      </c>
      <c r="I9448" t="s">
        <v>407</v>
      </c>
      <c r="J9448" t="s">
        <v>408</v>
      </c>
      <c r="K9448" t="s">
        <v>33</v>
      </c>
      <c r="L9448" t="s">
        <v>113</v>
      </c>
      <c r="N9448" t="s">
        <v>29</v>
      </c>
    </row>
    <row r="9449" spans="1:14">
      <c r="A9449" s="4" t="str">
        <f t="shared" si="846"/>
        <v>EXP00314</v>
      </c>
      <c r="B9449" s="4" t="str">
        <f t="shared" si="843"/>
        <v>26446169</v>
      </c>
      <c r="C9449" s="4" t="str">
        <f t="shared" si="844"/>
        <v>GSE73338</v>
      </c>
      <c r="D9449" s="1" t="s">
        <v>405</v>
      </c>
      <c r="E9449" t="s">
        <v>434</v>
      </c>
      <c r="F9449" s="1">
        <v>2</v>
      </c>
      <c r="G9449" s="1" t="s">
        <v>28</v>
      </c>
      <c r="H9449" s="4" t="str">
        <f>HYPERLINK("https://www.ncbi.nlm.nih.gov/geo/query/acc.cgi?acc=GSM1891231","GSM1891231")</f>
        <v>GSM1891231</v>
      </c>
      <c r="I9449" t="s">
        <v>407</v>
      </c>
      <c r="J9449" t="s">
        <v>408</v>
      </c>
      <c r="K9449" t="s">
        <v>33</v>
      </c>
      <c r="L9449" t="s">
        <v>113</v>
      </c>
      <c r="N9449" t="s">
        <v>29</v>
      </c>
    </row>
    <row r="9450" spans="1:14">
      <c r="A9450" s="4" t="str">
        <f t="shared" si="846"/>
        <v>EXP00314</v>
      </c>
      <c r="B9450" s="4" t="str">
        <f t="shared" si="843"/>
        <v>26446169</v>
      </c>
      <c r="C9450" s="4" t="str">
        <f t="shared" si="844"/>
        <v>GSE73338</v>
      </c>
      <c r="D9450" s="1" t="s">
        <v>405</v>
      </c>
      <c r="E9450" t="s">
        <v>434</v>
      </c>
      <c r="F9450" s="1">
        <v>2</v>
      </c>
      <c r="G9450" s="1" t="s">
        <v>28</v>
      </c>
      <c r="H9450" s="4" t="str">
        <f>HYPERLINK("https://www.ncbi.nlm.nih.gov/geo/query/acc.cgi?acc=GSM1891233","GSM1891233")</f>
        <v>GSM1891233</v>
      </c>
      <c r="I9450" t="s">
        <v>407</v>
      </c>
      <c r="J9450" t="s">
        <v>408</v>
      </c>
      <c r="K9450" t="s">
        <v>33</v>
      </c>
      <c r="L9450" t="s">
        <v>113</v>
      </c>
      <c r="N9450" t="s">
        <v>29</v>
      </c>
    </row>
    <row r="9451" spans="1:14">
      <c r="A9451" s="4" t="str">
        <f t="shared" si="846"/>
        <v>EXP00314</v>
      </c>
      <c r="B9451" s="4" t="str">
        <f t="shared" si="843"/>
        <v>26446169</v>
      </c>
      <c r="C9451" s="4" t="str">
        <f t="shared" si="844"/>
        <v>GSE73338</v>
      </c>
      <c r="D9451" s="1" t="s">
        <v>405</v>
      </c>
      <c r="E9451" t="s">
        <v>434</v>
      </c>
      <c r="F9451" s="1">
        <v>2</v>
      </c>
      <c r="G9451" s="1" t="s">
        <v>28</v>
      </c>
      <c r="H9451" s="4" t="str">
        <f>HYPERLINK("https://www.ncbi.nlm.nih.gov/geo/query/acc.cgi?acc=GSM1891234","GSM1891234")</f>
        <v>GSM1891234</v>
      </c>
      <c r="I9451" t="s">
        <v>407</v>
      </c>
      <c r="J9451" t="s">
        <v>408</v>
      </c>
      <c r="K9451" t="s">
        <v>33</v>
      </c>
      <c r="L9451" t="s">
        <v>113</v>
      </c>
      <c r="N9451" t="s">
        <v>29</v>
      </c>
    </row>
    <row r="9452" spans="1:14">
      <c r="A9452" s="4" t="str">
        <f t="shared" si="846"/>
        <v>EXP00314</v>
      </c>
      <c r="B9452" s="4" t="str">
        <f t="shared" si="843"/>
        <v>26446169</v>
      </c>
      <c r="C9452" s="4" t="str">
        <f t="shared" si="844"/>
        <v>GSE73338</v>
      </c>
      <c r="D9452" s="1" t="s">
        <v>405</v>
      </c>
      <c r="E9452" t="s">
        <v>434</v>
      </c>
      <c r="F9452" s="1">
        <v>2</v>
      </c>
      <c r="G9452" s="1" t="s">
        <v>28</v>
      </c>
      <c r="H9452" s="4" t="str">
        <f>HYPERLINK("https://www.ncbi.nlm.nih.gov/geo/query/acc.cgi?acc=GSM1891235","GSM1891235")</f>
        <v>GSM1891235</v>
      </c>
      <c r="I9452" t="s">
        <v>407</v>
      </c>
      <c r="J9452" t="s">
        <v>408</v>
      </c>
      <c r="K9452" t="s">
        <v>33</v>
      </c>
      <c r="L9452" t="s">
        <v>113</v>
      </c>
      <c r="N9452" t="s">
        <v>29</v>
      </c>
    </row>
    <row r="9453" spans="1:14">
      <c r="A9453" s="4" t="str">
        <f t="shared" si="846"/>
        <v>EXP00314</v>
      </c>
      <c r="B9453" s="4" t="str">
        <f t="shared" si="843"/>
        <v>26446169</v>
      </c>
      <c r="C9453" s="4" t="str">
        <f t="shared" si="844"/>
        <v>GSE73338</v>
      </c>
      <c r="D9453" s="1" t="s">
        <v>405</v>
      </c>
      <c r="E9453" t="s">
        <v>434</v>
      </c>
      <c r="F9453" s="1">
        <v>2</v>
      </c>
      <c r="G9453" s="1" t="s">
        <v>28</v>
      </c>
      <c r="H9453" s="4" t="str">
        <f>HYPERLINK("https://www.ncbi.nlm.nih.gov/geo/query/acc.cgi?acc=GSM1891236","GSM1891236")</f>
        <v>GSM1891236</v>
      </c>
      <c r="I9453" t="s">
        <v>407</v>
      </c>
      <c r="J9453" t="s">
        <v>408</v>
      </c>
      <c r="K9453" t="s">
        <v>33</v>
      </c>
      <c r="L9453" t="s">
        <v>113</v>
      </c>
      <c r="N9453" t="s">
        <v>29</v>
      </c>
    </row>
    <row r="9454" spans="1:14">
      <c r="A9454" s="4" t="str">
        <f t="shared" si="846"/>
        <v>EXP00314</v>
      </c>
      <c r="B9454" s="4" t="str">
        <f t="shared" ref="B9454:B9504" si="847">HYPERLINK("https://www.ncbi.nlm.nih.gov/pubmed/26446169","26446169")</f>
        <v>26446169</v>
      </c>
      <c r="C9454" s="4" t="str">
        <f t="shared" ref="C9454:C9504" si="848">HYPERLINK("https://www.ncbi.nlm.nih.gov/geo/query/acc.cgi?acc=GSE73338","GSE73338")</f>
        <v>GSE73338</v>
      </c>
      <c r="D9454" s="1" t="s">
        <v>405</v>
      </c>
      <c r="E9454" t="s">
        <v>434</v>
      </c>
      <c r="F9454" s="1">
        <v>2</v>
      </c>
      <c r="G9454" s="1" t="s">
        <v>28</v>
      </c>
      <c r="H9454" s="4" t="str">
        <f>HYPERLINK("https://www.ncbi.nlm.nih.gov/geo/query/acc.cgi?acc=GSM1891241","GSM1891241")</f>
        <v>GSM1891241</v>
      </c>
      <c r="I9454" t="s">
        <v>407</v>
      </c>
      <c r="J9454" t="s">
        <v>408</v>
      </c>
      <c r="K9454" t="s">
        <v>33</v>
      </c>
      <c r="L9454" t="s">
        <v>113</v>
      </c>
      <c r="N9454" t="s">
        <v>29</v>
      </c>
    </row>
    <row r="9455" spans="1:14">
      <c r="A9455" s="4" t="str">
        <f t="shared" si="846"/>
        <v>EXP00314</v>
      </c>
      <c r="B9455" s="4" t="str">
        <f t="shared" si="847"/>
        <v>26446169</v>
      </c>
      <c r="C9455" s="4" t="str">
        <f t="shared" si="848"/>
        <v>GSE73338</v>
      </c>
      <c r="D9455" s="1" t="s">
        <v>405</v>
      </c>
      <c r="E9455" t="s">
        <v>434</v>
      </c>
      <c r="F9455" s="1">
        <v>2</v>
      </c>
      <c r="G9455" s="1" t="s">
        <v>28</v>
      </c>
      <c r="H9455" s="4" t="str">
        <f>HYPERLINK("https://www.ncbi.nlm.nih.gov/geo/query/acc.cgi?acc=GSM1891242","GSM1891242")</f>
        <v>GSM1891242</v>
      </c>
      <c r="I9455" t="s">
        <v>407</v>
      </c>
      <c r="J9455" t="s">
        <v>408</v>
      </c>
      <c r="K9455" t="s">
        <v>33</v>
      </c>
      <c r="L9455" t="s">
        <v>113</v>
      </c>
      <c r="N9455" t="s">
        <v>29</v>
      </c>
    </row>
    <row r="9456" spans="1:14">
      <c r="A9456" s="4" t="str">
        <f t="shared" si="846"/>
        <v>EXP00314</v>
      </c>
      <c r="B9456" s="4" t="str">
        <f t="shared" si="847"/>
        <v>26446169</v>
      </c>
      <c r="C9456" s="4" t="str">
        <f t="shared" si="848"/>
        <v>GSE73338</v>
      </c>
      <c r="D9456" s="1" t="s">
        <v>405</v>
      </c>
      <c r="E9456" t="s">
        <v>434</v>
      </c>
      <c r="F9456" s="1">
        <v>2</v>
      </c>
      <c r="G9456" s="1" t="s">
        <v>28</v>
      </c>
      <c r="H9456" s="4" t="str">
        <f>HYPERLINK("https://www.ncbi.nlm.nih.gov/geo/query/acc.cgi?acc=GSM1891243","GSM1891243")</f>
        <v>GSM1891243</v>
      </c>
      <c r="I9456" t="s">
        <v>407</v>
      </c>
      <c r="J9456" t="s">
        <v>408</v>
      </c>
      <c r="K9456" t="s">
        <v>33</v>
      </c>
      <c r="L9456" t="s">
        <v>113</v>
      </c>
      <c r="N9456" t="s">
        <v>29</v>
      </c>
    </row>
    <row r="9457" spans="1:14">
      <c r="A9457" s="4" t="str">
        <f t="shared" si="846"/>
        <v>EXP00314</v>
      </c>
      <c r="B9457" s="4" t="str">
        <f t="shared" si="847"/>
        <v>26446169</v>
      </c>
      <c r="C9457" s="4" t="str">
        <f t="shared" si="848"/>
        <v>GSE73338</v>
      </c>
      <c r="D9457" s="1" t="s">
        <v>405</v>
      </c>
      <c r="E9457" t="s">
        <v>434</v>
      </c>
      <c r="F9457" s="1">
        <v>2</v>
      </c>
      <c r="G9457" s="1" t="s">
        <v>28</v>
      </c>
      <c r="H9457" s="4" t="str">
        <f>HYPERLINK("https://www.ncbi.nlm.nih.gov/geo/query/acc.cgi?acc=GSM1891245","GSM1891245")</f>
        <v>GSM1891245</v>
      </c>
      <c r="I9457" t="s">
        <v>407</v>
      </c>
      <c r="J9457" t="s">
        <v>408</v>
      </c>
      <c r="K9457" t="s">
        <v>33</v>
      </c>
      <c r="L9457" t="s">
        <v>113</v>
      </c>
      <c r="N9457" t="s">
        <v>29</v>
      </c>
    </row>
    <row r="9458" spans="1:14">
      <c r="A9458" s="4" t="str">
        <f t="shared" si="846"/>
        <v>EXP00314</v>
      </c>
      <c r="B9458" s="4" t="str">
        <f t="shared" si="847"/>
        <v>26446169</v>
      </c>
      <c r="C9458" s="4" t="str">
        <f t="shared" si="848"/>
        <v>GSE73338</v>
      </c>
      <c r="D9458" s="1" t="s">
        <v>405</v>
      </c>
      <c r="E9458" t="s">
        <v>434</v>
      </c>
      <c r="F9458" s="1">
        <v>2</v>
      </c>
      <c r="G9458" s="1" t="s">
        <v>28</v>
      </c>
      <c r="H9458" s="4" t="str">
        <f>HYPERLINK("https://www.ncbi.nlm.nih.gov/geo/query/acc.cgi?acc=GSM1891246","GSM1891246")</f>
        <v>GSM1891246</v>
      </c>
      <c r="I9458" t="s">
        <v>407</v>
      </c>
      <c r="J9458" t="s">
        <v>408</v>
      </c>
      <c r="K9458" t="s">
        <v>33</v>
      </c>
      <c r="L9458" t="s">
        <v>113</v>
      </c>
      <c r="N9458" t="s">
        <v>29</v>
      </c>
    </row>
    <row r="9459" spans="1:14">
      <c r="A9459" s="4" t="str">
        <f t="shared" si="846"/>
        <v>EXP00314</v>
      </c>
      <c r="B9459" s="4" t="str">
        <f t="shared" si="847"/>
        <v>26446169</v>
      </c>
      <c r="C9459" s="4" t="str">
        <f t="shared" si="848"/>
        <v>GSE73338</v>
      </c>
      <c r="D9459" s="1" t="s">
        <v>405</v>
      </c>
      <c r="E9459" t="s">
        <v>434</v>
      </c>
      <c r="F9459" s="1">
        <v>2</v>
      </c>
      <c r="G9459" s="1" t="s">
        <v>28</v>
      </c>
      <c r="H9459" s="4" t="str">
        <f>HYPERLINK("https://www.ncbi.nlm.nih.gov/geo/query/acc.cgi?acc=GSM1891247","GSM1891247")</f>
        <v>GSM1891247</v>
      </c>
      <c r="I9459" t="s">
        <v>407</v>
      </c>
      <c r="J9459" t="s">
        <v>408</v>
      </c>
      <c r="K9459" t="s">
        <v>33</v>
      </c>
      <c r="L9459" t="s">
        <v>113</v>
      </c>
      <c r="N9459" t="s">
        <v>29</v>
      </c>
    </row>
    <row r="9460" spans="1:14">
      <c r="A9460" s="4" t="str">
        <f t="shared" si="846"/>
        <v>EXP00314</v>
      </c>
      <c r="B9460" s="4" t="str">
        <f t="shared" si="847"/>
        <v>26446169</v>
      </c>
      <c r="C9460" s="4" t="str">
        <f t="shared" si="848"/>
        <v>GSE73338</v>
      </c>
      <c r="D9460" s="1" t="s">
        <v>405</v>
      </c>
      <c r="E9460" t="s">
        <v>434</v>
      </c>
      <c r="F9460" s="1">
        <v>2</v>
      </c>
      <c r="G9460" s="1" t="s">
        <v>28</v>
      </c>
      <c r="H9460" s="4" t="str">
        <f>HYPERLINK("https://www.ncbi.nlm.nih.gov/geo/query/acc.cgi?acc=GSM1891248","GSM1891248")</f>
        <v>GSM1891248</v>
      </c>
      <c r="I9460" t="s">
        <v>407</v>
      </c>
      <c r="J9460" t="s">
        <v>408</v>
      </c>
      <c r="K9460" t="s">
        <v>33</v>
      </c>
      <c r="L9460" t="s">
        <v>113</v>
      </c>
      <c r="N9460" t="s">
        <v>29</v>
      </c>
    </row>
    <row r="9461" spans="1:14">
      <c r="A9461" s="4" t="str">
        <f t="shared" si="846"/>
        <v>EXP00314</v>
      </c>
      <c r="B9461" s="4" t="str">
        <f t="shared" si="847"/>
        <v>26446169</v>
      </c>
      <c r="C9461" s="4" t="str">
        <f t="shared" si="848"/>
        <v>GSE73338</v>
      </c>
      <c r="D9461" s="1" t="s">
        <v>405</v>
      </c>
      <c r="E9461" t="s">
        <v>434</v>
      </c>
      <c r="F9461" s="1">
        <v>2</v>
      </c>
      <c r="G9461" s="1" t="s">
        <v>28</v>
      </c>
      <c r="H9461" s="4" t="str">
        <f>HYPERLINK("https://www.ncbi.nlm.nih.gov/geo/query/acc.cgi?acc=GSM1891249","GSM1891249")</f>
        <v>GSM1891249</v>
      </c>
      <c r="I9461" t="s">
        <v>407</v>
      </c>
      <c r="J9461" t="s">
        <v>408</v>
      </c>
      <c r="K9461" t="s">
        <v>33</v>
      </c>
      <c r="L9461" t="s">
        <v>113</v>
      </c>
      <c r="N9461" t="s">
        <v>29</v>
      </c>
    </row>
    <row r="9462" spans="1:14">
      <c r="A9462" s="4" t="str">
        <f t="shared" si="846"/>
        <v>EXP00314</v>
      </c>
      <c r="B9462" s="4" t="str">
        <f t="shared" si="847"/>
        <v>26446169</v>
      </c>
      <c r="C9462" s="4" t="str">
        <f t="shared" si="848"/>
        <v>GSE73338</v>
      </c>
      <c r="D9462" s="1" t="s">
        <v>405</v>
      </c>
      <c r="E9462" t="s">
        <v>434</v>
      </c>
      <c r="F9462" s="1">
        <v>2</v>
      </c>
      <c r="G9462" s="1" t="s">
        <v>28</v>
      </c>
      <c r="H9462" s="4" t="str">
        <f>HYPERLINK("https://www.ncbi.nlm.nih.gov/geo/query/acc.cgi?acc=GSM1891250","GSM1891250")</f>
        <v>GSM1891250</v>
      </c>
      <c r="I9462" t="s">
        <v>407</v>
      </c>
      <c r="J9462" t="s">
        <v>408</v>
      </c>
      <c r="K9462" t="s">
        <v>33</v>
      </c>
      <c r="L9462" t="s">
        <v>113</v>
      </c>
      <c r="N9462" t="s">
        <v>29</v>
      </c>
    </row>
    <row r="9463" spans="1:14">
      <c r="A9463" s="4" t="str">
        <f t="shared" si="846"/>
        <v>EXP00314</v>
      </c>
      <c r="B9463" s="4" t="str">
        <f t="shared" si="847"/>
        <v>26446169</v>
      </c>
      <c r="C9463" s="4" t="str">
        <f t="shared" si="848"/>
        <v>GSE73338</v>
      </c>
      <c r="D9463" s="1" t="s">
        <v>405</v>
      </c>
      <c r="E9463" t="s">
        <v>434</v>
      </c>
      <c r="F9463" s="1">
        <v>2</v>
      </c>
      <c r="G9463" s="1" t="s">
        <v>28</v>
      </c>
      <c r="H9463" s="4" t="str">
        <f>HYPERLINK("https://www.ncbi.nlm.nih.gov/geo/query/acc.cgi?acc=GSM1891251","GSM1891251")</f>
        <v>GSM1891251</v>
      </c>
      <c r="I9463" t="s">
        <v>407</v>
      </c>
      <c r="J9463" t="s">
        <v>408</v>
      </c>
      <c r="K9463" t="s">
        <v>33</v>
      </c>
      <c r="L9463" t="s">
        <v>113</v>
      </c>
      <c r="N9463" t="s">
        <v>29</v>
      </c>
    </row>
    <row r="9464" spans="1:14">
      <c r="A9464" s="4" t="str">
        <f t="shared" si="846"/>
        <v>EXP00314</v>
      </c>
      <c r="B9464" s="4" t="str">
        <f t="shared" si="847"/>
        <v>26446169</v>
      </c>
      <c r="C9464" s="4" t="str">
        <f t="shared" si="848"/>
        <v>GSE73338</v>
      </c>
      <c r="D9464" s="1" t="s">
        <v>405</v>
      </c>
      <c r="E9464" t="s">
        <v>434</v>
      </c>
      <c r="F9464" s="1">
        <v>2</v>
      </c>
      <c r="G9464" s="1" t="s">
        <v>28</v>
      </c>
      <c r="H9464" s="4" t="str">
        <f>HYPERLINK("https://www.ncbi.nlm.nih.gov/geo/query/acc.cgi?acc=GSM1891253","GSM1891253")</f>
        <v>GSM1891253</v>
      </c>
      <c r="I9464" t="s">
        <v>407</v>
      </c>
      <c r="J9464" t="s">
        <v>408</v>
      </c>
      <c r="K9464" t="s">
        <v>33</v>
      </c>
      <c r="L9464" t="s">
        <v>113</v>
      </c>
      <c r="N9464" t="s">
        <v>29</v>
      </c>
    </row>
    <row r="9465" spans="1:14">
      <c r="A9465" s="4" t="str">
        <f t="shared" si="846"/>
        <v>EXP00314</v>
      </c>
      <c r="B9465" s="4" t="str">
        <f t="shared" si="847"/>
        <v>26446169</v>
      </c>
      <c r="C9465" s="4" t="str">
        <f t="shared" si="848"/>
        <v>GSE73338</v>
      </c>
      <c r="D9465" s="1" t="s">
        <v>405</v>
      </c>
      <c r="E9465" t="s">
        <v>434</v>
      </c>
      <c r="F9465" s="1">
        <v>2</v>
      </c>
      <c r="G9465" s="1" t="s">
        <v>28</v>
      </c>
      <c r="H9465" s="4" t="str">
        <f>HYPERLINK("https://www.ncbi.nlm.nih.gov/geo/query/acc.cgi?acc=GSM1891254","GSM1891254")</f>
        <v>GSM1891254</v>
      </c>
      <c r="I9465" t="s">
        <v>407</v>
      </c>
      <c r="J9465" t="s">
        <v>408</v>
      </c>
      <c r="K9465" t="s">
        <v>33</v>
      </c>
      <c r="L9465" t="s">
        <v>113</v>
      </c>
      <c r="N9465" t="s">
        <v>29</v>
      </c>
    </row>
    <row r="9466" spans="1:14">
      <c r="A9466" s="4" t="str">
        <f t="shared" si="846"/>
        <v>EXP00314</v>
      </c>
      <c r="B9466" s="4" t="str">
        <f t="shared" si="847"/>
        <v>26446169</v>
      </c>
      <c r="C9466" s="4" t="str">
        <f t="shared" si="848"/>
        <v>GSE73338</v>
      </c>
      <c r="D9466" s="1" t="s">
        <v>405</v>
      </c>
      <c r="E9466" t="s">
        <v>434</v>
      </c>
      <c r="F9466" s="1">
        <v>2</v>
      </c>
      <c r="G9466" s="1" t="s">
        <v>28</v>
      </c>
      <c r="H9466" s="4" t="str">
        <f>HYPERLINK("https://www.ncbi.nlm.nih.gov/geo/query/acc.cgi?acc=GSM1891257","GSM1891257")</f>
        <v>GSM1891257</v>
      </c>
      <c r="I9466" t="s">
        <v>407</v>
      </c>
      <c r="J9466" t="s">
        <v>408</v>
      </c>
      <c r="K9466" t="s">
        <v>33</v>
      </c>
      <c r="L9466" t="s">
        <v>113</v>
      </c>
      <c r="N9466" t="s">
        <v>29</v>
      </c>
    </row>
    <row r="9467" spans="1:14">
      <c r="A9467" s="4" t="str">
        <f t="shared" si="846"/>
        <v>EXP00314</v>
      </c>
      <c r="B9467" s="4" t="str">
        <f t="shared" si="847"/>
        <v>26446169</v>
      </c>
      <c r="C9467" s="4" t="str">
        <f t="shared" si="848"/>
        <v>GSE73338</v>
      </c>
      <c r="D9467" s="1" t="s">
        <v>405</v>
      </c>
      <c r="E9467" t="s">
        <v>434</v>
      </c>
      <c r="F9467" s="1">
        <v>2</v>
      </c>
      <c r="G9467" s="1" t="s">
        <v>28</v>
      </c>
      <c r="H9467" s="4" t="str">
        <f>HYPERLINK("https://www.ncbi.nlm.nih.gov/geo/query/acc.cgi?acc=GSM1891259","GSM1891259")</f>
        <v>GSM1891259</v>
      </c>
      <c r="I9467" t="s">
        <v>407</v>
      </c>
      <c r="J9467" t="s">
        <v>408</v>
      </c>
      <c r="K9467" t="s">
        <v>33</v>
      </c>
      <c r="L9467" t="s">
        <v>113</v>
      </c>
      <c r="N9467" t="s">
        <v>29</v>
      </c>
    </row>
    <row r="9468" spans="1:14">
      <c r="A9468" s="4" t="str">
        <f t="shared" si="846"/>
        <v>EXP00314</v>
      </c>
      <c r="B9468" s="4" t="str">
        <f t="shared" si="847"/>
        <v>26446169</v>
      </c>
      <c r="C9468" s="4" t="str">
        <f t="shared" si="848"/>
        <v>GSE73338</v>
      </c>
      <c r="D9468" s="1" t="s">
        <v>405</v>
      </c>
      <c r="E9468" t="s">
        <v>434</v>
      </c>
      <c r="F9468" s="1">
        <v>2</v>
      </c>
      <c r="G9468" s="1" t="s">
        <v>28</v>
      </c>
      <c r="H9468" s="4" t="str">
        <f>HYPERLINK("https://www.ncbi.nlm.nih.gov/geo/query/acc.cgi?acc=GSM1891260","GSM1891260")</f>
        <v>GSM1891260</v>
      </c>
      <c r="I9468" t="s">
        <v>407</v>
      </c>
      <c r="J9468" t="s">
        <v>408</v>
      </c>
      <c r="K9468" t="s">
        <v>33</v>
      </c>
      <c r="L9468" t="s">
        <v>113</v>
      </c>
      <c r="N9468" t="s">
        <v>29</v>
      </c>
    </row>
    <row r="9469" spans="1:14">
      <c r="A9469" s="4" t="str">
        <f t="shared" si="846"/>
        <v>EXP00314</v>
      </c>
      <c r="B9469" s="4" t="str">
        <f t="shared" si="847"/>
        <v>26446169</v>
      </c>
      <c r="C9469" s="4" t="str">
        <f t="shared" si="848"/>
        <v>GSE73338</v>
      </c>
      <c r="D9469" s="1" t="s">
        <v>405</v>
      </c>
      <c r="E9469" t="s">
        <v>434</v>
      </c>
      <c r="F9469" s="1">
        <v>2</v>
      </c>
      <c r="G9469" s="1" t="s">
        <v>28</v>
      </c>
      <c r="H9469" s="4" t="str">
        <f>HYPERLINK("https://www.ncbi.nlm.nih.gov/geo/query/acc.cgi?acc=GSM1891261","GSM1891261")</f>
        <v>GSM1891261</v>
      </c>
      <c r="I9469" t="s">
        <v>407</v>
      </c>
      <c r="J9469" t="s">
        <v>408</v>
      </c>
      <c r="K9469" t="s">
        <v>33</v>
      </c>
      <c r="L9469" t="s">
        <v>113</v>
      </c>
      <c r="N9469" t="s">
        <v>29</v>
      </c>
    </row>
    <row r="9470" spans="1:14">
      <c r="A9470" s="4" t="str">
        <f t="shared" si="846"/>
        <v>EXP00314</v>
      </c>
      <c r="B9470" s="4" t="str">
        <f t="shared" si="847"/>
        <v>26446169</v>
      </c>
      <c r="C9470" s="4" t="str">
        <f t="shared" si="848"/>
        <v>GSE73338</v>
      </c>
      <c r="D9470" s="1" t="s">
        <v>405</v>
      </c>
      <c r="E9470" t="s">
        <v>434</v>
      </c>
      <c r="F9470" s="1">
        <v>2</v>
      </c>
      <c r="G9470" s="1" t="s">
        <v>28</v>
      </c>
      <c r="H9470" s="4" t="str">
        <f>HYPERLINK("https://www.ncbi.nlm.nih.gov/geo/query/acc.cgi?acc=GSM1891262","GSM1891262")</f>
        <v>GSM1891262</v>
      </c>
      <c r="I9470" t="s">
        <v>407</v>
      </c>
      <c r="J9470" t="s">
        <v>408</v>
      </c>
      <c r="K9470" t="s">
        <v>33</v>
      </c>
      <c r="L9470" t="s">
        <v>113</v>
      </c>
      <c r="N9470" t="s">
        <v>29</v>
      </c>
    </row>
    <row r="9471" spans="1:14">
      <c r="A9471" s="4" t="str">
        <f t="shared" si="846"/>
        <v>EXP00314</v>
      </c>
      <c r="B9471" s="4" t="str">
        <f t="shared" si="847"/>
        <v>26446169</v>
      </c>
      <c r="C9471" s="4" t="str">
        <f t="shared" si="848"/>
        <v>GSE73338</v>
      </c>
      <c r="D9471" s="1" t="s">
        <v>405</v>
      </c>
      <c r="E9471" t="s">
        <v>434</v>
      </c>
      <c r="F9471" s="1">
        <v>2</v>
      </c>
      <c r="G9471" s="1" t="s">
        <v>28</v>
      </c>
      <c r="H9471" s="4" t="str">
        <f>HYPERLINK("https://www.ncbi.nlm.nih.gov/geo/query/acc.cgi?acc=GSM1891263","GSM1891263")</f>
        <v>GSM1891263</v>
      </c>
      <c r="I9471" t="s">
        <v>407</v>
      </c>
      <c r="J9471" t="s">
        <v>408</v>
      </c>
      <c r="K9471" t="s">
        <v>33</v>
      </c>
      <c r="L9471" t="s">
        <v>113</v>
      </c>
      <c r="N9471" t="s">
        <v>29</v>
      </c>
    </row>
    <row r="9472" spans="1:14">
      <c r="A9472" s="4" t="str">
        <f t="shared" si="846"/>
        <v>EXP00314</v>
      </c>
      <c r="B9472" s="4" t="str">
        <f t="shared" si="847"/>
        <v>26446169</v>
      </c>
      <c r="C9472" s="4" t="str">
        <f t="shared" si="848"/>
        <v>GSE73338</v>
      </c>
      <c r="D9472" s="1" t="s">
        <v>405</v>
      </c>
      <c r="E9472" t="s">
        <v>434</v>
      </c>
      <c r="F9472" s="1">
        <v>2</v>
      </c>
      <c r="G9472" s="1" t="s">
        <v>28</v>
      </c>
      <c r="H9472" s="4" t="str">
        <f>HYPERLINK("https://www.ncbi.nlm.nih.gov/geo/query/acc.cgi?acc=GSM1891264","GSM1891264")</f>
        <v>GSM1891264</v>
      </c>
      <c r="I9472" t="s">
        <v>407</v>
      </c>
      <c r="J9472" t="s">
        <v>408</v>
      </c>
      <c r="K9472" t="s">
        <v>33</v>
      </c>
      <c r="L9472" t="s">
        <v>113</v>
      </c>
      <c r="N9472" t="s">
        <v>29</v>
      </c>
    </row>
    <row r="9473" spans="1:14">
      <c r="A9473" s="4" t="str">
        <f t="shared" si="846"/>
        <v>EXP00314</v>
      </c>
      <c r="B9473" s="4" t="str">
        <f t="shared" si="847"/>
        <v>26446169</v>
      </c>
      <c r="C9473" s="4" t="str">
        <f t="shared" si="848"/>
        <v>GSE73338</v>
      </c>
      <c r="D9473" s="1" t="s">
        <v>405</v>
      </c>
      <c r="E9473" t="s">
        <v>434</v>
      </c>
      <c r="F9473" s="1">
        <v>2</v>
      </c>
      <c r="G9473" s="1" t="s">
        <v>28</v>
      </c>
      <c r="H9473" s="4" t="str">
        <f>HYPERLINK("https://www.ncbi.nlm.nih.gov/geo/query/acc.cgi?acc=GSM1891265","GSM1891265")</f>
        <v>GSM1891265</v>
      </c>
      <c r="I9473" t="s">
        <v>407</v>
      </c>
      <c r="J9473" t="s">
        <v>408</v>
      </c>
      <c r="K9473" t="s">
        <v>33</v>
      </c>
      <c r="L9473" t="s">
        <v>113</v>
      </c>
      <c r="N9473" t="s">
        <v>29</v>
      </c>
    </row>
    <row r="9474" spans="1:14">
      <c r="A9474" s="4" t="str">
        <f t="shared" si="846"/>
        <v>EXP00314</v>
      </c>
      <c r="B9474" s="4" t="str">
        <f t="shared" si="847"/>
        <v>26446169</v>
      </c>
      <c r="C9474" s="4" t="str">
        <f t="shared" si="848"/>
        <v>GSE73338</v>
      </c>
      <c r="D9474" s="1" t="s">
        <v>405</v>
      </c>
      <c r="E9474" t="s">
        <v>434</v>
      </c>
      <c r="F9474" s="1">
        <v>2</v>
      </c>
      <c r="G9474" s="1" t="s">
        <v>28</v>
      </c>
      <c r="H9474" s="4" t="str">
        <f>HYPERLINK("https://www.ncbi.nlm.nih.gov/geo/query/acc.cgi?acc=GSM1891267","GSM1891267")</f>
        <v>GSM1891267</v>
      </c>
      <c r="I9474" t="s">
        <v>407</v>
      </c>
      <c r="J9474" t="s">
        <v>408</v>
      </c>
      <c r="K9474" t="s">
        <v>33</v>
      </c>
      <c r="L9474" t="s">
        <v>113</v>
      </c>
      <c r="N9474" t="s">
        <v>29</v>
      </c>
    </row>
    <row r="9475" spans="1:14">
      <c r="A9475" s="4" t="str">
        <f t="shared" ref="A9475:A9504" si="849">HYPERLINK("http://hcmdb.i-sanger.com/experiment/details/experiment_id/EXP00314","EXP00314")</f>
        <v>EXP00314</v>
      </c>
      <c r="B9475" s="4" t="str">
        <f t="shared" si="847"/>
        <v>26446169</v>
      </c>
      <c r="C9475" s="4" t="str">
        <f t="shared" si="848"/>
        <v>GSE73338</v>
      </c>
      <c r="D9475" s="1" t="s">
        <v>405</v>
      </c>
      <c r="E9475" t="s">
        <v>434</v>
      </c>
      <c r="F9475" s="1">
        <v>2</v>
      </c>
      <c r="G9475" s="1" t="s">
        <v>28</v>
      </c>
      <c r="H9475" s="4" t="str">
        <f>HYPERLINK("https://www.ncbi.nlm.nih.gov/geo/query/acc.cgi?acc=GSM1891269","GSM1891269")</f>
        <v>GSM1891269</v>
      </c>
      <c r="I9475" t="s">
        <v>407</v>
      </c>
      <c r="J9475" t="s">
        <v>408</v>
      </c>
      <c r="K9475" t="s">
        <v>33</v>
      </c>
      <c r="L9475" t="s">
        <v>113</v>
      </c>
      <c r="N9475" t="s">
        <v>29</v>
      </c>
    </row>
    <row r="9476" spans="1:14">
      <c r="A9476" s="4" t="str">
        <f t="shared" si="849"/>
        <v>EXP00314</v>
      </c>
      <c r="B9476" s="4" t="str">
        <f t="shared" si="847"/>
        <v>26446169</v>
      </c>
      <c r="C9476" s="4" t="str">
        <f t="shared" si="848"/>
        <v>GSE73338</v>
      </c>
      <c r="D9476" s="1" t="s">
        <v>405</v>
      </c>
      <c r="E9476" t="s">
        <v>434</v>
      </c>
      <c r="F9476" s="1">
        <v>2</v>
      </c>
      <c r="G9476" s="1" t="s">
        <v>28</v>
      </c>
      <c r="H9476" s="4" t="str">
        <f>HYPERLINK("https://www.ncbi.nlm.nih.gov/geo/query/acc.cgi?acc=GSM1891270","GSM1891270")</f>
        <v>GSM1891270</v>
      </c>
      <c r="I9476" t="s">
        <v>407</v>
      </c>
      <c r="J9476" t="s">
        <v>408</v>
      </c>
      <c r="K9476" t="s">
        <v>33</v>
      </c>
      <c r="L9476" t="s">
        <v>113</v>
      </c>
      <c r="N9476" t="s">
        <v>29</v>
      </c>
    </row>
    <row r="9477" spans="1:14">
      <c r="A9477" s="4" t="str">
        <f t="shared" si="849"/>
        <v>EXP00314</v>
      </c>
      <c r="B9477" s="4" t="str">
        <f t="shared" si="847"/>
        <v>26446169</v>
      </c>
      <c r="C9477" s="4" t="str">
        <f t="shared" si="848"/>
        <v>GSE73338</v>
      </c>
      <c r="D9477" s="1" t="s">
        <v>405</v>
      </c>
      <c r="E9477" t="s">
        <v>434</v>
      </c>
      <c r="F9477" s="1">
        <v>2</v>
      </c>
      <c r="G9477" s="1" t="s">
        <v>28</v>
      </c>
      <c r="H9477" s="4" t="str">
        <f>HYPERLINK("https://www.ncbi.nlm.nih.gov/geo/query/acc.cgi?acc=GSM1891271","GSM1891271")</f>
        <v>GSM1891271</v>
      </c>
      <c r="I9477" t="s">
        <v>407</v>
      </c>
      <c r="J9477" t="s">
        <v>408</v>
      </c>
      <c r="K9477" t="s">
        <v>33</v>
      </c>
      <c r="L9477" t="s">
        <v>113</v>
      </c>
      <c r="N9477" t="s">
        <v>29</v>
      </c>
    </row>
    <row r="9478" spans="1:14">
      <c r="A9478" s="4" t="str">
        <f t="shared" si="849"/>
        <v>EXP00314</v>
      </c>
      <c r="B9478" s="4" t="str">
        <f t="shared" si="847"/>
        <v>26446169</v>
      </c>
      <c r="C9478" s="4" t="str">
        <f t="shared" si="848"/>
        <v>GSE73338</v>
      </c>
      <c r="D9478" s="1" t="s">
        <v>405</v>
      </c>
      <c r="E9478" t="s">
        <v>434</v>
      </c>
      <c r="F9478" s="1">
        <v>2</v>
      </c>
      <c r="G9478" s="1" t="s">
        <v>28</v>
      </c>
      <c r="H9478" s="4" t="str">
        <f>HYPERLINK("https://www.ncbi.nlm.nih.gov/geo/query/acc.cgi?acc=GSM1891272","GSM1891272")</f>
        <v>GSM1891272</v>
      </c>
      <c r="I9478" t="s">
        <v>407</v>
      </c>
      <c r="J9478" t="s">
        <v>408</v>
      </c>
      <c r="K9478" t="s">
        <v>33</v>
      </c>
      <c r="L9478" t="s">
        <v>113</v>
      </c>
      <c r="N9478" t="s">
        <v>29</v>
      </c>
    </row>
    <row r="9479" spans="1:14">
      <c r="A9479" s="4" t="str">
        <f t="shared" si="849"/>
        <v>EXP00314</v>
      </c>
      <c r="B9479" s="4" t="str">
        <f t="shared" si="847"/>
        <v>26446169</v>
      </c>
      <c r="C9479" s="4" t="str">
        <f t="shared" si="848"/>
        <v>GSE73338</v>
      </c>
      <c r="D9479" s="1" t="s">
        <v>405</v>
      </c>
      <c r="E9479" t="s">
        <v>434</v>
      </c>
      <c r="F9479" s="1">
        <v>2</v>
      </c>
      <c r="G9479" s="1" t="s">
        <v>28</v>
      </c>
      <c r="H9479" s="4" t="str">
        <f>HYPERLINK("https://www.ncbi.nlm.nih.gov/geo/query/acc.cgi?acc=GSM1891274","GSM1891274")</f>
        <v>GSM1891274</v>
      </c>
      <c r="I9479" t="s">
        <v>407</v>
      </c>
      <c r="J9479" t="s">
        <v>408</v>
      </c>
      <c r="K9479" t="s">
        <v>33</v>
      </c>
      <c r="L9479" t="s">
        <v>113</v>
      </c>
      <c r="N9479" t="s">
        <v>29</v>
      </c>
    </row>
    <row r="9480" spans="1:14">
      <c r="A9480" s="4" t="str">
        <f t="shared" si="849"/>
        <v>EXP00314</v>
      </c>
      <c r="B9480" s="4" t="str">
        <f t="shared" si="847"/>
        <v>26446169</v>
      </c>
      <c r="C9480" s="4" t="str">
        <f t="shared" si="848"/>
        <v>GSE73338</v>
      </c>
      <c r="D9480" s="1" t="s">
        <v>405</v>
      </c>
      <c r="E9480" t="s">
        <v>434</v>
      </c>
      <c r="F9480" s="1">
        <v>2</v>
      </c>
      <c r="G9480" s="1" t="s">
        <v>28</v>
      </c>
      <c r="H9480" s="4" t="str">
        <f>HYPERLINK("https://www.ncbi.nlm.nih.gov/geo/query/acc.cgi?acc=GSM1891275","GSM1891275")</f>
        <v>GSM1891275</v>
      </c>
      <c r="I9480" t="s">
        <v>407</v>
      </c>
      <c r="J9480" t="s">
        <v>408</v>
      </c>
      <c r="K9480" t="s">
        <v>33</v>
      </c>
      <c r="L9480" t="s">
        <v>113</v>
      </c>
      <c r="N9480" t="s">
        <v>29</v>
      </c>
    </row>
    <row r="9481" spans="1:14">
      <c r="A9481" s="4" t="str">
        <f t="shared" si="849"/>
        <v>EXP00314</v>
      </c>
      <c r="B9481" s="4" t="str">
        <f t="shared" si="847"/>
        <v>26446169</v>
      </c>
      <c r="C9481" s="4" t="str">
        <f t="shared" si="848"/>
        <v>GSE73338</v>
      </c>
      <c r="D9481" s="1" t="s">
        <v>405</v>
      </c>
      <c r="E9481" t="s">
        <v>434</v>
      </c>
      <c r="F9481" s="1">
        <v>2</v>
      </c>
      <c r="G9481" s="1" t="s">
        <v>28</v>
      </c>
      <c r="H9481" s="4" t="str">
        <f>HYPERLINK("https://www.ncbi.nlm.nih.gov/geo/query/acc.cgi?acc=GSM1891276","GSM1891276")</f>
        <v>GSM1891276</v>
      </c>
      <c r="I9481" t="s">
        <v>407</v>
      </c>
      <c r="J9481" t="s">
        <v>408</v>
      </c>
      <c r="K9481" t="s">
        <v>33</v>
      </c>
      <c r="L9481" t="s">
        <v>113</v>
      </c>
      <c r="N9481" t="s">
        <v>29</v>
      </c>
    </row>
    <row r="9482" spans="1:14">
      <c r="A9482" s="4" t="str">
        <f t="shared" si="849"/>
        <v>EXP00314</v>
      </c>
      <c r="B9482" s="4" t="str">
        <f t="shared" si="847"/>
        <v>26446169</v>
      </c>
      <c r="C9482" s="4" t="str">
        <f t="shared" si="848"/>
        <v>GSE73338</v>
      </c>
      <c r="D9482" s="1" t="s">
        <v>405</v>
      </c>
      <c r="E9482" t="s">
        <v>434</v>
      </c>
      <c r="F9482" s="1">
        <v>2</v>
      </c>
      <c r="G9482" s="1" t="s">
        <v>28</v>
      </c>
      <c r="H9482" s="4" t="str">
        <f>HYPERLINK("https://www.ncbi.nlm.nih.gov/geo/query/acc.cgi?acc=GSM1891277","GSM1891277")</f>
        <v>GSM1891277</v>
      </c>
      <c r="I9482" t="s">
        <v>407</v>
      </c>
      <c r="J9482" t="s">
        <v>408</v>
      </c>
      <c r="K9482" t="s">
        <v>33</v>
      </c>
      <c r="L9482" t="s">
        <v>113</v>
      </c>
      <c r="N9482" t="s">
        <v>29</v>
      </c>
    </row>
    <row r="9483" spans="1:14">
      <c r="A9483" s="4" t="str">
        <f t="shared" si="849"/>
        <v>EXP00314</v>
      </c>
      <c r="B9483" s="4" t="str">
        <f t="shared" si="847"/>
        <v>26446169</v>
      </c>
      <c r="C9483" s="4" t="str">
        <f t="shared" si="848"/>
        <v>GSE73338</v>
      </c>
      <c r="D9483" s="1" t="s">
        <v>405</v>
      </c>
      <c r="E9483" t="s">
        <v>434</v>
      </c>
      <c r="F9483" s="1">
        <v>2</v>
      </c>
      <c r="G9483" s="1" t="s">
        <v>28</v>
      </c>
      <c r="H9483" s="4" t="str">
        <f>HYPERLINK("https://www.ncbi.nlm.nih.gov/geo/query/acc.cgi?acc=GSM1891278","GSM1891278")</f>
        <v>GSM1891278</v>
      </c>
      <c r="I9483" t="s">
        <v>407</v>
      </c>
      <c r="J9483" t="s">
        <v>408</v>
      </c>
      <c r="K9483" t="s">
        <v>33</v>
      </c>
      <c r="L9483" t="s">
        <v>113</v>
      </c>
      <c r="N9483" t="s">
        <v>29</v>
      </c>
    </row>
    <row r="9484" spans="1:14">
      <c r="A9484" s="4" t="str">
        <f t="shared" si="849"/>
        <v>EXP00314</v>
      </c>
      <c r="B9484" s="4" t="str">
        <f t="shared" si="847"/>
        <v>26446169</v>
      </c>
      <c r="C9484" s="4" t="str">
        <f t="shared" si="848"/>
        <v>GSE73338</v>
      </c>
      <c r="D9484" s="1" t="s">
        <v>405</v>
      </c>
      <c r="E9484" t="s">
        <v>434</v>
      </c>
      <c r="F9484" s="1">
        <v>2</v>
      </c>
      <c r="G9484" s="1" t="s">
        <v>28</v>
      </c>
      <c r="H9484" s="4" t="str">
        <f>HYPERLINK("https://www.ncbi.nlm.nih.gov/geo/query/acc.cgi?acc=GSM1891279","GSM1891279")</f>
        <v>GSM1891279</v>
      </c>
      <c r="I9484" t="s">
        <v>407</v>
      </c>
      <c r="J9484" t="s">
        <v>408</v>
      </c>
      <c r="K9484" t="s">
        <v>33</v>
      </c>
      <c r="L9484" t="s">
        <v>113</v>
      </c>
      <c r="N9484" t="s">
        <v>29</v>
      </c>
    </row>
    <row r="9485" spans="1:14">
      <c r="A9485" s="4" t="str">
        <f t="shared" si="849"/>
        <v>EXP00314</v>
      </c>
      <c r="B9485" s="4" t="str">
        <f t="shared" si="847"/>
        <v>26446169</v>
      </c>
      <c r="C9485" s="4" t="str">
        <f t="shared" si="848"/>
        <v>GSE73338</v>
      </c>
      <c r="D9485" s="1" t="s">
        <v>405</v>
      </c>
      <c r="E9485" t="s">
        <v>434</v>
      </c>
      <c r="F9485" s="1">
        <v>2</v>
      </c>
      <c r="G9485" s="1" t="s">
        <v>28</v>
      </c>
      <c r="H9485" s="4" t="str">
        <f>HYPERLINK("https://www.ncbi.nlm.nih.gov/geo/query/acc.cgi?acc=GSM1891280","GSM1891280")</f>
        <v>GSM1891280</v>
      </c>
      <c r="I9485" t="s">
        <v>407</v>
      </c>
      <c r="J9485" t="s">
        <v>408</v>
      </c>
      <c r="K9485" t="s">
        <v>33</v>
      </c>
      <c r="L9485" t="s">
        <v>113</v>
      </c>
      <c r="N9485" t="s">
        <v>29</v>
      </c>
    </row>
    <row r="9486" spans="1:14">
      <c r="A9486" s="4" t="str">
        <f t="shared" si="849"/>
        <v>EXP00314</v>
      </c>
      <c r="B9486" s="4" t="str">
        <f t="shared" si="847"/>
        <v>26446169</v>
      </c>
      <c r="C9486" s="4" t="str">
        <f t="shared" si="848"/>
        <v>GSE73338</v>
      </c>
      <c r="D9486" s="1" t="s">
        <v>405</v>
      </c>
      <c r="E9486" t="s">
        <v>434</v>
      </c>
      <c r="F9486" s="1">
        <v>2</v>
      </c>
      <c r="G9486" s="1" t="s">
        <v>28</v>
      </c>
      <c r="H9486" s="4" t="str">
        <f>HYPERLINK("https://www.ncbi.nlm.nih.gov/geo/query/acc.cgi?acc=GSM1891282","GSM1891282")</f>
        <v>GSM1891282</v>
      </c>
      <c r="I9486" t="s">
        <v>407</v>
      </c>
      <c r="J9486" t="s">
        <v>408</v>
      </c>
      <c r="K9486" t="s">
        <v>33</v>
      </c>
      <c r="L9486" t="s">
        <v>113</v>
      </c>
      <c r="N9486" t="s">
        <v>29</v>
      </c>
    </row>
    <row r="9487" spans="1:14">
      <c r="A9487" s="4" t="str">
        <f t="shared" si="849"/>
        <v>EXP00314</v>
      </c>
      <c r="B9487" s="4" t="str">
        <f t="shared" si="847"/>
        <v>26446169</v>
      </c>
      <c r="C9487" s="4" t="str">
        <f t="shared" si="848"/>
        <v>GSE73338</v>
      </c>
      <c r="D9487" s="1" t="s">
        <v>405</v>
      </c>
      <c r="E9487" t="s">
        <v>434</v>
      </c>
      <c r="F9487" s="1">
        <v>2</v>
      </c>
      <c r="G9487" s="1" t="s">
        <v>28</v>
      </c>
      <c r="H9487" s="4" t="str">
        <f>HYPERLINK("https://www.ncbi.nlm.nih.gov/geo/query/acc.cgi?acc=GSM1891284","GSM1891284")</f>
        <v>GSM1891284</v>
      </c>
      <c r="I9487" t="s">
        <v>407</v>
      </c>
      <c r="J9487" t="s">
        <v>408</v>
      </c>
      <c r="K9487" t="s">
        <v>33</v>
      </c>
      <c r="L9487" t="s">
        <v>113</v>
      </c>
      <c r="N9487" t="s">
        <v>29</v>
      </c>
    </row>
    <row r="9488" spans="1:14">
      <c r="A9488" s="4" t="str">
        <f t="shared" si="849"/>
        <v>EXP00314</v>
      </c>
      <c r="B9488" s="4" t="str">
        <f t="shared" si="847"/>
        <v>26446169</v>
      </c>
      <c r="C9488" s="4" t="str">
        <f t="shared" si="848"/>
        <v>GSE73338</v>
      </c>
      <c r="D9488" s="1" t="s">
        <v>405</v>
      </c>
      <c r="E9488" t="s">
        <v>434</v>
      </c>
      <c r="F9488" s="1">
        <v>2</v>
      </c>
      <c r="G9488" s="1" t="s">
        <v>28</v>
      </c>
      <c r="H9488" s="4" t="str">
        <f>HYPERLINK("https://www.ncbi.nlm.nih.gov/geo/query/acc.cgi?acc=GSM1891285","GSM1891285")</f>
        <v>GSM1891285</v>
      </c>
      <c r="I9488" t="s">
        <v>407</v>
      </c>
      <c r="J9488" t="s">
        <v>408</v>
      </c>
      <c r="K9488" t="s">
        <v>33</v>
      </c>
      <c r="L9488" t="s">
        <v>113</v>
      </c>
      <c r="N9488" t="s">
        <v>29</v>
      </c>
    </row>
    <row r="9489" spans="1:14">
      <c r="A9489" s="4" t="str">
        <f t="shared" si="849"/>
        <v>EXP00314</v>
      </c>
      <c r="B9489" s="4" t="str">
        <f t="shared" si="847"/>
        <v>26446169</v>
      </c>
      <c r="C9489" s="4" t="str">
        <f t="shared" si="848"/>
        <v>GSE73338</v>
      </c>
      <c r="D9489" s="1" t="s">
        <v>405</v>
      </c>
      <c r="E9489" t="s">
        <v>434</v>
      </c>
      <c r="F9489" s="1">
        <v>2</v>
      </c>
      <c r="G9489" s="1" t="s">
        <v>28</v>
      </c>
      <c r="H9489" s="4" t="str">
        <f>HYPERLINK("https://www.ncbi.nlm.nih.gov/geo/query/acc.cgi?acc=GSM1891286","GSM1891286")</f>
        <v>GSM1891286</v>
      </c>
      <c r="I9489" t="s">
        <v>407</v>
      </c>
      <c r="J9489" t="s">
        <v>408</v>
      </c>
      <c r="K9489" t="s">
        <v>33</v>
      </c>
      <c r="L9489" t="s">
        <v>113</v>
      </c>
      <c r="N9489" t="s">
        <v>29</v>
      </c>
    </row>
    <row r="9490" spans="1:14">
      <c r="A9490" s="4" t="str">
        <f t="shared" si="849"/>
        <v>EXP00314</v>
      </c>
      <c r="B9490" s="4" t="str">
        <f t="shared" si="847"/>
        <v>26446169</v>
      </c>
      <c r="C9490" s="4" t="str">
        <f t="shared" si="848"/>
        <v>GSE73338</v>
      </c>
      <c r="D9490" s="1" t="s">
        <v>405</v>
      </c>
      <c r="E9490" t="s">
        <v>434</v>
      </c>
      <c r="F9490" s="1">
        <v>2</v>
      </c>
      <c r="G9490" s="1" t="s">
        <v>28</v>
      </c>
      <c r="H9490" s="4" t="str">
        <f>HYPERLINK("https://www.ncbi.nlm.nih.gov/geo/query/acc.cgi?acc=GSM1891287","GSM1891287")</f>
        <v>GSM1891287</v>
      </c>
      <c r="I9490" t="s">
        <v>407</v>
      </c>
      <c r="J9490" t="s">
        <v>408</v>
      </c>
      <c r="K9490" t="s">
        <v>33</v>
      </c>
      <c r="L9490" t="s">
        <v>113</v>
      </c>
      <c r="N9490" t="s">
        <v>29</v>
      </c>
    </row>
    <row r="9491" spans="1:14">
      <c r="A9491" s="4" t="str">
        <f t="shared" si="849"/>
        <v>EXP00314</v>
      </c>
      <c r="B9491" s="4" t="str">
        <f t="shared" si="847"/>
        <v>26446169</v>
      </c>
      <c r="C9491" s="4" t="str">
        <f t="shared" si="848"/>
        <v>GSE73338</v>
      </c>
      <c r="D9491" s="1" t="s">
        <v>405</v>
      </c>
      <c r="E9491" t="s">
        <v>434</v>
      </c>
      <c r="F9491" s="1">
        <v>2</v>
      </c>
      <c r="G9491" s="1" t="s">
        <v>28</v>
      </c>
      <c r="H9491" s="4" t="str">
        <f>HYPERLINK("https://www.ncbi.nlm.nih.gov/geo/query/acc.cgi?acc=GSM1891288","GSM1891288")</f>
        <v>GSM1891288</v>
      </c>
      <c r="I9491" t="s">
        <v>407</v>
      </c>
      <c r="J9491" t="s">
        <v>408</v>
      </c>
      <c r="K9491" t="s">
        <v>33</v>
      </c>
      <c r="L9491" t="s">
        <v>113</v>
      </c>
      <c r="N9491" t="s">
        <v>29</v>
      </c>
    </row>
    <row r="9492" spans="1:14">
      <c r="A9492" s="4" t="str">
        <f t="shared" si="849"/>
        <v>EXP00314</v>
      </c>
      <c r="B9492" s="4" t="str">
        <f t="shared" si="847"/>
        <v>26446169</v>
      </c>
      <c r="C9492" s="4" t="str">
        <f t="shared" si="848"/>
        <v>GSE73338</v>
      </c>
      <c r="D9492" s="1" t="s">
        <v>405</v>
      </c>
      <c r="E9492" t="s">
        <v>434</v>
      </c>
      <c r="F9492" s="1">
        <v>2</v>
      </c>
      <c r="G9492" s="1" t="s">
        <v>28</v>
      </c>
      <c r="H9492" s="4" t="str">
        <f>HYPERLINK("https://www.ncbi.nlm.nih.gov/geo/query/acc.cgi?acc=GSM1891292","GSM1891292")</f>
        <v>GSM1891292</v>
      </c>
      <c r="I9492" t="s">
        <v>407</v>
      </c>
      <c r="J9492" t="s">
        <v>408</v>
      </c>
      <c r="K9492" t="s">
        <v>33</v>
      </c>
      <c r="L9492" t="s">
        <v>113</v>
      </c>
      <c r="N9492" t="s">
        <v>29</v>
      </c>
    </row>
    <row r="9493" spans="1:14">
      <c r="A9493" s="4" t="str">
        <f t="shared" si="849"/>
        <v>EXP00314</v>
      </c>
      <c r="B9493" s="4" t="str">
        <f t="shared" si="847"/>
        <v>26446169</v>
      </c>
      <c r="C9493" s="4" t="str">
        <f t="shared" si="848"/>
        <v>GSE73338</v>
      </c>
      <c r="D9493" s="1" t="s">
        <v>405</v>
      </c>
      <c r="E9493" t="s">
        <v>434</v>
      </c>
      <c r="F9493" s="1">
        <v>2</v>
      </c>
      <c r="G9493" s="1" t="s">
        <v>28</v>
      </c>
      <c r="H9493" s="4" t="str">
        <f>HYPERLINK("https://www.ncbi.nlm.nih.gov/geo/query/acc.cgi?acc=GSM1891301","GSM1891301")</f>
        <v>GSM1891301</v>
      </c>
      <c r="I9493" t="s">
        <v>407</v>
      </c>
      <c r="J9493" t="s">
        <v>408</v>
      </c>
      <c r="K9493" t="s">
        <v>33</v>
      </c>
      <c r="L9493" t="s">
        <v>113</v>
      </c>
      <c r="N9493" t="s">
        <v>29</v>
      </c>
    </row>
    <row r="9494" spans="1:14">
      <c r="A9494" s="4" t="str">
        <f t="shared" si="849"/>
        <v>EXP00314</v>
      </c>
      <c r="B9494" s="4" t="str">
        <f t="shared" si="847"/>
        <v>26446169</v>
      </c>
      <c r="C9494" s="4" t="str">
        <f t="shared" si="848"/>
        <v>GSE73338</v>
      </c>
      <c r="D9494" s="1" t="s">
        <v>405</v>
      </c>
      <c r="E9494" t="s">
        <v>434</v>
      </c>
      <c r="F9494" s="1">
        <v>2</v>
      </c>
      <c r="G9494" s="1" t="s">
        <v>28</v>
      </c>
      <c r="H9494" s="4" t="str">
        <f>HYPERLINK("https://www.ncbi.nlm.nih.gov/geo/query/acc.cgi?acc=GSM1891302","GSM1891302")</f>
        <v>GSM1891302</v>
      </c>
      <c r="I9494" t="s">
        <v>407</v>
      </c>
      <c r="J9494" t="s">
        <v>408</v>
      </c>
      <c r="K9494" t="s">
        <v>33</v>
      </c>
      <c r="L9494" t="s">
        <v>113</v>
      </c>
      <c r="N9494" t="s">
        <v>29</v>
      </c>
    </row>
    <row r="9495" spans="1:14">
      <c r="A9495" s="4" t="str">
        <f t="shared" si="849"/>
        <v>EXP00314</v>
      </c>
      <c r="B9495" s="4" t="str">
        <f t="shared" si="847"/>
        <v>26446169</v>
      </c>
      <c r="C9495" s="4" t="str">
        <f t="shared" si="848"/>
        <v>GSE73338</v>
      </c>
      <c r="D9495" s="1" t="s">
        <v>405</v>
      </c>
      <c r="E9495" t="s">
        <v>434</v>
      </c>
      <c r="F9495" s="1">
        <v>2</v>
      </c>
      <c r="G9495" s="1" t="s">
        <v>28</v>
      </c>
      <c r="H9495" s="4" t="str">
        <f>HYPERLINK("https://www.ncbi.nlm.nih.gov/geo/query/acc.cgi?acc=GSM1891303","GSM1891303")</f>
        <v>GSM1891303</v>
      </c>
      <c r="I9495" t="s">
        <v>407</v>
      </c>
      <c r="J9495" t="s">
        <v>408</v>
      </c>
      <c r="K9495" t="s">
        <v>33</v>
      </c>
      <c r="L9495" t="s">
        <v>113</v>
      </c>
      <c r="N9495" t="s">
        <v>29</v>
      </c>
    </row>
    <row r="9496" spans="1:14">
      <c r="A9496" s="4" t="str">
        <f t="shared" si="849"/>
        <v>EXP00314</v>
      </c>
      <c r="B9496" s="4" t="str">
        <f t="shared" si="847"/>
        <v>26446169</v>
      </c>
      <c r="C9496" s="4" t="str">
        <f t="shared" si="848"/>
        <v>GSE73338</v>
      </c>
      <c r="D9496" s="1" t="s">
        <v>405</v>
      </c>
      <c r="E9496" t="s">
        <v>434</v>
      </c>
      <c r="F9496" s="1">
        <v>2</v>
      </c>
      <c r="G9496" s="1" t="s">
        <v>28</v>
      </c>
      <c r="H9496" s="4" t="str">
        <f>HYPERLINK("https://www.ncbi.nlm.nih.gov/geo/query/acc.cgi?acc=GSM1891304","GSM1891304")</f>
        <v>GSM1891304</v>
      </c>
      <c r="I9496" t="s">
        <v>407</v>
      </c>
      <c r="J9496" t="s">
        <v>408</v>
      </c>
      <c r="K9496" t="s">
        <v>33</v>
      </c>
      <c r="L9496" t="s">
        <v>113</v>
      </c>
      <c r="N9496" t="s">
        <v>29</v>
      </c>
    </row>
    <row r="9497" spans="1:14">
      <c r="A9497" s="4" t="str">
        <f t="shared" si="849"/>
        <v>EXP00314</v>
      </c>
      <c r="B9497" s="4" t="str">
        <f t="shared" si="847"/>
        <v>26446169</v>
      </c>
      <c r="C9497" s="4" t="str">
        <f t="shared" si="848"/>
        <v>GSE73338</v>
      </c>
      <c r="D9497" s="1" t="s">
        <v>405</v>
      </c>
      <c r="E9497" t="s">
        <v>434</v>
      </c>
      <c r="F9497" s="1">
        <v>2</v>
      </c>
      <c r="G9497" s="1" t="s">
        <v>28</v>
      </c>
      <c r="H9497" s="4" t="str">
        <f>HYPERLINK("https://www.ncbi.nlm.nih.gov/geo/query/acc.cgi?acc=GSM1891305","GSM1891305")</f>
        <v>GSM1891305</v>
      </c>
      <c r="I9497" t="s">
        <v>407</v>
      </c>
      <c r="J9497" t="s">
        <v>408</v>
      </c>
      <c r="K9497" t="s">
        <v>33</v>
      </c>
      <c r="L9497" t="s">
        <v>113</v>
      </c>
      <c r="N9497" t="s">
        <v>29</v>
      </c>
    </row>
    <row r="9498" spans="1:14">
      <c r="A9498" s="4" t="str">
        <f t="shared" si="849"/>
        <v>EXP00314</v>
      </c>
      <c r="B9498" s="4" t="str">
        <f t="shared" si="847"/>
        <v>26446169</v>
      </c>
      <c r="C9498" s="4" t="str">
        <f t="shared" si="848"/>
        <v>GSE73338</v>
      </c>
      <c r="D9498" s="1" t="s">
        <v>405</v>
      </c>
      <c r="E9498" t="s">
        <v>434</v>
      </c>
      <c r="F9498" s="1">
        <v>2</v>
      </c>
      <c r="G9498" s="1" t="s">
        <v>28</v>
      </c>
      <c r="H9498" s="4" t="str">
        <f>HYPERLINK("https://www.ncbi.nlm.nih.gov/geo/query/acc.cgi?acc=GSM1891306","GSM1891306")</f>
        <v>GSM1891306</v>
      </c>
      <c r="I9498" t="s">
        <v>407</v>
      </c>
      <c r="J9498" t="s">
        <v>408</v>
      </c>
      <c r="K9498" t="s">
        <v>33</v>
      </c>
      <c r="L9498" t="s">
        <v>113</v>
      </c>
      <c r="N9498" t="s">
        <v>29</v>
      </c>
    </row>
    <row r="9499" spans="1:14">
      <c r="A9499" s="4" t="str">
        <f t="shared" si="849"/>
        <v>EXP00314</v>
      </c>
      <c r="B9499" s="4" t="str">
        <f t="shared" si="847"/>
        <v>26446169</v>
      </c>
      <c r="C9499" s="4" t="str">
        <f t="shared" si="848"/>
        <v>GSE73338</v>
      </c>
      <c r="D9499" s="1" t="s">
        <v>405</v>
      </c>
      <c r="E9499" t="s">
        <v>434</v>
      </c>
      <c r="F9499" s="1">
        <v>2</v>
      </c>
      <c r="G9499" s="1" t="s">
        <v>28</v>
      </c>
      <c r="H9499" s="4" t="str">
        <f>HYPERLINK("https://www.ncbi.nlm.nih.gov/geo/query/acc.cgi?acc=GSM1891309","GSM1891309")</f>
        <v>GSM1891309</v>
      </c>
      <c r="I9499" t="s">
        <v>407</v>
      </c>
      <c r="J9499" t="s">
        <v>408</v>
      </c>
      <c r="K9499" t="s">
        <v>33</v>
      </c>
      <c r="L9499" t="s">
        <v>113</v>
      </c>
      <c r="N9499" t="s">
        <v>29</v>
      </c>
    </row>
    <row r="9500" spans="1:14">
      <c r="A9500" s="4" t="str">
        <f t="shared" si="849"/>
        <v>EXP00314</v>
      </c>
      <c r="B9500" s="4" t="str">
        <f t="shared" si="847"/>
        <v>26446169</v>
      </c>
      <c r="C9500" s="4" t="str">
        <f t="shared" si="848"/>
        <v>GSE73338</v>
      </c>
      <c r="D9500" s="1" t="s">
        <v>405</v>
      </c>
      <c r="E9500" t="s">
        <v>434</v>
      </c>
      <c r="F9500" s="1">
        <v>2</v>
      </c>
      <c r="G9500" s="1" t="s">
        <v>28</v>
      </c>
      <c r="H9500" s="4" t="str">
        <f>HYPERLINK("https://www.ncbi.nlm.nih.gov/geo/query/acc.cgi?acc=GSM1891311","GSM1891311")</f>
        <v>GSM1891311</v>
      </c>
      <c r="I9500" t="s">
        <v>407</v>
      </c>
      <c r="J9500" t="s">
        <v>408</v>
      </c>
      <c r="K9500" t="s">
        <v>33</v>
      </c>
      <c r="L9500" t="s">
        <v>113</v>
      </c>
      <c r="N9500" t="s">
        <v>29</v>
      </c>
    </row>
    <row r="9501" spans="1:14">
      <c r="A9501" s="4" t="str">
        <f t="shared" si="849"/>
        <v>EXP00314</v>
      </c>
      <c r="B9501" s="4" t="str">
        <f t="shared" si="847"/>
        <v>26446169</v>
      </c>
      <c r="C9501" s="4" t="str">
        <f t="shared" si="848"/>
        <v>GSE73338</v>
      </c>
      <c r="D9501" s="1" t="s">
        <v>405</v>
      </c>
      <c r="E9501" t="s">
        <v>434</v>
      </c>
      <c r="F9501" s="1">
        <v>2</v>
      </c>
      <c r="G9501" s="1" t="s">
        <v>28</v>
      </c>
      <c r="H9501" s="4" t="str">
        <f>HYPERLINK("https://www.ncbi.nlm.nih.gov/geo/query/acc.cgi?acc=GSM1891313","GSM1891313")</f>
        <v>GSM1891313</v>
      </c>
      <c r="I9501" t="s">
        <v>407</v>
      </c>
      <c r="J9501" t="s">
        <v>408</v>
      </c>
      <c r="K9501" t="s">
        <v>33</v>
      </c>
      <c r="L9501" t="s">
        <v>113</v>
      </c>
      <c r="N9501" t="s">
        <v>29</v>
      </c>
    </row>
    <row r="9502" spans="1:14">
      <c r="A9502" s="4" t="str">
        <f t="shared" si="849"/>
        <v>EXP00314</v>
      </c>
      <c r="B9502" s="4" t="str">
        <f t="shared" si="847"/>
        <v>26446169</v>
      </c>
      <c r="C9502" s="4" t="str">
        <f t="shared" si="848"/>
        <v>GSE73338</v>
      </c>
      <c r="D9502" s="1" t="s">
        <v>405</v>
      </c>
      <c r="E9502" t="s">
        <v>434</v>
      </c>
      <c r="F9502" s="1">
        <v>2</v>
      </c>
      <c r="G9502" s="1" t="s">
        <v>28</v>
      </c>
      <c r="H9502" s="4" t="str">
        <f>HYPERLINK("https://www.ncbi.nlm.nih.gov/geo/query/acc.cgi?acc=GSM1891317","GSM1891317")</f>
        <v>GSM1891317</v>
      </c>
      <c r="I9502" t="s">
        <v>407</v>
      </c>
      <c r="J9502" t="s">
        <v>408</v>
      </c>
      <c r="K9502" t="s">
        <v>33</v>
      </c>
      <c r="L9502" t="s">
        <v>113</v>
      </c>
      <c r="N9502" t="s">
        <v>29</v>
      </c>
    </row>
    <row r="9503" spans="1:14">
      <c r="A9503" s="4" t="str">
        <f t="shared" si="849"/>
        <v>EXP00314</v>
      </c>
      <c r="B9503" s="4" t="str">
        <f t="shared" si="847"/>
        <v>26446169</v>
      </c>
      <c r="C9503" s="4" t="str">
        <f t="shared" si="848"/>
        <v>GSE73338</v>
      </c>
      <c r="D9503" s="1" t="s">
        <v>405</v>
      </c>
      <c r="E9503" t="s">
        <v>434</v>
      </c>
      <c r="F9503" s="1">
        <v>2</v>
      </c>
      <c r="G9503" s="1" t="s">
        <v>28</v>
      </c>
      <c r="H9503" s="4" t="str">
        <f>HYPERLINK("https://www.ncbi.nlm.nih.gov/geo/query/acc.cgi?acc=GSM1891318","GSM1891318")</f>
        <v>GSM1891318</v>
      </c>
      <c r="I9503" t="s">
        <v>407</v>
      </c>
      <c r="J9503" t="s">
        <v>408</v>
      </c>
      <c r="K9503" t="s">
        <v>33</v>
      </c>
      <c r="L9503" t="s">
        <v>113</v>
      </c>
      <c r="N9503" t="s">
        <v>29</v>
      </c>
    </row>
    <row r="9504" spans="1:14">
      <c r="A9504" s="4" t="str">
        <f t="shared" si="849"/>
        <v>EXP00314</v>
      </c>
      <c r="B9504" s="4" t="str">
        <f t="shared" si="847"/>
        <v>26446169</v>
      </c>
      <c r="C9504" s="4" t="str">
        <f t="shared" si="848"/>
        <v>GSE73338</v>
      </c>
      <c r="D9504" s="1" t="s">
        <v>405</v>
      </c>
      <c r="E9504" t="s">
        <v>434</v>
      </c>
      <c r="F9504" s="1">
        <v>2</v>
      </c>
      <c r="G9504" s="1" t="s">
        <v>28</v>
      </c>
      <c r="H9504" s="4" t="str">
        <f>HYPERLINK("https://www.ncbi.nlm.nih.gov/geo/query/acc.cgi?acc=GSM1891319","GSM1891319")</f>
        <v>GSM1891319</v>
      </c>
      <c r="I9504" t="s">
        <v>407</v>
      </c>
      <c r="J9504" t="s">
        <v>408</v>
      </c>
      <c r="K9504" t="s">
        <v>33</v>
      </c>
      <c r="L9504" t="s">
        <v>113</v>
      </c>
      <c r="N9504" t="s">
        <v>29</v>
      </c>
    </row>
    <row r="9505" spans="1:14">
      <c r="A9505" s="4" t="str">
        <f t="shared" ref="A9505:A9542" si="850">HYPERLINK("http://hcmdb.i-sanger.com/experiment/details/experiment_id/EXP00315","EXP00315")</f>
        <v>EXP00315</v>
      </c>
      <c r="B9505" s="3" t="s">
        <v>66</v>
      </c>
      <c r="C9505" s="4" t="str">
        <f t="shared" ref="C9505:C9542" si="851">HYPERLINK("https://www.ncbi.nlm.nih.gov/geo/query/acc.cgi?acc=GSE73383","GSE73383")</f>
        <v>GSE73383</v>
      </c>
      <c r="D9505" s="1" t="s">
        <v>435</v>
      </c>
      <c r="E9505" t="s">
        <v>436</v>
      </c>
      <c r="F9505" s="1">
        <v>1</v>
      </c>
      <c r="G9505" s="1" t="s">
        <v>31</v>
      </c>
      <c r="H9505" s="4" t="str">
        <f>HYPERLINK("https://www.ncbi.nlm.nih.gov/geo/query/acc.cgi?acc=GSM1892313","GSM1892313")</f>
        <v>GSM1892313</v>
      </c>
      <c r="I9505" t="s">
        <v>17</v>
      </c>
      <c r="J9505" t="s">
        <v>437</v>
      </c>
      <c r="K9505" t="s">
        <v>19</v>
      </c>
      <c r="L9505" t="s">
        <v>20</v>
      </c>
      <c r="M9505" t="s">
        <v>51</v>
      </c>
      <c r="N9505" t="s">
        <v>29</v>
      </c>
    </row>
    <row r="9506" spans="1:14">
      <c r="A9506" s="4" t="str">
        <f t="shared" si="850"/>
        <v>EXP00315</v>
      </c>
      <c r="B9506" s="3" t="s">
        <v>66</v>
      </c>
      <c r="C9506" s="4" t="str">
        <f t="shared" si="851"/>
        <v>GSE73383</v>
      </c>
      <c r="D9506" s="1" t="s">
        <v>435</v>
      </c>
      <c r="E9506" t="s">
        <v>436</v>
      </c>
      <c r="F9506" s="1">
        <v>1</v>
      </c>
      <c r="G9506" s="1" t="s">
        <v>31</v>
      </c>
      <c r="H9506" s="4" t="str">
        <f>HYPERLINK("https://www.ncbi.nlm.nih.gov/geo/query/acc.cgi?acc=GSM1892317","GSM1892317")</f>
        <v>GSM1892317</v>
      </c>
      <c r="I9506" t="s">
        <v>17</v>
      </c>
      <c r="J9506" t="s">
        <v>437</v>
      </c>
      <c r="K9506" t="s">
        <v>19</v>
      </c>
      <c r="L9506" t="s">
        <v>20</v>
      </c>
      <c r="M9506" t="s">
        <v>51</v>
      </c>
      <c r="N9506" t="s">
        <v>29</v>
      </c>
    </row>
    <row r="9507" spans="1:14">
      <c r="A9507" s="4" t="str">
        <f t="shared" si="850"/>
        <v>EXP00315</v>
      </c>
      <c r="B9507" s="3" t="s">
        <v>66</v>
      </c>
      <c r="C9507" s="4" t="str">
        <f t="shared" si="851"/>
        <v>GSE73383</v>
      </c>
      <c r="D9507" s="1" t="s">
        <v>435</v>
      </c>
      <c r="E9507" t="s">
        <v>436</v>
      </c>
      <c r="F9507" s="1">
        <v>1</v>
      </c>
      <c r="G9507" s="1" t="s">
        <v>31</v>
      </c>
      <c r="H9507" s="4" t="str">
        <f>HYPERLINK("https://www.ncbi.nlm.nih.gov/geo/query/acc.cgi?acc=GSM1892318","GSM1892318")</f>
        <v>GSM1892318</v>
      </c>
      <c r="I9507" t="s">
        <v>17</v>
      </c>
      <c r="J9507" t="s">
        <v>437</v>
      </c>
      <c r="K9507" t="s">
        <v>19</v>
      </c>
      <c r="L9507" t="s">
        <v>20</v>
      </c>
      <c r="M9507" t="s">
        <v>51</v>
      </c>
      <c r="N9507" t="s">
        <v>29</v>
      </c>
    </row>
    <row r="9508" spans="1:14">
      <c r="A9508" s="4" t="str">
        <f t="shared" si="850"/>
        <v>EXP00315</v>
      </c>
      <c r="B9508" s="3" t="s">
        <v>66</v>
      </c>
      <c r="C9508" s="4" t="str">
        <f t="shared" si="851"/>
        <v>GSE73383</v>
      </c>
      <c r="D9508" s="1" t="s">
        <v>435</v>
      </c>
      <c r="E9508" t="s">
        <v>436</v>
      </c>
      <c r="F9508" s="1">
        <v>1</v>
      </c>
      <c r="G9508" s="1" t="s">
        <v>31</v>
      </c>
      <c r="H9508" s="4" t="str">
        <f>HYPERLINK("https://www.ncbi.nlm.nih.gov/geo/query/acc.cgi?acc=GSM1892321","GSM1892321")</f>
        <v>GSM1892321</v>
      </c>
      <c r="I9508" t="s">
        <v>17</v>
      </c>
      <c r="J9508" t="s">
        <v>437</v>
      </c>
      <c r="K9508" t="s">
        <v>19</v>
      </c>
      <c r="L9508" t="s">
        <v>20</v>
      </c>
      <c r="M9508" t="s">
        <v>51</v>
      </c>
      <c r="N9508" t="s">
        <v>29</v>
      </c>
    </row>
    <row r="9509" spans="1:14">
      <c r="A9509" s="4" t="str">
        <f t="shared" si="850"/>
        <v>EXP00315</v>
      </c>
      <c r="B9509" s="3" t="s">
        <v>66</v>
      </c>
      <c r="C9509" s="4" t="str">
        <f t="shared" si="851"/>
        <v>GSE73383</v>
      </c>
      <c r="D9509" s="1" t="s">
        <v>435</v>
      </c>
      <c r="E9509" t="s">
        <v>436</v>
      </c>
      <c r="F9509" s="1">
        <v>1</v>
      </c>
      <c r="G9509" s="1" t="s">
        <v>31</v>
      </c>
      <c r="H9509" s="4" t="str">
        <f>HYPERLINK("https://www.ncbi.nlm.nih.gov/geo/query/acc.cgi?acc=GSM1892323","GSM1892323")</f>
        <v>GSM1892323</v>
      </c>
      <c r="I9509" t="s">
        <v>17</v>
      </c>
      <c r="J9509" t="s">
        <v>437</v>
      </c>
      <c r="K9509" t="s">
        <v>19</v>
      </c>
      <c r="L9509" t="s">
        <v>20</v>
      </c>
      <c r="M9509" t="s">
        <v>51</v>
      </c>
      <c r="N9509" t="s">
        <v>29</v>
      </c>
    </row>
    <row r="9510" spans="1:14">
      <c r="A9510" s="4" t="str">
        <f t="shared" si="850"/>
        <v>EXP00315</v>
      </c>
      <c r="B9510" s="3" t="s">
        <v>66</v>
      </c>
      <c r="C9510" s="4" t="str">
        <f t="shared" si="851"/>
        <v>GSE73383</v>
      </c>
      <c r="D9510" s="1" t="s">
        <v>435</v>
      </c>
      <c r="E9510" t="s">
        <v>436</v>
      </c>
      <c r="F9510" s="1">
        <v>1</v>
      </c>
      <c r="G9510" s="1" t="s">
        <v>31</v>
      </c>
      <c r="H9510" s="4" t="str">
        <f>HYPERLINK("https://www.ncbi.nlm.nih.gov/geo/query/acc.cgi?acc=GSM1892326","GSM1892326")</f>
        <v>GSM1892326</v>
      </c>
      <c r="I9510" t="s">
        <v>17</v>
      </c>
      <c r="J9510" t="s">
        <v>437</v>
      </c>
      <c r="K9510" t="s">
        <v>19</v>
      </c>
      <c r="L9510" t="s">
        <v>20</v>
      </c>
      <c r="M9510" t="s">
        <v>51</v>
      </c>
      <c r="N9510" t="s">
        <v>29</v>
      </c>
    </row>
    <row r="9511" spans="1:14">
      <c r="A9511" s="4" t="str">
        <f t="shared" si="850"/>
        <v>EXP00315</v>
      </c>
      <c r="B9511" s="3" t="s">
        <v>66</v>
      </c>
      <c r="C9511" s="4" t="str">
        <f t="shared" si="851"/>
        <v>GSE73383</v>
      </c>
      <c r="D9511" s="1" t="s">
        <v>435</v>
      </c>
      <c r="E9511" t="s">
        <v>436</v>
      </c>
      <c r="F9511" s="1">
        <v>1</v>
      </c>
      <c r="G9511" s="1" t="s">
        <v>31</v>
      </c>
      <c r="H9511" s="4" t="str">
        <f>HYPERLINK("https://www.ncbi.nlm.nih.gov/geo/query/acc.cgi?acc=GSM1892327","GSM1892327")</f>
        <v>GSM1892327</v>
      </c>
      <c r="I9511" t="s">
        <v>17</v>
      </c>
      <c r="J9511" t="s">
        <v>437</v>
      </c>
      <c r="K9511" t="s">
        <v>19</v>
      </c>
      <c r="L9511" t="s">
        <v>20</v>
      </c>
      <c r="M9511" t="s">
        <v>51</v>
      </c>
      <c r="N9511" t="s">
        <v>29</v>
      </c>
    </row>
    <row r="9512" spans="1:14">
      <c r="A9512" s="4" t="str">
        <f t="shared" si="850"/>
        <v>EXP00315</v>
      </c>
      <c r="B9512" s="3" t="s">
        <v>66</v>
      </c>
      <c r="C9512" s="4" t="str">
        <f t="shared" si="851"/>
        <v>GSE73383</v>
      </c>
      <c r="D9512" s="1" t="s">
        <v>435</v>
      </c>
      <c r="E9512" t="s">
        <v>436</v>
      </c>
      <c r="F9512" s="1">
        <v>1</v>
      </c>
      <c r="G9512" s="1" t="s">
        <v>31</v>
      </c>
      <c r="H9512" s="4" t="str">
        <f>HYPERLINK("https://www.ncbi.nlm.nih.gov/geo/query/acc.cgi?acc=GSM1892332","GSM1892332")</f>
        <v>GSM1892332</v>
      </c>
      <c r="I9512" t="s">
        <v>17</v>
      </c>
      <c r="J9512" t="s">
        <v>437</v>
      </c>
      <c r="K9512" t="s">
        <v>19</v>
      </c>
      <c r="L9512" t="s">
        <v>20</v>
      </c>
      <c r="M9512" t="s">
        <v>51</v>
      </c>
      <c r="N9512" t="s">
        <v>29</v>
      </c>
    </row>
    <row r="9513" spans="1:14">
      <c r="A9513" s="4" t="str">
        <f t="shared" si="850"/>
        <v>EXP00315</v>
      </c>
      <c r="B9513" s="3" t="s">
        <v>66</v>
      </c>
      <c r="C9513" s="4" t="str">
        <f t="shared" si="851"/>
        <v>GSE73383</v>
      </c>
      <c r="D9513" s="1" t="s">
        <v>435</v>
      </c>
      <c r="E9513" t="s">
        <v>436</v>
      </c>
      <c r="F9513" s="1">
        <v>1</v>
      </c>
      <c r="G9513" s="1" t="s">
        <v>31</v>
      </c>
      <c r="H9513" s="4" t="str">
        <f>HYPERLINK("https://www.ncbi.nlm.nih.gov/geo/query/acc.cgi?acc=GSM1892344","GSM1892344")</f>
        <v>GSM1892344</v>
      </c>
      <c r="I9513" t="s">
        <v>17</v>
      </c>
      <c r="J9513" t="s">
        <v>437</v>
      </c>
      <c r="K9513" t="s">
        <v>19</v>
      </c>
      <c r="L9513" t="s">
        <v>20</v>
      </c>
      <c r="M9513" t="s">
        <v>51</v>
      </c>
      <c r="N9513" t="s">
        <v>29</v>
      </c>
    </row>
    <row r="9514" spans="1:14">
      <c r="A9514" s="4" t="str">
        <f t="shared" si="850"/>
        <v>EXP00315</v>
      </c>
      <c r="B9514" s="3" t="s">
        <v>66</v>
      </c>
      <c r="C9514" s="4" t="str">
        <f t="shared" si="851"/>
        <v>GSE73383</v>
      </c>
      <c r="D9514" s="1" t="s">
        <v>435</v>
      </c>
      <c r="E9514" t="s">
        <v>436</v>
      </c>
      <c r="F9514" s="1">
        <v>1</v>
      </c>
      <c r="G9514" s="1" t="s">
        <v>31</v>
      </c>
      <c r="H9514" s="4" t="str">
        <f>HYPERLINK("https://www.ncbi.nlm.nih.gov/geo/query/acc.cgi?acc=GSM1892345","GSM1892345")</f>
        <v>GSM1892345</v>
      </c>
      <c r="I9514" t="s">
        <v>17</v>
      </c>
      <c r="J9514" t="s">
        <v>437</v>
      </c>
      <c r="K9514" t="s">
        <v>19</v>
      </c>
      <c r="L9514" t="s">
        <v>20</v>
      </c>
      <c r="M9514" t="s">
        <v>51</v>
      </c>
      <c r="N9514" t="s">
        <v>29</v>
      </c>
    </row>
    <row r="9515" spans="1:14">
      <c r="A9515" s="4" t="str">
        <f t="shared" si="850"/>
        <v>EXP00315</v>
      </c>
      <c r="B9515" s="3" t="s">
        <v>66</v>
      </c>
      <c r="C9515" s="4" t="str">
        <f t="shared" si="851"/>
        <v>GSE73383</v>
      </c>
      <c r="D9515" s="1" t="s">
        <v>435</v>
      </c>
      <c r="E9515" t="s">
        <v>436</v>
      </c>
      <c r="F9515" s="1">
        <v>2</v>
      </c>
      <c r="G9515" s="1" t="s">
        <v>32</v>
      </c>
      <c r="H9515" s="4" t="str">
        <f>HYPERLINK("https://www.ncbi.nlm.nih.gov/geo/query/acc.cgi?acc=GSM1892309","GSM1892309")</f>
        <v>GSM1892309</v>
      </c>
      <c r="I9515" t="s">
        <v>17</v>
      </c>
      <c r="J9515" t="s">
        <v>437</v>
      </c>
      <c r="K9515" t="s">
        <v>33</v>
      </c>
      <c r="L9515" t="s">
        <v>20</v>
      </c>
      <c r="N9515" t="s">
        <v>29</v>
      </c>
    </row>
    <row r="9516" spans="1:14">
      <c r="A9516" s="4" t="str">
        <f t="shared" si="850"/>
        <v>EXP00315</v>
      </c>
      <c r="B9516" s="3" t="s">
        <v>66</v>
      </c>
      <c r="C9516" s="4" t="str">
        <f t="shared" si="851"/>
        <v>GSE73383</v>
      </c>
      <c r="D9516" s="1" t="s">
        <v>435</v>
      </c>
      <c r="E9516" t="s">
        <v>436</v>
      </c>
      <c r="F9516" s="1">
        <v>2</v>
      </c>
      <c r="G9516" s="1" t="s">
        <v>32</v>
      </c>
      <c r="H9516" s="4" t="str">
        <f>HYPERLINK("https://www.ncbi.nlm.nih.gov/geo/query/acc.cgi?acc=GSM1892310","GSM1892310")</f>
        <v>GSM1892310</v>
      </c>
      <c r="I9516" t="s">
        <v>17</v>
      </c>
      <c r="J9516" t="s">
        <v>437</v>
      </c>
      <c r="K9516" t="s">
        <v>33</v>
      </c>
      <c r="L9516" t="s">
        <v>20</v>
      </c>
      <c r="N9516" t="s">
        <v>29</v>
      </c>
    </row>
    <row r="9517" spans="1:14">
      <c r="A9517" s="4" t="str">
        <f t="shared" si="850"/>
        <v>EXP00315</v>
      </c>
      <c r="B9517" s="3" t="s">
        <v>66</v>
      </c>
      <c r="C9517" s="4" t="str">
        <f t="shared" si="851"/>
        <v>GSE73383</v>
      </c>
      <c r="D9517" s="1" t="s">
        <v>435</v>
      </c>
      <c r="E9517" t="s">
        <v>436</v>
      </c>
      <c r="F9517" s="1">
        <v>2</v>
      </c>
      <c r="G9517" s="1" t="s">
        <v>32</v>
      </c>
      <c r="H9517" s="4" t="str">
        <f>HYPERLINK("https://www.ncbi.nlm.nih.gov/geo/query/acc.cgi?acc=GSM1892311","GSM1892311")</f>
        <v>GSM1892311</v>
      </c>
      <c r="I9517" t="s">
        <v>17</v>
      </c>
      <c r="J9517" t="s">
        <v>437</v>
      </c>
      <c r="K9517" t="s">
        <v>33</v>
      </c>
      <c r="L9517" t="s">
        <v>20</v>
      </c>
      <c r="N9517" t="s">
        <v>29</v>
      </c>
    </row>
    <row r="9518" spans="1:14">
      <c r="A9518" s="4" t="str">
        <f t="shared" si="850"/>
        <v>EXP00315</v>
      </c>
      <c r="B9518" s="3" t="s">
        <v>66</v>
      </c>
      <c r="C9518" s="4" t="str">
        <f t="shared" si="851"/>
        <v>GSE73383</v>
      </c>
      <c r="D9518" s="1" t="s">
        <v>435</v>
      </c>
      <c r="E9518" t="s">
        <v>436</v>
      </c>
      <c r="F9518" s="1">
        <v>2</v>
      </c>
      <c r="G9518" s="1" t="s">
        <v>32</v>
      </c>
      <c r="H9518" s="4" t="str">
        <f>HYPERLINK("https://www.ncbi.nlm.nih.gov/geo/query/acc.cgi?acc=GSM1892312","GSM1892312")</f>
        <v>GSM1892312</v>
      </c>
      <c r="I9518" t="s">
        <v>17</v>
      </c>
      <c r="J9518" t="s">
        <v>437</v>
      </c>
      <c r="K9518" t="s">
        <v>33</v>
      </c>
      <c r="L9518" t="s">
        <v>20</v>
      </c>
      <c r="N9518" t="s">
        <v>29</v>
      </c>
    </row>
    <row r="9519" spans="1:14">
      <c r="A9519" s="4" t="str">
        <f t="shared" si="850"/>
        <v>EXP00315</v>
      </c>
      <c r="B9519" s="3" t="s">
        <v>66</v>
      </c>
      <c r="C9519" s="4" t="str">
        <f t="shared" si="851"/>
        <v>GSE73383</v>
      </c>
      <c r="D9519" s="1" t="s">
        <v>435</v>
      </c>
      <c r="E9519" t="s">
        <v>436</v>
      </c>
      <c r="F9519" s="1">
        <v>2</v>
      </c>
      <c r="G9519" s="1" t="s">
        <v>32</v>
      </c>
      <c r="H9519" s="4" t="str">
        <f>HYPERLINK("https://www.ncbi.nlm.nih.gov/geo/query/acc.cgi?acc=GSM1892314","GSM1892314")</f>
        <v>GSM1892314</v>
      </c>
      <c r="I9519" t="s">
        <v>17</v>
      </c>
      <c r="J9519" t="s">
        <v>437</v>
      </c>
      <c r="K9519" t="s">
        <v>33</v>
      </c>
      <c r="L9519" t="s">
        <v>20</v>
      </c>
      <c r="N9519" t="s">
        <v>29</v>
      </c>
    </row>
    <row r="9520" spans="1:14">
      <c r="A9520" s="4" t="str">
        <f t="shared" si="850"/>
        <v>EXP00315</v>
      </c>
      <c r="B9520" s="3" t="s">
        <v>66</v>
      </c>
      <c r="C9520" s="4" t="str">
        <f t="shared" si="851"/>
        <v>GSE73383</v>
      </c>
      <c r="D9520" s="1" t="s">
        <v>435</v>
      </c>
      <c r="E9520" t="s">
        <v>436</v>
      </c>
      <c r="F9520" s="1">
        <v>2</v>
      </c>
      <c r="G9520" s="1" t="s">
        <v>32</v>
      </c>
      <c r="H9520" s="4" t="str">
        <f>HYPERLINK("https://www.ncbi.nlm.nih.gov/geo/query/acc.cgi?acc=GSM1892315","GSM1892315")</f>
        <v>GSM1892315</v>
      </c>
      <c r="I9520" t="s">
        <v>17</v>
      </c>
      <c r="J9520" t="s">
        <v>437</v>
      </c>
      <c r="K9520" t="s">
        <v>33</v>
      </c>
      <c r="L9520" t="s">
        <v>20</v>
      </c>
      <c r="N9520" t="s">
        <v>29</v>
      </c>
    </row>
    <row r="9521" spans="1:14">
      <c r="A9521" s="4" t="str">
        <f t="shared" si="850"/>
        <v>EXP00315</v>
      </c>
      <c r="B9521" s="3" t="s">
        <v>66</v>
      </c>
      <c r="C9521" s="4" t="str">
        <f t="shared" si="851"/>
        <v>GSE73383</v>
      </c>
      <c r="D9521" s="1" t="s">
        <v>435</v>
      </c>
      <c r="E9521" t="s">
        <v>436</v>
      </c>
      <c r="F9521" s="1">
        <v>2</v>
      </c>
      <c r="G9521" s="1" t="s">
        <v>32</v>
      </c>
      <c r="H9521" s="4" t="str">
        <f>HYPERLINK("https://www.ncbi.nlm.nih.gov/geo/query/acc.cgi?acc=GSM1892316","GSM1892316")</f>
        <v>GSM1892316</v>
      </c>
      <c r="I9521" t="s">
        <v>17</v>
      </c>
      <c r="J9521" t="s">
        <v>437</v>
      </c>
      <c r="K9521" t="s">
        <v>33</v>
      </c>
      <c r="L9521" t="s">
        <v>20</v>
      </c>
      <c r="N9521" t="s">
        <v>29</v>
      </c>
    </row>
    <row r="9522" spans="1:14">
      <c r="A9522" s="4" t="str">
        <f t="shared" si="850"/>
        <v>EXP00315</v>
      </c>
      <c r="B9522" s="3" t="s">
        <v>66</v>
      </c>
      <c r="C9522" s="4" t="str">
        <f t="shared" si="851"/>
        <v>GSE73383</v>
      </c>
      <c r="D9522" s="1" t="s">
        <v>435</v>
      </c>
      <c r="E9522" t="s">
        <v>436</v>
      </c>
      <c r="F9522" s="1">
        <v>2</v>
      </c>
      <c r="G9522" s="1" t="s">
        <v>32</v>
      </c>
      <c r="H9522" s="4" t="str">
        <f>HYPERLINK("https://www.ncbi.nlm.nih.gov/geo/query/acc.cgi?acc=GSM1892319","GSM1892319")</f>
        <v>GSM1892319</v>
      </c>
      <c r="I9522" t="s">
        <v>17</v>
      </c>
      <c r="J9522" t="s">
        <v>437</v>
      </c>
      <c r="K9522" t="s">
        <v>33</v>
      </c>
      <c r="L9522" t="s">
        <v>20</v>
      </c>
      <c r="N9522" t="s">
        <v>29</v>
      </c>
    </row>
    <row r="9523" spans="1:14">
      <c r="A9523" s="4" t="str">
        <f t="shared" si="850"/>
        <v>EXP00315</v>
      </c>
      <c r="B9523" s="3" t="s">
        <v>66</v>
      </c>
      <c r="C9523" s="4" t="str">
        <f t="shared" si="851"/>
        <v>GSE73383</v>
      </c>
      <c r="D9523" s="1" t="s">
        <v>435</v>
      </c>
      <c r="E9523" t="s">
        <v>436</v>
      </c>
      <c r="F9523" s="1">
        <v>2</v>
      </c>
      <c r="G9523" s="1" t="s">
        <v>32</v>
      </c>
      <c r="H9523" s="4" t="str">
        <f>HYPERLINK("https://www.ncbi.nlm.nih.gov/geo/query/acc.cgi?acc=GSM1892320","GSM1892320")</f>
        <v>GSM1892320</v>
      </c>
      <c r="I9523" t="s">
        <v>17</v>
      </c>
      <c r="J9523" t="s">
        <v>437</v>
      </c>
      <c r="K9523" t="s">
        <v>33</v>
      </c>
      <c r="L9523" t="s">
        <v>20</v>
      </c>
      <c r="N9523" t="s">
        <v>29</v>
      </c>
    </row>
    <row r="9524" spans="1:14">
      <c r="A9524" s="4" t="str">
        <f t="shared" si="850"/>
        <v>EXP00315</v>
      </c>
      <c r="B9524" s="3" t="s">
        <v>66</v>
      </c>
      <c r="C9524" s="4" t="str">
        <f t="shared" si="851"/>
        <v>GSE73383</v>
      </c>
      <c r="D9524" s="1" t="s">
        <v>435</v>
      </c>
      <c r="E9524" t="s">
        <v>436</v>
      </c>
      <c r="F9524" s="1">
        <v>2</v>
      </c>
      <c r="G9524" s="1" t="s">
        <v>32</v>
      </c>
      <c r="H9524" s="4" t="str">
        <f>HYPERLINK("https://www.ncbi.nlm.nih.gov/geo/query/acc.cgi?acc=GSM1892322","GSM1892322")</f>
        <v>GSM1892322</v>
      </c>
      <c r="I9524" t="s">
        <v>17</v>
      </c>
      <c r="J9524" t="s">
        <v>437</v>
      </c>
      <c r="K9524" t="s">
        <v>33</v>
      </c>
      <c r="L9524" t="s">
        <v>20</v>
      </c>
      <c r="N9524" t="s">
        <v>29</v>
      </c>
    </row>
    <row r="9525" spans="1:14">
      <c r="A9525" s="4" t="str">
        <f t="shared" si="850"/>
        <v>EXP00315</v>
      </c>
      <c r="B9525" s="3" t="s">
        <v>66</v>
      </c>
      <c r="C9525" s="4" t="str">
        <f t="shared" si="851"/>
        <v>GSE73383</v>
      </c>
      <c r="D9525" s="1" t="s">
        <v>435</v>
      </c>
      <c r="E9525" t="s">
        <v>436</v>
      </c>
      <c r="F9525" s="1">
        <v>2</v>
      </c>
      <c r="G9525" s="1" t="s">
        <v>32</v>
      </c>
      <c r="H9525" s="4" t="str">
        <f>HYPERLINK("https://www.ncbi.nlm.nih.gov/geo/query/acc.cgi?acc=GSM1892324","GSM1892324")</f>
        <v>GSM1892324</v>
      </c>
      <c r="I9525" t="s">
        <v>17</v>
      </c>
      <c r="J9525" t="s">
        <v>437</v>
      </c>
      <c r="K9525" t="s">
        <v>33</v>
      </c>
      <c r="L9525" t="s">
        <v>20</v>
      </c>
      <c r="N9525" t="s">
        <v>29</v>
      </c>
    </row>
    <row r="9526" spans="1:14">
      <c r="A9526" s="4" t="str">
        <f t="shared" si="850"/>
        <v>EXP00315</v>
      </c>
      <c r="B9526" s="3" t="s">
        <v>66</v>
      </c>
      <c r="C9526" s="4" t="str">
        <f t="shared" si="851"/>
        <v>GSE73383</v>
      </c>
      <c r="D9526" s="1" t="s">
        <v>435</v>
      </c>
      <c r="E9526" t="s">
        <v>436</v>
      </c>
      <c r="F9526" s="1">
        <v>2</v>
      </c>
      <c r="G9526" s="1" t="s">
        <v>32</v>
      </c>
      <c r="H9526" s="4" t="str">
        <f>HYPERLINK("https://www.ncbi.nlm.nih.gov/geo/query/acc.cgi?acc=GSM1892325","GSM1892325")</f>
        <v>GSM1892325</v>
      </c>
      <c r="I9526" t="s">
        <v>17</v>
      </c>
      <c r="J9526" t="s">
        <v>437</v>
      </c>
      <c r="K9526" t="s">
        <v>33</v>
      </c>
      <c r="L9526" t="s">
        <v>20</v>
      </c>
      <c r="N9526" t="s">
        <v>29</v>
      </c>
    </row>
    <row r="9527" spans="1:14">
      <c r="A9527" s="4" t="str">
        <f t="shared" si="850"/>
        <v>EXP00315</v>
      </c>
      <c r="B9527" s="3" t="s">
        <v>66</v>
      </c>
      <c r="C9527" s="4" t="str">
        <f t="shared" si="851"/>
        <v>GSE73383</v>
      </c>
      <c r="D9527" s="1" t="s">
        <v>435</v>
      </c>
      <c r="E9527" t="s">
        <v>436</v>
      </c>
      <c r="F9527" s="1">
        <v>2</v>
      </c>
      <c r="G9527" s="1" t="s">
        <v>32</v>
      </c>
      <c r="H9527" s="4" t="str">
        <f>HYPERLINK("https://www.ncbi.nlm.nih.gov/geo/query/acc.cgi?acc=GSM1892328","GSM1892328")</f>
        <v>GSM1892328</v>
      </c>
      <c r="I9527" t="s">
        <v>17</v>
      </c>
      <c r="J9527" t="s">
        <v>437</v>
      </c>
      <c r="K9527" t="s">
        <v>33</v>
      </c>
      <c r="L9527" t="s">
        <v>20</v>
      </c>
      <c r="N9527" t="s">
        <v>29</v>
      </c>
    </row>
    <row r="9528" spans="1:14">
      <c r="A9528" s="4" t="str">
        <f t="shared" si="850"/>
        <v>EXP00315</v>
      </c>
      <c r="B9528" s="3" t="s">
        <v>66</v>
      </c>
      <c r="C9528" s="4" t="str">
        <f t="shared" si="851"/>
        <v>GSE73383</v>
      </c>
      <c r="D9528" s="1" t="s">
        <v>435</v>
      </c>
      <c r="E9528" t="s">
        <v>436</v>
      </c>
      <c r="F9528" s="1">
        <v>2</v>
      </c>
      <c r="G9528" s="1" t="s">
        <v>32</v>
      </c>
      <c r="H9528" s="4" t="str">
        <f>HYPERLINK("https://www.ncbi.nlm.nih.gov/geo/query/acc.cgi?acc=GSM1892329","GSM1892329")</f>
        <v>GSM1892329</v>
      </c>
      <c r="I9528" t="s">
        <v>17</v>
      </c>
      <c r="J9528" t="s">
        <v>437</v>
      </c>
      <c r="K9528" t="s">
        <v>33</v>
      </c>
      <c r="L9528" t="s">
        <v>20</v>
      </c>
      <c r="N9528" t="s">
        <v>29</v>
      </c>
    </row>
    <row r="9529" spans="1:14">
      <c r="A9529" s="4" t="str">
        <f t="shared" si="850"/>
        <v>EXP00315</v>
      </c>
      <c r="B9529" s="3" t="s">
        <v>66</v>
      </c>
      <c r="C9529" s="4" t="str">
        <f t="shared" si="851"/>
        <v>GSE73383</v>
      </c>
      <c r="D9529" s="1" t="s">
        <v>435</v>
      </c>
      <c r="E9529" t="s">
        <v>436</v>
      </c>
      <c r="F9529" s="1">
        <v>2</v>
      </c>
      <c r="G9529" s="1" t="s">
        <v>32</v>
      </c>
      <c r="H9529" s="4" t="str">
        <f>HYPERLINK("https://www.ncbi.nlm.nih.gov/geo/query/acc.cgi?acc=GSM1892330","GSM1892330")</f>
        <v>GSM1892330</v>
      </c>
      <c r="I9529" t="s">
        <v>17</v>
      </c>
      <c r="J9529" t="s">
        <v>437</v>
      </c>
      <c r="K9529" t="s">
        <v>33</v>
      </c>
      <c r="L9529" t="s">
        <v>20</v>
      </c>
      <c r="N9529" t="s">
        <v>29</v>
      </c>
    </row>
    <row r="9530" spans="1:14">
      <c r="A9530" s="4" t="str">
        <f t="shared" si="850"/>
        <v>EXP00315</v>
      </c>
      <c r="B9530" s="3" t="s">
        <v>66</v>
      </c>
      <c r="C9530" s="4" t="str">
        <f t="shared" si="851"/>
        <v>GSE73383</v>
      </c>
      <c r="D9530" s="1" t="s">
        <v>435</v>
      </c>
      <c r="E9530" t="s">
        <v>436</v>
      </c>
      <c r="F9530" s="1">
        <v>2</v>
      </c>
      <c r="G9530" s="1" t="s">
        <v>32</v>
      </c>
      <c r="H9530" s="4" t="str">
        <f>HYPERLINK("https://www.ncbi.nlm.nih.gov/geo/query/acc.cgi?acc=GSM1892331","GSM1892331")</f>
        <v>GSM1892331</v>
      </c>
      <c r="I9530" t="s">
        <v>17</v>
      </c>
      <c r="J9530" t="s">
        <v>437</v>
      </c>
      <c r="K9530" t="s">
        <v>33</v>
      </c>
      <c r="L9530" t="s">
        <v>20</v>
      </c>
      <c r="N9530" t="s">
        <v>29</v>
      </c>
    </row>
    <row r="9531" spans="1:14">
      <c r="A9531" s="4" t="str">
        <f t="shared" si="850"/>
        <v>EXP00315</v>
      </c>
      <c r="B9531" s="3" t="s">
        <v>66</v>
      </c>
      <c r="C9531" s="4" t="str">
        <f t="shared" si="851"/>
        <v>GSE73383</v>
      </c>
      <c r="D9531" s="1" t="s">
        <v>435</v>
      </c>
      <c r="E9531" t="s">
        <v>436</v>
      </c>
      <c r="F9531" s="1">
        <v>2</v>
      </c>
      <c r="G9531" s="1" t="s">
        <v>32</v>
      </c>
      <c r="H9531" s="4" t="str">
        <f>HYPERLINK("https://www.ncbi.nlm.nih.gov/geo/query/acc.cgi?acc=GSM1892333","GSM1892333")</f>
        <v>GSM1892333</v>
      </c>
      <c r="I9531" t="s">
        <v>17</v>
      </c>
      <c r="J9531" t="s">
        <v>437</v>
      </c>
      <c r="K9531" t="s">
        <v>33</v>
      </c>
      <c r="L9531" t="s">
        <v>20</v>
      </c>
      <c r="N9531" t="s">
        <v>29</v>
      </c>
    </row>
    <row r="9532" spans="1:14">
      <c r="A9532" s="4" t="str">
        <f t="shared" si="850"/>
        <v>EXP00315</v>
      </c>
      <c r="B9532" s="3" t="s">
        <v>66</v>
      </c>
      <c r="C9532" s="4" t="str">
        <f t="shared" si="851"/>
        <v>GSE73383</v>
      </c>
      <c r="D9532" s="1" t="s">
        <v>435</v>
      </c>
      <c r="E9532" t="s">
        <v>436</v>
      </c>
      <c r="F9532" s="1">
        <v>2</v>
      </c>
      <c r="G9532" s="1" t="s">
        <v>32</v>
      </c>
      <c r="H9532" s="4" t="str">
        <f>HYPERLINK("https://www.ncbi.nlm.nih.gov/geo/query/acc.cgi?acc=GSM1892334","GSM1892334")</f>
        <v>GSM1892334</v>
      </c>
      <c r="I9532" t="s">
        <v>17</v>
      </c>
      <c r="J9532" t="s">
        <v>437</v>
      </c>
      <c r="K9532" t="s">
        <v>33</v>
      </c>
      <c r="L9532" t="s">
        <v>20</v>
      </c>
      <c r="N9532" t="s">
        <v>29</v>
      </c>
    </row>
    <row r="9533" spans="1:14">
      <c r="A9533" s="4" t="str">
        <f t="shared" si="850"/>
        <v>EXP00315</v>
      </c>
      <c r="B9533" s="3" t="s">
        <v>66</v>
      </c>
      <c r="C9533" s="4" t="str">
        <f t="shared" si="851"/>
        <v>GSE73383</v>
      </c>
      <c r="D9533" s="1" t="s">
        <v>435</v>
      </c>
      <c r="E9533" t="s">
        <v>436</v>
      </c>
      <c r="F9533" s="1">
        <v>2</v>
      </c>
      <c r="G9533" s="1" t="s">
        <v>32</v>
      </c>
      <c r="H9533" s="4" t="str">
        <f>HYPERLINK("https://www.ncbi.nlm.nih.gov/geo/query/acc.cgi?acc=GSM1892335","GSM1892335")</f>
        <v>GSM1892335</v>
      </c>
      <c r="I9533" t="s">
        <v>17</v>
      </c>
      <c r="J9533" t="s">
        <v>437</v>
      </c>
      <c r="K9533" t="s">
        <v>33</v>
      </c>
      <c r="L9533" t="s">
        <v>20</v>
      </c>
      <c r="N9533" t="s">
        <v>29</v>
      </c>
    </row>
    <row r="9534" spans="1:14">
      <c r="A9534" s="4" t="str">
        <f t="shared" si="850"/>
        <v>EXP00315</v>
      </c>
      <c r="B9534" s="3" t="s">
        <v>66</v>
      </c>
      <c r="C9534" s="4" t="str">
        <f t="shared" si="851"/>
        <v>GSE73383</v>
      </c>
      <c r="D9534" s="1" t="s">
        <v>435</v>
      </c>
      <c r="E9534" t="s">
        <v>436</v>
      </c>
      <c r="F9534" s="1">
        <v>2</v>
      </c>
      <c r="G9534" s="1" t="s">
        <v>32</v>
      </c>
      <c r="H9534" s="4" t="str">
        <f>HYPERLINK("https://www.ncbi.nlm.nih.gov/geo/query/acc.cgi?acc=GSM1892336","GSM1892336")</f>
        <v>GSM1892336</v>
      </c>
      <c r="I9534" t="s">
        <v>17</v>
      </c>
      <c r="J9534" t="s">
        <v>437</v>
      </c>
      <c r="K9534" t="s">
        <v>33</v>
      </c>
      <c r="L9534" t="s">
        <v>20</v>
      </c>
      <c r="N9534" t="s">
        <v>29</v>
      </c>
    </row>
    <row r="9535" spans="1:14">
      <c r="A9535" s="4" t="str">
        <f t="shared" si="850"/>
        <v>EXP00315</v>
      </c>
      <c r="B9535" s="3" t="s">
        <v>66</v>
      </c>
      <c r="C9535" s="4" t="str">
        <f t="shared" si="851"/>
        <v>GSE73383</v>
      </c>
      <c r="D9535" s="1" t="s">
        <v>435</v>
      </c>
      <c r="E9535" t="s">
        <v>436</v>
      </c>
      <c r="F9535" s="1">
        <v>2</v>
      </c>
      <c r="G9535" s="1" t="s">
        <v>32</v>
      </c>
      <c r="H9535" s="4" t="str">
        <f>HYPERLINK("https://www.ncbi.nlm.nih.gov/geo/query/acc.cgi?acc=GSM1892337","GSM1892337")</f>
        <v>GSM1892337</v>
      </c>
      <c r="I9535" t="s">
        <v>17</v>
      </c>
      <c r="J9535" t="s">
        <v>437</v>
      </c>
      <c r="K9535" t="s">
        <v>33</v>
      </c>
      <c r="L9535" t="s">
        <v>20</v>
      </c>
      <c r="N9535" t="s">
        <v>29</v>
      </c>
    </row>
    <row r="9536" spans="1:14">
      <c r="A9536" s="4" t="str">
        <f t="shared" si="850"/>
        <v>EXP00315</v>
      </c>
      <c r="B9536" s="3" t="s">
        <v>66</v>
      </c>
      <c r="C9536" s="4" t="str">
        <f t="shared" si="851"/>
        <v>GSE73383</v>
      </c>
      <c r="D9536" s="1" t="s">
        <v>435</v>
      </c>
      <c r="E9536" t="s">
        <v>436</v>
      </c>
      <c r="F9536" s="1">
        <v>2</v>
      </c>
      <c r="G9536" s="1" t="s">
        <v>32</v>
      </c>
      <c r="H9536" s="4" t="str">
        <f>HYPERLINK("https://www.ncbi.nlm.nih.gov/geo/query/acc.cgi?acc=GSM1892338","GSM1892338")</f>
        <v>GSM1892338</v>
      </c>
      <c r="I9536" t="s">
        <v>17</v>
      </c>
      <c r="J9536" t="s">
        <v>437</v>
      </c>
      <c r="K9536" t="s">
        <v>33</v>
      </c>
      <c r="L9536" t="s">
        <v>20</v>
      </c>
      <c r="N9536" t="s">
        <v>29</v>
      </c>
    </row>
    <row r="9537" spans="1:14">
      <c r="A9537" s="4" t="str">
        <f t="shared" si="850"/>
        <v>EXP00315</v>
      </c>
      <c r="B9537" s="3" t="s">
        <v>66</v>
      </c>
      <c r="C9537" s="4" t="str">
        <f t="shared" si="851"/>
        <v>GSE73383</v>
      </c>
      <c r="D9537" s="1" t="s">
        <v>435</v>
      </c>
      <c r="E9537" t="s">
        <v>436</v>
      </c>
      <c r="F9537" s="1">
        <v>2</v>
      </c>
      <c r="G9537" s="1" t="s">
        <v>32</v>
      </c>
      <c r="H9537" s="4" t="str">
        <f>HYPERLINK("https://www.ncbi.nlm.nih.gov/geo/query/acc.cgi?acc=GSM1892339","GSM1892339")</f>
        <v>GSM1892339</v>
      </c>
      <c r="I9537" t="s">
        <v>17</v>
      </c>
      <c r="J9537" t="s">
        <v>437</v>
      </c>
      <c r="K9537" t="s">
        <v>33</v>
      </c>
      <c r="L9537" t="s">
        <v>20</v>
      </c>
      <c r="N9537" t="s">
        <v>29</v>
      </c>
    </row>
    <row r="9538" spans="1:14">
      <c r="A9538" s="4" t="str">
        <f t="shared" si="850"/>
        <v>EXP00315</v>
      </c>
      <c r="B9538" s="3" t="s">
        <v>66</v>
      </c>
      <c r="C9538" s="4" t="str">
        <f t="shared" si="851"/>
        <v>GSE73383</v>
      </c>
      <c r="D9538" s="1" t="s">
        <v>435</v>
      </c>
      <c r="E9538" t="s">
        <v>436</v>
      </c>
      <c r="F9538" s="1">
        <v>2</v>
      </c>
      <c r="G9538" s="1" t="s">
        <v>32</v>
      </c>
      <c r="H9538" s="4" t="str">
        <f>HYPERLINK("https://www.ncbi.nlm.nih.gov/geo/query/acc.cgi?acc=GSM1892340","GSM1892340")</f>
        <v>GSM1892340</v>
      </c>
      <c r="I9538" t="s">
        <v>17</v>
      </c>
      <c r="J9538" t="s">
        <v>437</v>
      </c>
      <c r="K9538" t="s">
        <v>33</v>
      </c>
      <c r="L9538" t="s">
        <v>20</v>
      </c>
      <c r="N9538" t="s">
        <v>29</v>
      </c>
    </row>
    <row r="9539" spans="1:14">
      <c r="A9539" s="4" t="str">
        <f t="shared" si="850"/>
        <v>EXP00315</v>
      </c>
      <c r="B9539" s="3" t="s">
        <v>66</v>
      </c>
      <c r="C9539" s="4" t="str">
        <f t="shared" si="851"/>
        <v>GSE73383</v>
      </c>
      <c r="D9539" s="1" t="s">
        <v>435</v>
      </c>
      <c r="E9539" t="s">
        <v>436</v>
      </c>
      <c r="F9539" s="1">
        <v>2</v>
      </c>
      <c r="G9539" s="1" t="s">
        <v>32</v>
      </c>
      <c r="H9539" s="4" t="str">
        <f>HYPERLINK("https://www.ncbi.nlm.nih.gov/geo/query/acc.cgi?acc=GSM1892341","GSM1892341")</f>
        <v>GSM1892341</v>
      </c>
      <c r="I9539" t="s">
        <v>17</v>
      </c>
      <c r="J9539" t="s">
        <v>437</v>
      </c>
      <c r="K9539" t="s">
        <v>33</v>
      </c>
      <c r="L9539" t="s">
        <v>20</v>
      </c>
      <c r="N9539" t="s">
        <v>29</v>
      </c>
    </row>
    <row r="9540" spans="1:14">
      <c r="A9540" s="4" t="str">
        <f t="shared" si="850"/>
        <v>EXP00315</v>
      </c>
      <c r="B9540" s="3" t="s">
        <v>66</v>
      </c>
      <c r="C9540" s="4" t="str">
        <f t="shared" si="851"/>
        <v>GSE73383</v>
      </c>
      <c r="D9540" s="1" t="s">
        <v>435</v>
      </c>
      <c r="E9540" t="s">
        <v>436</v>
      </c>
      <c r="F9540" s="1">
        <v>2</v>
      </c>
      <c r="G9540" s="1" t="s">
        <v>32</v>
      </c>
      <c r="H9540" s="4" t="str">
        <f>HYPERLINK("https://www.ncbi.nlm.nih.gov/geo/query/acc.cgi?acc=GSM1892342","GSM1892342")</f>
        <v>GSM1892342</v>
      </c>
      <c r="I9540" t="s">
        <v>17</v>
      </c>
      <c r="J9540" t="s">
        <v>437</v>
      </c>
      <c r="K9540" t="s">
        <v>33</v>
      </c>
      <c r="L9540" t="s">
        <v>20</v>
      </c>
      <c r="N9540" t="s">
        <v>29</v>
      </c>
    </row>
    <row r="9541" spans="1:14">
      <c r="A9541" s="4" t="str">
        <f t="shared" si="850"/>
        <v>EXP00315</v>
      </c>
      <c r="B9541" s="3" t="s">
        <v>66</v>
      </c>
      <c r="C9541" s="4" t="str">
        <f t="shared" si="851"/>
        <v>GSE73383</v>
      </c>
      <c r="D9541" s="1" t="s">
        <v>435</v>
      </c>
      <c r="E9541" t="s">
        <v>436</v>
      </c>
      <c r="F9541" s="1">
        <v>2</v>
      </c>
      <c r="G9541" s="1" t="s">
        <v>32</v>
      </c>
      <c r="H9541" s="4" t="str">
        <f>HYPERLINK("https://www.ncbi.nlm.nih.gov/geo/query/acc.cgi?acc=GSM1892343","GSM1892343")</f>
        <v>GSM1892343</v>
      </c>
      <c r="I9541" t="s">
        <v>17</v>
      </c>
      <c r="J9541" t="s">
        <v>437</v>
      </c>
      <c r="K9541" t="s">
        <v>33</v>
      </c>
      <c r="L9541" t="s">
        <v>20</v>
      </c>
      <c r="N9541" t="s">
        <v>29</v>
      </c>
    </row>
    <row r="9542" spans="1:14">
      <c r="A9542" s="4" t="str">
        <f t="shared" si="850"/>
        <v>EXP00315</v>
      </c>
      <c r="B9542" s="3" t="s">
        <v>66</v>
      </c>
      <c r="C9542" s="4" t="str">
        <f t="shared" si="851"/>
        <v>GSE73383</v>
      </c>
      <c r="D9542" s="1" t="s">
        <v>435</v>
      </c>
      <c r="E9542" t="s">
        <v>436</v>
      </c>
      <c r="F9542" s="1">
        <v>2</v>
      </c>
      <c r="G9542" s="1" t="s">
        <v>32</v>
      </c>
      <c r="H9542" s="4" t="str">
        <f>HYPERLINK("https://www.ncbi.nlm.nih.gov/geo/query/acc.cgi?acc=GSM1892346","GSM1892346")</f>
        <v>GSM1892346</v>
      </c>
      <c r="I9542" t="s">
        <v>17</v>
      </c>
      <c r="J9542" t="s">
        <v>437</v>
      </c>
      <c r="K9542" t="s">
        <v>33</v>
      </c>
      <c r="L9542" t="s">
        <v>20</v>
      </c>
      <c r="N9542" t="s">
        <v>29</v>
      </c>
    </row>
    <row r="9543" spans="1:14">
      <c r="A9543" s="4" t="str">
        <f t="shared" ref="A9543:A9555" si="852">HYPERLINK("http://hcmdb.i-sanger.com/experiment/details/experiment_id/EXP00316","EXP00316")</f>
        <v>EXP00316</v>
      </c>
      <c r="B9543" s="4" t="str">
        <f t="shared" ref="B9543:B9555" si="853">HYPERLINK("https://www.ncbi.nlm.nih.gov/pubmed/26933176","26933176")</f>
        <v>26933176</v>
      </c>
      <c r="C9543" s="4" t="str">
        <f t="shared" ref="C9543:C9555" si="854">HYPERLINK("https://www.ncbi.nlm.nih.gov/geo/query/acc.cgi?acc=GSE73652","GSE73652")</f>
        <v>GSE73652</v>
      </c>
      <c r="D9543" s="1" t="s">
        <v>303</v>
      </c>
      <c r="E9543" t="s">
        <v>438</v>
      </c>
      <c r="F9543" s="1">
        <v>1</v>
      </c>
      <c r="G9543" s="1" t="s">
        <v>31</v>
      </c>
      <c r="H9543" s="4" t="str">
        <f>HYPERLINK("https://www.ncbi.nlm.nih.gov/geo/query/acc.cgi?acc=GSM1900008","GSM1900008")</f>
        <v>GSM1900008</v>
      </c>
      <c r="I9543" t="s">
        <v>439</v>
      </c>
      <c r="J9543" t="s">
        <v>440</v>
      </c>
      <c r="K9543" t="s">
        <v>19</v>
      </c>
      <c r="L9543" t="s">
        <v>441</v>
      </c>
      <c r="M9543" t="s">
        <v>51</v>
      </c>
      <c r="N9543" t="s">
        <v>29</v>
      </c>
    </row>
    <row r="9544" spans="1:14">
      <c r="A9544" s="4" t="str">
        <f t="shared" si="852"/>
        <v>EXP00316</v>
      </c>
      <c r="B9544" s="4" t="str">
        <f t="shared" si="853"/>
        <v>26933176</v>
      </c>
      <c r="C9544" s="4" t="str">
        <f t="shared" si="854"/>
        <v>GSE73652</v>
      </c>
      <c r="D9544" s="1" t="s">
        <v>303</v>
      </c>
      <c r="E9544" t="s">
        <v>438</v>
      </c>
      <c r="F9544" s="1">
        <v>1</v>
      </c>
      <c r="G9544" s="1" t="s">
        <v>31</v>
      </c>
      <c r="H9544" s="4" t="str">
        <f>HYPERLINK("https://www.ncbi.nlm.nih.gov/geo/query/acc.cgi?acc=GSM1900010","GSM1900010")</f>
        <v>GSM1900010</v>
      </c>
      <c r="I9544" t="s">
        <v>439</v>
      </c>
      <c r="J9544" t="s">
        <v>440</v>
      </c>
      <c r="K9544" t="s">
        <v>19</v>
      </c>
      <c r="L9544" t="s">
        <v>441</v>
      </c>
      <c r="M9544" t="s">
        <v>51</v>
      </c>
      <c r="N9544" t="s">
        <v>29</v>
      </c>
    </row>
    <row r="9545" spans="1:14">
      <c r="A9545" s="4" t="str">
        <f t="shared" si="852"/>
        <v>EXP00316</v>
      </c>
      <c r="B9545" s="4" t="str">
        <f t="shared" si="853"/>
        <v>26933176</v>
      </c>
      <c r="C9545" s="4" t="str">
        <f t="shared" si="854"/>
        <v>GSE73652</v>
      </c>
      <c r="D9545" s="1" t="s">
        <v>303</v>
      </c>
      <c r="E9545" t="s">
        <v>438</v>
      </c>
      <c r="F9545" s="1">
        <v>1</v>
      </c>
      <c r="G9545" s="1" t="s">
        <v>31</v>
      </c>
      <c r="H9545" s="4" t="str">
        <f>HYPERLINK("https://www.ncbi.nlm.nih.gov/geo/query/acc.cgi?acc=GSM1900012","GSM1900012")</f>
        <v>GSM1900012</v>
      </c>
      <c r="I9545" t="s">
        <v>439</v>
      </c>
      <c r="J9545" t="s">
        <v>440</v>
      </c>
      <c r="K9545" t="s">
        <v>19</v>
      </c>
      <c r="L9545" t="s">
        <v>441</v>
      </c>
      <c r="M9545" t="s">
        <v>51</v>
      </c>
      <c r="N9545" t="s">
        <v>29</v>
      </c>
    </row>
    <row r="9546" spans="1:14">
      <c r="A9546" s="4" t="str">
        <f t="shared" si="852"/>
        <v>EXP00316</v>
      </c>
      <c r="B9546" s="4" t="str">
        <f t="shared" si="853"/>
        <v>26933176</v>
      </c>
      <c r="C9546" s="4" t="str">
        <f t="shared" si="854"/>
        <v>GSE73652</v>
      </c>
      <c r="D9546" s="1" t="s">
        <v>303</v>
      </c>
      <c r="E9546" t="s">
        <v>438</v>
      </c>
      <c r="F9546" s="1">
        <v>1</v>
      </c>
      <c r="G9546" s="1" t="s">
        <v>31</v>
      </c>
      <c r="H9546" s="4" t="str">
        <f>HYPERLINK("https://www.ncbi.nlm.nih.gov/geo/query/acc.cgi?acc=GSM1900013","GSM1900013")</f>
        <v>GSM1900013</v>
      </c>
      <c r="I9546" t="s">
        <v>439</v>
      </c>
      <c r="J9546" t="s">
        <v>440</v>
      </c>
      <c r="K9546" t="s">
        <v>19</v>
      </c>
      <c r="L9546" t="s">
        <v>441</v>
      </c>
      <c r="M9546" t="s">
        <v>51</v>
      </c>
      <c r="N9546" t="s">
        <v>29</v>
      </c>
    </row>
    <row r="9547" spans="1:14">
      <c r="A9547" s="4" t="str">
        <f t="shared" si="852"/>
        <v>EXP00316</v>
      </c>
      <c r="B9547" s="4" t="str">
        <f t="shared" si="853"/>
        <v>26933176</v>
      </c>
      <c r="C9547" s="4" t="str">
        <f t="shared" si="854"/>
        <v>GSE73652</v>
      </c>
      <c r="D9547" s="1" t="s">
        <v>303</v>
      </c>
      <c r="E9547" t="s">
        <v>438</v>
      </c>
      <c r="F9547" s="1">
        <v>1</v>
      </c>
      <c r="G9547" s="1" t="s">
        <v>31</v>
      </c>
      <c r="H9547" s="4" t="str">
        <f>HYPERLINK("https://www.ncbi.nlm.nih.gov/geo/query/acc.cgi?acc=GSM1900020","GSM1900020")</f>
        <v>GSM1900020</v>
      </c>
      <c r="I9547" t="s">
        <v>439</v>
      </c>
      <c r="J9547" t="s">
        <v>440</v>
      </c>
      <c r="K9547" t="s">
        <v>19</v>
      </c>
      <c r="L9547" t="s">
        <v>441</v>
      </c>
      <c r="M9547" t="s">
        <v>51</v>
      </c>
      <c r="N9547" t="s">
        <v>29</v>
      </c>
    </row>
    <row r="9548" spans="1:14">
      <c r="A9548" s="4" t="str">
        <f t="shared" si="852"/>
        <v>EXP00316</v>
      </c>
      <c r="B9548" s="4" t="str">
        <f t="shared" si="853"/>
        <v>26933176</v>
      </c>
      <c r="C9548" s="4" t="str">
        <f t="shared" si="854"/>
        <v>GSE73652</v>
      </c>
      <c r="D9548" s="1" t="s">
        <v>303</v>
      </c>
      <c r="E9548" t="s">
        <v>438</v>
      </c>
      <c r="F9548" s="1">
        <v>2</v>
      </c>
      <c r="G9548" s="1" t="s">
        <v>32</v>
      </c>
      <c r="H9548" s="4" t="str">
        <f>HYPERLINK("https://www.ncbi.nlm.nih.gov/geo/query/acc.cgi?acc=GSM1900009","GSM1900009")</f>
        <v>GSM1900009</v>
      </c>
      <c r="I9548" t="s">
        <v>439</v>
      </c>
      <c r="J9548" t="s">
        <v>440</v>
      </c>
      <c r="K9548" t="s">
        <v>33</v>
      </c>
      <c r="L9548" t="s">
        <v>441</v>
      </c>
      <c r="N9548" t="s">
        <v>29</v>
      </c>
    </row>
    <row r="9549" spans="1:14">
      <c r="A9549" s="4" t="str">
        <f t="shared" si="852"/>
        <v>EXP00316</v>
      </c>
      <c r="B9549" s="4" t="str">
        <f t="shared" si="853"/>
        <v>26933176</v>
      </c>
      <c r="C9549" s="4" t="str">
        <f t="shared" si="854"/>
        <v>GSE73652</v>
      </c>
      <c r="D9549" s="1" t="s">
        <v>303</v>
      </c>
      <c r="E9549" t="s">
        <v>438</v>
      </c>
      <c r="F9549" s="1">
        <v>2</v>
      </c>
      <c r="G9549" s="1" t="s">
        <v>32</v>
      </c>
      <c r="H9549" s="4" t="str">
        <f>HYPERLINK("https://www.ncbi.nlm.nih.gov/geo/query/acc.cgi?acc=GSM1900011","GSM1900011")</f>
        <v>GSM1900011</v>
      </c>
      <c r="I9549" t="s">
        <v>439</v>
      </c>
      <c r="J9549" t="s">
        <v>440</v>
      </c>
      <c r="K9549" t="s">
        <v>33</v>
      </c>
      <c r="L9549" t="s">
        <v>441</v>
      </c>
      <c r="N9549" t="s">
        <v>29</v>
      </c>
    </row>
    <row r="9550" spans="1:14">
      <c r="A9550" s="4" t="str">
        <f t="shared" si="852"/>
        <v>EXP00316</v>
      </c>
      <c r="B9550" s="4" t="str">
        <f t="shared" si="853"/>
        <v>26933176</v>
      </c>
      <c r="C9550" s="4" t="str">
        <f t="shared" si="854"/>
        <v>GSE73652</v>
      </c>
      <c r="D9550" s="1" t="s">
        <v>303</v>
      </c>
      <c r="E9550" t="s">
        <v>438</v>
      </c>
      <c r="F9550" s="1">
        <v>2</v>
      </c>
      <c r="G9550" s="1" t="s">
        <v>32</v>
      </c>
      <c r="H9550" s="4" t="str">
        <f>HYPERLINK("https://www.ncbi.nlm.nih.gov/geo/query/acc.cgi?acc=GSM1900014","GSM1900014")</f>
        <v>GSM1900014</v>
      </c>
      <c r="I9550" t="s">
        <v>439</v>
      </c>
      <c r="J9550" t="s">
        <v>440</v>
      </c>
      <c r="K9550" t="s">
        <v>33</v>
      </c>
      <c r="L9550" t="s">
        <v>441</v>
      </c>
      <c r="N9550" t="s">
        <v>29</v>
      </c>
    </row>
    <row r="9551" spans="1:14">
      <c r="A9551" s="4" t="str">
        <f t="shared" si="852"/>
        <v>EXP00316</v>
      </c>
      <c r="B9551" s="4" t="str">
        <f t="shared" si="853"/>
        <v>26933176</v>
      </c>
      <c r="C9551" s="4" t="str">
        <f t="shared" si="854"/>
        <v>GSE73652</v>
      </c>
      <c r="D9551" s="1" t="s">
        <v>303</v>
      </c>
      <c r="E9551" t="s">
        <v>438</v>
      </c>
      <c r="F9551" s="1">
        <v>2</v>
      </c>
      <c r="G9551" s="1" t="s">
        <v>32</v>
      </c>
      <c r="H9551" s="4" t="str">
        <f>HYPERLINK("https://www.ncbi.nlm.nih.gov/geo/query/acc.cgi?acc=GSM1900015","GSM1900015")</f>
        <v>GSM1900015</v>
      </c>
      <c r="I9551" t="s">
        <v>439</v>
      </c>
      <c r="J9551" t="s">
        <v>440</v>
      </c>
      <c r="K9551" t="s">
        <v>33</v>
      </c>
      <c r="L9551" t="s">
        <v>441</v>
      </c>
      <c r="N9551" t="s">
        <v>29</v>
      </c>
    </row>
    <row r="9552" spans="1:14">
      <c r="A9552" s="4" t="str">
        <f t="shared" si="852"/>
        <v>EXP00316</v>
      </c>
      <c r="B9552" s="4" t="str">
        <f t="shared" si="853"/>
        <v>26933176</v>
      </c>
      <c r="C9552" s="4" t="str">
        <f t="shared" si="854"/>
        <v>GSE73652</v>
      </c>
      <c r="D9552" s="1" t="s">
        <v>303</v>
      </c>
      <c r="E9552" t="s">
        <v>438</v>
      </c>
      <c r="F9552" s="1">
        <v>2</v>
      </c>
      <c r="G9552" s="1" t="s">
        <v>32</v>
      </c>
      <c r="H9552" s="4" t="str">
        <f>HYPERLINK("https://www.ncbi.nlm.nih.gov/geo/query/acc.cgi?acc=GSM1900016","GSM1900016")</f>
        <v>GSM1900016</v>
      </c>
      <c r="I9552" t="s">
        <v>439</v>
      </c>
      <c r="J9552" t="s">
        <v>440</v>
      </c>
      <c r="K9552" t="s">
        <v>33</v>
      </c>
      <c r="L9552" t="s">
        <v>441</v>
      </c>
      <c r="N9552" t="s">
        <v>29</v>
      </c>
    </row>
    <row r="9553" spans="1:14">
      <c r="A9553" s="4" t="str">
        <f t="shared" si="852"/>
        <v>EXP00316</v>
      </c>
      <c r="B9553" s="4" t="str">
        <f t="shared" si="853"/>
        <v>26933176</v>
      </c>
      <c r="C9553" s="4" t="str">
        <f t="shared" si="854"/>
        <v>GSE73652</v>
      </c>
      <c r="D9553" s="1" t="s">
        <v>303</v>
      </c>
      <c r="E9553" t="s">
        <v>438</v>
      </c>
      <c r="F9553" s="1">
        <v>2</v>
      </c>
      <c r="G9553" s="1" t="s">
        <v>32</v>
      </c>
      <c r="H9553" s="4" t="str">
        <f>HYPERLINK("https://www.ncbi.nlm.nih.gov/geo/query/acc.cgi?acc=GSM1900017","GSM1900017")</f>
        <v>GSM1900017</v>
      </c>
      <c r="I9553" t="s">
        <v>439</v>
      </c>
      <c r="J9553" t="s">
        <v>440</v>
      </c>
      <c r="K9553" t="s">
        <v>33</v>
      </c>
      <c r="L9553" t="s">
        <v>441</v>
      </c>
      <c r="N9553" t="s">
        <v>29</v>
      </c>
    </row>
    <row r="9554" spans="1:14">
      <c r="A9554" s="4" t="str">
        <f t="shared" si="852"/>
        <v>EXP00316</v>
      </c>
      <c r="B9554" s="4" t="str">
        <f t="shared" si="853"/>
        <v>26933176</v>
      </c>
      <c r="C9554" s="4" t="str">
        <f t="shared" si="854"/>
        <v>GSE73652</v>
      </c>
      <c r="D9554" s="1" t="s">
        <v>303</v>
      </c>
      <c r="E9554" t="s">
        <v>438</v>
      </c>
      <c r="F9554" s="1">
        <v>2</v>
      </c>
      <c r="G9554" s="1" t="s">
        <v>32</v>
      </c>
      <c r="H9554" s="4" t="str">
        <f>HYPERLINK("https://www.ncbi.nlm.nih.gov/geo/query/acc.cgi?acc=GSM1900018","GSM1900018")</f>
        <v>GSM1900018</v>
      </c>
      <c r="I9554" t="s">
        <v>439</v>
      </c>
      <c r="J9554" t="s">
        <v>440</v>
      </c>
      <c r="K9554" t="s">
        <v>33</v>
      </c>
      <c r="L9554" t="s">
        <v>441</v>
      </c>
      <c r="N9554" t="s">
        <v>29</v>
      </c>
    </row>
    <row r="9555" spans="1:14">
      <c r="A9555" s="4" t="str">
        <f t="shared" si="852"/>
        <v>EXP00316</v>
      </c>
      <c r="B9555" s="4" t="str">
        <f t="shared" si="853"/>
        <v>26933176</v>
      </c>
      <c r="C9555" s="4" t="str">
        <f t="shared" si="854"/>
        <v>GSE73652</v>
      </c>
      <c r="D9555" s="1" t="s">
        <v>303</v>
      </c>
      <c r="E9555" t="s">
        <v>438</v>
      </c>
      <c r="F9555" s="1">
        <v>2</v>
      </c>
      <c r="G9555" s="1" t="s">
        <v>32</v>
      </c>
      <c r="H9555" s="4" t="str">
        <f>HYPERLINK("https://www.ncbi.nlm.nih.gov/geo/query/acc.cgi?acc=GSM1900019","GSM1900019")</f>
        <v>GSM1900019</v>
      </c>
      <c r="I9555" t="s">
        <v>439</v>
      </c>
      <c r="J9555" t="s">
        <v>440</v>
      </c>
      <c r="K9555" t="s">
        <v>33</v>
      </c>
      <c r="L9555" t="s">
        <v>441</v>
      </c>
      <c r="N9555" t="s">
        <v>29</v>
      </c>
    </row>
    <row r="9556" spans="1:14">
      <c r="A9556" s="4" t="str">
        <f t="shared" ref="A9556:A9595" si="855">HYPERLINK("http://hcmdb.i-sanger.com/experiment/details/experiment_id/EXP00317","EXP00317")</f>
        <v>EXP00317</v>
      </c>
      <c r="B9556" s="4" t="str">
        <f t="shared" ref="B9556:B9587" si="856">HYPERLINK("https://www.ncbi.nlm.nih.gov/pubmed/18191186","18191186")</f>
        <v>18191186</v>
      </c>
      <c r="C9556" s="4" t="str">
        <f t="shared" ref="C9556:C9587" si="857">HYPERLINK("https://www.ncbi.nlm.nih.gov/geo/query/acc.cgi?acc=GSE7410","GSE7410")</f>
        <v>GSE7410</v>
      </c>
      <c r="D9556" s="1" t="s">
        <v>442</v>
      </c>
      <c r="E9556" t="s">
        <v>443</v>
      </c>
      <c r="F9556" s="1">
        <v>1</v>
      </c>
      <c r="G9556" s="1" t="s">
        <v>31</v>
      </c>
      <c r="H9556" s="4" t="str">
        <f>HYPERLINK("https://www.ncbi.nlm.nih.gov/geo/query/acc.cgi?acc=GSM178844","GSM178844")</f>
        <v>GSM178844</v>
      </c>
      <c r="I9556" t="s">
        <v>444</v>
      </c>
      <c r="J9556" t="s">
        <v>18</v>
      </c>
      <c r="K9556" t="s">
        <v>19</v>
      </c>
      <c r="L9556" t="s">
        <v>445</v>
      </c>
      <c r="M9556" t="s">
        <v>24</v>
      </c>
      <c r="N9556" t="s">
        <v>29</v>
      </c>
    </row>
    <row r="9557" spans="1:14">
      <c r="A9557" s="4" t="str">
        <f t="shared" si="855"/>
        <v>EXP00317</v>
      </c>
      <c r="B9557" s="4" t="str">
        <f t="shared" si="856"/>
        <v>18191186</v>
      </c>
      <c r="C9557" s="4" t="str">
        <f t="shared" si="857"/>
        <v>GSE7410</v>
      </c>
      <c r="D9557" s="1" t="s">
        <v>442</v>
      </c>
      <c r="E9557" t="s">
        <v>443</v>
      </c>
      <c r="F9557" s="1">
        <v>1</v>
      </c>
      <c r="G9557" s="1" t="s">
        <v>31</v>
      </c>
      <c r="H9557" s="4" t="str">
        <f>HYPERLINK("https://www.ncbi.nlm.nih.gov/geo/query/acc.cgi?acc=GSM178845","GSM178845")</f>
        <v>GSM178845</v>
      </c>
      <c r="I9557" t="s">
        <v>444</v>
      </c>
      <c r="J9557" t="s">
        <v>18</v>
      </c>
      <c r="K9557" t="s">
        <v>19</v>
      </c>
      <c r="L9557" t="s">
        <v>445</v>
      </c>
      <c r="M9557" t="s">
        <v>24</v>
      </c>
      <c r="N9557" t="s">
        <v>29</v>
      </c>
    </row>
    <row r="9558" spans="1:14">
      <c r="A9558" s="4" t="str">
        <f t="shared" si="855"/>
        <v>EXP00317</v>
      </c>
      <c r="B9558" s="4" t="str">
        <f t="shared" si="856"/>
        <v>18191186</v>
      </c>
      <c r="C9558" s="4" t="str">
        <f t="shared" si="857"/>
        <v>GSE7410</v>
      </c>
      <c r="D9558" s="1" t="s">
        <v>442</v>
      </c>
      <c r="E9558" t="s">
        <v>443</v>
      </c>
      <c r="F9558" s="1">
        <v>1</v>
      </c>
      <c r="G9558" s="1" t="s">
        <v>31</v>
      </c>
      <c r="H9558" s="4" t="str">
        <f>HYPERLINK("https://www.ncbi.nlm.nih.gov/geo/query/acc.cgi?acc=GSM178846","GSM178846")</f>
        <v>GSM178846</v>
      </c>
      <c r="I9558" t="s">
        <v>444</v>
      </c>
      <c r="J9558" t="s">
        <v>18</v>
      </c>
      <c r="K9558" t="s">
        <v>19</v>
      </c>
      <c r="L9558" t="s">
        <v>445</v>
      </c>
      <c r="M9558" t="s">
        <v>24</v>
      </c>
      <c r="N9558" t="s">
        <v>29</v>
      </c>
    </row>
    <row r="9559" spans="1:14">
      <c r="A9559" s="4" t="str">
        <f t="shared" si="855"/>
        <v>EXP00317</v>
      </c>
      <c r="B9559" s="4" t="str">
        <f t="shared" si="856"/>
        <v>18191186</v>
      </c>
      <c r="C9559" s="4" t="str">
        <f t="shared" si="857"/>
        <v>GSE7410</v>
      </c>
      <c r="D9559" s="1" t="s">
        <v>442</v>
      </c>
      <c r="E9559" t="s">
        <v>443</v>
      </c>
      <c r="F9559" s="1">
        <v>1</v>
      </c>
      <c r="G9559" s="1" t="s">
        <v>31</v>
      </c>
      <c r="H9559" s="4" t="str">
        <f>HYPERLINK("https://www.ncbi.nlm.nih.gov/geo/query/acc.cgi?acc=GSM178847","GSM178847")</f>
        <v>GSM178847</v>
      </c>
      <c r="I9559" t="s">
        <v>444</v>
      </c>
      <c r="J9559" t="s">
        <v>18</v>
      </c>
      <c r="K9559" t="s">
        <v>19</v>
      </c>
      <c r="L9559" t="s">
        <v>445</v>
      </c>
      <c r="M9559" t="s">
        <v>24</v>
      </c>
      <c r="N9559" t="s">
        <v>29</v>
      </c>
    </row>
    <row r="9560" spans="1:14">
      <c r="A9560" s="4" t="str">
        <f t="shared" si="855"/>
        <v>EXP00317</v>
      </c>
      <c r="B9560" s="4" t="str">
        <f t="shared" si="856"/>
        <v>18191186</v>
      </c>
      <c r="C9560" s="4" t="str">
        <f t="shared" si="857"/>
        <v>GSE7410</v>
      </c>
      <c r="D9560" s="1" t="s">
        <v>442</v>
      </c>
      <c r="E9560" t="s">
        <v>443</v>
      </c>
      <c r="F9560" s="1">
        <v>1</v>
      </c>
      <c r="G9560" s="1" t="s">
        <v>31</v>
      </c>
      <c r="H9560" s="4" t="str">
        <f>HYPERLINK("https://www.ncbi.nlm.nih.gov/geo/query/acc.cgi?acc=GSM178848","GSM178848")</f>
        <v>GSM178848</v>
      </c>
      <c r="I9560" t="s">
        <v>444</v>
      </c>
      <c r="J9560" t="s">
        <v>18</v>
      </c>
      <c r="K9560" t="s">
        <v>19</v>
      </c>
      <c r="L9560" t="s">
        <v>445</v>
      </c>
      <c r="M9560" t="s">
        <v>24</v>
      </c>
      <c r="N9560" t="s">
        <v>29</v>
      </c>
    </row>
    <row r="9561" spans="1:14">
      <c r="A9561" s="4" t="str">
        <f t="shared" si="855"/>
        <v>EXP00317</v>
      </c>
      <c r="B9561" s="4" t="str">
        <f t="shared" si="856"/>
        <v>18191186</v>
      </c>
      <c r="C9561" s="4" t="str">
        <f t="shared" si="857"/>
        <v>GSE7410</v>
      </c>
      <c r="D9561" s="1" t="s">
        <v>442</v>
      </c>
      <c r="E9561" t="s">
        <v>443</v>
      </c>
      <c r="F9561" s="1">
        <v>1</v>
      </c>
      <c r="G9561" s="1" t="s">
        <v>31</v>
      </c>
      <c r="H9561" s="4" t="str">
        <f>HYPERLINK("https://www.ncbi.nlm.nih.gov/geo/query/acc.cgi?acc=GSM178849","GSM178849")</f>
        <v>GSM178849</v>
      </c>
      <c r="I9561" t="s">
        <v>444</v>
      </c>
      <c r="J9561" t="s">
        <v>18</v>
      </c>
      <c r="K9561" t="s">
        <v>19</v>
      </c>
      <c r="L9561" t="s">
        <v>445</v>
      </c>
      <c r="M9561" t="s">
        <v>24</v>
      </c>
      <c r="N9561" t="s">
        <v>29</v>
      </c>
    </row>
    <row r="9562" spans="1:14">
      <c r="A9562" s="4" t="str">
        <f t="shared" si="855"/>
        <v>EXP00317</v>
      </c>
      <c r="B9562" s="4" t="str">
        <f t="shared" si="856"/>
        <v>18191186</v>
      </c>
      <c r="C9562" s="4" t="str">
        <f t="shared" si="857"/>
        <v>GSE7410</v>
      </c>
      <c r="D9562" s="1" t="s">
        <v>442</v>
      </c>
      <c r="E9562" t="s">
        <v>443</v>
      </c>
      <c r="F9562" s="1">
        <v>1</v>
      </c>
      <c r="G9562" s="1" t="s">
        <v>31</v>
      </c>
      <c r="H9562" s="4" t="str">
        <f>HYPERLINK("https://www.ncbi.nlm.nih.gov/geo/query/acc.cgi?acc=GSM178850","GSM178850")</f>
        <v>GSM178850</v>
      </c>
      <c r="I9562" t="s">
        <v>444</v>
      </c>
      <c r="J9562" t="s">
        <v>18</v>
      </c>
      <c r="K9562" t="s">
        <v>19</v>
      </c>
      <c r="L9562" t="s">
        <v>445</v>
      </c>
      <c r="M9562" t="s">
        <v>24</v>
      </c>
      <c r="N9562" t="s">
        <v>29</v>
      </c>
    </row>
    <row r="9563" spans="1:14">
      <c r="A9563" s="4" t="str">
        <f t="shared" si="855"/>
        <v>EXP00317</v>
      </c>
      <c r="B9563" s="4" t="str">
        <f t="shared" si="856"/>
        <v>18191186</v>
      </c>
      <c r="C9563" s="4" t="str">
        <f t="shared" si="857"/>
        <v>GSE7410</v>
      </c>
      <c r="D9563" s="1" t="s">
        <v>442</v>
      </c>
      <c r="E9563" t="s">
        <v>443</v>
      </c>
      <c r="F9563" s="1">
        <v>1</v>
      </c>
      <c r="G9563" s="1" t="s">
        <v>31</v>
      </c>
      <c r="H9563" s="4" t="str">
        <f>HYPERLINK("https://www.ncbi.nlm.nih.gov/geo/query/acc.cgi?acc=GSM178851","GSM178851")</f>
        <v>GSM178851</v>
      </c>
      <c r="I9563" t="s">
        <v>444</v>
      </c>
      <c r="J9563" t="s">
        <v>18</v>
      </c>
      <c r="K9563" t="s">
        <v>19</v>
      </c>
      <c r="L9563" t="s">
        <v>445</v>
      </c>
      <c r="M9563" t="s">
        <v>24</v>
      </c>
      <c r="N9563" t="s">
        <v>29</v>
      </c>
    </row>
    <row r="9564" spans="1:14">
      <c r="A9564" s="4" t="str">
        <f t="shared" si="855"/>
        <v>EXP00317</v>
      </c>
      <c r="B9564" s="4" t="str">
        <f t="shared" si="856"/>
        <v>18191186</v>
      </c>
      <c r="C9564" s="4" t="str">
        <f t="shared" si="857"/>
        <v>GSE7410</v>
      </c>
      <c r="D9564" s="1" t="s">
        <v>442</v>
      </c>
      <c r="E9564" t="s">
        <v>443</v>
      </c>
      <c r="F9564" s="1">
        <v>1</v>
      </c>
      <c r="G9564" s="1" t="s">
        <v>31</v>
      </c>
      <c r="H9564" s="4" t="str">
        <f>HYPERLINK("https://www.ncbi.nlm.nih.gov/geo/query/acc.cgi?acc=GSM178852","GSM178852")</f>
        <v>GSM178852</v>
      </c>
      <c r="I9564" t="s">
        <v>444</v>
      </c>
      <c r="J9564" t="s">
        <v>18</v>
      </c>
      <c r="K9564" t="s">
        <v>19</v>
      </c>
      <c r="L9564" t="s">
        <v>445</v>
      </c>
      <c r="M9564" t="s">
        <v>24</v>
      </c>
      <c r="N9564" t="s">
        <v>29</v>
      </c>
    </row>
    <row r="9565" spans="1:14">
      <c r="A9565" s="4" t="str">
        <f t="shared" si="855"/>
        <v>EXP00317</v>
      </c>
      <c r="B9565" s="4" t="str">
        <f t="shared" si="856"/>
        <v>18191186</v>
      </c>
      <c r="C9565" s="4" t="str">
        <f t="shared" si="857"/>
        <v>GSE7410</v>
      </c>
      <c r="D9565" s="1" t="s">
        <v>442</v>
      </c>
      <c r="E9565" t="s">
        <v>443</v>
      </c>
      <c r="F9565" s="1">
        <v>1</v>
      </c>
      <c r="G9565" s="1" t="s">
        <v>31</v>
      </c>
      <c r="H9565" s="4" t="str">
        <f>HYPERLINK("https://www.ncbi.nlm.nih.gov/geo/query/acc.cgi?acc=GSM178853","GSM178853")</f>
        <v>GSM178853</v>
      </c>
      <c r="I9565" t="s">
        <v>444</v>
      </c>
      <c r="J9565" t="s">
        <v>18</v>
      </c>
      <c r="K9565" t="s">
        <v>19</v>
      </c>
      <c r="L9565" t="s">
        <v>445</v>
      </c>
      <c r="M9565" t="s">
        <v>24</v>
      </c>
      <c r="N9565" t="s">
        <v>29</v>
      </c>
    </row>
    <row r="9566" spans="1:14">
      <c r="A9566" s="4" t="str">
        <f t="shared" si="855"/>
        <v>EXP00317</v>
      </c>
      <c r="B9566" s="4" t="str">
        <f t="shared" si="856"/>
        <v>18191186</v>
      </c>
      <c r="C9566" s="4" t="str">
        <f t="shared" si="857"/>
        <v>GSE7410</v>
      </c>
      <c r="D9566" s="1" t="s">
        <v>442</v>
      </c>
      <c r="E9566" t="s">
        <v>443</v>
      </c>
      <c r="F9566" s="1">
        <v>1</v>
      </c>
      <c r="G9566" s="1" t="s">
        <v>31</v>
      </c>
      <c r="H9566" s="4" t="str">
        <f>HYPERLINK("https://www.ncbi.nlm.nih.gov/geo/query/acc.cgi?acc=GSM178854","GSM178854")</f>
        <v>GSM178854</v>
      </c>
      <c r="I9566" t="s">
        <v>444</v>
      </c>
      <c r="J9566" t="s">
        <v>18</v>
      </c>
      <c r="K9566" t="s">
        <v>19</v>
      </c>
      <c r="L9566" t="s">
        <v>445</v>
      </c>
      <c r="M9566" t="s">
        <v>24</v>
      </c>
      <c r="N9566" t="s">
        <v>29</v>
      </c>
    </row>
    <row r="9567" spans="1:14">
      <c r="A9567" s="4" t="str">
        <f t="shared" si="855"/>
        <v>EXP00317</v>
      </c>
      <c r="B9567" s="4" t="str">
        <f t="shared" si="856"/>
        <v>18191186</v>
      </c>
      <c r="C9567" s="4" t="str">
        <f t="shared" si="857"/>
        <v>GSE7410</v>
      </c>
      <c r="D9567" s="1" t="s">
        <v>442</v>
      </c>
      <c r="E9567" t="s">
        <v>443</v>
      </c>
      <c r="F9567" s="1">
        <v>1</v>
      </c>
      <c r="G9567" s="1" t="s">
        <v>31</v>
      </c>
      <c r="H9567" s="4" t="str">
        <f>HYPERLINK("https://www.ncbi.nlm.nih.gov/geo/query/acc.cgi?acc=GSM178855","GSM178855")</f>
        <v>GSM178855</v>
      </c>
      <c r="I9567" t="s">
        <v>444</v>
      </c>
      <c r="J9567" t="s">
        <v>18</v>
      </c>
      <c r="K9567" t="s">
        <v>19</v>
      </c>
      <c r="L9567" t="s">
        <v>445</v>
      </c>
      <c r="M9567" t="s">
        <v>24</v>
      </c>
      <c r="N9567" t="s">
        <v>29</v>
      </c>
    </row>
    <row r="9568" spans="1:14">
      <c r="A9568" s="4" t="str">
        <f t="shared" si="855"/>
        <v>EXP00317</v>
      </c>
      <c r="B9568" s="4" t="str">
        <f t="shared" si="856"/>
        <v>18191186</v>
      </c>
      <c r="C9568" s="4" t="str">
        <f t="shared" si="857"/>
        <v>GSE7410</v>
      </c>
      <c r="D9568" s="1" t="s">
        <v>442</v>
      </c>
      <c r="E9568" t="s">
        <v>443</v>
      </c>
      <c r="F9568" s="1">
        <v>1</v>
      </c>
      <c r="G9568" s="1" t="s">
        <v>31</v>
      </c>
      <c r="H9568" s="4" t="str">
        <f>HYPERLINK("https://www.ncbi.nlm.nih.gov/geo/query/acc.cgi?acc=GSM178856","GSM178856")</f>
        <v>GSM178856</v>
      </c>
      <c r="I9568" t="s">
        <v>444</v>
      </c>
      <c r="J9568" t="s">
        <v>18</v>
      </c>
      <c r="K9568" t="s">
        <v>19</v>
      </c>
      <c r="L9568" t="s">
        <v>445</v>
      </c>
      <c r="M9568" t="s">
        <v>24</v>
      </c>
      <c r="N9568" t="s">
        <v>29</v>
      </c>
    </row>
    <row r="9569" spans="1:14">
      <c r="A9569" s="4" t="str">
        <f t="shared" si="855"/>
        <v>EXP00317</v>
      </c>
      <c r="B9569" s="4" t="str">
        <f t="shared" si="856"/>
        <v>18191186</v>
      </c>
      <c r="C9569" s="4" t="str">
        <f t="shared" si="857"/>
        <v>GSE7410</v>
      </c>
      <c r="D9569" s="1" t="s">
        <v>442</v>
      </c>
      <c r="E9569" t="s">
        <v>443</v>
      </c>
      <c r="F9569" s="1">
        <v>1</v>
      </c>
      <c r="G9569" s="1" t="s">
        <v>31</v>
      </c>
      <c r="H9569" s="4" t="str">
        <f>HYPERLINK("https://www.ncbi.nlm.nih.gov/geo/query/acc.cgi?acc=GSM178859","GSM178859")</f>
        <v>GSM178859</v>
      </c>
      <c r="I9569" t="s">
        <v>444</v>
      </c>
      <c r="J9569" t="s">
        <v>18</v>
      </c>
      <c r="K9569" t="s">
        <v>19</v>
      </c>
      <c r="L9569" t="s">
        <v>445</v>
      </c>
      <c r="M9569" t="s">
        <v>24</v>
      </c>
      <c r="N9569" t="s">
        <v>29</v>
      </c>
    </row>
    <row r="9570" spans="1:14">
      <c r="A9570" s="4" t="str">
        <f t="shared" si="855"/>
        <v>EXP00317</v>
      </c>
      <c r="B9570" s="4" t="str">
        <f t="shared" si="856"/>
        <v>18191186</v>
      </c>
      <c r="C9570" s="4" t="str">
        <f t="shared" si="857"/>
        <v>GSE7410</v>
      </c>
      <c r="D9570" s="1" t="s">
        <v>442</v>
      </c>
      <c r="E9570" t="s">
        <v>443</v>
      </c>
      <c r="F9570" s="1">
        <v>1</v>
      </c>
      <c r="G9570" s="1" t="s">
        <v>31</v>
      </c>
      <c r="H9570" s="4" t="str">
        <f>HYPERLINK("https://www.ncbi.nlm.nih.gov/geo/query/acc.cgi?acc=GSM178861","GSM178861")</f>
        <v>GSM178861</v>
      </c>
      <c r="I9570" t="s">
        <v>444</v>
      </c>
      <c r="J9570" t="s">
        <v>18</v>
      </c>
      <c r="K9570" t="s">
        <v>19</v>
      </c>
      <c r="L9570" t="s">
        <v>445</v>
      </c>
      <c r="M9570" t="s">
        <v>24</v>
      </c>
      <c r="N9570" t="s">
        <v>29</v>
      </c>
    </row>
    <row r="9571" spans="1:14">
      <c r="A9571" s="4" t="str">
        <f t="shared" si="855"/>
        <v>EXP00317</v>
      </c>
      <c r="B9571" s="4" t="str">
        <f t="shared" si="856"/>
        <v>18191186</v>
      </c>
      <c r="C9571" s="4" t="str">
        <f t="shared" si="857"/>
        <v>GSE7410</v>
      </c>
      <c r="D9571" s="1" t="s">
        <v>442</v>
      </c>
      <c r="E9571" t="s">
        <v>443</v>
      </c>
      <c r="F9571" s="1">
        <v>1</v>
      </c>
      <c r="G9571" s="1" t="s">
        <v>31</v>
      </c>
      <c r="H9571" s="4" t="str">
        <f>HYPERLINK("https://www.ncbi.nlm.nih.gov/geo/query/acc.cgi?acc=GSM178862","GSM178862")</f>
        <v>GSM178862</v>
      </c>
      <c r="I9571" t="s">
        <v>444</v>
      </c>
      <c r="J9571" t="s">
        <v>18</v>
      </c>
      <c r="K9571" t="s">
        <v>19</v>
      </c>
      <c r="L9571" t="s">
        <v>445</v>
      </c>
      <c r="M9571" t="s">
        <v>24</v>
      </c>
      <c r="N9571" t="s">
        <v>29</v>
      </c>
    </row>
    <row r="9572" spans="1:14">
      <c r="A9572" s="4" t="str">
        <f t="shared" si="855"/>
        <v>EXP00317</v>
      </c>
      <c r="B9572" s="4" t="str">
        <f t="shared" si="856"/>
        <v>18191186</v>
      </c>
      <c r="C9572" s="4" t="str">
        <f t="shared" si="857"/>
        <v>GSE7410</v>
      </c>
      <c r="D9572" s="1" t="s">
        <v>442</v>
      </c>
      <c r="E9572" t="s">
        <v>443</v>
      </c>
      <c r="F9572" s="1">
        <v>1</v>
      </c>
      <c r="G9572" s="1" t="s">
        <v>31</v>
      </c>
      <c r="H9572" s="4" t="str">
        <f>HYPERLINK("https://www.ncbi.nlm.nih.gov/geo/query/acc.cgi?acc=GSM178863","GSM178863")</f>
        <v>GSM178863</v>
      </c>
      <c r="I9572" t="s">
        <v>444</v>
      </c>
      <c r="J9572" t="s">
        <v>18</v>
      </c>
      <c r="K9572" t="s">
        <v>19</v>
      </c>
      <c r="L9572" t="s">
        <v>445</v>
      </c>
      <c r="M9572" t="s">
        <v>24</v>
      </c>
      <c r="N9572" t="s">
        <v>29</v>
      </c>
    </row>
    <row r="9573" spans="1:14">
      <c r="A9573" s="4" t="str">
        <f t="shared" si="855"/>
        <v>EXP00317</v>
      </c>
      <c r="B9573" s="4" t="str">
        <f t="shared" si="856"/>
        <v>18191186</v>
      </c>
      <c r="C9573" s="4" t="str">
        <f t="shared" si="857"/>
        <v>GSE7410</v>
      </c>
      <c r="D9573" s="1" t="s">
        <v>442</v>
      </c>
      <c r="E9573" t="s">
        <v>443</v>
      </c>
      <c r="F9573" s="1">
        <v>1</v>
      </c>
      <c r="G9573" s="1" t="s">
        <v>31</v>
      </c>
      <c r="H9573" s="4" t="str">
        <f>HYPERLINK("https://www.ncbi.nlm.nih.gov/geo/query/acc.cgi?acc=GSM178866","GSM178866")</f>
        <v>GSM178866</v>
      </c>
      <c r="I9573" t="s">
        <v>444</v>
      </c>
      <c r="J9573" t="s">
        <v>18</v>
      </c>
      <c r="K9573" t="s">
        <v>19</v>
      </c>
      <c r="L9573" t="s">
        <v>445</v>
      </c>
      <c r="M9573" t="s">
        <v>24</v>
      </c>
      <c r="N9573" t="s">
        <v>29</v>
      </c>
    </row>
    <row r="9574" spans="1:14">
      <c r="A9574" s="4" t="str">
        <f t="shared" si="855"/>
        <v>EXP00317</v>
      </c>
      <c r="B9574" s="4" t="str">
        <f t="shared" si="856"/>
        <v>18191186</v>
      </c>
      <c r="C9574" s="4" t="str">
        <f t="shared" si="857"/>
        <v>GSE7410</v>
      </c>
      <c r="D9574" s="1" t="s">
        <v>442</v>
      </c>
      <c r="E9574" t="s">
        <v>443</v>
      </c>
      <c r="F9574" s="1">
        <v>1</v>
      </c>
      <c r="G9574" s="1" t="s">
        <v>31</v>
      </c>
      <c r="H9574" s="4" t="str">
        <f>HYPERLINK("https://www.ncbi.nlm.nih.gov/geo/query/acc.cgi?acc=GSM178867","GSM178867")</f>
        <v>GSM178867</v>
      </c>
      <c r="I9574" t="s">
        <v>444</v>
      </c>
      <c r="J9574" t="s">
        <v>18</v>
      </c>
      <c r="K9574" t="s">
        <v>19</v>
      </c>
      <c r="L9574" t="s">
        <v>445</v>
      </c>
      <c r="M9574" t="s">
        <v>24</v>
      </c>
      <c r="N9574" t="s">
        <v>29</v>
      </c>
    </row>
    <row r="9575" spans="1:14">
      <c r="A9575" s="4" t="str">
        <f t="shared" si="855"/>
        <v>EXP00317</v>
      </c>
      <c r="B9575" s="4" t="str">
        <f t="shared" si="856"/>
        <v>18191186</v>
      </c>
      <c r="C9575" s="4" t="str">
        <f t="shared" si="857"/>
        <v>GSE7410</v>
      </c>
      <c r="D9575" s="1" t="s">
        <v>442</v>
      </c>
      <c r="E9575" t="s">
        <v>443</v>
      </c>
      <c r="F9575" s="1">
        <v>2</v>
      </c>
      <c r="G9575" s="1" t="s">
        <v>32</v>
      </c>
      <c r="H9575" s="4" t="str">
        <f>HYPERLINK("https://www.ncbi.nlm.nih.gov/geo/query/acc.cgi?acc=GSM178828","GSM178828")</f>
        <v>GSM178828</v>
      </c>
      <c r="I9575" t="s">
        <v>444</v>
      </c>
      <c r="J9575" t="s">
        <v>18</v>
      </c>
      <c r="K9575" t="s">
        <v>33</v>
      </c>
      <c r="L9575" t="s">
        <v>445</v>
      </c>
      <c r="N9575" t="s">
        <v>29</v>
      </c>
    </row>
    <row r="9576" spans="1:14">
      <c r="A9576" s="4" t="str">
        <f t="shared" si="855"/>
        <v>EXP00317</v>
      </c>
      <c r="B9576" s="4" t="str">
        <f t="shared" si="856"/>
        <v>18191186</v>
      </c>
      <c r="C9576" s="4" t="str">
        <f t="shared" si="857"/>
        <v>GSE7410</v>
      </c>
      <c r="D9576" s="1" t="s">
        <v>442</v>
      </c>
      <c r="E9576" t="s">
        <v>443</v>
      </c>
      <c r="F9576" s="1">
        <v>2</v>
      </c>
      <c r="G9576" s="1" t="s">
        <v>32</v>
      </c>
      <c r="H9576" s="4" t="str">
        <f>HYPERLINK("https://www.ncbi.nlm.nih.gov/geo/query/acc.cgi?acc=GSM178829","GSM178829")</f>
        <v>GSM178829</v>
      </c>
      <c r="I9576" t="s">
        <v>444</v>
      </c>
      <c r="J9576" t="s">
        <v>18</v>
      </c>
      <c r="K9576" t="s">
        <v>33</v>
      </c>
      <c r="L9576" t="s">
        <v>445</v>
      </c>
      <c r="N9576" t="s">
        <v>29</v>
      </c>
    </row>
    <row r="9577" spans="1:14">
      <c r="A9577" s="4" t="str">
        <f t="shared" si="855"/>
        <v>EXP00317</v>
      </c>
      <c r="B9577" s="4" t="str">
        <f t="shared" si="856"/>
        <v>18191186</v>
      </c>
      <c r="C9577" s="4" t="str">
        <f t="shared" si="857"/>
        <v>GSE7410</v>
      </c>
      <c r="D9577" s="1" t="s">
        <v>442</v>
      </c>
      <c r="E9577" t="s">
        <v>443</v>
      </c>
      <c r="F9577" s="1">
        <v>2</v>
      </c>
      <c r="G9577" s="1" t="s">
        <v>32</v>
      </c>
      <c r="H9577" s="4" t="str">
        <f>HYPERLINK("https://www.ncbi.nlm.nih.gov/geo/query/acc.cgi?acc=GSM178830","GSM178830")</f>
        <v>GSM178830</v>
      </c>
      <c r="I9577" t="s">
        <v>444</v>
      </c>
      <c r="J9577" t="s">
        <v>18</v>
      </c>
      <c r="K9577" t="s">
        <v>33</v>
      </c>
      <c r="L9577" t="s">
        <v>445</v>
      </c>
      <c r="N9577" t="s">
        <v>29</v>
      </c>
    </row>
    <row r="9578" spans="1:14">
      <c r="A9578" s="4" t="str">
        <f t="shared" si="855"/>
        <v>EXP00317</v>
      </c>
      <c r="B9578" s="4" t="str">
        <f t="shared" si="856"/>
        <v>18191186</v>
      </c>
      <c r="C9578" s="4" t="str">
        <f t="shared" si="857"/>
        <v>GSE7410</v>
      </c>
      <c r="D9578" s="1" t="s">
        <v>442</v>
      </c>
      <c r="E9578" t="s">
        <v>443</v>
      </c>
      <c r="F9578" s="1">
        <v>2</v>
      </c>
      <c r="G9578" s="1" t="s">
        <v>32</v>
      </c>
      <c r="H9578" s="4" t="str">
        <f>HYPERLINK("https://www.ncbi.nlm.nih.gov/geo/query/acc.cgi?acc=GSM178831","GSM178831")</f>
        <v>GSM178831</v>
      </c>
      <c r="I9578" t="s">
        <v>444</v>
      </c>
      <c r="J9578" t="s">
        <v>18</v>
      </c>
      <c r="K9578" t="s">
        <v>33</v>
      </c>
      <c r="L9578" t="s">
        <v>445</v>
      </c>
      <c r="N9578" t="s">
        <v>29</v>
      </c>
    </row>
    <row r="9579" spans="1:14">
      <c r="A9579" s="4" t="str">
        <f t="shared" si="855"/>
        <v>EXP00317</v>
      </c>
      <c r="B9579" s="4" t="str">
        <f t="shared" si="856"/>
        <v>18191186</v>
      </c>
      <c r="C9579" s="4" t="str">
        <f t="shared" si="857"/>
        <v>GSE7410</v>
      </c>
      <c r="D9579" s="1" t="s">
        <v>442</v>
      </c>
      <c r="E9579" t="s">
        <v>443</v>
      </c>
      <c r="F9579" s="1">
        <v>2</v>
      </c>
      <c r="G9579" s="1" t="s">
        <v>32</v>
      </c>
      <c r="H9579" s="4" t="str">
        <f>HYPERLINK("https://www.ncbi.nlm.nih.gov/geo/query/acc.cgi?acc=GSM178832","GSM178832")</f>
        <v>GSM178832</v>
      </c>
      <c r="I9579" t="s">
        <v>444</v>
      </c>
      <c r="J9579" t="s">
        <v>18</v>
      </c>
      <c r="K9579" t="s">
        <v>33</v>
      </c>
      <c r="L9579" t="s">
        <v>445</v>
      </c>
      <c r="N9579" t="s">
        <v>29</v>
      </c>
    </row>
    <row r="9580" spans="1:14">
      <c r="A9580" s="4" t="str">
        <f t="shared" si="855"/>
        <v>EXP00317</v>
      </c>
      <c r="B9580" s="4" t="str">
        <f t="shared" si="856"/>
        <v>18191186</v>
      </c>
      <c r="C9580" s="4" t="str">
        <f t="shared" si="857"/>
        <v>GSE7410</v>
      </c>
      <c r="D9580" s="1" t="s">
        <v>442</v>
      </c>
      <c r="E9580" t="s">
        <v>443</v>
      </c>
      <c r="F9580" s="1">
        <v>2</v>
      </c>
      <c r="G9580" s="1" t="s">
        <v>32</v>
      </c>
      <c r="H9580" s="4" t="str">
        <f>HYPERLINK("https://www.ncbi.nlm.nih.gov/geo/query/acc.cgi?acc=GSM178833","GSM178833")</f>
        <v>GSM178833</v>
      </c>
      <c r="I9580" t="s">
        <v>444</v>
      </c>
      <c r="J9580" t="s">
        <v>18</v>
      </c>
      <c r="K9580" t="s">
        <v>33</v>
      </c>
      <c r="L9580" t="s">
        <v>445</v>
      </c>
      <c r="N9580" t="s">
        <v>29</v>
      </c>
    </row>
    <row r="9581" spans="1:14">
      <c r="A9581" s="4" t="str">
        <f t="shared" si="855"/>
        <v>EXP00317</v>
      </c>
      <c r="B9581" s="4" t="str">
        <f t="shared" si="856"/>
        <v>18191186</v>
      </c>
      <c r="C9581" s="4" t="str">
        <f t="shared" si="857"/>
        <v>GSE7410</v>
      </c>
      <c r="D9581" s="1" t="s">
        <v>442</v>
      </c>
      <c r="E9581" t="s">
        <v>443</v>
      </c>
      <c r="F9581" s="1">
        <v>2</v>
      </c>
      <c r="G9581" s="1" t="s">
        <v>32</v>
      </c>
      <c r="H9581" s="4" t="str">
        <f>HYPERLINK("https://www.ncbi.nlm.nih.gov/geo/query/acc.cgi?acc=GSM178834","GSM178834")</f>
        <v>GSM178834</v>
      </c>
      <c r="I9581" t="s">
        <v>444</v>
      </c>
      <c r="J9581" t="s">
        <v>18</v>
      </c>
      <c r="K9581" t="s">
        <v>33</v>
      </c>
      <c r="L9581" t="s">
        <v>445</v>
      </c>
      <c r="N9581" t="s">
        <v>29</v>
      </c>
    </row>
    <row r="9582" spans="1:14">
      <c r="A9582" s="4" t="str">
        <f t="shared" si="855"/>
        <v>EXP00317</v>
      </c>
      <c r="B9582" s="4" t="str">
        <f t="shared" si="856"/>
        <v>18191186</v>
      </c>
      <c r="C9582" s="4" t="str">
        <f t="shared" si="857"/>
        <v>GSE7410</v>
      </c>
      <c r="D9582" s="1" t="s">
        <v>442</v>
      </c>
      <c r="E9582" t="s">
        <v>443</v>
      </c>
      <c r="F9582" s="1">
        <v>2</v>
      </c>
      <c r="G9582" s="1" t="s">
        <v>32</v>
      </c>
      <c r="H9582" s="4" t="str">
        <f>HYPERLINK("https://www.ncbi.nlm.nih.gov/geo/query/acc.cgi?acc=GSM178835","GSM178835")</f>
        <v>GSM178835</v>
      </c>
      <c r="I9582" t="s">
        <v>444</v>
      </c>
      <c r="J9582" t="s">
        <v>18</v>
      </c>
      <c r="K9582" t="s">
        <v>33</v>
      </c>
      <c r="L9582" t="s">
        <v>445</v>
      </c>
      <c r="N9582" t="s">
        <v>29</v>
      </c>
    </row>
    <row r="9583" spans="1:14">
      <c r="A9583" s="4" t="str">
        <f t="shared" si="855"/>
        <v>EXP00317</v>
      </c>
      <c r="B9583" s="4" t="str">
        <f t="shared" si="856"/>
        <v>18191186</v>
      </c>
      <c r="C9583" s="4" t="str">
        <f t="shared" si="857"/>
        <v>GSE7410</v>
      </c>
      <c r="D9583" s="1" t="s">
        <v>442</v>
      </c>
      <c r="E9583" t="s">
        <v>443</v>
      </c>
      <c r="F9583" s="1">
        <v>2</v>
      </c>
      <c r="G9583" s="1" t="s">
        <v>32</v>
      </c>
      <c r="H9583" s="4" t="str">
        <f>HYPERLINK("https://www.ncbi.nlm.nih.gov/geo/query/acc.cgi?acc=GSM178836","GSM178836")</f>
        <v>GSM178836</v>
      </c>
      <c r="I9583" t="s">
        <v>444</v>
      </c>
      <c r="J9583" t="s">
        <v>18</v>
      </c>
      <c r="K9583" t="s">
        <v>33</v>
      </c>
      <c r="L9583" t="s">
        <v>445</v>
      </c>
      <c r="N9583" t="s">
        <v>29</v>
      </c>
    </row>
    <row r="9584" spans="1:14">
      <c r="A9584" s="4" t="str">
        <f t="shared" si="855"/>
        <v>EXP00317</v>
      </c>
      <c r="B9584" s="4" t="str">
        <f t="shared" si="856"/>
        <v>18191186</v>
      </c>
      <c r="C9584" s="4" t="str">
        <f t="shared" si="857"/>
        <v>GSE7410</v>
      </c>
      <c r="D9584" s="1" t="s">
        <v>442</v>
      </c>
      <c r="E9584" t="s">
        <v>443</v>
      </c>
      <c r="F9584" s="1">
        <v>2</v>
      </c>
      <c r="G9584" s="1" t="s">
        <v>32</v>
      </c>
      <c r="H9584" s="4" t="str">
        <f>HYPERLINK("https://www.ncbi.nlm.nih.gov/geo/query/acc.cgi?acc=GSM178837","GSM178837")</f>
        <v>GSM178837</v>
      </c>
      <c r="I9584" t="s">
        <v>444</v>
      </c>
      <c r="J9584" t="s">
        <v>18</v>
      </c>
      <c r="K9584" t="s">
        <v>33</v>
      </c>
      <c r="L9584" t="s">
        <v>445</v>
      </c>
      <c r="N9584" t="s">
        <v>29</v>
      </c>
    </row>
    <row r="9585" spans="1:14">
      <c r="A9585" s="4" t="str">
        <f t="shared" si="855"/>
        <v>EXP00317</v>
      </c>
      <c r="B9585" s="4" t="str">
        <f t="shared" si="856"/>
        <v>18191186</v>
      </c>
      <c r="C9585" s="4" t="str">
        <f t="shared" si="857"/>
        <v>GSE7410</v>
      </c>
      <c r="D9585" s="1" t="s">
        <v>442</v>
      </c>
      <c r="E9585" t="s">
        <v>443</v>
      </c>
      <c r="F9585" s="1">
        <v>2</v>
      </c>
      <c r="G9585" s="1" t="s">
        <v>32</v>
      </c>
      <c r="H9585" s="4" t="str">
        <f>HYPERLINK("https://www.ncbi.nlm.nih.gov/geo/query/acc.cgi?acc=GSM178838","GSM178838")</f>
        <v>GSM178838</v>
      </c>
      <c r="I9585" t="s">
        <v>444</v>
      </c>
      <c r="J9585" t="s">
        <v>18</v>
      </c>
      <c r="K9585" t="s">
        <v>33</v>
      </c>
      <c r="L9585" t="s">
        <v>445</v>
      </c>
      <c r="N9585" t="s">
        <v>29</v>
      </c>
    </row>
    <row r="9586" spans="1:14">
      <c r="A9586" s="4" t="str">
        <f t="shared" si="855"/>
        <v>EXP00317</v>
      </c>
      <c r="B9586" s="4" t="str">
        <f t="shared" si="856"/>
        <v>18191186</v>
      </c>
      <c r="C9586" s="4" t="str">
        <f t="shared" si="857"/>
        <v>GSE7410</v>
      </c>
      <c r="D9586" s="1" t="s">
        <v>442</v>
      </c>
      <c r="E9586" t="s">
        <v>443</v>
      </c>
      <c r="F9586" s="1">
        <v>2</v>
      </c>
      <c r="G9586" s="1" t="s">
        <v>32</v>
      </c>
      <c r="H9586" s="4" t="str">
        <f>HYPERLINK("https://www.ncbi.nlm.nih.gov/geo/query/acc.cgi?acc=GSM178839","GSM178839")</f>
        <v>GSM178839</v>
      </c>
      <c r="I9586" t="s">
        <v>444</v>
      </c>
      <c r="J9586" t="s">
        <v>18</v>
      </c>
      <c r="K9586" t="s">
        <v>33</v>
      </c>
      <c r="L9586" t="s">
        <v>445</v>
      </c>
      <c r="N9586" t="s">
        <v>29</v>
      </c>
    </row>
    <row r="9587" spans="1:14">
      <c r="A9587" s="4" t="str">
        <f t="shared" si="855"/>
        <v>EXP00317</v>
      </c>
      <c r="B9587" s="4" t="str">
        <f t="shared" si="856"/>
        <v>18191186</v>
      </c>
      <c r="C9587" s="4" t="str">
        <f t="shared" si="857"/>
        <v>GSE7410</v>
      </c>
      <c r="D9587" s="1" t="s">
        <v>442</v>
      </c>
      <c r="E9587" t="s">
        <v>443</v>
      </c>
      <c r="F9587" s="1">
        <v>2</v>
      </c>
      <c r="G9587" s="1" t="s">
        <v>32</v>
      </c>
      <c r="H9587" s="4" t="str">
        <f>HYPERLINK("https://www.ncbi.nlm.nih.gov/geo/query/acc.cgi?acc=GSM178840","GSM178840")</f>
        <v>GSM178840</v>
      </c>
      <c r="I9587" t="s">
        <v>444</v>
      </c>
      <c r="J9587" t="s">
        <v>18</v>
      </c>
      <c r="K9587" t="s">
        <v>33</v>
      </c>
      <c r="L9587" t="s">
        <v>445</v>
      </c>
      <c r="N9587" t="s">
        <v>29</v>
      </c>
    </row>
    <row r="9588" spans="1:14">
      <c r="A9588" s="4" t="str">
        <f t="shared" si="855"/>
        <v>EXP00317</v>
      </c>
      <c r="B9588" s="4" t="str">
        <f t="shared" ref="B9588:B9620" si="858">HYPERLINK("https://www.ncbi.nlm.nih.gov/pubmed/18191186","18191186")</f>
        <v>18191186</v>
      </c>
      <c r="C9588" s="4" t="str">
        <f t="shared" ref="C9588:C9620" si="859">HYPERLINK("https://www.ncbi.nlm.nih.gov/geo/query/acc.cgi?acc=GSE7410","GSE7410")</f>
        <v>GSE7410</v>
      </c>
      <c r="D9588" s="1" t="s">
        <v>442</v>
      </c>
      <c r="E9588" t="s">
        <v>443</v>
      </c>
      <c r="F9588" s="1">
        <v>2</v>
      </c>
      <c r="G9588" s="1" t="s">
        <v>32</v>
      </c>
      <c r="H9588" s="4" t="str">
        <f>HYPERLINK("https://www.ncbi.nlm.nih.gov/geo/query/acc.cgi?acc=GSM178841","GSM178841")</f>
        <v>GSM178841</v>
      </c>
      <c r="I9588" t="s">
        <v>444</v>
      </c>
      <c r="J9588" t="s">
        <v>18</v>
      </c>
      <c r="K9588" t="s">
        <v>33</v>
      </c>
      <c r="L9588" t="s">
        <v>445</v>
      </c>
      <c r="N9588" t="s">
        <v>29</v>
      </c>
    </row>
    <row r="9589" spans="1:14">
      <c r="A9589" s="4" t="str">
        <f t="shared" si="855"/>
        <v>EXP00317</v>
      </c>
      <c r="B9589" s="4" t="str">
        <f t="shared" si="858"/>
        <v>18191186</v>
      </c>
      <c r="C9589" s="4" t="str">
        <f t="shared" si="859"/>
        <v>GSE7410</v>
      </c>
      <c r="D9589" s="1" t="s">
        <v>442</v>
      </c>
      <c r="E9589" t="s">
        <v>443</v>
      </c>
      <c r="F9589" s="1">
        <v>2</v>
      </c>
      <c r="G9589" s="1" t="s">
        <v>32</v>
      </c>
      <c r="H9589" s="4" t="str">
        <f>HYPERLINK("https://www.ncbi.nlm.nih.gov/geo/query/acc.cgi?acc=GSM178842","GSM178842")</f>
        <v>GSM178842</v>
      </c>
      <c r="I9589" t="s">
        <v>444</v>
      </c>
      <c r="J9589" t="s">
        <v>18</v>
      </c>
      <c r="K9589" t="s">
        <v>33</v>
      </c>
      <c r="L9589" t="s">
        <v>445</v>
      </c>
      <c r="N9589" t="s">
        <v>29</v>
      </c>
    </row>
    <row r="9590" spans="1:14">
      <c r="A9590" s="4" t="str">
        <f t="shared" si="855"/>
        <v>EXP00317</v>
      </c>
      <c r="B9590" s="4" t="str">
        <f t="shared" si="858"/>
        <v>18191186</v>
      </c>
      <c r="C9590" s="4" t="str">
        <f t="shared" si="859"/>
        <v>GSE7410</v>
      </c>
      <c r="D9590" s="1" t="s">
        <v>442</v>
      </c>
      <c r="E9590" t="s">
        <v>443</v>
      </c>
      <c r="F9590" s="1">
        <v>2</v>
      </c>
      <c r="G9590" s="1" t="s">
        <v>32</v>
      </c>
      <c r="H9590" s="4" t="str">
        <f>HYPERLINK("https://www.ncbi.nlm.nih.gov/geo/query/acc.cgi?acc=GSM178843","GSM178843")</f>
        <v>GSM178843</v>
      </c>
      <c r="I9590" t="s">
        <v>444</v>
      </c>
      <c r="J9590" t="s">
        <v>18</v>
      </c>
      <c r="K9590" t="s">
        <v>33</v>
      </c>
      <c r="L9590" t="s">
        <v>445</v>
      </c>
      <c r="N9590" t="s">
        <v>29</v>
      </c>
    </row>
    <row r="9591" spans="1:14">
      <c r="A9591" s="4" t="str">
        <f t="shared" si="855"/>
        <v>EXP00317</v>
      </c>
      <c r="B9591" s="4" t="str">
        <f t="shared" si="858"/>
        <v>18191186</v>
      </c>
      <c r="C9591" s="4" t="str">
        <f t="shared" si="859"/>
        <v>GSE7410</v>
      </c>
      <c r="D9591" s="1" t="s">
        <v>442</v>
      </c>
      <c r="E9591" t="s">
        <v>443</v>
      </c>
      <c r="F9591" s="1">
        <v>2</v>
      </c>
      <c r="G9591" s="1" t="s">
        <v>32</v>
      </c>
      <c r="H9591" s="4" t="str">
        <f>HYPERLINK("https://www.ncbi.nlm.nih.gov/geo/query/acc.cgi?acc=GSM178857","GSM178857")</f>
        <v>GSM178857</v>
      </c>
      <c r="I9591" t="s">
        <v>444</v>
      </c>
      <c r="J9591" t="s">
        <v>18</v>
      </c>
      <c r="K9591" t="s">
        <v>33</v>
      </c>
      <c r="L9591" t="s">
        <v>445</v>
      </c>
      <c r="N9591" t="s">
        <v>29</v>
      </c>
    </row>
    <row r="9592" spans="1:14">
      <c r="A9592" s="4" t="str">
        <f t="shared" si="855"/>
        <v>EXP00317</v>
      </c>
      <c r="B9592" s="4" t="str">
        <f t="shared" si="858"/>
        <v>18191186</v>
      </c>
      <c r="C9592" s="4" t="str">
        <f t="shared" si="859"/>
        <v>GSE7410</v>
      </c>
      <c r="D9592" s="1" t="s">
        <v>442</v>
      </c>
      <c r="E9592" t="s">
        <v>443</v>
      </c>
      <c r="F9592" s="1">
        <v>2</v>
      </c>
      <c r="G9592" s="1" t="s">
        <v>32</v>
      </c>
      <c r="H9592" s="4" t="str">
        <f>HYPERLINK("https://www.ncbi.nlm.nih.gov/geo/query/acc.cgi?acc=GSM178858","GSM178858")</f>
        <v>GSM178858</v>
      </c>
      <c r="I9592" t="s">
        <v>444</v>
      </c>
      <c r="J9592" t="s">
        <v>18</v>
      </c>
      <c r="K9592" t="s">
        <v>33</v>
      </c>
      <c r="L9592" t="s">
        <v>445</v>
      </c>
      <c r="N9592" t="s">
        <v>29</v>
      </c>
    </row>
    <row r="9593" spans="1:14">
      <c r="A9593" s="4" t="str">
        <f t="shared" si="855"/>
        <v>EXP00317</v>
      </c>
      <c r="B9593" s="4" t="str">
        <f t="shared" si="858"/>
        <v>18191186</v>
      </c>
      <c r="C9593" s="4" t="str">
        <f t="shared" si="859"/>
        <v>GSE7410</v>
      </c>
      <c r="D9593" s="1" t="s">
        <v>442</v>
      </c>
      <c r="E9593" t="s">
        <v>443</v>
      </c>
      <c r="F9593" s="1">
        <v>2</v>
      </c>
      <c r="G9593" s="1" t="s">
        <v>32</v>
      </c>
      <c r="H9593" s="4" t="str">
        <f>HYPERLINK("https://www.ncbi.nlm.nih.gov/geo/query/acc.cgi?acc=GSM178860","GSM178860")</f>
        <v>GSM178860</v>
      </c>
      <c r="I9593" t="s">
        <v>444</v>
      </c>
      <c r="J9593" t="s">
        <v>18</v>
      </c>
      <c r="K9593" t="s">
        <v>33</v>
      </c>
      <c r="L9593" t="s">
        <v>445</v>
      </c>
      <c r="N9593" t="s">
        <v>29</v>
      </c>
    </row>
    <row r="9594" spans="1:14">
      <c r="A9594" s="4" t="str">
        <f t="shared" si="855"/>
        <v>EXP00317</v>
      </c>
      <c r="B9594" s="4" t="str">
        <f t="shared" si="858"/>
        <v>18191186</v>
      </c>
      <c r="C9594" s="4" t="str">
        <f t="shared" si="859"/>
        <v>GSE7410</v>
      </c>
      <c r="D9594" s="1" t="s">
        <v>442</v>
      </c>
      <c r="E9594" t="s">
        <v>443</v>
      </c>
      <c r="F9594" s="1">
        <v>2</v>
      </c>
      <c r="G9594" s="1" t="s">
        <v>32</v>
      </c>
      <c r="H9594" s="4" t="str">
        <f>HYPERLINK("https://www.ncbi.nlm.nih.gov/geo/query/acc.cgi?acc=GSM178864","GSM178864")</f>
        <v>GSM178864</v>
      </c>
      <c r="I9594" t="s">
        <v>444</v>
      </c>
      <c r="J9594" t="s">
        <v>18</v>
      </c>
      <c r="K9594" t="s">
        <v>33</v>
      </c>
      <c r="L9594" t="s">
        <v>445</v>
      </c>
      <c r="N9594" t="s">
        <v>29</v>
      </c>
    </row>
    <row r="9595" spans="1:14">
      <c r="A9595" s="4" t="str">
        <f t="shared" si="855"/>
        <v>EXP00317</v>
      </c>
      <c r="B9595" s="4" t="str">
        <f t="shared" si="858"/>
        <v>18191186</v>
      </c>
      <c r="C9595" s="4" t="str">
        <f t="shared" si="859"/>
        <v>GSE7410</v>
      </c>
      <c r="D9595" s="1" t="s">
        <v>442</v>
      </c>
      <c r="E9595" t="s">
        <v>443</v>
      </c>
      <c r="F9595" s="1">
        <v>2</v>
      </c>
      <c r="G9595" s="1" t="s">
        <v>32</v>
      </c>
      <c r="H9595" s="4" t="str">
        <f>HYPERLINK("https://www.ncbi.nlm.nih.gov/geo/query/acc.cgi?acc=GSM178865","GSM178865")</f>
        <v>GSM178865</v>
      </c>
      <c r="I9595" t="s">
        <v>444</v>
      </c>
      <c r="J9595" t="s">
        <v>18</v>
      </c>
      <c r="K9595" t="s">
        <v>33</v>
      </c>
      <c r="L9595" t="s">
        <v>445</v>
      </c>
      <c r="N9595" t="s">
        <v>29</v>
      </c>
    </row>
    <row r="9596" spans="1:14">
      <c r="A9596" s="4" t="str">
        <f t="shared" ref="A9596:A9620" si="860">HYPERLINK("http://hcmdb.i-sanger.com/experiment/details/experiment_id/EXP00318","EXP00318")</f>
        <v>EXP00318</v>
      </c>
      <c r="B9596" s="4" t="str">
        <f t="shared" si="858"/>
        <v>18191186</v>
      </c>
      <c r="C9596" s="4" t="str">
        <f t="shared" si="859"/>
        <v>GSE7410</v>
      </c>
      <c r="D9596" s="1" t="s">
        <v>442</v>
      </c>
      <c r="E9596" t="s">
        <v>446</v>
      </c>
      <c r="F9596" s="1">
        <v>1</v>
      </c>
      <c r="G9596" s="1" t="s">
        <v>36</v>
      </c>
      <c r="H9596" s="4" t="str">
        <f>HYPERLINK("https://www.ncbi.nlm.nih.gov/geo/query/acc.cgi?acc=GSM178868","GSM178868")</f>
        <v>GSM178868</v>
      </c>
      <c r="I9596" t="s">
        <v>444</v>
      </c>
      <c r="J9596" t="s">
        <v>18</v>
      </c>
      <c r="K9596" t="s">
        <v>33</v>
      </c>
      <c r="L9596" t="s">
        <v>445</v>
      </c>
      <c r="N9596" t="s">
        <v>37</v>
      </c>
    </row>
    <row r="9597" spans="1:14">
      <c r="A9597" s="4" t="str">
        <f t="shared" si="860"/>
        <v>EXP00318</v>
      </c>
      <c r="B9597" s="4" t="str">
        <f t="shared" si="858"/>
        <v>18191186</v>
      </c>
      <c r="C9597" s="4" t="str">
        <f t="shared" si="859"/>
        <v>GSE7410</v>
      </c>
      <c r="D9597" s="1" t="s">
        <v>442</v>
      </c>
      <c r="E9597" t="s">
        <v>446</v>
      </c>
      <c r="F9597" s="1">
        <v>1</v>
      </c>
      <c r="G9597" s="1" t="s">
        <v>36</v>
      </c>
      <c r="H9597" s="4" t="str">
        <f>HYPERLINK("https://www.ncbi.nlm.nih.gov/geo/query/acc.cgi?acc=GSM178869","GSM178869")</f>
        <v>GSM178869</v>
      </c>
      <c r="I9597" t="s">
        <v>444</v>
      </c>
      <c r="J9597" t="s">
        <v>18</v>
      </c>
      <c r="K9597" t="s">
        <v>33</v>
      </c>
      <c r="L9597" t="s">
        <v>445</v>
      </c>
      <c r="N9597" t="s">
        <v>37</v>
      </c>
    </row>
    <row r="9598" spans="1:14">
      <c r="A9598" s="4" t="str">
        <f t="shared" si="860"/>
        <v>EXP00318</v>
      </c>
      <c r="B9598" s="4" t="str">
        <f t="shared" si="858"/>
        <v>18191186</v>
      </c>
      <c r="C9598" s="4" t="str">
        <f t="shared" si="859"/>
        <v>GSE7410</v>
      </c>
      <c r="D9598" s="1" t="s">
        <v>442</v>
      </c>
      <c r="E9598" t="s">
        <v>446</v>
      </c>
      <c r="F9598" s="1">
        <v>1</v>
      </c>
      <c r="G9598" s="1" t="s">
        <v>36</v>
      </c>
      <c r="H9598" s="4" t="str">
        <f>HYPERLINK("https://www.ncbi.nlm.nih.gov/geo/query/acc.cgi?acc=GSM178870","GSM178870")</f>
        <v>GSM178870</v>
      </c>
      <c r="I9598" t="s">
        <v>444</v>
      </c>
      <c r="J9598" t="s">
        <v>18</v>
      </c>
      <c r="K9598" t="s">
        <v>33</v>
      </c>
      <c r="L9598" t="s">
        <v>445</v>
      </c>
      <c r="N9598" t="s">
        <v>37</v>
      </c>
    </row>
    <row r="9599" spans="1:14">
      <c r="A9599" s="4" t="str">
        <f t="shared" si="860"/>
        <v>EXP00318</v>
      </c>
      <c r="B9599" s="4" t="str">
        <f t="shared" si="858"/>
        <v>18191186</v>
      </c>
      <c r="C9599" s="4" t="str">
        <f t="shared" si="859"/>
        <v>GSE7410</v>
      </c>
      <c r="D9599" s="1" t="s">
        <v>442</v>
      </c>
      <c r="E9599" t="s">
        <v>446</v>
      </c>
      <c r="F9599" s="1">
        <v>1</v>
      </c>
      <c r="G9599" s="1" t="s">
        <v>36</v>
      </c>
      <c r="H9599" s="4" t="str">
        <f>HYPERLINK("https://www.ncbi.nlm.nih.gov/geo/query/acc.cgi?acc=GSM178871","GSM178871")</f>
        <v>GSM178871</v>
      </c>
      <c r="I9599" t="s">
        <v>444</v>
      </c>
      <c r="J9599" t="s">
        <v>18</v>
      </c>
      <c r="K9599" t="s">
        <v>33</v>
      </c>
      <c r="L9599" t="s">
        <v>445</v>
      </c>
      <c r="N9599" t="s">
        <v>37</v>
      </c>
    </row>
    <row r="9600" spans="1:14">
      <c r="A9600" s="4" t="str">
        <f t="shared" si="860"/>
        <v>EXP00318</v>
      </c>
      <c r="B9600" s="4" t="str">
        <f t="shared" si="858"/>
        <v>18191186</v>
      </c>
      <c r="C9600" s="4" t="str">
        <f t="shared" si="859"/>
        <v>GSE7410</v>
      </c>
      <c r="D9600" s="1" t="s">
        <v>442</v>
      </c>
      <c r="E9600" t="s">
        <v>446</v>
      </c>
      <c r="F9600" s="1">
        <v>2</v>
      </c>
      <c r="G9600" s="1" t="s">
        <v>28</v>
      </c>
      <c r="H9600" s="4" t="str">
        <f>HYPERLINK("https://www.ncbi.nlm.nih.gov/geo/query/acc.cgi?acc=GSM178828","GSM178828")</f>
        <v>GSM178828</v>
      </c>
      <c r="I9600" t="s">
        <v>444</v>
      </c>
      <c r="J9600" t="s">
        <v>18</v>
      </c>
      <c r="K9600" t="s">
        <v>33</v>
      </c>
      <c r="L9600" t="s">
        <v>445</v>
      </c>
      <c r="N9600" t="s">
        <v>29</v>
      </c>
    </row>
    <row r="9601" spans="1:14">
      <c r="A9601" s="4" t="str">
        <f t="shared" si="860"/>
        <v>EXP00318</v>
      </c>
      <c r="B9601" s="4" t="str">
        <f t="shared" si="858"/>
        <v>18191186</v>
      </c>
      <c r="C9601" s="4" t="str">
        <f t="shared" si="859"/>
        <v>GSE7410</v>
      </c>
      <c r="D9601" s="1" t="s">
        <v>442</v>
      </c>
      <c r="E9601" t="s">
        <v>446</v>
      </c>
      <c r="F9601" s="1">
        <v>2</v>
      </c>
      <c r="G9601" s="1" t="s">
        <v>28</v>
      </c>
      <c r="H9601" s="4" t="str">
        <f>HYPERLINK("https://www.ncbi.nlm.nih.gov/geo/query/acc.cgi?acc=GSM178829","GSM178829")</f>
        <v>GSM178829</v>
      </c>
      <c r="I9601" t="s">
        <v>444</v>
      </c>
      <c r="J9601" t="s">
        <v>18</v>
      </c>
      <c r="K9601" t="s">
        <v>33</v>
      </c>
      <c r="L9601" t="s">
        <v>445</v>
      </c>
      <c r="N9601" t="s">
        <v>29</v>
      </c>
    </row>
    <row r="9602" spans="1:14">
      <c r="A9602" s="4" t="str">
        <f t="shared" si="860"/>
        <v>EXP00318</v>
      </c>
      <c r="B9602" s="4" t="str">
        <f t="shared" si="858"/>
        <v>18191186</v>
      </c>
      <c r="C9602" s="4" t="str">
        <f t="shared" si="859"/>
        <v>GSE7410</v>
      </c>
      <c r="D9602" s="1" t="s">
        <v>442</v>
      </c>
      <c r="E9602" t="s">
        <v>446</v>
      </c>
      <c r="F9602" s="1">
        <v>2</v>
      </c>
      <c r="G9602" s="1" t="s">
        <v>28</v>
      </c>
      <c r="H9602" s="4" t="str">
        <f>HYPERLINK("https://www.ncbi.nlm.nih.gov/geo/query/acc.cgi?acc=GSM178830","GSM178830")</f>
        <v>GSM178830</v>
      </c>
      <c r="I9602" t="s">
        <v>444</v>
      </c>
      <c r="J9602" t="s">
        <v>18</v>
      </c>
      <c r="K9602" t="s">
        <v>33</v>
      </c>
      <c r="L9602" t="s">
        <v>445</v>
      </c>
      <c r="N9602" t="s">
        <v>29</v>
      </c>
    </row>
    <row r="9603" spans="1:14">
      <c r="A9603" s="4" t="str">
        <f t="shared" si="860"/>
        <v>EXP00318</v>
      </c>
      <c r="B9603" s="4" t="str">
        <f t="shared" si="858"/>
        <v>18191186</v>
      </c>
      <c r="C9603" s="4" t="str">
        <f t="shared" si="859"/>
        <v>GSE7410</v>
      </c>
      <c r="D9603" s="1" t="s">
        <v>442</v>
      </c>
      <c r="E9603" t="s">
        <v>446</v>
      </c>
      <c r="F9603" s="1">
        <v>2</v>
      </c>
      <c r="G9603" s="1" t="s">
        <v>28</v>
      </c>
      <c r="H9603" s="4" t="str">
        <f>HYPERLINK("https://www.ncbi.nlm.nih.gov/geo/query/acc.cgi?acc=GSM178831","GSM178831")</f>
        <v>GSM178831</v>
      </c>
      <c r="I9603" t="s">
        <v>444</v>
      </c>
      <c r="J9603" t="s">
        <v>18</v>
      </c>
      <c r="K9603" t="s">
        <v>33</v>
      </c>
      <c r="L9603" t="s">
        <v>445</v>
      </c>
      <c r="N9603" t="s">
        <v>29</v>
      </c>
    </row>
    <row r="9604" spans="1:14">
      <c r="A9604" s="4" t="str">
        <f t="shared" si="860"/>
        <v>EXP00318</v>
      </c>
      <c r="B9604" s="4" t="str">
        <f t="shared" si="858"/>
        <v>18191186</v>
      </c>
      <c r="C9604" s="4" t="str">
        <f t="shared" si="859"/>
        <v>GSE7410</v>
      </c>
      <c r="D9604" s="1" t="s">
        <v>442</v>
      </c>
      <c r="E9604" t="s">
        <v>446</v>
      </c>
      <c r="F9604" s="1">
        <v>2</v>
      </c>
      <c r="G9604" s="1" t="s">
        <v>28</v>
      </c>
      <c r="H9604" s="4" t="str">
        <f>HYPERLINK("https://www.ncbi.nlm.nih.gov/geo/query/acc.cgi?acc=GSM178832","GSM178832")</f>
        <v>GSM178832</v>
      </c>
      <c r="I9604" t="s">
        <v>444</v>
      </c>
      <c r="J9604" t="s">
        <v>18</v>
      </c>
      <c r="K9604" t="s">
        <v>33</v>
      </c>
      <c r="L9604" t="s">
        <v>445</v>
      </c>
      <c r="N9604" t="s">
        <v>29</v>
      </c>
    </row>
    <row r="9605" spans="1:14">
      <c r="A9605" s="4" t="str">
        <f t="shared" si="860"/>
        <v>EXP00318</v>
      </c>
      <c r="B9605" s="4" t="str">
        <f t="shared" si="858"/>
        <v>18191186</v>
      </c>
      <c r="C9605" s="4" t="str">
        <f t="shared" si="859"/>
        <v>GSE7410</v>
      </c>
      <c r="D9605" s="1" t="s">
        <v>442</v>
      </c>
      <c r="E9605" t="s">
        <v>446</v>
      </c>
      <c r="F9605" s="1">
        <v>2</v>
      </c>
      <c r="G9605" s="1" t="s">
        <v>28</v>
      </c>
      <c r="H9605" s="4" t="str">
        <f>HYPERLINK("https://www.ncbi.nlm.nih.gov/geo/query/acc.cgi?acc=GSM178833","GSM178833")</f>
        <v>GSM178833</v>
      </c>
      <c r="I9605" t="s">
        <v>444</v>
      </c>
      <c r="J9605" t="s">
        <v>18</v>
      </c>
      <c r="K9605" t="s">
        <v>33</v>
      </c>
      <c r="L9605" t="s">
        <v>445</v>
      </c>
      <c r="N9605" t="s">
        <v>29</v>
      </c>
    </row>
    <row r="9606" spans="1:14">
      <c r="A9606" s="4" t="str">
        <f t="shared" si="860"/>
        <v>EXP00318</v>
      </c>
      <c r="B9606" s="4" t="str">
        <f t="shared" si="858"/>
        <v>18191186</v>
      </c>
      <c r="C9606" s="4" t="str">
        <f t="shared" si="859"/>
        <v>GSE7410</v>
      </c>
      <c r="D9606" s="1" t="s">
        <v>442</v>
      </c>
      <c r="E9606" t="s">
        <v>446</v>
      </c>
      <c r="F9606" s="1">
        <v>2</v>
      </c>
      <c r="G9606" s="1" t="s">
        <v>28</v>
      </c>
      <c r="H9606" s="4" t="str">
        <f>HYPERLINK("https://www.ncbi.nlm.nih.gov/geo/query/acc.cgi?acc=GSM178834","GSM178834")</f>
        <v>GSM178834</v>
      </c>
      <c r="I9606" t="s">
        <v>444</v>
      </c>
      <c r="J9606" t="s">
        <v>18</v>
      </c>
      <c r="K9606" t="s">
        <v>33</v>
      </c>
      <c r="L9606" t="s">
        <v>445</v>
      </c>
      <c r="N9606" t="s">
        <v>29</v>
      </c>
    </row>
    <row r="9607" spans="1:14">
      <c r="A9607" s="4" t="str">
        <f t="shared" si="860"/>
        <v>EXP00318</v>
      </c>
      <c r="B9607" s="4" t="str">
        <f t="shared" si="858"/>
        <v>18191186</v>
      </c>
      <c r="C9607" s="4" t="str">
        <f t="shared" si="859"/>
        <v>GSE7410</v>
      </c>
      <c r="D9607" s="1" t="s">
        <v>442</v>
      </c>
      <c r="E9607" t="s">
        <v>446</v>
      </c>
      <c r="F9607" s="1">
        <v>2</v>
      </c>
      <c r="G9607" s="1" t="s">
        <v>28</v>
      </c>
      <c r="H9607" s="4" t="str">
        <f>HYPERLINK("https://www.ncbi.nlm.nih.gov/geo/query/acc.cgi?acc=GSM178835","GSM178835")</f>
        <v>GSM178835</v>
      </c>
      <c r="I9607" t="s">
        <v>444</v>
      </c>
      <c r="J9607" t="s">
        <v>18</v>
      </c>
      <c r="K9607" t="s">
        <v>33</v>
      </c>
      <c r="L9607" t="s">
        <v>445</v>
      </c>
      <c r="N9607" t="s">
        <v>29</v>
      </c>
    </row>
    <row r="9608" spans="1:14">
      <c r="A9608" s="4" t="str">
        <f t="shared" si="860"/>
        <v>EXP00318</v>
      </c>
      <c r="B9608" s="4" t="str">
        <f t="shared" si="858"/>
        <v>18191186</v>
      </c>
      <c r="C9608" s="4" t="str">
        <f t="shared" si="859"/>
        <v>GSE7410</v>
      </c>
      <c r="D9608" s="1" t="s">
        <v>442</v>
      </c>
      <c r="E9608" t="s">
        <v>446</v>
      </c>
      <c r="F9608" s="1">
        <v>2</v>
      </c>
      <c r="G9608" s="1" t="s">
        <v>28</v>
      </c>
      <c r="H9608" s="4" t="str">
        <f>HYPERLINK("https://www.ncbi.nlm.nih.gov/geo/query/acc.cgi?acc=GSM178836","GSM178836")</f>
        <v>GSM178836</v>
      </c>
      <c r="I9608" t="s">
        <v>444</v>
      </c>
      <c r="J9608" t="s">
        <v>18</v>
      </c>
      <c r="K9608" t="s">
        <v>33</v>
      </c>
      <c r="L9608" t="s">
        <v>445</v>
      </c>
      <c r="N9608" t="s">
        <v>29</v>
      </c>
    </row>
    <row r="9609" spans="1:14">
      <c r="A9609" s="4" t="str">
        <f t="shared" si="860"/>
        <v>EXP00318</v>
      </c>
      <c r="B9609" s="4" t="str">
        <f t="shared" si="858"/>
        <v>18191186</v>
      </c>
      <c r="C9609" s="4" t="str">
        <f t="shared" si="859"/>
        <v>GSE7410</v>
      </c>
      <c r="D9609" s="1" t="s">
        <v>442</v>
      </c>
      <c r="E9609" t="s">
        <v>446</v>
      </c>
      <c r="F9609" s="1">
        <v>2</v>
      </c>
      <c r="G9609" s="1" t="s">
        <v>28</v>
      </c>
      <c r="H9609" s="4" t="str">
        <f>HYPERLINK("https://www.ncbi.nlm.nih.gov/geo/query/acc.cgi?acc=GSM178837","GSM178837")</f>
        <v>GSM178837</v>
      </c>
      <c r="I9609" t="s">
        <v>444</v>
      </c>
      <c r="J9609" t="s">
        <v>18</v>
      </c>
      <c r="K9609" t="s">
        <v>33</v>
      </c>
      <c r="L9609" t="s">
        <v>445</v>
      </c>
      <c r="N9609" t="s">
        <v>29</v>
      </c>
    </row>
    <row r="9610" spans="1:14">
      <c r="A9610" s="4" t="str">
        <f t="shared" si="860"/>
        <v>EXP00318</v>
      </c>
      <c r="B9610" s="4" t="str">
        <f t="shared" si="858"/>
        <v>18191186</v>
      </c>
      <c r="C9610" s="4" t="str">
        <f t="shared" si="859"/>
        <v>GSE7410</v>
      </c>
      <c r="D9610" s="1" t="s">
        <v>442</v>
      </c>
      <c r="E9610" t="s">
        <v>446</v>
      </c>
      <c r="F9610" s="1">
        <v>2</v>
      </c>
      <c r="G9610" s="1" t="s">
        <v>28</v>
      </c>
      <c r="H9610" s="4" t="str">
        <f>HYPERLINK("https://www.ncbi.nlm.nih.gov/geo/query/acc.cgi?acc=GSM178838","GSM178838")</f>
        <v>GSM178838</v>
      </c>
      <c r="I9610" t="s">
        <v>444</v>
      </c>
      <c r="J9610" t="s">
        <v>18</v>
      </c>
      <c r="K9610" t="s">
        <v>33</v>
      </c>
      <c r="L9610" t="s">
        <v>445</v>
      </c>
      <c r="N9610" t="s">
        <v>29</v>
      </c>
    </row>
    <row r="9611" spans="1:14">
      <c r="A9611" s="4" t="str">
        <f t="shared" si="860"/>
        <v>EXP00318</v>
      </c>
      <c r="B9611" s="4" t="str">
        <f t="shared" si="858"/>
        <v>18191186</v>
      </c>
      <c r="C9611" s="4" t="str">
        <f t="shared" si="859"/>
        <v>GSE7410</v>
      </c>
      <c r="D9611" s="1" t="s">
        <v>442</v>
      </c>
      <c r="E9611" t="s">
        <v>446</v>
      </c>
      <c r="F9611" s="1">
        <v>2</v>
      </c>
      <c r="G9611" s="1" t="s">
        <v>28</v>
      </c>
      <c r="H9611" s="4" t="str">
        <f>HYPERLINK("https://www.ncbi.nlm.nih.gov/geo/query/acc.cgi?acc=GSM178839","GSM178839")</f>
        <v>GSM178839</v>
      </c>
      <c r="I9611" t="s">
        <v>444</v>
      </c>
      <c r="J9611" t="s">
        <v>18</v>
      </c>
      <c r="K9611" t="s">
        <v>33</v>
      </c>
      <c r="L9611" t="s">
        <v>445</v>
      </c>
      <c r="N9611" t="s">
        <v>29</v>
      </c>
    </row>
    <row r="9612" spans="1:14">
      <c r="A9612" s="4" t="str">
        <f t="shared" si="860"/>
        <v>EXP00318</v>
      </c>
      <c r="B9612" s="4" t="str">
        <f t="shared" si="858"/>
        <v>18191186</v>
      </c>
      <c r="C9612" s="4" t="str">
        <f t="shared" si="859"/>
        <v>GSE7410</v>
      </c>
      <c r="D9612" s="1" t="s">
        <v>442</v>
      </c>
      <c r="E9612" t="s">
        <v>446</v>
      </c>
      <c r="F9612" s="1">
        <v>2</v>
      </c>
      <c r="G9612" s="1" t="s">
        <v>28</v>
      </c>
      <c r="H9612" s="4" t="str">
        <f>HYPERLINK("https://www.ncbi.nlm.nih.gov/geo/query/acc.cgi?acc=GSM178840","GSM178840")</f>
        <v>GSM178840</v>
      </c>
      <c r="I9612" t="s">
        <v>444</v>
      </c>
      <c r="J9612" t="s">
        <v>18</v>
      </c>
      <c r="K9612" t="s">
        <v>33</v>
      </c>
      <c r="L9612" t="s">
        <v>445</v>
      </c>
      <c r="N9612" t="s">
        <v>29</v>
      </c>
    </row>
    <row r="9613" spans="1:14">
      <c r="A9613" s="4" t="str">
        <f t="shared" si="860"/>
        <v>EXP00318</v>
      </c>
      <c r="B9613" s="4" t="str">
        <f t="shared" si="858"/>
        <v>18191186</v>
      </c>
      <c r="C9613" s="4" t="str">
        <f t="shared" si="859"/>
        <v>GSE7410</v>
      </c>
      <c r="D9613" s="1" t="s">
        <v>442</v>
      </c>
      <c r="E9613" t="s">
        <v>446</v>
      </c>
      <c r="F9613" s="1">
        <v>2</v>
      </c>
      <c r="G9613" s="1" t="s">
        <v>28</v>
      </c>
      <c r="H9613" s="4" t="str">
        <f>HYPERLINK("https://www.ncbi.nlm.nih.gov/geo/query/acc.cgi?acc=GSM178841","GSM178841")</f>
        <v>GSM178841</v>
      </c>
      <c r="I9613" t="s">
        <v>444</v>
      </c>
      <c r="J9613" t="s">
        <v>18</v>
      </c>
      <c r="K9613" t="s">
        <v>33</v>
      </c>
      <c r="L9613" t="s">
        <v>445</v>
      </c>
      <c r="N9613" t="s">
        <v>29</v>
      </c>
    </row>
    <row r="9614" spans="1:14">
      <c r="A9614" s="4" t="str">
        <f t="shared" si="860"/>
        <v>EXP00318</v>
      </c>
      <c r="B9614" s="4" t="str">
        <f t="shared" si="858"/>
        <v>18191186</v>
      </c>
      <c r="C9614" s="4" t="str">
        <f t="shared" si="859"/>
        <v>GSE7410</v>
      </c>
      <c r="D9614" s="1" t="s">
        <v>442</v>
      </c>
      <c r="E9614" t="s">
        <v>446</v>
      </c>
      <c r="F9614" s="1">
        <v>2</v>
      </c>
      <c r="G9614" s="1" t="s">
        <v>28</v>
      </c>
      <c r="H9614" s="4" t="str">
        <f>HYPERLINK("https://www.ncbi.nlm.nih.gov/geo/query/acc.cgi?acc=GSM178842","GSM178842")</f>
        <v>GSM178842</v>
      </c>
      <c r="I9614" t="s">
        <v>444</v>
      </c>
      <c r="J9614" t="s">
        <v>18</v>
      </c>
      <c r="K9614" t="s">
        <v>33</v>
      </c>
      <c r="L9614" t="s">
        <v>445</v>
      </c>
      <c r="N9614" t="s">
        <v>29</v>
      </c>
    </row>
    <row r="9615" spans="1:14">
      <c r="A9615" s="4" t="str">
        <f t="shared" si="860"/>
        <v>EXP00318</v>
      </c>
      <c r="B9615" s="4" t="str">
        <f t="shared" si="858"/>
        <v>18191186</v>
      </c>
      <c r="C9615" s="4" t="str">
        <f t="shared" si="859"/>
        <v>GSE7410</v>
      </c>
      <c r="D9615" s="1" t="s">
        <v>442</v>
      </c>
      <c r="E9615" t="s">
        <v>446</v>
      </c>
      <c r="F9615" s="1">
        <v>2</v>
      </c>
      <c r="G9615" s="1" t="s">
        <v>28</v>
      </c>
      <c r="H9615" s="4" t="str">
        <f>HYPERLINK("https://www.ncbi.nlm.nih.gov/geo/query/acc.cgi?acc=GSM178843","GSM178843")</f>
        <v>GSM178843</v>
      </c>
      <c r="I9615" t="s">
        <v>444</v>
      </c>
      <c r="J9615" t="s">
        <v>18</v>
      </c>
      <c r="K9615" t="s">
        <v>33</v>
      </c>
      <c r="L9615" t="s">
        <v>445</v>
      </c>
      <c r="N9615" t="s">
        <v>29</v>
      </c>
    </row>
    <row r="9616" spans="1:14">
      <c r="A9616" s="4" t="str">
        <f t="shared" si="860"/>
        <v>EXP00318</v>
      </c>
      <c r="B9616" s="4" t="str">
        <f t="shared" si="858"/>
        <v>18191186</v>
      </c>
      <c r="C9616" s="4" t="str">
        <f t="shared" si="859"/>
        <v>GSE7410</v>
      </c>
      <c r="D9616" s="1" t="s">
        <v>442</v>
      </c>
      <c r="E9616" t="s">
        <v>446</v>
      </c>
      <c r="F9616" s="1">
        <v>2</v>
      </c>
      <c r="G9616" s="1" t="s">
        <v>28</v>
      </c>
      <c r="H9616" s="4" t="str">
        <f>HYPERLINK("https://www.ncbi.nlm.nih.gov/geo/query/acc.cgi?acc=GSM178857","GSM178857")</f>
        <v>GSM178857</v>
      </c>
      <c r="I9616" t="s">
        <v>444</v>
      </c>
      <c r="J9616" t="s">
        <v>18</v>
      </c>
      <c r="K9616" t="s">
        <v>33</v>
      </c>
      <c r="L9616" t="s">
        <v>445</v>
      </c>
      <c r="N9616" t="s">
        <v>29</v>
      </c>
    </row>
    <row r="9617" spans="1:14">
      <c r="A9617" s="4" t="str">
        <f t="shared" si="860"/>
        <v>EXP00318</v>
      </c>
      <c r="B9617" s="4" t="str">
        <f t="shared" si="858"/>
        <v>18191186</v>
      </c>
      <c r="C9617" s="4" t="str">
        <f t="shared" si="859"/>
        <v>GSE7410</v>
      </c>
      <c r="D9617" s="1" t="s">
        <v>442</v>
      </c>
      <c r="E9617" t="s">
        <v>446</v>
      </c>
      <c r="F9617" s="1">
        <v>2</v>
      </c>
      <c r="G9617" s="1" t="s">
        <v>28</v>
      </c>
      <c r="H9617" s="4" t="str">
        <f>HYPERLINK("https://www.ncbi.nlm.nih.gov/geo/query/acc.cgi?acc=GSM178858","GSM178858")</f>
        <v>GSM178858</v>
      </c>
      <c r="I9617" t="s">
        <v>444</v>
      </c>
      <c r="J9617" t="s">
        <v>18</v>
      </c>
      <c r="K9617" t="s">
        <v>33</v>
      </c>
      <c r="L9617" t="s">
        <v>445</v>
      </c>
      <c r="N9617" t="s">
        <v>29</v>
      </c>
    </row>
    <row r="9618" spans="1:14">
      <c r="A9618" s="4" t="str">
        <f t="shared" si="860"/>
        <v>EXP00318</v>
      </c>
      <c r="B9618" s="4" t="str">
        <f t="shared" si="858"/>
        <v>18191186</v>
      </c>
      <c r="C9618" s="4" t="str">
        <f t="shared" si="859"/>
        <v>GSE7410</v>
      </c>
      <c r="D9618" s="1" t="s">
        <v>442</v>
      </c>
      <c r="E9618" t="s">
        <v>446</v>
      </c>
      <c r="F9618" s="1">
        <v>2</v>
      </c>
      <c r="G9618" s="1" t="s">
        <v>28</v>
      </c>
      <c r="H9618" s="4" t="str">
        <f>HYPERLINK("https://www.ncbi.nlm.nih.gov/geo/query/acc.cgi?acc=GSM178860","GSM178860")</f>
        <v>GSM178860</v>
      </c>
      <c r="I9618" t="s">
        <v>444</v>
      </c>
      <c r="J9618" t="s">
        <v>18</v>
      </c>
      <c r="K9618" t="s">
        <v>33</v>
      </c>
      <c r="L9618" t="s">
        <v>445</v>
      </c>
      <c r="N9618" t="s">
        <v>29</v>
      </c>
    </row>
    <row r="9619" spans="1:14">
      <c r="A9619" s="4" t="str">
        <f t="shared" si="860"/>
        <v>EXP00318</v>
      </c>
      <c r="B9619" s="4" t="str">
        <f t="shared" si="858"/>
        <v>18191186</v>
      </c>
      <c r="C9619" s="4" t="str">
        <f t="shared" si="859"/>
        <v>GSE7410</v>
      </c>
      <c r="D9619" s="1" t="s">
        <v>442</v>
      </c>
      <c r="E9619" t="s">
        <v>446</v>
      </c>
      <c r="F9619" s="1">
        <v>2</v>
      </c>
      <c r="G9619" s="1" t="s">
        <v>28</v>
      </c>
      <c r="H9619" s="4" t="str">
        <f>HYPERLINK("https://www.ncbi.nlm.nih.gov/geo/query/acc.cgi?acc=GSM178864","GSM178864")</f>
        <v>GSM178864</v>
      </c>
      <c r="I9619" t="s">
        <v>444</v>
      </c>
      <c r="J9619" t="s">
        <v>18</v>
      </c>
      <c r="K9619" t="s">
        <v>33</v>
      </c>
      <c r="L9619" t="s">
        <v>445</v>
      </c>
      <c r="N9619" t="s">
        <v>29</v>
      </c>
    </row>
    <row r="9620" spans="1:14">
      <c r="A9620" s="4" t="str">
        <f t="shared" si="860"/>
        <v>EXP00318</v>
      </c>
      <c r="B9620" s="4" t="str">
        <f t="shared" si="858"/>
        <v>18191186</v>
      </c>
      <c r="C9620" s="4" t="str">
        <f t="shared" si="859"/>
        <v>GSE7410</v>
      </c>
      <c r="D9620" s="1" t="s">
        <v>442</v>
      </c>
      <c r="E9620" t="s">
        <v>446</v>
      </c>
      <c r="F9620" s="1">
        <v>2</v>
      </c>
      <c r="G9620" s="1" t="s">
        <v>28</v>
      </c>
      <c r="H9620" s="4" t="str">
        <f>HYPERLINK("https://www.ncbi.nlm.nih.gov/geo/query/acc.cgi?acc=GSM178865","GSM178865")</f>
        <v>GSM178865</v>
      </c>
      <c r="I9620" t="s">
        <v>444</v>
      </c>
      <c r="J9620" t="s">
        <v>18</v>
      </c>
      <c r="K9620" t="s">
        <v>33</v>
      </c>
      <c r="L9620" t="s">
        <v>445</v>
      </c>
      <c r="N9620" t="s">
        <v>29</v>
      </c>
    </row>
    <row r="9621" spans="1:14">
      <c r="A9621" s="4" t="str">
        <f t="shared" ref="A9621:A9638" si="861">HYPERLINK("http://hcmdb.i-sanger.com/experiment/details/experiment_id/EXP00319","EXP00319")</f>
        <v>EXP00319</v>
      </c>
      <c r="B9621" s="4" t="str">
        <f t="shared" ref="B9621:B9652" si="862">HYPERLINK("https://www.ncbi.nlm.nih.gov/pubmed/26990456","26990456")</f>
        <v>26990456</v>
      </c>
      <c r="C9621" s="4" t="str">
        <f t="shared" ref="C9621:C9652" si="863">HYPERLINK("https://www.ncbi.nlm.nih.gov/geo/query/acc.cgi?acc=GSE74367","GSE74367")</f>
        <v>GSE74367</v>
      </c>
      <c r="D9621" s="1" t="s">
        <v>447</v>
      </c>
      <c r="E9621" t="s">
        <v>448</v>
      </c>
      <c r="F9621" s="1">
        <v>1</v>
      </c>
      <c r="G9621" s="1" t="s">
        <v>449</v>
      </c>
      <c r="H9621" s="4" t="str">
        <f>HYPERLINK("https://www.ncbi.nlm.nih.gov/geo/query/acc.cgi?acc=GSM1616625","GSM1616625")</f>
        <v>GSM1616625</v>
      </c>
      <c r="I9621" t="s">
        <v>161</v>
      </c>
      <c r="J9621" t="s">
        <v>193</v>
      </c>
      <c r="K9621" t="s">
        <v>19</v>
      </c>
      <c r="L9621" t="s">
        <v>162</v>
      </c>
      <c r="M9621" t="s">
        <v>50</v>
      </c>
      <c r="N9621" t="s">
        <v>22</v>
      </c>
    </row>
    <row r="9622" spans="1:14">
      <c r="A9622" s="4" t="str">
        <f t="shared" si="861"/>
        <v>EXP00319</v>
      </c>
      <c r="B9622" s="4" t="str">
        <f t="shared" si="862"/>
        <v>26990456</v>
      </c>
      <c r="C9622" s="4" t="str">
        <f t="shared" si="863"/>
        <v>GSE74367</v>
      </c>
      <c r="D9622" s="1" t="s">
        <v>447</v>
      </c>
      <c r="E9622" t="s">
        <v>448</v>
      </c>
      <c r="F9622" s="1">
        <v>1</v>
      </c>
      <c r="G9622" s="1" t="s">
        <v>449</v>
      </c>
      <c r="H9622" s="4" t="str">
        <f>HYPERLINK("https://www.ncbi.nlm.nih.gov/geo/query/acc.cgi?acc=GSM1616643","GSM1616643")</f>
        <v>GSM1616643</v>
      </c>
      <c r="I9622" t="s">
        <v>161</v>
      </c>
      <c r="J9622" t="s">
        <v>193</v>
      </c>
      <c r="K9622" t="s">
        <v>19</v>
      </c>
      <c r="L9622" t="s">
        <v>162</v>
      </c>
      <c r="M9622" t="s">
        <v>50</v>
      </c>
      <c r="N9622" t="s">
        <v>22</v>
      </c>
    </row>
    <row r="9623" spans="1:14">
      <c r="A9623" s="4" t="str">
        <f t="shared" si="861"/>
        <v>EXP00319</v>
      </c>
      <c r="B9623" s="4" t="str">
        <f t="shared" si="862"/>
        <v>26990456</v>
      </c>
      <c r="C9623" s="4" t="str">
        <f t="shared" si="863"/>
        <v>GSE74367</v>
      </c>
      <c r="D9623" s="1" t="s">
        <v>447</v>
      </c>
      <c r="E9623" t="s">
        <v>448</v>
      </c>
      <c r="F9623" s="1">
        <v>1</v>
      </c>
      <c r="G9623" s="1" t="s">
        <v>449</v>
      </c>
      <c r="H9623" s="4" t="str">
        <f>HYPERLINK("https://www.ncbi.nlm.nih.gov/geo/query/acc.cgi?acc=GSM1616651","GSM1616651")</f>
        <v>GSM1616651</v>
      </c>
      <c r="I9623" t="s">
        <v>161</v>
      </c>
      <c r="J9623" t="s">
        <v>193</v>
      </c>
      <c r="K9623" t="s">
        <v>19</v>
      </c>
      <c r="L9623" t="s">
        <v>162</v>
      </c>
      <c r="M9623" t="s">
        <v>50</v>
      </c>
      <c r="N9623" t="s">
        <v>22</v>
      </c>
    </row>
    <row r="9624" spans="1:14">
      <c r="A9624" s="4" t="str">
        <f t="shared" si="861"/>
        <v>EXP00319</v>
      </c>
      <c r="B9624" s="4" t="str">
        <f t="shared" si="862"/>
        <v>26990456</v>
      </c>
      <c r="C9624" s="4" t="str">
        <f t="shared" si="863"/>
        <v>GSE74367</v>
      </c>
      <c r="D9624" s="1" t="s">
        <v>447</v>
      </c>
      <c r="E9624" t="s">
        <v>448</v>
      </c>
      <c r="F9624" s="1">
        <v>1</v>
      </c>
      <c r="G9624" s="1" t="s">
        <v>449</v>
      </c>
      <c r="H9624" s="4" t="str">
        <f>HYPERLINK("https://www.ncbi.nlm.nih.gov/geo/query/acc.cgi?acc=GSM1616652","GSM1616652")</f>
        <v>GSM1616652</v>
      </c>
      <c r="I9624" t="s">
        <v>161</v>
      </c>
      <c r="J9624" t="s">
        <v>193</v>
      </c>
      <c r="K9624" t="s">
        <v>19</v>
      </c>
      <c r="L9624" t="s">
        <v>162</v>
      </c>
      <c r="M9624" t="s">
        <v>50</v>
      </c>
      <c r="N9624" t="s">
        <v>22</v>
      </c>
    </row>
    <row r="9625" spans="1:14">
      <c r="A9625" s="4" t="str">
        <f t="shared" si="861"/>
        <v>EXP00319</v>
      </c>
      <c r="B9625" s="4" t="str">
        <f t="shared" si="862"/>
        <v>26990456</v>
      </c>
      <c r="C9625" s="4" t="str">
        <f t="shared" si="863"/>
        <v>GSE74367</v>
      </c>
      <c r="D9625" s="1" t="s">
        <v>447</v>
      </c>
      <c r="E9625" t="s">
        <v>448</v>
      </c>
      <c r="F9625" s="1">
        <v>1</v>
      </c>
      <c r="G9625" s="1" t="s">
        <v>449</v>
      </c>
      <c r="H9625" s="4" t="str">
        <f>HYPERLINK("https://www.ncbi.nlm.nih.gov/geo/query/acc.cgi?acc=GSM1616654","GSM1616654")</f>
        <v>GSM1616654</v>
      </c>
      <c r="I9625" t="s">
        <v>161</v>
      </c>
      <c r="J9625" t="s">
        <v>193</v>
      </c>
      <c r="K9625" t="s">
        <v>19</v>
      </c>
      <c r="L9625" t="s">
        <v>162</v>
      </c>
      <c r="M9625" t="s">
        <v>50</v>
      </c>
      <c r="N9625" t="s">
        <v>22</v>
      </c>
    </row>
    <row r="9626" spans="1:14">
      <c r="A9626" s="4" t="str">
        <f t="shared" si="861"/>
        <v>EXP00319</v>
      </c>
      <c r="B9626" s="4" t="str">
        <f t="shared" si="862"/>
        <v>26990456</v>
      </c>
      <c r="C9626" s="4" t="str">
        <f t="shared" si="863"/>
        <v>GSE74367</v>
      </c>
      <c r="D9626" s="1" t="s">
        <v>447</v>
      </c>
      <c r="E9626" t="s">
        <v>448</v>
      </c>
      <c r="F9626" s="1">
        <v>1</v>
      </c>
      <c r="G9626" s="1" t="s">
        <v>449</v>
      </c>
      <c r="H9626" s="4" t="str">
        <f>HYPERLINK("https://www.ncbi.nlm.nih.gov/geo/query/acc.cgi?acc=GSM1616655","GSM1616655")</f>
        <v>GSM1616655</v>
      </c>
      <c r="I9626" t="s">
        <v>161</v>
      </c>
      <c r="J9626" t="s">
        <v>193</v>
      </c>
      <c r="K9626" t="s">
        <v>19</v>
      </c>
      <c r="L9626" t="s">
        <v>162</v>
      </c>
      <c r="M9626" t="s">
        <v>50</v>
      </c>
      <c r="N9626" t="s">
        <v>22</v>
      </c>
    </row>
    <row r="9627" spans="1:14">
      <c r="A9627" s="4" t="str">
        <f t="shared" si="861"/>
        <v>EXP00319</v>
      </c>
      <c r="B9627" s="4" t="str">
        <f t="shared" si="862"/>
        <v>26990456</v>
      </c>
      <c r="C9627" s="4" t="str">
        <f t="shared" si="863"/>
        <v>GSE74367</v>
      </c>
      <c r="D9627" s="1" t="s">
        <v>447</v>
      </c>
      <c r="E9627" t="s">
        <v>448</v>
      </c>
      <c r="F9627" s="1">
        <v>1</v>
      </c>
      <c r="G9627" s="1" t="s">
        <v>449</v>
      </c>
      <c r="H9627" s="4" t="str">
        <f>HYPERLINK("https://www.ncbi.nlm.nih.gov/geo/query/acc.cgi?acc=GSM1918979","GSM1918979")</f>
        <v>GSM1918979</v>
      </c>
      <c r="I9627" t="s">
        <v>161</v>
      </c>
      <c r="J9627" t="s">
        <v>193</v>
      </c>
      <c r="K9627" t="s">
        <v>19</v>
      </c>
      <c r="L9627" t="s">
        <v>162</v>
      </c>
      <c r="M9627" t="s">
        <v>50</v>
      </c>
      <c r="N9627" t="s">
        <v>22</v>
      </c>
    </row>
    <row r="9628" spans="1:14">
      <c r="A9628" s="4" t="str">
        <f t="shared" si="861"/>
        <v>EXP00319</v>
      </c>
      <c r="B9628" s="4" t="str">
        <f t="shared" si="862"/>
        <v>26990456</v>
      </c>
      <c r="C9628" s="4" t="str">
        <f t="shared" si="863"/>
        <v>GSE74367</v>
      </c>
      <c r="D9628" s="1" t="s">
        <v>447</v>
      </c>
      <c r="E9628" t="s">
        <v>448</v>
      </c>
      <c r="F9628" s="1">
        <v>2</v>
      </c>
      <c r="G9628" s="1" t="s">
        <v>450</v>
      </c>
      <c r="H9628" s="4" t="str">
        <f>HYPERLINK("https://www.ncbi.nlm.nih.gov/geo/query/acc.cgi?acc=GSM1616614","GSM1616614")</f>
        <v>GSM1616614</v>
      </c>
      <c r="I9628" t="s">
        <v>161</v>
      </c>
      <c r="J9628" t="s">
        <v>193</v>
      </c>
      <c r="K9628" t="s">
        <v>19</v>
      </c>
      <c r="L9628" t="s">
        <v>162</v>
      </c>
      <c r="M9628" t="s">
        <v>44</v>
      </c>
      <c r="N9628" t="s">
        <v>22</v>
      </c>
    </row>
    <row r="9629" spans="1:14">
      <c r="A9629" s="4" t="str">
        <f t="shared" si="861"/>
        <v>EXP00319</v>
      </c>
      <c r="B9629" s="4" t="str">
        <f t="shared" si="862"/>
        <v>26990456</v>
      </c>
      <c r="C9629" s="4" t="str">
        <f t="shared" si="863"/>
        <v>GSE74367</v>
      </c>
      <c r="D9629" s="1" t="s">
        <v>447</v>
      </c>
      <c r="E9629" t="s">
        <v>448</v>
      </c>
      <c r="F9629" s="1">
        <v>2</v>
      </c>
      <c r="G9629" s="1" t="s">
        <v>450</v>
      </c>
      <c r="H9629" s="4" t="str">
        <f>HYPERLINK("https://www.ncbi.nlm.nih.gov/geo/query/acc.cgi?acc=GSM1616618","GSM1616618")</f>
        <v>GSM1616618</v>
      </c>
      <c r="I9629" t="s">
        <v>161</v>
      </c>
      <c r="J9629" t="s">
        <v>193</v>
      </c>
      <c r="K9629" t="s">
        <v>19</v>
      </c>
      <c r="L9629" t="s">
        <v>162</v>
      </c>
      <c r="M9629" t="s">
        <v>44</v>
      </c>
      <c r="N9629" t="s">
        <v>22</v>
      </c>
    </row>
    <row r="9630" spans="1:14">
      <c r="A9630" s="4" t="str">
        <f t="shared" si="861"/>
        <v>EXP00319</v>
      </c>
      <c r="B9630" s="4" t="str">
        <f t="shared" si="862"/>
        <v>26990456</v>
      </c>
      <c r="C9630" s="4" t="str">
        <f t="shared" si="863"/>
        <v>GSE74367</v>
      </c>
      <c r="D9630" s="1" t="s">
        <v>447</v>
      </c>
      <c r="E9630" t="s">
        <v>448</v>
      </c>
      <c r="F9630" s="1">
        <v>2</v>
      </c>
      <c r="G9630" s="1" t="s">
        <v>450</v>
      </c>
      <c r="H9630" s="4" t="str">
        <f>HYPERLINK("https://www.ncbi.nlm.nih.gov/geo/query/acc.cgi?acc=GSM1616621","GSM1616621")</f>
        <v>GSM1616621</v>
      </c>
      <c r="I9630" t="s">
        <v>161</v>
      </c>
      <c r="J9630" t="s">
        <v>193</v>
      </c>
      <c r="K9630" t="s">
        <v>19</v>
      </c>
      <c r="L9630" t="s">
        <v>162</v>
      </c>
      <c r="M9630" t="s">
        <v>44</v>
      </c>
      <c r="N9630" t="s">
        <v>22</v>
      </c>
    </row>
    <row r="9631" spans="1:14">
      <c r="A9631" s="4" t="str">
        <f t="shared" si="861"/>
        <v>EXP00319</v>
      </c>
      <c r="B9631" s="4" t="str">
        <f t="shared" si="862"/>
        <v>26990456</v>
      </c>
      <c r="C9631" s="4" t="str">
        <f t="shared" si="863"/>
        <v>GSE74367</v>
      </c>
      <c r="D9631" s="1" t="s">
        <v>447</v>
      </c>
      <c r="E9631" t="s">
        <v>448</v>
      </c>
      <c r="F9631" s="1">
        <v>2</v>
      </c>
      <c r="G9631" s="1" t="s">
        <v>450</v>
      </c>
      <c r="H9631" s="4" t="str">
        <f>HYPERLINK("https://www.ncbi.nlm.nih.gov/geo/query/acc.cgi?acc=GSM1616623","GSM1616623")</f>
        <v>GSM1616623</v>
      </c>
      <c r="I9631" t="s">
        <v>161</v>
      </c>
      <c r="J9631" t="s">
        <v>193</v>
      </c>
      <c r="K9631" t="s">
        <v>19</v>
      </c>
      <c r="L9631" t="s">
        <v>162</v>
      </c>
      <c r="M9631" t="s">
        <v>44</v>
      </c>
      <c r="N9631" t="s">
        <v>22</v>
      </c>
    </row>
    <row r="9632" spans="1:14">
      <c r="A9632" s="4" t="str">
        <f t="shared" si="861"/>
        <v>EXP00319</v>
      </c>
      <c r="B9632" s="4" t="str">
        <f t="shared" si="862"/>
        <v>26990456</v>
      </c>
      <c r="C9632" s="4" t="str">
        <f t="shared" si="863"/>
        <v>GSE74367</v>
      </c>
      <c r="D9632" s="1" t="s">
        <v>447</v>
      </c>
      <c r="E9632" t="s">
        <v>448</v>
      </c>
      <c r="F9632" s="1">
        <v>2</v>
      </c>
      <c r="G9632" s="1" t="s">
        <v>450</v>
      </c>
      <c r="H9632" s="4" t="str">
        <f>HYPERLINK("https://www.ncbi.nlm.nih.gov/geo/query/acc.cgi?acc=GSM1616628","GSM1616628")</f>
        <v>GSM1616628</v>
      </c>
      <c r="I9632" t="s">
        <v>161</v>
      </c>
      <c r="J9632" t="s">
        <v>193</v>
      </c>
      <c r="K9632" t="s">
        <v>19</v>
      </c>
      <c r="L9632" t="s">
        <v>162</v>
      </c>
      <c r="M9632" t="s">
        <v>44</v>
      </c>
      <c r="N9632" t="s">
        <v>22</v>
      </c>
    </row>
    <row r="9633" spans="1:14">
      <c r="A9633" s="4" t="str">
        <f t="shared" si="861"/>
        <v>EXP00319</v>
      </c>
      <c r="B9633" s="4" t="str">
        <f t="shared" si="862"/>
        <v>26990456</v>
      </c>
      <c r="C9633" s="4" t="str">
        <f t="shared" si="863"/>
        <v>GSE74367</v>
      </c>
      <c r="D9633" s="1" t="s">
        <v>447</v>
      </c>
      <c r="E9633" t="s">
        <v>448</v>
      </c>
      <c r="F9633" s="1">
        <v>2</v>
      </c>
      <c r="G9633" s="1" t="s">
        <v>450</v>
      </c>
      <c r="H9633" s="4" t="str">
        <f>HYPERLINK("https://www.ncbi.nlm.nih.gov/geo/query/acc.cgi?acc=GSM1616629","GSM1616629")</f>
        <v>GSM1616629</v>
      </c>
      <c r="I9633" t="s">
        <v>161</v>
      </c>
      <c r="J9633" t="s">
        <v>193</v>
      </c>
      <c r="K9633" t="s">
        <v>19</v>
      </c>
      <c r="L9633" t="s">
        <v>162</v>
      </c>
      <c r="M9633" t="s">
        <v>44</v>
      </c>
      <c r="N9633" t="s">
        <v>22</v>
      </c>
    </row>
    <row r="9634" spans="1:14">
      <c r="A9634" s="4" t="str">
        <f t="shared" si="861"/>
        <v>EXP00319</v>
      </c>
      <c r="B9634" s="4" t="str">
        <f t="shared" si="862"/>
        <v>26990456</v>
      </c>
      <c r="C9634" s="4" t="str">
        <f t="shared" si="863"/>
        <v>GSE74367</v>
      </c>
      <c r="D9634" s="1" t="s">
        <v>447</v>
      </c>
      <c r="E9634" t="s">
        <v>448</v>
      </c>
      <c r="F9634" s="1">
        <v>2</v>
      </c>
      <c r="G9634" s="1" t="s">
        <v>450</v>
      </c>
      <c r="H9634" s="4" t="str">
        <f>HYPERLINK("https://www.ncbi.nlm.nih.gov/geo/query/acc.cgi?acc=GSM1616632","GSM1616632")</f>
        <v>GSM1616632</v>
      </c>
      <c r="I9634" t="s">
        <v>161</v>
      </c>
      <c r="J9634" t="s">
        <v>193</v>
      </c>
      <c r="K9634" t="s">
        <v>19</v>
      </c>
      <c r="L9634" t="s">
        <v>162</v>
      </c>
      <c r="M9634" t="s">
        <v>44</v>
      </c>
      <c r="N9634" t="s">
        <v>22</v>
      </c>
    </row>
    <row r="9635" spans="1:14">
      <c r="A9635" s="4" t="str">
        <f t="shared" si="861"/>
        <v>EXP00319</v>
      </c>
      <c r="B9635" s="4" t="str">
        <f t="shared" si="862"/>
        <v>26990456</v>
      </c>
      <c r="C9635" s="4" t="str">
        <f t="shared" si="863"/>
        <v>GSE74367</v>
      </c>
      <c r="D9635" s="1" t="s">
        <v>447</v>
      </c>
      <c r="E9635" t="s">
        <v>448</v>
      </c>
      <c r="F9635" s="1">
        <v>2</v>
      </c>
      <c r="G9635" s="1" t="s">
        <v>450</v>
      </c>
      <c r="H9635" s="4" t="str">
        <f>HYPERLINK("https://www.ncbi.nlm.nih.gov/geo/query/acc.cgi?acc=GSM1616663","GSM1616663")</f>
        <v>GSM1616663</v>
      </c>
      <c r="I9635" t="s">
        <v>161</v>
      </c>
      <c r="J9635" t="s">
        <v>193</v>
      </c>
      <c r="K9635" t="s">
        <v>19</v>
      </c>
      <c r="L9635" t="s">
        <v>162</v>
      </c>
      <c r="M9635" t="s">
        <v>44</v>
      </c>
      <c r="N9635" t="s">
        <v>22</v>
      </c>
    </row>
    <row r="9636" spans="1:14">
      <c r="A9636" s="4" t="str">
        <f t="shared" si="861"/>
        <v>EXP00319</v>
      </c>
      <c r="B9636" s="4" t="str">
        <f t="shared" si="862"/>
        <v>26990456</v>
      </c>
      <c r="C9636" s="4" t="str">
        <f t="shared" si="863"/>
        <v>GSE74367</v>
      </c>
      <c r="D9636" s="1" t="s">
        <v>447</v>
      </c>
      <c r="E9636" t="s">
        <v>448</v>
      </c>
      <c r="F9636" s="1">
        <v>2</v>
      </c>
      <c r="G9636" s="1" t="s">
        <v>450</v>
      </c>
      <c r="H9636" s="4" t="str">
        <f>HYPERLINK("https://www.ncbi.nlm.nih.gov/geo/query/acc.cgi?acc=GSM1616667","GSM1616667")</f>
        <v>GSM1616667</v>
      </c>
      <c r="I9636" t="s">
        <v>161</v>
      </c>
      <c r="J9636" t="s">
        <v>193</v>
      </c>
      <c r="K9636" t="s">
        <v>19</v>
      </c>
      <c r="L9636" t="s">
        <v>162</v>
      </c>
      <c r="M9636" t="s">
        <v>44</v>
      </c>
      <c r="N9636" t="s">
        <v>22</v>
      </c>
    </row>
    <row r="9637" spans="1:14">
      <c r="A9637" s="4" t="str">
        <f t="shared" si="861"/>
        <v>EXP00319</v>
      </c>
      <c r="B9637" s="4" t="str">
        <f t="shared" si="862"/>
        <v>26990456</v>
      </c>
      <c r="C9637" s="4" t="str">
        <f t="shared" si="863"/>
        <v>GSE74367</v>
      </c>
      <c r="D9637" s="1" t="s">
        <v>447</v>
      </c>
      <c r="E9637" t="s">
        <v>448</v>
      </c>
      <c r="F9637" s="1">
        <v>2</v>
      </c>
      <c r="G9637" s="1" t="s">
        <v>450</v>
      </c>
      <c r="H9637" s="4" t="str">
        <f>HYPERLINK("https://www.ncbi.nlm.nih.gov/geo/query/acc.cgi?acc=GSM1616671","GSM1616671")</f>
        <v>GSM1616671</v>
      </c>
      <c r="I9637" t="s">
        <v>161</v>
      </c>
      <c r="J9637" t="s">
        <v>193</v>
      </c>
      <c r="K9637" t="s">
        <v>19</v>
      </c>
      <c r="L9637" t="s">
        <v>162</v>
      </c>
      <c r="M9637" t="s">
        <v>44</v>
      </c>
      <c r="N9637" t="s">
        <v>22</v>
      </c>
    </row>
    <row r="9638" spans="1:14">
      <c r="A9638" s="4" t="str">
        <f t="shared" si="861"/>
        <v>EXP00319</v>
      </c>
      <c r="B9638" s="4" t="str">
        <f t="shared" si="862"/>
        <v>26990456</v>
      </c>
      <c r="C9638" s="4" t="str">
        <f t="shared" si="863"/>
        <v>GSE74367</v>
      </c>
      <c r="D9638" s="1" t="s">
        <v>447</v>
      </c>
      <c r="E9638" t="s">
        <v>448</v>
      </c>
      <c r="F9638" s="1">
        <v>2</v>
      </c>
      <c r="G9638" s="1" t="s">
        <v>450</v>
      </c>
      <c r="H9638" s="4" t="str">
        <f>HYPERLINK("https://www.ncbi.nlm.nih.gov/geo/query/acc.cgi?acc=GSM1616674","GSM1616674")</f>
        <v>GSM1616674</v>
      </c>
      <c r="I9638" t="s">
        <v>161</v>
      </c>
      <c r="J9638" t="s">
        <v>193</v>
      </c>
      <c r="K9638" t="s">
        <v>19</v>
      </c>
      <c r="L9638" t="s">
        <v>162</v>
      </c>
      <c r="M9638" t="s">
        <v>44</v>
      </c>
      <c r="N9638" t="s">
        <v>22</v>
      </c>
    </row>
    <row r="9639" spans="1:14">
      <c r="A9639" s="4" t="str">
        <f t="shared" ref="A9639:A9648" si="864">HYPERLINK("http://hcmdb.i-sanger.com/experiment/details/experiment_id/EXP00320","EXP00320")</f>
        <v>EXP00320</v>
      </c>
      <c r="B9639" s="4" t="str">
        <f t="shared" si="862"/>
        <v>26990456</v>
      </c>
      <c r="C9639" s="4" t="str">
        <f t="shared" si="863"/>
        <v>GSE74367</v>
      </c>
      <c r="D9639" s="1" t="s">
        <v>447</v>
      </c>
      <c r="E9639" t="s">
        <v>448</v>
      </c>
      <c r="F9639" s="1">
        <v>1</v>
      </c>
      <c r="G9639" s="1" t="s">
        <v>449</v>
      </c>
      <c r="H9639" s="4" t="str">
        <f>HYPERLINK("https://www.ncbi.nlm.nih.gov/geo/query/acc.cgi?acc=GSM1616625","GSM1616625")</f>
        <v>GSM1616625</v>
      </c>
      <c r="I9639" t="s">
        <v>161</v>
      </c>
      <c r="J9639" t="s">
        <v>193</v>
      </c>
      <c r="K9639" t="s">
        <v>19</v>
      </c>
      <c r="L9639" t="s">
        <v>162</v>
      </c>
      <c r="M9639" t="s">
        <v>50</v>
      </c>
      <c r="N9639" t="s">
        <v>22</v>
      </c>
    </row>
    <row r="9640" spans="1:14">
      <c r="A9640" s="4" t="str">
        <f t="shared" si="864"/>
        <v>EXP00320</v>
      </c>
      <c r="B9640" s="4" t="str">
        <f t="shared" si="862"/>
        <v>26990456</v>
      </c>
      <c r="C9640" s="4" t="str">
        <f t="shared" si="863"/>
        <v>GSE74367</v>
      </c>
      <c r="D9640" s="1" t="s">
        <v>447</v>
      </c>
      <c r="E9640" t="s">
        <v>448</v>
      </c>
      <c r="F9640" s="1">
        <v>1</v>
      </c>
      <c r="G9640" s="1" t="s">
        <v>449</v>
      </c>
      <c r="H9640" s="4" t="str">
        <f>HYPERLINK("https://www.ncbi.nlm.nih.gov/geo/query/acc.cgi?acc=GSM1616643","GSM1616643")</f>
        <v>GSM1616643</v>
      </c>
      <c r="I9640" t="s">
        <v>161</v>
      </c>
      <c r="J9640" t="s">
        <v>193</v>
      </c>
      <c r="K9640" t="s">
        <v>19</v>
      </c>
      <c r="L9640" t="s">
        <v>162</v>
      </c>
      <c r="M9640" t="s">
        <v>50</v>
      </c>
      <c r="N9640" t="s">
        <v>22</v>
      </c>
    </row>
    <row r="9641" spans="1:14">
      <c r="A9641" s="4" t="str">
        <f t="shared" si="864"/>
        <v>EXP00320</v>
      </c>
      <c r="B9641" s="4" t="str">
        <f t="shared" si="862"/>
        <v>26990456</v>
      </c>
      <c r="C9641" s="4" t="str">
        <f t="shared" si="863"/>
        <v>GSE74367</v>
      </c>
      <c r="D9641" s="1" t="s">
        <v>447</v>
      </c>
      <c r="E9641" t="s">
        <v>448</v>
      </c>
      <c r="F9641" s="1">
        <v>1</v>
      </c>
      <c r="G9641" s="1" t="s">
        <v>449</v>
      </c>
      <c r="H9641" s="4" t="str">
        <f>HYPERLINK("https://www.ncbi.nlm.nih.gov/geo/query/acc.cgi?acc=GSM1616651","GSM1616651")</f>
        <v>GSM1616651</v>
      </c>
      <c r="I9641" t="s">
        <v>161</v>
      </c>
      <c r="J9641" t="s">
        <v>193</v>
      </c>
      <c r="K9641" t="s">
        <v>19</v>
      </c>
      <c r="L9641" t="s">
        <v>162</v>
      </c>
      <c r="M9641" t="s">
        <v>50</v>
      </c>
      <c r="N9641" t="s">
        <v>22</v>
      </c>
    </row>
    <row r="9642" spans="1:14">
      <c r="A9642" s="4" t="str">
        <f t="shared" si="864"/>
        <v>EXP00320</v>
      </c>
      <c r="B9642" s="4" t="str">
        <f t="shared" si="862"/>
        <v>26990456</v>
      </c>
      <c r="C9642" s="4" t="str">
        <f t="shared" si="863"/>
        <v>GSE74367</v>
      </c>
      <c r="D9642" s="1" t="s">
        <v>447</v>
      </c>
      <c r="E9642" t="s">
        <v>448</v>
      </c>
      <c r="F9642" s="1">
        <v>1</v>
      </c>
      <c r="G9642" s="1" t="s">
        <v>449</v>
      </c>
      <c r="H9642" s="4" t="str">
        <f>HYPERLINK("https://www.ncbi.nlm.nih.gov/geo/query/acc.cgi?acc=GSM1616652","GSM1616652")</f>
        <v>GSM1616652</v>
      </c>
      <c r="I9642" t="s">
        <v>161</v>
      </c>
      <c r="J9642" t="s">
        <v>193</v>
      </c>
      <c r="K9642" t="s">
        <v>19</v>
      </c>
      <c r="L9642" t="s">
        <v>162</v>
      </c>
      <c r="M9642" t="s">
        <v>50</v>
      </c>
      <c r="N9642" t="s">
        <v>22</v>
      </c>
    </row>
    <row r="9643" spans="1:14">
      <c r="A9643" s="4" t="str">
        <f t="shared" si="864"/>
        <v>EXP00320</v>
      </c>
      <c r="B9643" s="4" t="str">
        <f t="shared" si="862"/>
        <v>26990456</v>
      </c>
      <c r="C9643" s="4" t="str">
        <f t="shared" si="863"/>
        <v>GSE74367</v>
      </c>
      <c r="D9643" s="1" t="s">
        <v>447</v>
      </c>
      <c r="E9643" t="s">
        <v>448</v>
      </c>
      <c r="F9643" s="1">
        <v>1</v>
      </c>
      <c r="G9643" s="1" t="s">
        <v>449</v>
      </c>
      <c r="H9643" s="4" t="str">
        <f>HYPERLINK("https://www.ncbi.nlm.nih.gov/geo/query/acc.cgi?acc=GSM1616654","GSM1616654")</f>
        <v>GSM1616654</v>
      </c>
      <c r="I9643" t="s">
        <v>161</v>
      </c>
      <c r="J9643" t="s">
        <v>193</v>
      </c>
      <c r="K9643" t="s">
        <v>19</v>
      </c>
      <c r="L9643" t="s">
        <v>162</v>
      </c>
      <c r="M9643" t="s">
        <v>50</v>
      </c>
      <c r="N9643" t="s">
        <v>22</v>
      </c>
    </row>
    <row r="9644" spans="1:14">
      <c r="A9644" s="4" t="str">
        <f t="shared" si="864"/>
        <v>EXP00320</v>
      </c>
      <c r="B9644" s="4" t="str">
        <f t="shared" si="862"/>
        <v>26990456</v>
      </c>
      <c r="C9644" s="4" t="str">
        <f t="shared" si="863"/>
        <v>GSE74367</v>
      </c>
      <c r="D9644" s="1" t="s">
        <v>447</v>
      </c>
      <c r="E9644" t="s">
        <v>448</v>
      </c>
      <c r="F9644" s="1">
        <v>1</v>
      </c>
      <c r="G9644" s="1" t="s">
        <v>449</v>
      </c>
      <c r="H9644" s="4" t="str">
        <f>HYPERLINK("https://www.ncbi.nlm.nih.gov/geo/query/acc.cgi?acc=GSM1616655","GSM1616655")</f>
        <v>GSM1616655</v>
      </c>
      <c r="I9644" t="s">
        <v>161</v>
      </c>
      <c r="J9644" t="s">
        <v>193</v>
      </c>
      <c r="K9644" t="s">
        <v>19</v>
      </c>
      <c r="L9644" t="s">
        <v>162</v>
      </c>
      <c r="M9644" t="s">
        <v>50</v>
      </c>
      <c r="N9644" t="s">
        <v>22</v>
      </c>
    </row>
    <row r="9645" spans="1:14">
      <c r="A9645" s="4" t="str">
        <f t="shared" si="864"/>
        <v>EXP00320</v>
      </c>
      <c r="B9645" s="4" t="str">
        <f t="shared" si="862"/>
        <v>26990456</v>
      </c>
      <c r="C9645" s="4" t="str">
        <f t="shared" si="863"/>
        <v>GSE74367</v>
      </c>
      <c r="D9645" s="1" t="s">
        <v>447</v>
      </c>
      <c r="E9645" t="s">
        <v>448</v>
      </c>
      <c r="F9645" s="1">
        <v>1</v>
      </c>
      <c r="G9645" s="1" t="s">
        <v>449</v>
      </c>
      <c r="H9645" s="4" t="str">
        <f>HYPERLINK("https://www.ncbi.nlm.nih.gov/geo/query/acc.cgi?acc=GSM1918979","GSM1918979")</f>
        <v>GSM1918979</v>
      </c>
      <c r="I9645" t="s">
        <v>161</v>
      </c>
      <c r="J9645" t="s">
        <v>193</v>
      </c>
      <c r="K9645" t="s">
        <v>19</v>
      </c>
      <c r="L9645" t="s">
        <v>162</v>
      </c>
      <c r="M9645" t="s">
        <v>50</v>
      </c>
      <c r="N9645" t="s">
        <v>22</v>
      </c>
    </row>
    <row r="9646" spans="1:14">
      <c r="A9646" s="4" t="str">
        <f t="shared" si="864"/>
        <v>EXP00320</v>
      </c>
      <c r="B9646" s="4" t="str">
        <f t="shared" si="862"/>
        <v>26990456</v>
      </c>
      <c r="C9646" s="4" t="str">
        <f t="shared" si="863"/>
        <v>GSE74367</v>
      </c>
      <c r="D9646" s="1" t="s">
        <v>447</v>
      </c>
      <c r="E9646" t="s">
        <v>448</v>
      </c>
      <c r="F9646" s="1">
        <v>2</v>
      </c>
      <c r="G9646" s="1" t="s">
        <v>451</v>
      </c>
      <c r="H9646" s="4" t="str">
        <f>HYPERLINK("https://www.ncbi.nlm.nih.gov/geo/query/acc.cgi?acc=GSM1616637","GSM1616637")</f>
        <v>GSM1616637</v>
      </c>
      <c r="I9646" t="s">
        <v>161</v>
      </c>
      <c r="J9646" t="s">
        <v>193</v>
      </c>
      <c r="K9646" t="s">
        <v>19</v>
      </c>
      <c r="L9646" t="s">
        <v>162</v>
      </c>
      <c r="M9646" t="s">
        <v>41</v>
      </c>
      <c r="N9646" t="s">
        <v>22</v>
      </c>
    </row>
    <row r="9647" spans="1:14">
      <c r="A9647" s="4" t="str">
        <f t="shared" si="864"/>
        <v>EXP00320</v>
      </c>
      <c r="B9647" s="4" t="str">
        <f t="shared" si="862"/>
        <v>26990456</v>
      </c>
      <c r="C9647" s="4" t="str">
        <f t="shared" si="863"/>
        <v>GSE74367</v>
      </c>
      <c r="D9647" s="1" t="s">
        <v>447</v>
      </c>
      <c r="E9647" t="s">
        <v>448</v>
      </c>
      <c r="F9647" s="1">
        <v>2</v>
      </c>
      <c r="G9647" s="1" t="s">
        <v>451</v>
      </c>
      <c r="H9647" s="4" t="str">
        <f>HYPERLINK("https://www.ncbi.nlm.nih.gov/geo/query/acc.cgi?acc=GSM1616660","GSM1616660")</f>
        <v>GSM1616660</v>
      </c>
      <c r="I9647" t="s">
        <v>161</v>
      </c>
      <c r="J9647" t="s">
        <v>193</v>
      </c>
      <c r="K9647" t="s">
        <v>19</v>
      </c>
      <c r="L9647" t="s">
        <v>162</v>
      </c>
      <c r="M9647" t="s">
        <v>41</v>
      </c>
      <c r="N9647" t="s">
        <v>22</v>
      </c>
    </row>
    <row r="9648" spans="1:14">
      <c r="A9648" s="4" t="str">
        <f t="shared" si="864"/>
        <v>EXP00320</v>
      </c>
      <c r="B9648" s="4" t="str">
        <f t="shared" si="862"/>
        <v>26990456</v>
      </c>
      <c r="C9648" s="4" t="str">
        <f t="shared" si="863"/>
        <v>GSE74367</v>
      </c>
      <c r="D9648" s="1" t="s">
        <v>447</v>
      </c>
      <c r="E9648" t="s">
        <v>448</v>
      </c>
      <c r="F9648" s="1">
        <v>2</v>
      </c>
      <c r="G9648" s="1" t="s">
        <v>451</v>
      </c>
      <c r="H9648" s="4" t="str">
        <f>HYPERLINK("https://www.ncbi.nlm.nih.gov/geo/query/acc.cgi?acc=GSM1616668","GSM1616668")</f>
        <v>GSM1616668</v>
      </c>
      <c r="I9648" t="s">
        <v>161</v>
      </c>
      <c r="J9648" t="s">
        <v>193</v>
      </c>
      <c r="K9648" t="s">
        <v>19</v>
      </c>
      <c r="L9648" t="s">
        <v>162</v>
      </c>
      <c r="M9648" t="s">
        <v>41</v>
      </c>
      <c r="N9648" t="s">
        <v>22</v>
      </c>
    </row>
    <row r="9649" spans="1:14">
      <c r="A9649" s="4" t="str">
        <f t="shared" ref="A9649:A9674" si="865">HYPERLINK("http://hcmdb.i-sanger.com/experiment/details/experiment_id/EXP00321","EXP00321")</f>
        <v>EXP00321</v>
      </c>
      <c r="B9649" s="4" t="str">
        <f t="shared" si="862"/>
        <v>26990456</v>
      </c>
      <c r="C9649" s="4" t="str">
        <f t="shared" si="863"/>
        <v>GSE74367</v>
      </c>
      <c r="D9649" s="1" t="s">
        <v>447</v>
      </c>
      <c r="E9649" t="s">
        <v>448</v>
      </c>
      <c r="F9649" s="1">
        <v>1</v>
      </c>
      <c r="G9649" s="1" t="s">
        <v>449</v>
      </c>
      <c r="H9649" s="4" t="str">
        <f>HYPERLINK("https://www.ncbi.nlm.nih.gov/geo/query/acc.cgi?acc=GSM1616625","GSM1616625")</f>
        <v>GSM1616625</v>
      </c>
      <c r="I9649" t="s">
        <v>161</v>
      </c>
      <c r="J9649" t="s">
        <v>193</v>
      </c>
      <c r="K9649" t="s">
        <v>19</v>
      </c>
      <c r="L9649" t="s">
        <v>162</v>
      </c>
      <c r="M9649" t="s">
        <v>50</v>
      </c>
      <c r="N9649" t="s">
        <v>22</v>
      </c>
    </row>
    <row r="9650" spans="1:14">
      <c r="A9650" s="4" t="str">
        <f t="shared" si="865"/>
        <v>EXP00321</v>
      </c>
      <c r="B9650" s="4" t="str">
        <f t="shared" si="862"/>
        <v>26990456</v>
      </c>
      <c r="C9650" s="4" t="str">
        <f t="shared" si="863"/>
        <v>GSE74367</v>
      </c>
      <c r="D9650" s="1" t="s">
        <v>447</v>
      </c>
      <c r="E9650" t="s">
        <v>448</v>
      </c>
      <c r="F9650" s="1">
        <v>1</v>
      </c>
      <c r="G9650" s="1" t="s">
        <v>449</v>
      </c>
      <c r="H9650" s="4" t="str">
        <f>HYPERLINK("https://www.ncbi.nlm.nih.gov/geo/query/acc.cgi?acc=GSM1616643","GSM1616643")</f>
        <v>GSM1616643</v>
      </c>
      <c r="I9650" t="s">
        <v>161</v>
      </c>
      <c r="J9650" t="s">
        <v>193</v>
      </c>
      <c r="K9650" t="s">
        <v>19</v>
      </c>
      <c r="L9650" t="s">
        <v>162</v>
      </c>
      <c r="M9650" t="s">
        <v>50</v>
      </c>
      <c r="N9650" t="s">
        <v>22</v>
      </c>
    </row>
    <row r="9651" spans="1:14">
      <c r="A9651" s="4" t="str">
        <f t="shared" si="865"/>
        <v>EXP00321</v>
      </c>
      <c r="B9651" s="4" t="str">
        <f t="shared" si="862"/>
        <v>26990456</v>
      </c>
      <c r="C9651" s="4" t="str">
        <f t="shared" si="863"/>
        <v>GSE74367</v>
      </c>
      <c r="D9651" s="1" t="s">
        <v>447</v>
      </c>
      <c r="E9651" t="s">
        <v>448</v>
      </c>
      <c r="F9651" s="1">
        <v>1</v>
      </c>
      <c r="G9651" s="1" t="s">
        <v>449</v>
      </c>
      <c r="H9651" s="4" t="str">
        <f>HYPERLINK("https://www.ncbi.nlm.nih.gov/geo/query/acc.cgi?acc=GSM1616651","GSM1616651")</f>
        <v>GSM1616651</v>
      </c>
      <c r="I9651" t="s">
        <v>161</v>
      </c>
      <c r="J9651" t="s">
        <v>193</v>
      </c>
      <c r="K9651" t="s">
        <v>19</v>
      </c>
      <c r="L9651" t="s">
        <v>162</v>
      </c>
      <c r="M9651" t="s">
        <v>50</v>
      </c>
      <c r="N9651" t="s">
        <v>22</v>
      </c>
    </row>
    <row r="9652" spans="1:14">
      <c r="A9652" s="4" t="str">
        <f t="shared" si="865"/>
        <v>EXP00321</v>
      </c>
      <c r="B9652" s="4" t="str">
        <f t="shared" si="862"/>
        <v>26990456</v>
      </c>
      <c r="C9652" s="4" t="str">
        <f t="shared" si="863"/>
        <v>GSE74367</v>
      </c>
      <c r="D9652" s="1" t="s">
        <v>447</v>
      </c>
      <c r="E9652" t="s">
        <v>448</v>
      </c>
      <c r="F9652" s="1">
        <v>1</v>
      </c>
      <c r="G9652" s="1" t="s">
        <v>449</v>
      </c>
      <c r="H9652" s="4" t="str">
        <f>HYPERLINK("https://www.ncbi.nlm.nih.gov/geo/query/acc.cgi?acc=GSM1616652","GSM1616652")</f>
        <v>GSM1616652</v>
      </c>
      <c r="I9652" t="s">
        <v>161</v>
      </c>
      <c r="J9652" t="s">
        <v>193</v>
      </c>
      <c r="K9652" t="s">
        <v>19</v>
      </c>
      <c r="L9652" t="s">
        <v>162</v>
      </c>
      <c r="M9652" t="s">
        <v>50</v>
      </c>
      <c r="N9652" t="s">
        <v>22</v>
      </c>
    </row>
    <row r="9653" spans="1:14">
      <c r="A9653" s="4" t="str">
        <f t="shared" si="865"/>
        <v>EXP00321</v>
      </c>
      <c r="B9653" s="4" t="str">
        <f t="shared" ref="B9653:B9684" si="866">HYPERLINK("https://www.ncbi.nlm.nih.gov/pubmed/26990456","26990456")</f>
        <v>26990456</v>
      </c>
      <c r="C9653" s="4" t="str">
        <f t="shared" ref="C9653:C9684" si="867">HYPERLINK("https://www.ncbi.nlm.nih.gov/geo/query/acc.cgi?acc=GSE74367","GSE74367")</f>
        <v>GSE74367</v>
      </c>
      <c r="D9653" s="1" t="s">
        <v>447</v>
      </c>
      <c r="E9653" t="s">
        <v>448</v>
      </c>
      <c r="F9653" s="1">
        <v>1</v>
      </c>
      <c r="G9653" s="1" t="s">
        <v>449</v>
      </c>
      <c r="H9653" s="4" t="str">
        <f>HYPERLINK("https://www.ncbi.nlm.nih.gov/geo/query/acc.cgi?acc=GSM1616654","GSM1616654")</f>
        <v>GSM1616654</v>
      </c>
      <c r="I9653" t="s">
        <v>161</v>
      </c>
      <c r="J9653" t="s">
        <v>193</v>
      </c>
      <c r="K9653" t="s">
        <v>19</v>
      </c>
      <c r="L9653" t="s">
        <v>162</v>
      </c>
      <c r="M9653" t="s">
        <v>50</v>
      </c>
      <c r="N9653" t="s">
        <v>22</v>
      </c>
    </row>
    <row r="9654" spans="1:14">
      <c r="A9654" s="4" t="str">
        <f t="shared" si="865"/>
        <v>EXP00321</v>
      </c>
      <c r="B9654" s="4" t="str">
        <f t="shared" si="866"/>
        <v>26990456</v>
      </c>
      <c r="C9654" s="4" t="str">
        <f t="shared" si="867"/>
        <v>GSE74367</v>
      </c>
      <c r="D9654" s="1" t="s">
        <v>447</v>
      </c>
      <c r="E9654" t="s">
        <v>448</v>
      </c>
      <c r="F9654" s="1">
        <v>1</v>
      </c>
      <c r="G9654" s="1" t="s">
        <v>449</v>
      </c>
      <c r="H9654" s="4" t="str">
        <f>HYPERLINK("https://www.ncbi.nlm.nih.gov/geo/query/acc.cgi?acc=GSM1616655","GSM1616655")</f>
        <v>GSM1616655</v>
      </c>
      <c r="I9654" t="s">
        <v>161</v>
      </c>
      <c r="J9654" t="s">
        <v>193</v>
      </c>
      <c r="K9654" t="s">
        <v>19</v>
      </c>
      <c r="L9654" t="s">
        <v>162</v>
      </c>
      <c r="M9654" t="s">
        <v>50</v>
      </c>
      <c r="N9654" t="s">
        <v>22</v>
      </c>
    </row>
    <row r="9655" spans="1:14">
      <c r="A9655" s="4" t="str">
        <f t="shared" si="865"/>
        <v>EXP00321</v>
      </c>
      <c r="B9655" s="4" t="str">
        <f t="shared" si="866"/>
        <v>26990456</v>
      </c>
      <c r="C9655" s="4" t="str">
        <f t="shared" si="867"/>
        <v>GSE74367</v>
      </c>
      <c r="D9655" s="1" t="s">
        <v>447</v>
      </c>
      <c r="E9655" t="s">
        <v>448</v>
      </c>
      <c r="F9655" s="1">
        <v>1</v>
      </c>
      <c r="G9655" s="1" t="s">
        <v>449</v>
      </c>
      <c r="H9655" s="4" t="str">
        <f>HYPERLINK("https://www.ncbi.nlm.nih.gov/geo/query/acc.cgi?acc=GSM1918979","GSM1918979")</f>
        <v>GSM1918979</v>
      </c>
      <c r="I9655" t="s">
        <v>161</v>
      </c>
      <c r="J9655" t="s">
        <v>193</v>
      </c>
      <c r="K9655" t="s">
        <v>19</v>
      </c>
      <c r="L9655" t="s">
        <v>162</v>
      </c>
      <c r="M9655" t="s">
        <v>50</v>
      </c>
      <c r="N9655" t="s">
        <v>22</v>
      </c>
    </row>
    <row r="9656" spans="1:14">
      <c r="A9656" s="4" t="str">
        <f t="shared" si="865"/>
        <v>EXP00321</v>
      </c>
      <c r="B9656" s="4" t="str">
        <f t="shared" si="866"/>
        <v>26990456</v>
      </c>
      <c r="C9656" s="4" t="str">
        <f t="shared" si="867"/>
        <v>GSE74367</v>
      </c>
      <c r="D9656" s="1" t="s">
        <v>447</v>
      </c>
      <c r="E9656" t="s">
        <v>448</v>
      </c>
      <c r="F9656" s="1">
        <v>2</v>
      </c>
      <c r="G9656" s="1" t="s">
        <v>452</v>
      </c>
      <c r="H9656" s="4" t="str">
        <f>HYPERLINK("https://www.ncbi.nlm.nih.gov/geo/query/acc.cgi?acc=GSM1616615","GSM1616615")</f>
        <v>GSM1616615</v>
      </c>
      <c r="I9656" t="s">
        <v>161</v>
      </c>
      <c r="J9656" t="s">
        <v>193</v>
      </c>
      <c r="K9656" t="s">
        <v>19</v>
      </c>
      <c r="L9656" t="s">
        <v>162</v>
      </c>
      <c r="M9656" t="s">
        <v>24</v>
      </c>
      <c r="N9656" t="s">
        <v>22</v>
      </c>
    </row>
    <row r="9657" spans="1:14">
      <c r="A9657" s="4" t="str">
        <f t="shared" si="865"/>
        <v>EXP00321</v>
      </c>
      <c r="B9657" s="4" t="str">
        <f t="shared" si="866"/>
        <v>26990456</v>
      </c>
      <c r="C9657" s="4" t="str">
        <f t="shared" si="867"/>
        <v>GSE74367</v>
      </c>
      <c r="D9657" s="1" t="s">
        <v>447</v>
      </c>
      <c r="E9657" t="s">
        <v>448</v>
      </c>
      <c r="F9657" s="1">
        <v>2</v>
      </c>
      <c r="G9657" s="1" t="s">
        <v>452</v>
      </c>
      <c r="H9657" s="4" t="str">
        <f>HYPERLINK("https://www.ncbi.nlm.nih.gov/geo/query/acc.cgi?acc=GSM1616616","GSM1616616")</f>
        <v>GSM1616616</v>
      </c>
      <c r="I9657" t="s">
        <v>161</v>
      </c>
      <c r="J9657" t="s">
        <v>193</v>
      </c>
      <c r="K9657" t="s">
        <v>19</v>
      </c>
      <c r="L9657" t="s">
        <v>162</v>
      </c>
      <c r="M9657" t="s">
        <v>24</v>
      </c>
      <c r="N9657" t="s">
        <v>22</v>
      </c>
    </row>
    <row r="9658" spans="1:14">
      <c r="A9658" s="4" t="str">
        <f t="shared" si="865"/>
        <v>EXP00321</v>
      </c>
      <c r="B9658" s="4" t="str">
        <f t="shared" si="866"/>
        <v>26990456</v>
      </c>
      <c r="C9658" s="4" t="str">
        <f t="shared" si="867"/>
        <v>GSE74367</v>
      </c>
      <c r="D9658" s="1" t="s">
        <v>447</v>
      </c>
      <c r="E9658" t="s">
        <v>448</v>
      </c>
      <c r="F9658" s="1">
        <v>2</v>
      </c>
      <c r="G9658" s="1" t="s">
        <v>452</v>
      </c>
      <c r="H9658" s="4" t="str">
        <f>HYPERLINK("https://www.ncbi.nlm.nih.gov/geo/query/acc.cgi?acc=GSM1616619","GSM1616619")</f>
        <v>GSM1616619</v>
      </c>
      <c r="I9658" t="s">
        <v>161</v>
      </c>
      <c r="J9658" t="s">
        <v>193</v>
      </c>
      <c r="K9658" t="s">
        <v>19</v>
      </c>
      <c r="L9658" t="s">
        <v>162</v>
      </c>
      <c r="M9658" t="s">
        <v>24</v>
      </c>
      <c r="N9658" t="s">
        <v>22</v>
      </c>
    </row>
    <row r="9659" spans="1:14">
      <c r="A9659" s="4" t="str">
        <f t="shared" si="865"/>
        <v>EXP00321</v>
      </c>
      <c r="B9659" s="4" t="str">
        <f t="shared" si="866"/>
        <v>26990456</v>
      </c>
      <c r="C9659" s="4" t="str">
        <f t="shared" si="867"/>
        <v>GSE74367</v>
      </c>
      <c r="D9659" s="1" t="s">
        <v>447</v>
      </c>
      <c r="E9659" t="s">
        <v>448</v>
      </c>
      <c r="F9659" s="1">
        <v>2</v>
      </c>
      <c r="G9659" s="1" t="s">
        <v>452</v>
      </c>
      <c r="H9659" s="4" t="str">
        <f>HYPERLINK("https://www.ncbi.nlm.nih.gov/geo/query/acc.cgi?acc=GSM1616620","GSM1616620")</f>
        <v>GSM1616620</v>
      </c>
      <c r="I9659" t="s">
        <v>161</v>
      </c>
      <c r="J9659" t="s">
        <v>193</v>
      </c>
      <c r="K9659" t="s">
        <v>19</v>
      </c>
      <c r="L9659" t="s">
        <v>162</v>
      </c>
      <c r="M9659" t="s">
        <v>24</v>
      </c>
      <c r="N9659" t="s">
        <v>22</v>
      </c>
    </row>
    <row r="9660" spans="1:14">
      <c r="A9660" s="4" t="str">
        <f t="shared" si="865"/>
        <v>EXP00321</v>
      </c>
      <c r="B9660" s="4" t="str">
        <f t="shared" si="866"/>
        <v>26990456</v>
      </c>
      <c r="C9660" s="4" t="str">
        <f t="shared" si="867"/>
        <v>GSE74367</v>
      </c>
      <c r="D9660" s="1" t="s">
        <v>447</v>
      </c>
      <c r="E9660" t="s">
        <v>448</v>
      </c>
      <c r="F9660" s="1">
        <v>2</v>
      </c>
      <c r="G9660" s="1" t="s">
        <v>452</v>
      </c>
      <c r="H9660" s="4" t="str">
        <f>HYPERLINK("https://www.ncbi.nlm.nih.gov/geo/query/acc.cgi?acc=GSM1616622","GSM1616622")</f>
        <v>GSM1616622</v>
      </c>
      <c r="I9660" t="s">
        <v>161</v>
      </c>
      <c r="J9660" t="s">
        <v>193</v>
      </c>
      <c r="K9660" t="s">
        <v>19</v>
      </c>
      <c r="L9660" t="s">
        <v>162</v>
      </c>
      <c r="M9660" t="s">
        <v>24</v>
      </c>
      <c r="N9660" t="s">
        <v>22</v>
      </c>
    </row>
    <row r="9661" spans="1:14">
      <c r="A9661" s="4" t="str">
        <f t="shared" si="865"/>
        <v>EXP00321</v>
      </c>
      <c r="B9661" s="4" t="str">
        <f t="shared" si="866"/>
        <v>26990456</v>
      </c>
      <c r="C9661" s="4" t="str">
        <f t="shared" si="867"/>
        <v>GSE74367</v>
      </c>
      <c r="D9661" s="1" t="s">
        <v>447</v>
      </c>
      <c r="E9661" t="s">
        <v>448</v>
      </c>
      <c r="F9661" s="1">
        <v>2</v>
      </c>
      <c r="G9661" s="1" t="s">
        <v>452</v>
      </c>
      <c r="H9661" s="4" t="str">
        <f>HYPERLINK("https://www.ncbi.nlm.nih.gov/geo/query/acc.cgi?acc=GSM1616626","GSM1616626")</f>
        <v>GSM1616626</v>
      </c>
      <c r="I9661" t="s">
        <v>161</v>
      </c>
      <c r="J9661" t="s">
        <v>193</v>
      </c>
      <c r="K9661" t="s">
        <v>19</v>
      </c>
      <c r="L9661" t="s">
        <v>162</v>
      </c>
      <c r="M9661" t="s">
        <v>24</v>
      </c>
      <c r="N9661" t="s">
        <v>22</v>
      </c>
    </row>
    <row r="9662" spans="1:14">
      <c r="A9662" s="4" t="str">
        <f t="shared" si="865"/>
        <v>EXP00321</v>
      </c>
      <c r="B9662" s="4" t="str">
        <f t="shared" si="866"/>
        <v>26990456</v>
      </c>
      <c r="C9662" s="4" t="str">
        <f t="shared" si="867"/>
        <v>GSE74367</v>
      </c>
      <c r="D9662" s="1" t="s">
        <v>447</v>
      </c>
      <c r="E9662" t="s">
        <v>448</v>
      </c>
      <c r="F9662" s="1">
        <v>2</v>
      </c>
      <c r="G9662" s="1" t="s">
        <v>452</v>
      </c>
      <c r="H9662" s="4" t="str">
        <f>HYPERLINK("https://www.ncbi.nlm.nih.gov/geo/query/acc.cgi?acc=GSM1616633","GSM1616633")</f>
        <v>GSM1616633</v>
      </c>
      <c r="I9662" t="s">
        <v>161</v>
      </c>
      <c r="J9662" t="s">
        <v>193</v>
      </c>
      <c r="K9662" t="s">
        <v>19</v>
      </c>
      <c r="L9662" t="s">
        <v>162</v>
      </c>
      <c r="M9662" t="s">
        <v>24</v>
      </c>
      <c r="N9662" t="s">
        <v>22</v>
      </c>
    </row>
    <row r="9663" spans="1:14">
      <c r="A9663" s="4" t="str">
        <f t="shared" si="865"/>
        <v>EXP00321</v>
      </c>
      <c r="B9663" s="4" t="str">
        <f t="shared" si="866"/>
        <v>26990456</v>
      </c>
      <c r="C9663" s="4" t="str">
        <f t="shared" si="867"/>
        <v>GSE74367</v>
      </c>
      <c r="D9663" s="1" t="s">
        <v>447</v>
      </c>
      <c r="E9663" t="s">
        <v>448</v>
      </c>
      <c r="F9663" s="1">
        <v>2</v>
      </c>
      <c r="G9663" s="1" t="s">
        <v>452</v>
      </c>
      <c r="H9663" s="4" t="str">
        <f>HYPERLINK("https://www.ncbi.nlm.nih.gov/geo/query/acc.cgi?acc=GSM1616634","GSM1616634")</f>
        <v>GSM1616634</v>
      </c>
      <c r="I9663" t="s">
        <v>161</v>
      </c>
      <c r="J9663" t="s">
        <v>193</v>
      </c>
      <c r="K9663" t="s">
        <v>19</v>
      </c>
      <c r="L9663" t="s">
        <v>162</v>
      </c>
      <c r="M9663" t="s">
        <v>24</v>
      </c>
      <c r="N9663" t="s">
        <v>22</v>
      </c>
    </row>
    <row r="9664" spans="1:14">
      <c r="A9664" s="4" t="str">
        <f t="shared" si="865"/>
        <v>EXP00321</v>
      </c>
      <c r="B9664" s="4" t="str">
        <f t="shared" si="866"/>
        <v>26990456</v>
      </c>
      <c r="C9664" s="4" t="str">
        <f t="shared" si="867"/>
        <v>GSE74367</v>
      </c>
      <c r="D9664" s="1" t="s">
        <v>447</v>
      </c>
      <c r="E9664" t="s">
        <v>448</v>
      </c>
      <c r="F9664" s="1">
        <v>2</v>
      </c>
      <c r="G9664" s="1" t="s">
        <v>452</v>
      </c>
      <c r="H9664" s="4" t="str">
        <f>HYPERLINK("https://www.ncbi.nlm.nih.gov/geo/query/acc.cgi?acc=GSM1616635","GSM1616635")</f>
        <v>GSM1616635</v>
      </c>
      <c r="I9664" t="s">
        <v>161</v>
      </c>
      <c r="J9664" t="s">
        <v>193</v>
      </c>
      <c r="K9664" t="s">
        <v>19</v>
      </c>
      <c r="L9664" t="s">
        <v>162</v>
      </c>
      <c r="M9664" t="s">
        <v>24</v>
      </c>
      <c r="N9664" t="s">
        <v>22</v>
      </c>
    </row>
    <row r="9665" spans="1:14">
      <c r="A9665" s="4" t="str">
        <f t="shared" si="865"/>
        <v>EXP00321</v>
      </c>
      <c r="B9665" s="4" t="str">
        <f t="shared" si="866"/>
        <v>26990456</v>
      </c>
      <c r="C9665" s="4" t="str">
        <f t="shared" si="867"/>
        <v>GSE74367</v>
      </c>
      <c r="D9665" s="1" t="s">
        <v>447</v>
      </c>
      <c r="E9665" t="s">
        <v>448</v>
      </c>
      <c r="F9665" s="1">
        <v>2</v>
      </c>
      <c r="G9665" s="1" t="s">
        <v>452</v>
      </c>
      <c r="H9665" s="4" t="str">
        <f>HYPERLINK("https://www.ncbi.nlm.nih.gov/geo/query/acc.cgi?acc=GSM1616636","GSM1616636")</f>
        <v>GSM1616636</v>
      </c>
      <c r="I9665" t="s">
        <v>161</v>
      </c>
      <c r="J9665" t="s">
        <v>193</v>
      </c>
      <c r="K9665" t="s">
        <v>19</v>
      </c>
      <c r="L9665" t="s">
        <v>162</v>
      </c>
      <c r="M9665" t="s">
        <v>24</v>
      </c>
      <c r="N9665" t="s">
        <v>22</v>
      </c>
    </row>
    <row r="9666" spans="1:14">
      <c r="A9666" s="4" t="str">
        <f t="shared" si="865"/>
        <v>EXP00321</v>
      </c>
      <c r="B9666" s="4" t="str">
        <f t="shared" si="866"/>
        <v>26990456</v>
      </c>
      <c r="C9666" s="4" t="str">
        <f t="shared" si="867"/>
        <v>GSE74367</v>
      </c>
      <c r="D9666" s="1" t="s">
        <v>447</v>
      </c>
      <c r="E9666" t="s">
        <v>448</v>
      </c>
      <c r="F9666" s="1">
        <v>2</v>
      </c>
      <c r="G9666" s="1" t="s">
        <v>452</v>
      </c>
      <c r="H9666" s="4" t="str">
        <f>HYPERLINK("https://www.ncbi.nlm.nih.gov/geo/query/acc.cgi?acc=GSM1616639","GSM1616639")</f>
        <v>GSM1616639</v>
      </c>
      <c r="I9666" t="s">
        <v>161</v>
      </c>
      <c r="J9666" t="s">
        <v>193</v>
      </c>
      <c r="K9666" t="s">
        <v>19</v>
      </c>
      <c r="L9666" t="s">
        <v>162</v>
      </c>
      <c r="M9666" t="s">
        <v>24</v>
      </c>
      <c r="N9666" t="s">
        <v>22</v>
      </c>
    </row>
    <row r="9667" spans="1:14">
      <c r="A9667" s="4" t="str">
        <f t="shared" si="865"/>
        <v>EXP00321</v>
      </c>
      <c r="B9667" s="4" t="str">
        <f t="shared" si="866"/>
        <v>26990456</v>
      </c>
      <c r="C9667" s="4" t="str">
        <f t="shared" si="867"/>
        <v>GSE74367</v>
      </c>
      <c r="D9667" s="1" t="s">
        <v>447</v>
      </c>
      <c r="E9667" t="s">
        <v>448</v>
      </c>
      <c r="F9667" s="1">
        <v>2</v>
      </c>
      <c r="G9667" s="1" t="s">
        <v>452</v>
      </c>
      <c r="H9667" s="4" t="str">
        <f>HYPERLINK("https://www.ncbi.nlm.nih.gov/geo/query/acc.cgi?acc=GSM1616642","GSM1616642")</f>
        <v>GSM1616642</v>
      </c>
      <c r="I9667" t="s">
        <v>161</v>
      </c>
      <c r="J9667" t="s">
        <v>193</v>
      </c>
      <c r="K9667" t="s">
        <v>19</v>
      </c>
      <c r="L9667" t="s">
        <v>162</v>
      </c>
      <c r="M9667" t="s">
        <v>24</v>
      </c>
      <c r="N9667" t="s">
        <v>22</v>
      </c>
    </row>
    <row r="9668" spans="1:14">
      <c r="A9668" s="4" t="str">
        <f t="shared" si="865"/>
        <v>EXP00321</v>
      </c>
      <c r="B9668" s="4" t="str">
        <f t="shared" si="866"/>
        <v>26990456</v>
      </c>
      <c r="C9668" s="4" t="str">
        <f t="shared" si="867"/>
        <v>GSE74367</v>
      </c>
      <c r="D9668" s="1" t="s">
        <v>447</v>
      </c>
      <c r="E9668" t="s">
        <v>448</v>
      </c>
      <c r="F9668" s="1">
        <v>2</v>
      </c>
      <c r="G9668" s="1" t="s">
        <v>452</v>
      </c>
      <c r="H9668" s="4" t="str">
        <f>HYPERLINK("https://www.ncbi.nlm.nih.gov/geo/query/acc.cgi?acc=GSM1616644","GSM1616644")</f>
        <v>GSM1616644</v>
      </c>
      <c r="I9668" t="s">
        <v>161</v>
      </c>
      <c r="J9668" t="s">
        <v>193</v>
      </c>
      <c r="K9668" t="s">
        <v>19</v>
      </c>
      <c r="L9668" t="s">
        <v>162</v>
      </c>
      <c r="M9668" t="s">
        <v>24</v>
      </c>
      <c r="N9668" t="s">
        <v>22</v>
      </c>
    </row>
    <row r="9669" spans="1:14">
      <c r="A9669" s="4" t="str">
        <f t="shared" si="865"/>
        <v>EXP00321</v>
      </c>
      <c r="B9669" s="4" t="str">
        <f t="shared" si="866"/>
        <v>26990456</v>
      </c>
      <c r="C9669" s="4" t="str">
        <f t="shared" si="867"/>
        <v>GSE74367</v>
      </c>
      <c r="D9669" s="1" t="s">
        <v>447</v>
      </c>
      <c r="E9669" t="s">
        <v>448</v>
      </c>
      <c r="F9669" s="1">
        <v>2</v>
      </c>
      <c r="G9669" s="1" t="s">
        <v>452</v>
      </c>
      <c r="H9669" s="4" t="str">
        <f>HYPERLINK("https://www.ncbi.nlm.nih.gov/geo/query/acc.cgi?acc=GSM1616653","GSM1616653")</f>
        <v>GSM1616653</v>
      </c>
      <c r="I9669" t="s">
        <v>161</v>
      </c>
      <c r="J9669" t="s">
        <v>193</v>
      </c>
      <c r="K9669" t="s">
        <v>19</v>
      </c>
      <c r="L9669" t="s">
        <v>162</v>
      </c>
      <c r="M9669" t="s">
        <v>24</v>
      </c>
      <c r="N9669" t="s">
        <v>22</v>
      </c>
    </row>
    <row r="9670" spans="1:14">
      <c r="A9670" s="4" t="str">
        <f t="shared" si="865"/>
        <v>EXP00321</v>
      </c>
      <c r="B9670" s="4" t="str">
        <f t="shared" si="866"/>
        <v>26990456</v>
      </c>
      <c r="C9670" s="4" t="str">
        <f t="shared" si="867"/>
        <v>GSE74367</v>
      </c>
      <c r="D9670" s="1" t="s">
        <v>447</v>
      </c>
      <c r="E9670" t="s">
        <v>448</v>
      </c>
      <c r="F9670" s="1">
        <v>2</v>
      </c>
      <c r="G9670" s="1" t="s">
        <v>452</v>
      </c>
      <c r="H9670" s="4" t="str">
        <f>HYPERLINK("https://www.ncbi.nlm.nih.gov/geo/query/acc.cgi?acc=GSM1616662","GSM1616662")</f>
        <v>GSM1616662</v>
      </c>
      <c r="I9670" t="s">
        <v>161</v>
      </c>
      <c r="J9670" t="s">
        <v>193</v>
      </c>
      <c r="K9670" t="s">
        <v>19</v>
      </c>
      <c r="L9670" t="s">
        <v>162</v>
      </c>
      <c r="M9670" t="s">
        <v>24</v>
      </c>
      <c r="N9670" t="s">
        <v>22</v>
      </c>
    </row>
    <row r="9671" spans="1:14">
      <c r="A9671" s="4" t="str">
        <f t="shared" si="865"/>
        <v>EXP00321</v>
      </c>
      <c r="B9671" s="4" t="str">
        <f t="shared" si="866"/>
        <v>26990456</v>
      </c>
      <c r="C9671" s="4" t="str">
        <f t="shared" si="867"/>
        <v>GSE74367</v>
      </c>
      <c r="D9671" s="1" t="s">
        <v>447</v>
      </c>
      <c r="E9671" t="s">
        <v>448</v>
      </c>
      <c r="F9671" s="1">
        <v>2</v>
      </c>
      <c r="G9671" s="1" t="s">
        <v>452</v>
      </c>
      <c r="H9671" s="4" t="str">
        <f>HYPERLINK("https://www.ncbi.nlm.nih.gov/geo/query/acc.cgi?acc=GSM1616669","GSM1616669")</f>
        <v>GSM1616669</v>
      </c>
      <c r="I9671" t="s">
        <v>161</v>
      </c>
      <c r="J9671" t="s">
        <v>193</v>
      </c>
      <c r="K9671" t="s">
        <v>19</v>
      </c>
      <c r="L9671" t="s">
        <v>162</v>
      </c>
      <c r="M9671" t="s">
        <v>24</v>
      </c>
      <c r="N9671" t="s">
        <v>22</v>
      </c>
    </row>
    <row r="9672" spans="1:14">
      <c r="A9672" s="4" t="str">
        <f t="shared" si="865"/>
        <v>EXP00321</v>
      </c>
      <c r="B9672" s="4" t="str">
        <f t="shared" si="866"/>
        <v>26990456</v>
      </c>
      <c r="C9672" s="4" t="str">
        <f t="shared" si="867"/>
        <v>GSE74367</v>
      </c>
      <c r="D9672" s="1" t="s">
        <v>447</v>
      </c>
      <c r="E9672" t="s">
        <v>448</v>
      </c>
      <c r="F9672" s="1">
        <v>2</v>
      </c>
      <c r="G9672" s="1" t="s">
        <v>452</v>
      </c>
      <c r="H9672" s="4" t="str">
        <f>HYPERLINK("https://www.ncbi.nlm.nih.gov/geo/query/acc.cgi?acc=GSM1616672","GSM1616672")</f>
        <v>GSM1616672</v>
      </c>
      <c r="I9672" t="s">
        <v>161</v>
      </c>
      <c r="J9672" t="s">
        <v>193</v>
      </c>
      <c r="K9672" t="s">
        <v>19</v>
      </c>
      <c r="L9672" t="s">
        <v>162</v>
      </c>
      <c r="M9672" t="s">
        <v>24</v>
      </c>
      <c r="N9672" t="s">
        <v>22</v>
      </c>
    </row>
    <row r="9673" spans="1:14">
      <c r="A9673" s="4" t="str">
        <f t="shared" si="865"/>
        <v>EXP00321</v>
      </c>
      <c r="B9673" s="4" t="str">
        <f t="shared" si="866"/>
        <v>26990456</v>
      </c>
      <c r="C9673" s="4" t="str">
        <f t="shared" si="867"/>
        <v>GSE74367</v>
      </c>
      <c r="D9673" s="1" t="s">
        <v>447</v>
      </c>
      <c r="E9673" t="s">
        <v>448</v>
      </c>
      <c r="F9673" s="1">
        <v>2</v>
      </c>
      <c r="G9673" s="1" t="s">
        <v>452</v>
      </c>
      <c r="H9673" s="4" t="str">
        <f>HYPERLINK("https://www.ncbi.nlm.nih.gov/geo/query/acc.cgi?acc=GSM1616684","GSM1616684")</f>
        <v>GSM1616684</v>
      </c>
      <c r="I9673" t="s">
        <v>161</v>
      </c>
      <c r="J9673" t="s">
        <v>193</v>
      </c>
      <c r="K9673" t="s">
        <v>19</v>
      </c>
      <c r="L9673" t="s">
        <v>162</v>
      </c>
      <c r="M9673" t="s">
        <v>24</v>
      </c>
      <c r="N9673" t="s">
        <v>22</v>
      </c>
    </row>
    <row r="9674" spans="1:14">
      <c r="A9674" s="4" t="str">
        <f t="shared" si="865"/>
        <v>EXP00321</v>
      </c>
      <c r="B9674" s="4" t="str">
        <f t="shared" si="866"/>
        <v>26990456</v>
      </c>
      <c r="C9674" s="4" t="str">
        <f t="shared" si="867"/>
        <v>GSE74367</v>
      </c>
      <c r="D9674" s="1" t="s">
        <v>447</v>
      </c>
      <c r="E9674" t="s">
        <v>448</v>
      </c>
      <c r="F9674" s="1">
        <v>2</v>
      </c>
      <c r="G9674" s="1" t="s">
        <v>452</v>
      </c>
      <c r="H9674" s="4" t="str">
        <f>HYPERLINK("https://www.ncbi.nlm.nih.gov/geo/query/acc.cgi?acc=GSM1918978","GSM1918978")</f>
        <v>GSM1918978</v>
      </c>
      <c r="I9674" t="s">
        <v>161</v>
      </c>
      <c r="J9674" t="s">
        <v>193</v>
      </c>
      <c r="K9674" t="s">
        <v>19</v>
      </c>
      <c r="L9674" t="s">
        <v>162</v>
      </c>
      <c r="M9674" t="s">
        <v>24</v>
      </c>
      <c r="N9674" t="s">
        <v>22</v>
      </c>
    </row>
    <row r="9675" spans="1:14">
      <c r="A9675" s="4" t="str">
        <f t="shared" ref="A9675:A9684" si="868">HYPERLINK("http://hcmdb.i-sanger.com/experiment/details/experiment_id/EXP00322","EXP00322")</f>
        <v>EXP00322</v>
      </c>
      <c r="B9675" s="4" t="str">
        <f t="shared" si="866"/>
        <v>26990456</v>
      </c>
      <c r="C9675" s="4" t="str">
        <f t="shared" si="867"/>
        <v>GSE74367</v>
      </c>
      <c r="D9675" s="1" t="s">
        <v>447</v>
      </c>
      <c r="E9675" t="s">
        <v>448</v>
      </c>
      <c r="F9675" s="1">
        <v>1</v>
      </c>
      <c r="G9675" s="1" t="s">
        <v>449</v>
      </c>
      <c r="H9675" s="4" t="str">
        <f>HYPERLINK("https://www.ncbi.nlm.nih.gov/geo/query/acc.cgi?acc=GSM1616625","GSM1616625")</f>
        <v>GSM1616625</v>
      </c>
      <c r="I9675" t="s">
        <v>161</v>
      </c>
      <c r="J9675" t="s">
        <v>193</v>
      </c>
      <c r="K9675" t="s">
        <v>19</v>
      </c>
      <c r="L9675" t="s">
        <v>162</v>
      </c>
      <c r="M9675" t="s">
        <v>50</v>
      </c>
      <c r="N9675" t="s">
        <v>22</v>
      </c>
    </row>
    <row r="9676" spans="1:14">
      <c r="A9676" s="4" t="str">
        <f t="shared" si="868"/>
        <v>EXP00322</v>
      </c>
      <c r="B9676" s="4" t="str">
        <f t="shared" si="866"/>
        <v>26990456</v>
      </c>
      <c r="C9676" s="4" t="str">
        <f t="shared" si="867"/>
        <v>GSE74367</v>
      </c>
      <c r="D9676" s="1" t="s">
        <v>447</v>
      </c>
      <c r="E9676" t="s">
        <v>448</v>
      </c>
      <c r="F9676" s="1">
        <v>1</v>
      </c>
      <c r="G9676" s="1" t="s">
        <v>449</v>
      </c>
      <c r="H9676" s="4" t="str">
        <f>HYPERLINK("https://www.ncbi.nlm.nih.gov/geo/query/acc.cgi?acc=GSM1616643","GSM1616643")</f>
        <v>GSM1616643</v>
      </c>
      <c r="I9676" t="s">
        <v>161</v>
      </c>
      <c r="J9676" t="s">
        <v>193</v>
      </c>
      <c r="K9676" t="s">
        <v>19</v>
      </c>
      <c r="L9676" t="s">
        <v>162</v>
      </c>
      <c r="M9676" t="s">
        <v>50</v>
      </c>
      <c r="N9676" t="s">
        <v>22</v>
      </c>
    </row>
    <row r="9677" spans="1:14">
      <c r="A9677" s="4" t="str">
        <f t="shared" si="868"/>
        <v>EXP00322</v>
      </c>
      <c r="B9677" s="4" t="str">
        <f t="shared" si="866"/>
        <v>26990456</v>
      </c>
      <c r="C9677" s="4" t="str">
        <f t="shared" si="867"/>
        <v>GSE74367</v>
      </c>
      <c r="D9677" s="1" t="s">
        <v>447</v>
      </c>
      <c r="E9677" t="s">
        <v>448</v>
      </c>
      <c r="F9677" s="1">
        <v>1</v>
      </c>
      <c r="G9677" s="1" t="s">
        <v>449</v>
      </c>
      <c r="H9677" s="4" t="str">
        <f>HYPERLINK("https://www.ncbi.nlm.nih.gov/geo/query/acc.cgi?acc=GSM1616651","GSM1616651")</f>
        <v>GSM1616651</v>
      </c>
      <c r="I9677" t="s">
        <v>161</v>
      </c>
      <c r="J9677" t="s">
        <v>193</v>
      </c>
      <c r="K9677" t="s">
        <v>19</v>
      </c>
      <c r="L9677" t="s">
        <v>162</v>
      </c>
      <c r="M9677" t="s">
        <v>50</v>
      </c>
      <c r="N9677" t="s">
        <v>22</v>
      </c>
    </row>
    <row r="9678" spans="1:14">
      <c r="A9678" s="4" t="str">
        <f t="shared" si="868"/>
        <v>EXP00322</v>
      </c>
      <c r="B9678" s="4" t="str">
        <f t="shared" si="866"/>
        <v>26990456</v>
      </c>
      <c r="C9678" s="4" t="str">
        <f t="shared" si="867"/>
        <v>GSE74367</v>
      </c>
      <c r="D9678" s="1" t="s">
        <v>447</v>
      </c>
      <c r="E9678" t="s">
        <v>448</v>
      </c>
      <c r="F9678" s="1">
        <v>1</v>
      </c>
      <c r="G9678" s="1" t="s">
        <v>449</v>
      </c>
      <c r="H9678" s="4" t="str">
        <f>HYPERLINK("https://www.ncbi.nlm.nih.gov/geo/query/acc.cgi?acc=GSM1616652","GSM1616652")</f>
        <v>GSM1616652</v>
      </c>
      <c r="I9678" t="s">
        <v>161</v>
      </c>
      <c r="J9678" t="s">
        <v>193</v>
      </c>
      <c r="K9678" t="s">
        <v>19</v>
      </c>
      <c r="L9678" t="s">
        <v>162</v>
      </c>
      <c r="M9678" t="s">
        <v>50</v>
      </c>
      <c r="N9678" t="s">
        <v>22</v>
      </c>
    </row>
    <row r="9679" spans="1:14">
      <c r="A9679" s="4" t="str">
        <f t="shared" si="868"/>
        <v>EXP00322</v>
      </c>
      <c r="B9679" s="4" t="str">
        <f t="shared" si="866"/>
        <v>26990456</v>
      </c>
      <c r="C9679" s="4" t="str">
        <f t="shared" si="867"/>
        <v>GSE74367</v>
      </c>
      <c r="D9679" s="1" t="s">
        <v>447</v>
      </c>
      <c r="E9679" t="s">
        <v>448</v>
      </c>
      <c r="F9679" s="1">
        <v>1</v>
      </c>
      <c r="G9679" s="1" t="s">
        <v>449</v>
      </c>
      <c r="H9679" s="4" t="str">
        <f>HYPERLINK("https://www.ncbi.nlm.nih.gov/geo/query/acc.cgi?acc=GSM1616654","GSM1616654")</f>
        <v>GSM1616654</v>
      </c>
      <c r="I9679" t="s">
        <v>161</v>
      </c>
      <c r="J9679" t="s">
        <v>193</v>
      </c>
      <c r="K9679" t="s">
        <v>19</v>
      </c>
      <c r="L9679" t="s">
        <v>162</v>
      </c>
      <c r="M9679" t="s">
        <v>50</v>
      </c>
      <c r="N9679" t="s">
        <v>22</v>
      </c>
    </row>
    <row r="9680" spans="1:14">
      <c r="A9680" s="4" t="str">
        <f t="shared" si="868"/>
        <v>EXP00322</v>
      </c>
      <c r="B9680" s="4" t="str">
        <f t="shared" si="866"/>
        <v>26990456</v>
      </c>
      <c r="C9680" s="4" t="str">
        <f t="shared" si="867"/>
        <v>GSE74367</v>
      </c>
      <c r="D9680" s="1" t="s">
        <v>447</v>
      </c>
      <c r="E9680" t="s">
        <v>448</v>
      </c>
      <c r="F9680" s="1">
        <v>1</v>
      </c>
      <c r="G9680" s="1" t="s">
        <v>449</v>
      </c>
      <c r="H9680" s="4" t="str">
        <f>HYPERLINK("https://www.ncbi.nlm.nih.gov/geo/query/acc.cgi?acc=GSM1616655","GSM1616655")</f>
        <v>GSM1616655</v>
      </c>
      <c r="I9680" t="s">
        <v>161</v>
      </c>
      <c r="J9680" t="s">
        <v>193</v>
      </c>
      <c r="K9680" t="s">
        <v>19</v>
      </c>
      <c r="L9680" t="s">
        <v>162</v>
      </c>
      <c r="M9680" t="s">
        <v>50</v>
      </c>
      <c r="N9680" t="s">
        <v>22</v>
      </c>
    </row>
    <row r="9681" spans="1:14">
      <c r="A9681" s="4" t="str">
        <f t="shared" si="868"/>
        <v>EXP00322</v>
      </c>
      <c r="B9681" s="4" t="str">
        <f t="shared" si="866"/>
        <v>26990456</v>
      </c>
      <c r="C9681" s="4" t="str">
        <f t="shared" si="867"/>
        <v>GSE74367</v>
      </c>
      <c r="D9681" s="1" t="s">
        <v>447</v>
      </c>
      <c r="E9681" t="s">
        <v>448</v>
      </c>
      <c r="F9681" s="1">
        <v>1</v>
      </c>
      <c r="G9681" s="1" t="s">
        <v>449</v>
      </c>
      <c r="H9681" s="4" t="str">
        <f>HYPERLINK("https://www.ncbi.nlm.nih.gov/geo/query/acc.cgi?acc=GSM1918979","GSM1918979")</f>
        <v>GSM1918979</v>
      </c>
      <c r="I9681" t="s">
        <v>161</v>
      </c>
      <c r="J9681" t="s">
        <v>193</v>
      </c>
      <c r="K9681" t="s">
        <v>19</v>
      </c>
      <c r="L9681" t="s">
        <v>162</v>
      </c>
      <c r="M9681" t="s">
        <v>50</v>
      </c>
      <c r="N9681" t="s">
        <v>22</v>
      </c>
    </row>
    <row r="9682" spans="1:14">
      <c r="A9682" s="4" t="str">
        <f t="shared" si="868"/>
        <v>EXP00322</v>
      </c>
      <c r="B9682" s="4" t="str">
        <f t="shared" si="866"/>
        <v>26990456</v>
      </c>
      <c r="C9682" s="4" t="str">
        <f t="shared" si="867"/>
        <v>GSE74367</v>
      </c>
      <c r="D9682" s="1" t="s">
        <v>447</v>
      </c>
      <c r="E9682" t="s">
        <v>448</v>
      </c>
      <c r="F9682" s="1">
        <v>2</v>
      </c>
      <c r="G9682" s="1" t="s">
        <v>453</v>
      </c>
      <c r="H9682" s="4" t="str">
        <f>HYPERLINK("https://www.ncbi.nlm.nih.gov/geo/query/acc.cgi?acc=GSM1616631","GSM1616631")</f>
        <v>GSM1616631</v>
      </c>
      <c r="I9682" t="s">
        <v>161</v>
      </c>
      <c r="J9682" t="s">
        <v>193</v>
      </c>
      <c r="K9682" t="s">
        <v>19</v>
      </c>
      <c r="L9682" t="s">
        <v>162</v>
      </c>
      <c r="M9682" t="s">
        <v>454</v>
      </c>
      <c r="N9682" t="s">
        <v>22</v>
      </c>
    </row>
    <row r="9683" spans="1:14">
      <c r="A9683" s="4" t="str">
        <f t="shared" si="868"/>
        <v>EXP00322</v>
      </c>
      <c r="B9683" s="4" t="str">
        <f t="shared" si="866"/>
        <v>26990456</v>
      </c>
      <c r="C9683" s="4" t="str">
        <f t="shared" si="867"/>
        <v>GSE74367</v>
      </c>
      <c r="D9683" s="1" t="s">
        <v>447</v>
      </c>
      <c r="E9683" t="s">
        <v>448</v>
      </c>
      <c r="F9683" s="1">
        <v>2</v>
      </c>
      <c r="G9683" s="1" t="s">
        <v>453</v>
      </c>
      <c r="H9683" s="4" t="str">
        <f>HYPERLINK("https://www.ncbi.nlm.nih.gov/geo/query/acc.cgi?acc=GSM1616658","GSM1616658")</f>
        <v>GSM1616658</v>
      </c>
      <c r="I9683" t="s">
        <v>161</v>
      </c>
      <c r="J9683" t="s">
        <v>193</v>
      </c>
      <c r="K9683" t="s">
        <v>19</v>
      </c>
      <c r="L9683" t="s">
        <v>162</v>
      </c>
      <c r="M9683" t="s">
        <v>292</v>
      </c>
      <c r="N9683" t="s">
        <v>22</v>
      </c>
    </row>
    <row r="9684" spans="1:14">
      <c r="A9684" s="4" t="str">
        <f t="shared" si="868"/>
        <v>EXP00322</v>
      </c>
      <c r="B9684" s="4" t="str">
        <f t="shared" si="866"/>
        <v>26990456</v>
      </c>
      <c r="C9684" s="4" t="str">
        <f t="shared" si="867"/>
        <v>GSE74367</v>
      </c>
      <c r="D9684" s="1" t="s">
        <v>447</v>
      </c>
      <c r="E9684" t="s">
        <v>448</v>
      </c>
      <c r="F9684" s="1">
        <v>2</v>
      </c>
      <c r="G9684" s="1" t="s">
        <v>453</v>
      </c>
      <c r="H9684" s="4" t="str">
        <f>HYPERLINK("https://www.ncbi.nlm.nih.gov/geo/query/acc.cgi?acc=GSM1918980","GSM1918980")</f>
        <v>GSM1918980</v>
      </c>
      <c r="I9684" t="s">
        <v>161</v>
      </c>
      <c r="J9684" t="s">
        <v>193</v>
      </c>
      <c r="K9684" t="s">
        <v>19</v>
      </c>
      <c r="L9684" t="s">
        <v>162</v>
      </c>
      <c r="M9684" t="s">
        <v>292</v>
      </c>
      <c r="N9684" t="s">
        <v>22</v>
      </c>
    </row>
    <row r="9685" spans="1:14">
      <c r="A9685" s="4" t="str">
        <f t="shared" ref="A9685:A9698" si="869">HYPERLINK("http://hcmdb.i-sanger.com/experiment/details/experiment_id/EXP00323","EXP00323")</f>
        <v>EXP00323</v>
      </c>
      <c r="B9685" s="4" t="str">
        <f t="shared" ref="B9685:B9716" si="870">HYPERLINK("https://www.ncbi.nlm.nih.gov/pubmed/26990456","26990456")</f>
        <v>26990456</v>
      </c>
      <c r="C9685" s="4" t="str">
        <f t="shared" ref="C9685:C9716" si="871">HYPERLINK("https://www.ncbi.nlm.nih.gov/geo/query/acc.cgi?acc=GSE74367","GSE74367")</f>
        <v>GSE74367</v>
      </c>
      <c r="D9685" s="1" t="s">
        <v>447</v>
      </c>
      <c r="E9685" t="s">
        <v>448</v>
      </c>
      <c r="F9685" s="1">
        <v>1</v>
      </c>
      <c r="G9685" s="1" t="s">
        <v>450</v>
      </c>
      <c r="H9685" s="4" t="str">
        <f>HYPERLINK("https://www.ncbi.nlm.nih.gov/geo/query/acc.cgi?acc=GSM1616614","GSM1616614")</f>
        <v>GSM1616614</v>
      </c>
      <c r="I9685" t="s">
        <v>161</v>
      </c>
      <c r="J9685" t="s">
        <v>193</v>
      </c>
      <c r="K9685" t="s">
        <v>19</v>
      </c>
      <c r="L9685" t="s">
        <v>162</v>
      </c>
      <c r="M9685" t="s">
        <v>44</v>
      </c>
      <c r="N9685" t="s">
        <v>22</v>
      </c>
    </row>
    <row r="9686" spans="1:14">
      <c r="A9686" s="4" t="str">
        <f t="shared" si="869"/>
        <v>EXP00323</v>
      </c>
      <c r="B9686" s="4" t="str">
        <f t="shared" si="870"/>
        <v>26990456</v>
      </c>
      <c r="C9686" s="4" t="str">
        <f t="shared" si="871"/>
        <v>GSE74367</v>
      </c>
      <c r="D9686" s="1" t="s">
        <v>447</v>
      </c>
      <c r="E9686" t="s">
        <v>448</v>
      </c>
      <c r="F9686" s="1">
        <v>1</v>
      </c>
      <c r="G9686" s="1" t="s">
        <v>450</v>
      </c>
      <c r="H9686" s="4" t="str">
        <f>HYPERLINK("https://www.ncbi.nlm.nih.gov/geo/query/acc.cgi?acc=GSM1616618","GSM1616618")</f>
        <v>GSM1616618</v>
      </c>
      <c r="I9686" t="s">
        <v>161</v>
      </c>
      <c r="J9686" t="s">
        <v>193</v>
      </c>
      <c r="K9686" t="s">
        <v>19</v>
      </c>
      <c r="L9686" t="s">
        <v>162</v>
      </c>
      <c r="M9686" t="s">
        <v>44</v>
      </c>
      <c r="N9686" t="s">
        <v>22</v>
      </c>
    </row>
    <row r="9687" spans="1:14">
      <c r="A9687" s="4" t="str">
        <f t="shared" si="869"/>
        <v>EXP00323</v>
      </c>
      <c r="B9687" s="4" t="str">
        <f t="shared" si="870"/>
        <v>26990456</v>
      </c>
      <c r="C9687" s="4" t="str">
        <f t="shared" si="871"/>
        <v>GSE74367</v>
      </c>
      <c r="D9687" s="1" t="s">
        <v>447</v>
      </c>
      <c r="E9687" t="s">
        <v>448</v>
      </c>
      <c r="F9687" s="1">
        <v>1</v>
      </c>
      <c r="G9687" s="1" t="s">
        <v>450</v>
      </c>
      <c r="H9687" s="4" t="str">
        <f>HYPERLINK("https://www.ncbi.nlm.nih.gov/geo/query/acc.cgi?acc=GSM1616621","GSM1616621")</f>
        <v>GSM1616621</v>
      </c>
      <c r="I9687" t="s">
        <v>161</v>
      </c>
      <c r="J9687" t="s">
        <v>193</v>
      </c>
      <c r="K9687" t="s">
        <v>19</v>
      </c>
      <c r="L9687" t="s">
        <v>162</v>
      </c>
      <c r="M9687" t="s">
        <v>44</v>
      </c>
      <c r="N9687" t="s">
        <v>22</v>
      </c>
    </row>
    <row r="9688" spans="1:14">
      <c r="A9688" s="4" t="str">
        <f t="shared" si="869"/>
        <v>EXP00323</v>
      </c>
      <c r="B9688" s="4" t="str">
        <f t="shared" si="870"/>
        <v>26990456</v>
      </c>
      <c r="C9688" s="4" t="str">
        <f t="shared" si="871"/>
        <v>GSE74367</v>
      </c>
      <c r="D9688" s="1" t="s">
        <v>447</v>
      </c>
      <c r="E9688" t="s">
        <v>448</v>
      </c>
      <c r="F9688" s="1">
        <v>1</v>
      </c>
      <c r="G9688" s="1" t="s">
        <v>450</v>
      </c>
      <c r="H9688" s="4" t="str">
        <f>HYPERLINK("https://www.ncbi.nlm.nih.gov/geo/query/acc.cgi?acc=GSM1616623","GSM1616623")</f>
        <v>GSM1616623</v>
      </c>
      <c r="I9688" t="s">
        <v>161</v>
      </c>
      <c r="J9688" t="s">
        <v>193</v>
      </c>
      <c r="K9688" t="s">
        <v>19</v>
      </c>
      <c r="L9688" t="s">
        <v>162</v>
      </c>
      <c r="M9688" t="s">
        <v>44</v>
      </c>
      <c r="N9688" t="s">
        <v>22</v>
      </c>
    </row>
    <row r="9689" spans="1:14">
      <c r="A9689" s="4" t="str">
        <f t="shared" si="869"/>
        <v>EXP00323</v>
      </c>
      <c r="B9689" s="4" t="str">
        <f t="shared" si="870"/>
        <v>26990456</v>
      </c>
      <c r="C9689" s="4" t="str">
        <f t="shared" si="871"/>
        <v>GSE74367</v>
      </c>
      <c r="D9689" s="1" t="s">
        <v>447</v>
      </c>
      <c r="E9689" t="s">
        <v>448</v>
      </c>
      <c r="F9689" s="1">
        <v>1</v>
      </c>
      <c r="G9689" s="1" t="s">
        <v>450</v>
      </c>
      <c r="H9689" s="4" t="str">
        <f>HYPERLINK("https://www.ncbi.nlm.nih.gov/geo/query/acc.cgi?acc=GSM1616628","GSM1616628")</f>
        <v>GSM1616628</v>
      </c>
      <c r="I9689" t="s">
        <v>161</v>
      </c>
      <c r="J9689" t="s">
        <v>193</v>
      </c>
      <c r="K9689" t="s">
        <v>19</v>
      </c>
      <c r="L9689" t="s">
        <v>162</v>
      </c>
      <c r="M9689" t="s">
        <v>44</v>
      </c>
      <c r="N9689" t="s">
        <v>22</v>
      </c>
    </row>
    <row r="9690" spans="1:14">
      <c r="A9690" s="4" t="str">
        <f t="shared" si="869"/>
        <v>EXP00323</v>
      </c>
      <c r="B9690" s="4" t="str">
        <f t="shared" si="870"/>
        <v>26990456</v>
      </c>
      <c r="C9690" s="4" t="str">
        <f t="shared" si="871"/>
        <v>GSE74367</v>
      </c>
      <c r="D9690" s="1" t="s">
        <v>447</v>
      </c>
      <c r="E9690" t="s">
        <v>448</v>
      </c>
      <c r="F9690" s="1">
        <v>1</v>
      </c>
      <c r="G9690" s="1" t="s">
        <v>450</v>
      </c>
      <c r="H9690" s="4" t="str">
        <f>HYPERLINK("https://www.ncbi.nlm.nih.gov/geo/query/acc.cgi?acc=GSM1616629","GSM1616629")</f>
        <v>GSM1616629</v>
      </c>
      <c r="I9690" t="s">
        <v>161</v>
      </c>
      <c r="J9690" t="s">
        <v>193</v>
      </c>
      <c r="K9690" t="s">
        <v>19</v>
      </c>
      <c r="L9690" t="s">
        <v>162</v>
      </c>
      <c r="M9690" t="s">
        <v>44</v>
      </c>
      <c r="N9690" t="s">
        <v>22</v>
      </c>
    </row>
    <row r="9691" spans="1:14">
      <c r="A9691" s="4" t="str">
        <f t="shared" si="869"/>
        <v>EXP00323</v>
      </c>
      <c r="B9691" s="4" t="str">
        <f t="shared" si="870"/>
        <v>26990456</v>
      </c>
      <c r="C9691" s="4" t="str">
        <f t="shared" si="871"/>
        <v>GSE74367</v>
      </c>
      <c r="D9691" s="1" t="s">
        <v>447</v>
      </c>
      <c r="E9691" t="s">
        <v>448</v>
      </c>
      <c r="F9691" s="1">
        <v>1</v>
      </c>
      <c r="G9691" s="1" t="s">
        <v>450</v>
      </c>
      <c r="H9691" s="4" t="str">
        <f>HYPERLINK("https://www.ncbi.nlm.nih.gov/geo/query/acc.cgi?acc=GSM1616632","GSM1616632")</f>
        <v>GSM1616632</v>
      </c>
      <c r="I9691" t="s">
        <v>161</v>
      </c>
      <c r="J9691" t="s">
        <v>193</v>
      </c>
      <c r="K9691" t="s">
        <v>19</v>
      </c>
      <c r="L9691" t="s">
        <v>162</v>
      </c>
      <c r="M9691" t="s">
        <v>44</v>
      </c>
      <c r="N9691" t="s">
        <v>22</v>
      </c>
    </row>
    <row r="9692" spans="1:14">
      <c r="A9692" s="4" t="str">
        <f t="shared" si="869"/>
        <v>EXP00323</v>
      </c>
      <c r="B9692" s="4" t="str">
        <f t="shared" si="870"/>
        <v>26990456</v>
      </c>
      <c r="C9692" s="4" t="str">
        <f t="shared" si="871"/>
        <v>GSE74367</v>
      </c>
      <c r="D9692" s="1" t="s">
        <v>447</v>
      </c>
      <c r="E9692" t="s">
        <v>448</v>
      </c>
      <c r="F9692" s="1">
        <v>1</v>
      </c>
      <c r="G9692" s="1" t="s">
        <v>450</v>
      </c>
      <c r="H9692" s="4" t="str">
        <f>HYPERLINK("https://www.ncbi.nlm.nih.gov/geo/query/acc.cgi?acc=GSM1616663","GSM1616663")</f>
        <v>GSM1616663</v>
      </c>
      <c r="I9692" t="s">
        <v>161</v>
      </c>
      <c r="J9692" t="s">
        <v>193</v>
      </c>
      <c r="K9692" t="s">
        <v>19</v>
      </c>
      <c r="L9692" t="s">
        <v>162</v>
      </c>
      <c r="M9692" t="s">
        <v>44</v>
      </c>
      <c r="N9692" t="s">
        <v>22</v>
      </c>
    </row>
    <row r="9693" spans="1:14">
      <c r="A9693" s="4" t="str">
        <f t="shared" si="869"/>
        <v>EXP00323</v>
      </c>
      <c r="B9693" s="4" t="str">
        <f t="shared" si="870"/>
        <v>26990456</v>
      </c>
      <c r="C9693" s="4" t="str">
        <f t="shared" si="871"/>
        <v>GSE74367</v>
      </c>
      <c r="D9693" s="1" t="s">
        <v>447</v>
      </c>
      <c r="E9693" t="s">
        <v>448</v>
      </c>
      <c r="F9693" s="1">
        <v>1</v>
      </c>
      <c r="G9693" s="1" t="s">
        <v>450</v>
      </c>
      <c r="H9693" s="4" t="str">
        <f>HYPERLINK("https://www.ncbi.nlm.nih.gov/geo/query/acc.cgi?acc=GSM1616667","GSM1616667")</f>
        <v>GSM1616667</v>
      </c>
      <c r="I9693" t="s">
        <v>161</v>
      </c>
      <c r="J9693" t="s">
        <v>193</v>
      </c>
      <c r="K9693" t="s">
        <v>19</v>
      </c>
      <c r="L9693" t="s">
        <v>162</v>
      </c>
      <c r="M9693" t="s">
        <v>44</v>
      </c>
      <c r="N9693" t="s">
        <v>22</v>
      </c>
    </row>
    <row r="9694" spans="1:14">
      <c r="A9694" s="4" t="str">
        <f t="shared" si="869"/>
        <v>EXP00323</v>
      </c>
      <c r="B9694" s="4" t="str">
        <f t="shared" si="870"/>
        <v>26990456</v>
      </c>
      <c r="C9694" s="4" t="str">
        <f t="shared" si="871"/>
        <v>GSE74367</v>
      </c>
      <c r="D9694" s="1" t="s">
        <v>447</v>
      </c>
      <c r="E9694" t="s">
        <v>448</v>
      </c>
      <c r="F9694" s="1">
        <v>1</v>
      </c>
      <c r="G9694" s="1" t="s">
        <v>450</v>
      </c>
      <c r="H9694" s="4" t="str">
        <f>HYPERLINK("https://www.ncbi.nlm.nih.gov/geo/query/acc.cgi?acc=GSM1616671","GSM1616671")</f>
        <v>GSM1616671</v>
      </c>
      <c r="I9694" t="s">
        <v>161</v>
      </c>
      <c r="J9694" t="s">
        <v>193</v>
      </c>
      <c r="K9694" t="s">
        <v>19</v>
      </c>
      <c r="L9694" t="s">
        <v>162</v>
      </c>
      <c r="M9694" t="s">
        <v>44</v>
      </c>
      <c r="N9694" t="s">
        <v>22</v>
      </c>
    </row>
    <row r="9695" spans="1:14">
      <c r="A9695" s="4" t="str">
        <f t="shared" si="869"/>
        <v>EXP00323</v>
      </c>
      <c r="B9695" s="4" t="str">
        <f t="shared" si="870"/>
        <v>26990456</v>
      </c>
      <c r="C9695" s="4" t="str">
        <f t="shared" si="871"/>
        <v>GSE74367</v>
      </c>
      <c r="D9695" s="1" t="s">
        <v>447</v>
      </c>
      <c r="E9695" t="s">
        <v>448</v>
      </c>
      <c r="F9695" s="1">
        <v>1</v>
      </c>
      <c r="G9695" s="1" t="s">
        <v>450</v>
      </c>
      <c r="H9695" s="4" t="str">
        <f>HYPERLINK("https://www.ncbi.nlm.nih.gov/geo/query/acc.cgi?acc=GSM1616674","GSM1616674")</f>
        <v>GSM1616674</v>
      </c>
      <c r="I9695" t="s">
        <v>161</v>
      </c>
      <c r="J9695" t="s">
        <v>193</v>
      </c>
      <c r="K9695" t="s">
        <v>19</v>
      </c>
      <c r="L9695" t="s">
        <v>162</v>
      </c>
      <c r="M9695" t="s">
        <v>44</v>
      </c>
      <c r="N9695" t="s">
        <v>22</v>
      </c>
    </row>
    <row r="9696" spans="1:14">
      <c r="A9696" s="4" t="str">
        <f t="shared" si="869"/>
        <v>EXP00323</v>
      </c>
      <c r="B9696" s="4" t="str">
        <f t="shared" si="870"/>
        <v>26990456</v>
      </c>
      <c r="C9696" s="4" t="str">
        <f t="shared" si="871"/>
        <v>GSE74367</v>
      </c>
      <c r="D9696" s="1" t="s">
        <v>447</v>
      </c>
      <c r="E9696" t="s">
        <v>448</v>
      </c>
      <c r="F9696" s="1">
        <v>2</v>
      </c>
      <c r="G9696" s="1" t="s">
        <v>451</v>
      </c>
      <c r="H9696" s="4" t="str">
        <f>HYPERLINK("https://www.ncbi.nlm.nih.gov/geo/query/acc.cgi?acc=GSM1616637","GSM1616637")</f>
        <v>GSM1616637</v>
      </c>
      <c r="I9696" t="s">
        <v>161</v>
      </c>
      <c r="J9696" t="s">
        <v>193</v>
      </c>
      <c r="K9696" t="s">
        <v>19</v>
      </c>
      <c r="L9696" t="s">
        <v>162</v>
      </c>
      <c r="M9696" t="s">
        <v>41</v>
      </c>
      <c r="N9696" t="s">
        <v>22</v>
      </c>
    </row>
    <row r="9697" spans="1:14">
      <c r="A9697" s="4" t="str">
        <f t="shared" si="869"/>
        <v>EXP00323</v>
      </c>
      <c r="B9697" s="4" t="str">
        <f t="shared" si="870"/>
        <v>26990456</v>
      </c>
      <c r="C9697" s="4" t="str">
        <f t="shared" si="871"/>
        <v>GSE74367</v>
      </c>
      <c r="D9697" s="1" t="s">
        <v>447</v>
      </c>
      <c r="E9697" t="s">
        <v>448</v>
      </c>
      <c r="F9697" s="1">
        <v>2</v>
      </c>
      <c r="G9697" s="1" t="s">
        <v>451</v>
      </c>
      <c r="H9697" s="4" t="str">
        <f>HYPERLINK("https://www.ncbi.nlm.nih.gov/geo/query/acc.cgi?acc=GSM1616660","GSM1616660")</f>
        <v>GSM1616660</v>
      </c>
      <c r="I9697" t="s">
        <v>161</v>
      </c>
      <c r="J9697" t="s">
        <v>193</v>
      </c>
      <c r="K9697" t="s">
        <v>19</v>
      </c>
      <c r="L9697" t="s">
        <v>162</v>
      </c>
      <c r="M9697" t="s">
        <v>41</v>
      </c>
      <c r="N9697" t="s">
        <v>22</v>
      </c>
    </row>
    <row r="9698" spans="1:14">
      <c r="A9698" s="4" t="str">
        <f t="shared" si="869"/>
        <v>EXP00323</v>
      </c>
      <c r="B9698" s="4" t="str">
        <f t="shared" si="870"/>
        <v>26990456</v>
      </c>
      <c r="C9698" s="4" t="str">
        <f t="shared" si="871"/>
        <v>GSE74367</v>
      </c>
      <c r="D9698" s="1" t="s">
        <v>447</v>
      </c>
      <c r="E9698" t="s">
        <v>448</v>
      </c>
      <c r="F9698" s="1">
        <v>2</v>
      </c>
      <c r="G9698" s="1" t="s">
        <v>451</v>
      </c>
      <c r="H9698" s="4" t="str">
        <f>HYPERLINK("https://www.ncbi.nlm.nih.gov/geo/query/acc.cgi?acc=GSM1616668","GSM1616668")</f>
        <v>GSM1616668</v>
      </c>
      <c r="I9698" t="s">
        <v>161</v>
      </c>
      <c r="J9698" t="s">
        <v>193</v>
      </c>
      <c r="K9698" t="s">
        <v>19</v>
      </c>
      <c r="L9698" t="s">
        <v>162</v>
      </c>
      <c r="M9698" t="s">
        <v>41</v>
      </c>
      <c r="N9698" t="s">
        <v>22</v>
      </c>
    </row>
    <row r="9699" spans="1:14">
      <c r="A9699" s="4" t="str">
        <f t="shared" ref="A9699:A9728" si="872">HYPERLINK("http://hcmdb.i-sanger.com/experiment/details/experiment_id/EXP00324","EXP00324")</f>
        <v>EXP00324</v>
      </c>
      <c r="B9699" s="4" t="str">
        <f t="shared" si="870"/>
        <v>26990456</v>
      </c>
      <c r="C9699" s="4" t="str">
        <f t="shared" si="871"/>
        <v>GSE74367</v>
      </c>
      <c r="D9699" s="1" t="s">
        <v>447</v>
      </c>
      <c r="E9699" t="s">
        <v>448</v>
      </c>
      <c r="F9699" s="1">
        <v>1</v>
      </c>
      <c r="G9699" s="1" t="s">
        <v>450</v>
      </c>
      <c r="H9699" s="4" t="str">
        <f>HYPERLINK("https://www.ncbi.nlm.nih.gov/geo/query/acc.cgi?acc=GSM1616614","GSM1616614")</f>
        <v>GSM1616614</v>
      </c>
      <c r="I9699" t="s">
        <v>161</v>
      </c>
      <c r="J9699" t="s">
        <v>193</v>
      </c>
      <c r="K9699" t="s">
        <v>19</v>
      </c>
      <c r="L9699" t="s">
        <v>162</v>
      </c>
      <c r="M9699" t="s">
        <v>44</v>
      </c>
      <c r="N9699" t="s">
        <v>22</v>
      </c>
    </row>
    <row r="9700" spans="1:14">
      <c r="A9700" s="4" t="str">
        <f t="shared" si="872"/>
        <v>EXP00324</v>
      </c>
      <c r="B9700" s="4" t="str">
        <f t="shared" si="870"/>
        <v>26990456</v>
      </c>
      <c r="C9700" s="4" t="str">
        <f t="shared" si="871"/>
        <v>GSE74367</v>
      </c>
      <c r="D9700" s="1" t="s">
        <v>447</v>
      </c>
      <c r="E9700" t="s">
        <v>448</v>
      </c>
      <c r="F9700" s="1">
        <v>1</v>
      </c>
      <c r="G9700" s="1" t="s">
        <v>450</v>
      </c>
      <c r="H9700" s="4" t="str">
        <f>HYPERLINK("https://www.ncbi.nlm.nih.gov/geo/query/acc.cgi?acc=GSM1616618","GSM1616618")</f>
        <v>GSM1616618</v>
      </c>
      <c r="I9700" t="s">
        <v>161</v>
      </c>
      <c r="J9700" t="s">
        <v>193</v>
      </c>
      <c r="K9700" t="s">
        <v>19</v>
      </c>
      <c r="L9700" t="s">
        <v>162</v>
      </c>
      <c r="M9700" t="s">
        <v>44</v>
      </c>
      <c r="N9700" t="s">
        <v>22</v>
      </c>
    </row>
    <row r="9701" spans="1:14">
      <c r="A9701" s="4" t="str">
        <f t="shared" si="872"/>
        <v>EXP00324</v>
      </c>
      <c r="B9701" s="4" t="str">
        <f t="shared" si="870"/>
        <v>26990456</v>
      </c>
      <c r="C9701" s="4" t="str">
        <f t="shared" si="871"/>
        <v>GSE74367</v>
      </c>
      <c r="D9701" s="1" t="s">
        <v>447</v>
      </c>
      <c r="E9701" t="s">
        <v>448</v>
      </c>
      <c r="F9701" s="1">
        <v>1</v>
      </c>
      <c r="G9701" s="1" t="s">
        <v>450</v>
      </c>
      <c r="H9701" s="4" t="str">
        <f>HYPERLINK("https://www.ncbi.nlm.nih.gov/geo/query/acc.cgi?acc=GSM1616621","GSM1616621")</f>
        <v>GSM1616621</v>
      </c>
      <c r="I9701" t="s">
        <v>161</v>
      </c>
      <c r="J9701" t="s">
        <v>193</v>
      </c>
      <c r="K9701" t="s">
        <v>19</v>
      </c>
      <c r="L9701" t="s">
        <v>162</v>
      </c>
      <c r="M9701" t="s">
        <v>44</v>
      </c>
      <c r="N9701" t="s">
        <v>22</v>
      </c>
    </row>
    <row r="9702" spans="1:14">
      <c r="A9702" s="4" t="str">
        <f t="shared" si="872"/>
        <v>EXP00324</v>
      </c>
      <c r="B9702" s="4" t="str">
        <f t="shared" si="870"/>
        <v>26990456</v>
      </c>
      <c r="C9702" s="4" t="str">
        <f t="shared" si="871"/>
        <v>GSE74367</v>
      </c>
      <c r="D9702" s="1" t="s">
        <v>447</v>
      </c>
      <c r="E9702" t="s">
        <v>448</v>
      </c>
      <c r="F9702" s="1">
        <v>1</v>
      </c>
      <c r="G9702" s="1" t="s">
        <v>450</v>
      </c>
      <c r="H9702" s="4" t="str">
        <f>HYPERLINK("https://www.ncbi.nlm.nih.gov/geo/query/acc.cgi?acc=GSM1616623","GSM1616623")</f>
        <v>GSM1616623</v>
      </c>
      <c r="I9702" t="s">
        <v>161</v>
      </c>
      <c r="J9702" t="s">
        <v>193</v>
      </c>
      <c r="K9702" t="s">
        <v>19</v>
      </c>
      <c r="L9702" t="s">
        <v>162</v>
      </c>
      <c r="M9702" t="s">
        <v>44</v>
      </c>
      <c r="N9702" t="s">
        <v>22</v>
      </c>
    </row>
    <row r="9703" spans="1:14">
      <c r="A9703" s="4" t="str">
        <f t="shared" si="872"/>
        <v>EXP00324</v>
      </c>
      <c r="B9703" s="4" t="str">
        <f t="shared" si="870"/>
        <v>26990456</v>
      </c>
      <c r="C9703" s="4" t="str">
        <f t="shared" si="871"/>
        <v>GSE74367</v>
      </c>
      <c r="D9703" s="1" t="s">
        <v>447</v>
      </c>
      <c r="E9703" t="s">
        <v>448</v>
      </c>
      <c r="F9703" s="1">
        <v>1</v>
      </c>
      <c r="G9703" s="1" t="s">
        <v>450</v>
      </c>
      <c r="H9703" s="4" t="str">
        <f>HYPERLINK("https://www.ncbi.nlm.nih.gov/geo/query/acc.cgi?acc=GSM1616628","GSM1616628")</f>
        <v>GSM1616628</v>
      </c>
      <c r="I9703" t="s">
        <v>161</v>
      </c>
      <c r="J9703" t="s">
        <v>193</v>
      </c>
      <c r="K9703" t="s">
        <v>19</v>
      </c>
      <c r="L9703" t="s">
        <v>162</v>
      </c>
      <c r="M9703" t="s">
        <v>44</v>
      </c>
      <c r="N9703" t="s">
        <v>22</v>
      </c>
    </row>
    <row r="9704" spans="1:14">
      <c r="A9704" s="4" t="str">
        <f t="shared" si="872"/>
        <v>EXP00324</v>
      </c>
      <c r="B9704" s="4" t="str">
        <f t="shared" si="870"/>
        <v>26990456</v>
      </c>
      <c r="C9704" s="4" t="str">
        <f t="shared" si="871"/>
        <v>GSE74367</v>
      </c>
      <c r="D9704" s="1" t="s">
        <v>447</v>
      </c>
      <c r="E9704" t="s">
        <v>448</v>
      </c>
      <c r="F9704" s="1">
        <v>1</v>
      </c>
      <c r="G9704" s="1" t="s">
        <v>450</v>
      </c>
      <c r="H9704" s="4" t="str">
        <f>HYPERLINK("https://www.ncbi.nlm.nih.gov/geo/query/acc.cgi?acc=GSM1616629","GSM1616629")</f>
        <v>GSM1616629</v>
      </c>
      <c r="I9704" t="s">
        <v>161</v>
      </c>
      <c r="J9704" t="s">
        <v>193</v>
      </c>
      <c r="K9704" t="s">
        <v>19</v>
      </c>
      <c r="L9704" t="s">
        <v>162</v>
      </c>
      <c r="M9704" t="s">
        <v>44</v>
      </c>
      <c r="N9704" t="s">
        <v>22</v>
      </c>
    </row>
    <row r="9705" spans="1:14">
      <c r="A9705" s="4" t="str">
        <f t="shared" si="872"/>
        <v>EXP00324</v>
      </c>
      <c r="B9705" s="4" t="str">
        <f t="shared" si="870"/>
        <v>26990456</v>
      </c>
      <c r="C9705" s="4" t="str">
        <f t="shared" si="871"/>
        <v>GSE74367</v>
      </c>
      <c r="D9705" s="1" t="s">
        <v>447</v>
      </c>
      <c r="E9705" t="s">
        <v>448</v>
      </c>
      <c r="F9705" s="1">
        <v>1</v>
      </c>
      <c r="G9705" s="1" t="s">
        <v>450</v>
      </c>
      <c r="H9705" s="4" t="str">
        <f>HYPERLINK("https://www.ncbi.nlm.nih.gov/geo/query/acc.cgi?acc=GSM1616632","GSM1616632")</f>
        <v>GSM1616632</v>
      </c>
      <c r="I9705" t="s">
        <v>161</v>
      </c>
      <c r="J9705" t="s">
        <v>193</v>
      </c>
      <c r="K9705" t="s">
        <v>19</v>
      </c>
      <c r="L9705" t="s">
        <v>162</v>
      </c>
      <c r="M9705" t="s">
        <v>44</v>
      </c>
      <c r="N9705" t="s">
        <v>22</v>
      </c>
    </row>
    <row r="9706" spans="1:14">
      <c r="A9706" s="4" t="str">
        <f t="shared" si="872"/>
        <v>EXP00324</v>
      </c>
      <c r="B9706" s="4" t="str">
        <f t="shared" si="870"/>
        <v>26990456</v>
      </c>
      <c r="C9706" s="4" t="str">
        <f t="shared" si="871"/>
        <v>GSE74367</v>
      </c>
      <c r="D9706" s="1" t="s">
        <v>447</v>
      </c>
      <c r="E9706" t="s">
        <v>448</v>
      </c>
      <c r="F9706" s="1">
        <v>1</v>
      </c>
      <c r="G9706" s="1" t="s">
        <v>450</v>
      </c>
      <c r="H9706" s="4" t="str">
        <f>HYPERLINK("https://www.ncbi.nlm.nih.gov/geo/query/acc.cgi?acc=GSM1616663","GSM1616663")</f>
        <v>GSM1616663</v>
      </c>
      <c r="I9706" t="s">
        <v>161</v>
      </c>
      <c r="J9706" t="s">
        <v>193</v>
      </c>
      <c r="K9706" t="s">
        <v>19</v>
      </c>
      <c r="L9706" t="s">
        <v>162</v>
      </c>
      <c r="M9706" t="s">
        <v>44</v>
      </c>
      <c r="N9706" t="s">
        <v>22</v>
      </c>
    </row>
    <row r="9707" spans="1:14">
      <c r="A9707" s="4" t="str">
        <f t="shared" si="872"/>
        <v>EXP00324</v>
      </c>
      <c r="B9707" s="4" t="str">
        <f t="shared" si="870"/>
        <v>26990456</v>
      </c>
      <c r="C9707" s="4" t="str">
        <f t="shared" si="871"/>
        <v>GSE74367</v>
      </c>
      <c r="D9707" s="1" t="s">
        <v>447</v>
      </c>
      <c r="E9707" t="s">
        <v>448</v>
      </c>
      <c r="F9707" s="1">
        <v>1</v>
      </c>
      <c r="G9707" s="1" t="s">
        <v>450</v>
      </c>
      <c r="H9707" s="4" t="str">
        <f>HYPERLINK("https://www.ncbi.nlm.nih.gov/geo/query/acc.cgi?acc=GSM1616667","GSM1616667")</f>
        <v>GSM1616667</v>
      </c>
      <c r="I9707" t="s">
        <v>161</v>
      </c>
      <c r="J9707" t="s">
        <v>193</v>
      </c>
      <c r="K9707" t="s">
        <v>19</v>
      </c>
      <c r="L9707" t="s">
        <v>162</v>
      </c>
      <c r="M9707" t="s">
        <v>44</v>
      </c>
      <c r="N9707" t="s">
        <v>22</v>
      </c>
    </row>
    <row r="9708" spans="1:14">
      <c r="A9708" s="4" t="str">
        <f t="shared" si="872"/>
        <v>EXP00324</v>
      </c>
      <c r="B9708" s="4" t="str">
        <f t="shared" si="870"/>
        <v>26990456</v>
      </c>
      <c r="C9708" s="4" t="str">
        <f t="shared" si="871"/>
        <v>GSE74367</v>
      </c>
      <c r="D9708" s="1" t="s">
        <v>447</v>
      </c>
      <c r="E9708" t="s">
        <v>448</v>
      </c>
      <c r="F9708" s="1">
        <v>1</v>
      </c>
      <c r="G9708" s="1" t="s">
        <v>450</v>
      </c>
      <c r="H9708" s="4" t="str">
        <f>HYPERLINK("https://www.ncbi.nlm.nih.gov/geo/query/acc.cgi?acc=GSM1616671","GSM1616671")</f>
        <v>GSM1616671</v>
      </c>
      <c r="I9708" t="s">
        <v>161</v>
      </c>
      <c r="J9708" t="s">
        <v>193</v>
      </c>
      <c r="K9708" t="s">
        <v>19</v>
      </c>
      <c r="L9708" t="s">
        <v>162</v>
      </c>
      <c r="M9708" t="s">
        <v>44</v>
      </c>
      <c r="N9708" t="s">
        <v>22</v>
      </c>
    </row>
    <row r="9709" spans="1:14">
      <c r="A9709" s="4" t="str">
        <f t="shared" si="872"/>
        <v>EXP00324</v>
      </c>
      <c r="B9709" s="4" t="str">
        <f t="shared" si="870"/>
        <v>26990456</v>
      </c>
      <c r="C9709" s="4" t="str">
        <f t="shared" si="871"/>
        <v>GSE74367</v>
      </c>
      <c r="D9709" s="1" t="s">
        <v>447</v>
      </c>
      <c r="E9709" t="s">
        <v>448</v>
      </c>
      <c r="F9709" s="1">
        <v>1</v>
      </c>
      <c r="G9709" s="1" t="s">
        <v>450</v>
      </c>
      <c r="H9709" s="4" t="str">
        <f>HYPERLINK("https://www.ncbi.nlm.nih.gov/geo/query/acc.cgi?acc=GSM1616674","GSM1616674")</f>
        <v>GSM1616674</v>
      </c>
      <c r="I9709" t="s">
        <v>161</v>
      </c>
      <c r="J9709" t="s">
        <v>193</v>
      </c>
      <c r="K9709" t="s">
        <v>19</v>
      </c>
      <c r="L9709" t="s">
        <v>162</v>
      </c>
      <c r="M9709" t="s">
        <v>44</v>
      </c>
      <c r="N9709" t="s">
        <v>22</v>
      </c>
    </row>
    <row r="9710" spans="1:14">
      <c r="A9710" s="4" t="str">
        <f t="shared" si="872"/>
        <v>EXP00324</v>
      </c>
      <c r="B9710" s="4" t="str">
        <f t="shared" si="870"/>
        <v>26990456</v>
      </c>
      <c r="C9710" s="4" t="str">
        <f t="shared" si="871"/>
        <v>GSE74367</v>
      </c>
      <c r="D9710" s="1" t="s">
        <v>447</v>
      </c>
      <c r="E9710" t="s">
        <v>448</v>
      </c>
      <c r="F9710" s="1">
        <v>2</v>
      </c>
      <c r="G9710" s="1" t="s">
        <v>452</v>
      </c>
      <c r="H9710" s="4" t="str">
        <f>HYPERLINK("https://www.ncbi.nlm.nih.gov/geo/query/acc.cgi?acc=GSM1616615","GSM1616615")</f>
        <v>GSM1616615</v>
      </c>
      <c r="I9710" t="s">
        <v>161</v>
      </c>
      <c r="J9710" t="s">
        <v>193</v>
      </c>
      <c r="K9710" t="s">
        <v>19</v>
      </c>
      <c r="L9710" t="s">
        <v>162</v>
      </c>
      <c r="M9710" t="s">
        <v>24</v>
      </c>
      <c r="N9710" t="s">
        <v>22</v>
      </c>
    </row>
    <row r="9711" spans="1:14">
      <c r="A9711" s="4" t="str">
        <f t="shared" si="872"/>
        <v>EXP00324</v>
      </c>
      <c r="B9711" s="4" t="str">
        <f t="shared" si="870"/>
        <v>26990456</v>
      </c>
      <c r="C9711" s="4" t="str">
        <f t="shared" si="871"/>
        <v>GSE74367</v>
      </c>
      <c r="D9711" s="1" t="s">
        <v>447</v>
      </c>
      <c r="E9711" t="s">
        <v>448</v>
      </c>
      <c r="F9711" s="1">
        <v>2</v>
      </c>
      <c r="G9711" s="1" t="s">
        <v>452</v>
      </c>
      <c r="H9711" s="4" t="str">
        <f>HYPERLINK("https://www.ncbi.nlm.nih.gov/geo/query/acc.cgi?acc=GSM1616616","GSM1616616")</f>
        <v>GSM1616616</v>
      </c>
      <c r="I9711" t="s">
        <v>161</v>
      </c>
      <c r="J9711" t="s">
        <v>193</v>
      </c>
      <c r="K9711" t="s">
        <v>19</v>
      </c>
      <c r="L9711" t="s">
        <v>162</v>
      </c>
      <c r="M9711" t="s">
        <v>24</v>
      </c>
      <c r="N9711" t="s">
        <v>22</v>
      </c>
    </row>
    <row r="9712" spans="1:14">
      <c r="A9712" s="4" t="str">
        <f t="shared" si="872"/>
        <v>EXP00324</v>
      </c>
      <c r="B9712" s="4" t="str">
        <f t="shared" si="870"/>
        <v>26990456</v>
      </c>
      <c r="C9712" s="4" t="str">
        <f t="shared" si="871"/>
        <v>GSE74367</v>
      </c>
      <c r="D9712" s="1" t="s">
        <v>447</v>
      </c>
      <c r="E9712" t="s">
        <v>448</v>
      </c>
      <c r="F9712" s="1">
        <v>2</v>
      </c>
      <c r="G9712" s="1" t="s">
        <v>452</v>
      </c>
      <c r="H9712" s="4" t="str">
        <f>HYPERLINK("https://www.ncbi.nlm.nih.gov/geo/query/acc.cgi?acc=GSM1616619","GSM1616619")</f>
        <v>GSM1616619</v>
      </c>
      <c r="I9712" t="s">
        <v>161</v>
      </c>
      <c r="J9712" t="s">
        <v>193</v>
      </c>
      <c r="K9712" t="s">
        <v>19</v>
      </c>
      <c r="L9712" t="s">
        <v>162</v>
      </c>
      <c r="M9712" t="s">
        <v>24</v>
      </c>
      <c r="N9712" t="s">
        <v>22</v>
      </c>
    </row>
    <row r="9713" spans="1:14">
      <c r="A9713" s="4" t="str">
        <f t="shared" si="872"/>
        <v>EXP00324</v>
      </c>
      <c r="B9713" s="4" t="str">
        <f t="shared" si="870"/>
        <v>26990456</v>
      </c>
      <c r="C9713" s="4" t="str">
        <f t="shared" si="871"/>
        <v>GSE74367</v>
      </c>
      <c r="D9713" s="1" t="s">
        <v>447</v>
      </c>
      <c r="E9713" t="s">
        <v>448</v>
      </c>
      <c r="F9713" s="1">
        <v>2</v>
      </c>
      <c r="G9713" s="1" t="s">
        <v>452</v>
      </c>
      <c r="H9713" s="4" t="str">
        <f>HYPERLINK("https://www.ncbi.nlm.nih.gov/geo/query/acc.cgi?acc=GSM1616620","GSM1616620")</f>
        <v>GSM1616620</v>
      </c>
      <c r="I9713" t="s">
        <v>161</v>
      </c>
      <c r="J9713" t="s">
        <v>193</v>
      </c>
      <c r="K9713" t="s">
        <v>19</v>
      </c>
      <c r="L9713" t="s">
        <v>162</v>
      </c>
      <c r="M9713" t="s">
        <v>24</v>
      </c>
      <c r="N9713" t="s">
        <v>22</v>
      </c>
    </row>
    <row r="9714" spans="1:14">
      <c r="A9714" s="4" t="str">
        <f t="shared" si="872"/>
        <v>EXP00324</v>
      </c>
      <c r="B9714" s="4" t="str">
        <f t="shared" si="870"/>
        <v>26990456</v>
      </c>
      <c r="C9714" s="4" t="str">
        <f t="shared" si="871"/>
        <v>GSE74367</v>
      </c>
      <c r="D9714" s="1" t="s">
        <v>447</v>
      </c>
      <c r="E9714" t="s">
        <v>448</v>
      </c>
      <c r="F9714" s="1">
        <v>2</v>
      </c>
      <c r="G9714" s="1" t="s">
        <v>452</v>
      </c>
      <c r="H9714" s="4" t="str">
        <f>HYPERLINK("https://www.ncbi.nlm.nih.gov/geo/query/acc.cgi?acc=GSM1616622","GSM1616622")</f>
        <v>GSM1616622</v>
      </c>
      <c r="I9714" t="s">
        <v>161</v>
      </c>
      <c r="J9714" t="s">
        <v>193</v>
      </c>
      <c r="K9714" t="s">
        <v>19</v>
      </c>
      <c r="L9714" t="s">
        <v>162</v>
      </c>
      <c r="M9714" t="s">
        <v>24</v>
      </c>
      <c r="N9714" t="s">
        <v>22</v>
      </c>
    </row>
    <row r="9715" spans="1:14">
      <c r="A9715" s="4" t="str">
        <f t="shared" si="872"/>
        <v>EXP00324</v>
      </c>
      <c r="B9715" s="4" t="str">
        <f t="shared" si="870"/>
        <v>26990456</v>
      </c>
      <c r="C9715" s="4" t="str">
        <f t="shared" si="871"/>
        <v>GSE74367</v>
      </c>
      <c r="D9715" s="1" t="s">
        <v>447</v>
      </c>
      <c r="E9715" t="s">
        <v>448</v>
      </c>
      <c r="F9715" s="1">
        <v>2</v>
      </c>
      <c r="G9715" s="1" t="s">
        <v>452</v>
      </c>
      <c r="H9715" s="4" t="str">
        <f>HYPERLINK("https://www.ncbi.nlm.nih.gov/geo/query/acc.cgi?acc=GSM1616626","GSM1616626")</f>
        <v>GSM1616626</v>
      </c>
      <c r="I9715" t="s">
        <v>161</v>
      </c>
      <c r="J9715" t="s">
        <v>193</v>
      </c>
      <c r="K9715" t="s">
        <v>19</v>
      </c>
      <c r="L9715" t="s">
        <v>162</v>
      </c>
      <c r="M9715" t="s">
        <v>24</v>
      </c>
      <c r="N9715" t="s">
        <v>22</v>
      </c>
    </row>
    <row r="9716" spans="1:14">
      <c r="A9716" s="4" t="str">
        <f t="shared" si="872"/>
        <v>EXP00324</v>
      </c>
      <c r="B9716" s="4" t="str">
        <f t="shared" si="870"/>
        <v>26990456</v>
      </c>
      <c r="C9716" s="4" t="str">
        <f t="shared" si="871"/>
        <v>GSE74367</v>
      </c>
      <c r="D9716" s="1" t="s">
        <v>447</v>
      </c>
      <c r="E9716" t="s">
        <v>448</v>
      </c>
      <c r="F9716" s="1">
        <v>2</v>
      </c>
      <c r="G9716" s="1" t="s">
        <v>452</v>
      </c>
      <c r="H9716" s="4" t="str">
        <f>HYPERLINK("https://www.ncbi.nlm.nih.gov/geo/query/acc.cgi?acc=GSM1616633","GSM1616633")</f>
        <v>GSM1616633</v>
      </c>
      <c r="I9716" t="s">
        <v>161</v>
      </c>
      <c r="J9716" t="s">
        <v>193</v>
      </c>
      <c r="K9716" t="s">
        <v>19</v>
      </c>
      <c r="L9716" t="s">
        <v>162</v>
      </c>
      <c r="M9716" t="s">
        <v>24</v>
      </c>
      <c r="N9716" t="s">
        <v>22</v>
      </c>
    </row>
    <row r="9717" spans="1:14">
      <c r="A9717" s="4" t="str">
        <f t="shared" si="872"/>
        <v>EXP00324</v>
      </c>
      <c r="B9717" s="4" t="str">
        <f t="shared" ref="B9717:B9748" si="873">HYPERLINK("https://www.ncbi.nlm.nih.gov/pubmed/26990456","26990456")</f>
        <v>26990456</v>
      </c>
      <c r="C9717" s="4" t="str">
        <f t="shared" ref="C9717:C9748" si="874">HYPERLINK("https://www.ncbi.nlm.nih.gov/geo/query/acc.cgi?acc=GSE74367","GSE74367")</f>
        <v>GSE74367</v>
      </c>
      <c r="D9717" s="1" t="s">
        <v>447</v>
      </c>
      <c r="E9717" t="s">
        <v>448</v>
      </c>
      <c r="F9717" s="1">
        <v>2</v>
      </c>
      <c r="G9717" s="1" t="s">
        <v>452</v>
      </c>
      <c r="H9717" s="4" t="str">
        <f>HYPERLINK("https://www.ncbi.nlm.nih.gov/geo/query/acc.cgi?acc=GSM1616634","GSM1616634")</f>
        <v>GSM1616634</v>
      </c>
      <c r="I9717" t="s">
        <v>161</v>
      </c>
      <c r="J9717" t="s">
        <v>193</v>
      </c>
      <c r="K9717" t="s">
        <v>19</v>
      </c>
      <c r="L9717" t="s">
        <v>162</v>
      </c>
      <c r="M9717" t="s">
        <v>24</v>
      </c>
      <c r="N9717" t="s">
        <v>22</v>
      </c>
    </row>
    <row r="9718" spans="1:14">
      <c r="A9718" s="4" t="str">
        <f t="shared" si="872"/>
        <v>EXP00324</v>
      </c>
      <c r="B9718" s="4" t="str">
        <f t="shared" si="873"/>
        <v>26990456</v>
      </c>
      <c r="C9718" s="4" t="str">
        <f t="shared" si="874"/>
        <v>GSE74367</v>
      </c>
      <c r="D9718" s="1" t="s">
        <v>447</v>
      </c>
      <c r="E9718" t="s">
        <v>448</v>
      </c>
      <c r="F9718" s="1">
        <v>2</v>
      </c>
      <c r="G9718" s="1" t="s">
        <v>452</v>
      </c>
      <c r="H9718" s="4" t="str">
        <f>HYPERLINK("https://www.ncbi.nlm.nih.gov/geo/query/acc.cgi?acc=GSM1616635","GSM1616635")</f>
        <v>GSM1616635</v>
      </c>
      <c r="I9718" t="s">
        <v>161</v>
      </c>
      <c r="J9718" t="s">
        <v>193</v>
      </c>
      <c r="K9718" t="s">
        <v>19</v>
      </c>
      <c r="L9718" t="s">
        <v>162</v>
      </c>
      <c r="M9718" t="s">
        <v>24</v>
      </c>
      <c r="N9718" t="s">
        <v>22</v>
      </c>
    </row>
    <row r="9719" spans="1:14">
      <c r="A9719" s="4" t="str">
        <f t="shared" si="872"/>
        <v>EXP00324</v>
      </c>
      <c r="B9719" s="4" t="str">
        <f t="shared" si="873"/>
        <v>26990456</v>
      </c>
      <c r="C9719" s="4" t="str">
        <f t="shared" si="874"/>
        <v>GSE74367</v>
      </c>
      <c r="D9719" s="1" t="s">
        <v>447</v>
      </c>
      <c r="E9719" t="s">
        <v>448</v>
      </c>
      <c r="F9719" s="1">
        <v>2</v>
      </c>
      <c r="G9719" s="1" t="s">
        <v>452</v>
      </c>
      <c r="H9719" s="4" t="str">
        <f>HYPERLINK("https://www.ncbi.nlm.nih.gov/geo/query/acc.cgi?acc=GSM1616636","GSM1616636")</f>
        <v>GSM1616636</v>
      </c>
      <c r="I9719" t="s">
        <v>161</v>
      </c>
      <c r="J9719" t="s">
        <v>193</v>
      </c>
      <c r="K9719" t="s">
        <v>19</v>
      </c>
      <c r="L9719" t="s">
        <v>162</v>
      </c>
      <c r="M9719" t="s">
        <v>24</v>
      </c>
      <c r="N9719" t="s">
        <v>22</v>
      </c>
    </row>
    <row r="9720" spans="1:14">
      <c r="A9720" s="4" t="str">
        <f t="shared" si="872"/>
        <v>EXP00324</v>
      </c>
      <c r="B9720" s="4" t="str">
        <f t="shared" si="873"/>
        <v>26990456</v>
      </c>
      <c r="C9720" s="4" t="str">
        <f t="shared" si="874"/>
        <v>GSE74367</v>
      </c>
      <c r="D9720" s="1" t="s">
        <v>447</v>
      </c>
      <c r="E9720" t="s">
        <v>448</v>
      </c>
      <c r="F9720" s="1">
        <v>2</v>
      </c>
      <c r="G9720" s="1" t="s">
        <v>452</v>
      </c>
      <c r="H9720" s="4" t="str">
        <f>HYPERLINK("https://www.ncbi.nlm.nih.gov/geo/query/acc.cgi?acc=GSM1616639","GSM1616639")</f>
        <v>GSM1616639</v>
      </c>
      <c r="I9720" t="s">
        <v>161</v>
      </c>
      <c r="J9720" t="s">
        <v>193</v>
      </c>
      <c r="K9720" t="s">
        <v>19</v>
      </c>
      <c r="L9720" t="s">
        <v>162</v>
      </c>
      <c r="M9720" t="s">
        <v>24</v>
      </c>
      <c r="N9720" t="s">
        <v>22</v>
      </c>
    </row>
    <row r="9721" spans="1:14">
      <c r="A9721" s="4" t="str">
        <f t="shared" si="872"/>
        <v>EXP00324</v>
      </c>
      <c r="B9721" s="4" t="str">
        <f t="shared" si="873"/>
        <v>26990456</v>
      </c>
      <c r="C9721" s="4" t="str">
        <f t="shared" si="874"/>
        <v>GSE74367</v>
      </c>
      <c r="D9721" s="1" t="s">
        <v>447</v>
      </c>
      <c r="E9721" t="s">
        <v>448</v>
      </c>
      <c r="F9721" s="1">
        <v>2</v>
      </c>
      <c r="G9721" s="1" t="s">
        <v>452</v>
      </c>
      <c r="H9721" s="4" t="str">
        <f>HYPERLINK("https://www.ncbi.nlm.nih.gov/geo/query/acc.cgi?acc=GSM1616642","GSM1616642")</f>
        <v>GSM1616642</v>
      </c>
      <c r="I9721" t="s">
        <v>161</v>
      </c>
      <c r="J9721" t="s">
        <v>193</v>
      </c>
      <c r="K9721" t="s">
        <v>19</v>
      </c>
      <c r="L9721" t="s">
        <v>162</v>
      </c>
      <c r="M9721" t="s">
        <v>24</v>
      </c>
      <c r="N9721" t="s">
        <v>22</v>
      </c>
    </row>
    <row r="9722" spans="1:14">
      <c r="A9722" s="4" t="str">
        <f t="shared" si="872"/>
        <v>EXP00324</v>
      </c>
      <c r="B9722" s="4" t="str">
        <f t="shared" si="873"/>
        <v>26990456</v>
      </c>
      <c r="C9722" s="4" t="str">
        <f t="shared" si="874"/>
        <v>GSE74367</v>
      </c>
      <c r="D9722" s="1" t="s">
        <v>447</v>
      </c>
      <c r="E9722" t="s">
        <v>448</v>
      </c>
      <c r="F9722" s="1">
        <v>2</v>
      </c>
      <c r="G9722" s="1" t="s">
        <v>452</v>
      </c>
      <c r="H9722" s="4" t="str">
        <f>HYPERLINK("https://www.ncbi.nlm.nih.gov/geo/query/acc.cgi?acc=GSM1616644","GSM1616644")</f>
        <v>GSM1616644</v>
      </c>
      <c r="I9722" t="s">
        <v>161</v>
      </c>
      <c r="J9722" t="s">
        <v>193</v>
      </c>
      <c r="K9722" t="s">
        <v>19</v>
      </c>
      <c r="L9722" t="s">
        <v>162</v>
      </c>
      <c r="M9722" t="s">
        <v>24</v>
      </c>
      <c r="N9722" t="s">
        <v>22</v>
      </c>
    </row>
    <row r="9723" spans="1:14">
      <c r="A9723" s="4" t="str">
        <f t="shared" si="872"/>
        <v>EXP00324</v>
      </c>
      <c r="B9723" s="4" t="str">
        <f t="shared" si="873"/>
        <v>26990456</v>
      </c>
      <c r="C9723" s="4" t="str">
        <f t="shared" si="874"/>
        <v>GSE74367</v>
      </c>
      <c r="D9723" s="1" t="s">
        <v>447</v>
      </c>
      <c r="E9723" t="s">
        <v>448</v>
      </c>
      <c r="F9723" s="1">
        <v>2</v>
      </c>
      <c r="G9723" s="1" t="s">
        <v>452</v>
      </c>
      <c r="H9723" s="4" t="str">
        <f>HYPERLINK("https://www.ncbi.nlm.nih.gov/geo/query/acc.cgi?acc=GSM1616653","GSM1616653")</f>
        <v>GSM1616653</v>
      </c>
      <c r="I9723" t="s">
        <v>161</v>
      </c>
      <c r="J9723" t="s">
        <v>193</v>
      </c>
      <c r="K9723" t="s">
        <v>19</v>
      </c>
      <c r="L9723" t="s">
        <v>162</v>
      </c>
      <c r="M9723" t="s">
        <v>24</v>
      </c>
      <c r="N9723" t="s">
        <v>22</v>
      </c>
    </row>
    <row r="9724" spans="1:14">
      <c r="A9724" s="4" t="str">
        <f t="shared" si="872"/>
        <v>EXP00324</v>
      </c>
      <c r="B9724" s="4" t="str">
        <f t="shared" si="873"/>
        <v>26990456</v>
      </c>
      <c r="C9724" s="4" t="str">
        <f t="shared" si="874"/>
        <v>GSE74367</v>
      </c>
      <c r="D9724" s="1" t="s">
        <v>447</v>
      </c>
      <c r="E9724" t="s">
        <v>448</v>
      </c>
      <c r="F9724" s="1">
        <v>2</v>
      </c>
      <c r="G9724" s="1" t="s">
        <v>452</v>
      </c>
      <c r="H9724" s="4" t="str">
        <f>HYPERLINK("https://www.ncbi.nlm.nih.gov/geo/query/acc.cgi?acc=GSM1616662","GSM1616662")</f>
        <v>GSM1616662</v>
      </c>
      <c r="I9724" t="s">
        <v>161</v>
      </c>
      <c r="J9724" t="s">
        <v>193</v>
      </c>
      <c r="K9724" t="s">
        <v>19</v>
      </c>
      <c r="L9724" t="s">
        <v>162</v>
      </c>
      <c r="M9724" t="s">
        <v>24</v>
      </c>
      <c r="N9724" t="s">
        <v>22</v>
      </c>
    </row>
    <row r="9725" spans="1:14">
      <c r="A9725" s="4" t="str">
        <f t="shared" si="872"/>
        <v>EXP00324</v>
      </c>
      <c r="B9725" s="4" t="str">
        <f t="shared" si="873"/>
        <v>26990456</v>
      </c>
      <c r="C9725" s="4" t="str">
        <f t="shared" si="874"/>
        <v>GSE74367</v>
      </c>
      <c r="D9725" s="1" t="s">
        <v>447</v>
      </c>
      <c r="E9725" t="s">
        <v>448</v>
      </c>
      <c r="F9725" s="1">
        <v>2</v>
      </c>
      <c r="G9725" s="1" t="s">
        <v>452</v>
      </c>
      <c r="H9725" s="4" t="str">
        <f>HYPERLINK("https://www.ncbi.nlm.nih.gov/geo/query/acc.cgi?acc=GSM1616669","GSM1616669")</f>
        <v>GSM1616669</v>
      </c>
      <c r="I9725" t="s">
        <v>161</v>
      </c>
      <c r="J9725" t="s">
        <v>193</v>
      </c>
      <c r="K9725" t="s">
        <v>19</v>
      </c>
      <c r="L9725" t="s">
        <v>162</v>
      </c>
      <c r="M9725" t="s">
        <v>24</v>
      </c>
      <c r="N9725" t="s">
        <v>22</v>
      </c>
    </row>
    <row r="9726" spans="1:14">
      <c r="A9726" s="4" t="str">
        <f t="shared" si="872"/>
        <v>EXP00324</v>
      </c>
      <c r="B9726" s="4" t="str">
        <f t="shared" si="873"/>
        <v>26990456</v>
      </c>
      <c r="C9726" s="4" t="str">
        <f t="shared" si="874"/>
        <v>GSE74367</v>
      </c>
      <c r="D9726" s="1" t="s">
        <v>447</v>
      </c>
      <c r="E9726" t="s">
        <v>448</v>
      </c>
      <c r="F9726" s="1">
        <v>2</v>
      </c>
      <c r="G9726" s="1" t="s">
        <v>452</v>
      </c>
      <c r="H9726" s="4" t="str">
        <f>HYPERLINK("https://www.ncbi.nlm.nih.gov/geo/query/acc.cgi?acc=GSM1616672","GSM1616672")</f>
        <v>GSM1616672</v>
      </c>
      <c r="I9726" t="s">
        <v>161</v>
      </c>
      <c r="J9726" t="s">
        <v>193</v>
      </c>
      <c r="K9726" t="s">
        <v>19</v>
      </c>
      <c r="L9726" t="s">
        <v>162</v>
      </c>
      <c r="M9726" t="s">
        <v>24</v>
      </c>
      <c r="N9726" t="s">
        <v>22</v>
      </c>
    </row>
    <row r="9727" spans="1:14">
      <c r="A9727" s="4" t="str">
        <f t="shared" si="872"/>
        <v>EXP00324</v>
      </c>
      <c r="B9727" s="4" t="str">
        <f t="shared" si="873"/>
        <v>26990456</v>
      </c>
      <c r="C9727" s="4" t="str">
        <f t="shared" si="874"/>
        <v>GSE74367</v>
      </c>
      <c r="D9727" s="1" t="s">
        <v>447</v>
      </c>
      <c r="E9727" t="s">
        <v>448</v>
      </c>
      <c r="F9727" s="1">
        <v>2</v>
      </c>
      <c r="G9727" s="1" t="s">
        <v>452</v>
      </c>
      <c r="H9727" s="4" t="str">
        <f>HYPERLINK("https://www.ncbi.nlm.nih.gov/geo/query/acc.cgi?acc=GSM1616684","GSM1616684")</f>
        <v>GSM1616684</v>
      </c>
      <c r="I9727" t="s">
        <v>161</v>
      </c>
      <c r="J9727" t="s">
        <v>193</v>
      </c>
      <c r="K9727" t="s">
        <v>19</v>
      </c>
      <c r="L9727" t="s">
        <v>162</v>
      </c>
      <c r="M9727" t="s">
        <v>24</v>
      </c>
      <c r="N9727" t="s">
        <v>22</v>
      </c>
    </row>
    <row r="9728" spans="1:14">
      <c r="A9728" s="4" t="str">
        <f t="shared" si="872"/>
        <v>EXP00324</v>
      </c>
      <c r="B9728" s="4" t="str">
        <f t="shared" si="873"/>
        <v>26990456</v>
      </c>
      <c r="C9728" s="4" t="str">
        <f t="shared" si="874"/>
        <v>GSE74367</v>
      </c>
      <c r="D9728" s="1" t="s">
        <v>447</v>
      </c>
      <c r="E9728" t="s">
        <v>448</v>
      </c>
      <c r="F9728" s="1">
        <v>2</v>
      </c>
      <c r="G9728" s="1" t="s">
        <v>452</v>
      </c>
      <c r="H9728" s="4" t="str">
        <f>HYPERLINK("https://www.ncbi.nlm.nih.gov/geo/query/acc.cgi?acc=GSM1918978","GSM1918978")</f>
        <v>GSM1918978</v>
      </c>
      <c r="I9728" t="s">
        <v>161</v>
      </c>
      <c r="J9728" t="s">
        <v>193</v>
      </c>
      <c r="K9728" t="s">
        <v>19</v>
      </c>
      <c r="L9728" t="s">
        <v>162</v>
      </c>
      <c r="M9728" t="s">
        <v>24</v>
      </c>
      <c r="N9728" t="s">
        <v>22</v>
      </c>
    </row>
    <row r="9729" spans="1:14">
      <c r="A9729" s="4" t="str">
        <f t="shared" ref="A9729:A9742" si="875">HYPERLINK("http://hcmdb.i-sanger.com/experiment/details/experiment_id/EXP00325","EXP00325")</f>
        <v>EXP00325</v>
      </c>
      <c r="B9729" s="4" t="str">
        <f t="shared" si="873"/>
        <v>26990456</v>
      </c>
      <c r="C9729" s="4" t="str">
        <f t="shared" si="874"/>
        <v>GSE74367</v>
      </c>
      <c r="D9729" s="1" t="s">
        <v>447</v>
      </c>
      <c r="E9729" t="s">
        <v>448</v>
      </c>
      <c r="F9729" s="1">
        <v>1</v>
      </c>
      <c r="G9729" s="1" t="s">
        <v>450</v>
      </c>
      <c r="H9729" s="4" t="str">
        <f>HYPERLINK("https://www.ncbi.nlm.nih.gov/geo/query/acc.cgi?acc=GSM1616614","GSM1616614")</f>
        <v>GSM1616614</v>
      </c>
      <c r="I9729" t="s">
        <v>161</v>
      </c>
      <c r="J9729" t="s">
        <v>193</v>
      </c>
      <c r="K9729" t="s">
        <v>19</v>
      </c>
      <c r="L9729" t="s">
        <v>162</v>
      </c>
      <c r="M9729" t="s">
        <v>44</v>
      </c>
      <c r="N9729" t="s">
        <v>22</v>
      </c>
    </row>
    <row r="9730" spans="1:14">
      <c r="A9730" s="4" t="str">
        <f t="shared" si="875"/>
        <v>EXP00325</v>
      </c>
      <c r="B9730" s="4" t="str">
        <f t="shared" si="873"/>
        <v>26990456</v>
      </c>
      <c r="C9730" s="4" t="str">
        <f t="shared" si="874"/>
        <v>GSE74367</v>
      </c>
      <c r="D9730" s="1" t="s">
        <v>447</v>
      </c>
      <c r="E9730" t="s">
        <v>448</v>
      </c>
      <c r="F9730" s="1">
        <v>1</v>
      </c>
      <c r="G9730" s="1" t="s">
        <v>450</v>
      </c>
      <c r="H9730" s="4" t="str">
        <f>HYPERLINK("https://www.ncbi.nlm.nih.gov/geo/query/acc.cgi?acc=GSM1616618","GSM1616618")</f>
        <v>GSM1616618</v>
      </c>
      <c r="I9730" t="s">
        <v>161</v>
      </c>
      <c r="J9730" t="s">
        <v>193</v>
      </c>
      <c r="K9730" t="s">
        <v>19</v>
      </c>
      <c r="L9730" t="s">
        <v>162</v>
      </c>
      <c r="M9730" t="s">
        <v>44</v>
      </c>
      <c r="N9730" t="s">
        <v>22</v>
      </c>
    </row>
    <row r="9731" spans="1:14">
      <c r="A9731" s="4" t="str">
        <f t="shared" si="875"/>
        <v>EXP00325</v>
      </c>
      <c r="B9731" s="4" t="str">
        <f t="shared" si="873"/>
        <v>26990456</v>
      </c>
      <c r="C9731" s="4" t="str">
        <f t="shared" si="874"/>
        <v>GSE74367</v>
      </c>
      <c r="D9731" s="1" t="s">
        <v>447</v>
      </c>
      <c r="E9731" t="s">
        <v>448</v>
      </c>
      <c r="F9731" s="1">
        <v>1</v>
      </c>
      <c r="G9731" s="1" t="s">
        <v>450</v>
      </c>
      <c r="H9731" s="4" t="str">
        <f>HYPERLINK("https://www.ncbi.nlm.nih.gov/geo/query/acc.cgi?acc=GSM1616621","GSM1616621")</f>
        <v>GSM1616621</v>
      </c>
      <c r="I9731" t="s">
        <v>161</v>
      </c>
      <c r="J9731" t="s">
        <v>193</v>
      </c>
      <c r="K9731" t="s">
        <v>19</v>
      </c>
      <c r="L9731" t="s">
        <v>162</v>
      </c>
      <c r="M9731" t="s">
        <v>44</v>
      </c>
      <c r="N9731" t="s">
        <v>22</v>
      </c>
    </row>
    <row r="9732" spans="1:14">
      <c r="A9732" s="4" t="str">
        <f t="shared" si="875"/>
        <v>EXP00325</v>
      </c>
      <c r="B9732" s="4" t="str">
        <f t="shared" si="873"/>
        <v>26990456</v>
      </c>
      <c r="C9732" s="4" t="str">
        <f t="shared" si="874"/>
        <v>GSE74367</v>
      </c>
      <c r="D9732" s="1" t="s">
        <v>447</v>
      </c>
      <c r="E9732" t="s">
        <v>448</v>
      </c>
      <c r="F9732" s="1">
        <v>1</v>
      </c>
      <c r="G9732" s="1" t="s">
        <v>450</v>
      </c>
      <c r="H9732" s="4" t="str">
        <f>HYPERLINK("https://www.ncbi.nlm.nih.gov/geo/query/acc.cgi?acc=GSM1616623","GSM1616623")</f>
        <v>GSM1616623</v>
      </c>
      <c r="I9732" t="s">
        <v>161</v>
      </c>
      <c r="J9732" t="s">
        <v>193</v>
      </c>
      <c r="K9732" t="s">
        <v>19</v>
      </c>
      <c r="L9732" t="s">
        <v>162</v>
      </c>
      <c r="M9732" t="s">
        <v>44</v>
      </c>
      <c r="N9732" t="s">
        <v>22</v>
      </c>
    </row>
    <row r="9733" spans="1:14">
      <c r="A9733" s="4" t="str">
        <f t="shared" si="875"/>
        <v>EXP00325</v>
      </c>
      <c r="B9733" s="4" t="str">
        <f t="shared" si="873"/>
        <v>26990456</v>
      </c>
      <c r="C9733" s="4" t="str">
        <f t="shared" si="874"/>
        <v>GSE74367</v>
      </c>
      <c r="D9733" s="1" t="s">
        <v>447</v>
      </c>
      <c r="E9733" t="s">
        <v>448</v>
      </c>
      <c r="F9733" s="1">
        <v>1</v>
      </c>
      <c r="G9733" s="1" t="s">
        <v>450</v>
      </c>
      <c r="H9733" s="4" t="str">
        <f>HYPERLINK("https://www.ncbi.nlm.nih.gov/geo/query/acc.cgi?acc=GSM1616628","GSM1616628")</f>
        <v>GSM1616628</v>
      </c>
      <c r="I9733" t="s">
        <v>161</v>
      </c>
      <c r="J9733" t="s">
        <v>193</v>
      </c>
      <c r="K9733" t="s">
        <v>19</v>
      </c>
      <c r="L9733" t="s">
        <v>162</v>
      </c>
      <c r="M9733" t="s">
        <v>44</v>
      </c>
      <c r="N9733" t="s">
        <v>22</v>
      </c>
    </row>
    <row r="9734" spans="1:14">
      <c r="A9734" s="4" t="str">
        <f t="shared" si="875"/>
        <v>EXP00325</v>
      </c>
      <c r="B9734" s="4" t="str">
        <f t="shared" si="873"/>
        <v>26990456</v>
      </c>
      <c r="C9734" s="4" t="str">
        <f t="shared" si="874"/>
        <v>GSE74367</v>
      </c>
      <c r="D9734" s="1" t="s">
        <v>447</v>
      </c>
      <c r="E9734" t="s">
        <v>448</v>
      </c>
      <c r="F9734" s="1">
        <v>1</v>
      </c>
      <c r="G9734" s="1" t="s">
        <v>450</v>
      </c>
      <c r="H9734" s="4" t="str">
        <f>HYPERLINK("https://www.ncbi.nlm.nih.gov/geo/query/acc.cgi?acc=GSM1616629","GSM1616629")</f>
        <v>GSM1616629</v>
      </c>
      <c r="I9734" t="s">
        <v>161</v>
      </c>
      <c r="J9734" t="s">
        <v>193</v>
      </c>
      <c r="K9734" t="s">
        <v>19</v>
      </c>
      <c r="L9734" t="s">
        <v>162</v>
      </c>
      <c r="M9734" t="s">
        <v>44</v>
      </c>
      <c r="N9734" t="s">
        <v>22</v>
      </c>
    </row>
    <row r="9735" spans="1:14">
      <c r="A9735" s="4" t="str">
        <f t="shared" si="875"/>
        <v>EXP00325</v>
      </c>
      <c r="B9735" s="4" t="str">
        <f t="shared" si="873"/>
        <v>26990456</v>
      </c>
      <c r="C9735" s="4" t="str">
        <f t="shared" si="874"/>
        <v>GSE74367</v>
      </c>
      <c r="D9735" s="1" t="s">
        <v>447</v>
      </c>
      <c r="E9735" t="s">
        <v>448</v>
      </c>
      <c r="F9735" s="1">
        <v>1</v>
      </c>
      <c r="G9735" s="1" t="s">
        <v>450</v>
      </c>
      <c r="H9735" s="4" t="str">
        <f>HYPERLINK("https://www.ncbi.nlm.nih.gov/geo/query/acc.cgi?acc=GSM1616632","GSM1616632")</f>
        <v>GSM1616632</v>
      </c>
      <c r="I9735" t="s">
        <v>161</v>
      </c>
      <c r="J9735" t="s">
        <v>193</v>
      </c>
      <c r="K9735" t="s">
        <v>19</v>
      </c>
      <c r="L9735" t="s">
        <v>162</v>
      </c>
      <c r="M9735" t="s">
        <v>44</v>
      </c>
      <c r="N9735" t="s">
        <v>22</v>
      </c>
    </row>
    <row r="9736" spans="1:14">
      <c r="A9736" s="4" t="str">
        <f t="shared" si="875"/>
        <v>EXP00325</v>
      </c>
      <c r="B9736" s="4" t="str">
        <f t="shared" si="873"/>
        <v>26990456</v>
      </c>
      <c r="C9736" s="4" t="str">
        <f t="shared" si="874"/>
        <v>GSE74367</v>
      </c>
      <c r="D9736" s="1" t="s">
        <v>447</v>
      </c>
      <c r="E9736" t="s">
        <v>448</v>
      </c>
      <c r="F9736" s="1">
        <v>1</v>
      </c>
      <c r="G9736" s="1" t="s">
        <v>450</v>
      </c>
      <c r="H9736" s="4" t="str">
        <f>HYPERLINK("https://www.ncbi.nlm.nih.gov/geo/query/acc.cgi?acc=GSM1616663","GSM1616663")</f>
        <v>GSM1616663</v>
      </c>
      <c r="I9736" t="s">
        <v>161</v>
      </c>
      <c r="J9736" t="s">
        <v>193</v>
      </c>
      <c r="K9736" t="s">
        <v>19</v>
      </c>
      <c r="L9736" t="s">
        <v>162</v>
      </c>
      <c r="M9736" t="s">
        <v>44</v>
      </c>
      <c r="N9736" t="s">
        <v>22</v>
      </c>
    </row>
    <row r="9737" spans="1:14">
      <c r="A9737" s="4" t="str">
        <f t="shared" si="875"/>
        <v>EXP00325</v>
      </c>
      <c r="B9737" s="4" t="str">
        <f t="shared" si="873"/>
        <v>26990456</v>
      </c>
      <c r="C9737" s="4" t="str">
        <f t="shared" si="874"/>
        <v>GSE74367</v>
      </c>
      <c r="D9737" s="1" t="s">
        <v>447</v>
      </c>
      <c r="E9737" t="s">
        <v>448</v>
      </c>
      <c r="F9737" s="1">
        <v>1</v>
      </c>
      <c r="G9737" s="1" t="s">
        <v>450</v>
      </c>
      <c r="H9737" s="4" t="str">
        <f>HYPERLINK("https://www.ncbi.nlm.nih.gov/geo/query/acc.cgi?acc=GSM1616667","GSM1616667")</f>
        <v>GSM1616667</v>
      </c>
      <c r="I9737" t="s">
        <v>161</v>
      </c>
      <c r="J9737" t="s">
        <v>193</v>
      </c>
      <c r="K9737" t="s">
        <v>19</v>
      </c>
      <c r="L9737" t="s">
        <v>162</v>
      </c>
      <c r="M9737" t="s">
        <v>44</v>
      </c>
      <c r="N9737" t="s">
        <v>22</v>
      </c>
    </row>
    <row r="9738" spans="1:14">
      <c r="A9738" s="4" t="str">
        <f t="shared" si="875"/>
        <v>EXP00325</v>
      </c>
      <c r="B9738" s="4" t="str">
        <f t="shared" si="873"/>
        <v>26990456</v>
      </c>
      <c r="C9738" s="4" t="str">
        <f t="shared" si="874"/>
        <v>GSE74367</v>
      </c>
      <c r="D9738" s="1" t="s">
        <v>447</v>
      </c>
      <c r="E9738" t="s">
        <v>448</v>
      </c>
      <c r="F9738" s="1">
        <v>1</v>
      </c>
      <c r="G9738" s="1" t="s">
        <v>450</v>
      </c>
      <c r="H9738" s="4" t="str">
        <f>HYPERLINK("https://www.ncbi.nlm.nih.gov/geo/query/acc.cgi?acc=GSM1616671","GSM1616671")</f>
        <v>GSM1616671</v>
      </c>
      <c r="I9738" t="s">
        <v>161</v>
      </c>
      <c r="J9738" t="s">
        <v>193</v>
      </c>
      <c r="K9738" t="s">
        <v>19</v>
      </c>
      <c r="L9738" t="s">
        <v>162</v>
      </c>
      <c r="M9738" t="s">
        <v>44</v>
      </c>
      <c r="N9738" t="s">
        <v>22</v>
      </c>
    </row>
    <row r="9739" spans="1:14">
      <c r="A9739" s="4" t="str">
        <f t="shared" si="875"/>
        <v>EXP00325</v>
      </c>
      <c r="B9739" s="4" t="str">
        <f t="shared" si="873"/>
        <v>26990456</v>
      </c>
      <c r="C9739" s="4" t="str">
        <f t="shared" si="874"/>
        <v>GSE74367</v>
      </c>
      <c r="D9739" s="1" t="s">
        <v>447</v>
      </c>
      <c r="E9739" t="s">
        <v>448</v>
      </c>
      <c r="F9739" s="1">
        <v>1</v>
      </c>
      <c r="G9739" s="1" t="s">
        <v>450</v>
      </c>
      <c r="H9739" s="4" t="str">
        <f>HYPERLINK("https://www.ncbi.nlm.nih.gov/geo/query/acc.cgi?acc=GSM1616674","GSM1616674")</f>
        <v>GSM1616674</v>
      </c>
      <c r="I9739" t="s">
        <v>161</v>
      </c>
      <c r="J9739" t="s">
        <v>193</v>
      </c>
      <c r="K9739" t="s">
        <v>19</v>
      </c>
      <c r="L9739" t="s">
        <v>162</v>
      </c>
      <c r="M9739" t="s">
        <v>44</v>
      </c>
      <c r="N9739" t="s">
        <v>22</v>
      </c>
    </row>
    <row r="9740" spans="1:14">
      <c r="A9740" s="4" t="str">
        <f t="shared" si="875"/>
        <v>EXP00325</v>
      </c>
      <c r="B9740" s="4" t="str">
        <f t="shared" si="873"/>
        <v>26990456</v>
      </c>
      <c r="C9740" s="4" t="str">
        <f t="shared" si="874"/>
        <v>GSE74367</v>
      </c>
      <c r="D9740" s="1" t="s">
        <v>447</v>
      </c>
      <c r="E9740" t="s">
        <v>448</v>
      </c>
      <c r="F9740" s="1">
        <v>2</v>
      </c>
      <c r="G9740" s="1" t="s">
        <v>453</v>
      </c>
      <c r="H9740" s="4" t="str">
        <f>HYPERLINK("https://www.ncbi.nlm.nih.gov/geo/query/acc.cgi?acc=GSM1616631","GSM1616631")</f>
        <v>GSM1616631</v>
      </c>
      <c r="I9740" t="s">
        <v>161</v>
      </c>
      <c r="J9740" t="s">
        <v>193</v>
      </c>
      <c r="K9740" t="s">
        <v>19</v>
      </c>
      <c r="L9740" t="s">
        <v>162</v>
      </c>
      <c r="M9740" t="s">
        <v>454</v>
      </c>
      <c r="N9740" t="s">
        <v>22</v>
      </c>
    </row>
    <row r="9741" spans="1:14">
      <c r="A9741" s="4" t="str">
        <f t="shared" si="875"/>
        <v>EXP00325</v>
      </c>
      <c r="B9741" s="4" t="str">
        <f t="shared" si="873"/>
        <v>26990456</v>
      </c>
      <c r="C9741" s="4" t="str">
        <f t="shared" si="874"/>
        <v>GSE74367</v>
      </c>
      <c r="D9741" s="1" t="s">
        <v>447</v>
      </c>
      <c r="E9741" t="s">
        <v>448</v>
      </c>
      <c r="F9741" s="1">
        <v>2</v>
      </c>
      <c r="G9741" s="1" t="s">
        <v>453</v>
      </c>
      <c r="H9741" s="4" t="str">
        <f>HYPERLINK("https://www.ncbi.nlm.nih.gov/geo/query/acc.cgi?acc=GSM1616658","GSM1616658")</f>
        <v>GSM1616658</v>
      </c>
      <c r="I9741" t="s">
        <v>161</v>
      </c>
      <c r="J9741" t="s">
        <v>193</v>
      </c>
      <c r="K9741" t="s">
        <v>19</v>
      </c>
      <c r="L9741" t="s">
        <v>162</v>
      </c>
      <c r="M9741" t="s">
        <v>292</v>
      </c>
      <c r="N9741" t="s">
        <v>22</v>
      </c>
    </row>
    <row r="9742" spans="1:14">
      <c r="A9742" s="4" t="str">
        <f t="shared" si="875"/>
        <v>EXP00325</v>
      </c>
      <c r="B9742" s="4" t="str">
        <f t="shared" si="873"/>
        <v>26990456</v>
      </c>
      <c r="C9742" s="4" t="str">
        <f t="shared" si="874"/>
        <v>GSE74367</v>
      </c>
      <c r="D9742" s="1" t="s">
        <v>447</v>
      </c>
      <c r="E9742" t="s">
        <v>448</v>
      </c>
      <c r="F9742" s="1">
        <v>2</v>
      </c>
      <c r="G9742" s="1" t="s">
        <v>453</v>
      </c>
      <c r="H9742" s="4" t="str">
        <f>HYPERLINK("https://www.ncbi.nlm.nih.gov/geo/query/acc.cgi?acc=GSM1918980","GSM1918980")</f>
        <v>GSM1918980</v>
      </c>
      <c r="I9742" t="s">
        <v>161</v>
      </c>
      <c r="J9742" t="s">
        <v>193</v>
      </c>
      <c r="K9742" t="s">
        <v>19</v>
      </c>
      <c r="L9742" t="s">
        <v>162</v>
      </c>
      <c r="M9742" t="s">
        <v>292</v>
      </c>
      <c r="N9742" t="s">
        <v>22</v>
      </c>
    </row>
    <row r="9743" spans="1:14">
      <c r="A9743" s="4" t="str">
        <f t="shared" ref="A9743:A9764" si="876">HYPERLINK("http://hcmdb.i-sanger.com/experiment/details/experiment_id/EXP00326","EXP00326")</f>
        <v>EXP00326</v>
      </c>
      <c r="B9743" s="4" t="str">
        <f t="shared" si="873"/>
        <v>26990456</v>
      </c>
      <c r="C9743" s="4" t="str">
        <f t="shared" si="874"/>
        <v>GSE74367</v>
      </c>
      <c r="D9743" s="1" t="s">
        <v>447</v>
      </c>
      <c r="E9743" t="s">
        <v>448</v>
      </c>
      <c r="F9743" s="1">
        <v>1</v>
      </c>
      <c r="G9743" s="1" t="s">
        <v>451</v>
      </c>
      <c r="H9743" s="4" t="str">
        <f>HYPERLINK("https://www.ncbi.nlm.nih.gov/geo/query/acc.cgi?acc=GSM1616637","GSM1616637")</f>
        <v>GSM1616637</v>
      </c>
      <c r="I9743" t="s">
        <v>161</v>
      </c>
      <c r="J9743" t="s">
        <v>193</v>
      </c>
      <c r="K9743" t="s">
        <v>19</v>
      </c>
      <c r="L9743" t="s">
        <v>162</v>
      </c>
      <c r="M9743" t="s">
        <v>41</v>
      </c>
      <c r="N9743" t="s">
        <v>22</v>
      </c>
    </row>
    <row r="9744" spans="1:14">
      <c r="A9744" s="4" t="str">
        <f t="shared" si="876"/>
        <v>EXP00326</v>
      </c>
      <c r="B9744" s="4" t="str">
        <f t="shared" si="873"/>
        <v>26990456</v>
      </c>
      <c r="C9744" s="4" t="str">
        <f t="shared" si="874"/>
        <v>GSE74367</v>
      </c>
      <c r="D9744" s="1" t="s">
        <v>447</v>
      </c>
      <c r="E9744" t="s">
        <v>448</v>
      </c>
      <c r="F9744" s="1">
        <v>1</v>
      </c>
      <c r="G9744" s="1" t="s">
        <v>451</v>
      </c>
      <c r="H9744" s="4" t="str">
        <f>HYPERLINK("https://www.ncbi.nlm.nih.gov/geo/query/acc.cgi?acc=GSM1616660","GSM1616660")</f>
        <v>GSM1616660</v>
      </c>
      <c r="I9744" t="s">
        <v>161</v>
      </c>
      <c r="J9744" t="s">
        <v>193</v>
      </c>
      <c r="K9744" t="s">
        <v>19</v>
      </c>
      <c r="L9744" t="s">
        <v>162</v>
      </c>
      <c r="M9744" t="s">
        <v>41</v>
      </c>
      <c r="N9744" t="s">
        <v>22</v>
      </c>
    </row>
    <row r="9745" spans="1:14">
      <c r="A9745" s="4" t="str">
        <f t="shared" si="876"/>
        <v>EXP00326</v>
      </c>
      <c r="B9745" s="4" t="str">
        <f t="shared" si="873"/>
        <v>26990456</v>
      </c>
      <c r="C9745" s="4" t="str">
        <f t="shared" si="874"/>
        <v>GSE74367</v>
      </c>
      <c r="D9745" s="1" t="s">
        <v>447</v>
      </c>
      <c r="E9745" t="s">
        <v>448</v>
      </c>
      <c r="F9745" s="1">
        <v>1</v>
      </c>
      <c r="G9745" s="1" t="s">
        <v>451</v>
      </c>
      <c r="H9745" s="4" t="str">
        <f>HYPERLINK("https://www.ncbi.nlm.nih.gov/geo/query/acc.cgi?acc=GSM1616668","GSM1616668")</f>
        <v>GSM1616668</v>
      </c>
      <c r="I9745" t="s">
        <v>161</v>
      </c>
      <c r="J9745" t="s">
        <v>193</v>
      </c>
      <c r="K9745" t="s">
        <v>19</v>
      </c>
      <c r="L9745" t="s">
        <v>162</v>
      </c>
      <c r="M9745" t="s">
        <v>41</v>
      </c>
      <c r="N9745" t="s">
        <v>22</v>
      </c>
    </row>
    <row r="9746" spans="1:14">
      <c r="A9746" s="4" t="str">
        <f t="shared" si="876"/>
        <v>EXP00326</v>
      </c>
      <c r="B9746" s="4" t="str">
        <f t="shared" si="873"/>
        <v>26990456</v>
      </c>
      <c r="C9746" s="4" t="str">
        <f t="shared" si="874"/>
        <v>GSE74367</v>
      </c>
      <c r="D9746" s="1" t="s">
        <v>447</v>
      </c>
      <c r="E9746" t="s">
        <v>448</v>
      </c>
      <c r="F9746" s="1">
        <v>2</v>
      </c>
      <c r="G9746" s="1" t="s">
        <v>452</v>
      </c>
      <c r="H9746" s="4" t="str">
        <f>HYPERLINK("https://www.ncbi.nlm.nih.gov/geo/query/acc.cgi?acc=GSM1616615","GSM1616615")</f>
        <v>GSM1616615</v>
      </c>
      <c r="I9746" t="s">
        <v>161</v>
      </c>
      <c r="J9746" t="s">
        <v>193</v>
      </c>
      <c r="K9746" t="s">
        <v>19</v>
      </c>
      <c r="L9746" t="s">
        <v>162</v>
      </c>
      <c r="M9746" t="s">
        <v>24</v>
      </c>
      <c r="N9746" t="s">
        <v>22</v>
      </c>
    </row>
    <row r="9747" spans="1:14">
      <c r="A9747" s="4" t="str">
        <f t="shared" si="876"/>
        <v>EXP00326</v>
      </c>
      <c r="B9747" s="4" t="str">
        <f t="shared" si="873"/>
        <v>26990456</v>
      </c>
      <c r="C9747" s="4" t="str">
        <f t="shared" si="874"/>
        <v>GSE74367</v>
      </c>
      <c r="D9747" s="1" t="s">
        <v>447</v>
      </c>
      <c r="E9747" t="s">
        <v>448</v>
      </c>
      <c r="F9747" s="1">
        <v>2</v>
      </c>
      <c r="G9747" s="1" t="s">
        <v>452</v>
      </c>
      <c r="H9747" s="4" t="str">
        <f>HYPERLINK("https://www.ncbi.nlm.nih.gov/geo/query/acc.cgi?acc=GSM1616616","GSM1616616")</f>
        <v>GSM1616616</v>
      </c>
      <c r="I9747" t="s">
        <v>161</v>
      </c>
      <c r="J9747" t="s">
        <v>193</v>
      </c>
      <c r="K9747" t="s">
        <v>19</v>
      </c>
      <c r="L9747" t="s">
        <v>162</v>
      </c>
      <c r="M9747" t="s">
        <v>24</v>
      </c>
      <c r="N9747" t="s">
        <v>22</v>
      </c>
    </row>
    <row r="9748" spans="1:14">
      <c r="A9748" s="4" t="str">
        <f t="shared" si="876"/>
        <v>EXP00326</v>
      </c>
      <c r="B9748" s="4" t="str">
        <f t="shared" si="873"/>
        <v>26990456</v>
      </c>
      <c r="C9748" s="4" t="str">
        <f t="shared" si="874"/>
        <v>GSE74367</v>
      </c>
      <c r="D9748" s="1" t="s">
        <v>447</v>
      </c>
      <c r="E9748" t="s">
        <v>448</v>
      </c>
      <c r="F9748" s="1">
        <v>2</v>
      </c>
      <c r="G9748" s="1" t="s">
        <v>452</v>
      </c>
      <c r="H9748" s="4" t="str">
        <f>HYPERLINK("https://www.ncbi.nlm.nih.gov/geo/query/acc.cgi?acc=GSM1616619","GSM1616619")</f>
        <v>GSM1616619</v>
      </c>
      <c r="I9748" t="s">
        <v>161</v>
      </c>
      <c r="J9748" t="s">
        <v>193</v>
      </c>
      <c r="K9748" t="s">
        <v>19</v>
      </c>
      <c r="L9748" t="s">
        <v>162</v>
      </c>
      <c r="M9748" t="s">
        <v>24</v>
      </c>
      <c r="N9748" t="s">
        <v>22</v>
      </c>
    </row>
    <row r="9749" spans="1:14">
      <c r="A9749" s="4" t="str">
        <f t="shared" si="876"/>
        <v>EXP00326</v>
      </c>
      <c r="B9749" s="4" t="str">
        <f t="shared" ref="B9749:B9780" si="877">HYPERLINK("https://www.ncbi.nlm.nih.gov/pubmed/26990456","26990456")</f>
        <v>26990456</v>
      </c>
      <c r="C9749" s="4" t="str">
        <f t="shared" ref="C9749:C9780" si="878">HYPERLINK("https://www.ncbi.nlm.nih.gov/geo/query/acc.cgi?acc=GSE74367","GSE74367")</f>
        <v>GSE74367</v>
      </c>
      <c r="D9749" s="1" t="s">
        <v>447</v>
      </c>
      <c r="E9749" t="s">
        <v>448</v>
      </c>
      <c r="F9749" s="1">
        <v>2</v>
      </c>
      <c r="G9749" s="1" t="s">
        <v>452</v>
      </c>
      <c r="H9749" s="4" t="str">
        <f>HYPERLINK("https://www.ncbi.nlm.nih.gov/geo/query/acc.cgi?acc=GSM1616620","GSM1616620")</f>
        <v>GSM1616620</v>
      </c>
      <c r="I9749" t="s">
        <v>161</v>
      </c>
      <c r="J9749" t="s">
        <v>193</v>
      </c>
      <c r="K9749" t="s">
        <v>19</v>
      </c>
      <c r="L9749" t="s">
        <v>162</v>
      </c>
      <c r="M9749" t="s">
        <v>24</v>
      </c>
      <c r="N9749" t="s">
        <v>22</v>
      </c>
    </row>
    <row r="9750" spans="1:14">
      <c r="A9750" s="4" t="str">
        <f t="shared" si="876"/>
        <v>EXP00326</v>
      </c>
      <c r="B9750" s="4" t="str">
        <f t="shared" si="877"/>
        <v>26990456</v>
      </c>
      <c r="C9750" s="4" t="str">
        <f t="shared" si="878"/>
        <v>GSE74367</v>
      </c>
      <c r="D9750" s="1" t="s">
        <v>447</v>
      </c>
      <c r="E9750" t="s">
        <v>448</v>
      </c>
      <c r="F9750" s="1">
        <v>2</v>
      </c>
      <c r="G9750" s="1" t="s">
        <v>452</v>
      </c>
      <c r="H9750" s="4" t="str">
        <f>HYPERLINK("https://www.ncbi.nlm.nih.gov/geo/query/acc.cgi?acc=GSM1616622","GSM1616622")</f>
        <v>GSM1616622</v>
      </c>
      <c r="I9750" t="s">
        <v>161</v>
      </c>
      <c r="J9750" t="s">
        <v>193</v>
      </c>
      <c r="K9750" t="s">
        <v>19</v>
      </c>
      <c r="L9750" t="s">
        <v>162</v>
      </c>
      <c r="M9750" t="s">
        <v>24</v>
      </c>
      <c r="N9750" t="s">
        <v>22</v>
      </c>
    </row>
    <row r="9751" spans="1:14">
      <c r="A9751" s="4" t="str">
        <f t="shared" si="876"/>
        <v>EXP00326</v>
      </c>
      <c r="B9751" s="4" t="str">
        <f t="shared" si="877"/>
        <v>26990456</v>
      </c>
      <c r="C9751" s="4" t="str">
        <f t="shared" si="878"/>
        <v>GSE74367</v>
      </c>
      <c r="D9751" s="1" t="s">
        <v>447</v>
      </c>
      <c r="E9751" t="s">
        <v>448</v>
      </c>
      <c r="F9751" s="1">
        <v>2</v>
      </c>
      <c r="G9751" s="1" t="s">
        <v>452</v>
      </c>
      <c r="H9751" s="4" t="str">
        <f>HYPERLINK("https://www.ncbi.nlm.nih.gov/geo/query/acc.cgi?acc=GSM1616626","GSM1616626")</f>
        <v>GSM1616626</v>
      </c>
      <c r="I9751" t="s">
        <v>161</v>
      </c>
      <c r="J9751" t="s">
        <v>193</v>
      </c>
      <c r="K9751" t="s">
        <v>19</v>
      </c>
      <c r="L9751" t="s">
        <v>162</v>
      </c>
      <c r="M9751" t="s">
        <v>24</v>
      </c>
      <c r="N9751" t="s">
        <v>22</v>
      </c>
    </row>
    <row r="9752" spans="1:14">
      <c r="A9752" s="4" t="str">
        <f t="shared" si="876"/>
        <v>EXP00326</v>
      </c>
      <c r="B9752" s="4" t="str">
        <f t="shared" si="877"/>
        <v>26990456</v>
      </c>
      <c r="C9752" s="4" t="str">
        <f t="shared" si="878"/>
        <v>GSE74367</v>
      </c>
      <c r="D9752" s="1" t="s">
        <v>447</v>
      </c>
      <c r="E9752" t="s">
        <v>448</v>
      </c>
      <c r="F9752" s="1">
        <v>2</v>
      </c>
      <c r="G9752" s="1" t="s">
        <v>452</v>
      </c>
      <c r="H9752" s="4" t="str">
        <f>HYPERLINK("https://www.ncbi.nlm.nih.gov/geo/query/acc.cgi?acc=GSM1616633","GSM1616633")</f>
        <v>GSM1616633</v>
      </c>
      <c r="I9752" t="s">
        <v>161</v>
      </c>
      <c r="J9752" t="s">
        <v>193</v>
      </c>
      <c r="K9752" t="s">
        <v>19</v>
      </c>
      <c r="L9752" t="s">
        <v>162</v>
      </c>
      <c r="M9752" t="s">
        <v>24</v>
      </c>
      <c r="N9752" t="s">
        <v>22</v>
      </c>
    </row>
    <row r="9753" spans="1:14">
      <c r="A9753" s="4" t="str">
        <f t="shared" si="876"/>
        <v>EXP00326</v>
      </c>
      <c r="B9753" s="4" t="str">
        <f t="shared" si="877"/>
        <v>26990456</v>
      </c>
      <c r="C9753" s="4" t="str">
        <f t="shared" si="878"/>
        <v>GSE74367</v>
      </c>
      <c r="D9753" s="1" t="s">
        <v>447</v>
      </c>
      <c r="E9753" t="s">
        <v>448</v>
      </c>
      <c r="F9753" s="1">
        <v>2</v>
      </c>
      <c r="G9753" s="1" t="s">
        <v>452</v>
      </c>
      <c r="H9753" s="4" t="str">
        <f>HYPERLINK("https://www.ncbi.nlm.nih.gov/geo/query/acc.cgi?acc=GSM1616634","GSM1616634")</f>
        <v>GSM1616634</v>
      </c>
      <c r="I9753" t="s">
        <v>161</v>
      </c>
      <c r="J9753" t="s">
        <v>193</v>
      </c>
      <c r="K9753" t="s">
        <v>19</v>
      </c>
      <c r="L9753" t="s">
        <v>162</v>
      </c>
      <c r="M9753" t="s">
        <v>24</v>
      </c>
      <c r="N9753" t="s">
        <v>22</v>
      </c>
    </row>
    <row r="9754" spans="1:14">
      <c r="A9754" s="4" t="str">
        <f t="shared" si="876"/>
        <v>EXP00326</v>
      </c>
      <c r="B9754" s="4" t="str">
        <f t="shared" si="877"/>
        <v>26990456</v>
      </c>
      <c r="C9754" s="4" t="str">
        <f t="shared" si="878"/>
        <v>GSE74367</v>
      </c>
      <c r="D9754" s="1" t="s">
        <v>447</v>
      </c>
      <c r="E9754" t="s">
        <v>448</v>
      </c>
      <c r="F9754" s="1">
        <v>2</v>
      </c>
      <c r="G9754" s="1" t="s">
        <v>452</v>
      </c>
      <c r="H9754" s="4" t="str">
        <f>HYPERLINK("https://www.ncbi.nlm.nih.gov/geo/query/acc.cgi?acc=GSM1616635","GSM1616635")</f>
        <v>GSM1616635</v>
      </c>
      <c r="I9754" t="s">
        <v>161</v>
      </c>
      <c r="J9754" t="s">
        <v>193</v>
      </c>
      <c r="K9754" t="s">
        <v>19</v>
      </c>
      <c r="L9754" t="s">
        <v>162</v>
      </c>
      <c r="M9754" t="s">
        <v>24</v>
      </c>
      <c r="N9754" t="s">
        <v>22</v>
      </c>
    </row>
    <row r="9755" spans="1:14">
      <c r="A9755" s="4" t="str">
        <f t="shared" si="876"/>
        <v>EXP00326</v>
      </c>
      <c r="B9755" s="4" t="str">
        <f t="shared" si="877"/>
        <v>26990456</v>
      </c>
      <c r="C9755" s="4" t="str">
        <f t="shared" si="878"/>
        <v>GSE74367</v>
      </c>
      <c r="D9755" s="1" t="s">
        <v>447</v>
      </c>
      <c r="E9755" t="s">
        <v>448</v>
      </c>
      <c r="F9755" s="1">
        <v>2</v>
      </c>
      <c r="G9755" s="1" t="s">
        <v>452</v>
      </c>
      <c r="H9755" s="4" t="str">
        <f>HYPERLINK("https://www.ncbi.nlm.nih.gov/geo/query/acc.cgi?acc=GSM1616636","GSM1616636")</f>
        <v>GSM1616636</v>
      </c>
      <c r="I9755" t="s">
        <v>161</v>
      </c>
      <c r="J9755" t="s">
        <v>193</v>
      </c>
      <c r="K9755" t="s">
        <v>19</v>
      </c>
      <c r="L9755" t="s">
        <v>162</v>
      </c>
      <c r="M9755" t="s">
        <v>24</v>
      </c>
      <c r="N9755" t="s">
        <v>22</v>
      </c>
    </row>
    <row r="9756" spans="1:14">
      <c r="A9756" s="4" t="str">
        <f t="shared" si="876"/>
        <v>EXP00326</v>
      </c>
      <c r="B9756" s="4" t="str">
        <f t="shared" si="877"/>
        <v>26990456</v>
      </c>
      <c r="C9756" s="4" t="str">
        <f t="shared" si="878"/>
        <v>GSE74367</v>
      </c>
      <c r="D9756" s="1" t="s">
        <v>447</v>
      </c>
      <c r="E9756" t="s">
        <v>448</v>
      </c>
      <c r="F9756" s="1">
        <v>2</v>
      </c>
      <c r="G9756" s="1" t="s">
        <v>452</v>
      </c>
      <c r="H9756" s="4" t="str">
        <f>HYPERLINK("https://www.ncbi.nlm.nih.gov/geo/query/acc.cgi?acc=GSM1616639","GSM1616639")</f>
        <v>GSM1616639</v>
      </c>
      <c r="I9756" t="s">
        <v>161</v>
      </c>
      <c r="J9756" t="s">
        <v>193</v>
      </c>
      <c r="K9756" t="s">
        <v>19</v>
      </c>
      <c r="L9756" t="s">
        <v>162</v>
      </c>
      <c r="M9756" t="s">
        <v>24</v>
      </c>
      <c r="N9756" t="s">
        <v>22</v>
      </c>
    </row>
    <row r="9757" spans="1:14">
      <c r="A9757" s="4" t="str">
        <f t="shared" si="876"/>
        <v>EXP00326</v>
      </c>
      <c r="B9757" s="4" t="str">
        <f t="shared" si="877"/>
        <v>26990456</v>
      </c>
      <c r="C9757" s="4" t="str">
        <f t="shared" si="878"/>
        <v>GSE74367</v>
      </c>
      <c r="D9757" s="1" t="s">
        <v>447</v>
      </c>
      <c r="E9757" t="s">
        <v>448</v>
      </c>
      <c r="F9757" s="1">
        <v>2</v>
      </c>
      <c r="G9757" s="1" t="s">
        <v>452</v>
      </c>
      <c r="H9757" s="4" t="str">
        <f>HYPERLINK("https://www.ncbi.nlm.nih.gov/geo/query/acc.cgi?acc=GSM1616642","GSM1616642")</f>
        <v>GSM1616642</v>
      </c>
      <c r="I9757" t="s">
        <v>161</v>
      </c>
      <c r="J9757" t="s">
        <v>193</v>
      </c>
      <c r="K9757" t="s">
        <v>19</v>
      </c>
      <c r="L9757" t="s">
        <v>162</v>
      </c>
      <c r="M9757" t="s">
        <v>24</v>
      </c>
      <c r="N9757" t="s">
        <v>22</v>
      </c>
    </row>
    <row r="9758" spans="1:14">
      <c r="A9758" s="4" t="str">
        <f t="shared" si="876"/>
        <v>EXP00326</v>
      </c>
      <c r="B9758" s="4" t="str">
        <f t="shared" si="877"/>
        <v>26990456</v>
      </c>
      <c r="C9758" s="4" t="str">
        <f t="shared" si="878"/>
        <v>GSE74367</v>
      </c>
      <c r="D9758" s="1" t="s">
        <v>447</v>
      </c>
      <c r="E9758" t="s">
        <v>448</v>
      </c>
      <c r="F9758" s="1">
        <v>2</v>
      </c>
      <c r="G9758" s="1" t="s">
        <v>452</v>
      </c>
      <c r="H9758" s="4" t="str">
        <f>HYPERLINK("https://www.ncbi.nlm.nih.gov/geo/query/acc.cgi?acc=GSM1616644","GSM1616644")</f>
        <v>GSM1616644</v>
      </c>
      <c r="I9758" t="s">
        <v>161</v>
      </c>
      <c r="J9758" t="s">
        <v>193</v>
      </c>
      <c r="K9758" t="s">
        <v>19</v>
      </c>
      <c r="L9758" t="s">
        <v>162</v>
      </c>
      <c r="M9758" t="s">
        <v>24</v>
      </c>
      <c r="N9758" t="s">
        <v>22</v>
      </c>
    </row>
    <row r="9759" spans="1:14">
      <c r="A9759" s="4" t="str">
        <f t="shared" si="876"/>
        <v>EXP00326</v>
      </c>
      <c r="B9759" s="4" t="str">
        <f t="shared" si="877"/>
        <v>26990456</v>
      </c>
      <c r="C9759" s="4" t="str">
        <f t="shared" si="878"/>
        <v>GSE74367</v>
      </c>
      <c r="D9759" s="1" t="s">
        <v>447</v>
      </c>
      <c r="E9759" t="s">
        <v>448</v>
      </c>
      <c r="F9759" s="1">
        <v>2</v>
      </c>
      <c r="G9759" s="1" t="s">
        <v>452</v>
      </c>
      <c r="H9759" s="4" t="str">
        <f>HYPERLINK("https://www.ncbi.nlm.nih.gov/geo/query/acc.cgi?acc=GSM1616653","GSM1616653")</f>
        <v>GSM1616653</v>
      </c>
      <c r="I9759" t="s">
        <v>161</v>
      </c>
      <c r="J9759" t="s">
        <v>193</v>
      </c>
      <c r="K9759" t="s">
        <v>19</v>
      </c>
      <c r="L9759" t="s">
        <v>162</v>
      </c>
      <c r="M9759" t="s">
        <v>24</v>
      </c>
      <c r="N9759" t="s">
        <v>22</v>
      </c>
    </row>
    <row r="9760" spans="1:14">
      <c r="A9760" s="4" t="str">
        <f t="shared" si="876"/>
        <v>EXP00326</v>
      </c>
      <c r="B9760" s="4" t="str">
        <f t="shared" si="877"/>
        <v>26990456</v>
      </c>
      <c r="C9760" s="4" t="str">
        <f t="shared" si="878"/>
        <v>GSE74367</v>
      </c>
      <c r="D9760" s="1" t="s">
        <v>447</v>
      </c>
      <c r="E9760" t="s">
        <v>448</v>
      </c>
      <c r="F9760" s="1">
        <v>2</v>
      </c>
      <c r="G9760" s="1" t="s">
        <v>452</v>
      </c>
      <c r="H9760" s="4" t="str">
        <f>HYPERLINK("https://www.ncbi.nlm.nih.gov/geo/query/acc.cgi?acc=GSM1616662","GSM1616662")</f>
        <v>GSM1616662</v>
      </c>
      <c r="I9760" t="s">
        <v>161</v>
      </c>
      <c r="J9760" t="s">
        <v>193</v>
      </c>
      <c r="K9760" t="s">
        <v>19</v>
      </c>
      <c r="L9760" t="s">
        <v>162</v>
      </c>
      <c r="M9760" t="s">
        <v>24</v>
      </c>
      <c r="N9760" t="s">
        <v>22</v>
      </c>
    </row>
    <row r="9761" spans="1:14">
      <c r="A9761" s="4" t="str">
        <f t="shared" si="876"/>
        <v>EXP00326</v>
      </c>
      <c r="B9761" s="4" t="str">
        <f t="shared" si="877"/>
        <v>26990456</v>
      </c>
      <c r="C9761" s="4" t="str">
        <f t="shared" si="878"/>
        <v>GSE74367</v>
      </c>
      <c r="D9761" s="1" t="s">
        <v>447</v>
      </c>
      <c r="E9761" t="s">
        <v>448</v>
      </c>
      <c r="F9761" s="1">
        <v>2</v>
      </c>
      <c r="G9761" s="1" t="s">
        <v>452</v>
      </c>
      <c r="H9761" s="4" t="str">
        <f>HYPERLINK("https://www.ncbi.nlm.nih.gov/geo/query/acc.cgi?acc=GSM1616669","GSM1616669")</f>
        <v>GSM1616669</v>
      </c>
      <c r="I9761" t="s">
        <v>161</v>
      </c>
      <c r="J9761" t="s">
        <v>193</v>
      </c>
      <c r="K9761" t="s">
        <v>19</v>
      </c>
      <c r="L9761" t="s">
        <v>162</v>
      </c>
      <c r="M9761" t="s">
        <v>24</v>
      </c>
      <c r="N9761" t="s">
        <v>22</v>
      </c>
    </row>
    <row r="9762" spans="1:14">
      <c r="A9762" s="4" t="str">
        <f t="shared" si="876"/>
        <v>EXP00326</v>
      </c>
      <c r="B9762" s="4" t="str">
        <f t="shared" si="877"/>
        <v>26990456</v>
      </c>
      <c r="C9762" s="4" t="str">
        <f t="shared" si="878"/>
        <v>GSE74367</v>
      </c>
      <c r="D9762" s="1" t="s">
        <v>447</v>
      </c>
      <c r="E9762" t="s">
        <v>448</v>
      </c>
      <c r="F9762" s="1">
        <v>2</v>
      </c>
      <c r="G9762" s="1" t="s">
        <v>452</v>
      </c>
      <c r="H9762" s="4" t="str">
        <f>HYPERLINK("https://www.ncbi.nlm.nih.gov/geo/query/acc.cgi?acc=GSM1616672","GSM1616672")</f>
        <v>GSM1616672</v>
      </c>
      <c r="I9762" t="s">
        <v>161</v>
      </c>
      <c r="J9762" t="s">
        <v>193</v>
      </c>
      <c r="K9762" t="s">
        <v>19</v>
      </c>
      <c r="L9762" t="s">
        <v>162</v>
      </c>
      <c r="M9762" t="s">
        <v>24</v>
      </c>
      <c r="N9762" t="s">
        <v>22</v>
      </c>
    </row>
    <row r="9763" spans="1:14">
      <c r="A9763" s="4" t="str">
        <f t="shared" si="876"/>
        <v>EXP00326</v>
      </c>
      <c r="B9763" s="4" t="str">
        <f t="shared" si="877"/>
        <v>26990456</v>
      </c>
      <c r="C9763" s="4" t="str">
        <f t="shared" si="878"/>
        <v>GSE74367</v>
      </c>
      <c r="D9763" s="1" t="s">
        <v>447</v>
      </c>
      <c r="E9763" t="s">
        <v>448</v>
      </c>
      <c r="F9763" s="1">
        <v>2</v>
      </c>
      <c r="G9763" s="1" t="s">
        <v>452</v>
      </c>
      <c r="H9763" s="4" t="str">
        <f>HYPERLINK("https://www.ncbi.nlm.nih.gov/geo/query/acc.cgi?acc=GSM1616684","GSM1616684")</f>
        <v>GSM1616684</v>
      </c>
      <c r="I9763" t="s">
        <v>161</v>
      </c>
      <c r="J9763" t="s">
        <v>193</v>
      </c>
      <c r="K9763" t="s">
        <v>19</v>
      </c>
      <c r="L9763" t="s">
        <v>162</v>
      </c>
      <c r="M9763" t="s">
        <v>24</v>
      </c>
      <c r="N9763" t="s">
        <v>22</v>
      </c>
    </row>
    <row r="9764" spans="1:14">
      <c r="A9764" s="4" t="str">
        <f t="shared" si="876"/>
        <v>EXP00326</v>
      </c>
      <c r="B9764" s="4" t="str">
        <f t="shared" si="877"/>
        <v>26990456</v>
      </c>
      <c r="C9764" s="4" t="str">
        <f t="shared" si="878"/>
        <v>GSE74367</v>
      </c>
      <c r="D9764" s="1" t="s">
        <v>447</v>
      </c>
      <c r="E9764" t="s">
        <v>448</v>
      </c>
      <c r="F9764" s="1">
        <v>2</v>
      </c>
      <c r="G9764" s="1" t="s">
        <v>452</v>
      </c>
      <c r="H9764" s="4" t="str">
        <f>HYPERLINK("https://www.ncbi.nlm.nih.gov/geo/query/acc.cgi?acc=GSM1918978","GSM1918978")</f>
        <v>GSM1918978</v>
      </c>
      <c r="I9764" t="s">
        <v>161</v>
      </c>
      <c r="J9764" t="s">
        <v>193</v>
      </c>
      <c r="K9764" t="s">
        <v>19</v>
      </c>
      <c r="L9764" t="s">
        <v>162</v>
      </c>
      <c r="M9764" t="s">
        <v>24</v>
      </c>
      <c r="N9764" t="s">
        <v>22</v>
      </c>
    </row>
    <row r="9765" spans="1:14">
      <c r="A9765" s="4" t="str">
        <f t="shared" ref="A9765:A9770" si="879">HYPERLINK("http://hcmdb.i-sanger.com/experiment/details/experiment_id/EXP00327","EXP00327")</f>
        <v>EXP00327</v>
      </c>
      <c r="B9765" s="4" t="str">
        <f t="shared" si="877"/>
        <v>26990456</v>
      </c>
      <c r="C9765" s="4" t="str">
        <f t="shared" si="878"/>
        <v>GSE74367</v>
      </c>
      <c r="D9765" s="1" t="s">
        <v>447</v>
      </c>
      <c r="E9765" t="s">
        <v>448</v>
      </c>
      <c r="F9765" s="1">
        <v>1</v>
      </c>
      <c r="G9765" s="1" t="s">
        <v>451</v>
      </c>
      <c r="H9765" s="4" t="str">
        <f>HYPERLINK("https://www.ncbi.nlm.nih.gov/geo/query/acc.cgi?acc=GSM1616637","GSM1616637")</f>
        <v>GSM1616637</v>
      </c>
      <c r="I9765" t="s">
        <v>161</v>
      </c>
      <c r="J9765" t="s">
        <v>193</v>
      </c>
      <c r="K9765" t="s">
        <v>19</v>
      </c>
      <c r="L9765" t="s">
        <v>162</v>
      </c>
      <c r="M9765" t="s">
        <v>41</v>
      </c>
      <c r="N9765" t="s">
        <v>22</v>
      </c>
    </row>
    <row r="9766" spans="1:14">
      <c r="A9766" s="4" t="str">
        <f t="shared" si="879"/>
        <v>EXP00327</v>
      </c>
      <c r="B9766" s="4" t="str">
        <f t="shared" si="877"/>
        <v>26990456</v>
      </c>
      <c r="C9766" s="4" t="str">
        <f t="shared" si="878"/>
        <v>GSE74367</v>
      </c>
      <c r="D9766" s="1" t="s">
        <v>447</v>
      </c>
      <c r="E9766" t="s">
        <v>448</v>
      </c>
      <c r="F9766" s="1">
        <v>1</v>
      </c>
      <c r="G9766" s="1" t="s">
        <v>451</v>
      </c>
      <c r="H9766" s="4" t="str">
        <f>HYPERLINK("https://www.ncbi.nlm.nih.gov/geo/query/acc.cgi?acc=GSM1616660","GSM1616660")</f>
        <v>GSM1616660</v>
      </c>
      <c r="I9766" t="s">
        <v>161</v>
      </c>
      <c r="J9766" t="s">
        <v>193</v>
      </c>
      <c r="K9766" t="s">
        <v>19</v>
      </c>
      <c r="L9766" t="s">
        <v>162</v>
      </c>
      <c r="M9766" t="s">
        <v>41</v>
      </c>
      <c r="N9766" t="s">
        <v>22</v>
      </c>
    </row>
    <row r="9767" spans="1:14">
      <c r="A9767" s="4" t="str">
        <f t="shared" si="879"/>
        <v>EXP00327</v>
      </c>
      <c r="B9767" s="4" t="str">
        <f t="shared" si="877"/>
        <v>26990456</v>
      </c>
      <c r="C9767" s="4" t="str">
        <f t="shared" si="878"/>
        <v>GSE74367</v>
      </c>
      <c r="D9767" s="1" t="s">
        <v>447</v>
      </c>
      <c r="E9767" t="s">
        <v>448</v>
      </c>
      <c r="F9767" s="1">
        <v>1</v>
      </c>
      <c r="G9767" s="1" t="s">
        <v>451</v>
      </c>
      <c r="H9767" s="4" t="str">
        <f>HYPERLINK("https://www.ncbi.nlm.nih.gov/geo/query/acc.cgi?acc=GSM1616668","GSM1616668")</f>
        <v>GSM1616668</v>
      </c>
      <c r="I9767" t="s">
        <v>161</v>
      </c>
      <c r="J9767" t="s">
        <v>193</v>
      </c>
      <c r="K9767" t="s">
        <v>19</v>
      </c>
      <c r="L9767" t="s">
        <v>162</v>
      </c>
      <c r="M9767" t="s">
        <v>41</v>
      </c>
      <c r="N9767" t="s">
        <v>22</v>
      </c>
    </row>
    <row r="9768" spans="1:14">
      <c r="A9768" s="4" t="str">
        <f t="shared" si="879"/>
        <v>EXP00327</v>
      </c>
      <c r="B9768" s="4" t="str">
        <f t="shared" si="877"/>
        <v>26990456</v>
      </c>
      <c r="C9768" s="4" t="str">
        <f t="shared" si="878"/>
        <v>GSE74367</v>
      </c>
      <c r="D9768" s="1" t="s">
        <v>447</v>
      </c>
      <c r="E9768" t="s">
        <v>448</v>
      </c>
      <c r="F9768" s="1">
        <v>2</v>
      </c>
      <c r="G9768" s="1" t="s">
        <v>453</v>
      </c>
      <c r="H9768" s="4" t="str">
        <f>HYPERLINK("https://www.ncbi.nlm.nih.gov/geo/query/acc.cgi?acc=GSM1616631","GSM1616631")</f>
        <v>GSM1616631</v>
      </c>
      <c r="I9768" t="s">
        <v>161</v>
      </c>
      <c r="J9768" t="s">
        <v>193</v>
      </c>
      <c r="K9768" t="s">
        <v>19</v>
      </c>
      <c r="L9768" t="s">
        <v>162</v>
      </c>
      <c r="M9768" t="s">
        <v>454</v>
      </c>
      <c r="N9768" t="s">
        <v>22</v>
      </c>
    </row>
    <row r="9769" spans="1:14">
      <c r="A9769" s="4" t="str">
        <f t="shared" si="879"/>
        <v>EXP00327</v>
      </c>
      <c r="B9769" s="4" t="str">
        <f t="shared" si="877"/>
        <v>26990456</v>
      </c>
      <c r="C9769" s="4" t="str">
        <f t="shared" si="878"/>
        <v>GSE74367</v>
      </c>
      <c r="D9769" s="1" t="s">
        <v>447</v>
      </c>
      <c r="E9769" t="s">
        <v>448</v>
      </c>
      <c r="F9769" s="1">
        <v>2</v>
      </c>
      <c r="G9769" s="1" t="s">
        <v>453</v>
      </c>
      <c r="H9769" s="4" t="str">
        <f>HYPERLINK("https://www.ncbi.nlm.nih.gov/geo/query/acc.cgi?acc=GSM1616658","GSM1616658")</f>
        <v>GSM1616658</v>
      </c>
      <c r="I9769" t="s">
        <v>161</v>
      </c>
      <c r="J9769" t="s">
        <v>193</v>
      </c>
      <c r="K9769" t="s">
        <v>19</v>
      </c>
      <c r="L9769" t="s">
        <v>162</v>
      </c>
      <c r="M9769" t="s">
        <v>292</v>
      </c>
      <c r="N9769" t="s">
        <v>22</v>
      </c>
    </row>
    <row r="9770" spans="1:14">
      <c r="A9770" s="4" t="str">
        <f t="shared" si="879"/>
        <v>EXP00327</v>
      </c>
      <c r="B9770" s="4" t="str">
        <f t="shared" si="877"/>
        <v>26990456</v>
      </c>
      <c r="C9770" s="4" t="str">
        <f t="shared" si="878"/>
        <v>GSE74367</v>
      </c>
      <c r="D9770" s="1" t="s">
        <v>447</v>
      </c>
      <c r="E9770" t="s">
        <v>448</v>
      </c>
      <c r="F9770" s="1">
        <v>2</v>
      </c>
      <c r="G9770" s="1" t="s">
        <v>453</v>
      </c>
      <c r="H9770" s="4" t="str">
        <f>HYPERLINK("https://www.ncbi.nlm.nih.gov/geo/query/acc.cgi?acc=GSM1918980","GSM1918980")</f>
        <v>GSM1918980</v>
      </c>
      <c r="I9770" t="s">
        <v>161</v>
      </c>
      <c r="J9770" t="s">
        <v>193</v>
      </c>
      <c r="K9770" t="s">
        <v>19</v>
      </c>
      <c r="L9770" t="s">
        <v>162</v>
      </c>
      <c r="M9770" t="s">
        <v>292</v>
      </c>
      <c r="N9770" t="s">
        <v>22</v>
      </c>
    </row>
    <row r="9771" spans="1:14">
      <c r="A9771" s="4" t="str">
        <f t="shared" ref="A9771:A9792" si="880">HYPERLINK("http://hcmdb.i-sanger.com/experiment/details/experiment_id/EXP00328","EXP00328")</f>
        <v>EXP00328</v>
      </c>
      <c r="B9771" s="4" t="str">
        <f t="shared" si="877"/>
        <v>26990456</v>
      </c>
      <c r="C9771" s="4" t="str">
        <f t="shared" si="878"/>
        <v>GSE74367</v>
      </c>
      <c r="D9771" s="1" t="s">
        <v>447</v>
      </c>
      <c r="E9771" t="s">
        <v>448</v>
      </c>
      <c r="F9771" s="1">
        <v>1</v>
      </c>
      <c r="G9771" s="1" t="s">
        <v>452</v>
      </c>
      <c r="H9771" s="4" t="str">
        <f>HYPERLINK("https://www.ncbi.nlm.nih.gov/geo/query/acc.cgi?acc=GSM1616615","GSM1616615")</f>
        <v>GSM1616615</v>
      </c>
      <c r="I9771" t="s">
        <v>161</v>
      </c>
      <c r="J9771" t="s">
        <v>193</v>
      </c>
      <c r="K9771" t="s">
        <v>19</v>
      </c>
      <c r="L9771" t="s">
        <v>162</v>
      </c>
      <c r="M9771" t="s">
        <v>24</v>
      </c>
      <c r="N9771" t="s">
        <v>22</v>
      </c>
    </row>
    <row r="9772" spans="1:14">
      <c r="A9772" s="4" t="str">
        <f t="shared" si="880"/>
        <v>EXP00328</v>
      </c>
      <c r="B9772" s="4" t="str">
        <f t="shared" si="877"/>
        <v>26990456</v>
      </c>
      <c r="C9772" s="4" t="str">
        <f t="shared" si="878"/>
        <v>GSE74367</v>
      </c>
      <c r="D9772" s="1" t="s">
        <v>447</v>
      </c>
      <c r="E9772" t="s">
        <v>448</v>
      </c>
      <c r="F9772" s="1">
        <v>1</v>
      </c>
      <c r="G9772" s="1" t="s">
        <v>452</v>
      </c>
      <c r="H9772" s="4" t="str">
        <f>HYPERLINK("https://www.ncbi.nlm.nih.gov/geo/query/acc.cgi?acc=GSM1616616","GSM1616616")</f>
        <v>GSM1616616</v>
      </c>
      <c r="I9772" t="s">
        <v>161</v>
      </c>
      <c r="J9772" t="s">
        <v>193</v>
      </c>
      <c r="K9772" t="s">
        <v>19</v>
      </c>
      <c r="L9772" t="s">
        <v>162</v>
      </c>
      <c r="M9772" t="s">
        <v>24</v>
      </c>
      <c r="N9772" t="s">
        <v>22</v>
      </c>
    </row>
    <row r="9773" spans="1:14">
      <c r="A9773" s="4" t="str">
        <f t="shared" si="880"/>
        <v>EXP00328</v>
      </c>
      <c r="B9773" s="4" t="str">
        <f t="shared" si="877"/>
        <v>26990456</v>
      </c>
      <c r="C9773" s="4" t="str">
        <f t="shared" si="878"/>
        <v>GSE74367</v>
      </c>
      <c r="D9773" s="1" t="s">
        <v>447</v>
      </c>
      <c r="E9773" t="s">
        <v>448</v>
      </c>
      <c r="F9773" s="1">
        <v>1</v>
      </c>
      <c r="G9773" s="1" t="s">
        <v>452</v>
      </c>
      <c r="H9773" s="4" t="str">
        <f>HYPERLINK("https://www.ncbi.nlm.nih.gov/geo/query/acc.cgi?acc=GSM1616619","GSM1616619")</f>
        <v>GSM1616619</v>
      </c>
      <c r="I9773" t="s">
        <v>161</v>
      </c>
      <c r="J9773" t="s">
        <v>193</v>
      </c>
      <c r="K9773" t="s">
        <v>19</v>
      </c>
      <c r="L9773" t="s">
        <v>162</v>
      </c>
      <c r="M9773" t="s">
        <v>24</v>
      </c>
      <c r="N9773" t="s">
        <v>22</v>
      </c>
    </row>
    <row r="9774" spans="1:14">
      <c r="A9774" s="4" t="str">
        <f t="shared" si="880"/>
        <v>EXP00328</v>
      </c>
      <c r="B9774" s="4" t="str">
        <f t="shared" si="877"/>
        <v>26990456</v>
      </c>
      <c r="C9774" s="4" t="str">
        <f t="shared" si="878"/>
        <v>GSE74367</v>
      </c>
      <c r="D9774" s="1" t="s">
        <v>447</v>
      </c>
      <c r="E9774" t="s">
        <v>448</v>
      </c>
      <c r="F9774" s="1">
        <v>1</v>
      </c>
      <c r="G9774" s="1" t="s">
        <v>452</v>
      </c>
      <c r="H9774" s="4" t="str">
        <f>HYPERLINK("https://www.ncbi.nlm.nih.gov/geo/query/acc.cgi?acc=GSM1616620","GSM1616620")</f>
        <v>GSM1616620</v>
      </c>
      <c r="I9774" t="s">
        <v>161</v>
      </c>
      <c r="J9774" t="s">
        <v>193</v>
      </c>
      <c r="K9774" t="s">
        <v>19</v>
      </c>
      <c r="L9774" t="s">
        <v>162</v>
      </c>
      <c r="M9774" t="s">
        <v>24</v>
      </c>
      <c r="N9774" t="s">
        <v>22</v>
      </c>
    </row>
    <row r="9775" spans="1:14">
      <c r="A9775" s="4" t="str">
        <f t="shared" si="880"/>
        <v>EXP00328</v>
      </c>
      <c r="B9775" s="4" t="str">
        <f t="shared" si="877"/>
        <v>26990456</v>
      </c>
      <c r="C9775" s="4" t="str">
        <f t="shared" si="878"/>
        <v>GSE74367</v>
      </c>
      <c r="D9775" s="1" t="s">
        <v>447</v>
      </c>
      <c r="E9775" t="s">
        <v>448</v>
      </c>
      <c r="F9775" s="1">
        <v>1</v>
      </c>
      <c r="G9775" s="1" t="s">
        <v>452</v>
      </c>
      <c r="H9775" s="4" t="str">
        <f>HYPERLINK("https://www.ncbi.nlm.nih.gov/geo/query/acc.cgi?acc=GSM1616622","GSM1616622")</f>
        <v>GSM1616622</v>
      </c>
      <c r="I9775" t="s">
        <v>161</v>
      </c>
      <c r="J9775" t="s">
        <v>193</v>
      </c>
      <c r="K9775" t="s">
        <v>19</v>
      </c>
      <c r="L9775" t="s">
        <v>162</v>
      </c>
      <c r="M9775" t="s">
        <v>24</v>
      </c>
      <c r="N9775" t="s">
        <v>22</v>
      </c>
    </row>
    <row r="9776" spans="1:14">
      <c r="A9776" s="4" t="str">
        <f t="shared" si="880"/>
        <v>EXP00328</v>
      </c>
      <c r="B9776" s="4" t="str">
        <f t="shared" si="877"/>
        <v>26990456</v>
      </c>
      <c r="C9776" s="4" t="str">
        <f t="shared" si="878"/>
        <v>GSE74367</v>
      </c>
      <c r="D9776" s="1" t="s">
        <v>447</v>
      </c>
      <c r="E9776" t="s">
        <v>448</v>
      </c>
      <c r="F9776" s="1">
        <v>1</v>
      </c>
      <c r="G9776" s="1" t="s">
        <v>452</v>
      </c>
      <c r="H9776" s="4" t="str">
        <f>HYPERLINK("https://www.ncbi.nlm.nih.gov/geo/query/acc.cgi?acc=GSM1616626","GSM1616626")</f>
        <v>GSM1616626</v>
      </c>
      <c r="I9776" t="s">
        <v>161</v>
      </c>
      <c r="J9776" t="s">
        <v>193</v>
      </c>
      <c r="K9776" t="s">
        <v>19</v>
      </c>
      <c r="L9776" t="s">
        <v>162</v>
      </c>
      <c r="M9776" t="s">
        <v>24</v>
      </c>
      <c r="N9776" t="s">
        <v>22</v>
      </c>
    </row>
    <row r="9777" spans="1:14">
      <c r="A9777" s="4" t="str">
        <f t="shared" si="880"/>
        <v>EXP00328</v>
      </c>
      <c r="B9777" s="4" t="str">
        <f t="shared" si="877"/>
        <v>26990456</v>
      </c>
      <c r="C9777" s="4" t="str">
        <f t="shared" si="878"/>
        <v>GSE74367</v>
      </c>
      <c r="D9777" s="1" t="s">
        <v>447</v>
      </c>
      <c r="E9777" t="s">
        <v>448</v>
      </c>
      <c r="F9777" s="1">
        <v>1</v>
      </c>
      <c r="G9777" s="1" t="s">
        <v>452</v>
      </c>
      <c r="H9777" s="4" t="str">
        <f>HYPERLINK("https://www.ncbi.nlm.nih.gov/geo/query/acc.cgi?acc=GSM1616633","GSM1616633")</f>
        <v>GSM1616633</v>
      </c>
      <c r="I9777" t="s">
        <v>161</v>
      </c>
      <c r="J9777" t="s">
        <v>193</v>
      </c>
      <c r="K9777" t="s">
        <v>19</v>
      </c>
      <c r="L9777" t="s">
        <v>162</v>
      </c>
      <c r="M9777" t="s">
        <v>24</v>
      </c>
      <c r="N9777" t="s">
        <v>22</v>
      </c>
    </row>
    <row r="9778" spans="1:14">
      <c r="A9778" s="4" t="str">
        <f t="shared" si="880"/>
        <v>EXP00328</v>
      </c>
      <c r="B9778" s="4" t="str">
        <f t="shared" si="877"/>
        <v>26990456</v>
      </c>
      <c r="C9778" s="4" t="str">
        <f t="shared" si="878"/>
        <v>GSE74367</v>
      </c>
      <c r="D9778" s="1" t="s">
        <v>447</v>
      </c>
      <c r="E9778" t="s">
        <v>448</v>
      </c>
      <c r="F9778" s="1">
        <v>1</v>
      </c>
      <c r="G9778" s="1" t="s">
        <v>452</v>
      </c>
      <c r="H9778" s="4" t="str">
        <f>HYPERLINK("https://www.ncbi.nlm.nih.gov/geo/query/acc.cgi?acc=GSM1616634","GSM1616634")</f>
        <v>GSM1616634</v>
      </c>
      <c r="I9778" t="s">
        <v>161</v>
      </c>
      <c r="J9778" t="s">
        <v>193</v>
      </c>
      <c r="K9778" t="s">
        <v>19</v>
      </c>
      <c r="L9778" t="s">
        <v>162</v>
      </c>
      <c r="M9778" t="s">
        <v>24</v>
      </c>
      <c r="N9778" t="s">
        <v>22</v>
      </c>
    </row>
    <row r="9779" spans="1:14">
      <c r="A9779" s="4" t="str">
        <f t="shared" si="880"/>
        <v>EXP00328</v>
      </c>
      <c r="B9779" s="4" t="str">
        <f t="shared" si="877"/>
        <v>26990456</v>
      </c>
      <c r="C9779" s="4" t="str">
        <f t="shared" si="878"/>
        <v>GSE74367</v>
      </c>
      <c r="D9779" s="1" t="s">
        <v>447</v>
      </c>
      <c r="E9779" t="s">
        <v>448</v>
      </c>
      <c r="F9779" s="1">
        <v>1</v>
      </c>
      <c r="G9779" s="1" t="s">
        <v>452</v>
      </c>
      <c r="H9779" s="4" t="str">
        <f>HYPERLINK("https://www.ncbi.nlm.nih.gov/geo/query/acc.cgi?acc=GSM1616635","GSM1616635")</f>
        <v>GSM1616635</v>
      </c>
      <c r="I9779" t="s">
        <v>161</v>
      </c>
      <c r="J9779" t="s">
        <v>193</v>
      </c>
      <c r="K9779" t="s">
        <v>19</v>
      </c>
      <c r="L9779" t="s">
        <v>162</v>
      </c>
      <c r="M9779" t="s">
        <v>24</v>
      </c>
      <c r="N9779" t="s">
        <v>22</v>
      </c>
    </row>
    <row r="9780" spans="1:14">
      <c r="A9780" s="4" t="str">
        <f t="shared" si="880"/>
        <v>EXP00328</v>
      </c>
      <c r="B9780" s="4" t="str">
        <f t="shared" si="877"/>
        <v>26990456</v>
      </c>
      <c r="C9780" s="4" t="str">
        <f t="shared" si="878"/>
        <v>GSE74367</v>
      </c>
      <c r="D9780" s="1" t="s">
        <v>447</v>
      </c>
      <c r="E9780" t="s">
        <v>448</v>
      </c>
      <c r="F9780" s="1">
        <v>1</v>
      </c>
      <c r="G9780" s="1" t="s">
        <v>452</v>
      </c>
      <c r="H9780" s="4" t="str">
        <f>HYPERLINK("https://www.ncbi.nlm.nih.gov/geo/query/acc.cgi?acc=GSM1616636","GSM1616636")</f>
        <v>GSM1616636</v>
      </c>
      <c r="I9780" t="s">
        <v>161</v>
      </c>
      <c r="J9780" t="s">
        <v>193</v>
      </c>
      <c r="K9780" t="s">
        <v>19</v>
      </c>
      <c r="L9780" t="s">
        <v>162</v>
      </c>
      <c r="M9780" t="s">
        <v>24</v>
      </c>
      <c r="N9780" t="s">
        <v>22</v>
      </c>
    </row>
    <row r="9781" spans="1:14">
      <c r="A9781" s="4" t="str">
        <f t="shared" si="880"/>
        <v>EXP00328</v>
      </c>
      <c r="B9781" s="4" t="str">
        <f t="shared" ref="B9781:B9792" si="881">HYPERLINK("https://www.ncbi.nlm.nih.gov/pubmed/26990456","26990456")</f>
        <v>26990456</v>
      </c>
      <c r="C9781" s="4" t="str">
        <f t="shared" ref="C9781:C9792" si="882">HYPERLINK("https://www.ncbi.nlm.nih.gov/geo/query/acc.cgi?acc=GSE74367","GSE74367")</f>
        <v>GSE74367</v>
      </c>
      <c r="D9781" s="1" t="s">
        <v>447</v>
      </c>
      <c r="E9781" t="s">
        <v>448</v>
      </c>
      <c r="F9781" s="1">
        <v>1</v>
      </c>
      <c r="G9781" s="1" t="s">
        <v>452</v>
      </c>
      <c r="H9781" s="4" t="str">
        <f>HYPERLINK("https://www.ncbi.nlm.nih.gov/geo/query/acc.cgi?acc=GSM1616639","GSM1616639")</f>
        <v>GSM1616639</v>
      </c>
      <c r="I9781" t="s">
        <v>161</v>
      </c>
      <c r="J9781" t="s">
        <v>193</v>
      </c>
      <c r="K9781" t="s">
        <v>19</v>
      </c>
      <c r="L9781" t="s">
        <v>162</v>
      </c>
      <c r="M9781" t="s">
        <v>24</v>
      </c>
      <c r="N9781" t="s">
        <v>22</v>
      </c>
    </row>
    <row r="9782" spans="1:14">
      <c r="A9782" s="4" t="str">
        <f t="shared" si="880"/>
        <v>EXP00328</v>
      </c>
      <c r="B9782" s="4" t="str">
        <f t="shared" si="881"/>
        <v>26990456</v>
      </c>
      <c r="C9782" s="4" t="str">
        <f t="shared" si="882"/>
        <v>GSE74367</v>
      </c>
      <c r="D9782" s="1" t="s">
        <v>447</v>
      </c>
      <c r="E9782" t="s">
        <v>448</v>
      </c>
      <c r="F9782" s="1">
        <v>1</v>
      </c>
      <c r="G9782" s="1" t="s">
        <v>452</v>
      </c>
      <c r="H9782" s="4" t="str">
        <f>HYPERLINK("https://www.ncbi.nlm.nih.gov/geo/query/acc.cgi?acc=GSM1616642","GSM1616642")</f>
        <v>GSM1616642</v>
      </c>
      <c r="I9782" t="s">
        <v>161</v>
      </c>
      <c r="J9782" t="s">
        <v>193</v>
      </c>
      <c r="K9782" t="s">
        <v>19</v>
      </c>
      <c r="L9782" t="s">
        <v>162</v>
      </c>
      <c r="M9782" t="s">
        <v>24</v>
      </c>
      <c r="N9782" t="s">
        <v>22</v>
      </c>
    </row>
    <row r="9783" spans="1:14">
      <c r="A9783" s="4" t="str">
        <f t="shared" si="880"/>
        <v>EXP00328</v>
      </c>
      <c r="B9783" s="4" t="str">
        <f t="shared" si="881"/>
        <v>26990456</v>
      </c>
      <c r="C9783" s="4" t="str">
        <f t="shared" si="882"/>
        <v>GSE74367</v>
      </c>
      <c r="D9783" s="1" t="s">
        <v>447</v>
      </c>
      <c r="E9783" t="s">
        <v>448</v>
      </c>
      <c r="F9783" s="1">
        <v>1</v>
      </c>
      <c r="G9783" s="1" t="s">
        <v>452</v>
      </c>
      <c r="H9783" s="4" t="str">
        <f>HYPERLINK("https://www.ncbi.nlm.nih.gov/geo/query/acc.cgi?acc=GSM1616644","GSM1616644")</f>
        <v>GSM1616644</v>
      </c>
      <c r="I9783" t="s">
        <v>161</v>
      </c>
      <c r="J9783" t="s">
        <v>193</v>
      </c>
      <c r="K9783" t="s">
        <v>19</v>
      </c>
      <c r="L9783" t="s">
        <v>162</v>
      </c>
      <c r="M9783" t="s">
        <v>24</v>
      </c>
      <c r="N9783" t="s">
        <v>22</v>
      </c>
    </row>
    <row r="9784" spans="1:14">
      <c r="A9784" s="4" t="str">
        <f t="shared" si="880"/>
        <v>EXP00328</v>
      </c>
      <c r="B9784" s="4" t="str">
        <f t="shared" si="881"/>
        <v>26990456</v>
      </c>
      <c r="C9784" s="4" t="str">
        <f t="shared" si="882"/>
        <v>GSE74367</v>
      </c>
      <c r="D9784" s="1" t="s">
        <v>447</v>
      </c>
      <c r="E9784" t="s">
        <v>448</v>
      </c>
      <c r="F9784" s="1">
        <v>1</v>
      </c>
      <c r="G9784" s="1" t="s">
        <v>452</v>
      </c>
      <c r="H9784" s="4" t="str">
        <f>HYPERLINK("https://www.ncbi.nlm.nih.gov/geo/query/acc.cgi?acc=GSM1616653","GSM1616653")</f>
        <v>GSM1616653</v>
      </c>
      <c r="I9784" t="s">
        <v>161</v>
      </c>
      <c r="J9784" t="s">
        <v>193</v>
      </c>
      <c r="K9784" t="s">
        <v>19</v>
      </c>
      <c r="L9784" t="s">
        <v>162</v>
      </c>
      <c r="M9784" t="s">
        <v>24</v>
      </c>
      <c r="N9784" t="s">
        <v>22</v>
      </c>
    </row>
    <row r="9785" spans="1:14">
      <c r="A9785" s="4" t="str">
        <f t="shared" si="880"/>
        <v>EXP00328</v>
      </c>
      <c r="B9785" s="4" t="str">
        <f t="shared" si="881"/>
        <v>26990456</v>
      </c>
      <c r="C9785" s="4" t="str">
        <f t="shared" si="882"/>
        <v>GSE74367</v>
      </c>
      <c r="D9785" s="1" t="s">
        <v>447</v>
      </c>
      <c r="E9785" t="s">
        <v>448</v>
      </c>
      <c r="F9785" s="1">
        <v>1</v>
      </c>
      <c r="G9785" s="1" t="s">
        <v>452</v>
      </c>
      <c r="H9785" s="4" t="str">
        <f>HYPERLINK("https://www.ncbi.nlm.nih.gov/geo/query/acc.cgi?acc=GSM1616662","GSM1616662")</f>
        <v>GSM1616662</v>
      </c>
      <c r="I9785" t="s">
        <v>161</v>
      </c>
      <c r="J9785" t="s">
        <v>193</v>
      </c>
      <c r="K9785" t="s">
        <v>19</v>
      </c>
      <c r="L9785" t="s">
        <v>162</v>
      </c>
      <c r="M9785" t="s">
        <v>24</v>
      </c>
      <c r="N9785" t="s">
        <v>22</v>
      </c>
    </row>
    <row r="9786" spans="1:14">
      <c r="A9786" s="4" t="str">
        <f t="shared" si="880"/>
        <v>EXP00328</v>
      </c>
      <c r="B9786" s="4" t="str">
        <f t="shared" si="881"/>
        <v>26990456</v>
      </c>
      <c r="C9786" s="4" t="str">
        <f t="shared" si="882"/>
        <v>GSE74367</v>
      </c>
      <c r="D9786" s="1" t="s">
        <v>447</v>
      </c>
      <c r="E9786" t="s">
        <v>448</v>
      </c>
      <c r="F9786" s="1">
        <v>1</v>
      </c>
      <c r="G9786" s="1" t="s">
        <v>452</v>
      </c>
      <c r="H9786" s="4" t="str">
        <f>HYPERLINK("https://www.ncbi.nlm.nih.gov/geo/query/acc.cgi?acc=GSM1616669","GSM1616669")</f>
        <v>GSM1616669</v>
      </c>
      <c r="I9786" t="s">
        <v>161</v>
      </c>
      <c r="J9786" t="s">
        <v>193</v>
      </c>
      <c r="K9786" t="s">
        <v>19</v>
      </c>
      <c r="L9786" t="s">
        <v>162</v>
      </c>
      <c r="M9786" t="s">
        <v>24</v>
      </c>
      <c r="N9786" t="s">
        <v>22</v>
      </c>
    </row>
    <row r="9787" spans="1:14">
      <c r="A9787" s="4" t="str">
        <f t="shared" si="880"/>
        <v>EXP00328</v>
      </c>
      <c r="B9787" s="4" t="str">
        <f t="shared" si="881"/>
        <v>26990456</v>
      </c>
      <c r="C9787" s="4" t="str">
        <f t="shared" si="882"/>
        <v>GSE74367</v>
      </c>
      <c r="D9787" s="1" t="s">
        <v>447</v>
      </c>
      <c r="E9787" t="s">
        <v>448</v>
      </c>
      <c r="F9787" s="1">
        <v>1</v>
      </c>
      <c r="G9787" s="1" t="s">
        <v>452</v>
      </c>
      <c r="H9787" s="4" t="str">
        <f>HYPERLINK("https://www.ncbi.nlm.nih.gov/geo/query/acc.cgi?acc=GSM1616672","GSM1616672")</f>
        <v>GSM1616672</v>
      </c>
      <c r="I9787" t="s">
        <v>161</v>
      </c>
      <c r="J9787" t="s">
        <v>193</v>
      </c>
      <c r="K9787" t="s">
        <v>19</v>
      </c>
      <c r="L9787" t="s">
        <v>162</v>
      </c>
      <c r="M9787" t="s">
        <v>24</v>
      </c>
      <c r="N9787" t="s">
        <v>22</v>
      </c>
    </row>
    <row r="9788" spans="1:14">
      <c r="A9788" s="4" t="str">
        <f t="shared" si="880"/>
        <v>EXP00328</v>
      </c>
      <c r="B9788" s="4" t="str">
        <f t="shared" si="881"/>
        <v>26990456</v>
      </c>
      <c r="C9788" s="4" t="str">
        <f t="shared" si="882"/>
        <v>GSE74367</v>
      </c>
      <c r="D9788" s="1" t="s">
        <v>447</v>
      </c>
      <c r="E9788" t="s">
        <v>448</v>
      </c>
      <c r="F9788" s="1">
        <v>1</v>
      </c>
      <c r="G9788" s="1" t="s">
        <v>452</v>
      </c>
      <c r="H9788" s="4" t="str">
        <f>HYPERLINK("https://www.ncbi.nlm.nih.gov/geo/query/acc.cgi?acc=GSM1616684","GSM1616684")</f>
        <v>GSM1616684</v>
      </c>
      <c r="I9788" t="s">
        <v>161</v>
      </c>
      <c r="J9788" t="s">
        <v>193</v>
      </c>
      <c r="K9788" t="s">
        <v>19</v>
      </c>
      <c r="L9788" t="s">
        <v>162</v>
      </c>
      <c r="M9788" t="s">
        <v>24</v>
      </c>
      <c r="N9788" t="s">
        <v>22</v>
      </c>
    </row>
    <row r="9789" spans="1:14">
      <c r="A9789" s="4" t="str">
        <f t="shared" si="880"/>
        <v>EXP00328</v>
      </c>
      <c r="B9789" s="4" t="str">
        <f t="shared" si="881"/>
        <v>26990456</v>
      </c>
      <c r="C9789" s="4" t="str">
        <f t="shared" si="882"/>
        <v>GSE74367</v>
      </c>
      <c r="D9789" s="1" t="s">
        <v>447</v>
      </c>
      <c r="E9789" t="s">
        <v>448</v>
      </c>
      <c r="F9789" s="1">
        <v>1</v>
      </c>
      <c r="G9789" s="1" t="s">
        <v>452</v>
      </c>
      <c r="H9789" s="4" t="str">
        <f>HYPERLINK("https://www.ncbi.nlm.nih.gov/geo/query/acc.cgi?acc=GSM1918978","GSM1918978")</f>
        <v>GSM1918978</v>
      </c>
      <c r="I9789" t="s">
        <v>161</v>
      </c>
      <c r="J9789" t="s">
        <v>193</v>
      </c>
      <c r="K9789" t="s">
        <v>19</v>
      </c>
      <c r="L9789" t="s">
        <v>162</v>
      </c>
      <c r="M9789" t="s">
        <v>24</v>
      </c>
      <c r="N9789" t="s">
        <v>22</v>
      </c>
    </row>
    <row r="9790" spans="1:14">
      <c r="A9790" s="4" t="str">
        <f t="shared" si="880"/>
        <v>EXP00328</v>
      </c>
      <c r="B9790" s="4" t="str">
        <f t="shared" si="881"/>
        <v>26990456</v>
      </c>
      <c r="C9790" s="4" t="str">
        <f t="shared" si="882"/>
        <v>GSE74367</v>
      </c>
      <c r="D9790" s="1" t="s">
        <v>447</v>
      </c>
      <c r="E9790" t="s">
        <v>448</v>
      </c>
      <c r="F9790" s="1">
        <v>2</v>
      </c>
      <c r="G9790" s="1" t="s">
        <v>453</v>
      </c>
      <c r="H9790" s="4" t="str">
        <f>HYPERLINK("https://www.ncbi.nlm.nih.gov/geo/query/acc.cgi?acc=GSM1616631","GSM1616631")</f>
        <v>GSM1616631</v>
      </c>
      <c r="I9790" t="s">
        <v>161</v>
      </c>
      <c r="J9790" t="s">
        <v>193</v>
      </c>
      <c r="K9790" t="s">
        <v>19</v>
      </c>
      <c r="L9790" t="s">
        <v>162</v>
      </c>
      <c r="M9790" t="s">
        <v>454</v>
      </c>
      <c r="N9790" t="s">
        <v>22</v>
      </c>
    </row>
    <row r="9791" spans="1:14">
      <c r="A9791" s="4" t="str">
        <f t="shared" si="880"/>
        <v>EXP00328</v>
      </c>
      <c r="B9791" s="4" t="str">
        <f t="shared" si="881"/>
        <v>26990456</v>
      </c>
      <c r="C9791" s="4" t="str">
        <f t="shared" si="882"/>
        <v>GSE74367</v>
      </c>
      <c r="D9791" s="1" t="s">
        <v>447</v>
      </c>
      <c r="E9791" t="s">
        <v>448</v>
      </c>
      <c r="F9791" s="1">
        <v>2</v>
      </c>
      <c r="G9791" s="1" t="s">
        <v>453</v>
      </c>
      <c r="H9791" s="4" t="str">
        <f>HYPERLINK("https://www.ncbi.nlm.nih.gov/geo/query/acc.cgi?acc=GSM1616658","GSM1616658")</f>
        <v>GSM1616658</v>
      </c>
      <c r="I9791" t="s">
        <v>161</v>
      </c>
      <c r="J9791" t="s">
        <v>193</v>
      </c>
      <c r="K9791" t="s">
        <v>19</v>
      </c>
      <c r="L9791" t="s">
        <v>162</v>
      </c>
      <c r="M9791" t="s">
        <v>292</v>
      </c>
      <c r="N9791" t="s">
        <v>22</v>
      </c>
    </row>
    <row r="9792" spans="1:14">
      <c r="A9792" s="4" t="str">
        <f t="shared" si="880"/>
        <v>EXP00328</v>
      </c>
      <c r="B9792" s="4" t="str">
        <f t="shared" si="881"/>
        <v>26990456</v>
      </c>
      <c r="C9792" s="4" t="str">
        <f t="shared" si="882"/>
        <v>GSE74367</v>
      </c>
      <c r="D9792" s="1" t="s">
        <v>447</v>
      </c>
      <c r="E9792" t="s">
        <v>448</v>
      </c>
      <c r="F9792" s="1">
        <v>2</v>
      </c>
      <c r="G9792" s="1" t="s">
        <v>453</v>
      </c>
      <c r="H9792" s="4" t="str">
        <f>HYPERLINK("https://www.ncbi.nlm.nih.gov/geo/query/acc.cgi?acc=GSM1918980","GSM1918980")</f>
        <v>GSM1918980</v>
      </c>
      <c r="I9792" t="s">
        <v>161</v>
      </c>
      <c r="J9792" t="s">
        <v>193</v>
      </c>
      <c r="K9792" t="s">
        <v>19</v>
      </c>
      <c r="L9792" t="s">
        <v>162</v>
      </c>
      <c r="M9792" t="s">
        <v>292</v>
      </c>
      <c r="N9792" t="s">
        <v>22</v>
      </c>
    </row>
    <row r="9793" spans="1:14">
      <c r="A9793" s="4" t="str">
        <f t="shared" ref="A9793:A9816" si="883">HYPERLINK("http://hcmdb.i-sanger.com/experiment/details/experiment_id/EXP00329","EXP00329")</f>
        <v>EXP00329</v>
      </c>
      <c r="B9793" s="4" t="str">
        <f t="shared" ref="B9793:B9856" si="884">HYPERLINK("https://www.ncbi.nlm.nih.gov/pubmed/26667932","26667932")</f>
        <v>26667932</v>
      </c>
      <c r="C9793" s="4" t="str">
        <f t="shared" ref="C9793:C9856" si="885">HYPERLINK("https://www.ncbi.nlm.nih.gov/geo/query/acc.cgi?acc=GSE74685","GSE74685")</f>
        <v>GSE74685</v>
      </c>
      <c r="D9793" s="1" t="s">
        <v>447</v>
      </c>
      <c r="E9793" t="s">
        <v>448</v>
      </c>
      <c r="F9793" s="1">
        <v>1</v>
      </c>
      <c r="G9793" s="1" t="s">
        <v>455</v>
      </c>
      <c r="H9793" s="4" t="str">
        <f>HYPERLINK("https://www.ncbi.nlm.nih.gov/geo/query/acc.cgi?acc=GSM1930111","GSM1930111")</f>
        <v>GSM1930111</v>
      </c>
      <c r="I9793" t="s">
        <v>161</v>
      </c>
      <c r="J9793" t="s">
        <v>193</v>
      </c>
      <c r="K9793" t="s">
        <v>19</v>
      </c>
      <c r="L9793" t="s">
        <v>162</v>
      </c>
      <c r="M9793" t="s">
        <v>34</v>
      </c>
      <c r="N9793" t="s">
        <v>22</v>
      </c>
    </row>
    <row r="9794" spans="1:14">
      <c r="A9794" s="4" t="str">
        <f t="shared" si="883"/>
        <v>EXP00329</v>
      </c>
      <c r="B9794" s="4" t="str">
        <f t="shared" si="884"/>
        <v>26667932</v>
      </c>
      <c r="C9794" s="4" t="str">
        <f t="shared" si="885"/>
        <v>GSE74685</v>
      </c>
      <c r="D9794" s="1" t="s">
        <v>447</v>
      </c>
      <c r="E9794" t="s">
        <v>448</v>
      </c>
      <c r="F9794" s="1">
        <v>1</v>
      </c>
      <c r="G9794" s="1" t="s">
        <v>455</v>
      </c>
      <c r="H9794" s="4" t="str">
        <f>HYPERLINK("https://www.ncbi.nlm.nih.gov/geo/query/acc.cgi?acc=GSM1930112","GSM1930112")</f>
        <v>GSM1930112</v>
      </c>
      <c r="I9794" t="s">
        <v>161</v>
      </c>
      <c r="J9794" t="s">
        <v>193</v>
      </c>
      <c r="K9794" t="s">
        <v>19</v>
      </c>
      <c r="L9794" t="s">
        <v>162</v>
      </c>
      <c r="M9794" t="s">
        <v>34</v>
      </c>
      <c r="N9794" t="s">
        <v>22</v>
      </c>
    </row>
    <row r="9795" spans="1:14">
      <c r="A9795" s="4" t="str">
        <f t="shared" si="883"/>
        <v>EXP00329</v>
      </c>
      <c r="B9795" s="4" t="str">
        <f t="shared" si="884"/>
        <v>26667932</v>
      </c>
      <c r="C9795" s="4" t="str">
        <f t="shared" si="885"/>
        <v>GSE74685</v>
      </c>
      <c r="D9795" s="1" t="s">
        <v>447</v>
      </c>
      <c r="E9795" t="s">
        <v>448</v>
      </c>
      <c r="F9795" s="1">
        <v>1</v>
      </c>
      <c r="G9795" s="1" t="s">
        <v>455</v>
      </c>
      <c r="H9795" s="4" t="str">
        <f>HYPERLINK("https://www.ncbi.nlm.nih.gov/geo/query/acc.cgi?acc=GSM1930115","GSM1930115")</f>
        <v>GSM1930115</v>
      </c>
      <c r="I9795" t="s">
        <v>161</v>
      </c>
      <c r="J9795" t="s">
        <v>193</v>
      </c>
      <c r="K9795" t="s">
        <v>19</v>
      </c>
      <c r="L9795" t="s">
        <v>162</v>
      </c>
      <c r="M9795" t="s">
        <v>34</v>
      </c>
      <c r="N9795" t="s">
        <v>22</v>
      </c>
    </row>
    <row r="9796" spans="1:14">
      <c r="A9796" s="4" t="str">
        <f t="shared" si="883"/>
        <v>EXP00329</v>
      </c>
      <c r="B9796" s="4" t="str">
        <f t="shared" si="884"/>
        <v>26667932</v>
      </c>
      <c r="C9796" s="4" t="str">
        <f t="shared" si="885"/>
        <v>GSE74685</v>
      </c>
      <c r="D9796" s="1" t="s">
        <v>447</v>
      </c>
      <c r="E9796" t="s">
        <v>448</v>
      </c>
      <c r="F9796" s="1">
        <v>1</v>
      </c>
      <c r="G9796" s="1" t="s">
        <v>455</v>
      </c>
      <c r="H9796" s="4" t="str">
        <f>HYPERLINK("https://www.ncbi.nlm.nih.gov/geo/query/acc.cgi?acc=GSM1930134","GSM1930134")</f>
        <v>GSM1930134</v>
      </c>
      <c r="I9796" t="s">
        <v>161</v>
      </c>
      <c r="J9796" t="s">
        <v>193</v>
      </c>
      <c r="K9796" t="s">
        <v>19</v>
      </c>
      <c r="L9796" t="s">
        <v>162</v>
      </c>
      <c r="M9796" t="s">
        <v>34</v>
      </c>
      <c r="N9796" t="s">
        <v>22</v>
      </c>
    </row>
    <row r="9797" spans="1:14">
      <c r="A9797" s="4" t="str">
        <f t="shared" si="883"/>
        <v>EXP00329</v>
      </c>
      <c r="B9797" s="4" t="str">
        <f t="shared" si="884"/>
        <v>26667932</v>
      </c>
      <c r="C9797" s="4" t="str">
        <f t="shared" si="885"/>
        <v>GSE74685</v>
      </c>
      <c r="D9797" s="1" t="s">
        <v>447</v>
      </c>
      <c r="E9797" t="s">
        <v>448</v>
      </c>
      <c r="F9797" s="1">
        <v>2</v>
      </c>
      <c r="G9797" s="1" t="s">
        <v>449</v>
      </c>
      <c r="H9797" s="4" t="str">
        <f>HYPERLINK("https://www.ncbi.nlm.nih.gov/geo/query/acc.cgi?acc=GSM1616625","GSM1616625")</f>
        <v>GSM1616625</v>
      </c>
      <c r="I9797" t="s">
        <v>161</v>
      </c>
      <c r="J9797" t="s">
        <v>193</v>
      </c>
      <c r="K9797" t="s">
        <v>19</v>
      </c>
      <c r="L9797" t="s">
        <v>162</v>
      </c>
      <c r="M9797" t="s">
        <v>50</v>
      </c>
      <c r="N9797" t="s">
        <v>22</v>
      </c>
    </row>
    <row r="9798" spans="1:14">
      <c r="A9798" s="4" t="str">
        <f t="shared" si="883"/>
        <v>EXP00329</v>
      </c>
      <c r="B9798" s="4" t="str">
        <f t="shared" si="884"/>
        <v>26667932</v>
      </c>
      <c r="C9798" s="4" t="str">
        <f t="shared" si="885"/>
        <v>GSE74685</v>
      </c>
      <c r="D9798" s="1" t="s">
        <v>447</v>
      </c>
      <c r="E9798" t="s">
        <v>448</v>
      </c>
      <c r="F9798" s="1">
        <v>2</v>
      </c>
      <c r="G9798" s="1" t="s">
        <v>449</v>
      </c>
      <c r="H9798" s="4" t="str">
        <f>HYPERLINK("https://www.ncbi.nlm.nih.gov/geo/query/acc.cgi?acc=GSM1616627","GSM1616627")</f>
        <v>GSM1616627</v>
      </c>
      <c r="I9798" t="s">
        <v>161</v>
      </c>
      <c r="J9798" t="s">
        <v>193</v>
      </c>
      <c r="K9798" t="s">
        <v>19</v>
      </c>
      <c r="L9798" t="s">
        <v>162</v>
      </c>
      <c r="M9798" t="s">
        <v>50</v>
      </c>
      <c r="N9798" t="s">
        <v>22</v>
      </c>
    </row>
    <row r="9799" spans="1:14">
      <c r="A9799" s="4" t="str">
        <f t="shared" si="883"/>
        <v>EXP00329</v>
      </c>
      <c r="B9799" s="4" t="str">
        <f t="shared" si="884"/>
        <v>26667932</v>
      </c>
      <c r="C9799" s="4" t="str">
        <f t="shared" si="885"/>
        <v>GSE74685</v>
      </c>
      <c r="D9799" s="1" t="s">
        <v>447</v>
      </c>
      <c r="E9799" t="s">
        <v>448</v>
      </c>
      <c r="F9799" s="1">
        <v>2</v>
      </c>
      <c r="G9799" s="1" t="s">
        <v>449</v>
      </c>
      <c r="H9799" s="4" t="str">
        <f>HYPERLINK("https://www.ncbi.nlm.nih.gov/geo/query/acc.cgi?acc=GSM1616640","GSM1616640")</f>
        <v>GSM1616640</v>
      </c>
      <c r="I9799" t="s">
        <v>161</v>
      </c>
      <c r="J9799" t="s">
        <v>193</v>
      </c>
      <c r="K9799" t="s">
        <v>19</v>
      </c>
      <c r="L9799" t="s">
        <v>162</v>
      </c>
      <c r="M9799" t="s">
        <v>50</v>
      </c>
      <c r="N9799" t="s">
        <v>22</v>
      </c>
    </row>
    <row r="9800" spans="1:14">
      <c r="A9800" s="4" t="str">
        <f t="shared" si="883"/>
        <v>EXP00329</v>
      </c>
      <c r="B9800" s="4" t="str">
        <f t="shared" si="884"/>
        <v>26667932</v>
      </c>
      <c r="C9800" s="4" t="str">
        <f t="shared" si="885"/>
        <v>GSE74685</v>
      </c>
      <c r="D9800" s="1" t="s">
        <v>447</v>
      </c>
      <c r="E9800" t="s">
        <v>448</v>
      </c>
      <c r="F9800" s="1">
        <v>2</v>
      </c>
      <c r="G9800" s="1" t="s">
        <v>449</v>
      </c>
      <c r="H9800" s="4" t="str">
        <f>HYPERLINK("https://www.ncbi.nlm.nih.gov/geo/query/acc.cgi?acc=GSM1616643","GSM1616643")</f>
        <v>GSM1616643</v>
      </c>
      <c r="I9800" t="s">
        <v>161</v>
      </c>
      <c r="J9800" t="s">
        <v>193</v>
      </c>
      <c r="K9800" t="s">
        <v>19</v>
      </c>
      <c r="L9800" t="s">
        <v>162</v>
      </c>
      <c r="M9800" t="s">
        <v>50</v>
      </c>
      <c r="N9800" t="s">
        <v>22</v>
      </c>
    </row>
    <row r="9801" spans="1:14">
      <c r="A9801" s="4" t="str">
        <f t="shared" si="883"/>
        <v>EXP00329</v>
      </c>
      <c r="B9801" s="4" t="str">
        <f t="shared" si="884"/>
        <v>26667932</v>
      </c>
      <c r="C9801" s="4" t="str">
        <f t="shared" si="885"/>
        <v>GSE74685</v>
      </c>
      <c r="D9801" s="1" t="s">
        <v>447</v>
      </c>
      <c r="E9801" t="s">
        <v>448</v>
      </c>
      <c r="F9801" s="1">
        <v>2</v>
      </c>
      <c r="G9801" s="1" t="s">
        <v>449</v>
      </c>
      <c r="H9801" s="4" t="str">
        <f>HYPERLINK("https://www.ncbi.nlm.nih.gov/geo/query/acc.cgi?acc=GSM1616647","GSM1616647")</f>
        <v>GSM1616647</v>
      </c>
      <c r="I9801" t="s">
        <v>161</v>
      </c>
      <c r="J9801" t="s">
        <v>193</v>
      </c>
      <c r="K9801" t="s">
        <v>19</v>
      </c>
      <c r="L9801" t="s">
        <v>162</v>
      </c>
      <c r="M9801" t="s">
        <v>50</v>
      </c>
      <c r="N9801" t="s">
        <v>22</v>
      </c>
    </row>
    <row r="9802" spans="1:14">
      <c r="A9802" s="4" t="str">
        <f t="shared" si="883"/>
        <v>EXP00329</v>
      </c>
      <c r="B9802" s="4" t="str">
        <f t="shared" si="884"/>
        <v>26667932</v>
      </c>
      <c r="C9802" s="4" t="str">
        <f t="shared" si="885"/>
        <v>GSE74685</v>
      </c>
      <c r="D9802" s="1" t="s">
        <v>447</v>
      </c>
      <c r="E9802" t="s">
        <v>448</v>
      </c>
      <c r="F9802" s="1">
        <v>2</v>
      </c>
      <c r="G9802" s="1" t="s">
        <v>449</v>
      </c>
      <c r="H9802" s="4" t="str">
        <f>HYPERLINK("https://www.ncbi.nlm.nih.gov/geo/query/acc.cgi?acc=GSM1616648","GSM1616648")</f>
        <v>GSM1616648</v>
      </c>
      <c r="I9802" t="s">
        <v>161</v>
      </c>
      <c r="J9802" t="s">
        <v>193</v>
      </c>
      <c r="K9802" t="s">
        <v>19</v>
      </c>
      <c r="L9802" t="s">
        <v>162</v>
      </c>
      <c r="M9802" t="s">
        <v>50</v>
      </c>
      <c r="N9802" t="s">
        <v>22</v>
      </c>
    </row>
    <row r="9803" spans="1:14">
      <c r="A9803" s="4" t="str">
        <f t="shared" si="883"/>
        <v>EXP00329</v>
      </c>
      <c r="B9803" s="4" t="str">
        <f t="shared" si="884"/>
        <v>26667932</v>
      </c>
      <c r="C9803" s="4" t="str">
        <f t="shared" si="885"/>
        <v>GSE74685</v>
      </c>
      <c r="D9803" s="1" t="s">
        <v>447</v>
      </c>
      <c r="E9803" t="s">
        <v>448</v>
      </c>
      <c r="F9803" s="1">
        <v>2</v>
      </c>
      <c r="G9803" s="1" t="s">
        <v>449</v>
      </c>
      <c r="H9803" s="4" t="str">
        <f>HYPERLINK("https://www.ncbi.nlm.nih.gov/geo/query/acc.cgi?acc=GSM1616650","GSM1616650")</f>
        <v>GSM1616650</v>
      </c>
      <c r="I9803" t="s">
        <v>161</v>
      </c>
      <c r="J9803" t="s">
        <v>193</v>
      </c>
      <c r="K9803" t="s">
        <v>19</v>
      </c>
      <c r="L9803" t="s">
        <v>162</v>
      </c>
      <c r="M9803" t="s">
        <v>50</v>
      </c>
      <c r="N9803" t="s">
        <v>22</v>
      </c>
    </row>
    <row r="9804" spans="1:14">
      <c r="A9804" s="4" t="str">
        <f t="shared" si="883"/>
        <v>EXP00329</v>
      </c>
      <c r="B9804" s="4" t="str">
        <f t="shared" si="884"/>
        <v>26667932</v>
      </c>
      <c r="C9804" s="4" t="str">
        <f t="shared" si="885"/>
        <v>GSE74685</v>
      </c>
      <c r="D9804" s="1" t="s">
        <v>447</v>
      </c>
      <c r="E9804" t="s">
        <v>448</v>
      </c>
      <c r="F9804" s="1">
        <v>2</v>
      </c>
      <c r="G9804" s="1" t="s">
        <v>449</v>
      </c>
      <c r="H9804" s="4" t="str">
        <f>HYPERLINK("https://www.ncbi.nlm.nih.gov/geo/query/acc.cgi?acc=GSM1616651","GSM1616651")</f>
        <v>GSM1616651</v>
      </c>
      <c r="I9804" t="s">
        <v>161</v>
      </c>
      <c r="J9804" t="s">
        <v>193</v>
      </c>
      <c r="K9804" t="s">
        <v>19</v>
      </c>
      <c r="L9804" t="s">
        <v>162</v>
      </c>
      <c r="M9804" t="s">
        <v>50</v>
      </c>
      <c r="N9804" t="s">
        <v>22</v>
      </c>
    </row>
    <row r="9805" spans="1:14">
      <c r="A9805" s="4" t="str">
        <f t="shared" si="883"/>
        <v>EXP00329</v>
      </c>
      <c r="B9805" s="4" t="str">
        <f t="shared" si="884"/>
        <v>26667932</v>
      </c>
      <c r="C9805" s="4" t="str">
        <f t="shared" si="885"/>
        <v>GSE74685</v>
      </c>
      <c r="D9805" s="1" t="s">
        <v>447</v>
      </c>
      <c r="E9805" t="s">
        <v>448</v>
      </c>
      <c r="F9805" s="1">
        <v>2</v>
      </c>
      <c r="G9805" s="1" t="s">
        <v>449</v>
      </c>
      <c r="H9805" s="4" t="str">
        <f>HYPERLINK("https://www.ncbi.nlm.nih.gov/geo/query/acc.cgi?acc=GSM1616652","GSM1616652")</f>
        <v>GSM1616652</v>
      </c>
      <c r="I9805" t="s">
        <v>161</v>
      </c>
      <c r="J9805" t="s">
        <v>193</v>
      </c>
      <c r="K9805" t="s">
        <v>19</v>
      </c>
      <c r="L9805" t="s">
        <v>162</v>
      </c>
      <c r="M9805" t="s">
        <v>50</v>
      </c>
      <c r="N9805" t="s">
        <v>22</v>
      </c>
    </row>
    <row r="9806" spans="1:14">
      <c r="A9806" s="4" t="str">
        <f t="shared" si="883"/>
        <v>EXP00329</v>
      </c>
      <c r="B9806" s="4" t="str">
        <f t="shared" si="884"/>
        <v>26667932</v>
      </c>
      <c r="C9806" s="4" t="str">
        <f t="shared" si="885"/>
        <v>GSE74685</v>
      </c>
      <c r="D9806" s="1" t="s">
        <v>447</v>
      </c>
      <c r="E9806" t="s">
        <v>448</v>
      </c>
      <c r="F9806" s="1">
        <v>2</v>
      </c>
      <c r="G9806" s="1" t="s">
        <v>449</v>
      </c>
      <c r="H9806" s="4" t="str">
        <f>HYPERLINK("https://www.ncbi.nlm.nih.gov/geo/query/acc.cgi?acc=GSM1616654","GSM1616654")</f>
        <v>GSM1616654</v>
      </c>
      <c r="I9806" t="s">
        <v>161</v>
      </c>
      <c r="J9806" t="s">
        <v>193</v>
      </c>
      <c r="K9806" t="s">
        <v>19</v>
      </c>
      <c r="L9806" t="s">
        <v>162</v>
      </c>
      <c r="M9806" t="s">
        <v>50</v>
      </c>
      <c r="N9806" t="s">
        <v>22</v>
      </c>
    </row>
    <row r="9807" spans="1:14">
      <c r="A9807" s="4" t="str">
        <f t="shared" si="883"/>
        <v>EXP00329</v>
      </c>
      <c r="B9807" s="4" t="str">
        <f t="shared" si="884"/>
        <v>26667932</v>
      </c>
      <c r="C9807" s="4" t="str">
        <f t="shared" si="885"/>
        <v>GSE74685</v>
      </c>
      <c r="D9807" s="1" t="s">
        <v>447</v>
      </c>
      <c r="E9807" t="s">
        <v>448</v>
      </c>
      <c r="F9807" s="1">
        <v>2</v>
      </c>
      <c r="G9807" s="1" t="s">
        <v>449</v>
      </c>
      <c r="H9807" s="4" t="str">
        <f>HYPERLINK("https://www.ncbi.nlm.nih.gov/geo/query/acc.cgi?acc=GSM1616655","GSM1616655")</f>
        <v>GSM1616655</v>
      </c>
      <c r="I9807" t="s">
        <v>161</v>
      </c>
      <c r="J9807" t="s">
        <v>193</v>
      </c>
      <c r="K9807" t="s">
        <v>19</v>
      </c>
      <c r="L9807" t="s">
        <v>162</v>
      </c>
      <c r="M9807" t="s">
        <v>50</v>
      </c>
      <c r="N9807" t="s">
        <v>22</v>
      </c>
    </row>
    <row r="9808" spans="1:14">
      <c r="A9808" s="4" t="str">
        <f t="shared" si="883"/>
        <v>EXP00329</v>
      </c>
      <c r="B9808" s="4" t="str">
        <f t="shared" si="884"/>
        <v>26667932</v>
      </c>
      <c r="C9808" s="4" t="str">
        <f t="shared" si="885"/>
        <v>GSE74685</v>
      </c>
      <c r="D9808" s="1" t="s">
        <v>447</v>
      </c>
      <c r="E9808" t="s">
        <v>448</v>
      </c>
      <c r="F9808" s="1">
        <v>2</v>
      </c>
      <c r="G9808" s="1" t="s">
        <v>449</v>
      </c>
      <c r="H9808" s="4" t="str">
        <f>HYPERLINK("https://www.ncbi.nlm.nih.gov/geo/query/acc.cgi?acc=GSM1616665","GSM1616665")</f>
        <v>GSM1616665</v>
      </c>
      <c r="I9808" t="s">
        <v>161</v>
      </c>
      <c r="J9808" t="s">
        <v>193</v>
      </c>
      <c r="K9808" t="s">
        <v>19</v>
      </c>
      <c r="L9808" t="s">
        <v>162</v>
      </c>
      <c r="M9808" t="s">
        <v>50</v>
      </c>
      <c r="N9808" t="s">
        <v>22</v>
      </c>
    </row>
    <row r="9809" spans="1:14">
      <c r="A9809" s="4" t="str">
        <f t="shared" si="883"/>
        <v>EXP00329</v>
      </c>
      <c r="B9809" s="4" t="str">
        <f t="shared" si="884"/>
        <v>26667932</v>
      </c>
      <c r="C9809" s="4" t="str">
        <f t="shared" si="885"/>
        <v>GSE74685</v>
      </c>
      <c r="D9809" s="1" t="s">
        <v>447</v>
      </c>
      <c r="E9809" t="s">
        <v>448</v>
      </c>
      <c r="F9809" s="1">
        <v>2</v>
      </c>
      <c r="G9809" s="1" t="s">
        <v>449</v>
      </c>
      <c r="H9809" s="4" t="str">
        <f>HYPERLINK("https://www.ncbi.nlm.nih.gov/geo/query/acc.cgi?acc=GSM1616678","GSM1616678")</f>
        <v>GSM1616678</v>
      </c>
      <c r="I9809" t="s">
        <v>161</v>
      </c>
      <c r="J9809" t="s">
        <v>193</v>
      </c>
      <c r="K9809" t="s">
        <v>19</v>
      </c>
      <c r="L9809" t="s">
        <v>162</v>
      </c>
      <c r="M9809" t="s">
        <v>50</v>
      </c>
      <c r="N9809" t="s">
        <v>22</v>
      </c>
    </row>
    <row r="9810" spans="1:14">
      <c r="A9810" s="4" t="str">
        <f t="shared" si="883"/>
        <v>EXP00329</v>
      </c>
      <c r="B9810" s="4" t="str">
        <f t="shared" si="884"/>
        <v>26667932</v>
      </c>
      <c r="C9810" s="4" t="str">
        <f t="shared" si="885"/>
        <v>GSE74685</v>
      </c>
      <c r="D9810" s="1" t="s">
        <v>447</v>
      </c>
      <c r="E9810" t="s">
        <v>448</v>
      </c>
      <c r="F9810" s="1">
        <v>2</v>
      </c>
      <c r="G9810" s="1" t="s">
        <v>449</v>
      </c>
      <c r="H9810" s="4" t="str">
        <f>HYPERLINK("https://www.ncbi.nlm.nih.gov/geo/query/acc.cgi?acc=GSM1616679","GSM1616679")</f>
        <v>GSM1616679</v>
      </c>
      <c r="I9810" t="s">
        <v>161</v>
      </c>
      <c r="J9810" t="s">
        <v>193</v>
      </c>
      <c r="K9810" t="s">
        <v>19</v>
      </c>
      <c r="L9810" t="s">
        <v>162</v>
      </c>
      <c r="M9810" t="s">
        <v>50</v>
      </c>
      <c r="N9810" t="s">
        <v>22</v>
      </c>
    </row>
    <row r="9811" spans="1:14">
      <c r="A9811" s="4" t="str">
        <f t="shared" si="883"/>
        <v>EXP00329</v>
      </c>
      <c r="B9811" s="4" t="str">
        <f t="shared" si="884"/>
        <v>26667932</v>
      </c>
      <c r="C9811" s="4" t="str">
        <f t="shared" si="885"/>
        <v>GSE74685</v>
      </c>
      <c r="D9811" s="1" t="s">
        <v>447</v>
      </c>
      <c r="E9811" t="s">
        <v>448</v>
      </c>
      <c r="F9811" s="1">
        <v>2</v>
      </c>
      <c r="G9811" s="1" t="s">
        <v>449</v>
      </c>
      <c r="H9811" s="4" t="str">
        <f>HYPERLINK("https://www.ncbi.nlm.nih.gov/geo/query/acc.cgi?acc=GSM1616680","GSM1616680")</f>
        <v>GSM1616680</v>
      </c>
      <c r="I9811" t="s">
        <v>161</v>
      </c>
      <c r="J9811" t="s">
        <v>193</v>
      </c>
      <c r="K9811" t="s">
        <v>19</v>
      </c>
      <c r="L9811" t="s">
        <v>162</v>
      </c>
      <c r="M9811" t="s">
        <v>50</v>
      </c>
      <c r="N9811" t="s">
        <v>22</v>
      </c>
    </row>
    <row r="9812" spans="1:14">
      <c r="A9812" s="4" t="str">
        <f t="shared" si="883"/>
        <v>EXP00329</v>
      </c>
      <c r="B9812" s="4" t="str">
        <f t="shared" si="884"/>
        <v>26667932</v>
      </c>
      <c r="C9812" s="4" t="str">
        <f t="shared" si="885"/>
        <v>GSE74685</v>
      </c>
      <c r="D9812" s="1" t="s">
        <v>447</v>
      </c>
      <c r="E9812" t="s">
        <v>448</v>
      </c>
      <c r="F9812" s="1">
        <v>2</v>
      </c>
      <c r="G9812" s="1" t="s">
        <v>449</v>
      </c>
      <c r="H9812" s="4" t="str">
        <f>HYPERLINK("https://www.ncbi.nlm.nih.gov/geo/query/acc.cgi?acc=GSM1616681","GSM1616681")</f>
        <v>GSM1616681</v>
      </c>
      <c r="I9812" t="s">
        <v>161</v>
      </c>
      <c r="J9812" t="s">
        <v>193</v>
      </c>
      <c r="K9812" t="s">
        <v>19</v>
      </c>
      <c r="L9812" t="s">
        <v>162</v>
      </c>
      <c r="M9812" t="s">
        <v>50</v>
      </c>
      <c r="N9812" t="s">
        <v>22</v>
      </c>
    </row>
    <row r="9813" spans="1:14">
      <c r="A9813" s="4" t="str">
        <f t="shared" si="883"/>
        <v>EXP00329</v>
      </c>
      <c r="B9813" s="4" t="str">
        <f t="shared" si="884"/>
        <v>26667932</v>
      </c>
      <c r="C9813" s="4" t="str">
        <f t="shared" si="885"/>
        <v>GSE74685</v>
      </c>
      <c r="D9813" s="1" t="s">
        <v>447</v>
      </c>
      <c r="E9813" t="s">
        <v>448</v>
      </c>
      <c r="F9813" s="1">
        <v>2</v>
      </c>
      <c r="G9813" s="1" t="s">
        <v>449</v>
      </c>
      <c r="H9813" s="4" t="str">
        <f>HYPERLINK("https://www.ncbi.nlm.nih.gov/geo/query/acc.cgi?acc=GSM1616683","GSM1616683")</f>
        <v>GSM1616683</v>
      </c>
      <c r="I9813" t="s">
        <v>161</v>
      </c>
      <c r="J9813" t="s">
        <v>193</v>
      </c>
      <c r="K9813" t="s">
        <v>19</v>
      </c>
      <c r="L9813" t="s">
        <v>162</v>
      </c>
      <c r="M9813" t="s">
        <v>50</v>
      </c>
      <c r="N9813" t="s">
        <v>22</v>
      </c>
    </row>
    <row r="9814" spans="1:14">
      <c r="A9814" s="4" t="str">
        <f t="shared" si="883"/>
        <v>EXP00329</v>
      </c>
      <c r="B9814" s="4" t="str">
        <f t="shared" si="884"/>
        <v>26667932</v>
      </c>
      <c r="C9814" s="4" t="str">
        <f t="shared" si="885"/>
        <v>GSE74685</v>
      </c>
      <c r="D9814" s="1" t="s">
        <v>447</v>
      </c>
      <c r="E9814" t="s">
        <v>448</v>
      </c>
      <c r="F9814" s="1">
        <v>2</v>
      </c>
      <c r="G9814" s="1" t="s">
        <v>449</v>
      </c>
      <c r="H9814" s="4" t="str">
        <f>HYPERLINK("https://www.ncbi.nlm.nih.gov/geo/query/acc.cgi?acc=GSM1918979","GSM1918979")</f>
        <v>GSM1918979</v>
      </c>
      <c r="I9814" t="s">
        <v>161</v>
      </c>
      <c r="J9814" t="s">
        <v>193</v>
      </c>
      <c r="K9814" t="s">
        <v>19</v>
      </c>
      <c r="L9814" t="s">
        <v>162</v>
      </c>
      <c r="M9814" t="s">
        <v>50</v>
      </c>
      <c r="N9814" t="s">
        <v>22</v>
      </c>
    </row>
    <row r="9815" spans="1:14">
      <c r="A9815" s="4" t="str">
        <f t="shared" si="883"/>
        <v>EXP00329</v>
      </c>
      <c r="B9815" s="4" t="str">
        <f t="shared" si="884"/>
        <v>26667932</v>
      </c>
      <c r="C9815" s="4" t="str">
        <f t="shared" si="885"/>
        <v>GSE74685</v>
      </c>
      <c r="D9815" s="1" t="s">
        <v>447</v>
      </c>
      <c r="E9815" t="s">
        <v>448</v>
      </c>
      <c r="F9815" s="1">
        <v>2</v>
      </c>
      <c r="G9815" s="1" t="s">
        <v>449</v>
      </c>
      <c r="H9815" s="4" t="str">
        <f>HYPERLINK("https://www.ncbi.nlm.nih.gov/geo/query/acc.cgi?acc=GSM1930079","GSM1930079")</f>
        <v>GSM1930079</v>
      </c>
      <c r="I9815" t="s">
        <v>161</v>
      </c>
      <c r="J9815" t="s">
        <v>193</v>
      </c>
      <c r="K9815" t="s">
        <v>19</v>
      </c>
      <c r="L9815" t="s">
        <v>162</v>
      </c>
      <c r="M9815" t="s">
        <v>50</v>
      </c>
      <c r="N9815" t="s">
        <v>22</v>
      </c>
    </row>
    <row r="9816" spans="1:14">
      <c r="A9816" s="4" t="str">
        <f t="shared" si="883"/>
        <v>EXP00329</v>
      </c>
      <c r="B9816" s="4" t="str">
        <f t="shared" si="884"/>
        <v>26667932</v>
      </c>
      <c r="C9816" s="4" t="str">
        <f t="shared" si="885"/>
        <v>GSE74685</v>
      </c>
      <c r="D9816" s="1" t="s">
        <v>447</v>
      </c>
      <c r="E9816" t="s">
        <v>448</v>
      </c>
      <c r="F9816" s="1">
        <v>2</v>
      </c>
      <c r="G9816" s="1" t="s">
        <v>449</v>
      </c>
      <c r="H9816" s="4" t="str">
        <f>HYPERLINK("https://www.ncbi.nlm.nih.gov/geo/query/acc.cgi?acc=GSM1930119","GSM1930119")</f>
        <v>GSM1930119</v>
      </c>
      <c r="I9816" t="s">
        <v>161</v>
      </c>
      <c r="J9816" t="s">
        <v>193</v>
      </c>
      <c r="K9816" t="s">
        <v>19</v>
      </c>
      <c r="L9816" t="s">
        <v>162</v>
      </c>
      <c r="M9816" t="s">
        <v>50</v>
      </c>
      <c r="N9816" t="s">
        <v>22</v>
      </c>
    </row>
    <row r="9817" spans="1:14">
      <c r="A9817" s="4" t="str">
        <f t="shared" ref="A9817:A9822" si="886">HYPERLINK("http://hcmdb.i-sanger.com/experiment/details/experiment_id/EXP00330","EXP00330")</f>
        <v>EXP00330</v>
      </c>
      <c r="B9817" s="4" t="str">
        <f t="shared" si="884"/>
        <v>26667932</v>
      </c>
      <c r="C9817" s="4" t="str">
        <f t="shared" si="885"/>
        <v>GSE74685</v>
      </c>
      <c r="D9817" s="1" t="s">
        <v>447</v>
      </c>
      <c r="E9817" t="s">
        <v>448</v>
      </c>
      <c r="F9817" s="1">
        <v>1</v>
      </c>
      <c r="G9817" s="1" t="s">
        <v>455</v>
      </c>
      <c r="H9817" s="4" t="str">
        <f>HYPERLINK("https://www.ncbi.nlm.nih.gov/geo/query/acc.cgi?acc=GSM1930111","GSM1930111")</f>
        <v>GSM1930111</v>
      </c>
      <c r="I9817" t="s">
        <v>161</v>
      </c>
      <c r="J9817" t="s">
        <v>193</v>
      </c>
      <c r="K9817" t="s">
        <v>19</v>
      </c>
      <c r="L9817" t="s">
        <v>162</v>
      </c>
      <c r="M9817" t="s">
        <v>34</v>
      </c>
      <c r="N9817" t="s">
        <v>22</v>
      </c>
    </row>
    <row r="9818" spans="1:14">
      <c r="A9818" s="4" t="str">
        <f t="shared" si="886"/>
        <v>EXP00330</v>
      </c>
      <c r="B9818" s="4" t="str">
        <f t="shared" si="884"/>
        <v>26667932</v>
      </c>
      <c r="C9818" s="4" t="str">
        <f t="shared" si="885"/>
        <v>GSE74685</v>
      </c>
      <c r="D9818" s="1" t="s">
        <v>447</v>
      </c>
      <c r="E9818" t="s">
        <v>448</v>
      </c>
      <c r="F9818" s="1">
        <v>1</v>
      </c>
      <c r="G9818" s="1" t="s">
        <v>455</v>
      </c>
      <c r="H9818" s="4" t="str">
        <f>HYPERLINK("https://www.ncbi.nlm.nih.gov/geo/query/acc.cgi?acc=GSM1930112","GSM1930112")</f>
        <v>GSM1930112</v>
      </c>
      <c r="I9818" t="s">
        <v>161</v>
      </c>
      <c r="J9818" t="s">
        <v>193</v>
      </c>
      <c r="K9818" t="s">
        <v>19</v>
      </c>
      <c r="L9818" t="s">
        <v>162</v>
      </c>
      <c r="M9818" t="s">
        <v>34</v>
      </c>
      <c r="N9818" t="s">
        <v>22</v>
      </c>
    </row>
    <row r="9819" spans="1:14">
      <c r="A9819" s="4" t="str">
        <f t="shared" si="886"/>
        <v>EXP00330</v>
      </c>
      <c r="B9819" s="4" t="str">
        <f t="shared" si="884"/>
        <v>26667932</v>
      </c>
      <c r="C9819" s="4" t="str">
        <f t="shared" si="885"/>
        <v>GSE74685</v>
      </c>
      <c r="D9819" s="1" t="s">
        <v>447</v>
      </c>
      <c r="E9819" t="s">
        <v>448</v>
      </c>
      <c r="F9819" s="1">
        <v>1</v>
      </c>
      <c r="G9819" s="1" t="s">
        <v>455</v>
      </c>
      <c r="H9819" s="4" t="str">
        <f>HYPERLINK("https://www.ncbi.nlm.nih.gov/geo/query/acc.cgi?acc=GSM1930115","GSM1930115")</f>
        <v>GSM1930115</v>
      </c>
      <c r="I9819" t="s">
        <v>161</v>
      </c>
      <c r="J9819" t="s">
        <v>193</v>
      </c>
      <c r="K9819" t="s">
        <v>19</v>
      </c>
      <c r="L9819" t="s">
        <v>162</v>
      </c>
      <c r="M9819" t="s">
        <v>34</v>
      </c>
      <c r="N9819" t="s">
        <v>22</v>
      </c>
    </row>
    <row r="9820" spans="1:14">
      <c r="A9820" s="4" t="str">
        <f t="shared" si="886"/>
        <v>EXP00330</v>
      </c>
      <c r="B9820" s="4" t="str">
        <f t="shared" si="884"/>
        <v>26667932</v>
      </c>
      <c r="C9820" s="4" t="str">
        <f t="shared" si="885"/>
        <v>GSE74685</v>
      </c>
      <c r="D9820" s="1" t="s">
        <v>447</v>
      </c>
      <c r="E9820" t="s">
        <v>448</v>
      </c>
      <c r="F9820" s="1">
        <v>1</v>
      </c>
      <c r="G9820" s="1" t="s">
        <v>455</v>
      </c>
      <c r="H9820" s="4" t="str">
        <f>HYPERLINK("https://www.ncbi.nlm.nih.gov/geo/query/acc.cgi?acc=GSM1930134","GSM1930134")</f>
        <v>GSM1930134</v>
      </c>
      <c r="I9820" t="s">
        <v>161</v>
      </c>
      <c r="J9820" t="s">
        <v>193</v>
      </c>
      <c r="K9820" t="s">
        <v>19</v>
      </c>
      <c r="L9820" t="s">
        <v>162</v>
      </c>
      <c r="M9820" t="s">
        <v>34</v>
      </c>
      <c r="N9820" t="s">
        <v>22</v>
      </c>
    </row>
    <row r="9821" spans="1:14">
      <c r="A9821" s="4" t="str">
        <f t="shared" si="886"/>
        <v>EXP00330</v>
      </c>
      <c r="B9821" s="4" t="str">
        <f t="shared" si="884"/>
        <v>26667932</v>
      </c>
      <c r="C9821" s="4" t="str">
        <f t="shared" si="885"/>
        <v>GSE74685</v>
      </c>
      <c r="D9821" s="1" t="s">
        <v>447</v>
      </c>
      <c r="E9821" t="s">
        <v>448</v>
      </c>
      <c r="F9821" s="1">
        <v>2</v>
      </c>
      <c r="G9821" s="1" t="s">
        <v>456</v>
      </c>
      <c r="H9821" s="4" t="str">
        <f>HYPERLINK("https://www.ncbi.nlm.nih.gov/geo/query/acc.cgi?acc=GSM1616656","GSM1616656")</f>
        <v>GSM1616656</v>
      </c>
      <c r="I9821" t="s">
        <v>161</v>
      </c>
      <c r="J9821" t="s">
        <v>193</v>
      </c>
      <c r="K9821" t="s">
        <v>19</v>
      </c>
      <c r="L9821" t="s">
        <v>162</v>
      </c>
      <c r="M9821" t="s">
        <v>61</v>
      </c>
      <c r="N9821" t="s">
        <v>22</v>
      </c>
    </row>
    <row r="9822" spans="1:14">
      <c r="A9822" s="4" t="str">
        <f t="shared" si="886"/>
        <v>EXP00330</v>
      </c>
      <c r="B9822" s="4" t="str">
        <f t="shared" si="884"/>
        <v>26667932</v>
      </c>
      <c r="C9822" s="4" t="str">
        <f t="shared" si="885"/>
        <v>GSE74685</v>
      </c>
      <c r="D9822" s="1" t="s">
        <v>447</v>
      </c>
      <c r="E9822" t="s">
        <v>448</v>
      </c>
      <c r="F9822" s="1">
        <v>2</v>
      </c>
      <c r="G9822" s="1" t="s">
        <v>456</v>
      </c>
      <c r="H9822" s="4" t="str">
        <f>HYPERLINK("https://www.ncbi.nlm.nih.gov/geo/query/acc.cgi?acc=GSM1930129","GSM1930129")</f>
        <v>GSM1930129</v>
      </c>
      <c r="I9822" t="s">
        <v>161</v>
      </c>
      <c r="J9822" t="s">
        <v>193</v>
      </c>
      <c r="K9822" t="s">
        <v>19</v>
      </c>
      <c r="L9822" t="s">
        <v>162</v>
      </c>
      <c r="M9822" t="s">
        <v>61</v>
      </c>
      <c r="N9822" t="s">
        <v>22</v>
      </c>
    </row>
    <row r="9823" spans="1:14">
      <c r="A9823" s="4" t="str">
        <f t="shared" ref="A9823:A9847" si="887">HYPERLINK("http://hcmdb.i-sanger.com/experiment/details/experiment_id/EXP00331","EXP00331")</f>
        <v>EXP00331</v>
      </c>
      <c r="B9823" s="4" t="str">
        <f t="shared" si="884"/>
        <v>26667932</v>
      </c>
      <c r="C9823" s="4" t="str">
        <f t="shared" si="885"/>
        <v>GSE74685</v>
      </c>
      <c r="D9823" s="1" t="s">
        <v>447</v>
      </c>
      <c r="E9823" t="s">
        <v>448</v>
      </c>
      <c r="F9823" s="1">
        <v>1</v>
      </c>
      <c r="G9823" s="1" t="s">
        <v>455</v>
      </c>
      <c r="H9823" s="4" t="str">
        <f>HYPERLINK("https://www.ncbi.nlm.nih.gov/geo/query/acc.cgi?acc=GSM1930111","GSM1930111")</f>
        <v>GSM1930111</v>
      </c>
      <c r="I9823" t="s">
        <v>161</v>
      </c>
      <c r="J9823" t="s">
        <v>193</v>
      </c>
      <c r="K9823" t="s">
        <v>19</v>
      </c>
      <c r="L9823" t="s">
        <v>162</v>
      </c>
      <c r="M9823" t="s">
        <v>34</v>
      </c>
      <c r="N9823" t="s">
        <v>22</v>
      </c>
    </row>
    <row r="9824" spans="1:14">
      <c r="A9824" s="4" t="str">
        <f t="shared" si="887"/>
        <v>EXP00331</v>
      </c>
      <c r="B9824" s="4" t="str">
        <f t="shared" si="884"/>
        <v>26667932</v>
      </c>
      <c r="C9824" s="4" t="str">
        <f t="shared" si="885"/>
        <v>GSE74685</v>
      </c>
      <c r="D9824" s="1" t="s">
        <v>447</v>
      </c>
      <c r="E9824" t="s">
        <v>448</v>
      </c>
      <c r="F9824" s="1">
        <v>1</v>
      </c>
      <c r="G9824" s="1" t="s">
        <v>455</v>
      </c>
      <c r="H9824" s="4" t="str">
        <f>HYPERLINK("https://www.ncbi.nlm.nih.gov/geo/query/acc.cgi?acc=GSM1930112","GSM1930112")</f>
        <v>GSM1930112</v>
      </c>
      <c r="I9824" t="s">
        <v>161</v>
      </c>
      <c r="J9824" t="s">
        <v>193</v>
      </c>
      <c r="K9824" t="s">
        <v>19</v>
      </c>
      <c r="L9824" t="s">
        <v>162</v>
      </c>
      <c r="M9824" t="s">
        <v>34</v>
      </c>
      <c r="N9824" t="s">
        <v>22</v>
      </c>
    </row>
    <row r="9825" spans="1:14">
      <c r="A9825" s="4" t="str">
        <f t="shared" si="887"/>
        <v>EXP00331</v>
      </c>
      <c r="B9825" s="4" t="str">
        <f t="shared" si="884"/>
        <v>26667932</v>
      </c>
      <c r="C9825" s="4" t="str">
        <f t="shared" si="885"/>
        <v>GSE74685</v>
      </c>
      <c r="D9825" s="1" t="s">
        <v>447</v>
      </c>
      <c r="E9825" t="s">
        <v>448</v>
      </c>
      <c r="F9825" s="1">
        <v>1</v>
      </c>
      <c r="G9825" s="1" t="s">
        <v>455</v>
      </c>
      <c r="H9825" s="4" t="str">
        <f>HYPERLINK("https://www.ncbi.nlm.nih.gov/geo/query/acc.cgi?acc=GSM1930115","GSM1930115")</f>
        <v>GSM1930115</v>
      </c>
      <c r="I9825" t="s">
        <v>161</v>
      </c>
      <c r="J9825" t="s">
        <v>193</v>
      </c>
      <c r="K9825" t="s">
        <v>19</v>
      </c>
      <c r="L9825" t="s">
        <v>162</v>
      </c>
      <c r="M9825" t="s">
        <v>34</v>
      </c>
      <c r="N9825" t="s">
        <v>22</v>
      </c>
    </row>
    <row r="9826" spans="1:14">
      <c r="A9826" s="4" t="str">
        <f t="shared" si="887"/>
        <v>EXP00331</v>
      </c>
      <c r="B9826" s="4" t="str">
        <f t="shared" si="884"/>
        <v>26667932</v>
      </c>
      <c r="C9826" s="4" t="str">
        <f t="shared" si="885"/>
        <v>GSE74685</v>
      </c>
      <c r="D9826" s="1" t="s">
        <v>447</v>
      </c>
      <c r="E9826" t="s">
        <v>448</v>
      </c>
      <c r="F9826" s="1">
        <v>1</v>
      </c>
      <c r="G9826" s="1" t="s">
        <v>455</v>
      </c>
      <c r="H9826" s="4" t="str">
        <f>HYPERLINK("https://www.ncbi.nlm.nih.gov/geo/query/acc.cgi?acc=GSM1930134","GSM1930134")</f>
        <v>GSM1930134</v>
      </c>
      <c r="I9826" t="s">
        <v>161</v>
      </c>
      <c r="J9826" t="s">
        <v>193</v>
      </c>
      <c r="K9826" t="s">
        <v>19</v>
      </c>
      <c r="L9826" t="s">
        <v>162</v>
      </c>
      <c r="M9826" t="s">
        <v>34</v>
      </c>
      <c r="N9826" t="s">
        <v>22</v>
      </c>
    </row>
    <row r="9827" spans="1:14">
      <c r="A9827" s="4" t="str">
        <f t="shared" si="887"/>
        <v>EXP00331</v>
      </c>
      <c r="B9827" s="4" t="str">
        <f t="shared" si="884"/>
        <v>26667932</v>
      </c>
      <c r="C9827" s="4" t="str">
        <f t="shared" si="885"/>
        <v>GSE74685</v>
      </c>
      <c r="D9827" s="1" t="s">
        <v>447</v>
      </c>
      <c r="E9827" t="s">
        <v>448</v>
      </c>
      <c r="F9827" s="1">
        <v>2</v>
      </c>
      <c r="G9827" s="1" t="s">
        <v>450</v>
      </c>
      <c r="H9827" s="4" t="str">
        <f>HYPERLINK("https://www.ncbi.nlm.nih.gov/geo/query/acc.cgi?acc=GSM1616614","GSM1616614")</f>
        <v>GSM1616614</v>
      </c>
      <c r="I9827" t="s">
        <v>161</v>
      </c>
      <c r="J9827" t="s">
        <v>193</v>
      </c>
      <c r="K9827" t="s">
        <v>19</v>
      </c>
      <c r="L9827" t="s">
        <v>162</v>
      </c>
      <c r="M9827" t="s">
        <v>44</v>
      </c>
      <c r="N9827" t="s">
        <v>22</v>
      </c>
    </row>
    <row r="9828" spans="1:14">
      <c r="A9828" s="4" t="str">
        <f t="shared" si="887"/>
        <v>EXP00331</v>
      </c>
      <c r="B9828" s="4" t="str">
        <f t="shared" si="884"/>
        <v>26667932</v>
      </c>
      <c r="C9828" s="4" t="str">
        <f t="shared" si="885"/>
        <v>GSE74685</v>
      </c>
      <c r="D9828" s="1" t="s">
        <v>447</v>
      </c>
      <c r="E9828" t="s">
        <v>448</v>
      </c>
      <c r="F9828" s="1">
        <v>2</v>
      </c>
      <c r="G9828" s="1" t="s">
        <v>450</v>
      </c>
      <c r="H9828" s="4" t="str">
        <f>HYPERLINK("https://www.ncbi.nlm.nih.gov/geo/query/acc.cgi?acc=GSM1616618","GSM1616618")</f>
        <v>GSM1616618</v>
      </c>
      <c r="I9828" t="s">
        <v>161</v>
      </c>
      <c r="J9828" t="s">
        <v>193</v>
      </c>
      <c r="K9828" t="s">
        <v>19</v>
      </c>
      <c r="L9828" t="s">
        <v>162</v>
      </c>
      <c r="M9828" t="s">
        <v>44</v>
      </c>
      <c r="N9828" t="s">
        <v>22</v>
      </c>
    </row>
    <row r="9829" spans="1:14">
      <c r="A9829" s="4" t="str">
        <f t="shared" si="887"/>
        <v>EXP00331</v>
      </c>
      <c r="B9829" s="4" t="str">
        <f t="shared" si="884"/>
        <v>26667932</v>
      </c>
      <c r="C9829" s="4" t="str">
        <f t="shared" si="885"/>
        <v>GSE74685</v>
      </c>
      <c r="D9829" s="1" t="s">
        <v>447</v>
      </c>
      <c r="E9829" t="s">
        <v>448</v>
      </c>
      <c r="F9829" s="1">
        <v>2</v>
      </c>
      <c r="G9829" s="1" t="s">
        <v>450</v>
      </c>
      <c r="H9829" s="4" t="str">
        <f>HYPERLINK("https://www.ncbi.nlm.nih.gov/geo/query/acc.cgi?acc=GSM1616621","GSM1616621")</f>
        <v>GSM1616621</v>
      </c>
      <c r="I9829" t="s">
        <v>161</v>
      </c>
      <c r="J9829" t="s">
        <v>193</v>
      </c>
      <c r="K9829" t="s">
        <v>19</v>
      </c>
      <c r="L9829" t="s">
        <v>162</v>
      </c>
      <c r="M9829" t="s">
        <v>44</v>
      </c>
      <c r="N9829" t="s">
        <v>22</v>
      </c>
    </row>
    <row r="9830" spans="1:14">
      <c r="A9830" s="4" t="str">
        <f t="shared" si="887"/>
        <v>EXP00331</v>
      </c>
      <c r="B9830" s="4" t="str">
        <f t="shared" si="884"/>
        <v>26667932</v>
      </c>
      <c r="C9830" s="4" t="str">
        <f t="shared" si="885"/>
        <v>GSE74685</v>
      </c>
      <c r="D9830" s="1" t="s">
        <v>447</v>
      </c>
      <c r="E9830" t="s">
        <v>448</v>
      </c>
      <c r="F9830" s="1">
        <v>2</v>
      </c>
      <c r="G9830" s="1" t="s">
        <v>450</v>
      </c>
      <c r="H9830" s="4" t="str">
        <f>HYPERLINK("https://www.ncbi.nlm.nih.gov/geo/query/acc.cgi?acc=GSM1616623","GSM1616623")</f>
        <v>GSM1616623</v>
      </c>
      <c r="I9830" t="s">
        <v>161</v>
      </c>
      <c r="J9830" t="s">
        <v>193</v>
      </c>
      <c r="K9830" t="s">
        <v>19</v>
      </c>
      <c r="L9830" t="s">
        <v>162</v>
      </c>
      <c r="M9830" t="s">
        <v>44</v>
      </c>
      <c r="N9830" t="s">
        <v>22</v>
      </c>
    </row>
    <row r="9831" spans="1:14">
      <c r="A9831" s="4" t="str">
        <f t="shared" si="887"/>
        <v>EXP00331</v>
      </c>
      <c r="B9831" s="4" t="str">
        <f t="shared" si="884"/>
        <v>26667932</v>
      </c>
      <c r="C9831" s="4" t="str">
        <f t="shared" si="885"/>
        <v>GSE74685</v>
      </c>
      <c r="D9831" s="1" t="s">
        <v>447</v>
      </c>
      <c r="E9831" t="s">
        <v>448</v>
      </c>
      <c r="F9831" s="1">
        <v>2</v>
      </c>
      <c r="G9831" s="1" t="s">
        <v>450</v>
      </c>
      <c r="H9831" s="4" t="str">
        <f>HYPERLINK("https://www.ncbi.nlm.nih.gov/geo/query/acc.cgi?acc=GSM1616628","GSM1616628")</f>
        <v>GSM1616628</v>
      </c>
      <c r="I9831" t="s">
        <v>161</v>
      </c>
      <c r="J9831" t="s">
        <v>193</v>
      </c>
      <c r="K9831" t="s">
        <v>19</v>
      </c>
      <c r="L9831" t="s">
        <v>162</v>
      </c>
      <c r="M9831" t="s">
        <v>44</v>
      </c>
      <c r="N9831" t="s">
        <v>22</v>
      </c>
    </row>
    <row r="9832" spans="1:14">
      <c r="A9832" s="4" t="str">
        <f t="shared" si="887"/>
        <v>EXP00331</v>
      </c>
      <c r="B9832" s="4" t="str">
        <f t="shared" si="884"/>
        <v>26667932</v>
      </c>
      <c r="C9832" s="4" t="str">
        <f t="shared" si="885"/>
        <v>GSE74685</v>
      </c>
      <c r="D9832" s="1" t="s">
        <v>447</v>
      </c>
      <c r="E9832" t="s">
        <v>448</v>
      </c>
      <c r="F9832" s="1">
        <v>2</v>
      </c>
      <c r="G9832" s="1" t="s">
        <v>450</v>
      </c>
      <c r="H9832" s="4" t="str">
        <f>HYPERLINK("https://www.ncbi.nlm.nih.gov/geo/query/acc.cgi?acc=GSM1616629","GSM1616629")</f>
        <v>GSM1616629</v>
      </c>
      <c r="I9832" t="s">
        <v>161</v>
      </c>
      <c r="J9832" t="s">
        <v>193</v>
      </c>
      <c r="K9832" t="s">
        <v>19</v>
      </c>
      <c r="L9832" t="s">
        <v>162</v>
      </c>
      <c r="M9832" t="s">
        <v>44</v>
      </c>
      <c r="N9832" t="s">
        <v>22</v>
      </c>
    </row>
    <row r="9833" spans="1:14">
      <c r="A9833" s="4" t="str">
        <f t="shared" si="887"/>
        <v>EXP00331</v>
      </c>
      <c r="B9833" s="4" t="str">
        <f t="shared" si="884"/>
        <v>26667932</v>
      </c>
      <c r="C9833" s="4" t="str">
        <f t="shared" si="885"/>
        <v>GSE74685</v>
      </c>
      <c r="D9833" s="1" t="s">
        <v>447</v>
      </c>
      <c r="E9833" t="s">
        <v>448</v>
      </c>
      <c r="F9833" s="1">
        <v>2</v>
      </c>
      <c r="G9833" s="1" t="s">
        <v>450</v>
      </c>
      <c r="H9833" s="4" t="str">
        <f>HYPERLINK("https://www.ncbi.nlm.nih.gov/geo/query/acc.cgi?acc=GSM1616632","GSM1616632")</f>
        <v>GSM1616632</v>
      </c>
      <c r="I9833" t="s">
        <v>161</v>
      </c>
      <c r="J9833" t="s">
        <v>193</v>
      </c>
      <c r="K9833" t="s">
        <v>19</v>
      </c>
      <c r="L9833" t="s">
        <v>162</v>
      </c>
      <c r="M9833" t="s">
        <v>44</v>
      </c>
      <c r="N9833" t="s">
        <v>22</v>
      </c>
    </row>
    <row r="9834" spans="1:14">
      <c r="A9834" s="4" t="str">
        <f t="shared" si="887"/>
        <v>EXP00331</v>
      </c>
      <c r="B9834" s="4" t="str">
        <f t="shared" si="884"/>
        <v>26667932</v>
      </c>
      <c r="C9834" s="4" t="str">
        <f t="shared" si="885"/>
        <v>GSE74685</v>
      </c>
      <c r="D9834" s="1" t="s">
        <v>447</v>
      </c>
      <c r="E9834" t="s">
        <v>448</v>
      </c>
      <c r="F9834" s="1">
        <v>2</v>
      </c>
      <c r="G9834" s="1" t="s">
        <v>450</v>
      </c>
      <c r="H9834" s="4" t="str">
        <f>HYPERLINK("https://www.ncbi.nlm.nih.gov/geo/query/acc.cgi?acc=GSM1616638","GSM1616638")</f>
        <v>GSM1616638</v>
      </c>
      <c r="I9834" t="s">
        <v>161</v>
      </c>
      <c r="J9834" t="s">
        <v>193</v>
      </c>
      <c r="K9834" t="s">
        <v>19</v>
      </c>
      <c r="L9834" t="s">
        <v>162</v>
      </c>
      <c r="M9834" t="s">
        <v>44</v>
      </c>
      <c r="N9834" t="s">
        <v>22</v>
      </c>
    </row>
    <row r="9835" spans="1:14">
      <c r="A9835" s="4" t="str">
        <f t="shared" si="887"/>
        <v>EXP00331</v>
      </c>
      <c r="B9835" s="4" t="str">
        <f t="shared" si="884"/>
        <v>26667932</v>
      </c>
      <c r="C9835" s="4" t="str">
        <f t="shared" si="885"/>
        <v>GSE74685</v>
      </c>
      <c r="D9835" s="1" t="s">
        <v>447</v>
      </c>
      <c r="E9835" t="s">
        <v>448</v>
      </c>
      <c r="F9835" s="1">
        <v>2</v>
      </c>
      <c r="G9835" s="1" t="s">
        <v>450</v>
      </c>
      <c r="H9835" s="4" t="str">
        <f>HYPERLINK("https://www.ncbi.nlm.nih.gov/geo/query/acc.cgi?acc=GSM1616641","GSM1616641")</f>
        <v>GSM1616641</v>
      </c>
      <c r="I9835" t="s">
        <v>161</v>
      </c>
      <c r="J9835" t="s">
        <v>193</v>
      </c>
      <c r="K9835" t="s">
        <v>19</v>
      </c>
      <c r="L9835" t="s">
        <v>162</v>
      </c>
      <c r="M9835" t="s">
        <v>44</v>
      </c>
      <c r="N9835" t="s">
        <v>22</v>
      </c>
    </row>
    <row r="9836" spans="1:14">
      <c r="A9836" s="4" t="str">
        <f t="shared" si="887"/>
        <v>EXP00331</v>
      </c>
      <c r="B9836" s="4" t="str">
        <f t="shared" si="884"/>
        <v>26667932</v>
      </c>
      <c r="C9836" s="4" t="str">
        <f t="shared" si="885"/>
        <v>GSE74685</v>
      </c>
      <c r="D9836" s="1" t="s">
        <v>447</v>
      </c>
      <c r="E9836" t="s">
        <v>448</v>
      </c>
      <c r="F9836" s="1">
        <v>2</v>
      </c>
      <c r="G9836" s="1" t="s">
        <v>450</v>
      </c>
      <c r="H9836" s="4" t="str">
        <f>HYPERLINK("https://www.ncbi.nlm.nih.gov/geo/query/acc.cgi?acc=GSM1616663","GSM1616663")</f>
        <v>GSM1616663</v>
      </c>
      <c r="I9836" t="s">
        <v>161</v>
      </c>
      <c r="J9836" t="s">
        <v>193</v>
      </c>
      <c r="K9836" t="s">
        <v>19</v>
      </c>
      <c r="L9836" t="s">
        <v>162</v>
      </c>
      <c r="M9836" t="s">
        <v>44</v>
      </c>
      <c r="N9836" t="s">
        <v>22</v>
      </c>
    </row>
    <row r="9837" spans="1:14">
      <c r="A9837" s="4" t="str">
        <f t="shared" si="887"/>
        <v>EXP00331</v>
      </c>
      <c r="B9837" s="4" t="str">
        <f t="shared" si="884"/>
        <v>26667932</v>
      </c>
      <c r="C9837" s="4" t="str">
        <f t="shared" si="885"/>
        <v>GSE74685</v>
      </c>
      <c r="D9837" s="1" t="s">
        <v>447</v>
      </c>
      <c r="E9837" t="s">
        <v>448</v>
      </c>
      <c r="F9837" s="1">
        <v>2</v>
      </c>
      <c r="G9837" s="1" t="s">
        <v>450</v>
      </c>
      <c r="H9837" s="4" t="str">
        <f>HYPERLINK("https://www.ncbi.nlm.nih.gov/geo/query/acc.cgi?acc=GSM1616667","GSM1616667")</f>
        <v>GSM1616667</v>
      </c>
      <c r="I9837" t="s">
        <v>161</v>
      </c>
      <c r="J9837" t="s">
        <v>193</v>
      </c>
      <c r="K9837" t="s">
        <v>19</v>
      </c>
      <c r="L9837" t="s">
        <v>162</v>
      </c>
      <c r="M9837" t="s">
        <v>44</v>
      </c>
      <c r="N9837" t="s">
        <v>22</v>
      </c>
    </row>
    <row r="9838" spans="1:14">
      <c r="A9838" s="4" t="str">
        <f t="shared" si="887"/>
        <v>EXP00331</v>
      </c>
      <c r="B9838" s="4" t="str">
        <f t="shared" si="884"/>
        <v>26667932</v>
      </c>
      <c r="C9838" s="4" t="str">
        <f t="shared" si="885"/>
        <v>GSE74685</v>
      </c>
      <c r="D9838" s="1" t="s">
        <v>447</v>
      </c>
      <c r="E9838" t="s">
        <v>448</v>
      </c>
      <c r="F9838" s="1">
        <v>2</v>
      </c>
      <c r="G9838" s="1" t="s">
        <v>450</v>
      </c>
      <c r="H9838" s="4" t="str">
        <f>HYPERLINK("https://www.ncbi.nlm.nih.gov/geo/query/acc.cgi?acc=GSM1616671","GSM1616671")</f>
        <v>GSM1616671</v>
      </c>
      <c r="I9838" t="s">
        <v>161</v>
      </c>
      <c r="J9838" t="s">
        <v>193</v>
      </c>
      <c r="K9838" t="s">
        <v>19</v>
      </c>
      <c r="L9838" t="s">
        <v>162</v>
      </c>
      <c r="M9838" t="s">
        <v>44</v>
      </c>
      <c r="N9838" t="s">
        <v>22</v>
      </c>
    </row>
    <row r="9839" spans="1:14">
      <c r="A9839" s="4" t="str">
        <f t="shared" si="887"/>
        <v>EXP00331</v>
      </c>
      <c r="B9839" s="4" t="str">
        <f t="shared" si="884"/>
        <v>26667932</v>
      </c>
      <c r="C9839" s="4" t="str">
        <f t="shared" si="885"/>
        <v>GSE74685</v>
      </c>
      <c r="D9839" s="1" t="s">
        <v>447</v>
      </c>
      <c r="E9839" t="s">
        <v>448</v>
      </c>
      <c r="F9839" s="1">
        <v>2</v>
      </c>
      <c r="G9839" s="1" t="s">
        <v>450</v>
      </c>
      <c r="H9839" s="4" t="str">
        <f>HYPERLINK("https://www.ncbi.nlm.nih.gov/geo/query/acc.cgi?acc=GSM1616674","GSM1616674")</f>
        <v>GSM1616674</v>
      </c>
      <c r="I9839" t="s">
        <v>161</v>
      </c>
      <c r="J9839" t="s">
        <v>193</v>
      </c>
      <c r="K9839" t="s">
        <v>19</v>
      </c>
      <c r="L9839" t="s">
        <v>162</v>
      </c>
      <c r="M9839" t="s">
        <v>44</v>
      </c>
      <c r="N9839" t="s">
        <v>22</v>
      </c>
    </row>
    <row r="9840" spans="1:14">
      <c r="A9840" s="4" t="str">
        <f t="shared" si="887"/>
        <v>EXP00331</v>
      </c>
      <c r="B9840" s="4" t="str">
        <f t="shared" si="884"/>
        <v>26667932</v>
      </c>
      <c r="C9840" s="4" t="str">
        <f t="shared" si="885"/>
        <v>GSE74685</v>
      </c>
      <c r="D9840" s="1" t="s">
        <v>447</v>
      </c>
      <c r="E9840" t="s">
        <v>448</v>
      </c>
      <c r="F9840" s="1">
        <v>2</v>
      </c>
      <c r="G9840" s="1" t="s">
        <v>450</v>
      </c>
      <c r="H9840" s="4" t="str">
        <f>HYPERLINK("https://www.ncbi.nlm.nih.gov/geo/query/acc.cgi?acc=GSM1616675","GSM1616675")</f>
        <v>GSM1616675</v>
      </c>
      <c r="I9840" t="s">
        <v>161</v>
      </c>
      <c r="J9840" t="s">
        <v>193</v>
      </c>
      <c r="K9840" t="s">
        <v>19</v>
      </c>
      <c r="L9840" t="s">
        <v>162</v>
      </c>
      <c r="M9840" t="s">
        <v>44</v>
      </c>
      <c r="N9840" t="s">
        <v>22</v>
      </c>
    </row>
    <row r="9841" spans="1:14">
      <c r="A9841" s="4" t="str">
        <f t="shared" si="887"/>
        <v>EXP00331</v>
      </c>
      <c r="B9841" s="4" t="str">
        <f t="shared" si="884"/>
        <v>26667932</v>
      </c>
      <c r="C9841" s="4" t="str">
        <f t="shared" si="885"/>
        <v>GSE74685</v>
      </c>
      <c r="D9841" s="1" t="s">
        <v>447</v>
      </c>
      <c r="E9841" t="s">
        <v>448</v>
      </c>
      <c r="F9841" s="1">
        <v>2</v>
      </c>
      <c r="G9841" s="1" t="s">
        <v>450</v>
      </c>
      <c r="H9841" s="4" t="str">
        <f>HYPERLINK("https://www.ncbi.nlm.nih.gov/geo/query/acc.cgi?acc=GSM1616677","GSM1616677")</f>
        <v>GSM1616677</v>
      </c>
      <c r="I9841" t="s">
        <v>161</v>
      </c>
      <c r="J9841" t="s">
        <v>193</v>
      </c>
      <c r="K9841" t="s">
        <v>19</v>
      </c>
      <c r="L9841" t="s">
        <v>162</v>
      </c>
      <c r="M9841" t="s">
        <v>44</v>
      </c>
      <c r="N9841" t="s">
        <v>22</v>
      </c>
    </row>
    <row r="9842" spans="1:14">
      <c r="A9842" s="4" t="str">
        <f t="shared" si="887"/>
        <v>EXP00331</v>
      </c>
      <c r="B9842" s="4" t="str">
        <f t="shared" si="884"/>
        <v>26667932</v>
      </c>
      <c r="C9842" s="4" t="str">
        <f t="shared" si="885"/>
        <v>GSE74685</v>
      </c>
      <c r="D9842" s="1" t="s">
        <v>447</v>
      </c>
      <c r="E9842" t="s">
        <v>448</v>
      </c>
      <c r="F9842" s="1">
        <v>2</v>
      </c>
      <c r="G9842" s="1" t="s">
        <v>450</v>
      </c>
      <c r="H9842" s="4" t="str">
        <f>HYPERLINK("https://www.ncbi.nlm.nih.gov/geo/query/acc.cgi?acc=GSM1930080","GSM1930080")</f>
        <v>GSM1930080</v>
      </c>
      <c r="I9842" t="s">
        <v>161</v>
      </c>
      <c r="J9842" t="s">
        <v>193</v>
      </c>
      <c r="K9842" t="s">
        <v>19</v>
      </c>
      <c r="L9842" t="s">
        <v>162</v>
      </c>
      <c r="M9842" t="s">
        <v>44</v>
      </c>
      <c r="N9842" t="s">
        <v>22</v>
      </c>
    </row>
    <row r="9843" spans="1:14">
      <c r="A9843" s="4" t="str">
        <f t="shared" si="887"/>
        <v>EXP00331</v>
      </c>
      <c r="B9843" s="4" t="str">
        <f t="shared" si="884"/>
        <v>26667932</v>
      </c>
      <c r="C9843" s="4" t="str">
        <f t="shared" si="885"/>
        <v>GSE74685</v>
      </c>
      <c r="D9843" s="1" t="s">
        <v>447</v>
      </c>
      <c r="E9843" t="s">
        <v>448</v>
      </c>
      <c r="F9843" s="1">
        <v>2</v>
      </c>
      <c r="G9843" s="1" t="s">
        <v>450</v>
      </c>
      <c r="H9843" s="4" t="str">
        <f>HYPERLINK("https://www.ncbi.nlm.nih.gov/geo/query/acc.cgi?acc=GSM1930136","GSM1930136")</f>
        <v>GSM1930136</v>
      </c>
      <c r="I9843" t="s">
        <v>161</v>
      </c>
      <c r="J9843" t="s">
        <v>193</v>
      </c>
      <c r="K9843" t="s">
        <v>19</v>
      </c>
      <c r="L9843" t="s">
        <v>162</v>
      </c>
      <c r="M9843" t="s">
        <v>44</v>
      </c>
      <c r="N9843" t="s">
        <v>22</v>
      </c>
    </row>
    <row r="9844" spans="1:14">
      <c r="A9844" s="4" t="str">
        <f t="shared" si="887"/>
        <v>EXP00331</v>
      </c>
      <c r="B9844" s="4" t="str">
        <f t="shared" si="884"/>
        <v>26667932</v>
      </c>
      <c r="C9844" s="4" t="str">
        <f t="shared" si="885"/>
        <v>GSE74685</v>
      </c>
      <c r="D9844" s="1" t="s">
        <v>447</v>
      </c>
      <c r="E9844" t="s">
        <v>448</v>
      </c>
      <c r="F9844" s="1">
        <v>2</v>
      </c>
      <c r="G9844" s="1" t="s">
        <v>450</v>
      </c>
      <c r="H9844" s="4" t="str">
        <f>HYPERLINK("https://www.ncbi.nlm.nih.gov/geo/query/acc.cgi?acc=GSM1930141","GSM1930141")</f>
        <v>GSM1930141</v>
      </c>
      <c r="I9844" t="s">
        <v>161</v>
      </c>
      <c r="J9844" t="s">
        <v>193</v>
      </c>
      <c r="K9844" t="s">
        <v>19</v>
      </c>
      <c r="L9844" t="s">
        <v>162</v>
      </c>
      <c r="M9844" t="s">
        <v>44</v>
      </c>
      <c r="N9844" t="s">
        <v>22</v>
      </c>
    </row>
    <row r="9845" spans="1:14">
      <c r="A9845" s="4" t="str">
        <f t="shared" si="887"/>
        <v>EXP00331</v>
      </c>
      <c r="B9845" s="4" t="str">
        <f t="shared" si="884"/>
        <v>26667932</v>
      </c>
      <c r="C9845" s="4" t="str">
        <f t="shared" si="885"/>
        <v>GSE74685</v>
      </c>
      <c r="D9845" s="1" t="s">
        <v>447</v>
      </c>
      <c r="E9845" t="s">
        <v>448</v>
      </c>
      <c r="F9845" s="1">
        <v>2</v>
      </c>
      <c r="G9845" s="1" t="s">
        <v>450</v>
      </c>
      <c r="H9845" s="4" t="str">
        <f>HYPERLINK("https://www.ncbi.nlm.nih.gov/geo/query/acc.cgi?acc=GSM1930142","GSM1930142")</f>
        <v>GSM1930142</v>
      </c>
      <c r="I9845" t="s">
        <v>161</v>
      </c>
      <c r="J9845" t="s">
        <v>193</v>
      </c>
      <c r="K9845" t="s">
        <v>19</v>
      </c>
      <c r="L9845" t="s">
        <v>162</v>
      </c>
      <c r="M9845" t="s">
        <v>44</v>
      </c>
      <c r="N9845" t="s">
        <v>22</v>
      </c>
    </row>
    <row r="9846" spans="1:14">
      <c r="A9846" s="4" t="str">
        <f t="shared" si="887"/>
        <v>EXP00331</v>
      </c>
      <c r="B9846" s="4" t="str">
        <f t="shared" si="884"/>
        <v>26667932</v>
      </c>
      <c r="C9846" s="4" t="str">
        <f t="shared" si="885"/>
        <v>GSE74685</v>
      </c>
      <c r="D9846" s="1" t="s">
        <v>447</v>
      </c>
      <c r="E9846" t="s">
        <v>448</v>
      </c>
      <c r="F9846" s="1">
        <v>2</v>
      </c>
      <c r="G9846" s="1" t="s">
        <v>450</v>
      </c>
      <c r="H9846" s="4" t="str">
        <f>HYPERLINK("https://www.ncbi.nlm.nih.gov/geo/query/acc.cgi?acc=GSM1930150","GSM1930150")</f>
        <v>GSM1930150</v>
      </c>
      <c r="I9846" t="s">
        <v>161</v>
      </c>
      <c r="J9846" t="s">
        <v>193</v>
      </c>
      <c r="K9846" t="s">
        <v>19</v>
      </c>
      <c r="L9846" t="s">
        <v>162</v>
      </c>
      <c r="M9846" t="s">
        <v>44</v>
      </c>
      <c r="N9846" t="s">
        <v>22</v>
      </c>
    </row>
    <row r="9847" spans="1:14">
      <c r="A9847" s="4" t="str">
        <f t="shared" si="887"/>
        <v>EXP00331</v>
      </c>
      <c r="B9847" s="4" t="str">
        <f t="shared" si="884"/>
        <v>26667932</v>
      </c>
      <c r="C9847" s="4" t="str">
        <f t="shared" si="885"/>
        <v>GSE74685</v>
      </c>
      <c r="D9847" s="1" t="s">
        <v>447</v>
      </c>
      <c r="E9847" t="s">
        <v>448</v>
      </c>
      <c r="F9847" s="1">
        <v>2</v>
      </c>
      <c r="G9847" s="1" t="s">
        <v>450</v>
      </c>
      <c r="H9847" s="4" t="str">
        <f>HYPERLINK("https://www.ncbi.nlm.nih.gov/geo/query/acc.cgi?acc=GSM1930155","GSM1930155")</f>
        <v>GSM1930155</v>
      </c>
      <c r="I9847" t="s">
        <v>161</v>
      </c>
      <c r="J9847" t="s">
        <v>193</v>
      </c>
      <c r="K9847" t="s">
        <v>19</v>
      </c>
      <c r="L9847" t="s">
        <v>162</v>
      </c>
      <c r="M9847" t="s">
        <v>44</v>
      </c>
      <c r="N9847" t="s">
        <v>22</v>
      </c>
    </row>
    <row r="9848" spans="1:14">
      <c r="A9848" s="4" t="str">
        <f t="shared" ref="A9848:A9873" si="888">HYPERLINK("http://hcmdb.i-sanger.com/experiment/details/experiment_id/EXP00332","EXP00332")</f>
        <v>EXP00332</v>
      </c>
      <c r="B9848" s="4" t="str">
        <f t="shared" si="884"/>
        <v>26667932</v>
      </c>
      <c r="C9848" s="4" t="str">
        <f t="shared" si="885"/>
        <v>GSE74685</v>
      </c>
      <c r="D9848" s="1" t="s">
        <v>447</v>
      </c>
      <c r="E9848" t="s">
        <v>448</v>
      </c>
      <c r="F9848" s="1">
        <v>1</v>
      </c>
      <c r="G9848" s="1" t="s">
        <v>455</v>
      </c>
      <c r="H9848" s="4" t="str">
        <f>HYPERLINK("https://www.ncbi.nlm.nih.gov/geo/query/acc.cgi?acc=GSM1930111","GSM1930111")</f>
        <v>GSM1930111</v>
      </c>
      <c r="I9848" t="s">
        <v>161</v>
      </c>
      <c r="J9848" t="s">
        <v>193</v>
      </c>
      <c r="K9848" t="s">
        <v>19</v>
      </c>
      <c r="L9848" t="s">
        <v>162</v>
      </c>
      <c r="M9848" t="s">
        <v>34</v>
      </c>
      <c r="N9848" t="s">
        <v>22</v>
      </c>
    </row>
    <row r="9849" spans="1:14">
      <c r="A9849" s="4" t="str">
        <f t="shared" si="888"/>
        <v>EXP00332</v>
      </c>
      <c r="B9849" s="4" t="str">
        <f t="shared" si="884"/>
        <v>26667932</v>
      </c>
      <c r="C9849" s="4" t="str">
        <f t="shared" si="885"/>
        <v>GSE74685</v>
      </c>
      <c r="D9849" s="1" t="s">
        <v>447</v>
      </c>
      <c r="E9849" t="s">
        <v>448</v>
      </c>
      <c r="F9849" s="1">
        <v>1</v>
      </c>
      <c r="G9849" s="1" t="s">
        <v>455</v>
      </c>
      <c r="H9849" s="4" t="str">
        <f>HYPERLINK("https://www.ncbi.nlm.nih.gov/geo/query/acc.cgi?acc=GSM1930112","GSM1930112")</f>
        <v>GSM1930112</v>
      </c>
      <c r="I9849" t="s">
        <v>161</v>
      </c>
      <c r="J9849" t="s">
        <v>193</v>
      </c>
      <c r="K9849" t="s">
        <v>19</v>
      </c>
      <c r="L9849" t="s">
        <v>162</v>
      </c>
      <c r="M9849" t="s">
        <v>34</v>
      </c>
      <c r="N9849" t="s">
        <v>22</v>
      </c>
    </row>
    <row r="9850" spans="1:14">
      <c r="A9850" s="4" t="str">
        <f t="shared" si="888"/>
        <v>EXP00332</v>
      </c>
      <c r="B9850" s="4" t="str">
        <f t="shared" si="884"/>
        <v>26667932</v>
      </c>
      <c r="C9850" s="4" t="str">
        <f t="shared" si="885"/>
        <v>GSE74685</v>
      </c>
      <c r="D9850" s="1" t="s">
        <v>447</v>
      </c>
      <c r="E9850" t="s">
        <v>448</v>
      </c>
      <c r="F9850" s="1">
        <v>1</v>
      </c>
      <c r="G9850" s="1" t="s">
        <v>455</v>
      </c>
      <c r="H9850" s="4" t="str">
        <f>HYPERLINK("https://www.ncbi.nlm.nih.gov/geo/query/acc.cgi?acc=GSM1930115","GSM1930115")</f>
        <v>GSM1930115</v>
      </c>
      <c r="I9850" t="s">
        <v>161</v>
      </c>
      <c r="J9850" t="s">
        <v>193</v>
      </c>
      <c r="K9850" t="s">
        <v>19</v>
      </c>
      <c r="L9850" t="s">
        <v>162</v>
      </c>
      <c r="M9850" t="s">
        <v>34</v>
      </c>
      <c r="N9850" t="s">
        <v>22</v>
      </c>
    </row>
    <row r="9851" spans="1:14">
      <c r="A9851" s="4" t="str">
        <f t="shared" si="888"/>
        <v>EXP00332</v>
      </c>
      <c r="B9851" s="4" t="str">
        <f t="shared" si="884"/>
        <v>26667932</v>
      </c>
      <c r="C9851" s="4" t="str">
        <f t="shared" si="885"/>
        <v>GSE74685</v>
      </c>
      <c r="D9851" s="1" t="s">
        <v>447</v>
      </c>
      <c r="E9851" t="s">
        <v>448</v>
      </c>
      <c r="F9851" s="1">
        <v>1</v>
      </c>
      <c r="G9851" s="1" t="s">
        <v>455</v>
      </c>
      <c r="H9851" s="4" t="str">
        <f>HYPERLINK("https://www.ncbi.nlm.nih.gov/geo/query/acc.cgi?acc=GSM1930134","GSM1930134")</f>
        <v>GSM1930134</v>
      </c>
      <c r="I9851" t="s">
        <v>161</v>
      </c>
      <c r="J9851" t="s">
        <v>193</v>
      </c>
      <c r="K9851" t="s">
        <v>19</v>
      </c>
      <c r="L9851" t="s">
        <v>162</v>
      </c>
      <c r="M9851" t="s">
        <v>34</v>
      </c>
      <c r="N9851" t="s">
        <v>22</v>
      </c>
    </row>
    <row r="9852" spans="1:14">
      <c r="A9852" s="4" t="str">
        <f t="shared" si="888"/>
        <v>EXP00332</v>
      </c>
      <c r="B9852" s="4" t="str">
        <f t="shared" si="884"/>
        <v>26667932</v>
      </c>
      <c r="C9852" s="4" t="str">
        <f t="shared" si="885"/>
        <v>GSE74685</v>
      </c>
      <c r="D9852" s="1" t="s">
        <v>447</v>
      </c>
      <c r="E9852" t="s">
        <v>448</v>
      </c>
      <c r="F9852" s="1">
        <v>2</v>
      </c>
      <c r="G9852" s="1" t="s">
        <v>451</v>
      </c>
      <c r="H9852" s="4" t="str">
        <f>HYPERLINK("https://www.ncbi.nlm.nih.gov/geo/query/acc.cgi?acc=GSM1616617","GSM1616617")</f>
        <v>GSM1616617</v>
      </c>
      <c r="I9852" t="s">
        <v>161</v>
      </c>
      <c r="J9852" t="s">
        <v>193</v>
      </c>
      <c r="K9852" t="s">
        <v>19</v>
      </c>
      <c r="L9852" t="s">
        <v>162</v>
      </c>
      <c r="M9852" t="s">
        <v>41</v>
      </c>
      <c r="N9852" t="s">
        <v>22</v>
      </c>
    </row>
    <row r="9853" spans="1:14">
      <c r="A9853" s="4" t="str">
        <f t="shared" si="888"/>
        <v>EXP00332</v>
      </c>
      <c r="B9853" s="4" t="str">
        <f t="shared" si="884"/>
        <v>26667932</v>
      </c>
      <c r="C9853" s="4" t="str">
        <f t="shared" si="885"/>
        <v>GSE74685</v>
      </c>
      <c r="D9853" s="1" t="s">
        <v>447</v>
      </c>
      <c r="E9853" t="s">
        <v>448</v>
      </c>
      <c r="F9853" s="1">
        <v>2</v>
      </c>
      <c r="G9853" s="1" t="s">
        <v>451</v>
      </c>
      <c r="H9853" s="4" t="str">
        <f>HYPERLINK("https://www.ncbi.nlm.nih.gov/geo/query/acc.cgi?acc=GSM1616637","GSM1616637")</f>
        <v>GSM1616637</v>
      </c>
      <c r="I9853" t="s">
        <v>161</v>
      </c>
      <c r="J9853" t="s">
        <v>193</v>
      </c>
      <c r="K9853" t="s">
        <v>19</v>
      </c>
      <c r="L9853" t="s">
        <v>162</v>
      </c>
      <c r="M9853" t="s">
        <v>41</v>
      </c>
      <c r="N9853" t="s">
        <v>22</v>
      </c>
    </row>
    <row r="9854" spans="1:14">
      <c r="A9854" s="4" t="str">
        <f t="shared" si="888"/>
        <v>EXP00332</v>
      </c>
      <c r="B9854" s="4" t="str">
        <f t="shared" si="884"/>
        <v>26667932</v>
      </c>
      <c r="C9854" s="4" t="str">
        <f t="shared" si="885"/>
        <v>GSE74685</v>
      </c>
      <c r="D9854" s="1" t="s">
        <v>447</v>
      </c>
      <c r="E9854" t="s">
        <v>448</v>
      </c>
      <c r="F9854" s="1">
        <v>2</v>
      </c>
      <c r="G9854" s="1" t="s">
        <v>451</v>
      </c>
      <c r="H9854" s="4" t="str">
        <f>HYPERLINK("https://www.ncbi.nlm.nih.gov/geo/query/acc.cgi?acc=GSM1616646","GSM1616646")</f>
        <v>GSM1616646</v>
      </c>
      <c r="I9854" t="s">
        <v>161</v>
      </c>
      <c r="J9854" t="s">
        <v>193</v>
      </c>
      <c r="K9854" t="s">
        <v>19</v>
      </c>
      <c r="L9854" t="s">
        <v>162</v>
      </c>
      <c r="M9854" t="s">
        <v>41</v>
      </c>
      <c r="N9854" t="s">
        <v>22</v>
      </c>
    </row>
    <row r="9855" spans="1:14">
      <c r="A9855" s="4" t="str">
        <f t="shared" si="888"/>
        <v>EXP00332</v>
      </c>
      <c r="B9855" s="4" t="str">
        <f t="shared" si="884"/>
        <v>26667932</v>
      </c>
      <c r="C9855" s="4" t="str">
        <f t="shared" si="885"/>
        <v>GSE74685</v>
      </c>
      <c r="D9855" s="1" t="s">
        <v>447</v>
      </c>
      <c r="E9855" t="s">
        <v>448</v>
      </c>
      <c r="F9855" s="1">
        <v>2</v>
      </c>
      <c r="G9855" s="1" t="s">
        <v>451</v>
      </c>
      <c r="H9855" s="4" t="str">
        <f>HYPERLINK("https://www.ncbi.nlm.nih.gov/geo/query/acc.cgi?acc=GSM1616660","GSM1616660")</f>
        <v>GSM1616660</v>
      </c>
      <c r="I9855" t="s">
        <v>161</v>
      </c>
      <c r="J9855" t="s">
        <v>193</v>
      </c>
      <c r="K9855" t="s">
        <v>19</v>
      </c>
      <c r="L9855" t="s">
        <v>162</v>
      </c>
      <c r="M9855" t="s">
        <v>41</v>
      </c>
      <c r="N9855" t="s">
        <v>22</v>
      </c>
    </row>
    <row r="9856" spans="1:14">
      <c r="A9856" s="4" t="str">
        <f t="shared" si="888"/>
        <v>EXP00332</v>
      </c>
      <c r="B9856" s="4" t="str">
        <f t="shared" si="884"/>
        <v>26667932</v>
      </c>
      <c r="C9856" s="4" t="str">
        <f t="shared" si="885"/>
        <v>GSE74685</v>
      </c>
      <c r="D9856" s="1" t="s">
        <v>447</v>
      </c>
      <c r="E9856" t="s">
        <v>448</v>
      </c>
      <c r="F9856" s="1">
        <v>2</v>
      </c>
      <c r="G9856" s="1" t="s">
        <v>451</v>
      </c>
      <c r="H9856" s="4" t="str">
        <f>HYPERLINK("https://www.ncbi.nlm.nih.gov/geo/query/acc.cgi?acc=GSM1616666","GSM1616666")</f>
        <v>GSM1616666</v>
      </c>
      <c r="I9856" t="s">
        <v>161</v>
      </c>
      <c r="J9856" t="s">
        <v>193</v>
      </c>
      <c r="K9856" t="s">
        <v>19</v>
      </c>
      <c r="L9856" t="s">
        <v>162</v>
      </c>
      <c r="M9856" t="s">
        <v>41</v>
      </c>
      <c r="N9856" t="s">
        <v>22</v>
      </c>
    </row>
    <row r="9857" spans="1:14">
      <c r="A9857" s="4" t="str">
        <f t="shared" si="888"/>
        <v>EXP00332</v>
      </c>
      <c r="B9857" s="4" t="str">
        <f t="shared" ref="B9857:B9920" si="889">HYPERLINK("https://www.ncbi.nlm.nih.gov/pubmed/26667932","26667932")</f>
        <v>26667932</v>
      </c>
      <c r="C9857" s="4" t="str">
        <f t="shared" ref="C9857:C9920" si="890">HYPERLINK("https://www.ncbi.nlm.nih.gov/geo/query/acc.cgi?acc=GSE74685","GSE74685")</f>
        <v>GSE74685</v>
      </c>
      <c r="D9857" s="1" t="s">
        <v>447</v>
      </c>
      <c r="E9857" t="s">
        <v>448</v>
      </c>
      <c r="F9857" s="1">
        <v>2</v>
      </c>
      <c r="G9857" s="1" t="s">
        <v>451</v>
      </c>
      <c r="H9857" s="4" t="str">
        <f>HYPERLINK("https://www.ncbi.nlm.nih.gov/geo/query/acc.cgi?acc=GSM1616668","GSM1616668")</f>
        <v>GSM1616668</v>
      </c>
      <c r="I9857" t="s">
        <v>161</v>
      </c>
      <c r="J9857" t="s">
        <v>193</v>
      </c>
      <c r="K9857" t="s">
        <v>19</v>
      </c>
      <c r="L9857" t="s">
        <v>162</v>
      </c>
      <c r="M9857" t="s">
        <v>41</v>
      </c>
      <c r="N9857" t="s">
        <v>22</v>
      </c>
    </row>
    <row r="9858" spans="1:14">
      <c r="A9858" s="4" t="str">
        <f t="shared" si="888"/>
        <v>EXP00332</v>
      </c>
      <c r="B9858" s="4" t="str">
        <f t="shared" si="889"/>
        <v>26667932</v>
      </c>
      <c r="C9858" s="4" t="str">
        <f t="shared" si="890"/>
        <v>GSE74685</v>
      </c>
      <c r="D9858" s="1" t="s">
        <v>447</v>
      </c>
      <c r="E9858" t="s">
        <v>448</v>
      </c>
      <c r="F9858" s="1">
        <v>2</v>
      </c>
      <c r="G9858" s="1" t="s">
        <v>451</v>
      </c>
      <c r="H9858" s="4" t="str">
        <f>HYPERLINK("https://www.ncbi.nlm.nih.gov/geo/query/acc.cgi?acc=GSM1616673","GSM1616673")</f>
        <v>GSM1616673</v>
      </c>
      <c r="I9858" t="s">
        <v>161</v>
      </c>
      <c r="J9858" t="s">
        <v>193</v>
      </c>
      <c r="K9858" t="s">
        <v>19</v>
      </c>
      <c r="L9858" t="s">
        <v>162</v>
      </c>
      <c r="M9858" t="s">
        <v>41</v>
      </c>
      <c r="N9858" t="s">
        <v>22</v>
      </c>
    </row>
    <row r="9859" spans="1:14">
      <c r="A9859" s="4" t="str">
        <f t="shared" si="888"/>
        <v>EXP00332</v>
      </c>
      <c r="B9859" s="4" t="str">
        <f t="shared" si="889"/>
        <v>26667932</v>
      </c>
      <c r="C9859" s="4" t="str">
        <f t="shared" si="890"/>
        <v>GSE74685</v>
      </c>
      <c r="D9859" s="1" t="s">
        <v>447</v>
      </c>
      <c r="E9859" t="s">
        <v>448</v>
      </c>
      <c r="F9859" s="1">
        <v>2</v>
      </c>
      <c r="G9859" s="1" t="s">
        <v>451</v>
      </c>
      <c r="H9859" s="4" t="str">
        <f>HYPERLINK("https://www.ncbi.nlm.nih.gov/geo/query/acc.cgi?acc=GSM1930066","GSM1930066")</f>
        <v>GSM1930066</v>
      </c>
      <c r="I9859" t="s">
        <v>161</v>
      </c>
      <c r="J9859" t="s">
        <v>193</v>
      </c>
      <c r="K9859" t="s">
        <v>19</v>
      </c>
      <c r="L9859" t="s">
        <v>162</v>
      </c>
      <c r="M9859" t="s">
        <v>41</v>
      </c>
      <c r="N9859" t="s">
        <v>22</v>
      </c>
    </row>
    <row r="9860" spans="1:14">
      <c r="A9860" s="4" t="str">
        <f t="shared" si="888"/>
        <v>EXP00332</v>
      </c>
      <c r="B9860" s="4" t="str">
        <f t="shared" si="889"/>
        <v>26667932</v>
      </c>
      <c r="C9860" s="4" t="str">
        <f t="shared" si="890"/>
        <v>GSE74685</v>
      </c>
      <c r="D9860" s="1" t="s">
        <v>447</v>
      </c>
      <c r="E9860" t="s">
        <v>448</v>
      </c>
      <c r="F9860" s="1">
        <v>2</v>
      </c>
      <c r="G9860" s="1" t="s">
        <v>451</v>
      </c>
      <c r="H9860" s="4" t="str">
        <f>HYPERLINK("https://www.ncbi.nlm.nih.gov/geo/query/acc.cgi?acc=GSM1930069","GSM1930069")</f>
        <v>GSM1930069</v>
      </c>
      <c r="I9860" t="s">
        <v>161</v>
      </c>
      <c r="J9860" t="s">
        <v>193</v>
      </c>
      <c r="K9860" t="s">
        <v>19</v>
      </c>
      <c r="L9860" t="s">
        <v>162</v>
      </c>
      <c r="M9860" t="s">
        <v>41</v>
      </c>
      <c r="N9860" t="s">
        <v>22</v>
      </c>
    </row>
    <row r="9861" spans="1:14">
      <c r="A9861" s="4" t="str">
        <f t="shared" si="888"/>
        <v>EXP00332</v>
      </c>
      <c r="B9861" s="4" t="str">
        <f t="shared" si="889"/>
        <v>26667932</v>
      </c>
      <c r="C9861" s="4" t="str">
        <f t="shared" si="890"/>
        <v>GSE74685</v>
      </c>
      <c r="D9861" s="1" t="s">
        <v>447</v>
      </c>
      <c r="E9861" t="s">
        <v>448</v>
      </c>
      <c r="F9861" s="1">
        <v>2</v>
      </c>
      <c r="G9861" s="1" t="s">
        <v>451</v>
      </c>
      <c r="H9861" s="4" t="str">
        <f>HYPERLINK("https://www.ncbi.nlm.nih.gov/geo/query/acc.cgi?acc=GSM1930075","GSM1930075")</f>
        <v>GSM1930075</v>
      </c>
      <c r="I9861" t="s">
        <v>161</v>
      </c>
      <c r="J9861" t="s">
        <v>193</v>
      </c>
      <c r="K9861" t="s">
        <v>19</v>
      </c>
      <c r="L9861" t="s">
        <v>162</v>
      </c>
      <c r="M9861" t="s">
        <v>41</v>
      </c>
      <c r="N9861" t="s">
        <v>22</v>
      </c>
    </row>
    <row r="9862" spans="1:14">
      <c r="A9862" s="4" t="str">
        <f t="shared" si="888"/>
        <v>EXP00332</v>
      </c>
      <c r="B9862" s="4" t="str">
        <f t="shared" si="889"/>
        <v>26667932</v>
      </c>
      <c r="C9862" s="4" t="str">
        <f t="shared" si="890"/>
        <v>GSE74685</v>
      </c>
      <c r="D9862" s="1" t="s">
        <v>447</v>
      </c>
      <c r="E9862" t="s">
        <v>448</v>
      </c>
      <c r="F9862" s="1">
        <v>2</v>
      </c>
      <c r="G9862" s="1" t="s">
        <v>451</v>
      </c>
      <c r="H9862" s="4" t="str">
        <f>HYPERLINK("https://www.ncbi.nlm.nih.gov/geo/query/acc.cgi?acc=GSM1930076","GSM1930076")</f>
        <v>GSM1930076</v>
      </c>
      <c r="I9862" t="s">
        <v>161</v>
      </c>
      <c r="J9862" t="s">
        <v>193</v>
      </c>
      <c r="K9862" t="s">
        <v>19</v>
      </c>
      <c r="L9862" t="s">
        <v>162</v>
      </c>
      <c r="M9862" t="s">
        <v>41</v>
      </c>
      <c r="N9862" t="s">
        <v>22</v>
      </c>
    </row>
    <row r="9863" spans="1:14">
      <c r="A9863" s="4" t="str">
        <f t="shared" si="888"/>
        <v>EXP00332</v>
      </c>
      <c r="B9863" s="4" t="str">
        <f t="shared" si="889"/>
        <v>26667932</v>
      </c>
      <c r="C9863" s="4" t="str">
        <f t="shared" si="890"/>
        <v>GSE74685</v>
      </c>
      <c r="D9863" s="1" t="s">
        <v>447</v>
      </c>
      <c r="E9863" t="s">
        <v>448</v>
      </c>
      <c r="F9863" s="1">
        <v>2</v>
      </c>
      <c r="G9863" s="1" t="s">
        <v>451</v>
      </c>
      <c r="H9863" s="4" t="str">
        <f>HYPERLINK("https://www.ncbi.nlm.nih.gov/geo/query/acc.cgi?acc=GSM1930082","GSM1930082")</f>
        <v>GSM1930082</v>
      </c>
      <c r="I9863" t="s">
        <v>161</v>
      </c>
      <c r="J9863" t="s">
        <v>193</v>
      </c>
      <c r="K9863" t="s">
        <v>19</v>
      </c>
      <c r="L9863" t="s">
        <v>162</v>
      </c>
      <c r="M9863" t="s">
        <v>41</v>
      </c>
      <c r="N9863" t="s">
        <v>22</v>
      </c>
    </row>
    <row r="9864" spans="1:14">
      <c r="A9864" s="4" t="str">
        <f t="shared" si="888"/>
        <v>EXP00332</v>
      </c>
      <c r="B9864" s="4" t="str">
        <f t="shared" si="889"/>
        <v>26667932</v>
      </c>
      <c r="C9864" s="4" t="str">
        <f t="shared" si="890"/>
        <v>GSE74685</v>
      </c>
      <c r="D9864" s="1" t="s">
        <v>447</v>
      </c>
      <c r="E9864" t="s">
        <v>448</v>
      </c>
      <c r="F9864" s="1">
        <v>2</v>
      </c>
      <c r="G9864" s="1" t="s">
        <v>451</v>
      </c>
      <c r="H9864" s="4" t="str">
        <f>HYPERLINK("https://www.ncbi.nlm.nih.gov/geo/query/acc.cgi?acc=GSM1930084","GSM1930084")</f>
        <v>GSM1930084</v>
      </c>
      <c r="I9864" t="s">
        <v>161</v>
      </c>
      <c r="J9864" t="s">
        <v>193</v>
      </c>
      <c r="K9864" t="s">
        <v>19</v>
      </c>
      <c r="L9864" t="s">
        <v>162</v>
      </c>
      <c r="M9864" t="s">
        <v>41</v>
      </c>
      <c r="N9864" t="s">
        <v>22</v>
      </c>
    </row>
    <row r="9865" spans="1:14">
      <c r="A9865" s="4" t="str">
        <f t="shared" si="888"/>
        <v>EXP00332</v>
      </c>
      <c r="B9865" s="4" t="str">
        <f t="shared" si="889"/>
        <v>26667932</v>
      </c>
      <c r="C9865" s="4" t="str">
        <f t="shared" si="890"/>
        <v>GSE74685</v>
      </c>
      <c r="D9865" s="1" t="s">
        <v>447</v>
      </c>
      <c r="E9865" t="s">
        <v>448</v>
      </c>
      <c r="F9865" s="1">
        <v>2</v>
      </c>
      <c r="G9865" s="1" t="s">
        <v>451</v>
      </c>
      <c r="H9865" s="4" t="str">
        <f>HYPERLINK("https://www.ncbi.nlm.nih.gov/geo/query/acc.cgi?acc=GSM1930101","GSM1930101")</f>
        <v>GSM1930101</v>
      </c>
      <c r="I9865" t="s">
        <v>161</v>
      </c>
      <c r="J9865" t="s">
        <v>193</v>
      </c>
      <c r="K9865" t="s">
        <v>19</v>
      </c>
      <c r="L9865" t="s">
        <v>162</v>
      </c>
      <c r="M9865" t="s">
        <v>41</v>
      </c>
      <c r="N9865" t="s">
        <v>22</v>
      </c>
    </row>
    <row r="9866" spans="1:14">
      <c r="A9866" s="4" t="str">
        <f t="shared" si="888"/>
        <v>EXP00332</v>
      </c>
      <c r="B9866" s="4" t="str">
        <f t="shared" si="889"/>
        <v>26667932</v>
      </c>
      <c r="C9866" s="4" t="str">
        <f t="shared" si="890"/>
        <v>GSE74685</v>
      </c>
      <c r="D9866" s="1" t="s">
        <v>447</v>
      </c>
      <c r="E9866" t="s">
        <v>448</v>
      </c>
      <c r="F9866" s="1">
        <v>2</v>
      </c>
      <c r="G9866" s="1" t="s">
        <v>451</v>
      </c>
      <c r="H9866" s="4" t="str">
        <f>HYPERLINK("https://www.ncbi.nlm.nih.gov/geo/query/acc.cgi?acc=GSM1930107","GSM1930107")</f>
        <v>GSM1930107</v>
      </c>
      <c r="I9866" t="s">
        <v>161</v>
      </c>
      <c r="J9866" t="s">
        <v>193</v>
      </c>
      <c r="K9866" t="s">
        <v>19</v>
      </c>
      <c r="L9866" t="s">
        <v>162</v>
      </c>
      <c r="M9866" t="s">
        <v>41</v>
      </c>
      <c r="N9866" t="s">
        <v>22</v>
      </c>
    </row>
    <row r="9867" spans="1:14">
      <c r="A9867" s="4" t="str">
        <f t="shared" si="888"/>
        <v>EXP00332</v>
      </c>
      <c r="B9867" s="4" t="str">
        <f t="shared" si="889"/>
        <v>26667932</v>
      </c>
      <c r="C9867" s="4" t="str">
        <f t="shared" si="890"/>
        <v>GSE74685</v>
      </c>
      <c r="D9867" s="1" t="s">
        <v>447</v>
      </c>
      <c r="E9867" t="s">
        <v>448</v>
      </c>
      <c r="F9867" s="1">
        <v>2</v>
      </c>
      <c r="G9867" s="1" t="s">
        <v>451</v>
      </c>
      <c r="H9867" s="4" t="str">
        <f>HYPERLINK("https://www.ncbi.nlm.nih.gov/geo/query/acc.cgi?acc=GSM1930108","GSM1930108")</f>
        <v>GSM1930108</v>
      </c>
      <c r="I9867" t="s">
        <v>161</v>
      </c>
      <c r="J9867" t="s">
        <v>193</v>
      </c>
      <c r="K9867" t="s">
        <v>19</v>
      </c>
      <c r="L9867" t="s">
        <v>162</v>
      </c>
      <c r="M9867" t="s">
        <v>41</v>
      </c>
      <c r="N9867" t="s">
        <v>22</v>
      </c>
    </row>
    <row r="9868" spans="1:14">
      <c r="A9868" s="4" t="str">
        <f t="shared" si="888"/>
        <v>EXP00332</v>
      </c>
      <c r="B9868" s="4" t="str">
        <f t="shared" si="889"/>
        <v>26667932</v>
      </c>
      <c r="C9868" s="4" t="str">
        <f t="shared" si="890"/>
        <v>GSE74685</v>
      </c>
      <c r="D9868" s="1" t="s">
        <v>447</v>
      </c>
      <c r="E9868" t="s">
        <v>448</v>
      </c>
      <c r="F9868" s="1">
        <v>2</v>
      </c>
      <c r="G9868" s="1" t="s">
        <v>451</v>
      </c>
      <c r="H9868" s="4" t="str">
        <f>HYPERLINK("https://www.ncbi.nlm.nih.gov/geo/query/acc.cgi?acc=GSM1930122","GSM1930122")</f>
        <v>GSM1930122</v>
      </c>
      <c r="I9868" t="s">
        <v>161</v>
      </c>
      <c r="J9868" t="s">
        <v>193</v>
      </c>
      <c r="K9868" t="s">
        <v>19</v>
      </c>
      <c r="L9868" t="s">
        <v>162</v>
      </c>
      <c r="M9868" t="s">
        <v>41</v>
      </c>
      <c r="N9868" t="s">
        <v>22</v>
      </c>
    </row>
    <row r="9869" spans="1:14">
      <c r="A9869" s="4" t="str">
        <f t="shared" si="888"/>
        <v>EXP00332</v>
      </c>
      <c r="B9869" s="4" t="str">
        <f t="shared" si="889"/>
        <v>26667932</v>
      </c>
      <c r="C9869" s="4" t="str">
        <f t="shared" si="890"/>
        <v>GSE74685</v>
      </c>
      <c r="D9869" s="1" t="s">
        <v>447</v>
      </c>
      <c r="E9869" t="s">
        <v>448</v>
      </c>
      <c r="F9869" s="1">
        <v>2</v>
      </c>
      <c r="G9869" s="1" t="s">
        <v>451</v>
      </c>
      <c r="H9869" s="4" t="str">
        <f>HYPERLINK("https://www.ncbi.nlm.nih.gov/geo/query/acc.cgi?acc=GSM1930133","GSM1930133")</f>
        <v>GSM1930133</v>
      </c>
      <c r="I9869" t="s">
        <v>161</v>
      </c>
      <c r="J9869" t="s">
        <v>193</v>
      </c>
      <c r="K9869" t="s">
        <v>19</v>
      </c>
      <c r="L9869" t="s">
        <v>162</v>
      </c>
      <c r="M9869" t="s">
        <v>41</v>
      </c>
      <c r="N9869" t="s">
        <v>22</v>
      </c>
    </row>
    <row r="9870" spans="1:14">
      <c r="A9870" s="4" t="str">
        <f t="shared" si="888"/>
        <v>EXP00332</v>
      </c>
      <c r="B9870" s="4" t="str">
        <f t="shared" si="889"/>
        <v>26667932</v>
      </c>
      <c r="C9870" s="4" t="str">
        <f t="shared" si="890"/>
        <v>GSE74685</v>
      </c>
      <c r="D9870" s="1" t="s">
        <v>447</v>
      </c>
      <c r="E9870" t="s">
        <v>448</v>
      </c>
      <c r="F9870" s="1">
        <v>2</v>
      </c>
      <c r="G9870" s="1" t="s">
        <v>451</v>
      </c>
      <c r="H9870" s="4" t="str">
        <f>HYPERLINK("https://www.ncbi.nlm.nih.gov/geo/query/acc.cgi?acc=GSM1930135","GSM1930135")</f>
        <v>GSM1930135</v>
      </c>
      <c r="I9870" t="s">
        <v>161</v>
      </c>
      <c r="J9870" t="s">
        <v>193</v>
      </c>
      <c r="K9870" t="s">
        <v>19</v>
      </c>
      <c r="L9870" t="s">
        <v>162</v>
      </c>
      <c r="M9870" t="s">
        <v>41</v>
      </c>
      <c r="N9870" t="s">
        <v>22</v>
      </c>
    </row>
    <row r="9871" spans="1:14">
      <c r="A9871" s="4" t="str">
        <f t="shared" si="888"/>
        <v>EXP00332</v>
      </c>
      <c r="B9871" s="4" t="str">
        <f t="shared" si="889"/>
        <v>26667932</v>
      </c>
      <c r="C9871" s="4" t="str">
        <f t="shared" si="890"/>
        <v>GSE74685</v>
      </c>
      <c r="D9871" s="1" t="s">
        <v>447</v>
      </c>
      <c r="E9871" t="s">
        <v>448</v>
      </c>
      <c r="F9871" s="1">
        <v>2</v>
      </c>
      <c r="G9871" s="1" t="s">
        <v>451</v>
      </c>
      <c r="H9871" s="4" t="str">
        <f>HYPERLINK("https://www.ncbi.nlm.nih.gov/geo/query/acc.cgi?acc=GSM1930137","GSM1930137")</f>
        <v>GSM1930137</v>
      </c>
      <c r="I9871" t="s">
        <v>161</v>
      </c>
      <c r="J9871" t="s">
        <v>193</v>
      </c>
      <c r="K9871" t="s">
        <v>19</v>
      </c>
      <c r="L9871" t="s">
        <v>162</v>
      </c>
      <c r="M9871" t="s">
        <v>41</v>
      </c>
      <c r="N9871" t="s">
        <v>22</v>
      </c>
    </row>
    <row r="9872" spans="1:14">
      <c r="A9872" s="4" t="str">
        <f t="shared" si="888"/>
        <v>EXP00332</v>
      </c>
      <c r="B9872" s="4" t="str">
        <f t="shared" si="889"/>
        <v>26667932</v>
      </c>
      <c r="C9872" s="4" t="str">
        <f t="shared" si="890"/>
        <v>GSE74685</v>
      </c>
      <c r="D9872" s="1" t="s">
        <v>447</v>
      </c>
      <c r="E9872" t="s">
        <v>448</v>
      </c>
      <c r="F9872" s="1">
        <v>2</v>
      </c>
      <c r="G9872" s="1" t="s">
        <v>451</v>
      </c>
      <c r="H9872" s="4" t="str">
        <f>HYPERLINK("https://www.ncbi.nlm.nih.gov/geo/query/acc.cgi?acc=GSM1930143","GSM1930143")</f>
        <v>GSM1930143</v>
      </c>
      <c r="I9872" t="s">
        <v>161</v>
      </c>
      <c r="J9872" t="s">
        <v>193</v>
      </c>
      <c r="K9872" t="s">
        <v>19</v>
      </c>
      <c r="L9872" t="s">
        <v>162</v>
      </c>
      <c r="M9872" t="s">
        <v>41</v>
      </c>
      <c r="N9872" t="s">
        <v>22</v>
      </c>
    </row>
    <row r="9873" spans="1:14">
      <c r="A9873" s="4" t="str">
        <f t="shared" si="888"/>
        <v>EXP00332</v>
      </c>
      <c r="B9873" s="4" t="str">
        <f t="shared" si="889"/>
        <v>26667932</v>
      </c>
      <c r="C9873" s="4" t="str">
        <f t="shared" si="890"/>
        <v>GSE74685</v>
      </c>
      <c r="D9873" s="1" t="s">
        <v>447</v>
      </c>
      <c r="E9873" t="s">
        <v>448</v>
      </c>
      <c r="F9873" s="1">
        <v>2</v>
      </c>
      <c r="G9873" s="1" t="s">
        <v>451</v>
      </c>
      <c r="H9873" s="4" t="str">
        <f>HYPERLINK("https://www.ncbi.nlm.nih.gov/geo/query/acc.cgi?acc=GSM1930153","GSM1930153")</f>
        <v>GSM1930153</v>
      </c>
      <c r="I9873" t="s">
        <v>161</v>
      </c>
      <c r="J9873" t="s">
        <v>193</v>
      </c>
      <c r="K9873" t="s">
        <v>19</v>
      </c>
      <c r="L9873" t="s">
        <v>162</v>
      </c>
      <c r="M9873" t="s">
        <v>41</v>
      </c>
      <c r="N9873" t="s">
        <v>22</v>
      </c>
    </row>
    <row r="9874" spans="1:14">
      <c r="A9874" s="4" t="str">
        <f t="shared" ref="A9874:A9905" si="891">HYPERLINK("http://hcmdb.i-sanger.com/experiment/details/experiment_id/EXP00333","EXP00333")</f>
        <v>EXP00333</v>
      </c>
      <c r="B9874" s="4" t="str">
        <f t="shared" si="889"/>
        <v>26667932</v>
      </c>
      <c r="C9874" s="4" t="str">
        <f t="shared" si="890"/>
        <v>GSE74685</v>
      </c>
      <c r="D9874" s="1" t="s">
        <v>447</v>
      </c>
      <c r="E9874" t="s">
        <v>448</v>
      </c>
      <c r="F9874" s="1">
        <v>1</v>
      </c>
      <c r="G9874" s="1" t="s">
        <v>455</v>
      </c>
      <c r="H9874" s="4" t="str">
        <f>HYPERLINK("https://www.ncbi.nlm.nih.gov/geo/query/acc.cgi?acc=GSM1930111","GSM1930111")</f>
        <v>GSM1930111</v>
      </c>
      <c r="I9874" t="s">
        <v>161</v>
      </c>
      <c r="J9874" t="s">
        <v>193</v>
      </c>
      <c r="K9874" t="s">
        <v>19</v>
      </c>
      <c r="L9874" t="s">
        <v>162</v>
      </c>
      <c r="M9874" t="s">
        <v>34</v>
      </c>
      <c r="N9874" t="s">
        <v>22</v>
      </c>
    </row>
    <row r="9875" spans="1:14">
      <c r="A9875" s="4" t="str">
        <f t="shared" si="891"/>
        <v>EXP00333</v>
      </c>
      <c r="B9875" s="4" t="str">
        <f t="shared" si="889"/>
        <v>26667932</v>
      </c>
      <c r="C9875" s="4" t="str">
        <f t="shared" si="890"/>
        <v>GSE74685</v>
      </c>
      <c r="D9875" s="1" t="s">
        <v>447</v>
      </c>
      <c r="E9875" t="s">
        <v>448</v>
      </c>
      <c r="F9875" s="1">
        <v>1</v>
      </c>
      <c r="G9875" s="1" t="s">
        <v>455</v>
      </c>
      <c r="H9875" s="4" t="str">
        <f>HYPERLINK("https://www.ncbi.nlm.nih.gov/geo/query/acc.cgi?acc=GSM1930112","GSM1930112")</f>
        <v>GSM1930112</v>
      </c>
      <c r="I9875" t="s">
        <v>161</v>
      </c>
      <c r="J9875" t="s">
        <v>193</v>
      </c>
      <c r="K9875" t="s">
        <v>19</v>
      </c>
      <c r="L9875" t="s">
        <v>162</v>
      </c>
      <c r="M9875" t="s">
        <v>34</v>
      </c>
      <c r="N9875" t="s">
        <v>22</v>
      </c>
    </row>
    <row r="9876" spans="1:14">
      <c r="A9876" s="4" t="str">
        <f t="shared" si="891"/>
        <v>EXP00333</v>
      </c>
      <c r="B9876" s="4" t="str">
        <f t="shared" si="889"/>
        <v>26667932</v>
      </c>
      <c r="C9876" s="4" t="str">
        <f t="shared" si="890"/>
        <v>GSE74685</v>
      </c>
      <c r="D9876" s="1" t="s">
        <v>447</v>
      </c>
      <c r="E9876" t="s">
        <v>448</v>
      </c>
      <c r="F9876" s="1">
        <v>1</v>
      </c>
      <c r="G9876" s="1" t="s">
        <v>455</v>
      </c>
      <c r="H9876" s="4" t="str">
        <f>HYPERLINK("https://www.ncbi.nlm.nih.gov/geo/query/acc.cgi?acc=GSM1930115","GSM1930115")</f>
        <v>GSM1930115</v>
      </c>
      <c r="I9876" t="s">
        <v>161</v>
      </c>
      <c r="J9876" t="s">
        <v>193</v>
      </c>
      <c r="K9876" t="s">
        <v>19</v>
      </c>
      <c r="L9876" t="s">
        <v>162</v>
      </c>
      <c r="M9876" t="s">
        <v>34</v>
      </c>
      <c r="N9876" t="s">
        <v>22</v>
      </c>
    </row>
    <row r="9877" spans="1:14">
      <c r="A9877" s="4" t="str">
        <f t="shared" si="891"/>
        <v>EXP00333</v>
      </c>
      <c r="B9877" s="4" t="str">
        <f t="shared" si="889"/>
        <v>26667932</v>
      </c>
      <c r="C9877" s="4" t="str">
        <f t="shared" si="890"/>
        <v>GSE74685</v>
      </c>
      <c r="D9877" s="1" t="s">
        <v>447</v>
      </c>
      <c r="E9877" t="s">
        <v>448</v>
      </c>
      <c r="F9877" s="1">
        <v>1</v>
      </c>
      <c r="G9877" s="1" t="s">
        <v>455</v>
      </c>
      <c r="H9877" s="4" t="str">
        <f>HYPERLINK("https://www.ncbi.nlm.nih.gov/geo/query/acc.cgi?acc=GSM1930134","GSM1930134")</f>
        <v>GSM1930134</v>
      </c>
      <c r="I9877" t="s">
        <v>161</v>
      </c>
      <c r="J9877" t="s">
        <v>193</v>
      </c>
      <c r="K9877" t="s">
        <v>19</v>
      </c>
      <c r="L9877" t="s">
        <v>162</v>
      </c>
      <c r="M9877" t="s">
        <v>34</v>
      </c>
      <c r="N9877" t="s">
        <v>22</v>
      </c>
    </row>
    <row r="9878" spans="1:14">
      <c r="A9878" s="4" t="str">
        <f t="shared" si="891"/>
        <v>EXP00333</v>
      </c>
      <c r="B9878" s="4" t="str">
        <f t="shared" si="889"/>
        <v>26667932</v>
      </c>
      <c r="C9878" s="4" t="str">
        <f t="shared" si="890"/>
        <v>GSE74685</v>
      </c>
      <c r="D9878" s="1" t="s">
        <v>447</v>
      </c>
      <c r="E9878" t="s">
        <v>448</v>
      </c>
      <c r="F9878" s="1">
        <v>2</v>
      </c>
      <c r="G9878" s="1" t="s">
        <v>452</v>
      </c>
      <c r="H9878" s="4" t="str">
        <f>HYPERLINK("https://www.ncbi.nlm.nih.gov/geo/query/acc.cgi?acc=GSM1616615","GSM1616615")</f>
        <v>GSM1616615</v>
      </c>
      <c r="I9878" t="s">
        <v>161</v>
      </c>
      <c r="J9878" t="s">
        <v>193</v>
      </c>
      <c r="K9878" t="s">
        <v>19</v>
      </c>
      <c r="L9878" t="s">
        <v>162</v>
      </c>
      <c r="M9878" t="s">
        <v>24</v>
      </c>
      <c r="N9878" t="s">
        <v>22</v>
      </c>
    </row>
    <row r="9879" spans="1:14">
      <c r="A9879" s="4" t="str">
        <f t="shared" si="891"/>
        <v>EXP00333</v>
      </c>
      <c r="B9879" s="4" t="str">
        <f t="shared" si="889"/>
        <v>26667932</v>
      </c>
      <c r="C9879" s="4" t="str">
        <f t="shared" si="890"/>
        <v>GSE74685</v>
      </c>
      <c r="D9879" s="1" t="s">
        <v>447</v>
      </c>
      <c r="E9879" t="s">
        <v>448</v>
      </c>
      <c r="F9879" s="1">
        <v>2</v>
      </c>
      <c r="G9879" s="1" t="s">
        <v>452</v>
      </c>
      <c r="H9879" s="4" t="str">
        <f>HYPERLINK("https://www.ncbi.nlm.nih.gov/geo/query/acc.cgi?acc=GSM1616616","GSM1616616")</f>
        <v>GSM1616616</v>
      </c>
      <c r="I9879" t="s">
        <v>161</v>
      </c>
      <c r="J9879" t="s">
        <v>193</v>
      </c>
      <c r="K9879" t="s">
        <v>19</v>
      </c>
      <c r="L9879" t="s">
        <v>162</v>
      </c>
      <c r="M9879" t="s">
        <v>24</v>
      </c>
      <c r="N9879" t="s">
        <v>22</v>
      </c>
    </row>
    <row r="9880" spans="1:14">
      <c r="A9880" s="4" t="str">
        <f t="shared" si="891"/>
        <v>EXP00333</v>
      </c>
      <c r="B9880" s="4" t="str">
        <f t="shared" si="889"/>
        <v>26667932</v>
      </c>
      <c r="C9880" s="4" t="str">
        <f t="shared" si="890"/>
        <v>GSE74685</v>
      </c>
      <c r="D9880" s="1" t="s">
        <v>447</v>
      </c>
      <c r="E9880" t="s">
        <v>448</v>
      </c>
      <c r="F9880" s="1">
        <v>2</v>
      </c>
      <c r="G9880" s="1" t="s">
        <v>452</v>
      </c>
      <c r="H9880" s="4" t="str">
        <f>HYPERLINK("https://www.ncbi.nlm.nih.gov/geo/query/acc.cgi?acc=GSM1616619","GSM1616619")</f>
        <v>GSM1616619</v>
      </c>
      <c r="I9880" t="s">
        <v>161</v>
      </c>
      <c r="J9880" t="s">
        <v>193</v>
      </c>
      <c r="K9880" t="s">
        <v>19</v>
      </c>
      <c r="L9880" t="s">
        <v>162</v>
      </c>
      <c r="M9880" t="s">
        <v>24</v>
      </c>
      <c r="N9880" t="s">
        <v>22</v>
      </c>
    </row>
    <row r="9881" spans="1:14">
      <c r="A9881" s="4" t="str">
        <f t="shared" si="891"/>
        <v>EXP00333</v>
      </c>
      <c r="B9881" s="4" t="str">
        <f t="shared" si="889"/>
        <v>26667932</v>
      </c>
      <c r="C9881" s="4" t="str">
        <f t="shared" si="890"/>
        <v>GSE74685</v>
      </c>
      <c r="D9881" s="1" t="s">
        <v>447</v>
      </c>
      <c r="E9881" t="s">
        <v>448</v>
      </c>
      <c r="F9881" s="1">
        <v>2</v>
      </c>
      <c r="G9881" s="1" t="s">
        <v>452</v>
      </c>
      <c r="H9881" s="4" t="str">
        <f>HYPERLINK("https://www.ncbi.nlm.nih.gov/geo/query/acc.cgi?acc=GSM1616620","GSM1616620")</f>
        <v>GSM1616620</v>
      </c>
      <c r="I9881" t="s">
        <v>161</v>
      </c>
      <c r="J9881" t="s">
        <v>193</v>
      </c>
      <c r="K9881" t="s">
        <v>19</v>
      </c>
      <c r="L9881" t="s">
        <v>162</v>
      </c>
      <c r="M9881" t="s">
        <v>24</v>
      </c>
      <c r="N9881" t="s">
        <v>22</v>
      </c>
    </row>
    <row r="9882" spans="1:14">
      <c r="A9882" s="4" t="str">
        <f t="shared" si="891"/>
        <v>EXP00333</v>
      </c>
      <c r="B9882" s="4" t="str">
        <f t="shared" si="889"/>
        <v>26667932</v>
      </c>
      <c r="C9882" s="4" t="str">
        <f t="shared" si="890"/>
        <v>GSE74685</v>
      </c>
      <c r="D9882" s="1" t="s">
        <v>447</v>
      </c>
      <c r="E9882" t="s">
        <v>448</v>
      </c>
      <c r="F9882" s="1">
        <v>2</v>
      </c>
      <c r="G9882" s="1" t="s">
        <v>452</v>
      </c>
      <c r="H9882" s="4" t="str">
        <f>HYPERLINK("https://www.ncbi.nlm.nih.gov/geo/query/acc.cgi?acc=GSM1616622","GSM1616622")</f>
        <v>GSM1616622</v>
      </c>
      <c r="I9882" t="s">
        <v>161</v>
      </c>
      <c r="J9882" t="s">
        <v>193</v>
      </c>
      <c r="K9882" t="s">
        <v>19</v>
      </c>
      <c r="L9882" t="s">
        <v>162</v>
      </c>
      <c r="M9882" t="s">
        <v>24</v>
      </c>
      <c r="N9882" t="s">
        <v>22</v>
      </c>
    </row>
    <row r="9883" spans="1:14">
      <c r="A9883" s="4" t="str">
        <f t="shared" si="891"/>
        <v>EXP00333</v>
      </c>
      <c r="B9883" s="4" t="str">
        <f t="shared" si="889"/>
        <v>26667932</v>
      </c>
      <c r="C9883" s="4" t="str">
        <f t="shared" si="890"/>
        <v>GSE74685</v>
      </c>
      <c r="D9883" s="1" t="s">
        <v>447</v>
      </c>
      <c r="E9883" t="s">
        <v>448</v>
      </c>
      <c r="F9883" s="1">
        <v>2</v>
      </c>
      <c r="G9883" s="1" t="s">
        <v>452</v>
      </c>
      <c r="H9883" s="4" t="str">
        <f>HYPERLINK("https://www.ncbi.nlm.nih.gov/geo/query/acc.cgi?acc=GSM1616624","GSM1616624")</f>
        <v>GSM1616624</v>
      </c>
      <c r="I9883" t="s">
        <v>161</v>
      </c>
      <c r="J9883" t="s">
        <v>193</v>
      </c>
      <c r="K9883" t="s">
        <v>19</v>
      </c>
      <c r="L9883" t="s">
        <v>162</v>
      </c>
      <c r="M9883" t="s">
        <v>24</v>
      </c>
      <c r="N9883" t="s">
        <v>22</v>
      </c>
    </row>
    <row r="9884" spans="1:14">
      <c r="A9884" s="4" t="str">
        <f t="shared" si="891"/>
        <v>EXP00333</v>
      </c>
      <c r="B9884" s="4" t="str">
        <f t="shared" si="889"/>
        <v>26667932</v>
      </c>
      <c r="C9884" s="4" t="str">
        <f t="shared" si="890"/>
        <v>GSE74685</v>
      </c>
      <c r="D9884" s="1" t="s">
        <v>447</v>
      </c>
      <c r="E9884" t="s">
        <v>448</v>
      </c>
      <c r="F9884" s="1">
        <v>2</v>
      </c>
      <c r="G9884" s="1" t="s">
        <v>452</v>
      </c>
      <c r="H9884" s="4" t="str">
        <f>HYPERLINK("https://www.ncbi.nlm.nih.gov/geo/query/acc.cgi?acc=GSM1616626","GSM1616626")</f>
        <v>GSM1616626</v>
      </c>
      <c r="I9884" t="s">
        <v>161</v>
      </c>
      <c r="J9884" t="s">
        <v>193</v>
      </c>
      <c r="K9884" t="s">
        <v>19</v>
      </c>
      <c r="L9884" t="s">
        <v>162</v>
      </c>
      <c r="M9884" t="s">
        <v>24</v>
      </c>
      <c r="N9884" t="s">
        <v>22</v>
      </c>
    </row>
    <row r="9885" spans="1:14">
      <c r="A9885" s="4" t="str">
        <f t="shared" si="891"/>
        <v>EXP00333</v>
      </c>
      <c r="B9885" s="4" t="str">
        <f t="shared" si="889"/>
        <v>26667932</v>
      </c>
      <c r="C9885" s="4" t="str">
        <f t="shared" si="890"/>
        <v>GSE74685</v>
      </c>
      <c r="D9885" s="1" t="s">
        <v>447</v>
      </c>
      <c r="E9885" t="s">
        <v>448</v>
      </c>
      <c r="F9885" s="1">
        <v>2</v>
      </c>
      <c r="G9885" s="1" t="s">
        <v>452</v>
      </c>
      <c r="H9885" s="4" t="str">
        <f>HYPERLINK("https://www.ncbi.nlm.nih.gov/geo/query/acc.cgi?acc=GSM1616633","GSM1616633")</f>
        <v>GSM1616633</v>
      </c>
      <c r="I9885" t="s">
        <v>161</v>
      </c>
      <c r="J9885" t="s">
        <v>193</v>
      </c>
      <c r="K9885" t="s">
        <v>19</v>
      </c>
      <c r="L9885" t="s">
        <v>162</v>
      </c>
      <c r="M9885" t="s">
        <v>24</v>
      </c>
      <c r="N9885" t="s">
        <v>22</v>
      </c>
    </row>
    <row r="9886" spans="1:14">
      <c r="A9886" s="4" t="str">
        <f t="shared" si="891"/>
        <v>EXP00333</v>
      </c>
      <c r="B9886" s="4" t="str">
        <f t="shared" si="889"/>
        <v>26667932</v>
      </c>
      <c r="C9886" s="4" t="str">
        <f t="shared" si="890"/>
        <v>GSE74685</v>
      </c>
      <c r="D9886" s="1" t="s">
        <v>447</v>
      </c>
      <c r="E9886" t="s">
        <v>448</v>
      </c>
      <c r="F9886" s="1">
        <v>2</v>
      </c>
      <c r="G9886" s="1" t="s">
        <v>452</v>
      </c>
      <c r="H9886" s="4" t="str">
        <f>HYPERLINK("https://www.ncbi.nlm.nih.gov/geo/query/acc.cgi?acc=GSM1616634","GSM1616634")</f>
        <v>GSM1616634</v>
      </c>
      <c r="I9886" t="s">
        <v>161</v>
      </c>
      <c r="J9886" t="s">
        <v>193</v>
      </c>
      <c r="K9886" t="s">
        <v>19</v>
      </c>
      <c r="L9886" t="s">
        <v>162</v>
      </c>
      <c r="M9886" t="s">
        <v>24</v>
      </c>
      <c r="N9886" t="s">
        <v>22</v>
      </c>
    </row>
    <row r="9887" spans="1:14">
      <c r="A9887" s="4" t="str">
        <f t="shared" si="891"/>
        <v>EXP00333</v>
      </c>
      <c r="B9887" s="4" t="str">
        <f t="shared" si="889"/>
        <v>26667932</v>
      </c>
      <c r="C9887" s="4" t="str">
        <f t="shared" si="890"/>
        <v>GSE74685</v>
      </c>
      <c r="D9887" s="1" t="s">
        <v>447</v>
      </c>
      <c r="E9887" t="s">
        <v>448</v>
      </c>
      <c r="F9887" s="1">
        <v>2</v>
      </c>
      <c r="G9887" s="1" t="s">
        <v>452</v>
      </c>
      <c r="H9887" s="4" t="str">
        <f>HYPERLINK("https://www.ncbi.nlm.nih.gov/geo/query/acc.cgi?acc=GSM1616635","GSM1616635")</f>
        <v>GSM1616635</v>
      </c>
      <c r="I9887" t="s">
        <v>161</v>
      </c>
      <c r="J9887" t="s">
        <v>193</v>
      </c>
      <c r="K9887" t="s">
        <v>19</v>
      </c>
      <c r="L9887" t="s">
        <v>162</v>
      </c>
      <c r="M9887" t="s">
        <v>24</v>
      </c>
      <c r="N9887" t="s">
        <v>22</v>
      </c>
    </row>
    <row r="9888" spans="1:14">
      <c r="A9888" s="4" t="str">
        <f t="shared" si="891"/>
        <v>EXP00333</v>
      </c>
      <c r="B9888" s="4" t="str">
        <f t="shared" si="889"/>
        <v>26667932</v>
      </c>
      <c r="C9888" s="4" t="str">
        <f t="shared" si="890"/>
        <v>GSE74685</v>
      </c>
      <c r="D9888" s="1" t="s">
        <v>447</v>
      </c>
      <c r="E9888" t="s">
        <v>448</v>
      </c>
      <c r="F9888" s="1">
        <v>2</v>
      </c>
      <c r="G9888" s="1" t="s">
        <v>452</v>
      </c>
      <c r="H9888" s="4" t="str">
        <f>HYPERLINK("https://www.ncbi.nlm.nih.gov/geo/query/acc.cgi?acc=GSM1616636","GSM1616636")</f>
        <v>GSM1616636</v>
      </c>
      <c r="I9888" t="s">
        <v>161</v>
      </c>
      <c r="J9888" t="s">
        <v>193</v>
      </c>
      <c r="K9888" t="s">
        <v>19</v>
      </c>
      <c r="L9888" t="s">
        <v>162</v>
      </c>
      <c r="M9888" t="s">
        <v>24</v>
      </c>
      <c r="N9888" t="s">
        <v>22</v>
      </c>
    </row>
    <row r="9889" spans="1:14">
      <c r="A9889" s="4" t="str">
        <f t="shared" si="891"/>
        <v>EXP00333</v>
      </c>
      <c r="B9889" s="4" t="str">
        <f t="shared" si="889"/>
        <v>26667932</v>
      </c>
      <c r="C9889" s="4" t="str">
        <f t="shared" si="890"/>
        <v>GSE74685</v>
      </c>
      <c r="D9889" s="1" t="s">
        <v>447</v>
      </c>
      <c r="E9889" t="s">
        <v>448</v>
      </c>
      <c r="F9889" s="1">
        <v>2</v>
      </c>
      <c r="G9889" s="1" t="s">
        <v>452</v>
      </c>
      <c r="H9889" s="4" t="str">
        <f>HYPERLINK("https://www.ncbi.nlm.nih.gov/geo/query/acc.cgi?acc=GSM1616639","GSM1616639")</f>
        <v>GSM1616639</v>
      </c>
      <c r="I9889" t="s">
        <v>161</v>
      </c>
      <c r="J9889" t="s">
        <v>193</v>
      </c>
      <c r="K9889" t="s">
        <v>19</v>
      </c>
      <c r="L9889" t="s">
        <v>162</v>
      </c>
      <c r="M9889" t="s">
        <v>24</v>
      </c>
      <c r="N9889" t="s">
        <v>22</v>
      </c>
    </row>
    <row r="9890" spans="1:14">
      <c r="A9890" s="4" t="str">
        <f t="shared" si="891"/>
        <v>EXP00333</v>
      </c>
      <c r="B9890" s="4" t="str">
        <f t="shared" si="889"/>
        <v>26667932</v>
      </c>
      <c r="C9890" s="4" t="str">
        <f t="shared" si="890"/>
        <v>GSE74685</v>
      </c>
      <c r="D9890" s="1" t="s">
        <v>447</v>
      </c>
      <c r="E9890" t="s">
        <v>448</v>
      </c>
      <c r="F9890" s="1">
        <v>2</v>
      </c>
      <c r="G9890" s="1" t="s">
        <v>452</v>
      </c>
      <c r="H9890" s="4" t="str">
        <f>HYPERLINK("https://www.ncbi.nlm.nih.gov/geo/query/acc.cgi?acc=GSM1616642","GSM1616642")</f>
        <v>GSM1616642</v>
      </c>
      <c r="I9890" t="s">
        <v>161</v>
      </c>
      <c r="J9890" t="s">
        <v>193</v>
      </c>
      <c r="K9890" t="s">
        <v>19</v>
      </c>
      <c r="L9890" t="s">
        <v>162</v>
      </c>
      <c r="M9890" t="s">
        <v>24</v>
      </c>
      <c r="N9890" t="s">
        <v>22</v>
      </c>
    </row>
    <row r="9891" spans="1:14">
      <c r="A9891" s="4" t="str">
        <f t="shared" si="891"/>
        <v>EXP00333</v>
      </c>
      <c r="B9891" s="4" t="str">
        <f t="shared" si="889"/>
        <v>26667932</v>
      </c>
      <c r="C9891" s="4" t="str">
        <f t="shared" si="890"/>
        <v>GSE74685</v>
      </c>
      <c r="D9891" s="1" t="s">
        <v>447</v>
      </c>
      <c r="E9891" t="s">
        <v>448</v>
      </c>
      <c r="F9891" s="1">
        <v>2</v>
      </c>
      <c r="G9891" s="1" t="s">
        <v>452</v>
      </c>
      <c r="H9891" s="4" t="str">
        <f>HYPERLINK("https://www.ncbi.nlm.nih.gov/geo/query/acc.cgi?acc=GSM1616644","GSM1616644")</f>
        <v>GSM1616644</v>
      </c>
      <c r="I9891" t="s">
        <v>161</v>
      </c>
      <c r="J9891" t="s">
        <v>193</v>
      </c>
      <c r="K9891" t="s">
        <v>19</v>
      </c>
      <c r="L9891" t="s">
        <v>162</v>
      </c>
      <c r="M9891" t="s">
        <v>24</v>
      </c>
      <c r="N9891" t="s">
        <v>22</v>
      </c>
    </row>
    <row r="9892" spans="1:14">
      <c r="A9892" s="4" t="str">
        <f t="shared" si="891"/>
        <v>EXP00333</v>
      </c>
      <c r="B9892" s="4" t="str">
        <f t="shared" si="889"/>
        <v>26667932</v>
      </c>
      <c r="C9892" s="4" t="str">
        <f t="shared" si="890"/>
        <v>GSE74685</v>
      </c>
      <c r="D9892" s="1" t="s">
        <v>447</v>
      </c>
      <c r="E9892" t="s">
        <v>448</v>
      </c>
      <c r="F9892" s="1">
        <v>2</v>
      </c>
      <c r="G9892" s="1" t="s">
        <v>452</v>
      </c>
      <c r="H9892" s="4" t="str">
        <f>HYPERLINK("https://www.ncbi.nlm.nih.gov/geo/query/acc.cgi?acc=GSM1616645","GSM1616645")</f>
        <v>GSM1616645</v>
      </c>
      <c r="I9892" t="s">
        <v>161</v>
      </c>
      <c r="J9892" t="s">
        <v>193</v>
      </c>
      <c r="K9892" t="s">
        <v>19</v>
      </c>
      <c r="L9892" t="s">
        <v>162</v>
      </c>
      <c r="M9892" t="s">
        <v>24</v>
      </c>
      <c r="N9892" t="s">
        <v>22</v>
      </c>
    </row>
    <row r="9893" spans="1:14">
      <c r="A9893" s="4" t="str">
        <f t="shared" si="891"/>
        <v>EXP00333</v>
      </c>
      <c r="B9893" s="4" t="str">
        <f t="shared" si="889"/>
        <v>26667932</v>
      </c>
      <c r="C9893" s="4" t="str">
        <f t="shared" si="890"/>
        <v>GSE74685</v>
      </c>
      <c r="D9893" s="1" t="s">
        <v>447</v>
      </c>
      <c r="E9893" t="s">
        <v>448</v>
      </c>
      <c r="F9893" s="1">
        <v>2</v>
      </c>
      <c r="G9893" s="1" t="s">
        <v>452</v>
      </c>
      <c r="H9893" s="4" t="str">
        <f>HYPERLINK("https://www.ncbi.nlm.nih.gov/geo/query/acc.cgi?acc=GSM1616649","GSM1616649")</f>
        <v>GSM1616649</v>
      </c>
      <c r="I9893" t="s">
        <v>161</v>
      </c>
      <c r="J9893" t="s">
        <v>193</v>
      </c>
      <c r="K9893" t="s">
        <v>19</v>
      </c>
      <c r="L9893" t="s">
        <v>162</v>
      </c>
      <c r="M9893" t="s">
        <v>24</v>
      </c>
      <c r="N9893" t="s">
        <v>22</v>
      </c>
    </row>
    <row r="9894" spans="1:14">
      <c r="A9894" s="4" t="str">
        <f t="shared" si="891"/>
        <v>EXP00333</v>
      </c>
      <c r="B9894" s="4" t="str">
        <f t="shared" si="889"/>
        <v>26667932</v>
      </c>
      <c r="C9894" s="4" t="str">
        <f t="shared" si="890"/>
        <v>GSE74685</v>
      </c>
      <c r="D9894" s="1" t="s">
        <v>447</v>
      </c>
      <c r="E9894" t="s">
        <v>448</v>
      </c>
      <c r="F9894" s="1">
        <v>2</v>
      </c>
      <c r="G9894" s="1" t="s">
        <v>452</v>
      </c>
      <c r="H9894" s="4" t="str">
        <f>HYPERLINK("https://www.ncbi.nlm.nih.gov/geo/query/acc.cgi?acc=GSM1616653","GSM1616653")</f>
        <v>GSM1616653</v>
      </c>
      <c r="I9894" t="s">
        <v>161</v>
      </c>
      <c r="J9894" t="s">
        <v>193</v>
      </c>
      <c r="K9894" t="s">
        <v>19</v>
      </c>
      <c r="L9894" t="s">
        <v>162</v>
      </c>
      <c r="M9894" t="s">
        <v>24</v>
      </c>
      <c r="N9894" t="s">
        <v>22</v>
      </c>
    </row>
    <row r="9895" spans="1:14">
      <c r="A9895" s="4" t="str">
        <f t="shared" si="891"/>
        <v>EXP00333</v>
      </c>
      <c r="B9895" s="4" t="str">
        <f t="shared" si="889"/>
        <v>26667932</v>
      </c>
      <c r="C9895" s="4" t="str">
        <f t="shared" si="890"/>
        <v>GSE74685</v>
      </c>
      <c r="D9895" s="1" t="s">
        <v>447</v>
      </c>
      <c r="E9895" t="s">
        <v>448</v>
      </c>
      <c r="F9895" s="1">
        <v>2</v>
      </c>
      <c r="G9895" s="1" t="s">
        <v>452</v>
      </c>
      <c r="H9895" s="4" t="str">
        <f>HYPERLINK("https://www.ncbi.nlm.nih.gov/geo/query/acc.cgi?acc=GSM1616659","GSM1616659")</f>
        <v>GSM1616659</v>
      </c>
      <c r="I9895" t="s">
        <v>161</v>
      </c>
      <c r="J9895" t="s">
        <v>193</v>
      </c>
      <c r="K9895" t="s">
        <v>19</v>
      </c>
      <c r="L9895" t="s">
        <v>162</v>
      </c>
      <c r="M9895" t="s">
        <v>24</v>
      </c>
      <c r="N9895" t="s">
        <v>22</v>
      </c>
    </row>
    <row r="9896" spans="1:14">
      <c r="A9896" s="4" t="str">
        <f t="shared" si="891"/>
        <v>EXP00333</v>
      </c>
      <c r="B9896" s="4" t="str">
        <f t="shared" si="889"/>
        <v>26667932</v>
      </c>
      <c r="C9896" s="4" t="str">
        <f t="shared" si="890"/>
        <v>GSE74685</v>
      </c>
      <c r="D9896" s="1" t="s">
        <v>447</v>
      </c>
      <c r="E9896" t="s">
        <v>448</v>
      </c>
      <c r="F9896" s="1">
        <v>2</v>
      </c>
      <c r="G9896" s="1" t="s">
        <v>452</v>
      </c>
      <c r="H9896" s="4" t="str">
        <f>HYPERLINK("https://www.ncbi.nlm.nih.gov/geo/query/acc.cgi?acc=GSM1616661","GSM1616661")</f>
        <v>GSM1616661</v>
      </c>
      <c r="I9896" t="s">
        <v>161</v>
      </c>
      <c r="J9896" t="s">
        <v>193</v>
      </c>
      <c r="K9896" t="s">
        <v>19</v>
      </c>
      <c r="L9896" t="s">
        <v>162</v>
      </c>
      <c r="M9896" t="s">
        <v>24</v>
      </c>
      <c r="N9896" t="s">
        <v>22</v>
      </c>
    </row>
    <row r="9897" spans="1:14">
      <c r="A9897" s="4" t="str">
        <f t="shared" si="891"/>
        <v>EXP00333</v>
      </c>
      <c r="B9897" s="4" t="str">
        <f t="shared" si="889"/>
        <v>26667932</v>
      </c>
      <c r="C9897" s="4" t="str">
        <f t="shared" si="890"/>
        <v>GSE74685</v>
      </c>
      <c r="D9897" s="1" t="s">
        <v>447</v>
      </c>
      <c r="E9897" t="s">
        <v>448</v>
      </c>
      <c r="F9897" s="1">
        <v>2</v>
      </c>
      <c r="G9897" s="1" t="s">
        <v>452</v>
      </c>
      <c r="H9897" s="4" t="str">
        <f>HYPERLINK("https://www.ncbi.nlm.nih.gov/geo/query/acc.cgi?acc=GSM1616662","GSM1616662")</f>
        <v>GSM1616662</v>
      </c>
      <c r="I9897" t="s">
        <v>161</v>
      </c>
      <c r="J9897" t="s">
        <v>193</v>
      </c>
      <c r="K9897" t="s">
        <v>19</v>
      </c>
      <c r="L9897" t="s">
        <v>162</v>
      </c>
      <c r="M9897" t="s">
        <v>24</v>
      </c>
      <c r="N9897" t="s">
        <v>22</v>
      </c>
    </row>
    <row r="9898" spans="1:14">
      <c r="A9898" s="4" t="str">
        <f t="shared" si="891"/>
        <v>EXP00333</v>
      </c>
      <c r="B9898" s="4" t="str">
        <f t="shared" si="889"/>
        <v>26667932</v>
      </c>
      <c r="C9898" s="4" t="str">
        <f t="shared" si="890"/>
        <v>GSE74685</v>
      </c>
      <c r="D9898" s="1" t="s">
        <v>447</v>
      </c>
      <c r="E9898" t="s">
        <v>448</v>
      </c>
      <c r="F9898" s="1">
        <v>2</v>
      </c>
      <c r="G9898" s="1" t="s">
        <v>452</v>
      </c>
      <c r="H9898" s="4" t="str">
        <f>HYPERLINK("https://www.ncbi.nlm.nih.gov/geo/query/acc.cgi?acc=GSM1616664","GSM1616664")</f>
        <v>GSM1616664</v>
      </c>
      <c r="I9898" t="s">
        <v>161</v>
      </c>
      <c r="J9898" t="s">
        <v>193</v>
      </c>
      <c r="K9898" t="s">
        <v>19</v>
      </c>
      <c r="L9898" t="s">
        <v>162</v>
      </c>
      <c r="M9898" t="s">
        <v>24</v>
      </c>
      <c r="N9898" t="s">
        <v>22</v>
      </c>
    </row>
    <row r="9899" spans="1:14">
      <c r="A9899" s="4" t="str">
        <f t="shared" si="891"/>
        <v>EXP00333</v>
      </c>
      <c r="B9899" s="4" t="str">
        <f t="shared" si="889"/>
        <v>26667932</v>
      </c>
      <c r="C9899" s="4" t="str">
        <f t="shared" si="890"/>
        <v>GSE74685</v>
      </c>
      <c r="D9899" s="1" t="s">
        <v>447</v>
      </c>
      <c r="E9899" t="s">
        <v>448</v>
      </c>
      <c r="F9899" s="1">
        <v>2</v>
      </c>
      <c r="G9899" s="1" t="s">
        <v>452</v>
      </c>
      <c r="H9899" s="4" t="str">
        <f>HYPERLINK("https://www.ncbi.nlm.nih.gov/geo/query/acc.cgi?acc=GSM1616669","GSM1616669")</f>
        <v>GSM1616669</v>
      </c>
      <c r="I9899" t="s">
        <v>161</v>
      </c>
      <c r="J9899" t="s">
        <v>193</v>
      </c>
      <c r="K9899" t="s">
        <v>19</v>
      </c>
      <c r="L9899" t="s">
        <v>162</v>
      </c>
      <c r="M9899" t="s">
        <v>24</v>
      </c>
      <c r="N9899" t="s">
        <v>22</v>
      </c>
    </row>
    <row r="9900" spans="1:14">
      <c r="A9900" s="4" t="str">
        <f t="shared" si="891"/>
        <v>EXP00333</v>
      </c>
      <c r="B9900" s="4" t="str">
        <f t="shared" si="889"/>
        <v>26667932</v>
      </c>
      <c r="C9900" s="4" t="str">
        <f t="shared" si="890"/>
        <v>GSE74685</v>
      </c>
      <c r="D9900" s="1" t="s">
        <v>447</v>
      </c>
      <c r="E9900" t="s">
        <v>448</v>
      </c>
      <c r="F9900" s="1">
        <v>2</v>
      </c>
      <c r="G9900" s="1" t="s">
        <v>452</v>
      </c>
      <c r="H9900" s="4" t="str">
        <f>HYPERLINK("https://www.ncbi.nlm.nih.gov/geo/query/acc.cgi?acc=GSM1616670","GSM1616670")</f>
        <v>GSM1616670</v>
      </c>
      <c r="I9900" t="s">
        <v>161</v>
      </c>
      <c r="J9900" t="s">
        <v>193</v>
      </c>
      <c r="K9900" t="s">
        <v>19</v>
      </c>
      <c r="L9900" t="s">
        <v>162</v>
      </c>
      <c r="M9900" t="s">
        <v>24</v>
      </c>
      <c r="N9900" t="s">
        <v>22</v>
      </c>
    </row>
    <row r="9901" spans="1:14">
      <c r="A9901" s="4" t="str">
        <f t="shared" si="891"/>
        <v>EXP00333</v>
      </c>
      <c r="B9901" s="4" t="str">
        <f t="shared" si="889"/>
        <v>26667932</v>
      </c>
      <c r="C9901" s="4" t="str">
        <f t="shared" si="890"/>
        <v>GSE74685</v>
      </c>
      <c r="D9901" s="1" t="s">
        <v>447</v>
      </c>
      <c r="E9901" t="s">
        <v>448</v>
      </c>
      <c r="F9901" s="1">
        <v>2</v>
      </c>
      <c r="G9901" s="1" t="s">
        <v>452</v>
      </c>
      <c r="H9901" s="4" t="str">
        <f>HYPERLINK("https://www.ncbi.nlm.nih.gov/geo/query/acc.cgi?acc=GSM1616672","GSM1616672")</f>
        <v>GSM1616672</v>
      </c>
      <c r="I9901" t="s">
        <v>161</v>
      </c>
      <c r="J9901" t="s">
        <v>193</v>
      </c>
      <c r="K9901" t="s">
        <v>19</v>
      </c>
      <c r="L9901" t="s">
        <v>162</v>
      </c>
      <c r="M9901" t="s">
        <v>24</v>
      </c>
      <c r="N9901" t="s">
        <v>22</v>
      </c>
    </row>
    <row r="9902" spans="1:14">
      <c r="A9902" s="4" t="str">
        <f t="shared" si="891"/>
        <v>EXP00333</v>
      </c>
      <c r="B9902" s="4" t="str">
        <f t="shared" si="889"/>
        <v>26667932</v>
      </c>
      <c r="C9902" s="4" t="str">
        <f t="shared" si="890"/>
        <v>GSE74685</v>
      </c>
      <c r="D9902" s="1" t="s">
        <v>447</v>
      </c>
      <c r="E9902" t="s">
        <v>448</v>
      </c>
      <c r="F9902" s="1">
        <v>2</v>
      </c>
      <c r="G9902" s="1" t="s">
        <v>452</v>
      </c>
      <c r="H9902" s="4" t="str">
        <f>HYPERLINK("https://www.ncbi.nlm.nih.gov/geo/query/acc.cgi?acc=GSM1616676","GSM1616676")</f>
        <v>GSM1616676</v>
      </c>
      <c r="I9902" t="s">
        <v>161</v>
      </c>
      <c r="J9902" t="s">
        <v>193</v>
      </c>
      <c r="K9902" t="s">
        <v>19</v>
      </c>
      <c r="L9902" t="s">
        <v>162</v>
      </c>
      <c r="M9902" t="s">
        <v>24</v>
      </c>
      <c r="N9902" t="s">
        <v>22</v>
      </c>
    </row>
    <row r="9903" spans="1:14">
      <c r="A9903" s="4" t="str">
        <f t="shared" si="891"/>
        <v>EXP00333</v>
      </c>
      <c r="B9903" s="4" t="str">
        <f t="shared" si="889"/>
        <v>26667932</v>
      </c>
      <c r="C9903" s="4" t="str">
        <f t="shared" si="890"/>
        <v>GSE74685</v>
      </c>
      <c r="D9903" s="1" t="s">
        <v>447</v>
      </c>
      <c r="E9903" t="s">
        <v>448</v>
      </c>
      <c r="F9903" s="1">
        <v>2</v>
      </c>
      <c r="G9903" s="1" t="s">
        <v>452</v>
      </c>
      <c r="H9903" s="4" t="str">
        <f>HYPERLINK("https://www.ncbi.nlm.nih.gov/geo/query/acc.cgi?acc=GSM1616682","GSM1616682")</f>
        <v>GSM1616682</v>
      </c>
      <c r="I9903" t="s">
        <v>161</v>
      </c>
      <c r="J9903" t="s">
        <v>193</v>
      </c>
      <c r="K9903" t="s">
        <v>19</v>
      </c>
      <c r="L9903" t="s">
        <v>162</v>
      </c>
      <c r="M9903" t="s">
        <v>24</v>
      </c>
      <c r="N9903" t="s">
        <v>22</v>
      </c>
    </row>
    <row r="9904" spans="1:14">
      <c r="A9904" s="4" t="str">
        <f t="shared" si="891"/>
        <v>EXP00333</v>
      </c>
      <c r="B9904" s="4" t="str">
        <f t="shared" si="889"/>
        <v>26667932</v>
      </c>
      <c r="C9904" s="4" t="str">
        <f t="shared" si="890"/>
        <v>GSE74685</v>
      </c>
      <c r="D9904" s="1" t="s">
        <v>447</v>
      </c>
      <c r="E9904" t="s">
        <v>448</v>
      </c>
      <c r="F9904" s="1">
        <v>2</v>
      </c>
      <c r="G9904" s="1" t="s">
        <v>452</v>
      </c>
      <c r="H9904" s="4" t="str">
        <f>HYPERLINK("https://www.ncbi.nlm.nih.gov/geo/query/acc.cgi?acc=GSM1616684","GSM1616684")</f>
        <v>GSM1616684</v>
      </c>
      <c r="I9904" t="s">
        <v>161</v>
      </c>
      <c r="J9904" t="s">
        <v>193</v>
      </c>
      <c r="K9904" t="s">
        <v>19</v>
      </c>
      <c r="L9904" t="s">
        <v>162</v>
      </c>
      <c r="M9904" t="s">
        <v>24</v>
      </c>
      <c r="N9904" t="s">
        <v>22</v>
      </c>
    </row>
    <row r="9905" spans="1:14">
      <c r="A9905" s="4" t="str">
        <f t="shared" si="891"/>
        <v>EXP00333</v>
      </c>
      <c r="B9905" s="4" t="str">
        <f t="shared" si="889"/>
        <v>26667932</v>
      </c>
      <c r="C9905" s="4" t="str">
        <f t="shared" si="890"/>
        <v>GSE74685</v>
      </c>
      <c r="D9905" s="1" t="s">
        <v>447</v>
      </c>
      <c r="E9905" t="s">
        <v>448</v>
      </c>
      <c r="F9905" s="1">
        <v>2</v>
      </c>
      <c r="G9905" s="1" t="s">
        <v>452</v>
      </c>
      <c r="H9905" s="4" t="str">
        <f>HYPERLINK("https://www.ncbi.nlm.nih.gov/geo/query/acc.cgi?acc=GSM1918978","GSM1918978")</f>
        <v>GSM1918978</v>
      </c>
      <c r="I9905" t="s">
        <v>161</v>
      </c>
      <c r="J9905" t="s">
        <v>193</v>
      </c>
      <c r="K9905" t="s">
        <v>19</v>
      </c>
      <c r="L9905" t="s">
        <v>162</v>
      </c>
      <c r="M9905" t="s">
        <v>24</v>
      </c>
      <c r="N9905" t="s">
        <v>22</v>
      </c>
    </row>
    <row r="9906" spans="1:14">
      <c r="A9906" s="4" t="str">
        <f t="shared" ref="A9906:A9937" si="892">HYPERLINK("http://hcmdb.i-sanger.com/experiment/details/experiment_id/EXP00333","EXP00333")</f>
        <v>EXP00333</v>
      </c>
      <c r="B9906" s="4" t="str">
        <f t="shared" si="889"/>
        <v>26667932</v>
      </c>
      <c r="C9906" s="4" t="str">
        <f t="shared" si="890"/>
        <v>GSE74685</v>
      </c>
      <c r="D9906" s="1" t="s">
        <v>447</v>
      </c>
      <c r="E9906" t="s">
        <v>448</v>
      </c>
      <c r="F9906" s="1">
        <v>2</v>
      </c>
      <c r="G9906" s="1" t="s">
        <v>452</v>
      </c>
      <c r="H9906" s="4" t="str">
        <f>HYPERLINK("https://www.ncbi.nlm.nih.gov/geo/query/acc.cgi?acc=GSM1930063","GSM1930063")</f>
        <v>GSM1930063</v>
      </c>
      <c r="I9906" t="s">
        <v>161</v>
      </c>
      <c r="J9906" t="s">
        <v>193</v>
      </c>
      <c r="K9906" t="s">
        <v>19</v>
      </c>
      <c r="L9906" t="s">
        <v>162</v>
      </c>
      <c r="M9906" t="s">
        <v>24</v>
      </c>
      <c r="N9906" t="s">
        <v>22</v>
      </c>
    </row>
    <row r="9907" spans="1:14">
      <c r="A9907" s="4" t="str">
        <f t="shared" si="892"/>
        <v>EXP00333</v>
      </c>
      <c r="B9907" s="4" t="str">
        <f t="shared" si="889"/>
        <v>26667932</v>
      </c>
      <c r="C9907" s="4" t="str">
        <f t="shared" si="890"/>
        <v>GSE74685</v>
      </c>
      <c r="D9907" s="1" t="s">
        <v>447</v>
      </c>
      <c r="E9907" t="s">
        <v>448</v>
      </c>
      <c r="F9907" s="1">
        <v>2</v>
      </c>
      <c r="G9907" s="1" t="s">
        <v>452</v>
      </c>
      <c r="H9907" s="4" t="str">
        <f>HYPERLINK("https://www.ncbi.nlm.nih.gov/geo/query/acc.cgi?acc=GSM1930065","GSM1930065")</f>
        <v>GSM1930065</v>
      </c>
      <c r="I9907" t="s">
        <v>161</v>
      </c>
      <c r="J9907" t="s">
        <v>193</v>
      </c>
      <c r="K9907" t="s">
        <v>19</v>
      </c>
      <c r="L9907" t="s">
        <v>162</v>
      </c>
      <c r="M9907" t="s">
        <v>24</v>
      </c>
      <c r="N9907" t="s">
        <v>22</v>
      </c>
    </row>
    <row r="9908" spans="1:14">
      <c r="A9908" s="4" t="str">
        <f t="shared" si="892"/>
        <v>EXP00333</v>
      </c>
      <c r="B9908" s="4" t="str">
        <f t="shared" si="889"/>
        <v>26667932</v>
      </c>
      <c r="C9908" s="4" t="str">
        <f t="shared" si="890"/>
        <v>GSE74685</v>
      </c>
      <c r="D9908" s="1" t="s">
        <v>447</v>
      </c>
      <c r="E9908" t="s">
        <v>448</v>
      </c>
      <c r="F9908" s="1">
        <v>2</v>
      </c>
      <c r="G9908" s="1" t="s">
        <v>452</v>
      </c>
      <c r="H9908" s="4" t="str">
        <f>HYPERLINK("https://www.ncbi.nlm.nih.gov/geo/query/acc.cgi?acc=GSM1930068","GSM1930068")</f>
        <v>GSM1930068</v>
      </c>
      <c r="I9908" t="s">
        <v>161</v>
      </c>
      <c r="J9908" t="s">
        <v>193</v>
      </c>
      <c r="K9908" t="s">
        <v>19</v>
      </c>
      <c r="L9908" t="s">
        <v>162</v>
      </c>
      <c r="M9908" t="s">
        <v>24</v>
      </c>
      <c r="N9908" t="s">
        <v>22</v>
      </c>
    </row>
    <row r="9909" spans="1:14">
      <c r="A9909" s="4" t="str">
        <f t="shared" si="892"/>
        <v>EXP00333</v>
      </c>
      <c r="B9909" s="4" t="str">
        <f t="shared" si="889"/>
        <v>26667932</v>
      </c>
      <c r="C9909" s="4" t="str">
        <f t="shared" si="890"/>
        <v>GSE74685</v>
      </c>
      <c r="D9909" s="1" t="s">
        <v>447</v>
      </c>
      <c r="E9909" t="s">
        <v>448</v>
      </c>
      <c r="F9909" s="1">
        <v>2</v>
      </c>
      <c r="G9909" s="1" t="s">
        <v>452</v>
      </c>
      <c r="H9909" s="4" t="str">
        <f>HYPERLINK("https://www.ncbi.nlm.nih.gov/geo/query/acc.cgi?acc=GSM1930071","GSM1930071")</f>
        <v>GSM1930071</v>
      </c>
      <c r="I9909" t="s">
        <v>161</v>
      </c>
      <c r="J9909" t="s">
        <v>193</v>
      </c>
      <c r="K9909" t="s">
        <v>19</v>
      </c>
      <c r="L9909" t="s">
        <v>162</v>
      </c>
      <c r="M9909" t="s">
        <v>24</v>
      </c>
      <c r="N9909" t="s">
        <v>22</v>
      </c>
    </row>
    <row r="9910" spans="1:14">
      <c r="A9910" s="4" t="str">
        <f t="shared" si="892"/>
        <v>EXP00333</v>
      </c>
      <c r="B9910" s="4" t="str">
        <f t="shared" si="889"/>
        <v>26667932</v>
      </c>
      <c r="C9910" s="4" t="str">
        <f t="shared" si="890"/>
        <v>GSE74685</v>
      </c>
      <c r="D9910" s="1" t="s">
        <v>447</v>
      </c>
      <c r="E9910" t="s">
        <v>448</v>
      </c>
      <c r="F9910" s="1">
        <v>2</v>
      </c>
      <c r="G9910" s="1" t="s">
        <v>452</v>
      </c>
      <c r="H9910" s="4" t="str">
        <f>HYPERLINK("https://www.ncbi.nlm.nih.gov/geo/query/acc.cgi?acc=GSM1930077","GSM1930077")</f>
        <v>GSM1930077</v>
      </c>
      <c r="I9910" t="s">
        <v>161</v>
      </c>
      <c r="J9910" t="s">
        <v>193</v>
      </c>
      <c r="K9910" t="s">
        <v>19</v>
      </c>
      <c r="L9910" t="s">
        <v>162</v>
      </c>
      <c r="M9910" t="s">
        <v>24</v>
      </c>
      <c r="N9910" t="s">
        <v>22</v>
      </c>
    </row>
    <row r="9911" spans="1:14">
      <c r="A9911" s="4" t="str">
        <f t="shared" si="892"/>
        <v>EXP00333</v>
      </c>
      <c r="B9911" s="4" t="str">
        <f t="shared" si="889"/>
        <v>26667932</v>
      </c>
      <c r="C9911" s="4" t="str">
        <f t="shared" si="890"/>
        <v>GSE74685</v>
      </c>
      <c r="D9911" s="1" t="s">
        <v>447</v>
      </c>
      <c r="E9911" t="s">
        <v>448</v>
      </c>
      <c r="F9911" s="1">
        <v>2</v>
      </c>
      <c r="G9911" s="1" t="s">
        <v>452</v>
      </c>
      <c r="H9911" s="4" t="str">
        <f>HYPERLINK("https://www.ncbi.nlm.nih.gov/geo/query/acc.cgi?acc=GSM1930078","GSM1930078")</f>
        <v>GSM1930078</v>
      </c>
      <c r="I9911" t="s">
        <v>161</v>
      </c>
      <c r="J9911" t="s">
        <v>193</v>
      </c>
      <c r="K9911" t="s">
        <v>19</v>
      </c>
      <c r="L9911" t="s">
        <v>162</v>
      </c>
      <c r="M9911" t="s">
        <v>24</v>
      </c>
      <c r="N9911" t="s">
        <v>22</v>
      </c>
    </row>
    <row r="9912" spans="1:14">
      <c r="A9912" s="4" t="str">
        <f t="shared" si="892"/>
        <v>EXP00333</v>
      </c>
      <c r="B9912" s="4" t="str">
        <f t="shared" si="889"/>
        <v>26667932</v>
      </c>
      <c r="C9912" s="4" t="str">
        <f t="shared" si="890"/>
        <v>GSE74685</v>
      </c>
      <c r="D9912" s="1" t="s">
        <v>447</v>
      </c>
      <c r="E9912" t="s">
        <v>448</v>
      </c>
      <c r="F9912" s="1">
        <v>2</v>
      </c>
      <c r="G9912" s="1" t="s">
        <v>452</v>
      </c>
      <c r="H9912" s="4" t="str">
        <f>HYPERLINK("https://www.ncbi.nlm.nih.gov/geo/query/acc.cgi?acc=GSM1930083","GSM1930083")</f>
        <v>GSM1930083</v>
      </c>
      <c r="I9912" t="s">
        <v>161</v>
      </c>
      <c r="J9912" t="s">
        <v>193</v>
      </c>
      <c r="K9912" t="s">
        <v>19</v>
      </c>
      <c r="L9912" t="s">
        <v>162</v>
      </c>
      <c r="M9912" t="s">
        <v>24</v>
      </c>
      <c r="N9912" t="s">
        <v>22</v>
      </c>
    </row>
    <row r="9913" spans="1:14">
      <c r="A9913" s="4" t="str">
        <f t="shared" si="892"/>
        <v>EXP00333</v>
      </c>
      <c r="B9913" s="4" t="str">
        <f t="shared" si="889"/>
        <v>26667932</v>
      </c>
      <c r="C9913" s="4" t="str">
        <f t="shared" si="890"/>
        <v>GSE74685</v>
      </c>
      <c r="D9913" s="1" t="s">
        <v>447</v>
      </c>
      <c r="E9913" t="s">
        <v>448</v>
      </c>
      <c r="F9913" s="1">
        <v>2</v>
      </c>
      <c r="G9913" s="1" t="s">
        <v>452</v>
      </c>
      <c r="H9913" s="4" t="str">
        <f>HYPERLINK("https://www.ncbi.nlm.nih.gov/geo/query/acc.cgi?acc=GSM1930086","GSM1930086")</f>
        <v>GSM1930086</v>
      </c>
      <c r="I9913" t="s">
        <v>161</v>
      </c>
      <c r="J9913" t="s">
        <v>193</v>
      </c>
      <c r="K9913" t="s">
        <v>19</v>
      </c>
      <c r="L9913" t="s">
        <v>162</v>
      </c>
      <c r="M9913" t="s">
        <v>24</v>
      </c>
      <c r="N9913" t="s">
        <v>22</v>
      </c>
    </row>
    <row r="9914" spans="1:14">
      <c r="A9914" s="4" t="str">
        <f t="shared" si="892"/>
        <v>EXP00333</v>
      </c>
      <c r="B9914" s="4" t="str">
        <f t="shared" si="889"/>
        <v>26667932</v>
      </c>
      <c r="C9914" s="4" t="str">
        <f t="shared" si="890"/>
        <v>GSE74685</v>
      </c>
      <c r="D9914" s="1" t="s">
        <v>447</v>
      </c>
      <c r="E9914" t="s">
        <v>448</v>
      </c>
      <c r="F9914" s="1">
        <v>2</v>
      </c>
      <c r="G9914" s="1" t="s">
        <v>452</v>
      </c>
      <c r="H9914" s="4" t="str">
        <f>HYPERLINK("https://www.ncbi.nlm.nih.gov/geo/query/acc.cgi?acc=GSM1930089","GSM1930089")</f>
        <v>GSM1930089</v>
      </c>
      <c r="I9914" t="s">
        <v>161</v>
      </c>
      <c r="J9914" t="s">
        <v>193</v>
      </c>
      <c r="K9914" t="s">
        <v>19</v>
      </c>
      <c r="L9914" t="s">
        <v>162</v>
      </c>
      <c r="M9914" t="s">
        <v>24</v>
      </c>
      <c r="N9914" t="s">
        <v>22</v>
      </c>
    </row>
    <row r="9915" spans="1:14">
      <c r="A9915" s="4" t="str">
        <f t="shared" si="892"/>
        <v>EXP00333</v>
      </c>
      <c r="B9915" s="4" t="str">
        <f t="shared" si="889"/>
        <v>26667932</v>
      </c>
      <c r="C9915" s="4" t="str">
        <f t="shared" si="890"/>
        <v>GSE74685</v>
      </c>
      <c r="D9915" s="1" t="s">
        <v>447</v>
      </c>
      <c r="E9915" t="s">
        <v>448</v>
      </c>
      <c r="F9915" s="1">
        <v>2</v>
      </c>
      <c r="G9915" s="1" t="s">
        <v>452</v>
      </c>
      <c r="H9915" s="4" t="str">
        <f>HYPERLINK("https://www.ncbi.nlm.nih.gov/geo/query/acc.cgi?acc=GSM1930090","GSM1930090")</f>
        <v>GSM1930090</v>
      </c>
      <c r="I9915" t="s">
        <v>161</v>
      </c>
      <c r="J9915" t="s">
        <v>193</v>
      </c>
      <c r="K9915" t="s">
        <v>19</v>
      </c>
      <c r="L9915" t="s">
        <v>162</v>
      </c>
      <c r="M9915" t="s">
        <v>24</v>
      </c>
      <c r="N9915" t="s">
        <v>22</v>
      </c>
    </row>
    <row r="9916" spans="1:14">
      <c r="A9916" s="4" t="str">
        <f t="shared" si="892"/>
        <v>EXP00333</v>
      </c>
      <c r="B9916" s="4" t="str">
        <f t="shared" si="889"/>
        <v>26667932</v>
      </c>
      <c r="C9916" s="4" t="str">
        <f t="shared" si="890"/>
        <v>GSE74685</v>
      </c>
      <c r="D9916" s="1" t="s">
        <v>447</v>
      </c>
      <c r="E9916" t="s">
        <v>448</v>
      </c>
      <c r="F9916" s="1">
        <v>2</v>
      </c>
      <c r="G9916" s="1" t="s">
        <v>452</v>
      </c>
      <c r="H9916" s="4" t="str">
        <f>HYPERLINK("https://www.ncbi.nlm.nih.gov/geo/query/acc.cgi?acc=GSM1930091","GSM1930091")</f>
        <v>GSM1930091</v>
      </c>
      <c r="I9916" t="s">
        <v>161</v>
      </c>
      <c r="J9916" t="s">
        <v>193</v>
      </c>
      <c r="K9916" t="s">
        <v>19</v>
      </c>
      <c r="L9916" t="s">
        <v>162</v>
      </c>
      <c r="M9916" t="s">
        <v>24</v>
      </c>
      <c r="N9916" t="s">
        <v>22</v>
      </c>
    </row>
    <row r="9917" spans="1:14">
      <c r="A9917" s="4" t="str">
        <f t="shared" si="892"/>
        <v>EXP00333</v>
      </c>
      <c r="B9917" s="4" t="str">
        <f t="shared" si="889"/>
        <v>26667932</v>
      </c>
      <c r="C9917" s="4" t="str">
        <f t="shared" si="890"/>
        <v>GSE74685</v>
      </c>
      <c r="D9917" s="1" t="s">
        <v>447</v>
      </c>
      <c r="E9917" t="s">
        <v>448</v>
      </c>
      <c r="F9917" s="1">
        <v>2</v>
      </c>
      <c r="G9917" s="1" t="s">
        <v>452</v>
      </c>
      <c r="H9917" s="4" t="str">
        <f>HYPERLINK("https://www.ncbi.nlm.nih.gov/geo/query/acc.cgi?acc=GSM1930094","GSM1930094")</f>
        <v>GSM1930094</v>
      </c>
      <c r="I9917" t="s">
        <v>161</v>
      </c>
      <c r="J9917" t="s">
        <v>193</v>
      </c>
      <c r="K9917" t="s">
        <v>19</v>
      </c>
      <c r="L9917" t="s">
        <v>162</v>
      </c>
      <c r="M9917" t="s">
        <v>24</v>
      </c>
      <c r="N9917" t="s">
        <v>22</v>
      </c>
    </row>
    <row r="9918" spans="1:14">
      <c r="A9918" s="4" t="str">
        <f t="shared" si="892"/>
        <v>EXP00333</v>
      </c>
      <c r="B9918" s="4" t="str">
        <f t="shared" si="889"/>
        <v>26667932</v>
      </c>
      <c r="C9918" s="4" t="str">
        <f t="shared" si="890"/>
        <v>GSE74685</v>
      </c>
      <c r="D9918" s="1" t="s">
        <v>447</v>
      </c>
      <c r="E9918" t="s">
        <v>448</v>
      </c>
      <c r="F9918" s="1">
        <v>2</v>
      </c>
      <c r="G9918" s="1" t="s">
        <v>452</v>
      </c>
      <c r="H9918" s="4" t="str">
        <f>HYPERLINK("https://www.ncbi.nlm.nih.gov/geo/query/acc.cgi?acc=GSM1930095","GSM1930095")</f>
        <v>GSM1930095</v>
      </c>
      <c r="I9918" t="s">
        <v>161</v>
      </c>
      <c r="J9918" t="s">
        <v>193</v>
      </c>
      <c r="K9918" t="s">
        <v>19</v>
      </c>
      <c r="L9918" t="s">
        <v>162</v>
      </c>
      <c r="M9918" t="s">
        <v>24</v>
      </c>
      <c r="N9918" t="s">
        <v>22</v>
      </c>
    </row>
    <row r="9919" spans="1:14">
      <c r="A9919" s="4" t="str">
        <f t="shared" si="892"/>
        <v>EXP00333</v>
      </c>
      <c r="B9919" s="4" t="str">
        <f t="shared" si="889"/>
        <v>26667932</v>
      </c>
      <c r="C9919" s="4" t="str">
        <f t="shared" si="890"/>
        <v>GSE74685</v>
      </c>
      <c r="D9919" s="1" t="s">
        <v>447</v>
      </c>
      <c r="E9919" t="s">
        <v>448</v>
      </c>
      <c r="F9919" s="1">
        <v>2</v>
      </c>
      <c r="G9919" s="1" t="s">
        <v>452</v>
      </c>
      <c r="H9919" s="4" t="str">
        <f>HYPERLINK("https://www.ncbi.nlm.nih.gov/geo/query/acc.cgi?acc=GSM1930096","GSM1930096")</f>
        <v>GSM1930096</v>
      </c>
      <c r="I9919" t="s">
        <v>161</v>
      </c>
      <c r="J9919" t="s">
        <v>193</v>
      </c>
      <c r="K9919" t="s">
        <v>19</v>
      </c>
      <c r="L9919" t="s">
        <v>162</v>
      </c>
      <c r="M9919" t="s">
        <v>24</v>
      </c>
      <c r="N9919" t="s">
        <v>22</v>
      </c>
    </row>
    <row r="9920" spans="1:14">
      <c r="A9920" s="4" t="str">
        <f t="shared" si="892"/>
        <v>EXP00333</v>
      </c>
      <c r="B9920" s="4" t="str">
        <f t="shared" si="889"/>
        <v>26667932</v>
      </c>
      <c r="C9920" s="4" t="str">
        <f t="shared" si="890"/>
        <v>GSE74685</v>
      </c>
      <c r="D9920" s="1" t="s">
        <v>447</v>
      </c>
      <c r="E9920" t="s">
        <v>448</v>
      </c>
      <c r="F9920" s="1">
        <v>2</v>
      </c>
      <c r="G9920" s="1" t="s">
        <v>452</v>
      </c>
      <c r="H9920" s="4" t="str">
        <f>HYPERLINK("https://www.ncbi.nlm.nih.gov/geo/query/acc.cgi?acc=GSM1930097","GSM1930097")</f>
        <v>GSM1930097</v>
      </c>
      <c r="I9920" t="s">
        <v>161</v>
      </c>
      <c r="J9920" t="s">
        <v>193</v>
      </c>
      <c r="K9920" t="s">
        <v>19</v>
      </c>
      <c r="L9920" t="s">
        <v>162</v>
      </c>
      <c r="M9920" t="s">
        <v>24</v>
      </c>
      <c r="N9920" t="s">
        <v>22</v>
      </c>
    </row>
    <row r="9921" spans="1:14">
      <c r="A9921" s="4" t="str">
        <f t="shared" si="892"/>
        <v>EXP00333</v>
      </c>
      <c r="B9921" s="4" t="str">
        <f t="shared" ref="B9921:B9984" si="893">HYPERLINK("https://www.ncbi.nlm.nih.gov/pubmed/26667932","26667932")</f>
        <v>26667932</v>
      </c>
      <c r="C9921" s="4" t="str">
        <f t="shared" ref="C9921:C9984" si="894">HYPERLINK("https://www.ncbi.nlm.nih.gov/geo/query/acc.cgi?acc=GSE74685","GSE74685")</f>
        <v>GSE74685</v>
      </c>
      <c r="D9921" s="1" t="s">
        <v>447</v>
      </c>
      <c r="E9921" t="s">
        <v>448</v>
      </c>
      <c r="F9921" s="1">
        <v>2</v>
      </c>
      <c r="G9921" s="1" t="s">
        <v>452</v>
      </c>
      <c r="H9921" s="4" t="str">
        <f>HYPERLINK("https://www.ncbi.nlm.nih.gov/geo/query/acc.cgi?acc=GSM1930102","GSM1930102")</f>
        <v>GSM1930102</v>
      </c>
      <c r="I9921" t="s">
        <v>161</v>
      </c>
      <c r="J9921" t="s">
        <v>193</v>
      </c>
      <c r="K9921" t="s">
        <v>19</v>
      </c>
      <c r="L9921" t="s">
        <v>162</v>
      </c>
      <c r="M9921" t="s">
        <v>24</v>
      </c>
      <c r="N9921" t="s">
        <v>22</v>
      </c>
    </row>
    <row r="9922" spans="1:14">
      <c r="A9922" s="4" t="str">
        <f t="shared" si="892"/>
        <v>EXP00333</v>
      </c>
      <c r="B9922" s="4" t="str">
        <f t="shared" si="893"/>
        <v>26667932</v>
      </c>
      <c r="C9922" s="4" t="str">
        <f t="shared" si="894"/>
        <v>GSE74685</v>
      </c>
      <c r="D9922" s="1" t="s">
        <v>447</v>
      </c>
      <c r="E9922" t="s">
        <v>448</v>
      </c>
      <c r="F9922" s="1">
        <v>2</v>
      </c>
      <c r="G9922" s="1" t="s">
        <v>452</v>
      </c>
      <c r="H9922" s="4" t="str">
        <f>HYPERLINK("https://www.ncbi.nlm.nih.gov/geo/query/acc.cgi?acc=GSM1930104","GSM1930104")</f>
        <v>GSM1930104</v>
      </c>
      <c r="I9922" t="s">
        <v>161</v>
      </c>
      <c r="J9922" t="s">
        <v>193</v>
      </c>
      <c r="K9922" t="s">
        <v>19</v>
      </c>
      <c r="L9922" t="s">
        <v>162</v>
      </c>
      <c r="M9922" t="s">
        <v>24</v>
      </c>
      <c r="N9922" t="s">
        <v>22</v>
      </c>
    </row>
    <row r="9923" spans="1:14">
      <c r="A9923" s="4" t="str">
        <f t="shared" si="892"/>
        <v>EXP00333</v>
      </c>
      <c r="B9923" s="4" t="str">
        <f t="shared" si="893"/>
        <v>26667932</v>
      </c>
      <c r="C9923" s="4" t="str">
        <f t="shared" si="894"/>
        <v>GSE74685</v>
      </c>
      <c r="D9923" s="1" t="s">
        <v>447</v>
      </c>
      <c r="E9923" t="s">
        <v>448</v>
      </c>
      <c r="F9923" s="1">
        <v>2</v>
      </c>
      <c r="G9923" s="1" t="s">
        <v>452</v>
      </c>
      <c r="H9923" s="4" t="str">
        <f>HYPERLINK("https://www.ncbi.nlm.nih.gov/geo/query/acc.cgi?acc=GSM1930105","GSM1930105")</f>
        <v>GSM1930105</v>
      </c>
      <c r="I9923" t="s">
        <v>161</v>
      </c>
      <c r="J9923" t="s">
        <v>193</v>
      </c>
      <c r="K9923" t="s">
        <v>19</v>
      </c>
      <c r="L9923" t="s">
        <v>162</v>
      </c>
      <c r="M9923" t="s">
        <v>24</v>
      </c>
      <c r="N9923" t="s">
        <v>22</v>
      </c>
    </row>
    <row r="9924" spans="1:14">
      <c r="A9924" s="4" t="str">
        <f t="shared" si="892"/>
        <v>EXP00333</v>
      </c>
      <c r="B9924" s="4" t="str">
        <f t="shared" si="893"/>
        <v>26667932</v>
      </c>
      <c r="C9924" s="4" t="str">
        <f t="shared" si="894"/>
        <v>GSE74685</v>
      </c>
      <c r="D9924" s="1" t="s">
        <v>447</v>
      </c>
      <c r="E9924" t="s">
        <v>448</v>
      </c>
      <c r="F9924" s="1">
        <v>2</v>
      </c>
      <c r="G9924" s="1" t="s">
        <v>452</v>
      </c>
      <c r="H9924" s="4" t="str">
        <f>HYPERLINK("https://www.ncbi.nlm.nih.gov/geo/query/acc.cgi?acc=GSM1930106","GSM1930106")</f>
        <v>GSM1930106</v>
      </c>
      <c r="I9924" t="s">
        <v>161</v>
      </c>
      <c r="J9924" t="s">
        <v>193</v>
      </c>
      <c r="K9924" t="s">
        <v>19</v>
      </c>
      <c r="L9924" t="s">
        <v>162</v>
      </c>
      <c r="M9924" t="s">
        <v>24</v>
      </c>
      <c r="N9924" t="s">
        <v>22</v>
      </c>
    </row>
    <row r="9925" spans="1:14">
      <c r="A9925" s="4" t="str">
        <f t="shared" si="892"/>
        <v>EXP00333</v>
      </c>
      <c r="B9925" s="4" t="str">
        <f t="shared" si="893"/>
        <v>26667932</v>
      </c>
      <c r="C9925" s="4" t="str">
        <f t="shared" si="894"/>
        <v>GSE74685</v>
      </c>
      <c r="D9925" s="1" t="s">
        <v>447</v>
      </c>
      <c r="E9925" t="s">
        <v>448</v>
      </c>
      <c r="F9925" s="1">
        <v>2</v>
      </c>
      <c r="G9925" s="1" t="s">
        <v>452</v>
      </c>
      <c r="H9925" s="4" t="str">
        <f>HYPERLINK("https://www.ncbi.nlm.nih.gov/geo/query/acc.cgi?acc=GSM1930109","GSM1930109")</f>
        <v>GSM1930109</v>
      </c>
      <c r="I9925" t="s">
        <v>161</v>
      </c>
      <c r="J9925" t="s">
        <v>193</v>
      </c>
      <c r="K9925" t="s">
        <v>19</v>
      </c>
      <c r="L9925" t="s">
        <v>162</v>
      </c>
      <c r="M9925" t="s">
        <v>24</v>
      </c>
      <c r="N9925" t="s">
        <v>22</v>
      </c>
    </row>
    <row r="9926" spans="1:14">
      <c r="A9926" s="4" t="str">
        <f t="shared" si="892"/>
        <v>EXP00333</v>
      </c>
      <c r="B9926" s="4" t="str">
        <f t="shared" si="893"/>
        <v>26667932</v>
      </c>
      <c r="C9926" s="4" t="str">
        <f t="shared" si="894"/>
        <v>GSE74685</v>
      </c>
      <c r="D9926" s="1" t="s">
        <v>447</v>
      </c>
      <c r="E9926" t="s">
        <v>448</v>
      </c>
      <c r="F9926" s="1">
        <v>2</v>
      </c>
      <c r="G9926" s="1" t="s">
        <v>452</v>
      </c>
      <c r="H9926" s="4" t="str">
        <f>HYPERLINK("https://www.ncbi.nlm.nih.gov/geo/query/acc.cgi?acc=GSM1930114","GSM1930114")</f>
        <v>GSM1930114</v>
      </c>
      <c r="I9926" t="s">
        <v>161</v>
      </c>
      <c r="J9926" t="s">
        <v>193</v>
      </c>
      <c r="K9926" t="s">
        <v>19</v>
      </c>
      <c r="L9926" t="s">
        <v>162</v>
      </c>
      <c r="M9926" t="s">
        <v>24</v>
      </c>
      <c r="N9926" t="s">
        <v>22</v>
      </c>
    </row>
    <row r="9927" spans="1:14">
      <c r="A9927" s="4" t="str">
        <f t="shared" si="892"/>
        <v>EXP00333</v>
      </c>
      <c r="B9927" s="4" t="str">
        <f t="shared" si="893"/>
        <v>26667932</v>
      </c>
      <c r="C9927" s="4" t="str">
        <f t="shared" si="894"/>
        <v>GSE74685</v>
      </c>
      <c r="D9927" s="1" t="s">
        <v>447</v>
      </c>
      <c r="E9927" t="s">
        <v>448</v>
      </c>
      <c r="F9927" s="1">
        <v>2</v>
      </c>
      <c r="G9927" s="1" t="s">
        <v>452</v>
      </c>
      <c r="H9927" s="4" t="str">
        <f>HYPERLINK("https://www.ncbi.nlm.nih.gov/geo/query/acc.cgi?acc=GSM1930117","GSM1930117")</f>
        <v>GSM1930117</v>
      </c>
      <c r="I9927" t="s">
        <v>161</v>
      </c>
      <c r="J9927" t="s">
        <v>193</v>
      </c>
      <c r="K9927" t="s">
        <v>19</v>
      </c>
      <c r="L9927" t="s">
        <v>162</v>
      </c>
      <c r="M9927" t="s">
        <v>24</v>
      </c>
      <c r="N9927" t="s">
        <v>22</v>
      </c>
    </row>
    <row r="9928" spans="1:14">
      <c r="A9928" s="4" t="str">
        <f t="shared" si="892"/>
        <v>EXP00333</v>
      </c>
      <c r="B9928" s="4" t="str">
        <f t="shared" si="893"/>
        <v>26667932</v>
      </c>
      <c r="C9928" s="4" t="str">
        <f t="shared" si="894"/>
        <v>GSE74685</v>
      </c>
      <c r="D9928" s="1" t="s">
        <v>447</v>
      </c>
      <c r="E9928" t="s">
        <v>448</v>
      </c>
      <c r="F9928" s="1">
        <v>2</v>
      </c>
      <c r="G9928" s="1" t="s">
        <v>452</v>
      </c>
      <c r="H9928" s="4" t="str">
        <f>HYPERLINK("https://www.ncbi.nlm.nih.gov/geo/query/acc.cgi?acc=GSM1930118","GSM1930118")</f>
        <v>GSM1930118</v>
      </c>
      <c r="I9928" t="s">
        <v>161</v>
      </c>
      <c r="J9928" t="s">
        <v>193</v>
      </c>
      <c r="K9928" t="s">
        <v>19</v>
      </c>
      <c r="L9928" t="s">
        <v>162</v>
      </c>
      <c r="M9928" t="s">
        <v>24</v>
      </c>
      <c r="N9928" t="s">
        <v>22</v>
      </c>
    </row>
    <row r="9929" spans="1:14">
      <c r="A9929" s="4" t="str">
        <f t="shared" si="892"/>
        <v>EXP00333</v>
      </c>
      <c r="B9929" s="4" t="str">
        <f t="shared" si="893"/>
        <v>26667932</v>
      </c>
      <c r="C9929" s="4" t="str">
        <f t="shared" si="894"/>
        <v>GSE74685</v>
      </c>
      <c r="D9929" s="1" t="s">
        <v>447</v>
      </c>
      <c r="E9929" t="s">
        <v>448</v>
      </c>
      <c r="F9929" s="1">
        <v>2</v>
      </c>
      <c r="G9929" s="1" t="s">
        <v>452</v>
      </c>
      <c r="H9929" s="4" t="str">
        <f>HYPERLINK("https://www.ncbi.nlm.nih.gov/geo/query/acc.cgi?acc=GSM1930121","GSM1930121")</f>
        <v>GSM1930121</v>
      </c>
      <c r="I9929" t="s">
        <v>161</v>
      </c>
      <c r="J9929" t="s">
        <v>193</v>
      </c>
      <c r="K9929" t="s">
        <v>19</v>
      </c>
      <c r="L9929" t="s">
        <v>162</v>
      </c>
      <c r="M9929" t="s">
        <v>24</v>
      </c>
      <c r="N9929" t="s">
        <v>22</v>
      </c>
    </row>
    <row r="9930" spans="1:14">
      <c r="A9930" s="4" t="str">
        <f t="shared" si="892"/>
        <v>EXP00333</v>
      </c>
      <c r="B9930" s="4" t="str">
        <f t="shared" si="893"/>
        <v>26667932</v>
      </c>
      <c r="C9930" s="4" t="str">
        <f t="shared" si="894"/>
        <v>GSE74685</v>
      </c>
      <c r="D9930" s="1" t="s">
        <v>447</v>
      </c>
      <c r="E9930" t="s">
        <v>448</v>
      </c>
      <c r="F9930" s="1">
        <v>2</v>
      </c>
      <c r="G9930" s="1" t="s">
        <v>452</v>
      </c>
      <c r="H9930" s="4" t="str">
        <f>HYPERLINK("https://www.ncbi.nlm.nih.gov/geo/query/acc.cgi?acc=GSM1930123","GSM1930123")</f>
        <v>GSM1930123</v>
      </c>
      <c r="I9930" t="s">
        <v>161</v>
      </c>
      <c r="J9930" t="s">
        <v>193</v>
      </c>
      <c r="K9930" t="s">
        <v>19</v>
      </c>
      <c r="L9930" t="s">
        <v>162</v>
      </c>
      <c r="M9930" t="s">
        <v>24</v>
      </c>
      <c r="N9930" t="s">
        <v>22</v>
      </c>
    </row>
    <row r="9931" spans="1:14">
      <c r="A9931" s="4" t="str">
        <f t="shared" si="892"/>
        <v>EXP00333</v>
      </c>
      <c r="B9931" s="4" t="str">
        <f t="shared" si="893"/>
        <v>26667932</v>
      </c>
      <c r="C9931" s="4" t="str">
        <f t="shared" si="894"/>
        <v>GSE74685</v>
      </c>
      <c r="D9931" s="1" t="s">
        <v>447</v>
      </c>
      <c r="E9931" t="s">
        <v>448</v>
      </c>
      <c r="F9931" s="1">
        <v>2</v>
      </c>
      <c r="G9931" s="1" t="s">
        <v>452</v>
      </c>
      <c r="H9931" s="4" t="str">
        <f>HYPERLINK("https://www.ncbi.nlm.nih.gov/geo/query/acc.cgi?acc=GSM1930124","GSM1930124")</f>
        <v>GSM1930124</v>
      </c>
      <c r="I9931" t="s">
        <v>161</v>
      </c>
      <c r="J9931" t="s">
        <v>193</v>
      </c>
      <c r="K9931" t="s">
        <v>19</v>
      </c>
      <c r="L9931" t="s">
        <v>162</v>
      </c>
      <c r="M9931" t="s">
        <v>24</v>
      </c>
      <c r="N9931" t="s">
        <v>22</v>
      </c>
    </row>
    <row r="9932" spans="1:14">
      <c r="A9932" s="4" t="str">
        <f t="shared" si="892"/>
        <v>EXP00333</v>
      </c>
      <c r="B9932" s="4" t="str">
        <f t="shared" si="893"/>
        <v>26667932</v>
      </c>
      <c r="C9932" s="4" t="str">
        <f t="shared" si="894"/>
        <v>GSE74685</v>
      </c>
      <c r="D9932" s="1" t="s">
        <v>447</v>
      </c>
      <c r="E9932" t="s">
        <v>448</v>
      </c>
      <c r="F9932" s="1">
        <v>2</v>
      </c>
      <c r="G9932" s="1" t="s">
        <v>452</v>
      </c>
      <c r="H9932" s="4" t="str">
        <f>HYPERLINK("https://www.ncbi.nlm.nih.gov/geo/query/acc.cgi?acc=GSM1930125","GSM1930125")</f>
        <v>GSM1930125</v>
      </c>
      <c r="I9932" t="s">
        <v>161</v>
      </c>
      <c r="J9932" t="s">
        <v>193</v>
      </c>
      <c r="K9932" t="s">
        <v>19</v>
      </c>
      <c r="L9932" t="s">
        <v>162</v>
      </c>
      <c r="M9932" t="s">
        <v>24</v>
      </c>
      <c r="N9932" t="s">
        <v>22</v>
      </c>
    </row>
    <row r="9933" spans="1:14">
      <c r="A9933" s="4" t="str">
        <f t="shared" si="892"/>
        <v>EXP00333</v>
      </c>
      <c r="B9933" s="4" t="str">
        <f t="shared" si="893"/>
        <v>26667932</v>
      </c>
      <c r="C9933" s="4" t="str">
        <f t="shared" si="894"/>
        <v>GSE74685</v>
      </c>
      <c r="D9933" s="1" t="s">
        <v>447</v>
      </c>
      <c r="E9933" t="s">
        <v>448</v>
      </c>
      <c r="F9933" s="1">
        <v>2</v>
      </c>
      <c r="G9933" s="1" t="s">
        <v>452</v>
      </c>
      <c r="H9933" s="4" t="str">
        <f>HYPERLINK("https://www.ncbi.nlm.nih.gov/geo/query/acc.cgi?acc=GSM1930127","GSM1930127")</f>
        <v>GSM1930127</v>
      </c>
      <c r="I9933" t="s">
        <v>161</v>
      </c>
      <c r="J9933" t="s">
        <v>193</v>
      </c>
      <c r="K9933" t="s">
        <v>19</v>
      </c>
      <c r="L9933" t="s">
        <v>162</v>
      </c>
      <c r="M9933" t="s">
        <v>24</v>
      </c>
      <c r="N9933" t="s">
        <v>22</v>
      </c>
    </row>
    <row r="9934" spans="1:14">
      <c r="A9934" s="4" t="str">
        <f t="shared" si="892"/>
        <v>EXP00333</v>
      </c>
      <c r="B9934" s="4" t="str">
        <f t="shared" si="893"/>
        <v>26667932</v>
      </c>
      <c r="C9934" s="4" t="str">
        <f t="shared" si="894"/>
        <v>GSE74685</v>
      </c>
      <c r="D9934" s="1" t="s">
        <v>447</v>
      </c>
      <c r="E9934" t="s">
        <v>448</v>
      </c>
      <c r="F9934" s="1">
        <v>2</v>
      </c>
      <c r="G9934" s="1" t="s">
        <v>452</v>
      </c>
      <c r="H9934" s="4" t="str">
        <f>HYPERLINK("https://www.ncbi.nlm.nih.gov/geo/query/acc.cgi?acc=GSM1930128","GSM1930128")</f>
        <v>GSM1930128</v>
      </c>
      <c r="I9934" t="s">
        <v>161</v>
      </c>
      <c r="J9934" t="s">
        <v>193</v>
      </c>
      <c r="K9934" t="s">
        <v>19</v>
      </c>
      <c r="L9934" t="s">
        <v>162</v>
      </c>
      <c r="M9934" t="s">
        <v>24</v>
      </c>
      <c r="N9934" t="s">
        <v>22</v>
      </c>
    </row>
    <row r="9935" spans="1:14">
      <c r="A9935" s="4" t="str">
        <f t="shared" si="892"/>
        <v>EXP00333</v>
      </c>
      <c r="B9935" s="4" t="str">
        <f t="shared" si="893"/>
        <v>26667932</v>
      </c>
      <c r="C9935" s="4" t="str">
        <f t="shared" si="894"/>
        <v>GSE74685</v>
      </c>
      <c r="D9935" s="1" t="s">
        <v>447</v>
      </c>
      <c r="E9935" t="s">
        <v>448</v>
      </c>
      <c r="F9935" s="1">
        <v>2</v>
      </c>
      <c r="G9935" s="1" t="s">
        <v>452</v>
      </c>
      <c r="H9935" s="4" t="str">
        <f>HYPERLINK("https://www.ncbi.nlm.nih.gov/geo/query/acc.cgi?acc=GSM1930130","GSM1930130")</f>
        <v>GSM1930130</v>
      </c>
      <c r="I9935" t="s">
        <v>161</v>
      </c>
      <c r="J9935" t="s">
        <v>193</v>
      </c>
      <c r="K9935" t="s">
        <v>19</v>
      </c>
      <c r="L9935" t="s">
        <v>162</v>
      </c>
      <c r="M9935" t="s">
        <v>24</v>
      </c>
      <c r="N9935" t="s">
        <v>22</v>
      </c>
    </row>
    <row r="9936" spans="1:14">
      <c r="A9936" s="4" t="str">
        <f t="shared" si="892"/>
        <v>EXP00333</v>
      </c>
      <c r="B9936" s="4" t="str">
        <f t="shared" si="893"/>
        <v>26667932</v>
      </c>
      <c r="C9936" s="4" t="str">
        <f t="shared" si="894"/>
        <v>GSE74685</v>
      </c>
      <c r="D9936" s="1" t="s">
        <v>447</v>
      </c>
      <c r="E9936" t="s">
        <v>448</v>
      </c>
      <c r="F9936" s="1">
        <v>2</v>
      </c>
      <c r="G9936" s="1" t="s">
        <v>452</v>
      </c>
      <c r="H9936" s="4" t="str">
        <f>HYPERLINK("https://www.ncbi.nlm.nih.gov/geo/query/acc.cgi?acc=GSM1930132","GSM1930132")</f>
        <v>GSM1930132</v>
      </c>
      <c r="I9936" t="s">
        <v>161</v>
      </c>
      <c r="J9936" t="s">
        <v>193</v>
      </c>
      <c r="K9936" t="s">
        <v>19</v>
      </c>
      <c r="L9936" t="s">
        <v>162</v>
      </c>
      <c r="M9936" t="s">
        <v>24</v>
      </c>
      <c r="N9936" t="s">
        <v>22</v>
      </c>
    </row>
    <row r="9937" spans="1:14">
      <c r="A9937" s="4" t="str">
        <f t="shared" si="892"/>
        <v>EXP00333</v>
      </c>
      <c r="B9937" s="4" t="str">
        <f t="shared" si="893"/>
        <v>26667932</v>
      </c>
      <c r="C9937" s="4" t="str">
        <f t="shared" si="894"/>
        <v>GSE74685</v>
      </c>
      <c r="D9937" s="1" t="s">
        <v>447</v>
      </c>
      <c r="E9937" t="s">
        <v>448</v>
      </c>
      <c r="F9937" s="1">
        <v>2</v>
      </c>
      <c r="G9937" s="1" t="s">
        <v>452</v>
      </c>
      <c r="H9937" s="4" t="str">
        <f>HYPERLINK("https://www.ncbi.nlm.nih.gov/geo/query/acc.cgi?acc=GSM1930139","GSM1930139")</f>
        <v>GSM1930139</v>
      </c>
      <c r="I9937" t="s">
        <v>161</v>
      </c>
      <c r="J9937" t="s">
        <v>193</v>
      </c>
      <c r="K9937" t="s">
        <v>19</v>
      </c>
      <c r="L9937" t="s">
        <v>162</v>
      </c>
      <c r="M9937" t="s">
        <v>24</v>
      </c>
      <c r="N9937" t="s">
        <v>22</v>
      </c>
    </row>
    <row r="9938" spans="1:14">
      <c r="A9938" s="4" t="str">
        <f t="shared" ref="A9938:A9946" si="895">HYPERLINK("http://hcmdb.i-sanger.com/experiment/details/experiment_id/EXP00333","EXP00333")</f>
        <v>EXP00333</v>
      </c>
      <c r="B9938" s="4" t="str">
        <f t="shared" si="893"/>
        <v>26667932</v>
      </c>
      <c r="C9938" s="4" t="str">
        <f t="shared" si="894"/>
        <v>GSE74685</v>
      </c>
      <c r="D9938" s="1" t="s">
        <v>447</v>
      </c>
      <c r="E9938" t="s">
        <v>448</v>
      </c>
      <c r="F9938" s="1">
        <v>2</v>
      </c>
      <c r="G9938" s="1" t="s">
        <v>452</v>
      </c>
      <c r="H9938" s="4" t="str">
        <f>HYPERLINK("https://www.ncbi.nlm.nih.gov/geo/query/acc.cgi?acc=GSM1930146","GSM1930146")</f>
        <v>GSM1930146</v>
      </c>
      <c r="I9938" t="s">
        <v>161</v>
      </c>
      <c r="J9938" t="s">
        <v>193</v>
      </c>
      <c r="K9938" t="s">
        <v>19</v>
      </c>
      <c r="L9938" t="s">
        <v>162</v>
      </c>
      <c r="M9938" t="s">
        <v>24</v>
      </c>
      <c r="N9938" t="s">
        <v>22</v>
      </c>
    </row>
    <row r="9939" spans="1:14">
      <c r="A9939" s="4" t="str">
        <f t="shared" si="895"/>
        <v>EXP00333</v>
      </c>
      <c r="B9939" s="4" t="str">
        <f t="shared" si="893"/>
        <v>26667932</v>
      </c>
      <c r="C9939" s="4" t="str">
        <f t="shared" si="894"/>
        <v>GSE74685</v>
      </c>
      <c r="D9939" s="1" t="s">
        <v>447</v>
      </c>
      <c r="E9939" t="s">
        <v>448</v>
      </c>
      <c r="F9939" s="1">
        <v>2</v>
      </c>
      <c r="G9939" s="1" t="s">
        <v>452</v>
      </c>
      <c r="H9939" s="4" t="str">
        <f>HYPERLINK("https://www.ncbi.nlm.nih.gov/geo/query/acc.cgi?acc=GSM1930147","GSM1930147")</f>
        <v>GSM1930147</v>
      </c>
      <c r="I9939" t="s">
        <v>161</v>
      </c>
      <c r="J9939" t="s">
        <v>193</v>
      </c>
      <c r="K9939" t="s">
        <v>19</v>
      </c>
      <c r="L9939" t="s">
        <v>162</v>
      </c>
      <c r="M9939" t="s">
        <v>24</v>
      </c>
      <c r="N9939" t="s">
        <v>22</v>
      </c>
    </row>
    <row r="9940" spans="1:14">
      <c r="A9940" s="4" t="str">
        <f t="shared" si="895"/>
        <v>EXP00333</v>
      </c>
      <c r="B9940" s="4" t="str">
        <f t="shared" si="893"/>
        <v>26667932</v>
      </c>
      <c r="C9940" s="4" t="str">
        <f t="shared" si="894"/>
        <v>GSE74685</v>
      </c>
      <c r="D9940" s="1" t="s">
        <v>447</v>
      </c>
      <c r="E9940" t="s">
        <v>448</v>
      </c>
      <c r="F9940" s="1">
        <v>2</v>
      </c>
      <c r="G9940" s="1" t="s">
        <v>452</v>
      </c>
      <c r="H9940" s="4" t="str">
        <f>HYPERLINK("https://www.ncbi.nlm.nih.gov/geo/query/acc.cgi?acc=GSM1930148","GSM1930148")</f>
        <v>GSM1930148</v>
      </c>
      <c r="I9940" t="s">
        <v>161</v>
      </c>
      <c r="J9940" t="s">
        <v>193</v>
      </c>
      <c r="K9940" t="s">
        <v>19</v>
      </c>
      <c r="L9940" t="s">
        <v>162</v>
      </c>
      <c r="M9940" t="s">
        <v>24</v>
      </c>
      <c r="N9940" t="s">
        <v>22</v>
      </c>
    </row>
    <row r="9941" spans="1:14">
      <c r="A9941" s="4" t="str">
        <f t="shared" si="895"/>
        <v>EXP00333</v>
      </c>
      <c r="B9941" s="4" t="str">
        <f t="shared" si="893"/>
        <v>26667932</v>
      </c>
      <c r="C9941" s="4" t="str">
        <f t="shared" si="894"/>
        <v>GSE74685</v>
      </c>
      <c r="D9941" s="1" t="s">
        <v>447</v>
      </c>
      <c r="E9941" t="s">
        <v>448</v>
      </c>
      <c r="F9941" s="1">
        <v>2</v>
      </c>
      <c r="G9941" s="1" t="s">
        <v>452</v>
      </c>
      <c r="H9941" s="4" t="str">
        <f>HYPERLINK("https://www.ncbi.nlm.nih.gov/geo/query/acc.cgi?acc=GSM1930149","GSM1930149")</f>
        <v>GSM1930149</v>
      </c>
      <c r="I9941" t="s">
        <v>161</v>
      </c>
      <c r="J9941" t="s">
        <v>193</v>
      </c>
      <c r="K9941" t="s">
        <v>19</v>
      </c>
      <c r="L9941" t="s">
        <v>162</v>
      </c>
      <c r="M9941" t="s">
        <v>24</v>
      </c>
      <c r="N9941" t="s">
        <v>22</v>
      </c>
    </row>
    <row r="9942" spans="1:14">
      <c r="A9942" s="4" t="str">
        <f t="shared" si="895"/>
        <v>EXP00333</v>
      </c>
      <c r="B9942" s="4" t="str">
        <f t="shared" si="893"/>
        <v>26667932</v>
      </c>
      <c r="C9942" s="4" t="str">
        <f t="shared" si="894"/>
        <v>GSE74685</v>
      </c>
      <c r="D9942" s="1" t="s">
        <v>447</v>
      </c>
      <c r="E9942" t="s">
        <v>448</v>
      </c>
      <c r="F9942" s="1">
        <v>2</v>
      </c>
      <c r="G9942" s="1" t="s">
        <v>452</v>
      </c>
      <c r="H9942" s="4" t="str">
        <f>HYPERLINK("https://www.ncbi.nlm.nih.gov/geo/query/acc.cgi?acc=GSM1930152","GSM1930152")</f>
        <v>GSM1930152</v>
      </c>
      <c r="I9942" t="s">
        <v>161</v>
      </c>
      <c r="J9942" t="s">
        <v>193</v>
      </c>
      <c r="K9942" t="s">
        <v>19</v>
      </c>
      <c r="L9942" t="s">
        <v>162</v>
      </c>
      <c r="M9942" t="s">
        <v>24</v>
      </c>
      <c r="N9942" t="s">
        <v>22</v>
      </c>
    </row>
    <row r="9943" spans="1:14">
      <c r="A9943" s="4" t="str">
        <f t="shared" si="895"/>
        <v>EXP00333</v>
      </c>
      <c r="B9943" s="4" t="str">
        <f t="shared" si="893"/>
        <v>26667932</v>
      </c>
      <c r="C9943" s="4" t="str">
        <f t="shared" si="894"/>
        <v>GSE74685</v>
      </c>
      <c r="D9943" s="1" t="s">
        <v>447</v>
      </c>
      <c r="E9943" t="s">
        <v>448</v>
      </c>
      <c r="F9943" s="1">
        <v>2</v>
      </c>
      <c r="G9943" s="1" t="s">
        <v>452</v>
      </c>
      <c r="H9943" s="4" t="str">
        <f>HYPERLINK("https://www.ncbi.nlm.nih.gov/geo/query/acc.cgi?acc=GSM1930156","GSM1930156")</f>
        <v>GSM1930156</v>
      </c>
      <c r="I9943" t="s">
        <v>161</v>
      </c>
      <c r="J9943" t="s">
        <v>193</v>
      </c>
      <c r="K9943" t="s">
        <v>19</v>
      </c>
      <c r="L9943" t="s">
        <v>162</v>
      </c>
      <c r="M9943" t="s">
        <v>24</v>
      </c>
      <c r="N9943" t="s">
        <v>22</v>
      </c>
    </row>
    <row r="9944" spans="1:14">
      <c r="A9944" s="4" t="str">
        <f t="shared" si="895"/>
        <v>EXP00333</v>
      </c>
      <c r="B9944" s="4" t="str">
        <f t="shared" si="893"/>
        <v>26667932</v>
      </c>
      <c r="C9944" s="4" t="str">
        <f t="shared" si="894"/>
        <v>GSE74685</v>
      </c>
      <c r="D9944" s="1" t="s">
        <v>447</v>
      </c>
      <c r="E9944" t="s">
        <v>448</v>
      </c>
      <c r="F9944" s="1">
        <v>2</v>
      </c>
      <c r="G9944" s="1" t="s">
        <v>452</v>
      </c>
      <c r="H9944" s="4" t="str">
        <f>HYPERLINK("https://www.ncbi.nlm.nih.gov/geo/query/acc.cgi?acc=GSM1930157","GSM1930157")</f>
        <v>GSM1930157</v>
      </c>
      <c r="I9944" t="s">
        <v>161</v>
      </c>
      <c r="J9944" t="s">
        <v>193</v>
      </c>
      <c r="K9944" t="s">
        <v>19</v>
      </c>
      <c r="L9944" t="s">
        <v>162</v>
      </c>
      <c r="M9944" t="s">
        <v>24</v>
      </c>
      <c r="N9944" t="s">
        <v>22</v>
      </c>
    </row>
    <row r="9945" spans="1:14">
      <c r="A9945" s="4" t="str">
        <f t="shared" si="895"/>
        <v>EXP00333</v>
      </c>
      <c r="B9945" s="4" t="str">
        <f t="shared" si="893"/>
        <v>26667932</v>
      </c>
      <c r="C9945" s="4" t="str">
        <f t="shared" si="894"/>
        <v>GSE74685</v>
      </c>
      <c r="D9945" s="1" t="s">
        <v>447</v>
      </c>
      <c r="E9945" t="s">
        <v>448</v>
      </c>
      <c r="F9945" s="1">
        <v>2</v>
      </c>
      <c r="G9945" s="1" t="s">
        <v>452</v>
      </c>
      <c r="H9945" s="4" t="str">
        <f>HYPERLINK("https://www.ncbi.nlm.nih.gov/geo/query/acc.cgi?acc=GSM1930158","GSM1930158")</f>
        <v>GSM1930158</v>
      </c>
      <c r="I9945" t="s">
        <v>161</v>
      </c>
      <c r="J9945" t="s">
        <v>193</v>
      </c>
      <c r="K9945" t="s">
        <v>19</v>
      </c>
      <c r="L9945" t="s">
        <v>162</v>
      </c>
      <c r="M9945" t="s">
        <v>24</v>
      </c>
      <c r="N9945" t="s">
        <v>22</v>
      </c>
    </row>
    <row r="9946" spans="1:14">
      <c r="A9946" s="4" t="str">
        <f t="shared" si="895"/>
        <v>EXP00333</v>
      </c>
      <c r="B9946" s="4" t="str">
        <f t="shared" si="893"/>
        <v>26667932</v>
      </c>
      <c r="C9946" s="4" t="str">
        <f t="shared" si="894"/>
        <v>GSE74685</v>
      </c>
      <c r="D9946" s="1" t="s">
        <v>447</v>
      </c>
      <c r="E9946" t="s">
        <v>448</v>
      </c>
      <c r="F9946" s="1">
        <v>2</v>
      </c>
      <c r="G9946" s="1" t="s">
        <v>452</v>
      </c>
      <c r="H9946" s="4" t="str">
        <f>HYPERLINK("https://www.ncbi.nlm.nih.gov/geo/query/acc.cgi?acc=GSM1930159","GSM1930159")</f>
        <v>GSM1930159</v>
      </c>
      <c r="I9946" t="s">
        <v>161</v>
      </c>
      <c r="J9946" t="s">
        <v>193</v>
      </c>
      <c r="K9946" t="s">
        <v>19</v>
      </c>
      <c r="L9946" t="s">
        <v>162</v>
      </c>
      <c r="M9946" t="s">
        <v>24</v>
      </c>
      <c r="N9946" t="s">
        <v>22</v>
      </c>
    </row>
    <row r="9947" spans="1:14">
      <c r="A9947" s="4" t="str">
        <f t="shared" ref="A9947:A9953" si="896">HYPERLINK("http://hcmdb.i-sanger.com/experiment/details/experiment_id/EXP00334","EXP00334")</f>
        <v>EXP00334</v>
      </c>
      <c r="B9947" s="4" t="str">
        <f t="shared" si="893"/>
        <v>26667932</v>
      </c>
      <c r="C9947" s="4" t="str">
        <f t="shared" si="894"/>
        <v>GSE74685</v>
      </c>
      <c r="D9947" s="1" t="s">
        <v>447</v>
      </c>
      <c r="E9947" t="s">
        <v>448</v>
      </c>
      <c r="F9947" s="1">
        <v>1</v>
      </c>
      <c r="G9947" s="1" t="s">
        <v>455</v>
      </c>
      <c r="H9947" s="4" t="str">
        <f>HYPERLINK("https://www.ncbi.nlm.nih.gov/geo/query/acc.cgi?acc=GSM1930111","GSM1930111")</f>
        <v>GSM1930111</v>
      </c>
      <c r="I9947" t="s">
        <v>161</v>
      </c>
      <c r="J9947" t="s">
        <v>193</v>
      </c>
      <c r="K9947" t="s">
        <v>19</v>
      </c>
      <c r="L9947" t="s">
        <v>162</v>
      </c>
      <c r="M9947" t="s">
        <v>34</v>
      </c>
      <c r="N9947" t="s">
        <v>22</v>
      </c>
    </row>
    <row r="9948" spans="1:14">
      <c r="A9948" s="4" t="str">
        <f t="shared" si="896"/>
        <v>EXP00334</v>
      </c>
      <c r="B9948" s="4" t="str">
        <f t="shared" si="893"/>
        <v>26667932</v>
      </c>
      <c r="C9948" s="4" t="str">
        <f t="shared" si="894"/>
        <v>GSE74685</v>
      </c>
      <c r="D9948" s="1" t="s">
        <v>447</v>
      </c>
      <c r="E9948" t="s">
        <v>448</v>
      </c>
      <c r="F9948" s="1">
        <v>1</v>
      </c>
      <c r="G9948" s="1" t="s">
        <v>455</v>
      </c>
      <c r="H9948" s="4" t="str">
        <f>HYPERLINK("https://www.ncbi.nlm.nih.gov/geo/query/acc.cgi?acc=GSM1930112","GSM1930112")</f>
        <v>GSM1930112</v>
      </c>
      <c r="I9948" t="s">
        <v>161</v>
      </c>
      <c r="J9948" t="s">
        <v>193</v>
      </c>
      <c r="K9948" t="s">
        <v>19</v>
      </c>
      <c r="L9948" t="s">
        <v>162</v>
      </c>
      <c r="M9948" t="s">
        <v>34</v>
      </c>
      <c r="N9948" t="s">
        <v>22</v>
      </c>
    </row>
    <row r="9949" spans="1:14">
      <c r="A9949" s="4" t="str">
        <f t="shared" si="896"/>
        <v>EXP00334</v>
      </c>
      <c r="B9949" s="4" t="str">
        <f t="shared" si="893"/>
        <v>26667932</v>
      </c>
      <c r="C9949" s="4" t="str">
        <f t="shared" si="894"/>
        <v>GSE74685</v>
      </c>
      <c r="D9949" s="1" t="s">
        <v>447</v>
      </c>
      <c r="E9949" t="s">
        <v>448</v>
      </c>
      <c r="F9949" s="1">
        <v>1</v>
      </c>
      <c r="G9949" s="1" t="s">
        <v>455</v>
      </c>
      <c r="H9949" s="4" t="str">
        <f>HYPERLINK("https://www.ncbi.nlm.nih.gov/geo/query/acc.cgi?acc=GSM1930115","GSM1930115")</f>
        <v>GSM1930115</v>
      </c>
      <c r="I9949" t="s">
        <v>161</v>
      </c>
      <c r="J9949" t="s">
        <v>193</v>
      </c>
      <c r="K9949" t="s">
        <v>19</v>
      </c>
      <c r="L9949" t="s">
        <v>162</v>
      </c>
      <c r="M9949" t="s">
        <v>34</v>
      </c>
      <c r="N9949" t="s">
        <v>22</v>
      </c>
    </row>
    <row r="9950" spans="1:14">
      <c r="A9950" s="4" t="str">
        <f t="shared" si="896"/>
        <v>EXP00334</v>
      </c>
      <c r="B9950" s="4" t="str">
        <f t="shared" si="893"/>
        <v>26667932</v>
      </c>
      <c r="C9950" s="4" t="str">
        <f t="shared" si="894"/>
        <v>GSE74685</v>
      </c>
      <c r="D9950" s="1" t="s">
        <v>447</v>
      </c>
      <c r="E9950" t="s">
        <v>448</v>
      </c>
      <c r="F9950" s="1">
        <v>1</v>
      </c>
      <c r="G9950" s="1" t="s">
        <v>455</v>
      </c>
      <c r="H9950" s="4" t="str">
        <f>HYPERLINK("https://www.ncbi.nlm.nih.gov/geo/query/acc.cgi?acc=GSM1930134","GSM1930134")</f>
        <v>GSM1930134</v>
      </c>
      <c r="I9950" t="s">
        <v>161</v>
      </c>
      <c r="J9950" t="s">
        <v>193</v>
      </c>
      <c r="K9950" t="s">
        <v>19</v>
      </c>
      <c r="L9950" t="s">
        <v>162</v>
      </c>
      <c r="M9950" t="s">
        <v>34</v>
      </c>
      <c r="N9950" t="s">
        <v>22</v>
      </c>
    </row>
    <row r="9951" spans="1:14">
      <c r="A9951" s="4" t="str">
        <f t="shared" si="896"/>
        <v>EXP00334</v>
      </c>
      <c r="B9951" s="4" t="str">
        <f t="shared" si="893"/>
        <v>26667932</v>
      </c>
      <c r="C9951" s="4" t="str">
        <f t="shared" si="894"/>
        <v>GSE74685</v>
      </c>
      <c r="D9951" s="1" t="s">
        <v>447</v>
      </c>
      <c r="E9951" t="s">
        <v>448</v>
      </c>
      <c r="F9951" s="1">
        <v>2</v>
      </c>
      <c r="G9951" s="1" t="s">
        <v>457</v>
      </c>
      <c r="H9951" s="4" t="str">
        <f>HYPERLINK("https://www.ncbi.nlm.nih.gov/geo/query/acc.cgi?acc=GSM1616658","GSM1616658")</f>
        <v>GSM1616658</v>
      </c>
      <c r="I9951" t="s">
        <v>161</v>
      </c>
      <c r="J9951" t="s">
        <v>193</v>
      </c>
      <c r="K9951" t="s">
        <v>19</v>
      </c>
      <c r="L9951" t="s">
        <v>162</v>
      </c>
      <c r="M9951" t="s">
        <v>292</v>
      </c>
      <c r="N9951" t="s">
        <v>22</v>
      </c>
    </row>
    <row r="9952" spans="1:14">
      <c r="A9952" s="4" t="str">
        <f t="shared" si="896"/>
        <v>EXP00334</v>
      </c>
      <c r="B9952" s="4" t="str">
        <f t="shared" si="893"/>
        <v>26667932</v>
      </c>
      <c r="C9952" s="4" t="str">
        <f t="shared" si="894"/>
        <v>GSE74685</v>
      </c>
      <c r="D9952" s="1" t="s">
        <v>447</v>
      </c>
      <c r="E9952" t="s">
        <v>448</v>
      </c>
      <c r="F9952" s="1">
        <v>2</v>
      </c>
      <c r="G9952" s="1" t="s">
        <v>457</v>
      </c>
      <c r="H9952" s="4" t="str">
        <f>HYPERLINK("https://www.ncbi.nlm.nih.gov/geo/query/acc.cgi?acc=GSM1918980","GSM1918980")</f>
        <v>GSM1918980</v>
      </c>
      <c r="I9952" t="s">
        <v>161</v>
      </c>
      <c r="J9952" t="s">
        <v>193</v>
      </c>
      <c r="K9952" t="s">
        <v>19</v>
      </c>
      <c r="L9952" t="s">
        <v>162</v>
      </c>
      <c r="M9952" t="s">
        <v>292</v>
      </c>
      <c r="N9952" t="s">
        <v>22</v>
      </c>
    </row>
    <row r="9953" spans="1:14">
      <c r="A9953" s="4" t="str">
        <f t="shared" si="896"/>
        <v>EXP00334</v>
      </c>
      <c r="B9953" s="4" t="str">
        <f t="shared" si="893"/>
        <v>26667932</v>
      </c>
      <c r="C9953" s="4" t="str">
        <f t="shared" si="894"/>
        <v>GSE74685</v>
      </c>
      <c r="D9953" s="1" t="s">
        <v>447</v>
      </c>
      <c r="E9953" t="s">
        <v>448</v>
      </c>
      <c r="F9953" s="1">
        <v>2</v>
      </c>
      <c r="G9953" s="1" t="s">
        <v>457</v>
      </c>
      <c r="H9953" s="4" t="str">
        <f>HYPERLINK("https://www.ncbi.nlm.nih.gov/geo/query/acc.cgi?acc=GSM1930093","GSM1930093")</f>
        <v>GSM1930093</v>
      </c>
      <c r="I9953" t="s">
        <v>161</v>
      </c>
      <c r="J9953" t="s">
        <v>193</v>
      </c>
      <c r="K9953" t="s">
        <v>19</v>
      </c>
      <c r="L9953" t="s">
        <v>162</v>
      </c>
      <c r="M9953" t="s">
        <v>292</v>
      </c>
      <c r="N9953" t="s">
        <v>22</v>
      </c>
    </row>
    <row r="9954" spans="1:14">
      <c r="A9954" s="4" t="str">
        <f t="shared" ref="A9954:A9961" si="897">HYPERLINK("http://hcmdb.i-sanger.com/experiment/details/experiment_id/EXP00335","EXP00335")</f>
        <v>EXP00335</v>
      </c>
      <c r="B9954" s="4" t="str">
        <f t="shared" si="893"/>
        <v>26667932</v>
      </c>
      <c r="C9954" s="4" t="str">
        <f t="shared" si="894"/>
        <v>GSE74685</v>
      </c>
      <c r="D9954" s="1" t="s">
        <v>447</v>
      </c>
      <c r="E9954" t="s">
        <v>448</v>
      </c>
      <c r="F9954" s="1">
        <v>1</v>
      </c>
      <c r="G9954" s="1" t="s">
        <v>455</v>
      </c>
      <c r="H9954" s="4" t="str">
        <f>HYPERLINK("https://www.ncbi.nlm.nih.gov/geo/query/acc.cgi?acc=GSM1930111","GSM1930111")</f>
        <v>GSM1930111</v>
      </c>
      <c r="I9954" t="s">
        <v>161</v>
      </c>
      <c r="J9954" t="s">
        <v>193</v>
      </c>
      <c r="K9954" t="s">
        <v>19</v>
      </c>
      <c r="L9954" t="s">
        <v>162</v>
      </c>
      <c r="M9954" t="s">
        <v>34</v>
      </c>
      <c r="N9954" t="s">
        <v>22</v>
      </c>
    </row>
    <row r="9955" spans="1:14">
      <c r="A9955" s="4" t="str">
        <f t="shared" si="897"/>
        <v>EXP00335</v>
      </c>
      <c r="B9955" s="4" t="str">
        <f t="shared" si="893"/>
        <v>26667932</v>
      </c>
      <c r="C9955" s="4" t="str">
        <f t="shared" si="894"/>
        <v>GSE74685</v>
      </c>
      <c r="D9955" s="1" t="s">
        <v>447</v>
      </c>
      <c r="E9955" t="s">
        <v>448</v>
      </c>
      <c r="F9955" s="1">
        <v>1</v>
      </c>
      <c r="G9955" s="1" t="s">
        <v>455</v>
      </c>
      <c r="H9955" s="4" t="str">
        <f>HYPERLINK("https://www.ncbi.nlm.nih.gov/geo/query/acc.cgi?acc=GSM1930112","GSM1930112")</f>
        <v>GSM1930112</v>
      </c>
      <c r="I9955" t="s">
        <v>161</v>
      </c>
      <c r="J9955" t="s">
        <v>193</v>
      </c>
      <c r="K9955" t="s">
        <v>19</v>
      </c>
      <c r="L9955" t="s">
        <v>162</v>
      </c>
      <c r="M9955" t="s">
        <v>34</v>
      </c>
      <c r="N9955" t="s">
        <v>22</v>
      </c>
    </row>
    <row r="9956" spans="1:14">
      <c r="A9956" s="4" t="str">
        <f t="shared" si="897"/>
        <v>EXP00335</v>
      </c>
      <c r="B9956" s="4" t="str">
        <f t="shared" si="893"/>
        <v>26667932</v>
      </c>
      <c r="C9956" s="4" t="str">
        <f t="shared" si="894"/>
        <v>GSE74685</v>
      </c>
      <c r="D9956" s="1" t="s">
        <v>447</v>
      </c>
      <c r="E9956" t="s">
        <v>448</v>
      </c>
      <c r="F9956" s="1">
        <v>1</v>
      </c>
      <c r="G9956" s="1" t="s">
        <v>455</v>
      </c>
      <c r="H9956" s="4" t="str">
        <f>HYPERLINK("https://www.ncbi.nlm.nih.gov/geo/query/acc.cgi?acc=GSM1930115","GSM1930115")</f>
        <v>GSM1930115</v>
      </c>
      <c r="I9956" t="s">
        <v>161</v>
      </c>
      <c r="J9956" t="s">
        <v>193</v>
      </c>
      <c r="K9956" t="s">
        <v>19</v>
      </c>
      <c r="L9956" t="s">
        <v>162</v>
      </c>
      <c r="M9956" t="s">
        <v>34</v>
      </c>
      <c r="N9956" t="s">
        <v>22</v>
      </c>
    </row>
    <row r="9957" spans="1:14">
      <c r="A9957" s="4" t="str">
        <f t="shared" si="897"/>
        <v>EXP00335</v>
      </c>
      <c r="B9957" s="4" t="str">
        <f t="shared" si="893"/>
        <v>26667932</v>
      </c>
      <c r="C9957" s="4" t="str">
        <f t="shared" si="894"/>
        <v>GSE74685</v>
      </c>
      <c r="D9957" s="1" t="s">
        <v>447</v>
      </c>
      <c r="E9957" t="s">
        <v>448</v>
      </c>
      <c r="F9957" s="1">
        <v>1</v>
      </c>
      <c r="G9957" s="1" t="s">
        <v>455</v>
      </c>
      <c r="H9957" s="4" t="str">
        <f>HYPERLINK("https://www.ncbi.nlm.nih.gov/geo/query/acc.cgi?acc=GSM1930134","GSM1930134")</f>
        <v>GSM1930134</v>
      </c>
      <c r="I9957" t="s">
        <v>161</v>
      </c>
      <c r="J9957" t="s">
        <v>193</v>
      </c>
      <c r="K9957" t="s">
        <v>19</v>
      </c>
      <c r="L9957" t="s">
        <v>162</v>
      </c>
      <c r="M9957" t="s">
        <v>34</v>
      </c>
      <c r="N9957" t="s">
        <v>22</v>
      </c>
    </row>
    <row r="9958" spans="1:14">
      <c r="A9958" s="4" t="str">
        <f t="shared" si="897"/>
        <v>EXP00335</v>
      </c>
      <c r="B9958" s="4" t="str">
        <f t="shared" si="893"/>
        <v>26667932</v>
      </c>
      <c r="C9958" s="4" t="str">
        <f t="shared" si="894"/>
        <v>GSE74685</v>
      </c>
      <c r="D9958" s="1" t="s">
        <v>447</v>
      </c>
      <c r="E9958" t="s">
        <v>448</v>
      </c>
      <c r="F9958" s="1">
        <v>2</v>
      </c>
      <c r="G9958" s="1" t="s">
        <v>453</v>
      </c>
      <c r="H9958" s="4" t="str">
        <f>HYPERLINK("https://www.ncbi.nlm.nih.gov/geo/query/acc.cgi?acc=GSM1616630","GSM1616630")</f>
        <v>GSM1616630</v>
      </c>
      <c r="I9958" t="s">
        <v>161</v>
      </c>
      <c r="J9958" t="s">
        <v>193</v>
      </c>
      <c r="K9958" t="s">
        <v>19</v>
      </c>
      <c r="L9958" t="s">
        <v>162</v>
      </c>
      <c r="M9958" t="s">
        <v>454</v>
      </c>
      <c r="N9958" t="s">
        <v>22</v>
      </c>
    </row>
    <row r="9959" spans="1:14">
      <c r="A9959" s="4" t="str">
        <f t="shared" si="897"/>
        <v>EXP00335</v>
      </c>
      <c r="B9959" s="4" t="str">
        <f t="shared" si="893"/>
        <v>26667932</v>
      </c>
      <c r="C9959" s="4" t="str">
        <f t="shared" si="894"/>
        <v>GSE74685</v>
      </c>
      <c r="D9959" s="1" t="s">
        <v>447</v>
      </c>
      <c r="E9959" t="s">
        <v>448</v>
      </c>
      <c r="F9959" s="1">
        <v>2</v>
      </c>
      <c r="G9959" s="1" t="s">
        <v>453</v>
      </c>
      <c r="H9959" s="4" t="str">
        <f>HYPERLINK("https://www.ncbi.nlm.nih.gov/geo/query/acc.cgi?acc=GSM1616631","GSM1616631")</f>
        <v>GSM1616631</v>
      </c>
      <c r="I9959" t="s">
        <v>161</v>
      </c>
      <c r="J9959" t="s">
        <v>193</v>
      </c>
      <c r="K9959" t="s">
        <v>19</v>
      </c>
      <c r="L9959" t="s">
        <v>162</v>
      </c>
      <c r="M9959" t="s">
        <v>454</v>
      </c>
      <c r="N9959" t="s">
        <v>22</v>
      </c>
    </row>
    <row r="9960" spans="1:14">
      <c r="A9960" s="4" t="str">
        <f t="shared" si="897"/>
        <v>EXP00335</v>
      </c>
      <c r="B9960" s="4" t="str">
        <f t="shared" si="893"/>
        <v>26667932</v>
      </c>
      <c r="C9960" s="4" t="str">
        <f t="shared" si="894"/>
        <v>GSE74685</v>
      </c>
      <c r="D9960" s="1" t="s">
        <v>447</v>
      </c>
      <c r="E9960" t="s">
        <v>448</v>
      </c>
      <c r="F9960" s="1">
        <v>2</v>
      </c>
      <c r="G9960" s="1" t="s">
        <v>453</v>
      </c>
      <c r="H9960" s="4" t="str">
        <f>HYPERLINK("https://www.ncbi.nlm.nih.gov/geo/query/acc.cgi?acc=GSM1930081","GSM1930081")</f>
        <v>GSM1930081</v>
      </c>
      <c r="I9960" t="s">
        <v>161</v>
      </c>
      <c r="J9960" t="s">
        <v>193</v>
      </c>
      <c r="K9960" t="s">
        <v>19</v>
      </c>
      <c r="L9960" t="s">
        <v>162</v>
      </c>
      <c r="M9960" t="s">
        <v>454</v>
      </c>
      <c r="N9960" t="s">
        <v>22</v>
      </c>
    </row>
    <row r="9961" spans="1:14">
      <c r="A9961" s="4" t="str">
        <f t="shared" si="897"/>
        <v>EXP00335</v>
      </c>
      <c r="B9961" s="4" t="str">
        <f t="shared" si="893"/>
        <v>26667932</v>
      </c>
      <c r="C9961" s="4" t="str">
        <f t="shared" si="894"/>
        <v>GSE74685</v>
      </c>
      <c r="D9961" s="1" t="s">
        <v>447</v>
      </c>
      <c r="E9961" t="s">
        <v>448</v>
      </c>
      <c r="F9961" s="1">
        <v>2</v>
      </c>
      <c r="G9961" s="1" t="s">
        <v>453</v>
      </c>
      <c r="H9961" s="4" t="str">
        <f>HYPERLINK("https://www.ncbi.nlm.nih.gov/geo/query/acc.cgi?acc=GSM1930131","GSM1930131")</f>
        <v>GSM1930131</v>
      </c>
      <c r="I9961" t="s">
        <v>161</v>
      </c>
      <c r="J9961" t="s">
        <v>193</v>
      </c>
      <c r="K9961" t="s">
        <v>19</v>
      </c>
      <c r="L9961" t="s">
        <v>162</v>
      </c>
      <c r="M9961" t="s">
        <v>454</v>
      </c>
      <c r="N9961" t="s">
        <v>22</v>
      </c>
    </row>
    <row r="9962" spans="1:14">
      <c r="A9962" s="4" t="str">
        <f t="shared" ref="A9962:A9983" si="898">HYPERLINK("http://hcmdb.i-sanger.com/experiment/details/experiment_id/EXP00336","EXP00336")</f>
        <v>EXP00336</v>
      </c>
      <c r="B9962" s="4" t="str">
        <f t="shared" si="893"/>
        <v>26667932</v>
      </c>
      <c r="C9962" s="4" t="str">
        <f t="shared" si="894"/>
        <v>GSE74685</v>
      </c>
      <c r="D9962" s="1" t="s">
        <v>447</v>
      </c>
      <c r="E9962" t="s">
        <v>448</v>
      </c>
      <c r="F9962" s="1">
        <v>1</v>
      </c>
      <c r="G9962" s="1" t="s">
        <v>449</v>
      </c>
      <c r="H9962" s="4" t="str">
        <f>HYPERLINK("https://www.ncbi.nlm.nih.gov/geo/query/acc.cgi?acc=GSM1616625","GSM1616625")</f>
        <v>GSM1616625</v>
      </c>
      <c r="I9962" t="s">
        <v>161</v>
      </c>
      <c r="J9962" t="s">
        <v>193</v>
      </c>
      <c r="K9962" t="s">
        <v>19</v>
      </c>
      <c r="L9962" t="s">
        <v>162</v>
      </c>
      <c r="M9962" t="s">
        <v>50</v>
      </c>
      <c r="N9962" t="s">
        <v>22</v>
      </c>
    </row>
    <row r="9963" spans="1:14">
      <c r="A9963" s="4" t="str">
        <f t="shared" si="898"/>
        <v>EXP00336</v>
      </c>
      <c r="B9963" s="4" t="str">
        <f t="shared" si="893"/>
        <v>26667932</v>
      </c>
      <c r="C9963" s="4" t="str">
        <f t="shared" si="894"/>
        <v>GSE74685</v>
      </c>
      <c r="D9963" s="1" t="s">
        <v>447</v>
      </c>
      <c r="E9963" t="s">
        <v>448</v>
      </c>
      <c r="F9963" s="1">
        <v>1</v>
      </c>
      <c r="G9963" s="1" t="s">
        <v>449</v>
      </c>
      <c r="H9963" s="4" t="str">
        <f>HYPERLINK("https://www.ncbi.nlm.nih.gov/geo/query/acc.cgi?acc=GSM1616627","GSM1616627")</f>
        <v>GSM1616627</v>
      </c>
      <c r="I9963" t="s">
        <v>161</v>
      </c>
      <c r="J9963" t="s">
        <v>193</v>
      </c>
      <c r="K9963" t="s">
        <v>19</v>
      </c>
      <c r="L9963" t="s">
        <v>162</v>
      </c>
      <c r="M9963" t="s">
        <v>50</v>
      </c>
      <c r="N9963" t="s">
        <v>22</v>
      </c>
    </row>
    <row r="9964" spans="1:14">
      <c r="A9964" s="4" t="str">
        <f t="shared" si="898"/>
        <v>EXP00336</v>
      </c>
      <c r="B9964" s="4" t="str">
        <f t="shared" si="893"/>
        <v>26667932</v>
      </c>
      <c r="C9964" s="4" t="str">
        <f t="shared" si="894"/>
        <v>GSE74685</v>
      </c>
      <c r="D9964" s="1" t="s">
        <v>447</v>
      </c>
      <c r="E9964" t="s">
        <v>448</v>
      </c>
      <c r="F9964" s="1">
        <v>1</v>
      </c>
      <c r="G9964" s="1" t="s">
        <v>449</v>
      </c>
      <c r="H9964" s="4" t="str">
        <f>HYPERLINK("https://www.ncbi.nlm.nih.gov/geo/query/acc.cgi?acc=GSM1616640","GSM1616640")</f>
        <v>GSM1616640</v>
      </c>
      <c r="I9964" t="s">
        <v>161</v>
      </c>
      <c r="J9964" t="s">
        <v>193</v>
      </c>
      <c r="K9964" t="s">
        <v>19</v>
      </c>
      <c r="L9964" t="s">
        <v>162</v>
      </c>
      <c r="M9964" t="s">
        <v>50</v>
      </c>
      <c r="N9964" t="s">
        <v>22</v>
      </c>
    </row>
    <row r="9965" spans="1:14">
      <c r="A9965" s="4" t="str">
        <f t="shared" si="898"/>
        <v>EXP00336</v>
      </c>
      <c r="B9965" s="4" t="str">
        <f t="shared" si="893"/>
        <v>26667932</v>
      </c>
      <c r="C9965" s="4" t="str">
        <f t="shared" si="894"/>
        <v>GSE74685</v>
      </c>
      <c r="D9965" s="1" t="s">
        <v>447</v>
      </c>
      <c r="E9965" t="s">
        <v>448</v>
      </c>
      <c r="F9965" s="1">
        <v>1</v>
      </c>
      <c r="G9965" s="1" t="s">
        <v>449</v>
      </c>
      <c r="H9965" s="4" t="str">
        <f>HYPERLINK("https://www.ncbi.nlm.nih.gov/geo/query/acc.cgi?acc=GSM1616643","GSM1616643")</f>
        <v>GSM1616643</v>
      </c>
      <c r="I9965" t="s">
        <v>161</v>
      </c>
      <c r="J9965" t="s">
        <v>193</v>
      </c>
      <c r="K9965" t="s">
        <v>19</v>
      </c>
      <c r="L9965" t="s">
        <v>162</v>
      </c>
      <c r="M9965" t="s">
        <v>50</v>
      </c>
      <c r="N9965" t="s">
        <v>22</v>
      </c>
    </row>
    <row r="9966" spans="1:14">
      <c r="A9966" s="4" t="str">
        <f t="shared" si="898"/>
        <v>EXP00336</v>
      </c>
      <c r="B9966" s="4" t="str">
        <f t="shared" si="893"/>
        <v>26667932</v>
      </c>
      <c r="C9966" s="4" t="str">
        <f t="shared" si="894"/>
        <v>GSE74685</v>
      </c>
      <c r="D9966" s="1" t="s">
        <v>447</v>
      </c>
      <c r="E9966" t="s">
        <v>448</v>
      </c>
      <c r="F9966" s="1">
        <v>1</v>
      </c>
      <c r="G9966" s="1" t="s">
        <v>449</v>
      </c>
      <c r="H9966" s="4" t="str">
        <f>HYPERLINK("https://www.ncbi.nlm.nih.gov/geo/query/acc.cgi?acc=GSM1616647","GSM1616647")</f>
        <v>GSM1616647</v>
      </c>
      <c r="I9966" t="s">
        <v>161</v>
      </c>
      <c r="J9966" t="s">
        <v>193</v>
      </c>
      <c r="K9966" t="s">
        <v>19</v>
      </c>
      <c r="L9966" t="s">
        <v>162</v>
      </c>
      <c r="M9966" t="s">
        <v>50</v>
      </c>
      <c r="N9966" t="s">
        <v>22</v>
      </c>
    </row>
    <row r="9967" spans="1:14">
      <c r="A9967" s="4" t="str">
        <f t="shared" si="898"/>
        <v>EXP00336</v>
      </c>
      <c r="B9967" s="4" t="str">
        <f t="shared" si="893"/>
        <v>26667932</v>
      </c>
      <c r="C9967" s="4" t="str">
        <f t="shared" si="894"/>
        <v>GSE74685</v>
      </c>
      <c r="D9967" s="1" t="s">
        <v>447</v>
      </c>
      <c r="E9967" t="s">
        <v>448</v>
      </c>
      <c r="F9967" s="1">
        <v>1</v>
      </c>
      <c r="G9967" s="1" t="s">
        <v>449</v>
      </c>
      <c r="H9967" s="4" t="str">
        <f>HYPERLINK("https://www.ncbi.nlm.nih.gov/geo/query/acc.cgi?acc=GSM1616648","GSM1616648")</f>
        <v>GSM1616648</v>
      </c>
      <c r="I9967" t="s">
        <v>161</v>
      </c>
      <c r="J9967" t="s">
        <v>193</v>
      </c>
      <c r="K9967" t="s">
        <v>19</v>
      </c>
      <c r="L9967" t="s">
        <v>162</v>
      </c>
      <c r="M9967" t="s">
        <v>50</v>
      </c>
      <c r="N9967" t="s">
        <v>22</v>
      </c>
    </row>
    <row r="9968" spans="1:14">
      <c r="A9968" s="4" t="str">
        <f t="shared" si="898"/>
        <v>EXP00336</v>
      </c>
      <c r="B9968" s="4" t="str">
        <f t="shared" si="893"/>
        <v>26667932</v>
      </c>
      <c r="C9968" s="4" t="str">
        <f t="shared" si="894"/>
        <v>GSE74685</v>
      </c>
      <c r="D9968" s="1" t="s">
        <v>447</v>
      </c>
      <c r="E9968" t="s">
        <v>448</v>
      </c>
      <c r="F9968" s="1">
        <v>1</v>
      </c>
      <c r="G9968" s="1" t="s">
        <v>449</v>
      </c>
      <c r="H9968" s="4" t="str">
        <f>HYPERLINK("https://www.ncbi.nlm.nih.gov/geo/query/acc.cgi?acc=GSM1616650","GSM1616650")</f>
        <v>GSM1616650</v>
      </c>
      <c r="I9968" t="s">
        <v>161</v>
      </c>
      <c r="J9968" t="s">
        <v>193</v>
      </c>
      <c r="K9968" t="s">
        <v>19</v>
      </c>
      <c r="L9968" t="s">
        <v>162</v>
      </c>
      <c r="M9968" t="s">
        <v>50</v>
      </c>
      <c r="N9968" t="s">
        <v>22</v>
      </c>
    </row>
    <row r="9969" spans="1:14">
      <c r="A9969" s="4" t="str">
        <f t="shared" si="898"/>
        <v>EXP00336</v>
      </c>
      <c r="B9969" s="4" t="str">
        <f t="shared" si="893"/>
        <v>26667932</v>
      </c>
      <c r="C9969" s="4" t="str">
        <f t="shared" si="894"/>
        <v>GSE74685</v>
      </c>
      <c r="D9969" s="1" t="s">
        <v>447</v>
      </c>
      <c r="E9969" t="s">
        <v>448</v>
      </c>
      <c r="F9969" s="1">
        <v>1</v>
      </c>
      <c r="G9969" s="1" t="s">
        <v>449</v>
      </c>
      <c r="H9969" s="4" t="str">
        <f>HYPERLINK("https://www.ncbi.nlm.nih.gov/geo/query/acc.cgi?acc=GSM1616651","GSM1616651")</f>
        <v>GSM1616651</v>
      </c>
      <c r="I9969" t="s">
        <v>161</v>
      </c>
      <c r="J9969" t="s">
        <v>193</v>
      </c>
      <c r="K9969" t="s">
        <v>19</v>
      </c>
      <c r="L9969" t="s">
        <v>162</v>
      </c>
      <c r="M9969" t="s">
        <v>50</v>
      </c>
      <c r="N9969" t="s">
        <v>22</v>
      </c>
    </row>
    <row r="9970" spans="1:14">
      <c r="A9970" s="4" t="str">
        <f t="shared" si="898"/>
        <v>EXP00336</v>
      </c>
      <c r="B9970" s="4" t="str">
        <f t="shared" si="893"/>
        <v>26667932</v>
      </c>
      <c r="C9970" s="4" t="str">
        <f t="shared" si="894"/>
        <v>GSE74685</v>
      </c>
      <c r="D9970" s="1" t="s">
        <v>447</v>
      </c>
      <c r="E9970" t="s">
        <v>448</v>
      </c>
      <c r="F9970" s="1">
        <v>1</v>
      </c>
      <c r="G9970" s="1" t="s">
        <v>449</v>
      </c>
      <c r="H9970" s="4" t="str">
        <f>HYPERLINK("https://www.ncbi.nlm.nih.gov/geo/query/acc.cgi?acc=GSM1616652","GSM1616652")</f>
        <v>GSM1616652</v>
      </c>
      <c r="I9970" t="s">
        <v>161</v>
      </c>
      <c r="J9970" t="s">
        <v>193</v>
      </c>
      <c r="K9970" t="s">
        <v>19</v>
      </c>
      <c r="L9970" t="s">
        <v>162</v>
      </c>
      <c r="M9970" t="s">
        <v>50</v>
      </c>
      <c r="N9970" t="s">
        <v>22</v>
      </c>
    </row>
    <row r="9971" spans="1:14">
      <c r="A9971" s="4" t="str">
        <f t="shared" si="898"/>
        <v>EXP00336</v>
      </c>
      <c r="B9971" s="4" t="str">
        <f t="shared" si="893"/>
        <v>26667932</v>
      </c>
      <c r="C9971" s="4" t="str">
        <f t="shared" si="894"/>
        <v>GSE74685</v>
      </c>
      <c r="D9971" s="1" t="s">
        <v>447</v>
      </c>
      <c r="E9971" t="s">
        <v>448</v>
      </c>
      <c r="F9971" s="1">
        <v>1</v>
      </c>
      <c r="G9971" s="1" t="s">
        <v>449</v>
      </c>
      <c r="H9971" s="4" t="str">
        <f>HYPERLINK("https://www.ncbi.nlm.nih.gov/geo/query/acc.cgi?acc=GSM1616654","GSM1616654")</f>
        <v>GSM1616654</v>
      </c>
      <c r="I9971" t="s">
        <v>161</v>
      </c>
      <c r="J9971" t="s">
        <v>193</v>
      </c>
      <c r="K9971" t="s">
        <v>19</v>
      </c>
      <c r="L9971" t="s">
        <v>162</v>
      </c>
      <c r="M9971" t="s">
        <v>50</v>
      </c>
      <c r="N9971" t="s">
        <v>22</v>
      </c>
    </row>
    <row r="9972" spans="1:14">
      <c r="A9972" s="4" t="str">
        <f t="shared" si="898"/>
        <v>EXP00336</v>
      </c>
      <c r="B9972" s="4" t="str">
        <f t="shared" si="893"/>
        <v>26667932</v>
      </c>
      <c r="C9972" s="4" t="str">
        <f t="shared" si="894"/>
        <v>GSE74685</v>
      </c>
      <c r="D9972" s="1" t="s">
        <v>447</v>
      </c>
      <c r="E9972" t="s">
        <v>448</v>
      </c>
      <c r="F9972" s="1">
        <v>1</v>
      </c>
      <c r="G9972" s="1" t="s">
        <v>449</v>
      </c>
      <c r="H9972" s="4" t="str">
        <f>HYPERLINK("https://www.ncbi.nlm.nih.gov/geo/query/acc.cgi?acc=GSM1616655","GSM1616655")</f>
        <v>GSM1616655</v>
      </c>
      <c r="I9972" t="s">
        <v>161</v>
      </c>
      <c r="J9972" t="s">
        <v>193</v>
      </c>
      <c r="K9972" t="s">
        <v>19</v>
      </c>
      <c r="L9972" t="s">
        <v>162</v>
      </c>
      <c r="M9972" t="s">
        <v>50</v>
      </c>
      <c r="N9972" t="s">
        <v>22</v>
      </c>
    </row>
    <row r="9973" spans="1:14">
      <c r="A9973" s="4" t="str">
        <f t="shared" si="898"/>
        <v>EXP00336</v>
      </c>
      <c r="B9973" s="4" t="str">
        <f t="shared" si="893"/>
        <v>26667932</v>
      </c>
      <c r="C9973" s="4" t="str">
        <f t="shared" si="894"/>
        <v>GSE74685</v>
      </c>
      <c r="D9973" s="1" t="s">
        <v>447</v>
      </c>
      <c r="E9973" t="s">
        <v>448</v>
      </c>
      <c r="F9973" s="1">
        <v>1</v>
      </c>
      <c r="G9973" s="1" t="s">
        <v>449</v>
      </c>
      <c r="H9973" s="4" t="str">
        <f>HYPERLINK("https://www.ncbi.nlm.nih.gov/geo/query/acc.cgi?acc=GSM1616665","GSM1616665")</f>
        <v>GSM1616665</v>
      </c>
      <c r="I9973" t="s">
        <v>161</v>
      </c>
      <c r="J9973" t="s">
        <v>193</v>
      </c>
      <c r="K9973" t="s">
        <v>19</v>
      </c>
      <c r="L9973" t="s">
        <v>162</v>
      </c>
      <c r="M9973" t="s">
        <v>50</v>
      </c>
      <c r="N9973" t="s">
        <v>22</v>
      </c>
    </row>
    <row r="9974" spans="1:14">
      <c r="A9974" s="4" t="str">
        <f t="shared" si="898"/>
        <v>EXP00336</v>
      </c>
      <c r="B9974" s="4" t="str">
        <f t="shared" si="893"/>
        <v>26667932</v>
      </c>
      <c r="C9974" s="4" t="str">
        <f t="shared" si="894"/>
        <v>GSE74685</v>
      </c>
      <c r="D9974" s="1" t="s">
        <v>447</v>
      </c>
      <c r="E9974" t="s">
        <v>448</v>
      </c>
      <c r="F9974" s="1">
        <v>1</v>
      </c>
      <c r="G9974" s="1" t="s">
        <v>449</v>
      </c>
      <c r="H9974" s="4" t="str">
        <f>HYPERLINK("https://www.ncbi.nlm.nih.gov/geo/query/acc.cgi?acc=GSM1616678","GSM1616678")</f>
        <v>GSM1616678</v>
      </c>
      <c r="I9974" t="s">
        <v>161</v>
      </c>
      <c r="J9974" t="s">
        <v>193</v>
      </c>
      <c r="K9974" t="s">
        <v>19</v>
      </c>
      <c r="L9974" t="s">
        <v>162</v>
      </c>
      <c r="M9974" t="s">
        <v>50</v>
      </c>
      <c r="N9974" t="s">
        <v>22</v>
      </c>
    </row>
    <row r="9975" spans="1:14">
      <c r="A9975" s="4" t="str">
        <f t="shared" si="898"/>
        <v>EXP00336</v>
      </c>
      <c r="B9975" s="4" t="str">
        <f t="shared" si="893"/>
        <v>26667932</v>
      </c>
      <c r="C9975" s="4" t="str">
        <f t="shared" si="894"/>
        <v>GSE74685</v>
      </c>
      <c r="D9975" s="1" t="s">
        <v>447</v>
      </c>
      <c r="E9975" t="s">
        <v>448</v>
      </c>
      <c r="F9975" s="1">
        <v>1</v>
      </c>
      <c r="G9975" s="1" t="s">
        <v>449</v>
      </c>
      <c r="H9975" s="4" t="str">
        <f>HYPERLINK("https://www.ncbi.nlm.nih.gov/geo/query/acc.cgi?acc=GSM1616679","GSM1616679")</f>
        <v>GSM1616679</v>
      </c>
      <c r="I9975" t="s">
        <v>161</v>
      </c>
      <c r="J9975" t="s">
        <v>193</v>
      </c>
      <c r="K9975" t="s">
        <v>19</v>
      </c>
      <c r="L9975" t="s">
        <v>162</v>
      </c>
      <c r="M9975" t="s">
        <v>50</v>
      </c>
      <c r="N9975" t="s">
        <v>22</v>
      </c>
    </row>
    <row r="9976" spans="1:14">
      <c r="A9976" s="4" t="str">
        <f t="shared" si="898"/>
        <v>EXP00336</v>
      </c>
      <c r="B9976" s="4" t="str">
        <f t="shared" si="893"/>
        <v>26667932</v>
      </c>
      <c r="C9976" s="4" t="str">
        <f t="shared" si="894"/>
        <v>GSE74685</v>
      </c>
      <c r="D9976" s="1" t="s">
        <v>447</v>
      </c>
      <c r="E9976" t="s">
        <v>448</v>
      </c>
      <c r="F9976" s="1">
        <v>1</v>
      </c>
      <c r="G9976" s="1" t="s">
        <v>449</v>
      </c>
      <c r="H9976" s="4" t="str">
        <f>HYPERLINK("https://www.ncbi.nlm.nih.gov/geo/query/acc.cgi?acc=GSM1616680","GSM1616680")</f>
        <v>GSM1616680</v>
      </c>
      <c r="I9976" t="s">
        <v>161</v>
      </c>
      <c r="J9976" t="s">
        <v>193</v>
      </c>
      <c r="K9976" t="s">
        <v>19</v>
      </c>
      <c r="L9976" t="s">
        <v>162</v>
      </c>
      <c r="M9976" t="s">
        <v>50</v>
      </c>
      <c r="N9976" t="s">
        <v>22</v>
      </c>
    </row>
    <row r="9977" spans="1:14">
      <c r="A9977" s="4" t="str">
        <f t="shared" si="898"/>
        <v>EXP00336</v>
      </c>
      <c r="B9977" s="4" t="str">
        <f t="shared" si="893"/>
        <v>26667932</v>
      </c>
      <c r="C9977" s="4" t="str">
        <f t="shared" si="894"/>
        <v>GSE74685</v>
      </c>
      <c r="D9977" s="1" t="s">
        <v>447</v>
      </c>
      <c r="E9977" t="s">
        <v>448</v>
      </c>
      <c r="F9977" s="1">
        <v>1</v>
      </c>
      <c r="G9977" s="1" t="s">
        <v>449</v>
      </c>
      <c r="H9977" s="4" t="str">
        <f>HYPERLINK("https://www.ncbi.nlm.nih.gov/geo/query/acc.cgi?acc=GSM1616681","GSM1616681")</f>
        <v>GSM1616681</v>
      </c>
      <c r="I9977" t="s">
        <v>161</v>
      </c>
      <c r="J9977" t="s">
        <v>193</v>
      </c>
      <c r="K9977" t="s">
        <v>19</v>
      </c>
      <c r="L9977" t="s">
        <v>162</v>
      </c>
      <c r="M9977" t="s">
        <v>50</v>
      </c>
      <c r="N9977" t="s">
        <v>22</v>
      </c>
    </row>
    <row r="9978" spans="1:14">
      <c r="A9978" s="4" t="str">
        <f t="shared" si="898"/>
        <v>EXP00336</v>
      </c>
      <c r="B9978" s="4" t="str">
        <f t="shared" si="893"/>
        <v>26667932</v>
      </c>
      <c r="C9978" s="4" t="str">
        <f t="shared" si="894"/>
        <v>GSE74685</v>
      </c>
      <c r="D9978" s="1" t="s">
        <v>447</v>
      </c>
      <c r="E9978" t="s">
        <v>448</v>
      </c>
      <c r="F9978" s="1">
        <v>1</v>
      </c>
      <c r="G9978" s="1" t="s">
        <v>449</v>
      </c>
      <c r="H9978" s="4" t="str">
        <f>HYPERLINK("https://www.ncbi.nlm.nih.gov/geo/query/acc.cgi?acc=GSM1616683","GSM1616683")</f>
        <v>GSM1616683</v>
      </c>
      <c r="I9978" t="s">
        <v>161</v>
      </c>
      <c r="J9978" t="s">
        <v>193</v>
      </c>
      <c r="K9978" t="s">
        <v>19</v>
      </c>
      <c r="L9978" t="s">
        <v>162</v>
      </c>
      <c r="M9978" t="s">
        <v>50</v>
      </c>
      <c r="N9978" t="s">
        <v>22</v>
      </c>
    </row>
    <row r="9979" spans="1:14">
      <c r="A9979" s="4" t="str">
        <f t="shared" si="898"/>
        <v>EXP00336</v>
      </c>
      <c r="B9979" s="4" t="str">
        <f t="shared" si="893"/>
        <v>26667932</v>
      </c>
      <c r="C9979" s="4" t="str">
        <f t="shared" si="894"/>
        <v>GSE74685</v>
      </c>
      <c r="D9979" s="1" t="s">
        <v>447</v>
      </c>
      <c r="E9979" t="s">
        <v>448</v>
      </c>
      <c r="F9979" s="1">
        <v>1</v>
      </c>
      <c r="G9979" s="1" t="s">
        <v>449</v>
      </c>
      <c r="H9979" s="4" t="str">
        <f>HYPERLINK("https://www.ncbi.nlm.nih.gov/geo/query/acc.cgi?acc=GSM1918979","GSM1918979")</f>
        <v>GSM1918979</v>
      </c>
      <c r="I9979" t="s">
        <v>161</v>
      </c>
      <c r="J9979" t="s">
        <v>193</v>
      </c>
      <c r="K9979" t="s">
        <v>19</v>
      </c>
      <c r="L9979" t="s">
        <v>162</v>
      </c>
      <c r="M9979" t="s">
        <v>50</v>
      </c>
      <c r="N9979" t="s">
        <v>22</v>
      </c>
    </row>
    <row r="9980" spans="1:14">
      <c r="A9980" s="4" t="str">
        <f t="shared" si="898"/>
        <v>EXP00336</v>
      </c>
      <c r="B9980" s="4" t="str">
        <f t="shared" si="893"/>
        <v>26667932</v>
      </c>
      <c r="C9980" s="4" t="str">
        <f t="shared" si="894"/>
        <v>GSE74685</v>
      </c>
      <c r="D9980" s="1" t="s">
        <v>447</v>
      </c>
      <c r="E9980" t="s">
        <v>448</v>
      </c>
      <c r="F9980" s="1">
        <v>1</v>
      </c>
      <c r="G9980" s="1" t="s">
        <v>449</v>
      </c>
      <c r="H9980" s="4" t="str">
        <f>HYPERLINK("https://www.ncbi.nlm.nih.gov/geo/query/acc.cgi?acc=GSM1930079","GSM1930079")</f>
        <v>GSM1930079</v>
      </c>
      <c r="I9980" t="s">
        <v>161</v>
      </c>
      <c r="J9980" t="s">
        <v>193</v>
      </c>
      <c r="K9980" t="s">
        <v>19</v>
      </c>
      <c r="L9980" t="s">
        <v>162</v>
      </c>
      <c r="M9980" t="s">
        <v>50</v>
      </c>
      <c r="N9980" t="s">
        <v>22</v>
      </c>
    </row>
    <row r="9981" spans="1:14">
      <c r="A9981" s="4" t="str">
        <f t="shared" si="898"/>
        <v>EXP00336</v>
      </c>
      <c r="B9981" s="4" t="str">
        <f t="shared" si="893"/>
        <v>26667932</v>
      </c>
      <c r="C9981" s="4" t="str">
        <f t="shared" si="894"/>
        <v>GSE74685</v>
      </c>
      <c r="D9981" s="1" t="s">
        <v>447</v>
      </c>
      <c r="E9981" t="s">
        <v>448</v>
      </c>
      <c r="F9981" s="1">
        <v>1</v>
      </c>
      <c r="G9981" s="1" t="s">
        <v>449</v>
      </c>
      <c r="H9981" s="4" t="str">
        <f>HYPERLINK("https://www.ncbi.nlm.nih.gov/geo/query/acc.cgi?acc=GSM1930119","GSM1930119")</f>
        <v>GSM1930119</v>
      </c>
      <c r="I9981" t="s">
        <v>161</v>
      </c>
      <c r="J9981" t="s">
        <v>193</v>
      </c>
      <c r="K9981" t="s">
        <v>19</v>
      </c>
      <c r="L9981" t="s">
        <v>162</v>
      </c>
      <c r="M9981" t="s">
        <v>50</v>
      </c>
      <c r="N9981" t="s">
        <v>22</v>
      </c>
    </row>
    <row r="9982" spans="1:14">
      <c r="A9982" s="4" t="str">
        <f t="shared" si="898"/>
        <v>EXP00336</v>
      </c>
      <c r="B9982" s="4" t="str">
        <f t="shared" si="893"/>
        <v>26667932</v>
      </c>
      <c r="C9982" s="4" t="str">
        <f t="shared" si="894"/>
        <v>GSE74685</v>
      </c>
      <c r="D9982" s="1" t="s">
        <v>447</v>
      </c>
      <c r="E9982" t="s">
        <v>448</v>
      </c>
      <c r="F9982" s="1">
        <v>2</v>
      </c>
      <c r="G9982" s="1" t="s">
        <v>456</v>
      </c>
      <c r="H9982" s="4" t="str">
        <f>HYPERLINK("https://www.ncbi.nlm.nih.gov/geo/query/acc.cgi?acc=GSM1616656","GSM1616656")</f>
        <v>GSM1616656</v>
      </c>
      <c r="I9982" t="s">
        <v>161</v>
      </c>
      <c r="J9982" t="s">
        <v>193</v>
      </c>
      <c r="K9982" t="s">
        <v>19</v>
      </c>
      <c r="L9982" t="s">
        <v>162</v>
      </c>
      <c r="M9982" t="s">
        <v>61</v>
      </c>
      <c r="N9982" t="s">
        <v>22</v>
      </c>
    </row>
    <row r="9983" spans="1:14">
      <c r="A9983" s="4" t="str">
        <f t="shared" si="898"/>
        <v>EXP00336</v>
      </c>
      <c r="B9983" s="4" t="str">
        <f t="shared" si="893"/>
        <v>26667932</v>
      </c>
      <c r="C9983" s="4" t="str">
        <f t="shared" si="894"/>
        <v>GSE74685</v>
      </c>
      <c r="D9983" s="1" t="s">
        <v>447</v>
      </c>
      <c r="E9983" t="s">
        <v>448</v>
      </c>
      <c r="F9983" s="1">
        <v>2</v>
      </c>
      <c r="G9983" s="1" t="s">
        <v>456</v>
      </c>
      <c r="H9983" s="4" t="str">
        <f>HYPERLINK("https://www.ncbi.nlm.nih.gov/geo/query/acc.cgi?acc=GSM1930129","GSM1930129")</f>
        <v>GSM1930129</v>
      </c>
      <c r="I9983" t="s">
        <v>161</v>
      </c>
      <c r="J9983" t="s">
        <v>193</v>
      </c>
      <c r="K9983" t="s">
        <v>19</v>
      </c>
      <c r="L9983" t="s">
        <v>162</v>
      </c>
      <c r="M9983" t="s">
        <v>61</v>
      </c>
      <c r="N9983" t="s">
        <v>22</v>
      </c>
    </row>
    <row r="9984" spans="1:14">
      <c r="A9984" s="4" t="str">
        <f t="shared" ref="A9984:A10024" si="899">HYPERLINK("http://hcmdb.i-sanger.com/experiment/details/experiment_id/EXP00337","EXP00337")</f>
        <v>EXP00337</v>
      </c>
      <c r="B9984" s="4" t="str">
        <f t="shared" si="893"/>
        <v>26667932</v>
      </c>
      <c r="C9984" s="4" t="str">
        <f t="shared" si="894"/>
        <v>GSE74685</v>
      </c>
      <c r="D9984" s="1" t="s">
        <v>447</v>
      </c>
      <c r="E9984" t="s">
        <v>448</v>
      </c>
      <c r="F9984" s="1">
        <v>1</v>
      </c>
      <c r="G9984" s="1" t="s">
        <v>449</v>
      </c>
      <c r="H9984" s="4" t="str">
        <f>HYPERLINK("https://www.ncbi.nlm.nih.gov/geo/query/acc.cgi?acc=GSM1616625","GSM1616625")</f>
        <v>GSM1616625</v>
      </c>
      <c r="I9984" t="s">
        <v>161</v>
      </c>
      <c r="J9984" t="s">
        <v>193</v>
      </c>
      <c r="K9984" t="s">
        <v>19</v>
      </c>
      <c r="L9984" t="s">
        <v>162</v>
      </c>
      <c r="M9984" t="s">
        <v>50</v>
      </c>
      <c r="N9984" t="s">
        <v>22</v>
      </c>
    </row>
    <row r="9985" spans="1:14">
      <c r="A9985" s="4" t="str">
        <f t="shared" si="899"/>
        <v>EXP00337</v>
      </c>
      <c r="B9985" s="4" t="str">
        <f t="shared" ref="B9985:B10048" si="900">HYPERLINK("https://www.ncbi.nlm.nih.gov/pubmed/26667932","26667932")</f>
        <v>26667932</v>
      </c>
      <c r="C9985" s="4" t="str">
        <f t="shared" ref="C9985:C10048" si="901">HYPERLINK("https://www.ncbi.nlm.nih.gov/geo/query/acc.cgi?acc=GSE74685","GSE74685")</f>
        <v>GSE74685</v>
      </c>
      <c r="D9985" s="1" t="s">
        <v>447</v>
      </c>
      <c r="E9985" t="s">
        <v>448</v>
      </c>
      <c r="F9985" s="1">
        <v>1</v>
      </c>
      <c r="G9985" s="1" t="s">
        <v>449</v>
      </c>
      <c r="H9985" s="4" t="str">
        <f>HYPERLINK("https://www.ncbi.nlm.nih.gov/geo/query/acc.cgi?acc=GSM1616627","GSM1616627")</f>
        <v>GSM1616627</v>
      </c>
      <c r="I9985" t="s">
        <v>161</v>
      </c>
      <c r="J9985" t="s">
        <v>193</v>
      </c>
      <c r="K9985" t="s">
        <v>19</v>
      </c>
      <c r="L9985" t="s">
        <v>162</v>
      </c>
      <c r="M9985" t="s">
        <v>50</v>
      </c>
      <c r="N9985" t="s">
        <v>22</v>
      </c>
    </row>
    <row r="9986" spans="1:14">
      <c r="A9986" s="4" t="str">
        <f t="shared" si="899"/>
        <v>EXP00337</v>
      </c>
      <c r="B9986" s="4" t="str">
        <f t="shared" si="900"/>
        <v>26667932</v>
      </c>
      <c r="C9986" s="4" t="str">
        <f t="shared" si="901"/>
        <v>GSE74685</v>
      </c>
      <c r="D9986" s="1" t="s">
        <v>447</v>
      </c>
      <c r="E9986" t="s">
        <v>448</v>
      </c>
      <c r="F9986" s="1">
        <v>1</v>
      </c>
      <c r="G9986" s="1" t="s">
        <v>449</v>
      </c>
      <c r="H9986" s="4" t="str">
        <f>HYPERLINK("https://www.ncbi.nlm.nih.gov/geo/query/acc.cgi?acc=GSM1616640","GSM1616640")</f>
        <v>GSM1616640</v>
      </c>
      <c r="I9986" t="s">
        <v>161</v>
      </c>
      <c r="J9986" t="s">
        <v>193</v>
      </c>
      <c r="K9986" t="s">
        <v>19</v>
      </c>
      <c r="L9986" t="s">
        <v>162</v>
      </c>
      <c r="M9986" t="s">
        <v>50</v>
      </c>
      <c r="N9986" t="s">
        <v>22</v>
      </c>
    </row>
    <row r="9987" spans="1:14">
      <c r="A9987" s="4" t="str">
        <f t="shared" si="899"/>
        <v>EXP00337</v>
      </c>
      <c r="B9987" s="4" t="str">
        <f t="shared" si="900"/>
        <v>26667932</v>
      </c>
      <c r="C9987" s="4" t="str">
        <f t="shared" si="901"/>
        <v>GSE74685</v>
      </c>
      <c r="D9987" s="1" t="s">
        <v>447</v>
      </c>
      <c r="E9987" t="s">
        <v>448</v>
      </c>
      <c r="F9987" s="1">
        <v>1</v>
      </c>
      <c r="G9987" s="1" t="s">
        <v>449</v>
      </c>
      <c r="H9987" s="4" t="str">
        <f>HYPERLINK("https://www.ncbi.nlm.nih.gov/geo/query/acc.cgi?acc=GSM1616643","GSM1616643")</f>
        <v>GSM1616643</v>
      </c>
      <c r="I9987" t="s">
        <v>161</v>
      </c>
      <c r="J9987" t="s">
        <v>193</v>
      </c>
      <c r="K9987" t="s">
        <v>19</v>
      </c>
      <c r="L9987" t="s">
        <v>162</v>
      </c>
      <c r="M9987" t="s">
        <v>50</v>
      </c>
      <c r="N9987" t="s">
        <v>22</v>
      </c>
    </row>
    <row r="9988" spans="1:14">
      <c r="A9988" s="4" t="str">
        <f t="shared" si="899"/>
        <v>EXP00337</v>
      </c>
      <c r="B9988" s="4" t="str">
        <f t="shared" si="900"/>
        <v>26667932</v>
      </c>
      <c r="C9988" s="4" t="str">
        <f t="shared" si="901"/>
        <v>GSE74685</v>
      </c>
      <c r="D9988" s="1" t="s">
        <v>447</v>
      </c>
      <c r="E9988" t="s">
        <v>448</v>
      </c>
      <c r="F9988" s="1">
        <v>1</v>
      </c>
      <c r="G9988" s="1" t="s">
        <v>449</v>
      </c>
      <c r="H9988" s="4" t="str">
        <f>HYPERLINK("https://www.ncbi.nlm.nih.gov/geo/query/acc.cgi?acc=GSM1616647","GSM1616647")</f>
        <v>GSM1616647</v>
      </c>
      <c r="I9988" t="s">
        <v>161</v>
      </c>
      <c r="J9988" t="s">
        <v>193</v>
      </c>
      <c r="K9988" t="s">
        <v>19</v>
      </c>
      <c r="L9988" t="s">
        <v>162</v>
      </c>
      <c r="M9988" t="s">
        <v>50</v>
      </c>
      <c r="N9988" t="s">
        <v>22</v>
      </c>
    </row>
    <row r="9989" spans="1:14">
      <c r="A9989" s="4" t="str">
        <f t="shared" si="899"/>
        <v>EXP00337</v>
      </c>
      <c r="B9989" s="4" t="str">
        <f t="shared" si="900"/>
        <v>26667932</v>
      </c>
      <c r="C9989" s="4" t="str">
        <f t="shared" si="901"/>
        <v>GSE74685</v>
      </c>
      <c r="D9989" s="1" t="s">
        <v>447</v>
      </c>
      <c r="E9989" t="s">
        <v>448</v>
      </c>
      <c r="F9989" s="1">
        <v>1</v>
      </c>
      <c r="G9989" s="1" t="s">
        <v>449</v>
      </c>
      <c r="H9989" s="4" t="str">
        <f>HYPERLINK("https://www.ncbi.nlm.nih.gov/geo/query/acc.cgi?acc=GSM1616648","GSM1616648")</f>
        <v>GSM1616648</v>
      </c>
      <c r="I9989" t="s">
        <v>161</v>
      </c>
      <c r="J9989" t="s">
        <v>193</v>
      </c>
      <c r="K9989" t="s">
        <v>19</v>
      </c>
      <c r="L9989" t="s">
        <v>162</v>
      </c>
      <c r="M9989" t="s">
        <v>50</v>
      </c>
      <c r="N9989" t="s">
        <v>22</v>
      </c>
    </row>
    <row r="9990" spans="1:14">
      <c r="A9990" s="4" t="str">
        <f t="shared" si="899"/>
        <v>EXP00337</v>
      </c>
      <c r="B9990" s="4" t="str">
        <f t="shared" si="900"/>
        <v>26667932</v>
      </c>
      <c r="C9990" s="4" t="str">
        <f t="shared" si="901"/>
        <v>GSE74685</v>
      </c>
      <c r="D9990" s="1" t="s">
        <v>447</v>
      </c>
      <c r="E9990" t="s">
        <v>448</v>
      </c>
      <c r="F9990" s="1">
        <v>1</v>
      </c>
      <c r="G9990" s="1" t="s">
        <v>449</v>
      </c>
      <c r="H9990" s="4" t="str">
        <f>HYPERLINK("https://www.ncbi.nlm.nih.gov/geo/query/acc.cgi?acc=GSM1616650","GSM1616650")</f>
        <v>GSM1616650</v>
      </c>
      <c r="I9990" t="s">
        <v>161</v>
      </c>
      <c r="J9990" t="s">
        <v>193</v>
      </c>
      <c r="K9990" t="s">
        <v>19</v>
      </c>
      <c r="L9990" t="s">
        <v>162</v>
      </c>
      <c r="M9990" t="s">
        <v>50</v>
      </c>
      <c r="N9990" t="s">
        <v>22</v>
      </c>
    </row>
    <row r="9991" spans="1:14">
      <c r="A9991" s="4" t="str">
        <f t="shared" si="899"/>
        <v>EXP00337</v>
      </c>
      <c r="B9991" s="4" t="str">
        <f t="shared" si="900"/>
        <v>26667932</v>
      </c>
      <c r="C9991" s="4" t="str">
        <f t="shared" si="901"/>
        <v>GSE74685</v>
      </c>
      <c r="D9991" s="1" t="s">
        <v>447</v>
      </c>
      <c r="E9991" t="s">
        <v>448</v>
      </c>
      <c r="F9991" s="1">
        <v>1</v>
      </c>
      <c r="G9991" s="1" t="s">
        <v>449</v>
      </c>
      <c r="H9991" s="4" t="str">
        <f>HYPERLINK("https://www.ncbi.nlm.nih.gov/geo/query/acc.cgi?acc=GSM1616651","GSM1616651")</f>
        <v>GSM1616651</v>
      </c>
      <c r="I9991" t="s">
        <v>161</v>
      </c>
      <c r="J9991" t="s">
        <v>193</v>
      </c>
      <c r="K9991" t="s">
        <v>19</v>
      </c>
      <c r="L9991" t="s">
        <v>162</v>
      </c>
      <c r="M9991" t="s">
        <v>50</v>
      </c>
      <c r="N9991" t="s">
        <v>22</v>
      </c>
    </row>
    <row r="9992" spans="1:14">
      <c r="A9992" s="4" t="str">
        <f t="shared" si="899"/>
        <v>EXP00337</v>
      </c>
      <c r="B9992" s="4" t="str">
        <f t="shared" si="900"/>
        <v>26667932</v>
      </c>
      <c r="C9992" s="4" t="str">
        <f t="shared" si="901"/>
        <v>GSE74685</v>
      </c>
      <c r="D9992" s="1" t="s">
        <v>447</v>
      </c>
      <c r="E9992" t="s">
        <v>448</v>
      </c>
      <c r="F9992" s="1">
        <v>1</v>
      </c>
      <c r="G9992" s="1" t="s">
        <v>449</v>
      </c>
      <c r="H9992" s="4" t="str">
        <f>HYPERLINK("https://www.ncbi.nlm.nih.gov/geo/query/acc.cgi?acc=GSM1616652","GSM1616652")</f>
        <v>GSM1616652</v>
      </c>
      <c r="I9992" t="s">
        <v>161</v>
      </c>
      <c r="J9992" t="s">
        <v>193</v>
      </c>
      <c r="K9992" t="s">
        <v>19</v>
      </c>
      <c r="L9992" t="s">
        <v>162</v>
      </c>
      <c r="M9992" t="s">
        <v>50</v>
      </c>
      <c r="N9992" t="s">
        <v>22</v>
      </c>
    </row>
    <row r="9993" spans="1:14">
      <c r="A9993" s="4" t="str">
        <f t="shared" si="899"/>
        <v>EXP00337</v>
      </c>
      <c r="B9993" s="4" t="str">
        <f t="shared" si="900"/>
        <v>26667932</v>
      </c>
      <c r="C9993" s="4" t="str">
        <f t="shared" si="901"/>
        <v>GSE74685</v>
      </c>
      <c r="D9993" s="1" t="s">
        <v>447</v>
      </c>
      <c r="E9993" t="s">
        <v>448</v>
      </c>
      <c r="F9993" s="1">
        <v>1</v>
      </c>
      <c r="G9993" s="1" t="s">
        <v>449</v>
      </c>
      <c r="H9993" s="4" t="str">
        <f>HYPERLINK("https://www.ncbi.nlm.nih.gov/geo/query/acc.cgi?acc=GSM1616654","GSM1616654")</f>
        <v>GSM1616654</v>
      </c>
      <c r="I9993" t="s">
        <v>161</v>
      </c>
      <c r="J9993" t="s">
        <v>193</v>
      </c>
      <c r="K9993" t="s">
        <v>19</v>
      </c>
      <c r="L9993" t="s">
        <v>162</v>
      </c>
      <c r="M9993" t="s">
        <v>50</v>
      </c>
      <c r="N9993" t="s">
        <v>22</v>
      </c>
    </row>
    <row r="9994" spans="1:14">
      <c r="A9994" s="4" t="str">
        <f t="shared" si="899"/>
        <v>EXP00337</v>
      </c>
      <c r="B9994" s="4" t="str">
        <f t="shared" si="900"/>
        <v>26667932</v>
      </c>
      <c r="C9994" s="4" t="str">
        <f t="shared" si="901"/>
        <v>GSE74685</v>
      </c>
      <c r="D9994" s="1" t="s">
        <v>447</v>
      </c>
      <c r="E9994" t="s">
        <v>448</v>
      </c>
      <c r="F9994" s="1">
        <v>1</v>
      </c>
      <c r="G9994" s="1" t="s">
        <v>449</v>
      </c>
      <c r="H9994" s="4" t="str">
        <f>HYPERLINK("https://www.ncbi.nlm.nih.gov/geo/query/acc.cgi?acc=GSM1616655","GSM1616655")</f>
        <v>GSM1616655</v>
      </c>
      <c r="I9994" t="s">
        <v>161</v>
      </c>
      <c r="J9994" t="s">
        <v>193</v>
      </c>
      <c r="K9994" t="s">
        <v>19</v>
      </c>
      <c r="L9994" t="s">
        <v>162</v>
      </c>
      <c r="M9994" t="s">
        <v>50</v>
      </c>
      <c r="N9994" t="s">
        <v>22</v>
      </c>
    </row>
    <row r="9995" spans="1:14">
      <c r="A9995" s="4" t="str">
        <f t="shared" si="899"/>
        <v>EXP00337</v>
      </c>
      <c r="B9995" s="4" t="str">
        <f t="shared" si="900"/>
        <v>26667932</v>
      </c>
      <c r="C9995" s="4" t="str">
        <f t="shared" si="901"/>
        <v>GSE74685</v>
      </c>
      <c r="D9995" s="1" t="s">
        <v>447</v>
      </c>
      <c r="E9995" t="s">
        <v>448</v>
      </c>
      <c r="F9995" s="1">
        <v>1</v>
      </c>
      <c r="G9995" s="1" t="s">
        <v>449</v>
      </c>
      <c r="H9995" s="4" t="str">
        <f>HYPERLINK("https://www.ncbi.nlm.nih.gov/geo/query/acc.cgi?acc=GSM1616665","GSM1616665")</f>
        <v>GSM1616665</v>
      </c>
      <c r="I9995" t="s">
        <v>161</v>
      </c>
      <c r="J9995" t="s">
        <v>193</v>
      </c>
      <c r="K9995" t="s">
        <v>19</v>
      </c>
      <c r="L9995" t="s">
        <v>162</v>
      </c>
      <c r="M9995" t="s">
        <v>50</v>
      </c>
      <c r="N9995" t="s">
        <v>22</v>
      </c>
    </row>
    <row r="9996" spans="1:14">
      <c r="A9996" s="4" t="str">
        <f t="shared" si="899"/>
        <v>EXP00337</v>
      </c>
      <c r="B9996" s="4" t="str">
        <f t="shared" si="900"/>
        <v>26667932</v>
      </c>
      <c r="C9996" s="4" t="str">
        <f t="shared" si="901"/>
        <v>GSE74685</v>
      </c>
      <c r="D9996" s="1" t="s">
        <v>447</v>
      </c>
      <c r="E9996" t="s">
        <v>448</v>
      </c>
      <c r="F9996" s="1">
        <v>1</v>
      </c>
      <c r="G9996" s="1" t="s">
        <v>449</v>
      </c>
      <c r="H9996" s="4" t="str">
        <f>HYPERLINK("https://www.ncbi.nlm.nih.gov/geo/query/acc.cgi?acc=GSM1616678","GSM1616678")</f>
        <v>GSM1616678</v>
      </c>
      <c r="I9996" t="s">
        <v>161</v>
      </c>
      <c r="J9996" t="s">
        <v>193</v>
      </c>
      <c r="K9996" t="s">
        <v>19</v>
      </c>
      <c r="L9996" t="s">
        <v>162</v>
      </c>
      <c r="M9996" t="s">
        <v>50</v>
      </c>
      <c r="N9996" t="s">
        <v>22</v>
      </c>
    </row>
    <row r="9997" spans="1:14">
      <c r="A9997" s="4" t="str">
        <f t="shared" si="899"/>
        <v>EXP00337</v>
      </c>
      <c r="B9997" s="4" t="str">
        <f t="shared" si="900"/>
        <v>26667932</v>
      </c>
      <c r="C9997" s="4" t="str">
        <f t="shared" si="901"/>
        <v>GSE74685</v>
      </c>
      <c r="D9997" s="1" t="s">
        <v>447</v>
      </c>
      <c r="E9997" t="s">
        <v>448</v>
      </c>
      <c r="F9997" s="1">
        <v>1</v>
      </c>
      <c r="G9997" s="1" t="s">
        <v>449</v>
      </c>
      <c r="H9997" s="4" t="str">
        <f>HYPERLINK("https://www.ncbi.nlm.nih.gov/geo/query/acc.cgi?acc=GSM1616679","GSM1616679")</f>
        <v>GSM1616679</v>
      </c>
      <c r="I9997" t="s">
        <v>161</v>
      </c>
      <c r="J9997" t="s">
        <v>193</v>
      </c>
      <c r="K9997" t="s">
        <v>19</v>
      </c>
      <c r="L9997" t="s">
        <v>162</v>
      </c>
      <c r="M9997" t="s">
        <v>50</v>
      </c>
      <c r="N9997" t="s">
        <v>22</v>
      </c>
    </row>
    <row r="9998" spans="1:14">
      <c r="A9998" s="4" t="str">
        <f t="shared" si="899"/>
        <v>EXP00337</v>
      </c>
      <c r="B9998" s="4" t="str">
        <f t="shared" si="900"/>
        <v>26667932</v>
      </c>
      <c r="C9998" s="4" t="str">
        <f t="shared" si="901"/>
        <v>GSE74685</v>
      </c>
      <c r="D9998" s="1" t="s">
        <v>447</v>
      </c>
      <c r="E9998" t="s">
        <v>448</v>
      </c>
      <c r="F9998" s="1">
        <v>1</v>
      </c>
      <c r="G9998" s="1" t="s">
        <v>449</v>
      </c>
      <c r="H9998" s="4" t="str">
        <f>HYPERLINK("https://www.ncbi.nlm.nih.gov/geo/query/acc.cgi?acc=GSM1616680","GSM1616680")</f>
        <v>GSM1616680</v>
      </c>
      <c r="I9998" t="s">
        <v>161</v>
      </c>
      <c r="J9998" t="s">
        <v>193</v>
      </c>
      <c r="K9998" t="s">
        <v>19</v>
      </c>
      <c r="L9998" t="s">
        <v>162</v>
      </c>
      <c r="M9998" t="s">
        <v>50</v>
      </c>
      <c r="N9998" t="s">
        <v>22</v>
      </c>
    </row>
    <row r="9999" spans="1:14">
      <c r="A9999" s="4" t="str">
        <f t="shared" si="899"/>
        <v>EXP00337</v>
      </c>
      <c r="B9999" s="4" t="str">
        <f t="shared" si="900"/>
        <v>26667932</v>
      </c>
      <c r="C9999" s="4" t="str">
        <f t="shared" si="901"/>
        <v>GSE74685</v>
      </c>
      <c r="D9999" s="1" t="s">
        <v>447</v>
      </c>
      <c r="E9999" t="s">
        <v>448</v>
      </c>
      <c r="F9999" s="1">
        <v>1</v>
      </c>
      <c r="G9999" s="1" t="s">
        <v>449</v>
      </c>
      <c r="H9999" s="4" t="str">
        <f>HYPERLINK("https://www.ncbi.nlm.nih.gov/geo/query/acc.cgi?acc=GSM1616681","GSM1616681")</f>
        <v>GSM1616681</v>
      </c>
      <c r="I9999" t="s">
        <v>161</v>
      </c>
      <c r="J9999" t="s">
        <v>193</v>
      </c>
      <c r="K9999" t="s">
        <v>19</v>
      </c>
      <c r="L9999" t="s">
        <v>162</v>
      </c>
      <c r="M9999" t="s">
        <v>50</v>
      </c>
      <c r="N9999" t="s">
        <v>22</v>
      </c>
    </row>
    <row r="10000" spans="1:14">
      <c r="A10000" s="4" t="str">
        <f t="shared" si="899"/>
        <v>EXP00337</v>
      </c>
      <c r="B10000" s="4" t="str">
        <f t="shared" si="900"/>
        <v>26667932</v>
      </c>
      <c r="C10000" s="4" t="str">
        <f t="shared" si="901"/>
        <v>GSE74685</v>
      </c>
      <c r="D10000" s="1" t="s">
        <v>447</v>
      </c>
      <c r="E10000" t="s">
        <v>448</v>
      </c>
      <c r="F10000" s="1">
        <v>1</v>
      </c>
      <c r="G10000" s="1" t="s">
        <v>449</v>
      </c>
      <c r="H10000" s="4" t="str">
        <f>HYPERLINK("https://www.ncbi.nlm.nih.gov/geo/query/acc.cgi?acc=GSM1616683","GSM1616683")</f>
        <v>GSM1616683</v>
      </c>
      <c r="I10000" t="s">
        <v>161</v>
      </c>
      <c r="J10000" t="s">
        <v>193</v>
      </c>
      <c r="K10000" t="s">
        <v>19</v>
      </c>
      <c r="L10000" t="s">
        <v>162</v>
      </c>
      <c r="M10000" t="s">
        <v>50</v>
      </c>
      <c r="N10000" t="s">
        <v>22</v>
      </c>
    </row>
    <row r="10001" spans="1:14">
      <c r="A10001" s="4" t="str">
        <f t="shared" si="899"/>
        <v>EXP00337</v>
      </c>
      <c r="B10001" s="4" t="str">
        <f t="shared" si="900"/>
        <v>26667932</v>
      </c>
      <c r="C10001" s="4" t="str">
        <f t="shared" si="901"/>
        <v>GSE74685</v>
      </c>
      <c r="D10001" s="1" t="s">
        <v>447</v>
      </c>
      <c r="E10001" t="s">
        <v>448</v>
      </c>
      <c r="F10001" s="1">
        <v>1</v>
      </c>
      <c r="G10001" s="1" t="s">
        <v>449</v>
      </c>
      <c r="H10001" s="4" t="str">
        <f>HYPERLINK("https://www.ncbi.nlm.nih.gov/geo/query/acc.cgi?acc=GSM1918979","GSM1918979")</f>
        <v>GSM1918979</v>
      </c>
      <c r="I10001" t="s">
        <v>161</v>
      </c>
      <c r="J10001" t="s">
        <v>193</v>
      </c>
      <c r="K10001" t="s">
        <v>19</v>
      </c>
      <c r="L10001" t="s">
        <v>162</v>
      </c>
      <c r="M10001" t="s">
        <v>50</v>
      </c>
      <c r="N10001" t="s">
        <v>22</v>
      </c>
    </row>
    <row r="10002" spans="1:14">
      <c r="A10002" s="4" t="str">
        <f t="shared" si="899"/>
        <v>EXP00337</v>
      </c>
      <c r="B10002" s="4" t="str">
        <f t="shared" si="900"/>
        <v>26667932</v>
      </c>
      <c r="C10002" s="4" t="str">
        <f t="shared" si="901"/>
        <v>GSE74685</v>
      </c>
      <c r="D10002" s="1" t="s">
        <v>447</v>
      </c>
      <c r="E10002" t="s">
        <v>448</v>
      </c>
      <c r="F10002" s="1">
        <v>1</v>
      </c>
      <c r="G10002" s="1" t="s">
        <v>449</v>
      </c>
      <c r="H10002" s="4" t="str">
        <f>HYPERLINK("https://www.ncbi.nlm.nih.gov/geo/query/acc.cgi?acc=GSM1930079","GSM1930079")</f>
        <v>GSM1930079</v>
      </c>
      <c r="I10002" t="s">
        <v>161</v>
      </c>
      <c r="J10002" t="s">
        <v>193</v>
      </c>
      <c r="K10002" t="s">
        <v>19</v>
      </c>
      <c r="L10002" t="s">
        <v>162</v>
      </c>
      <c r="M10002" t="s">
        <v>50</v>
      </c>
      <c r="N10002" t="s">
        <v>22</v>
      </c>
    </row>
    <row r="10003" spans="1:14">
      <c r="A10003" s="4" t="str">
        <f t="shared" si="899"/>
        <v>EXP00337</v>
      </c>
      <c r="B10003" s="4" t="str">
        <f t="shared" si="900"/>
        <v>26667932</v>
      </c>
      <c r="C10003" s="4" t="str">
        <f t="shared" si="901"/>
        <v>GSE74685</v>
      </c>
      <c r="D10003" s="1" t="s">
        <v>447</v>
      </c>
      <c r="E10003" t="s">
        <v>448</v>
      </c>
      <c r="F10003" s="1">
        <v>1</v>
      </c>
      <c r="G10003" s="1" t="s">
        <v>449</v>
      </c>
      <c r="H10003" s="4" t="str">
        <f>HYPERLINK("https://www.ncbi.nlm.nih.gov/geo/query/acc.cgi?acc=GSM1930119","GSM1930119")</f>
        <v>GSM1930119</v>
      </c>
      <c r="I10003" t="s">
        <v>161</v>
      </c>
      <c r="J10003" t="s">
        <v>193</v>
      </c>
      <c r="K10003" t="s">
        <v>19</v>
      </c>
      <c r="L10003" t="s">
        <v>162</v>
      </c>
      <c r="M10003" t="s">
        <v>50</v>
      </c>
      <c r="N10003" t="s">
        <v>22</v>
      </c>
    </row>
    <row r="10004" spans="1:14">
      <c r="A10004" s="4" t="str">
        <f t="shared" si="899"/>
        <v>EXP00337</v>
      </c>
      <c r="B10004" s="4" t="str">
        <f t="shared" si="900"/>
        <v>26667932</v>
      </c>
      <c r="C10004" s="4" t="str">
        <f t="shared" si="901"/>
        <v>GSE74685</v>
      </c>
      <c r="D10004" s="1" t="s">
        <v>447</v>
      </c>
      <c r="E10004" t="s">
        <v>448</v>
      </c>
      <c r="F10004" s="1">
        <v>2</v>
      </c>
      <c r="G10004" s="1" t="s">
        <v>450</v>
      </c>
      <c r="H10004" s="4" t="str">
        <f>HYPERLINK("https://www.ncbi.nlm.nih.gov/geo/query/acc.cgi?acc=GSM1616614","GSM1616614")</f>
        <v>GSM1616614</v>
      </c>
      <c r="I10004" t="s">
        <v>161</v>
      </c>
      <c r="J10004" t="s">
        <v>193</v>
      </c>
      <c r="K10004" t="s">
        <v>19</v>
      </c>
      <c r="L10004" t="s">
        <v>162</v>
      </c>
      <c r="M10004" t="s">
        <v>44</v>
      </c>
      <c r="N10004" t="s">
        <v>22</v>
      </c>
    </row>
    <row r="10005" spans="1:14">
      <c r="A10005" s="4" t="str">
        <f t="shared" si="899"/>
        <v>EXP00337</v>
      </c>
      <c r="B10005" s="4" t="str">
        <f t="shared" si="900"/>
        <v>26667932</v>
      </c>
      <c r="C10005" s="4" t="str">
        <f t="shared" si="901"/>
        <v>GSE74685</v>
      </c>
      <c r="D10005" s="1" t="s">
        <v>447</v>
      </c>
      <c r="E10005" t="s">
        <v>448</v>
      </c>
      <c r="F10005" s="1">
        <v>2</v>
      </c>
      <c r="G10005" s="1" t="s">
        <v>450</v>
      </c>
      <c r="H10005" s="4" t="str">
        <f>HYPERLINK("https://www.ncbi.nlm.nih.gov/geo/query/acc.cgi?acc=GSM1616618","GSM1616618")</f>
        <v>GSM1616618</v>
      </c>
      <c r="I10005" t="s">
        <v>161</v>
      </c>
      <c r="J10005" t="s">
        <v>193</v>
      </c>
      <c r="K10005" t="s">
        <v>19</v>
      </c>
      <c r="L10005" t="s">
        <v>162</v>
      </c>
      <c r="M10005" t="s">
        <v>44</v>
      </c>
      <c r="N10005" t="s">
        <v>22</v>
      </c>
    </row>
    <row r="10006" spans="1:14">
      <c r="A10006" s="4" t="str">
        <f t="shared" si="899"/>
        <v>EXP00337</v>
      </c>
      <c r="B10006" s="4" t="str">
        <f t="shared" si="900"/>
        <v>26667932</v>
      </c>
      <c r="C10006" s="4" t="str">
        <f t="shared" si="901"/>
        <v>GSE74685</v>
      </c>
      <c r="D10006" s="1" t="s">
        <v>447</v>
      </c>
      <c r="E10006" t="s">
        <v>448</v>
      </c>
      <c r="F10006" s="1">
        <v>2</v>
      </c>
      <c r="G10006" s="1" t="s">
        <v>450</v>
      </c>
      <c r="H10006" s="4" t="str">
        <f>HYPERLINK("https://www.ncbi.nlm.nih.gov/geo/query/acc.cgi?acc=GSM1616621","GSM1616621")</f>
        <v>GSM1616621</v>
      </c>
      <c r="I10006" t="s">
        <v>161</v>
      </c>
      <c r="J10006" t="s">
        <v>193</v>
      </c>
      <c r="K10006" t="s">
        <v>19</v>
      </c>
      <c r="L10006" t="s">
        <v>162</v>
      </c>
      <c r="M10006" t="s">
        <v>44</v>
      </c>
      <c r="N10006" t="s">
        <v>22</v>
      </c>
    </row>
    <row r="10007" spans="1:14">
      <c r="A10007" s="4" t="str">
        <f t="shared" si="899"/>
        <v>EXP00337</v>
      </c>
      <c r="B10007" s="4" t="str">
        <f t="shared" si="900"/>
        <v>26667932</v>
      </c>
      <c r="C10007" s="4" t="str">
        <f t="shared" si="901"/>
        <v>GSE74685</v>
      </c>
      <c r="D10007" s="1" t="s">
        <v>447</v>
      </c>
      <c r="E10007" t="s">
        <v>448</v>
      </c>
      <c r="F10007" s="1">
        <v>2</v>
      </c>
      <c r="G10007" s="1" t="s">
        <v>450</v>
      </c>
      <c r="H10007" s="4" t="str">
        <f>HYPERLINK("https://www.ncbi.nlm.nih.gov/geo/query/acc.cgi?acc=GSM1616623","GSM1616623")</f>
        <v>GSM1616623</v>
      </c>
      <c r="I10007" t="s">
        <v>161</v>
      </c>
      <c r="J10007" t="s">
        <v>193</v>
      </c>
      <c r="K10007" t="s">
        <v>19</v>
      </c>
      <c r="L10007" t="s">
        <v>162</v>
      </c>
      <c r="M10007" t="s">
        <v>44</v>
      </c>
      <c r="N10007" t="s">
        <v>22</v>
      </c>
    </row>
    <row r="10008" spans="1:14">
      <c r="A10008" s="4" t="str">
        <f t="shared" si="899"/>
        <v>EXP00337</v>
      </c>
      <c r="B10008" s="4" t="str">
        <f t="shared" si="900"/>
        <v>26667932</v>
      </c>
      <c r="C10008" s="4" t="str">
        <f t="shared" si="901"/>
        <v>GSE74685</v>
      </c>
      <c r="D10008" s="1" t="s">
        <v>447</v>
      </c>
      <c r="E10008" t="s">
        <v>448</v>
      </c>
      <c r="F10008" s="1">
        <v>2</v>
      </c>
      <c r="G10008" s="1" t="s">
        <v>450</v>
      </c>
      <c r="H10008" s="4" t="str">
        <f>HYPERLINK("https://www.ncbi.nlm.nih.gov/geo/query/acc.cgi?acc=GSM1616628","GSM1616628")</f>
        <v>GSM1616628</v>
      </c>
      <c r="I10008" t="s">
        <v>161</v>
      </c>
      <c r="J10008" t="s">
        <v>193</v>
      </c>
      <c r="K10008" t="s">
        <v>19</v>
      </c>
      <c r="L10008" t="s">
        <v>162</v>
      </c>
      <c r="M10008" t="s">
        <v>44</v>
      </c>
      <c r="N10008" t="s">
        <v>22</v>
      </c>
    </row>
    <row r="10009" spans="1:14">
      <c r="A10009" s="4" t="str">
        <f t="shared" si="899"/>
        <v>EXP00337</v>
      </c>
      <c r="B10009" s="4" t="str">
        <f t="shared" si="900"/>
        <v>26667932</v>
      </c>
      <c r="C10009" s="4" t="str">
        <f t="shared" si="901"/>
        <v>GSE74685</v>
      </c>
      <c r="D10009" s="1" t="s">
        <v>447</v>
      </c>
      <c r="E10009" t="s">
        <v>448</v>
      </c>
      <c r="F10009" s="1">
        <v>2</v>
      </c>
      <c r="G10009" s="1" t="s">
        <v>450</v>
      </c>
      <c r="H10009" s="4" t="str">
        <f>HYPERLINK("https://www.ncbi.nlm.nih.gov/geo/query/acc.cgi?acc=GSM1616629","GSM1616629")</f>
        <v>GSM1616629</v>
      </c>
      <c r="I10009" t="s">
        <v>161</v>
      </c>
      <c r="J10009" t="s">
        <v>193</v>
      </c>
      <c r="K10009" t="s">
        <v>19</v>
      </c>
      <c r="L10009" t="s">
        <v>162</v>
      </c>
      <c r="M10009" t="s">
        <v>44</v>
      </c>
      <c r="N10009" t="s">
        <v>22</v>
      </c>
    </row>
    <row r="10010" spans="1:14">
      <c r="A10010" s="4" t="str">
        <f t="shared" si="899"/>
        <v>EXP00337</v>
      </c>
      <c r="B10010" s="4" t="str">
        <f t="shared" si="900"/>
        <v>26667932</v>
      </c>
      <c r="C10010" s="4" t="str">
        <f t="shared" si="901"/>
        <v>GSE74685</v>
      </c>
      <c r="D10010" s="1" t="s">
        <v>447</v>
      </c>
      <c r="E10010" t="s">
        <v>448</v>
      </c>
      <c r="F10010" s="1">
        <v>2</v>
      </c>
      <c r="G10010" s="1" t="s">
        <v>450</v>
      </c>
      <c r="H10010" s="4" t="str">
        <f>HYPERLINK("https://www.ncbi.nlm.nih.gov/geo/query/acc.cgi?acc=GSM1616632","GSM1616632")</f>
        <v>GSM1616632</v>
      </c>
      <c r="I10010" t="s">
        <v>161</v>
      </c>
      <c r="J10010" t="s">
        <v>193</v>
      </c>
      <c r="K10010" t="s">
        <v>19</v>
      </c>
      <c r="L10010" t="s">
        <v>162</v>
      </c>
      <c r="M10010" t="s">
        <v>44</v>
      </c>
      <c r="N10010" t="s">
        <v>22</v>
      </c>
    </row>
    <row r="10011" spans="1:14">
      <c r="A10011" s="4" t="str">
        <f t="shared" si="899"/>
        <v>EXP00337</v>
      </c>
      <c r="B10011" s="4" t="str">
        <f t="shared" si="900"/>
        <v>26667932</v>
      </c>
      <c r="C10011" s="4" t="str">
        <f t="shared" si="901"/>
        <v>GSE74685</v>
      </c>
      <c r="D10011" s="1" t="s">
        <v>447</v>
      </c>
      <c r="E10011" t="s">
        <v>448</v>
      </c>
      <c r="F10011" s="1">
        <v>2</v>
      </c>
      <c r="G10011" s="1" t="s">
        <v>450</v>
      </c>
      <c r="H10011" s="4" t="str">
        <f>HYPERLINK("https://www.ncbi.nlm.nih.gov/geo/query/acc.cgi?acc=GSM1616638","GSM1616638")</f>
        <v>GSM1616638</v>
      </c>
      <c r="I10011" t="s">
        <v>161</v>
      </c>
      <c r="J10011" t="s">
        <v>193</v>
      </c>
      <c r="K10011" t="s">
        <v>19</v>
      </c>
      <c r="L10011" t="s">
        <v>162</v>
      </c>
      <c r="M10011" t="s">
        <v>44</v>
      </c>
      <c r="N10011" t="s">
        <v>22</v>
      </c>
    </row>
    <row r="10012" spans="1:14">
      <c r="A10012" s="4" t="str">
        <f t="shared" si="899"/>
        <v>EXP00337</v>
      </c>
      <c r="B10012" s="4" t="str">
        <f t="shared" si="900"/>
        <v>26667932</v>
      </c>
      <c r="C10012" s="4" t="str">
        <f t="shared" si="901"/>
        <v>GSE74685</v>
      </c>
      <c r="D10012" s="1" t="s">
        <v>447</v>
      </c>
      <c r="E10012" t="s">
        <v>448</v>
      </c>
      <c r="F10012" s="1">
        <v>2</v>
      </c>
      <c r="G10012" s="1" t="s">
        <v>450</v>
      </c>
      <c r="H10012" s="4" t="str">
        <f>HYPERLINK("https://www.ncbi.nlm.nih.gov/geo/query/acc.cgi?acc=GSM1616641","GSM1616641")</f>
        <v>GSM1616641</v>
      </c>
      <c r="I10012" t="s">
        <v>161</v>
      </c>
      <c r="J10012" t="s">
        <v>193</v>
      </c>
      <c r="K10012" t="s">
        <v>19</v>
      </c>
      <c r="L10012" t="s">
        <v>162</v>
      </c>
      <c r="M10012" t="s">
        <v>44</v>
      </c>
      <c r="N10012" t="s">
        <v>22</v>
      </c>
    </row>
    <row r="10013" spans="1:14">
      <c r="A10013" s="4" t="str">
        <f t="shared" si="899"/>
        <v>EXP00337</v>
      </c>
      <c r="B10013" s="4" t="str">
        <f t="shared" si="900"/>
        <v>26667932</v>
      </c>
      <c r="C10013" s="4" t="str">
        <f t="shared" si="901"/>
        <v>GSE74685</v>
      </c>
      <c r="D10013" s="1" t="s">
        <v>447</v>
      </c>
      <c r="E10013" t="s">
        <v>448</v>
      </c>
      <c r="F10013" s="1">
        <v>2</v>
      </c>
      <c r="G10013" s="1" t="s">
        <v>450</v>
      </c>
      <c r="H10013" s="4" t="str">
        <f>HYPERLINK("https://www.ncbi.nlm.nih.gov/geo/query/acc.cgi?acc=GSM1616663","GSM1616663")</f>
        <v>GSM1616663</v>
      </c>
      <c r="I10013" t="s">
        <v>161</v>
      </c>
      <c r="J10013" t="s">
        <v>193</v>
      </c>
      <c r="K10013" t="s">
        <v>19</v>
      </c>
      <c r="L10013" t="s">
        <v>162</v>
      </c>
      <c r="M10013" t="s">
        <v>44</v>
      </c>
      <c r="N10013" t="s">
        <v>22</v>
      </c>
    </row>
    <row r="10014" spans="1:14">
      <c r="A10014" s="4" t="str">
        <f t="shared" si="899"/>
        <v>EXP00337</v>
      </c>
      <c r="B10014" s="4" t="str">
        <f t="shared" si="900"/>
        <v>26667932</v>
      </c>
      <c r="C10014" s="4" t="str">
        <f t="shared" si="901"/>
        <v>GSE74685</v>
      </c>
      <c r="D10014" s="1" t="s">
        <v>447</v>
      </c>
      <c r="E10014" t="s">
        <v>448</v>
      </c>
      <c r="F10014" s="1">
        <v>2</v>
      </c>
      <c r="G10014" s="1" t="s">
        <v>450</v>
      </c>
      <c r="H10014" s="4" t="str">
        <f>HYPERLINK("https://www.ncbi.nlm.nih.gov/geo/query/acc.cgi?acc=GSM1616667","GSM1616667")</f>
        <v>GSM1616667</v>
      </c>
      <c r="I10014" t="s">
        <v>161</v>
      </c>
      <c r="J10014" t="s">
        <v>193</v>
      </c>
      <c r="K10014" t="s">
        <v>19</v>
      </c>
      <c r="L10014" t="s">
        <v>162</v>
      </c>
      <c r="M10014" t="s">
        <v>44</v>
      </c>
      <c r="N10014" t="s">
        <v>22</v>
      </c>
    </row>
    <row r="10015" spans="1:14">
      <c r="A10015" s="4" t="str">
        <f t="shared" si="899"/>
        <v>EXP00337</v>
      </c>
      <c r="B10015" s="4" t="str">
        <f t="shared" si="900"/>
        <v>26667932</v>
      </c>
      <c r="C10015" s="4" t="str">
        <f t="shared" si="901"/>
        <v>GSE74685</v>
      </c>
      <c r="D10015" s="1" t="s">
        <v>447</v>
      </c>
      <c r="E10015" t="s">
        <v>448</v>
      </c>
      <c r="F10015" s="1">
        <v>2</v>
      </c>
      <c r="G10015" s="1" t="s">
        <v>450</v>
      </c>
      <c r="H10015" s="4" t="str">
        <f>HYPERLINK("https://www.ncbi.nlm.nih.gov/geo/query/acc.cgi?acc=GSM1616671","GSM1616671")</f>
        <v>GSM1616671</v>
      </c>
      <c r="I10015" t="s">
        <v>161</v>
      </c>
      <c r="J10015" t="s">
        <v>193</v>
      </c>
      <c r="K10015" t="s">
        <v>19</v>
      </c>
      <c r="L10015" t="s">
        <v>162</v>
      </c>
      <c r="M10015" t="s">
        <v>44</v>
      </c>
      <c r="N10015" t="s">
        <v>22</v>
      </c>
    </row>
    <row r="10016" spans="1:14">
      <c r="A10016" s="4" t="str">
        <f t="shared" si="899"/>
        <v>EXP00337</v>
      </c>
      <c r="B10016" s="4" t="str">
        <f t="shared" si="900"/>
        <v>26667932</v>
      </c>
      <c r="C10016" s="4" t="str">
        <f t="shared" si="901"/>
        <v>GSE74685</v>
      </c>
      <c r="D10016" s="1" t="s">
        <v>447</v>
      </c>
      <c r="E10016" t="s">
        <v>448</v>
      </c>
      <c r="F10016" s="1">
        <v>2</v>
      </c>
      <c r="G10016" s="1" t="s">
        <v>450</v>
      </c>
      <c r="H10016" s="4" t="str">
        <f>HYPERLINK("https://www.ncbi.nlm.nih.gov/geo/query/acc.cgi?acc=GSM1616674","GSM1616674")</f>
        <v>GSM1616674</v>
      </c>
      <c r="I10016" t="s">
        <v>161</v>
      </c>
      <c r="J10016" t="s">
        <v>193</v>
      </c>
      <c r="K10016" t="s">
        <v>19</v>
      </c>
      <c r="L10016" t="s">
        <v>162</v>
      </c>
      <c r="M10016" t="s">
        <v>44</v>
      </c>
      <c r="N10016" t="s">
        <v>22</v>
      </c>
    </row>
    <row r="10017" spans="1:14">
      <c r="A10017" s="4" t="str">
        <f t="shared" si="899"/>
        <v>EXP00337</v>
      </c>
      <c r="B10017" s="4" t="str">
        <f t="shared" si="900"/>
        <v>26667932</v>
      </c>
      <c r="C10017" s="4" t="str">
        <f t="shared" si="901"/>
        <v>GSE74685</v>
      </c>
      <c r="D10017" s="1" t="s">
        <v>447</v>
      </c>
      <c r="E10017" t="s">
        <v>448</v>
      </c>
      <c r="F10017" s="1">
        <v>2</v>
      </c>
      <c r="G10017" s="1" t="s">
        <v>450</v>
      </c>
      <c r="H10017" s="4" t="str">
        <f>HYPERLINK("https://www.ncbi.nlm.nih.gov/geo/query/acc.cgi?acc=GSM1616675","GSM1616675")</f>
        <v>GSM1616675</v>
      </c>
      <c r="I10017" t="s">
        <v>161</v>
      </c>
      <c r="J10017" t="s">
        <v>193</v>
      </c>
      <c r="K10017" t="s">
        <v>19</v>
      </c>
      <c r="L10017" t="s">
        <v>162</v>
      </c>
      <c r="M10017" t="s">
        <v>44</v>
      </c>
      <c r="N10017" t="s">
        <v>22</v>
      </c>
    </row>
    <row r="10018" spans="1:14">
      <c r="A10018" s="4" t="str">
        <f t="shared" si="899"/>
        <v>EXP00337</v>
      </c>
      <c r="B10018" s="4" t="str">
        <f t="shared" si="900"/>
        <v>26667932</v>
      </c>
      <c r="C10018" s="4" t="str">
        <f t="shared" si="901"/>
        <v>GSE74685</v>
      </c>
      <c r="D10018" s="1" t="s">
        <v>447</v>
      </c>
      <c r="E10018" t="s">
        <v>448</v>
      </c>
      <c r="F10018" s="1">
        <v>2</v>
      </c>
      <c r="G10018" s="1" t="s">
        <v>450</v>
      </c>
      <c r="H10018" s="4" t="str">
        <f>HYPERLINK("https://www.ncbi.nlm.nih.gov/geo/query/acc.cgi?acc=GSM1616677","GSM1616677")</f>
        <v>GSM1616677</v>
      </c>
      <c r="I10018" t="s">
        <v>161</v>
      </c>
      <c r="J10018" t="s">
        <v>193</v>
      </c>
      <c r="K10018" t="s">
        <v>19</v>
      </c>
      <c r="L10018" t="s">
        <v>162</v>
      </c>
      <c r="M10018" t="s">
        <v>44</v>
      </c>
      <c r="N10018" t="s">
        <v>22</v>
      </c>
    </row>
    <row r="10019" spans="1:14">
      <c r="A10019" s="4" t="str">
        <f t="shared" si="899"/>
        <v>EXP00337</v>
      </c>
      <c r="B10019" s="4" t="str">
        <f t="shared" si="900"/>
        <v>26667932</v>
      </c>
      <c r="C10019" s="4" t="str">
        <f t="shared" si="901"/>
        <v>GSE74685</v>
      </c>
      <c r="D10019" s="1" t="s">
        <v>447</v>
      </c>
      <c r="E10019" t="s">
        <v>448</v>
      </c>
      <c r="F10019" s="1">
        <v>2</v>
      </c>
      <c r="G10019" s="1" t="s">
        <v>450</v>
      </c>
      <c r="H10019" s="4" t="str">
        <f>HYPERLINK("https://www.ncbi.nlm.nih.gov/geo/query/acc.cgi?acc=GSM1930080","GSM1930080")</f>
        <v>GSM1930080</v>
      </c>
      <c r="I10019" t="s">
        <v>161</v>
      </c>
      <c r="J10019" t="s">
        <v>193</v>
      </c>
      <c r="K10019" t="s">
        <v>19</v>
      </c>
      <c r="L10019" t="s">
        <v>162</v>
      </c>
      <c r="M10019" t="s">
        <v>44</v>
      </c>
      <c r="N10019" t="s">
        <v>22</v>
      </c>
    </row>
    <row r="10020" spans="1:14">
      <c r="A10020" s="4" t="str">
        <f t="shared" si="899"/>
        <v>EXP00337</v>
      </c>
      <c r="B10020" s="4" t="str">
        <f t="shared" si="900"/>
        <v>26667932</v>
      </c>
      <c r="C10020" s="4" t="str">
        <f t="shared" si="901"/>
        <v>GSE74685</v>
      </c>
      <c r="D10020" s="1" t="s">
        <v>447</v>
      </c>
      <c r="E10020" t="s">
        <v>448</v>
      </c>
      <c r="F10020" s="1">
        <v>2</v>
      </c>
      <c r="G10020" s="1" t="s">
        <v>450</v>
      </c>
      <c r="H10020" s="4" t="str">
        <f>HYPERLINK("https://www.ncbi.nlm.nih.gov/geo/query/acc.cgi?acc=GSM1930136","GSM1930136")</f>
        <v>GSM1930136</v>
      </c>
      <c r="I10020" t="s">
        <v>161</v>
      </c>
      <c r="J10020" t="s">
        <v>193</v>
      </c>
      <c r="K10020" t="s">
        <v>19</v>
      </c>
      <c r="L10020" t="s">
        <v>162</v>
      </c>
      <c r="M10020" t="s">
        <v>44</v>
      </c>
      <c r="N10020" t="s">
        <v>22</v>
      </c>
    </row>
    <row r="10021" spans="1:14">
      <c r="A10021" s="4" t="str">
        <f t="shared" si="899"/>
        <v>EXP00337</v>
      </c>
      <c r="B10021" s="4" t="str">
        <f t="shared" si="900"/>
        <v>26667932</v>
      </c>
      <c r="C10021" s="4" t="str">
        <f t="shared" si="901"/>
        <v>GSE74685</v>
      </c>
      <c r="D10021" s="1" t="s">
        <v>447</v>
      </c>
      <c r="E10021" t="s">
        <v>448</v>
      </c>
      <c r="F10021" s="1">
        <v>2</v>
      </c>
      <c r="G10021" s="1" t="s">
        <v>450</v>
      </c>
      <c r="H10021" s="4" t="str">
        <f>HYPERLINK("https://www.ncbi.nlm.nih.gov/geo/query/acc.cgi?acc=GSM1930141","GSM1930141")</f>
        <v>GSM1930141</v>
      </c>
      <c r="I10021" t="s">
        <v>161</v>
      </c>
      <c r="J10021" t="s">
        <v>193</v>
      </c>
      <c r="K10021" t="s">
        <v>19</v>
      </c>
      <c r="L10021" t="s">
        <v>162</v>
      </c>
      <c r="M10021" t="s">
        <v>44</v>
      </c>
      <c r="N10021" t="s">
        <v>22</v>
      </c>
    </row>
    <row r="10022" spans="1:14">
      <c r="A10022" s="4" t="str">
        <f t="shared" si="899"/>
        <v>EXP00337</v>
      </c>
      <c r="B10022" s="4" t="str">
        <f t="shared" si="900"/>
        <v>26667932</v>
      </c>
      <c r="C10022" s="4" t="str">
        <f t="shared" si="901"/>
        <v>GSE74685</v>
      </c>
      <c r="D10022" s="1" t="s">
        <v>447</v>
      </c>
      <c r="E10022" t="s">
        <v>448</v>
      </c>
      <c r="F10022" s="1">
        <v>2</v>
      </c>
      <c r="G10022" s="1" t="s">
        <v>450</v>
      </c>
      <c r="H10022" s="4" t="str">
        <f>HYPERLINK("https://www.ncbi.nlm.nih.gov/geo/query/acc.cgi?acc=GSM1930142","GSM1930142")</f>
        <v>GSM1930142</v>
      </c>
      <c r="I10022" t="s">
        <v>161</v>
      </c>
      <c r="J10022" t="s">
        <v>193</v>
      </c>
      <c r="K10022" t="s">
        <v>19</v>
      </c>
      <c r="L10022" t="s">
        <v>162</v>
      </c>
      <c r="M10022" t="s">
        <v>44</v>
      </c>
      <c r="N10022" t="s">
        <v>22</v>
      </c>
    </row>
    <row r="10023" spans="1:14">
      <c r="A10023" s="4" t="str">
        <f t="shared" si="899"/>
        <v>EXP00337</v>
      </c>
      <c r="B10023" s="4" t="str">
        <f t="shared" si="900"/>
        <v>26667932</v>
      </c>
      <c r="C10023" s="4" t="str">
        <f t="shared" si="901"/>
        <v>GSE74685</v>
      </c>
      <c r="D10023" s="1" t="s">
        <v>447</v>
      </c>
      <c r="E10023" t="s">
        <v>448</v>
      </c>
      <c r="F10023" s="1">
        <v>2</v>
      </c>
      <c r="G10023" s="1" t="s">
        <v>450</v>
      </c>
      <c r="H10023" s="4" t="str">
        <f>HYPERLINK("https://www.ncbi.nlm.nih.gov/geo/query/acc.cgi?acc=GSM1930150","GSM1930150")</f>
        <v>GSM1930150</v>
      </c>
      <c r="I10023" t="s">
        <v>161</v>
      </c>
      <c r="J10023" t="s">
        <v>193</v>
      </c>
      <c r="K10023" t="s">
        <v>19</v>
      </c>
      <c r="L10023" t="s">
        <v>162</v>
      </c>
      <c r="M10023" t="s">
        <v>44</v>
      </c>
      <c r="N10023" t="s">
        <v>22</v>
      </c>
    </row>
    <row r="10024" spans="1:14">
      <c r="A10024" s="4" t="str">
        <f t="shared" si="899"/>
        <v>EXP00337</v>
      </c>
      <c r="B10024" s="4" t="str">
        <f t="shared" si="900"/>
        <v>26667932</v>
      </c>
      <c r="C10024" s="4" t="str">
        <f t="shared" si="901"/>
        <v>GSE74685</v>
      </c>
      <c r="D10024" s="1" t="s">
        <v>447</v>
      </c>
      <c r="E10024" t="s">
        <v>448</v>
      </c>
      <c r="F10024" s="1">
        <v>2</v>
      </c>
      <c r="G10024" s="1" t="s">
        <v>450</v>
      </c>
      <c r="H10024" s="4" t="str">
        <f>HYPERLINK("https://www.ncbi.nlm.nih.gov/geo/query/acc.cgi?acc=GSM1930155","GSM1930155")</f>
        <v>GSM1930155</v>
      </c>
      <c r="I10024" t="s">
        <v>161</v>
      </c>
      <c r="J10024" t="s">
        <v>193</v>
      </c>
      <c r="K10024" t="s">
        <v>19</v>
      </c>
      <c r="L10024" t="s">
        <v>162</v>
      </c>
      <c r="M10024" t="s">
        <v>44</v>
      </c>
      <c r="N10024" t="s">
        <v>22</v>
      </c>
    </row>
    <row r="10025" spans="1:14">
      <c r="A10025" s="4" t="str">
        <f t="shared" ref="A10025:A10066" si="902">HYPERLINK("http://hcmdb.i-sanger.com/experiment/details/experiment_id/EXP00338","EXP00338")</f>
        <v>EXP00338</v>
      </c>
      <c r="B10025" s="4" t="str">
        <f t="shared" si="900"/>
        <v>26667932</v>
      </c>
      <c r="C10025" s="4" t="str">
        <f t="shared" si="901"/>
        <v>GSE74685</v>
      </c>
      <c r="D10025" s="1" t="s">
        <v>447</v>
      </c>
      <c r="E10025" t="s">
        <v>448</v>
      </c>
      <c r="F10025" s="1">
        <v>1</v>
      </c>
      <c r="G10025" s="1" t="s">
        <v>449</v>
      </c>
      <c r="H10025" s="4" t="str">
        <f>HYPERLINK("https://www.ncbi.nlm.nih.gov/geo/query/acc.cgi?acc=GSM1616625","GSM1616625")</f>
        <v>GSM1616625</v>
      </c>
      <c r="I10025" t="s">
        <v>161</v>
      </c>
      <c r="J10025" t="s">
        <v>193</v>
      </c>
      <c r="K10025" t="s">
        <v>19</v>
      </c>
      <c r="L10025" t="s">
        <v>162</v>
      </c>
      <c r="M10025" t="s">
        <v>50</v>
      </c>
      <c r="N10025" t="s">
        <v>22</v>
      </c>
    </row>
    <row r="10026" spans="1:14">
      <c r="A10026" s="4" t="str">
        <f t="shared" si="902"/>
        <v>EXP00338</v>
      </c>
      <c r="B10026" s="4" t="str">
        <f t="shared" si="900"/>
        <v>26667932</v>
      </c>
      <c r="C10026" s="4" t="str">
        <f t="shared" si="901"/>
        <v>GSE74685</v>
      </c>
      <c r="D10026" s="1" t="s">
        <v>447</v>
      </c>
      <c r="E10026" t="s">
        <v>448</v>
      </c>
      <c r="F10026" s="1">
        <v>1</v>
      </c>
      <c r="G10026" s="1" t="s">
        <v>449</v>
      </c>
      <c r="H10026" s="4" t="str">
        <f>HYPERLINK("https://www.ncbi.nlm.nih.gov/geo/query/acc.cgi?acc=GSM1616627","GSM1616627")</f>
        <v>GSM1616627</v>
      </c>
      <c r="I10026" t="s">
        <v>161</v>
      </c>
      <c r="J10026" t="s">
        <v>193</v>
      </c>
      <c r="K10026" t="s">
        <v>19</v>
      </c>
      <c r="L10026" t="s">
        <v>162</v>
      </c>
      <c r="M10026" t="s">
        <v>50</v>
      </c>
      <c r="N10026" t="s">
        <v>22</v>
      </c>
    </row>
    <row r="10027" spans="1:14">
      <c r="A10027" s="4" t="str">
        <f t="shared" si="902"/>
        <v>EXP00338</v>
      </c>
      <c r="B10027" s="4" t="str">
        <f t="shared" si="900"/>
        <v>26667932</v>
      </c>
      <c r="C10027" s="4" t="str">
        <f t="shared" si="901"/>
        <v>GSE74685</v>
      </c>
      <c r="D10027" s="1" t="s">
        <v>447</v>
      </c>
      <c r="E10027" t="s">
        <v>448</v>
      </c>
      <c r="F10027" s="1">
        <v>1</v>
      </c>
      <c r="G10027" s="1" t="s">
        <v>449</v>
      </c>
      <c r="H10027" s="4" t="str">
        <f>HYPERLINK("https://www.ncbi.nlm.nih.gov/geo/query/acc.cgi?acc=GSM1616640","GSM1616640")</f>
        <v>GSM1616640</v>
      </c>
      <c r="I10027" t="s">
        <v>161</v>
      </c>
      <c r="J10027" t="s">
        <v>193</v>
      </c>
      <c r="K10027" t="s">
        <v>19</v>
      </c>
      <c r="L10027" t="s">
        <v>162</v>
      </c>
      <c r="M10027" t="s">
        <v>50</v>
      </c>
      <c r="N10027" t="s">
        <v>22</v>
      </c>
    </row>
    <row r="10028" spans="1:14">
      <c r="A10028" s="4" t="str">
        <f t="shared" si="902"/>
        <v>EXP00338</v>
      </c>
      <c r="B10028" s="4" t="str">
        <f t="shared" si="900"/>
        <v>26667932</v>
      </c>
      <c r="C10028" s="4" t="str">
        <f t="shared" si="901"/>
        <v>GSE74685</v>
      </c>
      <c r="D10028" s="1" t="s">
        <v>447</v>
      </c>
      <c r="E10028" t="s">
        <v>448</v>
      </c>
      <c r="F10028" s="1">
        <v>1</v>
      </c>
      <c r="G10028" s="1" t="s">
        <v>449</v>
      </c>
      <c r="H10028" s="4" t="str">
        <f>HYPERLINK("https://www.ncbi.nlm.nih.gov/geo/query/acc.cgi?acc=GSM1616643","GSM1616643")</f>
        <v>GSM1616643</v>
      </c>
      <c r="I10028" t="s">
        <v>161</v>
      </c>
      <c r="J10028" t="s">
        <v>193</v>
      </c>
      <c r="K10028" t="s">
        <v>19</v>
      </c>
      <c r="L10028" t="s">
        <v>162</v>
      </c>
      <c r="M10028" t="s">
        <v>50</v>
      </c>
      <c r="N10028" t="s">
        <v>22</v>
      </c>
    </row>
    <row r="10029" spans="1:14">
      <c r="A10029" s="4" t="str">
        <f t="shared" si="902"/>
        <v>EXP00338</v>
      </c>
      <c r="B10029" s="4" t="str">
        <f t="shared" si="900"/>
        <v>26667932</v>
      </c>
      <c r="C10029" s="4" t="str">
        <f t="shared" si="901"/>
        <v>GSE74685</v>
      </c>
      <c r="D10029" s="1" t="s">
        <v>447</v>
      </c>
      <c r="E10029" t="s">
        <v>448</v>
      </c>
      <c r="F10029" s="1">
        <v>1</v>
      </c>
      <c r="G10029" s="1" t="s">
        <v>449</v>
      </c>
      <c r="H10029" s="4" t="str">
        <f>HYPERLINK("https://www.ncbi.nlm.nih.gov/geo/query/acc.cgi?acc=GSM1616647","GSM1616647")</f>
        <v>GSM1616647</v>
      </c>
      <c r="I10029" t="s">
        <v>161</v>
      </c>
      <c r="J10029" t="s">
        <v>193</v>
      </c>
      <c r="K10029" t="s">
        <v>19</v>
      </c>
      <c r="L10029" t="s">
        <v>162</v>
      </c>
      <c r="M10029" t="s">
        <v>50</v>
      </c>
      <c r="N10029" t="s">
        <v>22</v>
      </c>
    </row>
    <row r="10030" spans="1:14">
      <c r="A10030" s="4" t="str">
        <f t="shared" si="902"/>
        <v>EXP00338</v>
      </c>
      <c r="B10030" s="4" t="str">
        <f t="shared" si="900"/>
        <v>26667932</v>
      </c>
      <c r="C10030" s="4" t="str">
        <f t="shared" si="901"/>
        <v>GSE74685</v>
      </c>
      <c r="D10030" s="1" t="s">
        <v>447</v>
      </c>
      <c r="E10030" t="s">
        <v>448</v>
      </c>
      <c r="F10030" s="1">
        <v>1</v>
      </c>
      <c r="G10030" s="1" t="s">
        <v>449</v>
      </c>
      <c r="H10030" s="4" t="str">
        <f>HYPERLINK("https://www.ncbi.nlm.nih.gov/geo/query/acc.cgi?acc=GSM1616648","GSM1616648")</f>
        <v>GSM1616648</v>
      </c>
      <c r="I10030" t="s">
        <v>161</v>
      </c>
      <c r="J10030" t="s">
        <v>193</v>
      </c>
      <c r="K10030" t="s">
        <v>19</v>
      </c>
      <c r="L10030" t="s">
        <v>162</v>
      </c>
      <c r="M10030" t="s">
        <v>50</v>
      </c>
      <c r="N10030" t="s">
        <v>22</v>
      </c>
    </row>
    <row r="10031" spans="1:14">
      <c r="A10031" s="4" t="str">
        <f t="shared" si="902"/>
        <v>EXP00338</v>
      </c>
      <c r="B10031" s="4" t="str">
        <f t="shared" si="900"/>
        <v>26667932</v>
      </c>
      <c r="C10031" s="4" t="str">
        <f t="shared" si="901"/>
        <v>GSE74685</v>
      </c>
      <c r="D10031" s="1" t="s">
        <v>447</v>
      </c>
      <c r="E10031" t="s">
        <v>448</v>
      </c>
      <c r="F10031" s="1">
        <v>1</v>
      </c>
      <c r="G10031" s="1" t="s">
        <v>449</v>
      </c>
      <c r="H10031" s="4" t="str">
        <f>HYPERLINK("https://www.ncbi.nlm.nih.gov/geo/query/acc.cgi?acc=GSM1616650","GSM1616650")</f>
        <v>GSM1616650</v>
      </c>
      <c r="I10031" t="s">
        <v>161</v>
      </c>
      <c r="J10031" t="s">
        <v>193</v>
      </c>
      <c r="K10031" t="s">
        <v>19</v>
      </c>
      <c r="L10031" t="s">
        <v>162</v>
      </c>
      <c r="M10031" t="s">
        <v>50</v>
      </c>
      <c r="N10031" t="s">
        <v>22</v>
      </c>
    </row>
    <row r="10032" spans="1:14">
      <c r="A10032" s="4" t="str">
        <f t="shared" si="902"/>
        <v>EXP00338</v>
      </c>
      <c r="B10032" s="4" t="str">
        <f t="shared" si="900"/>
        <v>26667932</v>
      </c>
      <c r="C10032" s="4" t="str">
        <f t="shared" si="901"/>
        <v>GSE74685</v>
      </c>
      <c r="D10032" s="1" t="s">
        <v>447</v>
      </c>
      <c r="E10032" t="s">
        <v>448</v>
      </c>
      <c r="F10032" s="1">
        <v>1</v>
      </c>
      <c r="G10032" s="1" t="s">
        <v>449</v>
      </c>
      <c r="H10032" s="4" t="str">
        <f>HYPERLINK("https://www.ncbi.nlm.nih.gov/geo/query/acc.cgi?acc=GSM1616651","GSM1616651")</f>
        <v>GSM1616651</v>
      </c>
      <c r="I10032" t="s">
        <v>161</v>
      </c>
      <c r="J10032" t="s">
        <v>193</v>
      </c>
      <c r="K10032" t="s">
        <v>19</v>
      </c>
      <c r="L10032" t="s">
        <v>162</v>
      </c>
      <c r="M10032" t="s">
        <v>50</v>
      </c>
      <c r="N10032" t="s">
        <v>22</v>
      </c>
    </row>
    <row r="10033" spans="1:14">
      <c r="A10033" s="4" t="str">
        <f t="shared" si="902"/>
        <v>EXP00338</v>
      </c>
      <c r="B10033" s="4" t="str">
        <f t="shared" si="900"/>
        <v>26667932</v>
      </c>
      <c r="C10033" s="4" t="str">
        <f t="shared" si="901"/>
        <v>GSE74685</v>
      </c>
      <c r="D10033" s="1" t="s">
        <v>447</v>
      </c>
      <c r="E10033" t="s">
        <v>448</v>
      </c>
      <c r="F10033" s="1">
        <v>1</v>
      </c>
      <c r="G10033" s="1" t="s">
        <v>449</v>
      </c>
      <c r="H10033" s="4" t="str">
        <f>HYPERLINK("https://www.ncbi.nlm.nih.gov/geo/query/acc.cgi?acc=GSM1616652","GSM1616652")</f>
        <v>GSM1616652</v>
      </c>
      <c r="I10033" t="s">
        <v>161</v>
      </c>
      <c r="J10033" t="s">
        <v>193</v>
      </c>
      <c r="K10033" t="s">
        <v>19</v>
      </c>
      <c r="L10033" t="s">
        <v>162</v>
      </c>
      <c r="M10033" t="s">
        <v>50</v>
      </c>
      <c r="N10033" t="s">
        <v>22</v>
      </c>
    </row>
    <row r="10034" spans="1:14">
      <c r="A10034" s="4" t="str">
        <f t="shared" si="902"/>
        <v>EXP00338</v>
      </c>
      <c r="B10034" s="4" t="str">
        <f t="shared" si="900"/>
        <v>26667932</v>
      </c>
      <c r="C10034" s="4" t="str">
        <f t="shared" si="901"/>
        <v>GSE74685</v>
      </c>
      <c r="D10034" s="1" t="s">
        <v>447</v>
      </c>
      <c r="E10034" t="s">
        <v>448</v>
      </c>
      <c r="F10034" s="1">
        <v>1</v>
      </c>
      <c r="G10034" s="1" t="s">
        <v>449</v>
      </c>
      <c r="H10034" s="4" t="str">
        <f>HYPERLINK("https://www.ncbi.nlm.nih.gov/geo/query/acc.cgi?acc=GSM1616654","GSM1616654")</f>
        <v>GSM1616654</v>
      </c>
      <c r="I10034" t="s">
        <v>161</v>
      </c>
      <c r="J10034" t="s">
        <v>193</v>
      </c>
      <c r="K10034" t="s">
        <v>19</v>
      </c>
      <c r="L10034" t="s">
        <v>162</v>
      </c>
      <c r="M10034" t="s">
        <v>50</v>
      </c>
      <c r="N10034" t="s">
        <v>22</v>
      </c>
    </row>
    <row r="10035" spans="1:14">
      <c r="A10035" s="4" t="str">
        <f t="shared" si="902"/>
        <v>EXP00338</v>
      </c>
      <c r="B10035" s="4" t="str">
        <f t="shared" si="900"/>
        <v>26667932</v>
      </c>
      <c r="C10035" s="4" t="str">
        <f t="shared" si="901"/>
        <v>GSE74685</v>
      </c>
      <c r="D10035" s="1" t="s">
        <v>447</v>
      </c>
      <c r="E10035" t="s">
        <v>448</v>
      </c>
      <c r="F10035" s="1">
        <v>1</v>
      </c>
      <c r="G10035" s="1" t="s">
        <v>449</v>
      </c>
      <c r="H10035" s="4" t="str">
        <f>HYPERLINK("https://www.ncbi.nlm.nih.gov/geo/query/acc.cgi?acc=GSM1616655","GSM1616655")</f>
        <v>GSM1616655</v>
      </c>
      <c r="I10035" t="s">
        <v>161</v>
      </c>
      <c r="J10035" t="s">
        <v>193</v>
      </c>
      <c r="K10035" t="s">
        <v>19</v>
      </c>
      <c r="L10035" t="s">
        <v>162</v>
      </c>
      <c r="M10035" t="s">
        <v>50</v>
      </c>
      <c r="N10035" t="s">
        <v>22</v>
      </c>
    </row>
    <row r="10036" spans="1:14">
      <c r="A10036" s="4" t="str">
        <f t="shared" si="902"/>
        <v>EXP00338</v>
      </c>
      <c r="B10036" s="4" t="str">
        <f t="shared" si="900"/>
        <v>26667932</v>
      </c>
      <c r="C10036" s="4" t="str">
        <f t="shared" si="901"/>
        <v>GSE74685</v>
      </c>
      <c r="D10036" s="1" t="s">
        <v>447</v>
      </c>
      <c r="E10036" t="s">
        <v>448</v>
      </c>
      <c r="F10036" s="1">
        <v>1</v>
      </c>
      <c r="G10036" s="1" t="s">
        <v>449</v>
      </c>
      <c r="H10036" s="4" t="str">
        <f>HYPERLINK("https://www.ncbi.nlm.nih.gov/geo/query/acc.cgi?acc=GSM1616665","GSM1616665")</f>
        <v>GSM1616665</v>
      </c>
      <c r="I10036" t="s">
        <v>161</v>
      </c>
      <c r="J10036" t="s">
        <v>193</v>
      </c>
      <c r="K10036" t="s">
        <v>19</v>
      </c>
      <c r="L10036" t="s">
        <v>162</v>
      </c>
      <c r="M10036" t="s">
        <v>50</v>
      </c>
      <c r="N10036" t="s">
        <v>22</v>
      </c>
    </row>
    <row r="10037" spans="1:14">
      <c r="A10037" s="4" t="str">
        <f t="shared" si="902"/>
        <v>EXP00338</v>
      </c>
      <c r="B10037" s="4" t="str">
        <f t="shared" si="900"/>
        <v>26667932</v>
      </c>
      <c r="C10037" s="4" t="str">
        <f t="shared" si="901"/>
        <v>GSE74685</v>
      </c>
      <c r="D10037" s="1" t="s">
        <v>447</v>
      </c>
      <c r="E10037" t="s">
        <v>448</v>
      </c>
      <c r="F10037" s="1">
        <v>1</v>
      </c>
      <c r="G10037" s="1" t="s">
        <v>449</v>
      </c>
      <c r="H10037" s="4" t="str">
        <f>HYPERLINK("https://www.ncbi.nlm.nih.gov/geo/query/acc.cgi?acc=GSM1616678","GSM1616678")</f>
        <v>GSM1616678</v>
      </c>
      <c r="I10037" t="s">
        <v>161</v>
      </c>
      <c r="J10037" t="s">
        <v>193</v>
      </c>
      <c r="K10037" t="s">
        <v>19</v>
      </c>
      <c r="L10037" t="s">
        <v>162</v>
      </c>
      <c r="M10037" t="s">
        <v>50</v>
      </c>
      <c r="N10037" t="s">
        <v>22</v>
      </c>
    </row>
    <row r="10038" spans="1:14">
      <c r="A10038" s="4" t="str">
        <f t="shared" si="902"/>
        <v>EXP00338</v>
      </c>
      <c r="B10038" s="4" t="str">
        <f t="shared" si="900"/>
        <v>26667932</v>
      </c>
      <c r="C10038" s="4" t="str">
        <f t="shared" si="901"/>
        <v>GSE74685</v>
      </c>
      <c r="D10038" s="1" t="s">
        <v>447</v>
      </c>
      <c r="E10038" t="s">
        <v>448</v>
      </c>
      <c r="F10038" s="1">
        <v>1</v>
      </c>
      <c r="G10038" s="1" t="s">
        <v>449</v>
      </c>
      <c r="H10038" s="4" t="str">
        <f>HYPERLINK("https://www.ncbi.nlm.nih.gov/geo/query/acc.cgi?acc=GSM1616679","GSM1616679")</f>
        <v>GSM1616679</v>
      </c>
      <c r="I10038" t="s">
        <v>161</v>
      </c>
      <c r="J10038" t="s">
        <v>193</v>
      </c>
      <c r="K10038" t="s">
        <v>19</v>
      </c>
      <c r="L10038" t="s">
        <v>162</v>
      </c>
      <c r="M10038" t="s">
        <v>50</v>
      </c>
      <c r="N10038" t="s">
        <v>22</v>
      </c>
    </row>
    <row r="10039" spans="1:14">
      <c r="A10039" s="4" t="str">
        <f t="shared" si="902"/>
        <v>EXP00338</v>
      </c>
      <c r="B10039" s="4" t="str">
        <f t="shared" si="900"/>
        <v>26667932</v>
      </c>
      <c r="C10039" s="4" t="str">
        <f t="shared" si="901"/>
        <v>GSE74685</v>
      </c>
      <c r="D10039" s="1" t="s">
        <v>447</v>
      </c>
      <c r="E10039" t="s">
        <v>448</v>
      </c>
      <c r="F10039" s="1">
        <v>1</v>
      </c>
      <c r="G10039" s="1" t="s">
        <v>449</v>
      </c>
      <c r="H10039" s="4" t="str">
        <f>HYPERLINK("https://www.ncbi.nlm.nih.gov/geo/query/acc.cgi?acc=GSM1616680","GSM1616680")</f>
        <v>GSM1616680</v>
      </c>
      <c r="I10039" t="s">
        <v>161</v>
      </c>
      <c r="J10039" t="s">
        <v>193</v>
      </c>
      <c r="K10039" t="s">
        <v>19</v>
      </c>
      <c r="L10039" t="s">
        <v>162</v>
      </c>
      <c r="M10039" t="s">
        <v>50</v>
      </c>
      <c r="N10039" t="s">
        <v>22</v>
      </c>
    </row>
    <row r="10040" spans="1:14">
      <c r="A10040" s="4" t="str">
        <f t="shared" si="902"/>
        <v>EXP00338</v>
      </c>
      <c r="B10040" s="4" t="str">
        <f t="shared" si="900"/>
        <v>26667932</v>
      </c>
      <c r="C10040" s="4" t="str">
        <f t="shared" si="901"/>
        <v>GSE74685</v>
      </c>
      <c r="D10040" s="1" t="s">
        <v>447</v>
      </c>
      <c r="E10040" t="s">
        <v>448</v>
      </c>
      <c r="F10040" s="1">
        <v>1</v>
      </c>
      <c r="G10040" s="1" t="s">
        <v>449</v>
      </c>
      <c r="H10040" s="4" t="str">
        <f>HYPERLINK("https://www.ncbi.nlm.nih.gov/geo/query/acc.cgi?acc=GSM1616681","GSM1616681")</f>
        <v>GSM1616681</v>
      </c>
      <c r="I10040" t="s">
        <v>161</v>
      </c>
      <c r="J10040" t="s">
        <v>193</v>
      </c>
      <c r="K10040" t="s">
        <v>19</v>
      </c>
      <c r="L10040" t="s">
        <v>162</v>
      </c>
      <c r="M10040" t="s">
        <v>50</v>
      </c>
      <c r="N10040" t="s">
        <v>22</v>
      </c>
    </row>
    <row r="10041" spans="1:14">
      <c r="A10041" s="4" t="str">
        <f t="shared" si="902"/>
        <v>EXP00338</v>
      </c>
      <c r="B10041" s="4" t="str">
        <f t="shared" si="900"/>
        <v>26667932</v>
      </c>
      <c r="C10041" s="4" t="str">
        <f t="shared" si="901"/>
        <v>GSE74685</v>
      </c>
      <c r="D10041" s="1" t="s">
        <v>447</v>
      </c>
      <c r="E10041" t="s">
        <v>448</v>
      </c>
      <c r="F10041" s="1">
        <v>1</v>
      </c>
      <c r="G10041" s="1" t="s">
        <v>449</v>
      </c>
      <c r="H10041" s="4" t="str">
        <f>HYPERLINK("https://www.ncbi.nlm.nih.gov/geo/query/acc.cgi?acc=GSM1616683","GSM1616683")</f>
        <v>GSM1616683</v>
      </c>
      <c r="I10041" t="s">
        <v>161</v>
      </c>
      <c r="J10041" t="s">
        <v>193</v>
      </c>
      <c r="K10041" t="s">
        <v>19</v>
      </c>
      <c r="L10041" t="s">
        <v>162</v>
      </c>
      <c r="M10041" t="s">
        <v>50</v>
      </c>
      <c r="N10041" t="s">
        <v>22</v>
      </c>
    </row>
    <row r="10042" spans="1:14">
      <c r="A10042" s="4" t="str">
        <f t="shared" si="902"/>
        <v>EXP00338</v>
      </c>
      <c r="B10042" s="4" t="str">
        <f t="shared" si="900"/>
        <v>26667932</v>
      </c>
      <c r="C10042" s="4" t="str">
        <f t="shared" si="901"/>
        <v>GSE74685</v>
      </c>
      <c r="D10042" s="1" t="s">
        <v>447</v>
      </c>
      <c r="E10042" t="s">
        <v>448</v>
      </c>
      <c r="F10042" s="1">
        <v>1</v>
      </c>
      <c r="G10042" s="1" t="s">
        <v>449</v>
      </c>
      <c r="H10042" s="4" t="str">
        <f>HYPERLINK("https://www.ncbi.nlm.nih.gov/geo/query/acc.cgi?acc=GSM1918979","GSM1918979")</f>
        <v>GSM1918979</v>
      </c>
      <c r="I10042" t="s">
        <v>161</v>
      </c>
      <c r="J10042" t="s">
        <v>193</v>
      </c>
      <c r="K10042" t="s">
        <v>19</v>
      </c>
      <c r="L10042" t="s">
        <v>162</v>
      </c>
      <c r="M10042" t="s">
        <v>50</v>
      </c>
      <c r="N10042" t="s">
        <v>22</v>
      </c>
    </row>
    <row r="10043" spans="1:14">
      <c r="A10043" s="4" t="str">
        <f t="shared" si="902"/>
        <v>EXP00338</v>
      </c>
      <c r="B10043" s="4" t="str">
        <f t="shared" si="900"/>
        <v>26667932</v>
      </c>
      <c r="C10043" s="4" t="str">
        <f t="shared" si="901"/>
        <v>GSE74685</v>
      </c>
      <c r="D10043" s="1" t="s">
        <v>447</v>
      </c>
      <c r="E10043" t="s">
        <v>448</v>
      </c>
      <c r="F10043" s="1">
        <v>1</v>
      </c>
      <c r="G10043" s="1" t="s">
        <v>449</v>
      </c>
      <c r="H10043" s="4" t="str">
        <f>HYPERLINK("https://www.ncbi.nlm.nih.gov/geo/query/acc.cgi?acc=GSM1930079","GSM1930079")</f>
        <v>GSM1930079</v>
      </c>
      <c r="I10043" t="s">
        <v>161</v>
      </c>
      <c r="J10043" t="s">
        <v>193</v>
      </c>
      <c r="K10043" t="s">
        <v>19</v>
      </c>
      <c r="L10043" t="s">
        <v>162</v>
      </c>
      <c r="M10043" t="s">
        <v>50</v>
      </c>
      <c r="N10043" t="s">
        <v>22</v>
      </c>
    </row>
    <row r="10044" spans="1:14">
      <c r="A10044" s="4" t="str">
        <f t="shared" si="902"/>
        <v>EXP00338</v>
      </c>
      <c r="B10044" s="4" t="str">
        <f t="shared" si="900"/>
        <v>26667932</v>
      </c>
      <c r="C10044" s="4" t="str">
        <f t="shared" si="901"/>
        <v>GSE74685</v>
      </c>
      <c r="D10044" s="1" t="s">
        <v>447</v>
      </c>
      <c r="E10044" t="s">
        <v>448</v>
      </c>
      <c r="F10044" s="1">
        <v>1</v>
      </c>
      <c r="G10044" s="1" t="s">
        <v>449</v>
      </c>
      <c r="H10044" s="4" t="str">
        <f>HYPERLINK("https://www.ncbi.nlm.nih.gov/geo/query/acc.cgi?acc=GSM1930119","GSM1930119")</f>
        <v>GSM1930119</v>
      </c>
      <c r="I10044" t="s">
        <v>161</v>
      </c>
      <c r="J10044" t="s">
        <v>193</v>
      </c>
      <c r="K10044" t="s">
        <v>19</v>
      </c>
      <c r="L10044" t="s">
        <v>162</v>
      </c>
      <c r="M10044" t="s">
        <v>50</v>
      </c>
      <c r="N10044" t="s">
        <v>22</v>
      </c>
    </row>
    <row r="10045" spans="1:14">
      <c r="A10045" s="4" t="str">
        <f t="shared" si="902"/>
        <v>EXP00338</v>
      </c>
      <c r="B10045" s="4" t="str">
        <f t="shared" si="900"/>
        <v>26667932</v>
      </c>
      <c r="C10045" s="4" t="str">
        <f t="shared" si="901"/>
        <v>GSE74685</v>
      </c>
      <c r="D10045" s="1" t="s">
        <v>447</v>
      </c>
      <c r="E10045" t="s">
        <v>448</v>
      </c>
      <c r="F10045" s="1">
        <v>2</v>
      </c>
      <c r="G10045" s="1" t="s">
        <v>451</v>
      </c>
      <c r="H10045" s="4" t="str">
        <f>HYPERLINK("https://www.ncbi.nlm.nih.gov/geo/query/acc.cgi?acc=GSM1616617","GSM1616617")</f>
        <v>GSM1616617</v>
      </c>
      <c r="I10045" t="s">
        <v>161</v>
      </c>
      <c r="J10045" t="s">
        <v>193</v>
      </c>
      <c r="K10045" t="s">
        <v>19</v>
      </c>
      <c r="L10045" t="s">
        <v>162</v>
      </c>
      <c r="M10045" t="s">
        <v>41</v>
      </c>
      <c r="N10045" t="s">
        <v>22</v>
      </c>
    </row>
    <row r="10046" spans="1:14">
      <c r="A10046" s="4" t="str">
        <f t="shared" si="902"/>
        <v>EXP00338</v>
      </c>
      <c r="B10046" s="4" t="str">
        <f t="shared" si="900"/>
        <v>26667932</v>
      </c>
      <c r="C10046" s="4" t="str">
        <f t="shared" si="901"/>
        <v>GSE74685</v>
      </c>
      <c r="D10046" s="1" t="s">
        <v>447</v>
      </c>
      <c r="E10046" t="s">
        <v>448</v>
      </c>
      <c r="F10046" s="1">
        <v>2</v>
      </c>
      <c r="G10046" s="1" t="s">
        <v>451</v>
      </c>
      <c r="H10046" s="4" t="str">
        <f>HYPERLINK("https://www.ncbi.nlm.nih.gov/geo/query/acc.cgi?acc=GSM1616637","GSM1616637")</f>
        <v>GSM1616637</v>
      </c>
      <c r="I10046" t="s">
        <v>161</v>
      </c>
      <c r="J10046" t="s">
        <v>193</v>
      </c>
      <c r="K10046" t="s">
        <v>19</v>
      </c>
      <c r="L10046" t="s">
        <v>162</v>
      </c>
      <c r="M10046" t="s">
        <v>41</v>
      </c>
      <c r="N10046" t="s">
        <v>22</v>
      </c>
    </row>
    <row r="10047" spans="1:14">
      <c r="A10047" s="4" t="str">
        <f t="shared" si="902"/>
        <v>EXP00338</v>
      </c>
      <c r="B10047" s="4" t="str">
        <f t="shared" si="900"/>
        <v>26667932</v>
      </c>
      <c r="C10047" s="4" t="str">
        <f t="shared" si="901"/>
        <v>GSE74685</v>
      </c>
      <c r="D10047" s="1" t="s">
        <v>447</v>
      </c>
      <c r="E10047" t="s">
        <v>448</v>
      </c>
      <c r="F10047" s="1">
        <v>2</v>
      </c>
      <c r="G10047" s="1" t="s">
        <v>451</v>
      </c>
      <c r="H10047" s="4" t="str">
        <f>HYPERLINK("https://www.ncbi.nlm.nih.gov/geo/query/acc.cgi?acc=GSM1616646","GSM1616646")</f>
        <v>GSM1616646</v>
      </c>
      <c r="I10047" t="s">
        <v>161</v>
      </c>
      <c r="J10047" t="s">
        <v>193</v>
      </c>
      <c r="K10047" t="s">
        <v>19</v>
      </c>
      <c r="L10047" t="s">
        <v>162</v>
      </c>
      <c r="M10047" t="s">
        <v>41</v>
      </c>
      <c r="N10047" t="s">
        <v>22</v>
      </c>
    </row>
    <row r="10048" spans="1:14">
      <c r="A10048" s="4" t="str">
        <f t="shared" si="902"/>
        <v>EXP00338</v>
      </c>
      <c r="B10048" s="4" t="str">
        <f t="shared" si="900"/>
        <v>26667932</v>
      </c>
      <c r="C10048" s="4" t="str">
        <f t="shared" si="901"/>
        <v>GSE74685</v>
      </c>
      <c r="D10048" s="1" t="s">
        <v>447</v>
      </c>
      <c r="E10048" t="s">
        <v>448</v>
      </c>
      <c r="F10048" s="1">
        <v>2</v>
      </c>
      <c r="G10048" s="1" t="s">
        <v>451</v>
      </c>
      <c r="H10048" s="4" t="str">
        <f>HYPERLINK("https://www.ncbi.nlm.nih.gov/geo/query/acc.cgi?acc=GSM1616660","GSM1616660")</f>
        <v>GSM1616660</v>
      </c>
      <c r="I10048" t="s">
        <v>161</v>
      </c>
      <c r="J10048" t="s">
        <v>193</v>
      </c>
      <c r="K10048" t="s">
        <v>19</v>
      </c>
      <c r="L10048" t="s">
        <v>162</v>
      </c>
      <c r="M10048" t="s">
        <v>41</v>
      </c>
      <c r="N10048" t="s">
        <v>22</v>
      </c>
    </row>
    <row r="10049" spans="1:14">
      <c r="A10049" s="4" t="str">
        <f t="shared" si="902"/>
        <v>EXP00338</v>
      </c>
      <c r="B10049" s="4" t="str">
        <f t="shared" ref="B10049:B10112" si="903">HYPERLINK("https://www.ncbi.nlm.nih.gov/pubmed/26667932","26667932")</f>
        <v>26667932</v>
      </c>
      <c r="C10049" s="4" t="str">
        <f t="shared" ref="C10049:C10112" si="904">HYPERLINK("https://www.ncbi.nlm.nih.gov/geo/query/acc.cgi?acc=GSE74685","GSE74685")</f>
        <v>GSE74685</v>
      </c>
      <c r="D10049" s="1" t="s">
        <v>447</v>
      </c>
      <c r="E10049" t="s">
        <v>448</v>
      </c>
      <c r="F10049" s="1">
        <v>2</v>
      </c>
      <c r="G10049" s="1" t="s">
        <v>451</v>
      </c>
      <c r="H10049" s="4" t="str">
        <f>HYPERLINK("https://www.ncbi.nlm.nih.gov/geo/query/acc.cgi?acc=GSM1616666","GSM1616666")</f>
        <v>GSM1616666</v>
      </c>
      <c r="I10049" t="s">
        <v>161</v>
      </c>
      <c r="J10049" t="s">
        <v>193</v>
      </c>
      <c r="K10049" t="s">
        <v>19</v>
      </c>
      <c r="L10049" t="s">
        <v>162</v>
      </c>
      <c r="M10049" t="s">
        <v>41</v>
      </c>
      <c r="N10049" t="s">
        <v>22</v>
      </c>
    </row>
    <row r="10050" spans="1:14">
      <c r="A10050" s="4" t="str">
        <f t="shared" si="902"/>
        <v>EXP00338</v>
      </c>
      <c r="B10050" s="4" t="str">
        <f t="shared" si="903"/>
        <v>26667932</v>
      </c>
      <c r="C10050" s="4" t="str">
        <f t="shared" si="904"/>
        <v>GSE74685</v>
      </c>
      <c r="D10050" s="1" t="s">
        <v>447</v>
      </c>
      <c r="E10050" t="s">
        <v>448</v>
      </c>
      <c r="F10050" s="1">
        <v>2</v>
      </c>
      <c r="G10050" s="1" t="s">
        <v>451</v>
      </c>
      <c r="H10050" s="4" t="str">
        <f>HYPERLINK("https://www.ncbi.nlm.nih.gov/geo/query/acc.cgi?acc=GSM1616668","GSM1616668")</f>
        <v>GSM1616668</v>
      </c>
      <c r="I10050" t="s">
        <v>161</v>
      </c>
      <c r="J10050" t="s">
        <v>193</v>
      </c>
      <c r="K10050" t="s">
        <v>19</v>
      </c>
      <c r="L10050" t="s">
        <v>162</v>
      </c>
      <c r="M10050" t="s">
        <v>41</v>
      </c>
      <c r="N10050" t="s">
        <v>22</v>
      </c>
    </row>
    <row r="10051" spans="1:14">
      <c r="A10051" s="4" t="str">
        <f t="shared" si="902"/>
        <v>EXP00338</v>
      </c>
      <c r="B10051" s="4" t="str">
        <f t="shared" si="903"/>
        <v>26667932</v>
      </c>
      <c r="C10051" s="4" t="str">
        <f t="shared" si="904"/>
        <v>GSE74685</v>
      </c>
      <c r="D10051" s="1" t="s">
        <v>447</v>
      </c>
      <c r="E10051" t="s">
        <v>448</v>
      </c>
      <c r="F10051" s="1">
        <v>2</v>
      </c>
      <c r="G10051" s="1" t="s">
        <v>451</v>
      </c>
      <c r="H10051" s="4" t="str">
        <f>HYPERLINK("https://www.ncbi.nlm.nih.gov/geo/query/acc.cgi?acc=GSM1616673","GSM1616673")</f>
        <v>GSM1616673</v>
      </c>
      <c r="I10051" t="s">
        <v>161</v>
      </c>
      <c r="J10051" t="s">
        <v>193</v>
      </c>
      <c r="K10051" t="s">
        <v>19</v>
      </c>
      <c r="L10051" t="s">
        <v>162</v>
      </c>
      <c r="M10051" t="s">
        <v>41</v>
      </c>
      <c r="N10051" t="s">
        <v>22</v>
      </c>
    </row>
    <row r="10052" spans="1:14">
      <c r="A10052" s="4" t="str">
        <f t="shared" si="902"/>
        <v>EXP00338</v>
      </c>
      <c r="B10052" s="4" t="str">
        <f t="shared" si="903"/>
        <v>26667932</v>
      </c>
      <c r="C10052" s="4" t="str">
        <f t="shared" si="904"/>
        <v>GSE74685</v>
      </c>
      <c r="D10052" s="1" t="s">
        <v>447</v>
      </c>
      <c r="E10052" t="s">
        <v>448</v>
      </c>
      <c r="F10052" s="1">
        <v>2</v>
      </c>
      <c r="G10052" s="1" t="s">
        <v>451</v>
      </c>
      <c r="H10052" s="4" t="str">
        <f>HYPERLINK("https://www.ncbi.nlm.nih.gov/geo/query/acc.cgi?acc=GSM1930066","GSM1930066")</f>
        <v>GSM1930066</v>
      </c>
      <c r="I10052" t="s">
        <v>161</v>
      </c>
      <c r="J10052" t="s">
        <v>193</v>
      </c>
      <c r="K10052" t="s">
        <v>19</v>
      </c>
      <c r="L10052" t="s">
        <v>162</v>
      </c>
      <c r="M10052" t="s">
        <v>41</v>
      </c>
      <c r="N10052" t="s">
        <v>22</v>
      </c>
    </row>
    <row r="10053" spans="1:14">
      <c r="A10053" s="4" t="str">
        <f t="shared" si="902"/>
        <v>EXP00338</v>
      </c>
      <c r="B10053" s="4" t="str">
        <f t="shared" si="903"/>
        <v>26667932</v>
      </c>
      <c r="C10053" s="4" t="str">
        <f t="shared" si="904"/>
        <v>GSE74685</v>
      </c>
      <c r="D10053" s="1" t="s">
        <v>447</v>
      </c>
      <c r="E10053" t="s">
        <v>448</v>
      </c>
      <c r="F10053" s="1">
        <v>2</v>
      </c>
      <c r="G10053" s="1" t="s">
        <v>451</v>
      </c>
      <c r="H10053" s="4" t="str">
        <f>HYPERLINK("https://www.ncbi.nlm.nih.gov/geo/query/acc.cgi?acc=GSM1930069","GSM1930069")</f>
        <v>GSM1930069</v>
      </c>
      <c r="I10053" t="s">
        <v>161</v>
      </c>
      <c r="J10053" t="s">
        <v>193</v>
      </c>
      <c r="K10053" t="s">
        <v>19</v>
      </c>
      <c r="L10053" t="s">
        <v>162</v>
      </c>
      <c r="M10053" t="s">
        <v>41</v>
      </c>
      <c r="N10053" t="s">
        <v>22</v>
      </c>
    </row>
    <row r="10054" spans="1:14">
      <c r="A10054" s="4" t="str">
        <f t="shared" si="902"/>
        <v>EXP00338</v>
      </c>
      <c r="B10054" s="4" t="str">
        <f t="shared" si="903"/>
        <v>26667932</v>
      </c>
      <c r="C10054" s="4" t="str">
        <f t="shared" si="904"/>
        <v>GSE74685</v>
      </c>
      <c r="D10054" s="1" t="s">
        <v>447</v>
      </c>
      <c r="E10054" t="s">
        <v>448</v>
      </c>
      <c r="F10054" s="1">
        <v>2</v>
      </c>
      <c r="G10054" s="1" t="s">
        <v>451</v>
      </c>
      <c r="H10054" s="4" t="str">
        <f>HYPERLINK("https://www.ncbi.nlm.nih.gov/geo/query/acc.cgi?acc=GSM1930075","GSM1930075")</f>
        <v>GSM1930075</v>
      </c>
      <c r="I10054" t="s">
        <v>161</v>
      </c>
      <c r="J10054" t="s">
        <v>193</v>
      </c>
      <c r="K10054" t="s">
        <v>19</v>
      </c>
      <c r="L10054" t="s">
        <v>162</v>
      </c>
      <c r="M10054" t="s">
        <v>41</v>
      </c>
      <c r="N10054" t="s">
        <v>22</v>
      </c>
    </row>
    <row r="10055" spans="1:14">
      <c r="A10055" s="4" t="str">
        <f t="shared" si="902"/>
        <v>EXP00338</v>
      </c>
      <c r="B10055" s="4" t="str">
        <f t="shared" si="903"/>
        <v>26667932</v>
      </c>
      <c r="C10055" s="4" t="str">
        <f t="shared" si="904"/>
        <v>GSE74685</v>
      </c>
      <c r="D10055" s="1" t="s">
        <v>447</v>
      </c>
      <c r="E10055" t="s">
        <v>448</v>
      </c>
      <c r="F10055" s="1">
        <v>2</v>
      </c>
      <c r="G10055" s="1" t="s">
        <v>451</v>
      </c>
      <c r="H10055" s="4" t="str">
        <f>HYPERLINK("https://www.ncbi.nlm.nih.gov/geo/query/acc.cgi?acc=GSM1930076","GSM1930076")</f>
        <v>GSM1930076</v>
      </c>
      <c r="I10055" t="s">
        <v>161</v>
      </c>
      <c r="J10055" t="s">
        <v>193</v>
      </c>
      <c r="K10055" t="s">
        <v>19</v>
      </c>
      <c r="L10055" t="s">
        <v>162</v>
      </c>
      <c r="M10055" t="s">
        <v>41</v>
      </c>
      <c r="N10055" t="s">
        <v>22</v>
      </c>
    </row>
    <row r="10056" spans="1:14">
      <c r="A10056" s="4" t="str">
        <f t="shared" si="902"/>
        <v>EXP00338</v>
      </c>
      <c r="B10056" s="4" t="str">
        <f t="shared" si="903"/>
        <v>26667932</v>
      </c>
      <c r="C10056" s="4" t="str">
        <f t="shared" si="904"/>
        <v>GSE74685</v>
      </c>
      <c r="D10056" s="1" t="s">
        <v>447</v>
      </c>
      <c r="E10056" t="s">
        <v>448</v>
      </c>
      <c r="F10056" s="1">
        <v>2</v>
      </c>
      <c r="G10056" s="1" t="s">
        <v>451</v>
      </c>
      <c r="H10056" s="4" t="str">
        <f>HYPERLINK("https://www.ncbi.nlm.nih.gov/geo/query/acc.cgi?acc=GSM1930082","GSM1930082")</f>
        <v>GSM1930082</v>
      </c>
      <c r="I10056" t="s">
        <v>161</v>
      </c>
      <c r="J10056" t="s">
        <v>193</v>
      </c>
      <c r="K10056" t="s">
        <v>19</v>
      </c>
      <c r="L10056" t="s">
        <v>162</v>
      </c>
      <c r="M10056" t="s">
        <v>41</v>
      </c>
      <c r="N10056" t="s">
        <v>22</v>
      </c>
    </row>
    <row r="10057" spans="1:14">
      <c r="A10057" s="4" t="str">
        <f t="shared" si="902"/>
        <v>EXP00338</v>
      </c>
      <c r="B10057" s="4" t="str">
        <f t="shared" si="903"/>
        <v>26667932</v>
      </c>
      <c r="C10057" s="4" t="str">
        <f t="shared" si="904"/>
        <v>GSE74685</v>
      </c>
      <c r="D10057" s="1" t="s">
        <v>447</v>
      </c>
      <c r="E10057" t="s">
        <v>448</v>
      </c>
      <c r="F10057" s="1">
        <v>2</v>
      </c>
      <c r="G10057" s="1" t="s">
        <v>451</v>
      </c>
      <c r="H10057" s="4" t="str">
        <f>HYPERLINK("https://www.ncbi.nlm.nih.gov/geo/query/acc.cgi?acc=GSM1930084","GSM1930084")</f>
        <v>GSM1930084</v>
      </c>
      <c r="I10057" t="s">
        <v>161</v>
      </c>
      <c r="J10057" t="s">
        <v>193</v>
      </c>
      <c r="K10057" t="s">
        <v>19</v>
      </c>
      <c r="L10057" t="s">
        <v>162</v>
      </c>
      <c r="M10057" t="s">
        <v>41</v>
      </c>
      <c r="N10057" t="s">
        <v>22</v>
      </c>
    </row>
    <row r="10058" spans="1:14">
      <c r="A10058" s="4" t="str">
        <f t="shared" si="902"/>
        <v>EXP00338</v>
      </c>
      <c r="B10058" s="4" t="str">
        <f t="shared" si="903"/>
        <v>26667932</v>
      </c>
      <c r="C10058" s="4" t="str">
        <f t="shared" si="904"/>
        <v>GSE74685</v>
      </c>
      <c r="D10058" s="1" t="s">
        <v>447</v>
      </c>
      <c r="E10058" t="s">
        <v>448</v>
      </c>
      <c r="F10058" s="1">
        <v>2</v>
      </c>
      <c r="G10058" s="1" t="s">
        <v>451</v>
      </c>
      <c r="H10058" s="4" t="str">
        <f>HYPERLINK("https://www.ncbi.nlm.nih.gov/geo/query/acc.cgi?acc=GSM1930101","GSM1930101")</f>
        <v>GSM1930101</v>
      </c>
      <c r="I10058" t="s">
        <v>161</v>
      </c>
      <c r="J10058" t="s">
        <v>193</v>
      </c>
      <c r="K10058" t="s">
        <v>19</v>
      </c>
      <c r="L10058" t="s">
        <v>162</v>
      </c>
      <c r="M10058" t="s">
        <v>41</v>
      </c>
      <c r="N10058" t="s">
        <v>22</v>
      </c>
    </row>
    <row r="10059" spans="1:14">
      <c r="A10059" s="4" t="str">
        <f t="shared" si="902"/>
        <v>EXP00338</v>
      </c>
      <c r="B10059" s="4" t="str">
        <f t="shared" si="903"/>
        <v>26667932</v>
      </c>
      <c r="C10059" s="4" t="str">
        <f t="shared" si="904"/>
        <v>GSE74685</v>
      </c>
      <c r="D10059" s="1" t="s">
        <v>447</v>
      </c>
      <c r="E10059" t="s">
        <v>448</v>
      </c>
      <c r="F10059" s="1">
        <v>2</v>
      </c>
      <c r="G10059" s="1" t="s">
        <v>451</v>
      </c>
      <c r="H10059" s="4" t="str">
        <f>HYPERLINK("https://www.ncbi.nlm.nih.gov/geo/query/acc.cgi?acc=GSM1930107","GSM1930107")</f>
        <v>GSM1930107</v>
      </c>
      <c r="I10059" t="s">
        <v>161</v>
      </c>
      <c r="J10059" t="s">
        <v>193</v>
      </c>
      <c r="K10059" t="s">
        <v>19</v>
      </c>
      <c r="L10059" t="s">
        <v>162</v>
      </c>
      <c r="M10059" t="s">
        <v>41</v>
      </c>
      <c r="N10059" t="s">
        <v>22</v>
      </c>
    </row>
    <row r="10060" spans="1:14">
      <c r="A10060" s="4" t="str">
        <f t="shared" si="902"/>
        <v>EXP00338</v>
      </c>
      <c r="B10060" s="4" t="str">
        <f t="shared" si="903"/>
        <v>26667932</v>
      </c>
      <c r="C10060" s="4" t="str">
        <f t="shared" si="904"/>
        <v>GSE74685</v>
      </c>
      <c r="D10060" s="1" t="s">
        <v>447</v>
      </c>
      <c r="E10060" t="s">
        <v>448</v>
      </c>
      <c r="F10060" s="1">
        <v>2</v>
      </c>
      <c r="G10060" s="1" t="s">
        <v>451</v>
      </c>
      <c r="H10060" s="4" t="str">
        <f>HYPERLINK("https://www.ncbi.nlm.nih.gov/geo/query/acc.cgi?acc=GSM1930108","GSM1930108")</f>
        <v>GSM1930108</v>
      </c>
      <c r="I10060" t="s">
        <v>161</v>
      </c>
      <c r="J10060" t="s">
        <v>193</v>
      </c>
      <c r="K10060" t="s">
        <v>19</v>
      </c>
      <c r="L10060" t="s">
        <v>162</v>
      </c>
      <c r="M10060" t="s">
        <v>41</v>
      </c>
      <c r="N10060" t="s">
        <v>22</v>
      </c>
    </row>
    <row r="10061" spans="1:14">
      <c r="A10061" s="4" t="str">
        <f t="shared" si="902"/>
        <v>EXP00338</v>
      </c>
      <c r="B10061" s="4" t="str">
        <f t="shared" si="903"/>
        <v>26667932</v>
      </c>
      <c r="C10061" s="4" t="str">
        <f t="shared" si="904"/>
        <v>GSE74685</v>
      </c>
      <c r="D10061" s="1" t="s">
        <v>447</v>
      </c>
      <c r="E10061" t="s">
        <v>448</v>
      </c>
      <c r="F10061" s="1">
        <v>2</v>
      </c>
      <c r="G10061" s="1" t="s">
        <v>451</v>
      </c>
      <c r="H10061" s="4" t="str">
        <f>HYPERLINK("https://www.ncbi.nlm.nih.gov/geo/query/acc.cgi?acc=GSM1930122","GSM1930122")</f>
        <v>GSM1930122</v>
      </c>
      <c r="I10061" t="s">
        <v>161</v>
      </c>
      <c r="J10061" t="s">
        <v>193</v>
      </c>
      <c r="K10061" t="s">
        <v>19</v>
      </c>
      <c r="L10061" t="s">
        <v>162</v>
      </c>
      <c r="M10061" t="s">
        <v>41</v>
      </c>
      <c r="N10061" t="s">
        <v>22</v>
      </c>
    </row>
    <row r="10062" spans="1:14">
      <c r="A10062" s="4" t="str">
        <f t="shared" si="902"/>
        <v>EXP00338</v>
      </c>
      <c r="B10062" s="4" t="str">
        <f t="shared" si="903"/>
        <v>26667932</v>
      </c>
      <c r="C10062" s="4" t="str">
        <f t="shared" si="904"/>
        <v>GSE74685</v>
      </c>
      <c r="D10062" s="1" t="s">
        <v>447</v>
      </c>
      <c r="E10062" t="s">
        <v>448</v>
      </c>
      <c r="F10062" s="1">
        <v>2</v>
      </c>
      <c r="G10062" s="1" t="s">
        <v>451</v>
      </c>
      <c r="H10062" s="4" t="str">
        <f>HYPERLINK("https://www.ncbi.nlm.nih.gov/geo/query/acc.cgi?acc=GSM1930133","GSM1930133")</f>
        <v>GSM1930133</v>
      </c>
      <c r="I10062" t="s">
        <v>161</v>
      </c>
      <c r="J10062" t="s">
        <v>193</v>
      </c>
      <c r="K10062" t="s">
        <v>19</v>
      </c>
      <c r="L10062" t="s">
        <v>162</v>
      </c>
      <c r="M10062" t="s">
        <v>41</v>
      </c>
      <c r="N10062" t="s">
        <v>22</v>
      </c>
    </row>
    <row r="10063" spans="1:14">
      <c r="A10063" s="4" t="str">
        <f t="shared" si="902"/>
        <v>EXP00338</v>
      </c>
      <c r="B10063" s="4" t="str">
        <f t="shared" si="903"/>
        <v>26667932</v>
      </c>
      <c r="C10063" s="4" t="str">
        <f t="shared" si="904"/>
        <v>GSE74685</v>
      </c>
      <c r="D10063" s="1" t="s">
        <v>447</v>
      </c>
      <c r="E10063" t="s">
        <v>448</v>
      </c>
      <c r="F10063" s="1">
        <v>2</v>
      </c>
      <c r="G10063" s="1" t="s">
        <v>451</v>
      </c>
      <c r="H10063" s="4" t="str">
        <f>HYPERLINK("https://www.ncbi.nlm.nih.gov/geo/query/acc.cgi?acc=GSM1930135","GSM1930135")</f>
        <v>GSM1930135</v>
      </c>
      <c r="I10063" t="s">
        <v>161</v>
      </c>
      <c r="J10063" t="s">
        <v>193</v>
      </c>
      <c r="K10063" t="s">
        <v>19</v>
      </c>
      <c r="L10063" t="s">
        <v>162</v>
      </c>
      <c r="M10063" t="s">
        <v>41</v>
      </c>
      <c r="N10063" t="s">
        <v>22</v>
      </c>
    </row>
    <row r="10064" spans="1:14">
      <c r="A10064" s="4" t="str">
        <f t="shared" si="902"/>
        <v>EXP00338</v>
      </c>
      <c r="B10064" s="4" t="str">
        <f t="shared" si="903"/>
        <v>26667932</v>
      </c>
      <c r="C10064" s="4" t="str">
        <f t="shared" si="904"/>
        <v>GSE74685</v>
      </c>
      <c r="D10064" s="1" t="s">
        <v>447</v>
      </c>
      <c r="E10064" t="s">
        <v>448</v>
      </c>
      <c r="F10064" s="1">
        <v>2</v>
      </c>
      <c r="G10064" s="1" t="s">
        <v>451</v>
      </c>
      <c r="H10064" s="4" t="str">
        <f>HYPERLINK("https://www.ncbi.nlm.nih.gov/geo/query/acc.cgi?acc=GSM1930137","GSM1930137")</f>
        <v>GSM1930137</v>
      </c>
      <c r="I10064" t="s">
        <v>161</v>
      </c>
      <c r="J10064" t="s">
        <v>193</v>
      </c>
      <c r="K10064" t="s">
        <v>19</v>
      </c>
      <c r="L10064" t="s">
        <v>162</v>
      </c>
      <c r="M10064" t="s">
        <v>41</v>
      </c>
      <c r="N10064" t="s">
        <v>22</v>
      </c>
    </row>
    <row r="10065" spans="1:14">
      <c r="A10065" s="4" t="str">
        <f t="shared" si="902"/>
        <v>EXP00338</v>
      </c>
      <c r="B10065" s="4" t="str">
        <f t="shared" si="903"/>
        <v>26667932</v>
      </c>
      <c r="C10065" s="4" t="str">
        <f t="shared" si="904"/>
        <v>GSE74685</v>
      </c>
      <c r="D10065" s="1" t="s">
        <v>447</v>
      </c>
      <c r="E10065" t="s">
        <v>448</v>
      </c>
      <c r="F10065" s="1">
        <v>2</v>
      </c>
      <c r="G10065" s="1" t="s">
        <v>451</v>
      </c>
      <c r="H10065" s="4" t="str">
        <f>HYPERLINK("https://www.ncbi.nlm.nih.gov/geo/query/acc.cgi?acc=GSM1930143","GSM1930143")</f>
        <v>GSM1930143</v>
      </c>
      <c r="I10065" t="s">
        <v>161</v>
      </c>
      <c r="J10065" t="s">
        <v>193</v>
      </c>
      <c r="K10065" t="s">
        <v>19</v>
      </c>
      <c r="L10065" t="s">
        <v>162</v>
      </c>
      <c r="M10065" t="s">
        <v>41</v>
      </c>
      <c r="N10065" t="s">
        <v>22</v>
      </c>
    </row>
    <row r="10066" spans="1:14">
      <c r="A10066" s="4" t="str">
        <f t="shared" si="902"/>
        <v>EXP00338</v>
      </c>
      <c r="B10066" s="4" t="str">
        <f t="shared" si="903"/>
        <v>26667932</v>
      </c>
      <c r="C10066" s="4" t="str">
        <f t="shared" si="904"/>
        <v>GSE74685</v>
      </c>
      <c r="D10066" s="1" t="s">
        <v>447</v>
      </c>
      <c r="E10066" t="s">
        <v>448</v>
      </c>
      <c r="F10066" s="1">
        <v>2</v>
      </c>
      <c r="G10066" s="1" t="s">
        <v>451</v>
      </c>
      <c r="H10066" s="4" t="str">
        <f>HYPERLINK("https://www.ncbi.nlm.nih.gov/geo/query/acc.cgi?acc=GSM1930153","GSM1930153")</f>
        <v>GSM1930153</v>
      </c>
      <c r="I10066" t="s">
        <v>161</v>
      </c>
      <c r="J10066" t="s">
        <v>193</v>
      </c>
      <c r="K10066" t="s">
        <v>19</v>
      </c>
      <c r="L10066" t="s">
        <v>162</v>
      </c>
      <c r="M10066" t="s">
        <v>41</v>
      </c>
      <c r="N10066" t="s">
        <v>22</v>
      </c>
    </row>
    <row r="10067" spans="1:14">
      <c r="A10067" s="4" t="str">
        <f t="shared" ref="A10067:A10098" si="905">HYPERLINK("http://hcmdb.i-sanger.com/experiment/details/experiment_id/EXP00339","EXP00339")</f>
        <v>EXP00339</v>
      </c>
      <c r="B10067" s="4" t="str">
        <f t="shared" si="903"/>
        <v>26667932</v>
      </c>
      <c r="C10067" s="4" t="str">
        <f t="shared" si="904"/>
        <v>GSE74685</v>
      </c>
      <c r="D10067" s="1" t="s">
        <v>447</v>
      </c>
      <c r="E10067" t="s">
        <v>448</v>
      </c>
      <c r="F10067" s="1">
        <v>1</v>
      </c>
      <c r="G10067" s="1" t="s">
        <v>449</v>
      </c>
      <c r="H10067" s="4" t="str">
        <f>HYPERLINK("https://www.ncbi.nlm.nih.gov/geo/query/acc.cgi?acc=GSM1616625","GSM1616625")</f>
        <v>GSM1616625</v>
      </c>
      <c r="I10067" t="s">
        <v>161</v>
      </c>
      <c r="J10067" t="s">
        <v>193</v>
      </c>
      <c r="K10067" t="s">
        <v>19</v>
      </c>
      <c r="L10067" t="s">
        <v>162</v>
      </c>
      <c r="M10067" t="s">
        <v>50</v>
      </c>
      <c r="N10067" t="s">
        <v>22</v>
      </c>
    </row>
    <row r="10068" spans="1:14">
      <c r="A10068" s="4" t="str">
        <f t="shared" si="905"/>
        <v>EXP00339</v>
      </c>
      <c r="B10068" s="4" t="str">
        <f t="shared" si="903"/>
        <v>26667932</v>
      </c>
      <c r="C10068" s="4" t="str">
        <f t="shared" si="904"/>
        <v>GSE74685</v>
      </c>
      <c r="D10068" s="1" t="s">
        <v>447</v>
      </c>
      <c r="E10068" t="s">
        <v>448</v>
      </c>
      <c r="F10068" s="1">
        <v>1</v>
      </c>
      <c r="G10068" s="1" t="s">
        <v>449</v>
      </c>
      <c r="H10068" s="4" t="str">
        <f>HYPERLINK("https://www.ncbi.nlm.nih.gov/geo/query/acc.cgi?acc=GSM1616627","GSM1616627")</f>
        <v>GSM1616627</v>
      </c>
      <c r="I10068" t="s">
        <v>161</v>
      </c>
      <c r="J10068" t="s">
        <v>193</v>
      </c>
      <c r="K10068" t="s">
        <v>19</v>
      </c>
      <c r="L10068" t="s">
        <v>162</v>
      </c>
      <c r="M10068" t="s">
        <v>50</v>
      </c>
      <c r="N10068" t="s">
        <v>22</v>
      </c>
    </row>
    <row r="10069" spans="1:14">
      <c r="A10069" s="4" t="str">
        <f t="shared" si="905"/>
        <v>EXP00339</v>
      </c>
      <c r="B10069" s="4" t="str">
        <f t="shared" si="903"/>
        <v>26667932</v>
      </c>
      <c r="C10069" s="4" t="str">
        <f t="shared" si="904"/>
        <v>GSE74685</v>
      </c>
      <c r="D10069" s="1" t="s">
        <v>447</v>
      </c>
      <c r="E10069" t="s">
        <v>448</v>
      </c>
      <c r="F10069" s="1">
        <v>1</v>
      </c>
      <c r="G10069" s="1" t="s">
        <v>449</v>
      </c>
      <c r="H10069" s="4" t="str">
        <f>HYPERLINK("https://www.ncbi.nlm.nih.gov/geo/query/acc.cgi?acc=GSM1616640","GSM1616640")</f>
        <v>GSM1616640</v>
      </c>
      <c r="I10069" t="s">
        <v>161</v>
      </c>
      <c r="J10069" t="s">
        <v>193</v>
      </c>
      <c r="K10069" t="s">
        <v>19</v>
      </c>
      <c r="L10069" t="s">
        <v>162</v>
      </c>
      <c r="M10069" t="s">
        <v>50</v>
      </c>
      <c r="N10069" t="s">
        <v>22</v>
      </c>
    </row>
    <row r="10070" spans="1:14">
      <c r="A10070" s="4" t="str">
        <f t="shared" si="905"/>
        <v>EXP00339</v>
      </c>
      <c r="B10070" s="4" t="str">
        <f t="shared" si="903"/>
        <v>26667932</v>
      </c>
      <c r="C10070" s="4" t="str">
        <f t="shared" si="904"/>
        <v>GSE74685</v>
      </c>
      <c r="D10070" s="1" t="s">
        <v>447</v>
      </c>
      <c r="E10070" t="s">
        <v>448</v>
      </c>
      <c r="F10070" s="1">
        <v>1</v>
      </c>
      <c r="G10070" s="1" t="s">
        <v>449</v>
      </c>
      <c r="H10070" s="4" t="str">
        <f>HYPERLINK("https://www.ncbi.nlm.nih.gov/geo/query/acc.cgi?acc=GSM1616643","GSM1616643")</f>
        <v>GSM1616643</v>
      </c>
      <c r="I10070" t="s">
        <v>161</v>
      </c>
      <c r="J10070" t="s">
        <v>193</v>
      </c>
      <c r="K10070" t="s">
        <v>19</v>
      </c>
      <c r="L10070" t="s">
        <v>162</v>
      </c>
      <c r="M10070" t="s">
        <v>50</v>
      </c>
      <c r="N10070" t="s">
        <v>22</v>
      </c>
    </row>
    <row r="10071" spans="1:14">
      <c r="A10071" s="4" t="str">
        <f t="shared" si="905"/>
        <v>EXP00339</v>
      </c>
      <c r="B10071" s="4" t="str">
        <f t="shared" si="903"/>
        <v>26667932</v>
      </c>
      <c r="C10071" s="4" t="str">
        <f t="shared" si="904"/>
        <v>GSE74685</v>
      </c>
      <c r="D10071" s="1" t="s">
        <v>447</v>
      </c>
      <c r="E10071" t="s">
        <v>448</v>
      </c>
      <c r="F10071" s="1">
        <v>1</v>
      </c>
      <c r="G10071" s="1" t="s">
        <v>449</v>
      </c>
      <c r="H10071" s="4" t="str">
        <f>HYPERLINK("https://www.ncbi.nlm.nih.gov/geo/query/acc.cgi?acc=GSM1616647","GSM1616647")</f>
        <v>GSM1616647</v>
      </c>
      <c r="I10071" t="s">
        <v>161</v>
      </c>
      <c r="J10071" t="s">
        <v>193</v>
      </c>
      <c r="K10071" t="s">
        <v>19</v>
      </c>
      <c r="L10071" t="s">
        <v>162</v>
      </c>
      <c r="M10071" t="s">
        <v>50</v>
      </c>
      <c r="N10071" t="s">
        <v>22</v>
      </c>
    </row>
    <row r="10072" spans="1:14">
      <c r="A10072" s="4" t="str">
        <f t="shared" si="905"/>
        <v>EXP00339</v>
      </c>
      <c r="B10072" s="4" t="str">
        <f t="shared" si="903"/>
        <v>26667932</v>
      </c>
      <c r="C10072" s="4" t="str">
        <f t="shared" si="904"/>
        <v>GSE74685</v>
      </c>
      <c r="D10072" s="1" t="s">
        <v>447</v>
      </c>
      <c r="E10072" t="s">
        <v>448</v>
      </c>
      <c r="F10072" s="1">
        <v>1</v>
      </c>
      <c r="G10072" s="1" t="s">
        <v>449</v>
      </c>
      <c r="H10072" s="4" t="str">
        <f>HYPERLINK("https://www.ncbi.nlm.nih.gov/geo/query/acc.cgi?acc=GSM1616648","GSM1616648")</f>
        <v>GSM1616648</v>
      </c>
      <c r="I10072" t="s">
        <v>161</v>
      </c>
      <c r="J10072" t="s">
        <v>193</v>
      </c>
      <c r="K10072" t="s">
        <v>19</v>
      </c>
      <c r="L10072" t="s">
        <v>162</v>
      </c>
      <c r="M10072" t="s">
        <v>50</v>
      </c>
      <c r="N10072" t="s">
        <v>22</v>
      </c>
    </row>
    <row r="10073" spans="1:14">
      <c r="A10073" s="4" t="str">
        <f t="shared" si="905"/>
        <v>EXP00339</v>
      </c>
      <c r="B10073" s="4" t="str">
        <f t="shared" si="903"/>
        <v>26667932</v>
      </c>
      <c r="C10073" s="4" t="str">
        <f t="shared" si="904"/>
        <v>GSE74685</v>
      </c>
      <c r="D10073" s="1" t="s">
        <v>447</v>
      </c>
      <c r="E10073" t="s">
        <v>448</v>
      </c>
      <c r="F10073" s="1">
        <v>1</v>
      </c>
      <c r="G10073" s="1" t="s">
        <v>449</v>
      </c>
      <c r="H10073" s="4" t="str">
        <f>HYPERLINK("https://www.ncbi.nlm.nih.gov/geo/query/acc.cgi?acc=GSM1616650","GSM1616650")</f>
        <v>GSM1616650</v>
      </c>
      <c r="I10073" t="s">
        <v>161</v>
      </c>
      <c r="J10073" t="s">
        <v>193</v>
      </c>
      <c r="K10073" t="s">
        <v>19</v>
      </c>
      <c r="L10073" t="s">
        <v>162</v>
      </c>
      <c r="M10073" t="s">
        <v>50</v>
      </c>
      <c r="N10073" t="s">
        <v>22</v>
      </c>
    </row>
    <row r="10074" spans="1:14">
      <c r="A10074" s="4" t="str">
        <f t="shared" si="905"/>
        <v>EXP00339</v>
      </c>
      <c r="B10074" s="4" t="str">
        <f t="shared" si="903"/>
        <v>26667932</v>
      </c>
      <c r="C10074" s="4" t="str">
        <f t="shared" si="904"/>
        <v>GSE74685</v>
      </c>
      <c r="D10074" s="1" t="s">
        <v>447</v>
      </c>
      <c r="E10074" t="s">
        <v>448</v>
      </c>
      <c r="F10074" s="1">
        <v>1</v>
      </c>
      <c r="G10074" s="1" t="s">
        <v>449</v>
      </c>
      <c r="H10074" s="4" t="str">
        <f>HYPERLINK("https://www.ncbi.nlm.nih.gov/geo/query/acc.cgi?acc=GSM1616651","GSM1616651")</f>
        <v>GSM1616651</v>
      </c>
      <c r="I10074" t="s">
        <v>161</v>
      </c>
      <c r="J10074" t="s">
        <v>193</v>
      </c>
      <c r="K10074" t="s">
        <v>19</v>
      </c>
      <c r="L10074" t="s">
        <v>162</v>
      </c>
      <c r="M10074" t="s">
        <v>50</v>
      </c>
      <c r="N10074" t="s">
        <v>22</v>
      </c>
    </row>
    <row r="10075" spans="1:14">
      <c r="A10075" s="4" t="str">
        <f t="shared" si="905"/>
        <v>EXP00339</v>
      </c>
      <c r="B10075" s="4" t="str">
        <f t="shared" si="903"/>
        <v>26667932</v>
      </c>
      <c r="C10075" s="4" t="str">
        <f t="shared" si="904"/>
        <v>GSE74685</v>
      </c>
      <c r="D10075" s="1" t="s">
        <v>447</v>
      </c>
      <c r="E10075" t="s">
        <v>448</v>
      </c>
      <c r="F10075" s="1">
        <v>1</v>
      </c>
      <c r="G10075" s="1" t="s">
        <v>449</v>
      </c>
      <c r="H10075" s="4" t="str">
        <f>HYPERLINK("https://www.ncbi.nlm.nih.gov/geo/query/acc.cgi?acc=GSM1616652","GSM1616652")</f>
        <v>GSM1616652</v>
      </c>
      <c r="I10075" t="s">
        <v>161</v>
      </c>
      <c r="J10075" t="s">
        <v>193</v>
      </c>
      <c r="K10075" t="s">
        <v>19</v>
      </c>
      <c r="L10075" t="s">
        <v>162</v>
      </c>
      <c r="M10075" t="s">
        <v>50</v>
      </c>
      <c r="N10075" t="s">
        <v>22</v>
      </c>
    </row>
    <row r="10076" spans="1:14">
      <c r="A10076" s="4" t="str">
        <f t="shared" si="905"/>
        <v>EXP00339</v>
      </c>
      <c r="B10076" s="4" t="str">
        <f t="shared" si="903"/>
        <v>26667932</v>
      </c>
      <c r="C10076" s="4" t="str">
        <f t="shared" si="904"/>
        <v>GSE74685</v>
      </c>
      <c r="D10076" s="1" t="s">
        <v>447</v>
      </c>
      <c r="E10076" t="s">
        <v>448</v>
      </c>
      <c r="F10076" s="1">
        <v>1</v>
      </c>
      <c r="G10076" s="1" t="s">
        <v>449</v>
      </c>
      <c r="H10076" s="4" t="str">
        <f>HYPERLINK("https://www.ncbi.nlm.nih.gov/geo/query/acc.cgi?acc=GSM1616654","GSM1616654")</f>
        <v>GSM1616654</v>
      </c>
      <c r="I10076" t="s">
        <v>161</v>
      </c>
      <c r="J10076" t="s">
        <v>193</v>
      </c>
      <c r="K10076" t="s">
        <v>19</v>
      </c>
      <c r="L10076" t="s">
        <v>162</v>
      </c>
      <c r="M10076" t="s">
        <v>50</v>
      </c>
      <c r="N10076" t="s">
        <v>22</v>
      </c>
    </row>
    <row r="10077" spans="1:14">
      <c r="A10077" s="4" t="str">
        <f t="shared" si="905"/>
        <v>EXP00339</v>
      </c>
      <c r="B10077" s="4" t="str">
        <f t="shared" si="903"/>
        <v>26667932</v>
      </c>
      <c r="C10077" s="4" t="str">
        <f t="shared" si="904"/>
        <v>GSE74685</v>
      </c>
      <c r="D10077" s="1" t="s">
        <v>447</v>
      </c>
      <c r="E10077" t="s">
        <v>448</v>
      </c>
      <c r="F10077" s="1">
        <v>1</v>
      </c>
      <c r="G10077" s="1" t="s">
        <v>449</v>
      </c>
      <c r="H10077" s="4" t="str">
        <f>HYPERLINK("https://www.ncbi.nlm.nih.gov/geo/query/acc.cgi?acc=GSM1616655","GSM1616655")</f>
        <v>GSM1616655</v>
      </c>
      <c r="I10077" t="s">
        <v>161</v>
      </c>
      <c r="J10077" t="s">
        <v>193</v>
      </c>
      <c r="K10077" t="s">
        <v>19</v>
      </c>
      <c r="L10077" t="s">
        <v>162</v>
      </c>
      <c r="M10077" t="s">
        <v>50</v>
      </c>
      <c r="N10077" t="s">
        <v>22</v>
      </c>
    </row>
    <row r="10078" spans="1:14">
      <c r="A10078" s="4" t="str">
        <f t="shared" si="905"/>
        <v>EXP00339</v>
      </c>
      <c r="B10078" s="4" t="str">
        <f t="shared" si="903"/>
        <v>26667932</v>
      </c>
      <c r="C10078" s="4" t="str">
        <f t="shared" si="904"/>
        <v>GSE74685</v>
      </c>
      <c r="D10078" s="1" t="s">
        <v>447</v>
      </c>
      <c r="E10078" t="s">
        <v>448</v>
      </c>
      <c r="F10078" s="1">
        <v>1</v>
      </c>
      <c r="G10078" s="1" t="s">
        <v>449</v>
      </c>
      <c r="H10078" s="4" t="str">
        <f>HYPERLINK("https://www.ncbi.nlm.nih.gov/geo/query/acc.cgi?acc=GSM1616665","GSM1616665")</f>
        <v>GSM1616665</v>
      </c>
      <c r="I10078" t="s">
        <v>161</v>
      </c>
      <c r="J10078" t="s">
        <v>193</v>
      </c>
      <c r="K10078" t="s">
        <v>19</v>
      </c>
      <c r="L10078" t="s">
        <v>162</v>
      </c>
      <c r="M10078" t="s">
        <v>50</v>
      </c>
      <c r="N10078" t="s">
        <v>22</v>
      </c>
    </row>
    <row r="10079" spans="1:14">
      <c r="A10079" s="4" t="str">
        <f t="shared" si="905"/>
        <v>EXP00339</v>
      </c>
      <c r="B10079" s="4" t="str">
        <f t="shared" si="903"/>
        <v>26667932</v>
      </c>
      <c r="C10079" s="4" t="str">
        <f t="shared" si="904"/>
        <v>GSE74685</v>
      </c>
      <c r="D10079" s="1" t="s">
        <v>447</v>
      </c>
      <c r="E10079" t="s">
        <v>448</v>
      </c>
      <c r="F10079" s="1">
        <v>1</v>
      </c>
      <c r="G10079" s="1" t="s">
        <v>449</v>
      </c>
      <c r="H10079" s="4" t="str">
        <f>HYPERLINK("https://www.ncbi.nlm.nih.gov/geo/query/acc.cgi?acc=GSM1616678","GSM1616678")</f>
        <v>GSM1616678</v>
      </c>
      <c r="I10079" t="s">
        <v>161</v>
      </c>
      <c r="J10079" t="s">
        <v>193</v>
      </c>
      <c r="K10079" t="s">
        <v>19</v>
      </c>
      <c r="L10079" t="s">
        <v>162</v>
      </c>
      <c r="M10079" t="s">
        <v>50</v>
      </c>
      <c r="N10079" t="s">
        <v>22</v>
      </c>
    </row>
    <row r="10080" spans="1:14">
      <c r="A10080" s="4" t="str">
        <f t="shared" si="905"/>
        <v>EXP00339</v>
      </c>
      <c r="B10080" s="4" t="str">
        <f t="shared" si="903"/>
        <v>26667932</v>
      </c>
      <c r="C10080" s="4" t="str">
        <f t="shared" si="904"/>
        <v>GSE74685</v>
      </c>
      <c r="D10080" s="1" t="s">
        <v>447</v>
      </c>
      <c r="E10080" t="s">
        <v>448</v>
      </c>
      <c r="F10080" s="1">
        <v>1</v>
      </c>
      <c r="G10080" s="1" t="s">
        <v>449</v>
      </c>
      <c r="H10080" s="4" t="str">
        <f>HYPERLINK("https://www.ncbi.nlm.nih.gov/geo/query/acc.cgi?acc=GSM1616679","GSM1616679")</f>
        <v>GSM1616679</v>
      </c>
      <c r="I10080" t="s">
        <v>161</v>
      </c>
      <c r="J10080" t="s">
        <v>193</v>
      </c>
      <c r="K10080" t="s">
        <v>19</v>
      </c>
      <c r="L10080" t="s">
        <v>162</v>
      </c>
      <c r="M10080" t="s">
        <v>50</v>
      </c>
      <c r="N10080" t="s">
        <v>22</v>
      </c>
    </row>
    <row r="10081" spans="1:14">
      <c r="A10081" s="4" t="str">
        <f t="shared" si="905"/>
        <v>EXP00339</v>
      </c>
      <c r="B10081" s="4" t="str">
        <f t="shared" si="903"/>
        <v>26667932</v>
      </c>
      <c r="C10081" s="4" t="str">
        <f t="shared" si="904"/>
        <v>GSE74685</v>
      </c>
      <c r="D10081" s="1" t="s">
        <v>447</v>
      </c>
      <c r="E10081" t="s">
        <v>448</v>
      </c>
      <c r="F10081" s="1">
        <v>1</v>
      </c>
      <c r="G10081" s="1" t="s">
        <v>449</v>
      </c>
      <c r="H10081" s="4" t="str">
        <f>HYPERLINK("https://www.ncbi.nlm.nih.gov/geo/query/acc.cgi?acc=GSM1616680","GSM1616680")</f>
        <v>GSM1616680</v>
      </c>
      <c r="I10081" t="s">
        <v>161</v>
      </c>
      <c r="J10081" t="s">
        <v>193</v>
      </c>
      <c r="K10081" t="s">
        <v>19</v>
      </c>
      <c r="L10081" t="s">
        <v>162</v>
      </c>
      <c r="M10081" t="s">
        <v>50</v>
      </c>
      <c r="N10081" t="s">
        <v>22</v>
      </c>
    </row>
    <row r="10082" spans="1:14">
      <c r="A10082" s="4" t="str">
        <f t="shared" si="905"/>
        <v>EXP00339</v>
      </c>
      <c r="B10082" s="4" t="str">
        <f t="shared" si="903"/>
        <v>26667932</v>
      </c>
      <c r="C10082" s="4" t="str">
        <f t="shared" si="904"/>
        <v>GSE74685</v>
      </c>
      <c r="D10082" s="1" t="s">
        <v>447</v>
      </c>
      <c r="E10082" t="s">
        <v>448</v>
      </c>
      <c r="F10082" s="1">
        <v>1</v>
      </c>
      <c r="G10082" s="1" t="s">
        <v>449</v>
      </c>
      <c r="H10082" s="4" t="str">
        <f>HYPERLINK("https://www.ncbi.nlm.nih.gov/geo/query/acc.cgi?acc=GSM1616681","GSM1616681")</f>
        <v>GSM1616681</v>
      </c>
      <c r="I10082" t="s">
        <v>161</v>
      </c>
      <c r="J10082" t="s">
        <v>193</v>
      </c>
      <c r="K10082" t="s">
        <v>19</v>
      </c>
      <c r="L10082" t="s">
        <v>162</v>
      </c>
      <c r="M10082" t="s">
        <v>50</v>
      </c>
      <c r="N10082" t="s">
        <v>22</v>
      </c>
    </row>
    <row r="10083" spans="1:14">
      <c r="A10083" s="4" t="str">
        <f t="shared" si="905"/>
        <v>EXP00339</v>
      </c>
      <c r="B10083" s="4" t="str">
        <f t="shared" si="903"/>
        <v>26667932</v>
      </c>
      <c r="C10083" s="4" t="str">
        <f t="shared" si="904"/>
        <v>GSE74685</v>
      </c>
      <c r="D10083" s="1" t="s">
        <v>447</v>
      </c>
      <c r="E10083" t="s">
        <v>448</v>
      </c>
      <c r="F10083" s="1">
        <v>1</v>
      </c>
      <c r="G10083" s="1" t="s">
        <v>449</v>
      </c>
      <c r="H10083" s="4" t="str">
        <f>HYPERLINK("https://www.ncbi.nlm.nih.gov/geo/query/acc.cgi?acc=GSM1616683","GSM1616683")</f>
        <v>GSM1616683</v>
      </c>
      <c r="I10083" t="s">
        <v>161</v>
      </c>
      <c r="J10083" t="s">
        <v>193</v>
      </c>
      <c r="K10083" t="s">
        <v>19</v>
      </c>
      <c r="L10083" t="s">
        <v>162</v>
      </c>
      <c r="M10083" t="s">
        <v>50</v>
      </c>
      <c r="N10083" t="s">
        <v>22</v>
      </c>
    </row>
    <row r="10084" spans="1:14">
      <c r="A10084" s="4" t="str">
        <f t="shared" si="905"/>
        <v>EXP00339</v>
      </c>
      <c r="B10084" s="4" t="str">
        <f t="shared" si="903"/>
        <v>26667932</v>
      </c>
      <c r="C10084" s="4" t="str">
        <f t="shared" si="904"/>
        <v>GSE74685</v>
      </c>
      <c r="D10084" s="1" t="s">
        <v>447</v>
      </c>
      <c r="E10084" t="s">
        <v>448</v>
      </c>
      <c r="F10084" s="1">
        <v>1</v>
      </c>
      <c r="G10084" s="1" t="s">
        <v>449</v>
      </c>
      <c r="H10084" s="4" t="str">
        <f>HYPERLINK("https://www.ncbi.nlm.nih.gov/geo/query/acc.cgi?acc=GSM1918979","GSM1918979")</f>
        <v>GSM1918979</v>
      </c>
      <c r="I10084" t="s">
        <v>161</v>
      </c>
      <c r="J10084" t="s">
        <v>193</v>
      </c>
      <c r="K10084" t="s">
        <v>19</v>
      </c>
      <c r="L10084" t="s">
        <v>162</v>
      </c>
      <c r="M10084" t="s">
        <v>50</v>
      </c>
      <c r="N10084" t="s">
        <v>22</v>
      </c>
    </row>
    <row r="10085" spans="1:14">
      <c r="A10085" s="4" t="str">
        <f t="shared" si="905"/>
        <v>EXP00339</v>
      </c>
      <c r="B10085" s="4" t="str">
        <f t="shared" si="903"/>
        <v>26667932</v>
      </c>
      <c r="C10085" s="4" t="str">
        <f t="shared" si="904"/>
        <v>GSE74685</v>
      </c>
      <c r="D10085" s="1" t="s">
        <v>447</v>
      </c>
      <c r="E10085" t="s">
        <v>448</v>
      </c>
      <c r="F10085" s="1">
        <v>1</v>
      </c>
      <c r="G10085" s="1" t="s">
        <v>449</v>
      </c>
      <c r="H10085" s="4" t="str">
        <f>HYPERLINK("https://www.ncbi.nlm.nih.gov/geo/query/acc.cgi?acc=GSM1930079","GSM1930079")</f>
        <v>GSM1930079</v>
      </c>
      <c r="I10085" t="s">
        <v>161</v>
      </c>
      <c r="J10085" t="s">
        <v>193</v>
      </c>
      <c r="K10085" t="s">
        <v>19</v>
      </c>
      <c r="L10085" t="s">
        <v>162</v>
      </c>
      <c r="M10085" t="s">
        <v>50</v>
      </c>
      <c r="N10085" t="s">
        <v>22</v>
      </c>
    </row>
    <row r="10086" spans="1:14">
      <c r="A10086" s="4" t="str">
        <f t="shared" si="905"/>
        <v>EXP00339</v>
      </c>
      <c r="B10086" s="4" t="str">
        <f t="shared" si="903"/>
        <v>26667932</v>
      </c>
      <c r="C10086" s="4" t="str">
        <f t="shared" si="904"/>
        <v>GSE74685</v>
      </c>
      <c r="D10086" s="1" t="s">
        <v>447</v>
      </c>
      <c r="E10086" t="s">
        <v>448</v>
      </c>
      <c r="F10086" s="1">
        <v>1</v>
      </c>
      <c r="G10086" s="1" t="s">
        <v>449</v>
      </c>
      <c r="H10086" s="4" t="str">
        <f>HYPERLINK("https://www.ncbi.nlm.nih.gov/geo/query/acc.cgi?acc=GSM1930119","GSM1930119")</f>
        <v>GSM1930119</v>
      </c>
      <c r="I10086" t="s">
        <v>161</v>
      </c>
      <c r="J10086" t="s">
        <v>193</v>
      </c>
      <c r="K10086" t="s">
        <v>19</v>
      </c>
      <c r="L10086" t="s">
        <v>162</v>
      </c>
      <c r="M10086" t="s">
        <v>50</v>
      </c>
      <c r="N10086" t="s">
        <v>22</v>
      </c>
    </row>
    <row r="10087" spans="1:14">
      <c r="A10087" s="4" t="str">
        <f t="shared" si="905"/>
        <v>EXP00339</v>
      </c>
      <c r="B10087" s="4" t="str">
        <f t="shared" si="903"/>
        <v>26667932</v>
      </c>
      <c r="C10087" s="4" t="str">
        <f t="shared" si="904"/>
        <v>GSE74685</v>
      </c>
      <c r="D10087" s="1" t="s">
        <v>447</v>
      </c>
      <c r="E10087" t="s">
        <v>448</v>
      </c>
      <c r="F10087" s="1">
        <v>2</v>
      </c>
      <c r="G10087" s="1" t="s">
        <v>452</v>
      </c>
      <c r="H10087" s="4" t="str">
        <f>HYPERLINK("https://www.ncbi.nlm.nih.gov/geo/query/acc.cgi?acc=GSM1616615","GSM1616615")</f>
        <v>GSM1616615</v>
      </c>
      <c r="I10087" t="s">
        <v>161</v>
      </c>
      <c r="J10087" t="s">
        <v>193</v>
      </c>
      <c r="K10087" t="s">
        <v>19</v>
      </c>
      <c r="L10087" t="s">
        <v>162</v>
      </c>
      <c r="M10087" t="s">
        <v>24</v>
      </c>
      <c r="N10087" t="s">
        <v>22</v>
      </c>
    </row>
    <row r="10088" spans="1:14">
      <c r="A10088" s="4" t="str">
        <f t="shared" si="905"/>
        <v>EXP00339</v>
      </c>
      <c r="B10088" s="4" t="str">
        <f t="shared" si="903"/>
        <v>26667932</v>
      </c>
      <c r="C10088" s="4" t="str">
        <f t="shared" si="904"/>
        <v>GSE74685</v>
      </c>
      <c r="D10088" s="1" t="s">
        <v>447</v>
      </c>
      <c r="E10088" t="s">
        <v>448</v>
      </c>
      <c r="F10088" s="1">
        <v>2</v>
      </c>
      <c r="G10088" s="1" t="s">
        <v>452</v>
      </c>
      <c r="H10088" s="4" t="str">
        <f>HYPERLINK("https://www.ncbi.nlm.nih.gov/geo/query/acc.cgi?acc=GSM1616616","GSM1616616")</f>
        <v>GSM1616616</v>
      </c>
      <c r="I10088" t="s">
        <v>161</v>
      </c>
      <c r="J10088" t="s">
        <v>193</v>
      </c>
      <c r="K10088" t="s">
        <v>19</v>
      </c>
      <c r="L10088" t="s">
        <v>162</v>
      </c>
      <c r="M10088" t="s">
        <v>24</v>
      </c>
      <c r="N10088" t="s">
        <v>22</v>
      </c>
    </row>
    <row r="10089" spans="1:14">
      <c r="A10089" s="4" t="str">
        <f t="shared" si="905"/>
        <v>EXP00339</v>
      </c>
      <c r="B10089" s="4" t="str">
        <f t="shared" si="903"/>
        <v>26667932</v>
      </c>
      <c r="C10089" s="4" t="str">
        <f t="shared" si="904"/>
        <v>GSE74685</v>
      </c>
      <c r="D10089" s="1" t="s">
        <v>447</v>
      </c>
      <c r="E10089" t="s">
        <v>448</v>
      </c>
      <c r="F10089" s="1">
        <v>2</v>
      </c>
      <c r="G10089" s="1" t="s">
        <v>452</v>
      </c>
      <c r="H10089" s="4" t="str">
        <f>HYPERLINK("https://www.ncbi.nlm.nih.gov/geo/query/acc.cgi?acc=GSM1616619","GSM1616619")</f>
        <v>GSM1616619</v>
      </c>
      <c r="I10089" t="s">
        <v>161</v>
      </c>
      <c r="J10089" t="s">
        <v>193</v>
      </c>
      <c r="K10089" t="s">
        <v>19</v>
      </c>
      <c r="L10089" t="s">
        <v>162</v>
      </c>
      <c r="M10089" t="s">
        <v>24</v>
      </c>
      <c r="N10089" t="s">
        <v>22</v>
      </c>
    </row>
    <row r="10090" spans="1:14">
      <c r="A10090" s="4" t="str">
        <f t="shared" si="905"/>
        <v>EXP00339</v>
      </c>
      <c r="B10090" s="4" t="str">
        <f t="shared" si="903"/>
        <v>26667932</v>
      </c>
      <c r="C10090" s="4" t="str">
        <f t="shared" si="904"/>
        <v>GSE74685</v>
      </c>
      <c r="D10090" s="1" t="s">
        <v>447</v>
      </c>
      <c r="E10090" t="s">
        <v>448</v>
      </c>
      <c r="F10090" s="1">
        <v>2</v>
      </c>
      <c r="G10090" s="1" t="s">
        <v>452</v>
      </c>
      <c r="H10090" s="4" t="str">
        <f>HYPERLINK("https://www.ncbi.nlm.nih.gov/geo/query/acc.cgi?acc=GSM1616620","GSM1616620")</f>
        <v>GSM1616620</v>
      </c>
      <c r="I10090" t="s">
        <v>161</v>
      </c>
      <c r="J10090" t="s">
        <v>193</v>
      </c>
      <c r="K10090" t="s">
        <v>19</v>
      </c>
      <c r="L10090" t="s">
        <v>162</v>
      </c>
      <c r="M10090" t="s">
        <v>24</v>
      </c>
      <c r="N10090" t="s">
        <v>22</v>
      </c>
    </row>
    <row r="10091" spans="1:14">
      <c r="A10091" s="4" t="str">
        <f t="shared" si="905"/>
        <v>EXP00339</v>
      </c>
      <c r="B10091" s="4" t="str">
        <f t="shared" si="903"/>
        <v>26667932</v>
      </c>
      <c r="C10091" s="4" t="str">
        <f t="shared" si="904"/>
        <v>GSE74685</v>
      </c>
      <c r="D10091" s="1" t="s">
        <v>447</v>
      </c>
      <c r="E10091" t="s">
        <v>448</v>
      </c>
      <c r="F10091" s="1">
        <v>2</v>
      </c>
      <c r="G10091" s="1" t="s">
        <v>452</v>
      </c>
      <c r="H10091" s="4" t="str">
        <f>HYPERLINK("https://www.ncbi.nlm.nih.gov/geo/query/acc.cgi?acc=GSM1616622","GSM1616622")</f>
        <v>GSM1616622</v>
      </c>
      <c r="I10091" t="s">
        <v>161</v>
      </c>
      <c r="J10091" t="s">
        <v>193</v>
      </c>
      <c r="K10091" t="s">
        <v>19</v>
      </c>
      <c r="L10091" t="s">
        <v>162</v>
      </c>
      <c r="M10091" t="s">
        <v>24</v>
      </c>
      <c r="N10091" t="s">
        <v>22</v>
      </c>
    </row>
    <row r="10092" spans="1:14">
      <c r="A10092" s="4" t="str">
        <f t="shared" si="905"/>
        <v>EXP00339</v>
      </c>
      <c r="B10092" s="4" t="str">
        <f t="shared" si="903"/>
        <v>26667932</v>
      </c>
      <c r="C10092" s="4" t="str">
        <f t="shared" si="904"/>
        <v>GSE74685</v>
      </c>
      <c r="D10092" s="1" t="s">
        <v>447</v>
      </c>
      <c r="E10092" t="s">
        <v>448</v>
      </c>
      <c r="F10092" s="1">
        <v>2</v>
      </c>
      <c r="G10092" s="1" t="s">
        <v>452</v>
      </c>
      <c r="H10092" s="4" t="str">
        <f>HYPERLINK("https://www.ncbi.nlm.nih.gov/geo/query/acc.cgi?acc=GSM1616624","GSM1616624")</f>
        <v>GSM1616624</v>
      </c>
      <c r="I10092" t="s">
        <v>161</v>
      </c>
      <c r="J10092" t="s">
        <v>193</v>
      </c>
      <c r="K10092" t="s">
        <v>19</v>
      </c>
      <c r="L10092" t="s">
        <v>162</v>
      </c>
      <c r="M10092" t="s">
        <v>24</v>
      </c>
      <c r="N10092" t="s">
        <v>22</v>
      </c>
    </row>
    <row r="10093" spans="1:14">
      <c r="A10093" s="4" t="str">
        <f t="shared" si="905"/>
        <v>EXP00339</v>
      </c>
      <c r="B10093" s="4" t="str">
        <f t="shared" si="903"/>
        <v>26667932</v>
      </c>
      <c r="C10093" s="4" t="str">
        <f t="shared" si="904"/>
        <v>GSE74685</v>
      </c>
      <c r="D10093" s="1" t="s">
        <v>447</v>
      </c>
      <c r="E10093" t="s">
        <v>448</v>
      </c>
      <c r="F10093" s="1">
        <v>2</v>
      </c>
      <c r="G10093" s="1" t="s">
        <v>452</v>
      </c>
      <c r="H10093" s="4" t="str">
        <f>HYPERLINK("https://www.ncbi.nlm.nih.gov/geo/query/acc.cgi?acc=GSM1616626","GSM1616626")</f>
        <v>GSM1616626</v>
      </c>
      <c r="I10093" t="s">
        <v>161</v>
      </c>
      <c r="J10093" t="s">
        <v>193</v>
      </c>
      <c r="K10093" t="s">
        <v>19</v>
      </c>
      <c r="L10093" t="s">
        <v>162</v>
      </c>
      <c r="M10093" t="s">
        <v>24</v>
      </c>
      <c r="N10093" t="s">
        <v>22</v>
      </c>
    </row>
    <row r="10094" spans="1:14">
      <c r="A10094" s="4" t="str">
        <f t="shared" si="905"/>
        <v>EXP00339</v>
      </c>
      <c r="B10094" s="4" t="str">
        <f t="shared" si="903"/>
        <v>26667932</v>
      </c>
      <c r="C10094" s="4" t="str">
        <f t="shared" si="904"/>
        <v>GSE74685</v>
      </c>
      <c r="D10094" s="1" t="s">
        <v>447</v>
      </c>
      <c r="E10094" t="s">
        <v>448</v>
      </c>
      <c r="F10094" s="1">
        <v>2</v>
      </c>
      <c r="G10094" s="1" t="s">
        <v>452</v>
      </c>
      <c r="H10094" s="4" t="str">
        <f>HYPERLINK("https://www.ncbi.nlm.nih.gov/geo/query/acc.cgi?acc=GSM1616633","GSM1616633")</f>
        <v>GSM1616633</v>
      </c>
      <c r="I10094" t="s">
        <v>161</v>
      </c>
      <c r="J10094" t="s">
        <v>193</v>
      </c>
      <c r="K10094" t="s">
        <v>19</v>
      </c>
      <c r="L10094" t="s">
        <v>162</v>
      </c>
      <c r="M10094" t="s">
        <v>24</v>
      </c>
      <c r="N10094" t="s">
        <v>22</v>
      </c>
    </row>
    <row r="10095" spans="1:14">
      <c r="A10095" s="4" t="str">
        <f t="shared" si="905"/>
        <v>EXP00339</v>
      </c>
      <c r="B10095" s="4" t="str">
        <f t="shared" si="903"/>
        <v>26667932</v>
      </c>
      <c r="C10095" s="4" t="str">
        <f t="shared" si="904"/>
        <v>GSE74685</v>
      </c>
      <c r="D10095" s="1" t="s">
        <v>447</v>
      </c>
      <c r="E10095" t="s">
        <v>448</v>
      </c>
      <c r="F10095" s="1">
        <v>2</v>
      </c>
      <c r="G10095" s="1" t="s">
        <v>452</v>
      </c>
      <c r="H10095" s="4" t="str">
        <f>HYPERLINK("https://www.ncbi.nlm.nih.gov/geo/query/acc.cgi?acc=GSM1616634","GSM1616634")</f>
        <v>GSM1616634</v>
      </c>
      <c r="I10095" t="s">
        <v>161</v>
      </c>
      <c r="J10095" t="s">
        <v>193</v>
      </c>
      <c r="K10095" t="s">
        <v>19</v>
      </c>
      <c r="L10095" t="s">
        <v>162</v>
      </c>
      <c r="M10095" t="s">
        <v>24</v>
      </c>
      <c r="N10095" t="s">
        <v>22</v>
      </c>
    </row>
    <row r="10096" spans="1:14">
      <c r="A10096" s="4" t="str">
        <f t="shared" si="905"/>
        <v>EXP00339</v>
      </c>
      <c r="B10096" s="4" t="str">
        <f t="shared" si="903"/>
        <v>26667932</v>
      </c>
      <c r="C10096" s="4" t="str">
        <f t="shared" si="904"/>
        <v>GSE74685</v>
      </c>
      <c r="D10096" s="1" t="s">
        <v>447</v>
      </c>
      <c r="E10096" t="s">
        <v>448</v>
      </c>
      <c r="F10096" s="1">
        <v>2</v>
      </c>
      <c r="G10096" s="1" t="s">
        <v>452</v>
      </c>
      <c r="H10096" s="4" t="str">
        <f>HYPERLINK("https://www.ncbi.nlm.nih.gov/geo/query/acc.cgi?acc=GSM1616635","GSM1616635")</f>
        <v>GSM1616635</v>
      </c>
      <c r="I10096" t="s">
        <v>161</v>
      </c>
      <c r="J10096" t="s">
        <v>193</v>
      </c>
      <c r="K10096" t="s">
        <v>19</v>
      </c>
      <c r="L10096" t="s">
        <v>162</v>
      </c>
      <c r="M10096" t="s">
        <v>24</v>
      </c>
      <c r="N10096" t="s">
        <v>22</v>
      </c>
    </row>
    <row r="10097" spans="1:14">
      <c r="A10097" s="4" t="str">
        <f t="shared" si="905"/>
        <v>EXP00339</v>
      </c>
      <c r="B10097" s="4" t="str">
        <f t="shared" si="903"/>
        <v>26667932</v>
      </c>
      <c r="C10097" s="4" t="str">
        <f t="shared" si="904"/>
        <v>GSE74685</v>
      </c>
      <c r="D10097" s="1" t="s">
        <v>447</v>
      </c>
      <c r="E10097" t="s">
        <v>448</v>
      </c>
      <c r="F10097" s="1">
        <v>2</v>
      </c>
      <c r="G10097" s="1" t="s">
        <v>452</v>
      </c>
      <c r="H10097" s="4" t="str">
        <f>HYPERLINK("https://www.ncbi.nlm.nih.gov/geo/query/acc.cgi?acc=GSM1616636","GSM1616636")</f>
        <v>GSM1616636</v>
      </c>
      <c r="I10097" t="s">
        <v>161</v>
      </c>
      <c r="J10097" t="s">
        <v>193</v>
      </c>
      <c r="K10097" t="s">
        <v>19</v>
      </c>
      <c r="L10097" t="s">
        <v>162</v>
      </c>
      <c r="M10097" t="s">
        <v>24</v>
      </c>
      <c r="N10097" t="s">
        <v>22</v>
      </c>
    </row>
    <row r="10098" spans="1:14">
      <c r="A10098" s="4" t="str">
        <f t="shared" si="905"/>
        <v>EXP00339</v>
      </c>
      <c r="B10098" s="4" t="str">
        <f t="shared" si="903"/>
        <v>26667932</v>
      </c>
      <c r="C10098" s="4" t="str">
        <f t="shared" si="904"/>
        <v>GSE74685</v>
      </c>
      <c r="D10098" s="1" t="s">
        <v>447</v>
      </c>
      <c r="E10098" t="s">
        <v>448</v>
      </c>
      <c r="F10098" s="1">
        <v>2</v>
      </c>
      <c r="G10098" s="1" t="s">
        <v>452</v>
      </c>
      <c r="H10098" s="4" t="str">
        <f>HYPERLINK("https://www.ncbi.nlm.nih.gov/geo/query/acc.cgi?acc=GSM1616639","GSM1616639")</f>
        <v>GSM1616639</v>
      </c>
      <c r="I10098" t="s">
        <v>161</v>
      </c>
      <c r="J10098" t="s">
        <v>193</v>
      </c>
      <c r="K10098" t="s">
        <v>19</v>
      </c>
      <c r="L10098" t="s">
        <v>162</v>
      </c>
      <c r="M10098" t="s">
        <v>24</v>
      </c>
      <c r="N10098" t="s">
        <v>22</v>
      </c>
    </row>
    <row r="10099" spans="1:14">
      <c r="A10099" s="4" t="str">
        <f t="shared" ref="A10099:A10130" si="906">HYPERLINK("http://hcmdb.i-sanger.com/experiment/details/experiment_id/EXP00339","EXP00339")</f>
        <v>EXP00339</v>
      </c>
      <c r="B10099" s="4" t="str">
        <f t="shared" si="903"/>
        <v>26667932</v>
      </c>
      <c r="C10099" s="4" t="str">
        <f t="shared" si="904"/>
        <v>GSE74685</v>
      </c>
      <c r="D10099" s="1" t="s">
        <v>447</v>
      </c>
      <c r="E10099" t="s">
        <v>448</v>
      </c>
      <c r="F10099" s="1">
        <v>2</v>
      </c>
      <c r="G10099" s="1" t="s">
        <v>452</v>
      </c>
      <c r="H10099" s="4" t="str">
        <f>HYPERLINK("https://www.ncbi.nlm.nih.gov/geo/query/acc.cgi?acc=GSM1616642","GSM1616642")</f>
        <v>GSM1616642</v>
      </c>
      <c r="I10099" t="s">
        <v>161</v>
      </c>
      <c r="J10099" t="s">
        <v>193</v>
      </c>
      <c r="K10099" t="s">
        <v>19</v>
      </c>
      <c r="L10099" t="s">
        <v>162</v>
      </c>
      <c r="M10099" t="s">
        <v>24</v>
      </c>
      <c r="N10099" t="s">
        <v>22</v>
      </c>
    </row>
    <row r="10100" spans="1:14">
      <c r="A10100" s="4" t="str">
        <f t="shared" si="906"/>
        <v>EXP00339</v>
      </c>
      <c r="B10100" s="4" t="str">
        <f t="shared" si="903"/>
        <v>26667932</v>
      </c>
      <c r="C10100" s="4" t="str">
        <f t="shared" si="904"/>
        <v>GSE74685</v>
      </c>
      <c r="D10100" s="1" t="s">
        <v>447</v>
      </c>
      <c r="E10100" t="s">
        <v>448</v>
      </c>
      <c r="F10100" s="1">
        <v>2</v>
      </c>
      <c r="G10100" s="1" t="s">
        <v>452</v>
      </c>
      <c r="H10100" s="4" t="str">
        <f>HYPERLINK("https://www.ncbi.nlm.nih.gov/geo/query/acc.cgi?acc=GSM1616644","GSM1616644")</f>
        <v>GSM1616644</v>
      </c>
      <c r="I10100" t="s">
        <v>161</v>
      </c>
      <c r="J10100" t="s">
        <v>193</v>
      </c>
      <c r="K10100" t="s">
        <v>19</v>
      </c>
      <c r="L10100" t="s">
        <v>162</v>
      </c>
      <c r="M10100" t="s">
        <v>24</v>
      </c>
      <c r="N10100" t="s">
        <v>22</v>
      </c>
    </row>
    <row r="10101" spans="1:14">
      <c r="A10101" s="4" t="str">
        <f t="shared" si="906"/>
        <v>EXP00339</v>
      </c>
      <c r="B10101" s="4" t="str">
        <f t="shared" si="903"/>
        <v>26667932</v>
      </c>
      <c r="C10101" s="4" t="str">
        <f t="shared" si="904"/>
        <v>GSE74685</v>
      </c>
      <c r="D10101" s="1" t="s">
        <v>447</v>
      </c>
      <c r="E10101" t="s">
        <v>448</v>
      </c>
      <c r="F10101" s="1">
        <v>2</v>
      </c>
      <c r="G10101" s="1" t="s">
        <v>452</v>
      </c>
      <c r="H10101" s="4" t="str">
        <f>HYPERLINK("https://www.ncbi.nlm.nih.gov/geo/query/acc.cgi?acc=GSM1616645","GSM1616645")</f>
        <v>GSM1616645</v>
      </c>
      <c r="I10101" t="s">
        <v>161</v>
      </c>
      <c r="J10101" t="s">
        <v>193</v>
      </c>
      <c r="K10101" t="s">
        <v>19</v>
      </c>
      <c r="L10101" t="s">
        <v>162</v>
      </c>
      <c r="M10101" t="s">
        <v>24</v>
      </c>
      <c r="N10101" t="s">
        <v>22</v>
      </c>
    </row>
    <row r="10102" spans="1:14">
      <c r="A10102" s="4" t="str">
        <f t="shared" si="906"/>
        <v>EXP00339</v>
      </c>
      <c r="B10102" s="4" t="str">
        <f t="shared" si="903"/>
        <v>26667932</v>
      </c>
      <c r="C10102" s="4" t="str">
        <f t="shared" si="904"/>
        <v>GSE74685</v>
      </c>
      <c r="D10102" s="1" t="s">
        <v>447</v>
      </c>
      <c r="E10102" t="s">
        <v>448</v>
      </c>
      <c r="F10102" s="1">
        <v>2</v>
      </c>
      <c r="G10102" s="1" t="s">
        <v>452</v>
      </c>
      <c r="H10102" s="4" t="str">
        <f>HYPERLINK("https://www.ncbi.nlm.nih.gov/geo/query/acc.cgi?acc=GSM1616649","GSM1616649")</f>
        <v>GSM1616649</v>
      </c>
      <c r="I10102" t="s">
        <v>161</v>
      </c>
      <c r="J10102" t="s">
        <v>193</v>
      </c>
      <c r="K10102" t="s">
        <v>19</v>
      </c>
      <c r="L10102" t="s">
        <v>162</v>
      </c>
      <c r="M10102" t="s">
        <v>24</v>
      </c>
      <c r="N10102" t="s">
        <v>22</v>
      </c>
    </row>
    <row r="10103" spans="1:14">
      <c r="A10103" s="4" t="str">
        <f t="shared" si="906"/>
        <v>EXP00339</v>
      </c>
      <c r="B10103" s="4" t="str">
        <f t="shared" si="903"/>
        <v>26667932</v>
      </c>
      <c r="C10103" s="4" t="str">
        <f t="shared" si="904"/>
        <v>GSE74685</v>
      </c>
      <c r="D10103" s="1" t="s">
        <v>447</v>
      </c>
      <c r="E10103" t="s">
        <v>448</v>
      </c>
      <c r="F10103" s="1">
        <v>2</v>
      </c>
      <c r="G10103" s="1" t="s">
        <v>452</v>
      </c>
      <c r="H10103" s="4" t="str">
        <f>HYPERLINK("https://www.ncbi.nlm.nih.gov/geo/query/acc.cgi?acc=GSM1616653","GSM1616653")</f>
        <v>GSM1616653</v>
      </c>
      <c r="I10103" t="s">
        <v>161</v>
      </c>
      <c r="J10103" t="s">
        <v>193</v>
      </c>
      <c r="K10103" t="s">
        <v>19</v>
      </c>
      <c r="L10103" t="s">
        <v>162</v>
      </c>
      <c r="M10103" t="s">
        <v>24</v>
      </c>
      <c r="N10103" t="s">
        <v>22</v>
      </c>
    </row>
    <row r="10104" spans="1:14">
      <c r="A10104" s="4" t="str">
        <f t="shared" si="906"/>
        <v>EXP00339</v>
      </c>
      <c r="B10104" s="4" t="str">
        <f t="shared" si="903"/>
        <v>26667932</v>
      </c>
      <c r="C10104" s="4" t="str">
        <f t="shared" si="904"/>
        <v>GSE74685</v>
      </c>
      <c r="D10104" s="1" t="s">
        <v>447</v>
      </c>
      <c r="E10104" t="s">
        <v>448</v>
      </c>
      <c r="F10104" s="1">
        <v>2</v>
      </c>
      <c r="G10104" s="1" t="s">
        <v>452</v>
      </c>
      <c r="H10104" s="4" t="str">
        <f>HYPERLINK("https://www.ncbi.nlm.nih.gov/geo/query/acc.cgi?acc=GSM1616659","GSM1616659")</f>
        <v>GSM1616659</v>
      </c>
      <c r="I10104" t="s">
        <v>161</v>
      </c>
      <c r="J10104" t="s">
        <v>193</v>
      </c>
      <c r="K10104" t="s">
        <v>19</v>
      </c>
      <c r="L10104" t="s">
        <v>162</v>
      </c>
      <c r="M10104" t="s">
        <v>24</v>
      </c>
      <c r="N10104" t="s">
        <v>22</v>
      </c>
    </row>
    <row r="10105" spans="1:14">
      <c r="A10105" s="4" t="str">
        <f t="shared" si="906"/>
        <v>EXP00339</v>
      </c>
      <c r="B10105" s="4" t="str">
        <f t="shared" si="903"/>
        <v>26667932</v>
      </c>
      <c r="C10105" s="4" t="str">
        <f t="shared" si="904"/>
        <v>GSE74685</v>
      </c>
      <c r="D10105" s="1" t="s">
        <v>447</v>
      </c>
      <c r="E10105" t="s">
        <v>448</v>
      </c>
      <c r="F10105" s="1">
        <v>2</v>
      </c>
      <c r="G10105" s="1" t="s">
        <v>452</v>
      </c>
      <c r="H10105" s="4" t="str">
        <f>HYPERLINK("https://www.ncbi.nlm.nih.gov/geo/query/acc.cgi?acc=GSM1616661","GSM1616661")</f>
        <v>GSM1616661</v>
      </c>
      <c r="I10105" t="s">
        <v>161</v>
      </c>
      <c r="J10105" t="s">
        <v>193</v>
      </c>
      <c r="K10105" t="s">
        <v>19</v>
      </c>
      <c r="L10105" t="s">
        <v>162</v>
      </c>
      <c r="M10105" t="s">
        <v>24</v>
      </c>
      <c r="N10105" t="s">
        <v>22</v>
      </c>
    </row>
    <row r="10106" spans="1:14">
      <c r="A10106" s="4" t="str">
        <f t="shared" si="906"/>
        <v>EXP00339</v>
      </c>
      <c r="B10106" s="4" t="str">
        <f t="shared" si="903"/>
        <v>26667932</v>
      </c>
      <c r="C10106" s="4" t="str">
        <f t="shared" si="904"/>
        <v>GSE74685</v>
      </c>
      <c r="D10106" s="1" t="s">
        <v>447</v>
      </c>
      <c r="E10106" t="s">
        <v>448</v>
      </c>
      <c r="F10106" s="1">
        <v>2</v>
      </c>
      <c r="G10106" s="1" t="s">
        <v>452</v>
      </c>
      <c r="H10106" s="4" t="str">
        <f>HYPERLINK("https://www.ncbi.nlm.nih.gov/geo/query/acc.cgi?acc=GSM1616662","GSM1616662")</f>
        <v>GSM1616662</v>
      </c>
      <c r="I10106" t="s">
        <v>161</v>
      </c>
      <c r="J10106" t="s">
        <v>193</v>
      </c>
      <c r="K10106" t="s">
        <v>19</v>
      </c>
      <c r="L10106" t="s">
        <v>162</v>
      </c>
      <c r="M10106" t="s">
        <v>24</v>
      </c>
      <c r="N10106" t="s">
        <v>22</v>
      </c>
    </row>
    <row r="10107" spans="1:14">
      <c r="A10107" s="4" t="str">
        <f t="shared" si="906"/>
        <v>EXP00339</v>
      </c>
      <c r="B10107" s="4" t="str">
        <f t="shared" si="903"/>
        <v>26667932</v>
      </c>
      <c r="C10107" s="4" t="str">
        <f t="shared" si="904"/>
        <v>GSE74685</v>
      </c>
      <c r="D10107" s="1" t="s">
        <v>447</v>
      </c>
      <c r="E10107" t="s">
        <v>448</v>
      </c>
      <c r="F10107" s="1">
        <v>2</v>
      </c>
      <c r="G10107" s="1" t="s">
        <v>452</v>
      </c>
      <c r="H10107" s="4" t="str">
        <f>HYPERLINK("https://www.ncbi.nlm.nih.gov/geo/query/acc.cgi?acc=GSM1616664","GSM1616664")</f>
        <v>GSM1616664</v>
      </c>
      <c r="I10107" t="s">
        <v>161</v>
      </c>
      <c r="J10107" t="s">
        <v>193</v>
      </c>
      <c r="K10107" t="s">
        <v>19</v>
      </c>
      <c r="L10107" t="s">
        <v>162</v>
      </c>
      <c r="M10107" t="s">
        <v>24</v>
      </c>
      <c r="N10107" t="s">
        <v>22</v>
      </c>
    </row>
    <row r="10108" spans="1:14">
      <c r="A10108" s="4" t="str">
        <f t="shared" si="906"/>
        <v>EXP00339</v>
      </c>
      <c r="B10108" s="4" t="str">
        <f t="shared" si="903"/>
        <v>26667932</v>
      </c>
      <c r="C10108" s="4" t="str">
        <f t="shared" si="904"/>
        <v>GSE74685</v>
      </c>
      <c r="D10108" s="1" t="s">
        <v>447</v>
      </c>
      <c r="E10108" t="s">
        <v>448</v>
      </c>
      <c r="F10108" s="1">
        <v>2</v>
      </c>
      <c r="G10108" s="1" t="s">
        <v>452</v>
      </c>
      <c r="H10108" s="4" t="str">
        <f>HYPERLINK("https://www.ncbi.nlm.nih.gov/geo/query/acc.cgi?acc=GSM1616669","GSM1616669")</f>
        <v>GSM1616669</v>
      </c>
      <c r="I10108" t="s">
        <v>161</v>
      </c>
      <c r="J10108" t="s">
        <v>193</v>
      </c>
      <c r="K10108" t="s">
        <v>19</v>
      </c>
      <c r="L10108" t="s">
        <v>162</v>
      </c>
      <c r="M10108" t="s">
        <v>24</v>
      </c>
      <c r="N10108" t="s">
        <v>22</v>
      </c>
    </row>
    <row r="10109" spans="1:14">
      <c r="A10109" s="4" t="str">
        <f t="shared" si="906"/>
        <v>EXP00339</v>
      </c>
      <c r="B10109" s="4" t="str">
        <f t="shared" si="903"/>
        <v>26667932</v>
      </c>
      <c r="C10109" s="4" t="str">
        <f t="shared" si="904"/>
        <v>GSE74685</v>
      </c>
      <c r="D10109" s="1" t="s">
        <v>447</v>
      </c>
      <c r="E10109" t="s">
        <v>448</v>
      </c>
      <c r="F10109" s="1">
        <v>2</v>
      </c>
      <c r="G10109" s="1" t="s">
        <v>452</v>
      </c>
      <c r="H10109" s="4" t="str">
        <f>HYPERLINK("https://www.ncbi.nlm.nih.gov/geo/query/acc.cgi?acc=GSM1616670","GSM1616670")</f>
        <v>GSM1616670</v>
      </c>
      <c r="I10109" t="s">
        <v>161</v>
      </c>
      <c r="J10109" t="s">
        <v>193</v>
      </c>
      <c r="K10109" t="s">
        <v>19</v>
      </c>
      <c r="L10109" t="s">
        <v>162</v>
      </c>
      <c r="M10109" t="s">
        <v>24</v>
      </c>
      <c r="N10109" t="s">
        <v>22</v>
      </c>
    </row>
    <row r="10110" spans="1:14">
      <c r="A10110" s="4" t="str">
        <f t="shared" si="906"/>
        <v>EXP00339</v>
      </c>
      <c r="B10110" s="4" t="str">
        <f t="shared" si="903"/>
        <v>26667932</v>
      </c>
      <c r="C10110" s="4" t="str">
        <f t="shared" si="904"/>
        <v>GSE74685</v>
      </c>
      <c r="D10110" s="1" t="s">
        <v>447</v>
      </c>
      <c r="E10110" t="s">
        <v>448</v>
      </c>
      <c r="F10110" s="1">
        <v>2</v>
      </c>
      <c r="G10110" s="1" t="s">
        <v>452</v>
      </c>
      <c r="H10110" s="4" t="str">
        <f>HYPERLINK("https://www.ncbi.nlm.nih.gov/geo/query/acc.cgi?acc=GSM1616672","GSM1616672")</f>
        <v>GSM1616672</v>
      </c>
      <c r="I10110" t="s">
        <v>161</v>
      </c>
      <c r="J10110" t="s">
        <v>193</v>
      </c>
      <c r="K10110" t="s">
        <v>19</v>
      </c>
      <c r="L10110" t="s">
        <v>162</v>
      </c>
      <c r="M10110" t="s">
        <v>24</v>
      </c>
      <c r="N10110" t="s">
        <v>22</v>
      </c>
    </row>
    <row r="10111" spans="1:14">
      <c r="A10111" s="4" t="str">
        <f t="shared" si="906"/>
        <v>EXP00339</v>
      </c>
      <c r="B10111" s="4" t="str">
        <f t="shared" si="903"/>
        <v>26667932</v>
      </c>
      <c r="C10111" s="4" t="str">
        <f t="shared" si="904"/>
        <v>GSE74685</v>
      </c>
      <c r="D10111" s="1" t="s">
        <v>447</v>
      </c>
      <c r="E10111" t="s">
        <v>448</v>
      </c>
      <c r="F10111" s="1">
        <v>2</v>
      </c>
      <c r="G10111" s="1" t="s">
        <v>452</v>
      </c>
      <c r="H10111" s="4" t="str">
        <f>HYPERLINK("https://www.ncbi.nlm.nih.gov/geo/query/acc.cgi?acc=GSM1616676","GSM1616676")</f>
        <v>GSM1616676</v>
      </c>
      <c r="I10111" t="s">
        <v>161</v>
      </c>
      <c r="J10111" t="s">
        <v>193</v>
      </c>
      <c r="K10111" t="s">
        <v>19</v>
      </c>
      <c r="L10111" t="s">
        <v>162</v>
      </c>
      <c r="M10111" t="s">
        <v>24</v>
      </c>
      <c r="N10111" t="s">
        <v>22</v>
      </c>
    </row>
    <row r="10112" spans="1:14">
      <c r="A10112" s="4" t="str">
        <f t="shared" si="906"/>
        <v>EXP00339</v>
      </c>
      <c r="B10112" s="4" t="str">
        <f t="shared" si="903"/>
        <v>26667932</v>
      </c>
      <c r="C10112" s="4" t="str">
        <f t="shared" si="904"/>
        <v>GSE74685</v>
      </c>
      <c r="D10112" s="1" t="s">
        <v>447</v>
      </c>
      <c r="E10112" t="s">
        <v>448</v>
      </c>
      <c r="F10112" s="1">
        <v>2</v>
      </c>
      <c r="G10112" s="1" t="s">
        <v>452</v>
      </c>
      <c r="H10112" s="4" t="str">
        <f>HYPERLINK("https://www.ncbi.nlm.nih.gov/geo/query/acc.cgi?acc=GSM1616682","GSM1616682")</f>
        <v>GSM1616682</v>
      </c>
      <c r="I10112" t="s">
        <v>161</v>
      </c>
      <c r="J10112" t="s">
        <v>193</v>
      </c>
      <c r="K10112" t="s">
        <v>19</v>
      </c>
      <c r="L10112" t="s">
        <v>162</v>
      </c>
      <c r="M10112" t="s">
        <v>24</v>
      </c>
      <c r="N10112" t="s">
        <v>22</v>
      </c>
    </row>
    <row r="10113" spans="1:14">
      <c r="A10113" s="4" t="str">
        <f t="shared" si="906"/>
        <v>EXP00339</v>
      </c>
      <c r="B10113" s="4" t="str">
        <f t="shared" ref="B10113:B10176" si="907">HYPERLINK("https://www.ncbi.nlm.nih.gov/pubmed/26667932","26667932")</f>
        <v>26667932</v>
      </c>
      <c r="C10113" s="4" t="str">
        <f t="shared" ref="C10113:C10176" si="908">HYPERLINK("https://www.ncbi.nlm.nih.gov/geo/query/acc.cgi?acc=GSE74685","GSE74685")</f>
        <v>GSE74685</v>
      </c>
      <c r="D10113" s="1" t="s">
        <v>447</v>
      </c>
      <c r="E10113" t="s">
        <v>448</v>
      </c>
      <c r="F10113" s="1">
        <v>2</v>
      </c>
      <c r="G10113" s="1" t="s">
        <v>452</v>
      </c>
      <c r="H10113" s="4" t="str">
        <f>HYPERLINK("https://www.ncbi.nlm.nih.gov/geo/query/acc.cgi?acc=GSM1616684","GSM1616684")</f>
        <v>GSM1616684</v>
      </c>
      <c r="I10113" t="s">
        <v>161</v>
      </c>
      <c r="J10113" t="s">
        <v>193</v>
      </c>
      <c r="K10113" t="s">
        <v>19</v>
      </c>
      <c r="L10113" t="s">
        <v>162</v>
      </c>
      <c r="M10113" t="s">
        <v>24</v>
      </c>
      <c r="N10113" t="s">
        <v>22</v>
      </c>
    </row>
    <row r="10114" spans="1:14">
      <c r="A10114" s="4" t="str">
        <f t="shared" si="906"/>
        <v>EXP00339</v>
      </c>
      <c r="B10114" s="4" t="str">
        <f t="shared" si="907"/>
        <v>26667932</v>
      </c>
      <c r="C10114" s="4" t="str">
        <f t="shared" si="908"/>
        <v>GSE74685</v>
      </c>
      <c r="D10114" s="1" t="s">
        <v>447</v>
      </c>
      <c r="E10114" t="s">
        <v>448</v>
      </c>
      <c r="F10114" s="1">
        <v>2</v>
      </c>
      <c r="G10114" s="1" t="s">
        <v>452</v>
      </c>
      <c r="H10114" s="4" t="str">
        <f>HYPERLINK("https://www.ncbi.nlm.nih.gov/geo/query/acc.cgi?acc=GSM1918978","GSM1918978")</f>
        <v>GSM1918978</v>
      </c>
      <c r="I10114" t="s">
        <v>161</v>
      </c>
      <c r="J10114" t="s">
        <v>193</v>
      </c>
      <c r="K10114" t="s">
        <v>19</v>
      </c>
      <c r="L10114" t="s">
        <v>162</v>
      </c>
      <c r="M10114" t="s">
        <v>24</v>
      </c>
      <c r="N10114" t="s">
        <v>22</v>
      </c>
    </row>
    <row r="10115" spans="1:14">
      <c r="A10115" s="4" t="str">
        <f t="shared" si="906"/>
        <v>EXP00339</v>
      </c>
      <c r="B10115" s="4" t="str">
        <f t="shared" si="907"/>
        <v>26667932</v>
      </c>
      <c r="C10115" s="4" t="str">
        <f t="shared" si="908"/>
        <v>GSE74685</v>
      </c>
      <c r="D10115" s="1" t="s">
        <v>447</v>
      </c>
      <c r="E10115" t="s">
        <v>448</v>
      </c>
      <c r="F10115" s="1">
        <v>2</v>
      </c>
      <c r="G10115" s="1" t="s">
        <v>452</v>
      </c>
      <c r="H10115" s="4" t="str">
        <f>HYPERLINK("https://www.ncbi.nlm.nih.gov/geo/query/acc.cgi?acc=GSM1930063","GSM1930063")</f>
        <v>GSM1930063</v>
      </c>
      <c r="I10115" t="s">
        <v>161</v>
      </c>
      <c r="J10115" t="s">
        <v>193</v>
      </c>
      <c r="K10115" t="s">
        <v>19</v>
      </c>
      <c r="L10115" t="s">
        <v>162</v>
      </c>
      <c r="M10115" t="s">
        <v>24</v>
      </c>
      <c r="N10115" t="s">
        <v>22</v>
      </c>
    </row>
    <row r="10116" spans="1:14">
      <c r="A10116" s="4" t="str">
        <f t="shared" si="906"/>
        <v>EXP00339</v>
      </c>
      <c r="B10116" s="4" t="str">
        <f t="shared" si="907"/>
        <v>26667932</v>
      </c>
      <c r="C10116" s="4" t="str">
        <f t="shared" si="908"/>
        <v>GSE74685</v>
      </c>
      <c r="D10116" s="1" t="s">
        <v>447</v>
      </c>
      <c r="E10116" t="s">
        <v>448</v>
      </c>
      <c r="F10116" s="1">
        <v>2</v>
      </c>
      <c r="G10116" s="1" t="s">
        <v>452</v>
      </c>
      <c r="H10116" s="4" t="str">
        <f>HYPERLINK("https://www.ncbi.nlm.nih.gov/geo/query/acc.cgi?acc=GSM1930065","GSM1930065")</f>
        <v>GSM1930065</v>
      </c>
      <c r="I10116" t="s">
        <v>161</v>
      </c>
      <c r="J10116" t="s">
        <v>193</v>
      </c>
      <c r="K10116" t="s">
        <v>19</v>
      </c>
      <c r="L10116" t="s">
        <v>162</v>
      </c>
      <c r="M10116" t="s">
        <v>24</v>
      </c>
      <c r="N10116" t="s">
        <v>22</v>
      </c>
    </row>
    <row r="10117" spans="1:14">
      <c r="A10117" s="4" t="str">
        <f t="shared" si="906"/>
        <v>EXP00339</v>
      </c>
      <c r="B10117" s="4" t="str">
        <f t="shared" si="907"/>
        <v>26667932</v>
      </c>
      <c r="C10117" s="4" t="str">
        <f t="shared" si="908"/>
        <v>GSE74685</v>
      </c>
      <c r="D10117" s="1" t="s">
        <v>447</v>
      </c>
      <c r="E10117" t="s">
        <v>448</v>
      </c>
      <c r="F10117" s="1">
        <v>2</v>
      </c>
      <c r="G10117" s="1" t="s">
        <v>452</v>
      </c>
      <c r="H10117" s="4" t="str">
        <f>HYPERLINK("https://www.ncbi.nlm.nih.gov/geo/query/acc.cgi?acc=GSM1930068","GSM1930068")</f>
        <v>GSM1930068</v>
      </c>
      <c r="I10117" t="s">
        <v>161</v>
      </c>
      <c r="J10117" t="s">
        <v>193</v>
      </c>
      <c r="K10117" t="s">
        <v>19</v>
      </c>
      <c r="L10117" t="s">
        <v>162</v>
      </c>
      <c r="M10117" t="s">
        <v>24</v>
      </c>
      <c r="N10117" t="s">
        <v>22</v>
      </c>
    </row>
    <row r="10118" spans="1:14">
      <c r="A10118" s="4" t="str">
        <f t="shared" si="906"/>
        <v>EXP00339</v>
      </c>
      <c r="B10118" s="4" t="str">
        <f t="shared" si="907"/>
        <v>26667932</v>
      </c>
      <c r="C10118" s="4" t="str">
        <f t="shared" si="908"/>
        <v>GSE74685</v>
      </c>
      <c r="D10118" s="1" t="s">
        <v>447</v>
      </c>
      <c r="E10118" t="s">
        <v>448</v>
      </c>
      <c r="F10118" s="1">
        <v>2</v>
      </c>
      <c r="G10118" s="1" t="s">
        <v>452</v>
      </c>
      <c r="H10118" s="4" t="str">
        <f>HYPERLINK("https://www.ncbi.nlm.nih.gov/geo/query/acc.cgi?acc=GSM1930071","GSM1930071")</f>
        <v>GSM1930071</v>
      </c>
      <c r="I10118" t="s">
        <v>161</v>
      </c>
      <c r="J10118" t="s">
        <v>193</v>
      </c>
      <c r="K10118" t="s">
        <v>19</v>
      </c>
      <c r="L10118" t="s">
        <v>162</v>
      </c>
      <c r="M10118" t="s">
        <v>24</v>
      </c>
      <c r="N10118" t="s">
        <v>22</v>
      </c>
    </row>
    <row r="10119" spans="1:14">
      <c r="A10119" s="4" t="str">
        <f t="shared" si="906"/>
        <v>EXP00339</v>
      </c>
      <c r="B10119" s="4" t="str">
        <f t="shared" si="907"/>
        <v>26667932</v>
      </c>
      <c r="C10119" s="4" t="str">
        <f t="shared" si="908"/>
        <v>GSE74685</v>
      </c>
      <c r="D10119" s="1" t="s">
        <v>447</v>
      </c>
      <c r="E10119" t="s">
        <v>448</v>
      </c>
      <c r="F10119" s="1">
        <v>2</v>
      </c>
      <c r="G10119" s="1" t="s">
        <v>452</v>
      </c>
      <c r="H10119" s="4" t="str">
        <f>HYPERLINK("https://www.ncbi.nlm.nih.gov/geo/query/acc.cgi?acc=GSM1930077","GSM1930077")</f>
        <v>GSM1930077</v>
      </c>
      <c r="I10119" t="s">
        <v>161</v>
      </c>
      <c r="J10119" t="s">
        <v>193</v>
      </c>
      <c r="K10119" t="s">
        <v>19</v>
      </c>
      <c r="L10119" t="s">
        <v>162</v>
      </c>
      <c r="M10119" t="s">
        <v>24</v>
      </c>
      <c r="N10119" t="s">
        <v>22</v>
      </c>
    </row>
    <row r="10120" spans="1:14">
      <c r="A10120" s="4" t="str">
        <f t="shared" si="906"/>
        <v>EXP00339</v>
      </c>
      <c r="B10120" s="4" t="str">
        <f t="shared" si="907"/>
        <v>26667932</v>
      </c>
      <c r="C10120" s="4" t="str">
        <f t="shared" si="908"/>
        <v>GSE74685</v>
      </c>
      <c r="D10120" s="1" t="s">
        <v>447</v>
      </c>
      <c r="E10120" t="s">
        <v>448</v>
      </c>
      <c r="F10120" s="1">
        <v>2</v>
      </c>
      <c r="G10120" s="1" t="s">
        <v>452</v>
      </c>
      <c r="H10120" s="4" t="str">
        <f>HYPERLINK("https://www.ncbi.nlm.nih.gov/geo/query/acc.cgi?acc=GSM1930078","GSM1930078")</f>
        <v>GSM1930078</v>
      </c>
      <c r="I10120" t="s">
        <v>161</v>
      </c>
      <c r="J10120" t="s">
        <v>193</v>
      </c>
      <c r="K10120" t="s">
        <v>19</v>
      </c>
      <c r="L10120" t="s">
        <v>162</v>
      </c>
      <c r="M10120" t="s">
        <v>24</v>
      </c>
      <c r="N10120" t="s">
        <v>22</v>
      </c>
    </row>
    <row r="10121" spans="1:14">
      <c r="A10121" s="4" t="str">
        <f t="shared" si="906"/>
        <v>EXP00339</v>
      </c>
      <c r="B10121" s="4" t="str">
        <f t="shared" si="907"/>
        <v>26667932</v>
      </c>
      <c r="C10121" s="4" t="str">
        <f t="shared" si="908"/>
        <v>GSE74685</v>
      </c>
      <c r="D10121" s="1" t="s">
        <v>447</v>
      </c>
      <c r="E10121" t="s">
        <v>448</v>
      </c>
      <c r="F10121" s="1">
        <v>2</v>
      </c>
      <c r="G10121" s="1" t="s">
        <v>452</v>
      </c>
      <c r="H10121" s="4" t="str">
        <f>HYPERLINK("https://www.ncbi.nlm.nih.gov/geo/query/acc.cgi?acc=GSM1930083","GSM1930083")</f>
        <v>GSM1930083</v>
      </c>
      <c r="I10121" t="s">
        <v>161</v>
      </c>
      <c r="J10121" t="s">
        <v>193</v>
      </c>
      <c r="K10121" t="s">
        <v>19</v>
      </c>
      <c r="L10121" t="s">
        <v>162</v>
      </c>
      <c r="M10121" t="s">
        <v>24</v>
      </c>
      <c r="N10121" t="s">
        <v>22</v>
      </c>
    </row>
    <row r="10122" spans="1:14">
      <c r="A10122" s="4" t="str">
        <f t="shared" si="906"/>
        <v>EXP00339</v>
      </c>
      <c r="B10122" s="4" t="str">
        <f t="shared" si="907"/>
        <v>26667932</v>
      </c>
      <c r="C10122" s="4" t="str">
        <f t="shared" si="908"/>
        <v>GSE74685</v>
      </c>
      <c r="D10122" s="1" t="s">
        <v>447</v>
      </c>
      <c r="E10122" t="s">
        <v>448</v>
      </c>
      <c r="F10122" s="1">
        <v>2</v>
      </c>
      <c r="G10122" s="1" t="s">
        <v>452</v>
      </c>
      <c r="H10122" s="4" t="str">
        <f>HYPERLINK("https://www.ncbi.nlm.nih.gov/geo/query/acc.cgi?acc=GSM1930086","GSM1930086")</f>
        <v>GSM1930086</v>
      </c>
      <c r="I10122" t="s">
        <v>161</v>
      </c>
      <c r="J10122" t="s">
        <v>193</v>
      </c>
      <c r="K10122" t="s">
        <v>19</v>
      </c>
      <c r="L10122" t="s">
        <v>162</v>
      </c>
      <c r="M10122" t="s">
        <v>24</v>
      </c>
      <c r="N10122" t="s">
        <v>22</v>
      </c>
    </row>
    <row r="10123" spans="1:14">
      <c r="A10123" s="4" t="str">
        <f t="shared" si="906"/>
        <v>EXP00339</v>
      </c>
      <c r="B10123" s="4" t="str">
        <f t="shared" si="907"/>
        <v>26667932</v>
      </c>
      <c r="C10123" s="4" t="str">
        <f t="shared" si="908"/>
        <v>GSE74685</v>
      </c>
      <c r="D10123" s="1" t="s">
        <v>447</v>
      </c>
      <c r="E10123" t="s">
        <v>448</v>
      </c>
      <c r="F10123" s="1">
        <v>2</v>
      </c>
      <c r="G10123" s="1" t="s">
        <v>452</v>
      </c>
      <c r="H10123" s="4" t="str">
        <f>HYPERLINK("https://www.ncbi.nlm.nih.gov/geo/query/acc.cgi?acc=GSM1930089","GSM1930089")</f>
        <v>GSM1930089</v>
      </c>
      <c r="I10123" t="s">
        <v>161</v>
      </c>
      <c r="J10123" t="s">
        <v>193</v>
      </c>
      <c r="K10123" t="s">
        <v>19</v>
      </c>
      <c r="L10123" t="s">
        <v>162</v>
      </c>
      <c r="M10123" t="s">
        <v>24</v>
      </c>
      <c r="N10123" t="s">
        <v>22</v>
      </c>
    </row>
    <row r="10124" spans="1:14">
      <c r="A10124" s="4" t="str">
        <f t="shared" si="906"/>
        <v>EXP00339</v>
      </c>
      <c r="B10124" s="4" t="str">
        <f t="shared" si="907"/>
        <v>26667932</v>
      </c>
      <c r="C10124" s="4" t="str">
        <f t="shared" si="908"/>
        <v>GSE74685</v>
      </c>
      <c r="D10124" s="1" t="s">
        <v>447</v>
      </c>
      <c r="E10124" t="s">
        <v>448</v>
      </c>
      <c r="F10124" s="1">
        <v>2</v>
      </c>
      <c r="G10124" s="1" t="s">
        <v>452</v>
      </c>
      <c r="H10124" s="4" t="str">
        <f>HYPERLINK("https://www.ncbi.nlm.nih.gov/geo/query/acc.cgi?acc=GSM1930090","GSM1930090")</f>
        <v>GSM1930090</v>
      </c>
      <c r="I10124" t="s">
        <v>161</v>
      </c>
      <c r="J10124" t="s">
        <v>193</v>
      </c>
      <c r="K10124" t="s">
        <v>19</v>
      </c>
      <c r="L10124" t="s">
        <v>162</v>
      </c>
      <c r="M10124" t="s">
        <v>24</v>
      </c>
      <c r="N10124" t="s">
        <v>22</v>
      </c>
    </row>
    <row r="10125" spans="1:14">
      <c r="A10125" s="4" t="str">
        <f t="shared" si="906"/>
        <v>EXP00339</v>
      </c>
      <c r="B10125" s="4" t="str">
        <f t="shared" si="907"/>
        <v>26667932</v>
      </c>
      <c r="C10125" s="4" t="str">
        <f t="shared" si="908"/>
        <v>GSE74685</v>
      </c>
      <c r="D10125" s="1" t="s">
        <v>447</v>
      </c>
      <c r="E10125" t="s">
        <v>448</v>
      </c>
      <c r="F10125" s="1">
        <v>2</v>
      </c>
      <c r="G10125" s="1" t="s">
        <v>452</v>
      </c>
      <c r="H10125" s="4" t="str">
        <f>HYPERLINK("https://www.ncbi.nlm.nih.gov/geo/query/acc.cgi?acc=GSM1930091","GSM1930091")</f>
        <v>GSM1930091</v>
      </c>
      <c r="I10125" t="s">
        <v>161</v>
      </c>
      <c r="J10125" t="s">
        <v>193</v>
      </c>
      <c r="K10125" t="s">
        <v>19</v>
      </c>
      <c r="L10125" t="s">
        <v>162</v>
      </c>
      <c r="M10125" t="s">
        <v>24</v>
      </c>
      <c r="N10125" t="s">
        <v>22</v>
      </c>
    </row>
    <row r="10126" spans="1:14">
      <c r="A10126" s="4" t="str">
        <f t="shared" si="906"/>
        <v>EXP00339</v>
      </c>
      <c r="B10126" s="4" t="str">
        <f t="shared" si="907"/>
        <v>26667932</v>
      </c>
      <c r="C10126" s="4" t="str">
        <f t="shared" si="908"/>
        <v>GSE74685</v>
      </c>
      <c r="D10126" s="1" t="s">
        <v>447</v>
      </c>
      <c r="E10126" t="s">
        <v>448</v>
      </c>
      <c r="F10126" s="1">
        <v>2</v>
      </c>
      <c r="G10126" s="1" t="s">
        <v>452</v>
      </c>
      <c r="H10126" s="4" t="str">
        <f>HYPERLINK("https://www.ncbi.nlm.nih.gov/geo/query/acc.cgi?acc=GSM1930094","GSM1930094")</f>
        <v>GSM1930094</v>
      </c>
      <c r="I10126" t="s">
        <v>161</v>
      </c>
      <c r="J10126" t="s">
        <v>193</v>
      </c>
      <c r="K10126" t="s">
        <v>19</v>
      </c>
      <c r="L10126" t="s">
        <v>162</v>
      </c>
      <c r="M10126" t="s">
        <v>24</v>
      </c>
      <c r="N10126" t="s">
        <v>22</v>
      </c>
    </row>
    <row r="10127" spans="1:14">
      <c r="A10127" s="4" t="str">
        <f t="shared" si="906"/>
        <v>EXP00339</v>
      </c>
      <c r="B10127" s="4" t="str">
        <f t="shared" si="907"/>
        <v>26667932</v>
      </c>
      <c r="C10127" s="4" t="str">
        <f t="shared" si="908"/>
        <v>GSE74685</v>
      </c>
      <c r="D10127" s="1" t="s">
        <v>447</v>
      </c>
      <c r="E10127" t="s">
        <v>448</v>
      </c>
      <c r="F10127" s="1">
        <v>2</v>
      </c>
      <c r="G10127" s="1" t="s">
        <v>452</v>
      </c>
      <c r="H10127" s="4" t="str">
        <f>HYPERLINK("https://www.ncbi.nlm.nih.gov/geo/query/acc.cgi?acc=GSM1930095","GSM1930095")</f>
        <v>GSM1930095</v>
      </c>
      <c r="I10127" t="s">
        <v>161</v>
      </c>
      <c r="J10127" t="s">
        <v>193</v>
      </c>
      <c r="K10127" t="s">
        <v>19</v>
      </c>
      <c r="L10127" t="s">
        <v>162</v>
      </c>
      <c r="M10127" t="s">
        <v>24</v>
      </c>
      <c r="N10127" t="s">
        <v>22</v>
      </c>
    </row>
    <row r="10128" spans="1:14">
      <c r="A10128" s="4" t="str">
        <f t="shared" si="906"/>
        <v>EXP00339</v>
      </c>
      <c r="B10128" s="4" t="str">
        <f t="shared" si="907"/>
        <v>26667932</v>
      </c>
      <c r="C10128" s="4" t="str">
        <f t="shared" si="908"/>
        <v>GSE74685</v>
      </c>
      <c r="D10128" s="1" t="s">
        <v>447</v>
      </c>
      <c r="E10128" t="s">
        <v>448</v>
      </c>
      <c r="F10128" s="1">
        <v>2</v>
      </c>
      <c r="G10128" s="1" t="s">
        <v>452</v>
      </c>
      <c r="H10128" s="4" t="str">
        <f>HYPERLINK("https://www.ncbi.nlm.nih.gov/geo/query/acc.cgi?acc=GSM1930096","GSM1930096")</f>
        <v>GSM1930096</v>
      </c>
      <c r="I10128" t="s">
        <v>161</v>
      </c>
      <c r="J10128" t="s">
        <v>193</v>
      </c>
      <c r="K10128" t="s">
        <v>19</v>
      </c>
      <c r="L10128" t="s">
        <v>162</v>
      </c>
      <c r="M10128" t="s">
        <v>24</v>
      </c>
      <c r="N10128" t="s">
        <v>22</v>
      </c>
    </row>
    <row r="10129" spans="1:14">
      <c r="A10129" s="4" t="str">
        <f t="shared" si="906"/>
        <v>EXP00339</v>
      </c>
      <c r="B10129" s="4" t="str">
        <f t="shared" si="907"/>
        <v>26667932</v>
      </c>
      <c r="C10129" s="4" t="str">
        <f t="shared" si="908"/>
        <v>GSE74685</v>
      </c>
      <c r="D10129" s="1" t="s">
        <v>447</v>
      </c>
      <c r="E10129" t="s">
        <v>448</v>
      </c>
      <c r="F10129" s="1">
        <v>2</v>
      </c>
      <c r="G10129" s="1" t="s">
        <v>452</v>
      </c>
      <c r="H10129" s="4" t="str">
        <f>HYPERLINK("https://www.ncbi.nlm.nih.gov/geo/query/acc.cgi?acc=GSM1930097","GSM1930097")</f>
        <v>GSM1930097</v>
      </c>
      <c r="I10129" t="s">
        <v>161</v>
      </c>
      <c r="J10129" t="s">
        <v>193</v>
      </c>
      <c r="K10129" t="s">
        <v>19</v>
      </c>
      <c r="L10129" t="s">
        <v>162</v>
      </c>
      <c r="M10129" t="s">
        <v>24</v>
      </c>
      <c r="N10129" t="s">
        <v>22</v>
      </c>
    </row>
    <row r="10130" spans="1:14">
      <c r="A10130" s="4" t="str">
        <f t="shared" si="906"/>
        <v>EXP00339</v>
      </c>
      <c r="B10130" s="4" t="str">
        <f t="shared" si="907"/>
        <v>26667932</v>
      </c>
      <c r="C10130" s="4" t="str">
        <f t="shared" si="908"/>
        <v>GSE74685</v>
      </c>
      <c r="D10130" s="1" t="s">
        <v>447</v>
      </c>
      <c r="E10130" t="s">
        <v>448</v>
      </c>
      <c r="F10130" s="1">
        <v>2</v>
      </c>
      <c r="G10130" s="1" t="s">
        <v>452</v>
      </c>
      <c r="H10130" s="4" t="str">
        <f>HYPERLINK("https://www.ncbi.nlm.nih.gov/geo/query/acc.cgi?acc=GSM1930102","GSM1930102")</f>
        <v>GSM1930102</v>
      </c>
      <c r="I10130" t="s">
        <v>161</v>
      </c>
      <c r="J10130" t="s">
        <v>193</v>
      </c>
      <c r="K10130" t="s">
        <v>19</v>
      </c>
      <c r="L10130" t="s">
        <v>162</v>
      </c>
      <c r="M10130" t="s">
        <v>24</v>
      </c>
      <c r="N10130" t="s">
        <v>22</v>
      </c>
    </row>
    <row r="10131" spans="1:14">
      <c r="A10131" s="4" t="str">
        <f t="shared" ref="A10131:A10155" si="909">HYPERLINK("http://hcmdb.i-sanger.com/experiment/details/experiment_id/EXP00339","EXP00339")</f>
        <v>EXP00339</v>
      </c>
      <c r="B10131" s="4" t="str">
        <f t="shared" si="907"/>
        <v>26667932</v>
      </c>
      <c r="C10131" s="4" t="str">
        <f t="shared" si="908"/>
        <v>GSE74685</v>
      </c>
      <c r="D10131" s="1" t="s">
        <v>447</v>
      </c>
      <c r="E10131" t="s">
        <v>448</v>
      </c>
      <c r="F10131" s="1">
        <v>2</v>
      </c>
      <c r="G10131" s="1" t="s">
        <v>452</v>
      </c>
      <c r="H10131" s="4" t="str">
        <f>HYPERLINK("https://www.ncbi.nlm.nih.gov/geo/query/acc.cgi?acc=GSM1930104","GSM1930104")</f>
        <v>GSM1930104</v>
      </c>
      <c r="I10131" t="s">
        <v>161</v>
      </c>
      <c r="J10131" t="s">
        <v>193</v>
      </c>
      <c r="K10131" t="s">
        <v>19</v>
      </c>
      <c r="L10131" t="s">
        <v>162</v>
      </c>
      <c r="M10131" t="s">
        <v>24</v>
      </c>
      <c r="N10131" t="s">
        <v>22</v>
      </c>
    </row>
    <row r="10132" spans="1:14">
      <c r="A10132" s="4" t="str">
        <f t="shared" si="909"/>
        <v>EXP00339</v>
      </c>
      <c r="B10132" s="4" t="str">
        <f t="shared" si="907"/>
        <v>26667932</v>
      </c>
      <c r="C10132" s="4" t="str">
        <f t="shared" si="908"/>
        <v>GSE74685</v>
      </c>
      <c r="D10132" s="1" t="s">
        <v>447</v>
      </c>
      <c r="E10132" t="s">
        <v>448</v>
      </c>
      <c r="F10132" s="1">
        <v>2</v>
      </c>
      <c r="G10132" s="1" t="s">
        <v>452</v>
      </c>
      <c r="H10132" s="4" t="str">
        <f>HYPERLINK("https://www.ncbi.nlm.nih.gov/geo/query/acc.cgi?acc=GSM1930105","GSM1930105")</f>
        <v>GSM1930105</v>
      </c>
      <c r="I10132" t="s">
        <v>161</v>
      </c>
      <c r="J10132" t="s">
        <v>193</v>
      </c>
      <c r="K10132" t="s">
        <v>19</v>
      </c>
      <c r="L10132" t="s">
        <v>162</v>
      </c>
      <c r="M10132" t="s">
        <v>24</v>
      </c>
      <c r="N10132" t="s">
        <v>22</v>
      </c>
    </row>
    <row r="10133" spans="1:14">
      <c r="A10133" s="4" t="str">
        <f t="shared" si="909"/>
        <v>EXP00339</v>
      </c>
      <c r="B10133" s="4" t="str">
        <f t="shared" si="907"/>
        <v>26667932</v>
      </c>
      <c r="C10133" s="4" t="str">
        <f t="shared" si="908"/>
        <v>GSE74685</v>
      </c>
      <c r="D10133" s="1" t="s">
        <v>447</v>
      </c>
      <c r="E10133" t="s">
        <v>448</v>
      </c>
      <c r="F10133" s="1">
        <v>2</v>
      </c>
      <c r="G10133" s="1" t="s">
        <v>452</v>
      </c>
      <c r="H10133" s="4" t="str">
        <f>HYPERLINK("https://www.ncbi.nlm.nih.gov/geo/query/acc.cgi?acc=GSM1930106","GSM1930106")</f>
        <v>GSM1930106</v>
      </c>
      <c r="I10133" t="s">
        <v>161</v>
      </c>
      <c r="J10133" t="s">
        <v>193</v>
      </c>
      <c r="K10133" t="s">
        <v>19</v>
      </c>
      <c r="L10133" t="s">
        <v>162</v>
      </c>
      <c r="M10133" t="s">
        <v>24</v>
      </c>
      <c r="N10133" t="s">
        <v>22</v>
      </c>
    </row>
    <row r="10134" spans="1:14">
      <c r="A10134" s="4" t="str">
        <f t="shared" si="909"/>
        <v>EXP00339</v>
      </c>
      <c r="B10134" s="4" t="str">
        <f t="shared" si="907"/>
        <v>26667932</v>
      </c>
      <c r="C10134" s="4" t="str">
        <f t="shared" si="908"/>
        <v>GSE74685</v>
      </c>
      <c r="D10134" s="1" t="s">
        <v>447</v>
      </c>
      <c r="E10134" t="s">
        <v>448</v>
      </c>
      <c r="F10134" s="1">
        <v>2</v>
      </c>
      <c r="G10134" s="1" t="s">
        <v>452</v>
      </c>
      <c r="H10134" s="4" t="str">
        <f>HYPERLINK("https://www.ncbi.nlm.nih.gov/geo/query/acc.cgi?acc=GSM1930109","GSM1930109")</f>
        <v>GSM1930109</v>
      </c>
      <c r="I10134" t="s">
        <v>161</v>
      </c>
      <c r="J10134" t="s">
        <v>193</v>
      </c>
      <c r="K10134" t="s">
        <v>19</v>
      </c>
      <c r="L10134" t="s">
        <v>162</v>
      </c>
      <c r="M10134" t="s">
        <v>24</v>
      </c>
      <c r="N10134" t="s">
        <v>22</v>
      </c>
    </row>
    <row r="10135" spans="1:14">
      <c r="A10135" s="4" t="str">
        <f t="shared" si="909"/>
        <v>EXP00339</v>
      </c>
      <c r="B10135" s="4" t="str">
        <f t="shared" si="907"/>
        <v>26667932</v>
      </c>
      <c r="C10135" s="4" t="str">
        <f t="shared" si="908"/>
        <v>GSE74685</v>
      </c>
      <c r="D10135" s="1" t="s">
        <v>447</v>
      </c>
      <c r="E10135" t="s">
        <v>448</v>
      </c>
      <c r="F10135" s="1">
        <v>2</v>
      </c>
      <c r="G10135" s="1" t="s">
        <v>452</v>
      </c>
      <c r="H10135" s="4" t="str">
        <f>HYPERLINK("https://www.ncbi.nlm.nih.gov/geo/query/acc.cgi?acc=GSM1930114","GSM1930114")</f>
        <v>GSM1930114</v>
      </c>
      <c r="I10135" t="s">
        <v>161</v>
      </c>
      <c r="J10135" t="s">
        <v>193</v>
      </c>
      <c r="K10135" t="s">
        <v>19</v>
      </c>
      <c r="L10135" t="s">
        <v>162</v>
      </c>
      <c r="M10135" t="s">
        <v>24</v>
      </c>
      <c r="N10135" t="s">
        <v>22</v>
      </c>
    </row>
    <row r="10136" spans="1:14">
      <c r="A10136" s="4" t="str">
        <f t="shared" si="909"/>
        <v>EXP00339</v>
      </c>
      <c r="B10136" s="4" t="str">
        <f t="shared" si="907"/>
        <v>26667932</v>
      </c>
      <c r="C10136" s="4" t="str">
        <f t="shared" si="908"/>
        <v>GSE74685</v>
      </c>
      <c r="D10136" s="1" t="s">
        <v>447</v>
      </c>
      <c r="E10136" t="s">
        <v>448</v>
      </c>
      <c r="F10136" s="1">
        <v>2</v>
      </c>
      <c r="G10136" s="1" t="s">
        <v>452</v>
      </c>
      <c r="H10136" s="4" t="str">
        <f>HYPERLINK("https://www.ncbi.nlm.nih.gov/geo/query/acc.cgi?acc=GSM1930117","GSM1930117")</f>
        <v>GSM1930117</v>
      </c>
      <c r="I10136" t="s">
        <v>161</v>
      </c>
      <c r="J10136" t="s">
        <v>193</v>
      </c>
      <c r="K10136" t="s">
        <v>19</v>
      </c>
      <c r="L10136" t="s">
        <v>162</v>
      </c>
      <c r="M10136" t="s">
        <v>24</v>
      </c>
      <c r="N10136" t="s">
        <v>22</v>
      </c>
    </row>
    <row r="10137" spans="1:14">
      <c r="A10137" s="4" t="str">
        <f t="shared" si="909"/>
        <v>EXP00339</v>
      </c>
      <c r="B10137" s="4" t="str">
        <f t="shared" si="907"/>
        <v>26667932</v>
      </c>
      <c r="C10137" s="4" t="str">
        <f t="shared" si="908"/>
        <v>GSE74685</v>
      </c>
      <c r="D10137" s="1" t="s">
        <v>447</v>
      </c>
      <c r="E10137" t="s">
        <v>448</v>
      </c>
      <c r="F10137" s="1">
        <v>2</v>
      </c>
      <c r="G10137" s="1" t="s">
        <v>452</v>
      </c>
      <c r="H10137" s="4" t="str">
        <f>HYPERLINK("https://www.ncbi.nlm.nih.gov/geo/query/acc.cgi?acc=GSM1930118","GSM1930118")</f>
        <v>GSM1930118</v>
      </c>
      <c r="I10137" t="s">
        <v>161</v>
      </c>
      <c r="J10137" t="s">
        <v>193</v>
      </c>
      <c r="K10137" t="s">
        <v>19</v>
      </c>
      <c r="L10137" t="s">
        <v>162</v>
      </c>
      <c r="M10137" t="s">
        <v>24</v>
      </c>
      <c r="N10137" t="s">
        <v>22</v>
      </c>
    </row>
    <row r="10138" spans="1:14">
      <c r="A10138" s="4" t="str">
        <f t="shared" si="909"/>
        <v>EXP00339</v>
      </c>
      <c r="B10138" s="4" t="str">
        <f t="shared" si="907"/>
        <v>26667932</v>
      </c>
      <c r="C10138" s="4" t="str">
        <f t="shared" si="908"/>
        <v>GSE74685</v>
      </c>
      <c r="D10138" s="1" t="s">
        <v>447</v>
      </c>
      <c r="E10138" t="s">
        <v>448</v>
      </c>
      <c r="F10138" s="1">
        <v>2</v>
      </c>
      <c r="G10138" s="1" t="s">
        <v>452</v>
      </c>
      <c r="H10138" s="4" t="str">
        <f>HYPERLINK("https://www.ncbi.nlm.nih.gov/geo/query/acc.cgi?acc=GSM1930121","GSM1930121")</f>
        <v>GSM1930121</v>
      </c>
      <c r="I10138" t="s">
        <v>161</v>
      </c>
      <c r="J10138" t="s">
        <v>193</v>
      </c>
      <c r="K10138" t="s">
        <v>19</v>
      </c>
      <c r="L10138" t="s">
        <v>162</v>
      </c>
      <c r="M10138" t="s">
        <v>24</v>
      </c>
      <c r="N10138" t="s">
        <v>22</v>
      </c>
    </row>
    <row r="10139" spans="1:14">
      <c r="A10139" s="4" t="str">
        <f t="shared" si="909"/>
        <v>EXP00339</v>
      </c>
      <c r="B10139" s="4" t="str">
        <f t="shared" si="907"/>
        <v>26667932</v>
      </c>
      <c r="C10139" s="4" t="str">
        <f t="shared" si="908"/>
        <v>GSE74685</v>
      </c>
      <c r="D10139" s="1" t="s">
        <v>447</v>
      </c>
      <c r="E10139" t="s">
        <v>448</v>
      </c>
      <c r="F10139" s="1">
        <v>2</v>
      </c>
      <c r="G10139" s="1" t="s">
        <v>452</v>
      </c>
      <c r="H10139" s="4" t="str">
        <f>HYPERLINK("https://www.ncbi.nlm.nih.gov/geo/query/acc.cgi?acc=GSM1930123","GSM1930123")</f>
        <v>GSM1930123</v>
      </c>
      <c r="I10139" t="s">
        <v>161</v>
      </c>
      <c r="J10139" t="s">
        <v>193</v>
      </c>
      <c r="K10139" t="s">
        <v>19</v>
      </c>
      <c r="L10139" t="s">
        <v>162</v>
      </c>
      <c r="M10139" t="s">
        <v>24</v>
      </c>
      <c r="N10139" t="s">
        <v>22</v>
      </c>
    </row>
    <row r="10140" spans="1:14">
      <c r="A10140" s="4" t="str">
        <f t="shared" si="909"/>
        <v>EXP00339</v>
      </c>
      <c r="B10140" s="4" t="str">
        <f t="shared" si="907"/>
        <v>26667932</v>
      </c>
      <c r="C10140" s="4" t="str">
        <f t="shared" si="908"/>
        <v>GSE74685</v>
      </c>
      <c r="D10140" s="1" t="s">
        <v>447</v>
      </c>
      <c r="E10140" t="s">
        <v>448</v>
      </c>
      <c r="F10140" s="1">
        <v>2</v>
      </c>
      <c r="G10140" s="1" t="s">
        <v>452</v>
      </c>
      <c r="H10140" s="4" t="str">
        <f>HYPERLINK("https://www.ncbi.nlm.nih.gov/geo/query/acc.cgi?acc=GSM1930124","GSM1930124")</f>
        <v>GSM1930124</v>
      </c>
      <c r="I10140" t="s">
        <v>161</v>
      </c>
      <c r="J10140" t="s">
        <v>193</v>
      </c>
      <c r="K10140" t="s">
        <v>19</v>
      </c>
      <c r="L10140" t="s">
        <v>162</v>
      </c>
      <c r="M10140" t="s">
        <v>24</v>
      </c>
      <c r="N10140" t="s">
        <v>22</v>
      </c>
    </row>
    <row r="10141" spans="1:14">
      <c r="A10141" s="4" t="str">
        <f t="shared" si="909"/>
        <v>EXP00339</v>
      </c>
      <c r="B10141" s="4" t="str">
        <f t="shared" si="907"/>
        <v>26667932</v>
      </c>
      <c r="C10141" s="4" t="str">
        <f t="shared" si="908"/>
        <v>GSE74685</v>
      </c>
      <c r="D10141" s="1" t="s">
        <v>447</v>
      </c>
      <c r="E10141" t="s">
        <v>448</v>
      </c>
      <c r="F10141" s="1">
        <v>2</v>
      </c>
      <c r="G10141" s="1" t="s">
        <v>452</v>
      </c>
      <c r="H10141" s="4" t="str">
        <f>HYPERLINK("https://www.ncbi.nlm.nih.gov/geo/query/acc.cgi?acc=GSM1930125","GSM1930125")</f>
        <v>GSM1930125</v>
      </c>
      <c r="I10141" t="s">
        <v>161</v>
      </c>
      <c r="J10141" t="s">
        <v>193</v>
      </c>
      <c r="K10141" t="s">
        <v>19</v>
      </c>
      <c r="L10141" t="s">
        <v>162</v>
      </c>
      <c r="M10141" t="s">
        <v>24</v>
      </c>
      <c r="N10141" t="s">
        <v>22</v>
      </c>
    </row>
    <row r="10142" spans="1:14">
      <c r="A10142" s="4" t="str">
        <f t="shared" si="909"/>
        <v>EXP00339</v>
      </c>
      <c r="B10142" s="4" t="str">
        <f t="shared" si="907"/>
        <v>26667932</v>
      </c>
      <c r="C10142" s="4" t="str">
        <f t="shared" si="908"/>
        <v>GSE74685</v>
      </c>
      <c r="D10142" s="1" t="s">
        <v>447</v>
      </c>
      <c r="E10142" t="s">
        <v>448</v>
      </c>
      <c r="F10142" s="1">
        <v>2</v>
      </c>
      <c r="G10142" s="1" t="s">
        <v>452</v>
      </c>
      <c r="H10142" s="4" t="str">
        <f>HYPERLINK("https://www.ncbi.nlm.nih.gov/geo/query/acc.cgi?acc=GSM1930127","GSM1930127")</f>
        <v>GSM1930127</v>
      </c>
      <c r="I10142" t="s">
        <v>161</v>
      </c>
      <c r="J10142" t="s">
        <v>193</v>
      </c>
      <c r="K10142" t="s">
        <v>19</v>
      </c>
      <c r="L10142" t="s">
        <v>162</v>
      </c>
      <c r="M10142" t="s">
        <v>24</v>
      </c>
      <c r="N10142" t="s">
        <v>22</v>
      </c>
    </row>
    <row r="10143" spans="1:14">
      <c r="A10143" s="4" t="str">
        <f t="shared" si="909"/>
        <v>EXP00339</v>
      </c>
      <c r="B10143" s="4" t="str">
        <f t="shared" si="907"/>
        <v>26667932</v>
      </c>
      <c r="C10143" s="4" t="str">
        <f t="shared" si="908"/>
        <v>GSE74685</v>
      </c>
      <c r="D10143" s="1" t="s">
        <v>447</v>
      </c>
      <c r="E10143" t="s">
        <v>448</v>
      </c>
      <c r="F10143" s="1">
        <v>2</v>
      </c>
      <c r="G10143" s="1" t="s">
        <v>452</v>
      </c>
      <c r="H10143" s="4" t="str">
        <f>HYPERLINK("https://www.ncbi.nlm.nih.gov/geo/query/acc.cgi?acc=GSM1930128","GSM1930128")</f>
        <v>GSM1930128</v>
      </c>
      <c r="I10143" t="s">
        <v>161</v>
      </c>
      <c r="J10143" t="s">
        <v>193</v>
      </c>
      <c r="K10143" t="s">
        <v>19</v>
      </c>
      <c r="L10143" t="s">
        <v>162</v>
      </c>
      <c r="M10143" t="s">
        <v>24</v>
      </c>
      <c r="N10143" t="s">
        <v>22</v>
      </c>
    </row>
    <row r="10144" spans="1:14">
      <c r="A10144" s="4" t="str">
        <f t="shared" si="909"/>
        <v>EXP00339</v>
      </c>
      <c r="B10144" s="4" t="str">
        <f t="shared" si="907"/>
        <v>26667932</v>
      </c>
      <c r="C10144" s="4" t="str">
        <f t="shared" si="908"/>
        <v>GSE74685</v>
      </c>
      <c r="D10144" s="1" t="s">
        <v>447</v>
      </c>
      <c r="E10144" t="s">
        <v>448</v>
      </c>
      <c r="F10144" s="1">
        <v>2</v>
      </c>
      <c r="G10144" s="1" t="s">
        <v>452</v>
      </c>
      <c r="H10144" s="4" t="str">
        <f>HYPERLINK("https://www.ncbi.nlm.nih.gov/geo/query/acc.cgi?acc=GSM1930130","GSM1930130")</f>
        <v>GSM1930130</v>
      </c>
      <c r="I10144" t="s">
        <v>161</v>
      </c>
      <c r="J10144" t="s">
        <v>193</v>
      </c>
      <c r="K10144" t="s">
        <v>19</v>
      </c>
      <c r="L10144" t="s">
        <v>162</v>
      </c>
      <c r="M10144" t="s">
        <v>24</v>
      </c>
      <c r="N10144" t="s">
        <v>22</v>
      </c>
    </row>
    <row r="10145" spans="1:14">
      <c r="A10145" s="4" t="str">
        <f t="shared" si="909"/>
        <v>EXP00339</v>
      </c>
      <c r="B10145" s="4" t="str">
        <f t="shared" si="907"/>
        <v>26667932</v>
      </c>
      <c r="C10145" s="4" t="str">
        <f t="shared" si="908"/>
        <v>GSE74685</v>
      </c>
      <c r="D10145" s="1" t="s">
        <v>447</v>
      </c>
      <c r="E10145" t="s">
        <v>448</v>
      </c>
      <c r="F10145" s="1">
        <v>2</v>
      </c>
      <c r="G10145" s="1" t="s">
        <v>452</v>
      </c>
      <c r="H10145" s="4" t="str">
        <f>HYPERLINK("https://www.ncbi.nlm.nih.gov/geo/query/acc.cgi?acc=GSM1930132","GSM1930132")</f>
        <v>GSM1930132</v>
      </c>
      <c r="I10145" t="s">
        <v>161</v>
      </c>
      <c r="J10145" t="s">
        <v>193</v>
      </c>
      <c r="K10145" t="s">
        <v>19</v>
      </c>
      <c r="L10145" t="s">
        <v>162</v>
      </c>
      <c r="M10145" t="s">
        <v>24</v>
      </c>
      <c r="N10145" t="s">
        <v>22</v>
      </c>
    </row>
    <row r="10146" spans="1:14">
      <c r="A10146" s="4" t="str">
        <f t="shared" si="909"/>
        <v>EXP00339</v>
      </c>
      <c r="B10146" s="4" t="str">
        <f t="shared" si="907"/>
        <v>26667932</v>
      </c>
      <c r="C10146" s="4" t="str">
        <f t="shared" si="908"/>
        <v>GSE74685</v>
      </c>
      <c r="D10146" s="1" t="s">
        <v>447</v>
      </c>
      <c r="E10146" t="s">
        <v>448</v>
      </c>
      <c r="F10146" s="1">
        <v>2</v>
      </c>
      <c r="G10146" s="1" t="s">
        <v>452</v>
      </c>
      <c r="H10146" s="4" t="str">
        <f>HYPERLINK("https://www.ncbi.nlm.nih.gov/geo/query/acc.cgi?acc=GSM1930139","GSM1930139")</f>
        <v>GSM1930139</v>
      </c>
      <c r="I10146" t="s">
        <v>161</v>
      </c>
      <c r="J10146" t="s">
        <v>193</v>
      </c>
      <c r="K10146" t="s">
        <v>19</v>
      </c>
      <c r="L10146" t="s">
        <v>162</v>
      </c>
      <c r="M10146" t="s">
        <v>24</v>
      </c>
      <c r="N10146" t="s">
        <v>22</v>
      </c>
    </row>
    <row r="10147" spans="1:14">
      <c r="A10147" s="4" t="str">
        <f t="shared" si="909"/>
        <v>EXP00339</v>
      </c>
      <c r="B10147" s="4" t="str">
        <f t="shared" si="907"/>
        <v>26667932</v>
      </c>
      <c r="C10147" s="4" t="str">
        <f t="shared" si="908"/>
        <v>GSE74685</v>
      </c>
      <c r="D10147" s="1" t="s">
        <v>447</v>
      </c>
      <c r="E10147" t="s">
        <v>448</v>
      </c>
      <c r="F10147" s="1">
        <v>2</v>
      </c>
      <c r="G10147" s="1" t="s">
        <v>452</v>
      </c>
      <c r="H10147" s="4" t="str">
        <f>HYPERLINK("https://www.ncbi.nlm.nih.gov/geo/query/acc.cgi?acc=GSM1930146","GSM1930146")</f>
        <v>GSM1930146</v>
      </c>
      <c r="I10147" t="s">
        <v>161</v>
      </c>
      <c r="J10147" t="s">
        <v>193</v>
      </c>
      <c r="K10147" t="s">
        <v>19</v>
      </c>
      <c r="L10147" t="s">
        <v>162</v>
      </c>
      <c r="M10147" t="s">
        <v>24</v>
      </c>
      <c r="N10147" t="s">
        <v>22</v>
      </c>
    </row>
    <row r="10148" spans="1:14">
      <c r="A10148" s="4" t="str">
        <f t="shared" si="909"/>
        <v>EXP00339</v>
      </c>
      <c r="B10148" s="4" t="str">
        <f t="shared" si="907"/>
        <v>26667932</v>
      </c>
      <c r="C10148" s="4" t="str">
        <f t="shared" si="908"/>
        <v>GSE74685</v>
      </c>
      <c r="D10148" s="1" t="s">
        <v>447</v>
      </c>
      <c r="E10148" t="s">
        <v>448</v>
      </c>
      <c r="F10148" s="1">
        <v>2</v>
      </c>
      <c r="G10148" s="1" t="s">
        <v>452</v>
      </c>
      <c r="H10148" s="4" t="str">
        <f>HYPERLINK("https://www.ncbi.nlm.nih.gov/geo/query/acc.cgi?acc=GSM1930147","GSM1930147")</f>
        <v>GSM1930147</v>
      </c>
      <c r="I10148" t="s">
        <v>161</v>
      </c>
      <c r="J10148" t="s">
        <v>193</v>
      </c>
      <c r="K10148" t="s">
        <v>19</v>
      </c>
      <c r="L10148" t="s">
        <v>162</v>
      </c>
      <c r="M10148" t="s">
        <v>24</v>
      </c>
      <c r="N10148" t="s">
        <v>22</v>
      </c>
    </row>
    <row r="10149" spans="1:14">
      <c r="A10149" s="4" t="str">
        <f t="shared" si="909"/>
        <v>EXP00339</v>
      </c>
      <c r="B10149" s="4" t="str">
        <f t="shared" si="907"/>
        <v>26667932</v>
      </c>
      <c r="C10149" s="4" t="str">
        <f t="shared" si="908"/>
        <v>GSE74685</v>
      </c>
      <c r="D10149" s="1" t="s">
        <v>447</v>
      </c>
      <c r="E10149" t="s">
        <v>448</v>
      </c>
      <c r="F10149" s="1">
        <v>2</v>
      </c>
      <c r="G10149" s="1" t="s">
        <v>452</v>
      </c>
      <c r="H10149" s="4" t="str">
        <f>HYPERLINK("https://www.ncbi.nlm.nih.gov/geo/query/acc.cgi?acc=GSM1930148","GSM1930148")</f>
        <v>GSM1930148</v>
      </c>
      <c r="I10149" t="s">
        <v>161</v>
      </c>
      <c r="J10149" t="s">
        <v>193</v>
      </c>
      <c r="K10149" t="s">
        <v>19</v>
      </c>
      <c r="L10149" t="s">
        <v>162</v>
      </c>
      <c r="M10149" t="s">
        <v>24</v>
      </c>
      <c r="N10149" t="s">
        <v>22</v>
      </c>
    </row>
    <row r="10150" spans="1:14">
      <c r="A10150" s="4" t="str">
        <f t="shared" si="909"/>
        <v>EXP00339</v>
      </c>
      <c r="B10150" s="4" t="str">
        <f t="shared" si="907"/>
        <v>26667932</v>
      </c>
      <c r="C10150" s="4" t="str">
        <f t="shared" si="908"/>
        <v>GSE74685</v>
      </c>
      <c r="D10150" s="1" t="s">
        <v>447</v>
      </c>
      <c r="E10150" t="s">
        <v>448</v>
      </c>
      <c r="F10150" s="1">
        <v>2</v>
      </c>
      <c r="G10150" s="1" t="s">
        <v>452</v>
      </c>
      <c r="H10150" s="4" t="str">
        <f>HYPERLINK("https://www.ncbi.nlm.nih.gov/geo/query/acc.cgi?acc=GSM1930149","GSM1930149")</f>
        <v>GSM1930149</v>
      </c>
      <c r="I10150" t="s">
        <v>161</v>
      </c>
      <c r="J10150" t="s">
        <v>193</v>
      </c>
      <c r="K10150" t="s">
        <v>19</v>
      </c>
      <c r="L10150" t="s">
        <v>162</v>
      </c>
      <c r="M10150" t="s">
        <v>24</v>
      </c>
      <c r="N10150" t="s">
        <v>22</v>
      </c>
    </row>
    <row r="10151" spans="1:14">
      <c r="A10151" s="4" t="str">
        <f t="shared" si="909"/>
        <v>EXP00339</v>
      </c>
      <c r="B10151" s="4" t="str">
        <f t="shared" si="907"/>
        <v>26667932</v>
      </c>
      <c r="C10151" s="4" t="str">
        <f t="shared" si="908"/>
        <v>GSE74685</v>
      </c>
      <c r="D10151" s="1" t="s">
        <v>447</v>
      </c>
      <c r="E10151" t="s">
        <v>448</v>
      </c>
      <c r="F10151" s="1">
        <v>2</v>
      </c>
      <c r="G10151" s="1" t="s">
        <v>452</v>
      </c>
      <c r="H10151" s="4" t="str">
        <f>HYPERLINK("https://www.ncbi.nlm.nih.gov/geo/query/acc.cgi?acc=GSM1930152","GSM1930152")</f>
        <v>GSM1930152</v>
      </c>
      <c r="I10151" t="s">
        <v>161</v>
      </c>
      <c r="J10151" t="s">
        <v>193</v>
      </c>
      <c r="K10151" t="s">
        <v>19</v>
      </c>
      <c r="L10151" t="s">
        <v>162</v>
      </c>
      <c r="M10151" t="s">
        <v>24</v>
      </c>
      <c r="N10151" t="s">
        <v>22</v>
      </c>
    </row>
    <row r="10152" spans="1:14">
      <c r="A10152" s="4" t="str">
        <f t="shared" si="909"/>
        <v>EXP00339</v>
      </c>
      <c r="B10152" s="4" t="str">
        <f t="shared" si="907"/>
        <v>26667932</v>
      </c>
      <c r="C10152" s="4" t="str">
        <f t="shared" si="908"/>
        <v>GSE74685</v>
      </c>
      <c r="D10152" s="1" t="s">
        <v>447</v>
      </c>
      <c r="E10152" t="s">
        <v>448</v>
      </c>
      <c r="F10152" s="1">
        <v>2</v>
      </c>
      <c r="G10152" s="1" t="s">
        <v>452</v>
      </c>
      <c r="H10152" s="4" t="str">
        <f>HYPERLINK("https://www.ncbi.nlm.nih.gov/geo/query/acc.cgi?acc=GSM1930156","GSM1930156")</f>
        <v>GSM1930156</v>
      </c>
      <c r="I10152" t="s">
        <v>161</v>
      </c>
      <c r="J10152" t="s">
        <v>193</v>
      </c>
      <c r="K10152" t="s">
        <v>19</v>
      </c>
      <c r="L10152" t="s">
        <v>162</v>
      </c>
      <c r="M10152" t="s">
        <v>24</v>
      </c>
      <c r="N10152" t="s">
        <v>22</v>
      </c>
    </row>
    <row r="10153" spans="1:14">
      <c r="A10153" s="4" t="str">
        <f t="shared" si="909"/>
        <v>EXP00339</v>
      </c>
      <c r="B10153" s="4" t="str">
        <f t="shared" si="907"/>
        <v>26667932</v>
      </c>
      <c r="C10153" s="4" t="str">
        <f t="shared" si="908"/>
        <v>GSE74685</v>
      </c>
      <c r="D10153" s="1" t="s">
        <v>447</v>
      </c>
      <c r="E10153" t="s">
        <v>448</v>
      </c>
      <c r="F10153" s="1">
        <v>2</v>
      </c>
      <c r="G10153" s="1" t="s">
        <v>452</v>
      </c>
      <c r="H10153" s="4" t="str">
        <f>HYPERLINK("https://www.ncbi.nlm.nih.gov/geo/query/acc.cgi?acc=GSM1930157","GSM1930157")</f>
        <v>GSM1930157</v>
      </c>
      <c r="I10153" t="s">
        <v>161</v>
      </c>
      <c r="J10153" t="s">
        <v>193</v>
      </c>
      <c r="K10153" t="s">
        <v>19</v>
      </c>
      <c r="L10153" t="s">
        <v>162</v>
      </c>
      <c r="M10153" t="s">
        <v>24</v>
      </c>
      <c r="N10153" t="s">
        <v>22</v>
      </c>
    </row>
    <row r="10154" spans="1:14">
      <c r="A10154" s="4" t="str">
        <f t="shared" si="909"/>
        <v>EXP00339</v>
      </c>
      <c r="B10154" s="4" t="str">
        <f t="shared" si="907"/>
        <v>26667932</v>
      </c>
      <c r="C10154" s="4" t="str">
        <f t="shared" si="908"/>
        <v>GSE74685</v>
      </c>
      <c r="D10154" s="1" t="s">
        <v>447</v>
      </c>
      <c r="E10154" t="s">
        <v>448</v>
      </c>
      <c r="F10154" s="1">
        <v>2</v>
      </c>
      <c r="G10154" s="1" t="s">
        <v>452</v>
      </c>
      <c r="H10154" s="4" t="str">
        <f>HYPERLINK("https://www.ncbi.nlm.nih.gov/geo/query/acc.cgi?acc=GSM1930158","GSM1930158")</f>
        <v>GSM1930158</v>
      </c>
      <c r="I10154" t="s">
        <v>161</v>
      </c>
      <c r="J10154" t="s">
        <v>193</v>
      </c>
      <c r="K10154" t="s">
        <v>19</v>
      </c>
      <c r="L10154" t="s">
        <v>162</v>
      </c>
      <c r="M10154" t="s">
        <v>24</v>
      </c>
      <c r="N10154" t="s">
        <v>22</v>
      </c>
    </row>
    <row r="10155" spans="1:14">
      <c r="A10155" s="4" t="str">
        <f t="shared" si="909"/>
        <v>EXP00339</v>
      </c>
      <c r="B10155" s="4" t="str">
        <f t="shared" si="907"/>
        <v>26667932</v>
      </c>
      <c r="C10155" s="4" t="str">
        <f t="shared" si="908"/>
        <v>GSE74685</v>
      </c>
      <c r="D10155" s="1" t="s">
        <v>447</v>
      </c>
      <c r="E10155" t="s">
        <v>448</v>
      </c>
      <c r="F10155" s="1">
        <v>2</v>
      </c>
      <c r="G10155" s="1" t="s">
        <v>452</v>
      </c>
      <c r="H10155" s="4" t="str">
        <f>HYPERLINK("https://www.ncbi.nlm.nih.gov/geo/query/acc.cgi?acc=GSM1930159","GSM1930159")</f>
        <v>GSM1930159</v>
      </c>
      <c r="I10155" t="s">
        <v>161</v>
      </c>
      <c r="J10155" t="s">
        <v>193</v>
      </c>
      <c r="K10155" t="s">
        <v>19</v>
      </c>
      <c r="L10155" t="s">
        <v>162</v>
      </c>
      <c r="M10155" t="s">
        <v>24</v>
      </c>
      <c r="N10155" t="s">
        <v>22</v>
      </c>
    </row>
    <row r="10156" spans="1:14">
      <c r="A10156" s="4" t="str">
        <f t="shared" ref="A10156:A10178" si="910">HYPERLINK("http://hcmdb.i-sanger.com/experiment/details/experiment_id/EXP00340","EXP00340")</f>
        <v>EXP00340</v>
      </c>
      <c r="B10156" s="4" t="str">
        <f t="shared" si="907"/>
        <v>26667932</v>
      </c>
      <c r="C10156" s="4" t="str">
        <f t="shared" si="908"/>
        <v>GSE74685</v>
      </c>
      <c r="D10156" s="1" t="s">
        <v>447</v>
      </c>
      <c r="E10156" t="s">
        <v>448</v>
      </c>
      <c r="F10156" s="1">
        <v>1</v>
      </c>
      <c r="G10156" s="1" t="s">
        <v>449</v>
      </c>
      <c r="H10156" s="4" t="str">
        <f>HYPERLINK("https://www.ncbi.nlm.nih.gov/geo/query/acc.cgi?acc=GSM1616625","GSM1616625")</f>
        <v>GSM1616625</v>
      </c>
      <c r="I10156" t="s">
        <v>161</v>
      </c>
      <c r="J10156" t="s">
        <v>193</v>
      </c>
      <c r="K10156" t="s">
        <v>19</v>
      </c>
      <c r="L10156" t="s">
        <v>162</v>
      </c>
      <c r="M10156" t="s">
        <v>50</v>
      </c>
      <c r="N10156" t="s">
        <v>22</v>
      </c>
    </row>
    <row r="10157" spans="1:14">
      <c r="A10157" s="4" t="str">
        <f t="shared" si="910"/>
        <v>EXP00340</v>
      </c>
      <c r="B10157" s="4" t="str">
        <f t="shared" si="907"/>
        <v>26667932</v>
      </c>
      <c r="C10157" s="4" t="str">
        <f t="shared" si="908"/>
        <v>GSE74685</v>
      </c>
      <c r="D10157" s="1" t="s">
        <v>447</v>
      </c>
      <c r="E10157" t="s">
        <v>448</v>
      </c>
      <c r="F10157" s="1">
        <v>1</v>
      </c>
      <c r="G10157" s="1" t="s">
        <v>449</v>
      </c>
      <c r="H10157" s="4" t="str">
        <f>HYPERLINK("https://www.ncbi.nlm.nih.gov/geo/query/acc.cgi?acc=GSM1616627","GSM1616627")</f>
        <v>GSM1616627</v>
      </c>
      <c r="I10157" t="s">
        <v>161</v>
      </c>
      <c r="J10157" t="s">
        <v>193</v>
      </c>
      <c r="K10157" t="s">
        <v>19</v>
      </c>
      <c r="L10157" t="s">
        <v>162</v>
      </c>
      <c r="M10157" t="s">
        <v>50</v>
      </c>
      <c r="N10157" t="s">
        <v>22</v>
      </c>
    </row>
    <row r="10158" spans="1:14">
      <c r="A10158" s="4" t="str">
        <f t="shared" si="910"/>
        <v>EXP00340</v>
      </c>
      <c r="B10158" s="4" t="str">
        <f t="shared" si="907"/>
        <v>26667932</v>
      </c>
      <c r="C10158" s="4" t="str">
        <f t="shared" si="908"/>
        <v>GSE74685</v>
      </c>
      <c r="D10158" s="1" t="s">
        <v>447</v>
      </c>
      <c r="E10158" t="s">
        <v>448</v>
      </c>
      <c r="F10158" s="1">
        <v>1</v>
      </c>
      <c r="G10158" s="1" t="s">
        <v>449</v>
      </c>
      <c r="H10158" s="4" t="str">
        <f>HYPERLINK("https://www.ncbi.nlm.nih.gov/geo/query/acc.cgi?acc=GSM1616640","GSM1616640")</f>
        <v>GSM1616640</v>
      </c>
      <c r="I10158" t="s">
        <v>161</v>
      </c>
      <c r="J10158" t="s">
        <v>193</v>
      </c>
      <c r="K10158" t="s">
        <v>19</v>
      </c>
      <c r="L10158" t="s">
        <v>162</v>
      </c>
      <c r="M10158" t="s">
        <v>50</v>
      </c>
      <c r="N10158" t="s">
        <v>22</v>
      </c>
    </row>
    <row r="10159" spans="1:14">
      <c r="A10159" s="4" t="str">
        <f t="shared" si="910"/>
        <v>EXP00340</v>
      </c>
      <c r="B10159" s="4" t="str">
        <f t="shared" si="907"/>
        <v>26667932</v>
      </c>
      <c r="C10159" s="4" t="str">
        <f t="shared" si="908"/>
        <v>GSE74685</v>
      </c>
      <c r="D10159" s="1" t="s">
        <v>447</v>
      </c>
      <c r="E10159" t="s">
        <v>448</v>
      </c>
      <c r="F10159" s="1">
        <v>1</v>
      </c>
      <c r="G10159" s="1" t="s">
        <v>449</v>
      </c>
      <c r="H10159" s="4" t="str">
        <f>HYPERLINK("https://www.ncbi.nlm.nih.gov/geo/query/acc.cgi?acc=GSM1616643","GSM1616643")</f>
        <v>GSM1616643</v>
      </c>
      <c r="I10159" t="s">
        <v>161</v>
      </c>
      <c r="J10159" t="s">
        <v>193</v>
      </c>
      <c r="K10159" t="s">
        <v>19</v>
      </c>
      <c r="L10159" t="s">
        <v>162</v>
      </c>
      <c r="M10159" t="s">
        <v>50</v>
      </c>
      <c r="N10159" t="s">
        <v>22</v>
      </c>
    </row>
    <row r="10160" spans="1:14">
      <c r="A10160" s="4" t="str">
        <f t="shared" si="910"/>
        <v>EXP00340</v>
      </c>
      <c r="B10160" s="4" t="str">
        <f t="shared" si="907"/>
        <v>26667932</v>
      </c>
      <c r="C10160" s="4" t="str">
        <f t="shared" si="908"/>
        <v>GSE74685</v>
      </c>
      <c r="D10160" s="1" t="s">
        <v>447</v>
      </c>
      <c r="E10160" t="s">
        <v>448</v>
      </c>
      <c r="F10160" s="1">
        <v>1</v>
      </c>
      <c r="G10160" s="1" t="s">
        <v>449</v>
      </c>
      <c r="H10160" s="4" t="str">
        <f>HYPERLINK("https://www.ncbi.nlm.nih.gov/geo/query/acc.cgi?acc=GSM1616647","GSM1616647")</f>
        <v>GSM1616647</v>
      </c>
      <c r="I10160" t="s">
        <v>161</v>
      </c>
      <c r="J10160" t="s">
        <v>193</v>
      </c>
      <c r="K10160" t="s">
        <v>19</v>
      </c>
      <c r="L10160" t="s">
        <v>162</v>
      </c>
      <c r="M10160" t="s">
        <v>50</v>
      </c>
      <c r="N10160" t="s">
        <v>22</v>
      </c>
    </row>
    <row r="10161" spans="1:14">
      <c r="A10161" s="4" t="str">
        <f t="shared" si="910"/>
        <v>EXP00340</v>
      </c>
      <c r="B10161" s="4" t="str">
        <f t="shared" si="907"/>
        <v>26667932</v>
      </c>
      <c r="C10161" s="4" t="str">
        <f t="shared" si="908"/>
        <v>GSE74685</v>
      </c>
      <c r="D10161" s="1" t="s">
        <v>447</v>
      </c>
      <c r="E10161" t="s">
        <v>448</v>
      </c>
      <c r="F10161" s="1">
        <v>1</v>
      </c>
      <c r="G10161" s="1" t="s">
        <v>449</v>
      </c>
      <c r="H10161" s="4" t="str">
        <f>HYPERLINK("https://www.ncbi.nlm.nih.gov/geo/query/acc.cgi?acc=GSM1616648","GSM1616648")</f>
        <v>GSM1616648</v>
      </c>
      <c r="I10161" t="s">
        <v>161</v>
      </c>
      <c r="J10161" t="s">
        <v>193</v>
      </c>
      <c r="K10161" t="s">
        <v>19</v>
      </c>
      <c r="L10161" t="s">
        <v>162</v>
      </c>
      <c r="M10161" t="s">
        <v>50</v>
      </c>
      <c r="N10161" t="s">
        <v>22</v>
      </c>
    </row>
    <row r="10162" spans="1:14">
      <c r="A10162" s="4" t="str">
        <f t="shared" si="910"/>
        <v>EXP00340</v>
      </c>
      <c r="B10162" s="4" t="str">
        <f t="shared" si="907"/>
        <v>26667932</v>
      </c>
      <c r="C10162" s="4" t="str">
        <f t="shared" si="908"/>
        <v>GSE74685</v>
      </c>
      <c r="D10162" s="1" t="s">
        <v>447</v>
      </c>
      <c r="E10162" t="s">
        <v>448</v>
      </c>
      <c r="F10162" s="1">
        <v>1</v>
      </c>
      <c r="G10162" s="1" t="s">
        <v>449</v>
      </c>
      <c r="H10162" s="4" t="str">
        <f>HYPERLINK("https://www.ncbi.nlm.nih.gov/geo/query/acc.cgi?acc=GSM1616650","GSM1616650")</f>
        <v>GSM1616650</v>
      </c>
      <c r="I10162" t="s">
        <v>161</v>
      </c>
      <c r="J10162" t="s">
        <v>193</v>
      </c>
      <c r="K10162" t="s">
        <v>19</v>
      </c>
      <c r="L10162" t="s">
        <v>162</v>
      </c>
      <c r="M10162" t="s">
        <v>50</v>
      </c>
      <c r="N10162" t="s">
        <v>22</v>
      </c>
    </row>
    <row r="10163" spans="1:14">
      <c r="A10163" s="4" t="str">
        <f t="shared" si="910"/>
        <v>EXP00340</v>
      </c>
      <c r="B10163" s="4" t="str">
        <f t="shared" si="907"/>
        <v>26667932</v>
      </c>
      <c r="C10163" s="4" t="str">
        <f t="shared" si="908"/>
        <v>GSE74685</v>
      </c>
      <c r="D10163" s="1" t="s">
        <v>447</v>
      </c>
      <c r="E10163" t="s">
        <v>448</v>
      </c>
      <c r="F10163" s="1">
        <v>1</v>
      </c>
      <c r="G10163" s="1" t="s">
        <v>449</v>
      </c>
      <c r="H10163" s="4" t="str">
        <f>HYPERLINK("https://www.ncbi.nlm.nih.gov/geo/query/acc.cgi?acc=GSM1616651","GSM1616651")</f>
        <v>GSM1616651</v>
      </c>
      <c r="I10163" t="s">
        <v>161</v>
      </c>
      <c r="J10163" t="s">
        <v>193</v>
      </c>
      <c r="K10163" t="s">
        <v>19</v>
      </c>
      <c r="L10163" t="s">
        <v>162</v>
      </c>
      <c r="M10163" t="s">
        <v>50</v>
      </c>
      <c r="N10163" t="s">
        <v>22</v>
      </c>
    </row>
    <row r="10164" spans="1:14">
      <c r="A10164" s="4" t="str">
        <f t="shared" si="910"/>
        <v>EXP00340</v>
      </c>
      <c r="B10164" s="4" t="str">
        <f t="shared" si="907"/>
        <v>26667932</v>
      </c>
      <c r="C10164" s="4" t="str">
        <f t="shared" si="908"/>
        <v>GSE74685</v>
      </c>
      <c r="D10164" s="1" t="s">
        <v>447</v>
      </c>
      <c r="E10164" t="s">
        <v>448</v>
      </c>
      <c r="F10164" s="1">
        <v>1</v>
      </c>
      <c r="G10164" s="1" t="s">
        <v>449</v>
      </c>
      <c r="H10164" s="4" t="str">
        <f>HYPERLINK("https://www.ncbi.nlm.nih.gov/geo/query/acc.cgi?acc=GSM1616652","GSM1616652")</f>
        <v>GSM1616652</v>
      </c>
      <c r="I10164" t="s">
        <v>161</v>
      </c>
      <c r="J10164" t="s">
        <v>193</v>
      </c>
      <c r="K10164" t="s">
        <v>19</v>
      </c>
      <c r="L10164" t="s">
        <v>162</v>
      </c>
      <c r="M10164" t="s">
        <v>50</v>
      </c>
      <c r="N10164" t="s">
        <v>22</v>
      </c>
    </row>
    <row r="10165" spans="1:14">
      <c r="A10165" s="4" t="str">
        <f t="shared" si="910"/>
        <v>EXP00340</v>
      </c>
      <c r="B10165" s="4" t="str">
        <f t="shared" si="907"/>
        <v>26667932</v>
      </c>
      <c r="C10165" s="4" t="str">
        <f t="shared" si="908"/>
        <v>GSE74685</v>
      </c>
      <c r="D10165" s="1" t="s">
        <v>447</v>
      </c>
      <c r="E10165" t="s">
        <v>448</v>
      </c>
      <c r="F10165" s="1">
        <v>1</v>
      </c>
      <c r="G10165" s="1" t="s">
        <v>449</v>
      </c>
      <c r="H10165" s="4" t="str">
        <f>HYPERLINK("https://www.ncbi.nlm.nih.gov/geo/query/acc.cgi?acc=GSM1616654","GSM1616654")</f>
        <v>GSM1616654</v>
      </c>
      <c r="I10165" t="s">
        <v>161</v>
      </c>
      <c r="J10165" t="s">
        <v>193</v>
      </c>
      <c r="K10165" t="s">
        <v>19</v>
      </c>
      <c r="L10165" t="s">
        <v>162</v>
      </c>
      <c r="M10165" t="s">
        <v>50</v>
      </c>
      <c r="N10165" t="s">
        <v>22</v>
      </c>
    </row>
    <row r="10166" spans="1:14">
      <c r="A10166" s="4" t="str">
        <f t="shared" si="910"/>
        <v>EXP00340</v>
      </c>
      <c r="B10166" s="4" t="str">
        <f t="shared" si="907"/>
        <v>26667932</v>
      </c>
      <c r="C10166" s="4" t="str">
        <f t="shared" si="908"/>
        <v>GSE74685</v>
      </c>
      <c r="D10166" s="1" t="s">
        <v>447</v>
      </c>
      <c r="E10166" t="s">
        <v>448</v>
      </c>
      <c r="F10166" s="1">
        <v>1</v>
      </c>
      <c r="G10166" s="1" t="s">
        <v>449</v>
      </c>
      <c r="H10166" s="4" t="str">
        <f>HYPERLINK("https://www.ncbi.nlm.nih.gov/geo/query/acc.cgi?acc=GSM1616655","GSM1616655")</f>
        <v>GSM1616655</v>
      </c>
      <c r="I10166" t="s">
        <v>161</v>
      </c>
      <c r="J10166" t="s">
        <v>193</v>
      </c>
      <c r="K10166" t="s">
        <v>19</v>
      </c>
      <c r="L10166" t="s">
        <v>162</v>
      </c>
      <c r="M10166" t="s">
        <v>50</v>
      </c>
      <c r="N10166" t="s">
        <v>22</v>
      </c>
    </row>
    <row r="10167" spans="1:14">
      <c r="A10167" s="4" t="str">
        <f t="shared" si="910"/>
        <v>EXP00340</v>
      </c>
      <c r="B10167" s="4" t="str">
        <f t="shared" si="907"/>
        <v>26667932</v>
      </c>
      <c r="C10167" s="4" t="str">
        <f t="shared" si="908"/>
        <v>GSE74685</v>
      </c>
      <c r="D10167" s="1" t="s">
        <v>447</v>
      </c>
      <c r="E10167" t="s">
        <v>448</v>
      </c>
      <c r="F10167" s="1">
        <v>1</v>
      </c>
      <c r="G10167" s="1" t="s">
        <v>449</v>
      </c>
      <c r="H10167" s="4" t="str">
        <f>HYPERLINK("https://www.ncbi.nlm.nih.gov/geo/query/acc.cgi?acc=GSM1616665","GSM1616665")</f>
        <v>GSM1616665</v>
      </c>
      <c r="I10167" t="s">
        <v>161</v>
      </c>
      <c r="J10167" t="s">
        <v>193</v>
      </c>
      <c r="K10167" t="s">
        <v>19</v>
      </c>
      <c r="L10167" t="s">
        <v>162</v>
      </c>
      <c r="M10167" t="s">
        <v>50</v>
      </c>
      <c r="N10167" t="s">
        <v>22</v>
      </c>
    </row>
    <row r="10168" spans="1:14">
      <c r="A10168" s="4" t="str">
        <f t="shared" si="910"/>
        <v>EXP00340</v>
      </c>
      <c r="B10168" s="4" t="str">
        <f t="shared" si="907"/>
        <v>26667932</v>
      </c>
      <c r="C10168" s="4" t="str">
        <f t="shared" si="908"/>
        <v>GSE74685</v>
      </c>
      <c r="D10168" s="1" t="s">
        <v>447</v>
      </c>
      <c r="E10168" t="s">
        <v>448</v>
      </c>
      <c r="F10168" s="1">
        <v>1</v>
      </c>
      <c r="G10168" s="1" t="s">
        <v>449</v>
      </c>
      <c r="H10168" s="4" t="str">
        <f>HYPERLINK("https://www.ncbi.nlm.nih.gov/geo/query/acc.cgi?acc=GSM1616678","GSM1616678")</f>
        <v>GSM1616678</v>
      </c>
      <c r="I10168" t="s">
        <v>161</v>
      </c>
      <c r="J10168" t="s">
        <v>193</v>
      </c>
      <c r="K10168" t="s">
        <v>19</v>
      </c>
      <c r="L10168" t="s">
        <v>162</v>
      </c>
      <c r="M10168" t="s">
        <v>50</v>
      </c>
      <c r="N10168" t="s">
        <v>22</v>
      </c>
    </row>
    <row r="10169" spans="1:14">
      <c r="A10169" s="4" t="str">
        <f t="shared" si="910"/>
        <v>EXP00340</v>
      </c>
      <c r="B10169" s="4" t="str">
        <f t="shared" si="907"/>
        <v>26667932</v>
      </c>
      <c r="C10169" s="4" t="str">
        <f t="shared" si="908"/>
        <v>GSE74685</v>
      </c>
      <c r="D10169" s="1" t="s">
        <v>447</v>
      </c>
      <c r="E10169" t="s">
        <v>448</v>
      </c>
      <c r="F10169" s="1">
        <v>1</v>
      </c>
      <c r="G10169" s="1" t="s">
        <v>449</v>
      </c>
      <c r="H10169" s="4" t="str">
        <f>HYPERLINK("https://www.ncbi.nlm.nih.gov/geo/query/acc.cgi?acc=GSM1616679","GSM1616679")</f>
        <v>GSM1616679</v>
      </c>
      <c r="I10169" t="s">
        <v>161</v>
      </c>
      <c r="J10169" t="s">
        <v>193</v>
      </c>
      <c r="K10169" t="s">
        <v>19</v>
      </c>
      <c r="L10169" t="s">
        <v>162</v>
      </c>
      <c r="M10169" t="s">
        <v>50</v>
      </c>
      <c r="N10169" t="s">
        <v>22</v>
      </c>
    </row>
    <row r="10170" spans="1:14">
      <c r="A10170" s="4" t="str">
        <f t="shared" si="910"/>
        <v>EXP00340</v>
      </c>
      <c r="B10170" s="4" t="str">
        <f t="shared" si="907"/>
        <v>26667932</v>
      </c>
      <c r="C10170" s="4" t="str">
        <f t="shared" si="908"/>
        <v>GSE74685</v>
      </c>
      <c r="D10170" s="1" t="s">
        <v>447</v>
      </c>
      <c r="E10170" t="s">
        <v>448</v>
      </c>
      <c r="F10170" s="1">
        <v>1</v>
      </c>
      <c r="G10170" s="1" t="s">
        <v>449</v>
      </c>
      <c r="H10170" s="4" t="str">
        <f>HYPERLINK("https://www.ncbi.nlm.nih.gov/geo/query/acc.cgi?acc=GSM1616680","GSM1616680")</f>
        <v>GSM1616680</v>
      </c>
      <c r="I10170" t="s">
        <v>161</v>
      </c>
      <c r="J10170" t="s">
        <v>193</v>
      </c>
      <c r="K10170" t="s">
        <v>19</v>
      </c>
      <c r="L10170" t="s">
        <v>162</v>
      </c>
      <c r="M10170" t="s">
        <v>50</v>
      </c>
      <c r="N10170" t="s">
        <v>22</v>
      </c>
    </row>
    <row r="10171" spans="1:14">
      <c r="A10171" s="4" t="str">
        <f t="shared" si="910"/>
        <v>EXP00340</v>
      </c>
      <c r="B10171" s="4" t="str">
        <f t="shared" si="907"/>
        <v>26667932</v>
      </c>
      <c r="C10171" s="4" t="str">
        <f t="shared" si="908"/>
        <v>GSE74685</v>
      </c>
      <c r="D10171" s="1" t="s">
        <v>447</v>
      </c>
      <c r="E10171" t="s">
        <v>448</v>
      </c>
      <c r="F10171" s="1">
        <v>1</v>
      </c>
      <c r="G10171" s="1" t="s">
        <v>449</v>
      </c>
      <c r="H10171" s="4" t="str">
        <f>HYPERLINK("https://www.ncbi.nlm.nih.gov/geo/query/acc.cgi?acc=GSM1616681","GSM1616681")</f>
        <v>GSM1616681</v>
      </c>
      <c r="I10171" t="s">
        <v>161</v>
      </c>
      <c r="J10171" t="s">
        <v>193</v>
      </c>
      <c r="K10171" t="s">
        <v>19</v>
      </c>
      <c r="L10171" t="s">
        <v>162</v>
      </c>
      <c r="M10171" t="s">
        <v>50</v>
      </c>
      <c r="N10171" t="s">
        <v>22</v>
      </c>
    </row>
    <row r="10172" spans="1:14">
      <c r="A10172" s="4" t="str">
        <f t="shared" si="910"/>
        <v>EXP00340</v>
      </c>
      <c r="B10172" s="4" t="str">
        <f t="shared" si="907"/>
        <v>26667932</v>
      </c>
      <c r="C10172" s="4" t="str">
        <f t="shared" si="908"/>
        <v>GSE74685</v>
      </c>
      <c r="D10172" s="1" t="s">
        <v>447</v>
      </c>
      <c r="E10172" t="s">
        <v>448</v>
      </c>
      <c r="F10172" s="1">
        <v>1</v>
      </c>
      <c r="G10172" s="1" t="s">
        <v>449</v>
      </c>
      <c r="H10172" s="4" t="str">
        <f>HYPERLINK("https://www.ncbi.nlm.nih.gov/geo/query/acc.cgi?acc=GSM1616683","GSM1616683")</f>
        <v>GSM1616683</v>
      </c>
      <c r="I10172" t="s">
        <v>161</v>
      </c>
      <c r="J10172" t="s">
        <v>193</v>
      </c>
      <c r="K10172" t="s">
        <v>19</v>
      </c>
      <c r="L10172" t="s">
        <v>162</v>
      </c>
      <c r="M10172" t="s">
        <v>50</v>
      </c>
      <c r="N10172" t="s">
        <v>22</v>
      </c>
    </row>
    <row r="10173" spans="1:14">
      <c r="A10173" s="4" t="str">
        <f t="shared" si="910"/>
        <v>EXP00340</v>
      </c>
      <c r="B10173" s="4" t="str">
        <f t="shared" si="907"/>
        <v>26667932</v>
      </c>
      <c r="C10173" s="4" t="str">
        <f t="shared" si="908"/>
        <v>GSE74685</v>
      </c>
      <c r="D10173" s="1" t="s">
        <v>447</v>
      </c>
      <c r="E10173" t="s">
        <v>448</v>
      </c>
      <c r="F10173" s="1">
        <v>1</v>
      </c>
      <c r="G10173" s="1" t="s">
        <v>449</v>
      </c>
      <c r="H10173" s="4" t="str">
        <f>HYPERLINK("https://www.ncbi.nlm.nih.gov/geo/query/acc.cgi?acc=GSM1918979","GSM1918979")</f>
        <v>GSM1918979</v>
      </c>
      <c r="I10173" t="s">
        <v>161</v>
      </c>
      <c r="J10173" t="s">
        <v>193</v>
      </c>
      <c r="K10173" t="s">
        <v>19</v>
      </c>
      <c r="L10173" t="s">
        <v>162</v>
      </c>
      <c r="M10173" t="s">
        <v>50</v>
      </c>
      <c r="N10173" t="s">
        <v>22</v>
      </c>
    </row>
    <row r="10174" spans="1:14">
      <c r="A10174" s="4" t="str">
        <f t="shared" si="910"/>
        <v>EXP00340</v>
      </c>
      <c r="B10174" s="4" t="str">
        <f t="shared" si="907"/>
        <v>26667932</v>
      </c>
      <c r="C10174" s="4" t="str">
        <f t="shared" si="908"/>
        <v>GSE74685</v>
      </c>
      <c r="D10174" s="1" t="s">
        <v>447</v>
      </c>
      <c r="E10174" t="s">
        <v>448</v>
      </c>
      <c r="F10174" s="1">
        <v>1</v>
      </c>
      <c r="G10174" s="1" t="s">
        <v>449</v>
      </c>
      <c r="H10174" s="4" t="str">
        <f>HYPERLINK("https://www.ncbi.nlm.nih.gov/geo/query/acc.cgi?acc=GSM1930079","GSM1930079")</f>
        <v>GSM1930079</v>
      </c>
      <c r="I10174" t="s">
        <v>161</v>
      </c>
      <c r="J10174" t="s">
        <v>193</v>
      </c>
      <c r="K10174" t="s">
        <v>19</v>
      </c>
      <c r="L10174" t="s">
        <v>162</v>
      </c>
      <c r="M10174" t="s">
        <v>50</v>
      </c>
      <c r="N10174" t="s">
        <v>22</v>
      </c>
    </row>
    <row r="10175" spans="1:14">
      <c r="A10175" s="4" t="str">
        <f t="shared" si="910"/>
        <v>EXP00340</v>
      </c>
      <c r="B10175" s="4" t="str">
        <f t="shared" si="907"/>
        <v>26667932</v>
      </c>
      <c r="C10175" s="4" t="str">
        <f t="shared" si="908"/>
        <v>GSE74685</v>
      </c>
      <c r="D10175" s="1" t="s">
        <v>447</v>
      </c>
      <c r="E10175" t="s">
        <v>448</v>
      </c>
      <c r="F10175" s="1">
        <v>1</v>
      </c>
      <c r="G10175" s="1" t="s">
        <v>449</v>
      </c>
      <c r="H10175" s="4" t="str">
        <f>HYPERLINK("https://www.ncbi.nlm.nih.gov/geo/query/acc.cgi?acc=GSM1930119","GSM1930119")</f>
        <v>GSM1930119</v>
      </c>
      <c r="I10175" t="s">
        <v>161</v>
      </c>
      <c r="J10175" t="s">
        <v>193</v>
      </c>
      <c r="K10175" t="s">
        <v>19</v>
      </c>
      <c r="L10175" t="s">
        <v>162</v>
      </c>
      <c r="M10175" t="s">
        <v>50</v>
      </c>
      <c r="N10175" t="s">
        <v>22</v>
      </c>
    </row>
    <row r="10176" spans="1:14">
      <c r="A10176" s="4" t="str">
        <f t="shared" si="910"/>
        <v>EXP00340</v>
      </c>
      <c r="B10176" s="4" t="str">
        <f t="shared" si="907"/>
        <v>26667932</v>
      </c>
      <c r="C10176" s="4" t="str">
        <f t="shared" si="908"/>
        <v>GSE74685</v>
      </c>
      <c r="D10176" s="1" t="s">
        <v>447</v>
      </c>
      <c r="E10176" t="s">
        <v>448</v>
      </c>
      <c r="F10176" s="1">
        <v>2</v>
      </c>
      <c r="G10176" s="1" t="s">
        <v>457</v>
      </c>
      <c r="H10176" s="4" t="str">
        <f>HYPERLINK("https://www.ncbi.nlm.nih.gov/geo/query/acc.cgi?acc=GSM1616658","GSM1616658")</f>
        <v>GSM1616658</v>
      </c>
      <c r="I10176" t="s">
        <v>161</v>
      </c>
      <c r="J10176" t="s">
        <v>193</v>
      </c>
      <c r="K10176" t="s">
        <v>19</v>
      </c>
      <c r="L10176" t="s">
        <v>162</v>
      </c>
      <c r="M10176" t="s">
        <v>292</v>
      </c>
      <c r="N10176" t="s">
        <v>22</v>
      </c>
    </row>
    <row r="10177" spans="1:14">
      <c r="A10177" s="4" t="str">
        <f t="shared" si="910"/>
        <v>EXP00340</v>
      </c>
      <c r="B10177" s="4" t="str">
        <f t="shared" ref="B10177:B10240" si="911">HYPERLINK("https://www.ncbi.nlm.nih.gov/pubmed/26667932","26667932")</f>
        <v>26667932</v>
      </c>
      <c r="C10177" s="4" t="str">
        <f t="shared" ref="C10177:C10240" si="912">HYPERLINK("https://www.ncbi.nlm.nih.gov/geo/query/acc.cgi?acc=GSE74685","GSE74685")</f>
        <v>GSE74685</v>
      </c>
      <c r="D10177" s="1" t="s">
        <v>447</v>
      </c>
      <c r="E10177" t="s">
        <v>448</v>
      </c>
      <c r="F10177" s="1">
        <v>2</v>
      </c>
      <c r="G10177" s="1" t="s">
        <v>457</v>
      </c>
      <c r="H10177" s="4" t="str">
        <f>HYPERLINK("https://www.ncbi.nlm.nih.gov/geo/query/acc.cgi?acc=GSM1918980","GSM1918980")</f>
        <v>GSM1918980</v>
      </c>
      <c r="I10177" t="s">
        <v>161</v>
      </c>
      <c r="J10177" t="s">
        <v>193</v>
      </c>
      <c r="K10177" t="s">
        <v>19</v>
      </c>
      <c r="L10177" t="s">
        <v>162</v>
      </c>
      <c r="M10177" t="s">
        <v>292</v>
      </c>
      <c r="N10177" t="s">
        <v>22</v>
      </c>
    </row>
    <row r="10178" spans="1:14">
      <c r="A10178" s="4" t="str">
        <f t="shared" si="910"/>
        <v>EXP00340</v>
      </c>
      <c r="B10178" s="4" t="str">
        <f t="shared" si="911"/>
        <v>26667932</v>
      </c>
      <c r="C10178" s="4" t="str">
        <f t="shared" si="912"/>
        <v>GSE74685</v>
      </c>
      <c r="D10178" s="1" t="s">
        <v>447</v>
      </c>
      <c r="E10178" t="s">
        <v>448</v>
      </c>
      <c r="F10178" s="1">
        <v>2</v>
      </c>
      <c r="G10178" s="1" t="s">
        <v>457</v>
      </c>
      <c r="H10178" s="4" t="str">
        <f>HYPERLINK("https://www.ncbi.nlm.nih.gov/geo/query/acc.cgi?acc=GSM1930093","GSM1930093")</f>
        <v>GSM1930093</v>
      </c>
      <c r="I10178" t="s">
        <v>161</v>
      </c>
      <c r="J10178" t="s">
        <v>193</v>
      </c>
      <c r="K10178" t="s">
        <v>19</v>
      </c>
      <c r="L10178" t="s">
        <v>162</v>
      </c>
      <c r="M10178" t="s">
        <v>292</v>
      </c>
      <c r="N10178" t="s">
        <v>22</v>
      </c>
    </row>
    <row r="10179" spans="1:14">
      <c r="A10179" s="4" t="str">
        <f t="shared" ref="A10179:A10202" si="913">HYPERLINK("http://hcmdb.i-sanger.com/experiment/details/experiment_id/EXP00341","EXP00341")</f>
        <v>EXP00341</v>
      </c>
      <c r="B10179" s="4" t="str">
        <f t="shared" si="911"/>
        <v>26667932</v>
      </c>
      <c r="C10179" s="4" t="str">
        <f t="shared" si="912"/>
        <v>GSE74685</v>
      </c>
      <c r="D10179" s="1" t="s">
        <v>447</v>
      </c>
      <c r="E10179" t="s">
        <v>448</v>
      </c>
      <c r="F10179" s="1">
        <v>1</v>
      </c>
      <c r="G10179" s="1" t="s">
        <v>449</v>
      </c>
      <c r="H10179" s="4" t="str">
        <f>HYPERLINK("https://www.ncbi.nlm.nih.gov/geo/query/acc.cgi?acc=GSM1616625","GSM1616625")</f>
        <v>GSM1616625</v>
      </c>
      <c r="I10179" t="s">
        <v>161</v>
      </c>
      <c r="J10179" t="s">
        <v>193</v>
      </c>
      <c r="K10179" t="s">
        <v>19</v>
      </c>
      <c r="L10179" t="s">
        <v>162</v>
      </c>
      <c r="M10179" t="s">
        <v>50</v>
      </c>
      <c r="N10179" t="s">
        <v>22</v>
      </c>
    </row>
    <row r="10180" spans="1:14">
      <c r="A10180" s="4" t="str">
        <f t="shared" si="913"/>
        <v>EXP00341</v>
      </c>
      <c r="B10180" s="4" t="str">
        <f t="shared" si="911"/>
        <v>26667932</v>
      </c>
      <c r="C10180" s="4" t="str">
        <f t="shared" si="912"/>
        <v>GSE74685</v>
      </c>
      <c r="D10180" s="1" t="s">
        <v>447</v>
      </c>
      <c r="E10180" t="s">
        <v>448</v>
      </c>
      <c r="F10180" s="1">
        <v>1</v>
      </c>
      <c r="G10180" s="1" t="s">
        <v>449</v>
      </c>
      <c r="H10180" s="4" t="str">
        <f>HYPERLINK("https://www.ncbi.nlm.nih.gov/geo/query/acc.cgi?acc=GSM1616627","GSM1616627")</f>
        <v>GSM1616627</v>
      </c>
      <c r="I10180" t="s">
        <v>161</v>
      </c>
      <c r="J10180" t="s">
        <v>193</v>
      </c>
      <c r="K10180" t="s">
        <v>19</v>
      </c>
      <c r="L10180" t="s">
        <v>162</v>
      </c>
      <c r="M10180" t="s">
        <v>50</v>
      </c>
      <c r="N10180" t="s">
        <v>22</v>
      </c>
    </row>
    <row r="10181" spans="1:14">
      <c r="A10181" s="4" t="str">
        <f t="shared" si="913"/>
        <v>EXP00341</v>
      </c>
      <c r="B10181" s="4" t="str">
        <f t="shared" si="911"/>
        <v>26667932</v>
      </c>
      <c r="C10181" s="4" t="str">
        <f t="shared" si="912"/>
        <v>GSE74685</v>
      </c>
      <c r="D10181" s="1" t="s">
        <v>447</v>
      </c>
      <c r="E10181" t="s">
        <v>448</v>
      </c>
      <c r="F10181" s="1">
        <v>1</v>
      </c>
      <c r="G10181" s="1" t="s">
        <v>449</v>
      </c>
      <c r="H10181" s="4" t="str">
        <f>HYPERLINK("https://www.ncbi.nlm.nih.gov/geo/query/acc.cgi?acc=GSM1616640","GSM1616640")</f>
        <v>GSM1616640</v>
      </c>
      <c r="I10181" t="s">
        <v>161</v>
      </c>
      <c r="J10181" t="s">
        <v>193</v>
      </c>
      <c r="K10181" t="s">
        <v>19</v>
      </c>
      <c r="L10181" t="s">
        <v>162</v>
      </c>
      <c r="M10181" t="s">
        <v>50</v>
      </c>
      <c r="N10181" t="s">
        <v>22</v>
      </c>
    </row>
    <row r="10182" spans="1:14">
      <c r="A10182" s="4" t="str">
        <f t="shared" si="913"/>
        <v>EXP00341</v>
      </c>
      <c r="B10182" s="4" t="str">
        <f t="shared" si="911"/>
        <v>26667932</v>
      </c>
      <c r="C10182" s="4" t="str">
        <f t="shared" si="912"/>
        <v>GSE74685</v>
      </c>
      <c r="D10182" s="1" t="s">
        <v>447</v>
      </c>
      <c r="E10182" t="s">
        <v>448</v>
      </c>
      <c r="F10182" s="1">
        <v>1</v>
      </c>
      <c r="G10182" s="1" t="s">
        <v>449</v>
      </c>
      <c r="H10182" s="4" t="str">
        <f>HYPERLINK("https://www.ncbi.nlm.nih.gov/geo/query/acc.cgi?acc=GSM1616643","GSM1616643")</f>
        <v>GSM1616643</v>
      </c>
      <c r="I10182" t="s">
        <v>161</v>
      </c>
      <c r="J10182" t="s">
        <v>193</v>
      </c>
      <c r="K10182" t="s">
        <v>19</v>
      </c>
      <c r="L10182" t="s">
        <v>162</v>
      </c>
      <c r="M10182" t="s">
        <v>50</v>
      </c>
      <c r="N10182" t="s">
        <v>22</v>
      </c>
    </row>
    <row r="10183" spans="1:14">
      <c r="A10183" s="4" t="str">
        <f t="shared" si="913"/>
        <v>EXP00341</v>
      </c>
      <c r="B10183" s="4" t="str">
        <f t="shared" si="911"/>
        <v>26667932</v>
      </c>
      <c r="C10183" s="4" t="str">
        <f t="shared" si="912"/>
        <v>GSE74685</v>
      </c>
      <c r="D10183" s="1" t="s">
        <v>447</v>
      </c>
      <c r="E10183" t="s">
        <v>448</v>
      </c>
      <c r="F10183" s="1">
        <v>1</v>
      </c>
      <c r="G10183" s="1" t="s">
        <v>449</v>
      </c>
      <c r="H10183" s="4" t="str">
        <f>HYPERLINK("https://www.ncbi.nlm.nih.gov/geo/query/acc.cgi?acc=GSM1616647","GSM1616647")</f>
        <v>GSM1616647</v>
      </c>
      <c r="I10183" t="s">
        <v>161</v>
      </c>
      <c r="J10183" t="s">
        <v>193</v>
      </c>
      <c r="K10183" t="s">
        <v>19</v>
      </c>
      <c r="L10183" t="s">
        <v>162</v>
      </c>
      <c r="M10183" t="s">
        <v>50</v>
      </c>
      <c r="N10183" t="s">
        <v>22</v>
      </c>
    </row>
    <row r="10184" spans="1:14">
      <c r="A10184" s="4" t="str">
        <f t="shared" si="913"/>
        <v>EXP00341</v>
      </c>
      <c r="B10184" s="4" t="str">
        <f t="shared" si="911"/>
        <v>26667932</v>
      </c>
      <c r="C10184" s="4" t="str">
        <f t="shared" si="912"/>
        <v>GSE74685</v>
      </c>
      <c r="D10184" s="1" t="s">
        <v>447</v>
      </c>
      <c r="E10184" t="s">
        <v>448</v>
      </c>
      <c r="F10184" s="1">
        <v>1</v>
      </c>
      <c r="G10184" s="1" t="s">
        <v>449</v>
      </c>
      <c r="H10184" s="4" t="str">
        <f>HYPERLINK("https://www.ncbi.nlm.nih.gov/geo/query/acc.cgi?acc=GSM1616648","GSM1616648")</f>
        <v>GSM1616648</v>
      </c>
      <c r="I10184" t="s">
        <v>161</v>
      </c>
      <c r="J10184" t="s">
        <v>193</v>
      </c>
      <c r="K10184" t="s">
        <v>19</v>
      </c>
      <c r="L10184" t="s">
        <v>162</v>
      </c>
      <c r="M10184" t="s">
        <v>50</v>
      </c>
      <c r="N10184" t="s">
        <v>22</v>
      </c>
    </row>
    <row r="10185" spans="1:14">
      <c r="A10185" s="4" t="str">
        <f t="shared" si="913"/>
        <v>EXP00341</v>
      </c>
      <c r="B10185" s="4" t="str">
        <f t="shared" si="911"/>
        <v>26667932</v>
      </c>
      <c r="C10185" s="4" t="str">
        <f t="shared" si="912"/>
        <v>GSE74685</v>
      </c>
      <c r="D10185" s="1" t="s">
        <v>447</v>
      </c>
      <c r="E10185" t="s">
        <v>448</v>
      </c>
      <c r="F10185" s="1">
        <v>1</v>
      </c>
      <c r="G10185" s="1" t="s">
        <v>449</v>
      </c>
      <c r="H10185" s="4" t="str">
        <f>HYPERLINK("https://www.ncbi.nlm.nih.gov/geo/query/acc.cgi?acc=GSM1616650","GSM1616650")</f>
        <v>GSM1616650</v>
      </c>
      <c r="I10185" t="s">
        <v>161</v>
      </c>
      <c r="J10185" t="s">
        <v>193</v>
      </c>
      <c r="K10185" t="s">
        <v>19</v>
      </c>
      <c r="L10185" t="s">
        <v>162</v>
      </c>
      <c r="M10185" t="s">
        <v>50</v>
      </c>
      <c r="N10185" t="s">
        <v>22</v>
      </c>
    </row>
    <row r="10186" spans="1:14">
      <c r="A10186" s="4" t="str">
        <f t="shared" si="913"/>
        <v>EXP00341</v>
      </c>
      <c r="B10186" s="4" t="str">
        <f t="shared" si="911"/>
        <v>26667932</v>
      </c>
      <c r="C10186" s="4" t="str">
        <f t="shared" si="912"/>
        <v>GSE74685</v>
      </c>
      <c r="D10186" s="1" t="s">
        <v>447</v>
      </c>
      <c r="E10186" t="s">
        <v>448</v>
      </c>
      <c r="F10186" s="1">
        <v>1</v>
      </c>
      <c r="G10186" s="1" t="s">
        <v>449</v>
      </c>
      <c r="H10186" s="4" t="str">
        <f>HYPERLINK("https://www.ncbi.nlm.nih.gov/geo/query/acc.cgi?acc=GSM1616651","GSM1616651")</f>
        <v>GSM1616651</v>
      </c>
      <c r="I10186" t="s">
        <v>161</v>
      </c>
      <c r="J10186" t="s">
        <v>193</v>
      </c>
      <c r="K10186" t="s">
        <v>19</v>
      </c>
      <c r="L10186" t="s">
        <v>162</v>
      </c>
      <c r="M10186" t="s">
        <v>50</v>
      </c>
      <c r="N10186" t="s">
        <v>22</v>
      </c>
    </row>
    <row r="10187" spans="1:14">
      <c r="A10187" s="4" t="str">
        <f t="shared" si="913"/>
        <v>EXP00341</v>
      </c>
      <c r="B10187" s="4" t="str">
        <f t="shared" si="911"/>
        <v>26667932</v>
      </c>
      <c r="C10187" s="4" t="str">
        <f t="shared" si="912"/>
        <v>GSE74685</v>
      </c>
      <c r="D10187" s="1" t="s">
        <v>447</v>
      </c>
      <c r="E10187" t="s">
        <v>448</v>
      </c>
      <c r="F10187" s="1">
        <v>1</v>
      </c>
      <c r="G10187" s="1" t="s">
        <v>449</v>
      </c>
      <c r="H10187" s="4" t="str">
        <f>HYPERLINK("https://www.ncbi.nlm.nih.gov/geo/query/acc.cgi?acc=GSM1616652","GSM1616652")</f>
        <v>GSM1616652</v>
      </c>
      <c r="I10187" t="s">
        <v>161</v>
      </c>
      <c r="J10187" t="s">
        <v>193</v>
      </c>
      <c r="K10187" t="s">
        <v>19</v>
      </c>
      <c r="L10187" t="s">
        <v>162</v>
      </c>
      <c r="M10187" t="s">
        <v>50</v>
      </c>
      <c r="N10187" t="s">
        <v>22</v>
      </c>
    </row>
    <row r="10188" spans="1:14">
      <c r="A10188" s="4" t="str">
        <f t="shared" si="913"/>
        <v>EXP00341</v>
      </c>
      <c r="B10188" s="4" t="str">
        <f t="shared" si="911"/>
        <v>26667932</v>
      </c>
      <c r="C10188" s="4" t="str">
        <f t="shared" si="912"/>
        <v>GSE74685</v>
      </c>
      <c r="D10188" s="1" t="s">
        <v>447</v>
      </c>
      <c r="E10188" t="s">
        <v>448</v>
      </c>
      <c r="F10188" s="1">
        <v>1</v>
      </c>
      <c r="G10188" s="1" t="s">
        <v>449</v>
      </c>
      <c r="H10188" s="4" t="str">
        <f>HYPERLINK("https://www.ncbi.nlm.nih.gov/geo/query/acc.cgi?acc=GSM1616654","GSM1616654")</f>
        <v>GSM1616654</v>
      </c>
      <c r="I10188" t="s">
        <v>161</v>
      </c>
      <c r="J10188" t="s">
        <v>193</v>
      </c>
      <c r="K10188" t="s">
        <v>19</v>
      </c>
      <c r="L10188" t="s">
        <v>162</v>
      </c>
      <c r="M10188" t="s">
        <v>50</v>
      </c>
      <c r="N10188" t="s">
        <v>22</v>
      </c>
    </row>
    <row r="10189" spans="1:14">
      <c r="A10189" s="4" t="str">
        <f t="shared" si="913"/>
        <v>EXP00341</v>
      </c>
      <c r="B10189" s="4" t="str">
        <f t="shared" si="911"/>
        <v>26667932</v>
      </c>
      <c r="C10189" s="4" t="str">
        <f t="shared" si="912"/>
        <v>GSE74685</v>
      </c>
      <c r="D10189" s="1" t="s">
        <v>447</v>
      </c>
      <c r="E10189" t="s">
        <v>448</v>
      </c>
      <c r="F10189" s="1">
        <v>1</v>
      </c>
      <c r="G10189" s="1" t="s">
        <v>449</v>
      </c>
      <c r="H10189" s="4" t="str">
        <f>HYPERLINK("https://www.ncbi.nlm.nih.gov/geo/query/acc.cgi?acc=GSM1616655","GSM1616655")</f>
        <v>GSM1616655</v>
      </c>
      <c r="I10189" t="s">
        <v>161</v>
      </c>
      <c r="J10189" t="s">
        <v>193</v>
      </c>
      <c r="K10189" t="s">
        <v>19</v>
      </c>
      <c r="L10189" t="s">
        <v>162</v>
      </c>
      <c r="M10189" t="s">
        <v>50</v>
      </c>
      <c r="N10189" t="s">
        <v>22</v>
      </c>
    </row>
    <row r="10190" spans="1:14">
      <c r="A10190" s="4" t="str">
        <f t="shared" si="913"/>
        <v>EXP00341</v>
      </c>
      <c r="B10190" s="4" t="str">
        <f t="shared" si="911"/>
        <v>26667932</v>
      </c>
      <c r="C10190" s="4" t="str">
        <f t="shared" si="912"/>
        <v>GSE74685</v>
      </c>
      <c r="D10190" s="1" t="s">
        <v>447</v>
      </c>
      <c r="E10190" t="s">
        <v>448</v>
      </c>
      <c r="F10190" s="1">
        <v>1</v>
      </c>
      <c r="G10190" s="1" t="s">
        <v>449</v>
      </c>
      <c r="H10190" s="4" t="str">
        <f>HYPERLINK("https://www.ncbi.nlm.nih.gov/geo/query/acc.cgi?acc=GSM1616665","GSM1616665")</f>
        <v>GSM1616665</v>
      </c>
      <c r="I10190" t="s">
        <v>161</v>
      </c>
      <c r="J10190" t="s">
        <v>193</v>
      </c>
      <c r="K10190" t="s">
        <v>19</v>
      </c>
      <c r="L10190" t="s">
        <v>162</v>
      </c>
      <c r="M10190" t="s">
        <v>50</v>
      </c>
      <c r="N10190" t="s">
        <v>22</v>
      </c>
    </row>
    <row r="10191" spans="1:14">
      <c r="A10191" s="4" t="str">
        <f t="shared" si="913"/>
        <v>EXP00341</v>
      </c>
      <c r="B10191" s="4" t="str">
        <f t="shared" si="911"/>
        <v>26667932</v>
      </c>
      <c r="C10191" s="4" t="str">
        <f t="shared" si="912"/>
        <v>GSE74685</v>
      </c>
      <c r="D10191" s="1" t="s">
        <v>447</v>
      </c>
      <c r="E10191" t="s">
        <v>448</v>
      </c>
      <c r="F10191" s="1">
        <v>1</v>
      </c>
      <c r="G10191" s="1" t="s">
        <v>449</v>
      </c>
      <c r="H10191" s="4" t="str">
        <f>HYPERLINK("https://www.ncbi.nlm.nih.gov/geo/query/acc.cgi?acc=GSM1616678","GSM1616678")</f>
        <v>GSM1616678</v>
      </c>
      <c r="I10191" t="s">
        <v>161</v>
      </c>
      <c r="J10191" t="s">
        <v>193</v>
      </c>
      <c r="K10191" t="s">
        <v>19</v>
      </c>
      <c r="L10191" t="s">
        <v>162</v>
      </c>
      <c r="M10191" t="s">
        <v>50</v>
      </c>
      <c r="N10191" t="s">
        <v>22</v>
      </c>
    </row>
    <row r="10192" spans="1:14">
      <c r="A10192" s="4" t="str">
        <f t="shared" si="913"/>
        <v>EXP00341</v>
      </c>
      <c r="B10192" s="4" t="str">
        <f t="shared" si="911"/>
        <v>26667932</v>
      </c>
      <c r="C10192" s="4" t="str">
        <f t="shared" si="912"/>
        <v>GSE74685</v>
      </c>
      <c r="D10192" s="1" t="s">
        <v>447</v>
      </c>
      <c r="E10192" t="s">
        <v>448</v>
      </c>
      <c r="F10192" s="1">
        <v>1</v>
      </c>
      <c r="G10192" s="1" t="s">
        <v>449</v>
      </c>
      <c r="H10192" s="4" t="str">
        <f>HYPERLINK("https://www.ncbi.nlm.nih.gov/geo/query/acc.cgi?acc=GSM1616679","GSM1616679")</f>
        <v>GSM1616679</v>
      </c>
      <c r="I10192" t="s">
        <v>161</v>
      </c>
      <c r="J10192" t="s">
        <v>193</v>
      </c>
      <c r="K10192" t="s">
        <v>19</v>
      </c>
      <c r="L10192" t="s">
        <v>162</v>
      </c>
      <c r="M10192" t="s">
        <v>50</v>
      </c>
      <c r="N10192" t="s">
        <v>22</v>
      </c>
    </row>
    <row r="10193" spans="1:14">
      <c r="A10193" s="4" t="str">
        <f t="shared" si="913"/>
        <v>EXP00341</v>
      </c>
      <c r="B10193" s="4" t="str">
        <f t="shared" si="911"/>
        <v>26667932</v>
      </c>
      <c r="C10193" s="4" t="str">
        <f t="shared" si="912"/>
        <v>GSE74685</v>
      </c>
      <c r="D10193" s="1" t="s">
        <v>447</v>
      </c>
      <c r="E10193" t="s">
        <v>448</v>
      </c>
      <c r="F10193" s="1">
        <v>1</v>
      </c>
      <c r="G10193" s="1" t="s">
        <v>449</v>
      </c>
      <c r="H10193" s="4" t="str">
        <f>HYPERLINK("https://www.ncbi.nlm.nih.gov/geo/query/acc.cgi?acc=GSM1616680","GSM1616680")</f>
        <v>GSM1616680</v>
      </c>
      <c r="I10193" t="s">
        <v>161</v>
      </c>
      <c r="J10193" t="s">
        <v>193</v>
      </c>
      <c r="K10193" t="s">
        <v>19</v>
      </c>
      <c r="L10193" t="s">
        <v>162</v>
      </c>
      <c r="M10193" t="s">
        <v>50</v>
      </c>
      <c r="N10193" t="s">
        <v>22</v>
      </c>
    </row>
    <row r="10194" spans="1:14">
      <c r="A10194" s="4" t="str">
        <f t="shared" si="913"/>
        <v>EXP00341</v>
      </c>
      <c r="B10194" s="4" t="str">
        <f t="shared" si="911"/>
        <v>26667932</v>
      </c>
      <c r="C10194" s="4" t="str">
        <f t="shared" si="912"/>
        <v>GSE74685</v>
      </c>
      <c r="D10194" s="1" t="s">
        <v>447</v>
      </c>
      <c r="E10194" t="s">
        <v>448</v>
      </c>
      <c r="F10194" s="1">
        <v>1</v>
      </c>
      <c r="G10194" s="1" t="s">
        <v>449</v>
      </c>
      <c r="H10194" s="4" t="str">
        <f>HYPERLINK("https://www.ncbi.nlm.nih.gov/geo/query/acc.cgi?acc=GSM1616681","GSM1616681")</f>
        <v>GSM1616681</v>
      </c>
      <c r="I10194" t="s">
        <v>161</v>
      </c>
      <c r="J10194" t="s">
        <v>193</v>
      </c>
      <c r="K10194" t="s">
        <v>19</v>
      </c>
      <c r="L10194" t="s">
        <v>162</v>
      </c>
      <c r="M10194" t="s">
        <v>50</v>
      </c>
      <c r="N10194" t="s">
        <v>22</v>
      </c>
    </row>
    <row r="10195" spans="1:14">
      <c r="A10195" s="4" t="str">
        <f t="shared" si="913"/>
        <v>EXP00341</v>
      </c>
      <c r="B10195" s="4" t="str">
        <f t="shared" si="911"/>
        <v>26667932</v>
      </c>
      <c r="C10195" s="4" t="str">
        <f t="shared" si="912"/>
        <v>GSE74685</v>
      </c>
      <c r="D10195" s="1" t="s">
        <v>447</v>
      </c>
      <c r="E10195" t="s">
        <v>448</v>
      </c>
      <c r="F10195" s="1">
        <v>1</v>
      </c>
      <c r="G10195" s="1" t="s">
        <v>449</v>
      </c>
      <c r="H10195" s="4" t="str">
        <f>HYPERLINK("https://www.ncbi.nlm.nih.gov/geo/query/acc.cgi?acc=GSM1616683","GSM1616683")</f>
        <v>GSM1616683</v>
      </c>
      <c r="I10195" t="s">
        <v>161</v>
      </c>
      <c r="J10195" t="s">
        <v>193</v>
      </c>
      <c r="K10195" t="s">
        <v>19</v>
      </c>
      <c r="L10195" t="s">
        <v>162</v>
      </c>
      <c r="M10195" t="s">
        <v>50</v>
      </c>
      <c r="N10195" t="s">
        <v>22</v>
      </c>
    </row>
    <row r="10196" spans="1:14">
      <c r="A10196" s="4" t="str">
        <f t="shared" si="913"/>
        <v>EXP00341</v>
      </c>
      <c r="B10196" s="4" t="str">
        <f t="shared" si="911"/>
        <v>26667932</v>
      </c>
      <c r="C10196" s="4" t="str">
        <f t="shared" si="912"/>
        <v>GSE74685</v>
      </c>
      <c r="D10196" s="1" t="s">
        <v>447</v>
      </c>
      <c r="E10196" t="s">
        <v>448</v>
      </c>
      <c r="F10196" s="1">
        <v>1</v>
      </c>
      <c r="G10196" s="1" t="s">
        <v>449</v>
      </c>
      <c r="H10196" s="4" t="str">
        <f>HYPERLINK("https://www.ncbi.nlm.nih.gov/geo/query/acc.cgi?acc=GSM1918979","GSM1918979")</f>
        <v>GSM1918979</v>
      </c>
      <c r="I10196" t="s">
        <v>161</v>
      </c>
      <c r="J10196" t="s">
        <v>193</v>
      </c>
      <c r="K10196" t="s">
        <v>19</v>
      </c>
      <c r="L10196" t="s">
        <v>162</v>
      </c>
      <c r="M10196" t="s">
        <v>50</v>
      </c>
      <c r="N10196" t="s">
        <v>22</v>
      </c>
    </row>
    <row r="10197" spans="1:14">
      <c r="A10197" s="4" t="str">
        <f t="shared" si="913"/>
        <v>EXP00341</v>
      </c>
      <c r="B10197" s="4" t="str">
        <f t="shared" si="911"/>
        <v>26667932</v>
      </c>
      <c r="C10197" s="4" t="str">
        <f t="shared" si="912"/>
        <v>GSE74685</v>
      </c>
      <c r="D10197" s="1" t="s">
        <v>447</v>
      </c>
      <c r="E10197" t="s">
        <v>448</v>
      </c>
      <c r="F10197" s="1">
        <v>1</v>
      </c>
      <c r="G10197" s="1" t="s">
        <v>449</v>
      </c>
      <c r="H10197" s="4" t="str">
        <f>HYPERLINK("https://www.ncbi.nlm.nih.gov/geo/query/acc.cgi?acc=GSM1930079","GSM1930079")</f>
        <v>GSM1930079</v>
      </c>
      <c r="I10197" t="s">
        <v>161</v>
      </c>
      <c r="J10197" t="s">
        <v>193</v>
      </c>
      <c r="K10197" t="s">
        <v>19</v>
      </c>
      <c r="L10197" t="s">
        <v>162</v>
      </c>
      <c r="M10197" t="s">
        <v>50</v>
      </c>
      <c r="N10197" t="s">
        <v>22</v>
      </c>
    </row>
    <row r="10198" spans="1:14">
      <c r="A10198" s="4" t="str">
        <f t="shared" si="913"/>
        <v>EXP00341</v>
      </c>
      <c r="B10198" s="4" t="str">
        <f t="shared" si="911"/>
        <v>26667932</v>
      </c>
      <c r="C10198" s="4" t="str">
        <f t="shared" si="912"/>
        <v>GSE74685</v>
      </c>
      <c r="D10198" s="1" t="s">
        <v>447</v>
      </c>
      <c r="E10198" t="s">
        <v>448</v>
      </c>
      <c r="F10198" s="1">
        <v>1</v>
      </c>
      <c r="G10198" s="1" t="s">
        <v>449</v>
      </c>
      <c r="H10198" s="4" t="str">
        <f>HYPERLINK("https://www.ncbi.nlm.nih.gov/geo/query/acc.cgi?acc=GSM1930119","GSM1930119")</f>
        <v>GSM1930119</v>
      </c>
      <c r="I10198" t="s">
        <v>161</v>
      </c>
      <c r="J10198" t="s">
        <v>193</v>
      </c>
      <c r="K10198" t="s">
        <v>19</v>
      </c>
      <c r="L10198" t="s">
        <v>162</v>
      </c>
      <c r="M10198" t="s">
        <v>50</v>
      </c>
      <c r="N10198" t="s">
        <v>22</v>
      </c>
    </row>
    <row r="10199" spans="1:14">
      <c r="A10199" s="4" t="str">
        <f t="shared" si="913"/>
        <v>EXP00341</v>
      </c>
      <c r="B10199" s="4" t="str">
        <f t="shared" si="911"/>
        <v>26667932</v>
      </c>
      <c r="C10199" s="4" t="str">
        <f t="shared" si="912"/>
        <v>GSE74685</v>
      </c>
      <c r="D10199" s="1" t="s">
        <v>447</v>
      </c>
      <c r="E10199" t="s">
        <v>448</v>
      </c>
      <c r="F10199" s="1">
        <v>2</v>
      </c>
      <c r="G10199" s="1" t="s">
        <v>453</v>
      </c>
      <c r="H10199" s="4" t="str">
        <f>HYPERLINK("https://www.ncbi.nlm.nih.gov/geo/query/acc.cgi?acc=GSM1616630","GSM1616630")</f>
        <v>GSM1616630</v>
      </c>
      <c r="I10199" t="s">
        <v>161</v>
      </c>
      <c r="J10199" t="s">
        <v>193</v>
      </c>
      <c r="K10199" t="s">
        <v>19</v>
      </c>
      <c r="L10199" t="s">
        <v>162</v>
      </c>
      <c r="M10199" t="s">
        <v>454</v>
      </c>
      <c r="N10199" t="s">
        <v>22</v>
      </c>
    </row>
    <row r="10200" spans="1:14">
      <c r="A10200" s="4" t="str">
        <f t="shared" si="913"/>
        <v>EXP00341</v>
      </c>
      <c r="B10200" s="4" t="str">
        <f t="shared" si="911"/>
        <v>26667932</v>
      </c>
      <c r="C10200" s="4" t="str">
        <f t="shared" si="912"/>
        <v>GSE74685</v>
      </c>
      <c r="D10200" s="1" t="s">
        <v>447</v>
      </c>
      <c r="E10200" t="s">
        <v>448</v>
      </c>
      <c r="F10200" s="1">
        <v>2</v>
      </c>
      <c r="G10200" s="1" t="s">
        <v>453</v>
      </c>
      <c r="H10200" s="4" t="str">
        <f>HYPERLINK("https://www.ncbi.nlm.nih.gov/geo/query/acc.cgi?acc=GSM1616631","GSM1616631")</f>
        <v>GSM1616631</v>
      </c>
      <c r="I10200" t="s">
        <v>161</v>
      </c>
      <c r="J10200" t="s">
        <v>193</v>
      </c>
      <c r="K10200" t="s">
        <v>19</v>
      </c>
      <c r="L10200" t="s">
        <v>162</v>
      </c>
      <c r="M10200" t="s">
        <v>454</v>
      </c>
      <c r="N10200" t="s">
        <v>22</v>
      </c>
    </row>
    <row r="10201" spans="1:14">
      <c r="A10201" s="4" t="str">
        <f t="shared" si="913"/>
        <v>EXP00341</v>
      </c>
      <c r="B10201" s="4" t="str">
        <f t="shared" si="911"/>
        <v>26667932</v>
      </c>
      <c r="C10201" s="4" t="str">
        <f t="shared" si="912"/>
        <v>GSE74685</v>
      </c>
      <c r="D10201" s="1" t="s">
        <v>447</v>
      </c>
      <c r="E10201" t="s">
        <v>448</v>
      </c>
      <c r="F10201" s="1">
        <v>2</v>
      </c>
      <c r="G10201" s="1" t="s">
        <v>453</v>
      </c>
      <c r="H10201" s="4" t="str">
        <f>HYPERLINK("https://www.ncbi.nlm.nih.gov/geo/query/acc.cgi?acc=GSM1930081","GSM1930081")</f>
        <v>GSM1930081</v>
      </c>
      <c r="I10201" t="s">
        <v>161</v>
      </c>
      <c r="J10201" t="s">
        <v>193</v>
      </c>
      <c r="K10201" t="s">
        <v>19</v>
      </c>
      <c r="L10201" t="s">
        <v>162</v>
      </c>
      <c r="M10201" t="s">
        <v>454</v>
      </c>
      <c r="N10201" t="s">
        <v>22</v>
      </c>
    </row>
    <row r="10202" spans="1:14">
      <c r="A10202" s="4" t="str">
        <f t="shared" si="913"/>
        <v>EXP00341</v>
      </c>
      <c r="B10202" s="4" t="str">
        <f t="shared" si="911"/>
        <v>26667932</v>
      </c>
      <c r="C10202" s="4" t="str">
        <f t="shared" si="912"/>
        <v>GSE74685</v>
      </c>
      <c r="D10202" s="1" t="s">
        <v>447</v>
      </c>
      <c r="E10202" t="s">
        <v>448</v>
      </c>
      <c r="F10202" s="1">
        <v>2</v>
      </c>
      <c r="G10202" s="1" t="s">
        <v>453</v>
      </c>
      <c r="H10202" s="4" t="str">
        <f>HYPERLINK("https://www.ncbi.nlm.nih.gov/geo/query/acc.cgi?acc=GSM1930131","GSM1930131")</f>
        <v>GSM1930131</v>
      </c>
      <c r="I10202" t="s">
        <v>161</v>
      </c>
      <c r="J10202" t="s">
        <v>193</v>
      </c>
      <c r="K10202" t="s">
        <v>19</v>
      </c>
      <c r="L10202" t="s">
        <v>162</v>
      </c>
      <c r="M10202" t="s">
        <v>454</v>
      </c>
      <c r="N10202" t="s">
        <v>22</v>
      </c>
    </row>
    <row r="10203" spans="1:14">
      <c r="A10203" s="4" t="str">
        <f t="shared" ref="A10203:A10225" si="914">HYPERLINK("http://hcmdb.i-sanger.com/experiment/details/experiment_id/EXP00342","EXP00342")</f>
        <v>EXP00342</v>
      </c>
      <c r="B10203" s="4" t="str">
        <f t="shared" si="911"/>
        <v>26667932</v>
      </c>
      <c r="C10203" s="4" t="str">
        <f t="shared" si="912"/>
        <v>GSE74685</v>
      </c>
      <c r="D10203" s="1" t="s">
        <v>447</v>
      </c>
      <c r="E10203" t="s">
        <v>448</v>
      </c>
      <c r="F10203" s="1">
        <v>1</v>
      </c>
      <c r="G10203" s="1" t="s">
        <v>456</v>
      </c>
      <c r="H10203" s="4" t="str">
        <f>HYPERLINK("https://www.ncbi.nlm.nih.gov/geo/query/acc.cgi?acc=GSM1616656","GSM1616656")</f>
        <v>GSM1616656</v>
      </c>
      <c r="I10203" t="s">
        <v>161</v>
      </c>
      <c r="J10203" t="s">
        <v>193</v>
      </c>
      <c r="K10203" t="s">
        <v>19</v>
      </c>
      <c r="L10203" t="s">
        <v>162</v>
      </c>
      <c r="M10203" t="s">
        <v>61</v>
      </c>
      <c r="N10203" t="s">
        <v>22</v>
      </c>
    </row>
    <row r="10204" spans="1:14">
      <c r="A10204" s="4" t="str">
        <f t="shared" si="914"/>
        <v>EXP00342</v>
      </c>
      <c r="B10204" s="4" t="str">
        <f t="shared" si="911"/>
        <v>26667932</v>
      </c>
      <c r="C10204" s="4" t="str">
        <f t="shared" si="912"/>
        <v>GSE74685</v>
      </c>
      <c r="D10204" s="1" t="s">
        <v>447</v>
      </c>
      <c r="E10204" t="s">
        <v>448</v>
      </c>
      <c r="F10204" s="1">
        <v>1</v>
      </c>
      <c r="G10204" s="1" t="s">
        <v>456</v>
      </c>
      <c r="H10204" s="4" t="str">
        <f>HYPERLINK("https://www.ncbi.nlm.nih.gov/geo/query/acc.cgi?acc=GSM1930129","GSM1930129")</f>
        <v>GSM1930129</v>
      </c>
      <c r="I10204" t="s">
        <v>161</v>
      </c>
      <c r="J10204" t="s">
        <v>193</v>
      </c>
      <c r="K10204" t="s">
        <v>19</v>
      </c>
      <c r="L10204" t="s">
        <v>162</v>
      </c>
      <c r="M10204" t="s">
        <v>61</v>
      </c>
      <c r="N10204" t="s">
        <v>22</v>
      </c>
    </row>
    <row r="10205" spans="1:14">
      <c r="A10205" s="4" t="str">
        <f t="shared" si="914"/>
        <v>EXP00342</v>
      </c>
      <c r="B10205" s="4" t="str">
        <f t="shared" si="911"/>
        <v>26667932</v>
      </c>
      <c r="C10205" s="4" t="str">
        <f t="shared" si="912"/>
        <v>GSE74685</v>
      </c>
      <c r="D10205" s="1" t="s">
        <v>447</v>
      </c>
      <c r="E10205" t="s">
        <v>448</v>
      </c>
      <c r="F10205" s="1">
        <v>2</v>
      </c>
      <c r="G10205" s="1" t="s">
        <v>450</v>
      </c>
      <c r="H10205" s="4" t="str">
        <f>HYPERLINK("https://www.ncbi.nlm.nih.gov/geo/query/acc.cgi?acc=GSM1616614","GSM1616614")</f>
        <v>GSM1616614</v>
      </c>
      <c r="I10205" t="s">
        <v>161</v>
      </c>
      <c r="J10205" t="s">
        <v>193</v>
      </c>
      <c r="K10205" t="s">
        <v>19</v>
      </c>
      <c r="L10205" t="s">
        <v>162</v>
      </c>
      <c r="M10205" t="s">
        <v>44</v>
      </c>
      <c r="N10205" t="s">
        <v>22</v>
      </c>
    </row>
    <row r="10206" spans="1:14">
      <c r="A10206" s="4" t="str">
        <f t="shared" si="914"/>
        <v>EXP00342</v>
      </c>
      <c r="B10206" s="4" t="str">
        <f t="shared" si="911"/>
        <v>26667932</v>
      </c>
      <c r="C10206" s="4" t="str">
        <f t="shared" si="912"/>
        <v>GSE74685</v>
      </c>
      <c r="D10206" s="1" t="s">
        <v>447</v>
      </c>
      <c r="E10206" t="s">
        <v>448</v>
      </c>
      <c r="F10206" s="1">
        <v>2</v>
      </c>
      <c r="G10206" s="1" t="s">
        <v>450</v>
      </c>
      <c r="H10206" s="4" t="str">
        <f>HYPERLINK("https://www.ncbi.nlm.nih.gov/geo/query/acc.cgi?acc=GSM1616618","GSM1616618")</f>
        <v>GSM1616618</v>
      </c>
      <c r="I10206" t="s">
        <v>161</v>
      </c>
      <c r="J10206" t="s">
        <v>193</v>
      </c>
      <c r="K10206" t="s">
        <v>19</v>
      </c>
      <c r="L10206" t="s">
        <v>162</v>
      </c>
      <c r="M10206" t="s">
        <v>44</v>
      </c>
      <c r="N10206" t="s">
        <v>22</v>
      </c>
    </row>
    <row r="10207" spans="1:14">
      <c r="A10207" s="4" t="str">
        <f t="shared" si="914"/>
        <v>EXP00342</v>
      </c>
      <c r="B10207" s="4" t="str">
        <f t="shared" si="911"/>
        <v>26667932</v>
      </c>
      <c r="C10207" s="4" t="str">
        <f t="shared" si="912"/>
        <v>GSE74685</v>
      </c>
      <c r="D10207" s="1" t="s">
        <v>447</v>
      </c>
      <c r="E10207" t="s">
        <v>448</v>
      </c>
      <c r="F10207" s="1">
        <v>2</v>
      </c>
      <c r="G10207" s="1" t="s">
        <v>450</v>
      </c>
      <c r="H10207" s="4" t="str">
        <f>HYPERLINK("https://www.ncbi.nlm.nih.gov/geo/query/acc.cgi?acc=GSM1616621","GSM1616621")</f>
        <v>GSM1616621</v>
      </c>
      <c r="I10207" t="s">
        <v>161</v>
      </c>
      <c r="J10207" t="s">
        <v>193</v>
      </c>
      <c r="K10207" t="s">
        <v>19</v>
      </c>
      <c r="L10207" t="s">
        <v>162</v>
      </c>
      <c r="M10207" t="s">
        <v>44</v>
      </c>
      <c r="N10207" t="s">
        <v>22</v>
      </c>
    </row>
    <row r="10208" spans="1:14">
      <c r="A10208" s="4" t="str">
        <f t="shared" si="914"/>
        <v>EXP00342</v>
      </c>
      <c r="B10208" s="4" t="str">
        <f t="shared" si="911"/>
        <v>26667932</v>
      </c>
      <c r="C10208" s="4" t="str">
        <f t="shared" si="912"/>
        <v>GSE74685</v>
      </c>
      <c r="D10208" s="1" t="s">
        <v>447</v>
      </c>
      <c r="E10208" t="s">
        <v>448</v>
      </c>
      <c r="F10208" s="1">
        <v>2</v>
      </c>
      <c r="G10208" s="1" t="s">
        <v>450</v>
      </c>
      <c r="H10208" s="4" t="str">
        <f>HYPERLINK("https://www.ncbi.nlm.nih.gov/geo/query/acc.cgi?acc=GSM1616623","GSM1616623")</f>
        <v>GSM1616623</v>
      </c>
      <c r="I10208" t="s">
        <v>161</v>
      </c>
      <c r="J10208" t="s">
        <v>193</v>
      </c>
      <c r="K10208" t="s">
        <v>19</v>
      </c>
      <c r="L10208" t="s">
        <v>162</v>
      </c>
      <c r="M10208" t="s">
        <v>44</v>
      </c>
      <c r="N10208" t="s">
        <v>22</v>
      </c>
    </row>
    <row r="10209" spans="1:14">
      <c r="A10209" s="4" t="str">
        <f t="shared" si="914"/>
        <v>EXP00342</v>
      </c>
      <c r="B10209" s="4" t="str">
        <f t="shared" si="911"/>
        <v>26667932</v>
      </c>
      <c r="C10209" s="4" t="str">
        <f t="shared" si="912"/>
        <v>GSE74685</v>
      </c>
      <c r="D10209" s="1" t="s">
        <v>447</v>
      </c>
      <c r="E10209" t="s">
        <v>448</v>
      </c>
      <c r="F10209" s="1">
        <v>2</v>
      </c>
      <c r="G10209" s="1" t="s">
        <v>450</v>
      </c>
      <c r="H10209" s="4" t="str">
        <f>HYPERLINK("https://www.ncbi.nlm.nih.gov/geo/query/acc.cgi?acc=GSM1616628","GSM1616628")</f>
        <v>GSM1616628</v>
      </c>
      <c r="I10209" t="s">
        <v>161</v>
      </c>
      <c r="J10209" t="s">
        <v>193</v>
      </c>
      <c r="K10209" t="s">
        <v>19</v>
      </c>
      <c r="L10209" t="s">
        <v>162</v>
      </c>
      <c r="M10209" t="s">
        <v>44</v>
      </c>
      <c r="N10209" t="s">
        <v>22</v>
      </c>
    </row>
    <row r="10210" spans="1:14">
      <c r="A10210" s="4" t="str">
        <f t="shared" si="914"/>
        <v>EXP00342</v>
      </c>
      <c r="B10210" s="4" t="str">
        <f t="shared" si="911"/>
        <v>26667932</v>
      </c>
      <c r="C10210" s="4" t="str">
        <f t="shared" si="912"/>
        <v>GSE74685</v>
      </c>
      <c r="D10210" s="1" t="s">
        <v>447</v>
      </c>
      <c r="E10210" t="s">
        <v>448</v>
      </c>
      <c r="F10210" s="1">
        <v>2</v>
      </c>
      <c r="G10210" s="1" t="s">
        <v>450</v>
      </c>
      <c r="H10210" s="4" t="str">
        <f>HYPERLINK("https://www.ncbi.nlm.nih.gov/geo/query/acc.cgi?acc=GSM1616629","GSM1616629")</f>
        <v>GSM1616629</v>
      </c>
      <c r="I10210" t="s">
        <v>161</v>
      </c>
      <c r="J10210" t="s">
        <v>193</v>
      </c>
      <c r="K10210" t="s">
        <v>19</v>
      </c>
      <c r="L10210" t="s">
        <v>162</v>
      </c>
      <c r="M10210" t="s">
        <v>44</v>
      </c>
      <c r="N10210" t="s">
        <v>22</v>
      </c>
    </row>
    <row r="10211" spans="1:14">
      <c r="A10211" s="4" t="str">
        <f t="shared" si="914"/>
        <v>EXP00342</v>
      </c>
      <c r="B10211" s="4" t="str">
        <f t="shared" si="911"/>
        <v>26667932</v>
      </c>
      <c r="C10211" s="4" t="str">
        <f t="shared" si="912"/>
        <v>GSE74685</v>
      </c>
      <c r="D10211" s="1" t="s">
        <v>447</v>
      </c>
      <c r="E10211" t="s">
        <v>448</v>
      </c>
      <c r="F10211" s="1">
        <v>2</v>
      </c>
      <c r="G10211" s="1" t="s">
        <v>450</v>
      </c>
      <c r="H10211" s="4" t="str">
        <f>HYPERLINK("https://www.ncbi.nlm.nih.gov/geo/query/acc.cgi?acc=GSM1616632","GSM1616632")</f>
        <v>GSM1616632</v>
      </c>
      <c r="I10211" t="s">
        <v>161</v>
      </c>
      <c r="J10211" t="s">
        <v>193</v>
      </c>
      <c r="K10211" t="s">
        <v>19</v>
      </c>
      <c r="L10211" t="s">
        <v>162</v>
      </c>
      <c r="M10211" t="s">
        <v>44</v>
      </c>
      <c r="N10211" t="s">
        <v>22</v>
      </c>
    </row>
    <row r="10212" spans="1:14">
      <c r="A10212" s="4" t="str">
        <f t="shared" si="914"/>
        <v>EXP00342</v>
      </c>
      <c r="B10212" s="4" t="str">
        <f t="shared" si="911"/>
        <v>26667932</v>
      </c>
      <c r="C10212" s="4" t="str">
        <f t="shared" si="912"/>
        <v>GSE74685</v>
      </c>
      <c r="D10212" s="1" t="s">
        <v>447</v>
      </c>
      <c r="E10212" t="s">
        <v>448</v>
      </c>
      <c r="F10212" s="1">
        <v>2</v>
      </c>
      <c r="G10212" s="1" t="s">
        <v>450</v>
      </c>
      <c r="H10212" s="4" t="str">
        <f>HYPERLINK("https://www.ncbi.nlm.nih.gov/geo/query/acc.cgi?acc=GSM1616638","GSM1616638")</f>
        <v>GSM1616638</v>
      </c>
      <c r="I10212" t="s">
        <v>161</v>
      </c>
      <c r="J10212" t="s">
        <v>193</v>
      </c>
      <c r="K10212" t="s">
        <v>19</v>
      </c>
      <c r="L10212" t="s">
        <v>162</v>
      </c>
      <c r="M10212" t="s">
        <v>44</v>
      </c>
      <c r="N10212" t="s">
        <v>22</v>
      </c>
    </row>
    <row r="10213" spans="1:14">
      <c r="A10213" s="4" t="str">
        <f t="shared" si="914"/>
        <v>EXP00342</v>
      </c>
      <c r="B10213" s="4" t="str">
        <f t="shared" si="911"/>
        <v>26667932</v>
      </c>
      <c r="C10213" s="4" t="str">
        <f t="shared" si="912"/>
        <v>GSE74685</v>
      </c>
      <c r="D10213" s="1" t="s">
        <v>447</v>
      </c>
      <c r="E10213" t="s">
        <v>448</v>
      </c>
      <c r="F10213" s="1">
        <v>2</v>
      </c>
      <c r="G10213" s="1" t="s">
        <v>450</v>
      </c>
      <c r="H10213" s="4" t="str">
        <f>HYPERLINK("https://www.ncbi.nlm.nih.gov/geo/query/acc.cgi?acc=GSM1616641","GSM1616641")</f>
        <v>GSM1616641</v>
      </c>
      <c r="I10213" t="s">
        <v>161</v>
      </c>
      <c r="J10213" t="s">
        <v>193</v>
      </c>
      <c r="K10213" t="s">
        <v>19</v>
      </c>
      <c r="L10213" t="s">
        <v>162</v>
      </c>
      <c r="M10213" t="s">
        <v>44</v>
      </c>
      <c r="N10213" t="s">
        <v>22</v>
      </c>
    </row>
    <row r="10214" spans="1:14">
      <c r="A10214" s="4" t="str">
        <f t="shared" si="914"/>
        <v>EXP00342</v>
      </c>
      <c r="B10214" s="4" t="str">
        <f t="shared" si="911"/>
        <v>26667932</v>
      </c>
      <c r="C10214" s="4" t="str">
        <f t="shared" si="912"/>
        <v>GSE74685</v>
      </c>
      <c r="D10214" s="1" t="s">
        <v>447</v>
      </c>
      <c r="E10214" t="s">
        <v>448</v>
      </c>
      <c r="F10214" s="1">
        <v>2</v>
      </c>
      <c r="G10214" s="1" t="s">
        <v>450</v>
      </c>
      <c r="H10214" s="4" t="str">
        <f>HYPERLINK("https://www.ncbi.nlm.nih.gov/geo/query/acc.cgi?acc=GSM1616663","GSM1616663")</f>
        <v>GSM1616663</v>
      </c>
      <c r="I10214" t="s">
        <v>161</v>
      </c>
      <c r="J10214" t="s">
        <v>193</v>
      </c>
      <c r="K10214" t="s">
        <v>19</v>
      </c>
      <c r="L10214" t="s">
        <v>162</v>
      </c>
      <c r="M10214" t="s">
        <v>44</v>
      </c>
      <c r="N10214" t="s">
        <v>22</v>
      </c>
    </row>
    <row r="10215" spans="1:14">
      <c r="A10215" s="4" t="str">
        <f t="shared" si="914"/>
        <v>EXP00342</v>
      </c>
      <c r="B10215" s="4" t="str">
        <f t="shared" si="911"/>
        <v>26667932</v>
      </c>
      <c r="C10215" s="4" t="str">
        <f t="shared" si="912"/>
        <v>GSE74685</v>
      </c>
      <c r="D10215" s="1" t="s">
        <v>447</v>
      </c>
      <c r="E10215" t="s">
        <v>448</v>
      </c>
      <c r="F10215" s="1">
        <v>2</v>
      </c>
      <c r="G10215" s="1" t="s">
        <v>450</v>
      </c>
      <c r="H10215" s="4" t="str">
        <f>HYPERLINK("https://www.ncbi.nlm.nih.gov/geo/query/acc.cgi?acc=GSM1616667","GSM1616667")</f>
        <v>GSM1616667</v>
      </c>
      <c r="I10215" t="s">
        <v>161</v>
      </c>
      <c r="J10215" t="s">
        <v>193</v>
      </c>
      <c r="K10215" t="s">
        <v>19</v>
      </c>
      <c r="L10215" t="s">
        <v>162</v>
      </c>
      <c r="M10215" t="s">
        <v>44</v>
      </c>
      <c r="N10215" t="s">
        <v>22</v>
      </c>
    </row>
    <row r="10216" spans="1:14">
      <c r="A10216" s="4" t="str">
        <f t="shared" si="914"/>
        <v>EXP00342</v>
      </c>
      <c r="B10216" s="4" t="str">
        <f t="shared" si="911"/>
        <v>26667932</v>
      </c>
      <c r="C10216" s="4" t="str">
        <f t="shared" si="912"/>
        <v>GSE74685</v>
      </c>
      <c r="D10216" s="1" t="s">
        <v>447</v>
      </c>
      <c r="E10216" t="s">
        <v>448</v>
      </c>
      <c r="F10216" s="1">
        <v>2</v>
      </c>
      <c r="G10216" s="1" t="s">
        <v>450</v>
      </c>
      <c r="H10216" s="4" t="str">
        <f>HYPERLINK("https://www.ncbi.nlm.nih.gov/geo/query/acc.cgi?acc=GSM1616671","GSM1616671")</f>
        <v>GSM1616671</v>
      </c>
      <c r="I10216" t="s">
        <v>161</v>
      </c>
      <c r="J10216" t="s">
        <v>193</v>
      </c>
      <c r="K10216" t="s">
        <v>19</v>
      </c>
      <c r="L10216" t="s">
        <v>162</v>
      </c>
      <c r="M10216" t="s">
        <v>44</v>
      </c>
      <c r="N10216" t="s">
        <v>22</v>
      </c>
    </row>
    <row r="10217" spans="1:14">
      <c r="A10217" s="4" t="str">
        <f t="shared" si="914"/>
        <v>EXP00342</v>
      </c>
      <c r="B10217" s="4" t="str">
        <f t="shared" si="911"/>
        <v>26667932</v>
      </c>
      <c r="C10217" s="4" t="str">
        <f t="shared" si="912"/>
        <v>GSE74685</v>
      </c>
      <c r="D10217" s="1" t="s">
        <v>447</v>
      </c>
      <c r="E10217" t="s">
        <v>448</v>
      </c>
      <c r="F10217" s="1">
        <v>2</v>
      </c>
      <c r="G10217" s="1" t="s">
        <v>450</v>
      </c>
      <c r="H10217" s="4" t="str">
        <f>HYPERLINK("https://www.ncbi.nlm.nih.gov/geo/query/acc.cgi?acc=GSM1616674","GSM1616674")</f>
        <v>GSM1616674</v>
      </c>
      <c r="I10217" t="s">
        <v>161</v>
      </c>
      <c r="J10217" t="s">
        <v>193</v>
      </c>
      <c r="K10217" t="s">
        <v>19</v>
      </c>
      <c r="L10217" t="s">
        <v>162</v>
      </c>
      <c r="M10217" t="s">
        <v>44</v>
      </c>
      <c r="N10217" t="s">
        <v>22</v>
      </c>
    </row>
    <row r="10218" spans="1:14">
      <c r="A10218" s="4" t="str">
        <f t="shared" si="914"/>
        <v>EXP00342</v>
      </c>
      <c r="B10218" s="4" t="str">
        <f t="shared" si="911"/>
        <v>26667932</v>
      </c>
      <c r="C10218" s="4" t="str">
        <f t="shared" si="912"/>
        <v>GSE74685</v>
      </c>
      <c r="D10218" s="1" t="s">
        <v>447</v>
      </c>
      <c r="E10218" t="s">
        <v>448</v>
      </c>
      <c r="F10218" s="1">
        <v>2</v>
      </c>
      <c r="G10218" s="1" t="s">
        <v>450</v>
      </c>
      <c r="H10218" s="4" t="str">
        <f>HYPERLINK("https://www.ncbi.nlm.nih.gov/geo/query/acc.cgi?acc=GSM1616675","GSM1616675")</f>
        <v>GSM1616675</v>
      </c>
      <c r="I10218" t="s">
        <v>161</v>
      </c>
      <c r="J10218" t="s">
        <v>193</v>
      </c>
      <c r="K10218" t="s">
        <v>19</v>
      </c>
      <c r="L10218" t="s">
        <v>162</v>
      </c>
      <c r="M10218" t="s">
        <v>44</v>
      </c>
      <c r="N10218" t="s">
        <v>22</v>
      </c>
    </row>
    <row r="10219" spans="1:14">
      <c r="A10219" s="4" t="str">
        <f t="shared" si="914"/>
        <v>EXP00342</v>
      </c>
      <c r="B10219" s="4" t="str">
        <f t="shared" si="911"/>
        <v>26667932</v>
      </c>
      <c r="C10219" s="4" t="str">
        <f t="shared" si="912"/>
        <v>GSE74685</v>
      </c>
      <c r="D10219" s="1" t="s">
        <v>447</v>
      </c>
      <c r="E10219" t="s">
        <v>448</v>
      </c>
      <c r="F10219" s="1">
        <v>2</v>
      </c>
      <c r="G10219" s="1" t="s">
        <v>450</v>
      </c>
      <c r="H10219" s="4" t="str">
        <f>HYPERLINK("https://www.ncbi.nlm.nih.gov/geo/query/acc.cgi?acc=GSM1616677","GSM1616677")</f>
        <v>GSM1616677</v>
      </c>
      <c r="I10219" t="s">
        <v>161</v>
      </c>
      <c r="J10219" t="s">
        <v>193</v>
      </c>
      <c r="K10219" t="s">
        <v>19</v>
      </c>
      <c r="L10219" t="s">
        <v>162</v>
      </c>
      <c r="M10219" t="s">
        <v>44</v>
      </c>
      <c r="N10219" t="s">
        <v>22</v>
      </c>
    </row>
    <row r="10220" spans="1:14">
      <c r="A10220" s="4" t="str">
        <f t="shared" si="914"/>
        <v>EXP00342</v>
      </c>
      <c r="B10220" s="4" t="str">
        <f t="shared" si="911"/>
        <v>26667932</v>
      </c>
      <c r="C10220" s="4" t="str">
        <f t="shared" si="912"/>
        <v>GSE74685</v>
      </c>
      <c r="D10220" s="1" t="s">
        <v>447</v>
      </c>
      <c r="E10220" t="s">
        <v>448</v>
      </c>
      <c r="F10220" s="1">
        <v>2</v>
      </c>
      <c r="G10220" s="1" t="s">
        <v>450</v>
      </c>
      <c r="H10220" s="4" t="str">
        <f>HYPERLINK("https://www.ncbi.nlm.nih.gov/geo/query/acc.cgi?acc=GSM1930080","GSM1930080")</f>
        <v>GSM1930080</v>
      </c>
      <c r="I10220" t="s">
        <v>161</v>
      </c>
      <c r="J10220" t="s">
        <v>193</v>
      </c>
      <c r="K10220" t="s">
        <v>19</v>
      </c>
      <c r="L10220" t="s">
        <v>162</v>
      </c>
      <c r="M10220" t="s">
        <v>44</v>
      </c>
      <c r="N10220" t="s">
        <v>22</v>
      </c>
    </row>
    <row r="10221" spans="1:14">
      <c r="A10221" s="4" t="str">
        <f t="shared" si="914"/>
        <v>EXP00342</v>
      </c>
      <c r="B10221" s="4" t="str">
        <f t="shared" si="911"/>
        <v>26667932</v>
      </c>
      <c r="C10221" s="4" t="str">
        <f t="shared" si="912"/>
        <v>GSE74685</v>
      </c>
      <c r="D10221" s="1" t="s">
        <v>447</v>
      </c>
      <c r="E10221" t="s">
        <v>448</v>
      </c>
      <c r="F10221" s="1">
        <v>2</v>
      </c>
      <c r="G10221" s="1" t="s">
        <v>450</v>
      </c>
      <c r="H10221" s="4" t="str">
        <f>HYPERLINK("https://www.ncbi.nlm.nih.gov/geo/query/acc.cgi?acc=GSM1930136","GSM1930136")</f>
        <v>GSM1930136</v>
      </c>
      <c r="I10221" t="s">
        <v>161</v>
      </c>
      <c r="J10221" t="s">
        <v>193</v>
      </c>
      <c r="K10221" t="s">
        <v>19</v>
      </c>
      <c r="L10221" t="s">
        <v>162</v>
      </c>
      <c r="M10221" t="s">
        <v>44</v>
      </c>
      <c r="N10221" t="s">
        <v>22</v>
      </c>
    </row>
    <row r="10222" spans="1:14">
      <c r="A10222" s="4" t="str">
        <f t="shared" si="914"/>
        <v>EXP00342</v>
      </c>
      <c r="B10222" s="4" t="str">
        <f t="shared" si="911"/>
        <v>26667932</v>
      </c>
      <c r="C10222" s="4" t="str">
        <f t="shared" si="912"/>
        <v>GSE74685</v>
      </c>
      <c r="D10222" s="1" t="s">
        <v>447</v>
      </c>
      <c r="E10222" t="s">
        <v>448</v>
      </c>
      <c r="F10222" s="1">
        <v>2</v>
      </c>
      <c r="G10222" s="1" t="s">
        <v>450</v>
      </c>
      <c r="H10222" s="4" t="str">
        <f>HYPERLINK("https://www.ncbi.nlm.nih.gov/geo/query/acc.cgi?acc=GSM1930141","GSM1930141")</f>
        <v>GSM1930141</v>
      </c>
      <c r="I10222" t="s">
        <v>161</v>
      </c>
      <c r="J10222" t="s">
        <v>193</v>
      </c>
      <c r="K10222" t="s">
        <v>19</v>
      </c>
      <c r="L10222" t="s">
        <v>162</v>
      </c>
      <c r="M10222" t="s">
        <v>44</v>
      </c>
      <c r="N10222" t="s">
        <v>22</v>
      </c>
    </row>
    <row r="10223" spans="1:14">
      <c r="A10223" s="4" t="str">
        <f t="shared" si="914"/>
        <v>EXP00342</v>
      </c>
      <c r="B10223" s="4" t="str">
        <f t="shared" si="911"/>
        <v>26667932</v>
      </c>
      <c r="C10223" s="4" t="str">
        <f t="shared" si="912"/>
        <v>GSE74685</v>
      </c>
      <c r="D10223" s="1" t="s">
        <v>447</v>
      </c>
      <c r="E10223" t="s">
        <v>448</v>
      </c>
      <c r="F10223" s="1">
        <v>2</v>
      </c>
      <c r="G10223" s="1" t="s">
        <v>450</v>
      </c>
      <c r="H10223" s="4" t="str">
        <f>HYPERLINK("https://www.ncbi.nlm.nih.gov/geo/query/acc.cgi?acc=GSM1930142","GSM1930142")</f>
        <v>GSM1930142</v>
      </c>
      <c r="I10223" t="s">
        <v>161</v>
      </c>
      <c r="J10223" t="s">
        <v>193</v>
      </c>
      <c r="K10223" t="s">
        <v>19</v>
      </c>
      <c r="L10223" t="s">
        <v>162</v>
      </c>
      <c r="M10223" t="s">
        <v>44</v>
      </c>
      <c r="N10223" t="s">
        <v>22</v>
      </c>
    </row>
    <row r="10224" spans="1:14">
      <c r="A10224" s="4" t="str">
        <f t="shared" si="914"/>
        <v>EXP00342</v>
      </c>
      <c r="B10224" s="4" t="str">
        <f t="shared" si="911"/>
        <v>26667932</v>
      </c>
      <c r="C10224" s="4" t="str">
        <f t="shared" si="912"/>
        <v>GSE74685</v>
      </c>
      <c r="D10224" s="1" t="s">
        <v>447</v>
      </c>
      <c r="E10224" t="s">
        <v>448</v>
      </c>
      <c r="F10224" s="1">
        <v>2</v>
      </c>
      <c r="G10224" s="1" t="s">
        <v>450</v>
      </c>
      <c r="H10224" s="4" t="str">
        <f>HYPERLINK("https://www.ncbi.nlm.nih.gov/geo/query/acc.cgi?acc=GSM1930150","GSM1930150")</f>
        <v>GSM1930150</v>
      </c>
      <c r="I10224" t="s">
        <v>161</v>
      </c>
      <c r="J10224" t="s">
        <v>193</v>
      </c>
      <c r="K10224" t="s">
        <v>19</v>
      </c>
      <c r="L10224" t="s">
        <v>162</v>
      </c>
      <c r="M10224" t="s">
        <v>44</v>
      </c>
      <c r="N10224" t="s">
        <v>22</v>
      </c>
    </row>
    <row r="10225" spans="1:14">
      <c r="A10225" s="4" t="str">
        <f t="shared" si="914"/>
        <v>EXP00342</v>
      </c>
      <c r="B10225" s="4" t="str">
        <f t="shared" si="911"/>
        <v>26667932</v>
      </c>
      <c r="C10225" s="4" t="str">
        <f t="shared" si="912"/>
        <v>GSE74685</v>
      </c>
      <c r="D10225" s="1" t="s">
        <v>447</v>
      </c>
      <c r="E10225" t="s">
        <v>448</v>
      </c>
      <c r="F10225" s="1">
        <v>2</v>
      </c>
      <c r="G10225" s="1" t="s">
        <v>450</v>
      </c>
      <c r="H10225" s="4" t="str">
        <f>HYPERLINK("https://www.ncbi.nlm.nih.gov/geo/query/acc.cgi?acc=GSM1930155","GSM1930155")</f>
        <v>GSM1930155</v>
      </c>
      <c r="I10225" t="s">
        <v>161</v>
      </c>
      <c r="J10225" t="s">
        <v>193</v>
      </c>
      <c r="K10225" t="s">
        <v>19</v>
      </c>
      <c r="L10225" t="s">
        <v>162</v>
      </c>
      <c r="M10225" t="s">
        <v>44</v>
      </c>
      <c r="N10225" t="s">
        <v>22</v>
      </c>
    </row>
    <row r="10226" spans="1:14">
      <c r="A10226" s="4" t="str">
        <f t="shared" ref="A10226:A10249" si="915">HYPERLINK("http://hcmdb.i-sanger.com/experiment/details/experiment_id/EXP00343","EXP00343")</f>
        <v>EXP00343</v>
      </c>
      <c r="B10226" s="4" t="str">
        <f t="shared" si="911"/>
        <v>26667932</v>
      </c>
      <c r="C10226" s="4" t="str">
        <f t="shared" si="912"/>
        <v>GSE74685</v>
      </c>
      <c r="D10226" s="1" t="s">
        <v>447</v>
      </c>
      <c r="E10226" t="s">
        <v>448</v>
      </c>
      <c r="F10226" s="1">
        <v>1</v>
      </c>
      <c r="G10226" s="1" t="s">
        <v>456</v>
      </c>
      <c r="H10226" s="4" t="str">
        <f>HYPERLINK("https://www.ncbi.nlm.nih.gov/geo/query/acc.cgi?acc=GSM1616656","GSM1616656")</f>
        <v>GSM1616656</v>
      </c>
      <c r="I10226" t="s">
        <v>161</v>
      </c>
      <c r="J10226" t="s">
        <v>193</v>
      </c>
      <c r="K10226" t="s">
        <v>19</v>
      </c>
      <c r="L10226" t="s">
        <v>162</v>
      </c>
      <c r="M10226" t="s">
        <v>61</v>
      </c>
      <c r="N10226" t="s">
        <v>22</v>
      </c>
    </row>
    <row r="10227" spans="1:14">
      <c r="A10227" s="4" t="str">
        <f t="shared" si="915"/>
        <v>EXP00343</v>
      </c>
      <c r="B10227" s="4" t="str">
        <f t="shared" si="911"/>
        <v>26667932</v>
      </c>
      <c r="C10227" s="4" t="str">
        <f t="shared" si="912"/>
        <v>GSE74685</v>
      </c>
      <c r="D10227" s="1" t="s">
        <v>447</v>
      </c>
      <c r="E10227" t="s">
        <v>448</v>
      </c>
      <c r="F10227" s="1">
        <v>1</v>
      </c>
      <c r="G10227" s="1" t="s">
        <v>456</v>
      </c>
      <c r="H10227" s="4" t="str">
        <f>HYPERLINK("https://www.ncbi.nlm.nih.gov/geo/query/acc.cgi?acc=GSM1930129","GSM1930129")</f>
        <v>GSM1930129</v>
      </c>
      <c r="I10227" t="s">
        <v>161</v>
      </c>
      <c r="J10227" t="s">
        <v>193</v>
      </c>
      <c r="K10227" t="s">
        <v>19</v>
      </c>
      <c r="L10227" t="s">
        <v>162</v>
      </c>
      <c r="M10227" t="s">
        <v>61</v>
      </c>
      <c r="N10227" t="s">
        <v>22</v>
      </c>
    </row>
    <row r="10228" spans="1:14">
      <c r="A10228" s="4" t="str">
        <f t="shared" si="915"/>
        <v>EXP00343</v>
      </c>
      <c r="B10228" s="4" t="str">
        <f t="shared" si="911"/>
        <v>26667932</v>
      </c>
      <c r="C10228" s="4" t="str">
        <f t="shared" si="912"/>
        <v>GSE74685</v>
      </c>
      <c r="D10228" s="1" t="s">
        <v>447</v>
      </c>
      <c r="E10228" t="s">
        <v>448</v>
      </c>
      <c r="F10228" s="1">
        <v>2</v>
      </c>
      <c r="G10228" s="1" t="s">
        <v>451</v>
      </c>
      <c r="H10228" s="4" t="str">
        <f>HYPERLINK("https://www.ncbi.nlm.nih.gov/geo/query/acc.cgi?acc=GSM1616617","GSM1616617")</f>
        <v>GSM1616617</v>
      </c>
      <c r="I10228" t="s">
        <v>161</v>
      </c>
      <c r="J10228" t="s">
        <v>193</v>
      </c>
      <c r="K10228" t="s">
        <v>19</v>
      </c>
      <c r="L10228" t="s">
        <v>162</v>
      </c>
      <c r="M10228" t="s">
        <v>41</v>
      </c>
      <c r="N10228" t="s">
        <v>22</v>
      </c>
    </row>
    <row r="10229" spans="1:14">
      <c r="A10229" s="4" t="str">
        <f t="shared" si="915"/>
        <v>EXP00343</v>
      </c>
      <c r="B10229" s="4" t="str">
        <f t="shared" si="911"/>
        <v>26667932</v>
      </c>
      <c r="C10229" s="4" t="str">
        <f t="shared" si="912"/>
        <v>GSE74685</v>
      </c>
      <c r="D10229" s="1" t="s">
        <v>447</v>
      </c>
      <c r="E10229" t="s">
        <v>448</v>
      </c>
      <c r="F10229" s="1">
        <v>2</v>
      </c>
      <c r="G10229" s="1" t="s">
        <v>451</v>
      </c>
      <c r="H10229" s="4" t="str">
        <f>HYPERLINK("https://www.ncbi.nlm.nih.gov/geo/query/acc.cgi?acc=GSM1616637","GSM1616637")</f>
        <v>GSM1616637</v>
      </c>
      <c r="I10229" t="s">
        <v>161</v>
      </c>
      <c r="J10229" t="s">
        <v>193</v>
      </c>
      <c r="K10229" t="s">
        <v>19</v>
      </c>
      <c r="L10229" t="s">
        <v>162</v>
      </c>
      <c r="M10229" t="s">
        <v>41</v>
      </c>
      <c r="N10229" t="s">
        <v>22</v>
      </c>
    </row>
    <row r="10230" spans="1:14">
      <c r="A10230" s="4" t="str">
        <f t="shared" si="915"/>
        <v>EXP00343</v>
      </c>
      <c r="B10230" s="4" t="str">
        <f t="shared" si="911"/>
        <v>26667932</v>
      </c>
      <c r="C10230" s="4" t="str">
        <f t="shared" si="912"/>
        <v>GSE74685</v>
      </c>
      <c r="D10230" s="1" t="s">
        <v>447</v>
      </c>
      <c r="E10230" t="s">
        <v>448</v>
      </c>
      <c r="F10230" s="1">
        <v>2</v>
      </c>
      <c r="G10230" s="1" t="s">
        <v>451</v>
      </c>
      <c r="H10230" s="4" t="str">
        <f>HYPERLINK("https://www.ncbi.nlm.nih.gov/geo/query/acc.cgi?acc=GSM1616646","GSM1616646")</f>
        <v>GSM1616646</v>
      </c>
      <c r="I10230" t="s">
        <v>161</v>
      </c>
      <c r="J10230" t="s">
        <v>193</v>
      </c>
      <c r="K10230" t="s">
        <v>19</v>
      </c>
      <c r="L10230" t="s">
        <v>162</v>
      </c>
      <c r="M10230" t="s">
        <v>41</v>
      </c>
      <c r="N10230" t="s">
        <v>22</v>
      </c>
    </row>
    <row r="10231" spans="1:14">
      <c r="A10231" s="4" t="str">
        <f t="shared" si="915"/>
        <v>EXP00343</v>
      </c>
      <c r="B10231" s="4" t="str">
        <f t="shared" si="911"/>
        <v>26667932</v>
      </c>
      <c r="C10231" s="4" t="str">
        <f t="shared" si="912"/>
        <v>GSE74685</v>
      </c>
      <c r="D10231" s="1" t="s">
        <v>447</v>
      </c>
      <c r="E10231" t="s">
        <v>448</v>
      </c>
      <c r="F10231" s="1">
        <v>2</v>
      </c>
      <c r="G10231" s="1" t="s">
        <v>451</v>
      </c>
      <c r="H10231" s="4" t="str">
        <f>HYPERLINK("https://www.ncbi.nlm.nih.gov/geo/query/acc.cgi?acc=GSM1616660","GSM1616660")</f>
        <v>GSM1616660</v>
      </c>
      <c r="I10231" t="s">
        <v>161</v>
      </c>
      <c r="J10231" t="s">
        <v>193</v>
      </c>
      <c r="K10231" t="s">
        <v>19</v>
      </c>
      <c r="L10231" t="s">
        <v>162</v>
      </c>
      <c r="M10231" t="s">
        <v>41</v>
      </c>
      <c r="N10231" t="s">
        <v>22</v>
      </c>
    </row>
    <row r="10232" spans="1:14">
      <c r="A10232" s="4" t="str">
        <f t="shared" si="915"/>
        <v>EXP00343</v>
      </c>
      <c r="B10232" s="4" t="str">
        <f t="shared" si="911"/>
        <v>26667932</v>
      </c>
      <c r="C10232" s="4" t="str">
        <f t="shared" si="912"/>
        <v>GSE74685</v>
      </c>
      <c r="D10232" s="1" t="s">
        <v>447</v>
      </c>
      <c r="E10232" t="s">
        <v>448</v>
      </c>
      <c r="F10232" s="1">
        <v>2</v>
      </c>
      <c r="G10232" s="1" t="s">
        <v>451</v>
      </c>
      <c r="H10232" s="4" t="str">
        <f>HYPERLINK("https://www.ncbi.nlm.nih.gov/geo/query/acc.cgi?acc=GSM1616666","GSM1616666")</f>
        <v>GSM1616666</v>
      </c>
      <c r="I10232" t="s">
        <v>161</v>
      </c>
      <c r="J10232" t="s">
        <v>193</v>
      </c>
      <c r="K10232" t="s">
        <v>19</v>
      </c>
      <c r="L10232" t="s">
        <v>162</v>
      </c>
      <c r="M10232" t="s">
        <v>41</v>
      </c>
      <c r="N10232" t="s">
        <v>22</v>
      </c>
    </row>
    <row r="10233" spans="1:14">
      <c r="A10233" s="4" t="str">
        <f t="shared" si="915"/>
        <v>EXP00343</v>
      </c>
      <c r="B10233" s="4" t="str">
        <f t="shared" si="911"/>
        <v>26667932</v>
      </c>
      <c r="C10233" s="4" t="str">
        <f t="shared" si="912"/>
        <v>GSE74685</v>
      </c>
      <c r="D10233" s="1" t="s">
        <v>447</v>
      </c>
      <c r="E10233" t="s">
        <v>448</v>
      </c>
      <c r="F10233" s="1">
        <v>2</v>
      </c>
      <c r="G10233" s="1" t="s">
        <v>451</v>
      </c>
      <c r="H10233" s="4" t="str">
        <f>HYPERLINK("https://www.ncbi.nlm.nih.gov/geo/query/acc.cgi?acc=GSM1616668","GSM1616668")</f>
        <v>GSM1616668</v>
      </c>
      <c r="I10233" t="s">
        <v>161</v>
      </c>
      <c r="J10233" t="s">
        <v>193</v>
      </c>
      <c r="K10233" t="s">
        <v>19</v>
      </c>
      <c r="L10233" t="s">
        <v>162</v>
      </c>
      <c r="M10233" t="s">
        <v>41</v>
      </c>
      <c r="N10233" t="s">
        <v>22</v>
      </c>
    </row>
    <row r="10234" spans="1:14">
      <c r="A10234" s="4" t="str">
        <f t="shared" si="915"/>
        <v>EXP00343</v>
      </c>
      <c r="B10234" s="4" t="str">
        <f t="shared" si="911"/>
        <v>26667932</v>
      </c>
      <c r="C10234" s="4" t="str">
        <f t="shared" si="912"/>
        <v>GSE74685</v>
      </c>
      <c r="D10234" s="1" t="s">
        <v>447</v>
      </c>
      <c r="E10234" t="s">
        <v>448</v>
      </c>
      <c r="F10234" s="1">
        <v>2</v>
      </c>
      <c r="G10234" s="1" t="s">
        <v>451</v>
      </c>
      <c r="H10234" s="4" t="str">
        <f>HYPERLINK("https://www.ncbi.nlm.nih.gov/geo/query/acc.cgi?acc=GSM1616673","GSM1616673")</f>
        <v>GSM1616673</v>
      </c>
      <c r="I10234" t="s">
        <v>161</v>
      </c>
      <c r="J10234" t="s">
        <v>193</v>
      </c>
      <c r="K10234" t="s">
        <v>19</v>
      </c>
      <c r="L10234" t="s">
        <v>162</v>
      </c>
      <c r="M10234" t="s">
        <v>41</v>
      </c>
      <c r="N10234" t="s">
        <v>22</v>
      </c>
    </row>
    <row r="10235" spans="1:14">
      <c r="A10235" s="4" t="str">
        <f t="shared" si="915"/>
        <v>EXP00343</v>
      </c>
      <c r="B10235" s="4" t="str">
        <f t="shared" si="911"/>
        <v>26667932</v>
      </c>
      <c r="C10235" s="4" t="str">
        <f t="shared" si="912"/>
        <v>GSE74685</v>
      </c>
      <c r="D10235" s="1" t="s">
        <v>447</v>
      </c>
      <c r="E10235" t="s">
        <v>448</v>
      </c>
      <c r="F10235" s="1">
        <v>2</v>
      </c>
      <c r="G10235" s="1" t="s">
        <v>451</v>
      </c>
      <c r="H10235" s="4" t="str">
        <f>HYPERLINK("https://www.ncbi.nlm.nih.gov/geo/query/acc.cgi?acc=GSM1930066","GSM1930066")</f>
        <v>GSM1930066</v>
      </c>
      <c r="I10235" t="s">
        <v>161</v>
      </c>
      <c r="J10235" t="s">
        <v>193</v>
      </c>
      <c r="K10235" t="s">
        <v>19</v>
      </c>
      <c r="L10235" t="s">
        <v>162</v>
      </c>
      <c r="M10235" t="s">
        <v>41</v>
      </c>
      <c r="N10235" t="s">
        <v>22</v>
      </c>
    </row>
    <row r="10236" spans="1:14">
      <c r="A10236" s="4" t="str">
        <f t="shared" si="915"/>
        <v>EXP00343</v>
      </c>
      <c r="B10236" s="4" t="str">
        <f t="shared" si="911"/>
        <v>26667932</v>
      </c>
      <c r="C10236" s="4" t="str">
        <f t="shared" si="912"/>
        <v>GSE74685</v>
      </c>
      <c r="D10236" s="1" t="s">
        <v>447</v>
      </c>
      <c r="E10236" t="s">
        <v>448</v>
      </c>
      <c r="F10236" s="1">
        <v>2</v>
      </c>
      <c r="G10236" s="1" t="s">
        <v>451</v>
      </c>
      <c r="H10236" s="4" t="str">
        <f>HYPERLINK("https://www.ncbi.nlm.nih.gov/geo/query/acc.cgi?acc=GSM1930069","GSM1930069")</f>
        <v>GSM1930069</v>
      </c>
      <c r="I10236" t="s">
        <v>161</v>
      </c>
      <c r="J10236" t="s">
        <v>193</v>
      </c>
      <c r="K10236" t="s">
        <v>19</v>
      </c>
      <c r="L10236" t="s">
        <v>162</v>
      </c>
      <c r="M10236" t="s">
        <v>41</v>
      </c>
      <c r="N10236" t="s">
        <v>22</v>
      </c>
    </row>
    <row r="10237" spans="1:14">
      <c r="A10237" s="4" t="str">
        <f t="shared" si="915"/>
        <v>EXP00343</v>
      </c>
      <c r="B10237" s="4" t="str">
        <f t="shared" si="911"/>
        <v>26667932</v>
      </c>
      <c r="C10237" s="4" t="str">
        <f t="shared" si="912"/>
        <v>GSE74685</v>
      </c>
      <c r="D10237" s="1" t="s">
        <v>447</v>
      </c>
      <c r="E10237" t="s">
        <v>448</v>
      </c>
      <c r="F10237" s="1">
        <v>2</v>
      </c>
      <c r="G10237" s="1" t="s">
        <v>451</v>
      </c>
      <c r="H10237" s="4" t="str">
        <f>HYPERLINK("https://www.ncbi.nlm.nih.gov/geo/query/acc.cgi?acc=GSM1930075","GSM1930075")</f>
        <v>GSM1930075</v>
      </c>
      <c r="I10237" t="s">
        <v>161</v>
      </c>
      <c r="J10237" t="s">
        <v>193</v>
      </c>
      <c r="K10237" t="s">
        <v>19</v>
      </c>
      <c r="L10237" t="s">
        <v>162</v>
      </c>
      <c r="M10237" t="s">
        <v>41</v>
      </c>
      <c r="N10237" t="s">
        <v>22</v>
      </c>
    </row>
    <row r="10238" spans="1:14">
      <c r="A10238" s="4" t="str">
        <f t="shared" si="915"/>
        <v>EXP00343</v>
      </c>
      <c r="B10238" s="4" t="str">
        <f t="shared" si="911"/>
        <v>26667932</v>
      </c>
      <c r="C10238" s="4" t="str">
        <f t="shared" si="912"/>
        <v>GSE74685</v>
      </c>
      <c r="D10238" s="1" t="s">
        <v>447</v>
      </c>
      <c r="E10238" t="s">
        <v>448</v>
      </c>
      <c r="F10238" s="1">
        <v>2</v>
      </c>
      <c r="G10238" s="1" t="s">
        <v>451</v>
      </c>
      <c r="H10238" s="4" t="str">
        <f>HYPERLINK("https://www.ncbi.nlm.nih.gov/geo/query/acc.cgi?acc=GSM1930076","GSM1930076")</f>
        <v>GSM1930076</v>
      </c>
      <c r="I10238" t="s">
        <v>161</v>
      </c>
      <c r="J10238" t="s">
        <v>193</v>
      </c>
      <c r="K10238" t="s">
        <v>19</v>
      </c>
      <c r="L10238" t="s">
        <v>162</v>
      </c>
      <c r="M10238" t="s">
        <v>41</v>
      </c>
      <c r="N10238" t="s">
        <v>22</v>
      </c>
    </row>
    <row r="10239" spans="1:14">
      <c r="A10239" s="4" t="str">
        <f t="shared" si="915"/>
        <v>EXP00343</v>
      </c>
      <c r="B10239" s="4" t="str">
        <f t="shared" si="911"/>
        <v>26667932</v>
      </c>
      <c r="C10239" s="4" t="str">
        <f t="shared" si="912"/>
        <v>GSE74685</v>
      </c>
      <c r="D10239" s="1" t="s">
        <v>447</v>
      </c>
      <c r="E10239" t="s">
        <v>448</v>
      </c>
      <c r="F10239" s="1">
        <v>2</v>
      </c>
      <c r="G10239" s="1" t="s">
        <v>451</v>
      </c>
      <c r="H10239" s="4" t="str">
        <f>HYPERLINK("https://www.ncbi.nlm.nih.gov/geo/query/acc.cgi?acc=GSM1930082","GSM1930082")</f>
        <v>GSM1930082</v>
      </c>
      <c r="I10239" t="s">
        <v>161</v>
      </c>
      <c r="J10239" t="s">
        <v>193</v>
      </c>
      <c r="K10239" t="s">
        <v>19</v>
      </c>
      <c r="L10239" t="s">
        <v>162</v>
      </c>
      <c r="M10239" t="s">
        <v>41</v>
      </c>
      <c r="N10239" t="s">
        <v>22</v>
      </c>
    </row>
    <row r="10240" spans="1:14">
      <c r="A10240" s="4" t="str">
        <f t="shared" si="915"/>
        <v>EXP00343</v>
      </c>
      <c r="B10240" s="4" t="str">
        <f t="shared" si="911"/>
        <v>26667932</v>
      </c>
      <c r="C10240" s="4" t="str">
        <f t="shared" si="912"/>
        <v>GSE74685</v>
      </c>
      <c r="D10240" s="1" t="s">
        <v>447</v>
      </c>
      <c r="E10240" t="s">
        <v>448</v>
      </c>
      <c r="F10240" s="1">
        <v>2</v>
      </c>
      <c r="G10240" s="1" t="s">
        <v>451</v>
      </c>
      <c r="H10240" s="4" t="str">
        <f>HYPERLINK("https://www.ncbi.nlm.nih.gov/geo/query/acc.cgi?acc=GSM1930084","GSM1930084")</f>
        <v>GSM1930084</v>
      </c>
      <c r="I10240" t="s">
        <v>161</v>
      </c>
      <c r="J10240" t="s">
        <v>193</v>
      </c>
      <c r="K10240" t="s">
        <v>19</v>
      </c>
      <c r="L10240" t="s">
        <v>162</v>
      </c>
      <c r="M10240" t="s">
        <v>41</v>
      </c>
      <c r="N10240" t="s">
        <v>22</v>
      </c>
    </row>
    <row r="10241" spans="1:14">
      <c r="A10241" s="4" t="str">
        <f t="shared" si="915"/>
        <v>EXP00343</v>
      </c>
      <c r="B10241" s="4" t="str">
        <f t="shared" ref="B10241:B10304" si="916">HYPERLINK("https://www.ncbi.nlm.nih.gov/pubmed/26667932","26667932")</f>
        <v>26667932</v>
      </c>
      <c r="C10241" s="4" t="str">
        <f t="shared" ref="C10241:C10304" si="917">HYPERLINK("https://www.ncbi.nlm.nih.gov/geo/query/acc.cgi?acc=GSE74685","GSE74685")</f>
        <v>GSE74685</v>
      </c>
      <c r="D10241" s="1" t="s">
        <v>447</v>
      </c>
      <c r="E10241" t="s">
        <v>448</v>
      </c>
      <c r="F10241" s="1">
        <v>2</v>
      </c>
      <c r="G10241" s="1" t="s">
        <v>451</v>
      </c>
      <c r="H10241" s="4" t="str">
        <f>HYPERLINK("https://www.ncbi.nlm.nih.gov/geo/query/acc.cgi?acc=GSM1930101","GSM1930101")</f>
        <v>GSM1930101</v>
      </c>
      <c r="I10241" t="s">
        <v>161</v>
      </c>
      <c r="J10241" t="s">
        <v>193</v>
      </c>
      <c r="K10241" t="s">
        <v>19</v>
      </c>
      <c r="L10241" t="s">
        <v>162</v>
      </c>
      <c r="M10241" t="s">
        <v>41</v>
      </c>
      <c r="N10241" t="s">
        <v>22</v>
      </c>
    </row>
    <row r="10242" spans="1:14">
      <c r="A10242" s="4" t="str">
        <f t="shared" si="915"/>
        <v>EXP00343</v>
      </c>
      <c r="B10242" s="4" t="str">
        <f t="shared" si="916"/>
        <v>26667932</v>
      </c>
      <c r="C10242" s="4" t="str">
        <f t="shared" si="917"/>
        <v>GSE74685</v>
      </c>
      <c r="D10242" s="1" t="s">
        <v>447</v>
      </c>
      <c r="E10242" t="s">
        <v>448</v>
      </c>
      <c r="F10242" s="1">
        <v>2</v>
      </c>
      <c r="G10242" s="1" t="s">
        <v>451</v>
      </c>
      <c r="H10242" s="4" t="str">
        <f>HYPERLINK("https://www.ncbi.nlm.nih.gov/geo/query/acc.cgi?acc=GSM1930107","GSM1930107")</f>
        <v>GSM1930107</v>
      </c>
      <c r="I10242" t="s">
        <v>161</v>
      </c>
      <c r="J10242" t="s">
        <v>193</v>
      </c>
      <c r="K10242" t="s">
        <v>19</v>
      </c>
      <c r="L10242" t="s">
        <v>162</v>
      </c>
      <c r="M10242" t="s">
        <v>41</v>
      </c>
      <c r="N10242" t="s">
        <v>22</v>
      </c>
    </row>
    <row r="10243" spans="1:14">
      <c r="A10243" s="4" t="str">
        <f t="shared" si="915"/>
        <v>EXP00343</v>
      </c>
      <c r="B10243" s="4" t="str">
        <f t="shared" si="916"/>
        <v>26667932</v>
      </c>
      <c r="C10243" s="4" t="str">
        <f t="shared" si="917"/>
        <v>GSE74685</v>
      </c>
      <c r="D10243" s="1" t="s">
        <v>447</v>
      </c>
      <c r="E10243" t="s">
        <v>448</v>
      </c>
      <c r="F10243" s="1">
        <v>2</v>
      </c>
      <c r="G10243" s="1" t="s">
        <v>451</v>
      </c>
      <c r="H10243" s="4" t="str">
        <f>HYPERLINK("https://www.ncbi.nlm.nih.gov/geo/query/acc.cgi?acc=GSM1930108","GSM1930108")</f>
        <v>GSM1930108</v>
      </c>
      <c r="I10243" t="s">
        <v>161</v>
      </c>
      <c r="J10243" t="s">
        <v>193</v>
      </c>
      <c r="K10243" t="s">
        <v>19</v>
      </c>
      <c r="L10243" t="s">
        <v>162</v>
      </c>
      <c r="M10243" t="s">
        <v>41</v>
      </c>
      <c r="N10243" t="s">
        <v>22</v>
      </c>
    </row>
    <row r="10244" spans="1:14">
      <c r="A10244" s="4" t="str">
        <f t="shared" si="915"/>
        <v>EXP00343</v>
      </c>
      <c r="B10244" s="4" t="str">
        <f t="shared" si="916"/>
        <v>26667932</v>
      </c>
      <c r="C10244" s="4" t="str">
        <f t="shared" si="917"/>
        <v>GSE74685</v>
      </c>
      <c r="D10244" s="1" t="s">
        <v>447</v>
      </c>
      <c r="E10244" t="s">
        <v>448</v>
      </c>
      <c r="F10244" s="1">
        <v>2</v>
      </c>
      <c r="G10244" s="1" t="s">
        <v>451</v>
      </c>
      <c r="H10244" s="4" t="str">
        <f>HYPERLINK("https://www.ncbi.nlm.nih.gov/geo/query/acc.cgi?acc=GSM1930122","GSM1930122")</f>
        <v>GSM1930122</v>
      </c>
      <c r="I10244" t="s">
        <v>161</v>
      </c>
      <c r="J10244" t="s">
        <v>193</v>
      </c>
      <c r="K10244" t="s">
        <v>19</v>
      </c>
      <c r="L10244" t="s">
        <v>162</v>
      </c>
      <c r="M10244" t="s">
        <v>41</v>
      </c>
      <c r="N10244" t="s">
        <v>22</v>
      </c>
    </row>
    <row r="10245" spans="1:14">
      <c r="A10245" s="4" t="str">
        <f t="shared" si="915"/>
        <v>EXP00343</v>
      </c>
      <c r="B10245" s="4" t="str">
        <f t="shared" si="916"/>
        <v>26667932</v>
      </c>
      <c r="C10245" s="4" t="str">
        <f t="shared" si="917"/>
        <v>GSE74685</v>
      </c>
      <c r="D10245" s="1" t="s">
        <v>447</v>
      </c>
      <c r="E10245" t="s">
        <v>448</v>
      </c>
      <c r="F10245" s="1">
        <v>2</v>
      </c>
      <c r="G10245" s="1" t="s">
        <v>451</v>
      </c>
      <c r="H10245" s="4" t="str">
        <f>HYPERLINK("https://www.ncbi.nlm.nih.gov/geo/query/acc.cgi?acc=GSM1930133","GSM1930133")</f>
        <v>GSM1930133</v>
      </c>
      <c r="I10245" t="s">
        <v>161</v>
      </c>
      <c r="J10245" t="s">
        <v>193</v>
      </c>
      <c r="K10245" t="s">
        <v>19</v>
      </c>
      <c r="L10245" t="s">
        <v>162</v>
      </c>
      <c r="M10245" t="s">
        <v>41</v>
      </c>
      <c r="N10245" t="s">
        <v>22</v>
      </c>
    </row>
    <row r="10246" spans="1:14">
      <c r="A10246" s="4" t="str">
        <f t="shared" si="915"/>
        <v>EXP00343</v>
      </c>
      <c r="B10246" s="4" t="str">
        <f t="shared" si="916"/>
        <v>26667932</v>
      </c>
      <c r="C10246" s="4" t="str">
        <f t="shared" si="917"/>
        <v>GSE74685</v>
      </c>
      <c r="D10246" s="1" t="s">
        <v>447</v>
      </c>
      <c r="E10246" t="s">
        <v>448</v>
      </c>
      <c r="F10246" s="1">
        <v>2</v>
      </c>
      <c r="G10246" s="1" t="s">
        <v>451</v>
      </c>
      <c r="H10246" s="4" t="str">
        <f>HYPERLINK("https://www.ncbi.nlm.nih.gov/geo/query/acc.cgi?acc=GSM1930135","GSM1930135")</f>
        <v>GSM1930135</v>
      </c>
      <c r="I10246" t="s">
        <v>161</v>
      </c>
      <c r="J10246" t="s">
        <v>193</v>
      </c>
      <c r="K10246" t="s">
        <v>19</v>
      </c>
      <c r="L10246" t="s">
        <v>162</v>
      </c>
      <c r="M10246" t="s">
        <v>41</v>
      </c>
      <c r="N10246" t="s">
        <v>22</v>
      </c>
    </row>
    <row r="10247" spans="1:14">
      <c r="A10247" s="4" t="str">
        <f t="shared" si="915"/>
        <v>EXP00343</v>
      </c>
      <c r="B10247" s="4" t="str">
        <f t="shared" si="916"/>
        <v>26667932</v>
      </c>
      <c r="C10247" s="4" t="str">
        <f t="shared" si="917"/>
        <v>GSE74685</v>
      </c>
      <c r="D10247" s="1" t="s">
        <v>447</v>
      </c>
      <c r="E10247" t="s">
        <v>448</v>
      </c>
      <c r="F10247" s="1">
        <v>2</v>
      </c>
      <c r="G10247" s="1" t="s">
        <v>451</v>
      </c>
      <c r="H10247" s="4" t="str">
        <f>HYPERLINK("https://www.ncbi.nlm.nih.gov/geo/query/acc.cgi?acc=GSM1930137","GSM1930137")</f>
        <v>GSM1930137</v>
      </c>
      <c r="I10247" t="s">
        <v>161</v>
      </c>
      <c r="J10247" t="s">
        <v>193</v>
      </c>
      <c r="K10247" t="s">
        <v>19</v>
      </c>
      <c r="L10247" t="s">
        <v>162</v>
      </c>
      <c r="M10247" t="s">
        <v>41</v>
      </c>
      <c r="N10247" t="s">
        <v>22</v>
      </c>
    </row>
    <row r="10248" spans="1:14">
      <c r="A10248" s="4" t="str">
        <f t="shared" si="915"/>
        <v>EXP00343</v>
      </c>
      <c r="B10248" s="4" t="str">
        <f t="shared" si="916"/>
        <v>26667932</v>
      </c>
      <c r="C10248" s="4" t="str">
        <f t="shared" si="917"/>
        <v>GSE74685</v>
      </c>
      <c r="D10248" s="1" t="s">
        <v>447</v>
      </c>
      <c r="E10248" t="s">
        <v>448</v>
      </c>
      <c r="F10248" s="1">
        <v>2</v>
      </c>
      <c r="G10248" s="1" t="s">
        <v>451</v>
      </c>
      <c r="H10248" s="4" t="str">
        <f>HYPERLINK("https://www.ncbi.nlm.nih.gov/geo/query/acc.cgi?acc=GSM1930143","GSM1930143")</f>
        <v>GSM1930143</v>
      </c>
      <c r="I10248" t="s">
        <v>161</v>
      </c>
      <c r="J10248" t="s">
        <v>193</v>
      </c>
      <c r="K10248" t="s">
        <v>19</v>
      </c>
      <c r="L10248" t="s">
        <v>162</v>
      </c>
      <c r="M10248" t="s">
        <v>41</v>
      </c>
      <c r="N10248" t="s">
        <v>22</v>
      </c>
    </row>
    <row r="10249" spans="1:14">
      <c r="A10249" s="4" t="str">
        <f t="shared" si="915"/>
        <v>EXP00343</v>
      </c>
      <c r="B10249" s="4" t="str">
        <f t="shared" si="916"/>
        <v>26667932</v>
      </c>
      <c r="C10249" s="4" t="str">
        <f t="shared" si="917"/>
        <v>GSE74685</v>
      </c>
      <c r="D10249" s="1" t="s">
        <v>447</v>
      </c>
      <c r="E10249" t="s">
        <v>448</v>
      </c>
      <c r="F10249" s="1">
        <v>2</v>
      </c>
      <c r="G10249" s="1" t="s">
        <v>451</v>
      </c>
      <c r="H10249" s="4" t="str">
        <f>HYPERLINK("https://www.ncbi.nlm.nih.gov/geo/query/acc.cgi?acc=GSM1930153","GSM1930153")</f>
        <v>GSM1930153</v>
      </c>
      <c r="I10249" t="s">
        <v>161</v>
      </c>
      <c r="J10249" t="s">
        <v>193</v>
      </c>
      <c r="K10249" t="s">
        <v>19</v>
      </c>
      <c r="L10249" t="s">
        <v>162</v>
      </c>
      <c r="M10249" t="s">
        <v>41</v>
      </c>
      <c r="N10249" t="s">
        <v>22</v>
      </c>
    </row>
    <row r="10250" spans="1:14">
      <c r="A10250" s="4" t="str">
        <f t="shared" ref="A10250:A10281" si="918">HYPERLINK("http://hcmdb.i-sanger.com/experiment/details/experiment_id/EXP00344","EXP00344")</f>
        <v>EXP00344</v>
      </c>
      <c r="B10250" s="4" t="str">
        <f t="shared" si="916"/>
        <v>26667932</v>
      </c>
      <c r="C10250" s="4" t="str">
        <f t="shared" si="917"/>
        <v>GSE74685</v>
      </c>
      <c r="D10250" s="1" t="s">
        <v>447</v>
      </c>
      <c r="E10250" t="s">
        <v>448</v>
      </c>
      <c r="F10250" s="1">
        <v>1</v>
      </c>
      <c r="G10250" s="1" t="s">
        <v>456</v>
      </c>
      <c r="H10250" s="4" t="str">
        <f>HYPERLINK("https://www.ncbi.nlm.nih.gov/geo/query/acc.cgi?acc=GSM1616656","GSM1616656")</f>
        <v>GSM1616656</v>
      </c>
      <c r="I10250" t="s">
        <v>161</v>
      </c>
      <c r="J10250" t="s">
        <v>193</v>
      </c>
      <c r="K10250" t="s">
        <v>19</v>
      </c>
      <c r="L10250" t="s">
        <v>162</v>
      </c>
      <c r="M10250" t="s">
        <v>61</v>
      </c>
      <c r="N10250" t="s">
        <v>22</v>
      </c>
    </row>
    <row r="10251" spans="1:14">
      <c r="A10251" s="4" t="str">
        <f t="shared" si="918"/>
        <v>EXP00344</v>
      </c>
      <c r="B10251" s="4" t="str">
        <f t="shared" si="916"/>
        <v>26667932</v>
      </c>
      <c r="C10251" s="4" t="str">
        <f t="shared" si="917"/>
        <v>GSE74685</v>
      </c>
      <c r="D10251" s="1" t="s">
        <v>447</v>
      </c>
      <c r="E10251" t="s">
        <v>448</v>
      </c>
      <c r="F10251" s="1">
        <v>1</v>
      </c>
      <c r="G10251" s="1" t="s">
        <v>456</v>
      </c>
      <c r="H10251" s="4" t="str">
        <f>HYPERLINK("https://www.ncbi.nlm.nih.gov/geo/query/acc.cgi?acc=GSM1930129","GSM1930129")</f>
        <v>GSM1930129</v>
      </c>
      <c r="I10251" t="s">
        <v>161</v>
      </c>
      <c r="J10251" t="s">
        <v>193</v>
      </c>
      <c r="K10251" t="s">
        <v>19</v>
      </c>
      <c r="L10251" t="s">
        <v>162</v>
      </c>
      <c r="M10251" t="s">
        <v>61</v>
      </c>
      <c r="N10251" t="s">
        <v>22</v>
      </c>
    </row>
    <row r="10252" spans="1:14">
      <c r="A10252" s="4" t="str">
        <f t="shared" si="918"/>
        <v>EXP00344</v>
      </c>
      <c r="B10252" s="4" t="str">
        <f t="shared" si="916"/>
        <v>26667932</v>
      </c>
      <c r="C10252" s="4" t="str">
        <f t="shared" si="917"/>
        <v>GSE74685</v>
      </c>
      <c r="D10252" s="1" t="s">
        <v>447</v>
      </c>
      <c r="E10252" t="s">
        <v>448</v>
      </c>
      <c r="F10252" s="1">
        <v>2</v>
      </c>
      <c r="G10252" s="1" t="s">
        <v>452</v>
      </c>
      <c r="H10252" s="4" t="str">
        <f>HYPERLINK("https://www.ncbi.nlm.nih.gov/geo/query/acc.cgi?acc=GSM1616615","GSM1616615")</f>
        <v>GSM1616615</v>
      </c>
      <c r="I10252" t="s">
        <v>161</v>
      </c>
      <c r="J10252" t="s">
        <v>193</v>
      </c>
      <c r="K10252" t="s">
        <v>19</v>
      </c>
      <c r="L10252" t="s">
        <v>162</v>
      </c>
      <c r="M10252" t="s">
        <v>24</v>
      </c>
      <c r="N10252" t="s">
        <v>22</v>
      </c>
    </row>
    <row r="10253" spans="1:14">
      <c r="A10253" s="4" t="str">
        <f t="shared" si="918"/>
        <v>EXP00344</v>
      </c>
      <c r="B10253" s="4" t="str">
        <f t="shared" si="916"/>
        <v>26667932</v>
      </c>
      <c r="C10253" s="4" t="str">
        <f t="shared" si="917"/>
        <v>GSE74685</v>
      </c>
      <c r="D10253" s="1" t="s">
        <v>447</v>
      </c>
      <c r="E10253" t="s">
        <v>448</v>
      </c>
      <c r="F10253" s="1">
        <v>2</v>
      </c>
      <c r="G10253" s="1" t="s">
        <v>452</v>
      </c>
      <c r="H10253" s="4" t="str">
        <f>HYPERLINK("https://www.ncbi.nlm.nih.gov/geo/query/acc.cgi?acc=GSM1616616","GSM1616616")</f>
        <v>GSM1616616</v>
      </c>
      <c r="I10253" t="s">
        <v>161</v>
      </c>
      <c r="J10253" t="s">
        <v>193</v>
      </c>
      <c r="K10253" t="s">
        <v>19</v>
      </c>
      <c r="L10253" t="s">
        <v>162</v>
      </c>
      <c r="M10253" t="s">
        <v>24</v>
      </c>
      <c r="N10253" t="s">
        <v>22</v>
      </c>
    </row>
    <row r="10254" spans="1:14">
      <c r="A10254" s="4" t="str">
        <f t="shared" si="918"/>
        <v>EXP00344</v>
      </c>
      <c r="B10254" s="4" t="str">
        <f t="shared" si="916"/>
        <v>26667932</v>
      </c>
      <c r="C10254" s="4" t="str">
        <f t="shared" si="917"/>
        <v>GSE74685</v>
      </c>
      <c r="D10254" s="1" t="s">
        <v>447</v>
      </c>
      <c r="E10254" t="s">
        <v>448</v>
      </c>
      <c r="F10254" s="1">
        <v>2</v>
      </c>
      <c r="G10254" s="1" t="s">
        <v>452</v>
      </c>
      <c r="H10254" s="4" t="str">
        <f>HYPERLINK("https://www.ncbi.nlm.nih.gov/geo/query/acc.cgi?acc=GSM1616619","GSM1616619")</f>
        <v>GSM1616619</v>
      </c>
      <c r="I10254" t="s">
        <v>161</v>
      </c>
      <c r="J10254" t="s">
        <v>193</v>
      </c>
      <c r="K10254" t="s">
        <v>19</v>
      </c>
      <c r="L10254" t="s">
        <v>162</v>
      </c>
      <c r="M10254" t="s">
        <v>24</v>
      </c>
      <c r="N10254" t="s">
        <v>22</v>
      </c>
    </row>
    <row r="10255" spans="1:14">
      <c r="A10255" s="4" t="str">
        <f t="shared" si="918"/>
        <v>EXP00344</v>
      </c>
      <c r="B10255" s="4" t="str">
        <f t="shared" si="916"/>
        <v>26667932</v>
      </c>
      <c r="C10255" s="4" t="str">
        <f t="shared" si="917"/>
        <v>GSE74685</v>
      </c>
      <c r="D10255" s="1" t="s">
        <v>447</v>
      </c>
      <c r="E10255" t="s">
        <v>448</v>
      </c>
      <c r="F10255" s="1">
        <v>2</v>
      </c>
      <c r="G10255" s="1" t="s">
        <v>452</v>
      </c>
      <c r="H10255" s="4" t="str">
        <f>HYPERLINK("https://www.ncbi.nlm.nih.gov/geo/query/acc.cgi?acc=GSM1616620","GSM1616620")</f>
        <v>GSM1616620</v>
      </c>
      <c r="I10255" t="s">
        <v>161</v>
      </c>
      <c r="J10255" t="s">
        <v>193</v>
      </c>
      <c r="K10255" t="s">
        <v>19</v>
      </c>
      <c r="L10255" t="s">
        <v>162</v>
      </c>
      <c r="M10255" t="s">
        <v>24</v>
      </c>
      <c r="N10255" t="s">
        <v>22</v>
      </c>
    </row>
    <row r="10256" spans="1:14">
      <c r="A10256" s="4" t="str">
        <f t="shared" si="918"/>
        <v>EXP00344</v>
      </c>
      <c r="B10256" s="4" t="str">
        <f t="shared" si="916"/>
        <v>26667932</v>
      </c>
      <c r="C10256" s="4" t="str">
        <f t="shared" si="917"/>
        <v>GSE74685</v>
      </c>
      <c r="D10256" s="1" t="s">
        <v>447</v>
      </c>
      <c r="E10256" t="s">
        <v>448</v>
      </c>
      <c r="F10256" s="1">
        <v>2</v>
      </c>
      <c r="G10256" s="1" t="s">
        <v>452</v>
      </c>
      <c r="H10256" s="4" t="str">
        <f>HYPERLINK("https://www.ncbi.nlm.nih.gov/geo/query/acc.cgi?acc=GSM1616622","GSM1616622")</f>
        <v>GSM1616622</v>
      </c>
      <c r="I10256" t="s">
        <v>161</v>
      </c>
      <c r="J10256" t="s">
        <v>193</v>
      </c>
      <c r="K10256" t="s">
        <v>19</v>
      </c>
      <c r="L10256" t="s">
        <v>162</v>
      </c>
      <c r="M10256" t="s">
        <v>24</v>
      </c>
      <c r="N10256" t="s">
        <v>22</v>
      </c>
    </row>
    <row r="10257" spans="1:14">
      <c r="A10257" s="4" t="str">
        <f t="shared" si="918"/>
        <v>EXP00344</v>
      </c>
      <c r="B10257" s="4" t="str">
        <f t="shared" si="916"/>
        <v>26667932</v>
      </c>
      <c r="C10257" s="4" t="str">
        <f t="shared" si="917"/>
        <v>GSE74685</v>
      </c>
      <c r="D10257" s="1" t="s">
        <v>447</v>
      </c>
      <c r="E10257" t="s">
        <v>448</v>
      </c>
      <c r="F10257" s="1">
        <v>2</v>
      </c>
      <c r="G10257" s="1" t="s">
        <v>452</v>
      </c>
      <c r="H10257" s="4" t="str">
        <f>HYPERLINK("https://www.ncbi.nlm.nih.gov/geo/query/acc.cgi?acc=GSM1616624","GSM1616624")</f>
        <v>GSM1616624</v>
      </c>
      <c r="I10257" t="s">
        <v>161</v>
      </c>
      <c r="J10257" t="s">
        <v>193</v>
      </c>
      <c r="K10257" t="s">
        <v>19</v>
      </c>
      <c r="L10257" t="s">
        <v>162</v>
      </c>
      <c r="M10257" t="s">
        <v>24</v>
      </c>
      <c r="N10257" t="s">
        <v>22</v>
      </c>
    </row>
    <row r="10258" spans="1:14">
      <c r="A10258" s="4" t="str">
        <f t="shared" si="918"/>
        <v>EXP00344</v>
      </c>
      <c r="B10258" s="4" t="str">
        <f t="shared" si="916"/>
        <v>26667932</v>
      </c>
      <c r="C10258" s="4" t="str">
        <f t="shared" si="917"/>
        <v>GSE74685</v>
      </c>
      <c r="D10258" s="1" t="s">
        <v>447</v>
      </c>
      <c r="E10258" t="s">
        <v>448</v>
      </c>
      <c r="F10258" s="1">
        <v>2</v>
      </c>
      <c r="G10258" s="1" t="s">
        <v>452</v>
      </c>
      <c r="H10258" s="4" t="str">
        <f>HYPERLINK("https://www.ncbi.nlm.nih.gov/geo/query/acc.cgi?acc=GSM1616626","GSM1616626")</f>
        <v>GSM1616626</v>
      </c>
      <c r="I10258" t="s">
        <v>161</v>
      </c>
      <c r="J10258" t="s">
        <v>193</v>
      </c>
      <c r="K10258" t="s">
        <v>19</v>
      </c>
      <c r="L10258" t="s">
        <v>162</v>
      </c>
      <c r="M10258" t="s">
        <v>24</v>
      </c>
      <c r="N10258" t="s">
        <v>22</v>
      </c>
    </row>
    <row r="10259" spans="1:14">
      <c r="A10259" s="4" t="str">
        <f t="shared" si="918"/>
        <v>EXP00344</v>
      </c>
      <c r="B10259" s="4" t="str">
        <f t="shared" si="916"/>
        <v>26667932</v>
      </c>
      <c r="C10259" s="4" t="str">
        <f t="shared" si="917"/>
        <v>GSE74685</v>
      </c>
      <c r="D10259" s="1" t="s">
        <v>447</v>
      </c>
      <c r="E10259" t="s">
        <v>448</v>
      </c>
      <c r="F10259" s="1">
        <v>2</v>
      </c>
      <c r="G10259" s="1" t="s">
        <v>452</v>
      </c>
      <c r="H10259" s="4" t="str">
        <f>HYPERLINK("https://www.ncbi.nlm.nih.gov/geo/query/acc.cgi?acc=GSM1616633","GSM1616633")</f>
        <v>GSM1616633</v>
      </c>
      <c r="I10259" t="s">
        <v>161</v>
      </c>
      <c r="J10259" t="s">
        <v>193</v>
      </c>
      <c r="K10259" t="s">
        <v>19</v>
      </c>
      <c r="L10259" t="s">
        <v>162</v>
      </c>
      <c r="M10259" t="s">
        <v>24</v>
      </c>
      <c r="N10259" t="s">
        <v>22</v>
      </c>
    </row>
    <row r="10260" spans="1:14">
      <c r="A10260" s="4" t="str">
        <f t="shared" si="918"/>
        <v>EXP00344</v>
      </c>
      <c r="B10260" s="4" t="str">
        <f t="shared" si="916"/>
        <v>26667932</v>
      </c>
      <c r="C10260" s="4" t="str">
        <f t="shared" si="917"/>
        <v>GSE74685</v>
      </c>
      <c r="D10260" s="1" t="s">
        <v>447</v>
      </c>
      <c r="E10260" t="s">
        <v>448</v>
      </c>
      <c r="F10260" s="1">
        <v>2</v>
      </c>
      <c r="G10260" s="1" t="s">
        <v>452</v>
      </c>
      <c r="H10260" s="4" t="str">
        <f>HYPERLINK("https://www.ncbi.nlm.nih.gov/geo/query/acc.cgi?acc=GSM1616634","GSM1616634")</f>
        <v>GSM1616634</v>
      </c>
      <c r="I10260" t="s">
        <v>161</v>
      </c>
      <c r="J10260" t="s">
        <v>193</v>
      </c>
      <c r="K10260" t="s">
        <v>19</v>
      </c>
      <c r="L10260" t="s">
        <v>162</v>
      </c>
      <c r="M10260" t="s">
        <v>24</v>
      </c>
      <c r="N10260" t="s">
        <v>22</v>
      </c>
    </row>
    <row r="10261" spans="1:14">
      <c r="A10261" s="4" t="str">
        <f t="shared" si="918"/>
        <v>EXP00344</v>
      </c>
      <c r="B10261" s="4" t="str">
        <f t="shared" si="916"/>
        <v>26667932</v>
      </c>
      <c r="C10261" s="4" t="str">
        <f t="shared" si="917"/>
        <v>GSE74685</v>
      </c>
      <c r="D10261" s="1" t="s">
        <v>447</v>
      </c>
      <c r="E10261" t="s">
        <v>448</v>
      </c>
      <c r="F10261" s="1">
        <v>2</v>
      </c>
      <c r="G10261" s="1" t="s">
        <v>452</v>
      </c>
      <c r="H10261" s="4" t="str">
        <f>HYPERLINK("https://www.ncbi.nlm.nih.gov/geo/query/acc.cgi?acc=GSM1616635","GSM1616635")</f>
        <v>GSM1616635</v>
      </c>
      <c r="I10261" t="s">
        <v>161</v>
      </c>
      <c r="J10261" t="s">
        <v>193</v>
      </c>
      <c r="K10261" t="s">
        <v>19</v>
      </c>
      <c r="L10261" t="s">
        <v>162</v>
      </c>
      <c r="M10261" t="s">
        <v>24</v>
      </c>
      <c r="N10261" t="s">
        <v>22</v>
      </c>
    </row>
    <row r="10262" spans="1:14">
      <c r="A10262" s="4" t="str">
        <f t="shared" si="918"/>
        <v>EXP00344</v>
      </c>
      <c r="B10262" s="4" t="str">
        <f t="shared" si="916"/>
        <v>26667932</v>
      </c>
      <c r="C10262" s="4" t="str">
        <f t="shared" si="917"/>
        <v>GSE74685</v>
      </c>
      <c r="D10262" s="1" t="s">
        <v>447</v>
      </c>
      <c r="E10262" t="s">
        <v>448</v>
      </c>
      <c r="F10262" s="1">
        <v>2</v>
      </c>
      <c r="G10262" s="1" t="s">
        <v>452</v>
      </c>
      <c r="H10262" s="4" t="str">
        <f>HYPERLINK("https://www.ncbi.nlm.nih.gov/geo/query/acc.cgi?acc=GSM1616636","GSM1616636")</f>
        <v>GSM1616636</v>
      </c>
      <c r="I10262" t="s">
        <v>161</v>
      </c>
      <c r="J10262" t="s">
        <v>193</v>
      </c>
      <c r="K10262" t="s">
        <v>19</v>
      </c>
      <c r="L10262" t="s">
        <v>162</v>
      </c>
      <c r="M10262" t="s">
        <v>24</v>
      </c>
      <c r="N10262" t="s">
        <v>22</v>
      </c>
    </row>
    <row r="10263" spans="1:14">
      <c r="A10263" s="4" t="str">
        <f t="shared" si="918"/>
        <v>EXP00344</v>
      </c>
      <c r="B10263" s="4" t="str">
        <f t="shared" si="916"/>
        <v>26667932</v>
      </c>
      <c r="C10263" s="4" t="str">
        <f t="shared" si="917"/>
        <v>GSE74685</v>
      </c>
      <c r="D10263" s="1" t="s">
        <v>447</v>
      </c>
      <c r="E10263" t="s">
        <v>448</v>
      </c>
      <c r="F10263" s="1">
        <v>2</v>
      </c>
      <c r="G10263" s="1" t="s">
        <v>452</v>
      </c>
      <c r="H10263" s="4" t="str">
        <f>HYPERLINK("https://www.ncbi.nlm.nih.gov/geo/query/acc.cgi?acc=GSM1616639","GSM1616639")</f>
        <v>GSM1616639</v>
      </c>
      <c r="I10263" t="s">
        <v>161</v>
      </c>
      <c r="J10263" t="s">
        <v>193</v>
      </c>
      <c r="K10263" t="s">
        <v>19</v>
      </c>
      <c r="L10263" t="s">
        <v>162</v>
      </c>
      <c r="M10263" t="s">
        <v>24</v>
      </c>
      <c r="N10263" t="s">
        <v>22</v>
      </c>
    </row>
    <row r="10264" spans="1:14">
      <c r="A10264" s="4" t="str">
        <f t="shared" si="918"/>
        <v>EXP00344</v>
      </c>
      <c r="B10264" s="4" t="str">
        <f t="shared" si="916"/>
        <v>26667932</v>
      </c>
      <c r="C10264" s="4" t="str">
        <f t="shared" si="917"/>
        <v>GSE74685</v>
      </c>
      <c r="D10264" s="1" t="s">
        <v>447</v>
      </c>
      <c r="E10264" t="s">
        <v>448</v>
      </c>
      <c r="F10264" s="1">
        <v>2</v>
      </c>
      <c r="G10264" s="1" t="s">
        <v>452</v>
      </c>
      <c r="H10264" s="4" t="str">
        <f>HYPERLINK("https://www.ncbi.nlm.nih.gov/geo/query/acc.cgi?acc=GSM1616642","GSM1616642")</f>
        <v>GSM1616642</v>
      </c>
      <c r="I10264" t="s">
        <v>161</v>
      </c>
      <c r="J10264" t="s">
        <v>193</v>
      </c>
      <c r="K10264" t="s">
        <v>19</v>
      </c>
      <c r="L10264" t="s">
        <v>162</v>
      </c>
      <c r="M10264" t="s">
        <v>24</v>
      </c>
      <c r="N10264" t="s">
        <v>22</v>
      </c>
    </row>
    <row r="10265" spans="1:14">
      <c r="A10265" s="4" t="str">
        <f t="shared" si="918"/>
        <v>EXP00344</v>
      </c>
      <c r="B10265" s="4" t="str">
        <f t="shared" si="916"/>
        <v>26667932</v>
      </c>
      <c r="C10265" s="4" t="str">
        <f t="shared" si="917"/>
        <v>GSE74685</v>
      </c>
      <c r="D10265" s="1" t="s">
        <v>447</v>
      </c>
      <c r="E10265" t="s">
        <v>448</v>
      </c>
      <c r="F10265" s="1">
        <v>2</v>
      </c>
      <c r="G10265" s="1" t="s">
        <v>452</v>
      </c>
      <c r="H10265" s="4" t="str">
        <f>HYPERLINK("https://www.ncbi.nlm.nih.gov/geo/query/acc.cgi?acc=GSM1616644","GSM1616644")</f>
        <v>GSM1616644</v>
      </c>
      <c r="I10265" t="s">
        <v>161</v>
      </c>
      <c r="J10265" t="s">
        <v>193</v>
      </c>
      <c r="K10265" t="s">
        <v>19</v>
      </c>
      <c r="L10265" t="s">
        <v>162</v>
      </c>
      <c r="M10265" t="s">
        <v>24</v>
      </c>
      <c r="N10265" t="s">
        <v>22</v>
      </c>
    </row>
    <row r="10266" spans="1:14">
      <c r="A10266" s="4" t="str">
        <f t="shared" si="918"/>
        <v>EXP00344</v>
      </c>
      <c r="B10266" s="4" t="str">
        <f t="shared" si="916"/>
        <v>26667932</v>
      </c>
      <c r="C10266" s="4" t="str">
        <f t="shared" si="917"/>
        <v>GSE74685</v>
      </c>
      <c r="D10266" s="1" t="s">
        <v>447</v>
      </c>
      <c r="E10266" t="s">
        <v>448</v>
      </c>
      <c r="F10266" s="1">
        <v>2</v>
      </c>
      <c r="G10266" s="1" t="s">
        <v>452</v>
      </c>
      <c r="H10266" s="4" t="str">
        <f>HYPERLINK("https://www.ncbi.nlm.nih.gov/geo/query/acc.cgi?acc=GSM1616645","GSM1616645")</f>
        <v>GSM1616645</v>
      </c>
      <c r="I10266" t="s">
        <v>161</v>
      </c>
      <c r="J10266" t="s">
        <v>193</v>
      </c>
      <c r="K10266" t="s">
        <v>19</v>
      </c>
      <c r="L10266" t="s">
        <v>162</v>
      </c>
      <c r="M10266" t="s">
        <v>24</v>
      </c>
      <c r="N10266" t="s">
        <v>22</v>
      </c>
    </row>
    <row r="10267" spans="1:14">
      <c r="A10267" s="4" t="str">
        <f t="shared" si="918"/>
        <v>EXP00344</v>
      </c>
      <c r="B10267" s="4" t="str">
        <f t="shared" si="916"/>
        <v>26667932</v>
      </c>
      <c r="C10267" s="4" t="str">
        <f t="shared" si="917"/>
        <v>GSE74685</v>
      </c>
      <c r="D10267" s="1" t="s">
        <v>447</v>
      </c>
      <c r="E10267" t="s">
        <v>448</v>
      </c>
      <c r="F10267" s="1">
        <v>2</v>
      </c>
      <c r="G10267" s="1" t="s">
        <v>452</v>
      </c>
      <c r="H10267" s="4" t="str">
        <f>HYPERLINK("https://www.ncbi.nlm.nih.gov/geo/query/acc.cgi?acc=GSM1616649","GSM1616649")</f>
        <v>GSM1616649</v>
      </c>
      <c r="I10267" t="s">
        <v>161</v>
      </c>
      <c r="J10267" t="s">
        <v>193</v>
      </c>
      <c r="K10267" t="s">
        <v>19</v>
      </c>
      <c r="L10267" t="s">
        <v>162</v>
      </c>
      <c r="M10267" t="s">
        <v>24</v>
      </c>
      <c r="N10267" t="s">
        <v>22</v>
      </c>
    </row>
    <row r="10268" spans="1:14">
      <c r="A10268" s="4" t="str">
        <f t="shared" si="918"/>
        <v>EXP00344</v>
      </c>
      <c r="B10268" s="4" t="str">
        <f t="shared" si="916"/>
        <v>26667932</v>
      </c>
      <c r="C10268" s="4" t="str">
        <f t="shared" si="917"/>
        <v>GSE74685</v>
      </c>
      <c r="D10268" s="1" t="s">
        <v>447</v>
      </c>
      <c r="E10268" t="s">
        <v>448</v>
      </c>
      <c r="F10268" s="1">
        <v>2</v>
      </c>
      <c r="G10268" s="1" t="s">
        <v>452</v>
      </c>
      <c r="H10268" s="4" t="str">
        <f>HYPERLINK("https://www.ncbi.nlm.nih.gov/geo/query/acc.cgi?acc=GSM1616653","GSM1616653")</f>
        <v>GSM1616653</v>
      </c>
      <c r="I10268" t="s">
        <v>161</v>
      </c>
      <c r="J10268" t="s">
        <v>193</v>
      </c>
      <c r="K10268" t="s">
        <v>19</v>
      </c>
      <c r="L10268" t="s">
        <v>162</v>
      </c>
      <c r="M10268" t="s">
        <v>24</v>
      </c>
      <c r="N10268" t="s">
        <v>22</v>
      </c>
    </row>
    <row r="10269" spans="1:14">
      <c r="A10269" s="4" t="str">
        <f t="shared" si="918"/>
        <v>EXP00344</v>
      </c>
      <c r="B10269" s="4" t="str">
        <f t="shared" si="916"/>
        <v>26667932</v>
      </c>
      <c r="C10269" s="4" t="str">
        <f t="shared" si="917"/>
        <v>GSE74685</v>
      </c>
      <c r="D10269" s="1" t="s">
        <v>447</v>
      </c>
      <c r="E10269" t="s">
        <v>448</v>
      </c>
      <c r="F10269" s="1">
        <v>2</v>
      </c>
      <c r="G10269" s="1" t="s">
        <v>452</v>
      </c>
      <c r="H10269" s="4" t="str">
        <f>HYPERLINK("https://www.ncbi.nlm.nih.gov/geo/query/acc.cgi?acc=GSM1616659","GSM1616659")</f>
        <v>GSM1616659</v>
      </c>
      <c r="I10269" t="s">
        <v>161</v>
      </c>
      <c r="J10269" t="s">
        <v>193</v>
      </c>
      <c r="K10269" t="s">
        <v>19</v>
      </c>
      <c r="L10269" t="s">
        <v>162</v>
      </c>
      <c r="M10269" t="s">
        <v>24</v>
      </c>
      <c r="N10269" t="s">
        <v>22</v>
      </c>
    </row>
    <row r="10270" spans="1:14">
      <c r="A10270" s="4" t="str">
        <f t="shared" si="918"/>
        <v>EXP00344</v>
      </c>
      <c r="B10270" s="4" t="str">
        <f t="shared" si="916"/>
        <v>26667932</v>
      </c>
      <c r="C10270" s="4" t="str">
        <f t="shared" si="917"/>
        <v>GSE74685</v>
      </c>
      <c r="D10270" s="1" t="s">
        <v>447</v>
      </c>
      <c r="E10270" t="s">
        <v>448</v>
      </c>
      <c r="F10270" s="1">
        <v>2</v>
      </c>
      <c r="G10270" s="1" t="s">
        <v>452</v>
      </c>
      <c r="H10270" s="4" t="str">
        <f>HYPERLINK("https://www.ncbi.nlm.nih.gov/geo/query/acc.cgi?acc=GSM1616661","GSM1616661")</f>
        <v>GSM1616661</v>
      </c>
      <c r="I10270" t="s">
        <v>161</v>
      </c>
      <c r="J10270" t="s">
        <v>193</v>
      </c>
      <c r="K10270" t="s">
        <v>19</v>
      </c>
      <c r="L10270" t="s">
        <v>162</v>
      </c>
      <c r="M10270" t="s">
        <v>24</v>
      </c>
      <c r="N10270" t="s">
        <v>22</v>
      </c>
    </row>
    <row r="10271" spans="1:14">
      <c r="A10271" s="4" t="str">
        <f t="shared" si="918"/>
        <v>EXP00344</v>
      </c>
      <c r="B10271" s="4" t="str">
        <f t="shared" si="916"/>
        <v>26667932</v>
      </c>
      <c r="C10271" s="4" t="str">
        <f t="shared" si="917"/>
        <v>GSE74685</v>
      </c>
      <c r="D10271" s="1" t="s">
        <v>447</v>
      </c>
      <c r="E10271" t="s">
        <v>448</v>
      </c>
      <c r="F10271" s="1">
        <v>2</v>
      </c>
      <c r="G10271" s="1" t="s">
        <v>452</v>
      </c>
      <c r="H10271" s="4" t="str">
        <f>HYPERLINK("https://www.ncbi.nlm.nih.gov/geo/query/acc.cgi?acc=GSM1616662","GSM1616662")</f>
        <v>GSM1616662</v>
      </c>
      <c r="I10271" t="s">
        <v>161</v>
      </c>
      <c r="J10271" t="s">
        <v>193</v>
      </c>
      <c r="K10271" t="s">
        <v>19</v>
      </c>
      <c r="L10271" t="s">
        <v>162</v>
      </c>
      <c r="M10271" t="s">
        <v>24</v>
      </c>
      <c r="N10271" t="s">
        <v>22</v>
      </c>
    </row>
    <row r="10272" spans="1:14">
      <c r="A10272" s="4" t="str">
        <f t="shared" si="918"/>
        <v>EXP00344</v>
      </c>
      <c r="B10272" s="4" t="str">
        <f t="shared" si="916"/>
        <v>26667932</v>
      </c>
      <c r="C10272" s="4" t="str">
        <f t="shared" si="917"/>
        <v>GSE74685</v>
      </c>
      <c r="D10272" s="1" t="s">
        <v>447</v>
      </c>
      <c r="E10272" t="s">
        <v>448</v>
      </c>
      <c r="F10272" s="1">
        <v>2</v>
      </c>
      <c r="G10272" s="1" t="s">
        <v>452</v>
      </c>
      <c r="H10272" s="4" t="str">
        <f>HYPERLINK("https://www.ncbi.nlm.nih.gov/geo/query/acc.cgi?acc=GSM1616664","GSM1616664")</f>
        <v>GSM1616664</v>
      </c>
      <c r="I10272" t="s">
        <v>161</v>
      </c>
      <c r="J10272" t="s">
        <v>193</v>
      </c>
      <c r="K10272" t="s">
        <v>19</v>
      </c>
      <c r="L10272" t="s">
        <v>162</v>
      </c>
      <c r="M10272" t="s">
        <v>24</v>
      </c>
      <c r="N10272" t="s">
        <v>22</v>
      </c>
    </row>
    <row r="10273" spans="1:14">
      <c r="A10273" s="4" t="str">
        <f t="shared" si="918"/>
        <v>EXP00344</v>
      </c>
      <c r="B10273" s="4" t="str">
        <f t="shared" si="916"/>
        <v>26667932</v>
      </c>
      <c r="C10273" s="4" t="str">
        <f t="shared" si="917"/>
        <v>GSE74685</v>
      </c>
      <c r="D10273" s="1" t="s">
        <v>447</v>
      </c>
      <c r="E10273" t="s">
        <v>448</v>
      </c>
      <c r="F10273" s="1">
        <v>2</v>
      </c>
      <c r="G10273" s="1" t="s">
        <v>452</v>
      </c>
      <c r="H10273" s="4" t="str">
        <f>HYPERLINK("https://www.ncbi.nlm.nih.gov/geo/query/acc.cgi?acc=GSM1616669","GSM1616669")</f>
        <v>GSM1616669</v>
      </c>
      <c r="I10273" t="s">
        <v>161</v>
      </c>
      <c r="J10273" t="s">
        <v>193</v>
      </c>
      <c r="K10273" t="s">
        <v>19</v>
      </c>
      <c r="L10273" t="s">
        <v>162</v>
      </c>
      <c r="M10273" t="s">
        <v>24</v>
      </c>
      <c r="N10273" t="s">
        <v>22</v>
      </c>
    </row>
    <row r="10274" spans="1:14">
      <c r="A10274" s="4" t="str">
        <f t="shared" si="918"/>
        <v>EXP00344</v>
      </c>
      <c r="B10274" s="4" t="str">
        <f t="shared" si="916"/>
        <v>26667932</v>
      </c>
      <c r="C10274" s="4" t="str">
        <f t="shared" si="917"/>
        <v>GSE74685</v>
      </c>
      <c r="D10274" s="1" t="s">
        <v>447</v>
      </c>
      <c r="E10274" t="s">
        <v>448</v>
      </c>
      <c r="F10274" s="1">
        <v>2</v>
      </c>
      <c r="G10274" s="1" t="s">
        <v>452</v>
      </c>
      <c r="H10274" s="4" t="str">
        <f>HYPERLINK("https://www.ncbi.nlm.nih.gov/geo/query/acc.cgi?acc=GSM1616670","GSM1616670")</f>
        <v>GSM1616670</v>
      </c>
      <c r="I10274" t="s">
        <v>161</v>
      </c>
      <c r="J10274" t="s">
        <v>193</v>
      </c>
      <c r="K10274" t="s">
        <v>19</v>
      </c>
      <c r="L10274" t="s">
        <v>162</v>
      </c>
      <c r="M10274" t="s">
        <v>24</v>
      </c>
      <c r="N10274" t="s">
        <v>22</v>
      </c>
    </row>
    <row r="10275" spans="1:14">
      <c r="A10275" s="4" t="str">
        <f t="shared" si="918"/>
        <v>EXP00344</v>
      </c>
      <c r="B10275" s="4" t="str">
        <f t="shared" si="916"/>
        <v>26667932</v>
      </c>
      <c r="C10275" s="4" t="str">
        <f t="shared" si="917"/>
        <v>GSE74685</v>
      </c>
      <c r="D10275" s="1" t="s">
        <v>447</v>
      </c>
      <c r="E10275" t="s">
        <v>448</v>
      </c>
      <c r="F10275" s="1">
        <v>2</v>
      </c>
      <c r="G10275" s="1" t="s">
        <v>452</v>
      </c>
      <c r="H10275" s="4" t="str">
        <f>HYPERLINK("https://www.ncbi.nlm.nih.gov/geo/query/acc.cgi?acc=GSM1616672","GSM1616672")</f>
        <v>GSM1616672</v>
      </c>
      <c r="I10275" t="s">
        <v>161</v>
      </c>
      <c r="J10275" t="s">
        <v>193</v>
      </c>
      <c r="K10275" t="s">
        <v>19</v>
      </c>
      <c r="L10275" t="s">
        <v>162</v>
      </c>
      <c r="M10275" t="s">
        <v>24</v>
      </c>
      <c r="N10275" t="s">
        <v>22</v>
      </c>
    </row>
    <row r="10276" spans="1:14">
      <c r="A10276" s="4" t="str">
        <f t="shared" si="918"/>
        <v>EXP00344</v>
      </c>
      <c r="B10276" s="4" t="str">
        <f t="shared" si="916"/>
        <v>26667932</v>
      </c>
      <c r="C10276" s="4" t="str">
        <f t="shared" si="917"/>
        <v>GSE74685</v>
      </c>
      <c r="D10276" s="1" t="s">
        <v>447</v>
      </c>
      <c r="E10276" t="s">
        <v>448</v>
      </c>
      <c r="F10276" s="1">
        <v>2</v>
      </c>
      <c r="G10276" s="1" t="s">
        <v>452</v>
      </c>
      <c r="H10276" s="4" t="str">
        <f>HYPERLINK("https://www.ncbi.nlm.nih.gov/geo/query/acc.cgi?acc=GSM1616676","GSM1616676")</f>
        <v>GSM1616676</v>
      </c>
      <c r="I10276" t="s">
        <v>161</v>
      </c>
      <c r="J10276" t="s">
        <v>193</v>
      </c>
      <c r="K10276" t="s">
        <v>19</v>
      </c>
      <c r="L10276" t="s">
        <v>162</v>
      </c>
      <c r="M10276" t="s">
        <v>24</v>
      </c>
      <c r="N10276" t="s">
        <v>22</v>
      </c>
    </row>
    <row r="10277" spans="1:14">
      <c r="A10277" s="4" t="str">
        <f t="shared" si="918"/>
        <v>EXP00344</v>
      </c>
      <c r="B10277" s="4" t="str">
        <f t="shared" si="916"/>
        <v>26667932</v>
      </c>
      <c r="C10277" s="4" t="str">
        <f t="shared" si="917"/>
        <v>GSE74685</v>
      </c>
      <c r="D10277" s="1" t="s">
        <v>447</v>
      </c>
      <c r="E10277" t="s">
        <v>448</v>
      </c>
      <c r="F10277" s="1">
        <v>2</v>
      </c>
      <c r="G10277" s="1" t="s">
        <v>452</v>
      </c>
      <c r="H10277" s="4" t="str">
        <f>HYPERLINK("https://www.ncbi.nlm.nih.gov/geo/query/acc.cgi?acc=GSM1616682","GSM1616682")</f>
        <v>GSM1616682</v>
      </c>
      <c r="I10277" t="s">
        <v>161</v>
      </c>
      <c r="J10277" t="s">
        <v>193</v>
      </c>
      <c r="K10277" t="s">
        <v>19</v>
      </c>
      <c r="L10277" t="s">
        <v>162</v>
      </c>
      <c r="M10277" t="s">
        <v>24</v>
      </c>
      <c r="N10277" t="s">
        <v>22</v>
      </c>
    </row>
    <row r="10278" spans="1:14">
      <c r="A10278" s="4" t="str">
        <f t="shared" si="918"/>
        <v>EXP00344</v>
      </c>
      <c r="B10278" s="4" t="str">
        <f t="shared" si="916"/>
        <v>26667932</v>
      </c>
      <c r="C10278" s="4" t="str">
        <f t="shared" si="917"/>
        <v>GSE74685</v>
      </c>
      <c r="D10278" s="1" t="s">
        <v>447</v>
      </c>
      <c r="E10278" t="s">
        <v>448</v>
      </c>
      <c r="F10278" s="1">
        <v>2</v>
      </c>
      <c r="G10278" s="1" t="s">
        <v>452</v>
      </c>
      <c r="H10278" s="4" t="str">
        <f>HYPERLINK("https://www.ncbi.nlm.nih.gov/geo/query/acc.cgi?acc=GSM1616684","GSM1616684")</f>
        <v>GSM1616684</v>
      </c>
      <c r="I10278" t="s">
        <v>161</v>
      </c>
      <c r="J10278" t="s">
        <v>193</v>
      </c>
      <c r="K10278" t="s">
        <v>19</v>
      </c>
      <c r="L10278" t="s">
        <v>162</v>
      </c>
      <c r="M10278" t="s">
        <v>24</v>
      </c>
      <c r="N10278" t="s">
        <v>22</v>
      </c>
    </row>
    <row r="10279" spans="1:14">
      <c r="A10279" s="4" t="str">
        <f t="shared" si="918"/>
        <v>EXP00344</v>
      </c>
      <c r="B10279" s="4" t="str">
        <f t="shared" si="916"/>
        <v>26667932</v>
      </c>
      <c r="C10279" s="4" t="str">
        <f t="shared" si="917"/>
        <v>GSE74685</v>
      </c>
      <c r="D10279" s="1" t="s">
        <v>447</v>
      </c>
      <c r="E10279" t="s">
        <v>448</v>
      </c>
      <c r="F10279" s="1">
        <v>2</v>
      </c>
      <c r="G10279" s="1" t="s">
        <v>452</v>
      </c>
      <c r="H10279" s="4" t="str">
        <f>HYPERLINK("https://www.ncbi.nlm.nih.gov/geo/query/acc.cgi?acc=GSM1918978","GSM1918978")</f>
        <v>GSM1918978</v>
      </c>
      <c r="I10279" t="s">
        <v>161</v>
      </c>
      <c r="J10279" t="s">
        <v>193</v>
      </c>
      <c r="K10279" t="s">
        <v>19</v>
      </c>
      <c r="L10279" t="s">
        <v>162</v>
      </c>
      <c r="M10279" t="s">
        <v>24</v>
      </c>
      <c r="N10279" t="s">
        <v>22</v>
      </c>
    </row>
    <row r="10280" spans="1:14">
      <c r="A10280" s="4" t="str">
        <f t="shared" si="918"/>
        <v>EXP00344</v>
      </c>
      <c r="B10280" s="4" t="str">
        <f t="shared" si="916"/>
        <v>26667932</v>
      </c>
      <c r="C10280" s="4" t="str">
        <f t="shared" si="917"/>
        <v>GSE74685</v>
      </c>
      <c r="D10280" s="1" t="s">
        <v>447</v>
      </c>
      <c r="E10280" t="s">
        <v>448</v>
      </c>
      <c r="F10280" s="1">
        <v>2</v>
      </c>
      <c r="G10280" s="1" t="s">
        <v>452</v>
      </c>
      <c r="H10280" s="4" t="str">
        <f>HYPERLINK("https://www.ncbi.nlm.nih.gov/geo/query/acc.cgi?acc=GSM1930063","GSM1930063")</f>
        <v>GSM1930063</v>
      </c>
      <c r="I10280" t="s">
        <v>161</v>
      </c>
      <c r="J10280" t="s">
        <v>193</v>
      </c>
      <c r="K10280" t="s">
        <v>19</v>
      </c>
      <c r="L10280" t="s">
        <v>162</v>
      </c>
      <c r="M10280" t="s">
        <v>24</v>
      </c>
      <c r="N10280" t="s">
        <v>22</v>
      </c>
    </row>
    <row r="10281" spans="1:14">
      <c r="A10281" s="4" t="str">
        <f t="shared" si="918"/>
        <v>EXP00344</v>
      </c>
      <c r="B10281" s="4" t="str">
        <f t="shared" si="916"/>
        <v>26667932</v>
      </c>
      <c r="C10281" s="4" t="str">
        <f t="shared" si="917"/>
        <v>GSE74685</v>
      </c>
      <c r="D10281" s="1" t="s">
        <v>447</v>
      </c>
      <c r="E10281" t="s">
        <v>448</v>
      </c>
      <c r="F10281" s="1">
        <v>2</v>
      </c>
      <c r="G10281" s="1" t="s">
        <v>452</v>
      </c>
      <c r="H10281" s="4" t="str">
        <f>HYPERLINK("https://www.ncbi.nlm.nih.gov/geo/query/acc.cgi?acc=GSM1930065","GSM1930065")</f>
        <v>GSM1930065</v>
      </c>
      <c r="I10281" t="s">
        <v>161</v>
      </c>
      <c r="J10281" t="s">
        <v>193</v>
      </c>
      <c r="K10281" t="s">
        <v>19</v>
      </c>
      <c r="L10281" t="s">
        <v>162</v>
      </c>
      <c r="M10281" t="s">
        <v>24</v>
      </c>
      <c r="N10281" t="s">
        <v>22</v>
      </c>
    </row>
    <row r="10282" spans="1:14">
      <c r="A10282" s="4" t="str">
        <f t="shared" ref="A10282:A10313" si="919">HYPERLINK("http://hcmdb.i-sanger.com/experiment/details/experiment_id/EXP00344","EXP00344")</f>
        <v>EXP00344</v>
      </c>
      <c r="B10282" s="4" t="str">
        <f t="shared" si="916"/>
        <v>26667932</v>
      </c>
      <c r="C10282" s="4" t="str">
        <f t="shared" si="917"/>
        <v>GSE74685</v>
      </c>
      <c r="D10282" s="1" t="s">
        <v>447</v>
      </c>
      <c r="E10282" t="s">
        <v>448</v>
      </c>
      <c r="F10282" s="1">
        <v>2</v>
      </c>
      <c r="G10282" s="1" t="s">
        <v>452</v>
      </c>
      <c r="H10282" s="4" t="str">
        <f>HYPERLINK("https://www.ncbi.nlm.nih.gov/geo/query/acc.cgi?acc=GSM1930068","GSM1930068")</f>
        <v>GSM1930068</v>
      </c>
      <c r="I10282" t="s">
        <v>161</v>
      </c>
      <c r="J10282" t="s">
        <v>193</v>
      </c>
      <c r="K10282" t="s">
        <v>19</v>
      </c>
      <c r="L10282" t="s">
        <v>162</v>
      </c>
      <c r="M10282" t="s">
        <v>24</v>
      </c>
      <c r="N10282" t="s">
        <v>22</v>
      </c>
    </row>
    <row r="10283" spans="1:14">
      <c r="A10283" s="4" t="str">
        <f t="shared" si="919"/>
        <v>EXP00344</v>
      </c>
      <c r="B10283" s="4" t="str">
        <f t="shared" si="916"/>
        <v>26667932</v>
      </c>
      <c r="C10283" s="4" t="str">
        <f t="shared" si="917"/>
        <v>GSE74685</v>
      </c>
      <c r="D10283" s="1" t="s">
        <v>447</v>
      </c>
      <c r="E10283" t="s">
        <v>448</v>
      </c>
      <c r="F10283" s="1">
        <v>2</v>
      </c>
      <c r="G10283" s="1" t="s">
        <v>452</v>
      </c>
      <c r="H10283" s="4" t="str">
        <f>HYPERLINK("https://www.ncbi.nlm.nih.gov/geo/query/acc.cgi?acc=GSM1930071","GSM1930071")</f>
        <v>GSM1930071</v>
      </c>
      <c r="I10283" t="s">
        <v>161</v>
      </c>
      <c r="J10283" t="s">
        <v>193</v>
      </c>
      <c r="K10283" t="s">
        <v>19</v>
      </c>
      <c r="L10283" t="s">
        <v>162</v>
      </c>
      <c r="M10283" t="s">
        <v>24</v>
      </c>
      <c r="N10283" t="s">
        <v>22</v>
      </c>
    </row>
    <row r="10284" spans="1:14">
      <c r="A10284" s="4" t="str">
        <f t="shared" si="919"/>
        <v>EXP00344</v>
      </c>
      <c r="B10284" s="4" t="str">
        <f t="shared" si="916"/>
        <v>26667932</v>
      </c>
      <c r="C10284" s="4" t="str">
        <f t="shared" si="917"/>
        <v>GSE74685</v>
      </c>
      <c r="D10284" s="1" t="s">
        <v>447</v>
      </c>
      <c r="E10284" t="s">
        <v>448</v>
      </c>
      <c r="F10284" s="1">
        <v>2</v>
      </c>
      <c r="G10284" s="1" t="s">
        <v>452</v>
      </c>
      <c r="H10284" s="4" t="str">
        <f>HYPERLINK("https://www.ncbi.nlm.nih.gov/geo/query/acc.cgi?acc=GSM1930077","GSM1930077")</f>
        <v>GSM1930077</v>
      </c>
      <c r="I10284" t="s">
        <v>161</v>
      </c>
      <c r="J10284" t="s">
        <v>193</v>
      </c>
      <c r="K10284" t="s">
        <v>19</v>
      </c>
      <c r="L10284" t="s">
        <v>162</v>
      </c>
      <c r="M10284" t="s">
        <v>24</v>
      </c>
      <c r="N10284" t="s">
        <v>22</v>
      </c>
    </row>
    <row r="10285" spans="1:14">
      <c r="A10285" s="4" t="str">
        <f t="shared" si="919"/>
        <v>EXP00344</v>
      </c>
      <c r="B10285" s="4" t="str">
        <f t="shared" si="916"/>
        <v>26667932</v>
      </c>
      <c r="C10285" s="4" t="str">
        <f t="shared" si="917"/>
        <v>GSE74685</v>
      </c>
      <c r="D10285" s="1" t="s">
        <v>447</v>
      </c>
      <c r="E10285" t="s">
        <v>448</v>
      </c>
      <c r="F10285" s="1">
        <v>2</v>
      </c>
      <c r="G10285" s="1" t="s">
        <v>452</v>
      </c>
      <c r="H10285" s="4" t="str">
        <f>HYPERLINK("https://www.ncbi.nlm.nih.gov/geo/query/acc.cgi?acc=GSM1930078","GSM1930078")</f>
        <v>GSM1930078</v>
      </c>
      <c r="I10285" t="s">
        <v>161</v>
      </c>
      <c r="J10285" t="s">
        <v>193</v>
      </c>
      <c r="K10285" t="s">
        <v>19</v>
      </c>
      <c r="L10285" t="s">
        <v>162</v>
      </c>
      <c r="M10285" t="s">
        <v>24</v>
      </c>
      <c r="N10285" t="s">
        <v>22</v>
      </c>
    </row>
    <row r="10286" spans="1:14">
      <c r="A10286" s="4" t="str">
        <f t="shared" si="919"/>
        <v>EXP00344</v>
      </c>
      <c r="B10286" s="4" t="str">
        <f t="shared" si="916"/>
        <v>26667932</v>
      </c>
      <c r="C10286" s="4" t="str">
        <f t="shared" si="917"/>
        <v>GSE74685</v>
      </c>
      <c r="D10286" s="1" t="s">
        <v>447</v>
      </c>
      <c r="E10286" t="s">
        <v>448</v>
      </c>
      <c r="F10286" s="1">
        <v>2</v>
      </c>
      <c r="G10286" s="1" t="s">
        <v>452</v>
      </c>
      <c r="H10286" s="4" t="str">
        <f>HYPERLINK("https://www.ncbi.nlm.nih.gov/geo/query/acc.cgi?acc=GSM1930083","GSM1930083")</f>
        <v>GSM1930083</v>
      </c>
      <c r="I10286" t="s">
        <v>161</v>
      </c>
      <c r="J10286" t="s">
        <v>193</v>
      </c>
      <c r="K10286" t="s">
        <v>19</v>
      </c>
      <c r="L10286" t="s">
        <v>162</v>
      </c>
      <c r="M10286" t="s">
        <v>24</v>
      </c>
      <c r="N10286" t="s">
        <v>22</v>
      </c>
    </row>
    <row r="10287" spans="1:14">
      <c r="A10287" s="4" t="str">
        <f t="shared" si="919"/>
        <v>EXP00344</v>
      </c>
      <c r="B10287" s="4" t="str">
        <f t="shared" si="916"/>
        <v>26667932</v>
      </c>
      <c r="C10287" s="4" t="str">
        <f t="shared" si="917"/>
        <v>GSE74685</v>
      </c>
      <c r="D10287" s="1" t="s">
        <v>447</v>
      </c>
      <c r="E10287" t="s">
        <v>448</v>
      </c>
      <c r="F10287" s="1">
        <v>2</v>
      </c>
      <c r="G10287" s="1" t="s">
        <v>452</v>
      </c>
      <c r="H10287" s="4" t="str">
        <f>HYPERLINK("https://www.ncbi.nlm.nih.gov/geo/query/acc.cgi?acc=GSM1930086","GSM1930086")</f>
        <v>GSM1930086</v>
      </c>
      <c r="I10287" t="s">
        <v>161</v>
      </c>
      <c r="J10287" t="s">
        <v>193</v>
      </c>
      <c r="K10287" t="s">
        <v>19</v>
      </c>
      <c r="L10287" t="s">
        <v>162</v>
      </c>
      <c r="M10287" t="s">
        <v>24</v>
      </c>
      <c r="N10287" t="s">
        <v>22</v>
      </c>
    </row>
    <row r="10288" spans="1:14">
      <c r="A10288" s="4" t="str">
        <f t="shared" si="919"/>
        <v>EXP00344</v>
      </c>
      <c r="B10288" s="4" t="str">
        <f t="shared" si="916"/>
        <v>26667932</v>
      </c>
      <c r="C10288" s="4" t="str">
        <f t="shared" si="917"/>
        <v>GSE74685</v>
      </c>
      <c r="D10288" s="1" t="s">
        <v>447</v>
      </c>
      <c r="E10288" t="s">
        <v>448</v>
      </c>
      <c r="F10288" s="1">
        <v>2</v>
      </c>
      <c r="G10288" s="1" t="s">
        <v>452</v>
      </c>
      <c r="H10288" s="4" t="str">
        <f>HYPERLINK("https://www.ncbi.nlm.nih.gov/geo/query/acc.cgi?acc=GSM1930089","GSM1930089")</f>
        <v>GSM1930089</v>
      </c>
      <c r="I10288" t="s">
        <v>161</v>
      </c>
      <c r="J10288" t="s">
        <v>193</v>
      </c>
      <c r="K10288" t="s">
        <v>19</v>
      </c>
      <c r="L10288" t="s">
        <v>162</v>
      </c>
      <c r="M10288" t="s">
        <v>24</v>
      </c>
      <c r="N10288" t="s">
        <v>22</v>
      </c>
    </row>
    <row r="10289" spans="1:14">
      <c r="A10289" s="4" t="str">
        <f t="shared" si="919"/>
        <v>EXP00344</v>
      </c>
      <c r="B10289" s="4" t="str">
        <f t="shared" si="916"/>
        <v>26667932</v>
      </c>
      <c r="C10289" s="4" t="str">
        <f t="shared" si="917"/>
        <v>GSE74685</v>
      </c>
      <c r="D10289" s="1" t="s">
        <v>447</v>
      </c>
      <c r="E10289" t="s">
        <v>448</v>
      </c>
      <c r="F10289" s="1">
        <v>2</v>
      </c>
      <c r="G10289" s="1" t="s">
        <v>452</v>
      </c>
      <c r="H10289" s="4" t="str">
        <f>HYPERLINK("https://www.ncbi.nlm.nih.gov/geo/query/acc.cgi?acc=GSM1930090","GSM1930090")</f>
        <v>GSM1930090</v>
      </c>
      <c r="I10289" t="s">
        <v>161</v>
      </c>
      <c r="J10289" t="s">
        <v>193</v>
      </c>
      <c r="K10289" t="s">
        <v>19</v>
      </c>
      <c r="L10289" t="s">
        <v>162</v>
      </c>
      <c r="M10289" t="s">
        <v>24</v>
      </c>
      <c r="N10289" t="s">
        <v>22</v>
      </c>
    </row>
    <row r="10290" spans="1:14">
      <c r="A10290" s="4" t="str">
        <f t="shared" si="919"/>
        <v>EXP00344</v>
      </c>
      <c r="B10290" s="4" t="str">
        <f t="shared" si="916"/>
        <v>26667932</v>
      </c>
      <c r="C10290" s="4" t="str">
        <f t="shared" si="917"/>
        <v>GSE74685</v>
      </c>
      <c r="D10290" s="1" t="s">
        <v>447</v>
      </c>
      <c r="E10290" t="s">
        <v>448</v>
      </c>
      <c r="F10290" s="1">
        <v>2</v>
      </c>
      <c r="G10290" s="1" t="s">
        <v>452</v>
      </c>
      <c r="H10290" s="4" t="str">
        <f>HYPERLINK("https://www.ncbi.nlm.nih.gov/geo/query/acc.cgi?acc=GSM1930091","GSM1930091")</f>
        <v>GSM1930091</v>
      </c>
      <c r="I10290" t="s">
        <v>161</v>
      </c>
      <c r="J10290" t="s">
        <v>193</v>
      </c>
      <c r="K10290" t="s">
        <v>19</v>
      </c>
      <c r="L10290" t="s">
        <v>162</v>
      </c>
      <c r="M10290" t="s">
        <v>24</v>
      </c>
      <c r="N10290" t="s">
        <v>22</v>
      </c>
    </row>
    <row r="10291" spans="1:14">
      <c r="A10291" s="4" t="str">
        <f t="shared" si="919"/>
        <v>EXP00344</v>
      </c>
      <c r="B10291" s="4" t="str">
        <f t="shared" si="916"/>
        <v>26667932</v>
      </c>
      <c r="C10291" s="4" t="str">
        <f t="shared" si="917"/>
        <v>GSE74685</v>
      </c>
      <c r="D10291" s="1" t="s">
        <v>447</v>
      </c>
      <c r="E10291" t="s">
        <v>448</v>
      </c>
      <c r="F10291" s="1">
        <v>2</v>
      </c>
      <c r="G10291" s="1" t="s">
        <v>452</v>
      </c>
      <c r="H10291" s="4" t="str">
        <f>HYPERLINK("https://www.ncbi.nlm.nih.gov/geo/query/acc.cgi?acc=GSM1930094","GSM1930094")</f>
        <v>GSM1930094</v>
      </c>
      <c r="I10291" t="s">
        <v>161</v>
      </c>
      <c r="J10291" t="s">
        <v>193</v>
      </c>
      <c r="K10291" t="s">
        <v>19</v>
      </c>
      <c r="L10291" t="s">
        <v>162</v>
      </c>
      <c r="M10291" t="s">
        <v>24</v>
      </c>
      <c r="N10291" t="s">
        <v>22</v>
      </c>
    </row>
    <row r="10292" spans="1:14">
      <c r="A10292" s="4" t="str">
        <f t="shared" si="919"/>
        <v>EXP00344</v>
      </c>
      <c r="B10292" s="4" t="str">
        <f t="shared" si="916"/>
        <v>26667932</v>
      </c>
      <c r="C10292" s="4" t="str">
        <f t="shared" si="917"/>
        <v>GSE74685</v>
      </c>
      <c r="D10292" s="1" t="s">
        <v>447</v>
      </c>
      <c r="E10292" t="s">
        <v>448</v>
      </c>
      <c r="F10292" s="1">
        <v>2</v>
      </c>
      <c r="G10292" s="1" t="s">
        <v>452</v>
      </c>
      <c r="H10292" s="4" t="str">
        <f>HYPERLINK("https://www.ncbi.nlm.nih.gov/geo/query/acc.cgi?acc=GSM1930095","GSM1930095")</f>
        <v>GSM1930095</v>
      </c>
      <c r="I10292" t="s">
        <v>161</v>
      </c>
      <c r="J10292" t="s">
        <v>193</v>
      </c>
      <c r="K10292" t="s">
        <v>19</v>
      </c>
      <c r="L10292" t="s">
        <v>162</v>
      </c>
      <c r="M10292" t="s">
        <v>24</v>
      </c>
      <c r="N10292" t="s">
        <v>22</v>
      </c>
    </row>
    <row r="10293" spans="1:14">
      <c r="A10293" s="4" t="str">
        <f t="shared" si="919"/>
        <v>EXP00344</v>
      </c>
      <c r="B10293" s="4" t="str">
        <f t="shared" si="916"/>
        <v>26667932</v>
      </c>
      <c r="C10293" s="4" t="str">
        <f t="shared" si="917"/>
        <v>GSE74685</v>
      </c>
      <c r="D10293" s="1" t="s">
        <v>447</v>
      </c>
      <c r="E10293" t="s">
        <v>448</v>
      </c>
      <c r="F10293" s="1">
        <v>2</v>
      </c>
      <c r="G10293" s="1" t="s">
        <v>452</v>
      </c>
      <c r="H10293" s="4" t="str">
        <f>HYPERLINK("https://www.ncbi.nlm.nih.gov/geo/query/acc.cgi?acc=GSM1930096","GSM1930096")</f>
        <v>GSM1930096</v>
      </c>
      <c r="I10293" t="s">
        <v>161</v>
      </c>
      <c r="J10293" t="s">
        <v>193</v>
      </c>
      <c r="K10293" t="s">
        <v>19</v>
      </c>
      <c r="L10293" t="s">
        <v>162</v>
      </c>
      <c r="M10293" t="s">
        <v>24</v>
      </c>
      <c r="N10293" t="s">
        <v>22</v>
      </c>
    </row>
    <row r="10294" spans="1:14">
      <c r="A10294" s="4" t="str">
        <f t="shared" si="919"/>
        <v>EXP00344</v>
      </c>
      <c r="B10294" s="4" t="str">
        <f t="shared" si="916"/>
        <v>26667932</v>
      </c>
      <c r="C10294" s="4" t="str">
        <f t="shared" si="917"/>
        <v>GSE74685</v>
      </c>
      <c r="D10294" s="1" t="s">
        <v>447</v>
      </c>
      <c r="E10294" t="s">
        <v>448</v>
      </c>
      <c r="F10294" s="1">
        <v>2</v>
      </c>
      <c r="G10294" s="1" t="s">
        <v>452</v>
      </c>
      <c r="H10294" s="4" t="str">
        <f>HYPERLINK("https://www.ncbi.nlm.nih.gov/geo/query/acc.cgi?acc=GSM1930097","GSM1930097")</f>
        <v>GSM1930097</v>
      </c>
      <c r="I10294" t="s">
        <v>161</v>
      </c>
      <c r="J10294" t="s">
        <v>193</v>
      </c>
      <c r="K10294" t="s">
        <v>19</v>
      </c>
      <c r="L10294" t="s">
        <v>162</v>
      </c>
      <c r="M10294" t="s">
        <v>24</v>
      </c>
      <c r="N10294" t="s">
        <v>22</v>
      </c>
    </row>
    <row r="10295" spans="1:14">
      <c r="A10295" s="4" t="str">
        <f t="shared" si="919"/>
        <v>EXP00344</v>
      </c>
      <c r="B10295" s="4" t="str">
        <f t="shared" si="916"/>
        <v>26667932</v>
      </c>
      <c r="C10295" s="4" t="str">
        <f t="shared" si="917"/>
        <v>GSE74685</v>
      </c>
      <c r="D10295" s="1" t="s">
        <v>447</v>
      </c>
      <c r="E10295" t="s">
        <v>448</v>
      </c>
      <c r="F10295" s="1">
        <v>2</v>
      </c>
      <c r="G10295" s="1" t="s">
        <v>452</v>
      </c>
      <c r="H10295" s="4" t="str">
        <f>HYPERLINK("https://www.ncbi.nlm.nih.gov/geo/query/acc.cgi?acc=GSM1930102","GSM1930102")</f>
        <v>GSM1930102</v>
      </c>
      <c r="I10295" t="s">
        <v>161</v>
      </c>
      <c r="J10295" t="s">
        <v>193</v>
      </c>
      <c r="K10295" t="s">
        <v>19</v>
      </c>
      <c r="L10295" t="s">
        <v>162</v>
      </c>
      <c r="M10295" t="s">
        <v>24</v>
      </c>
      <c r="N10295" t="s">
        <v>22</v>
      </c>
    </row>
    <row r="10296" spans="1:14">
      <c r="A10296" s="4" t="str">
        <f t="shared" si="919"/>
        <v>EXP00344</v>
      </c>
      <c r="B10296" s="4" t="str">
        <f t="shared" si="916"/>
        <v>26667932</v>
      </c>
      <c r="C10296" s="4" t="str">
        <f t="shared" si="917"/>
        <v>GSE74685</v>
      </c>
      <c r="D10296" s="1" t="s">
        <v>447</v>
      </c>
      <c r="E10296" t="s">
        <v>448</v>
      </c>
      <c r="F10296" s="1">
        <v>2</v>
      </c>
      <c r="G10296" s="1" t="s">
        <v>452</v>
      </c>
      <c r="H10296" s="4" t="str">
        <f>HYPERLINK("https://www.ncbi.nlm.nih.gov/geo/query/acc.cgi?acc=GSM1930104","GSM1930104")</f>
        <v>GSM1930104</v>
      </c>
      <c r="I10296" t="s">
        <v>161</v>
      </c>
      <c r="J10296" t="s">
        <v>193</v>
      </c>
      <c r="K10296" t="s">
        <v>19</v>
      </c>
      <c r="L10296" t="s">
        <v>162</v>
      </c>
      <c r="M10296" t="s">
        <v>24</v>
      </c>
      <c r="N10296" t="s">
        <v>22</v>
      </c>
    </row>
    <row r="10297" spans="1:14">
      <c r="A10297" s="4" t="str">
        <f t="shared" si="919"/>
        <v>EXP00344</v>
      </c>
      <c r="B10297" s="4" t="str">
        <f t="shared" si="916"/>
        <v>26667932</v>
      </c>
      <c r="C10297" s="4" t="str">
        <f t="shared" si="917"/>
        <v>GSE74685</v>
      </c>
      <c r="D10297" s="1" t="s">
        <v>447</v>
      </c>
      <c r="E10297" t="s">
        <v>448</v>
      </c>
      <c r="F10297" s="1">
        <v>2</v>
      </c>
      <c r="G10297" s="1" t="s">
        <v>452</v>
      </c>
      <c r="H10297" s="4" t="str">
        <f>HYPERLINK("https://www.ncbi.nlm.nih.gov/geo/query/acc.cgi?acc=GSM1930105","GSM1930105")</f>
        <v>GSM1930105</v>
      </c>
      <c r="I10297" t="s">
        <v>161</v>
      </c>
      <c r="J10297" t="s">
        <v>193</v>
      </c>
      <c r="K10297" t="s">
        <v>19</v>
      </c>
      <c r="L10297" t="s">
        <v>162</v>
      </c>
      <c r="M10297" t="s">
        <v>24</v>
      </c>
      <c r="N10297" t="s">
        <v>22</v>
      </c>
    </row>
    <row r="10298" spans="1:14">
      <c r="A10298" s="4" t="str">
        <f t="shared" si="919"/>
        <v>EXP00344</v>
      </c>
      <c r="B10298" s="4" t="str">
        <f t="shared" si="916"/>
        <v>26667932</v>
      </c>
      <c r="C10298" s="4" t="str">
        <f t="shared" si="917"/>
        <v>GSE74685</v>
      </c>
      <c r="D10298" s="1" t="s">
        <v>447</v>
      </c>
      <c r="E10298" t="s">
        <v>448</v>
      </c>
      <c r="F10298" s="1">
        <v>2</v>
      </c>
      <c r="G10298" s="1" t="s">
        <v>452</v>
      </c>
      <c r="H10298" s="4" t="str">
        <f>HYPERLINK("https://www.ncbi.nlm.nih.gov/geo/query/acc.cgi?acc=GSM1930106","GSM1930106")</f>
        <v>GSM1930106</v>
      </c>
      <c r="I10298" t="s">
        <v>161</v>
      </c>
      <c r="J10298" t="s">
        <v>193</v>
      </c>
      <c r="K10298" t="s">
        <v>19</v>
      </c>
      <c r="L10298" t="s">
        <v>162</v>
      </c>
      <c r="M10298" t="s">
        <v>24</v>
      </c>
      <c r="N10298" t="s">
        <v>22</v>
      </c>
    </row>
    <row r="10299" spans="1:14">
      <c r="A10299" s="4" t="str">
        <f t="shared" si="919"/>
        <v>EXP00344</v>
      </c>
      <c r="B10299" s="4" t="str">
        <f t="shared" si="916"/>
        <v>26667932</v>
      </c>
      <c r="C10299" s="4" t="str">
        <f t="shared" si="917"/>
        <v>GSE74685</v>
      </c>
      <c r="D10299" s="1" t="s">
        <v>447</v>
      </c>
      <c r="E10299" t="s">
        <v>448</v>
      </c>
      <c r="F10299" s="1">
        <v>2</v>
      </c>
      <c r="G10299" s="1" t="s">
        <v>452</v>
      </c>
      <c r="H10299" s="4" t="str">
        <f>HYPERLINK("https://www.ncbi.nlm.nih.gov/geo/query/acc.cgi?acc=GSM1930109","GSM1930109")</f>
        <v>GSM1930109</v>
      </c>
      <c r="I10299" t="s">
        <v>161</v>
      </c>
      <c r="J10299" t="s">
        <v>193</v>
      </c>
      <c r="K10299" t="s">
        <v>19</v>
      </c>
      <c r="L10299" t="s">
        <v>162</v>
      </c>
      <c r="M10299" t="s">
        <v>24</v>
      </c>
      <c r="N10299" t="s">
        <v>22</v>
      </c>
    </row>
    <row r="10300" spans="1:14">
      <c r="A10300" s="4" t="str">
        <f t="shared" si="919"/>
        <v>EXP00344</v>
      </c>
      <c r="B10300" s="4" t="str">
        <f t="shared" si="916"/>
        <v>26667932</v>
      </c>
      <c r="C10300" s="4" t="str">
        <f t="shared" si="917"/>
        <v>GSE74685</v>
      </c>
      <c r="D10300" s="1" t="s">
        <v>447</v>
      </c>
      <c r="E10300" t="s">
        <v>448</v>
      </c>
      <c r="F10300" s="1">
        <v>2</v>
      </c>
      <c r="G10300" s="1" t="s">
        <v>452</v>
      </c>
      <c r="H10300" s="4" t="str">
        <f>HYPERLINK("https://www.ncbi.nlm.nih.gov/geo/query/acc.cgi?acc=GSM1930114","GSM1930114")</f>
        <v>GSM1930114</v>
      </c>
      <c r="I10300" t="s">
        <v>161</v>
      </c>
      <c r="J10300" t="s">
        <v>193</v>
      </c>
      <c r="K10300" t="s">
        <v>19</v>
      </c>
      <c r="L10300" t="s">
        <v>162</v>
      </c>
      <c r="M10300" t="s">
        <v>24</v>
      </c>
      <c r="N10300" t="s">
        <v>22</v>
      </c>
    </row>
    <row r="10301" spans="1:14">
      <c r="A10301" s="4" t="str">
        <f t="shared" si="919"/>
        <v>EXP00344</v>
      </c>
      <c r="B10301" s="4" t="str">
        <f t="shared" si="916"/>
        <v>26667932</v>
      </c>
      <c r="C10301" s="4" t="str">
        <f t="shared" si="917"/>
        <v>GSE74685</v>
      </c>
      <c r="D10301" s="1" t="s">
        <v>447</v>
      </c>
      <c r="E10301" t="s">
        <v>448</v>
      </c>
      <c r="F10301" s="1">
        <v>2</v>
      </c>
      <c r="G10301" s="1" t="s">
        <v>452</v>
      </c>
      <c r="H10301" s="4" t="str">
        <f>HYPERLINK("https://www.ncbi.nlm.nih.gov/geo/query/acc.cgi?acc=GSM1930117","GSM1930117")</f>
        <v>GSM1930117</v>
      </c>
      <c r="I10301" t="s">
        <v>161</v>
      </c>
      <c r="J10301" t="s">
        <v>193</v>
      </c>
      <c r="K10301" t="s">
        <v>19</v>
      </c>
      <c r="L10301" t="s">
        <v>162</v>
      </c>
      <c r="M10301" t="s">
        <v>24</v>
      </c>
      <c r="N10301" t="s">
        <v>22</v>
      </c>
    </row>
    <row r="10302" spans="1:14">
      <c r="A10302" s="4" t="str">
        <f t="shared" si="919"/>
        <v>EXP00344</v>
      </c>
      <c r="B10302" s="4" t="str">
        <f t="shared" si="916"/>
        <v>26667932</v>
      </c>
      <c r="C10302" s="4" t="str">
        <f t="shared" si="917"/>
        <v>GSE74685</v>
      </c>
      <c r="D10302" s="1" t="s">
        <v>447</v>
      </c>
      <c r="E10302" t="s">
        <v>448</v>
      </c>
      <c r="F10302" s="1">
        <v>2</v>
      </c>
      <c r="G10302" s="1" t="s">
        <v>452</v>
      </c>
      <c r="H10302" s="4" t="str">
        <f>HYPERLINK("https://www.ncbi.nlm.nih.gov/geo/query/acc.cgi?acc=GSM1930118","GSM1930118")</f>
        <v>GSM1930118</v>
      </c>
      <c r="I10302" t="s">
        <v>161</v>
      </c>
      <c r="J10302" t="s">
        <v>193</v>
      </c>
      <c r="K10302" t="s">
        <v>19</v>
      </c>
      <c r="L10302" t="s">
        <v>162</v>
      </c>
      <c r="M10302" t="s">
        <v>24</v>
      </c>
      <c r="N10302" t="s">
        <v>22</v>
      </c>
    </row>
    <row r="10303" spans="1:14">
      <c r="A10303" s="4" t="str">
        <f t="shared" si="919"/>
        <v>EXP00344</v>
      </c>
      <c r="B10303" s="4" t="str">
        <f t="shared" si="916"/>
        <v>26667932</v>
      </c>
      <c r="C10303" s="4" t="str">
        <f t="shared" si="917"/>
        <v>GSE74685</v>
      </c>
      <c r="D10303" s="1" t="s">
        <v>447</v>
      </c>
      <c r="E10303" t="s">
        <v>448</v>
      </c>
      <c r="F10303" s="1">
        <v>2</v>
      </c>
      <c r="G10303" s="1" t="s">
        <v>452</v>
      </c>
      <c r="H10303" s="4" t="str">
        <f>HYPERLINK("https://www.ncbi.nlm.nih.gov/geo/query/acc.cgi?acc=GSM1930121","GSM1930121")</f>
        <v>GSM1930121</v>
      </c>
      <c r="I10303" t="s">
        <v>161</v>
      </c>
      <c r="J10303" t="s">
        <v>193</v>
      </c>
      <c r="K10303" t="s">
        <v>19</v>
      </c>
      <c r="L10303" t="s">
        <v>162</v>
      </c>
      <c r="M10303" t="s">
        <v>24</v>
      </c>
      <c r="N10303" t="s">
        <v>22</v>
      </c>
    </row>
    <row r="10304" spans="1:14">
      <c r="A10304" s="4" t="str">
        <f t="shared" si="919"/>
        <v>EXP00344</v>
      </c>
      <c r="B10304" s="4" t="str">
        <f t="shared" si="916"/>
        <v>26667932</v>
      </c>
      <c r="C10304" s="4" t="str">
        <f t="shared" si="917"/>
        <v>GSE74685</v>
      </c>
      <c r="D10304" s="1" t="s">
        <v>447</v>
      </c>
      <c r="E10304" t="s">
        <v>448</v>
      </c>
      <c r="F10304" s="1">
        <v>2</v>
      </c>
      <c r="G10304" s="1" t="s">
        <v>452</v>
      </c>
      <c r="H10304" s="4" t="str">
        <f>HYPERLINK("https://www.ncbi.nlm.nih.gov/geo/query/acc.cgi?acc=GSM1930123","GSM1930123")</f>
        <v>GSM1930123</v>
      </c>
      <c r="I10304" t="s">
        <v>161</v>
      </c>
      <c r="J10304" t="s">
        <v>193</v>
      </c>
      <c r="K10304" t="s">
        <v>19</v>
      </c>
      <c r="L10304" t="s">
        <v>162</v>
      </c>
      <c r="M10304" t="s">
        <v>24</v>
      </c>
      <c r="N10304" t="s">
        <v>22</v>
      </c>
    </row>
    <row r="10305" spans="1:14">
      <c r="A10305" s="4" t="str">
        <f t="shared" si="919"/>
        <v>EXP00344</v>
      </c>
      <c r="B10305" s="4" t="str">
        <f t="shared" ref="B10305:B10368" si="920">HYPERLINK("https://www.ncbi.nlm.nih.gov/pubmed/26667932","26667932")</f>
        <v>26667932</v>
      </c>
      <c r="C10305" s="4" t="str">
        <f t="shared" ref="C10305:C10368" si="921">HYPERLINK("https://www.ncbi.nlm.nih.gov/geo/query/acc.cgi?acc=GSE74685","GSE74685")</f>
        <v>GSE74685</v>
      </c>
      <c r="D10305" s="1" t="s">
        <v>447</v>
      </c>
      <c r="E10305" t="s">
        <v>448</v>
      </c>
      <c r="F10305" s="1">
        <v>2</v>
      </c>
      <c r="G10305" s="1" t="s">
        <v>452</v>
      </c>
      <c r="H10305" s="4" t="str">
        <f>HYPERLINK("https://www.ncbi.nlm.nih.gov/geo/query/acc.cgi?acc=GSM1930124","GSM1930124")</f>
        <v>GSM1930124</v>
      </c>
      <c r="I10305" t="s">
        <v>161</v>
      </c>
      <c r="J10305" t="s">
        <v>193</v>
      </c>
      <c r="K10305" t="s">
        <v>19</v>
      </c>
      <c r="L10305" t="s">
        <v>162</v>
      </c>
      <c r="M10305" t="s">
        <v>24</v>
      </c>
      <c r="N10305" t="s">
        <v>22</v>
      </c>
    </row>
    <row r="10306" spans="1:14">
      <c r="A10306" s="4" t="str">
        <f t="shared" si="919"/>
        <v>EXP00344</v>
      </c>
      <c r="B10306" s="4" t="str">
        <f t="shared" si="920"/>
        <v>26667932</v>
      </c>
      <c r="C10306" s="4" t="str">
        <f t="shared" si="921"/>
        <v>GSE74685</v>
      </c>
      <c r="D10306" s="1" t="s">
        <v>447</v>
      </c>
      <c r="E10306" t="s">
        <v>448</v>
      </c>
      <c r="F10306" s="1">
        <v>2</v>
      </c>
      <c r="G10306" s="1" t="s">
        <v>452</v>
      </c>
      <c r="H10306" s="4" t="str">
        <f>HYPERLINK("https://www.ncbi.nlm.nih.gov/geo/query/acc.cgi?acc=GSM1930125","GSM1930125")</f>
        <v>GSM1930125</v>
      </c>
      <c r="I10306" t="s">
        <v>161</v>
      </c>
      <c r="J10306" t="s">
        <v>193</v>
      </c>
      <c r="K10306" t="s">
        <v>19</v>
      </c>
      <c r="L10306" t="s">
        <v>162</v>
      </c>
      <c r="M10306" t="s">
        <v>24</v>
      </c>
      <c r="N10306" t="s">
        <v>22</v>
      </c>
    </row>
    <row r="10307" spans="1:14">
      <c r="A10307" s="4" t="str">
        <f t="shared" si="919"/>
        <v>EXP00344</v>
      </c>
      <c r="B10307" s="4" t="str">
        <f t="shared" si="920"/>
        <v>26667932</v>
      </c>
      <c r="C10307" s="4" t="str">
        <f t="shared" si="921"/>
        <v>GSE74685</v>
      </c>
      <c r="D10307" s="1" t="s">
        <v>447</v>
      </c>
      <c r="E10307" t="s">
        <v>448</v>
      </c>
      <c r="F10307" s="1">
        <v>2</v>
      </c>
      <c r="G10307" s="1" t="s">
        <v>452</v>
      </c>
      <c r="H10307" s="4" t="str">
        <f>HYPERLINK("https://www.ncbi.nlm.nih.gov/geo/query/acc.cgi?acc=GSM1930127","GSM1930127")</f>
        <v>GSM1930127</v>
      </c>
      <c r="I10307" t="s">
        <v>161</v>
      </c>
      <c r="J10307" t="s">
        <v>193</v>
      </c>
      <c r="K10307" t="s">
        <v>19</v>
      </c>
      <c r="L10307" t="s">
        <v>162</v>
      </c>
      <c r="M10307" t="s">
        <v>24</v>
      </c>
      <c r="N10307" t="s">
        <v>22</v>
      </c>
    </row>
    <row r="10308" spans="1:14">
      <c r="A10308" s="4" t="str">
        <f t="shared" si="919"/>
        <v>EXP00344</v>
      </c>
      <c r="B10308" s="4" t="str">
        <f t="shared" si="920"/>
        <v>26667932</v>
      </c>
      <c r="C10308" s="4" t="str">
        <f t="shared" si="921"/>
        <v>GSE74685</v>
      </c>
      <c r="D10308" s="1" t="s">
        <v>447</v>
      </c>
      <c r="E10308" t="s">
        <v>448</v>
      </c>
      <c r="F10308" s="1">
        <v>2</v>
      </c>
      <c r="G10308" s="1" t="s">
        <v>452</v>
      </c>
      <c r="H10308" s="4" t="str">
        <f>HYPERLINK("https://www.ncbi.nlm.nih.gov/geo/query/acc.cgi?acc=GSM1930128","GSM1930128")</f>
        <v>GSM1930128</v>
      </c>
      <c r="I10308" t="s">
        <v>161</v>
      </c>
      <c r="J10308" t="s">
        <v>193</v>
      </c>
      <c r="K10308" t="s">
        <v>19</v>
      </c>
      <c r="L10308" t="s">
        <v>162</v>
      </c>
      <c r="M10308" t="s">
        <v>24</v>
      </c>
      <c r="N10308" t="s">
        <v>22</v>
      </c>
    </row>
    <row r="10309" spans="1:14">
      <c r="A10309" s="4" t="str">
        <f t="shared" si="919"/>
        <v>EXP00344</v>
      </c>
      <c r="B10309" s="4" t="str">
        <f t="shared" si="920"/>
        <v>26667932</v>
      </c>
      <c r="C10309" s="4" t="str">
        <f t="shared" si="921"/>
        <v>GSE74685</v>
      </c>
      <c r="D10309" s="1" t="s">
        <v>447</v>
      </c>
      <c r="E10309" t="s">
        <v>448</v>
      </c>
      <c r="F10309" s="1">
        <v>2</v>
      </c>
      <c r="G10309" s="1" t="s">
        <v>452</v>
      </c>
      <c r="H10309" s="4" t="str">
        <f>HYPERLINK("https://www.ncbi.nlm.nih.gov/geo/query/acc.cgi?acc=GSM1930130","GSM1930130")</f>
        <v>GSM1930130</v>
      </c>
      <c r="I10309" t="s">
        <v>161</v>
      </c>
      <c r="J10309" t="s">
        <v>193</v>
      </c>
      <c r="K10309" t="s">
        <v>19</v>
      </c>
      <c r="L10309" t="s">
        <v>162</v>
      </c>
      <c r="M10309" t="s">
        <v>24</v>
      </c>
      <c r="N10309" t="s">
        <v>22</v>
      </c>
    </row>
    <row r="10310" spans="1:14">
      <c r="A10310" s="4" t="str">
        <f t="shared" si="919"/>
        <v>EXP00344</v>
      </c>
      <c r="B10310" s="4" t="str">
        <f t="shared" si="920"/>
        <v>26667932</v>
      </c>
      <c r="C10310" s="4" t="str">
        <f t="shared" si="921"/>
        <v>GSE74685</v>
      </c>
      <c r="D10310" s="1" t="s">
        <v>447</v>
      </c>
      <c r="E10310" t="s">
        <v>448</v>
      </c>
      <c r="F10310" s="1">
        <v>2</v>
      </c>
      <c r="G10310" s="1" t="s">
        <v>452</v>
      </c>
      <c r="H10310" s="4" t="str">
        <f>HYPERLINK("https://www.ncbi.nlm.nih.gov/geo/query/acc.cgi?acc=GSM1930132","GSM1930132")</f>
        <v>GSM1930132</v>
      </c>
      <c r="I10310" t="s">
        <v>161</v>
      </c>
      <c r="J10310" t="s">
        <v>193</v>
      </c>
      <c r="K10310" t="s">
        <v>19</v>
      </c>
      <c r="L10310" t="s">
        <v>162</v>
      </c>
      <c r="M10310" t="s">
        <v>24</v>
      </c>
      <c r="N10310" t="s">
        <v>22</v>
      </c>
    </row>
    <row r="10311" spans="1:14">
      <c r="A10311" s="4" t="str">
        <f t="shared" si="919"/>
        <v>EXP00344</v>
      </c>
      <c r="B10311" s="4" t="str">
        <f t="shared" si="920"/>
        <v>26667932</v>
      </c>
      <c r="C10311" s="4" t="str">
        <f t="shared" si="921"/>
        <v>GSE74685</v>
      </c>
      <c r="D10311" s="1" t="s">
        <v>447</v>
      </c>
      <c r="E10311" t="s">
        <v>448</v>
      </c>
      <c r="F10311" s="1">
        <v>2</v>
      </c>
      <c r="G10311" s="1" t="s">
        <v>452</v>
      </c>
      <c r="H10311" s="4" t="str">
        <f>HYPERLINK("https://www.ncbi.nlm.nih.gov/geo/query/acc.cgi?acc=GSM1930139","GSM1930139")</f>
        <v>GSM1930139</v>
      </c>
      <c r="I10311" t="s">
        <v>161</v>
      </c>
      <c r="J10311" t="s">
        <v>193</v>
      </c>
      <c r="K10311" t="s">
        <v>19</v>
      </c>
      <c r="L10311" t="s">
        <v>162</v>
      </c>
      <c r="M10311" t="s">
        <v>24</v>
      </c>
      <c r="N10311" t="s">
        <v>22</v>
      </c>
    </row>
    <row r="10312" spans="1:14">
      <c r="A10312" s="4" t="str">
        <f t="shared" si="919"/>
        <v>EXP00344</v>
      </c>
      <c r="B10312" s="4" t="str">
        <f t="shared" si="920"/>
        <v>26667932</v>
      </c>
      <c r="C10312" s="4" t="str">
        <f t="shared" si="921"/>
        <v>GSE74685</v>
      </c>
      <c r="D10312" s="1" t="s">
        <v>447</v>
      </c>
      <c r="E10312" t="s">
        <v>448</v>
      </c>
      <c r="F10312" s="1">
        <v>2</v>
      </c>
      <c r="G10312" s="1" t="s">
        <v>452</v>
      </c>
      <c r="H10312" s="4" t="str">
        <f>HYPERLINK("https://www.ncbi.nlm.nih.gov/geo/query/acc.cgi?acc=GSM1930146","GSM1930146")</f>
        <v>GSM1930146</v>
      </c>
      <c r="I10312" t="s">
        <v>161</v>
      </c>
      <c r="J10312" t="s">
        <v>193</v>
      </c>
      <c r="K10312" t="s">
        <v>19</v>
      </c>
      <c r="L10312" t="s">
        <v>162</v>
      </c>
      <c r="M10312" t="s">
        <v>24</v>
      </c>
      <c r="N10312" t="s">
        <v>22</v>
      </c>
    </row>
    <row r="10313" spans="1:14">
      <c r="A10313" s="4" t="str">
        <f t="shared" si="919"/>
        <v>EXP00344</v>
      </c>
      <c r="B10313" s="4" t="str">
        <f t="shared" si="920"/>
        <v>26667932</v>
      </c>
      <c r="C10313" s="4" t="str">
        <f t="shared" si="921"/>
        <v>GSE74685</v>
      </c>
      <c r="D10313" s="1" t="s">
        <v>447</v>
      </c>
      <c r="E10313" t="s">
        <v>448</v>
      </c>
      <c r="F10313" s="1">
        <v>2</v>
      </c>
      <c r="G10313" s="1" t="s">
        <v>452</v>
      </c>
      <c r="H10313" s="4" t="str">
        <f>HYPERLINK("https://www.ncbi.nlm.nih.gov/geo/query/acc.cgi?acc=GSM1930147","GSM1930147")</f>
        <v>GSM1930147</v>
      </c>
      <c r="I10313" t="s">
        <v>161</v>
      </c>
      <c r="J10313" t="s">
        <v>193</v>
      </c>
      <c r="K10313" t="s">
        <v>19</v>
      </c>
      <c r="L10313" t="s">
        <v>162</v>
      </c>
      <c r="M10313" t="s">
        <v>24</v>
      </c>
      <c r="N10313" t="s">
        <v>22</v>
      </c>
    </row>
    <row r="10314" spans="1:14">
      <c r="A10314" s="4" t="str">
        <f t="shared" ref="A10314:A10320" si="922">HYPERLINK("http://hcmdb.i-sanger.com/experiment/details/experiment_id/EXP00344","EXP00344")</f>
        <v>EXP00344</v>
      </c>
      <c r="B10314" s="4" t="str">
        <f t="shared" si="920"/>
        <v>26667932</v>
      </c>
      <c r="C10314" s="4" t="str">
        <f t="shared" si="921"/>
        <v>GSE74685</v>
      </c>
      <c r="D10314" s="1" t="s">
        <v>447</v>
      </c>
      <c r="E10314" t="s">
        <v>448</v>
      </c>
      <c r="F10314" s="1">
        <v>2</v>
      </c>
      <c r="G10314" s="1" t="s">
        <v>452</v>
      </c>
      <c r="H10314" s="4" t="str">
        <f>HYPERLINK("https://www.ncbi.nlm.nih.gov/geo/query/acc.cgi?acc=GSM1930148","GSM1930148")</f>
        <v>GSM1930148</v>
      </c>
      <c r="I10314" t="s">
        <v>161</v>
      </c>
      <c r="J10314" t="s">
        <v>193</v>
      </c>
      <c r="K10314" t="s">
        <v>19</v>
      </c>
      <c r="L10314" t="s">
        <v>162</v>
      </c>
      <c r="M10314" t="s">
        <v>24</v>
      </c>
      <c r="N10314" t="s">
        <v>22</v>
      </c>
    </row>
    <row r="10315" spans="1:14">
      <c r="A10315" s="4" t="str">
        <f t="shared" si="922"/>
        <v>EXP00344</v>
      </c>
      <c r="B10315" s="4" t="str">
        <f t="shared" si="920"/>
        <v>26667932</v>
      </c>
      <c r="C10315" s="4" t="str">
        <f t="shared" si="921"/>
        <v>GSE74685</v>
      </c>
      <c r="D10315" s="1" t="s">
        <v>447</v>
      </c>
      <c r="E10315" t="s">
        <v>448</v>
      </c>
      <c r="F10315" s="1">
        <v>2</v>
      </c>
      <c r="G10315" s="1" t="s">
        <v>452</v>
      </c>
      <c r="H10315" s="4" t="str">
        <f>HYPERLINK("https://www.ncbi.nlm.nih.gov/geo/query/acc.cgi?acc=GSM1930149","GSM1930149")</f>
        <v>GSM1930149</v>
      </c>
      <c r="I10315" t="s">
        <v>161</v>
      </c>
      <c r="J10315" t="s">
        <v>193</v>
      </c>
      <c r="K10315" t="s">
        <v>19</v>
      </c>
      <c r="L10315" t="s">
        <v>162</v>
      </c>
      <c r="M10315" t="s">
        <v>24</v>
      </c>
      <c r="N10315" t="s">
        <v>22</v>
      </c>
    </row>
    <row r="10316" spans="1:14">
      <c r="A10316" s="4" t="str">
        <f t="shared" si="922"/>
        <v>EXP00344</v>
      </c>
      <c r="B10316" s="4" t="str">
        <f t="shared" si="920"/>
        <v>26667932</v>
      </c>
      <c r="C10316" s="4" t="str">
        <f t="shared" si="921"/>
        <v>GSE74685</v>
      </c>
      <c r="D10316" s="1" t="s">
        <v>447</v>
      </c>
      <c r="E10316" t="s">
        <v>448</v>
      </c>
      <c r="F10316" s="1">
        <v>2</v>
      </c>
      <c r="G10316" s="1" t="s">
        <v>452</v>
      </c>
      <c r="H10316" s="4" t="str">
        <f>HYPERLINK("https://www.ncbi.nlm.nih.gov/geo/query/acc.cgi?acc=GSM1930152","GSM1930152")</f>
        <v>GSM1930152</v>
      </c>
      <c r="I10316" t="s">
        <v>161</v>
      </c>
      <c r="J10316" t="s">
        <v>193</v>
      </c>
      <c r="K10316" t="s">
        <v>19</v>
      </c>
      <c r="L10316" t="s">
        <v>162</v>
      </c>
      <c r="M10316" t="s">
        <v>24</v>
      </c>
      <c r="N10316" t="s">
        <v>22</v>
      </c>
    </row>
    <row r="10317" spans="1:14">
      <c r="A10317" s="4" t="str">
        <f t="shared" si="922"/>
        <v>EXP00344</v>
      </c>
      <c r="B10317" s="4" t="str">
        <f t="shared" si="920"/>
        <v>26667932</v>
      </c>
      <c r="C10317" s="4" t="str">
        <f t="shared" si="921"/>
        <v>GSE74685</v>
      </c>
      <c r="D10317" s="1" t="s">
        <v>447</v>
      </c>
      <c r="E10317" t="s">
        <v>448</v>
      </c>
      <c r="F10317" s="1">
        <v>2</v>
      </c>
      <c r="G10317" s="1" t="s">
        <v>452</v>
      </c>
      <c r="H10317" s="4" t="str">
        <f>HYPERLINK("https://www.ncbi.nlm.nih.gov/geo/query/acc.cgi?acc=GSM1930156","GSM1930156")</f>
        <v>GSM1930156</v>
      </c>
      <c r="I10317" t="s">
        <v>161</v>
      </c>
      <c r="J10317" t="s">
        <v>193</v>
      </c>
      <c r="K10317" t="s">
        <v>19</v>
      </c>
      <c r="L10317" t="s">
        <v>162</v>
      </c>
      <c r="M10317" t="s">
        <v>24</v>
      </c>
      <c r="N10317" t="s">
        <v>22</v>
      </c>
    </row>
    <row r="10318" spans="1:14">
      <c r="A10318" s="4" t="str">
        <f t="shared" si="922"/>
        <v>EXP00344</v>
      </c>
      <c r="B10318" s="4" t="str">
        <f t="shared" si="920"/>
        <v>26667932</v>
      </c>
      <c r="C10318" s="4" t="str">
        <f t="shared" si="921"/>
        <v>GSE74685</v>
      </c>
      <c r="D10318" s="1" t="s">
        <v>447</v>
      </c>
      <c r="E10318" t="s">
        <v>448</v>
      </c>
      <c r="F10318" s="1">
        <v>2</v>
      </c>
      <c r="G10318" s="1" t="s">
        <v>452</v>
      </c>
      <c r="H10318" s="4" t="str">
        <f>HYPERLINK("https://www.ncbi.nlm.nih.gov/geo/query/acc.cgi?acc=GSM1930157","GSM1930157")</f>
        <v>GSM1930157</v>
      </c>
      <c r="I10318" t="s">
        <v>161</v>
      </c>
      <c r="J10318" t="s">
        <v>193</v>
      </c>
      <c r="K10318" t="s">
        <v>19</v>
      </c>
      <c r="L10318" t="s">
        <v>162</v>
      </c>
      <c r="M10318" t="s">
        <v>24</v>
      </c>
      <c r="N10318" t="s">
        <v>22</v>
      </c>
    </row>
    <row r="10319" spans="1:14">
      <c r="A10319" s="4" t="str">
        <f t="shared" si="922"/>
        <v>EXP00344</v>
      </c>
      <c r="B10319" s="4" t="str">
        <f t="shared" si="920"/>
        <v>26667932</v>
      </c>
      <c r="C10319" s="4" t="str">
        <f t="shared" si="921"/>
        <v>GSE74685</v>
      </c>
      <c r="D10319" s="1" t="s">
        <v>447</v>
      </c>
      <c r="E10319" t="s">
        <v>448</v>
      </c>
      <c r="F10319" s="1">
        <v>2</v>
      </c>
      <c r="G10319" s="1" t="s">
        <v>452</v>
      </c>
      <c r="H10319" s="4" t="str">
        <f>HYPERLINK("https://www.ncbi.nlm.nih.gov/geo/query/acc.cgi?acc=GSM1930158","GSM1930158")</f>
        <v>GSM1930158</v>
      </c>
      <c r="I10319" t="s">
        <v>161</v>
      </c>
      <c r="J10319" t="s">
        <v>193</v>
      </c>
      <c r="K10319" t="s">
        <v>19</v>
      </c>
      <c r="L10319" t="s">
        <v>162</v>
      </c>
      <c r="M10319" t="s">
        <v>24</v>
      </c>
      <c r="N10319" t="s">
        <v>22</v>
      </c>
    </row>
    <row r="10320" spans="1:14">
      <c r="A10320" s="4" t="str">
        <f t="shared" si="922"/>
        <v>EXP00344</v>
      </c>
      <c r="B10320" s="4" t="str">
        <f t="shared" si="920"/>
        <v>26667932</v>
      </c>
      <c r="C10320" s="4" t="str">
        <f t="shared" si="921"/>
        <v>GSE74685</v>
      </c>
      <c r="D10320" s="1" t="s">
        <v>447</v>
      </c>
      <c r="E10320" t="s">
        <v>448</v>
      </c>
      <c r="F10320" s="1">
        <v>2</v>
      </c>
      <c r="G10320" s="1" t="s">
        <v>452</v>
      </c>
      <c r="H10320" s="4" t="str">
        <f>HYPERLINK("https://www.ncbi.nlm.nih.gov/geo/query/acc.cgi?acc=GSM1930159","GSM1930159")</f>
        <v>GSM1930159</v>
      </c>
      <c r="I10320" t="s">
        <v>161</v>
      </c>
      <c r="J10320" t="s">
        <v>193</v>
      </c>
      <c r="K10320" t="s">
        <v>19</v>
      </c>
      <c r="L10320" t="s">
        <v>162</v>
      </c>
      <c r="M10320" t="s">
        <v>24</v>
      </c>
      <c r="N10320" t="s">
        <v>22</v>
      </c>
    </row>
    <row r="10321" spans="1:14">
      <c r="A10321" s="4" t="str">
        <f t="shared" ref="A10321:A10325" si="923">HYPERLINK("http://hcmdb.i-sanger.com/experiment/details/experiment_id/EXP00345","EXP00345")</f>
        <v>EXP00345</v>
      </c>
      <c r="B10321" s="4" t="str">
        <f t="shared" si="920"/>
        <v>26667932</v>
      </c>
      <c r="C10321" s="4" t="str">
        <f t="shared" si="921"/>
        <v>GSE74685</v>
      </c>
      <c r="D10321" s="1" t="s">
        <v>447</v>
      </c>
      <c r="E10321" t="s">
        <v>448</v>
      </c>
      <c r="F10321" s="1">
        <v>1</v>
      </c>
      <c r="G10321" s="1" t="s">
        <v>456</v>
      </c>
      <c r="H10321" s="4" t="str">
        <f>HYPERLINK("https://www.ncbi.nlm.nih.gov/geo/query/acc.cgi?acc=GSM1616656","GSM1616656")</f>
        <v>GSM1616656</v>
      </c>
      <c r="I10321" t="s">
        <v>161</v>
      </c>
      <c r="J10321" t="s">
        <v>193</v>
      </c>
      <c r="K10321" t="s">
        <v>19</v>
      </c>
      <c r="L10321" t="s">
        <v>162</v>
      </c>
      <c r="M10321" t="s">
        <v>61</v>
      </c>
      <c r="N10321" t="s">
        <v>22</v>
      </c>
    </row>
    <row r="10322" spans="1:14">
      <c r="A10322" s="4" t="str">
        <f t="shared" si="923"/>
        <v>EXP00345</v>
      </c>
      <c r="B10322" s="4" t="str">
        <f t="shared" si="920"/>
        <v>26667932</v>
      </c>
      <c r="C10322" s="4" t="str">
        <f t="shared" si="921"/>
        <v>GSE74685</v>
      </c>
      <c r="D10322" s="1" t="s">
        <v>447</v>
      </c>
      <c r="E10322" t="s">
        <v>448</v>
      </c>
      <c r="F10322" s="1">
        <v>1</v>
      </c>
      <c r="G10322" s="1" t="s">
        <v>456</v>
      </c>
      <c r="H10322" s="4" t="str">
        <f>HYPERLINK("https://www.ncbi.nlm.nih.gov/geo/query/acc.cgi?acc=GSM1930129","GSM1930129")</f>
        <v>GSM1930129</v>
      </c>
      <c r="I10322" t="s">
        <v>161</v>
      </c>
      <c r="J10322" t="s">
        <v>193</v>
      </c>
      <c r="K10322" t="s">
        <v>19</v>
      </c>
      <c r="L10322" t="s">
        <v>162</v>
      </c>
      <c r="M10322" t="s">
        <v>61</v>
      </c>
      <c r="N10322" t="s">
        <v>22</v>
      </c>
    </row>
    <row r="10323" spans="1:14">
      <c r="A10323" s="4" t="str">
        <f t="shared" si="923"/>
        <v>EXP00345</v>
      </c>
      <c r="B10323" s="4" t="str">
        <f t="shared" si="920"/>
        <v>26667932</v>
      </c>
      <c r="C10323" s="4" t="str">
        <f t="shared" si="921"/>
        <v>GSE74685</v>
      </c>
      <c r="D10323" s="1" t="s">
        <v>447</v>
      </c>
      <c r="E10323" t="s">
        <v>448</v>
      </c>
      <c r="F10323" s="1">
        <v>2</v>
      </c>
      <c r="G10323" s="1" t="s">
        <v>457</v>
      </c>
      <c r="H10323" s="4" t="str">
        <f>HYPERLINK("https://www.ncbi.nlm.nih.gov/geo/query/acc.cgi?acc=GSM1616658","GSM1616658")</f>
        <v>GSM1616658</v>
      </c>
      <c r="I10323" t="s">
        <v>161</v>
      </c>
      <c r="J10323" t="s">
        <v>193</v>
      </c>
      <c r="K10323" t="s">
        <v>19</v>
      </c>
      <c r="L10323" t="s">
        <v>162</v>
      </c>
      <c r="M10323" t="s">
        <v>292</v>
      </c>
      <c r="N10323" t="s">
        <v>22</v>
      </c>
    </row>
    <row r="10324" spans="1:14">
      <c r="A10324" s="4" t="str">
        <f t="shared" si="923"/>
        <v>EXP00345</v>
      </c>
      <c r="B10324" s="4" t="str">
        <f t="shared" si="920"/>
        <v>26667932</v>
      </c>
      <c r="C10324" s="4" t="str">
        <f t="shared" si="921"/>
        <v>GSE74685</v>
      </c>
      <c r="D10324" s="1" t="s">
        <v>447</v>
      </c>
      <c r="E10324" t="s">
        <v>448</v>
      </c>
      <c r="F10324" s="1">
        <v>2</v>
      </c>
      <c r="G10324" s="1" t="s">
        <v>457</v>
      </c>
      <c r="H10324" s="4" t="str">
        <f>HYPERLINK("https://www.ncbi.nlm.nih.gov/geo/query/acc.cgi?acc=GSM1918980","GSM1918980")</f>
        <v>GSM1918980</v>
      </c>
      <c r="I10324" t="s">
        <v>161</v>
      </c>
      <c r="J10324" t="s">
        <v>193</v>
      </c>
      <c r="K10324" t="s">
        <v>19</v>
      </c>
      <c r="L10324" t="s">
        <v>162</v>
      </c>
      <c r="M10324" t="s">
        <v>292</v>
      </c>
      <c r="N10324" t="s">
        <v>22</v>
      </c>
    </row>
    <row r="10325" spans="1:14">
      <c r="A10325" s="4" t="str">
        <f t="shared" si="923"/>
        <v>EXP00345</v>
      </c>
      <c r="B10325" s="4" t="str">
        <f t="shared" si="920"/>
        <v>26667932</v>
      </c>
      <c r="C10325" s="4" t="str">
        <f t="shared" si="921"/>
        <v>GSE74685</v>
      </c>
      <c r="D10325" s="1" t="s">
        <v>447</v>
      </c>
      <c r="E10325" t="s">
        <v>448</v>
      </c>
      <c r="F10325" s="1">
        <v>2</v>
      </c>
      <c r="G10325" s="1" t="s">
        <v>457</v>
      </c>
      <c r="H10325" s="4" t="str">
        <f>HYPERLINK("https://www.ncbi.nlm.nih.gov/geo/query/acc.cgi?acc=GSM1930093","GSM1930093")</f>
        <v>GSM1930093</v>
      </c>
      <c r="I10325" t="s">
        <v>161</v>
      </c>
      <c r="J10325" t="s">
        <v>193</v>
      </c>
      <c r="K10325" t="s">
        <v>19</v>
      </c>
      <c r="L10325" t="s">
        <v>162</v>
      </c>
      <c r="M10325" t="s">
        <v>292</v>
      </c>
      <c r="N10325" t="s">
        <v>22</v>
      </c>
    </row>
    <row r="10326" spans="1:14">
      <c r="A10326" s="4" t="str">
        <f t="shared" ref="A10326:A10331" si="924">HYPERLINK("http://hcmdb.i-sanger.com/experiment/details/experiment_id/EXP00346","EXP00346")</f>
        <v>EXP00346</v>
      </c>
      <c r="B10326" s="4" t="str">
        <f t="shared" si="920"/>
        <v>26667932</v>
      </c>
      <c r="C10326" s="4" t="str">
        <f t="shared" si="921"/>
        <v>GSE74685</v>
      </c>
      <c r="D10326" s="1" t="s">
        <v>447</v>
      </c>
      <c r="E10326" t="s">
        <v>448</v>
      </c>
      <c r="F10326" s="1">
        <v>1</v>
      </c>
      <c r="G10326" s="1" t="s">
        <v>456</v>
      </c>
      <c r="H10326" s="4" t="str">
        <f>HYPERLINK("https://www.ncbi.nlm.nih.gov/geo/query/acc.cgi?acc=GSM1616656","GSM1616656")</f>
        <v>GSM1616656</v>
      </c>
      <c r="I10326" t="s">
        <v>161</v>
      </c>
      <c r="J10326" t="s">
        <v>193</v>
      </c>
      <c r="K10326" t="s">
        <v>19</v>
      </c>
      <c r="L10326" t="s">
        <v>162</v>
      </c>
      <c r="M10326" t="s">
        <v>61</v>
      </c>
      <c r="N10326" t="s">
        <v>22</v>
      </c>
    </row>
    <row r="10327" spans="1:14">
      <c r="A10327" s="4" t="str">
        <f t="shared" si="924"/>
        <v>EXP00346</v>
      </c>
      <c r="B10327" s="4" t="str">
        <f t="shared" si="920"/>
        <v>26667932</v>
      </c>
      <c r="C10327" s="4" t="str">
        <f t="shared" si="921"/>
        <v>GSE74685</v>
      </c>
      <c r="D10327" s="1" t="s">
        <v>447</v>
      </c>
      <c r="E10327" t="s">
        <v>448</v>
      </c>
      <c r="F10327" s="1">
        <v>1</v>
      </c>
      <c r="G10327" s="1" t="s">
        <v>456</v>
      </c>
      <c r="H10327" s="4" t="str">
        <f>HYPERLINK("https://www.ncbi.nlm.nih.gov/geo/query/acc.cgi?acc=GSM1930129","GSM1930129")</f>
        <v>GSM1930129</v>
      </c>
      <c r="I10327" t="s">
        <v>161</v>
      </c>
      <c r="J10327" t="s">
        <v>193</v>
      </c>
      <c r="K10327" t="s">
        <v>19</v>
      </c>
      <c r="L10327" t="s">
        <v>162</v>
      </c>
      <c r="M10327" t="s">
        <v>61</v>
      </c>
      <c r="N10327" t="s">
        <v>22</v>
      </c>
    </row>
    <row r="10328" spans="1:14">
      <c r="A10328" s="4" t="str">
        <f t="shared" si="924"/>
        <v>EXP00346</v>
      </c>
      <c r="B10328" s="4" t="str">
        <f t="shared" si="920"/>
        <v>26667932</v>
      </c>
      <c r="C10328" s="4" t="str">
        <f t="shared" si="921"/>
        <v>GSE74685</v>
      </c>
      <c r="D10328" s="1" t="s">
        <v>447</v>
      </c>
      <c r="E10328" t="s">
        <v>448</v>
      </c>
      <c r="F10328" s="1">
        <v>2</v>
      </c>
      <c r="G10328" s="1" t="s">
        <v>453</v>
      </c>
      <c r="H10328" s="4" t="str">
        <f>HYPERLINK("https://www.ncbi.nlm.nih.gov/geo/query/acc.cgi?acc=GSM1616630","GSM1616630")</f>
        <v>GSM1616630</v>
      </c>
      <c r="I10328" t="s">
        <v>161</v>
      </c>
      <c r="J10328" t="s">
        <v>193</v>
      </c>
      <c r="K10328" t="s">
        <v>19</v>
      </c>
      <c r="L10328" t="s">
        <v>162</v>
      </c>
      <c r="M10328" t="s">
        <v>454</v>
      </c>
      <c r="N10328" t="s">
        <v>22</v>
      </c>
    </row>
    <row r="10329" spans="1:14">
      <c r="A10329" s="4" t="str">
        <f t="shared" si="924"/>
        <v>EXP00346</v>
      </c>
      <c r="B10329" s="4" t="str">
        <f t="shared" si="920"/>
        <v>26667932</v>
      </c>
      <c r="C10329" s="4" t="str">
        <f t="shared" si="921"/>
        <v>GSE74685</v>
      </c>
      <c r="D10329" s="1" t="s">
        <v>447</v>
      </c>
      <c r="E10329" t="s">
        <v>448</v>
      </c>
      <c r="F10329" s="1">
        <v>2</v>
      </c>
      <c r="G10329" s="1" t="s">
        <v>453</v>
      </c>
      <c r="H10329" s="4" t="str">
        <f>HYPERLINK("https://www.ncbi.nlm.nih.gov/geo/query/acc.cgi?acc=GSM1616631","GSM1616631")</f>
        <v>GSM1616631</v>
      </c>
      <c r="I10329" t="s">
        <v>161</v>
      </c>
      <c r="J10329" t="s">
        <v>193</v>
      </c>
      <c r="K10329" t="s">
        <v>19</v>
      </c>
      <c r="L10329" t="s">
        <v>162</v>
      </c>
      <c r="M10329" t="s">
        <v>454</v>
      </c>
      <c r="N10329" t="s">
        <v>22</v>
      </c>
    </row>
    <row r="10330" spans="1:14">
      <c r="A10330" s="4" t="str">
        <f t="shared" si="924"/>
        <v>EXP00346</v>
      </c>
      <c r="B10330" s="4" t="str">
        <f t="shared" si="920"/>
        <v>26667932</v>
      </c>
      <c r="C10330" s="4" t="str">
        <f t="shared" si="921"/>
        <v>GSE74685</v>
      </c>
      <c r="D10330" s="1" t="s">
        <v>447</v>
      </c>
      <c r="E10330" t="s">
        <v>448</v>
      </c>
      <c r="F10330" s="1">
        <v>2</v>
      </c>
      <c r="G10330" s="1" t="s">
        <v>453</v>
      </c>
      <c r="H10330" s="4" t="str">
        <f>HYPERLINK("https://www.ncbi.nlm.nih.gov/geo/query/acc.cgi?acc=GSM1930081","GSM1930081")</f>
        <v>GSM1930081</v>
      </c>
      <c r="I10330" t="s">
        <v>161</v>
      </c>
      <c r="J10330" t="s">
        <v>193</v>
      </c>
      <c r="K10330" t="s">
        <v>19</v>
      </c>
      <c r="L10330" t="s">
        <v>162</v>
      </c>
      <c r="M10330" t="s">
        <v>454</v>
      </c>
      <c r="N10330" t="s">
        <v>22</v>
      </c>
    </row>
    <row r="10331" spans="1:14">
      <c r="A10331" s="4" t="str">
        <f t="shared" si="924"/>
        <v>EXP00346</v>
      </c>
      <c r="B10331" s="4" t="str">
        <f t="shared" si="920"/>
        <v>26667932</v>
      </c>
      <c r="C10331" s="4" t="str">
        <f t="shared" si="921"/>
        <v>GSE74685</v>
      </c>
      <c r="D10331" s="1" t="s">
        <v>447</v>
      </c>
      <c r="E10331" t="s">
        <v>448</v>
      </c>
      <c r="F10331" s="1">
        <v>2</v>
      </c>
      <c r="G10331" s="1" t="s">
        <v>453</v>
      </c>
      <c r="H10331" s="4" t="str">
        <f>HYPERLINK("https://www.ncbi.nlm.nih.gov/geo/query/acc.cgi?acc=GSM1930131","GSM1930131")</f>
        <v>GSM1930131</v>
      </c>
      <c r="I10331" t="s">
        <v>161</v>
      </c>
      <c r="J10331" t="s">
        <v>193</v>
      </c>
      <c r="K10331" t="s">
        <v>19</v>
      </c>
      <c r="L10331" t="s">
        <v>162</v>
      </c>
      <c r="M10331" t="s">
        <v>454</v>
      </c>
      <c r="N10331" t="s">
        <v>22</v>
      </c>
    </row>
    <row r="10332" spans="1:14">
      <c r="A10332" s="4" t="str">
        <f t="shared" ref="A10332:A10374" si="925">HYPERLINK("http://hcmdb.i-sanger.com/experiment/details/experiment_id/EXP00347","EXP00347")</f>
        <v>EXP00347</v>
      </c>
      <c r="B10332" s="4" t="str">
        <f t="shared" si="920"/>
        <v>26667932</v>
      </c>
      <c r="C10332" s="4" t="str">
        <f t="shared" si="921"/>
        <v>GSE74685</v>
      </c>
      <c r="D10332" s="1" t="s">
        <v>447</v>
      </c>
      <c r="E10332" t="s">
        <v>448</v>
      </c>
      <c r="F10332" s="1">
        <v>1</v>
      </c>
      <c r="G10332" s="1" t="s">
        <v>450</v>
      </c>
      <c r="H10332" s="4" t="str">
        <f>HYPERLINK("https://www.ncbi.nlm.nih.gov/geo/query/acc.cgi?acc=GSM1616614","GSM1616614")</f>
        <v>GSM1616614</v>
      </c>
      <c r="I10332" t="s">
        <v>161</v>
      </c>
      <c r="J10332" t="s">
        <v>193</v>
      </c>
      <c r="K10332" t="s">
        <v>19</v>
      </c>
      <c r="L10332" t="s">
        <v>162</v>
      </c>
      <c r="M10332" t="s">
        <v>44</v>
      </c>
      <c r="N10332" t="s">
        <v>22</v>
      </c>
    </row>
    <row r="10333" spans="1:14">
      <c r="A10333" s="4" t="str">
        <f t="shared" si="925"/>
        <v>EXP00347</v>
      </c>
      <c r="B10333" s="4" t="str">
        <f t="shared" si="920"/>
        <v>26667932</v>
      </c>
      <c r="C10333" s="4" t="str">
        <f t="shared" si="921"/>
        <v>GSE74685</v>
      </c>
      <c r="D10333" s="1" t="s">
        <v>447</v>
      </c>
      <c r="E10333" t="s">
        <v>448</v>
      </c>
      <c r="F10333" s="1">
        <v>1</v>
      </c>
      <c r="G10333" s="1" t="s">
        <v>450</v>
      </c>
      <c r="H10333" s="4" t="str">
        <f>HYPERLINK("https://www.ncbi.nlm.nih.gov/geo/query/acc.cgi?acc=GSM1616618","GSM1616618")</f>
        <v>GSM1616618</v>
      </c>
      <c r="I10333" t="s">
        <v>161</v>
      </c>
      <c r="J10333" t="s">
        <v>193</v>
      </c>
      <c r="K10333" t="s">
        <v>19</v>
      </c>
      <c r="L10333" t="s">
        <v>162</v>
      </c>
      <c r="M10333" t="s">
        <v>44</v>
      </c>
      <c r="N10333" t="s">
        <v>22</v>
      </c>
    </row>
    <row r="10334" spans="1:14">
      <c r="A10334" s="4" t="str">
        <f t="shared" si="925"/>
        <v>EXP00347</v>
      </c>
      <c r="B10334" s="4" t="str">
        <f t="shared" si="920"/>
        <v>26667932</v>
      </c>
      <c r="C10334" s="4" t="str">
        <f t="shared" si="921"/>
        <v>GSE74685</v>
      </c>
      <c r="D10334" s="1" t="s">
        <v>447</v>
      </c>
      <c r="E10334" t="s">
        <v>448</v>
      </c>
      <c r="F10334" s="1">
        <v>1</v>
      </c>
      <c r="G10334" s="1" t="s">
        <v>450</v>
      </c>
      <c r="H10334" s="4" t="str">
        <f>HYPERLINK("https://www.ncbi.nlm.nih.gov/geo/query/acc.cgi?acc=GSM1616621","GSM1616621")</f>
        <v>GSM1616621</v>
      </c>
      <c r="I10334" t="s">
        <v>161</v>
      </c>
      <c r="J10334" t="s">
        <v>193</v>
      </c>
      <c r="K10334" t="s">
        <v>19</v>
      </c>
      <c r="L10334" t="s">
        <v>162</v>
      </c>
      <c r="M10334" t="s">
        <v>44</v>
      </c>
      <c r="N10334" t="s">
        <v>22</v>
      </c>
    </row>
    <row r="10335" spans="1:14">
      <c r="A10335" s="4" t="str">
        <f t="shared" si="925"/>
        <v>EXP00347</v>
      </c>
      <c r="B10335" s="4" t="str">
        <f t="shared" si="920"/>
        <v>26667932</v>
      </c>
      <c r="C10335" s="4" t="str">
        <f t="shared" si="921"/>
        <v>GSE74685</v>
      </c>
      <c r="D10335" s="1" t="s">
        <v>447</v>
      </c>
      <c r="E10335" t="s">
        <v>448</v>
      </c>
      <c r="F10335" s="1">
        <v>1</v>
      </c>
      <c r="G10335" s="1" t="s">
        <v>450</v>
      </c>
      <c r="H10335" s="4" t="str">
        <f>HYPERLINK("https://www.ncbi.nlm.nih.gov/geo/query/acc.cgi?acc=GSM1616623","GSM1616623")</f>
        <v>GSM1616623</v>
      </c>
      <c r="I10335" t="s">
        <v>161</v>
      </c>
      <c r="J10335" t="s">
        <v>193</v>
      </c>
      <c r="K10335" t="s">
        <v>19</v>
      </c>
      <c r="L10335" t="s">
        <v>162</v>
      </c>
      <c r="M10335" t="s">
        <v>44</v>
      </c>
      <c r="N10335" t="s">
        <v>22</v>
      </c>
    </row>
    <row r="10336" spans="1:14">
      <c r="A10336" s="4" t="str">
        <f t="shared" si="925"/>
        <v>EXP00347</v>
      </c>
      <c r="B10336" s="4" t="str">
        <f t="shared" si="920"/>
        <v>26667932</v>
      </c>
      <c r="C10336" s="4" t="str">
        <f t="shared" si="921"/>
        <v>GSE74685</v>
      </c>
      <c r="D10336" s="1" t="s">
        <v>447</v>
      </c>
      <c r="E10336" t="s">
        <v>448</v>
      </c>
      <c r="F10336" s="1">
        <v>1</v>
      </c>
      <c r="G10336" s="1" t="s">
        <v>450</v>
      </c>
      <c r="H10336" s="4" t="str">
        <f>HYPERLINK("https://www.ncbi.nlm.nih.gov/geo/query/acc.cgi?acc=GSM1616628","GSM1616628")</f>
        <v>GSM1616628</v>
      </c>
      <c r="I10336" t="s">
        <v>161</v>
      </c>
      <c r="J10336" t="s">
        <v>193</v>
      </c>
      <c r="K10336" t="s">
        <v>19</v>
      </c>
      <c r="L10336" t="s">
        <v>162</v>
      </c>
      <c r="M10336" t="s">
        <v>44</v>
      </c>
      <c r="N10336" t="s">
        <v>22</v>
      </c>
    </row>
    <row r="10337" spans="1:14">
      <c r="A10337" s="4" t="str">
        <f t="shared" si="925"/>
        <v>EXP00347</v>
      </c>
      <c r="B10337" s="4" t="str">
        <f t="shared" si="920"/>
        <v>26667932</v>
      </c>
      <c r="C10337" s="4" t="str">
        <f t="shared" si="921"/>
        <v>GSE74685</v>
      </c>
      <c r="D10337" s="1" t="s">
        <v>447</v>
      </c>
      <c r="E10337" t="s">
        <v>448</v>
      </c>
      <c r="F10337" s="1">
        <v>1</v>
      </c>
      <c r="G10337" s="1" t="s">
        <v>450</v>
      </c>
      <c r="H10337" s="4" t="str">
        <f>HYPERLINK("https://www.ncbi.nlm.nih.gov/geo/query/acc.cgi?acc=GSM1616629","GSM1616629")</f>
        <v>GSM1616629</v>
      </c>
      <c r="I10337" t="s">
        <v>161</v>
      </c>
      <c r="J10337" t="s">
        <v>193</v>
      </c>
      <c r="K10337" t="s">
        <v>19</v>
      </c>
      <c r="L10337" t="s">
        <v>162</v>
      </c>
      <c r="M10337" t="s">
        <v>44</v>
      </c>
      <c r="N10337" t="s">
        <v>22</v>
      </c>
    </row>
    <row r="10338" spans="1:14">
      <c r="A10338" s="4" t="str">
        <f t="shared" si="925"/>
        <v>EXP00347</v>
      </c>
      <c r="B10338" s="4" t="str">
        <f t="shared" si="920"/>
        <v>26667932</v>
      </c>
      <c r="C10338" s="4" t="str">
        <f t="shared" si="921"/>
        <v>GSE74685</v>
      </c>
      <c r="D10338" s="1" t="s">
        <v>447</v>
      </c>
      <c r="E10338" t="s">
        <v>448</v>
      </c>
      <c r="F10338" s="1">
        <v>1</v>
      </c>
      <c r="G10338" s="1" t="s">
        <v>450</v>
      </c>
      <c r="H10338" s="4" t="str">
        <f>HYPERLINK("https://www.ncbi.nlm.nih.gov/geo/query/acc.cgi?acc=GSM1616632","GSM1616632")</f>
        <v>GSM1616632</v>
      </c>
      <c r="I10338" t="s">
        <v>161</v>
      </c>
      <c r="J10338" t="s">
        <v>193</v>
      </c>
      <c r="K10338" t="s">
        <v>19</v>
      </c>
      <c r="L10338" t="s">
        <v>162</v>
      </c>
      <c r="M10338" t="s">
        <v>44</v>
      </c>
      <c r="N10338" t="s">
        <v>22</v>
      </c>
    </row>
    <row r="10339" spans="1:14">
      <c r="A10339" s="4" t="str">
        <f t="shared" si="925"/>
        <v>EXP00347</v>
      </c>
      <c r="B10339" s="4" t="str">
        <f t="shared" si="920"/>
        <v>26667932</v>
      </c>
      <c r="C10339" s="4" t="str">
        <f t="shared" si="921"/>
        <v>GSE74685</v>
      </c>
      <c r="D10339" s="1" t="s">
        <v>447</v>
      </c>
      <c r="E10339" t="s">
        <v>448</v>
      </c>
      <c r="F10339" s="1">
        <v>1</v>
      </c>
      <c r="G10339" s="1" t="s">
        <v>450</v>
      </c>
      <c r="H10339" s="4" t="str">
        <f>HYPERLINK("https://www.ncbi.nlm.nih.gov/geo/query/acc.cgi?acc=GSM1616638","GSM1616638")</f>
        <v>GSM1616638</v>
      </c>
      <c r="I10339" t="s">
        <v>161</v>
      </c>
      <c r="J10339" t="s">
        <v>193</v>
      </c>
      <c r="K10339" t="s">
        <v>19</v>
      </c>
      <c r="L10339" t="s">
        <v>162</v>
      </c>
      <c r="M10339" t="s">
        <v>44</v>
      </c>
      <c r="N10339" t="s">
        <v>22</v>
      </c>
    </row>
    <row r="10340" spans="1:14">
      <c r="A10340" s="4" t="str">
        <f t="shared" si="925"/>
        <v>EXP00347</v>
      </c>
      <c r="B10340" s="4" t="str">
        <f t="shared" si="920"/>
        <v>26667932</v>
      </c>
      <c r="C10340" s="4" t="str">
        <f t="shared" si="921"/>
        <v>GSE74685</v>
      </c>
      <c r="D10340" s="1" t="s">
        <v>447</v>
      </c>
      <c r="E10340" t="s">
        <v>448</v>
      </c>
      <c r="F10340" s="1">
        <v>1</v>
      </c>
      <c r="G10340" s="1" t="s">
        <v>450</v>
      </c>
      <c r="H10340" s="4" t="str">
        <f>HYPERLINK("https://www.ncbi.nlm.nih.gov/geo/query/acc.cgi?acc=GSM1616641","GSM1616641")</f>
        <v>GSM1616641</v>
      </c>
      <c r="I10340" t="s">
        <v>161</v>
      </c>
      <c r="J10340" t="s">
        <v>193</v>
      </c>
      <c r="K10340" t="s">
        <v>19</v>
      </c>
      <c r="L10340" t="s">
        <v>162</v>
      </c>
      <c r="M10340" t="s">
        <v>44</v>
      </c>
      <c r="N10340" t="s">
        <v>22</v>
      </c>
    </row>
    <row r="10341" spans="1:14">
      <c r="A10341" s="4" t="str">
        <f t="shared" si="925"/>
        <v>EXP00347</v>
      </c>
      <c r="B10341" s="4" t="str">
        <f t="shared" si="920"/>
        <v>26667932</v>
      </c>
      <c r="C10341" s="4" t="str">
        <f t="shared" si="921"/>
        <v>GSE74685</v>
      </c>
      <c r="D10341" s="1" t="s">
        <v>447</v>
      </c>
      <c r="E10341" t="s">
        <v>448</v>
      </c>
      <c r="F10341" s="1">
        <v>1</v>
      </c>
      <c r="G10341" s="1" t="s">
        <v>450</v>
      </c>
      <c r="H10341" s="4" t="str">
        <f>HYPERLINK("https://www.ncbi.nlm.nih.gov/geo/query/acc.cgi?acc=GSM1616663","GSM1616663")</f>
        <v>GSM1616663</v>
      </c>
      <c r="I10341" t="s">
        <v>161</v>
      </c>
      <c r="J10341" t="s">
        <v>193</v>
      </c>
      <c r="K10341" t="s">
        <v>19</v>
      </c>
      <c r="L10341" t="s">
        <v>162</v>
      </c>
      <c r="M10341" t="s">
        <v>44</v>
      </c>
      <c r="N10341" t="s">
        <v>22</v>
      </c>
    </row>
    <row r="10342" spans="1:14">
      <c r="A10342" s="4" t="str">
        <f t="shared" si="925"/>
        <v>EXP00347</v>
      </c>
      <c r="B10342" s="4" t="str">
        <f t="shared" si="920"/>
        <v>26667932</v>
      </c>
      <c r="C10342" s="4" t="str">
        <f t="shared" si="921"/>
        <v>GSE74685</v>
      </c>
      <c r="D10342" s="1" t="s">
        <v>447</v>
      </c>
      <c r="E10342" t="s">
        <v>448</v>
      </c>
      <c r="F10342" s="1">
        <v>1</v>
      </c>
      <c r="G10342" s="1" t="s">
        <v>450</v>
      </c>
      <c r="H10342" s="4" t="str">
        <f>HYPERLINK("https://www.ncbi.nlm.nih.gov/geo/query/acc.cgi?acc=GSM1616667","GSM1616667")</f>
        <v>GSM1616667</v>
      </c>
      <c r="I10342" t="s">
        <v>161</v>
      </c>
      <c r="J10342" t="s">
        <v>193</v>
      </c>
      <c r="K10342" t="s">
        <v>19</v>
      </c>
      <c r="L10342" t="s">
        <v>162</v>
      </c>
      <c r="M10342" t="s">
        <v>44</v>
      </c>
      <c r="N10342" t="s">
        <v>22</v>
      </c>
    </row>
    <row r="10343" spans="1:14">
      <c r="A10343" s="4" t="str">
        <f t="shared" si="925"/>
        <v>EXP00347</v>
      </c>
      <c r="B10343" s="4" t="str">
        <f t="shared" si="920"/>
        <v>26667932</v>
      </c>
      <c r="C10343" s="4" t="str">
        <f t="shared" si="921"/>
        <v>GSE74685</v>
      </c>
      <c r="D10343" s="1" t="s">
        <v>447</v>
      </c>
      <c r="E10343" t="s">
        <v>448</v>
      </c>
      <c r="F10343" s="1">
        <v>1</v>
      </c>
      <c r="G10343" s="1" t="s">
        <v>450</v>
      </c>
      <c r="H10343" s="4" t="str">
        <f>HYPERLINK("https://www.ncbi.nlm.nih.gov/geo/query/acc.cgi?acc=GSM1616671","GSM1616671")</f>
        <v>GSM1616671</v>
      </c>
      <c r="I10343" t="s">
        <v>161</v>
      </c>
      <c r="J10343" t="s">
        <v>193</v>
      </c>
      <c r="K10343" t="s">
        <v>19</v>
      </c>
      <c r="L10343" t="s">
        <v>162</v>
      </c>
      <c r="M10343" t="s">
        <v>44</v>
      </c>
      <c r="N10343" t="s">
        <v>22</v>
      </c>
    </row>
    <row r="10344" spans="1:14">
      <c r="A10344" s="4" t="str">
        <f t="shared" si="925"/>
        <v>EXP00347</v>
      </c>
      <c r="B10344" s="4" t="str">
        <f t="shared" si="920"/>
        <v>26667932</v>
      </c>
      <c r="C10344" s="4" t="str">
        <f t="shared" si="921"/>
        <v>GSE74685</v>
      </c>
      <c r="D10344" s="1" t="s">
        <v>447</v>
      </c>
      <c r="E10344" t="s">
        <v>448</v>
      </c>
      <c r="F10344" s="1">
        <v>1</v>
      </c>
      <c r="G10344" s="1" t="s">
        <v>450</v>
      </c>
      <c r="H10344" s="4" t="str">
        <f>HYPERLINK("https://www.ncbi.nlm.nih.gov/geo/query/acc.cgi?acc=GSM1616674","GSM1616674")</f>
        <v>GSM1616674</v>
      </c>
      <c r="I10344" t="s">
        <v>161</v>
      </c>
      <c r="J10344" t="s">
        <v>193</v>
      </c>
      <c r="K10344" t="s">
        <v>19</v>
      </c>
      <c r="L10344" t="s">
        <v>162</v>
      </c>
      <c r="M10344" t="s">
        <v>44</v>
      </c>
      <c r="N10344" t="s">
        <v>22</v>
      </c>
    </row>
    <row r="10345" spans="1:14">
      <c r="A10345" s="4" t="str">
        <f t="shared" si="925"/>
        <v>EXP00347</v>
      </c>
      <c r="B10345" s="4" t="str">
        <f t="shared" si="920"/>
        <v>26667932</v>
      </c>
      <c r="C10345" s="4" t="str">
        <f t="shared" si="921"/>
        <v>GSE74685</v>
      </c>
      <c r="D10345" s="1" t="s">
        <v>447</v>
      </c>
      <c r="E10345" t="s">
        <v>448</v>
      </c>
      <c r="F10345" s="1">
        <v>1</v>
      </c>
      <c r="G10345" s="1" t="s">
        <v>450</v>
      </c>
      <c r="H10345" s="4" t="str">
        <f>HYPERLINK("https://www.ncbi.nlm.nih.gov/geo/query/acc.cgi?acc=GSM1616675","GSM1616675")</f>
        <v>GSM1616675</v>
      </c>
      <c r="I10345" t="s">
        <v>161</v>
      </c>
      <c r="J10345" t="s">
        <v>193</v>
      </c>
      <c r="K10345" t="s">
        <v>19</v>
      </c>
      <c r="L10345" t="s">
        <v>162</v>
      </c>
      <c r="M10345" t="s">
        <v>44</v>
      </c>
      <c r="N10345" t="s">
        <v>22</v>
      </c>
    </row>
    <row r="10346" spans="1:14">
      <c r="A10346" s="4" t="str">
        <f t="shared" si="925"/>
        <v>EXP00347</v>
      </c>
      <c r="B10346" s="4" t="str">
        <f t="shared" si="920"/>
        <v>26667932</v>
      </c>
      <c r="C10346" s="4" t="str">
        <f t="shared" si="921"/>
        <v>GSE74685</v>
      </c>
      <c r="D10346" s="1" t="s">
        <v>447</v>
      </c>
      <c r="E10346" t="s">
        <v>448</v>
      </c>
      <c r="F10346" s="1">
        <v>1</v>
      </c>
      <c r="G10346" s="1" t="s">
        <v>450</v>
      </c>
      <c r="H10346" s="4" t="str">
        <f>HYPERLINK("https://www.ncbi.nlm.nih.gov/geo/query/acc.cgi?acc=GSM1616677","GSM1616677")</f>
        <v>GSM1616677</v>
      </c>
      <c r="I10346" t="s">
        <v>161</v>
      </c>
      <c r="J10346" t="s">
        <v>193</v>
      </c>
      <c r="K10346" t="s">
        <v>19</v>
      </c>
      <c r="L10346" t="s">
        <v>162</v>
      </c>
      <c r="M10346" t="s">
        <v>44</v>
      </c>
      <c r="N10346" t="s">
        <v>22</v>
      </c>
    </row>
    <row r="10347" spans="1:14">
      <c r="A10347" s="4" t="str">
        <f t="shared" si="925"/>
        <v>EXP00347</v>
      </c>
      <c r="B10347" s="4" t="str">
        <f t="shared" si="920"/>
        <v>26667932</v>
      </c>
      <c r="C10347" s="4" t="str">
        <f t="shared" si="921"/>
        <v>GSE74685</v>
      </c>
      <c r="D10347" s="1" t="s">
        <v>447</v>
      </c>
      <c r="E10347" t="s">
        <v>448</v>
      </c>
      <c r="F10347" s="1">
        <v>1</v>
      </c>
      <c r="G10347" s="1" t="s">
        <v>450</v>
      </c>
      <c r="H10347" s="4" t="str">
        <f>HYPERLINK("https://www.ncbi.nlm.nih.gov/geo/query/acc.cgi?acc=GSM1930080","GSM1930080")</f>
        <v>GSM1930080</v>
      </c>
      <c r="I10347" t="s">
        <v>161</v>
      </c>
      <c r="J10347" t="s">
        <v>193</v>
      </c>
      <c r="K10347" t="s">
        <v>19</v>
      </c>
      <c r="L10347" t="s">
        <v>162</v>
      </c>
      <c r="M10347" t="s">
        <v>44</v>
      </c>
      <c r="N10347" t="s">
        <v>22</v>
      </c>
    </row>
    <row r="10348" spans="1:14">
      <c r="A10348" s="4" t="str">
        <f t="shared" si="925"/>
        <v>EXP00347</v>
      </c>
      <c r="B10348" s="4" t="str">
        <f t="shared" si="920"/>
        <v>26667932</v>
      </c>
      <c r="C10348" s="4" t="str">
        <f t="shared" si="921"/>
        <v>GSE74685</v>
      </c>
      <c r="D10348" s="1" t="s">
        <v>447</v>
      </c>
      <c r="E10348" t="s">
        <v>448</v>
      </c>
      <c r="F10348" s="1">
        <v>1</v>
      </c>
      <c r="G10348" s="1" t="s">
        <v>450</v>
      </c>
      <c r="H10348" s="4" t="str">
        <f>HYPERLINK("https://www.ncbi.nlm.nih.gov/geo/query/acc.cgi?acc=GSM1930136","GSM1930136")</f>
        <v>GSM1930136</v>
      </c>
      <c r="I10348" t="s">
        <v>161</v>
      </c>
      <c r="J10348" t="s">
        <v>193</v>
      </c>
      <c r="K10348" t="s">
        <v>19</v>
      </c>
      <c r="L10348" t="s">
        <v>162</v>
      </c>
      <c r="M10348" t="s">
        <v>44</v>
      </c>
      <c r="N10348" t="s">
        <v>22</v>
      </c>
    </row>
    <row r="10349" spans="1:14">
      <c r="A10349" s="4" t="str">
        <f t="shared" si="925"/>
        <v>EXP00347</v>
      </c>
      <c r="B10349" s="4" t="str">
        <f t="shared" si="920"/>
        <v>26667932</v>
      </c>
      <c r="C10349" s="4" t="str">
        <f t="shared" si="921"/>
        <v>GSE74685</v>
      </c>
      <c r="D10349" s="1" t="s">
        <v>447</v>
      </c>
      <c r="E10349" t="s">
        <v>448</v>
      </c>
      <c r="F10349" s="1">
        <v>1</v>
      </c>
      <c r="G10349" s="1" t="s">
        <v>450</v>
      </c>
      <c r="H10349" s="4" t="str">
        <f>HYPERLINK("https://www.ncbi.nlm.nih.gov/geo/query/acc.cgi?acc=GSM1930141","GSM1930141")</f>
        <v>GSM1930141</v>
      </c>
      <c r="I10349" t="s">
        <v>161</v>
      </c>
      <c r="J10349" t="s">
        <v>193</v>
      </c>
      <c r="K10349" t="s">
        <v>19</v>
      </c>
      <c r="L10349" t="s">
        <v>162</v>
      </c>
      <c r="M10349" t="s">
        <v>44</v>
      </c>
      <c r="N10349" t="s">
        <v>22</v>
      </c>
    </row>
    <row r="10350" spans="1:14">
      <c r="A10350" s="4" t="str">
        <f t="shared" si="925"/>
        <v>EXP00347</v>
      </c>
      <c r="B10350" s="4" t="str">
        <f t="shared" si="920"/>
        <v>26667932</v>
      </c>
      <c r="C10350" s="4" t="str">
        <f t="shared" si="921"/>
        <v>GSE74685</v>
      </c>
      <c r="D10350" s="1" t="s">
        <v>447</v>
      </c>
      <c r="E10350" t="s">
        <v>448</v>
      </c>
      <c r="F10350" s="1">
        <v>1</v>
      </c>
      <c r="G10350" s="1" t="s">
        <v>450</v>
      </c>
      <c r="H10350" s="4" t="str">
        <f>HYPERLINK("https://www.ncbi.nlm.nih.gov/geo/query/acc.cgi?acc=GSM1930142","GSM1930142")</f>
        <v>GSM1930142</v>
      </c>
      <c r="I10350" t="s">
        <v>161</v>
      </c>
      <c r="J10350" t="s">
        <v>193</v>
      </c>
      <c r="K10350" t="s">
        <v>19</v>
      </c>
      <c r="L10350" t="s">
        <v>162</v>
      </c>
      <c r="M10350" t="s">
        <v>44</v>
      </c>
      <c r="N10350" t="s">
        <v>22</v>
      </c>
    </row>
    <row r="10351" spans="1:14">
      <c r="A10351" s="4" t="str">
        <f t="shared" si="925"/>
        <v>EXP00347</v>
      </c>
      <c r="B10351" s="4" t="str">
        <f t="shared" si="920"/>
        <v>26667932</v>
      </c>
      <c r="C10351" s="4" t="str">
        <f t="shared" si="921"/>
        <v>GSE74685</v>
      </c>
      <c r="D10351" s="1" t="s">
        <v>447</v>
      </c>
      <c r="E10351" t="s">
        <v>448</v>
      </c>
      <c r="F10351" s="1">
        <v>1</v>
      </c>
      <c r="G10351" s="1" t="s">
        <v>450</v>
      </c>
      <c r="H10351" s="4" t="str">
        <f>HYPERLINK("https://www.ncbi.nlm.nih.gov/geo/query/acc.cgi?acc=GSM1930150","GSM1930150")</f>
        <v>GSM1930150</v>
      </c>
      <c r="I10351" t="s">
        <v>161</v>
      </c>
      <c r="J10351" t="s">
        <v>193</v>
      </c>
      <c r="K10351" t="s">
        <v>19</v>
      </c>
      <c r="L10351" t="s">
        <v>162</v>
      </c>
      <c r="M10351" t="s">
        <v>44</v>
      </c>
      <c r="N10351" t="s">
        <v>22</v>
      </c>
    </row>
    <row r="10352" spans="1:14">
      <c r="A10352" s="4" t="str">
        <f t="shared" si="925"/>
        <v>EXP00347</v>
      </c>
      <c r="B10352" s="4" t="str">
        <f t="shared" si="920"/>
        <v>26667932</v>
      </c>
      <c r="C10352" s="4" t="str">
        <f t="shared" si="921"/>
        <v>GSE74685</v>
      </c>
      <c r="D10352" s="1" t="s">
        <v>447</v>
      </c>
      <c r="E10352" t="s">
        <v>448</v>
      </c>
      <c r="F10352" s="1">
        <v>1</v>
      </c>
      <c r="G10352" s="1" t="s">
        <v>450</v>
      </c>
      <c r="H10352" s="4" t="str">
        <f>HYPERLINK("https://www.ncbi.nlm.nih.gov/geo/query/acc.cgi?acc=GSM1930155","GSM1930155")</f>
        <v>GSM1930155</v>
      </c>
      <c r="I10352" t="s">
        <v>161</v>
      </c>
      <c r="J10352" t="s">
        <v>193</v>
      </c>
      <c r="K10352" t="s">
        <v>19</v>
      </c>
      <c r="L10352" t="s">
        <v>162</v>
      </c>
      <c r="M10352" t="s">
        <v>44</v>
      </c>
      <c r="N10352" t="s">
        <v>22</v>
      </c>
    </row>
    <row r="10353" spans="1:14">
      <c r="A10353" s="4" t="str">
        <f t="shared" si="925"/>
        <v>EXP00347</v>
      </c>
      <c r="B10353" s="4" t="str">
        <f t="shared" si="920"/>
        <v>26667932</v>
      </c>
      <c r="C10353" s="4" t="str">
        <f t="shared" si="921"/>
        <v>GSE74685</v>
      </c>
      <c r="D10353" s="1" t="s">
        <v>447</v>
      </c>
      <c r="E10353" t="s">
        <v>448</v>
      </c>
      <c r="F10353" s="1">
        <v>2</v>
      </c>
      <c r="G10353" s="1" t="s">
        <v>451</v>
      </c>
      <c r="H10353" s="4" t="str">
        <f>HYPERLINK("https://www.ncbi.nlm.nih.gov/geo/query/acc.cgi?acc=GSM1616617","GSM1616617")</f>
        <v>GSM1616617</v>
      </c>
      <c r="I10353" t="s">
        <v>161</v>
      </c>
      <c r="J10353" t="s">
        <v>193</v>
      </c>
      <c r="K10353" t="s">
        <v>19</v>
      </c>
      <c r="L10353" t="s">
        <v>162</v>
      </c>
      <c r="M10353" t="s">
        <v>41</v>
      </c>
      <c r="N10353" t="s">
        <v>22</v>
      </c>
    </row>
    <row r="10354" spans="1:14">
      <c r="A10354" s="4" t="str">
        <f t="shared" si="925"/>
        <v>EXP00347</v>
      </c>
      <c r="B10354" s="4" t="str">
        <f t="shared" si="920"/>
        <v>26667932</v>
      </c>
      <c r="C10354" s="4" t="str">
        <f t="shared" si="921"/>
        <v>GSE74685</v>
      </c>
      <c r="D10354" s="1" t="s">
        <v>447</v>
      </c>
      <c r="E10354" t="s">
        <v>448</v>
      </c>
      <c r="F10354" s="1">
        <v>2</v>
      </c>
      <c r="G10354" s="1" t="s">
        <v>451</v>
      </c>
      <c r="H10354" s="4" t="str">
        <f>HYPERLINK("https://www.ncbi.nlm.nih.gov/geo/query/acc.cgi?acc=GSM1616637","GSM1616637")</f>
        <v>GSM1616637</v>
      </c>
      <c r="I10354" t="s">
        <v>161</v>
      </c>
      <c r="J10354" t="s">
        <v>193</v>
      </c>
      <c r="K10354" t="s">
        <v>19</v>
      </c>
      <c r="L10354" t="s">
        <v>162</v>
      </c>
      <c r="M10354" t="s">
        <v>41</v>
      </c>
      <c r="N10354" t="s">
        <v>22</v>
      </c>
    </row>
    <row r="10355" spans="1:14">
      <c r="A10355" s="4" t="str">
        <f t="shared" si="925"/>
        <v>EXP00347</v>
      </c>
      <c r="B10355" s="4" t="str">
        <f t="shared" si="920"/>
        <v>26667932</v>
      </c>
      <c r="C10355" s="4" t="str">
        <f t="shared" si="921"/>
        <v>GSE74685</v>
      </c>
      <c r="D10355" s="1" t="s">
        <v>447</v>
      </c>
      <c r="E10355" t="s">
        <v>448</v>
      </c>
      <c r="F10355" s="1">
        <v>2</v>
      </c>
      <c r="G10355" s="1" t="s">
        <v>451</v>
      </c>
      <c r="H10355" s="4" t="str">
        <f>HYPERLINK("https://www.ncbi.nlm.nih.gov/geo/query/acc.cgi?acc=GSM1616646","GSM1616646")</f>
        <v>GSM1616646</v>
      </c>
      <c r="I10355" t="s">
        <v>161</v>
      </c>
      <c r="J10355" t="s">
        <v>193</v>
      </c>
      <c r="K10355" t="s">
        <v>19</v>
      </c>
      <c r="L10355" t="s">
        <v>162</v>
      </c>
      <c r="M10355" t="s">
        <v>41</v>
      </c>
      <c r="N10355" t="s">
        <v>22</v>
      </c>
    </row>
    <row r="10356" spans="1:14">
      <c r="A10356" s="4" t="str">
        <f t="shared" si="925"/>
        <v>EXP00347</v>
      </c>
      <c r="B10356" s="4" t="str">
        <f t="shared" si="920"/>
        <v>26667932</v>
      </c>
      <c r="C10356" s="4" t="str">
        <f t="shared" si="921"/>
        <v>GSE74685</v>
      </c>
      <c r="D10356" s="1" t="s">
        <v>447</v>
      </c>
      <c r="E10356" t="s">
        <v>448</v>
      </c>
      <c r="F10356" s="1">
        <v>2</v>
      </c>
      <c r="G10356" s="1" t="s">
        <v>451</v>
      </c>
      <c r="H10356" s="4" t="str">
        <f>HYPERLINK("https://www.ncbi.nlm.nih.gov/geo/query/acc.cgi?acc=GSM1616660","GSM1616660")</f>
        <v>GSM1616660</v>
      </c>
      <c r="I10356" t="s">
        <v>161</v>
      </c>
      <c r="J10356" t="s">
        <v>193</v>
      </c>
      <c r="K10356" t="s">
        <v>19</v>
      </c>
      <c r="L10356" t="s">
        <v>162</v>
      </c>
      <c r="M10356" t="s">
        <v>41</v>
      </c>
      <c r="N10356" t="s">
        <v>22</v>
      </c>
    </row>
    <row r="10357" spans="1:14">
      <c r="A10357" s="4" t="str">
        <f t="shared" si="925"/>
        <v>EXP00347</v>
      </c>
      <c r="B10357" s="4" t="str">
        <f t="shared" si="920"/>
        <v>26667932</v>
      </c>
      <c r="C10357" s="4" t="str">
        <f t="shared" si="921"/>
        <v>GSE74685</v>
      </c>
      <c r="D10357" s="1" t="s">
        <v>447</v>
      </c>
      <c r="E10357" t="s">
        <v>448</v>
      </c>
      <c r="F10357" s="1">
        <v>2</v>
      </c>
      <c r="G10357" s="1" t="s">
        <v>451</v>
      </c>
      <c r="H10357" s="4" t="str">
        <f>HYPERLINK("https://www.ncbi.nlm.nih.gov/geo/query/acc.cgi?acc=GSM1616666","GSM1616666")</f>
        <v>GSM1616666</v>
      </c>
      <c r="I10357" t="s">
        <v>161</v>
      </c>
      <c r="J10357" t="s">
        <v>193</v>
      </c>
      <c r="K10357" t="s">
        <v>19</v>
      </c>
      <c r="L10357" t="s">
        <v>162</v>
      </c>
      <c r="M10357" t="s">
        <v>41</v>
      </c>
      <c r="N10357" t="s">
        <v>22</v>
      </c>
    </row>
    <row r="10358" spans="1:14">
      <c r="A10358" s="4" t="str">
        <f t="shared" si="925"/>
        <v>EXP00347</v>
      </c>
      <c r="B10358" s="4" t="str">
        <f t="shared" si="920"/>
        <v>26667932</v>
      </c>
      <c r="C10358" s="4" t="str">
        <f t="shared" si="921"/>
        <v>GSE74685</v>
      </c>
      <c r="D10358" s="1" t="s">
        <v>447</v>
      </c>
      <c r="E10358" t="s">
        <v>448</v>
      </c>
      <c r="F10358" s="1">
        <v>2</v>
      </c>
      <c r="G10358" s="1" t="s">
        <v>451</v>
      </c>
      <c r="H10358" s="4" t="str">
        <f>HYPERLINK("https://www.ncbi.nlm.nih.gov/geo/query/acc.cgi?acc=GSM1616668","GSM1616668")</f>
        <v>GSM1616668</v>
      </c>
      <c r="I10358" t="s">
        <v>161</v>
      </c>
      <c r="J10358" t="s">
        <v>193</v>
      </c>
      <c r="K10358" t="s">
        <v>19</v>
      </c>
      <c r="L10358" t="s">
        <v>162</v>
      </c>
      <c r="M10358" t="s">
        <v>41</v>
      </c>
      <c r="N10358" t="s">
        <v>22</v>
      </c>
    </row>
    <row r="10359" spans="1:14">
      <c r="A10359" s="4" t="str">
        <f t="shared" si="925"/>
        <v>EXP00347</v>
      </c>
      <c r="B10359" s="4" t="str">
        <f t="shared" si="920"/>
        <v>26667932</v>
      </c>
      <c r="C10359" s="4" t="str">
        <f t="shared" si="921"/>
        <v>GSE74685</v>
      </c>
      <c r="D10359" s="1" t="s">
        <v>447</v>
      </c>
      <c r="E10359" t="s">
        <v>448</v>
      </c>
      <c r="F10359" s="1">
        <v>2</v>
      </c>
      <c r="G10359" s="1" t="s">
        <v>451</v>
      </c>
      <c r="H10359" s="4" t="str">
        <f>HYPERLINK("https://www.ncbi.nlm.nih.gov/geo/query/acc.cgi?acc=GSM1616673","GSM1616673")</f>
        <v>GSM1616673</v>
      </c>
      <c r="I10359" t="s">
        <v>161</v>
      </c>
      <c r="J10359" t="s">
        <v>193</v>
      </c>
      <c r="K10359" t="s">
        <v>19</v>
      </c>
      <c r="L10359" t="s">
        <v>162</v>
      </c>
      <c r="M10359" t="s">
        <v>41</v>
      </c>
      <c r="N10359" t="s">
        <v>22</v>
      </c>
    </row>
    <row r="10360" spans="1:14">
      <c r="A10360" s="4" t="str">
        <f t="shared" si="925"/>
        <v>EXP00347</v>
      </c>
      <c r="B10360" s="4" t="str">
        <f t="shared" si="920"/>
        <v>26667932</v>
      </c>
      <c r="C10360" s="4" t="str">
        <f t="shared" si="921"/>
        <v>GSE74685</v>
      </c>
      <c r="D10360" s="1" t="s">
        <v>447</v>
      </c>
      <c r="E10360" t="s">
        <v>448</v>
      </c>
      <c r="F10360" s="1">
        <v>2</v>
      </c>
      <c r="G10360" s="1" t="s">
        <v>451</v>
      </c>
      <c r="H10360" s="4" t="str">
        <f>HYPERLINK("https://www.ncbi.nlm.nih.gov/geo/query/acc.cgi?acc=GSM1930066","GSM1930066")</f>
        <v>GSM1930066</v>
      </c>
      <c r="I10360" t="s">
        <v>161</v>
      </c>
      <c r="J10360" t="s">
        <v>193</v>
      </c>
      <c r="K10360" t="s">
        <v>19</v>
      </c>
      <c r="L10360" t="s">
        <v>162</v>
      </c>
      <c r="M10360" t="s">
        <v>41</v>
      </c>
      <c r="N10360" t="s">
        <v>22</v>
      </c>
    </row>
    <row r="10361" spans="1:14">
      <c r="A10361" s="4" t="str">
        <f t="shared" si="925"/>
        <v>EXP00347</v>
      </c>
      <c r="B10361" s="4" t="str">
        <f t="shared" si="920"/>
        <v>26667932</v>
      </c>
      <c r="C10361" s="4" t="str">
        <f t="shared" si="921"/>
        <v>GSE74685</v>
      </c>
      <c r="D10361" s="1" t="s">
        <v>447</v>
      </c>
      <c r="E10361" t="s">
        <v>448</v>
      </c>
      <c r="F10361" s="1">
        <v>2</v>
      </c>
      <c r="G10361" s="1" t="s">
        <v>451</v>
      </c>
      <c r="H10361" s="4" t="str">
        <f>HYPERLINK("https://www.ncbi.nlm.nih.gov/geo/query/acc.cgi?acc=GSM1930069","GSM1930069")</f>
        <v>GSM1930069</v>
      </c>
      <c r="I10361" t="s">
        <v>161</v>
      </c>
      <c r="J10361" t="s">
        <v>193</v>
      </c>
      <c r="K10361" t="s">
        <v>19</v>
      </c>
      <c r="L10361" t="s">
        <v>162</v>
      </c>
      <c r="M10361" t="s">
        <v>41</v>
      </c>
      <c r="N10361" t="s">
        <v>22</v>
      </c>
    </row>
    <row r="10362" spans="1:14">
      <c r="A10362" s="4" t="str">
        <f t="shared" si="925"/>
        <v>EXP00347</v>
      </c>
      <c r="B10362" s="4" t="str">
        <f t="shared" si="920"/>
        <v>26667932</v>
      </c>
      <c r="C10362" s="4" t="str">
        <f t="shared" si="921"/>
        <v>GSE74685</v>
      </c>
      <c r="D10362" s="1" t="s">
        <v>447</v>
      </c>
      <c r="E10362" t="s">
        <v>448</v>
      </c>
      <c r="F10362" s="1">
        <v>2</v>
      </c>
      <c r="G10362" s="1" t="s">
        <v>451</v>
      </c>
      <c r="H10362" s="4" t="str">
        <f>HYPERLINK("https://www.ncbi.nlm.nih.gov/geo/query/acc.cgi?acc=GSM1930075","GSM1930075")</f>
        <v>GSM1930075</v>
      </c>
      <c r="I10362" t="s">
        <v>161</v>
      </c>
      <c r="J10362" t="s">
        <v>193</v>
      </c>
      <c r="K10362" t="s">
        <v>19</v>
      </c>
      <c r="L10362" t="s">
        <v>162</v>
      </c>
      <c r="M10362" t="s">
        <v>41</v>
      </c>
      <c r="N10362" t="s">
        <v>22</v>
      </c>
    </row>
    <row r="10363" spans="1:14">
      <c r="A10363" s="4" t="str">
        <f t="shared" si="925"/>
        <v>EXP00347</v>
      </c>
      <c r="B10363" s="4" t="str">
        <f t="shared" si="920"/>
        <v>26667932</v>
      </c>
      <c r="C10363" s="4" t="str">
        <f t="shared" si="921"/>
        <v>GSE74685</v>
      </c>
      <c r="D10363" s="1" t="s">
        <v>447</v>
      </c>
      <c r="E10363" t="s">
        <v>448</v>
      </c>
      <c r="F10363" s="1">
        <v>2</v>
      </c>
      <c r="G10363" s="1" t="s">
        <v>451</v>
      </c>
      <c r="H10363" s="4" t="str">
        <f>HYPERLINK("https://www.ncbi.nlm.nih.gov/geo/query/acc.cgi?acc=GSM1930076","GSM1930076")</f>
        <v>GSM1930076</v>
      </c>
      <c r="I10363" t="s">
        <v>161</v>
      </c>
      <c r="J10363" t="s">
        <v>193</v>
      </c>
      <c r="K10363" t="s">
        <v>19</v>
      </c>
      <c r="L10363" t="s">
        <v>162</v>
      </c>
      <c r="M10363" t="s">
        <v>41</v>
      </c>
      <c r="N10363" t="s">
        <v>22</v>
      </c>
    </row>
    <row r="10364" spans="1:14">
      <c r="A10364" s="4" t="str">
        <f t="shared" si="925"/>
        <v>EXP00347</v>
      </c>
      <c r="B10364" s="4" t="str">
        <f t="shared" si="920"/>
        <v>26667932</v>
      </c>
      <c r="C10364" s="4" t="str">
        <f t="shared" si="921"/>
        <v>GSE74685</v>
      </c>
      <c r="D10364" s="1" t="s">
        <v>447</v>
      </c>
      <c r="E10364" t="s">
        <v>448</v>
      </c>
      <c r="F10364" s="1">
        <v>2</v>
      </c>
      <c r="G10364" s="1" t="s">
        <v>451</v>
      </c>
      <c r="H10364" s="4" t="str">
        <f>HYPERLINK("https://www.ncbi.nlm.nih.gov/geo/query/acc.cgi?acc=GSM1930082","GSM1930082")</f>
        <v>GSM1930082</v>
      </c>
      <c r="I10364" t="s">
        <v>161</v>
      </c>
      <c r="J10364" t="s">
        <v>193</v>
      </c>
      <c r="K10364" t="s">
        <v>19</v>
      </c>
      <c r="L10364" t="s">
        <v>162</v>
      </c>
      <c r="M10364" t="s">
        <v>41</v>
      </c>
      <c r="N10364" t="s">
        <v>22</v>
      </c>
    </row>
    <row r="10365" spans="1:14">
      <c r="A10365" s="4" t="str">
        <f t="shared" si="925"/>
        <v>EXP00347</v>
      </c>
      <c r="B10365" s="4" t="str">
        <f t="shared" si="920"/>
        <v>26667932</v>
      </c>
      <c r="C10365" s="4" t="str">
        <f t="shared" si="921"/>
        <v>GSE74685</v>
      </c>
      <c r="D10365" s="1" t="s">
        <v>447</v>
      </c>
      <c r="E10365" t="s">
        <v>448</v>
      </c>
      <c r="F10365" s="1">
        <v>2</v>
      </c>
      <c r="G10365" s="1" t="s">
        <v>451</v>
      </c>
      <c r="H10365" s="4" t="str">
        <f>HYPERLINK("https://www.ncbi.nlm.nih.gov/geo/query/acc.cgi?acc=GSM1930084","GSM1930084")</f>
        <v>GSM1930084</v>
      </c>
      <c r="I10365" t="s">
        <v>161</v>
      </c>
      <c r="J10365" t="s">
        <v>193</v>
      </c>
      <c r="K10365" t="s">
        <v>19</v>
      </c>
      <c r="L10365" t="s">
        <v>162</v>
      </c>
      <c r="M10365" t="s">
        <v>41</v>
      </c>
      <c r="N10365" t="s">
        <v>22</v>
      </c>
    </row>
    <row r="10366" spans="1:14">
      <c r="A10366" s="4" t="str">
        <f t="shared" si="925"/>
        <v>EXP00347</v>
      </c>
      <c r="B10366" s="4" t="str">
        <f t="shared" si="920"/>
        <v>26667932</v>
      </c>
      <c r="C10366" s="4" t="str">
        <f t="shared" si="921"/>
        <v>GSE74685</v>
      </c>
      <c r="D10366" s="1" t="s">
        <v>447</v>
      </c>
      <c r="E10366" t="s">
        <v>448</v>
      </c>
      <c r="F10366" s="1">
        <v>2</v>
      </c>
      <c r="G10366" s="1" t="s">
        <v>451</v>
      </c>
      <c r="H10366" s="4" t="str">
        <f>HYPERLINK("https://www.ncbi.nlm.nih.gov/geo/query/acc.cgi?acc=GSM1930101","GSM1930101")</f>
        <v>GSM1930101</v>
      </c>
      <c r="I10366" t="s">
        <v>161</v>
      </c>
      <c r="J10366" t="s">
        <v>193</v>
      </c>
      <c r="K10366" t="s">
        <v>19</v>
      </c>
      <c r="L10366" t="s">
        <v>162</v>
      </c>
      <c r="M10366" t="s">
        <v>41</v>
      </c>
      <c r="N10366" t="s">
        <v>22</v>
      </c>
    </row>
    <row r="10367" spans="1:14">
      <c r="A10367" s="4" t="str">
        <f t="shared" si="925"/>
        <v>EXP00347</v>
      </c>
      <c r="B10367" s="4" t="str">
        <f t="shared" si="920"/>
        <v>26667932</v>
      </c>
      <c r="C10367" s="4" t="str">
        <f t="shared" si="921"/>
        <v>GSE74685</v>
      </c>
      <c r="D10367" s="1" t="s">
        <v>447</v>
      </c>
      <c r="E10367" t="s">
        <v>448</v>
      </c>
      <c r="F10367" s="1">
        <v>2</v>
      </c>
      <c r="G10367" s="1" t="s">
        <v>451</v>
      </c>
      <c r="H10367" s="4" t="str">
        <f>HYPERLINK("https://www.ncbi.nlm.nih.gov/geo/query/acc.cgi?acc=GSM1930107","GSM1930107")</f>
        <v>GSM1930107</v>
      </c>
      <c r="I10367" t="s">
        <v>161</v>
      </c>
      <c r="J10367" t="s">
        <v>193</v>
      </c>
      <c r="K10367" t="s">
        <v>19</v>
      </c>
      <c r="L10367" t="s">
        <v>162</v>
      </c>
      <c r="M10367" t="s">
        <v>41</v>
      </c>
      <c r="N10367" t="s">
        <v>22</v>
      </c>
    </row>
    <row r="10368" spans="1:14">
      <c r="A10368" s="4" t="str">
        <f t="shared" si="925"/>
        <v>EXP00347</v>
      </c>
      <c r="B10368" s="4" t="str">
        <f t="shared" si="920"/>
        <v>26667932</v>
      </c>
      <c r="C10368" s="4" t="str">
        <f t="shared" si="921"/>
        <v>GSE74685</v>
      </c>
      <c r="D10368" s="1" t="s">
        <v>447</v>
      </c>
      <c r="E10368" t="s">
        <v>448</v>
      </c>
      <c r="F10368" s="1">
        <v>2</v>
      </c>
      <c r="G10368" s="1" t="s">
        <v>451</v>
      </c>
      <c r="H10368" s="4" t="str">
        <f>HYPERLINK("https://www.ncbi.nlm.nih.gov/geo/query/acc.cgi?acc=GSM1930108","GSM1930108")</f>
        <v>GSM1930108</v>
      </c>
      <c r="I10368" t="s">
        <v>161</v>
      </c>
      <c r="J10368" t="s">
        <v>193</v>
      </c>
      <c r="K10368" t="s">
        <v>19</v>
      </c>
      <c r="L10368" t="s">
        <v>162</v>
      </c>
      <c r="M10368" t="s">
        <v>41</v>
      </c>
      <c r="N10368" t="s">
        <v>22</v>
      </c>
    </row>
    <row r="10369" spans="1:14">
      <c r="A10369" s="4" t="str">
        <f t="shared" si="925"/>
        <v>EXP00347</v>
      </c>
      <c r="B10369" s="4" t="str">
        <f t="shared" ref="B10369:B10432" si="926">HYPERLINK("https://www.ncbi.nlm.nih.gov/pubmed/26667932","26667932")</f>
        <v>26667932</v>
      </c>
      <c r="C10369" s="4" t="str">
        <f t="shared" ref="C10369:C10432" si="927">HYPERLINK("https://www.ncbi.nlm.nih.gov/geo/query/acc.cgi?acc=GSE74685","GSE74685")</f>
        <v>GSE74685</v>
      </c>
      <c r="D10369" s="1" t="s">
        <v>447</v>
      </c>
      <c r="E10369" t="s">
        <v>448</v>
      </c>
      <c r="F10369" s="1">
        <v>2</v>
      </c>
      <c r="G10369" s="1" t="s">
        <v>451</v>
      </c>
      <c r="H10369" s="4" t="str">
        <f>HYPERLINK("https://www.ncbi.nlm.nih.gov/geo/query/acc.cgi?acc=GSM1930122","GSM1930122")</f>
        <v>GSM1930122</v>
      </c>
      <c r="I10369" t="s">
        <v>161</v>
      </c>
      <c r="J10369" t="s">
        <v>193</v>
      </c>
      <c r="K10369" t="s">
        <v>19</v>
      </c>
      <c r="L10369" t="s">
        <v>162</v>
      </c>
      <c r="M10369" t="s">
        <v>41</v>
      </c>
      <c r="N10369" t="s">
        <v>22</v>
      </c>
    </row>
    <row r="10370" spans="1:14">
      <c r="A10370" s="4" t="str">
        <f t="shared" si="925"/>
        <v>EXP00347</v>
      </c>
      <c r="B10370" s="4" t="str">
        <f t="shared" si="926"/>
        <v>26667932</v>
      </c>
      <c r="C10370" s="4" t="str">
        <f t="shared" si="927"/>
        <v>GSE74685</v>
      </c>
      <c r="D10370" s="1" t="s">
        <v>447</v>
      </c>
      <c r="E10370" t="s">
        <v>448</v>
      </c>
      <c r="F10370" s="1">
        <v>2</v>
      </c>
      <c r="G10370" s="1" t="s">
        <v>451</v>
      </c>
      <c r="H10370" s="4" t="str">
        <f>HYPERLINK("https://www.ncbi.nlm.nih.gov/geo/query/acc.cgi?acc=GSM1930133","GSM1930133")</f>
        <v>GSM1930133</v>
      </c>
      <c r="I10370" t="s">
        <v>161</v>
      </c>
      <c r="J10370" t="s">
        <v>193</v>
      </c>
      <c r="K10370" t="s">
        <v>19</v>
      </c>
      <c r="L10370" t="s">
        <v>162</v>
      </c>
      <c r="M10370" t="s">
        <v>41</v>
      </c>
      <c r="N10370" t="s">
        <v>22</v>
      </c>
    </row>
    <row r="10371" spans="1:14">
      <c r="A10371" s="4" t="str">
        <f t="shared" si="925"/>
        <v>EXP00347</v>
      </c>
      <c r="B10371" s="4" t="str">
        <f t="shared" si="926"/>
        <v>26667932</v>
      </c>
      <c r="C10371" s="4" t="str">
        <f t="shared" si="927"/>
        <v>GSE74685</v>
      </c>
      <c r="D10371" s="1" t="s">
        <v>447</v>
      </c>
      <c r="E10371" t="s">
        <v>448</v>
      </c>
      <c r="F10371" s="1">
        <v>2</v>
      </c>
      <c r="G10371" s="1" t="s">
        <v>451</v>
      </c>
      <c r="H10371" s="4" t="str">
        <f>HYPERLINK("https://www.ncbi.nlm.nih.gov/geo/query/acc.cgi?acc=GSM1930135","GSM1930135")</f>
        <v>GSM1930135</v>
      </c>
      <c r="I10371" t="s">
        <v>161</v>
      </c>
      <c r="J10371" t="s">
        <v>193</v>
      </c>
      <c r="K10371" t="s">
        <v>19</v>
      </c>
      <c r="L10371" t="s">
        <v>162</v>
      </c>
      <c r="M10371" t="s">
        <v>41</v>
      </c>
      <c r="N10371" t="s">
        <v>22</v>
      </c>
    </row>
    <row r="10372" spans="1:14">
      <c r="A10372" s="4" t="str">
        <f t="shared" si="925"/>
        <v>EXP00347</v>
      </c>
      <c r="B10372" s="4" t="str">
        <f t="shared" si="926"/>
        <v>26667932</v>
      </c>
      <c r="C10372" s="4" t="str">
        <f t="shared" si="927"/>
        <v>GSE74685</v>
      </c>
      <c r="D10372" s="1" t="s">
        <v>447</v>
      </c>
      <c r="E10372" t="s">
        <v>448</v>
      </c>
      <c r="F10372" s="1">
        <v>2</v>
      </c>
      <c r="G10372" s="1" t="s">
        <v>451</v>
      </c>
      <c r="H10372" s="4" t="str">
        <f>HYPERLINK("https://www.ncbi.nlm.nih.gov/geo/query/acc.cgi?acc=GSM1930137","GSM1930137")</f>
        <v>GSM1930137</v>
      </c>
      <c r="I10372" t="s">
        <v>161</v>
      </c>
      <c r="J10372" t="s">
        <v>193</v>
      </c>
      <c r="K10372" t="s">
        <v>19</v>
      </c>
      <c r="L10372" t="s">
        <v>162</v>
      </c>
      <c r="M10372" t="s">
        <v>41</v>
      </c>
      <c r="N10372" t="s">
        <v>22</v>
      </c>
    </row>
    <row r="10373" spans="1:14">
      <c r="A10373" s="4" t="str">
        <f t="shared" si="925"/>
        <v>EXP00347</v>
      </c>
      <c r="B10373" s="4" t="str">
        <f t="shared" si="926"/>
        <v>26667932</v>
      </c>
      <c r="C10373" s="4" t="str">
        <f t="shared" si="927"/>
        <v>GSE74685</v>
      </c>
      <c r="D10373" s="1" t="s">
        <v>447</v>
      </c>
      <c r="E10373" t="s">
        <v>448</v>
      </c>
      <c r="F10373" s="1">
        <v>2</v>
      </c>
      <c r="G10373" s="1" t="s">
        <v>451</v>
      </c>
      <c r="H10373" s="4" t="str">
        <f>HYPERLINK("https://www.ncbi.nlm.nih.gov/geo/query/acc.cgi?acc=GSM1930143","GSM1930143")</f>
        <v>GSM1930143</v>
      </c>
      <c r="I10373" t="s">
        <v>161</v>
      </c>
      <c r="J10373" t="s">
        <v>193</v>
      </c>
      <c r="K10373" t="s">
        <v>19</v>
      </c>
      <c r="L10373" t="s">
        <v>162</v>
      </c>
      <c r="M10373" t="s">
        <v>41</v>
      </c>
      <c r="N10373" t="s">
        <v>22</v>
      </c>
    </row>
    <row r="10374" spans="1:14">
      <c r="A10374" s="4" t="str">
        <f t="shared" si="925"/>
        <v>EXP00347</v>
      </c>
      <c r="B10374" s="4" t="str">
        <f t="shared" si="926"/>
        <v>26667932</v>
      </c>
      <c r="C10374" s="4" t="str">
        <f t="shared" si="927"/>
        <v>GSE74685</v>
      </c>
      <c r="D10374" s="1" t="s">
        <v>447</v>
      </c>
      <c r="E10374" t="s">
        <v>448</v>
      </c>
      <c r="F10374" s="1">
        <v>2</v>
      </c>
      <c r="G10374" s="1" t="s">
        <v>451</v>
      </c>
      <c r="H10374" s="4" t="str">
        <f>HYPERLINK("https://www.ncbi.nlm.nih.gov/geo/query/acc.cgi?acc=GSM1930153","GSM1930153")</f>
        <v>GSM1930153</v>
      </c>
      <c r="I10374" t="s">
        <v>161</v>
      </c>
      <c r="J10374" t="s">
        <v>193</v>
      </c>
      <c r="K10374" t="s">
        <v>19</v>
      </c>
      <c r="L10374" t="s">
        <v>162</v>
      </c>
      <c r="M10374" t="s">
        <v>41</v>
      </c>
      <c r="N10374" t="s">
        <v>22</v>
      </c>
    </row>
    <row r="10375" spans="1:14">
      <c r="A10375" s="4" t="str">
        <f t="shared" ref="A10375:A10406" si="928">HYPERLINK("http://hcmdb.i-sanger.com/experiment/details/experiment_id/EXP00348","EXP00348")</f>
        <v>EXP00348</v>
      </c>
      <c r="B10375" s="4" t="str">
        <f t="shared" si="926"/>
        <v>26667932</v>
      </c>
      <c r="C10375" s="4" t="str">
        <f t="shared" si="927"/>
        <v>GSE74685</v>
      </c>
      <c r="D10375" s="1" t="s">
        <v>447</v>
      </c>
      <c r="E10375" t="s">
        <v>448</v>
      </c>
      <c r="F10375" s="1">
        <v>1</v>
      </c>
      <c r="G10375" s="1" t="s">
        <v>450</v>
      </c>
      <c r="H10375" s="4" t="str">
        <f>HYPERLINK("https://www.ncbi.nlm.nih.gov/geo/query/acc.cgi?acc=GSM1616614","GSM1616614")</f>
        <v>GSM1616614</v>
      </c>
      <c r="I10375" t="s">
        <v>161</v>
      </c>
      <c r="J10375" t="s">
        <v>193</v>
      </c>
      <c r="K10375" t="s">
        <v>19</v>
      </c>
      <c r="L10375" t="s">
        <v>162</v>
      </c>
      <c r="M10375" t="s">
        <v>44</v>
      </c>
      <c r="N10375" t="s">
        <v>22</v>
      </c>
    </row>
    <row r="10376" spans="1:14">
      <c r="A10376" s="4" t="str">
        <f t="shared" si="928"/>
        <v>EXP00348</v>
      </c>
      <c r="B10376" s="4" t="str">
        <f t="shared" si="926"/>
        <v>26667932</v>
      </c>
      <c r="C10376" s="4" t="str">
        <f t="shared" si="927"/>
        <v>GSE74685</v>
      </c>
      <c r="D10376" s="1" t="s">
        <v>447</v>
      </c>
      <c r="E10376" t="s">
        <v>448</v>
      </c>
      <c r="F10376" s="1">
        <v>1</v>
      </c>
      <c r="G10376" s="1" t="s">
        <v>450</v>
      </c>
      <c r="H10376" s="4" t="str">
        <f>HYPERLINK("https://www.ncbi.nlm.nih.gov/geo/query/acc.cgi?acc=GSM1616618","GSM1616618")</f>
        <v>GSM1616618</v>
      </c>
      <c r="I10376" t="s">
        <v>161</v>
      </c>
      <c r="J10376" t="s">
        <v>193</v>
      </c>
      <c r="K10376" t="s">
        <v>19</v>
      </c>
      <c r="L10376" t="s">
        <v>162</v>
      </c>
      <c r="M10376" t="s">
        <v>44</v>
      </c>
      <c r="N10376" t="s">
        <v>22</v>
      </c>
    </row>
    <row r="10377" spans="1:14">
      <c r="A10377" s="4" t="str">
        <f t="shared" si="928"/>
        <v>EXP00348</v>
      </c>
      <c r="B10377" s="4" t="str">
        <f t="shared" si="926"/>
        <v>26667932</v>
      </c>
      <c r="C10377" s="4" t="str">
        <f t="shared" si="927"/>
        <v>GSE74685</v>
      </c>
      <c r="D10377" s="1" t="s">
        <v>447</v>
      </c>
      <c r="E10377" t="s">
        <v>448</v>
      </c>
      <c r="F10377" s="1">
        <v>1</v>
      </c>
      <c r="G10377" s="1" t="s">
        <v>450</v>
      </c>
      <c r="H10377" s="4" t="str">
        <f>HYPERLINK("https://www.ncbi.nlm.nih.gov/geo/query/acc.cgi?acc=GSM1616621","GSM1616621")</f>
        <v>GSM1616621</v>
      </c>
      <c r="I10377" t="s">
        <v>161</v>
      </c>
      <c r="J10377" t="s">
        <v>193</v>
      </c>
      <c r="K10377" t="s">
        <v>19</v>
      </c>
      <c r="L10377" t="s">
        <v>162</v>
      </c>
      <c r="M10377" t="s">
        <v>44</v>
      </c>
      <c r="N10377" t="s">
        <v>22</v>
      </c>
    </row>
    <row r="10378" spans="1:14">
      <c r="A10378" s="4" t="str">
        <f t="shared" si="928"/>
        <v>EXP00348</v>
      </c>
      <c r="B10378" s="4" t="str">
        <f t="shared" si="926"/>
        <v>26667932</v>
      </c>
      <c r="C10378" s="4" t="str">
        <f t="shared" si="927"/>
        <v>GSE74685</v>
      </c>
      <c r="D10378" s="1" t="s">
        <v>447</v>
      </c>
      <c r="E10378" t="s">
        <v>448</v>
      </c>
      <c r="F10378" s="1">
        <v>1</v>
      </c>
      <c r="G10378" s="1" t="s">
        <v>450</v>
      </c>
      <c r="H10378" s="4" t="str">
        <f>HYPERLINK("https://www.ncbi.nlm.nih.gov/geo/query/acc.cgi?acc=GSM1616623","GSM1616623")</f>
        <v>GSM1616623</v>
      </c>
      <c r="I10378" t="s">
        <v>161</v>
      </c>
      <c r="J10378" t="s">
        <v>193</v>
      </c>
      <c r="K10378" t="s">
        <v>19</v>
      </c>
      <c r="L10378" t="s">
        <v>162</v>
      </c>
      <c r="M10378" t="s">
        <v>44</v>
      </c>
      <c r="N10378" t="s">
        <v>22</v>
      </c>
    </row>
    <row r="10379" spans="1:14">
      <c r="A10379" s="4" t="str">
        <f t="shared" si="928"/>
        <v>EXP00348</v>
      </c>
      <c r="B10379" s="4" t="str">
        <f t="shared" si="926"/>
        <v>26667932</v>
      </c>
      <c r="C10379" s="4" t="str">
        <f t="shared" si="927"/>
        <v>GSE74685</v>
      </c>
      <c r="D10379" s="1" t="s">
        <v>447</v>
      </c>
      <c r="E10379" t="s">
        <v>448</v>
      </c>
      <c r="F10379" s="1">
        <v>1</v>
      </c>
      <c r="G10379" s="1" t="s">
        <v>450</v>
      </c>
      <c r="H10379" s="4" t="str">
        <f>HYPERLINK("https://www.ncbi.nlm.nih.gov/geo/query/acc.cgi?acc=GSM1616628","GSM1616628")</f>
        <v>GSM1616628</v>
      </c>
      <c r="I10379" t="s">
        <v>161</v>
      </c>
      <c r="J10379" t="s">
        <v>193</v>
      </c>
      <c r="K10379" t="s">
        <v>19</v>
      </c>
      <c r="L10379" t="s">
        <v>162</v>
      </c>
      <c r="M10379" t="s">
        <v>44</v>
      </c>
      <c r="N10379" t="s">
        <v>22</v>
      </c>
    </row>
    <row r="10380" spans="1:14">
      <c r="A10380" s="4" t="str">
        <f t="shared" si="928"/>
        <v>EXP00348</v>
      </c>
      <c r="B10380" s="4" t="str">
        <f t="shared" si="926"/>
        <v>26667932</v>
      </c>
      <c r="C10380" s="4" t="str">
        <f t="shared" si="927"/>
        <v>GSE74685</v>
      </c>
      <c r="D10380" s="1" t="s">
        <v>447</v>
      </c>
      <c r="E10380" t="s">
        <v>448</v>
      </c>
      <c r="F10380" s="1">
        <v>1</v>
      </c>
      <c r="G10380" s="1" t="s">
        <v>450</v>
      </c>
      <c r="H10380" s="4" t="str">
        <f>HYPERLINK("https://www.ncbi.nlm.nih.gov/geo/query/acc.cgi?acc=GSM1616629","GSM1616629")</f>
        <v>GSM1616629</v>
      </c>
      <c r="I10380" t="s">
        <v>161</v>
      </c>
      <c r="J10380" t="s">
        <v>193</v>
      </c>
      <c r="K10380" t="s">
        <v>19</v>
      </c>
      <c r="L10380" t="s">
        <v>162</v>
      </c>
      <c r="M10380" t="s">
        <v>44</v>
      </c>
      <c r="N10380" t="s">
        <v>22</v>
      </c>
    </row>
    <row r="10381" spans="1:14">
      <c r="A10381" s="4" t="str">
        <f t="shared" si="928"/>
        <v>EXP00348</v>
      </c>
      <c r="B10381" s="4" t="str">
        <f t="shared" si="926"/>
        <v>26667932</v>
      </c>
      <c r="C10381" s="4" t="str">
        <f t="shared" si="927"/>
        <v>GSE74685</v>
      </c>
      <c r="D10381" s="1" t="s">
        <v>447</v>
      </c>
      <c r="E10381" t="s">
        <v>448</v>
      </c>
      <c r="F10381" s="1">
        <v>1</v>
      </c>
      <c r="G10381" s="1" t="s">
        <v>450</v>
      </c>
      <c r="H10381" s="4" t="str">
        <f>HYPERLINK("https://www.ncbi.nlm.nih.gov/geo/query/acc.cgi?acc=GSM1616632","GSM1616632")</f>
        <v>GSM1616632</v>
      </c>
      <c r="I10381" t="s">
        <v>161</v>
      </c>
      <c r="J10381" t="s">
        <v>193</v>
      </c>
      <c r="K10381" t="s">
        <v>19</v>
      </c>
      <c r="L10381" t="s">
        <v>162</v>
      </c>
      <c r="M10381" t="s">
        <v>44</v>
      </c>
      <c r="N10381" t="s">
        <v>22</v>
      </c>
    </row>
    <row r="10382" spans="1:14">
      <c r="A10382" s="4" t="str">
        <f t="shared" si="928"/>
        <v>EXP00348</v>
      </c>
      <c r="B10382" s="4" t="str">
        <f t="shared" si="926"/>
        <v>26667932</v>
      </c>
      <c r="C10382" s="4" t="str">
        <f t="shared" si="927"/>
        <v>GSE74685</v>
      </c>
      <c r="D10382" s="1" t="s">
        <v>447</v>
      </c>
      <c r="E10382" t="s">
        <v>448</v>
      </c>
      <c r="F10382" s="1">
        <v>1</v>
      </c>
      <c r="G10382" s="1" t="s">
        <v>450</v>
      </c>
      <c r="H10382" s="4" t="str">
        <f>HYPERLINK("https://www.ncbi.nlm.nih.gov/geo/query/acc.cgi?acc=GSM1616638","GSM1616638")</f>
        <v>GSM1616638</v>
      </c>
      <c r="I10382" t="s">
        <v>161</v>
      </c>
      <c r="J10382" t="s">
        <v>193</v>
      </c>
      <c r="K10382" t="s">
        <v>19</v>
      </c>
      <c r="L10382" t="s">
        <v>162</v>
      </c>
      <c r="M10382" t="s">
        <v>44</v>
      </c>
      <c r="N10382" t="s">
        <v>22</v>
      </c>
    </row>
    <row r="10383" spans="1:14">
      <c r="A10383" s="4" t="str">
        <f t="shared" si="928"/>
        <v>EXP00348</v>
      </c>
      <c r="B10383" s="4" t="str">
        <f t="shared" si="926"/>
        <v>26667932</v>
      </c>
      <c r="C10383" s="4" t="str">
        <f t="shared" si="927"/>
        <v>GSE74685</v>
      </c>
      <c r="D10383" s="1" t="s">
        <v>447</v>
      </c>
      <c r="E10383" t="s">
        <v>448</v>
      </c>
      <c r="F10383" s="1">
        <v>1</v>
      </c>
      <c r="G10383" s="1" t="s">
        <v>450</v>
      </c>
      <c r="H10383" s="4" t="str">
        <f>HYPERLINK("https://www.ncbi.nlm.nih.gov/geo/query/acc.cgi?acc=GSM1616641","GSM1616641")</f>
        <v>GSM1616641</v>
      </c>
      <c r="I10383" t="s">
        <v>161</v>
      </c>
      <c r="J10383" t="s">
        <v>193</v>
      </c>
      <c r="K10383" t="s">
        <v>19</v>
      </c>
      <c r="L10383" t="s">
        <v>162</v>
      </c>
      <c r="M10383" t="s">
        <v>44</v>
      </c>
      <c r="N10383" t="s">
        <v>22</v>
      </c>
    </row>
    <row r="10384" spans="1:14">
      <c r="A10384" s="4" t="str">
        <f t="shared" si="928"/>
        <v>EXP00348</v>
      </c>
      <c r="B10384" s="4" t="str">
        <f t="shared" si="926"/>
        <v>26667932</v>
      </c>
      <c r="C10384" s="4" t="str">
        <f t="shared" si="927"/>
        <v>GSE74685</v>
      </c>
      <c r="D10384" s="1" t="s">
        <v>447</v>
      </c>
      <c r="E10384" t="s">
        <v>448</v>
      </c>
      <c r="F10384" s="1">
        <v>1</v>
      </c>
      <c r="G10384" s="1" t="s">
        <v>450</v>
      </c>
      <c r="H10384" s="4" t="str">
        <f>HYPERLINK("https://www.ncbi.nlm.nih.gov/geo/query/acc.cgi?acc=GSM1616663","GSM1616663")</f>
        <v>GSM1616663</v>
      </c>
      <c r="I10384" t="s">
        <v>161</v>
      </c>
      <c r="J10384" t="s">
        <v>193</v>
      </c>
      <c r="K10384" t="s">
        <v>19</v>
      </c>
      <c r="L10384" t="s">
        <v>162</v>
      </c>
      <c r="M10384" t="s">
        <v>44</v>
      </c>
      <c r="N10384" t="s">
        <v>22</v>
      </c>
    </row>
    <row r="10385" spans="1:14">
      <c r="A10385" s="4" t="str">
        <f t="shared" si="928"/>
        <v>EXP00348</v>
      </c>
      <c r="B10385" s="4" t="str">
        <f t="shared" si="926"/>
        <v>26667932</v>
      </c>
      <c r="C10385" s="4" t="str">
        <f t="shared" si="927"/>
        <v>GSE74685</v>
      </c>
      <c r="D10385" s="1" t="s">
        <v>447</v>
      </c>
      <c r="E10385" t="s">
        <v>448</v>
      </c>
      <c r="F10385" s="1">
        <v>1</v>
      </c>
      <c r="G10385" s="1" t="s">
        <v>450</v>
      </c>
      <c r="H10385" s="4" t="str">
        <f>HYPERLINK("https://www.ncbi.nlm.nih.gov/geo/query/acc.cgi?acc=GSM1616667","GSM1616667")</f>
        <v>GSM1616667</v>
      </c>
      <c r="I10385" t="s">
        <v>161</v>
      </c>
      <c r="J10385" t="s">
        <v>193</v>
      </c>
      <c r="K10385" t="s">
        <v>19</v>
      </c>
      <c r="L10385" t="s">
        <v>162</v>
      </c>
      <c r="M10385" t="s">
        <v>44</v>
      </c>
      <c r="N10385" t="s">
        <v>22</v>
      </c>
    </row>
    <row r="10386" spans="1:14">
      <c r="A10386" s="4" t="str">
        <f t="shared" si="928"/>
        <v>EXP00348</v>
      </c>
      <c r="B10386" s="4" t="str">
        <f t="shared" si="926"/>
        <v>26667932</v>
      </c>
      <c r="C10386" s="4" t="str">
        <f t="shared" si="927"/>
        <v>GSE74685</v>
      </c>
      <c r="D10386" s="1" t="s">
        <v>447</v>
      </c>
      <c r="E10386" t="s">
        <v>448</v>
      </c>
      <c r="F10386" s="1">
        <v>1</v>
      </c>
      <c r="G10386" s="1" t="s">
        <v>450</v>
      </c>
      <c r="H10386" s="4" t="str">
        <f>HYPERLINK("https://www.ncbi.nlm.nih.gov/geo/query/acc.cgi?acc=GSM1616671","GSM1616671")</f>
        <v>GSM1616671</v>
      </c>
      <c r="I10386" t="s">
        <v>161</v>
      </c>
      <c r="J10386" t="s">
        <v>193</v>
      </c>
      <c r="K10386" t="s">
        <v>19</v>
      </c>
      <c r="L10386" t="s">
        <v>162</v>
      </c>
      <c r="M10386" t="s">
        <v>44</v>
      </c>
      <c r="N10386" t="s">
        <v>22</v>
      </c>
    </row>
    <row r="10387" spans="1:14">
      <c r="A10387" s="4" t="str">
        <f t="shared" si="928"/>
        <v>EXP00348</v>
      </c>
      <c r="B10387" s="4" t="str">
        <f t="shared" si="926"/>
        <v>26667932</v>
      </c>
      <c r="C10387" s="4" t="str">
        <f t="shared" si="927"/>
        <v>GSE74685</v>
      </c>
      <c r="D10387" s="1" t="s">
        <v>447</v>
      </c>
      <c r="E10387" t="s">
        <v>448</v>
      </c>
      <c r="F10387" s="1">
        <v>1</v>
      </c>
      <c r="G10387" s="1" t="s">
        <v>450</v>
      </c>
      <c r="H10387" s="4" t="str">
        <f>HYPERLINK("https://www.ncbi.nlm.nih.gov/geo/query/acc.cgi?acc=GSM1616674","GSM1616674")</f>
        <v>GSM1616674</v>
      </c>
      <c r="I10387" t="s">
        <v>161</v>
      </c>
      <c r="J10387" t="s">
        <v>193</v>
      </c>
      <c r="K10387" t="s">
        <v>19</v>
      </c>
      <c r="L10387" t="s">
        <v>162</v>
      </c>
      <c r="M10387" t="s">
        <v>44</v>
      </c>
      <c r="N10387" t="s">
        <v>22</v>
      </c>
    </row>
    <row r="10388" spans="1:14">
      <c r="A10388" s="4" t="str">
        <f t="shared" si="928"/>
        <v>EXP00348</v>
      </c>
      <c r="B10388" s="4" t="str">
        <f t="shared" si="926"/>
        <v>26667932</v>
      </c>
      <c r="C10388" s="4" t="str">
        <f t="shared" si="927"/>
        <v>GSE74685</v>
      </c>
      <c r="D10388" s="1" t="s">
        <v>447</v>
      </c>
      <c r="E10388" t="s">
        <v>448</v>
      </c>
      <c r="F10388" s="1">
        <v>1</v>
      </c>
      <c r="G10388" s="1" t="s">
        <v>450</v>
      </c>
      <c r="H10388" s="4" t="str">
        <f>HYPERLINK("https://www.ncbi.nlm.nih.gov/geo/query/acc.cgi?acc=GSM1616675","GSM1616675")</f>
        <v>GSM1616675</v>
      </c>
      <c r="I10388" t="s">
        <v>161</v>
      </c>
      <c r="J10388" t="s">
        <v>193</v>
      </c>
      <c r="K10388" t="s">
        <v>19</v>
      </c>
      <c r="L10388" t="s">
        <v>162</v>
      </c>
      <c r="M10388" t="s">
        <v>44</v>
      </c>
      <c r="N10388" t="s">
        <v>22</v>
      </c>
    </row>
    <row r="10389" spans="1:14">
      <c r="A10389" s="4" t="str">
        <f t="shared" si="928"/>
        <v>EXP00348</v>
      </c>
      <c r="B10389" s="4" t="str">
        <f t="shared" si="926"/>
        <v>26667932</v>
      </c>
      <c r="C10389" s="4" t="str">
        <f t="shared" si="927"/>
        <v>GSE74685</v>
      </c>
      <c r="D10389" s="1" t="s">
        <v>447</v>
      </c>
      <c r="E10389" t="s">
        <v>448</v>
      </c>
      <c r="F10389" s="1">
        <v>1</v>
      </c>
      <c r="G10389" s="1" t="s">
        <v>450</v>
      </c>
      <c r="H10389" s="4" t="str">
        <f>HYPERLINK("https://www.ncbi.nlm.nih.gov/geo/query/acc.cgi?acc=GSM1616677","GSM1616677")</f>
        <v>GSM1616677</v>
      </c>
      <c r="I10389" t="s">
        <v>161</v>
      </c>
      <c r="J10389" t="s">
        <v>193</v>
      </c>
      <c r="K10389" t="s">
        <v>19</v>
      </c>
      <c r="L10389" t="s">
        <v>162</v>
      </c>
      <c r="M10389" t="s">
        <v>44</v>
      </c>
      <c r="N10389" t="s">
        <v>22</v>
      </c>
    </row>
    <row r="10390" spans="1:14">
      <c r="A10390" s="4" t="str">
        <f t="shared" si="928"/>
        <v>EXP00348</v>
      </c>
      <c r="B10390" s="4" t="str">
        <f t="shared" si="926"/>
        <v>26667932</v>
      </c>
      <c r="C10390" s="4" t="str">
        <f t="shared" si="927"/>
        <v>GSE74685</v>
      </c>
      <c r="D10390" s="1" t="s">
        <v>447</v>
      </c>
      <c r="E10390" t="s">
        <v>448</v>
      </c>
      <c r="F10390" s="1">
        <v>1</v>
      </c>
      <c r="G10390" s="1" t="s">
        <v>450</v>
      </c>
      <c r="H10390" s="4" t="str">
        <f>HYPERLINK("https://www.ncbi.nlm.nih.gov/geo/query/acc.cgi?acc=GSM1930080","GSM1930080")</f>
        <v>GSM1930080</v>
      </c>
      <c r="I10390" t="s">
        <v>161</v>
      </c>
      <c r="J10390" t="s">
        <v>193</v>
      </c>
      <c r="K10390" t="s">
        <v>19</v>
      </c>
      <c r="L10390" t="s">
        <v>162</v>
      </c>
      <c r="M10390" t="s">
        <v>44</v>
      </c>
      <c r="N10390" t="s">
        <v>22</v>
      </c>
    </row>
    <row r="10391" spans="1:14">
      <c r="A10391" s="4" t="str">
        <f t="shared" si="928"/>
        <v>EXP00348</v>
      </c>
      <c r="B10391" s="4" t="str">
        <f t="shared" si="926"/>
        <v>26667932</v>
      </c>
      <c r="C10391" s="4" t="str">
        <f t="shared" si="927"/>
        <v>GSE74685</v>
      </c>
      <c r="D10391" s="1" t="s">
        <v>447</v>
      </c>
      <c r="E10391" t="s">
        <v>448</v>
      </c>
      <c r="F10391" s="1">
        <v>1</v>
      </c>
      <c r="G10391" s="1" t="s">
        <v>450</v>
      </c>
      <c r="H10391" s="4" t="str">
        <f>HYPERLINK("https://www.ncbi.nlm.nih.gov/geo/query/acc.cgi?acc=GSM1930136","GSM1930136")</f>
        <v>GSM1930136</v>
      </c>
      <c r="I10391" t="s">
        <v>161</v>
      </c>
      <c r="J10391" t="s">
        <v>193</v>
      </c>
      <c r="K10391" t="s">
        <v>19</v>
      </c>
      <c r="L10391" t="s">
        <v>162</v>
      </c>
      <c r="M10391" t="s">
        <v>44</v>
      </c>
      <c r="N10391" t="s">
        <v>22</v>
      </c>
    </row>
    <row r="10392" spans="1:14">
      <c r="A10392" s="4" t="str">
        <f t="shared" si="928"/>
        <v>EXP00348</v>
      </c>
      <c r="B10392" s="4" t="str">
        <f t="shared" si="926"/>
        <v>26667932</v>
      </c>
      <c r="C10392" s="4" t="str">
        <f t="shared" si="927"/>
        <v>GSE74685</v>
      </c>
      <c r="D10392" s="1" t="s">
        <v>447</v>
      </c>
      <c r="E10392" t="s">
        <v>448</v>
      </c>
      <c r="F10392" s="1">
        <v>1</v>
      </c>
      <c r="G10392" s="1" t="s">
        <v>450</v>
      </c>
      <c r="H10392" s="4" t="str">
        <f>HYPERLINK("https://www.ncbi.nlm.nih.gov/geo/query/acc.cgi?acc=GSM1930141","GSM1930141")</f>
        <v>GSM1930141</v>
      </c>
      <c r="I10392" t="s">
        <v>161</v>
      </c>
      <c r="J10392" t="s">
        <v>193</v>
      </c>
      <c r="K10392" t="s">
        <v>19</v>
      </c>
      <c r="L10392" t="s">
        <v>162</v>
      </c>
      <c r="M10392" t="s">
        <v>44</v>
      </c>
      <c r="N10392" t="s">
        <v>22</v>
      </c>
    </row>
    <row r="10393" spans="1:14">
      <c r="A10393" s="4" t="str">
        <f t="shared" si="928"/>
        <v>EXP00348</v>
      </c>
      <c r="B10393" s="4" t="str">
        <f t="shared" si="926"/>
        <v>26667932</v>
      </c>
      <c r="C10393" s="4" t="str">
        <f t="shared" si="927"/>
        <v>GSE74685</v>
      </c>
      <c r="D10393" s="1" t="s">
        <v>447</v>
      </c>
      <c r="E10393" t="s">
        <v>448</v>
      </c>
      <c r="F10393" s="1">
        <v>1</v>
      </c>
      <c r="G10393" s="1" t="s">
        <v>450</v>
      </c>
      <c r="H10393" s="4" t="str">
        <f>HYPERLINK("https://www.ncbi.nlm.nih.gov/geo/query/acc.cgi?acc=GSM1930142","GSM1930142")</f>
        <v>GSM1930142</v>
      </c>
      <c r="I10393" t="s">
        <v>161</v>
      </c>
      <c r="J10393" t="s">
        <v>193</v>
      </c>
      <c r="K10393" t="s">
        <v>19</v>
      </c>
      <c r="L10393" t="s">
        <v>162</v>
      </c>
      <c r="M10393" t="s">
        <v>44</v>
      </c>
      <c r="N10393" t="s">
        <v>22</v>
      </c>
    </row>
    <row r="10394" spans="1:14">
      <c r="A10394" s="4" t="str">
        <f t="shared" si="928"/>
        <v>EXP00348</v>
      </c>
      <c r="B10394" s="4" t="str">
        <f t="shared" si="926"/>
        <v>26667932</v>
      </c>
      <c r="C10394" s="4" t="str">
        <f t="shared" si="927"/>
        <v>GSE74685</v>
      </c>
      <c r="D10394" s="1" t="s">
        <v>447</v>
      </c>
      <c r="E10394" t="s">
        <v>448</v>
      </c>
      <c r="F10394" s="1">
        <v>1</v>
      </c>
      <c r="G10394" s="1" t="s">
        <v>450</v>
      </c>
      <c r="H10394" s="4" t="str">
        <f>HYPERLINK("https://www.ncbi.nlm.nih.gov/geo/query/acc.cgi?acc=GSM1930150","GSM1930150")</f>
        <v>GSM1930150</v>
      </c>
      <c r="I10394" t="s">
        <v>161</v>
      </c>
      <c r="J10394" t="s">
        <v>193</v>
      </c>
      <c r="K10394" t="s">
        <v>19</v>
      </c>
      <c r="L10394" t="s">
        <v>162</v>
      </c>
      <c r="M10394" t="s">
        <v>44</v>
      </c>
      <c r="N10394" t="s">
        <v>22</v>
      </c>
    </row>
    <row r="10395" spans="1:14">
      <c r="A10395" s="4" t="str">
        <f t="shared" si="928"/>
        <v>EXP00348</v>
      </c>
      <c r="B10395" s="4" t="str">
        <f t="shared" si="926"/>
        <v>26667932</v>
      </c>
      <c r="C10395" s="4" t="str">
        <f t="shared" si="927"/>
        <v>GSE74685</v>
      </c>
      <c r="D10395" s="1" t="s">
        <v>447</v>
      </c>
      <c r="E10395" t="s">
        <v>448</v>
      </c>
      <c r="F10395" s="1">
        <v>1</v>
      </c>
      <c r="G10395" s="1" t="s">
        <v>450</v>
      </c>
      <c r="H10395" s="4" t="str">
        <f>HYPERLINK("https://www.ncbi.nlm.nih.gov/geo/query/acc.cgi?acc=GSM1930155","GSM1930155")</f>
        <v>GSM1930155</v>
      </c>
      <c r="I10395" t="s">
        <v>161</v>
      </c>
      <c r="J10395" t="s">
        <v>193</v>
      </c>
      <c r="K10395" t="s">
        <v>19</v>
      </c>
      <c r="L10395" t="s">
        <v>162</v>
      </c>
      <c r="M10395" t="s">
        <v>44</v>
      </c>
      <c r="N10395" t="s">
        <v>22</v>
      </c>
    </row>
    <row r="10396" spans="1:14">
      <c r="A10396" s="4" t="str">
        <f t="shared" si="928"/>
        <v>EXP00348</v>
      </c>
      <c r="B10396" s="4" t="str">
        <f t="shared" si="926"/>
        <v>26667932</v>
      </c>
      <c r="C10396" s="4" t="str">
        <f t="shared" si="927"/>
        <v>GSE74685</v>
      </c>
      <c r="D10396" s="1" t="s">
        <v>447</v>
      </c>
      <c r="E10396" t="s">
        <v>448</v>
      </c>
      <c r="F10396" s="1">
        <v>2</v>
      </c>
      <c r="G10396" s="1" t="s">
        <v>452</v>
      </c>
      <c r="H10396" s="4" t="str">
        <f>HYPERLINK("https://www.ncbi.nlm.nih.gov/geo/query/acc.cgi?acc=GSM1616615","GSM1616615")</f>
        <v>GSM1616615</v>
      </c>
      <c r="I10396" t="s">
        <v>161</v>
      </c>
      <c r="J10396" t="s">
        <v>193</v>
      </c>
      <c r="K10396" t="s">
        <v>19</v>
      </c>
      <c r="L10396" t="s">
        <v>162</v>
      </c>
      <c r="M10396" t="s">
        <v>24</v>
      </c>
      <c r="N10396" t="s">
        <v>22</v>
      </c>
    </row>
    <row r="10397" spans="1:14">
      <c r="A10397" s="4" t="str">
        <f t="shared" si="928"/>
        <v>EXP00348</v>
      </c>
      <c r="B10397" s="4" t="str">
        <f t="shared" si="926"/>
        <v>26667932</v>
      </c>
      <c r="C10397" s="4" t="str">
        <f t="shared" si="927"/>
        <v>GSE74685</v>
      </c>
      <c r="D10397" s="1" t="s">
        <v>447</v>
      </c>
      <c r="E10397" t="s">
        <v>448</v>
      </c>
      <c r="F10397" s="1">
        <v>2</v>
      </c>
      <c r="G10397" s="1" t="s">
        <v>452</v>
      </c>
      <c r="H10397" s="4" t="str">
        <f>HYPERLINK("https://www.ncbi.nlm.nih.gov/geo/query/acc.cgi?acc=GSM1616616","GSM1616616")</f>
        <v>GSM1616616</v>
      </c>
      <c r="I10397" t="s">
        <v>161</v>
      </c>
      <c r="J10397" t="s">
        <v>193</v>
      </c>
      <c r="K10397" t="s">
        <v>19</v>
      </c>
      <c r="L10397" t="s">
        <v>162</v>
      </c>
      <c r="M10397" t="s">
        <v>24</v>
      </c>
      <c r="N10397" t="s">
        <v>22</v>
      </c>
    </row>
    <row r="10398" spans="1:14">
      <c r="A10398" s="4" t="str">
        <f t="shared" si="928"/>
        <v>EXP00348</v>
      </c>
      <c r="B10398" s="4" t="str">
        <f t="shared" si="926"/>
        <v>26667932</v>
      </c>
      <c r="C10398" s="4" t="str">
        <f t="shared" si="927"/>
        <v>GSE74685</v>
      </c>
      <c r="D10398" s="1" t="s">
        <v>447</v>
      </c>
      <c r="E10398" t="s">
        <v>448</v>
      </c>
      <c r="F10398" s="1">
        <v>2</v>
      </c>
      <c r="G10398" s="1" t="s">
        <v>452</v>
      </c>
      <c r="H10398" s="4" t="str">
        <f>HYPERLINK("https://www.ncbi.nlm.nih.gov/geo/query/acc.cgi?acc=GSM1616619","GSM1616619")</f>
        <v>GSM1616619</v>
      </c>
      <c r="I10398" t="s">
        <v>161</v>
      </c>
      <c r="J10398" t="s">
        <v>193</v>
      </c>
      <c r="K10398" t="s">
        <v>19</v>
      </c>
      <c r="L10398" t="s">
        <v>162</v>
      </c>
      <c r="M10398" t="s">
        <v>24</v>
      </c>
      <c r="N10398" t="s">
        <v>22</v>
      </c>
    </row>
    <row r="10399" spans="1:14">
      <c r="A10399" s="4" t="str">
        <f t="shared" si="928"/>
        <v>EXP00348</v>
      </c>
      <c r="B10399" s="4" t="str">
        <f t="shared" si="926"/>
        <v>26667932</v>
      </c>
      <c r="C10399" s="4" t="str">
        <f t="shared" si="927"/>
        <v>GSE74685</v>
      </c>
      <c r="D10399" s="1" t="s">
        <v>447</v>
      </c>
      <c r="E10399" t="s">
        <v>448</v>
      </c>
      <c r="F10399" s="1">
        <v>2</v>
      </c>
      <c r="G10399" s="1" t="s">
        <v>452</v>
      </c>
      <c r="H10399" s="4" t="str">
        <f>HYPERLINK("https://www.ncbi.nlm.nih.gov/geo/query/acc.cgi?acc=GSM1616620","GSM1616620")</f>
        <v>GSM1616620</v>
      </c>
      <c r="I10399" t="s">
        <v>161</v>
      </c>
      <c r="J10399" t="s">
        <v>193</v>
      </c>
      <c r="K10399" t="s">
        <v>19</v>
      </c>
      <c r="L10399" t="s">
        <v>162</v>
      </c>
      <c r="M10399" t="s">
        <v>24</v>
      </c>
      <c r="N10399" t="s">
        <v>22</v>
      </c>
    </row>
    <row r="10400" spans="1:14">
      <c r="A10400" s="4" t="str">
        <f t="shared" si="928"/>
        <v>EXP00348</v>
      </c>
      <c r="B10400" s="4" t="str">
        <f t="shared" si="926"/>
        <v>26667932</v>
      </c>
      <c r="C10400" s="4" t="str">
        <f t="shared" si="927"/>
        <v>GSE74685</v>
      </c>
      <c r="D10400" s="1" t="s">
        <v>447</v>
      </c>
      <c r="E10400" t="s">
        <v>448</v>
      </c>
      <c r="F10400" s="1">
        <v>2</v>
      </c>
      <c r="G10400" s="1" t="s">
        <v>452</v>
      </c>
      <c r="H10400" s="4" t="str">
        <f>HYPERLINK("https://www.ncbi.nlm.nih.gov/geo/query/acc.cgi?acc=GSM1616622","GSM1616622")</f>
        <v>GSM1616622</v>
      </c>
      <c r="I10400" t="s">
        <v>161</v>
      </c>
      <c r="J10400" t="s">
        <v>193</v>
      </c>
      <c r="K10400" t="s">
        <v>19</v>
      </c>
      <c r="L10400" t="s">
        <v>162</v>
      </c>
      <c r="M10400" t="s">
        <v>24</v>
      </c>
      <c r="N10400" t="s">
        <v>22</v>
      </c>
    </row>
    <row r="10401" spans="1:14">
      <c r="A10401" s="4" t="str">
        <f t="shared" si="928"/>
        <v>EXP00348</v>
      </c>
      <c r="B10401" s="4" t="str">
        <f t="shared" si="926"/>
        <v>26667932</v>
      </c>
      <c r="C10401" s="4" t="str">
        <f t="shared" si="927"/>
        <v>GSE74685</v>
      </c>
      <c r="D10401" s="1" t="s">
        <v>447</v>
      </c>
      <c r="E10401" t="s">
        <v>448</v>
      </c>
      <c r="F10401" s="1">
        <v>2</v>
      </c>
      <c r="G10401" s="1" t="s">
        <v>452</v>
      </c>
      <c r="H10401" s="4" t="str">
        <f>HYPERLINK("https://www.ncbi.nlm.nih.gov/geo/query/acc.cgi?acc=GSM1616624","GSM1616624")</f>
        <v>GSM1616624</v>
      </c>
      <c r="I10401" t="s">
        <v>161</v>
      </c>
      <c r="J10401" t="s">
        <v>193</v>
      </c>
      <c r="K10401" t="s">
        <v>19</v>
      </c>
      <c r="L10401" t="s">
        <v>162</v>
      </c>
      <c r="M10401" t="s">
        <v>24</v>
      </c>
      <c r="N10401" t="s">
        <v>22</v>
      </c>
    </row>
    <row r="10402" spans="1:14">
      <c r="A10402" s="4" t="str">
        <f t="shared" si="928"/>
        <v>EXP00348</v>
      </c>
      <c r="B10402" s="4" t="str">
        <f t="shared" si="926"/>
        <v>26667932</v>
      </c>
      <c r="C10402" s="4" t="str">
        <f t="shared" si="927"/>
        <v>GSE74685</v>
      </c>
      <c r="D10402" s="1" t="s">
        <v>447</v>
      </c>
      <c r="E10402" t="s">
        <v>448</v>
      </c>
      <c r="F10402" s="1">
        <v>2</v>
      </c>
      <c r="G10402" s="1" t="s">
        <v>452</v>
      </c>
      <c r="H10402" s="4" t="str">
        <f>HYPERLINK("https://www.ncbi.nlm.nih.gov/geo/query/acc.cgi?acc=GSM1616626","GSM1616626")</f>
        <v>GSM1616626</v>
      </c>
      <c r="I10402" t="s">
        <v>161</v>
      </c>
      <c r="J10402" t="s">
        <v>193</v>
      </c>
      <c r="K10402" t="s">
        <v>19</v>
      </c>
      <c r="L10402" t="s">
        <v>162</v>
      </c>
      <c r="M10402" t="s">
        <v>24</v>
      </c>
      <c r="N10402" t="s">
        <v>22</v>
      </c>
    </row>
    <row r="10403" spans="1:14">
      <c r="A10403" s="4" t="str">
        <f t="shared" si="928"/>
        <v>EXP00348</v>
      </c>
      <c r="B10403" s="4" t="str">
        <f t="shared" si="926"/>
        <v>26667932</v>
      </c>
      <c r="C10403" s="4" t="str">
        <f t="shared" si="927"/>
        <v>GSE74685</v>
      </c>
      <c r="D10403" s="1" t="s">
        <v>447</v>
      </c>
      <c r="E10403" t="s">
        <v>448</v>
      </c>
      <c r="F10403" s="1">
        <v>2</v>
      </c>
      <c r="G10403" s="1" t="s">
        <v>452</v>
      </c>
      <c r="H10403" s="4" t="str">
        <f>HYPERLINK("https://www.ncbi.nlm.nih.gov/geo/query/acc.cgi?acc=GSM1616633","GSM1616633")</f>
        <v>GSM1616633</v>
      </c>
      <c r="I10403" t="s">
        <v>161</v>
      </c>
      <c r="J10403" t="s">
        <v>193</v>
      </c>
      <c r="K10403" t="s">
        <v>19</v>
      </c>
      <c r="L10403" t="s">
        <v>162</v>
      </c>
      <c r="M10403" t="s">
        <v>24</v>
      </c>
      <c r="N10403" t="s">
        <v>22</v>
      </c>
    </row>
    <row r="10404" spans="1:14">
      <c r="A10404" s="4" t="str">
        <f t="shared" si="928"/>
        <v>EXP00348</v>
      </c>
      <c r="B10404" s="4" t="str">
        <f t="shared" si="926"/>
        <v>26667932</v>
      </c>
      <c r="C10404" s="4" t="str">
        <f t="shared" si="927"/>
        <v>GSE74685</v>
      </c>
      <c r="D10404" s="1" t="s">
        <v>447</v>
      </c>
      <c r="E10404" t="s">
        <v>448</v>
      </c>
      <c r="F10404" s="1">
        <v>2</v>
      </c>
      <c r="G10404" s="1" t="s">
        <v>452</v>
      </c>
      <c r="H10404" s="4" t="str">
        <f>HYPERLINK("https://www.ncbi.nlm.nih.gov/geo/query/acc.cgi?acc=GSM1616634","GSM1616634")</f>
        <v>GSM1616634</v>
      </c>
      <c r="I10404" t="s">
        <v>161</v>
      </c>
      <c r="J10404" t="s">
        <v>193</v>
      </c>
      <c r="K10404" t="s">
        <v>19</v>
      </c>
      <c r="L10404" t="s">
        <v>162</v>
      </c>
      <c r="M10404" t="s">
        <v>24</v>
      </c>
      <c r="N10404" t="s">
        <v>22</v>
      </c>
    </row>
    <row r="10405" spans="1:14">
      <c r="A10405" s="4" t="str">
        <f t="shared" si="928"/>
        <v>EXP00348</v>
      </c>
      <c r="B10405" s="4" t="str">
        <f t="shared" si="926"/>
        <v>26667932</v>
      </c>
      <c r="C10405" s="4" t="str">
        <f t="shared" si="927"/>
        <v>GSE74685</v>
      </c>
      <c r="D10405" s="1" t="s">
        <v>447</v>
      </c>
      <c r="E10405" t="s">
        <v>448</v>
      </c>
      <c r="F10405" s="1">
        <v>2</v>
      </c>
      <c r="G10405" s="1" t="s">
        <v>452</v>
      </c>
      <c r="H10405" s="4" t="str">
        <f>HYPERLINK("https://www.ncbi.nlm.nih.gov/geo/query/acc.cgi?acc=GSM1616635","GSM1616635")</f>
        <v>GSM1616635</v>
      </c>
      <c r="I10405" t="s">
        <v>161</v>
      </c>
      <c r="J10405" t="s">
        <v>193</v>
      </c>
      <c r="K10405" t="s">
        <v>19</v>
      </c>
      <c r="L10405" t="s">
        <v>162</v>
      </c>
      <c r="M10405" t="s">
        <v>24</v>
      </c>
      <c r="N10405" t="s">
        <v>22</v>
      </c>
    </row>
    <row r="10406" spans="1:14">
      <c r="A10406" s="4" t="str">
        <f t="shared" si="928"/>
        <v>EXP00348</v>
      </c>
      <c r="B10406" s="4" t="str">
        <f t="shared" si="926"/>
        <v>26667932</v>
      </c>
      <c r="C10406" s="4" t="str">
        <f t="shared" si="927"/>
        <v>GSE74685</v>
      </c>
      <c r="D10406" s="1" t="s">
        <v>447</v>
      </c>
      <c r="E10406" t="s">
        <v>448</v>
      </c>
      <c r="F10406" s="1">
        <v>2</v>
      </c>
      <c r="G10406" s="1" t="s">
        <v>452</v>
      </c>
      <c r="H10406" s="4" t="str">
        <f>HYPERLINK("https://www.ncbi.nlm.nih.gov/geo/query/acc.cgi?acc=GSM1616636","GSM1616636")</f>
        <v>GSM1616636</v>
      </c>
      <c r="I10406" t="s">
        <v>161</v>
      </c>
      <c r="J10406" t="s">
        <v>193</v>
      </c>
      <c r="K10406" t="s">
        <v>19</v>
      </c>
      <c r="L10406" t="s">
        <v>162</v>
      </c>
      <c r="M10406" t="s">
        <v>24</v>
      </c>
      <c r="N10406" t="s">
        <v>22</v>
      </c>
    </row>
    <row r="10407" spans="1:14">
      <c r="A10407" s="4" t="str">
        <f t="shared" ref="A10407:A10438" si="929">HYPERLINK("http://hcmdb.i-sanger.com/experiment/details/experiment_id/EXP00348","EXP00348")</f>
        <v>EXP00348</v>
      </c>
      <c r="B10407" s="4" t="str">
        <f t="shared" si="926"/>
        <v>26667932</v>
      </c>
      <c r="C10407" s="4" t="str">
        <f t="shared" si="927"/>
        <v>GSE74685</v>
      </c>
      <c r="D10407" s="1" t="s">
        <v>447</v>
      </c>
      <c r="E10407" t="s">
        <v>448</v>
      </c>
      <c r="F10407" s="1">
        <v>2</v>
      </c>
      <c r="G10407" s="1" t="s">
        <v>452</v>
      </c>
      <c r="H10407" s="4" t="str">
        <f>HYPERLINK("https://www.ncbi.nlm.nih.gov/geo/query/acc.cgi?acc=GSM1616639","GSM1616639")</f>
        <v>GSM1616639</v>
      </c>
      <c r="I10407" t="s">
        <v>161</v>
      </c>
      <c r="J10407" t="s">
        <v>193</v>
      </c>
      <c r="K10407" t="s">
        <v>19</v>
      </c>
      <c r="L10407" t="s">
        <v>162</v>
      </c>
      <c r="M10407" t="s">
        <v>24</v>
      </c>
      <c r="N10407" t="s">
        <v>22</v>
      </c>
    </row>
    <row r="10408" spans="1:14">
      <c r="A10408" s="4" t="str">
        <f t="shared" si="929"/>
        <v>EXP00348</v>
      </c>
      <c r="B10408" s="4" t="str">
        <f t="shared" si="926"/>
        <v>26667932</v>
      </c>
      <c r="C10408" s="4" t="str">
        <f t="shared" si="927"/>
        <v>GSE74685</v>
      </c>
      <c r="D10408" s="1" t="s">
        <v>447</v>
      </c>
      <c r="E10408" t="s">
        <v>448</v>
      </c>
      <c r="F10408" s="1">
        <v>2</v>
      </c>
      <c r="G10408" s="1" t="s">
        <v>452</v>
      </c>
      <c r="H10408" s="4" t="str">
        <f>HYPERLINK("https://www.ncbi.nlm.nih.gov/geo/query/acc.cgi?acc=GSM1616642","GSM1616642")</f>
        <v>GSM1616642</v>
      </c>
      <c r="I10408" t="s">
        <v>161</v>
      </c>
      <c r="J10408" t="s">
        <v>193</v>
      </c>
      <c r="K10408" t="s">
        <v>19</v>
      </c>
      <c r="L10408" t="s">
        <v>162</v>
      </c>
      <c r="M10408" t="s">
        <v>24</v>
      </c>
      <c r="N10408" t="s">
        <v>22</v>
      </c>
    </row>
    <row r="10409" spans="1:14">
      <c r="A10409" s="4" t="str">
        <f t="shared" si="929"/>
        <v>EXP00348</v>
      </c>
      <c r="B10409" s="4" t="str">
        <f t="shared" si="926"/>
        <v>26667932</v>
      </c>
      <c r="C10409" s="4" t="str">
        <f t="shared" si="927"/>
        <v>GSE74685</v>
      </c>
      <c r="D10409" s="1" t="s">
        <v>447</v>
      </c>
      <c r="E10409" t="s">
        <v>448</v>
      </c>
      <c r="F10409" s="1">
        <v>2</v>
      </c>
      <c r="G10409" s="1" t="s">
        <v>452</v>
      </c>
      <c r="H10409" s="4" t="str">
        <f>HYPERLINK("https://www.ncbi.nlm.nih.gov/geo/query/acc.cgi?acc=GSM1616644","GSM1616644")</f>
        <v>GSM1616644</v>
      </c>
      <c r="I10409" t="s">
        <v>161</v>
      </c>
      <c r="J10409" t="s">
        <v>193</v>
      </c>
      <c r="K10409" t="s">
        <v>19</v>
      </c>
      <c r="L10409" t="s">
        <v>162</v>
      </c>
      <c r="M10409" t="s">
        <v>24</v>
      </c>
      <c r="N10409" t="s">
        <v>22</v>
      </c>
    </row>
    <row r="10410" spans="1:14">
      <c r="A10410" s="4" t="str">
        <f t="shared" si="929"/>
        <v>EXP00348</v>
      </c>
      <c r="B10410" s="4" t="str">
        <f t="shared" si="926"/>
        <v>26667932</v>
      </c>
      <c r="C10410" s="4" t="str">
        <f t="shared" si="927"/>
        <v>GSE74685</v>
      </c>
      <c r="D10410" s="1" t="s">
        <v>447</v>
      </c>
      <c r="E10410" t="s">
        <v>448</v>
      </c>
      <c r="F10410" s="1">
        <v>2</v>
      </c>
      <c r="G10410" s="1" t="s">
        <v>452</v>
      </c>
      <c r="H10410" s="4" t="str">
        <f>HYPERLINK("https://www.ncbi.nlm.nih.gov/geo/query/acc.cgi?acc=GSM1616645","GSM1616645")</f>
        <v>GSM1616645</v>
      </c>
      <c r="I10410" t="s">
        <v>161</v>
      </c>
      <c r="J10410" t="s">
        <v>193</v>
      </c>
      <c r="K10410" t="s">
        <v>19</v>
      </c>
      <c r="L10410" t="s">
        <v>162</v>
      </c>
      <c r="M10410" t="s">
        <v>24</v>
      </c>
      <c r="N10410" t="s">
        <v>22</v>
      </c>
    </row>
    <row r="10411" spans="1:14">
      <c r="A10411" s="4" t="str">
        <f t="shared" si="929"/>
        <v>EXP00348</v>
      </c>
      <c r="B10411" s="4" t="str">
        <f t="shared" si="926"/>
        <v>26667932</v>
      </c>
      <c r="C10411" s="4" t="str">
        <f t="shared" si="927"/>
        <v>GSE74685</v>
      </c>
      <c r="D10411" s="1" t="s">
        <v>447</v>
      </c>
      <c r="E10411" t="s">
        <v>448</v>
      </c>
      <c r="F10411" s="1">
        <v>2</v>
      </c>
      <c r="G10411" s="1" t="s">
        <v>452</v>
      </c>
      <c r="H10411" s="4" t="str">
        <f>HYPERLINK("https://www.ncbi.nlm.nih.gov/geo/query/acc.cgi?acc=GSM1616649","GSM1616649")</f>
        <v>GSM1616649</v>
      </c>
      <c r="I10411" t="s">
        <v>161</v>
      </c>
      <c r="J10411" t="s">
        <v>193</v>
      </c>
      <c r="K10411" t="s">
        <v>19</v>
      </c>
      <c r="L10411" t="s">
        <v>162</v>
      </c>
      <c r="M10411" t="s">
        <v>24</v>
      </c>
      <c r="N10411" t="s">
        <v>22</v>
      </c>
    </row>
    <row r="10412" spans="1:14">
      <c r="A10412" s="4" t="str">
        <f t="shared" si="929"/>
        <v>EXP00348</v>
      </c>
      <c r="B10412" s="4" t="str">
        <f t="shared" si="926"/>
        <v>26667932</v>
      </c>
      <c r="C10412" s="4" t="str">
        <f t="shared" si="927"/>
        <v>GSE74685</v>
      </c>
      <c r="D10412" s="1" t="s">
        <v>447</v>
      </c>
      <c r="E10412" t="s">
        <v>448</v>
      </c>
      <c r="F10412" s="1">
        <v>2</v>
      </c>
      <c r="G10412" s="1" t="s">
        <v>452</v>
      </c>
      <c r="H10412" s="4" t="str">
        <f>HYPERLINK("https://www.ncbi.nlm.nih.gov/geo/query/acc.cgi?acc=GSM1616653","GSM1616653")</f>
        <v>GSM1616653</v>
      </c>
      <c r="I10412" t="s">
        <v>161</v>
      </c>
      <c r="J10412" t="s">
        <v>193</v>
      </c>
      <c r="K10412" t="s">
        <v>19</v>
      </c>
      <c r="L10412" t="s">
        <v>162</v>
      </c>
      <c r="M10412" t="s">
        <v>24</v>
      </c>
      <c r="N10412" t="s">
        <v>22</v>
      </c>
    </row>
    <row r="10413" spans="1:14">
      <c r="A10413" s="4" t="str">
        <f t="shared" si="929"/>
        <v>EXP00348</v>
      </c>
      <c r="B10413" s="4" t="str">
        <f t="shared" si="926"/>
        <v>26667932</v>
      </c>
      <c r="C10413" s="4" t="str">
        <f t="shared" si="927"/>
        <v>GSE74685</v>
      </c>
      <c r="D10413" s="1" t="s">
        <v>447</v>
      </c>
      <c r="E10413" t="s">
        <v>448</v>
      </c>
      <c r="F10413" s="1">
        <v>2</v>
      </c>
      <c r="G10413" s="1" t="s">
        <v>452</v>
      </c>
      <c r="H10413" s="4" t="str">
        <f>HYPERLINK("https://www.ncbi.nlm.nih.gov/geo/query/acc.cgi?acc=GSM1616659","GSM1616659")</f>
        <v>GSM1616659</v>
      </c>
      <c r="I10413" t="s">
        <v>161</v>
      </c>
      <c r="J10413" t="s">
        <v>193</v>
      </c>
      <c r="K10413" t="s">
        <v>19</v>
      </c>
      <c r="L10413" t="s">
        <v>162</v>
      </c>
      <c r="M10413" t="s">
        <v>24</v>
      </c>
      <c r="N10413" t="s">
        <v>22</v>
      </c>
    </row>
    <row r="10414" spans="1:14">
      <c r="A10414" s="4" t="str">
        <f t="shared" si="929"/>
        <v>EXP00348</v>
      </c>
      <c r="B10414" s="4" t="str">
        <f t="shared" si="926"/>
        <v>26667932</v>
      </c>
      <c r="C10414" s="4" t="str">
        <f t="shared" si="927"/>
        <v>GSE74685</v>
      </c>
      <c r="D10414" s="1" t="s">
        <v>447</v>
      </c>
      <c r="E10414" t="s">
        <v>448</v>
      </c>
      <c r="F10414" s="1">
        <v>2</v>
      </c>
      <c r="G10414" s="1" t="s">
        <v>452</v>
      </c>
      <c r="H10414" s="4" t="str">
        <f>HYPERLINK("https://www.ncbi.nlm.nih.gov/geo/query/acc.cgi?acc=GSM1616661","GSM1616661")</f>
        <v>GSM1616661</v>
      </c>
      <c r="I10414" t="s">
        <v>161</v>
      </c>
      <c r="J10414" t="s">
        <v>193</v>
      </c>
      <c r="K10414" t="s">
        <v>19</v>
      </c>
      <c r="L10414" t="s">
        <v>162</v>
      </c>
      <c r="M10414" t="s">
        <v>24</v>
      </c>
      <c r="N10414" t="s">
        <v>22</v>
      </c>
    </row>
    <row r="10415" spans="1:14">
      <c r="A10415" s="4" t="str">
        <f t="shared" si="929"/>
        <v>EXP00348</v>
      </c>
      <c r="B10415" s="4" t="str">
        <f t="shared" si="926"/>
        <v>26667932</v>
      </c>
      <c r="C10415" s="4" t="str">
        <f t="shared" si="927"/>
        <v>GSE74685</v>
      </c>
      <c r="D10415" s="1" t="s">
        <v>447</v>
      </c>
      <c r="E10415" t="s">
        <v>448</v>
      </c>
      <c r="F10415" s="1">
        <v>2</v>
      </c>
      <c r="G10415" s="1" t="s">
        <v>452</v>
      </c>
      <c r="H10415" s="4" t="str">
        <f>HYPERLINK("https://www.ncbi.nlm.nih.gov/geo/query/acc.cgi?acc=GSM1616662","GSM1616662")</f>
        <v>GSM1616662</v>
      </c>
      <c r="I10415" t="s">
        <v>161</v>
      </c>
      <c r="J10415" t="s">
        <v>193</v>
      </c>
      <c r="K10415" t="s">
        <v>19</v>
      </c>
      <c r="L10415" t="s">
        <v>162</v>
      </c>
      <c r="M10415" t="s">
        <v>24</v>
      </c>
      <c r="N10415" t="s">
        <v>22</v>
      </c>
    </row>
    <row r="10416" spans="1:14">
      <c r="A10416" s="4" t="str">
        <f t="shared" si="929"/>
        <v>EXP00348</v>
      </c>
      <c r="B10416" s="4" t="str">
        <f t="shared" si="926"/>
        <v>26667932</v>
      </c>
      <c r="C10416" s="4" t="str">
        <f t="shared" si="927"/>
        <v>GSE74685</v>
      </c>
      <c r="D10416" s="1" t="s">
        <v>447</v>
      </c>
      <c r="E10416" t="s">
        <v>448</v>
      </c>
      <c r="F10416" s="1">
        <v>2</v>
      </c>
      <c r="G10416" s="1" t="s">
        <v>452</v>
      </c>
      <c r="H10416" s="4" t="str">
        <f>HYPERLINK("https://www.ncbi.nlm.nih.gov/geo/query/acc.cgi?acc=GSM1616664","GSM1616664")</f>
        <v>GSM1616664</v>
      </c>
      <c r="I10416" t="s">
        <v>161</v>
      </c>
      <c r="J10416" t="s">
        <v>193</v>
      </c>
      <c r="K10416" t="s">
        <v>19</v>
      </c>
      <c r="L10416" t="s">
        <v>162</v>
      </c>
      <c r="M10416" t="s">
        <v>24</v>
      </c>
      <c r="N10416" t="s">
        <v>22</v>
      </c>
    </row>
    <row r="10417" spans="1:14">
      <c r="A10417" s="4" t="str">
        <f t="shared" si="929"/>
        <v>EXP00348</v>
      </c>
      <c r="B10417" s="4" t="str">
        <f t="shared" si="926"/>
        <v>26667932</v>
      </c>
      <c r="C10417" s="4" t="str">
        <f t="shared" si="927"/>
        <v>GSE74685</v>
      </c>
      <c r="D10417" s="1" t="s">
        <v>447</v>
      </c>
      <c r="E10417" t="s">
        <v>448</v>
      </c>
      <c r="F10417" s="1">
        <v>2</v>
      </c>
      <c r="G10417" s="1" t="s">
        <v>452</v>
      </c>
      <c r="H10417" s="4" t="str">
        <f>HYPERLINK("https://www.ncbi.nlm.nih.gov/geo/query/acc.cgi?acc=GSM1616669","GSM1616669")</f>
        <v>GSM1616669</v>
      </c>
      <c r="I10417" t="s">
        <v>161</v>
      </c>
      <c r="J10417" t="s">
        <v>193</v>
      </c>
      <c r="K10417" t="s">
        <v>19</v>
      </c>
      <c r="L10417" t="s">
        <v>162</v>
      </c>
      <c r="M10417" t="s">
        <v>24</v>
      </c>
      <c r="N10417" t="s">
        <v>22</v>
      </c>
    </row>
    <row r="10418" spans="1:14">
      <c r="A10418" s="4" t="str">
        <f t="shared" si="929"/>
        <v>EXP00348</v>
      </c>
      <c r="B10418" s="4" t="str">
        <f t="shared" si="926"/>
        <v>26667932</v>
      </c>
      <c r="C10418" s="4" t="str">
        <f t="shared" si="927"/>
        <v>GSE74685</v>
      </c>
      <c r="D10418" s="1" t="s">
        <v>447</v>
      </c>
      <c r="E10418" t="s">
        <v>448</v>
      </c>
      <c r="F10418" s="1">
        <v>2</v>
      </c>
      <c r="G10418" s="1" t="s">
        <v>452</v>
      </c>
      <c r="H10418" s="4" t="str">
        <f>HYPERLINK("https://www.ncbi.nlm.nih.gov/geo/query/acc.cgi?acc=GSM1616670","GSM1616670")</f>
        <v>GSM1616670</v>
      </c>
      <c r="I10418" t="s">
        <v>161</v>
      </c>
      <c r="J10418" t="s">
        <v>193</v>
      </c>
      <c r="K10418" t="s">
        <v>19</v>
      </c>
      <c r="L10418" t="s">
        <v>162</v>
      </c>
      <c r="M10418" t="s">
        <v>24</v>
      </c>
      <c r="N10418" t="s">
        <v>22</v>
      </c>
    </row>
    <row r="10419" spans="1:14">
      <c r="A10419" s="4" t="str">
        <f t="shared" si="929"/>
        <v>EXP00348</v>
      </c>
      <c r="B10419" s="4" t="str">
        <f t="shared" si="926"/>
        <v>26667932</v>
      </c>
      <c r="C10419" s="4" t="str">
        <f t="shared" si="927"/>
        <v>GSE74685</v>
      </c>
      <c r="D10419" s="1" t="s">
        <v>447</v>
      </c>
      <c r="E10419" t="s">
        <v>448</v>
      </c>
      <c r="F10419" s="1">
        <v>2</v>
      </c>
      <c r="G10419" s="1" t="s">
        <v>452</v>
      </c>
      <c r="H10419" s="4" t="str">
        <f>HYPERLINK("https://www.ncbi.nlm.nih.gov/geo/query/acc.cgi?acc=GSM1616672","GSM1616672")</f>
        <v>GSM1616672</v>
      </c>
      <c r="I10419" t="s">
        <v>161</v>
      </c>
      <c r="J10419" t="s">
        <v>193</v>
      </c>
      <c r="K10419" t="s">
        <v>19</v>
      </c>
      <c r="L10419" t="s">
        <v>162</v>
      </c>
      <c r="M10419" t="s">
        <v>24</v>
      </c>
      <c r="N10419" t="s">
        <v>22</v>
      </c>
    </row>
    <row r="10420" spans="1:14">
      <c r="A10420" s="4" t="str">
        <f t="shared" si="929"/>
        <v>EXP00348</v>
      </c>
      <c r="B10420" s="4" t="str">
        <f t="shared" si="926"/>
        <v>26667932</v>
      </c>
      <c r="C10420" s="4" t="str">
        <f t="shared" si="927"/>
        <v>GSE74685</v>
      </c>
      <c r="D10420" s="1" t="s">
        <v>447</v>
      </c>
      <c r="E10420" t="s">
        <v>448</v>
      </c>
      <c r="F10420" s="1">
        <v>2</v>
      </c>
      <c r="G10420" s="1" t="s">
        <v>452</v>
      </c>
      <c r="H10420" s="4" t="str">
        <f>HYPERLINK("https://www.ncbi.nlm.nih.gov/geo/query/acc.cgi?acc=GSM1616676","GSM1616676")</f>
        <v>GSM1616676</v>
      </c>
      <c r="I10420" t="s">
        <v>161</v>
      </c>
      <c r="J10420" t="s">
        <v>193</v>
      </c>
      <c r="K10420" t="s">
        <v>19</v>
      </c>
      <c r="L10420" t="s">
        <v>162</v>
      </c>
      <c r="M10420" t="s">
        <v>24</v>
      </c>
      <c r="N10420" t="s">
        <v>22</v>
      </c>
    </row>
    <row r="10421" spans="1:14">
      <c r="A10421" s="4" t="str">
        <f t="shared" si="929"/>
        <v>EXP00348</v>
      </c>
      <c r="B10421" s="4" t="str">
        <f t="shared" si="926"/>
        <v>26667932</v>
      </c>
      <c r="C10421" s="4" t="str">
        <f t="shared" si="927"/>
        <v>GSE74685</v>
      </c>
      <c r="D10421" s="1" t="s">
        <v>447</v>
      </c>
      <c r="E10421" t="s">
        <v>448</v>
      </c>
      <c r="F10421" s="1">
        <v>2</v>
      </c>
      <c r="G10421" s="1" t="s">
        <v>452</v>
      </c>
      <c r="H10421" s="4" t="str">
        <f>HYPERLINK("https://www.ncbi.nlm.nih.gov/geo/query/acc.cgi?acc=GSM1616682","GSM1616682")</f>
        <v>GSM1616682</v>
      </c>
      <c r="I10421" t="s">
        <v>161</v>
      </c>
      <c r="J10421" t="s">
        <v>193</v>
      </c>
      <c r="K10421" t="s">
        <v>19</v>
      </c>
      <c r="L10421" t="s">
        <v>162</v>
      </c>
      <c r="M10421" t="s">
        <v>24</v>
      </c>
      <c r="N10421" t="s">
        <v>22</v>
      </c>
    </row>
    <row r="10422" spans="1:14">
      <c r="A10422" s="4" t="str">
        <f t="shared" si="929"/>
        <v>EXP00348</v>
      </c>
      <c r="B10422" s="4" t="str">
        <f t="shared" si="926"/>
        <v>26667932</v>
      </c>
      <c r="C10422" s="4" t="str">
        <f t="shared" si="927"/>
        <v>GSE74685</v>
      </c>
      <c r="D10422" s="1" t="s">
        <v>447</v>
      </c>
      <c r="E10422" t="s">
        <v>448</v>
      </c>
      <c r="F10422" s="1">
        <v>2</v>
      </c>
      <c r="G10422" s="1" t="s">
        <v>452</v>
      </c>
      <c r="H10422" s="4" t="str">
        <f>HYPERLINK("https://www.ncbi.nlm.nih.gov/geo/query/acc.cgi?acc=GSM1616684","GSM1616684")</f>
        <v>GSM1616684</v>
      </c>
      <c r="I10422" t="s">
        <v>161</v>
      </c>
      <c r="J10422" t="s">
        <v>193</v>
      </c>
      <c r="K10422" t="s">
        <v>19</v>
      </c>
      <c r="L10422" t="s">
        <v>162</v>
      </c>
      <c r="M10422" t="s">
        <v>24</v>
      </c>
      <c r="N10422" t="s">
        <v>22</v>
      </c>
    </row>
    <row r="10423" spans="1:14">
      <c r="A10423" s="4" t="str">
        <f t="shared" si="929"/>
        <v>EXP00348</v>
      </c>
      <c r="B10423" s="4" t="str">
        <f t="shared" si="926"/>
        <v>26667932</v>
      </c>
      <c r="C10423" s="4" t="str">
        <f t="shared" si="927"/>
        <v>GSE74685</v>
      </c>
      <c r="D10423" s="1" t="s">
        <v>447</v>
      </c>
      <c r="E10423" t="s">
        <v>448</v>
      </c>
      <c r="F10423" s="1">
        <v>2</v>
      </c>
      <c r="G10423" s="1" t="s">
        <v>452</v>
      </c>
      <c r="H10423" s="4" t="str">
        <f>HYPERLINK("https://www.ncbi.nlm.nih.gov/geo/query/acc.cgi?acc=GSM1918978","GSM1918978")</f>
        <v>GSM1918978</v>
      </c>
      <c r="I10423" t="s">
        <v>161</v>
      </c>
      <c r="J10423" t="s">
        <v>193</v>
      </c>
      <c r="K10423" t="s">
        <v>19</v>
      </c>
      <c r="L10423" t="s">
        <v>162</v>
      </c>
      <c r="M10423" t="s">
        <v>24</v>
      </c>
      <c r="N10423" t="s">
        <v>22</v>
      </c>
    </row>
    <row r="10424" spans="1:14">
      <c r="A10424" s="4" t="str">
        <f t="shared" si="929"/>
        <v>EXP00348</v>
      </c>
      <c r="B10424" s="4" t="str">
        <f t="shared" si="926"/>
        <v>26667932</v>
      </c>
      <c r="C10424" s="4" t="str">
        <f t="shared" si="927"/>
        <v>GSE74685</v>
      </c>
      <c r="D10424" s="1" t="s">
        <v>447</v>
      </c>
      <c r="E10424" t="s">
        <v>448</v>
      </c>
      <c r="F10424" s="1">
        <v>2</v>
      </c>
      <c r="G10424" s="1" t="s">
        <v>452</v>
      </c>
      <c r="H10424" s="4" t="str">
        <f>HYPERLINK("https://www.ncbi.nlm.nih.gov/geo/query/acc.cgi?acc=GSM1930063","GSM1930063")</f>
        <v>GSM1930063</v>
      </c>
      <c r="I10424" t="s">
        <v>161</v>
      </c>
      <c r="J10424" t="s">
        <v>193</v>
      </c>
      <c r="K10424" t="s">
        <v>19</v>
      </c>
      <c r="L10424" t="s">
        <v>162</v>
      </c>
      <c r="M10424" t="s">
        <v>24</v>
      </c>
      <c r="N10424" t="s">
        <v>22</v>
      </c>
    </row>
    <row r="10425" spans="1:14">
      <c r="A10425" s="4" t="str">
        <f t="shared" si="929"/>
        <v>EXP00348</v>
      </c>
      <c r="B10425" s="4" t="str">
        <f t="shared" si="926"/>
        <v>26667932</v>
      </c>
      <c r="C10425" s="4" t="str">
        <f t="shared" si="927"/>
        <v>GSE74685</v>
      </c>
      <c r="D10425" s="1" t="s">
        <v>447</v>
      </c>
      <c r="E10425" t="s">
        <v>448</v>
      </c>
      <c r="F10425" s="1">
        <v>2</v>
      </c>
      <c r="G10425" s="1" t="s">
        <v>452</v>
      </c>
      <c r="H10425" s="4" t="str">
        <f>HYPERLINK("https://www.ncbi.nlm.nih.gov/geo/query/acc.cgi?acc=GSM1930065","GSM1930065")</f>
        <v>GSM1930065</v>
      </c>
      <c r="I10425" t="s">
        <v>161</v>
      </c>
      <c r="J10425" t="s">
        <v>193</v>
      </c>
      <c r="K10425" t="s">
        <v>19</v>
      </c>
      <c r="L10425" t="s">
        <v>162</v>
      </c>
      <c r="M10425" t="s">
        <v>24</v>
      </c>
      <c r="N10425" t="s">
        <v>22</v>
      </c>
    </row>
    <row r="10426" spans="1:14">
      <c r="A10426" s="4" t="str">
        <f t="shared" si="929"/>
        <v>EXP00348</v>
      </c>
      <c r="B10426" s="4" t="str">
        <f t="shared" si="926"/>
        <v>26667932</v>
      </c>
      <c r="C10426" s="4" t="str">
        <f t="shared" si="927"/>
        <v>GSE74685</v>
      </c>
      <c r="D10426" s="1" t="s">
        <v>447</v>
      </c>
      <c r="E10426" t="s">
        <v>448</v>
      </c>
      <c r="F10426" s="1">
        <v>2</v>
      </c>
      <c r="G10426" s="1" t="s">
        <v>452</v>
      </c>
      <c r="H10426" s="4" t="str">
        <f>HYPERLINK("https://www.ncbi.nlm.nih.gov/geo/query/acc.cgi?acc=GSM1930068","GSM1930068")</f>
        <v>GSM1930068</v>
      </c>
      <c r="I10426" t="s">
        <v>161</v>
      </c>
      <c r="J10426" t="s">
        <v>193</v>
      </c>
      <c r="K10426" t="s">
        <v>19</v>
      </c>
      <c r="L10426" t="s">
        <v>162</v>
      </c>
      <c r="M10426" t="s">
        <v>24</v>
      </c>
      <c r="N10426" t="s">
        <v>22</v>
      </c>
    </row>
    <row r="10427" spans="1:14">
      <c r="A10427" s="4" t="str">
        <f t="shared" si="929"/>
        <v>EXP00348</v>
      </c>
      <c r="B10427" s="4" t="str">
        <f t="shared" si="926"/>
        <v>26667932</v>
      </c>
      <c r="C10427" s="4" t="str">
        <f t="shared" si="927"/>
        <v>GSE74685</v>
      </c>
      <c r="D10427" s="1" t="s">
        <v>447</v>
      </c>
      <c r="E10427" t="s">
        <v>448</v>
      </c>
      <c r="F10427" s="1">
        <v>2</v>
      </c>
      <c r="G10427" s="1" t="s">
        <v>452</v>
      </c>
      <c r="H10427" s="4" t="str">
        <f>HYPERLINK("https://www.ncbi.nlm.nih.gov/geo/query/acc.cgi?acc=GSM1930071","GSM1930071")</f>
        <v>GSM1930071</v>
      </c>
      <c r="I10427" t="s">
        <v>161</v>
      </c>
      <c r="J10427" t="s">
        <v>193</v>
      </c>
      <c r="K10427" t="s">
        <v>19</v>
      </c>
      <c r="L10427" t="s">
        <v>162</v>
      </c>
      <c r="M10427" t="s">
        <v>24</v>
      </c>
      <c r="N10427" t="s">
        <v>22</v>
      </c>
    </row>
    <row r="10428" spans="1:14">
      <c r="A10428" s="4" t="str">
        <f t="shared" si="929"/>
        <v>EXP00348</v>
      </c>
      <c r="B10428" s="4" t="str">
        <f t="shared" si="926"/>
        <v>26667932</v>
      </c>
      <c r="C10428" s="4" t="str">
        <f t="shared" si="927"/>
        <v>GSE74685</v>
      </c>
      <c r="D10428" s="1" t="s">
        <v>447</v>
      </c>
      <c r="E10428" t="s">
        <v>448</v>
      </c>
      <c r="F10428" s="1">
        <v>2</v>
      </c>
      <c r="G10428" s="1" t="s">
        <v>452</v>
      </c>
      <c r="H10428" s="4" t="str">
        <f>HYPERLINK("https://www.ncbi.nlm.nih.gov/geo/query/acc.cgi?acc=GSM1930077","GSM1930077")</f>
        <v>GSM1930077</v>
      </c>
      <c r="I10428" t="s">
        <v>161</v>
      </c>
      <c r="J10428" t="s">
        <v>193</v>
      </c>
      <c r="K10428" t="s">
        <v>19</v>
      </c>
      <c r="L10428" t="s">
        <v>162</v>
      </c>
      <c r="M10428" t="s">
        <v>24</v>
      </c>
      <c r="N10428" t="s">
        <v>22</v>
      </c>
    </row>
    <row r="10429" spans="1:14">
      <c r="A10429" s="4" t="str">
        <f t="shared" si="929"/>
        <v>EXP00348</v>
      </c>
      <c r="B10429" s="4" t="str">
        <f t="shared" si="926"/>
        <v>26667932</v>
      </c>
      <c r="C10429" s="4" t="str">
        <f t="shared" si="927"/>
        <v>GSE74685</v>
      </c>
      <c r="D10429" s="1" t="s">
        <v>447</v>
      </c>
      <c r="E10429" t="s">
        <v>448</v>
      </c>
      <c r="F10429" s="1">
        <v>2</v>
      </c>
      <c r="G10429" s="1" t="s">
        <v>452</v>
      </c>
      <c r="H10429" s="4" t="str">
        <f>HYPERLINK("https://www.ncbi.nlm.nih.gov/geo/query/acc.cgi?acc=GSM1930078","GSM1930078")</f>
        <v>GSM1930078</v>
      </c>
      <c r="I10429" t="s">
        <v>161</v>
      </c>
      <c r="J10429" t="s">
        <v>193</v>
      </c>
      <c r="K10429" t="s">
        <v>19</v>
      </c>
      <c r="L10429" t="s">
        <v>162</v>
      </c>
      <c r="M10429" t="s">
        <v>24</v>
      </c>
      <c r="N10429" t="s">
        <v>22</v>
      </c>
    </row>
    <row r="10430" spans="1:14">
      <c r="A10430" s="4" t="str">
        <f t="shared" si="929"/>
        <v>EXP00348</v>
      </c>
      <c r="B10430" s="4" t="str">
        <f t="shared" si="926"/>
        <v>26667932</v>
      </c>
      <c r="C10430" s="4" t="str">
        <f t="shared" si="927"/>
        <v>GSE74685</v>
      </c>
      <c r="D10430" s="1" t="s">
        <v>447</v>
      </c>
      <c r="E10430" t="s">
        <v>448</v>
      </c>
      <c r="F10430" s="1">
        <v>2</v>
      </c>
      <c r="G10430" s="1" t="s">
        <v>452</v>
      </c>
      <c r="H10430" s="4" t="str">
        <f>HYPERLINK("https://www.ncbi.nlm.nih.gov/geo/query/acc.cgi?acc=GSM1930083","GSM1930083")</f>
        <v>GSM1930083</v>
      </c>
      <c r="I10430" t="s">
        <v>161</v>
      </c>
      <c r="J10430" t="s">
        <v>193</v>
      </c>
      <c r="K10430" t="s">
        <v>19</v>
      </c>
      <c r="L10430" t="s">
        <v>162</v>
      </c>
      <c r="M10430" t="s">
        <v>24</v>
      </c>
      <c r="N10430" t="s">
        <v>22</v>
      </c>
    </row>
    <row r="10431" spans="1:14">
      <c r="A10431" s="4" t="str">
        <f t="shared" si="929"/>
        <v>EXP00348</v>
      </c>
      <c r="B10431" s="4" t="str">
        <f t="shared" si="926"/>
        <v>26667932</v>
      </c>
      <c r="C10431" s="4" t="str">
        <f t="shared" si="927"/>
        <v>GSE74685</v>
      </c>
      <c r="D10431" s="1" t="s">
        <v>447</v>
      </c>
      <c r="E10431" t="s">
        <v>448</v>
      </c>
      <c r="F10431" s="1">
        <v>2</v>
      </c>
      <c r="G10431" s="1" t="s">
        <v>452</v>
      </c>
      <c r="H10431" s="4" t="str">
        <f>HYPERLINK("https://www.ncbi.nlm.nih.gov/geo/query/acc.cgi?acc=GSM1930086","GSM1930086")</f>
        <v>GSM1930086</v>
      </c>
      <c r="I10431" t="s">
        <v>161</v>
      </c>
      <c r="J10431" t="s">
        <v>193</v>
      </c>
      <c r="K10431" t="s">
        <v>19</v>
      </c>
      <c r="L10431" t="s">
        <v>162</v>
      </c>
      <c r="M10431" t="s">
        <v>24</v>
      </c>
      <c r="N10431" t="s">
        <v>22</v>
      </c>
    </row>
    <row r="10432" spans="1:14">
      <c r="A10432" s="4" t="str">
        <f t="shared" si="929"/>
        <v>EXP00348</v>
      </c>
      <c r="B10432" s="4" t="str">
        <f t="shared" si="926"/>
        <v>26667932</v>
      </c>
      <c r="C10432" s="4" t="str">
        <f t="shared" si="927"/>
        <v>GSE74685</v>
      </c>
      <c r="D10432" s="1" t="s">
        <v>447</v>
      </c>
      <c r="E10432" t="s">
        <v>448</v>
      </c>
      <c r="F10432" s="1">
        <v>2</v>
      </c>
      <c r="G10432" s="1" t="s">
        <v>452</v>
      </c>
      <c r="H10432" s="4" t="str">
        <f>HYPERLINK("https://www.ncbi.nlm.nih.gov/geo/query/acc.cgi?acc=GSM1930089","GSM1930089")</f>
        <v>GSM1930089</v>
      </c>
      <c r="I10432" t="s">
        <v>161</v>
      </c>
      <c r="J10432" t="s">
        <v>193</v>
      </c>
      <c r="K10432" t="s">
        <v>19</v>
      </c>
      <c r="L10432" t="s">
        <v>162</v>
      </c>
      <c r="M10432" t="s">
        <v>24</v>
      </c>
      <c r="N10432" t="s">
        <v>22</v>
      </c>
    </row>
    <row r="10433" spans="1:14">
      <c r="A10433" s="4" t="str">
        <f t="shared" si="929"/>
        <v>EXP00348</v>
      </c>
      <c r="B10433" s="4" t="str">
        <f t="shared" ref="B10433:B10496" si="930">HYPERLINK("https://www.ncbi.nlm.nih.gov/pubmed/26667932","26667932")</f>
        <v>26667932</v>
      </c>
      <c r="C10433" s="4" t="str">
        <f t="shared" ref="C10433:C10496" si="931">HYPERLINK("https://www.ncbi.nlm.nih.gov/geo/query/acc.cgi?acc=GSE74685","GSE74685")</f>
        <v>GSE74685</v>
      </c>
      <c r="D10433" s="1" t="s">
        <v>447</v>
      </c>
      <c r="E10433" t="s">
        <v>448</v>
      </c>
      <c r="F10433" s="1">
        <v>2</v>
      </c>
      <c r="G10433" s="1" t="s">
        <v>452</v>
      </c>
      <c r="H10433" s="4" t="str">
        <f>HYPERLINK("https://www.ncbi.nlm.nih.gov/geo/query/acc.cgi?acc=GSM1930090","GSM1930090")</f>
        <v>GSM1930090</v>
      </c>
      <c r="I10433" t="s">
        <v>161</v>
      </c>
      <c r="J10433" t="s">
        <v>193</v>
      </c>
      <c r="K10433" t="s">
        <v>19</v>
      </c>
      <c r="L10433" t="s">
        <v>162</v>
      </c>
      <c r="M10433" t="s">
        <v>24</v>
      </c>
      <c r="N10433" t="s">
        <v>22</v>
      </c>
    </row>
    <row r="10434" spans="1:14">
      <c r="A10434" s="4" t="str">
        <f t="shared" si="929"/>
        <v>EXP00348</v>
      </c>
      <c r="B10434" s="4" t="str">
        <f t="shared" si="930"/>
        <v>26667932</v>
      </c>
      <c r="C10434" s="4" t="str">
        <f t="shared" si="931"/>
        <v>GSE74685</v>
      </c>
      <c r="D10434" s="1" t="s">
        <v>447</v>
      </c>
      <c r="E10434" t="s">
        <v>448</v>
      </c>
      <c r="F10434" s="1">
        <v>2</v>
      </c>
      <c r="G10434" s="1" t="s">
        <v>452</v>
      </c>
      <c r="H10434" s="4" t="str">
        <f>HYPERLINK("https://www.ncbi.nlm.nih.gov/geo/query/acc.cgi?acc=GSM1930091","GSM1930091")</f>
        <v>GSM1930091</v>
      </c>
      <c r="I10434" t="s">
        <v>161</v>
      </c>
      <c r="J10434" t="s">
        <v>193</v>
      </c>
      <c r="K10434" t="s">
        <v>19</v>
      </c>
      <c r="L10434" t="s">
        <v>162</v>
      </c>
      <c r="M10434" t="s">
        <v>24</v>
      </c>
      <c r="N10434" t="s">
        <v>22</v>
      </c>
    </row>
    <row r="10435" spans="1:14">
      <c r="A10435" s="4" t="str">
        <f t="shared" si="929"/>
        <v>EXP00348</v>
      </c>
      <c r="B10435" s="4" t="str">
        <f t="shared" si="930"/>
        <v>26667932</v>
      </c>
      <c r="C10435" s="4" t="str">
        <f t="shared" si="931"/>
        <v>GSE74685</v>
      </c>
      <c r="D10435" s="1" t="s">
        <v>447</v>
      </c>
      <c r="E10435" t="s">
        <v>448</v>
      </c>
      <c r="F10435" s="1">
        <v>2</v>
      </c>
      <c r="G10435" s="1" t="s">
        <v>452</v>
      </c>
      <c r="H10435" s="4" t="str">
        <f>HYPERLINK("https://www.ncbi.nlm.nih.gov/geo/query/acc.cgi?acc=GSM1930094","GSM1930094")</f>
        <v>GSM1930094</v>
      </c>
      <c r="I10435" t="s">
        <v>161</v>
      </c>
      <c r="J10435" t="s">
        <v>193</v>
      </c>
      <c r="K10435" t="s">
        <v>19</v>
      </c>
      <c r="L10435" t="s">
        <v>162</v>
      </c>
      <c r="M10435" t="s">
        <v>24</v>
      </c>
      <c r="N10435" t="s">
        <v>22</v>
      </c>
    </row>
    <row r="10436" spans="1:14">
      <c r="A10436" s="4" t="str">
        <f t="shared" si="929"/>
        <v>EXP00348</v>
      </c>
      <c r="B10436" s="4" t="str">
        <f t="shared" si="930"/>
        <v>26667932</v>
      </c>
      <c r="C10436" s="4" t="str">
        <f t="shared" si="931"/>
        <v>GSE74685</v>
      </c>
      <c r="D10436" s="1" t="s">
        <v>447</v>
      </c>
      <c r="E10436" t="s">
        <v>448</v>
      </c>
      <c r="F10436" s="1">
        <v>2</v>
      </c>
      <c r="G10436" s="1" t="s">
        <v>452</v>
      </c>
      <c r="H10436" s="4" t="str">
        <f>HYPERLINK("https://www.ncbi.nlm.nih.gov/geo/query/acc.cgi?acc=GSM1930095","GSM1930095")</f>
        <v>GSM1930095</v>
      </c>
      <c r="I10436" t="s">
        <v>161</v>
      </c>
      <c r="J10436" t="s">
        <v>193</v>
      </c>
      <c r="K10436" t="s">
        <v>19</v>
      </c>
      <c r="L10436" t="s">
        <v>162</v>
      </c>
      <c r="M10436" t="s">
        <v>24</v>
      </c>
      <c r="N10436" t="s">
        <v>22</v>
      </c>
    </row>
    <row r="10437" spans="1:14">
      <c r="A10437" s="4" t="str">
        <f t="shared" si="929"/>
        <v>EXP00348</v>
      </c>
      <c r="B10437" s="4" t="str">
        <f t="shared" si="930"/>
        <v>26667932</v>
      </c>
      <c r="C10437" s="4" t="str">
        <f t="shared" si="931"/>
        <v>GSE74685</v>
      </c>
      <c r="D10437" s="1" t="s">
        <v>447</v>
      </c>
      <c r="E10437" t="s">
        <v>448</v>
      </c>
      <c r="F10437" s="1">
        <v>2</v>
      </c>
      <c r="G10437" s="1" t="s">
        <v>452</v>
      </c>
      <c r="H10437" s="4" t="str">
        <f>HYPERLINK("https://www.ncbi.nlm.nih.gov/geo/query/acc.cgi?acc=GSM1930096","GSM1930096")</f>
        <v>GSM1930096</v>
      </c>
      <c r="I10437" t="s">
        <v>161</v>
      </c>
      <c r="J10437" t="s">
        <v>193</v>
      </c>
      <c r="K10437" t="s">
        <v>19</v>
      </c>
      <c r="L10437" t="s">
        <v>162</v>
      </c>
      <c r="M10437" t="s">
        <v>24</v>
      </c>
      <c r="N10437" t="s">
        <v>22</v>
      </c>
    </row>
    <row r="10438" spans="1:14">
      <c r="A10438" s="4" t="str">
        <f t="shared" si="929"/>
        <v>EXP00348</v>
      </c>
      <c r="B10438" s="4" t="str">
        <f t="shared" si="930"/>
        <v>26667932</v>
      </c>
      <c r="C10438" s="4" t="str">
        <f t="shared" si="931"/>
        <v>GSE74685</v>
      </c>
      <c r="D10438" s="1" t="s">
        <v>447</v>
      </c>
      <c r="E10438" t="s">
        <v>448</v>
      </c>
      <c r="F10438" s="1">
        <v>2</v>
      </c>
      <c r="G10438" s="1" t="s">
        <v>452</v>
      </c>
      <c r="H10438" s="4" t="str">
        <f>HYPERLINK("https://www.ncbi.nlm.nih.gov/geo/query/acc.cgi?acc=GSM1930097","GSM1930097")</f>
        <v>GSM1930097</v>
      </c>
      <c r="I10438" t="s">
        <v>161</v>
      </c>
      <c r="J10438" t="s">
        <v>193</v>
      </c>
      <c r="K10438" t="s">
        <v>19</v>
      </c>
      <c r="L10438" t="s">
        <v>162</v>
      </c>
      <c r="M10438" t="s">
        <v>24</v>
      </c>
      <c r="N10438" t="s">
        <v>22</v>
      </c>
    </row>
    <row r="10439" spans="1:14">
      <c r="A10439" s="4" t="str">
        <f t="shared" ref="A10439:A10464" si="932">HYPERLINK("http://hcmdb.i-sanger.com/experiment/details/experiment_id/EXP00348","EXP00348")</f>
        <v>EXP00348</v>
      </c>
      <c r="B10439" s="4" t="str">
        <f t="shared" si="930"/>
        <v>26667932</v>
      </c>
      <c r="C10439" s="4" t="str">
        <f t="shared" si="931"/>
        <v>GSE74685</v>
      </c>
      <c r="D10439" s="1" t="s">
        <v>447</v>
      </c>
      <c r="E10439" t="s">
        <v>448</v>
      </c>
      <c r="F10439" s="1">
        <v>2</v>
      </c>
      <c r="G10439" s="1" t="s">
        <v>452</v>
      </c>
      <c r="H10439" s="4" t="str">
        <f>HYPERLINK("https://www.ncbi.nlm.nih.gov/geo/query/acc.cgi?acc=GSM1930102","GSM1930102")</f>
        <v>GSM1930102</v>
      </c>
      <c r="I10439" t="s">
        <v>161</v>
      </c>
      <c r="J10439" t="s">
        <v>193</v>
      </c>
      <c r="K10439" t="s">
        <v>19</v>
      </c>
      <c r="L10439" t="s">
        <v>162</v>
      </c>
      <c r="M10439" t="s">
        <v>24</v>
      </c>
      <c r="N10439" t="s">
        <v>22</v>
      </c>
    </row>
    <row r="10440" spans="1:14">
      <c r="A10440" s="4" t="str">
        <f t="shared" si="932"/>
        <v>EXP00348</v>
      </c>
      <c r="B10440" s="4" t="str">
        <f t="shared" si="930"/>
        <v>26667932</v>
      </c>
      <c r="C10440" s="4" t="str">
        <f t="shared" si="931"/>
        <v>GSE74685</v>
      </c>
      <c r="D10440" s="1" t="s">
        <v>447</v>
      </c>
      <c r="E10440" t="s">
        <v>448</v>
      </c>
      <c r="F10440" s="1">
        <v>2</v>
      </c>
      <c r="G10440" s="1" t="s">
        <v>452</v>
      </c>
      <c r="H10440" s="4" t="str">
        <f>HYPERLINK("https://www.ncbi.nlm.nih.gov/geo/query/acc.cgi?acc=GSM1930104","GSM1930104")</f>
        <v>GSM1930104</v>
      </c>
      <c r="I10440" t="s">
        <v>161</v>
      </c>
      <c r="J10440" t="s">
        <v>193</v>
      </c>
      <c r="K10440" t="s">
        <v>19</v>
      </c>
      <c r="L10440" t="s">
        <v>162</v>
      </c>
      <c r="M10440" t="s">
        <v>24</v>
      </c>
      <c r="N10440" t="s">
        <v>22</v>
      </c>
    </row>
    <row r="10441" spans="1:14">
      <c r="A10441" s="4" t="str">
        <f t="shared" si="932"/>
        <v>EXP00348</v>
      </c>
      <c r="B10441" s="4" t="str">
        <f t="shared" si="930"/>
        <v>26667932</v>
      </c>
      <c r="C10441" s="4" t="str">
        <f t="shared" si="931"/>
        <v>GSE74685</v>
      </c>
      <c r="D10441" s="1" t="s">
        <v>447</v>
      </c>
      <c r="E10441" t="s">
        <v>448</v>
      </c>
      <c r="F10441" s="1">
        <v>2</v>
      </c>
      <c r="G10441" s="1" t="s">
        <v>452</v>
      </c>
      <c r="H10441" s="4" t="str">
        <f>HYPERLINK("https://www.ncbi.nlm.nih.gov/geo/query/acc.cgi?acc=GSM1930105","GSM1930105")</f>
        <v>GSM1930105</v>
      </c>
      <c r="I10441" t="s">
        <v>161</v>
      </c>
      <c r="J10441" t="s">
        <v>193</v>
      </c>
      <c r="K10441" t="s">
        <v>19</v>
      </c>
      <c r="L10441" t="s">
        <v>162</v>
      </c>
      <c r="M10441" t="s">
        <v>24</v>
      </c>
      <c r="N10441" t="s">
        <v>22</v>
      </c>
    </row>
    <row r="10442" spans="1:14">
      <c r="A10442" s="4" t="str">
        <f t="shared" si="932"/>
        <v>EXP00348</v>
      </c>
      <c r="B10442" s="4" t="str">
        <f t="shared" si="930"/>
        <v>26667932</v>
      </c>
      <c r="C10442" s="4" t="str">
        <f t="shared" si="931"/>
        <v>GSE74685</v>
      </c>
      <c r="D10442" s="1" t="s">
        <v>447</v>
      </c>
      <c r="E10442" t="s">
        <v>448</v>
      </c>
      <c r="F10442" s="1">
        <v>2</v>
      </c>
      <c r="G10442" s="1" t="s">
        <v>452</v>
      </c>
      <c r="H10442" s="4" t="str">
        <f>HYPERLINK("https://www.ncbi.nlm.nih.gov/geo/query/acc.cgi?acc=GSM1930106","GSM1930106")</f>
        <v>GSM1930106</v>
      </c>
      <c r="I10442" t="s">
        <v>161</v>
      </c>
      <c r="J10442" t="s">
        <v>193</v>
      </c>
      <c r="K10442" t="s">
        <v>19</v>
      </c>
      <c r="L10442" t="s">
        <v>162</v>
      </c>
      <c r="M10442" t="s">
        <v>24</v>
      </c>
      <c r="N10442" t="s">
        <v>22</v>
      </c>
    </row>
    <row r="10443" spans="1:14">
      <c r="A10443" s="4" t="str">
        <f t="shared" si="932"/>
        <v>EXP00348</v>
      </c>
      <c r="B10443" s="4" t="str">
        <f t="shared" si="930"/>
        <v>26667932</v>
      </c>
      <c r="C10443" s="4" t="str">
        <f t="shared" si="931"/>
        <v>GSE74685</v>
      </c>
      <c r="D10443" s="1" t="s">
        <v>447</v>
      </c>
      <c r="E10443" t="s">
        <v>448</v>
      </c>
      <c r="F10443" s="1">
        <v>2</v>
      </c>
      <c r="G10443" s="1" t="s">
        <v>452</v>
      </c>
      <c r="H10443" s="4" t="str">
        <f>HYPERLINK("https://www.ncbi.nlm.nih.gov/geo/query/acc.cgi?acc=GSM1930109","GSM1930109")</f>
        <v>GSM1930109</v>
      </c>
      <c r="I10443" t="s">
        <v>161</v>
      </c>
      <c r="J10443" t="s">
        <v>193</v>
      </c>
      <c r="K10443" t="s">
        <v>19</v>
      </c>
      <c r="L10443" t="s">
        <v>162</v>
      </c>
      <c r="M10443" t="s">
        <v>24</v>
      </c>
      <c r="N10443" t="s">
        <v>22</v>
      </c>
    </row>
    <row r="10444" spans="1:14">
      <c r="A10444" s="4" t="str">
        <f t="shared" si="932"/>
        <v>EXP00348</v>
      </c>
      <c r="B10444" s="4" t="str">
        <f t="shared" si="930"/>
        <v>26667932</v>
      </c>
      <c r="C10444" s="4" t="str">
        <f t="shared" si="931"/>
        <v>GSE74685</v>
      </c>
      <c r="D10444" s="1" t="s">
        <v>447</v>
      </c>
      <c r="E10444" t="s">
        <v>448</v>
      </c>
      <c r="F10444" s="1">
        <v>2</v>
      </c>
      <c r="G10444" s="1" t="s">
        <v>452</v>
      </c>
      <c r="H10444" s="4" t="str">
        <f>HYPERLINK("https://www.ncbi.nlm.nih.gov/geo/query/acc.cgi?acc=GSM1930114","GSM1930114")</f>
        <v>GSM1930114</v>
      </c>
      <c r="I10444" t="s">
        <v>161</v>
      </c>
      <c r="J10444" t="s">
        <v>193</v>
      </c>
      <c r="K10444" t="s">
        <v>19</v>
      </c>
      <c r="L10444" t="s">
        <v>162</v>
      </c>
      <c r="M10444" t="s">
        <v>24</v>
      </c>
      <c r="N10444" t="s">
        <v>22</v>
      </c>
    </row>
    <row r="10445" spans="1:14">
      <c r="A10445" s="4" t="str">
        <f t="shared" si="932"/>
        <v>EXP00348</v>
      </c>
      <c r="B10445" s="4" t="str">
        <f t="shared" si="930"/>
        <v>26667932</v>
      </c>
      <c r="C10445" s="4" t="str">
        <f t="shared" si="931"/>
        <v>GSE74685</v>
      </c>
      <c r="D10445" s="1" t="s">
        <v>447</v>
      </c>
      <c r="E10445" t="s">
        <v>448</v>
      </c>
      <c r="F10445" s="1">
        <v>2</v>
      </c>
      <c r="G10445" s="1" t="s">
        <v>452</v>
      </c>
      <c r="H10445" s="4" t="str">
        <f>HYPERLINK("https://www.ncbi.nlm.nih.gov/geo/query/acc.cgi?acc=GSM1930117","GSM1930117")</f>
        <v>GSM1930117</v>
      </c>
      <c r="I10445" t="s">
        <v>161</v>
      </c>
      <c r="J10445" t="s">
        <v>193</v>
      </c>
      <c r="K10445" t="s">
        <v>19</v>
      </c>
      <c r="L10445" t="s">
        <v>162</v>
      </c>
      <c r="M10445" t="s">
        <v>24</v>
      </c>
      <c r="N10445" t="s">
        <v>22</v>
      </c>
    </row>
    <row r="10446" spans="1:14">
      <c r="A10446" s="4" t="str">
        <f t="shared" si="932"/>
        <v>EXP00348</v>
      </c>
      <c r="B10446" s="4" t="str">
        <f t="shared" si="930"/>
        <v>26667932</v>
      </c>
      <c r="C10446" s="4" t="str">
        <f t="shared" si="931"/>
        <v>GSE74685</v>
      </c>
      <c r="D10446" s="1" t="s">
        <v>447</v>
      </c>
      <c r="E10446" t="s">
        <v>448</v>
      </c>
      <c r="F10446" s="1">
        <v>2</v>
      </c>
      <c r="G10446" s="1" t="s">
        <v>452</v>
      </c>
      <c r="H10446" s="4" t="str">
        <f>HYPERLINK("https://www.ncbi.nlm.nih.gov/geo/query/acc.cgi?acc=GSM1930118","GSM1930118")</f>
        <v>GSM1930118</v>
      </c>
      <c r="I10446" t="s">
        <v>161</v>
      </c>
      <c r="J10446" t="s">
        <v>193</v>
      </c>
      <c r="K10446" t="s">
        <v>19</v>
      </c>
      <c r="L10446" t="s">
        <v>162</v>
      </c>
      <c r="M10446" t="s">
        <v>24</v>
      </c>
      <c r="N10446" t="s">
        <v>22</v>
      </c>
    </row>
    <row r="10447" spans="1:14">
      <c r="A10447" s="4" t="str">
        <f t="shared" si="932"/>
        <v>EXP00348</v>
      </c>
      <c r="B10447" s="4" t="str">
        <f t="shared" si="930"/>
        <v>26667932</v>
      </c>
      <c r="C10447" s="4" t="str">
        <f t="shared" si="931"/>
        <v>GSE74685</v>
      </c>
      <c r="D10447" s="1" t="s">
        <v>447</v>
      </c>
      <c r="E10447" t="s">
        <v>448</v>
      </c>
      <c r="F10447" s="1">
        <v>2</v>
      </c>
      <c r="G10447" s="1" t="s">
        <v>452</v>
      </c>
      <c r="H10447" s="4" t="str">
        <f>HYPERLINK("https://www.ncbi.nlm.nih.gov/geo/query/acc.cgi?acc=GSM1930121","GSM1930121")</f>
        <v>GSM1930121</v>
      </c>
      <c r="I10447" t="s">
        <v>161</v>
      </c>
      <c r="J10447" t="s">
        <v>193</v>
      </c>
      <c r="K10447" t="s">
        <v>19</v>
      </c>
      <c r="L10447" t="s">
        <v>162</v>
      </c>
      <c r="M10447" t="s">
        <v>24</v>
      </c>
      <c r="N10447" t="s">
        <v>22</v>
      </c>
    </row>
    <row r="10448" spans="1:14">
      <c r="A10448" s="4" t="str">
        <f t="shared" si="932"/>
        <v>EXP00348</v>
      </c>
      <c r="B10448" s="4" t="str">
        <f t="shared" si="930"/>
        <v>26667932</v>
      </c>
      <c r="C10448" s="4" t="str">
        <f t="shared" si="931"/>
        <v>GSE74685</v>
      </c>
      <c r="D10448" s="1" t="s">
        <v>447</v>
      </c>
      <c r="E10448" t="s">
        <v>448</v>
      </c>
      <c r="F10448" s="1">
        <v>2</v>
      </c>
      <c r="G10448" s="1" t="s">
        <v>452</v>
      </c>
      <c r="H10448" s="4" t="str">
        <f>HYPERLINK("https://www.ncbi.nlm.nih.gov/geo/query/acc.cgi?acc=GSM1930123","GSM1930123")</f>
        <v>GSM1930123</v>
      </c>
      <c r="I10448" t="s">
        <v>161</v>
      </c>
      <c r="J10448" t="s">
        <v>193</v>
      </c>
      <c r="K10448" t="s">
        <v>19</v>
      </c>
      <c r="L10448" t="s">
        <v>162</v>
      </c>
      <c r="M10448" t="s">
        <v>24</v>
      </c>
      <c r="N10448" t="s">
        <v>22</v>
      </c>
    </row>
    <row r="10449" spans="1:14">
      <c r="A10449" s="4" t="str">
        <f t="shared" si="932"/>
        <v>EXP00348</v>
      </c>
      <c r="B10449" s="4" t="str">
        <f t="shared" si="930"/>
        <v>26667932</v>
      </c>
      <c r="C10449" s="4" t="str">
        <f t="shared" si="931"/>
        <v>GSE74685</v>
      </c>
      <c r="D10449" s="1" t="s">
        <v>447</v>
      </c>
      <c r="E10449" t="s">
        <v>448</v>
      </c>
      <c r="F10449" s="1">
        <v>2</v>
      </c>
      <c r="G10449" s="1" t="s">
        <v>452</v>
      </c>
      <c r="H10449" s="4" t="str">
        <f>HYPERLINK("https://www.ncbi.nlm.nih.gov/geo/query/acc.cgi?acc=GSM1930124","GSM1930124")</f>
        <v>GSM1930124</v>
      </c>
      <c r="I10449" t="s">
        <v>161</v>
      </c>
      <c r="J10449" t="s">
        <v>193</v>
      </c>
      <c r="K10449" t="s">
        <v>19</v>
      </c>
      <c r="L10449" t="s">
        <v>162</v>
      </c>
      <c r="M10449" t="s">
        <v>24</v>
      </c>
      <c r="N10449" t="s">
        <v>22</v>
      </c>
    </row>
    <row r="10450" spans="1:14">
      <c r="A10450" s="4" t="str">
        <f t="shared" si="932"/>
        <v>EXP00348</v>
      </c>
      <c r="B10450" s="4" t="str">
        <f t="shared" si="930"/>
        <v>26667932</v>
      </c>
      <c r="C10450" s="4" t="str">
        <f t="shared" si="931"/>
        <v>GSE74685</v>
      </c>
      <c r="D10450" s="1" t="s">
        <v>447</v>
      </c>
      <c r="E10450" t="s">
        <v>448</v>
      </c>
      <c r="F10450" s="1">
        <v>2</v>
      </c>
      <c r="G10450" s="1" t="s">
        <v>452</v>
      </c>
      <c r="H10450" s="4" t="str">
        <f>HYPERLINK("https://www.ncbi.nlm.nih.gov/geo/query/acc.cgi?acc=GSM1930125","GSM1930125")</f>
        <v>GSM1930125</v>
      </c>
      <c r="I10450" t="s">
        <v>161</v>
      </c>
      <c r="J10450" t="s">
        <v>193</v>
      </c>
      <c r="K10450" t="s">
        <v>19</v>
      </c>
      <c r="L10450" t="s">
        <v>162</v>
      </c>
      <c r="M10450" t="s">
        <v>24</v>
      </c>
      <c r="N10450" t="s">
        <v>22</v>
      </c>
    </row>
    <row r="10451" spans="1:14">
      <c r="A10451" s="4" t="str">
        <f t="shared" si="932"/>
        <v>EXP00348</v>
      </c>
      <c r="B10451" s="4" t="str">
        <f t="shared" si="930"/>
        <v>26667932</v>
      </c>
      <c r="C10451" s="4" t="str">
        <f t="shared" si="931"/>
        <v>GSE74685</v>
      </c>
      <c r="D10451" s="1" t="s">
        <v>447</v>
      </c>
      <c r="E10451" t="s">
        <v>448</v>
      </c>
      <c r="F10451" s="1">
        <v>2</v>
      </c>
      <c r="G10451" s="1" t="s">
        <v>452</v>
      </c>
      <c r="H10451" s="4" t="str">
        <f>HYPERLINK("https://www.ncbi.nlm.nih.gov/geo/query/acc.cgi?acc=GSM1930127","GSM1930127")</f>
        <v>GSM1930127</v>
      </c>
      <c r="I10451" t="s">
        <v>161</v>
      </c>
      <c r="J10451" t="s">
        <v>193</v>
      </c>
      <c r="K10451" t="s">
        <v>19</v>
      </c>
      <c r="L10451" t="s">
        <v>162</v>
      </c>
      <c r="M10451" t="s">
        <v>24</v>
      </c>
      <c r="N10451" t="s">
        <v>22</v>
      </c>
    </row>
    <row r="10452" spans="1:14">
      <c r="A10452" s="4" t="str">
        <f t="shared" si="932"/>
        <v>EXP00348</v>
      </c>
      <c r="B10452" s="4" t="str">
        <f t="shared" si="930"/>
        <v>26667932</v>
      </c>
      <c r="C10452" s="4" t="str">
        <f t="shared" si="931"/>
        <v>GSE74685</v>
      </c>
      <c r="D10452" s="1" t="s">
        <v>447</v>
      </c>
      <c r="E10452" t="s">
        <v>448</v>
      </c>
      <c r="F10452" s="1">
        <v>2</v>
      </c>
      <c r="G10452" s="1" t="s">
        <v>452</v>
      </c>
      <c r="H10452" s="4" t="str">
        <f>HYPERLINK("https://www.ncbi.nlm.nih.gov/geo/query/acc.cgi?acc=GSM1930128","GSM1930128")</f>
        <v>GSM1930128</v>
      </c>
      <c r="I10452" t="s">
        <v>161</v>
      </c>
      <c r="J10452" t="s">
        <v>193</v>
      </c>
      <c r="K10452" t="s">
        <v>19</v>
      </c>
      <c r="L10452" t="s">
        <v>162</v>
      </c>
      <c r="M10452" t="s">
        <v>24</v>
      </c>
      <c r="N10452" t="s">
        <v>22</v>
      </c>
    </row>
    <row r="10453" spans="1:14">
      <c r="A10453" s="4" t="str">
        <f t="shared" si="932"/>
        <v>EXP00348</v>
      </c>
      <c r="B10453" s="4" t="str">
        <f t="shared" si="930"/>
        <v>26667932</v>
      </c>
      <c r="C10453" s="4" t="str">
        <f t="shared" si="931"/>
        <v>GSE74685</v>
      </c>
      <c r="D10453" s="1" t="s">
        <v>447</v>
      </c>
      <c r="E10453" t="s">
        <v>448</v>
      </c>
      <c r="F10453" s="1">
        <v>2</v>
      </c>
      <c r="G10453" s="1" t="s">
        <v>452</v>
      </c>
      <c r="H10453" s="4" t="str">
        <f>HYPERLINK("https://www.ncbi.nlm.nih.gov/geo/query/acc.cgi?acc=GSM1930130","GSM1930130")</f>
        <v>GSM1930130</v>
      </c>
      <c r="I10453" t="s">
        <v>161</v>
      </c>
      <c r="J10453" t="s">
        <v>193</v>
      </c>
      <c r="K10453" t="s">
        <v>19</v>
      </c>
      <c r="L10453" t="s">
        <v>162</v>
      </c>
      <c r="M10453" t="s">
        <v>24</v>
      </c>
      <c r="N10453" t="s">
        <v>22</v>
      </c>
    </row>
    <row r="10454" spans="1:14">
      <c r="A10454" s="4" t="str">
        <f t="shared" si="932"/>
        <v>EXP00348</v>
      </c>
      <c r="B10454" s="4" t="str">
        <f t="shared" si="930"/>
        <v>26667932</v>
      </c>
      <c r="C10454" s="4" t="str">
        <f t="shared" si="931"/>
        <v>GSE74685</v>
      </c>
      <c r="D10454" s="1" t="s">
        <v>447</v>
      </c>
      <c r="E10454" t="s">
        <v>448</v>
      </c>
      <c r="F10454" s="1">
        <v>2</v>
      </c>
      <c r="G10454" s="1" t="s">
        <v>452</v>
      </c>
      <c r="H10454" s="4" t="str">
        <f>HYPERLINK("https://www.ncbi.nlm.nih.gov/geo/query/acc.cgi?acc=GSM1930132","GSM1930132")</f>
        <v>GSM1930132</v>
      </c>
      <c r="I10454" t="s">
        <v>161</v>
      </c>
      <c r="J10454" t="s">
        <v>193</v>
      </c>
      <c r="K10454" t="s">
        <v>19</v>
      </c>
      <c r="L10454" t="s">
        <v>162</v>
      </c>
      <c r="M10454" t="s">
        <v>24</v>
      </c>
      <c r="N10454" t="s">
        <v>22</v>
      </c>
    </row>
    <row r="10455" spans="1:14">
      <c r="A10455" s="4" t="str">
        <f t="shared" si="932"/>
        <v>EXP00348</v>
      </c>
      <c r="B10455" s="4" t="str">
        <f t="shared" si="930"/>
        <v>26667932</v>
      </c>
      <c r="C10455" s="4" t="str">
        <f t="shared" si="931"/>
        <v>GSE74685</v>
      </c>
      <c r="D10455" s="1" t="s">
        <v>447</v>
      </c>
      <c r="E10455" t="s">
        <v>448</v>
      </c>
      <c r="F10455" s="1">
        <v>2</v>
      </c>
      <c r="G10455" s="1" t="s">
        <v>452</v>
      </c>
      <c r="H10455" s="4" t="str">
        <f>HYPERLINK("https://www.ncbi.nlm.nih.gov/geo/query/acc.cgi?acc=GSM1930139","GSM1930139")</f>
        <v>GSM1930139</v>
      </c>
      <c r="I10455" t="s">
        <v>161</v>
      </c>
      <c r="J10455" t="s">
        <v>193</v>
      </c>
      <c r="K10455" t="s">
        <v>19</v>
      </c>
      <c r="L10455" t="s">
        <v>162</v>
      </c>
      <c r="M10455" t="s">
        <v>24</v>
      </c>
      <c r="N10455" t="s">
        <v>22</v>
      </c>
    </row>
    <row r="10456" spans="1:14">
      <c r="A10456" s="4" t="str">
        <f t="shared" si="932"/>
        <v>EXP00348</v>
      </c>
      <c r="B10456" s="4" t="str">
        <f t="shared" si="930"/>
        <v>26667932</v>
      </c>
      <c r="C10456" s="4" t="str">
        <f t="shared" si="931"/>
        <v>GSE74685</v>
      </c>
      <c r="D10456" s="1" t="s">
        <v>447</v>
      </c>
      <c r="E10456" t="s">
        <v>448</v>
      </c>
      <c r="F10456" s="1">
        <v>2</v>
      </c>
      <c r="G10456" s="1" t="s">
        <v>452</v>
      </c>
      <c r="H10456" s="4" t="str">
        <f>HYPERLINK("https://www.ncbi.nlm.nih.gov/geo/query/acc.cgi?acc=GSM1930146","GSM1930146")</f>
        <v>GSM1930146</v>
      </c>
      <c r="I10456" t="s">
        <v>161</v>
      </c>
      <c r="J10456" t="s">
        <v>193</v>
      </c>
      <c r="K10456" t="s">
        <v>19</v>
      </c>
      <c r="L10456" t="s">
        <v>162</v>
      </c>
      <c r="M10456" t="s">
        <v>24</v>
      </c>
      <c r="N10456" t="s">
        <v>22</v>
      </c>
    </row>
    <row r="10457" spans="1:14">
      <c r="A10457" s="4" t="str">
        <f t="shared" si="932"/>
        <v>EXP00348</v>
      </c>
      <c r="B10457" s="4" t="str">
        <f t="shared" si="930"/>
        <v>26667932</v>
      </c>
      <c r="C10457" s="4" t="str">
        <f t="shared" si="931"/>
        <v>GSE74685</v>
      </c>
      <c r="D10457" s="1" t="s">
        <v>447</v>
      </c>
      <c r="E10457" t="s">
        <v>448</v>
      </c>
      <c r="F10457" s="1">
        <v>2</v>
      </c>
      <c r="G10457" s="1" t="s">
        <v>452</v>
      </c>
      <c r="H10457" s="4" t="str">
        <f>HYPERLINK("https://www.ncbi.nlm.nih.gov/geo/query/acc.cgi?acc=GSM1930147","GSM1930147")</f>
        <v>GSM1930147</v>
      </c>
      <c r="I10457" t="s">
        <v>161</v>
      </c>
      <c r="J10457" t="s">
        <v>193</v>
      </c>
      <c r="K10457" t="s">
        <v>19</v>
      </c>
      <c r="L10457" t="s">
        <v>162</v>
      </c>
      <c r="M10457" t="s">
        <v>24</v>
      </c>
      <c r="N10457" t="s">
        <v>22</v>
      </c>
    </row>
    <row r="10458" spans="1:14">
      <c r="A10458" s="4" t="str">
        <f t="shared" si="932"/>
        <v>EXP00348</v>
      </c>
      <c r="B10458" s="4" t="str">
        <f t="shared" si="930"/>
        <v>26667932</v>
      </c>
      <c r="C10458" s="4" t="str">
        <f t="shared" si="931"/>
        <v>GSE74685</v>
      </c>
      <c r="D10458" s="1" t="s">
        <v>447</v>
      </c>
      <c r="E10458" t="s">
        <v>448</v>
      </c>
      <c r="F10458" s="1">
        <v>2</v>
      </c>
      <c r="G10458" s="1" t="s">
        <v>452</v>
      </c>
      <c r="H10458" s="4" t="str">
        <f>HYPERLINK("https://www.ncbi.nlm.nih.gov/geo/query/acc.cgi?acc=GSM1930148","GSM1930148")</f>
        <v>GSM1930148</v>
      </c>
      <c r="I10458" t="s">
        <v>161</v>
      </c>
      <c r="J10458" t="s">
        <v>193</v>
      </c>
      <c r="K10458" t="s">
        <v>19</v>
      </c>
      <c r="L10458" t="s">
        <v>162</v>
      </c>
      <c r="M10458" t="s">
        <v>24</v>
      </c>
      <c r="N10458" t="s">
        <v>22</v>
      </c>
    </row>
    <row r="10459" spans="1:14">
      <c r="A10459" s="4" t="str">
        <f t="shared" si="932"/>
        <v>EXP00348</v>
      </c>
      <c r="B10459" s="4" t="str">
        <f t="shared" si="930"/>
        <v>26667932</v>
      </c>
      <c r="C10459" s="4" t="str">
        <f t="shared" si="931"/>
        <v>GSE74685</v>
      </c>
      <c r="D10459" s="1" t="s">
        <v>447</v>
      </c>
      <c r="E10459" t="s">
        <v>448</v>
      </c>
      <c r="F10459" s="1">
        <v>2</v>
      </c>
      <c r="G10459" s="1" t="s">
        <v>452</v>
      </c>
      <c r="H10459" s="4" t="str">
        <f>HYPERLINK("https://www.ncbi.nlm.nih.gov/geo/query/acc.cgi?acc=GSM1930149","GSM1930149")</f>
        <v>GSM1930149</v>
      </c>
      <c r="I10459" t="s">
        <v>161</v>
      </c>
      <c r="J10459" t="s">
        <v>193</v>
      </c>
      <c r="K10459" t="s">
        <v>19</v>
      </c>
      <c r="L10459" t="s">
        <v>162</v>
      </c>
      <c r="M10459" t="s">
        <v>24</v>
      </c>
      <c r="N10459" t="s">
        <v>22</v>
      </c>
    </row>
    <row r="10460" spans="1:14">
      <c r="A10460" s="4" t="str">
        <f t="shared" si="932"/>
        <v>EXP00348</v>
      </c>
      <c r="B10460" s="4" t="str">
        <f t="shared" si="930"/>
        <v>26667932</v>
      </c>
      <c r="C10460" s="4" t="str">
        <f t="shared" si="931"/>
        <v>GSE74685</v>
      </c>
      <c r="D10460" s="1" t="s">
        <v>447</v>
      </c>
      <c r="E10460" t="s">
        <v>448</v>
      </c>
      <c r="F10460" s="1">
        <v>2</v>
      </c>
      <c r="G10460" s="1" t="s">
        <v>452</v>
      </c>
      <c r="H10460" s="4" t="str">
        <f>HYPERLINK("https://www.ncbi.nlm.nih.gov/geo/query/acc.cgi?acc=GSM1930152","GSM1930152")</f>
        <v>GSM1930152</v>
      </c>
      <c r="I10460" t="s">
        <v>161</v>
      </c>
      <c r="J10460" t="s">
        <v>193</v>
      </c>
      <c r="K10460" t="s">
        <v>19</v>
      </c>
      <c r="L10460" t="s">
        <v>162</v>
      </c>
      <c r="M10460" t="s">
        <v>24</v>
      </c>
      <c r="N10460" t="s">
        <v>22</v>
      </c>
    </row>
    <row r="10461" spans="1:14">
      <c r="A10461" s="4" t="str">
        <f t="shared" si="932"/>
        <v>EXP00348</v>
      </c>
      <c r="B10461" s="4" t="str">
        <f t="shared" si="930"/>
        <v>26667932</v>
      </c>
      <c r="C10461" s="4" t="str">
        <f t="shared" si="931"/>
        <v>GSE74685</v>
      </c>
      <c r="D10461" s="1" t="s">
        <v>447</v>
      </c>
      <c r="E10461" t="s">
        <v>448</v>
      </c>
      <c r="F10461" s="1">
        <v>2</v>
      </c>
      <c r="G10461" s="1" t="s">
        <v>452</v>
      </c>
      <c r="H10461" s="4" t="str">
        <f>HYPERLINK("https://www.ncbi.nlm.nih.gov/geo/query/acc.cgi?acc=GSM1930156","GSM1930156")</f>
        <v>GSM1930156</v>
      </c>
      <c r="I10461" t="s">
        <v>161</v>
      </c>
      <c r="J10461" t="s">
        <v>193</v>
      </c>
      <c r="K10461" t="s">
        <v>19</v>
      </c>
      <c r="L10461" t="s">
        <v>162</v>
      </c>
      <c r="M10461" t="s">
        <v>24</v>
      </c>
      <c r="N10461" t="s">
        <v>22</v>
      </c>
    </row>
    <row r="10462" spans="1:14">
      <c r="A10462" s="4" t="str">
        <f t="shared" si="932"/>
        <v>EXP00348</v>
      </c>
      <c r="B10462" s="4" t="str">
        <f t="shared" si="930"/>
        <v>26667932</v>
      </c>
      <c r="C10462" s="4" t="str">
        <f t="shared" si="931"/>
        <v>GSE74685</v>
      </c>
      <c r="D10462" s="1" t="s">
        <v>447</v>
      </c>
      <c r="E10462" t="s">
        <v>448</v>
      </c>
      <c r="F10462" s="1">
        <v>2</v>
      </c>
      <c r="G10462" s="1" t="s">
        <v>452</v>
      </c>
      <c r="H10462" s="4" t="str">
        <f>HYPERLINK("https://www.ncbi.nlm.nih.gov/geo/query/acc.cgi?acc=GSM1930157","GSM1930157")</f>
        <v>GSM1930157</v>
      </c>
      <c r="I10462" t="s">
        <v>161</v>
      </c>
      <c r="J10462" t="s">
        <v>193</v>
      </c>
      <c r="K10462" t="s">
        <v>19</v>
      </c>
      <c r="L10462" t="s">
        <v>162</v>
      </c>
      <c r="M10462" t="s">
        <v>24</v>
      </c>
      <c r="N10462" t="s">
        <v>22</v>
      </c>
    </row>
    <row r="10463" spans="1:14">
      <c r="A10463" s="4" t="str">
        <f t="shared" si="932"/>
        <v>EXP00348</v>
      </c>
      <c r="B10463" s="4" t="str">
        <f t="shared" si="930"/>
        <v>26667932</v>
      </c>
      <c r="C10463" s="4" t="str">
        <f t="shared" si="931"/>
        <v>GSE74685</v>
      </c>
      <c r="D10463" s="1" t="s">
        <v>447</v>
      </c>
      <c r="E10463" t="s">
        <v>448</v>
      </c>
      <c r="F10463" s="1">
        <v>2</v>
      </c>
      <c r="G10463" s="1" t="s">
        <v>452</v>
      </c>
      <c r="H10463" s="4" t="str">
        <f>HYPERLINK("https://www.ncbi.nlm.nih.gov/geo/query/acc.cgi?acc=GSM1930158","GSM1930158")</f>
        <v>GSM1930158</v>
      </c>
      <c r="I10463" t="s">
        <v>161</v>
      </c>
      <c r="J10463" t="s">
        <v>193</v>
      </c>
      <c r="K10463" t="s">
        <v>19</v>
      </c>
      <c r="L10463" t="s">
        <v>162</v>
      </c>
      <c r="M10463" t="s">
        <v>24</v>
      </c>
      <c r="N10463" t="s">
        <v>22</v>
      </c>
    </row>
    <row r="10464" spans="1:14">
      <c r="A10464" s="4" t="str">
        <f t="shared" si="932"/>
        <v>EXP00348</v>
      </c>
      <c r="B10464" s="4" t="str">
        <f t="shared" si="930"/>
        <v>26667932</v>
      </c>
      <c r="C10464" s="4" t="str">
        <f t="shared" si="931"/>
        <v>GSE74685</v>
      </c>
      <c r="D10464" s="1" t="s">
        <v>447</v>
      </c>
      <c r="E10464" t="s">
        <v>448</v>
      </c>
      <c r="F10464" s="1">
        <v>2</v>
      </c>
      <c r="G10464" s="1" t="s">
        <v>452</v>
      </c>
      <c r="H10464" s="4" t="str">
        <f>HYPERLINK("https://www.ncbi.nlm.nih.gov/geo/query/acc.cgi?acc=GSM1930159","GSM1930159")</f>
        <v>GSM1930159</v>
      </c>
      <c r="I10464" t="s">
        <v>161</v>
      </c>
      <c r="J10464" t="s">
        <v>193</v>
      </c>
      <c r="K10464" t="s">
        <v>19</v>
      </c>
      <c r="L10464" t="s">
        <v>162</v>
      </c>
      <c r="M10464" t="s">
        <v>24</v>
      </c>
      <c r="N10464" t="s">
        <v>22</v>
      </c>
    </row>
    <row r="10465" spans="1:14">
      <c r="A10465" s="4" t="str">
        <f t="shared" ref="A10465:A10488" si="933">HYPERLINK("http://hcmdb.i-sanger.com/experiment/details/experiment_id/EXP00349","EXP00349")</f>
        <v>EXP00349</v>
      </c>
      <c r="B10465" s="4" t="str">
        <f t="shared" si="930"/>
        <v>26667932</v>
      </c>
      <c r="C10465" s="4" t="str">
        <f t="shared" si="931"/>
        <v>GSE74685</v>
      </c>
      <c r="D10465" s="1" t="s">
        <v>447</v>
      </c>
      <c r="E10465" t="s">
        <v>448</v>
      </c>
      <c r="F10465" s="1">
        <v>1</v>
      </c>
      <c r="G10465" s="1" t="s">
        <v>450</v>
      </c>
      <c r="H10465" s="4" t="str">
        <f>HYPERLINK("https://www.ncbi.nlm.nih.gov/geo/query/acc.cgi?acc=GSM1616614","GSM1616614")</f>
        <v>GSM1616614</v>
      </c>
      <c r="I10465" t="s">
        <v>161</v>
      </c>
      <c r="J10465" t="s">
        <v>193</v>
      </c>
      <c r="K10465" t="s">
        <v>19</v>
      </c>
      <c r="L10465" t="s">
        <v>162</v>
      </c>
      <c r="M10465" t="s">
        <v>44</v>
      </c>
      <c r="N10465" t="s">
        <v>22</v>
      </c>
    </row>
    <row r="10466" spans="1:14">
      <c r="A10466" s="4" t="str">
        <f t="shared" si="933"/>
        <v>EXP00349</v>
      </c>
      <c r="B10466" s="4" t="str">
        <f t="shared" si="930"/>
        <v>26667932</v>
      </c>
      <c r="C10466" s="4" t="str">
        <f t="shared" si="931"/>
        <v>GSE74685</v>
      </c>
      <c r="D10466" s="1" t="s">
        <v>447</v>
      </c>
      <c r="E10466" t="s">
        <v>448</v>
      </c>
      <c r="F10466" s="1">
        <v>1</v>
      </c>
      <c r="G10466" s="1" t="s">
        <v>450</v>
      </c>
      <c r="H10466" s="4" t="str">
        <f>HYPERLINK("https://www.ncbi.nlm.nih.gov/geo/query/acc.cgi?acc=GSM1616618","GSM1616618")</f>
        <v>GSM1616618</v>
      </c>
      <c r="I10466" t="s">
        <v>161</v>
      </c>
      <c r="J10466" t="s">
        <v>193</v>
      </c>
      <c r="K10466" t="s">
        <v>19</v>
      </c>
      <c r="L10466" t="s">
        <v>162</v>
      </c>
      <c r="M10466" t="s">
        <v>44</v>
      </c>
      <c r="N10466" t="s">
        <v>22</v>
      </c>
    </row>
    <row r="10467" spans="1:14">
      <c r="A10467" s="4" t="str">
        <f t="shared" si="933"/>
        <v>EXP00349</v>
      </c>
      <c r="B10467" s="4" t="str">
        <f t="shared" si="930"/>
        <v>26667932</v>
      </c>
      <c r="C10467" s="4" t="str">
        <f t="shared" si="931"/>
        <v>GSE74685</v>
      </c>
      <c r="D10467" s="1" t="s">
        <v>447</v>
      </c>
      <c r="E10467" t="s">
        <v>448</v>
      </c>
      <c r="F10467" s="1">
        <v>1</v>
      </c>
      <c r="G10467" s="1" t="s">
        <v>450</v>
      </c>
      <c r="H10467" s="4" t="str">
        <f>HYPERLINK("https://www.ncbi.nlm.nih.gov/geo/query/acc.cgi?acc=GSM1616621","GSM1616621")</f>
        <v>GSM1616621</v>
      </c>
      <c r="I10467" t="s">
        <v>161</v>
      </c>
      <c r="J10467" t="s">
        <v>193</v>
      </c>
      <c r="K10467" t="s">
        <v>19</v>
      </c>
      <c r="L10467" t="s">
        <v>162</v>
      </c>
      <c r="M10467" t="s">
        <v>44</v>
      </c>
      <c r="N10467" t="s">
        <v>22</v>
      </c>
    </row>
    <row r="10468" spans="1:14">
      <c r="A10468" s="4" t="str">
        <f t="shared" si="933"/>
        <v>EXP00349</v>
      </c>
      <c r="B10468" s="4" t="str">
        <f t="shared" si="930"/>
        <v>26667932</v>
      </c>
      <c r="C10468" s="4" t="str">
        <f t="shared" si="931"/>
        <v>GSE74685</v>
      </c>
      <c r="D10468" s="1" t="s">
        <v>447</v>
      </c>
      <c r="E10468" t="s">
        <v>448</v>
      </c>
      <c r="F10468" s="1">
        <v>1</v>
      </c>
      <c r="G10468" s="1" t="s">
        <v>450</v>
      </c>
      <c r="H10468" s="4" t="str">
        <f>HYPERLINK("https://www.ncbi.nlm.nih.gov/geo/query/acc.cgi?acc=GSM1616623","GSM1616623")</f>
        <v>GSM1616623</v>
      </c>
      <c r="I10468" t="s">
        <v>161</v>
      </c>
      <c r="J10468" t="s">
        <v>193</v>
      </c>
      <c r="K10468" t="s">
        <v>19</v>
      </c>
      <c r="L10468" t="s">
        <v>162</v>
      </c>
      <c r="M10468" t="s">
        <v>44</v>
      </c>
      <c r="N10468" t="s">
        <v>22</v>
      </c>
    </row>
    <row r="10469" spans="1:14">
      <c r="A10469" s="4" t="str">
        <f t="shared" si="933"/>
        <v>EXP00349</v>
      </c>
      <c r="B10469" s="4" t="str">
        <f t="shared" si="930"/>
        <v>26667932</v>
      </c>
      <c r="C10469" s="4" t="str">
        <f t="shared" si="931"/>
        <v>GSE74685</v>
      </c>
      <c r="D10469" s="1" t="s">
        <v>447</v>
      </c>
      <c r="E10469" t="s">
        <v>448</v>
      </c>
      <c r="F10469" s="1">
        <v>1</v>
      </c>
      <c r="G10469" s="1" t="s">
        <v>450</v>
      </c>
      <c r="H10469" s="4" t="str">
        <f>HYPERLINK("https://www.ncbi.nlm.nih.gov/geo/query/acc.cgi?acc=GSM1616628","GSM1616628")</f>
        <v>GSM1616628</v>
      </c>
      <c r="I10469" t="s">
        <v>161</v>
      </c>
      <c r="J10469" t="s">
        <v>193</v>
      </c>
      <c r="K10469" t="s">
        <v>19</v>
      </c>
      <c r="L10469" t="s">
        <v>162</v>
      </c>
      <c r="M10469" t="s">
        <v>44</v>
      </c>
      <c r="N10469" t="s">
        <v>22</v>
      </c>
    </row>
    <row r="10470" spans="1:14">
      <c r="A10470" s="4" t="str">
        <f t="shared" si="933"/>
        <v>EXP00349</v>
      </c>
      <c r="B10470" s="4" t="str">
        <f t="shared" si="930"/>
        <v>26667932</v>
      </c>
      <c r="C10470" s="4" t="str">
        <f t="shared" si="931"/>
        <v>GSE74685</v>
      </c>
      <c r="D10470" s="1" t="s">
        <v>447</v>
      </c>
      <c r="E10470" t="s">
        <v>448</v>
      </c>
      <c r="F10470" s="1">
        <v>1</v>
      </c>
      <c r="G10470" s="1" t="s">
        <v>450</v>
      </c>
      <c r="H10470" s="4" t="str">
        <f>HYPERLINK("https://www.ncbi.nlm.nih.gov/geo/query/acc.cgi?acc=GSM1616629","GSM1616629")</f>
        <v>GSM1616629</v>
      </c>
      <c r="I10470" t="s">
        <v>161</v>
      </c>
      <c r="J10470" t="s">
        <v>193</v>
      </c>
      <c r="K10470" t="s">
        <v>19</v>
      </c>
      <c r="L10470" t="s">
        <v>162</v>
      </c>
      <c r="M10470" t="s">
        <v>44</v>
      </c>
      <c r="N10470" t="s">
        <v>22</v>
      </c>
    </row>
    <row r="10471" spans="1:14">
      <c r="A10471" s="4" t="str">
        <f t="shared" si="933"/>
        <v>EXP00349</v>
      </c>
      <c r="B10471" s="4" t="str">
        <f t="shared" si="930"/>
        <v>26667932</v>
      </c>
      <c r="C10471" s="4" t="str">
        <f t="shared" si="931"/>
        <v>GSE74685</v>
      </c>
      <c r="D10471" s="1" t="s">
        <v>447</v>
      </c>
      <c r="E10471" t="s">
        <v>448</v>
      </c>
      <c r="F10471" s="1">
        <v>1</v>
      </c>
      <c r="G10471" s="1" t="s">
        <v>450</v>
      </c>
      <c r="H10471" s="4" t="str">
        <f>HYPERLINK("https://www.ncbi.nlm.nih.gov/geo/query/acc.cgi?acc=GSM1616632","GSM1616632")</f>
        <v>GSM1616632</v>
      </c>
      <c r="I10471" t="s">
        <v>161</v>
      </c>
      <c r="J10471" t="s">
        <v>193</v>
      </c>
      <c r="K10471" t="s">
        <v>19</v>
      </c>
      <c r="L10471" t="s">
        <v>162</v>
      </c>
      <c r="M10471" t="s">
        <v>44</v>
      </c>
      <c r="N10471" t="s">
        <v>22</v>
      </c>
    </row>
    <row r="10472" spans="1:14">
      <c r="A10472" s="4" t="str">
        <f t="shared" si="933"/>
        <v>EXP00349</v>
      </c>
      <c r="B10472" s="4" t="str">
        <f t="shared" si="930"/>
        <v>26667932</v>
      </c>
      <c r="C10472" s="4" t="str">
        <f t="shared" si="931"/>
        <v>GSE74685</v>
      </c>
      <c r="D10472" s="1" t="s">
        <v>447</v>
      </c>
      <c r="E10472" t="s">
        <v>448</v>
      </c>
      <c r="F10472" s="1">
        <v>1</v>
      </c>
      <c r="G10472" s="1" t="s">
        <v>450</v>
      </c>
      <c r="H10472" s="4" t="str">
        <f>HYPERLINK("https://www.ncbi.nlm.nih.gov/geo/query/acc.cgi?acc=GSM1616638","GSM1616638")</f>
        <v>GSM1616638</v>
      </c>
      <c r="I10472" t="s">
        <v>161</v>
      </c>
      <c r="J10472" t="s">
        <v>193</v>
      </c>
      <c r="K10472" t="s">
        <v>19</v>
      </c>
      <c r="L10472" t="s">
        <v>162</v>
      </c>
      <c r="M10472" t="s">
        <v>44</v>
      </c>
      <c r="N10472" t="s">
        <v>22</v>
      </c>
    </row>
    <row r="10473" spans="1:14">
      <c r="A10473" s="4" t="str">
        <f t="shared" si="933"/>
        <v>EXP00349</v>
      </c>
      <c r="B10473" s="4" t="str">
        <f t="shared" si="930"/>
        <v>26667932</v>
      </c>
      <c r="C10473" s="4" t="str">
        <f t="shared" si="931"/>
        <v>GSE74685</v>
      </c>
      <c r="D10473" s="1" t="s">
        <v>447</v>
      </c>
      <c r="E10473" t="s">
        <v>448</v>
      </c>
      <c r="F10473" s="1">
        <v>1</v>
      </c>
      <c r="G10473" s="1" t="s">
        <v>450</v>
      </c>
      <c r="H10473" s="4" t="str">
        <f>HYPERLINK("https://www.ncbi.nlm.nih.gov/geo/query/acc.cgi?acc=GSM1616641","GSM1616641")</f>
        <v>GSM1616641</v>
      </c>
      <c r="I10473" t="s">
        <v>161</v>
      </c>
      <c r="J10473" t="s">
        <v>193</v>
      </c>
      <c r="K10473" t="s">
        <v>19</v>
      </c>
      <c r="L10473" t="s">
        <v>162</v>
      </c>
      <c r="M10473" t="s">
        <v>44</v>
      </c>
      <c r="N10473" t="s">
        <v>22</v>
      </c>
    </row>
    <row r="10474" spans="1:14">
      <c r="A10474" s="4" t="str">
        <f t="shared" si="933"/>
        <v>EXP00349</v>
      </c>
      <c r="B10474" s="4" t="str">
        <f t="shared" si="930"/>
        <v>26667932</v>
      </c>
      <c r="C10474" s="4" t="str">
        <f t="shared" si="931"/>
        <v>GSE74685</v>
      </c>
      <c r="D10474" s="1" t="s">
        <v>447</v>
      </c>
      <c r="E10474" t="s">
        <v>448</v>
      </c>
      <c r="F10474" s="1">
        <v>1</v>
      </c>
      <c r="G10474" s="1" t="s">
        <v>450</v>
      </c>
      <c r="H10474" s="4" t="str">
        <f>HYPERLINK("https://www.ncbi.nlm.nih.gov/geo/query/acc.cgi?acc=GSM1616663","GSM1616663")</f>
        <v>GSM1616663</v>
      </c>
      <c r="I10474" t="s">
        <v>161</v>
      </c>
      <c r="J10474" t="s">
        <v>193</v>
      </c>
      <c r="K10474" t="s">
        <v>19</v>
      </c>
      <c r="L10474" t="s">
        <v>162</v>
      </c>
      <c r="M10474" t="s">
        <v>44</v>
      </c>
      <c r="N10474" t="s">
        <v>22</v>
      </c>
    </row>
    <row r="10475" spans="1:14">
      <c r="A10475" s="4" t="str">
        <f t="shared" si="933"/>
        <v>EXP00349</v>
      </c>
      <c r="B10475" s="4" t="str">
        <f t="shared" si="930"/>
        <v>26667932</v>
      </c>
      <c r="C10475" s="4" t="str">
        <f t="shared" si="931"/>
        <v>GSE74685</v>
      </c>
      <c r="D10475" s="1" t="s">
        <v>447</v>
      </c>
      <c r="E10475" t="s">
        <v>448</v>
      </c>
      <c r="F10475" s="1">
        <v>1</v>
      </c>
      <c r="G10475" s="1" t="s">
        <v>450</v>
      </c>
      <c r="H10475" s="4" t="str">
        <f>HYPERLINK("https://www.ncbi.nlm.nih.gov/geo/query/acc.cgi?acc=GSM1616667","GSM1616667")</f>
        <v>GSM1616667</v>
      </c>
      <c r="I10475" t="s">
        <v>161</v>
      </c>
      <c r="J10475" t="s">
        <v>193</v>
      </c>
      <c r="K10475" t="s">
        <v>19</v>
      </c>
      <c r="L10475" t="s">
        <v>162</v>
      </c>
      <c r="M10475" t="s">
        <v>44</v>
      </c>
      <c r="N10475" t="s">
        <v>22</v>
      </c>
    </row>
    <row r="10476" spans="1:14">
      <c r="A10476" s="4" t="str">
        <f t="shared" si="933"/>
        <v>EXP00349</v>
      </c>
      <c r="B10476" s="4" t="str">
        <f t="shared" si="930"/>
        <v>26667932</v>
      </c>
      <c r="C10476" s="4" t="str">
        <f t="shared" si="931"/>
        <v>GSE74685</v>
      </c>
      <c r="D10476" s="1" t="s">
        <v>447</v>
      </c>
      <c r="E10476" t="s">
        <v>448</v>
      </c>
      <c r="F10476" s="1">
        <v>1</v>
      </c>
      <c r="G10476" s="1" t="s">
        <v>450</v>
      </c>
      <c r="H10476" s="4" t="str">
        <f>HYPERLINK("https://www.ncbi.nlm.nih.gov/geo/query/acc.cgi?acc=GSM1616671","GSM1616671")</f>
        <v>GSM1616671</v>
      </c>
      <c r="I10476" t="s">
        <v>161</v>
      </c>
      <c r="J10476" t="s">
        <v>193</v>
      </c>
      <c r="K10476" t="s">
        <v>19</v>
      </c>
      <c r="L10476" t="s">
        <v>162</v>
      </c>
      <c r="M10476" t="s">
        <v>44</v>
      </c>
      <c r="N10476" t="s">
        <v>22</v>
      </c>
    </row>
    <row r="10477" spans="1:14">
      <c r="A10477" s="4" t="str">
        <f t="shared" si="933"/>
        <v>EXP00349</v>
      </c>
      <c r="B10477" s="4" t="str">
        <f t="shared" si="930"/>
        <v>26667932</v>
      </c>
      <c r="C10477" s="4" t="str">
        <f t="shared" si="931"/>
        <v>GSE74685</v>
      </c>
      <c r="D10477" s="1" t="s">
        <v>447</v>
      </c>
      <c r="E10477" t="s">
        <v>448</v>
      </c>
      <c r="F10477" s="1">
        <v>1</v>
      </c>
      <c r="G10477" s="1" t="s">
        <v>450</v>
      </c>
      <c r="H10477" s="4" t="str">
        <f>HYPERLINK("https://www.ncbi.nlm.nih.gov/geo/query/acc.cgi?acc=GSM1616674","GSM1616674")</f>
        <v>GSM1616674</v>
      </c>
      <c r="I10477" t="s">
        <v>161</v>
      </c>
      <c r="J10477" t="s">
        <v>193</v>
      </c>
      <c r="K10477" t="s">
        <v>19</v>
      </c>
      <c r="L10477" t="s">
        <v>162</v>
      </c>
      <c r="M10477" t="s">
        <v>44</v>
      </c>
      <c r="N10477" t="s">
        <v>22</v>
      </c>
    </row>
    <row r="10478" spans="1:14">
      <c r="A10478" s="4" t="str">
        <f t="shared" si="933"/>
        <v>EXP00349</v>
      </c>
      <c r="B10478" s="4" t="str">
        <f t="shared" si="930"/>
        <v>26667932</v>
      </c>
      <c r="C10478" s="4" t="str">
        <f t="shared" si="931"/>
        <v>GSE74685</v>
      </c>
      <c r="D10478" s="1" t="s">
        <v>447</v>
      </c>
      <c r="E10478" t="s">
        <v>448</v>
      </c>
      <c r="F10478" s="1">
        <v>1</v>
      </c>
      <c r="G10478" s="1" t="s">
        <v>450</v>
      </c>
      <c r="H10478" s="4" t="str">
        <f>HYPERLINK("https://www.ncbi.nlm.nih.gov/geo/query/acc.cgi?acc=GSM1616675","GSM1616675")</f>
        <v>GSM1616675</v>
      </c>
      <c r="I10478" t="s">
        <v>161</v>
      </c>
      <c r="J10478" t="s">
        <v>193</v>
      </c>
      <c r="K10478" t="s">
        <v>19</v>
      </c>
      <c r="L10478" t="s">
        <v>162</v>
      </c>
      <c r="M10478" t="s">
        <v>44</v>
      </c>
      <c r="N10478" t="s">
        <v>22</v>
      </c>
    </row>
    <row r="10479" spans="1:14">
      <c r="A10479" s="4" t="str">
        <f t="shared" si="933"/>
        <v>EXP00349</v>
      </c>
      <c r="B10479" s="4" t="str">
        <f t="shared" si="930"/>
        <v>26667932</v>
      </c>
      <c r="C10479" s="4" t="str">
        <f t="shared" si="931"/>
        <v>GSE74685</v>
      </c>
      <c r="D10479" s="1" t="s">
        <v>447</v>
      </c>
      <c r="E10479" t="s">
        <v>448</v>
      </c>
      <c r="F10479" s="1">
        <v>1</v>
      </c>
      <c r="G10479" s="1" t="s">
        <v>450</v>
      </c>
      <c r="H10479" s="4" t="str">
        <f>HYPERLINK("https://www.ncbi.nlm.nih.gov/geo/query/acc.cgi?acc=GSM1616677","GSM1616677")</f>
        <v>GSM1616677</v>
      </c>
      <c r="I10479" t="s">
        <v>161</v>
      </c>
      <c r="J10479" t="s">
        <v>193</v>
      </c>
      <c r="K10479" t="s">
        <v>19</v>
      </c>
      <c r="L10479" t="s">
        <v>162</v>
      </c>
      <c r="M10479" t="s">
        <v>44</v>
      </c>
      <c r="N10479" t="s">
        <v>22</v>
      </c>
    </row>
    <row r="10480" spans="1:14">
      <c r="A10480" s="4" t="str">
        <f t="shared" si="933"/>
        <v>EXP00349</v>
      </c>
      <c r="B10480" s="4" t="str">
        <f t="shared" si="930"/>
        <v>26667932</v>
      </c>
      <c r="C10480" s="4" t="str">
        <f t="shared" si="931"/>
        <v>GSE74685</v>
      </c>
      <c r="D10480" s="1" t="s">
        <v>447</v>
      </c>
      <c r="E10480" t="s">
        <v>448</v>
      </c>
      <c r="F10480" s="1">
        <v>1</v>
      </c>
      <c r="G10480" s="1" t="s">
        <v>450</v>
      </c>
      <c r="H10480" s="4" t="str">
        <f>HYPERLINK("https://www.ncbi.nlm.nih.gov/geo/query/acc.cgi?acc=GSM1930080","GSM1930080")</f>
        <v>GSM1930080</v>
      </c>
      <c r="I10480" t="s">
        <v>161</v>
      </c>
      <c r="J10480" t="s">
        <v>193</v>
      </c>
      <c r="K10480" t="s">
        <v>19</v>
      </c>
      <c r="L10480" t="s">
        <v>162</v>
      </c>
      <c r="M10480" t="s">
        <v>44</v>
      </c>
      <c r="N10480" t="s">
        <v>22</v>
      </c>
    </row>
    <row r="10481" spans="1:14">
      <c r="A10481" s="4" t="str">
        <f t="shared" si="933"/>
        <v>EXP00349</v>
      </c>
      <c r="B10481" s="4" t="str">
        <f t="shared" si="930"/>
        <v>26667932</v>
      </c>
      <c r="C10481" s="4" t="str">
        <f t="shared" si="931"/>
        <v>GSE74685</v>
      </c>
      <c r="D10481" s="1" t="s">
        <v>447</v>
      </c>
      <c r="E10481" t="s">
        <v>448</v>
      </c>
      <c r="F10481" s="1">
        <v>1</v>
      </c>
      <c r="G10481" s="1" t="s">
        <v>450</v>
      </c>
      <c r="H10481" s="4" t="str">
        <f>HYPERLINK("https://www.ncbi.nlm.nih.gov/geo/query/acc.cgi?acc=GSM1930136","GSM1930136")</f>
        <v>GSM1930136</v>
      </c>
      <c r="I10481" t="s">
        <v>161</v>
      </c>
      <c r="J10481" t="s">
        <v>193</v>
      </c>
      <c r="K10481" t="s">
        <v>19</v>
      </c>
      <c r="L10481" t="s">
        <v>162</v>
      </c>
      <c r="M10481" t="s">
        <v>44</v>
      </c>
      <c r="N10481" t="s">
        <v>22</v>
      </c>
    </row>
    <row r="10482" spans="1:14">
      <c r="A10482" s="4" t="str">
        <f t="shared" si="933"/>
        <v>EXP00349</v>
      </c>
      <c r="B10482" s="4" t="str">
        <f t="shared" si="930"/>
        <v>26667932</v>
      </c>
      <c r="C10482" s="4" t="str">
        <f t="shared" si="931"/>
        <v>GSE74685</v>
      </c>
      <c r="D10482" s="1" t="s">
        <v>447</v>
      </c>
      <c r="E10482" t="s">
        <v>448</v>
      </c>
      <c r="F10482" s="1">
        <v>1</v>
      </c>
      <c r="G10482" s="1" t="s">
        <v>450</v>
      </c>
      <c r="H10482" s="4" t="str">
        <f>HYPERLINK("https://www.ncbi.nlm.nih.gov/geo/query/acc.cgi?acc=GSM1930141","GSM1930141")</f>
        <v>GSM1930141</v>
      </c>
      <c r="I10482" t="s">
        <v>161</v>
      </c>
      <c r="J10482" t="s">
        <v>193</v>
      </c>
      <c r="K10482" t="s">
        <v>19</v>
      </c>
      <c r="L10482" t="s">
        <v>162</v>
      </c>
      <c r="M10482" t="s">
        <v>44</v>
      </c>
      <c r="N10482" t="s">
        <v>22</v>
      </c>
    </row>
    <row r="10483" spans="1:14">
      <c r="A10483" s="4" t="str">
        <f t="shared" si="933"/>
        <v>EXP00349</v>
      </c>
      <c r="B10483" s="4" t="str">
        <f t="shared" si="930"/>
        <v>26667932</v>
      </c>
      <c r="C10483" s="4" t="str">
        <f t="shared" si="931"/>
        <v>GSE74685</v>
      </c>
      <c r="D10483" s="1" t="s">
        <v>447</v>
      </c>
      <c r="E10483" t="s">
        <v>448</v>
      </c>
      <c r="F10483" s="1">
        <v>1</v>
      </c>
      <c r="G10483" s="1" t="s">
        <v>450</v>
      </c>
      <c r="H10483" s="4" t="str">
        <f>HYPERLINK("https://www.ncbi.nlm.nih.gov/geo/query/acc.cgi?acc=GSM1930142","GSM1930142")</f>
        <v>GSM1930142</v>
      </c>
      <c r="I10483" t="s">
        <v>161</v>
      </c>
      <c r="J10483" t="s">
        <v>193</v>
      </c>
      <c r="K10483" t="s">
        <v>19</v>
      </c>
      <c r="L10483" t="s">
        <v>162</v>
      </c>
      <c r="M10483" t="s">
        <v>44</v>
      </c>
      <c r="N10483" t="s">
        <v>22</v>
      </c>
    </row>
    <row r="10484" spans="1:14">
      <c r="A10484" s="4" t="str">
        <f t="shared" si="933"/>
        <v>EXP00349</v>
      </c>
      <c r="B10484" s="4" t="str">
        <f t="shared" si="930"/>
        <v>26667932</v>
      </c>
      <c r="C10484" s="4" t="str">
        <f t="shared" si="931"/>
        <v>GSE74685</v>
      </c>
      <c r="D10484" s="1" t="s">
        <v>447</v>
      </c>
      <c r="E10484" t="s">
        <v>448</v>
      </c>
      <c r="F10484" s="1">
        <v>1</v>
      </c>
      <c r="G10484" s="1" t="s">
        <v>450</v>
      </c>
      <c r="H10484" s="4" t="str">
        <f>HYPERLINK("https://www.ncbi.nlm.nih.gov/geo/query/acc.cgi?acc=GSM1930150","GSM1930150")</f>
        <v>GSM1930150</v>
      </c>
      <c r="I10484" t="s">
        <v>161</v>
      </c>
      <c r="J10484" t="s">
        <v>193</v>
      </c>
      <c r="K10484" t="s">
        <v>19</v>
      </c>
      <c r="L10484" t="s">
        <v>162</v>
      </c>
      <c r="M10484" t="s">
        <v>44</v>
      </c>
      <c r="N10484" t="s">
        <v>22</v>
      </c>
    </row>
    <row r="10485" spans="1:14">
      <c r="A10485" s="4" t="str">
        <f t="shared" si="933"/>
        <v>EXP00349</v>
      </c>
      <c r="B10485" s="4" t="str">
        <f t="shared" si="930"/>
        <v>26667932</v>
      </c>
      <c r="C10485" s="4" t="str">
        <f t="shared" si="931"/>
        <v>GSE74685</v>
      </c>
      <c r="D10485" s="1" t="s">
        <v>447</v>
      </c>
      <c r="E10485" t="s">
        <v>448</v>
      </c>
      <c r="F10485" s="1">
        <v>1</v>
      </c>
      <c r="G10485" s="1" t="s">
        <v>450</v>
      </c>
      <c r="H10485" s="4" t="str">
        <f>HYPERLINK("https://www.ncbi.nlm.nih.gov/geo/query/acc.cgi?acc=GSM1930155","GSM1930155")</f>
        <v>GSM1930155</v>
      </c>
      <c r="I10485" t="s">
        <v>161</v>
      </c>
      <c r="J10485" t="s">
        <v>193</v>
      </c>
      <c r="K10485" t="s">
        <v>19</v>
      </c>
      <c r="L10485" t="s">
        <v>162</v>
      </c>
      <c r="M10485" t="s">
        <v>44</v>
      </c>
      <c r="N10485" t="s">
        <v>22</v>
      </c>
    </row>
    <row r="10486" spans="1:14">
      <c r="A10486" s="4" t="str">
        <f t="shared" si="933"/>
        <v>EXP00349</v>
      </c>
      <c r="B10486" s="4" t="str">
        <f t="shared" si="930"/>
        <v>26667932</v>
      </c>
      <c r="C10486" s="4" t="str">
        <f t="shared" si="931"/>
        <v>GSE74685</v>
      </c>
      <c r="D10486" s="1" t="s">
        <v>447</v>
      </c>
      <c r="E10486" t="s">
        <v>448</v>
      </c>
      <c r="F10486" s="1">
        <v>2</v>
      </c>
      <c r="G10486" s="1" t="s">
        <v>457</v>
      </c>
      <c r="H10486" s="4" t="str">
        <f>HYPERLINK("https://www.ncbi.nlm.nih.gov/geo/query/acc.cgi?acc=GSM1616658","GSM1616658")</f>
        <v>GSM1616658</v>
      </c>
      <c r="I10486" t="s">
        <v>161</v>
      </c>
      <c r="J10486" t="s">
        <v>193</v>
      </c>
      <c r="K10486" t="s">
        <v>19</v>
      </c>
      <c r="L10486" t="s">
        <v>162</v>
      </c>
      <c r="M10486" t="s">
        <v>292</v>
      </c>
      <c r="N10486" t="s">
        <v>22</v>
      </c>
    </row>
    <row r="10487" spans="1:14">
      <c r="A10487" s="4" t="str">
        <f t="shared" si="933"/>
        <v>EXP00349</v>
      </c>
      <c r="B10487" s="4" t="str">
        <f t="shared" si="930"/>
        <v>26667932</v>
      </c>
      <c r="C10487" s="4" t="str">
        <f t="shared" si="931"/>
        <v>GSE74685</v>
      </c>
      <c r="D10487" s="1" t="s">
        <v>447</v>
      </c>
      <c r="E10487" t="s">
        <v>448</v>
      </c>
      <c r="F10487" s="1">
        <v>2</v>
      </c>
      <c r="G10487" s="1" t="s">
        <v>457</v>
      </c>
      <c r="H10487" s="4" t="str">
        <f>HYPERLINK("https://www.ncbi.nlm.nih.gov/geo/query/acc.cgi?acc=GSM1918980","GSM1918980")</f>
        <v>GSM1918980</v>
      </c>
      <c r="I10487" t="s">
        <v>161</v>
      </c>
      <c r="J10487" t="s">
        <v>193</v>
      </c>
      <c r="K10487" t="s">
        <v>19</v>
      </c>
      <c r="L10487" t="s">
        <v>162</v>
      </c>
      <c r="M10487" t="s">
        <v>292</v>
      </c>
      <c r="N10487" t="s">
        <v>22</v>
      </c>
    </row>
    <row r="10488" spans="1:14">
      <c r="A10488" s="4" t="str">
        <f t="shared" si="933"/>
        <v>EXP00349</v>
      </c>
      <c r="B10488" s="4" t="str">
        <f t="shared" si="930"/>
        <v>26667932</v>
      </c>
      <c r="C10488" s="4" t="str">
        <f t="shared" si="931"/>
        <v>GSE74685</v>
      </c>
      <c r="D10488" s="1" t="s">
        <v>447</v>
      </c>
      <c r="E10488" t="s">
        <v>448</v>
      </c>
      <c r="F10488" s="1">
        <v>2</v>
      </c>
      <c r="G10488" s="1" t="s">
        <v>457</v>
      </c>
      <c r="H10488" s="4" t="str">
        <f>HYPERLINK("https://www.ncbi.nlm.nih.gov/geo/query/acc.cgi?acc=GSM1930093","GSM1930093")</f>
        <v>GSM1930093</v>
      </c>
      <c r="I10488" t="s">
        <v>161</v>
      </c>
      <c r="J10488" t="s">
        <v>193</v>
      </c>
      <c r="K10488" t="s">
        <v>19</v>
      </c>
      <c r="L10488" t="s">
        <v>162</v>
      </c>
      <c r="M10488" t="s">
        <v>292</v>
      </c>
      <c r="N10488" t="s">
        <v>22</v>
      </c>
    </row>
    <row r="10489" spans="1:14">
      <c r="A10489" s="4" t="str">
        <f t="shared" ref="A10489:A10513" si="934">HYPERLINK("http://hcmdb.i-sanger.com/experiment/details/experiment_id/EXP00350","EXP00350")</f>
        <v>EXP00350</v>
      </c>
      <c r="B10489" s="4" t="str">
        <f t="shared" si="930"/>
        <v>26667932</v>
      </c>
      <c r="C10489" s="4" t="str">
        <f t="shared" si="931"/>
        <v>GSE74685</v>
      </c>
      <c r="D10489" s="1" t="s">
        <v>447</v>
      </c>
      <c r="E10489" t="s">
        <v>448</v>
      </c>
      <c r="F10489" s="1">
        <v>1</v>
      </c>
      <c r="G10489" s="1" t="s">
        <v>450</v>
      </c>
      <c r="H10489" s="4" t="str">
        <f>HYPERLINK("https://www.ncbi.nlm.nih.gov/geo/query/acc.cgi?acc=GSM1616614","GSM1616614")</f>
        <v>GSM1616614</v>
      </c>
      <c r="I10489" t="s">
        <v>161</v>
      </c>
      <c r="J10489" t="s">
        <v>193</v>
      </c>
      <c r="K10489" t="s">
        <v>19</v>
      </c>
      <c r="L10489" t="s">
        <v>162</v>
      </c>
      <c r="M10489" t="s">
        <v>44</v>
      </c>
      <c r="N10489" t="s">
        <v>22</v>
      </c>
    </row>
    <row r="10490" spans="1:14">
      <c r="A10490" s="4" t="str">
        <f t="shared" si="934"/>
        <v>EXP00350</v>
      </c>
      <c r="B10490" s="4" t="str">
        <f t="shared" si="930"/>
        <v>26667932</v>
      </c>
      <c r="C10490" s="4" t="str">
        <f t="shared" si="931"/>
        <v>GSE74685</v>
      </c>
      <c r="D10490" s="1" t="s">
        <v>447</v>
      </c>
      <c r="E10490" t="s">
        <v>448</v>
      </c>
      <c r="F10490" s="1">
        <v>1</v>
      </c>
      <c r="G10490" s="1" t="s">
        <v>450</v>
      </c>
      <c r="H10490" s="4" t="str">
        <f>HYPERLINK("https://www.ncbi.nlm.nih.gov/geo/query/acc.cgi?acc=GSM1616618","GSM1616618")</f>
        <v>GSM1616618</v>
      </c>
      <c r="I10490" t="s">
        <v>161</v>
      </c>
      <c r="J10490" t="s">
        <v>193</v>
      </c>
      <c r="K10490" t="s">
        <v>19</v>
      </c>
      <c r="L10490" t="s">
        <v>162</v>
      </c>
      <c r="M10490" t="s">
        <v>44</v>
      </c>
      <c r="N10490" t="s">
        <v>22</v>
      </c>
    </row>
    <row r="10491" spans="1:14">
      <c r="A10491" s="4" t="str">
        <f t="shared" si="934"/>
        <v>EXP00350</v>
      </c>
      <c r="B10491" s="4" t="str">
        <f t="shared" si="930"/>
        <v>26667932</v>
      </c>
      <c r="C10491" s="4" t="str">
        <f t="shared" si="931"/>
        <v>GSE74685</v>
      </c>
      <c r="D10491" s="1" t="s">
        <v>447</v>
      </c>
      <c r="E10491" t="s">
        <v>448</v>
      </c>
      <c r="F10491" s="1">
        <v>1</v>
      </c>
      <c r="G10491" s="1" t="s">
        <v>450</v>
      </c>
      <c r="H10491" s="4" t="str">
        <f>HYPERLINK("https://www.ncbi.nlm.nih.gov/geo/query/acc.cgi?acc=GSM1616621","GSM1616621")</f>
        <v>GSM1616621</v>
      </c>
      <c r="I10491" t="s">
        <v>161</v>
      </c>
      <c r="J10491" t="s">
        <v>193</v>
      </c>
      <c r="K10491" t="s">
        <v>19</v>
      </c>
      <c r="L10491" t="s">
        <v>162</v>
      </c>
      <c r="M10491" t="s">
        <v>44</v>
      </c>
      <c r="N10491" t="s">
        <v>22</v>
      </c>
    </row>
    <row r="10492" spans="1:14">
      <c r="A10492" s="4" t="str">
        <f t="shared" si="934"/>
        <v>EXP00350</v>
      </c>
      <c r="B10492" s="4" t="str">
        <f t="shared" si="930"/>
        <v>26667932</v>
      </c>
      <c r="C10492" s="4" t="str">
        <f t="shared" si="931"/>
        <v>GSE74685</v>
      </c>
      <c r="D10492" s="1" t="s">
        <v>447</v>
      </c>
      <c r="E10492" t="s">
        <v>448</v>
      </c>
      <c r="F10492" s="1">
        <v>1</v>
      </c>
      <c r="G10492" s="1" t="s">
        <v>450</v>
      </c>
      <c r="H10492" s="4" t="str">
        <f>HYPERLINK("https://www.ncbi.nlm.nih.gov/geo/query/acc.cgi?acc=GSM1616623","GSM1616623")</f>
        <v>GSM1616623</v>
      </c>
      <c r="I10492" t="s">
        <v>161</v>
      </c>
      <c r="J10492" t="s">
        <v>193</v>
      </c>
      <c r="K10492" t="s">
        <v>19</v>
      </c>
      <c r="L10492" t="s">
        <v>162</v>
      </c>
      <c r="M10492" t="s">
        <v>44</v>
      </c>
      <c r="N10492" t="s">
        <v>22</v>
      </c>
    </row>
    <row r="10493" spans="1:14">
      <c r="A10493" s="4" t="str">
        <f t="shared" si="934"/>
        <v>EXP00350</v>
      </c>
      <c r="B10493" s="4" t="str">
        <f t="shared" si="930"/>
        <v>26667932</v>
      </c>
      <c r="C10493" s="4" t="str">
        <f t="shared" si="931"/>
        <v>GSE74685</v>
      </c>
      <c r="D10493" s="1" t="s">
        <v>447</v>
      </c>
      <c r="E10493" t="s">
        <v>448</v>
      </c>
      <c r="F10493" s="1">
        <v>1</v>
      </c>
      <c r="G10493" s="1" t="s">
        <v>450</v>
      </c>
      <c r="H10493" s="4" t="str">
        <f>HYPERLINK("https://www.ncbi.nlm.nih.gov/geo/query/acc.cgi?acc=GSM1616628","GSM1616628")</f>
        <v>GSM1616628</v>
      </c>
      <c r="I10493" t="s">
        <v>161</v>
      </c>
      <c r="J10493" t="s">
        <v>193</v>
      </c>
      <c r="K10493" t="s">
        <v>19</v>
      </c>
      <c r="L10493" t="s">
        <v>162</v>
      </c>
      <c r="M10493" t="s">
        <v>44</v>
      </c>
      <c r="N10493" t="s">
        <v>22</v>
      </c>
    </row>
    <row r="10494" spans="1:14">
      <c r="A10494" s="4" t="str">
        <f t="shared" si="934"/>
        <v>EXP00350</v>
      </c>
      <c r="B10494" s="4" t="str">
        <f t="shared" si="930"/>
        <v>26667932</v>
      </c>
      <c r="C10494" s="4" t="str">
        <f t="shared" si="931"/>
        <v>GSE74685</v>
      </c>
      <c r="D10494" s="1" t="s">
        <v>447</v>
      </c>
      <c r="E10494" t="s">
        <v>448</v>
      </c>
      <c r="F10494" s="1">
        <v>1</v>
      </c>
      <c r="G10494" s="1" t="s">
        <v>450</v>
      </c>
      <c r="H10494" s="4" t="str">
        <f>HYPERLINK("https://www.ncbi.nlm.nih.gov/geo/query/acc.cgi?acc=GSM1616629","GSM1616629")</f>
        <v>GSM1616629</v>
      </c>
      <c r="I10494" t="s">
        <v>161</v>
      </c>
      <c r="J10494" t="s">
        <v>193</v>
      </c>
      <c r="K10494" t="s">
        <v>19</v>
      </c>
      <c r="L10494" t="s">
        <v>162</v>
      </c>
      <c r="M10494" t="s">
        <v>44</v>
      </c>
      <c r="N10494" t="s">
        <v>22</v>
      </c>
    </row>
    <row r="10495" spans="1:14">
      <c r="A10495" s="4" t="str">
        <f t="shared" si="934"/>
        <v>EXP00350</v>
      </c>
      <c r="B10495" s="4" t="str">
        <f t="shared" si="930"/>
        <v>26667932</v>
      </c>
      <c r="C10495" s="4" t="str">
        <f t="shared" si="931"/>
        <v>GSE74685</v>
      </c>
      <c r="D10495" s="1" t="s">
        <v>447</v>
      </c>
      <c r="E10495" t="s">
        <v>448</v>
      </c>
      <c r="F10495" s="1">
        <v>1</v>
      </c>
      <c r="G10495" s="1" t="s">
        <v>450</v>
      </c>
      <c r="H10495" s="4" t="str">
        <f>HYPERLINK("https://www.ncbi.nlm.nih.gov/geo/query/acc.cgi?acc=GSM1616632","GSM1616632")</f>
        <v>GSM1616632</v>
      </c>
      <c r="I10495" t="s">
        <v>161</v>
      </c>
      <c r="J10495" t="s">
        <v>193</v>
      </c>
      <c r="K10495" t="s">
        <v>19</v>
      </c>
      <c r="L10495" t="s">
        <v>162</v>
      </c>
      <c r="M10495" t="s">
        <v>44</v>
      </c>
      <c r="N10495" t="s">
        <v>22</v>
      </c>
    </row>
    <row r="10496" spans="1:14">
      <c r="A10496" s="4" t="str">
        <f t="shared" si="934"/>
        <v>EXP00350</v>
      </c>
      <c r="B10496" s="4" t="str">
        <f t="shared" si="930"/>
        <v>26667932</v>
      </c>
      <c r="C10496" s="4" t="str">
        <f t="shared" si="931"/>
        <v>GSE74685</v>
      </c>
      <c r="D10496" s="1" t="s">
        <v>447</v>
      </c>
      <c r="E10496" t="s">
        <v>448</v>
      </c>
      <c r="F10496" s="1">
        <v>1</v>
      </c>
      <c r="G10496" s="1" t="s">
        <v>450</v>
      </c>
      <c r="H10496" s="4" t="str">
        <f>HYPERLINK("https://www.ncbi.nlm.nih.gov/geo/query/acc.cgi?acc=GSM1616638","GSM1616638")</f>
        <v>GSM1616638</v>
      </c>
      <c r="I10496" t="s">
        <v>161</v>
      </c>
      <c r="J10496" t="s">
        <v>193</v>
      </c>
      <c r="K10496" t="s">
        <v>19</v>
      </c>
      <c r="L10496" t="s">
        <v>162</v>
      </c>
      <c r="M10496" t="s">
        <v>44</v>
      </c>
      <c r="N10496" t="s">
        <v>22</v>
      </c>
    </row>
    <row r="10497" spans="1:14">
      <c r="A10497" s="4" t="str">
        <f t="shared" si="934"/>
        <v>EXP00350</v>
      </c>
      <c r="B10497" s="4" t="str">
        <f t="shared" ref="B10497:B10560" si="935">HYPERLINK("https://www.ncbi.nlm.nih.gov/pubmed/26667932","26667932")</f>
        <v>26667932</v>
      </c>
      <c r="C10497" s="4" t="str">
        <f t="shared" ref="C10497:C10560" si="936">HYPERLINK("https://www.ncbi.nlm.nih.gov/geo/query/acc.cgi?acc=GSE74685","GSE74685")</f>
        <v>GSE74685</v>
      </c>
      <c r="D10497" s="1" t="s">
        <v>447</v>
      </c>
      <c r="E10497" t="s">
        <v>448</v>
      </c>
      <c r="F10497" s="1">
        <v>1</v>
      </c>
      <c r="G10497" s="1" t="s">
        <v>450</v>
      </c>
      <c r="H10497" s="4" t="str">
        <f>HYPERLINK("https://www.ncbi.nlm.nih.gov/geo/query/acc.cgi?acc=GSM1616641","GSM1616641")</f>
        <v>GSM1616641</v>
      </c>
      <c r="I10497" t="s">
        <v>161</v>
      </c>
      <c r="J10497" t="s">
        <v>193</v>
      </c>
      <c r="K10497" t="s">
        <v>19</v>
      </c>
      <c r="L10497" t="s">
        <v>162</v>
      </c>
      <c r="M10497" t="s">
        <v>44</v>
      </c>
      <c r="N10497" t="s">
        <v>22</v>
      </c>
    </row>
    <row r="10498" spans="1:14">
      <c r="A10498" s="4" t="str">
        <f t="shared" si="934"/>
        <v>EXP00350</v>
      </c>
      <c r="B10498" s="4" t="str">
        <f t="shared" si="935"/>
        <v>26667932</v>
      </c>
      <c r="C10498" s="4" t="str">
        <f t="shared" si="936"/>
        <v>GSE74685</v>
      </c>
      <c r="D10498" s="1" t="s">
        <v>447</v>
      </c>
      <c r="E10498" t="s">
        <v>448</v>
      </c>
      <c r="F10498" s="1">
        <v>1</v>
      </c>
      <c r="G10498" s="1" t="s">
        <v>450</v>
      </c>
      <c r="H10498" s="4" t="str">
        <f>HYPERLINK("https://www.ncbi.nlm.nih.gov/geo/query/acc.cgi?acc=GSM1616663","GSM1616663")</f>
        <v>GSM1616663</v>
      </c>
      <c r="I10498" t="s">
        <v>161</v>
      </c>
      <c r="J10498" t="s">
        <v>193</v>
      </c>
      <c r="K10498" t="s">
        <v>19</v>
      </c>
      <c r="L10498" t="s">
        <v>162</v>
      </c>
      <c r="M10498" t="s">
        <v>44</v>
      </c>
      <c r="N10498" t="s">
        <v>22</v>
      </c>
    </row>
    <row r="10499" spans="1:14">
      <c r="A10499" s="4" t="str">
        <f t="shared" si="934"/>
        <v>EXP00350</v>
      </c>
      <c r="B10499" s="4" t="str">
        <f t="shared" si="935"/>
        <v>26667932</v>
      </c>
      <c r="C10499" s="4" t="str">
        <f t="shared" si="936"/>
        <v>GSE74685</v>
      </c>
      <c r="D10499" s="1" t="s">
        <v>447</v>
      </c>
      <c r="E10499" t="s">
        <v>448</v>
      </c>
      <c r="F10499" s="1">
        <v>1</v>
      </c>
      <c r="G10499" s="1" t="s">
        <v>450</v>
      </c>
      <c r="H10499" s="4" t="str">
        <f>HYPERLINK("https://www.ncbi.nlm.nih.gov/geo/query/acc.cgi?acc=GSM1616667","GSM1616667")</f>
        <v>GSM1616667</v>
      </c>
      <c r="I10499" t="s">
        <v>161</v>
      </c>
      <c r="J10499" t="s">
        <v>193</v>
      </c>
      <c r="K10499" t="s">
        <v>19</v>
      </c>
      <c r="L10499" t="s">
        <v>162</v>
      </c>
      <c r="M10499" t="s">
        <v>44</v>
      </c>
      <c r="N10499" t="s">
        <v>22</v>
      </c>
    </row>
    <row r="10500" spans="1:14">
      <c r="A10500" s="4" t="str">
        <f t="shared" si="934"/>
        <v>EXP00350</v>
      </c>
      <c r="B10500" s="4" t="str">
        <f t="shared" si="935"/>
        <v>26667932</v>
      </c>
      <c r="C10500" s="4" t="str">
        <f t="shared" si="936"/>
        <v>GSE74685</v>
      </c>
      <c r="D10500" s="1" t="s">
        <v>447</v>
      </c>
      <c r="E10500" t="s">
        <v>448</v>
      </c>
      <c r="F10500" s="1">
        <v>1</v>
      </c>
      <c r="G10500" s="1" t="s">
        <v>450</v>
      </c>
      <c r="H10500" s="4" t="str">
        <f>HYPERLINK("https://www.ncbi.nlm.nih.gov/geo/query/acc.cgi?acc=GSM1616671","GSM1616671")</f>
        <v>GSM1616671</v>
      </c>
      <c r="I10500" t="s">
        <v>161</v>
      </c>
      <c r="J10500" t="s">
        <v>193</v>
      </c>
      <c r="K10500" t="s">
        <v>19</v>
      </c>
      <c r="L10500" t="s">
        <v>162</v>
      </c>
      <c r="M10500" t="s">
        <v>44</v>
      </c>
      <c r="N10500" t="s">
        <v>22</v>
      </c>
    </row>
    <row r="10501" spans="1:14">
      <c r="A10501" s="4" t="str">
        <f t="shared" si="934"/>
        <v>EXP00350</v>
      </c>
      <c r="B10501" s="4" t="str">
        <f t="shared" si="935"/>
        <v>26667932</v>
      </c>
      <c r="C10501" s="4" t="str">
        <f t="shared" si="936"/>
        <v>GSE74685</v>
      </c>
      <c r="D10501" s="1" t="s">
        <v>447</v>
      </c>
      <c r="E10501" t="s">
        <v>448</v>
      </c>
      <c r="F10501" s="1">
        <v>1</v>
      </c>
      <c r="G10501" s="1" t="s">
        <v>450</v>
      </c>
      <c r="H10501" s="4" t="str">
        <f>HYPERLINK("https://www.ncbi.nlm.nih.gov/geo/query/acc.cgi?acc=GSM1616674","GSM1616674")</f>
        <v>GSM1616674</v>
      </c>
      <c r="I10501" t="s">
        <v>161</v>
      </c>
      <c r="J10501" t="s">
        <v>193</v>
      </c>
      <c r="K10501" t="s">
        <v>19</v>
      </c>
      <c r="L10501" t="s">
        <v>162</v>
      </c>
      <c r="M10501" t="s">
        <v>44</v>
      </c>
      <c r="N10501" t="s">
        <v>22</v>
      </c>
    </row>
    <row r="10502" spans="1:14">
      <c r="A10502" s="4" t="str">
        <f t="shared" si="934"/>
        <v>EXP00350</v>
      </c>
      <c r="B10502" s="4" t="str">
        <f t="shared" si="935"/>
        <v>26667932</v>
      </c>
      <c r="C10502" s="4" t="str">
        <f t="shared" si="936"/>
        <v>GSE74685</v>
      </c>
      <c r="D10502" s="1" t="s">
        <v>447</v>
      </c>
      <c r="E10502" t="s">
        <v>448</v>
      </c>
      <c r="F10502" s="1">
        <v>1</v>
      </c>
      <c r="G10502" s="1" t="s">
        <v>450</v>
      </c>
      <c r="H10502" s="4" t="str">
        <f>HYPERLINK("https://www.ncbi.nlm.nih.gov/geo/query/acc.cgi?acc=GSM1616675","GSM1616675")</f>
        <v>GSM1616675</v>
      </c>
      <c r="I10502" t="s">
        <v>161</v>
      </c>
      <c r="J10502" t="s">
        <v>193</v>
      </c>
      <c r="K10502" t="s">
        <v>19</v>
      </c>
      <c r="L10502" t="s">
        <v>162</v>
      </c>
      <c r="M10502" t="s">
        <v>44</v>
      </c>
      <c r="N10502" t="s">
        <v>22</v>
      </c>
    </row>
    <row r="10503" spans="1:14">
      <c r="A10503" s="4" t="str">
        <f t="shared" si="934"/>
        <v>EXP00350</v>
      </c>
      <c r="B10503" s="4" t="str">
        <f t="shared" si="935"/>
        <v>26667932</v>
      </c>
      <c r="C10503" s="4" t="str">
        <f t="shared" si="936"/>
        <v>GSE74685</v>
      </c>
      <c r="D10503" s="1" t="s">
        <v>447</v>
      </c>
      <c r="E10503" t="s">
        <v>448</v>
      </c>
      <c r="F10503" s="1">
        <v>1</v>
      </c>
      <c r="G10503" s="1" t="s">
        <v>450</v>
      </c>
      <c r="H10503" s="4" t="str">
        <f>HYPERLINK("https://www.ncbi.nlm.nih.gov/geo/query/acc.cgi?acc=GSM1616677","GSM1616677")</f>
        <v>GSM1616677</v>
      </c>
      <c r="I10503" t="s">
        <v>161</v>
      </c>
      <c r="J10503" t="s">
        <v>193</v>
      </c>
      <c r="K10503" t="s">
        <v>19</v>
      </c>
      <c r="L10503" t="s">
        <v>162</v>
      </c>
      <c r="M10503" t="s">
        <v>44</v>
      </c>
      <c r="N10503" t="s">
        <v>22</v>
      </c>
    </row>
    <row r="10504" spans="1:14">
      <c r="A10504" s="4" t="str">
        <f t="shared" si="934"/>
        <v>EXP00350</v>
      </c>
      <c r="B10504" s="4" t="str">
        <f t="shared" si="935"/>
        <v>26667932</v>
      </c>
      <c r="C10504" s="4" t="str">
        <f t="shared" si="936"/>
        <v>GSE74685</v>
      </c>
      <c r="D10504" s="1" t="s">
        <v>447</v>
      </c>
      <c r="E10504" t="s">
        <v>448</v>
      </c>
      <c r="F10504" s="1">
        <v>1</v>
      </c>
      <c r="G10504" s="1" t="s">
        <v>450</v>
      </c>
      <c r="H10504" s="4" t="str">
        <f>HYPERLINK("https://www.ncbi.nlm.nih.gov/geo/query/acc.cgi?acc=GSM1930080","GSM1930080")</f>
        <v>GSM1930080</v>
      </c>
      <c r="I10504" t="s">
        <v>161</v>
      </c>
      <c r="J10504" t="s">
        <v>193</v>
      </c>
      <c r="K10504" t="s">
        <v>19</v>
      </c>
      <c r="L10504" t="s">
        <v>162</v>
      </c>
      <c r="M10504" t="s">
        <v>44</v>
      </c>
      <c r="N10504" t="s">
        <v>22</v>
      </c>
    </row>
    <row r="10505" spans="1:14">
      <c r="A10505" s="4" t="str">
        <f t="shared" si="934"/>
        <v>EXP00350</v>
      </c>
      <c r="B10505" s="4" t="str">
        <f t="shared" si="935"/>
        <v>26667932</v>
      </c>
      <c r="C10505" s="4" t="str">
        <f t="shared" si="936"/>
        <v>GSE74685</v>
      </c>
      <c r="D10505" s="1" t="s">
        <v>447</v>
      </c>
      <c r="E10505" t="s">
        <v>448</v>
      </c>
      <c r="F10505" s="1">
        <v>1</v>
      </c>
      <c r="G10505" s="1" t="s">
        <v>450</v>
      </c>
      <c r="H10505" s="4" t="str">
        <f>HYPERLINK("https://www.ncbi.nlm.nih.gov/geo/query/acc.cgi?acc=GSM1930136","GSM1930136")</f>
        <v>GSM1930136</v>
      </c>
      <c r="I10505" t="s">
        <v>161</v>
      </c>
      <c r="J10505" t="s">
        <v>193</v>
      </c>
      <c r="K10505" t="s">
        <v>19</v>
      </c>
      <c r="L10505" t="s">
        <v>162</v>
      </c>
      <c r="M10505" t="s">
        <v>44</v>
      </c>
      <c r="N10505" t="s">
        <v>22</v>
      </c>
    </row>
    <row r="10506" spans="1:14">
      <c r="A10506" s="4" t="str">
        <f t="shared" si="934"/>
        <v>EXP00350</v>
      </c>
      <c r="B10506" s="4" t="str">
        <f t="shared" si="935"/>
        <v>26667932</v>
      </c>
      <c r="C10506" s="4" t="str">
        <f t="shared" si="936"/>
        <v>GSE74685</v>
      </c>
      <c r="D10506" s="1" t="s">
        <v>447</v>
      </c>
      <c r="E10506" t="s">
        <v>448</v>
      </c>
      <c r="F10506" s="1">
        <v>1</v>
      </c>
      <c r="G10506" s="1" t="s">
        <v>450</v>
      </c>
      <c r="H10506" s="4" t="str">
        <f>HYPERLINK("https://www.ncbi.nlm.nih.gov/geo/query/acc.cgi?acc=GSM1930141","GSM1930141")</f>
        <v>GSM1930141</v>
      </c>
      <c r="I10506" t="s">
        <v>161</v>
      </c>
      <c r="J10506" t="s">
        <v>193</v>
      </c>
      <c r="K10506" t="s">
        <v>19</v>
      </c>
      <c r="L10506" t="s">
        <v>162</v>
      </c>
      <c r="M10506" t="s">
        <v>44</v>
      </c>
      <c r="N10506" t="s">
        <v>22</v>
      </c>
    </row>
    <row r="10507" spans="1:14">
      <c r="A10507" s="4" t="str">
        <f t="shared" si="934"/>
        <v>EXP00350</v>
      </c>
      <c r="B10507" s="4" t="str">
        <f t="shared" si="935"/>
        <v>26667932</v>
      </c>
      <c r="C10507" s="4" t="str">
        <f t="shared" si="936"/>
        <v>GSE74685</v>
      </c>
      <c r="D10507" s="1" t="s">
        <v>447</v>
      </c>
      <c r="E10507" t="s">
        <v>448</v>
      </c>
      <c r="F10507" s="1">
        <v>1</v>
      </c>
      <c r="G10507" s="1" t="s">
        <v>450</v>
      </c>
      <c r="H10507" s="4" t="str">
        <f>HYPERLINK("https://www.ncbi.nlm.nih.gov/geo/query/acc.cgi?acc=GSM1930142","GSM1930142")</f>
        <v>GSM1930142</v>
      </c>
      <c r="I10507" t="s">
        <v>161</v>
      </c>
      <c r="J10507" t="s">
        <v>193</v>
      </c>
      <c r="K10507" t="s">
        <v>19</v>
      </c>
      <c r="L10507" t="s">
        <v>162</v>
      </c>
      <c r="M10507" t="s">
        <v>44</v>
      </c>
      <c r="N10507" t="s">
        <v>22</v>
      </c>
    </row>
    <row r="10508" spans="1:14">
      <c r="A10508" s="4" t="str">
        <f t="shared" si="934"/>
        <v>EXP00350</v>
      </c>
      <c r="B10508" s="4" t="str">
        <f t="shared" si="935"/>
        <v>26667932</v>
      </c>
      <c r="C10508" s="4" t="str">
        <f t="shared" si="936"/>
        <v>GSE74685</v>
      </c>
      <c r="D10508" s="1" t="s">
        <v>447</v>
      </c>
      <c r="E10508" t="s">
        <v>448</v>
      </c>
      <c r="F10508" s="1">
        <v>1</v>
      </c>
      <c r="G10508" s="1" t="s">
        <v>450</v>
      </c>
      <c r="H10508" s="4" t="str">
        <f>HYPERLINK("https://www.ncbi.nlm.nih.gov/geo/query/acc.cgi?acc=GSM1930150","GSM1930150")</f>
        <v>GSM1930150</v>
      </c>
      <c r="I10508" t="s">
        <v>161</v>
      </c>
      <c r="J10508" t="s">
        <v>193</v>
      </c>
      <c r="K10508" t="s">
        <v>19</v>
      </c>
      <c r="L10508" t="s">
        <v>162</v>
      </c>
      <c r="M10508" t="s">
        <v>44</v>
      </c>
      <c r="N10508" t="s">
        <v>22</v>
      </c>
    </row>
    <row r="10509" spans="1:14">
      <c r="A10509" s="4" t="str">
        <f t="shared" si="934"/>
        <v>EXP00350</v>
      </c>
      <c r="B10509" s="4" t="str">
        <f t="shared" si="935"/>
        <v>26667932</v>
      </c>
      <c r="C10509" s="4" t="str">
        <f t="shared" si="936"/>
        <v>GSE74685</v>
      </c>
      <c r="D10509" s="1" t="s">
        <v>447</v>
      </c>
      <c r="E10509" t="s">
        <v>448</v>
      </c>
      <c r="F10509" s="1">
        <v>1</v>
      </c>
      <c r="G10509" s="1" t="s">
        <v>450</v>
      </c>
      <c r="H10509" s="4" t="str">
        <f>HYPERLINK("https://www.ncbi.nlm.nih.gov/geo/query/acc.cgi?acc=GSM1930155","GSM1930155")</f>
        <v>GSM1930155</v>
      </c>
      <c r="I10509" t="s">
        <v>161</v>
      </c>
      <c r="J10509" t="s">
        <v>193</v>
      </c>
      <c r="K10509" t="s">
        <v>19</v>
      </c>
      <c r="L10509" t="s">
        <v>162</v>
      </c>
      <c r="M10509" t="s">
        <v>44</v>
      </c>
      <c r="N10509" t="s">
        <v>22</v>
      </c>
    </row>
    <row r="10510" spans="1:14">
      <c r="A10510" s="4" t="str">
        <f t="shared" si="934"/>
        <v>EXP00350</v>
      </c>
      <c r="B10510" s="4" t="str">
        <f t="shared" si="935"/>
        <v>26667932</v>
      </c>
      <c r="C10510" s="4" t="str">
        <f t="shared" si="936"/>
        <v>GSE74685</v>
      </c>
      <c r="D10510" s="1" t="s">
        <v>447</v>
      </c>
      <c r="E10510" t="s">
        <v>448</v>
      </c>
      <c r="F10510" s="1">
        <v>2</v>
      </c>
      <c r="G10510" s="1" t="s">
        <v>453</v>
      </c>
      <c r="H10510" s="4" t="str">
        <f>HYPERLINK("https://www.ncbi.nlm.nih.gov/geo/query/acc.cgi?acc=GSM1616630","GSM1616630")</f>
        <v>GSM1616630</v>
      </c>
      <c r="I10510" t="s">
        <v>161</v>
      </c>
      <c r="J10510" t="s">
        <v>193</v>
      </c>
      <c r="K10510" t="s">
        <v>19</v>
      </c>
      <c r="L10510" t="s">
        <v>162</v>
      </c>
      <c r="M10510" t="s">
        <v>454</v>
      </c>
      <c r="N10510" t="s">
        <v>22</v>
      </c>
    </row>
    <row r="10511" spans="1:14">
      <c r="A10511" s="4" t="str">
        <f t="shared" si="934"/>
        <v>EXP00350</v>
      </c>
      <c r="B10511" s="4" t="str">
        <f t="shared" si="935"/>
        <v>26667932</v>
      </c>
      <c r="C10511" s="4" t="str">
        <f t="shared" si="936"/>
        <v>GSE74685</v>
      </c>
      <c r="D10511" s="1" t="s">
        <v>447</v>
      </c>
      <c r="E10511" t="s">
        <v>448</v>
      </c>
      <c r="F10511" s="1">
        <v>2</v>
      </c>
      <c r="G10511" s="1" t="s">
        <v>453</v>
      </c>
      <c r="H10511" s="4" t="str">
        <f>HYPERLINK("https://www.ncbi.nlm.nih.gov/geo/query/acc.cgi?acc=GSM1616631","GSM1616631")</f>
        <v>GSM1616631</v>
      </c>
      <c r="I10511" t="s">
        <v>161</v>
      </c>
      <c r="J10511" t="s">
        <v>193</v>
      </c>
      <c r="K10511" t="s">
        <v>19</v>
      </c>
      <c r="L10511" t="s">
        <v>162</v>
      </c>
      <c r="M10511" t="s">
        <v>454</v>
      </c>
      <c r="N10511" t="s">
        <v>22</v>
      </c>
    </row>
    <row r="10512" spans="1:14">
      <c r="A10512" s="4" t="str">
        <f t="shared" si="934"/>
        <v>EXP00350</v>
      </c>
      <c r="B10512" s="4" t="str">
        <f t="shared" si="935"/>
        <v>26667932</v>
      </c>
      <c r="C10512" s="4" t="str">
        <f t="shared" si="936"/>
        <v>GSE74685</v>
      </c>
      <c r="D10512" s="1" t="s">
        <v>447</v>
      </c>
      <c r="E10512" t="s">
        <v>448</v>
      </c>
      <c r="F10512" s="1">
        <v>2</v>
      </c>
      <c r="G10512" s="1" t="s">
        <v>453</v>
      </c>
      <c r="H10512" s="4" t="str">
        <f>HYPERLINK("https://www.ncbi.nlm.nih.gov/geo/query/acc.cgi?acc=GSM1930081","GSM1930081")</f>
        <v>GSM1930081</v>
      </c>
      <c r="I10512" t="s">
        <v>161</v>
      </c>
      <c r="J10512" t="s">
        <v>193</v>
      </c>
      <c r="K10512" t="s">
        <v>19</v>
      </c>
      <c r="L10512" t="s">
        <v>162</v>
      </c>
      <c r="M10512" t="s">
        <v>454</v>
      </c>
      <c r="N10512" t="s">
        <v>22</v>
      </c>
    </row>
    <row r="10513" spans="1:14">
      <c r="A10513" s="4" t="str">
        <f t="shared" si="934"/>
        <v>EXP00350</v>
      </c>
      <c r="B10513" s="4" t="str">
        <f t="shared" si="935"/>
        <v>26667932</v>
      </c>
      <c r="C10513" s="4" t="str">
        <f t="shared" si="936"/>
        <v>GSE74685</v>
      </c>
      <c r="D10513" s="1" t="s">
        <v>447</v>
      </c>
      <c r="E10513" t="s">
        <v>448</v>
      </c>
      <c r="F10513" s="1">
        <v>2</v>
      </c>
      <c r="G10513" s="1" t="s">
        <v>453</v>
      </c>
      <c r="H10513" s="4" t="str">
        <f>HYPERLINK("https://www.ncbi.nlm.nih.gov/geo/query/acc.cgi?acc=GSM1930131","GSM1930131")</f>
        <v>GSM1930131</v>
      </c>
      <c r="I10513" t="s">
        <v>161</v>
      </c>
      <c r="J10513" t="s">
        <v>193</v>
      </c>
      <c r="K10513" t="s">
        <v>19</v>
      </c>
      <c r="L10513" t="s">
        <v>162</v>
      </c>
      <c r="M10513" t="s">
        <v>454</v>
      </c>
      <c r="N10513" t="s">
        <v>22</v>
      </c>
    </row>
    <row r="10514" spans="1:14">
      <c r="A10514" s="4" t="str">
        <f t="shared" ref="A10514:A10545" si="937">HYPERLINK("http://hcmdb.i-sanger.com/experiment/details/experiment_id/EXP00351","EXP00351")</f>
        <v>EXP00351</v>
      </c>
      <c r="B10514" s="4" t="str">
        <f t="shared" si="935"/>
        <v>26667932</v>
      </c>
      <c r="C10514" s="4" t="str">
        <f t="shared" si="936"/>
        <v>GSE74685</v>
      </c>
      <c r="D10514" s="1" t="s">
        <v>447</v>
      </c>
      <c r="E10514" t="s">
        <v>448</v>
      </c>
      <c r="F10514" s="1">
        <v>1</v>
      </c>
      <c r="G10514" s="1" t="s">
        <v>451</v>
      </c>
      <c r="H10514" s="4" t="str">
        <f>HYPERLINK("https://www.ncbi.nlm.nih.gov/geo/query/acc.cgi?acc=GSM1616617","GSM1616617")</f>
        <v>GSM1616617</v>
      </c>
      <c r="I10514" t="s">
        <v>161</v>
      </c>
      <c r="J10514" t="s">
        <v>193</v>
      </c>
      <c r="K10514" t="s">
        <v>19</v>
      </c>
      <c r="L10514" t="s">
        <v>162</v>
      </c>
      <c r="M10514" t="s">
        <v>41</v>
      </c>
      <c r="N10514" t="s">
        <v>22</v>
      </c>
    </row>
    <row r="10515" spans="1:14">
      <c r="A10515" s="4" t="str">
        <f t="shared" si="937"/>
        <v>EXP00351</v>
      </c>
      <c r="B10515" s="4" t="str">
        <f t="shared" si="935"/>
        <v>26667932</v>
      </c>
      <c r="C10515" s="4" t="str">
        <f t="shared" si="936"/>
        <v>GSE74685</v>
      </c>
      <c r="D10515" s="1" t="s">
        <v>447</v>
      </c>
      <c r="E10515" t="s">
        <v>448</v>
      </c>
      <c r="F10515" s="1">
        <v>1</v>
      </c>
      <c r="G10515" s="1" t="s">
        <v>451</v>
      </c>
      <c r="H10515" s="4" t="str">
        <f>HYPERLINK("https://www.ncbi.nlm.nih.gov/geo/query/acc.cgi?acc=GSM1616637","GSM1616637")</f>
        <v>GSM1616637</v>
      </c>
      <c r="I10515" t="s">
        <v>161</v>
      </c>
      <c r="J10515" t="s">
        <v>193</v>
      </c>
      <c r="K10515" t="s">
        <v>19</v>
      </c>
      <c r="L10515" t="s">
        <v>162</v>
      </c>
      <c r="M10515" t="s">
        <v>41</v>
      </c>
      <c r="N10515" t="s">
        <v>22</v>
      </c>
    </row>
    <row r="10516" spans="1:14">
      <c r="A10516" s="4" t="str">
        <f t="shared" si="937"/>
        <v>EXP00351</v>
      </c>
      <c r="B10516" s="4" t="str">
        <f t="shared" si="935"/>
        <v>26667932</v>
      </c>
      <c r="C10516" s="4" t="str">
        <f t="shared" si="936"/>
        <v>GSE74685</v>
      </c>
      <c r="D10516" s="1" t="s">
        <v>447</v>
      </c>
      <c r="E10516" t="s">
        <v>448</v>
      </c>
      <c r="F10516" s="1">
        <v>1</v>
      </c>
      <c r="G10516" s="1" t="s">
        <v>451</v>
      </c>
      <c r="H10516" s="4" t="str">
        <f>HYPERLINK("https://www.ncbi.nlm.nih.gov/geo/query/acc.cgi?acc=GSM1616646","GSM1616646")</f>
        <v>GSM1616646</v>
      </c>
      <c r="I10516" t="s">
        <v>161</v>
      </c>
      <c r="J10516" t="s">
        <v>193</v>
      </c>
      <c r="K10516" t="s">
        <v>19</v>
      </c>
      <c r="L10516" t="s">
        <v>162</v>
      </c>
      <c r="M10516" t="s">
        <v>41</v>
      </c>
      <c r="N10516" t="s">
        <v>22</v>
      </c>
    </row>
    <row r="10517" spans="1:14">
      <c r="A10517" s="4" t="str">
        <f t="shared" si="937"/>
        <v>EXP00351</v>
      </c>
      <c r="B10517" s="4" t="str">
        <f t="shared" si="935"/>
        <v>26667932</v>
      </c>
      <c r="C10517" s="4" t="str">
        <f t="shared" si="936"/>
        <v>GSE74685</v>
      </c>
      <c r="D10517" s="1" t="s">
        <v>447</v>
      </c>
      <c r="E10517" t="s">
        <v>448</v>
      </c>
      <c r="F10517" s="1">
        <v>1</v>
      </c>
      <c r="G10517" s="1" t="s">
        <v>451</v>
      </c>
      <c r="H10517" s="4" t="str">
        <f>HYPERLINK("https://www.ncbi.nlm.nih.gov/geo/query/acc.cgi?acc=GSM1616660","GSM1616660")</f>
        <v>GSM1616660</v>
      </c>
      <c r="I10517" t="s">
        <v>161</v>
      </c>
      <c r="J10517" t="s">
        <v>193</v>
      </c>
      <c r="K10517" t="s">
        <v>19</v>
      </c>
      <c r="L10517" t="s">
        <v>162</v>
      </c>
      <c r="M10517" t="s">
        <v>41</v>
      </c>
      <c r="N10517" t="s">
        <v>22</v>
      </c>
    </row>
    <row r="10518" spans="1:14">
      <c r="A10518" s="4" t="str">
        <f t="shared" si="937"/>
        <v>EXP00351</v>
      </c>
      <c r="B10518" s="4" t="str">
        <f t="shared" si="935"/>
        <v>26667932</v>
      </c>
      <c r="C10518" s="4" t="str">
        <f t="shared" si="936"/>
        <v>GSE74685</v>
      </c>
      <c r="D10518" s="1" t="s">
        <v>447</v>
      </c>
      <c r="E10518" t="s">
        <v>448</v>
      </c>
      <c r="F10518" s="1">
        <v>1</v>
      </c>
      <c r="G10518" s="1" t="s">
        <v>451</v>
      </c>
      <c r="H10518" s="4" t="str">
        <f>HYPERLINK("https://www.ncbi.nlm.nih.gov/geo/query/acc.cgi?acc=GSM1616666","GSM1616666")</f>
        <v>GSM1616666</v>
      </c>
      <c r="I10518" t="s">
        <v>161</v>
      </c>
      <c r="J10518" t="s">
        <v>193</v>
      </c>
      <c r="K10518" t="s">
        <v>19</v>
      </c>
      <c r="L10518" t="s">
        <v>162</v>
      </c>
      <c r="M10518" t="s">
        <v>41</v>
      </c>
      <c r="N10518" t="s">
        <v>22</v>
      </c>
    </row>
    <row r="10519" spans="1:14">
      <c r="A10519" s="4" t="str">
        <f t="shared" si="937"/>
        <v>EXP00351</v>
      </c>
      <c r="B10519" s="4" t="str">
        <f t="shared" si="935"/>
        <v>26667932</v>
      </c>
      <c r="C10519" s="4" t="str">
        <f t="shared" si="936"/>
        <v>GSE74685</v>
      </c>
      <c r="D10519" s="1" t="s">
        <v>447</v>
      </c>
      <c r="E10519" t="s">
        <v>448</v>
      </c>
      <c r="F10519" s="1">
        <v>1</v>
      </c>
      <c r="G10519" s="1" t="s">
        <v>451</v>
      </c>
      <c r="H10519" s="4" t="str">
        <f>HYPERLINK("https://www.ncbi.nlm.nih.gov/geo/query/acc.cgi?acc=GSM1616668","GSM1616668")</f>
        <v>GSM1616668</v>
      </c>
      <c r="I10519" t="s">
        <v>161</v>
      </c>
      <c r="J10519" t="s">
        <v>193</v>
      </c>
      <c r="K10519" t="s">
        <v>19</v>
      </c>
      <c r="L10519" t="s">
        <v>162</v>
      </c>
      <c r="M10519" t="s">
        <v>41</v>
      </c>
      <c r="N10519" t="s">
        <v>22</v>
      </c>
    </row>
    <row r="10520" spans="1:14">
      <c r="A10520" s="4" t="str">
        <f t="shared" si="937"/>
        <v>EXP00351</v>
      </c>
      <c r="B10520" s="4" t="str">
        <f t="shared" si="935"/>
        <v>26667932</v>
      </c>
      <c r="C10520" s="4" t="str">
        <f t="shared" si="936"/>
        <v>GSE74685</v>
      </c>
      <c r="D10520" s="1" t="s">
        <v>447</v>
      </c>
      <c r="E10520" t="s">
        <v>448</v>
      </c>
      <c r="F10520" s="1">
        <v>1</v>
      </c>
      <c r="G10520" s="1" t="s">
        <v>451</v>
      </c>
      <c r="H10520" s="4" t="str">
        <f>HYPERLINK("https://www.ncbi.nlm.nih.gov/geo/query/acc.cgi?acc=GSM1616673","GSM1616673")</f>
        <v>GSM1616673</v>
      </c>
      <c r="I10520" t="s">
        <v>161</v>
      </c>
      <c r="J10520" t="s">
        <v>193</v>
      </c>
      <c r="K10520" t="s">
        <v>19</v>
      </c>
      <c r="L10520" t="s">
        <v>162</v>
      </c>
      <c r="M10520" t="s">
        <v>41</v>
      </c>
      <c r="N10520" t="s">
        <v>22</v>
      </c>
    </row>
    <row r="10521" spans="1:14">
      <c r="A10521" s="4" t="str">
        <f t="shared" si="937"/>
        <v>EXP00351</v>
      </c>
      <c r="B10521" s="4" t="str">
        <f t="shared" si="935"/>
        <v>26667932</v>
      </c>
      <c r="C10521" s="4" t="str">
        <f t="shared" si="936"/>
        <v>GSE74685</v>
      </c>
      <c r="D10521" s="1" t="s">
        <v>447</v>
      </c>
      <c r="E10521" t="s">
        <v>448</v>
      </c>
      <c r="F10521" s="1">
        <v>1</v>
      </c>
      <c r="G10521" s="1" t="s">
        <v>451</v>
      </c>
      <c r="H10521" s="4" t="str">
        <f>HYPERLINK("https://www.ncbi.nlm.nih.gov/geo/query/acc.cgi?acc=GSM1930066","GSM1930066")</f>
        <v>GSM1930066</v>
      </c>
      <c r="I10521" t="s">
        <v>161</v>
      </c>
      <c r="J10521" t="s">
        <v>193</v>
      </c>
      <c r="K10521" t="s">
        <v>19</v>
      </c>
      <c r="L10521" t="s">
        <v>162</v>
      </c>
      <c r="M10521" t="s">
        <v>41</v>
      </c>
      <c r="N10521" t="s">
        <v>22</v>
      </c>
    </row>
    <row r="10522" spans="1:14">
      <c r="A10522" s="4" t="str">
        <f t="shared" si="937"/>
        <v>EXP00351</v>
      </c>
      <c r="B10522" s="4" t="str">
        <f t="shared" si="935"/>
        <v>26667932</v>
      </c>
      <c r="C10522" s="4" t="str">
        <f t="shared" si="936"/>
        <v>GSE74685</v>
      </c>
      <c r="D10522" s="1" t="s">
        <v>447</v>
      </c>
      <c r="E10522" t="s">
        <v>448</v>
      </c>
      <c r="F10522" s="1">
        <v>1</v>
      </c>
      <c r="G10522" s="1" t="s">
        <v>451</v>
      </c>
      <c r="H10522" s="4" t="str">
        <f>HYPERLINK("https://www.ncbi.nlm.nih.gov/geo/query/acc.cgi?acc=GSM1930069","GSM1930069")</f>
        <v>GSM1930069</v>
      </c>
      <c r="I10522" t="s">
        <v>161</v>
      </c>
      <c r="J10522" t="s">
        <v>193</v>
      </c>
      <c r="K10522" t="s">
        <v>19</v>
      </c>
      <c r="L10522" t="s">
        <v>162</v>
      </c>
      <c r="M10522" t="s">
        <v>41</v>
      </c>
      <c r="N10522" t="s">
        <v>22</v>
      </c>
    </row>
    <row r="10523" spans="1:14">
      <c r="A10523" s="4" t="str">
        <f t="shared" si="937"/>
        <v>EXP00351</v>
      </c>
      <c r="B10523" s="4" t="str">
        <f t="shared" si="935"/>
        <v>26667932</v>
      </c>
      <c r="C10523" s="4" t="str">
        <f t="shared" si="936"/>
        <v>GSE74685</v>
      </c>
      <c r="D10523" s="1" t="s">
        <v>447</v>
      </c>
      <c r="E10523" t="s">
        <v>448</v>
      </c>
      <c r="F10523" s="1">
        <v>1</v>
      </c>
      <c r="G10523" s="1" t="s">
        <v>451</v>
      </c>
      <c r="H10523" s="4" t="str">
        <f>HYPERLINK("https://www.ncbi.nlm.nih.gov/geo/query/acc.cgi?acc=GSM1930075","GSM1930075")</f>
        <v>GSM1930075</v>
      </c>
      <c r="I10523" t="s">
        <v>161</v>
      </c>
      <c r="J10523" t="s">
        <v>193</v>
      </c>
      <c r="K10523" t="s">
        <v>19</v>
      </c>
      <c r="L10523" t="s">
        <v>162</v>
      </c>
      <c r="M10523" t="s">
        <v>41</v>
      </c>
      <c r="N10523" t="s">
        <v>22</v>
      </c>
    </row>
    <row r="10524" spans="1:14">
      <c r="A10524" s="4" t="str">
        <f t="shared" si="937"/>
        <v>EXP00351</v>
      </c>
      <c r="B10524" s="4" t="str">
        <f t="shared" si="935"/>
        <v>26667932</v>
      </c>
      <c r="C10524" s="4" t="str">
        <f t="shared" si="936"/>
        <v>GSE74685</v>
      </c>
      <c r="D10524" s="1" t="s">
        <v>447</v>
      </c>
      <c r="E10524" t="s">
        <v>448</v>
      </c>
      <c r="F10524" s="1">
        <v>1</v>
      </c>
      <c r="G10524" s="1" t="s">
        <v>451</v>
      </c>
      <c r="H10524" s="4" t="str">
        <f>HYPERLINK("https://www.ncbi.nlm.nih.gov/geo/query/acc.cgi?acc=GSM1930076","GSM1930076")</f>
        <v>GSM1930076</v>
      </c>
      <c r="I10524" t="s">
        <v>161</v>
      </c>
      <c r="J10524" t="s">
        <v>193</v>
      </c>
      <c r="K10524" t="s">
        <v>19</v>
      </c>
      <c r="L10524" t="s">
        <v>162</v>
      </c>
      <c r="M10524" t="s">
        <v>41</v>
      </c>
      <c r="N10524" t="s">
        <v>22</v>
      </c>
    </row>
    <row r="10525" spans="1:14">
      <c r="A10525" s="4" t="str">
        <f t="shared" si="937"/>
        <v>EXP00351</v>
      </c>
      <c r="B10525" s="4" t="str">
        <f t="shared" si="935"/>
        <v>26667932</v>
      </c>
      <c r="C10525" s="4" t="str">
        <f t="shared" si="936"/>
        <v>GSE74685</v>
      </c>
      <c r="D10525" s="1" t="s">
        <v>447</v>
      </c>
      <c r="E10525" t="s">
        <v>448</v>
      </c>
      <c r="F10525" s="1">
        <v>1</v>
      </c>
      <c r="G10525" s="1" t="s">
        <v>451</v>
      </c>
      <c r="H10525" s="4" t="str">
        <f>HYPERLINK("https://www.ncbi.nlm.nih.gov/geo/query/acc.cgi?acc=GSM1930082","GSM1930082")</f>
        <v>GSM1930082</v>
      </c>
      <c r="I10525" t="s">
        <v>161</v>
      </c>
      <c r="J10525" t="s">
        <v>193</v>
      </c>
      <c r="K10525" t="s">
        <v>19</v>
      </c>
      <c r="L10525" t="s">
        <v>162</v>
      </c>
      <c r="M10525" t="s">
        <v>41</v>
      </c>
      <c r="N10525" t="s">
        <v>22</v>
      </c>
    </row>
    <row r="10526" spans="1:14">
      <c r="A10526" s="4" t="str">
        <f t="shared" si="937"/>
        <v>EXP00351</v>
      </c>
      <c r="B10526" s="4" t="str">
        <f t="shared" si="935"/>
        <v>26667932</v>
      </c>
      <c r="C10526" s="4" t="str">
        <f t="shared" si="936"/>
        <v>GSE74685</v>
      </c>
      <c r="D10526" s="1" t="s">
        <v>447</v>
      </c>
      <c r="E10526" t="s">
        <v>448</v>
      </c>
      <c r="F10526" s="1">
        <v>1</v>
      </c>
      <c r="G10526" s="1" t="s">
        <v>451</v>
      </c>
      <c r="H10526" s="4" t="str">
        <f>HYPERLINK("https://www.ncbi.nlm.nih.gov/geo/query/acc.cgi?acc=GSM1930084","GSM1930084")</f>
        <v>GSM1930084</v>
      </c>
      <c r="I10526" t="s">
        <v>161</v>
      </c>
      <c r="J10526" t="s">
        <v>193</v>
      </c>
      <c r="K10526" t="s">
        <v>19</v>
      </c>
      <c r="L10526" t="s">
        <v>162</v>
      </c>
      <c r="M10526" t="s">
        <v>41</v>
      </c>
      <c r="N10526" t="s">
        <v>22</v>
      </c>
    </row>
    <row r="10527" spans="1:14">
      <c r="A10527" s="4" t="str">
        <f t="shared" si="937"/>
        <v>EXP00351</v>
      </c>
      <c r="B10527" s="4" t="str">
        <f t="shared" si="935"/>
        <v>26667932</v>
      </c>
      <c r="C10527" s="4" t="str">
        <f t="shared" si="936"/>
        <v>GSE74685</v>
      </c>
      <c r="D10527" s="1" t="s">
        <v>447</v>
      </c>
      <c r="E10527" t="s">
        <v>448</v>
      </c>
      <c r="F10527" s="1">
        <v>1</v>
      </c>
      <c r="G10527" s="1" t="s">
        <v>451</v>
      </c>
      <c r="H10527" s="4" t="str">
        <f>HYPERLINK("https://www.ncbi.nlm.nih.gov/geo/query/acc.cgi?acc=GSM1930101","GSM1930101")</f>
        <v>GSM1930101</v>
      </c>
      <c r="I10527" t="s">
        <v>161</v>
      </c>
      <c r="J10527" t="s">
        <v>193</v>
      </c>
      <c r="K10527" t="s">
        <v>19</v>
      </c>
      <c r="L10527" t="s">
        <v>162</v>
      </c>
      <c r="M10527" t="s">
        <v>41</v>
      </c>
      <c r="N10527" t="s">
        <v>22</v>
      </c>
    </row>
    <row r="10528" spans="1:14">
      <c r="A10528" s="4" t="str">
        <f t="shared" si="937"/>
        <v>EXP00351</v>
      </c>
      <c r="B10528" s="4" t="str">
        <f t="shared" si="935"/>
        <v>26667932</v>
      </c>
      <c r="C10528" s="4" t="str">
        <f t="shared" si="936"/>
        <v>GSE74685</v>
      </c>
      <c r="D10528" s="1" t="s">
        <v>447</v>
      </c>
      <c r="E10528" t="s">
        <v>448</v>
      </c>
      <c r="F10528" s="1">
        <v>1</v>
      </c>
      <c r="G10528" s="1" t="s">
        <v>451</v>
      </c>
      <c r="H10528" s="4" t="str">
        <f>HYPERLINK("https://www.ncbi.nlm.nih.gov/geo/query/acc.cgi?acc=GSM1930107","GSM1930107")</f>
        <v>GSM1930107</v>
      </c>
      <c r="I10528" t="s">
        <v>161</v>
      </c>
      <c r="J10528" t="s">
        <v>193</v>
      </c>
      <c r="K10528" t="s">
        <v>19</v>
      </c>
      <c r="L10528" t="s">
        <v>162</v>
      </c>
      <c r="M10528" t="s">
        <v>41</v>
      </c>
      <c r="N10528" t="s">
        <v>22</v>
      </c>
    </row>
    <row r="10529" spans="1:14">
      <c r="A10529" s="4" t="str">
        <f t="shared" si="937"/>
        <v>EXP00351</v>
      </c>
      <c r="B10529" s="4" t="str">
        <f t="shared" si="935"/>
        <v>26667932</v>
      </c>
      <c r="C10529" s="4" t="str">
        <f t="shared" si="936"/>
        <v>GSE74685</v>
      </c>
      <c r="D10529" s="1" t="s">
        <v>447</v>
      </c>
      <c r="E10529" t="s">
        <v>448</v>
      </c>
      <c r="F10529" s="1">
        <v>1</v>
      </c>
      <c r="G10529" s="1" t="s">
        <v>451</v>
      </c>
      <c r="H10529" s="4" t="str">
        <f>HYPERLINK("https://www.ncbi.nlm.nih.gov/geo/query/acc.cgi?acc=GSM1930108","GSM1930108")</f>
        <v>GSM1930108</v>
      </c>
      <c r="I10529" t="s">
        <v>161</v>
      </c>
      <c r="J10529" t="s">
        <v>193</v>
      </c>
      <c r="K10529" t="s">
        <v>19</v>
      </c>
      <c r="L10529" t="s">
        <v>162</v>
      </c>
      <c r="M10529" t="s">
        <v>41</v>
      </c>
      <c r="N10529" t="s">
        <v>22</v>
      </c>
    </row>
    <row r="10530" spans="1:14">
      <c r="A10530" s="4" t="str">
        <f t="shared" si="937"/>
        <v>EXP00351</v>
      </c>
      <c r="B10530" s="4" t="str">
        <f t="shared" si="935"/>
        <v>26667932</v>
      </c>
      <c r="C10530" s="4" t="str">
        <f t="shared" si="936"/>
        <v>GSE74685</v>
      </c>
      <c r="D10530" s="1" t="s">
        <v>447</v>
      </c>
      <c r="E10530" t="s">
        <v>448</v>
      </c>
      <c r="F10530" s="1">
        <v>1</v>
      </c>
      <c r="G10530" s="1" t="s">
        <v>451</v>
      </c>
      <c r="H10530" s="4" t="str">
        <f>HYPERLINK("https://www.ncbi.nlm.nih.gov/geo/query/acc.cgi?acc=GSM1930122","GSM1930122")</f>
        <v>GSM1930122</v>
      </c>
      <c r="I10530" t="s">
        <v>161</v>
      </c>
      <c r="J10530" t="s">
        <v>193</v>
      </c>
      <c r="K10530" t="s">
        <v>19</v>
      </c>
      <c r="L10530" t="s">
        <v>162</v>
      </c>
      <c r="M10530" t="s">
        <v>41</v>
      </c>
      <c r="N10530" t="s">
        <v>22</v>
      </c>
    </row>
    <row r="10531" spans="1:14">
      <c r="A10531" s="4" t="str">
        <f t="shared" si="937"/>
        <v>EXP00351</v>
      </c>
      <c r="B10531" s="4" t="str">
        <f t="shared" si="935"/>
        <v>26667932</v>
      </c>
      <c r="C10531" s="4" t="str">
        <f t="shared" si="936"/>
        <v>GSE74685</v>
      </c>
      <c r="D10531" s="1" t="s">
        <v>447</v>
      </c>
      <c r="E10531" t="s">
        <v>448</v>
      </c>
      <c r="F10531" s="1">
        <v>1</v>
      </c>
      <c r="G10531" s="1" t="s">
        <v>451</v>
      </c>
      <c r="H10531" s="4" t="str">
        <f>HYPERLINK("https://www.ncbi.nlm.nih.gov/geo/query/acc.cgi?acc=GSM1930133","GSM1930133")</f>
        <v>GSM1930133</v>
      </c>
      <c r="I10531" t="s">
        <v>161</v>
      </c>
      <c r="J10531" t="s">
        <v>193</v>
      </c>
      <c r="K10531" t="s">
        <v>19</v>
      </c>
      <c r="L10531" t="s">
        <v>162</v>
      </c>
      <c r="M10531" t="s">
        <v>41</v>
      </c>
      <c r="N10531" t="s">
        <v>22</v>
      </c>
    </row>
    <row r="10532" spans="1:14">
      <c r="A10532" s="4" t="str">
        <f t="shared" si="937"/>
        <v>EXP00351</v>
      </c>
      <c r="B10532" s="4" t="str">
        <f t="shared" si="935"/>
        <v>26667932</v>
      </c>
      <c r="C10532" s="4" t="str">
        <f t="shared" si="936"/>
        <v>GSE74685</v>
      </c>
      <c r="D10532" s="1" t="s">
        <v>447</v>
      </c>
      <c r="E10532" t="s">
        <v>448</v>
      </c>
      <c r="F10532" s="1">
        <v>1</v>
      </c>
      <c r="G10532" s="1" t="s">
        <v>451</v>
      </c>
      <c r="H10532" s="4" t="str">
        <f>HYPERLINK("https://www.ncbi.nlm.nih.gov/geo/query/acc.cgi?acc=GSM1930135","GSM1930135")</f>
        <v>GSM1930135</v>
      </c>
      <c r="I10532" t="s">
        <v>161</v>
      </c>
      <c r="J10532" t="s">
        <v>193</v>
      </c>
      <c r="K10532" t="s">
        <v>19</v>
      </c>
      <c r="L10532" t="s">
        <v>162</v>
      </c>
      <c r="M10532" t="s">
        <v>41</v>
      </c>
      <c r="N10532" t="s">
        <v>22</v>
      </c>
    </row>
    <row r="10533" spans="1:14">
      <c r="A10533" s="4" t="str">
        <f t="shared" si="937"/>
        <v>EXP00351</v>
      </c>
      <c r="B10533" s="4" t="str">
        <f t="shared" si="935"/>
        <v>26667932</v>
      </c>
      <c r="C10533" s="4" t="str">
        <f t="shared" si="936"/>
        <v>GSE74685</v>
      </c>
      <c r="D10533" s="1" t="s">
        <v>447</v>
      </c>
      <c r="E10533" t="s">
        <v>448</v>
      </c>
      <c r="F10533" s="1">
        <v>1</v>
      </c>
      <c r="G10533" s="1" t="s">
        <v>451</v>
      </c>
      <c r="H10533" s="4" t="str">
        <f>HYPERLINK("https://www.ncbi.nlm.nih.gov/geo/query/acc.cgi?acc=GSM1930137","GSM1930137")</f>
        <v>GSM1930137</v>
      </c>
      <c r="I10533" t="s">
        <v>161</v>
      </c>
      <c r="J10533" t="s">
        <v>193</v>
      </c>
      <c r="K10533" t="s">
        <v>19</v>
      </c>
      <c r="L10533" t="s">
        <v>162</v>
      </c>
      <c r="M10533" t="s">
        <v>41</v>
      </c>
      <c r="N10533" t="s">
        <v>22</v>
      </c>
    </row>
    <row r="10534" spans="1:14">
      <c r="A10534" s="4" t="str">
        <f t="shared" si="937"/>
        <v>EXP00351</v>
      </c>
      <c r="B10534" s="4" t="str">
        <f t="shared" si="935"/>
        <v>26667932</v>
      </c>
      <c r="C10534" s="4" t="str">
        <f t="shared" si="936"/>
        <v>GSE74685</v>
      </c>
      <c r="D10534" s="1" t="s">
        <v>447</v>
      </c>
      <c r="E10534" t="s">
        <v>448</v>
      </c>
      <c r="F10534" s="1">
        <v>1</v>
      </c>
      <c r="G10534" s="1" t="s">
        <v>451</v>
      </c>
      <c r="H10534" s="4" t="str">
        <f>HYPERLINK("https://www.ncbi.nlm.nih.gov/geo/query/acc.cgi?acc=GSM1930143","GSM1930143")</f>
        <v>GSM1930143</v>
      </c>
      <c r="I10534" t="s">
        <v>161</v>
      </c>
      <c r="J10534" t="s">
        <v>193</v>
      </c>
      <c r="K10534" t="s">
        <v>19</v>
      </c>
      <c r="L10534" t="s">
        <v>162</v>
      </c>
      <c r="M10534" t="s">
        <v>41</v>
      </c>
      <c r="N10534" t="s">
        <v>22</v>
      </c>
    </row>
    <row r="10535" spans="1:14">
      <c r="A10535" s="4" t="str">
        <f t="shared" si="937"/>
        <v>EXP00351</v>
      </c>
      <c r="B10535" s="4" t="str">
        <f t="shared" si="935"/>
        <v>26667932</v>
      </c>
      <c r="C10535" s="4" t="str">
        <f t="shared" si="936"/>
        <v>GSE74685</v>
      </c>
      <c r="D10535" s="1" t="s">
        <v>447</v>
      </c>
      <c r="E10535" t="s">
        <v>448</v>
      </c>
      <c r="F10535" s="1">
        <v>1</v>
      </c>
      <c r="G10535" s="1" t="s">
        <v>451</v>
      </c>
      <c r="H10535" s="4" t="str">
        <f>HYPERLINK("https://www.ncbi.nlm.nih.gov/geo/query/acc.cgi?acc=GSM1930153","GSM1930153")</f>
        <v>GSM1930153</v>
      </c>
      <c r="I10535" t="s">
        <v>161</v>
      </c>
      <c r="J10535" t="s">
        <v>193</v>
      </c>
      <c r="K10535" t="s">
        <v>19</v>
      </c>
      <c r="L10535" t="s">
        <v>162</v>
      </c>
      <c r="M10535" t="s">
        <v>41</v>
      </c>
      <c r="N10535" t="s">
        <v>22</v>
      </c>
    </row>
    <row r="10536" spans="1:14">
      <c r="A10536" s="4" t="str">
        <f t="shared" si="937"/>
        <v>EXP00351</v>
      </c>
      <c r="B10536" s="4" t="str">
        <f t="shared" si="935"/>
        <v>26667932</v>
      </c>
      <c r="C10536" s="4" t="str">
        <f t="shared" si="936"/>
        <v>GSE74685</v>
      </c>
      <c r="D10536" s="1" t="s">
        <v>447</v>
      </c>
      <c r="E10536" t="s">
        <v>448</v>
      </c>
      <c r="F10536" s="1">
        <v>2</v>
      </c>
      <c r="G10536" s="1" t="s">
        <v>452</v>
      </c>
      <c r="H10536" s="4" t="str">
        <f>HYPERLINK("https://www.ncbi.nlm.nih.gov/geo/query/acc.cgi?acc=GSM1616615","GSM1616615")</f>
        <v>GSM1616615</v>
      </c>
      <c r="I10536" t="s">
        <v>161</v>
      </c>
      <c r="J10536" t="s">
        <v>193</v>
      </c>
      <c r="K10536" t="s">
        <v>19</v>
      </c>
      <c r="L10536" t="s">
        <v>162</v>
      </c>
      <c r="M10536" t="s">
        <v>24</v>
      </c>
      <c r="N10536" t="s">
        <v>22</v>
      </c>
    </row>
    <row r="10537" spans="1:14">
      <c r="A10537" s="4" t="str">
        <f t="shared" si="937"/>
        <v>EXP00351</v>
      </c>
      <c r="B10537" s="4" t="str">
        <f t="shared" si="935"/>
        <v>26667932</v>
      </c>
      <c r="C10537" s="4" t="str">
        <f t="shared" si="936"/>
        <v>GSE74685</v>
      </c>
      <c r="D10537" s="1" t="s">
        <v>447</v>
      </c>
      <c r="E10537" t="s">
        <v>448</v>
      </c>
      <c r="F10537" s="1">
        <v>2</v>
      </c>
      <c r="G10537" s="1" t="s">
        <v>452</v>
      </c>
      <c r="H10537" s="4" t="str">
        <f>HYPERLINK("https://www.ncbi.nlm.nih.gov/geo/query/acc.cgi?acc=GSM1616616","GSM1616616")</f>
        <v>GSM1616616</v>
      </c>
      <c r="I10537" t="s">
        <v>161</v>
      </c>
      <c r="J10537" t="s">
        <v>193</v>
      </c>
      <c r="K10537" t="s">
        <v>19</v>
      </c>
      <c r="L10537" t="s">
        <v>162</v>
      </c>
      <c r="M10537" t="s">
        <v>24</v>
      </c>
      <c r="N10537" t="s">
        <v>22</v>
      </c>
    </row>
    <row r="10538" spans="1:14">
      <c r="A10538" s="4" t="str">
        <f t="shared" si="937"/>
        <v>EXP00351</v>
      </c>
      <c r="B10538" s="4" t="str">
        <f t="shared" si="935"/>
        <v>26667932</v>
      </c>
      <c r="C10538" s="4" t="str">
        <f t="shared" si="936"/>
        <v>GSE74685</v>
      </c>
      <c r="D10538" s="1" t="s">
        <v>447</v>
      </c>
      <c r="E10538" t="s">
        <v>448</v>
      </c>
      <c r="F10538" s="1">
        <v>2</v>
      </c>
      <c r="G10538" s="1" t="s">
        <v>452</v>
      </c>
      <c r="H10538" s="4" t="str">
        <f>HYPERLINK("https://www.ncbi.nlm.nih.gov/geo/query/acc.cgi?acc=GSM1616619","GSM1616619")</f>
        <v>GSM1616619</v>
      </c>
      <c r="I10538" t="s">
        <v>161</v>
      </c>
      <c r="J10538" t="s">
        <v>193</v>
      </c>
      <c r="K10538" t="s">
        <v>19</v>
      </c>
      <c r="L10538" t="s">
        <v>162</v>
      </c>
      <c r="M10538" t="s">
        <v>24</v>
      </c>
      <c r="N10538" t="s">
        <v>22</v>
      </c>
    </row>
    <row r="10539" spans="1:14">
      <c r="A10539" s="4" t="str">
        <f t="shared" si="937"/>
        <v>EXP00351</v>
      </c>
      <c r="B10539" s="4" t="str">
        <f t="shared" si="935"/>
        <v>26667932</v>
      </c>
      <c r="C10539" s="4" t="str">
        <f t="shared" si="936"/>
        <v>GSE74685</v>
      </c>
      <c r="D10539" s="1" t="s">
        <v>447</v>
      </c>
      <c r="E10539" t="s">
        <v>448</v>
      </c>
      <c r="F10539" s="1">
        <v>2</v>
      </c>
      <c r="G10539" s="1" t="s">
        <v>452</v>
      </c>
      <c r="H10539" s="4" t="str">
        <f>HYPERLINK("https://www.ncbi.nlm.nih.gov/geo/query/acc.cgi?acc=GSM1616620","GSM1616620")</f>
        <v>GSM1616620</v>
      </c>
      <c r="I10539" t="s">
        <v>161</v>
      </c>
      <c r="J10539" t="s">
        <v>193</v>
      </c>
      <c r="K10539" t="s">
        <v>19</v>
      </c>
      <c r="L10539" t="s">
        <v>162</v>
      </c>
      <c r="M10539" t="s">
        <v>24</v>
      </c>
      <c r="N10539" t="s">
        <v>22</v>
      </c>
    </row>
    <row r="10540" spans="1:14">
      <c r="A10540" s="4" t="str">
        <f t="shared" si="937"/>
        <v>EXP00351</v>
      </c>
      <c r="B10540" s="4" t="str">
        <f t="shared" si="935"/>
        <v>26667932</v>
      </c>
      <c r="C10540" s="4" t="str">
        <f t="shared" si="936"/>
        <v>GSE74685</v>
      </c>
      <c r="D10540" s="1" t="s">
        <v>447</v>
      </c>
      <c r="E10540" t="s">
        <v>448</v>
      </c>
      <c r="F10540" s="1">
        <v>2</v>
      </c>
      <c r="G10540" s="1" t="s">
        <v>452</v>
      </c>
      <c r="H10540" s="4" t="str">
        <f>HYPERLINK("https://www.ncbi.nlm.nih.gov/geo/query/acc.cgi?acc=GSM1616622","GSM1616622")</f>
        <v>GSM1616622</v>
      </c>
      <c r="I10540" t="s">
        <v>161</v>
      </c>
      <c r="J10540" t="s">
        <v>193</v>
      </c>
      <c r="K10540" t="s">
        <v>19</v>
      </c>
      <c r="L10540" t="s">
        <v>162</v>
      </c>
      <c r="M10540" t="s">
        <v>24</v>
      </c>
      <c r="N10540" t="s">
        <v>22</v>
      </c>
    </row>
    <row r="10541" spans="1:14">
      <c r="A10541" s="4" t="str">
        <f t="shared" si="937"/>
        <v>EXP00351</v>
      </c>
      <c r="B10541" s="4" t="str">
        <f t="shared" si="935"/>
        <v>26667932</v>
      </c>
      <c r="C10541" s="4" t="str">
        <f t="shared" si="936"/>
        <v>GSE74685</v>
      </c>
      <c r="D10541" s="1" t="s">
        <v>447</v>
      </c>
      <c r="E10541" t="s">
        <v>448</v>
      </c>
      <c r="F10541" s="1">
        <v>2</v>
      </c>
      <c r="G10541" s="1" t="s">
        <v>452</v>
      </c>
      <c r="H10541" s="4" t="str">
        <f>HYPERLINK("https://www.ncbi.nlm.nih.gov/geo/query/acc.cgi?acc=GSM1616624","GSM1616624")</f>
        <v>GSM1616624</v>
      </c>
      <c r="I10541" t="s">
        <v>161</v>
      </c>
      <c r="J10541" t="s">
        <v>193</v>
      </c>
      <c r="K10541" t="s">
        <v>19</v>
      </c>
      <c r="L10541" t="s">
        <v>162</v>
      </c>
      <c r="M10541" t="s">
        <v>24</v>
      </c>
      <c r="N10541" t="s">
        <v>22</v>
      </c>
    </row>
    <row r="10542" spans="1:14">
      <c r="A10542" s="4" t="str">
        <f t="shared" si="937"/>
        <v>EXP00351</v>
      </c>
      <c r="B10542" s="4" t="str">
        <f t="shared" si="935"/>
        <v>26667932</v>
      </c>
      <c r="C10542" s="4" t="str">
        <f t="shared" si="936"/>
        <v>GSE74685</v>
      </c>
      <c r="D10542" s="1" t="s">
        <v>447</v>
      </c>
      <c r="E10542" t="s">
        <v>448</v>
      </c>
      <c r="F10542" s="1">
        <v>2</v>
      </c>
      <c r="G10542" s="1" t="s">
        <v>452</v>
      </c>
      <c r="H10542" s="4" t="str">
        <f>HYPERLINK("https://www.ncbi.nlm.nih.gov/geo/query/acc.cgi?acc=GSM1616626","GSM1616626")</f>
        <v>GSM1616626</v>
      </c>
      <c r="I10542" t="s">
        <v>161</v>
      </c>
      <c r="J10542" t="s">
        <v>193</v>
      </c>
      <c r="K10542" t="s">
        <v>19</v>
      </c>
      <c r="L10542" t="s">
        <v>162</v>
      </c>
      <c r="M10542" t="s">
        <v>24</v>
      </c>
      <c r="N10542" t="s">
        <v>22</v>
      </c>
    </row>
    <row r="10543" spans="1:14">
      <c r="A10543" s="4" t="str">
        <f t="shared" si="937"/>
        <v>EXP00351</v>
      </c>
      <c r="B10543" s="4" t="str">
        <f t="shared" si="935"/>
        <v>26667932</v>
      </c>
      <c r="C10543" s="4" t="str">
        <f t="shared" si="936"/>
        <v>GSE74685</v>
      </c>
      <c r="D10543" s="1" t="s">
        <v>447</v>
      </c>
      <c r="E10543" t="s">
        <v>448</v>
      </c>
      <c r="F10543" s="1">
        <v>2</v>
      </c>
      <c r="G10543" s="1" t="s">
        <v>452</v>
      </c>
      <c r="H10543" s="4" t="str">
        <f>HYPERLINK("https://www.ncbi.nlm.nih.gov/geo/query/acc.cgi?acc=GSM1616633","GSM1616633")</f>
        <v>GSM1616633</v>
      </c>
      <c r="I10543" t="s">
        <v>161</v>
      </c>
      <c r="J10543" t="s">
        <v>193</v>
      </c>
      <c r="K10543" t="s">
        <v>19</v>
      </c>
      <c r="L10543" t="s">
        <v>162</v>
      </c>
      <c r="M10543" t="s">
        <v>24</v>
      </c>
      <c r="N10543" t="s">
        <v>22</v>
      </c>
    </row>
    <row r="10544" spans="1:14">
      <c r="A10544" s="4" t="str">
        <f t="shared" si="937"/>
        <v>EXP00351</v>
      </c>
      <c r="B10544" s="4" t="str">
        <f t="shared" si="935"/>
        <v>26667932</v>
      </c>
      <c r="C10544" s="4" t="str">
        <f t="shared" si="936"/>
        <v>GSE74685</v>
      </c>
      <c r="D10544" s="1" t="s">
        <v>447</v>
      </c>
      <c r="E10544" t="s">
        <v>448</v>
      </c>
      <c r="F10544" s="1">
        <v>2</v>
      </c>
      <c r="G10544" s="1" t="s">
        <v>452</v>
      </c>
      <c r="H10544" s="4" t="str">
        <f>HYPERLINK("https://www.ncbi.nlm.nih.gov/geo/query/acc.cgi?acc=GSM1616634","GSM1616634")</f>
        <v>GSM1616634</v>
      </c>
      <c r="I10544" t="s">
        <v>161</v>
      </c>
      <c r="J10544" t="s">
        <v>193</v>
      </c>
      <c r="K10544" t="s">
        <v>19</v>
      </c>
      <c r="L10544" t="s">
        <v>162</v>
      </c>
      <c r="M10544" t="s">
        <v>24</v>
      </c>
      <c r="N10544" t="s">
        <v>22</v>
      </c>
    </row>
    <row r="10545" spans="1:14">
      <c r="A10545" s="4" t="str">
        <f t="shared" si="937"/>
        <v>EXP00351</v>
      </c>
      <c r="B10545" s="4" t="str">
        <f t="shared" si="935"/>
        <v>26667932</v>
      </c>
      <c r="C10545" s="4" t="str">
        <f t="shared" si="936"/>
        <v>GSE74685</v>
      </c>
      <c r="D10545" s="1" t="s">
        <v>447</v>
      </c>
      <c r="E10545" t="s">
        <v>448</v>
      </c>
      <c r="F10545" s="1">
        <v>2</v>
      </c>
      <c r="G10545" s="1" t="s">
        <v>452</v>
      </c>
      <c r="H10545" s="4" t="str">
        <f>HYPERLINK("https://www.ncbi.nlm.nih.gov/geo/query/acc.cgi?acc=GSM1616635","GSM1616635")</f>
        <v>GSM1616635</v>
      </c>
      <c r="I10545" t="s">
        <v>161</v>
      </c>
      <c r="J10545" t="s">
        <v>193</v>
      </c>
      <c r="K10545" t="s">
        <v>19</v>
      </c>
      <c r="L10545" t="s">
        <v>162</v>
      </c>
      <c r="M10545" t="s">
        <v>24</v>
      </c>
      <c r="N10545" t="s">
        <v>22</v>
      </c>
    </row>
    <row r="10546" spans="1:14">
      <c r="A10546" s="4" t="str">
        <f t="shared" ref="A10546:A10577" si="938">HYPERLINK("http://hcmdb.i-sanger.com/experiment/details/experiment_id/EXP00351","EXP00351")</f>
        <v>EXP00351</v>
      </c>
      <c r="B10546" s="4" t="str">
        <f t="shared" si="935"/>
        <v>26667932</v>
      </c>
      <c r="C10546" s="4" t="str">
        <f t="shared" si="936"/>
        <v>GSE74685</v>
      </c>
      <c r="D10546" s="1" t="s">
        <v>447</v>
      </c>
      <c r="E10546" t="s">
        <v>448</v>
      </c>
      <c r="F10546" s="1">
        <v>2</v>
      </c>
      <c r="G10546" s="1" t="s">
        <v>452</v>
      </c>
      <c r="H10546" s="4" t="str">
        <f>HYPERLINK("https://www.ncbi.nlm.nih.gov/geo/query/acc.cgi?acc=GSM1616636","GSM1616636")</f>
        <v>GSM1616636</v>
      </c>
      <c r="I10546" t="s">
        <v>161</v>
      </c>
      <c r="J10546" t="s">
        <v>193</v>
      </c>
      <c r="K10546" t="s">
        <v>19</v>
      </c>
      <c r="L10546" t="s">
        <v>162</v>
      </c>
      <c r="M10546" t="s">
        <v>24</v>
      </c>
      <c r="N10546" t="s">
        <v>22</v>
      </c>
    </row>
    <row r="10547" spans="1:14">
      <c r="A10547" s="4" t="str">
        <f t="shared" si="938"/>
        <v>EXP00351</v>
      </c>
      <c r="B10547" s="4" t="str">
        <f t="shared" si="935"/>
        <v>26667932</v>
      </c>
      <c r="C10547" s="4" t="str">
        <f t="shared" si="936"/>
        <v>GSE74685</v>
      </c>
      <c r="D10547" s="1" t="s">
        <v>447</v>
      </c>
      <c r="E10547" t="s">
        <v>448</v>
      </c>
      <c r="F10547" s="1">
        <v>2</v>
      </c>
      <c r="G10547" s="1" t="s">
        <v>452</v>
      </c>
      <c r="H10547" s="4" t="str">
        <f>HYPERLINK("https://www.ncbi.nlm.nih.gov/geo/query/acc.cgi?acc=GSM1616639","GSM1616639")</f>
        <v>GSM1616639</v>
      </c>
      <c r="I10547" t="s">
        <v>161</v>
      </c>
      <c r="J10547" t="s">
        <v>193</v>
      </c>
      <c r="K10547" t="s">
        <v>19</v>
      </c>
      <c r="L10547" t="s">
        <v>162</v>
      </c>
      <c r="M10547" t="s">
        <v>24</v>
      </c>
      <c r="N10547" t="s">
        <v>22</v>
      </c>
    </row>
    <row r="10548" spans="1:14">
      <c r="A10548" s="4" t="str">
        <f t="shared" si="938"/>
        <v>EXP00351</v>
      </c>
      <c r="B10548" s="4" t="str">
        <f t="shared" si="935"/>
        <v>26667932</v>
      </c>
      <c r="C10548" s="4" t="str">
        <f t="shared" si="936"/>
        <v>GSE74685</v>
      </c>
      <c r="D10548" s="1" t="s">
        <v>447</v>
      </c>
      <c r="E10548" t="s">
        <v>448</v>
      </c>
      <c r="F10548" s="1">
        <v>2</v>
      </c>
      <c r="G10548" s="1" t="s">
        <v>452</v>
      </c>
      <c r="H10548" s="4" t="str">
        <f>HYPERLINK("https://www.ncbi.nlm.nih.gov/geo/query/acc.cgi?acc=GSM1616642","GSM1616642")</f>
        <v>GSM1616642</v>
      </c>
      <c r="I10548" t="s">
        <v>161</v>
      </c>
      <c r="J10548" t="s">
        <v>193</v>
      </c>
      <c r="K10548" t="s">
        <v>19</v>
      </c>
      <c r="L10548" t="s">
        <v>162</v>
      </c>
      <c r="M10548" t="s">
        <v>24</v>
      </c>
      <c r="N10548" t="s">
        <v>22</v>
      </c>
    </row>
    <row r="10549" spans="1:14">
      <c r="A10549" s="4" t="str">
        <f t="shared" si="938"/>
        <v>EXP00351</v>
      </c>
      <c r="B10549" s="4" t="str">
        <f t="shared" si="935"/>
        <v>26667932</v>
      </c>
      <c r="C10549" s="4" t="str">
        <f t="shared" si="936"/>
        <v>GSE74685</v>
      </c>
      <c r="D10549" s="1" t="s">
        <v>447</v>
      </c>
      <c r="E10549" t="s">
        <v>448</v>
      </c>
      <c r="F10549" s="1">
        <v>2</v>
      </c>
      <c r="G10549" s="1" t="s">
        <v>452</v>
      </c>
      <c r="H10549" s="4" t="str">
        <f>HYPERLINK("https://www.ncbi.nlm.nih.gov/geo/query/acc.cgi?acc=GSM1616644","GSM1616644")</f>
        <v>GSM1616644</v>
      </c>
      <c r="I10549" t="s">
        <v>161</v>
      </c>
      <c r="J10549" t="s">
        <v>193</v>
      </c>
      <c r="K10549" t="s">
        <v>19</v>
      </c>
      <c r="L10549" t="s">
        <v>162</v>
      </c>
      <c r="M10549" t="s">
        <v>24</v>
      </c>
      <c r="N10549" t="s">
        <v>22</v>
      </c>
    </row>
    <row r="10550" spans="1:14">
      <c r="A10550" s="4" t="str">
        <f t="shared" si="938"/>
        <v>EXP00351</v>
      </c>
      <c r="B10550" s="4" t="str">
        <f t="shared" si="935"/>
        <v>26667932</v>
      </c>
      <c r="C10550" s="4" t="str">
        <f t="shared" si="936"/>
        <v>GSE74685</v>
      </c>
      <c r="D10550" s="1" t="s">
        <v>447</v>
      </c>
      <c r="E10550" t="s">
        <v>448</v>
      </c>
      <c r="F10550" s="1">
        <v>2</v>
      </c>
      <c r="G10550" s="1" t="s">
        <v>452</v>
      </c>
      <c r="H10550" s="4" t="str">
        <f>HYPERLINK("https://www.ncbi.nlm.nih.gov/geo/query/acc.cgi?acc=GSM1616645","GSM1616645")</f>
        <v>GSM1616645</v>
      </c>
      <c r="I10550" t="s">
        <v>161</v>
      </c>
      <c r="J10550" t="s">
        <v>193</v>
      </c>
      <c r="K10550" t="s">
        <v>19</v>
      </c>
      <c r="L10550" t="s">
        <v>162</v>
      </c>
      <c r="M10550" t="s">
        <v>24</v>
      </c>
      <c r="N10550" t="s">
        <v>22</v>
      </c>
    </row>
    <row r="10551" spans="1:14">
      <c r="A10551" s="4" t="str">
        <f t="shared" si="938"/>
        <v>EXP00351</v>
      </c>
      <c r="B10551" s="4" t="str">
        <f t="shared" si="935"/>
        <v>26667932</v>
      </c>
      <c r="C10551" s="4" t="str">
        <f t="shared" si="936"/>
        <v>GSE74685</v>
      </c>
      <c r="D10551" s="1" t="s">
        <v>447</v>
      </c>
      <c r="E10551" t="s">
        <v>448</v>
      </c>
      <c r="F10551" s="1">
        <v>2</v>
      </c>
      <c r="G10551" s="1" t="s">
        <v>452</v>
      </c>
      <c r="H10551" s="4" t="str">
        <f>HYPERLINK("https://www.ncbi.nlm.nih.gov/geo/query/acc.cgi?acc=GSM1616649","GSM1616649")</f>
        <v>GSM1616649</v>
      </c>
      <c r="I10551" t="s">
        <v>161</v>
      </c>
      <c r="J10551" t="s">
        <v>193</v>
      </c>
      <c r="K10551" t="s">
        <v>19</v>
      </c>
      <c r="L10551" t="s">
        <v>162</v>
      </c>
      <c r="M10551" t="s">
        <v>24</v>
      </c>
      <c r="N10551" t="s">
        <v>22</v>
      </c>
    </row>
    <row r="10552" spans="1:14">
      <c r="A10552" s="4" t="str">
        <f t="shared" si="938"/>
        <v>EXP00351</v>
      </c>
      <c r="B10552" s="4" t="str">
        <f t="shared" si="935"/>
        <v>26667932</v>
      </c>
      <c r="C10552" s="4" t="str">
        <f t="shared" si="936"/>
        <v>GSE74685</v>
      </c>
      <c r="D10552" s="1" t="s">
        <v>447</v>
      </c>
      <c r="E10552" t="s">
        <v>448</v>
      </c>
      <c r="F10552" s="1">
        <v>2</v>
      </c>
      <c r="G10552" s="1" t="s">
        <v>452</v>
      </c>
      <c r="H10552" s="4" t="str">
        <f>HYPERLINK("https://www.ncbi.nlm.nih.gov/geo/query/acc.cgi?acc=GSM1616653","GSM1616653")</f>
        <v>GSM1616653</v>
      </c>
      <c r="I10552" t="s">
        <v>161</v>
      </c>
      <c r="J10552" t="s">
        <v>193</v>
      </c>
      <c r="K10552" t="s">
        <v>19</v>
      </c>
      <c r="L10552" t="s">
        <v>162</v>
      </c>
      <c r="M10552" t="s">
        <v>24</v>
      </c>
      <c r="N10552" t="s">
        <v>22</v>
      </c>
    </row>
    <row r="10553" spans="1:14">
      <c r="A10553" s="4" t="str">
        <f t="shared" si="938"/>
        <v>EXP00351</v>
      </c>
      <c r="B10553" s="4" t="str">
        <f t="shared" si="935"/>
        <v>26667932</v>
      </c>
      <c r="C10553" s="4" t="str">
        <f t="shared" si="936"/>
        <v>GSE74685</v>
      </c>
      <c r="D10553" s="1" t="s">
        <v>447</v>
      </c>
      <c r="E10553" t="s">
        <v>448</v>
      </c>
      <c r="F10553" s="1">
        <v>2</v>
      </c>
      <c r="G10553" s="1" t="s">
        <v>452</v>
      </c>
      <c r="H10553" s="4" t="str">
        <f>HYPERLINK("https://www.ncbi.nlm.nih.gov/geo/query/acc.cgi?acc=GSM1616659","GSM1616659")</f>
        <v>GSM1616659</v>
      </c>
      <c r="I10553" t="s">
        <v>161</v>
      </c>
      <c r="J10553" t="s">
        <v>193</v>
      </c>
      <c r="K10553" t="s">
        <v>19</v>
      </c>
      <c r="L10553" t="s">
        <v>162</v>
      </c>
      <c r="M10553" t="s">
        <v>24</v>
      </c>
      <c r="N10553" t="s">
        <v>22</v>
      </c>
    </row>
    <row r="10554" spans="1:14">
      <c r="A10554" s="4" t="str">
        <f t="shared" si="938"/>
        <v>EXP00351</v>
      </c>
      <c r="B10554" s="4" t="str">
        <f t="shared" si="935"/>
        <v>26667932</v>
      </c>
      <c r="C10554" s="4" t="str">
        <f t="shared" si="936"/>
        <v>GSE74685</v>
      </c>
      <c r="D10554" s="1" t="s">
        <v>447</v>
      </c>
      <c r="E10554" t="s">
        <v>448</v>
      </c>
      <c r="F10554" s="1">
        <v>2</v>
      </c>
      <c r="G10554" s="1" t="s">
        <v>452</v>
      </c>
      <c r="H10554" s="4" t="str">
        <f>HYPERLINK("https://www.ncbi.nlm.nih.gov/geo/query/acc.cgi?acc=GSM1616661","GSM1616661")</f>
        <v>GSM1616661</v>
      </c>
      <c r="I10554" t="s">
        <v>161</v>
      </c>
      <c r="J10554" t="s">
        <v>193</v>
      </c>
      <c r="K10554" t="s">
        <v>19</v>
      </c>
      <c r="L10554" t="s">
        <v>162</v>
      </c>
      <c r="M10554" t="s">
        <v>24</v>
      </c>
      <c r="N10554" t="s">
        <v>22</v>
      </c>
    </row>
    <row r="10555" spans="1:14">
      <c r="A10555" s="4" t="str">
        <f t="shared" si="938"/>
        <v>EXP00351</v>
      </c>
      <c r="B10555" s="4" t="str">
        <f t="shared" si="935"/>
        <v>26667932</v>
      </c>
      <c r="C10555" s="4" t="str">
        <f t="shared" si="936"/>
        <v>GSE74685</v>
      </c>
      <c r="D10555" s="1" t="s">
        <v>447</v>
      </c>
      <c r="E10555" t="s">
        <v>448</v>
      </c>
      <c r="F10555" s="1">
        <v>2</v>
      </c>
      <c r="G10555" s="1" t="s">
        <v>452</v>
      </c>
      <c r="H10555" s="4" t="str">
        <f>HYPERLINK("https://www.ncbi.nlm.nih.gov/geo/query/acc.cgi?acc=GSM1616662","GSM1616662")</f>
        <v>GSM1616662</v>
      </c>
      <c r="I10555" t="s">
        <v>161</v>
      </c>
      <c r="J10555" t="s">
        <v>193</v>
      </c>
      <c r="K10555" t="s">
        <v>19</v>
      </c>
      <c r="L10555" t="s">
        <v>162</v>
      </c>
      <c r="M10555" t="s">
        <v>24</v>
      </c>
      <c r="N10555" t="s">
        <v>22</v>
      </c>
    </row>
    <row r="10556" spans="1:14">
      <c r="A10556" s="4" t="str">
        <f t="shared" si="938"/>
        <v>EXP00351</v>
      </c>
      <c r="B10556" s="4" t="str">
        <f t="shared" si="935"/>
        <v>26667932</v>
      </c>
      <c r="C10556" s="4" t="str">
        <f t="shared" si="936"/>
        <v>GSE74685</v>
      </c>
      <c r="D10556" s="1" t="s">
        <v>447</v>
      </c>
      <c r="E10556" t="s">
        <v>448</v>
      </c>
      <c r="F10556" s="1">
        <v>2</v>
      </c>
      <c r="G10556" s="1" t="s">
        <v>452</v>
      </c>
      <c r="H10556" s="4" t="str">
        <f>HYPERLINK("https://www.ncbi.nlm.nih.gov/geo/query/acc.cgi?acc=GSM1616664","GSM1616664")</f>
        <v>GSM1616664</v>
      </c>
      <c r="I10556" t="s">
        <v>161</v>
      </c>
      <c r="J10556" t="s">
        <v>193</v>
      </c>
      <c r="K10556" t="s">
        <v>19</v>
      </c>
      <c r="L10556" t="s">
        <v>162</v>
      </c>
      <c r="M10556" t="s">
        <v>24</v>
      </c>
      <c r="N10556" t="s">
        <v>22</v>
      </c>
    </row>
    <row r="10557" spans="1:14">
      <c r="A10557" s="4" t="str">
        <f t="shared" si="938"/>
        <v>EXP00351</v>
      </c>
      <c r="B10557" s="4" t="str">
        <f t="shared" si="935"/>
        <v>26667932</v>
      </c>
      <c r="C10557" s="4" t="str">
        <f t="shared" si="936"/>
        <v>GSE74685</v>
      </c>
      <c r="D10557" s="1" t="s">
        <v>447</v>
      </c>
      <c r="E10557" t="s">
        <v>448</v>
      </c>
      <c r="F10557" s="1">
        <v>2</v>
      </c>
      <c r="G10557" s="1" t="s">
        <v>452</v>
      </c>
      <c r="H10557" s="4" t="str">
        <f>HYPERLINK("https://www.ncbi.nlm.nih.gov/geo/query/acc.cgi?acc=GSM1616669","GSM1616669")</f>
        <v>GSM1616669</v>
      </c>
      <c r="I10557" t="s">
        <v>161</v>
      </c>
      <c r="J10557" t="s">
        <v>193</v>
      </c>
      <c r="K10557" t="s">
        <v>19</v>
      </c>
      <c r="L10557" t="s">
        <v>162</v>
      </c>
      <c r="M10557" t="s">
        <v>24</v>
      </c>
      <c r="N10557" t="s">
        <v>22</v>
      </c>
    </row>
    <row r="10558" spans="1:14">
      <c r="A10558" s="4" t="str">
        <f t="shared" si="938"/>
        <v>EXP00351</v>
      </c>
      <c r="B10558" s="4" t="str">
        <f t="shared" si="935"/>
        <v>26667932</v>
      </c>
      <c r="C10558" s="4" t="str">
        <f t="shared" si="936"/>
        <v>GSE74685</v>
      </c>
      <c r="D10558" s="1" t="s">
        <v>447</v>
      </c>
      <c r="E10558" t="s">
        <v>448</v>
      </c>
      <c r="F10558" s="1">
        <v>2</v>
      </c>
      <c r="G10558" s="1" t="s">
        <v>452</v>
      </c>
      <c r="H10558" s="4" t="str">
        <f>HYPERLINK("https://www.ncbi.nlm.nih.gov/geo/query/acc.cgi?acc=GSM1616670","GSM1616670")</f>
        <v>GSM1616670</v>
      </c>
      <c r="I10558" t="s">
        <v>161</v>
      </c>
      <c r="J10558" t="s">
        <v>193</v>
      </c>
      <c r="K10558" t="s">
        <v>19</v>
      </c>
      <c r="L10558" t="s">
        <v>162</v>
      </c>
      <c r="M10558" t="s">
        <v>24</v>
      </c>
      <c r="N10558" t="s">
        <v>22</v>
      </c>
    </row>
    <row r="10559" spans="1:14">
      <c r="A10559" s="4" t="str">
        <f t="shared" si="938"/>
        <v>EXP00351</v>
      </c>
      <c r="B10559" s="4" t="str">
        <f t="shared" si="935"/>
        <v>26667932</v>
      </c>
      <c r="C10559" s="4" t="str">
        <f t="shared" si="936"/>
        <v>GSE74685</v>
      </c>
      <c r="D10559" s="1" t="s">
        <v>447</v>
      </c>
      <c r="E10559" t="s">
        <v>448</v>
      </c>
      <c r="F10559" s="1">
        <v>2</v>
      </c>
      <c r="G10559" s="1" t="s">
        <v>452</v>
      </c>
      <c r="H10559" s="4" t="str">
        <f>HYPERLINK("https://www.ncbi.nlm.nih.gov/geo/query/acc.cgi?acc=GSM1616672","GSM1616672")</f>
        <v>GSM1616672</v>
      </c>
      <c r="I10559" t="s">
        <v>161</v>
      </c>
      <c r="J10559" t="s">
        <v>193</v>
      </c>
      <c r="K10559" t="s">
        <v>19</v>
      </c>
      <c r="L10559" t="s">
        <v>162</v>
      </c>
      <c r="M10559" t="s">
        <v>24</v>
      </c>
      <c r="N10559" t="s">
        <v>22</v>
      </c>
    </row>
    <row r="10560" spans="1:14">
      <c r="A10560" s="4" t="str">
        <f t="shared" si="938"/>
        <v>EXP00351</v>
      </c>
      <c r="B10560" s="4" t="str">
        <f t="shared" si="935"/>
        <v>26667932</v>
      </c>
      <c r="C10560" s="4" t="str">
        <f t="shared" si="936"/>
        <v>GSE74685</v>
      </c>
      <c r="D10560" s="1" t="s">
        <v>447</v>
      </c>
      <c r="E10560" t="s">
        <v>448</v>
      </c>
      <c r="F10560" s="1">
        <v>2</v>
      </c>
      <c r="G10560" s="1" t="s">
        <v>452</v>
      </c>
      <c r="H10560" s="4" t="str">
        <f>HYPERLINK("https://www.ncbi.nlm.nih.gov/geo/query/acc.cgi?acc=GSM1616676","GSM1616676")</f>
        <v>GSM1616676</v>
      </c>
      <c r="I10560" t="s">
        <v>161</v>
      </c>
      <c r="J10560" t="s">
        <v>193</v>
      </c>
      <c r="K10560" t="s">
        <v>19</v>
      </c>
      <c r="L10560" t="s">
        <v>162</v>
      </c>
      <c r="M10560" t="s">
        <v>24</v>
      </c>
      <c r="N10560" t="s">
        <v>22</v>
      </c>
    </row>
    <row r="10561" spans="1:14">
      <c r="A10561" s="4" t="str">
        <f t="shared" si="938"/>
        <v>EXP00351</v>
      </c>
      <c r="B10561" s="4" t="str">
        <f t="shared" ref="B10561:B10624" si="939">HYPERLINK("https://www.ncbi.nlm.nih.gov/pubmed/26667932","26667932")</f>
        <v>26667932</v>
      </c>
      <c r="C10561" s="4" t="str">
        <f t="shared" ref="C10561:C10624" si="940">HYPERLINK("https://www.ncbi.nlm.nih.gov/geo/query/acc.cgi?acc=GSE74685","GSE74685")</f>
        <v>GSE74685</v>
      </c>
      <c r="D10561" s="1" t="s">
        <v>447</v>
      </c>
      <c r="E10561" t="s">
        <v>448</v>
      </c>
      <c r="F10561" s="1">
        <v>2</v>
      </c>
      <c r="G10561" s="1" t="s">
        <v>452</v>
      </c>
      <c r="H10561" s="4" t="str">
        <f>HYPERLINK("https://www.ncbi.nlm.nih.gov/geo/query/acc.cgi?acc=GSM1616682","GSM1616682")</f>
        <v>GSM1616682</v>
      </c>
      <c r="I10561" t="s">
        <v>161</v>
      </c>
      <c r="J10561" t="s">
        <v>193</v>
      </c>
      <c r="K10561" t="s">
        <v>19</v>
      </c>
      <c r="L10561" t="s">
        <v>162</v>
      </c>
      <c r="M10561" t="s">
        <v>24</v>
      </c>
      <c r="N10561" t="s">
        <v>22</v>
      </c>
    </row>
    <row r="10562" spans="1:14">
      <c r="A10562" s="4" t="str">
        <f t="shared" si="938"/>
        <v>EXP00351</v>
      </c>
      <c r="B10562" s="4" t="str">
        <f t="shared" si="939"/>
        <v>26667932</v>
      </c>
      <c r="C10562" s="4" t="str">
        <f t="shared" si="940"/>
        <v>GSE74685</v>
      </c>
      <c r="D10562" s="1" t="s">
        <v>447</v>
      </c>
      <c r="E10562" t="s">
        <v>448</v>
      </c>
      <c r="F10562" s="1">
        <v>2</v>
      </c>
      <c r="G10562" s="1" t="s">
        <v>452</v>
      </c>
      <c r="H10562" s="4" t="str">
        <f>HYPERLINK("https://www.ncbi.nlm.nih.gov/geo/query/acc.cgi?acc=GSM1616684","GSM1616684")</f>
        <v>GSM1616684</v>
      </c>
      <c r="I10562" t="s">
        <v>161</v>
      </c>
      <c r="J10562" t="s">
        <v>193</v>
      </c>
      <c r="K10562" t="s">
        <v>19</v>
      </c>
      <c r="L10562" t="s">
        <v>162</v>
      </c>
      <c r="M10562" t="s">
        <v>24</v>
      </c>
      <c r="N10562" t="s">
        <v>22</v>
      </c>
    </row>
    <row r="10563" spans="1:14">
      <c r="A10563" s="4" t="str">
        <f t="shared" si="938"/>
        <v>EXP00351</v>
      </c>
      <c r="B10563" s="4" t="str">
        <f t="shared" si="939"/>
        <v>26667932</v>
      </c>
      <c r="C10563" s="4" t="str">
        <f t="shared" si="940"/>
        <v>GSE74685</v>
      </c>
      <c r="D10563" s="1" t="s">
        <v>447</v>
      </c>
      <c r="E10563" t="s">
        <v>448</v>
      </c>
      <c r="F10563" s="1">
        <v>2</v>
      </c>
      <c r="G10563" s="1" t="s">
        <v>452</v>
      </c>
      <c r="H10563" s="4" t="str">
        <f>HYPERLINK("https://www.ncbi.nlm.nih.gov/geo/query/acc.cgi?acc=GSM1918978","GSM1918978")</f>
        <v>GSM1918978</v>
      </c>
      <c r="I10563" t="s">
        <v>161</v>
      </c>
      <c r="J10563" t="s">
        <v>193</v>
      </c>
      <c r="K10563" t="s">
        <v>19</v>
      </c>
      <c r="L10563" t="s">
        <v>162</v>
      </c>
      <c r="M10563" t="s">
        <v>24</v>
      </c>
      <c r="N10563" t="s">
        <v>22</v>
      </c>
    </row>
    <row r="10564" spans="1:14">
      <c r="A10564" s="4" t="str">
        <f t="shared" si="938"/>
        <v>EXP00351</v>
      </c>
      <c r="B10564" s="4" t="str">
        <f t="shared" si="939"/>
        <v>26667932</v>
      </c>
      <c r="C10564" s="4" t="str">
        <f t="shared" si="940"/>
        <v>GSE74685</v>
      </c>
      <c r="D10564" s="1" t="s">
        <v>447</v>
      </c>
      <c r="E10564" t="s">
        <v>448</v>
      </c>
      <c r="F10564" s="1">
        <v>2</v>
      </c>
      <c r="G10564" s="1" t="s">
        <v>452</v>
      </c>
      <c r="H10564" s="4" t="str">
        <f>HYPERLINK("https://www.ncbi.nlm.nih.gov/geo/query/acc.cgi?acc=GSM1930063","GSM1930063")</f>
        <v>GSM1930063</v>
      </c>
      <c r="I10564" t="s">
        <v>161</v>
      </c>
      <c r="J10564" t="s">
        <v>193</v>
      </c>
      <c r="K10564" t="s">
        <v>19</v>
      </c>
      <c r="L10564" t="s">
        <v>162</v>
      </c>
      <c r="M10564" t="s">
        <v>24</v>
      </c>
      <c r="N10564" t="s">
        <v>22</v>
      </c>
    </row>
    <row r="10565" spans="1:14">
      <c r="A10565" s="4" t="str">
        <f t="shared" si="938"/>
        <v>EXP00351</v>
      </c>
      <c r="B10565" s="4" t="str">
        <f t="shared" si="939"/>
        <v>26667932</v>
      </c>
      <c r="C10565" s="4" t="str">
        <f t="shared" si="940"/>
        <v>GSE74685</v>
      </c>
      <c r="D10565" s="1" t="s">
        <v>447</v>
      </c>
      <c r="E10565" t="s">
        <v>448</v>
      </c>
      <c r="F10565" s="1">
        <v>2</v>
      </c>
      <c r="G10565" s="1" t="s">
        <v>452</v>
      </c>
      <c r="H10565" s="4" t="str">
        <f>HYPERLINK("https://www.ncbi.nlm.nih.gov/geo/query/acc.cgi?acc=GSM1930065","GSM1930065")</f>
        <v>GSM1930065</v>
      </c>
      <c r="I10565" t="s">
        <v>161</v>
      </c>
      <c r="J10565" t="s">
        <v>193</v>
      </c>
      <c r="K10565" t="s">
        <v>19</v>
      </c>
      <c r="L10565" t="s">
        <v>162</v>
      </c>
      <c r="M10565" t="s">
        <v>24</v>
      </c>
      <c r="N10565" t="s">
        <v>22</v>
      </c>
    </row>
    <row r="10566" spans="1:14">
      <c r="A10566" s="4" t="str">
        <f t="shared" si="938"/>
        <v>EXP00351</v>
      </c>
      <c r="B10566" s="4" t="str">
        <f t="shared" si="939"/>
        <v>26667932</v>
      </c>
      <c r="C10566" s="4" t="str">
        <f t="shared" si="940"/>
        <v>GSE74685</v>
      </c>
      <c r="D10566" s="1" t="s">
        <v>447</v>
      </c>
      <c r="E10566" t="s">
        <v>448</v>
      </c>
      <c r="F10566" s="1">
        <v>2</v>
      </c>
      <c r="G10566" s="1" t="s">
        <v>452</v>
      </c>
      <c r="H10566" s="4" t="str">
        <f>HYPERLINK("https://www.ncbi.nlm.nih.gov/geo/query/acc.cgi?acc=GSM1930068","GSM1930068")</f>
        <v>GSM1930068</v>
      </c>
      <c r="I10566" t="s">
        <v>161</v>
      </c>
      <c r="J10566" t="s">
        <v>193</v>
      </c>
      <c r="K10566" t="s">
        <v>19</v>
      </c>
      <c r="L10566" t="s">
        <v>162</v>
      </c>
      <c r="M10566" t="s">
        <v>24</v>
      </c>
      <c r="N10566" t="s">
        <v>22</v>
      </c>
    </row>
    <row r="10567" spans="1:14">
      <c r="A10567" s="4" t="str">
        <f t="shared" si="938"/>
        <v>EXP00351</v>
      </c>
      <c r="B10567" s="4" t="str">
        <f t="shared" si="939"/>
        <v>26667932</v>
      </c>
      <c r="C10567" s="4" t="str">
        <f t="shared" si="940"/>
        <v>GSE74685</v>
      </c>
      <c r="D10567" s="1" t="s">
        <v>447</v>
      </c>
      <c r="E10567" t="s">
        <v>448</v>
      </c>
      <c r="F10567" s="1">
        <v>2</v>
      </c>
      <c r="G10567" s="1" t="s">
        <v>452</v>
      </c>
      <c r="H10567" s="4" t="str">
        <f>HYPERLINK("https://www.ncbi.nlm.nih.gov/geo/query/acc.cgi?acc=GSM1930071","GSM1930071")</f>
        <v>GSM1930071</v>
      </c>
      <c r="I10567" t="s">
        <v>161</v>
      </c>
      <c r="J10567" t="s">
        <v>193</v>
      </c>
      <c r="K10567" t="s">
        <v>19</v>
      </c>
      <c r="L10567" t="s">
        <v>162</v>
      </c>
      <c r="M10567" t="s">
        <v>24</v>
      </c>
      <c r="N10567" t="s">
        <v>22</v>
      </c>
    </row>
    <row r="10568" spans="1:14">
      <c r="A10568" s="4" t="str">
        <f t="shared" si="938"/>
        <v>EXP00351</v>
      </c>
      <c r="B10568" s="4" t="str">
        <f t="shared" si="939"/>
        <v>26667932</v>
      </c>
      <c r="C10568" s="4" t="str">
        <f t="shared" si="940"/>
        <v>GSE74685</v>
      </c>
      <c r="D10568" s="1" t="s">
        <v>447</v>
      </c>
      <c r="E10568" t="s">
        <v>448</v>
      </c>
      <c r="F10568" s="1">
        <v>2</v>
      </c>
      <c r="G10568" s="1" t="s">
        <v>452</v>
      </c>
      <c r="H10568" s="4" t="str">
        <f>HYPERLINK("https://www.ncbi.nlm.nih.gov/geo/query/acc.cgi?acc=GSM1930077","GSM1930077")</f>
        <v>GSM1930077</v>
      </c>
      <c r="I10568" t="s">
        <v>161</v>
      </c>
      <c r="J10568" t="s">
        <v>193</v>
      </c>
      <c r="K10568" t="s">
        <v>19</v>
      </c>
      <c r="L10568" t="s">
        <v>162</v>
      </c>
      <c r="M10568" t="s">
        <v>24</v>
      </c>
      <c r="N10568" t="s">
        <v>22</v>
      </c>
    </row>
    <row r="10569" spans="1:14">
      <c r="A10569" s="4" t="str">
        <f t="shared" si="938"/>
        <v>EXP00351</v>
      </c>
      <c r="B10569" s="4" t="str">
        <f t="shared" si="939"/>
        <v>26667932</v>
      </c>
      <c r="C10569" s="4" t="str">
        <f t="shared" si="940"/>
        <v>GSE74685</v>
      </c>
      <c r="D10569" s="1" t="s">
        <v>447</v>
      </c>
      <c r="E10569" t="s">
        <v>448</v>
      </c>
      <c r="F10569" s="1">
        <v>2</v>
      </c>
      <c r="G10569" s="1" t="s">
        <v>452</v>
      </c>
      <c r="H10569" s="4" t="str">
        <f>HYPERLINK("https://www.ncbi.nlm.nih.gov/geo/query/acc.cgi?acc=GSM1930078","GSM1930078")</f>
        <v>GSM1930078</v>
      </c>
      <c r="I10569" t="s">
        <v>161</v>
      </c>
      <c r="J10569" t="s">
        <v>193</v>
      </c>
      <c r="K10569" t="s">
        <v>19</v>
      </c>
      <c r="L10569" t="s">
        <v>162</v>
      </c>
      <c r="M10569" t="s">
        <v>24</v>
      </c>
      <c r="N10569" t="s">
        <v>22</v>
      </c>
    </row>
    <row r="10570" spans="1:14">
      <c r="A10570" s="4" t="str">
        <f t="shared" si="938"/>
        <v>EXP00351</v>
      </c>
      <c r="B10570" s="4" t="str">
        <f t="shared" si="939"/>
        <v>26667932</v>
      </c>
      <c r="C10570" s="4" t="str">
        <f t="shared" si="940"/>
        <v>GSE74685</v>
      </c>
      <c r="D10570" s="1" t="s">
        <v>447</v>
      </c>
      <c r="E10570" t="s">
        <v>448</v>
      </c>
      <c r="F10570" s="1">
        <v>2</v>
      </c>
      <c r="G10570" s="1" t="s">
        <v>452</v>
      </c>
      <c r="H10570" s="4" t="str">
        <f>HYPERLINK("https://www.ncbi.nlm.nih.gov/geo/query/acc.cgi?acc=GSM1930083","GSM1930083")</f>
        <v>GSM1930083</v>
      </c>
      <c r="I10570" t="s">
        <v>161</v>
      </c>
      <c r="J10570" t="s">
        <v>193</v>
      </c>
      <c r="K10570" t="s">
        <v>19</v>
      </c>
      <c r="L10570" t="s">
        <v>162</v>
      </c>
      <c r="M10570" t="s">
        <v>24</v>
      </c>
      <c r="N10570" t="s">
        <v>22</v>
      </c>
    </row>
    <row r="10571" spans="1:14">
      <c r="A10571" s="4" t="str">
        <f t="shared" si="938"/>
        <v>EXP00351</v>
      </c>
      <c r="B10571" s="4" t="str">
        <f t="shared" si="939"/>
        <v>26667932</v>
      </c>
      <c r="C10571" s="4" t="str">
        <f t="shared" si="940"/>
        <v>GSE74685</v>
      </c>
      <c r="D10571" s="1" t="s">
        <v>447</v>
      </c>
      <c r="E10571" t="s">
        <v>448</v>
      </c>
      <c r="F10571" s="1">
        <v>2</v>
      </c>
      <c r="G10571" s="1" t="s">
        <v>452</v>
      </c>
      <c r="H10571" s="4" t="str">
        <f>HYPERLINK("https://www.ncbi.nlm.nih.gov/geo/query/acc.cgi?acc=GSM1930086","GSM1930086")</f>
        <v>GSM1930086</v>
      </c>
      <c r="I10571" t="s">
        <v>161</v>
      </c>
      <c r="J10571" t="s">
        <v>193</v>
      </c>
      <c r="K10571" t="s">
        <v>19</v>
      </c>
      <c r="L10571" t="s">
        <v>162</v>
      </c>
      <c r="M10571" t="s">
        <v>24</v>
      </c>
      <c r="N10571" t="s">
        <v>22</v>
      </c>
    </row>
    <row r="10572" spans="1:14">
      <c r="A10572" s="4" t="str">
        <f t="shared" si="938"/>
        <v>EXP00351</v>
      </c>
      <c r="B10572" s="4" t="str">
        <f t="shared" si="939"/>
        <v>26667932</v>
      </c>
      <c r="C10572" s="4" t="str">
        <f t="shared" si="940"/>
        <v>GSE74685</v>
      </c>
      <c r="D10572" s="1" t="s">
        <v>447</v>
      </c>
      <c r="E10572" t="s">
        <v>448</v>
      </c>
      <c r="F10572" s="1">
        <v>2</v>
      </c>
      <c r="G10572" s="1" t="s">
        <v>452</v>
      </c>
      <c r="H10572" s="4" t="str">
        <f>HYPERLINK("https://www.ncbi.nlm.nih.gov/geo/query/acc.cgi?acc=GSM1930089","GSM1930089")</f>
        <v>GSM1930089</v>
      </c>
      <c r="I10572" t="s">
        <v>161</v>
      </c>
      <c r="J10572" t="s">
        <v>193</v>
      </c>
      <c r="K10572" t="s">
        <v>19</v>
      </c>
      <c r="L10572" t="s">
        <v>162</v>
      </c>
      <c r="M10572" t="s">
        <v>24</v>
      </c>
      <c r="N10572" t="s">
        <v>22</v>
      </c>
    </row>
    <row r="10573" spans="1:14">
      <c r="A10573" s="4" t="str">
        <f t="shared" si="938"/>
        <v>EXP00351</v>
      </c>
      <c r="B10573" s="4" t="str">
        <f t="shared" si="939"/>
        <v>26667932</v>
      </c>
      <c r="C10573" s="4" t="str">
        <f t="shared" si="940"/>
        <v>GSE74685</v>
      </c>
      <c r="D10573" s="1" t="s">
        <v>447</v>
      </c>
      <c r="E10573" t="s">
        <v>448</v>
      </c>
      <c r="F10573" s="1">
        <v>2</v>
      </c>
      <c r="G10573" s="1" t="s">
        <v>452</v>
      </c>
      <c r="H10573" s="4" t="str">
        <f>HYPERLINK("https://www.ncbi.nlm.nih.gov/geo/query/acc.cgi?acc=GSM1930090","GSM1930090")</f>
        <v>GSM1930090</v>
      </c>
      <c r="I10573" t="s">
        <v>161</v>
      </c>
      <c r="J10573" t="s">
        <v>193</v>
      </c>
      <c r="K10573" t="s">
        <v>19</v>
      </c>
      <c r="L10573" t="s">
        <v>162</v>
      </c>
      <c r="M10573" t="s">
        <v>24</v>
      </c>
      <c r="N10573" t="s">
        <v>22</v>
      </c>
    </row>
    <row r="10574" spans="1:14">
      <c r="A10574" s="4" t="str">
        <f t="shared" si="938"/>
        <v>EXP00351</v>
      </c>
      <c r="B10574" s="4" t="str">
        <f t="shared" si="939"/>
        <v>26667932</v>
      </c>
      <c r="C10574" s="4" t="str">
        <f t="shared" si="940"/>
        <v>GSE74685</v>
      </c>
      <c r="D10574" s="1" t="s">
        <v>447</v>
      </c>
      <c r="E10574" t="s">
        <v>448</v>
      </c>
      <c r="F10574" s="1">
        <v>2</v>
      </c>
      <c r="G10574" s="1" t="s">
        <v>452</v>
      </c>
      <c r="H10574" s="4" t="str">
        <f>HYPERLINK("https://www.ncbi.nlm.nih.gov/geo/query/acc.cgi?acc=GSM1930091","GSM1930091")</f>
        <v>GSM1930091</v>
      </c>
      <c r="I10574" t="s">
        <v>161</v>
      </c>
      <c r="J10574" t="s">
        <v>193</v>
      </c>
      <c r="K10574" t="s">
        <v>19</v>
      </c>
      <c r="L10574" t="s">
        <v>162</v>
      </c>
      <c r="M10574" t="s">
        <v>24</v>
      </c>
      <c r="N10574" t="s">
        <v>22</v>
      </c>
    </row>
    <row r="10575" spans="1:14">
      <c r="A10575" s="4" t="str">
        <f t="shared" si="938"/>
        <v>EXP00351</v>
      </c>
      <c r="B10575" s="4" t="str">
        <f t="shared" si="939"/>
        <v>26667932</v>
      </c>
      <c r="C10575" s="4" t="str">
        <f t="shared" si="940"/>
        <v>GSE74685</v>
      </c>
      <c r="D10575" s="1" t="s">
        <v>447</v>
      </c>
      <c r="E10575" t="s">
        <v>448</v>
      </c>
      <c r="F10575" s="1">
        <v>2</v>
      </c>
      <c r="G10575" s="1" t="s">
        <v>452</v>
      </c>
      <c r="H10575" s="4" t="str">
        <f>HYPERLINK("https://www.ncbi.nlm.nih.gov/geo/query/acc.cgi?acc=GSM1930094","GSM1930094")</f>
        <v>GSM1930094</v>
      </c>
      <c r="I10575" t="s">
        <v>161</v>
      </c>
      <c r="J10575" t="s">
        <v>193</v>
      </c>
      <c r="K10575" t="s">
        <v>19</v>
      </c>
      <c r="L10575" t="s">
        <v>162</v>
      </c>
      <c r="M10575" t="s">
        <v>24</v>
      </c>
      <c r="N10575" t="s">
        <v>22</v>
      </c>
    </row>
    <row r="10576" spans="1:14">
      <c r="A10576" s="4" t="str">
        <f t="shared" si="938"/>
        <v>EXP00351</v>
      </c>
      <c r="B10576" s="4" t="str">
        <f t="shared" si="939"/>
        <v>26667932</v>
      </c>
      <c r="C10576" s="4" t="str">
        <f t="shared" si="940"/>
        <v>GSE74685</v>
      </c>
      <c r="D10576" s="1" t="s">
        <v>447</v>
      </c>
      <c r="E10576" t="s">
        <v>448</v>
      </c>
      <c r="F10576" s="1">
        <v>2</v>
      </c>
      <c r="G10576" s="1" t="s">
        <v>452</v>
      </c>
      <c r="H10576" s="4" t="str">
        <f>HYPERLINK("https://www.ncbi.nlm.nih.gov/geo/query/acc.cgi?acc=GSM1930095","GSM1930095")</f>
        <v>GSM1930095</v>
      </c>
      <c r="I10576" t="s">
        <v>161</v>
      </c>
      <c r="J10576" t="s">
        <v>193</v>
      </c>
      <c r="K10576" t="s">
        <v>19</v>
      </c>
      <c r="L10576" t="s">
        <v>162</v>
      </c>
      <c r="M10576" t="s">
        <v>24</v>
      </c>
      <c r="N10576" t="s">
        <v>22</v>
      </c>
    </row>
    <row r="10577" spans="1:14">
      <c r="A10577" s="4" t="str">
        <f t="shared" si="938"/>
        <v>EXP00351</v>
      </c>
      <c r="B10577" s="4" t="str">
        <f t="shared" si="939"/>
        <v>26667932</v>
      </c>
      <c r="C10577" s="4" t="str">
        <f t="shared" si="940"/>
        <v>GSE74685</v>
      </c>
      <c r="D10577" s="1" t="s">
        <v>447</v>
      </c>
      <c r="E10577" t="s">
        <v>448</v>
      </c>
      <c r="F10577" s="1">
        <v>2</v>
      </c>
      <c r="G10577" s="1" t="s">
        <v>452</v>
      </c>
      <c r="H10577" s="4" t="str">
        <f>HYPERLINK("https://www.ncbi.nlm.nih.gov/geo/query/acc.cgi?acc=GSM1930096","GSM1930096")</f>
        <v>GSM1930096</v>
      </c>
      <c r="I10577" t="s">
        <v>161</v>
      </c>
      <c r="J10577" t="s">
        <v>193</v>
      </c>
      <c r="K10577" t="s">
        <v>19</v>
      </c>
      <c r="L10577" t="s">
        <v>162</v>
      </c>
      <c r="M10577" t="s">
        <v>24</v>
      </c>
      <c r="N10577" t="s">
        <v>22</v>
      </c>
    </row>
    <row r="10578" spans="1:14">
      <c r="A10578" s="4" t="str">
        <f t="shared" ref="A10578:A10604" si="941">HYPERLINK("http://hcmdb.i-sanger.com/experiment/details/experiment_id/EXP00351","EXP00351")</f>
        <v>EXP00351</v>
      </c>
      <c r="B10578" s="4" t="str">
        <f t="shared" si="939"/>
        <v>26667932</v>
      </c>
      <c r="C10578" s="4" t="str">
        <f t="shared" si="940"/>
        <v>GSE74685</v>
      </c>
      <c r="D10578" s="1" t="s">
        <v>447</v>
      </c>
      <c r="E10578" t="s">
        <v>448</v>
      </c>
      <c r="F10578" s="1">
        <v>2</v>
      </c>
      <c r="G10578" s="1" t="s">
        <v>452</v>
      </c>
      <c r="H10578" s="4" t="str">
        <f>HYPERLINK("https://www.ncbi.nlm.nih.gov/geo/query/acc.cgi?acc=GSM1930097","GSM1930097")</f>
        <v>GSM1930097</v>
      </c>
      <c r="I10578" t="s">
        <v>161</v>
      </c>
      <c r="J10578" t="s">
        <v>193</v>
      </c>
      <c r="K10578" t="s">
        <v>19</v>
      </c>
      <c r="L10578" t="s">
        <v>162</v>
      </c>
      <c r="M10578" t="s">
        <v>24</v>
      </c>
      <c r="N10578" t="s">
        <v>22</v>
      </c>
    </row>
    <row r="10579" spans="1:14">
      <c r="A10579" s="4" t="str">
        <f t="shared" si="941"/>
        <v>EXP00351</v>
      </c>
      <c r="B10579" s="4" t="str">
        <f t="shared" si="939"/>
        <v>26667932</v>
      </c>
      <c r="C10579" s="4" t="str">
        <f t="shared" si="940"/>
        <v>GSE74685</v>
      </c>
      <c r="D10579" s="1" t="s">
        <v>447</v>
      </c>
      <c r="E10579" t="s">
        <v>448</v>
      </c>
      <c r="F10579" s="1">
        <v>2</v>
      </c>
      <c r="G10579" s="1" t="s">
        <v>452</v>
      </c>
      <c r="H10579" s="4" t="str">
        <f>HYPERLINK("https://www.ncbi.nlm.nih.gov/geo/query/acc.cgi?acc=GSM1930102","GSM1930102")</f>
        <v>GSM1930102</v>
      </c>
      <c r="I10579" t="s">
        <v>161</v>
      </c>
      <c r="J10579" t="s">
        <v>193</v>
      </c>
      <c r="K10579" t="s">
        <v>19</v>
      </c>
      <c r="L10579" t="s">
        <v>162</v>
      </c>
      <c r="M10579" t="s">
        <v>24</v>
      </c>
      <c r="N10579" t="s">
        <v>22</v>
      </c>
    </row>
    <row r="10580" spans="1:14">
      <c r="A10580" s="4" t="str">
        <f t="shared" si="941"/>
        <v>EXP00351</v>
      </c>
      <c r="B10580" s="4" t="str">
        <f t="shared" si="939"/>
        <v>26667932</v>
      </c>
      <c r="C10580" s="4" t="str">
        <f t="shared" si="940"/>
        <v>GSE74685</v>
      </c>
      <c r="D10580" s="1" t="s">
        <v>447</v>
      </c>
      <c r="E10580" t="s">
        <v>448</v>
      </c>
      <c r="F10580" s="1">
        <v>2</v>
      </c>
      <c r="G10580" s="1" t="s">
        <v>452</v>
      </c>
      <c r="H10580" s="4" t="str">
        <f>HYPERLINK("https://www.ncbi.nlm.nih.gov/geo/query/acc.cgi?acc=GSM1930104","GSM1930104")</f>
        <v>GSM1930104</v>
      </c>
      <c r="I10580" t="s">
        <v>161</v>
      </c>
      <c r="J10580" t="s">
        <v>193</v>
      </c>
      <c r="K10580" t="s">
        <v>19</v>
      </c>
      <c r="L10580" t="s">
        <v>162</v>
      </c>
      <c r="M10580" t="s">
        <v>24</v>
      </c>
      <c r="N10580" t="s">
        <v>22</v>
      </c>
    </row>
    <row r="10581" spans="1:14">
      <c r="A10581" s="4" t="str">
        <f t="shared" si="941"/>
        <v>EXP00351</v>
      </c>
      <c r="B10581" s="4" t="str">
        <f t="shared" si="939"/>
        <v>26667932</v>
      </c>
      <c r="C10581" s="4" t="str">
        <f t="shared" si="940"/>
        <v>GSE74685</v>
      </c>
      <c r="D10581" s="1" t="s">
        <v>447</v>
      </c>
      <c r="E10581" t="s">
        <v>448</v>
      </c>
      <c r="F10581" s="1">
        <v>2</v>
      </c>
      <c r="G10581" s="1" t="s">
        <v>452</v>
      </c>
      <c r="H10581" s="4" t="str">
        <f>HYPERLINK("https://www.ncbi.nlm.nih.gov/geo/query/acc.cgi?acc=GSM1930105","GSM1930105")</f>
        <v>GSM1930105</v>
      </c>
      <c r="I10581" t="s">
        <v>161</v>
      </c>
      <c r="J10581" t="s">
        <v>193</v>
      </c>
      <c r="K10581" t="s">
        <v>19</v>
      </c>
      <c r="L10581" t="s">
        <v>162</v>
      </c>
      <c r="M10581" t="s">
        <v>24</v>
      </c>
      <c r="N10581" t="s">
        <v>22</v>
      </c>
    </row>
    <row r="10582" spans="1:14">
      <c r="A10582" s="4" t="str">
        <f t="shared" si="941"/>
        <v>EXP00351</v>
      </c>
      <c r="B10582" s="4" t="str">
        <f t="shared" si="939"/>
        <v>26667932</v>
      </c>
      <c r="C10582" s="4" t="str">
        <f t="shared" si="940"/>
        <v>GSE74685</v>
      </c>
      <c r="D10582" s="1" t="s">
        <v>447</v>
      </c>
      <c r="E10582" t="s">
        <v>448</v>
      </c>
      <c r="F10582" s="1">
        <v>2</v>
      </c>
      <c r="G10582" s="1" t="s">
        <v>452</v>
      </c>
      <c r="H10582" s="4" t="str">
        <f>HYPERLINK("https://www.ncbi.nlm.nih.gov/geo/query/acc.cgi?acc=GSM1930106","GSM1930106")</f>
        <v>GSM1930106</v>
      </c>
      <c r="I10582" t="s">
        <v>161</v>
      </c>
      <c r="J10582" t="s">
        <v>193</v>
      </c>
      <c r="K10582" t="s">
        <v>19</v>
      </c>
      <c r="L10582" t="s">
        <v>162</v>
      </c>
      <c r="M10582" t="s">
        <v>24</v>
      </c>
      <c r="N10582" t="s">
        <v>22</v>
      </c>
    </row>
    <row r="10583" spans="1:14">
      <c r="A10583" s="4" t="str">
        <f t="shared" si="941"/>
        <v>EXP00351</v>
      </c>
      <c r="B10583" s="4" t="str">
        <f t="shared" si="939"/>
        <v>26667932</v>
      </c>
      <c r="C10583" s="4" t="str">
        <f t="shared" si="940"/>
        <v>GSE74685</v>
      </c>
      <c r="D10583" s="1" t="s">
        <v>447</v>
      </c>
      <c r="E10583" t="s">
        <v>448</v>
      </c>
      <c r="F10583" s="1">
        <v>2</v>
      </c>
      <c r="G10583" s="1" t="s">
        <v>452</v>
      </c>
      <c r="H10583" s="4" t="str">
        <f>HYPERLINK("https://www.ncbi.nlm.nih.gov/geo/query/acc.cgi?acc=GSM1930109","GSM1930109")</f>
        <v>GSM1930109</v>
      </c>
      <c r="I10583" t="s">
        <v>161</v>
      </c>
      <c r="J10583" t="s">
        <v>193</v>
      </c>
      <c r="K10583" t="s">
        <v>19</v>
      </c>
      <c r="L10583" t="s">
        <v>162</v>
      </c>
      <c r="M10583" t="s">
        <v>24</v>
      </c>
      <c r="N10583" t="s">
        <v>22</v>
      </c>
    </row>
    <row r="10584" spans="1:14">
      <c r="A10584" s="4" t="str">
        <f t="shared" si="941"/>
        <v>EXP00351</v>
      </c>
      <c r="B10584" s="4" t="str">
        <f t="shared" si="939"/>
        <v>26667932</v>
      </c>
      <c r="C10584" s="4" t="str">
        <f t="shared" si="940"/>
        <v>GSE74685</v>
      </c>
      <c r="D10584" s="1" t="s">
        <v>447</v>
      </c>
      <c r="E10584" t="s">
        <v>448</v>
      </c>
      <c r="F10584" s="1">
        <v>2</v>
      </c>
      <c r="G10584" s="1" t="s">
        <v>452</v>
      </c>
      <c r="H10584" s="4" t="str">
        <f>HYPERLINK("https://www.ncbi.nlm.nih.gov/geo/query/acc.cgi?acc=GSM1930114","GSM1930114")</f>
        <v>GSM1930114</v>
      </c>
      <c r="I10584" t="s">
        <v>161</v>
      </c>
      <c r="J10584" t="s">
        <v>193</v>
      </c>
      <c r="K10584" t="s">
        <v>19</v>
      </c>
      <c r="L10584" t="s">
        <v>162</v>
      </c>
      <c r="M10584" t="s">
        <v>24</v>
      </c>
      <c r="N10584" t="s">
        <v>22</v>
      </c>
    </row>
    <row r="10585" spans="1:14">
      <c r="A10585" s="4" t="str">
        <f t="shared" si="941"/>
        <v>EXP00351</v>
      </c>
      <c r="B10585" s="4" t="str">
        <f t="shared" si="939"/>
        <v>26667932</v>
      </c>
      <c r="C10585" s="4" t="str">
        <f t="shared" si="940"/>
        <v>GSE74685</v>
      </c>
      <c r="D10585" s="1" t="s">
        <v>447</v>
      </c>
      <c r="E10585" t="s">
        <v>448</v>
      </c>
      <c r="F10585" s="1">
        <v>2</v>
      </c>
      <c r="G10585" s="1" t="s">
        <v>452</v>
      </c>
      <c r="H10585" s="4" t="str">
        <f>HYPERLINK("https://www.ncbi.nlm.nih.gov/geo/query/acc.cgi?acc=GSM1930117","GSM1930117")</f>
        <v>GSM1930117</v>
      </c>
      <c r="I10585" t="s">
        <v>161</v>
      </c>
      <c r="J10585" t="s">
        <v>193</v>
      </c>
      <c r="K10585" t="s">
        <v>19</v>
      </c>
      <c r="L10585" t="s">
        <v>162</v>
      </c>
      <c r="M10585" t="s">
        <v>24</v>
      </c>
      <c r="N10585" t="s">
        <v>22</v>
      </c>
    </row>
    <row r="10586" spans="1:14">
      <c r="A10586" s="4" t="str">
        <f t="shared" si="941"/>
        <v>EXP00351</v>
      </c>
      <c r="B10586" s="4" t="str">
        <f t="shared" si="939"/>
        <v>26667932</v>
      </c>
      <c r="C10586" s="4" t="str">
        <f t="shared" si="940"/>
        <v>GSE74685</v>
      </c>
      <c r="D10586" s="1" t="s">
        <v>447</v>
      </c>
      <c r="E10586" t="s">
        <v>448</v>
      </c>
      <c r="F10586" s="1">
        <v>2</v>
      </c>
      <c r="G10586" s="1" t="s">
        <v>452</v>
      </c>
      <c r="H10586" s="4" t="str">
        <f>HYPERLINK("https://www.ncbi.nlm.nih.gov/geo/query/acc.cgi?acc=GSM1930118","GSM1930118")</f>
        <v>GSM1930118</v>
      </c>
      <c r="I10586" t="s">
        <v>161</v>
      </c>
      <c r="J10586" t="s">
        <v>193</v>
      </c>
      <c r="K10586" t="s">
        <v>19</v>
      </c>
      <c r="L10586" t="s">
        <v>162</v>
      </c>
      <c r="M10586" t="s">
        <v>24</v>
      </c>
      <c r="N10586" t="s">
        <v>22</v>
      </c>
    </row>
    <row r="10587" spans="1:14">
      <c r="A10587" s="4" t="str">
        <f t="shared" si="941"/>
        <v>EXP00351</v>
      </c>
      <c r="B10587" s="4" t="str">
        <f t="shared" si="939"/>
        <v>26667932</v>
      </c>
      <c r="C10587" s="4" t="str">
        <f t="shared" si="940"/>
        <v>GSE74685</v>
      </c>
      <c r="D10587" s="1" t="s">
        <v>447</v>
      </c>
      <c r="E10587" t="s">
        <v>448</v>
      </c>
      <c r="F10587" s="1">
        <v>2</v>
      </c>
      <c r="G10587" s="1" t="s">
        <v>452</v>
      </c>
      <c r="H10587" s="4" t="str">
        <f>HYPERLINK("https://www.ncbi.nlm.nih.gov/geo/query/acc.cgi?acc=GSM1930121","GSM1930121")</f>
        <v>GSM1930121</v>
      </c>
      <c r="I10587" t="s">
        <v>161</v>
      </c>
      <c r="J10587" t="s">
        <v>193</v>
      </c>
      <c r="K10587" t="s">
        <v>19</v>
      </c>
      <c r="L10587" t="s">
        <v>162</v>
      </c>
      <c r="M10587" t="s">
        <v>24</v>
      </c>
      <c r="N10587" t="s">
        <v>22</v>
      </c>
    </row>
    <row r="10588" spans="1:14">
      <c r="A10588" s="4" t="str">
        <f t="shared" si="941"/>
        <v>EXP00351</v>
      </c>
      <c r="B10588" s="4" t="str">
        <f t="shared" si="939"/>
        <v>26667932</v>
      </c>
      <c r="C10588" s="4" t="str">
        <f t="shared" si="940"/>
        <v>GSE74685</v>
      </c>
      <c r="D10588" s="1" t="s">
        <v>447</v>
      </c>
      <c r="E10588" t="s">
        <v>448</v>
      </c>
      <c r="F10588" s="1">
        <v>2</v>
      </c>
      <c r="G10588" s="1" t="s">
        <v>452</v>
      </c>
      <c r="H10588" s="4" t="str">
        <f>HYPERLINK("https://www.ncbi.nlm.nih.gov/geo/query/acc.cgi?acc=GSM1930123","GSM1930123")</f>
        <v>GSM1930123</v>
      </c>
      <c r="I10588" t="s">
        <v>161</v>
      </c>
      <c r="J10588" t="s">
        <v>193</v>
      </c>
      <c r="K10588" t="s">
        <v>19</v>
      </c>
      <c r="L10588" t="s">
        <v>162</v>
      </c>
      <c r="M10588" t="s">
        <v>24</v>
      </c>
      <c r="N10588" t="s">
        <v>22</v>
      </c>
    </row>
    <row r="10589" spans="1:14">
      <c r="A10589" s="4" t="str">
        <f t="shared" si="941"/>
        <v>EXP00351</v>
      </c>
      <c r="B10589" s="4" t="str">
        <f t="shared" si="939"/>
        <v>26667932</v>
      </c>
      <c r="C10589" s="4" t="str">
        <f t="shared" si="940"/>
        <v>GSE74685</v>
      </c>
      <c r="D10589" s="1" t="s">
        <v>447</v>
      </c>
      <c r="E10589" t="s">
        <v>448</v>
      </c>
      <c r="F10589" s="1">
        <v>2</v>
      </c>
      <c r="G10589" s="1" t="s">
        <v>452</v>
      </c>
      <c r="H10589" s="4" t="str">
        <f>HYPERLINK("https://www.ncbi.nlm.nih.gov/geo/query/acc.cgi?acc=GSM1930124","GSM1930124")</f>
        <v>GSM1930124</v>
      </c>
      <c r="I10589" t="s">
        <v>161</v>
      </c>
      <c r="J10589" t="s">
        <v>193</v>
      </c>
      <c r="K10589" t="s">
        <v>19</v>
      </c>
      <c r="L10589" t="s">
        <v>162</v>
      </c>
      <c r="M10589" t="s">
        <v>24</v>
      </c>
      <c r="N10589" t="s">
        <v>22</v>
      </c>
    </row>
    <row r="10590" spans="1:14">
      <c r="A10590" s="4" t="str">
        <f t="shared" si="941"/>
        <v>EXP00351</v>
      </c>
      <c r="B10590" s="4" t="str">
        <f t="shared" si="939"/>
        <v>26667932</v>
      </c>
      <c r="C10590" s="4" t="str">
        <f t="shared" si="940"/>
        <v>GSE74685</v>
      </c>
      <c r="D10590" s="1" t="s">
        <v>447</v>
      </c>
      <c r="E10590" t="s">
        <v>448</v>
      </c>
      <c r="F10590" s="1">
        <v>2</v>
      </c>
      <c r="G10590" s="1" t="s">
        <v>452</v>
      </c>
      <c r="H10590" s="4" t="str">
        <f>HYPERLINK("https://www.ncbi.nlm.nih.gov/geo/query/acc.cgi?acc=GSM1930125","GSM1930125")</f>
        <v>GSM1930125</v>
      </c>
      <c r="I10590" t="s">
        <v>161</v>
      </c>
      <c r="J10590" t="s">
        <v>193</v>
      </c>
      <c r="K10590" t="s">
        <v>19</v>
      </c>
      <c r="L10590" t="s">
        <v>162</v>
      </c>
      <c r="M10590" t="s">
        <v>24</v>
      </c>
      <c r="N10590" t="s">
        <v>22</v>
      </c>
    </row>
    <row r="10591" spans="1:14">
      <c r="A10591" s="4" t="str">
        <f t="shared" si="941"/>
        <v>EXP00351</v>
      </c>
      <c r="B10591" s="4" t="str">
        <f t="shared" si="939"/>
        <v>26667932</v>
      </c>
      <c r="C10591" s="4" t="str">
        <f t="shared" si="940"/>
        <v>GSE74685</v>
      </c>
      <c r="D10591" s="1" t="s">
        <v>447</v>
      </c>
      <c r="E10591" t="s">
        <v>448</v>
      </c>
      <c r="F10591" s="1">
        <v>2</v>
      </c>
      <c r="G10591" s="1" t="s">
        <v>452</v>
      </c>
      <c r="H10591" s="4" t="str">
        <f>HYPERLINK("https://www.ncbi.nlm.nih.gov/geo/query/acc.cgi?acc=GSM1930127","GSM1930127")</f>
        <v>GSM1930127</v>
      </c>
      <c r="I10591" t="s">
        <v>161</v>
      </c>
      <c r="J10591" t="s">
        <v>193</v>
      </c>
      <c r="K10591" t="s">
        <v>19</v>
      </c>
      <c r="L10591" t="s">
        <v>162</v>
      </c>
      <c r="M10591" t="s">
        <v>24</v>
      </c>
      <c r="N10591" t="s">
        <v>22</v>
      </c>
    </row>
    <row r="10592" spans="1:14">
      <c r="A10592" s="4" t="str">
        <f t="shared" si="941"/>
        <v>EXP00351</v>
      </c>
      <c r="B10592" s="4" t="str">
        <f t="shared" si="939"/>
        <v>26667932</v>
      </c>
      <c r="C10592" s="4" t="str">
        <f t="shared" si="940"/>
        <v>GSE74685</v>
      </c>
      <c r="D10592" s="1" t="s">
        <v>447</v>
      </c>
      <c r="E10592" t="s">
        <v>448</v>
      </c>
      <c r="F10592" s="1">
        <v>2</v>
      </c>
      <c r="G10592" s="1" t="s">
        <v>452</v>
      </c>
      <c r="H10592" s="4" t="str">
        <f>HYPERLINK("https://www.ncbi.nlm.nih.gov/geo/query/acc.cgi?acc=GSM1930128","GSM1930128")</f>
        <v>GSM1930128</v>
      </c>
      <c r="I10592" t="s">
        <v>161</v>
      </c>
      <c r="J10592" t="s">
        <v>193</v>
      </c>
      <c r="K10592" t="s">
        <v>19</v>
      </c>
      <c r="L10592" t="s">
        <v>162</v>
      </c>
      <c r="M10592" t="s">
        <v>24</v>
      </c>
      <c r="N10592" t="s">
        <v>22</v>
      </c>
    </row>
    <row r="10593" spans="1:14">
      <c r="A10593" s="4" t="str">
        <f t="shared" si="941"/>
        <v>EXP00351</v>
      </c>
      <c r="B10593" s="4" t="str">
        <f t="shared" si="939"/>
        <v>26667932</v>
      </c>
      <c r="C10593" s="4" t="str">
        <f t="shared" si="940"/>
        <v>GSE74685</v>
      </c>
      <c r="D10593" s="1" t="s">
        <v>447</v>
      </c>
      <c r="E10593" t="s">
        <v>448</v>
      </c>
      <c r="F10593" s="1">
        <v>2</v>
      </c>
      <c r="G10593" s="1" t="s">
        <v>452</v>
      </c>
      <c r="H10593" s="4" t="str">
        <f>HYPERLINK("https://www.ncbi.nlm.nih.gov/geo/query/acc.cgi?acc=GSM1930130","GSM1930130")</f>
        <v>GSM1930130</v>
      </c>
      <c r="I10593" t="s">
        <v>161</v>
      </c>
      <c r="J10593" t="s">
        <v>193</v>
      </c>
      <c r="K10593" t="s">
        <v>19</v>
      </c>
      <c r="L10593" t="s">
        <v>162</v>
      </c>
      <c r="M10593" t="s">
        <v>24</v>
      </c>
      <c r="N10593" t="s">
        <v>22</v>
      </c>
    </row>
    <row r="10594" spans="1:14">
      <c r="A10594" s="4" t="str">
        <f t="shared" si="941"/>
        <v>EXP00351</v>
      </c>
      <c r="B10594" s="4" t="str">
        <f t="shared" si="939"/>
        <v>26667932</v>
      </c>
      <c r="C10594" s="4" t="str">
        <f t="shared" si="940"/>
        <v>GSE74685</v>
      </c>
      <c r="D10594" s="1" t="s">
        <v>447</v>
      </c>
      <c r="E10594" t="s">
        <v>448</v>
      </c>
      <c r="F10594" s="1">
        <v>2</v>
      </c>
      <c r="G10594" s="1" t="s">
        <v>452</v>
      </c>
      <c r="H10594" s="4" t="str">
        <f>HYPERLINK("https://www.ncbi.nlm.nih.gov/geo/query/acc.cgi?acc=GSM1930132","GSM1930132")</f>
        <v>GSM1930132</v>
      </c>
      <c r="I10594" t="s">
        <v>161</v>
      </c>
      <c r="J10594" t="s">
        <v>193</v>
      </c>
      <c r="K10594" t="s">
        <v>19</v>
      </c>
      <c r="L10594" t="s">
        <v>162</v>
      </c>
      <c r="M10594" t="s">
        <v>24</v>
      </c>
      <c r="N10594" t="s">
        <v>22</v>
      </c>
    </row>
    <row r="10595" spans="1:14">
      <c r="A10595" s="4" t="str">
        <f t="shared" si="941"/>
        <v>EXP00351</v>
      </c>
      <c r="B10595" s="4" t="str">
        <f t="shared" si="939"/>
        <v>26667932</v>
      </c>
      <c r="C10595" s="4" t="str">
        <f t="shared" si="940"/>
        <v>GSE74685</v>
      </c>
      <c r="D10595" s="1" t="s">
        <v>447</v>
      </c>
      <c r="E10595" t="s">
        <v>448</v>
      </c>
      <c r="F10595" s="1">
        <v>2</v>
      </c>
      <c r="G10595" s="1" t="s">
        <v>452</v>
      </c>
      <c r="H10595" s="4" t="str">
        <f>HYPERLINK("https://www.ncbi.nlm.nih.gov/geo/query/acc.cgi?acc=GSM1930139","GSM1930139")</f>
        <v>GSM1930139</v>
      </c>
      <c r="I10595" t="s">
        <v>161</v>
      </c>
      <c r="J10595" t="s">
        <v>193</v>
      </c>
      <c r="K10595" t="s">
        <v>19</v>
      </c>
      <c r="L10595" t="s">
        <v>162</v>
      </c>
      <c r="M10595" t="s">
        <v>24</v>
      </c>
      <c r="N10595" t="s">
        <v>22</v>
      </c>
    </row>
    <row r="10596" spans="1:14">
      <c r="A10596" s="4" t="str">
        <f t="shared" si="941"/>
        <v>EXP00351</v>
      </c>
      <c r="B10596" s="4" t="str">
        <f t="shared" si="939"/>
        <v>26667932</v>
      </c>
      <c r="C10596" s="4" t="str">
        <f t="shared" si="940"/>
        <v>GSE74685</v>
      </c>
      <c r="D10596" s="1" t="s">
        <v>447</v>
      </c>
      <c r="E10596" t="s">
        <v>448</v>
      </c>
      <c r="F10596" s="1">
        <v>2</v>
      </c>
      <c r="G10596" s="1" t="s">
        <v>452</v>
      </c>
      <c r="H10596" s="4" t="str">
        <f>HYPERLINK("https://www.ncbi.nlm.nih.gov/geo/query/acc.cgi?acc=GSM1930146","GSM1930146")</f>
        <v>GSM1930146</v>
      </c>
      <c r="I10596" t="s">
        <v>161</v>
      </c>
      <c r="J10596" t="s">
        <v>193</v>
      </c>
      <c r="K10596" t="s">
        <v>19</v>
      </c>
      <c r="L10596" t="s">
        <v>162</v>
      </c>
      <c r="M10596" t="s">
        <v>24</v>
      </c>
      <c r="N10596" t="s">
        <v>22</v>
      </c>
    </row>
    <row r="10597" spans="1:14">
      <c r="A10597" s="4" t="str">
        <f t="shared" si="941"/>
        <v>EXP00351</v>
      </c>
      <c r="B10597" s="4" t="str">
        <f t="shared" si="939"/>
        <v>26667932</v>
      </c>
      <c r="C10597" s="4" t="str">
        <f t="shared" si="940"/>
        <v>GSE74685</v>
      </c>
      <c r="D10597" s="1" t="s">
        <v>447</v>
      </c>
      <c r="E10597" t="s">
        <v>448</v>
      </c>
      <c r="F10597" s="1">
        <v>2</v>
      </c>
      <c r="G10597" s="1" t="s">
        <v>452</v>
      </c>
      <c r="H10597" s="4" t="str">
        <f>HYPERLINK("https://www.ncbi.nlm.nih.gov/geo/query/acc.cgi?acc=GSM1930147","GSM1930147")</f>
        <v>GSM1930147</v>
      </c>
      <c r="I10597" t="s">
        <v>161</v>
      </c>
      <c r="J10597" t="s">
        <v>193</v>
      </c>
      <c r="K10597" t="s">
        <v>19</v>
      </c>
      <c r="L10597" t="s">
        <v>162</v>
      </c>
      <c r="M10597" t="s">
        <v>24</v>
      </c>
      <c r="N10597" t="s">
        <v>22</v>
      </c>
    </row>
    <row r="10598" spans="1:14">
      <c r="A10598" s="4" t="str">
        <f t="shared" si="941"/>
        <v>EXP00351</v>
      </c>
      <c r="B10598" s="4" t="str">
        <f t="shared" si="939"/>
        <v>26667932</v>
      </c>
      <c r="C10598" s="4" t="str">
        <f t="shared" si="940"/>
        <v>GSE74685</v>
      </c>
      <c r="D10598" s="1" t="s">
        <v>447</v>
      </c>
      <c r="E10598" t="s">
        <v>448</v>
      </c>
      <c r="F10598" s="1">
        <v>2</v>
      </c>
      <c r="G10598" s="1" t="s">
        <v>452</v>
      </c>
      <c r="H10598" s="4" t="str">
        <f>HYPERLINK("https://www.ncbi.nlm.nih.gov/geo/query/acc.cgi?acc=GSM1930148","GSM1930148")</f>
        <v>GSM1930148</v>
      </c>
      <c r="I10598" t="s">
        <v>161</v>
      </c>
      <c r="J10598" t="s">
        <v>193</v>
      </c>
      <c r="K10598" t="s">
        <v>19</v>
      </c>
      <c r="L10598" t="s">
        <v>162</v>
      </c>
      <c r="M10598" t="s">
        <v>24</v>
      </c>
      <c r="N10598" t="s">
        <v>22</v>
      </c>
    </row>
    <row r="10599" spans="1:14">
      <c r="A10599" s="4" t="str">
        <f t="shared" si="941"/>
        <v>EXP00351</v>
      </c>
      <c r="B10599" s="4" t="str">
        <f t="shared" si="939"/>
        <v>26667932</v>
      </c>
      <c r="C10599" s="4" t="str">
        <f t="shared" si="940"/>
        <v>GSE74685</v>
      </c>
      <c r="D10599" s="1" t="s">
        <v>447</v>
      </c>
      <c r="E10599" t="s">
        <v>448</v>
      </c>
      <c r="F10599" s="1">
        <v>2</v>
      </c>
      <c r="G10599" s="1" t="s">
        <v>452</v>
      </c>
      <c r="H10599" s="4" t="str">
        <f>HYPERLINK("https://www.ncbi.nlm.nih.gov/geo/query/acc.cgi?acc=GSM1930149","GSM1930149")</f>
        <v>GSM1930149</v>
      </c>
      <c r="I10599" t="s">
        <v>161</v>
      </c>
      <c r="J10599" t="s">
        <v>193</v>
      </c>
      <c r="K10599" t="s">
        <v>19</v>
      </c>
      <c r="L10599" t="s">
        <v>162</v>
      </c>
      <c r="M10599" t="s">
        <v>24</v>
      </c>
      <c r="N10599" t="s">
        <v>22</v>
      </c>
    </row>
    <row r="10600" spans="1:14">
      <c r="A10600" s="4" t="str">
        <f t="shared" si="941"/>
        <v>EXP00351</v>
      </c>
      <c r="B10600" s="4" t="str">
        <f t="shared" si="939"/>
        <v>26667932</v>
      </c>
      <c r="C10600" s="4" t="str">
        <f t="shared" si="940"/>
        <v>GSE74685</v>
      </c>
      <c r="D10600" s="1" t="s">
        <v>447</v>
      </c>
      <c r="E10600" t="s">
        <v>448</v>
      </c>
      <c r="F10600" s="1">
        <v>2</v>
      </c>
      <c r="G10600" s="1" t="s">
        <v>452</v>
      </c>
      <c r="H10600" s="4" t="str">
        <f>HYPERLINK("https://www.ncbi.nlm.nih.gov/geo/query/acc.cgi?acc=GSM1930152","GSM1930152")</f>
        <v>GSM1930152</v>
      </c>
      <c r="I10600" t="s">
        <v>161</v>
      </c>
      <c r="J10600" t="s">
        <v>193</v>
      </c>
      <c r="K10600" t="s">
        <v>19</v>
      </c>
      <c r="L10600" t="s">
        <v>162</v>
      </c>
      <c r="M10600" t="s">
        <v>24</v>
      </c>
      <c r="N10600" t="s">
        <v>22</v>
      </c>
    </row>
    <row r="10601" spans="1:14">
      <c r="A10601" s="4" t="str">
        <f t="shared" si="941"/>
        <v>EXP00351</v>
      </c>
      <c r="B10601" s="4" t="str">
        <f t="shared" si="939"/>
        <v>26667932</v>
      </c>
      <c r="C10601" s="4" t="str">
        <f t="shared" si="940"/>
        <v>GSE74685</v>
      </c>
      <c r="D10601" s="1" t="s">
        <v>447</v>
      </c>
      <c r="E10601" t="s">
        <v>448</v>
      </c>
      <c r="F10601" s="1">
        <v>2</v>
      </c>
      <c r="G10601" s="1" t="s">
        <v>452</v>
      </c>
      <c r="H10601" s="4" t="str">
        <f>HYPERLINK("https://www.ncbi.nlm.nih.gov/geo/query/acc.cgi?acc=GSM1930156","GSM1930156")</f>
        <v>GSM1930156</v>
      </c>
      <c r="I10601" t="s">
        <v>161</v>
      </c>
      <c r="J10601" t="s">
        <v>193</v>
      </c>
      <c r="K10601" t="s">
        <v>19</v>
      </c>
      <c r="L10601" t="s">
        <v>162</v>
      </c>
      <c r="M10601" t="s">
        <v>24</v>
      </c>
      <c r="N10601" t="s">
        <v>22</v>
      </c>
    </row>
    <row r="10602" spans="1:14">
      <c r="A10602" s="4" t="str">
        <f t="shared" si="941"/>
        <v>EXP00351</v>
      </c>
      <c r="B10602" s="4" t="str">
        <f t="shared" si="939"/>
        <v>26667932</v>
      </c>
      <c r="C10602" s="4" t="str">
        <f t="shared" si="940"/>
        <v>GSE74685</v>
      </c>
      <c r="D10602" s="1" t="s">
        <v>447</v>
      </c>
      <c r="E10602" t="s">
        <v>448</v>
      </c>
      <c r="F10602" s="1">
        <v>2</v>
      </c>
      <c r="G10602" s="1" t="s">
        <v>452</v>
      </c>
      <c r="H10602" s="4" t="str">
        <f>HYPERLINK("https://www.ncbi.nlm.nih.gov/geo/query/acc.cgi?acc=GSM1930157","GSM1930157")</f>
        <v>GSM1930157</v>
      </c>
      <c r="I10602" t="s">
        <v>161</v>
      </c>
      <c r="J10602" t="s">
        <v>193</v>
      </c>
      <c r="K10602" t="s">
        <v>19</v>
      </c>
      <c r="L10602" t="s">
        <v>162</v>
      </c>
      <c r="M10602" t="s">
        <v>24</v>
      </c>
      <c r="N10602" t="s">
        <v>22</v>
      </c>
    </row>
    <row r="10603" spans="1:14">
      <c r="A10603" s="4" t="str">
        <f t="shared" si="941"/>
        <v>EXP00351</v>
      </c>
      <c r="B10603" s="4" t="str">
        <f t="shared" si="939"/>
        <v>26667932</v>
      </c>
      <c r="C10603" s="4" t="str">
        <f t="shared" si="940"/>
        <v>GSE74685</v>
      </c>
      <c r="D10603" s="1" t="s">
        <v>447</v>
      </c>
      <c r="E10603" t="s">
        <v>448</v>
      </c>
      <c r="F10603" s="1">
        <v>2</v>
      </c>
      <c r="G10603" s="1" t="s">
        <v>452</v>
      </c>
      <c r="H10603" s="4" t="str">
        <f>HYPERLINK("https://www.ncbi.nlm.nih.gov/geo/query/acc.cgi?acc=GSM1930158","GSM1930158")</f>
        <v>GSM1930158</v>
      </c>
      <c r="I10603" t="s">
        <v>161</v>
      </c>
      <c r="J10603" t="s">
        <v>193</v>
      </c>
      <c r="K10603" t="s">
        <v>19</v>
      </c>
      <c r="L10603" t="s">
        <v>162</v>
      </c>
      <c r="M10603" t="s">
        <v>24</v>
      </c>
      <c r="N10603" t="s">
        <v>22</v>
      </c>
    </row>
    <row r="10604" spans="1:14">
      <c r="A10604" s="4" t="str">
        <f t="shared" si="941"/>
        <v>EXP00351</v>
      </c>
      <c r="B10604" s="4" t="str">
        <f t="shared" si="939"/>
        <v>26667932</v>
      </c>
      <c r="C10604" s="4" t="str">
        <f t="shared" si="940"/>
        <v>GSE74685</v>
      </c>
      <c r="D10604" s="1" t="s">
        <v>447</v>
      </c>
      <c r="E10604" t="s">
        <v>448</v>
      </c>
      <c r="F10604" s="1">
        <v>2</v>
      </c>
      <c r="G10604" s="1" t="s">
        <v>452</v>
      </c>
      <c r="H10604" s="4" t="str">
        <f>HYPERLINK("https://www.ncbi.nlm.nih.gov/geo/query/acc.cgi?acc=GSM1930159","GSM1930159")</f>
        <v>GSM1930159</v>
      </c>
      <c r="I10604" t="s">
        <v>161</v>
      </c>
      <c r="J10604" t="s">
        <v>193</v>
      </c>
      <c r="K10604" t="s">
        <v>19</v>
      </c>
      <c r="L10604" t="s">
        <v>162</v>
      </c>
      <c r="M10604" t="s">
        <v>24</v>
      </c>
      <c r="N10604" t="s">
        <v>22</v>
      </c>
    </row>
    <row r="10605" spans="1:14">
      <c r="A10605" s="4" t="str">
        <f t="shared" ref="A10605:A10629" si="942">HYPERLINK("http://hcmdb.i-sanger.com/experiment/details/experiment_id/EXP00352","EXP00352")</f>
        <v>EXP00352</v>
      </c>
      <c r="B10605" s="4" t="str">
        <f t="shared" si="939"/>
        <v>26667932</v>
      </c>
      <c r="C10605" s="4" t="str">
        <f t="shared" si="940"/>
        <v>GSE74685</v>
      </c>
      <c r="D10605" s="1" t="s">
        <v>447</v>
      </c>
      <c r="E10605" t="s">
        <v>448</v>
      </c>
      <c r="F10605" s="1">
        <v>1</v>
      </c>
      <c r="G10605" s="1" t="s">
        <v>451</v>
      </c>
      <c r="H10605" s="4" t="str">
        <f>HYPERLINK("https://www.ncbi.nlm.nih.gov/geo/query/acc.cgi?acc=GSM1616617","GSM1616617")</f>
        <v>GSM1616617</v>
      </c>
      <c r="I10605" t="s">
        <v>161</v>
      </c>
      <c r="J10605" t="s">
        <v>193</v>
      </c>
      <c r="K10605" t="s">
        <v>19</v>
      </c>
      <c r="L10605" t="s">
        <v>162</v>
      </c>
      <c r="M10605" t="s">
        <v>41</v>
      </c>
      <c r="N10605" t="s">
        <v>22</v>
      </c>
    </row>
    <row r="10606" spans="1:14">
      <c r="A10606" s="4" t="str">
        <f t="shared" si="942"/>
        <v>EXP00352</v>
      </c>
      <c r="B10606" s="4" t="str">
        <f t="shared" si="939"/>
        <v>26667932</v>
      </c>
      <c r="C10606" s="4" t="str">
        <f t="shared" si="940"/>
        <v>GSE74685</v>
      </c>
      <c r="D10606" s="1" t="s">
        <v>447</v>
      </c>
      <c r="E10606" t="s">
        <v>448</v>
      </c>
      <c r="F10606" s="1">
        <v>1</v>
      </c>
      <c r="G10606" s="1" t="s">
        <v>451</v>
      </c>
      <c r="H10606" s="4" t="str">
        <f>HYPERLINK("https://www.ncbi.nlm.nih.gov/geo/query/acc.cgi?acc=GSM1616637","GSM1616637")</f>
        <v>GSM1616637</v>
      </c>
      <c r="I10606" t="s">
        <v>161</v>
      </c>
      <c r="J10606" t="s">
        <v>193</v>
      </c>
      <c r="K10606" t="s">
        <v>19</v>
      </c>
      <c r="L10606" t="s">
        <v>162</v>
      </c>
      <c r="M10606" t="s">
        <v>41</v>
      </c>
      <c r="N10606" t="s">
        <v>22</v>
      </c>
    </row>
    <row r="10607" spans="1:14">
      <c r="A10607" s="4" t="str">
        <f t="shared" si="942"/>
        <v>EXP00352</v>
      </c>
      <c r="B10607" s="4" t="str">
        <f t="shared" si="939"/>
        <v>26667932</v>
      </c>
      <c r="C10607" s="4" t="str">
        <f t="shared" si="940"/>
        <v>GSE74685</v>
      </c>
      <c r="D10607" s="1" t="s">
        <v>447</v>
      </c>
      <c r="E10607" t="s">
        <v>448</v>
      </c>
      <c r="F10607" s="1">
        <v>1</v>
      </c>
      <c r="G10607" s="1" t="s">
        <v>451</v>
      </c>
      <c r="H10607" s="4" t="str">
        <f>HYPERLINK("https://www.ncbi.nlm.nih.gov/geo/query/acc.cgi?acc=GSM1616646","GSM1616646")</f>
        <v>GSM1616646</v>
      </c>
      <c r="I10607" t="s">
        <v>161</v>
      </c>
      <c r="J10607" t="s">
        <v>193</v>
      </c>
      <c r="K10607" t="s">
        <v>19</v>
      </c>
      <c r="L10607" t="s">
        <v>162</v>
      </c>
      <c r="M10607" t="s">
        <v>41</v>
      </c>
      <c r="N10607" t="s">
        <v>22</v>
      </c>
    </row>
    <row r="10608" spans="1:14">
      <c r="A10608" s="4" t="str">
        <f t="shared" si="942"/>
        <v>EXP00352</v>
      </c>
      <c r="B10608" s="4" t="str">
        <f t="shared" si="939"/>
        <v>26667932</v>
      </c>
      <c r="C10608" s="4" t="str">
        <f t="shared" si="940"/>
        <v>GSE74685</v>
      </c>
      <c r="D10608" s="1" t="s">
        <v>447</v>
      </c>
      <c r="E10608" t="s">
        <v>448</v>
      </c>
      <c r="F10608" s="1">
        <v>1</v>
      </c>
      <c r="G10608" s="1" t="s">
        <v>451</v>
      </c>
      <c r="H10608" s="4" t="str">
        <f>HYPERLINK("https://www.ncbi.nlm.nih.gov/geo/query/acc.cgi?acc=GSM1616660","GSM1616660")</f>
        <v>GSM1616660</v>
      </c>
      <c r="I10608" t="s">
        <v>161</v>
      </c>
      <c r="J10608" t="s">
        <v>193</v>
      </c>
      <c r="K10608" t="s">
        <v>19</v>
      </c>
      <c r="L10608" t="s">
        <v>162</v>
      </c>
      <c r="M10608" t="s">
        <v>41</v>
      </c>
      <c r="N10608" t="s">
        <v>22</v>
      </c>
    </row>
    <row r="10609" spans="1:14">
      <c r="A10609" s="4" t="str">
        <f t="shared" si="942"/>
        <v>EXP00352</v>
      </c>
      <c r="B10609" s="4" t="str">
        <f t="shared" si="939"/>
        <v>26667932</v>
      </c>
      <c r="C10609" s="4" t="str">
        <f t="shared" si="940"/>
        <v>GSE74685</v>
      </c>
      <c r="D10609" s="1" t="s">
        <v>447</v>
      </c>
      <c r="E10609" t="s">
        <v>448</v>
      </c>
      <c r="F10609" s="1">
        <v>1</v>
      </c>
      <c r="G10609" s="1" t="s">
        <v>451</v>
      </c>
      <c r="H10609" s="4" t="str">
        <f>HYPERLINK("https://www.ncbi.nlm.nih.gov/geo/query/acc.cgi?acc=GSM1616666","GSM1616666")</f>
        <v>GSM1616666</v>
      </c>
      <c r="I10609" t="s">
        <v>161</v>
      </c>
      <c r="J10609" t="s">
        <v>193</v>
      </c>
      <c r="K10609" t="s">
        <v>19</v>
      </c>
      <c r="L10609" t="s">
        <v>162</v>
      </c>
      <c r="M10609" t="s">
        <v>41</v>
      </c>
      <c r="N10609" t="s">
        <v>22</v>
      </c>
    </row>
    <row r="10610" spans="1:14">
      <c r="A10610" s="4" t="str">
        <f t="shared" si="942"/>
        <v>EXP00352</v>
      </c>
      <c r="B10610" s="4" t="str">
        <f t="shared" si="939"/>
        <v>26667932</v>
      </c>
      <c r="C10610" s="4" t="str">
        <f t="shared" si="940"/>
        <v>GSE74685</v>
      </c>
      <c r="D10610" s="1" t="s">
        <v>447</v>
      </c>
      <c r="E10610" t="s">
        <v>448</v>
      </c>
      <c r="F10610" s="1">
        <v>1</v>
      </c>
      <c r="G10610" s="1" t="s">
        <v>451</v>
      </c>
      <c r="H10610" s="4" t="str">
        <f>HYPERLINK("https://www.ncbi.nlm.nih.gov/geo/query/acc.cgi?acc=GSM1616668","GSM1616668")</f>
        <v>GSM1616668</v>
      </c>
      <c r="I10610" t="s">
        <v>161</v>
      </c>
      <c r="J10610" t="s">
        <v>193</v>
      </c>
      <c r="K10610" t="s">
        <v>19</v>
      </c>
      <c r="L10610" t="s">
        <v>162</v>
      </c>
      <c r="M10610" t="s">
        <v>41</v>
      </c>
      <c r="N10610" t="s">
        <v>22</v>
      </c>
    </row>
    <row r="10611" spans="1:14">
      <c r="A10611" s="4" t="str">
        <f t="shared" si="942"/>
        <v>EXP00352</v>
      </c>
      <c r="B10611" s="4" t="str">
        <f t="shared" si="939"/>
        <v>26667932</v>
      </c>
      <c r="C10611" s="4" t="str">
        <f t="shared" si="940"/>
        <v>GSE74685</v>
      </c>
      <c r="D10611" s="1" t="s">
        <v>447</v>
      </c>
      <c r="E10611" t="s">
        <v>448</v>
      </c>
      <c r="F10611" s="1">
        <v>1</v>
      </c>
      <c r="G10611" s="1" t="s">
        <v>451</v>
      </c>
      <c r="H10611" s="4" t="str">
        <f>HYPERLINK("https://www.ncbi.nlm.nih.gov/geo/query/acc.cgi?acc=GSM1616673","GSM1616673")</f>
        <v>GSM1616673</v>
      </c>
      <c r="I10611" t="s">
        <v>161</v>
      </c>
      <c r="J10611" t="s">
        <v>193</v>
      </c>
      <c r="K10611" t="s">
        <v>19</v>
      </c>
      <c r="L10611" t="s">
        <v>162</v>
      </c>
      <c r="M10611" t="s">
        <v>41</v>
      </c>
      <c r="N10611" t="s">
        <v>22</v>
      </c>
    </row>
    <row r="10612" spans="1:14">
      <c r="A10612" s="4" t="str">
        <f t="shared" si="942"/>
        <v>EXP00352</v>
      </c>
      <c r="B10612" s="4" t="str">
        <f t="shared" si="939"/>
        <v>26667932</v>
      </c>
      <c r="C10612" s="4" t="str">
        <f t="shared" si="940"/>
        <v>GSE74685</v>
      </c>
      <c r="D10612" s="1" t="s">
        <v>447</v>
      </c>
      <c r="E10612" t="s">
        <v>448</v>
      </c>
      <c r="F10612" s="1">
        <v>1</v>
      </c>
      <c r="G10612" s="1" t="s">
        <v>451</v>
      </c>
      <c r="H10612" s="4" t="str">
        <f>HYPERLINK("https://www.ncbi.nlm.nih.gov/geo/query/acc.cgi?acc=GSM1930066","GSM1930066")</f>
        <v>GSM1930066</v>
      </c>
      <c r="I10612" t="s">
        <v>161</v>
      </c>
      <c r="J10612" t="s">
        <v>193</v>
      </c>
      <c r="K10612" t="s">
        <v>19</v>
      </c>
      <c r="L10612" t="s">
        <v>162</v>
      </c>
      <c r="M10612" t="s">
        <v>41</v>
      </c>
      <c r="N10612" t="s">
        <v>22</v>
      </c>
    </row>
    <row r="10613" spans="1:14">
      <c r="A10613" s="4" t="str">
        <f t="shared" si="942"/>
        <v>EXP00352</v>
      </c>
      <c r="B10613" s="4" t="str">
        <f t="shared" si="939"/>
        <v>26667932</v>
      </c>
      <c r="C10613" s="4" t="str">
        <f t="shared" si="940"/>
        <v>GSE74685</v>
      </c>
      <c r="D10613" s="1" t="s">
        <v>447</v>
      </c>
      <c r="E10613" t="s">
        <v>448</v>
      </c>
      <c r="F10613" s="1">
        <v>1</v>
      </c>
      <c r="G10613" s="1" t="s">
        <v>451</v>
      </c>
      <c r="H10613" s="4" t="str">
        <f>HYPERLINK("https://www.ncbi.nlm.nih.gov/geo/query/acc.cgi?acc=GSM1930069","GSM1930069")</f>
        <v>GSM1930069</v>
      </c>
      <c r="I10613" t="s">
        <v>161</v>
      </c>
      <c r="J10613" t="s">
        <v>193</v>
      </c>
      <c r="K10613" t="s">
        <v>19</v>
      </c>
      <c r="L10613" t="s">
        <v>162</v>
      </c>
      <c r="M10613" t="s">
        <v>41</v>
      </c>
      <c r="N10613" t="s">
        <v>22</v>
      </c>
    </row>
    <row r="10614" spans="1:14">
      <c r="A10614" s="4" t="str">
        <f t="shared" si="942"/>
        <v>EXP00352</v>
      </c>
      <c r="B10614" s="4" t="str">
        <f t="shared" si="939"/>
        <v>26667932</v>
      </c>
      <c r="C10614" s="4" t="str">
        <f t="shared" si="940"/>
        <v>GSE74685</v>
      </c>
      <c r="D10614" s="1" t="s">
        <v>447</v>
      </c>
      <c r="E10614" t="s">
        <v>448</v>
      </c>
      <c r="F10614" s="1">
        <v>1</v>
      </c>
      <c r="G10614" s="1" t="s">
        <v>451</v>
      </c>
      <c r="H10614" s="4" t="str">
        <f>HYPERLINK("https://www.ncbi.nlm.nih.gov/geo/query/acc.cgi?acc=GSM1930075","GSM1930075")</f>
        <v>GSM1930075</v>
      </c>
      <c r="I10614" t="s">
        <v>161</v>
      </c>
      <c r="J10614" t="s">
        <v>193</v>
      </c>
      <c r="K10614" t="s">
        <v>19</v>
      </c>
      <c r="L10614" t="s">
        <v>162</v>
      </c>
      <c r="M10614" t="s">
        <v>41</v>
      </c>
      <c r="N10614" t="s">
        <v>22</v>
      </c>
    </row>
    <row r="10615" spans="1:14">
      <c r="A10615" s="4" t="str">
        <f t="shared" si="942"/>
        <v>EXP00352</v>
      </c>
      <c r="B10615" s="4" t="str">
        <f t="shared" si="939"/>
        <v>26667932</v>
      </c>
      <c r="C10615" s="4" t="str">
        <f t="shared" si="940"/>
        <v>GSE74685</v>
      </c>
      <c r="D10615" s="1" t="s">
        <v>447</v>
      </c>
      <c r="E10615" t="s">
        <v>448</v>
      </c>
      <c r="F10615" s="1">
        <v>1</v>
      </c>
      <c r="G10615" s="1" t="s">
        <v>451</v>
      </c>
      <c r="H10615" s="4" t="str">
        <f>HYPERLINK("https://www.ncbi.nlm.nih.gov/geo/query/acc.cgi?acc=GSM1930076","GSM1930076")</f>
        <v>GSM1930076</v>
      </c>
      <c r="I10615" t="s">
        <v>161</v>
      </c>
      <c r="J10615" t="s">
        <v>193</v>
      </c>
      <c r="K10615" t="s">
        <v>19</v>
      </c>
      <c r="L10615" t="s">
        <v>162</v>
      </c>
      <c r="M10615" t="s">
        <v>41</v>
      </c>
      <c r="N10615" t="s">
        <v>22</v>
      </c>
    </row>
    <row r="10616" spans="1:14">
      <c r="A10616" s="4" t="str">
        <f t="shared" si="942"/>
        <v>EXP00352</v>
      </c>
      <c r="B10616" s="4" t="str">
        <f t="shared" si="939"/>
        <v>26667932</v>
      </c>
      <c r="C10616" s="4" t="str">
        <f t="shared" si="940"/>
        <v>GSE74685</v>
      </c>
      <c r="D10616" s="1" t="s">
        <v>447</v>
      </c>
      <c r="E10616" t="s">
        <v>448</v>
      </c>
      <c r="F10616" s="1">
        <v>1</v>
      </c>
      <c r="G10616" s="1" t="s">
        <v>451</v>
      </c>
      <c r="H10616" s="4" t="str">
        <f>HYPERLINK("https://www.ncbi.nlm.nih.gov/geo/query/acc.cgi?acc=GSM1930082","GSM1930082")</f>
        <v>GSM1930082</v>
      </c>
      <c r="I10616" t="s">
        <v>161</v>
      </c>
      <c r="J10616" t="s">
        <v>193</v>
      </c>
      <c r="K10616" t="s">
        <v>19</v>
      </c>
      <c r="L10616" t="s">
        <v>162</v>
      </c>
      <c r="M10616" t="s">
        <v>41</v>
      </c>
      <c r="N10616" t="s">
        <v>22</v>
      </c>
    </row>
    <row r="10617" spans="1:14">
      <c r="A10617" s="4" t="str">
        <f t="shared" si="942"/>
        <v>EXP00352</v>
      </c>
      <c r="B10617" s="4" t="str">
        <f t="shared" si="939"/>
        <v>26667932</v>
      </c>
      <c r="C10617" s="4" t="str">
        <f t="shared" si="940"/>
        <v>GSE74685</v>
      </c>
      <c r="D10617" s="1" t="s">
        <v>447</v>
      </c>
      <c r="E10617" t="s">
        <v>448</v>
      </c>
      <c r="F10617" s="1">
        <v>1</v>
      </c>
      <c r="G10617" s="1" t="s">
        <v>451</v>
      </c>
      <c r="H10617" s="4" t="str">
        <f>HYPERLINK("https://www.ncbi.nlm.nih.gov/geo/query/acc.cgi?acc=GSM1930084","GSM1930084")</f>
        <v>GSM1930084</v>
      </c>
      <c r="I10617" t="s">
        <v>161</v>
      </c>
      <c r="J10617" t="s">
        <v>193</v>
      </c>
      <c r="K10617" t="s">
        <v>19</v>
      </c>
      <c r="L10617" t="s">
        <v>162</v>
      </c>
      <c r="M10617" t="s">
        <v>41</v>
      </c>
      <c r="N10617" t="s">
        <v>22</v>
      </c>
    </row>
    <row r="10618" spans="1:14">
      <c r="A10618" s="4" t="str">
        <f t="shared" si="942"/>
        <v>EXP00352</v>
      </c>
      <c r="B10618" s="4" t="str">
        <f t="shared" si="939"/>
        <v>26667932</v>
      </c>
      <c r="C10618" s="4" t="str">
        <f t="shared" si="940"/>
        <v>GSE74685</v>
      </c>
      <c r="D10618" s="1" t="s">
        <v>447</v>
      </c>
      <c r="E10618" t="s">
        <v>448</v>
      </c>
      <c r="F10618" s="1">
        <v>1</v>
      </c>
      <c r="G10618" s="1" t="s">
        <v>451</v>
      </c>
      <c r="H10618" s="4" t="str">
        <f>HYPERLINK("https://www.ncbi.nlm.nih.gov/geo/query/acc.cgi?acc=GSM1930101","GSM1930101")</f>
        <v>GSM1930101</v>
      </c>
      <c r="I10618" t="s">
        <v>161</v>
      </c>
      <c r="J10618" t="s">
        <v>193</v>
      </c>
      <c r="K10618" t="s">
        <v>19</v>
      </c>
      <c r="L10618" t="s">
        <v>162</v>
      </c>
      <c r="M10618" t="s">
        <v>41</v>
      </c>
      <c r="N10618" t="s">
        <v>22</v>
      </c>
    </row>
    <row r="10619" spans="1:14">
      <c r="A10619" s="4" t="str">
        <f t="shared" si="942"/>
        <v>EXP00352</v>
      </c>
      <c r="B10619" s="4" t="str">
        <f t="shared" si="939"/>
        <v>26667932</v>
      </c>
      <c r="C10619" s="4" t="str">
        <f t="shared" si="940"/>
        <v>GSE74685</v>
      </c>
      <c r="D10619" s="1" t="s">
        <v>447</v>
      </c>
      <c r="E10619" t="s">
        <v>448</v>
      </c>
      <c r="F10619" s="1">
        <v>1</v>
      </c>
      <c r="G10619" s="1" t="s">
        <v>451</v>
      </c>
      <c r="H10619" s="4" t="str">
        <f>HYPERLINK("https://www.ncbi.nlm.nih.gov/geo/query/acc.cgi?acc=GSM1930107","GSM1930107")</f>
        <v>GSM1930107</v>
      </c>
      <c r="I10619" t="s">
        <v>161</v>
      </c>
      <c r="J10619" t="s">
        <v>193</v>
      </c>
      <c r="K10619" t="s">
        <v>19</v>
      </c>
      <c r="L10619" t="s">
        <v>162</v>
      </c>
      <c r="M10619" t="s">
        <v>41</v>
      </c>
      <c r="N10619" t="s">
        <v>22</v>
      </c>
    </row>
    <row r="10620" spans="1:14">
      <c r="A10620" s="4" t="str">
        <f t="shared" si="942"/>
        <v>EXP00352</v>
      </c>
      <c r="B10620" s="4" t="str">
        <f t="shared" si="939"/>
        <v>26667932</v>
      </c>
      <c r="C10620" s="4" t="str">
        <f t="shared" si="940"/>
        <v>GSE74685</v>
      </c>
      <c r="D10620" s="1" t="s">
        <v>447</v>
      </c>
      <c r="E10620" t="s">
        <v>448</v>
      </c>
      <c r="F10620" s="1">
        <v>1</v>
      </c>
      <c r="G10620" s="1" t="s">
        <v>451</v>
      </c>
      <c r="H10620" s="4" t="str">
        <f>HYPERLINK("https://www.ncbi.nlm.nih.gov/geo/query/acc.cgi?acc=GSM1930108","GSM1930108")</f>
        <v>GSM1930108</v>
      </c>
      <c r="I10620" t="s">
        <v>161</v>
      </c>
      <c r="J10620" t="s">
        <v>193</v>
      </c>
      <c r="K10620" t="s">
        <v>19</v>
      </c>
      <c r="L10620" t="s">
        <v>162</v>
      </c>
      <c r="M10620" t="s">
        <v>41</v>
      </c>
      <c r="N10620" t="s">
        <v>22</v>
      </c>
    </row>
    <row r="10621" spans="1:14">
      <c r="A10621" s="4" t="str">
        <f t="shared" si="942"/>
        <v>EXP00352</v>
      </c>
      <c r="B10621" s="4" t="str">
        <f t="shared" si="939"/>
        <v>26667932</v>
      </c>
      <c r="C10621" s="4" t="str">
        <f t="shared" si="940"/>
        <v>GSE74685</v>
      </c>
      <c r="D10621" s="1" t="s">
        <v>447</v>
      </c>
      <c r="E10621" t="s">
        <v>448</v>
      </c>
      <c r="F10621" s="1">
        <v>1</v>
      </c>
      <c r="G10621" s="1" t="s">
        <v>451</v>
      </c>
      <c r="H10621" s="4" t="str">
        <f>HYPERLINK("https://www.ncbi.nlm.nih.gov/geo/query/acc.cgi?acc=GSM1930122","GSM1930122")</f>
        <v>GSM1930122</v>
      </c>
      <c r="I10621" t="s">
        <v>161</v>
      </c>
      <c r="J10621" t="s">
        <v>193</v>
      </c>
      <c r="K10621" t="s">
        <v>19</v>
      </c>
      <c r="L10621" t="s">
        <v>162</v>
      </c>
      <c r="M10621" t="s">
        <v>41</v>
      </c>
      <c r="N10621" t="s">
        <v>22</v>
      </c>
    </row>
    <row r="10622" spans="1:14">
      <c r="A10622" s="4" t="str">
        <f t="shared" si="942"/>
        <v>EXP00352</v>
      </c>
      <c r="B10622" s="4" t="str">
        <f t="shared" si="939"/>
        <v>26667932</v>
      </c>
      <c r="C10622" s="4" t="str">
        <f t="shared" si="940"/>
        <v>GSE74685</v>
      </c>
      <c r="D10622" s="1" t="s">
        <v>447</v>
      </c>
      <c r="E10622" t="s">
        <v>448</v>
      </c>
      <c r="F10622" s="1">
        <v>1</v>
      </c>
      <c r="G10622" s="1" t="s">
        <v>451</v>
      </c>
      <c r="H10622" s="4" t="str">
        <f>HYPERLINK("https://www.ncbi.nlm.nih.gov/geo/query/acc.cgi?acc=GSM1930133","GSM1930133")</f>
        <v>GSM1930133</v>
      </c>
      <c r="I10622" t="s">
        <v>161</v>
      </c>
      <c r="J10622" t="s">
        <v>193</v>
      </c>
      <c r="K10622" t="s">
        <v>19</v>
      </c>
      <c r="L10622" t="s">
        <v>162</v>
      </c>
      <c r="M10622" t="s">
        <v>41</v>
      </c>
      <c r="N10622" t="s">
        <v>22</v>
      </c>
    </row>
    <row r="10623" spans="1:14">
      <c r="A10623" s="4" t="str">
        <f t="shared" si="942"/>
        <v>EXP00352</v>
      </c>
      <c r="B10623" s="4" t="str">
        <f t="shared" si="939"/>
        <v>26667932</v>
      </c>
      <c r="C10623" s="4" t="str">
        <f t="shared" si="940"/>
        <v>GSE74685</v>
      </c>
      <c r="D10623" s="1" t="s">
        <v>447</v>
      </c>
      <c r="E10623" t="s">
        <v>448</v>
      </c>
      <c r="F10623" s="1">
        <v>1</v>
      </c>
      <c r="G10623" s="1" t="s">
        <v>451</v>
      </c>
      <c r="H10623" s="4" t="str">
        <f>HYPERLINK("https://www.ncbi.nlm.nih.gov/geo/query/acc.cgi?acc=GSM1930135","GSM1930135")</f>
        <v>GSM1930135</v>
      </c>
      <c r="I10623" t="s">
        <v>161</v>
      </c>
      <c r="J10623" t="s">
        <v>193</v>
      </c>
      <c r="K10623" t="s">
        <v>19</v>
      </c>
      <c r="L10623" t="s">
        <v>162</v>
      </c>
      <c r="M10623" t="s">
        <v>41</v>
      </c>
      <c r="N10623" t="s">
        <v>22</v>
      </c>
    </row>
    <row r="10624" spans="1:14">
      <c r="A10624" s="4" t="str">
        <f t="shared" si="942"/>
        <v>EXP00352</v>
      </c>
      <c r="B10624" s="4" t="str">
        <f t="shared" si="939"/>
        <v>26667932</v>
      </c>
      <c r="C10624" s="4" t="str">
        <f t="shared" si="940"/>
        <v>GSE74685</v>
      </c>
      <c r="D10624" s="1" t="s">
        <v>447</v>
      </c>
      <c r="E10624" t="s">
        <v>448</v>
      </c>
      <c r="F10624" s="1">
        <v>1</v>
      </c>
      <c r="G10624" s="1" t="s">
        <v>451</v>
      </c>
      <c r="H10624" s="4" t="str">
        <f>HYPERLINK("https://www.ncbi.nlm.nih.gov/geo/query/acc.cgi?acc=GSM1930137","GSM1930137")</f>
        <v>GSM1930137</v>
      </c>
      <c r="I10624" t="s">
        <v>161</v>
      </c>
      <c r="J10624" t="s">
        <v>193</v>
      </c>
      <c r="K10624" t="s">
        <v>19</v>
      </c>
      <c r="L10624" t="s">
        <v>162</v>
      </c>
      <c r="M10624" t="s">
        <v>41</v>
      </c>
      <c r="N10624" t="s">
        <v>22</v>
      </c>
    </row>
    <row r="10625" spans="1:14">
      <c r="A10625" s="4" t="str">
        <f t="shared" si="942"/>
        <v>EXP00352</v>
      </c>
      <c r="B10625" s="4" t="str">
        <f t="shared" ref="B10625:B10688" si="943">HYPERLINK("https://www.ncbi.nlm.nih.gov/pubmed/26667932","26667932")</f>
        <v>26667932</v>
      </c>
      <c r="C10625" s="4" t="str">
        <f t="shared" ref="C10625:C10688" si="944">HYPERLINK("https://www.ncbi.nlm.nih.gov/geo/query/acc.cgi?acc=GSE74685","GSE74685")</f>
        <v>GSE74685</v>
      </c>
      <c r="D10625" s="1" t="s">
        <v>447</v>
      </c>
      <c r="E10625" t="s">
        <v>448</v>
      </c>
      <c r="F10625" s="1">
        <v>1</v>
      </c>
      <c r="G10625" s="1" t="s">
        <v>451</v>
      </c>
      <c r="H10625" s="4" t="str">
        <f>HYPERLINK("https://www.ncbi.nlm.nih.gov/geo/query/acc.cgi?acc=GSM1930143","GSM1930143")</f>
        <v>GSM1930143</v>
      </c>
      <c r="I10625" t="s">
        <v>161</v>
      </c>
      <c r="J10625" t="s">
        <v>193</v>
      </c>
      <c r="K10625" t="s">
        <v>19</v>
      </c>
      <c r="L10625" t="s">
        <v>162</v>
      </c>
      <c r="M10625" t="s">
        <v>41</v>
      </c>
      <c r="N10625" t="s">
        <v>22</v>
      </c>
    </row>
    <row r="10626" spans="1:14">
      <c r="A10626" s="4" t="str">
        <f t="shared" si="942"/>
        <v>EXP00352</v>
      </c>
      <c r="B10626" s="4" t="str">
        <f t="shared" si="943"/>
        <v>26667932</v>
      </c>
      <c r="C10626" s="4" t="str">
        <f t="shared" si="944"/>
        <v>GSE74685</v>
      </c>
      <c r="D10626" s="1" t="s">
        <v>447</v>
      </c>
      <c r="E10626" t="s">
        <v>448</v>
      </c>
      <c r="F10626" s="1">
        <v>1</v>
      </c>
      <c r="G10626" s="1" t="s">
        <v>451</v>
      </c>
      <c r="H10626" s="4" t="str">
        <f>HYPERLINK("https://www.ncbi.nlm.nih.gov/geo/query/acc.cgi?acc=GSM1930153","GSM1930153")</f>
        <v>GSM1930153</v>
      </c>
      <c r="I10626" t="s">
        <v>161</v>
      </c>
      <c r="J10626" t="s">
        <v>193</v>
      </c>
      <c r="K10626" t="s">
        <v>19</v>
      </c>
      <c r="L10626" t="s">
        <v>162</v>
      </c>
      <c r="M10626" t="s">
        <v>41</v>
      </c>
      <c r="N10626" t="s">
        <v>22</v>
      </c>
    </row>
    <row r="10627" spans="1:14">
      <c r="A10627" s="4" t="str">
        <f t="shared" si="942"/>
        <v>EXP00352</v>
      </c>
      <c r="B10627" s="4" t="str">
        <f t="shared" si="943"/>
        <v>26667932</v>
      </c>
      <c r="C10627" s="4" t="str">
        <f t="shared" si="944"/>
        <v>GSE74685</v>
      </c>
      <c r="D10627" s="1" t="s">
        <v>447</v>
      </c>
      <c r="E10627" t="s">
        <v>448</v>
      </c>
      <c r="F10627" s="1">
        <v>2</v>
      </c>
      <c r="G10627" s="1" t="s">
        <v>457</v>
      </c>
      <c r="H10627" s="4" t="str">
        <f>HYPERLINK("https://www.ncbi.nlm.nih.gov/geo/query/acc.cgi?acc=GSM1616658","GSM1616658")</f>
        <v>GSM1616658</v>
      </c>
      <c r="I10627" t="s">
        <v>161</v>
      </c>
      <c r="J10627" t="s">
        <v>193</v>
      </c>
      <c r="K10627" t="s">
        <v>19</v>
      </c>
      <c r="L10627" t="s">
        <v>162</v>
      </c>
      <c r="M10627" t="s">
        <v>292</v>
      </c>
      <c r="N10627" t="s">
        <v>22</v>
      </c>
    </row>
    <row r="10628" spans="1:14">
      <c r="A10628" s="4" t="str">
        <f t="shared" si="942"/>
        <v>EXP00352</v>
      </c>
      <c r="B10628" s="4" t="str">
        <f t="shared" si="943"/>
        <v>26667932</v>
      </c>
      <c r="C10628" s="4" t="str">
        <f t="shared" si="944"/>
        <v>GSE74685</v>
      </c>
      <c r="D10628" s="1" t="s">
        <v>447</v>
      </c>
      <c r="E10628" t="s">
        <v>448</v>
      </c>
      <c r="F10628" s="1">
        <v>2</v>
      </c>
      <c r="G10628" s="1" t="s">
        <v>457</v>
      </c>
      <c r="H10628" s="4" t="str">
        <f>HYPERLINK("https://www.ncbi.nlm.nih.gov/geo/query/acc.cgi?acc=GSM1918980","GSM1918980")</f>
        <v>GSM1918980</v>
      </c>
      <c r="I10628" t="s">
        <v>161</v>
      </c>
      <c r="J10628" t="s">
        <v>193</v>
      </c>
      <c r="K10628" t="s">
        <v>19</v>
      </c>
      <c r="L10628" t="s">
        <v>162</v>
      </c>
      <c r="M10628" t="s">
        <v>292</v>
      </c>
      <c r="N10628" t="s">
        <v>22</v>
      </c>
    </row>
    <row r="10629" spans="1:14">
      <c r="A10629" s="4" t="str">
        <f t="shared" si="942"/>
        <v>EXP00352</v>
      </c>
      <c r="B10629" s="4" t="str">
        <f t="shared" si="943"/>
        <v>26667932</v>
      </c>
      <c r="C10629" s="4" t="str">
        <f t="shared" si="944"/>
        <v>GSE74685</v>
      </c>
      <c r="D10629" s="1" t="s">
        <v>447</v>
      </c>
      <c r="E10629" t="s">
        <v>448</v>
      </c>
      <c r="F10629" s="1">
        <v>2</v>
      </c>
      <c r="G10629" s="1" t="s">
        <v>457</v>
      </c>
      <c r="H10629" s="4" t="str">
        <f>HYPERLINK("https://www.ncbi.nlm.nih.gov/geo/query/acc.cgi?acc=GSM1930093","GSM1930093")</f>
        <v>GSM1930093</v>
      </c>
      <c r="I10629" t="s">
        <v>161</v>
      </c>
      <c r="J10629" t="s">
        <v>193</v>
      </c>
      <c r="K10629" t="s">
        <v>19</v>
      </c>
      <c r="L10629" t="s">
        <v>162</v>
      </c>
      <c r="M10629" t="s">
        <v>292</v>
      </c>
      <c r="N10629" t="s">
        <v>22</v>
      </c>
    </row>
    <row r="10630" spans="1:14">
      <c r="A10630" s="4" t="str">
        <f t="shared" ref="A10630:A10655" si="945">HYPERLINK("http://hcmdb.i-sanger.com/experiment/details/experiment_id/EXP00353","EXP00353")</f>
        <v>EXP00353</v>
      </c>
      <c r="B10630" s="4" t="str">
        <f t="shared" si="943"/>
        <v>26667932</v>
      </c>
      <c r="C10630" s="4" t="str">
        <f t="shared" si="944"/>
        <v>GSE74685</v>
      </c>
      <c r="D10630" s="1" t="s">
        <v>447</v>
      </c>
      <c r="E10630" t="s">
        <v>448</v>
      </c>
      <c r="F10630" s="1">
        <v>1</v>
      </c>
      <c r="G10630" s="1" t="s">
        <v>451</v>
      </c>
      <c r="H10630" s="4" t="str">
        <f>HYPERLINK("https://www.ncbi.nlm.nih.gov/geo/query/acc.cgi?acc=GSM1616617","GSM1616617")</f>
        <v>GSM1616617</v>
      </c>
      <c r="I10630" t="s">
        <v>161</v>
      </c>
      <c r="J10630" t="s">
        <v>193</v>
      </c>
      <c r="K10630" t="s">
        <v>19</v>
      </c>
      <c r="L10630" t="s">
        <v>162</v>
      </c>
      <c r="M10630" t="s">
        <v>41</v>
      </c>
      <c r="N10630" t="s">
        <v>22</v>
      </c>
    </row>
    <row r="10631" spans="1:14">
      <c r="A10631" s="4" t="str">
        <f t="shared" si="945"/>
        <v>EXP00353</v>
      </c>
      <c r="B10631" s="4" t="str">
        <f t="shared" si="943"/>
        <v>26667932</v>
      </c>
      <c r="C10631" s="4" t="str">
        <f t="shared" si="944"/>
        <v>GSE74685</v>
      </c>
      <c r="D10631" s="1" t="s">
        <v>447</v>
      </c>
      <c r="E10631" t="s">
        <v>448</v>
      </c>
      <c r="F10631" s="1">
        <v>1</v>
      </c>
      <c r="G10631" s="1" t="s">
        <v>451</v>
      </c>
      <c r="H10631" s="4" t="str">
        <f>HYPERLINK("https://www.ncbi.nlm.nih.gov/geo/query/acc.cgi?acc=GSM1616637","GSM1616637")</f>
        <v>GSM1616637</v>
      </c>
      <c r="I10631" t="s">
        <v>161</v>
      </c>
      <c r="J10631" t="s">
        <v>193</v>
      </c>
      <c r="K10631" t="s">
        <v>19</v>
      </c>
      <c r="L10631" t="s">
        <v>162</v>
      </c>
      <c r="M10631" t="s">
        <v>41</v>
      </c>
      <c r="N10631" t="s">
        <v>22</v>
      </c>
    </row>
    <row r="10632" spans="1:14">
      <c r="A10632" s="4" t="str">
        <f t="shared" si="945"/>
        <v>EXP00353</v>
      </c>
      <c r="B10632" s="4" t="str">
        <f t="shared" si="943"/>
        <v>26667932</v>
      </c>
      <c r="C10632" s="4" t="str">
        <f t="shared" si="944"/>
        <v>GSE74685</v>
      </c>
      <c r="D10632" s="1" t="s">
        <v>447</v>
      </c>
      <c r="E10632" t="s">
        <v>448</v>
      </c>
      <c r="F10632" s="1">
        <v>1</v>
      </c>
      <c r="G10632" s="1" t="s">
        <v>451</v>
      </c>
      <c r="H10632" s="4" t="str">
        <f>HYPERLINK("https://www.ncbi.nlm.nih.gov/geo/query/acc.cgi?acc=GSM1616646","GSM1616646")</f>
        <v>GSM1616646</v>
      </c>
      <c r="I10632" t="s">
        <v>161</v>
      </c>
      <c r="J10632" t="s">
        <v>193</v>
      </c>
      <c r="K10632" t="s">
        <v>19</v>
      </c>
      <c r="L10632" t="s">
        <v>162</v>
      </c>
      <c r="M10632" t="s">
        <v>41</v>
      </c>
      <c r="N10632" t="s">
        <v>22</v>
      </c>
    </row>
    <row r="10633" spans="1:14">
      <c r="A10633" s="4" t="str">
        <f t="shared" si="945"/>
        <v>EXP00353</v>
      </c>
      <c r="B10633" s="4" t="str">
        <f t="shared" si="943"/>
        <v>26667932</v>
      </c>
      <c r="C10633" s="4" t="str">
        <f t="shared" si="944"/>
        <v>GSE74685</v>
      </c>
      <c r="D10633" s="1" t="s">
        <v>447</v>
      </c>
      <c r="E10633" t="s">
        <v>448</v>
      </c>
      <c r="F10633" s="1">
        <v>1</v>
      </c>
      <c r="G10633" s="1" t="s">
        <v>451</v>
      </c>
      <c r="H10633" s="4" t="str">
        <f>HYPERLINK("https://www.ncbi.nlm.nih.gov/geo/query/acc.cgi?acc=GSM1616660","GSM1616660")</f>
        <v>GSM1616660</v>
      </c>
      <c r="I10633" t="s">
        <v>161</v>
      </c>
      <c r="J10633" t="s">
        <v>193</v>
      </c>
      <c r="K10633" t="s">
        <v>19</v>
      </c>
      <c r="L10633" t="s">
        <v>162</v>
      </c>
      <c r="M10633" t="s">
        <v>41</v>
      </c>
      <c r="N10633" t="s">
        <v>22</v>
      </c>
    </row>
    <row r="10634" spans="1:14">
      <c r="A10634" s="4" t="str">
        <f t="shared" si="945"/>
        <v>EXP00353</v>
      </c>
      <c r="B10634" s="4" t="str">
        <f t="shared" si="943"/>
        <v>26667932</v>
      </c>
      <c r="C10634" s="4" t="str">
        <f t="shared" si="944"/>
        <v>GSE74685</v>
      </c>
      <c r="D10634" s="1" t="s">
        <v>447</v>
      </c>
      <c r="E10634" t="s">
        <v>448</v>
      </c>
      <c r="F10634" s="1">
        <v>1</v>
      </c>
      <c r="G10634" s="1" t="s">
        <v>451</v>
      </c>
      <c r="H10634" s="4" t="str">
        <f>HYPERLINK("https://www.ncbi.nlm.nih.gov/geo/query/acc.cgi?acc=GSM1616666","GSM1616666")</f>
        <v>GSM1616666</v>
      </c>
      <c r="I10634" t="s">
        <v>161</v>
      </c>
      <c r="J10634" t="s">
        <v>193</v>
      </c>
      <c r="K10634" t="s">
        <v>19</v>
      </c>
      <c r="L10634" t="s">
        <v>162</v>
      </c>
      <c r="M10634" t="s">
        <v>41</v>
      </c>
      <c r="N10634" t="s">
        <v>22</v>
      </c>
    </row>
    <row r="10635" spans="1:14">
      <c r="A10635" s="4" t="str">
        <f t="shared" si="945"/>
        <v>EXP00353</v>
      </c>
      <c r="B10635" s="4" t="str">
        <f t="shared" si="943"/>
        <v>26667932</v>
      </c>
      <c r="C10635" s="4" t="str">
        <f t="shared" si="944"/>
        <v>GSE74685</v>
      </c>
      <c r="D10635" s="1" t="s">
        <v>447</v>
      </c>
      <c r="E10635" t="s">
        <v>448</v>
      </c>
      <c r="F10635" s="1">
        <v>1</v>
      </c>
      <c r="G10635" s="1" t="s">
        <v>451</v>
      </c>
      <c r="H10635" s="4" t="str">
        <f>HYPERLINK("https://www.ncbi.nlm.nih.gov/geo/query/acc.cgi?acc=GSM1616668","GSM1616668")</f>
        <v>GSM1616668</v>
      </c>
      <c r="I10635" t="s">
        <v>161</v>
      </c>
      <c r="J10635" t="s">
        <v>193</v>
      </c>
      <c r="K10635" t="s">
        <v>19</v>
      </c>
      <c r="L10635" t="s">
        <v>162</v>
      </c>
      <c r="M10635" t="s">
        <v>41</v>
      </c>
      <c r="N10635" t="s">
        <v>22</v>
      </c>
    </row>
    <row r="10636" spans="1:14">
      <c r="A10636" s="4" t="str">
        <f t="shared" si="945"/>
        <v>EXP00353</v>
      </c>
      <c r="B10636" s="4" t="str">
        <f t="shared" si="943"/>
        <v>26667932</v>
      </c>
      <c r="C10636" s="4" t="str">
        <f t="shared" si="944"/>
        <v>GSE74685</v>
      </c>
      <c r="D10636" s="1" t="s">
        <v>447</v>
      </c>
      <c r="E10636" t="s">
        <v>448</v>
      </c>
      <c r="F10636" s="1">
        <v>1</v>
      </c>
      <c r="G10636" s="1" t="s">
        <v>451</v>
      </c>
      <c r="H10636" s="4" t="str">
        <f>HYPERLINK("https://www.ncbi.nlm.nih.gov/geo/query/acc.cgi?acc=GSM1616673","GSM1616673")</f>
        <v>GSM1616673</v>
      </c>
      <c r="I10636" t="s">
        <v>161</v>
      </c>
      <c r="J10636" t="s">
        <v>193</v>
      </c>
      <c r="K10636" t="s">
        <v>19</v>
      </c>
      <c r="L10636" t="s">
        <v>162</v>
      </c>
      <c r="M10636" t="s">
        <v>41</v>
      </c>
      <c r="N10636" t="s">
        <v>22</v>
      </c>
    </row>
    <row r="10637" spans="1:14">
      <c r="A10637" s="4" t="str">
        <f t="shared" si="945"/>
        <v>EXP00353</v>
      </c>
      <c r="B10637" s="4" t="str">
        <f t="shared" si="943"/>
        <v>26667932</v>
      </c>
      <c r="C10637" s="4" t="str">
        <f t="shared" si="944"/>
        <v>GSE74685</v>
      </c>
      <c r="D10637" s="1" t="s">
        <v>447</v>
      </c>
      <c r="E10637" t="s">
        <v>448</v>
      </c>
      <c r="F10637" s="1">
        <v>1</v>
      </c>
      <c r="G10637" s="1" t="s">
        <v>451</v>
      </c>
      <c r="H10637" s="4" t="str">
        <f>HYPERLINK("https://www.ncbi.nlm.nih.gov/geo/query/acc.cgi?acc=GSM1930066","GSM1930066")</f>
        <v>GSM1930066</v>
      </c>
      <c r="I10637" t="s">
        <v>161</v>
      </c>
      <c r="J10637" t="s">
        <v>193</v>
      </c>
      <c r="K10637" t="s">
        <v>19</v>
      </c>
      <c r="L10637" t="s">
        <v>162</v>
      </c>
      <c r="M10637" t="s">
        <v>41</v>
      </c>
      <c r="N10637" t="s">
        <v>22</v>
      </c>
    </row>
    <row r="10638" spans="1:14">
      <c r="A10638" s="4" t="str">
        <f t="shared" si="945"/>
        <v>EXP00353</v>
      </c>
      <c r="B10638" s="4" t="str">
        <f t="shared" si="943"/>
        <v>26667932</v>
      </c>
      <c r="C10638" s="4" t="str">
        <f t="shared" si="944"/>
        <v>GSE74685</v>
      </c>
      <c r="D10638" s="1" t="s">
        <v>447</v>
      </c>
      <c r="E10638" t="s">
        <v>448</v>
      </c>
      <c r="F10638" s="1">
        <v>1</v>
      </c>
      <c r="G10638" s="1" t="s">
        <v>451</v>
      </c>
      <c r="H10638" s="4" t="str">
        <f>HYPERLINK("https://www.ncbi.nlm.nih.gov/geo/query/acc.cgi?acc=GSM1930069","GSM1930069")</f>
        <v>GSM1930069</v>
      </c>
      <c r="I10638" t="s">
        <v>161</v>
      </c>
      <c r="J10638" t="s">
        <v>193</v>
      </c>
      <c r="K10638" t="s">
        <v>19</v>
      </c>
      <c r="L10638" t="s">
        <v>162</v>
      </c>
      <c r="M10638" t="s">
        <v>41</v>
      </c>
      <c r="N10638" t="s">
        <v>22</v>
      </c>
    </row>
    <row r="10639" spans="1:14">
      <c r="A10639" s="4" t="str">
        <f t="shared" si="945"/>
        <v>EXP00353</v>
      </c>
      <c r="B10639" s="4" t="str">
        <f t="shared" si="943"/>
        <v>26667932</v>
      </c>
      <c r="C10639" s="4" t="str">
        <f t="shared" si="944"/>
        <v>GSE74685</v>
      </c>
      <c r="D10639" s="1" t="s">
        <v>447</v>
      </c>
      <c r="E10639" t="s">
        <v>448</v>
      </c>
      <c r="F10639" s="1">
        <v>1</v>
      </c>
      <c r="G10639" s="1" t="s">
        <v>451</v>
      </c>
      <c r="H10639" s="4" t="str">
        <f>HYPERLINK("https://www.ncbi.nlm.nih.gov/geo/query/acc.cgi?acc=GSM1930075","GSM1930075")</f>
        <v>GSM1930075</v>
      </c>
      <c r="I10639" t="s">
        <v>161</v>
      </c>
      <c r="J10639" t="s">
        <v>193</v>
      </c>
      <c r="K10639" t="s">
        <v>19</v>
      </c>
      <c r="L10639" t="s">
        <v>162</v>
      </c>
      <c r="M10639" t="s">
        <v>41</v>
      </c>
      <c r="N10639" t="s">
        <v>22</v>
      </c>
    </row>
    <row r="10640" spans="1:14">
      <c r="A10640" s="4" t="str">
        <f t="shared" si="945"/>
        <v>EXP00353</v>
      </c>
      <c r="B10640" s="4" t="str">
        <f t="shared" si="943"/>
        <v>26667932</v>
      </c>
      <c r="C10640" s="4" t="str">
        <f t="shared" si="944"/>
        <v>GSE74685</v>
      </c>
      <c r="D10640" s="1" t="s">
        <v>447</v>
      </c>
      <c r="E10640" t="s">
        <v>448</v>
      </c>
      <c r="F10640" s="1">
        <v>1</v>
      </c>
      <c r="G10640" s="1" t="s">
        <v>451</v>
      </c>
      <c r="H10640" s="4" t="str">
        <f>HYPERLINK("https://www.ncbi.nlm.nih.gov/geo/query/acc.cgi?acc=GSM1930076","GSM1930076")</f>
        <v>GSM1930076</v>
      </c>
      <c r="I10640" t="s">
        <v>161</v>
      </c>
      <c r="J10640" t="s">
        <v>193</v>
      </c>
      <c r="K10640" t="s">
        <v>19</v>
      </c>
      <c r="L10640" t="s">
        <v>162</v>
      </c>
      <c r="M10640" t="s">
        <v>41</v>
      </c>
      <c r="N10640" t="s">
        <v>22</v>
      </c>
    </row>
    <row r="10641" spans="1:14">
      <c r="A10641" s="4" t="str">
        <f t="shared" si="945"/>
        <v>EXP00353</v>
      </c>
      <c r="B10641" s="4" t="str">
        <f t="shared" si="943"/>
        <v>26667932</v>
      </c>
      <c r="C10641" s="4" t="str">
        <f t="shared" si="944"/>
        <v>GSE74685</v>
      </c>
      <c r="D10641" s="1" t="s">
        <v>447</v>
      </c>
      <c r="E10641" t="s">
        <v>448</v>
      </c>
      <c r="F10641" s="1">
        <v>1</v>
      </c>
      <c r="G10641" s="1" t="s">
        <v>451</v>
      </c>
      <c r="H10641" s="4" t="str">
        <f>HYPERLINK("https://www.ncbi.nlm.nih.gov/geo/query/acc.cgi?acc=GSM1930082","GSM1930082")</f>
        <v>GSM1930082</v>
      </c>
      <c r="I10641" t="s">
        <v>161</v>
      </c>
      <c r="J10641" t="s">
        <v>193</v>
      </c>
      <c r="K10641" t="s">
        <v>19</v>
      </c>
      <c r="L10641" t="s">
        <v>162</v>
      </c>
      <c r="M10641" t="s">
        <v>41</v>
      </c>
      <c r="N10641" t="s">
        <v>22</v>
      </c>
    </row>
    <row r="10642" spans="1:14">
      <c r="A10642" s="4" t="str">
        <f t="shared" si="945"/>
        <v>EXP00353</v>
      </c>
      <c r="B10642" s="4" t="str">
        <f t="shared" si="943"/>
        <v>26667932</v>
      </c>
      <c r="C10642" s="4" t="str">
        <f t="shared" si="944"/>
        <v>GSE74685</v>
      </c>
      <c r="D10642" s="1" t="s">
        <v>447</v>
      </c>
      <c r="E10642" t="s">
        <v>448</v>
      </c>
      <c r="F10642" s="1">
        <v>1</v>
      </c>
      <c r="G10642" s="1" t="s">
        <v>451</v>
      </c>
      <c r="H10642" s="4" t="str">
        <f>HYPERLINK("https://www.ncbi.nlm.nih.gov/geo/query/acc.cgi?acc=GSM1930084","GSM1930084")</f>
        <v>GSM1930084</v>
      </c>
      <c r="I10642" t="s">
        <v>161</v>
      </c>
      <c r="J10642" t="s">
        <v>193</v>
      </c>
      <c r="K10642" t="s">
        <v>19</v>
      </c>
      <c r="L10642" t="s">
        <v>162</v>
      </c>
      <c r="M10642" t="s">
        <v>41</v>
      </c>
      <c r="N10642" t="s">
        <v>22</v>
      </c>
    </row>
    <row r="10643" spans="1:14">
      <c r="A10643" s="4" t="str">
        <f t="shared" si="945"/>
        <v>EXP00353</v>
      </c>
      <c r="B10643" s="4" t="str">
        <f t="shared" si="943"/>
        <v>26667932</v>
      </c>
      <c r="C10643" s="4" t="str">
        <f t="shared" si="944"/>
        <v>GSE74685</v>
      </c>
      <c r="D10643" s="1" t="s">
        <v>447</v>
      </c>
      <c r="E10643" t="s">
        <v>448</v>
      </c>
      <c r="F10643" s="1">
        <v>1</v>
      </c>
      <c r="G10643" s="1" t="s">
        <v>451</v>
      </c>
      <c r="H10643" s="4" t="str">
        <f>HYPERLINK("https://www.ncbi.nlm.nih.gov/geo/query/acc.cgi?acc=GSM1930101","GSM1930101")</f>
        <v>GSM1930101</v>
      </c>
      <c r="I10643" t="s">
        <v>161</v>
      </c>
      <c r="J10643" t="s">
        <v>193</v>
      </c>
      <c r="K10643" t="s">
        <v>19</v>
      </c>
      <c r="L10643" t="s">
        <v>162</v>
      </c>
      <c r="M10643" t="s">
        <v>41</v>
      </c>
      <c r="N10643" t="s">
        <v>22</v>
      </c>
    </row>
    <row r="10644" spans="1:14">
      <c r="A10644" s="4" t="str">
        <f t="shared" si="945"/>
        <v>EXP00353</v>
      </c>
      <c r="B10644" s="4" t="str">
        <f t="shared" si="943"/>
        <v>26667932</v>
      </c>
      <c r="C10644" s="4" t="str">
        <f t="shared" si="944"/>
        <v>GSE74685</v>
      </c>
      <c r="D10644" s="1" t="s">
        <v>447</v>
      </c>
      <c r="E10644" t="s">
        <v>448</v>
      </c>
      <c r="F10644" s="1">
        <v>1</v>
      </c>
      <c r="G10644" s="1" t="s">
        <v>451</v>
      </c>
      <c r="H10644" s="4" t="str">
        <f>HYPERLINK("https://www.ncbi.nlm.nih.gov/geo/query/acc.cgi?acc=GSM1930107","GSM1930107")</f>
        <v>GSM1930107</v>
      </c>
      <c r="I10644" t="s">
        <v>161</v>
      </c>
      <c r="J10644" t="s">
        <v>193</v>
      </c>
      <c r="K10644" t="s">
        <v>19</v>
      </c>
      <c r="L10644" t="s">
        <v>162</v>
      </c>
      <c r="M10644" t="s">
        <v>41</v>
      </c>
      <c r="N10644" t="s">
        <v>22</v>
      </c>
    </row>
    <row r="10645" spans="1:14">
      <c r="A10645" s="4" t="str">
        <f t="shared" si="945"/>
        <v>EXP00353</v>
      </c>
      <c r="B10645" s="4" t="str">
        <f t="shared" si="943"/>
        <v>26667932</v>
      </c>
      <c r="C10645" s="4" t="str">
        <f t="shared" si="944"/>
        <v>GSE74685</v>
      </c>
      <c r="D10645" s="1" t="s">
        <v>447</v>
      </c>
      <c r="E10645" t="s">
        <v>448</v>
      </c>
      <c r="F10645" s="1">
        <v>1</v>
      </c>
      <c r="G10645" s="1" t="s">
        <v>451</v>
      </c>
      <c r="H10645" s="4" t="str">
        <f>HYPERLINK("https://www.ncbi.nlm.nih.gov/geo/query/acc.cgi?acc=GSM1930108","GSM1930108")</f>
        <v>GSM1930108</v>
      </c>
      <c r="I10645" t="s">
        <v>161</v>
      </c>
      <c r="J10645" t="s">
        <v>193</v>
      </c>
      <c r="K10645" t="s">
        <v>19</v>
      </c>
      <c r="L10645" t="s">
        <v>162</v>
      </c>
      <c r="M10645" t="s">
        <v>41</v>
      </c>
      <c r="N10645" t="s">
        <v>22</v>
      </c>
    </row>
    <row r="10646" spans="1:14">
      <c r="A10646" s="4" t="str">
        <f t="shared" si="945"/>
        <v>EXP00353</v>
      </c>
      <c r="B10646" s="4" t="str">
        <f t="shared" si="943"/>
        <v>26667932</v>
      </c>
      <c r="C10646" s="4" t="str">
        <f t="shared" si="944"/>
        <v>GSE74685</v>
      </c>
      <c r="D10646" s="1" t="s">
        <v>447</v>
      </c>
      <c r="E10646" t="s">
        <v>448</v>
      </c>
      <c r="F10646" s="1">
        <v>1</v>
      </c>
      <c r="G10646" s="1" t="s">
        <v>451</v>
      </c>
      <c r="H10646" s="4" t="str">
        <f>HYPERLINK("https://www.ncbi.nlm.nih.gov/geo/query/acc.cgi?acc=GSM1930122","GSM1930122")</f>
        <v>GSM1930122</v>
      </c>
      <c r="I10646" t="s">
        <v>161</v>
      </c>
      <c r="J10646" t="s">
        <v>193</v>
      </c>
      <c r="K10646" t="s">
        <v>19</v>
      </c>
      <c r="L10646" t="s">
        <v>162</v>
      </c>
      <c r="M10646" t="s">
        <v>41</v>
      </c>
      <c r="N10646" t="s">
        <v>22</v>
      </c>
    </row>
    <row r="10647" spans="1:14">
      <c r="A10647" s="4" t="str">
        <f t="shared" si="945"/>
        <v>EXP00353</v>
      </c>
      <c r="B10647" s="4" t="str">
        <f t="shared" si="943"/>
        <v>26667932</v>
      </c>
      <c r="C10647" s="4" t="str">
        <f t="shared" si="944"/>
        <v>GSE74685</v>
      </c>
      <c r="D10647" s="1" t="s">
        <v>447</v>
      </c>
      <c r="E10647" t="s">
        <v>448</v>
      </c>
      <c r="F10647" s="1">
        <v>1</v>
      </c>
      <c r="G10647" s="1" t="s">
        <v>451</v>
      </c>
      <c r="H10647" s="4" t="str">
        <f>HYPERLINK("https://www.ncbi.nlm.nih.gov/geo/query/acc.cgi?acc=GSM1930133","GSM1930133")</f>
        <v>GSM1930133</v>
      </c>
      <c r="I10647" t="s">
        <v>161</v>
      </c>
      <c r="J10647" t="s">
        <v>193</v>
      </c>
      <c r="K10647" t="s">
        <v>19</v>
      </c>
      <c r="L10647" t="s">
        <v>162</v>
      </c>
      <c r="M10647" t="s">
        <v>41</v>
      </c>
      <c r="N10647" t="s">
        <v>22</v>
      </c>
    </row>
    <row r="10648" spans="1:14">
      <c r="A10648" s="4" t="str">
        <f t="shared" si="945"/>
        <v>EXP00353</v>
      </c>
      <c r="B10648" s="4" t="str">
        <f t="shared" si="943"/>
        <v>26667932</v>
      </c>
      <c r="C10648" s="4" t="str">
        <f t="shared" si="944"/>
        <v>GSE74685</v>
      </c>
      <c r="D10648" s="1" t="s">
        <v>447</v>
      </c>
      <c r="E10648" t="s">
        <v>448</v>
      </c>
      <c r="F10648" s="1">
        <v>1</v>
      </c>
      <c r="G10648" s="1" t="s">
        <v>451</v>
      </c>
      <c r="H10648" s="4" t="str">
        <f>HYPERLINK("https://www.ncbi.nlm.nih.gov/geo/query/acc.cgi?acc=GSM1930135","GSM1930135")</f>
        <v>GSM1930135</v>
      </c>
      <c r="I10648" t="s">
        <v>161</v>
      </c>
      <c r="J10648" t="s">
        <v>193</v>
      </c>
      <c r="K10648" t="s">
        <v>19</v>
      </c>
      <c r="L10648" t="s">
        <v>162</v>
      </c>
      <c r="M10648" t="s">
        <v>41</v>
      </c>
      <c r="N10648" t="s">
        <v>22</v>
      </c>
    </row>
    <row r="10649" spans="1:14">
      <c r="A10649" s="4" t="str">
        <f t="shared" si="945"/>
        <v>EXP00353</v>
      </c>
      <c r="B10649" s="4" t="str">
        <f t="shared" si="943"/>
        <v>26667932</v>
      </c>
      <c r="C10649" s="4" t="str">
        <f t="shared" si="944"/>
        <v>GSE74685</v>
      </c>
      <c r="D10649" s="1" t="s">
        <v>447</v>
      </c>
      <c r="E10649" t="s">
        <v>448</v>
      </c>
      <c r="F10649" s="1">
        <v>1</v>
      </c>
      <c r="G10649" s="1" t="s">
        <v>451</v>
      </c>
      <c r="H10649" s="4" t="str">
        <f>HYPERLINK("https://www.ncbi.nlm.nih.gov/geo/query/acc.cgi?acc=GSM1930137","GSM1930137")</f>
        <v>GSM1930137</v>
      </c>
      <c r="I10649" t="s">
        <v>161</v>
      </c>
      <c r="J10649" t="s">
        <v>193</v>
      </c>
      <c r="K10649" t="s">
        <v>19</v>
      </c>
      <c r="L10649" t="s">
        <v>162</v>
      </c>
      <c r="M10649" t="s">
        <v>41</v>
      </c>
      <c r="N10649" t="s">
        <v>22</v>
      </c>
    </row>
    <row r="10650" spans="1:14">
      <c r="A10650" s="4" t="str">
        <f t="shared" si="945"/>
        <v>EXP00353</v>
      </c>
      <c r="B10650" s="4" t="str">
        <f t="shared" si="943"/>
        <v>26667932</v>
      </c>
      <c r="C10650" s="4" t="str">
        <f t="shared" si="944"/>
        <v>GSE74685</v>
      </c>
      <c r="D10650" s="1" t="s">
        <v>447</v>
      </c>
      <c r="E10650" t="s">
        <v>448</v>
      </c>
      <c r="F10650" s="1">
        <v>1</v>
      </c>
      <c r="G10650" s="1" t="s">
        <v>451</v>
      </c>
      <c r="H10650" s="4" t="str">
        <f>HYPERLINK("https://www.ncbi.nlm.nih.gov/geo/query/acc.cgi?acc=GSM1930143","GSM1930143")</f>
        <v>GSM1930143</v>
      </c>
      <c r="I10650" t="s">
        <v>161</v>
      </c>
      <c r="J10650" t="s">
        <v>193</v>
      </c>
      <c r="K10650" t="s">
        <v>19</v>
      </c>
      <c r="L10650" t="s">
        <v>162</v>
      </c>
      <c r="M10650" t="s">
        <v>41</v>
      </c>
      <c r="N10650" t="s">
        <v>22</v>
      </c>
    </row>
    <row r="10651" spans="1:14">
      <c r="A10651" s="4" t="str">
        <f t="shared" si="945"/>
        <v>EXP00353</v>
      </c>
      <c r="B10651" s="4" t="str">
        <f t="shared" si="943"/>
        <v>26667932</v>
      </c>
      <c r="C10651" s="4" t="str">
        <f t="shared" si="944"/>
        <v>GSE74685</v>
      </c>
      <c r="D10651" s="1" t="s">
        <v>447</v>
      </c>
      <c r="E10651" t="s">
        <v>448</v>
      </c>
      <c r="F10651" s="1">
        <v>1</v>
      </c>
      <c r="G10651" s="1" t="s">
        <v>451</v>
      </c>
      <c r="H10651" s="4" t="str">
        <f>HYPERLINK("https://www.ncbi.nlm.nih.gov/geo/query/acc.cgi?acc=GSM1930153","GSM1930153")</f>
        <v>GSM1930153</v>
      </c>
      <c r="I10651" t="s">
        <v>161</v>
      </c>
      <c r="J10651" t="s">
        <v>193</v>
      </c>
      <c r="K10651" t="s">
        <v>19</v>
      </c>
      <c r="L10651" t="s">
        <v>162</v>
      </c>
      <c r="M10651" t="s">
        <v>41</v>
      </c>
      <c r="N10651" t="s">
        <v>22</v>
      </c>
    </row>
    <row r="10652" spans="1:14">
      <c r="A10652" s="4" t="str">
        <f t="shared" si="945"/>
        <v>EXP00353</v>
      </c>
      <c r="B10652" s="4" t="str">
        <f t="shared" si="943"/>
        <v>26667932</v>
      </c>
      <c r="C10652" s="4" t="str">
        <f t="shared" si="944"/>
        <v>GSE74685</v>
      </c>
      <c r="D10652" s="1" t="s">
        <v>447</v>
      </c>
      <c r="E10652" t="s">
        <v>448</v>
      </c>
      <c r="F10652" s="1">
        <v>2</v>
      </c>
      <c r="G10652" s="1" t="s">
        <v>453</v>
      </c>
      <c r="H10652" s="4" t="str">
        <f>HYPERLINK("https://www.ncbi.nlm.nih.gov/geo/query/acc.cgi?acc=GSM1616630","GSM1616630")</f>
        <v>GSM1616630</v>
      </c>
      <c r="I10652" t="s">
        <v>161</v>
      </c>
      <c r="J10652" t="s">
        <v>193</v>
      </c>
      <c r="K10652" t="s">
        <v>19</v>
      </c>
      <c r="L10652" t="s">
        <v>162</v>
      </c>
      <c r="M10652" t="s">
        <v>454</v>
      </c>
      <c r="N10652" t="s">
        <v>22</v>
      </c>
    </row>
    <row r="10653" spans="1:14">
      <c r="A10653" s="4" t="str">
        <f t="shared" si="945"/>
        <v>EXP00353</v>
      </c>
      <c r="B10653" s="4" t="str">
        <f t="shared" si="943"/>
        <v>26667932</v>
      </c>
      <c r="C10653" s="4" t="str">
        <f t="shared" si="944"/>
        <v>GSE74685</v>
      </c>
      <c r="D10653" s="1" t="s">
        <v>447</v>
      </c>
      <c r="E10653" t="s">
        <v>448</v>
      </c>
      <c r="F10653" s="1">
        <v>2</v>
      </c>
      <c r="G10653" s="1" t="s">
        <v>453</v>
      </c>
      <c r="H10653" s="4" t="str">
        <f>HYPERLINK("https://www.ncbi.nlm.nih.gov/geo/query/acc.cgi?acc=GSM1616631","GSM1616631")</f>
        <v>GSM1616631</v>
      </c>
      <c r="I10653" t="s">
        <v>161</v>
      </c>
      <c r="J10653" t="s">
        <v>193</v>
      </c>
      <c r="K10653" t="s">
        <v>19</v>
      </c>
      <c r="L10653" t="s">
        <v>162</v>
      </c>
      <c r="M10653" t="s">
        <v>454</v>
      </c>
      <c r="N10653" t="s">
        <v>22</v>
      </c>
    </row>
    <row r="10654" spans="1:14">
      <c r="A10654" s="4" t="str">
        <f t="shared" si="945"/>
        <v>EXP00353</v>
      </c>
      <c r="B10654" s="4" t="str">
        <f t="shared" si="943"/>
        <v>26667932</v>
      </c>
      <c r="C10654" s="4" t="str">
        <f t="shared" si="944"/>
        <v>GSE74685</v>
      </c>
      <c r="D10654" s="1" t="s">
        <v>447</v>
      </c>
      <c r="E10654" t="s">
        <v>448</v>
      </c>
      <c r="F10654" s="1">
        <v>2</v>
      </c>
      <c r="G10654" s="1" t="s">
        <v>453</v>
      </c>
      <c r="H10654" s="4" t="str">
        <f>HYPERLINK("https://www.ncbi.nlm.nih.gov/geo/query/acc.cgi?acc=GSM1930081","GSM1930081")</f>
        <v>GSM1930081</v>
      </c>
      <c r="I10654" t="s">
        <v>161</v>
      </c>
      <c r="J10654" t="s">
        <v>193</v>
      </c>
      <c r="K10654" t="s">
        <v>19</v>
      </c>
      <c r="L10654" t="s">
        <v>162</v>
      </c>
      <c r="M10654" t="s">
        <v>454</v>
      </c>
      <c r="N10654" t="s">
        <v>22</v>
      </c>
    </row>
    <row r="10655" spans="1:14">
      <c r="A10655" s="4" t="str">
        <f t="shared" si="945"/>
        <v>EXP00353</v>
      </c>
      <c r="B10655" s="4" t="str">
        <f t="shared" si="943"/>
        <v>26667932</v>
      </c>
      <c r="C10655" s="4" t="str">
        <f t="shared" si="944"/>
        <v>GSE74685</v>
      </c>
      <c r="D10655" s="1" t="s">
        <v>447</v>
      </c>
      <c r="E10655" t="s">
        <v>448</v>
      </c>
      <c r="F10655" s="1">
        <v>2</v>
      </c>
      <c r="G10655" s="1" t="s">
        <v>453</v>
      </c>
      <c r="H10655" s="4" t="str">
        <f>HYPERLINK("https://www.ncbi.nlm.nih.gov/geo/query/acc.cgi?acc=GSM1930131","GSM1930131")</f>
        <v>GSM1930131</v>
      </c>
      <c r="I10655" t="s">
        <v>161</v>
      </c>
      <c r="J10655" t="s">
        <v>193</v>
      </c>
      <c r="K10655" t="s">
        <v>19</v>
      </c>
      <c r="L10655" t="s">
        <v>162</v>
      </c>
      <c r="M10655" t="s">
        <v>454</v>
      </c>
      <c r="N10655" t="s">
        <v>22</v>
      </c>
    </row>
    <row r="10656" spans="1:14">
      <c r="A10656" s="4" t="str">
        <f t="shared" ref="A10656:A10687" si="946">HYPERLINK("http://hcmdb.i-sanger.com/experiment/details/experiment_id/EXP00354","EXP00354")</f>
        <v>EXP00354</v>
      </c>
      <c r="B10656" s="4" t="str">
        <f t="shared" si="943"/>
        <v>26667932</v>
      </c>
      <c r="C10656" s="4" t="str">
        <f t="shared" si="944"/>
        <v>GSE74685</v>
      </c>
      <c r="D10656" s="1" t="s">
        <v>447</v>
      </c>
      <c r="E10656" t="s">
        <v>448</v>
      </c>
      <c r="F10656" s="1">
        <v>1</v>
      </c>
      <c r="G10656" s="1" t="s">
        <v>452</v>
      </c>
      <c r="H10656" s="4" t="str">
        <f>HYPERLINK("https://www.ncbi.nlm.nih.gov/geo/query/acc.cgi?acc=GSM1616615","GSM1616615")</f>
        <v>GSM1616615</v>
      </c>
      <c r="I10656" t="s">
        <v>161</v>
      </c>
      <c r="J10656" t="s">
        <v>193</v>
      </c>
      <c r="K10656" t="s">
        <v>19</v>
      </c>
      <c r="L10656" t="s">
        <v>162</v>
      </c>
      <c r="M10656" t="s">
        <v>24</v>
      </c>
      <c r="N10656" t="s">
        <v>22</v>
      </c>
    </row>
    <row r="10657" spans="1:14">
      <c r="A10657" s="4" t="str">
        <f t="shared" si="946"/>
        <v>EXP00354</v>
      </c>
      <c r="B10657" s="4" t="str">
        <f t="shared" si="943"/>
        <v>26667932</v>
      </c>
      <c r="C10657" s="4" t="str">
        <f t="shared" si="944"/>
        <v>GSE74685</v>
      </c>
      <c r="D10657" s="1" t="s">
        <v>447</v>
      </c>
      <c r="E10657" t="s">
        <v>448</v>
      </c>
      <c r="F10657" s="1">
        <v>1</v>
      </c>
      <c r="G10657" s="1" t="s">
        <v>452</v>
      </c>
      <c r="H10657" s="4" t="str">
        <f>HYPERLINK("https://www.ncbi.nlm.nih.gov/geo/query/acc.cgi?acc=GSM1616616","GSM1616616")</f>
        <v>GSM1616616</v>
      </c>
      <c r="I10657" t="s">
        <v>161</v>
      </c>
      <c r="J10657" t="s">
        <v>193</v>
      </c>
      <c r="K10657" t="s">
        <v>19</v>
      </c>
      <c r="L10657" t="s">
        <v>162</v>
      </c>
      <c r="M10657" t="s">
        <v>24</v>
      </c>
      <c r="N10657" t="s">
        <v>22</v>
      </c>
    </row>
    <row r="10658" spans="1:14">
      <c r="A10658" s="4" t="str">
        <f t="shared" si="946"/>
        <v>EXP00354</v>
      </c>
      <c r="B10658" s="4" t="str">
        <f t="shared" si="943"/>
        <v>26667932</v>
      </c>
      <c r="C10658" s="4" t="str">
        <f t="shared" si="944"/>
        <v>GSE74685</v>
      </c>
      <c r="D10658" s="1" t="s">
        <v>447</v>
      </c>
      <c r="E10658" t="s">
        <v>448</v>
      </c>
      <c r="F10658" s="1">
        <v>1</v>
      </c>
      <c r="G10658" s="1" t="s">
        <v>452</v>
      </c>
      <c r="H10658" s="4" t="str">
        <f>HYPERLINK("https://www.ncbi.nlm.nih.gov/geo/query/acc.cgi?acc=GSM1616619","GSM1616619")</f>
        <v>GSM1616619</v>
      </c>
      <c r="I10658" t="s">
        <v>161</v>
      </c>
      <c r="J10658" t="s">
        <v>193</v>
      </c>
      <c r="K10658" t="s">
        <v>19</v>
      </c>
      <c r="L10658" t="s">
        <v>162</v>
      </c>
      <c r="M10658" t="s">
        <v>24</v>
      </c>
      <c r="N10658" t="s">
        <v>22</v>
      </c>
    </row>
    <row r="10659" spans="1:14">
      <c r="A10659" s="4" t="str">
        <f t="shared" si="946"/>
        <v>EXP00354</v>
      </c>
      <c r="B10659" s="4" t="str">
        <f t="shared" si="943"/>
        <v>26667932</v>
      </c>
      <c r="C10659" s="4" t="str">
        <f t="shared" si="944"/>
        <v>GSE74685</v>
      </c>
      <c r="D10659" s="1" t="s">
        <v>447</v>
      </c>
      <c r="E10659" t="s">
        <v>448</v>
      </c>
      <c r="F10659" s="1">
        <v>1</v>
      </c>
      <c r="G10659" s="1" t="s">
        <v>452</v>
      </c>
      <c r="H10659" s="4" t="str">
        <f>HYPERLINK("https://www.ncbi.nlm.nih.gov/geo/query/acc.cgi?acc=GSM1616620","GSM1616620")</f>
        <v>GSM1616620</v>
      </c>
      <c r="I10659" t="s">
        <v>161</v>
      </c>
      <c r="J10659" t="s">
        <v>193</v>
      </c>
      <c r="K10659" t="s">
        <v>19</v>
      </c>
      <c r="L10659" t="s">
        <v>162</v>
      </c>
      <c r="M10659" t="s">
        <v>24</v>
      </c>
      <c r="N10659" t="s">
        <v>22</v>
      </c>
    </row>
    <row r="10660" spans="1:14">
      <c r="A10660" s="4" t="str">
        <f t="shared" si="946"/>
        <v>EXP00354</v>
      </c>
      <c r="B10660" s="4" t="str">
        <f t="shared" si="943"/>
        <v>26667932</v>
      </c>
      <c r="C10660" s="4" t="str">
        <f t="shared" si="944"/>
        <v>GSE74685</v>
      </c>
      <c r="D10660" s="1" t="s">
        <v>447</v>
      </c>
      <c r="E10660" t="s">
        <v>448</v>
      </c>
      <c r="F10660" s="1">
        <v>1</v>
      </c>
      <c r="G10660" s="1" t="s">
        <v>452</v>
      </c>
      <c r="H10660" s="4" t="str">
        <f>HYPERLINK("https://www.ncbi.nlm.nih.gov/geo/query/acc.cgi?acc=GSM1616622","GSM1616622")</f>
        <v>GSM1616622</v>
      </c>
      <c r="I10660" t="s">
        <v>161</v>
      </c>
      <c r="J10660" t="s">
        <v>193</v>
      </c>
      <c r="K10660" t="s">
        <v>19</v>
      </c>
      <c r="L10660" t="s">
        <v>162</v>
      </c>
      <c r="M10660" t="s">
        <v>24</v>
      </c>
      <c r="N10660" t="s">
        <v>22</v>
      </c>
    </row>
    <row r="10661" spans="1:14">
      <c r="A10661" s="4" t="str">
        <f t="shared" si="946"/>
        <v>EXP00354</v>
      </c>
      <c r="B10661" s="4" t="str">
        <f t="shared" si="943"/>
        <v>26667932</v>
      </c>
      <c r="C10661" s="4" t="str">
        <f t="shared" si="944"/>
        <v>GSE74685</v>
      </c>
      <c r="D10661" s="1" t="s">
        <v>447</v>
      </c>
      <c r="E10661" t="s">
        <v>448</v>
      </c>
      <c r="F10661" s="1">
        <v>1</v>
      </c>
      <c r="G10661" s="1" t="s">
        <v>452</v>
      </c>
      <c r="H10661" s="4" t="str">
        <f>HYPERLINK("https://www.ncbi.nlm.nih.gov/geo/query/acc.cgi?acc=GSM1616624","GSM1616624")</f>
        <v>GSM1616624</v>
      </c>
      <c r="I10661" t="s">
        <v>161</v>
      </c>
      <c r="J10661" t="s">
        <v>193</v>
      </c>
      <c r="K10661" t="s">
        <v>19</v>
      </c>
      <c r="L10661" t="s">
        <v>162</v>
      </c>
      <c r="M10661" t="s">
        <v>24</v>
      </c>
      <c r="N10661" t="s">
        <v>22</v>
      </c>
    </row>
    <row r="10662" spans="1:14">
      <c r="A10662" s="4" t="str">
        <f t="shared" si="946"/>
        <v>EXP00354</v>
      </c>
      <c r="B10662" s="4" t="str">
        <f t="shared" si="943"/>
        <v>26667932</v>
      </c>
      <c r="C10662" s="4" t="str">
        <f t="shared" si="944"/>
        <v>GSE74685</v>
      </c>
      <c r="D10662" s="1" t="s">
        <v>447</v>
      </c>
      <c r="E10662" t="s">
        <v>448</v>
      </c>
      <c r="F10662" s="1">
        <v>1</v>
      </c>
      <c r="G10662" s="1" t="s">
        <v>452</v>
      </c>
      <c r="H10662" s="4" t="str">
        <f>HYPERLINK("https://www.ncbi.nlm.nih.gov/geo/query/acc.cgi?acc=GSM1616626","GSM1616626")</f>
        <v>GSM1616626</v>
      </c>
      <c r="I10662" t="s">
        <v>161</v>
      </c>
      <c r="J10662" t="s">
        <v>193</v>
      </c>
      <c r="K10662" t="s">
        <v>19</v>
      </c>
      <c r="L10662" t="s">
        <v>162</v>
      </c>
      <c r="M10662" t="s">
        <v>24</v>
      </c>
      <c r="N10662" t="s">
        <v>22</v>
      </c>
    </row>
    <row r="10663" spans="1:14">
      <c r="A10663" s="4" t="str">
        <f t="shared" si="946"/>
        <v>EXP00354</v>
      </c>
      <c r="B10663" s="4" t="str">
        <f t="shared" si="943"/>
        <v>26667932</v>
      </c>
      <c r="C10663" s="4" t="str">
        <f t="shared" si="944"/>
        <v>GSE74685</v>
      </c>
      <c r="D10663" s="1" t="s">
        <v>447</v>
      </c>
      <c r="E10663" t="s">
        <v>448</v>
      </c>
      <c r="F10663" s="1">
        <v>1</v>
      </c>
      <c r="G10663" s="1" t="s">
        <v>452</v>
      </c>
      <c r="H10663" s="4" t="str">
        <f>HYPERLINK("https://www.ncbi.nlm.nih.gov/geo/query/acc.cgi?acc=GSM1616633","GSM1616633")</f>
        <v>GSM1616633</v>
      </c>
      <c r="I10663" t="s">
        <v>161</v>
      </c>
      <c r="J10663" t="s">
        <v>193</v>
      </c>
      <c r="K10663" t="s">
        <v>19</v>
      </c>
      <c r="L10663" t="s">
        <v>162</v>
      </c>
      <c r="M10663" t="s">
        <v>24</v>
      </c>
      <c r="N10663" t="s">
        <v>22</v>
      </c>
    </row>
    <row r="10664" spans="1:14">
      <c r="A10664" s="4" t="str">
        <f t="shared" si="946"/>
        <v>EXP00354</v>
      </c>
      <c r="B10664" s="4" t="str">
        <f t="shared" si="943"/>
        <v>26667932</v>
      </c>
      <c r="C10664" s="4" t="str">
        <f t="shared" si="944"/>
        <v>GSE74685</v>
      </c>
      <c r="D10664" s="1" t="s">
        <v>447</v>
      </c>
      <c r="E10664" t="s">
        <v>448</v>
      </c>
      <c r="F10664" s="1">
        <v>1</v>
      </c>
      <c r="G10664" s="1" t="s">
        <v>452</v>
      </c>
      <c r="H10664" s="4" t="str">
        <f>HYPERLINK("https://www.ncbi.nlm.nih.gov/geo/query/acc.cgi?acc=GSM1616634","GSM1616634")</f>
        <v>GSM1616634</v>
      </c>
      <c r="I10664" t="s">
        <v>161</v>
      </c>
      <c r="J10664" t="s">
        <v>193</v>
      </c>
      <c r="K10664" t="s">
        <v>19</v>
      </c>
      <c r="L10664" t="s">
        <v>162</v>
      </c>
      <c r="M10664" t="s">
        <v>24</v>
      </c>
      <c r="N10664" t="s">
        <v>22</v>
      </c>
    </row>
    <row r="10665" spans="1:14">
      <c r="A10665" s="4" t="str">
        <f t="shared" si="946"/>
        <v>EXP00354</v>
      </c>
      <c r="B10665" s="4" t="str">
        <f t="shared" si="943"/>
        <v>26667932</v>
      </c>
      <c r="C10665" s="4" t="str">
        <f t="shared" si="944"/>
        <v>GSE74685</v>
      </c>
      <c r="D10665" s="1" t="s">
        <v>447</v>
      </c>
      <c r="E10665" t="s">
        <v>448</v>
      </c>
      <c r="F10665" s="1">
        <v>1</v>
      </c>
      <c r="G10665" s="1" t="s">
        <v>452</v>
      </c>
      <c r="H10665" s="4" t="str">
        <f>HYPERLINK("https://www.ncbi.nlm.nih.gov/geo/query/acc.cgi?acc=GSM1616635","GSM1616635")</f>
        <v>GSM1616635</v>
      </c>
      <c r="I10665" t="s">
        <v>161</v>
      </c>
      <c r="J10665" t="s">
        <v>193</v>
      </c>
      <c r="K10665" t="s">
        <v>19</v>
      </c>
      <c r="L10665" t="s">
        <v>162</v>
      </c>
      <c r="M10665" t="s">
        <v>24</v>
      </c>
      <c r="N10665" t="s">
        <v>22</v>
      </c>
    </row>
    <row r="10666" spans="1:14">
      <c r="A10666" s="4" t="str">
        <f t="shared" si="946"/>
        <v>EXP00354</v>
      </c>
      <c r="B10666" s="4" t="str">
        <f t="shared" si="943"/>
        <v>26667932</v>
      </c>
      <c r="C10666" s="4" t="str">
        <f t="shared" si="944"/>
        <v>GSE74685</v>
      </c>
      <c r="D10666" s="1" t="s">
        <v>447</v>
      </c>
      <c r="E10666" t="s">
        <v>448</v>
      </c>
      <c r="F10666" s="1">
        <v>1</v>
      </c>
      <c r="G10666" s="1" t="s">
        <v>452</v>
      </c>
      <c r="H10666" s="4" t="str">
        <f>HYPERLINK("https://www.ncbi.nlm.nih.gov/geo/query/acc.cgi?acc=GSM1616636","GSM1616636")</f>
        <v>GSM1616636</v>
      </c>
      <c r="I10666" t="s">
        <v>161</v>
      </c>
      <c r="J10666" t="s">
        <v>193</v>
      </c>
      <c r="K10666" t="s">
        <v>19</v>
      </c>
      <c r="L10666" t="s">
        <v>162</v>
      </c>
      <c r="M10666" t="s">
        <v>24</v>
      </c>
      <c r="N10666" t="s">
        <v>22</v>
      </c>
    </row>
    <row r="10667" spans="1:14">
      <c r="A10667" s="4" t="str">
        <f t="shared" si="946"/>
        <v>EXP00354</v>
      </c>
      <c r="B10667" s="4" t="str">
        <f t="shared" si="943"/>
        <v>26667932</v>
      </c>
      <c r="C10667" s="4" t="str">
        <f t="shared" si="944"/>
        <v>GSE74685</v>
      </c>
      <c r="D10667" s="1" t="s">
        <v>447</v>
      </c>
      <c r="E10667" t="s">
        <v>448</v>
      </c>
      <c r="F10667" s="1">
        <v>1</v>
      </c>
      <c r="G10667" s="1" t="s">
        <v>452</v>
      </c>
      <c r="H10667" s="4" t="str">
        <f>HYPERLINK("https://www.ncbi.nlm.nih.gov/geo/query/acc.cgi?acc=GSM1616639","GSM1616639")</f>
        <v>GSM1616639</v>
      </c>
      <c r="I10667" t="s">
        <v>161</v>
      </c>
      <c r="J10667" t="s">
        <v>193</v>
      </c>
      <c r="K10667" t="s">
        <v>19</v>
      </c>
      <c r="L10667" t="s">
        <v>162</v>
      </c>
      <c r="M10667" t="s">
        <v>24</v>
      </c>
      <c r="N10667" t="s">
        <v>22</v>
      </c>
    </row>
    <row r="10668" spans="1:14">
      <c r="A10668" s="4" t="str">
        <f t="shared" si="946"/>
        <v>EXP00354</v>
      </c>
      <c r="B10668" s="4" t="str">
        <f t="shared" si="943"/>
        <v>26667932</v>
      </c>
      <c r="C10668" s="4" t="str">
        <f t="shared" si="944"/>
        <v>GSE74685</v>
      </c>
      <c r="D10668" s="1" t="s">
        <v>447</v>
      </c>
      <c r="E10668" t="s">
        <v>448</v>
      </c>
      <c r="F10668" s="1">
        <v>1</v>
      </c>
      <c r="G10668" s="1" t="s">
        <v>452</v>
      </c>
      <c r="H10668" s="4" t="str">
        <f>HYPERLINK("https://www.ncbi.nlm.nih.gov/geo/query/acc.cgi?acc=GSM1616642","GSM1616642")</f>
        <v>GSM1616642</v>
      </c>
      <c r="I10668" t="s">
        <v>161</v>
      </c>
      <c r="J10668" t="s">
        <v>193</v>
      </c>
      <c r="K10668" t="s">
        <v>19</v>
      </c>
      <c r="L10668" t="s">
        <v>162</v>
      </c>
      <c r="M10668" t="s">
        <v>24</v>
      </c>
      <c r="N10668" t="s">
        <v>22</v>
      </c>
    </row>
    <row r="10669" spans="1:14">
      <c r="A10669" s="4" t="str">
        <f t="shared" si="946"/>
        <v>EXP00354</v>
      </c>
      <c r="B10669" s="4" t="str">
        <f t="shared" si="943"/>
        <v>26667932</v>
      </c>
      <c r="C10669" s="4" t="str">
        <f t="shared" si="944"/>
        <v>GSE74685</v>
      </c>
      <c r="D10669" s="1" t="s">
        <v>447</v>
      </c>
      <c r="E10669" t="s">
        <v>448</v>
      </c>
      <c r="F10669" s="1">
        <v>1</v>
      </c>
      <c r="G10669" s="1" t="s">
        <v>452</v>
      </c>
      <c r="H10669" s="4" t="str">
        <f>HYPERLINK("https://www.ncbi.nlm.nih.gov/geo/query/acc.cgi?acc=GSM1616644","GSM1616644")</f>
        <v>GSM1616644</v>
      </c>
      <c r="I10669" t="s">
        <v>161</v>
      </c>
      <c r="J10669" t="s">
        <v>193</v>
      </c>
      <c r="K10669" t="s">
        <v>19</v>
      </c>
      <c r="L10669" t="s">
        <v>162</v>
      </c>
      <c r="M10669" t="s">
        <v>24</v>
      </c>
      <c r="N10669" t="s">
        <v>22</v>
      </c>
    </row>
    <row r="10670" spans="1:14">
      <c r="A10670" s="4" t="str">
        <f t="shared" si="946"/>
        <v>EXP00354</v>
      </c>
      <c r="B10670" s="4" t="str">
        <f t="shared" si="943"/>
        <v>26667932</v>
      </c>
      <c r="C10670" s="4" t="str">
        <f t="shared" si="944"/>
        <v>GSE74685</v>
      </c>
      <c r="D10670" s="1" t="s">
        <v>447</v>
      </c>
      <c r="E10670" t="s">
        <v>448</v>
      </c>
      <c r="F10670" s="1">
        <v>1</v>
      </c>
      <c r="G10670" s="1" t="s">
        <v>452</v>
      </c>
      <c r="H10670" s="4" t="str">
        <f>HYPERLINK("https://www.ncbi.nlm.nih.gov/geo/query/acc.cgi?acc=GSM1616645","GSM1616645")</f>
        <v>GSM1616645</v>
      </c>
      <c r="I10670" t="s">
        <v>161</v>
      </c>
      <c r="J10670" t="s">
        <v>193</v>
      </c>
      <c r="K10670" t="s">
        <v>19</v>
      </c>
      <c r="L10670" t="s">
        <v>162</v>
      </c>
      <c r="M10670" t="s">
        <v>24</v>
      </c>
      <c r="N10670" t="s">
        <v>22</v>
      </c>
    </row>
    <row r="10671" spans="1:14">
      <c r="A10671" s="4" t="str">
        <f t="shared" si="946"/>
        <v>EXP00354</v>
      </c>
      <c r="B10671" s="4" t="str">
        <f t="shared" si="943"/>
        <v>26667932</v>
      </c>
      <c r="C10671" s="4" t="str">
        <f t="shared" si="944"/>
        <v>GSE74685</v>
      </c>
      <c r="D10671" s="1" t="s">
        <v>447</v>
      </c>
      <c r="E10671" t="s">
        <v>448</v>
      </c>
      <c r="F10671" s="1">
        <v>1</v>
      </c>
      <c r="G10671" s="1" t="s">
        <v>452</v>
      </c>
      <c r="H10671" s="4" t="str">
        <f>HYPERLINK("https://www.ncbi.nlm.nih.gov/geo/query/acc.cgi?acc=GSM1616649","GSM1616649")</f>
        <v>GSM1616649</v>
      </c>
      <c r="I10671" t="s">
        <v>161</v>
      </c>
      <c r="J10671" t="s">
        <v>193</v>
      </c>
      <c r="K10671" t="s">
        <v>19</v>
      </c>
      <c r="L10671" t="s">
        <v>162</v>
      </c>
      <c r="M10671" t="s">
        <v>24</v>
      </c>
      <c r="N10671" t="s">
        <v>22</v>
      </c>
    </row>
    <row r="10672" spans="1:14">
      <c r="A10672" s="4" t="str">
        <f t="shared" si="946"/>
        <v>EXP00354</v>
      </c>
      <c r="B10672" s="4" t="str">
        <f t="shared" si="943"/>
        <v>26667932</v>
      </c>
      <c r="C10672" s="4" t="str">
        <f t="shared" si="944"/>
        <v>GSE74685</v>
      </c>
      <c r="D10672" s="1" t="s">
        <v>447</v>
      </c>
      <c r="E10672" t="s">
        <v>448</v>
      </c>
      <c r="F10672" s="1">
        <v>1</v>
      </c>
      <c r="G10672" s="1" t="s">
        <v>452</v>
      </c>
      <c r="H10672" s="4" t="str">
        <f>HYPERLINK("https://www.ncbi.nlm.nih.gov/geo/query/acc.cgi?acc=GSM1616653","GSM1616653")</f>
        <v>GSM1616653</v>
      </c>
      <c r="I10672" t="s">
        <v>161</v>
      </c>
      <c r="J10672" t="s">
        <v>193</v>
      </c>
      <c r="K10672" t="s">
        <v>19</v>
      </c>
      <c r="L10672" t="s">
        <v>162</v>
      </c>
      <c r="M10672" t="s">
        <v>24</v>
      </c>
      <c r="N10672" t="s">
        <v>22</v>
      </c>
    </row>
    <row r="10673" spans="1:14">
      <c r="A10673" s="4" t="str">
        <f t="shared" si="946"/>
        <v>EXP00354</v>
      </c>
      <c r="B10673" s="4" t="str">
        <f t="shared" si="943"/>
        <v>26667932</v>
      </c>
      <c r="C10673" s="4" t="str">
        <f t="shared" si="944"/>
        <v>GSE74685</v>
      </c>
      <c r="D10673" s="1" t="s">
        <v>447</v>
      </c>
      <c r="E10673" t="s">
        <v>448</v>
      </c>
      <c r="F10673" s="1">
        <v>1</v>
      </c>
      <c r="G10673" s="1" t="s">
        <v>452</v>
      </c>
      <c r="H10673" s="4" t="str">
        <f>HYPERLINK("https://www.ncbi.nlm.nih.gov/geo/query/acc.cgi?acc=GSM1616659","GSM1616659")</f>
        <v>GSM1616659</v>
      </c>
      <c r="I10673" t="s">
        <v>161</v>
      </c>
      <c r="J10673" t="s">
        <v>193</v>
      </c>
      <c r="K10673" t="s">
        <v>19</v>
      </c>
      <c r="L10673" t="s">
        <v>162</v>
      </c>
      <c r="M10673" t="s">
        <v>24</v>
      </c>
      <c r="N10673" t="s">
        <v>22</v>
      </c>
    </row>
    <row r="10674" spans="1:14">
      <c r="A10674" s="4" t="str">
        <f t="shared" si="946"/>
        <v>EXP00354</v>
      </c>
      <c r="B10674" s="4" t="str">
        <f t="shared" si="943"/>
        <v>26667932</v>
      </c>
      <c r="C10674" s="4" t="str">
        <f t="shared" si="944"/>
        <v>GSE74685</v>
      </c>
      <c r="D10674" s="1" t="s">
        <v>447</v>
      </c>
      <c r="E10674" t="s">
        <v>448</v>
      </c>
      <c r="F10674" s="1">
        <v>1</v>
      </c>
      <c r="G10674" s="1" t="s">
        <v>452</v>
      </c>
      <c r="H10674" s="4" t="str">
        <f>HYPERLINK("https://www.ncbi.nlm.nih.gov/geo/query/acc.cgi?acc=GSM1616661","GSM1616661")</f>
        <v>GSM1616661</v>
      </c>
      <c r="I10674" t="s">
        <v>161</v>
      </c>
      <c r="J10674" t="s">
        <v>193</v>
      </c>
      <c r="K10674" t="s">
        <v>19</v>
      </c>
      <c r="L10674" t="s">
        <v>162</v>
      </c>
      <c r="M10674" t="s">
        <v>24</v>
      </c>
      <c r="N10674" t="s">
        <v>22</v>
      </c>
    </row>
    <row r="10675" spans="1:14">
      <c r="A10675" s="4" t="str">
        <f t="shared" si="946"/>
        <v>EXP00354</v>
      </c>
      <c r="B10675" s="4" t="str">
        <f t="shared" si="943"/>
        <v>26667932</v>
      </c>
      <c r="C10675" s="4" t="str">
        <f t="shared" si="944"/>
        <v>GSE74685</v>
      </c>
      <c r="D10675" s="1" t="s">
        <v>447</v>
      </c>
      <c r="E10675" t="s">
        <v>448</v>
      </c>
      <c r="F10675" s="1">
        <v>1</v>
      </c>
      <c r="G10675" s="1" t="s">
        <v>452</v>
      </c>
      <c r="H10675" s="4" t="str">
        <f>HYPERLINK("https://www.ncbi.nlm.nih.gov/geo/query/acc.cgi?acc=GSM1616662","GSM1616662")</f>
        <v>GSM1616662</v>
      </c>
      <c r="I10675" t="s">
        <v>161</v>
      </c>
      <c r="J10675" t="s">
        <v>193</v>
      </c>
      <c r="K10675" t="s">
        <v>19</v>
      </c>
      <c r="L10675" t="s">
        <v>162</v>
      </c>
      <c r="M10675" t="s">
        <v>24</v>
      </c>
      <c r="N10675" t="s">
        <v>22</v>
      </c>
    </row>
    <row r="10676" spans="1:14">
      <c r="A10676" s="4" t="str">
        <f t="shared" si="946"/>
        <v>EXP00354</v>
      </c>
      <c r="B10676" s="4" t="str">
        <f t="shared" si="943"/>
        <v>26667932</v>
      </c>
      <c r="C10676" s="4" t="str">
        <f t="shared" si="944"/>
        <v>GSE74685</v>
      </c>
      <c r="D10676" s="1" t="s">
        <v>447</v>
      </c>
      <c r="E10676" t="s">
        <v>448</v>
      </c>
      <c r="F10676" s="1">
        <v>1</v>
      </c>
      <c r="G10676" s="1" t="s">
        <v>452</v>
      </c>
      <c r="H10676" s="4" t="str">
        <f>HYPERLINK("https://www.ncbi.nlm.nih.gov/geo/query/acc.cgi?acc=GSM1616664","GSM1616664")</f>
        <v>GSM1616664</v>
      </c>
      <c r="I10676" t="s">
        <v>161</v>
      </c>
      <c r="J10676" t="s">
        <v>193</v>
      </c>
      <c r="K10676" t="s">
        <v>19</v>
      </c>
      <c r="L10676" t="s">
        <v>162</v>
      </c>
      <c r="M10676" t="s">
        <v>24</v>
      </c>
      <c r="N10676" t="s">
        <v>22</v>
      </c>
    </row>
    <row r="10677" spans="1:14">
      <c r="A10677" s="4" t="str">
        <f t="shared" si="946"/>
        <v>EXP00354</v>
      </c>
      <c r="B10677" s="4" t="str">
        <f t="shared" si="943"/>
        <v>26667932</v>
      </c>
      <c r="C10677" s="4" t="str">
        <f t="shared" si="944"/>
        <v>GSE74685</v>
      </c>
      <c r="D10677" s="1" t="s">
        <v>447</v>
      </c>
      <c r="E10677" t="s">
        <v>448</v>
      </c>
      <c r="F10677" s="1">
        <v>1</v>
      </c>
      <c r="G10677" s="1" t="s">
        <v>452</v>
      </c>
      <c r="H10677" s="4" t="str">
        <f>HYPERLINK("https://www.ncbi.nlm.nih.gov/geo/query/acc.cgi?acc=GSM1616669","GSM1616669")</f>
        <v>GSM1616669</v>
      </c>
      <c r="I10677" t="s">
        <v>161</v>
      </c>
      <c r="J10677" t="s">
        <v>193</v>
      </c>
      <c r="K10677" t="s">
        <v>19</v>
      </c>
      <c r="L10677" t="s">
        <v>162</v>
      </c>
      <c r="M10677" t="s">
        <v>24</v>
      </c>
      <c r="N10677" t="s">
        <v>22</v>
      </c>
    </row>
    <row r="10678" spans="1:14">
      <c r="A10678" s="4" t="str">
        <f t="shared" si="946"/>
        <v>EXP00354</v>
      </c>
      <c r="B10678" s="4" t="str">
        <f t="shared" si="943"/>
        <v>26667932</v>
      </c>
      <c r="C10678" s="4" t="str">
        <f t="shared" si="944"/>
        <v>GSE74685</v>
      </c>
      <c r="D10678" s="1" t="s">
        <v>447</v>
      </c>
      <c r="E10678" t="s">
        <v>448</v>
      </c>
      <c r="F10678" s="1">
        <v>1</v>
      </c>
      <c r="G10678" s="1" t="s">
        <v>452</v>
      </c>
      <c r="H10678" s="4" t="str">
        <f>HYPERLINK("https://www.ncbi.nlm.nih.gov/geo/query/acc.cgi?acc=GSM1616670","GSM1616670")</f>
        <v>GSM1616670</v>
      </c>
      <c r="I10678" t="s">
        <v>161</v>
      </c>
      <c r="J10678" t="s">
        <v>193</v>
      </c>
      <c r="K10678" t="s">
        <v>19</v>
      </c>
      <c r="L10678" t="s">
        <v>162</v>
      </c>
      <c r="M10678" t="s">
        <v>24</v>
      </c>
      <c r="N10678" t="s">
        <v>22</v>
      </c>
    </row>
    <row r="10679" spans="1:14">
      <c r="A10679" s="4" t="str">
        <f t="shared" si="946"/>
        <v>EXP00354</v>
      </c>
      <c r="B10679" s="4" t="str">
        <f t="shared" si="943"/>
        <v>26667932</v>
      </c>
      <c r="C10679" s="4" t="str">
        <f t="shared" si="944"/>
        <v>GSE74685</v>
      </c>
      <c r="D10679" s="1" t="s">
        <v>447</v>
      </c>
      <c r="E10679" t="s">
        <v>448</v>
      </c>
      <c r="F10679" s="1">
        <v>1</v>
      </c>
      <c r="G10679" s="1" t="s">
        <v>452</v>
      </c>
      <c r="H10679" s="4" t="str">
        <f>HYPERLINK("https://www.ncbi.nlm.nih.gov/geo/query/acc.cgi?acc=GSM1616672","GSM1616672")</f>
        <v>GSM1616672</v>
      </c>
      <c r="I10679" t="s">
        <v>161</v>
      </c>
      <c r="J10679" t="s">
        <v>193</v>
      </c>
      <c r="K10679" t="s">
        <v>19</v>
      </c>
      <c r="L10679" t="s">
        <v>162</v>
      </c>
      <c r="M10679" t="s">
        <v>24</v>
      </c>
      <c r="N10679" t="s">
        <v>22</v>
      </c>
    </row>
    <row r="10680" spans="1:14">
      <c r="A10680" s="4" t="str">
        <f t="shared" si="946"/>
        <v>EXP00354</v>
      </c>
      <c r="B10680" s="4" t="str">
        <f t="shared" si="943"/>
        <v>26667932</v>
      </c>
      <c r="C10680" s="4" t="str">
        <f t="shared" si="944"/>
        <v>GSE74685</v>
      </c>
      <c r="D10680" s="1" t="s">
        <v>447</v>
      </c>
      <c r="E10680" t="s">
        <v>448</v>
      </c>
      <c r="F10680" s="1">
        <v>1</v>
      </c>
      <c r="G10680" s="1" t="s">
        <v>452</v>
      </c>
      <c r="H10680" s="4" t="str">
        <f>HYPERLINK("https://www.ncbi.nlm.nih.gov/geo/query/acc.cgi?acc=GSM1616676","GSM1616676")</f>
        <v>GSM1616676</v>
      </c>
      <c r="I10680" t="s">
        <v>161</v>
      </c>
      <c r="J10680" t="s">
        <v>193</v>
      </c>
      <c r="K10680" t="s">
        <v>19</v>
      </c>
      <c r="L10680" t="s">
        <v>162</v>
      </c>
      <c r="M10680" t="s">
        <v>24</v>
      </c>
      <c r="N10680" t="s">
        <v>22</v>
      </c>
    </row>
    <row r="10681" spans="1:14">
      <c r="A10681" s="4" t="str">
        <f t="shared" si="946"/>
        <v>EXP00354</v>
      </c>
      <c r="B10681" s="4" t="str">
        <f t="shared" si="943"/>
        <v>26667932</v>
      </c>
      <c r="C10681" s="4" t="str">
        <f t="shared" si="944"/>
        <v>GSE74685</v>
      </c>
      <c r="D10681" s="1" t="s">
        <v>447</v>
      </c>
      <c r="E10681" t="s">
        <v>448</v>
      </c>
      <c r="F10681" s="1">
        <v>1</v>
      </c>
      <c r="G10681" s="1" t="s">
        <v>452</v>
      </c>
      <c r="H10681" s="4" t="str">
        <f>HYPERLINK("https://www.ncbi.nlm.nih.gov/geo/query/acc.cgi?acc=GSM1616682","GSM1616682")</f>
        <v>GSM1616682</v>
      </c>
      <c r="I10681" t="s">
        <v>161</v>
      </c>
      <c r="J10681" t="s">
        <v>193</v>
      </c>
      <c r="K10681" t="s">
        <v>19</v>
      </c>
      <c r="L10681" t="s">
        <v>162</v>
      </c>
      <c r="M10681" t="s">
        <v>24</v>
      </c>
      <c r="N10681" t="s">
        <v>22</v>
      </c>
    </row>
    <row r="10682" spans="1:14">
      <c r="A10682" s="4" t="str">
        <f t="shared" si="946"/>
        <v>EXP00354</v>
      </c>
      <c r="B10682" s="4" t="str">
        <f t="shared" si="943"/>
        <v>26667932</v>
      </c>
      <c r="C10682" s="4" t="str">
        <f t="shared" si="944"/>
        <v>GSE74685</v>
      </c>
      <c r="D10682" s="1" t="s">
        <v>447</v>
      </c>
      <c r="E10682" t="s">
        <v>448</v>
      </c>
      <c r="F10682" s="1">
        <v>1</v>
      </c>
      <c r="G10682" s="1" t="s">
        <v>452</v>
      </c>
      <c r="H10682" s="4" t="str">
        <f>HYPERLINK("https://www.ncbi.nlm.nih.gov/geo/query/acc.cgi?acc=GSM1616684","GSM1616684")</f>
        <v>GSM1616684</v>
      </c>
      <c r="I10682" t="s">
        <v>161</v>
      </c>
      <c r="J10682" t="s">
        <v>193</v>
      </c>
      <c r="K10682" t="s">
        <v>19</v>
      </c>
      <c r="L10682" t="s">
        <v>162</v>
      </c>
      <c r="M10682" t="s">
        <v>24</v>
      </c>
      <c r="N10682" t="s">
        <v>22</v>
      </c>
    </row>
    <row r="10683" spans="1:14">
      <c r="A10683" s="4" t="str">
        <f t="shared" si="946"/>
        <v>EXP00354</v>
      </c>
      <c r="B10683" s="4" t="str">
        <f t="shared" si="943"/>
        <v>26667932</v>
      </c>
      <c r="C10683" s="4" t="str">
        <f t="shared" si="944"/>
        <v>GSE74685</v>
      </c>
      <c r="D10683" s="1" t="s">
        <v>447</v>
      </c>
      <c r="E10683" t="s">
        <v>448</v>
      </c>
      <c r="F10683" s="1">
        <v>1</v>
      </c>
      <c r="G10683" s="1" t="s">
        <v>452</v>
      </c>
      <c r="H10683" s="4" t="str">
        <f>HYPERLINK("https://www.ncbi.nlm.nih.gov/geo/query/acc.cgi?acc=GSM1918978","GSM1918978")</f>
        <v>GSM1918978</v>
      </c>
      <c r="I10683" t="s">
        <v>161</v>
      </c>
      <c r="J10683" t="s">
        <v>193</v>
      </c>
      <c r="K10683" t="s">
        <v>19</v>
      </c>
      <c r="L10683" t="s">
        <v>162</v>
      </c>
      <c r="M10683" t="s">
        <v>24</v>
      </c>
      <c r="N10683" t="s">
        <v>22</v>
      </c>
    </row>
    <row r="10684" spans="1:14">
      <c r="A10684" s="4" t="str">
        <f t="shared" si="946"/>
        <v>EXP00354</v>
      </c>
      <c r="B10684" s="4" t="str">
        <f t="shared" si="943"/>
        <v>26667932</v>
      </c>
      <c r="C10684" s="4" t="str">
        <f t="shared" si="944"/>
        <v>GSE74685</v>
      </c>
      <c r="D10684" s="1" t="s">
        <v>447</v>
      </c>
      <c r="E10684" t="s">
        <v>448</v>
      </c>
      <c r="F10684" s="1">
        <v>1</v>
      </c>
      <c r="G10684" s="1" t="s">
        <v>452</v>
      </c>
      <c r="H10684" s="4" t="str">
        <f>HYPERLINK("https://www.ncbi.nlm.nih.gov/geo/query/acc.cgi?acc=GSM1930063","GSM1930063")</f>
        <v>GSM1930063</v>
      </c>
      <c r="I10684" t="s">
        <v>161</v>
      </c>
      <c r="J10684" t="s">
        <v>193</v>
      </c>
      <c r="K10684" t="s">
        <v>19</v>
      </c>
      <c r="L10684" t="s">
        <v>162</v>
      </c>
      <c r="M10684" t="s">
        <v>24</v>
      </c>
      <c r="N10684" t="s">
        <v>22</v>
      </c>
    </row>
    <row r="10685" spans="1:14">
      <c r="A10685" s="4" t="str">
        <f t="shared" si="946"/>
        <v>EXP00354</v>
      </c>
      <c r="B10685" s="4" t="str">
        <f t="shared" si="943"/>
        <v>26667932</v>
      </c>
      <c r="C10685" s="4" t="str">
        <f t="shared" si="944"/>
        <v>GSE74685</v>
      </c>
      <c r="D10685" s="1" t="s">
        <v>447</v>
      </c>
      <c r="E10685" t="s">
        <v>448</v>
      </c>
      <c r="F10685" s="1">
        <v>1</v>
      </c>
      <c r="G10685" s="1" t="s">
        <v>452</v>
      </c>
      <c r="H10685" s="4" t="str">
        <f>HYPERLINK("https://www.ncbi.nlm.nih.gov/geo/query/acc.cgi?acc=GSM1930065","GSM1930065")</f>
        <v>GSM1930065</v>
      </c>
      <c r="I10685" t="s">
        <v>161</v>
      </c>
      <c r="J10685" t="s">
        <v>193</v>
      </c>
      <c r="K10685" t="s">
        <v>19</v>
      </c>
      <c r="L10685" t="s">
        <v>162</v>
      </c>
      <c r="M10685" t="s">
        <v>24</v>
      </c>
      <c r="N10685" t="s">
        <v>22</v>
      </c>
    </row>
    <row r="10686" spans="1:14">
      <c r="A10686" s="4" t="str">
        <f t="shared" si="946"/>
        <v>EXP00354</v>
      </c>
      <c r="B10686" s="4" t="str">
        <f t="shared" si="943"/>
        <v>26667932</v>
      </c>
      <c r="C10686" s="4" t="str">
        <f t="shared" si="944"/>
        <v>GSE74685</v>
      </c>
      <c r="D10686" s="1" t="s">
        <v>447</v>
      </c>
      <c r="E10686" t="s">
        <v>448</v>
      </c>
      <c r="F10686" s="1">
        <v>1</v>
      </c>
      <c r="G10686" s="1" t="s">
        <v>452</v>
      </c>
      <c r="H10686" s="4" t="str">
        <f>HYPERLINK("https://www.ncbi.nlm.nih.gov/geo/query/acc.cgi?acc=GSM1930068","GSM1930068")</f>
        <v>GSM1930068</v>
      </c>
      <c r="I10686" t="s">
        <v>161</v>
      </c>
      <c r="J10686" t="s">
        <v>193</v>
      </c>
      <c r="K10686" t="s">
        <v>19</v>
      </c>
      <c r="L10686" t="s">
        <v>162</v>
      </c>
      <c r="M10686" t="s">
        <v>24</v>
      </c>
      <c r="N10686" t="s">
        <v>22</v>
      </c>
    </row>
    <row r="10687" spans="1:14">
      <c r="A10687" s="4" t="str">
        <f t="shared" si="946"/>
        <v>EXP00354</v>
      </c>
      <c r="B10687" s="4" t="str">
        <f t="shared" si="943"/>
        <v>26667932</v>
      </c>
      <c r="C10687" s="4" t="str">
        <f t="shared" si="944"/>
        <v>GSE74685</v>
      </c>
      <c r="D10687" s="1" t="s">
        <v>447</v>
      </c>
      <c r="E10687" t="s">
        <v>448</v>
      </c>
      <c r="F10687" s="1">
        <v>1</v>
      </c>
      <c r="G10687" s="1" t="s">
        <v>452</v>
      </c>
      <c r="H10687" s="4" t="str">
        <f>HYPERLINK("https://www.ncbi.nlm.nih.gov/geo/query/acc.cgi?acc=GSM1930071","GSM1930071")</f>
        <v>GSM1930071</v>
      </c>
      <c r="I10687" t="s">
        <v>161</v>
      </c>
      <c r="J10687" t="s">
        <v>193</v>
      </c>
      <c r="K10687" t="s">
        <v>19</v>
      </c>
      <c r="L10687" t="s">
        <v>162</v>
      </c>
      <c r="M10687" t="s">
        <v>24</v>
      </c>
      <c r="N10687" t="s">
        <v>22</v>
      </c>
    </row>
    <row r="10688" spans="1:14">
      <c r="A10688" s="4" t="str">
        <f t="shared" ref="A10688:A10719" si="947">HYPERLINK("http://hcmdb.i-sanger.com/experiment/details/experiment_id/EXP00354","EXP00354")</f>
        <v>EXP00354</v>
      </c>
      <c r="B10688" s="4" t="str">
        <f t="shared" si="943"/>
        <v>26667932</v>
      </c>
      <c r="C10688" s="4" t="str">
        <f t="shared" si="944"/>
        <v>GSE74685</v>
      </c>
      <c r="D10688" s="1" t="s">
        <v>447</v>
      </c>
      <c r="E10688" t="s">
        <v>448</v>
      </c>
      <c r="F10688" s="1">
        <v>1</v>
      </c>
      <c r="G10688" s="1" t="s">
        <v>452</v>
      </c>
      <c r="H10688" s="4" t="str">
        <f>HYPERLINK("https://www.ncbi.nlm.nih.gov/geo/query/acc.cgi?acc=GSM1930077","GSM1930077")</f>
        <v>GSM1930077</v>
      </c>
      <c r="I10688" t="s">
        <v>161</v>
      </c>
      <c r="J10688" t="s">
        <v>193</v>
      </c>
      <c r="K10688" t="s">
        <v>19</v>
      </c>
      <c r="L10688" t="s">
        <v>162</v>
      </c>
      <c r="M10688" t="s">
        <v>24</v>
      </c>
      <c r="N10688" t="s">
        <v>22</v>
      </c>
    </row>
    <row r="10689" spans="1:14">
      <c r="A10689" s="4" t="str">
        <f t="shared" si="947"/>
        <v>EXP00354</v>
      </c>
      <c r="B10689" s="4" t="str">
        <f t="shared" ref="B10689:B10752" si="948">HYPERLINK("https://www.ncbi.nlm.nih.gov/pubmed/26667932","26667932")</f>
        <v>26667932</v>
      </c>
      <c r="C10689" s="4" t="str">
        <f t="shared" ref="C10689:C10752" si="949">HYPERLINK("https://www.ncbi.nlm.nih.gov/geo/query/acc.cgi?acc=GSE74685","GSE74685")</f>
        <v>GSE74685</v>
      </c>
      <c r="D10689" s="1" t="s">
        <v>447</v>
      </c>
      <c r="E10689" t="s">
        <v>448</v>
      </c>
      <c r="F10689" s="1">
        <v>1</v>
      </c>
      <c r="G10689" s="1" t="s">
        <v>452</v>
      </c>
      <c r="H10689" s="4" t="str">
        <f>HYPERLINK("https://www.ncbi.nlm.nih.gov/geo/query/acc.cgi?acc=GSM1930078","GSM1930078")</f>
        <v>GSM1930078</v>
      </c>
      <c r="I10689" t="s">
        <v>161</v>
      </c>
      <c r="J10689" t="s">
        <v>193</v>
      </c>
      <c r="K10689" t="s">
        <v>19</v>
      </c>
      <c r="L10689" t="s">
        <v>162</v>
      </c>
      <c r="M10689" t="s">
        <v>24</v>
      </c>
      <c r="N10689" t="s">
        <v>22</v>
      </c>
    </row>
    <row r="10690" spans="1:14">
      <c r="A10690" s="4" t="str">
        <f t="shared" si="947"/>
        <v>EXP00354</v>
      </c>
      <c r="B10690" s="4" t="str">
        <f t="shared" si="948"/>
        <v>26667932</v>
      </c>
      <c r="C10690" s="4" t="str">
        <f t="shared" si="949"/>
        <v>GSE74685</v>
      </c>
      <c r="D10690" s="1" t="s">
        <v>447</v>
      </c>
      <c r="E10690" t="s">
        <v>448</v>
      </c>
      <c r="F10690" s="1">
        <v>1</v>
      </c>
      <c r="G10690" s="1" t="s">
        <v>452</v>
      </c>
      <c r="H10690" s="4" t="str">
        <f>HYPERLINK("https://www.ncbi.nlm.nih.gov/geo/query/acc.cgi?acc=GSM1930083","GSM1930083")</f>
        <v>GSM1930083</v>
      </c>
      <c r="I10690" t="s">
        <v>161</v>
      </c>
      <c r="J10690" t="s">
        <v>193</v>
      </c>
      <c r="K10690" t="s">
        <v>19</v>
      </c>
      <c r="L10690" t="s">
        <v>162</v>
      </c>
      <c r="M10690" t="s">
        <v>24</v>
      </c>
      <c r="N10690" t="s">
        <v>22</v>
      </c>
    </row>
    <row r="10691" spans="1:14">
      <c r="A10691" s="4" t="str">
        <f t="shared" si="947"/>
        <v>EXP00354</v>
      </c>
      <c r="B10691" s="4" t="str">
        <f t="shared" si="948"/>
        <v>26667932</v>
      </c>
      <c r="C10691" s="4" t="str">
        <f t="shared" si="949"/>
        <v>GSE74685</v>
      </c>
      <c r="D10691" s="1" t="s">
        <v>447</v>
      </c>
      <c r="E10691" t="s">
        <v>448</v>
      </c>
      <c r="F10691" s="1">
        <v>1</v>
      </c>
      <c r="G10691" s="1" t="s">
        <v>452</v>
      </c>
      <c r="H10691" s="4" t="str">
        <f>HYPERLINK("https://www.ncbi.nlm.nih.gov/geo/query/acc.cgi?acc=GSM1930086","GSM1930086")</f>
        <v>GSM1930086</v>
      </c>
      <c r="I10691" t="s">
        <v>161</v>
      </c>
      <c r="J10691" t="s">
        <v>193</v>
      </c>
      <c r="K10691" t="s">
        <v>19</v>
      </c>
      <c r="L10691" t="s">
        <v>162</v>
      </c>
      <c r="M10691" t="s">
        <v>24</v>
      </c>
      <c r="N10691" t="s">
        <v>22</v>
      </c>
    </row>
    <row r="10692" spans="1:14">
      <c r="A10692" s="4" t="str">
        <f t="shared" si="947"/>
        <v>EXP00354</v>
      </c>
      <c r="B10692" s="4" t="str">
        <f t="shared" si="948"/>
        <v>26667932</v>
      </c>
      <c r="C10692" s="4" t="str">
        <f t="shared" si="949"/>
        <v>GSE74685</v>
      </c>
      <c r="D10692" s="1" t="s">
        <v>447</v>
      </c>
      <c r="E10692" t="s">
        <v>448</v>
      </c>
      <c r="F10692" s="1">
        <v>1</v>
      </c>
      <c r="G10692" s="1" t="s">
        <v>452</v>
      </c>
      <c r="H10692" s="4" t="str">
        <f>HYPERLINK("https://www.ncbi.nlm.nih.gov/geo/query/acc.cgi?acc=GSM1930089","GSM1930089")</f>
        <v>GSM1930089</v>
      </c>
      <c r="I10692" t="s">
        <v>161</v>
      </c>
      <c r="J10692" t="s">
        <v>193</v>
      </c>
      <c r="K10692" t="s">
        <v>19</v>
      </c>
      <c r="L10692" t="s">
        <v>162</v>
      </c>
      <c r="M10692" t="s">
        <v>24</v>
      </c>
      <c r="N10692" t="s">
        <v>22</v>
      </c>
    </row>
    <row r="10693" spans="1:14">
      <c r="A10693" s="4" t="str">
        <f t="shared" si="947"/>
        <v>EXP00354</v>
      </c>
      <c r="B10693" s="4" t="str">
        <f t="shared" si="948"/>
        <v>26667932</v>
      </c>
      <c r="C10693" s="4" t="str">
        <f t="shared" si="949"/>
        <v>GSE74685</v>
      </c>
      <c r="D10693" s="1" t="s">
        <v>447</v>
      </c>
      <c r="E10693" t="s">
        <v>448</v>
      </c>
      <c r="F10693" s="1">
        <v>1</v>
      </c>
      <c r="G10693" s="1" t="s">
        <v>452</v>
      </c>
      <c r="H10693" s="4" t="str">
        <f>HYPERLINK("https://www.ncbi.nlm.nih.gov/geo/query/acc.cgi?acc=GSM1930090","GSM1930090")</f>
        <v>GSM1930090</v>
      </c>
      <c r="I10693" t="s">
        <v>161</v>
      </c>
      <c r="J10693" t="s">
        <v>193</v>
      </c>
      <c r="K10693" t="s">
        <v>19</v>
      </c>
      <c r="L10693" t="s">
        <v>162</v>
      </c>
      <c r="M10693" t="s">
        <v>24</v>
      </c>
      <c r="N10693" t="s">
        <v>22</v>
      </c>
    </row>
    <row r="10694" spans="1:14">
      <c r="A10694" s="4" t="str">
        <f t="shared" si="947"/>
        <v>EXP00354</v>
      </c>
      <c r="B10694" s="4" t="str">
        <f t="shared" si="948"/>
        <v>26667932</v>
      </c>
      <c r="C10694" s="4" t="str">
        <f t="shared" si="949"/>
        <v>GSE74685</v>
      </c>
      <c r="D10694" s="1" t="s">
        <v>447</v>
      </c>
      <c r="E10694" t="s">
        <v>448</v>
      </c>
      <c r="F10694" s="1">
        <v>1</v>
      </c>
      <c r="G10694" s="1" t="s">
        <v>452</v>
      </c>
      <c r="H10694" s="4" t="str">
        <f>HYPERLINK("https://www.ncbi.nlm.nih.gov/geo/query/acc.cgi?acc=GSM1930091","GSM1930091")</f>
        <v>GSM1930091</v>
      </c>
      <c r="I10694" t="s">
        <v>161</v>
      </c>
      <c r="J10694" t="s">
        <v>193</v>
      </c>
      <c r="K10694" t="s">
        <v>19</v>
      </c>
      <c r="L10694" t="s">
        <v>162</v>
      </c>
      <c r="M10694" t="s">
        <v>24</v>
      </c>
      <c r="N10694" t="s">
        <v>22</v>
      </c>
    </row>
    <row r="10695" spans="1:14">
      <c r="A10695" s="4" t="str">
        <f t="shared" si="947"/>
        <v>EXP00354</v>
      </c>
      <c r="B10695" s="4" t="str">
        <f t="shared" si="948"/>
        <v>26667932</v>
      </c>
      <c r="C10695" s="4" t="str">
        <f t="shared" si="949"/>
        <v>GSE74685</v>
      </c>
      <c r="D10695" s="1" t="s">
        <v>447</v>
      </c>
      <c r="E10695" t="s">
        <v>448</v>
      </c>
      <c r="F10695" s="1">
        <v>1</v>
      </c>
      <c r="G10695" s="1" t="s">
        <v>452</v>
      </c>
      <c r="H10695" s="4" t="str">
        <f>HYPERLINK("https://www.ncbi.nlm.nih.gov/geo/query/acc.cgi?acc=GSM1930094","GSM1930094")</f>
        <v>GSM1930094</v>
      </c>
      <c r="I10695" t="s">
        <v>161</v>
      </c>
      <c r="J10695" t="s">
        <v>193</v>
      </c>
      <c r="K10695" t="s">
        <v>19</v>
      </c>
      <c r="L10695" t="s">
        <v>162</v>
      </c>
      <c r="M10695" t="s">
        <v>24</v>
      </c>
      <c r="N10695" t="s">
        <v>22</v>
      </c>
    </row>
    <row r="10696" spans="1:14">
      <c r="A10696" s="4" t="str">
        <f t="shared" si="947"/>
        <v>EXP00354</v>
      </c>
      <c r="B10696" s="4" t="str">
        <f t="shared" si="948"/>
        <v>26667932</v>
      </c>
      <c r="C10696" s="4" t="str">
        <f t="shared" si="949"/>
        <v>GSE74685</v>
      </c>
      <c r="D10696" s="1" t="s">
        <v>447</v>
      </c>
      <c r="E10696" t="s">
        <v>448</v>
      </c>
      <c r="F10696" s="1">
        <v>1</v>
      </c>
      <c r="G10696" s="1" t="s">
        <v>452</v>
      </c>
      <c r="H10696" s="4" t="str">
        <f>HYPERLINK("https://www.ncbi.nlm.nih.gov/geo/query/acc.cgi?acc=GSM1930095","GSM1930095")</f>
        <v>GSM1930095</v>
      </c>
      <c r="I10696" t="s">
        <v>161</v>
      </c>
      <c r="J10696" t="s">
        <v>193</v>
      </c>
      <c r="K10696" t="s">
        <v>19</v>
      </c>
      <c r="L10696" t="s">
        <v>162</v>
      </c>
      <c r="M10696" t="s">
        <v>24</v>
      </c>
      <c r="N10696" t="s">
        <v>22</v>
      </c>
    </row>
    <row r="10697" spans="1:14">
      <c r="A10697" s="4" t="str">
        <f t="shared" si="947"/>
        <v>EXP00354</v>
      </c>
      <c r="B10697" s="4" t="str">
        <f t="shared" si="948"/>
        <v>26667932</v>
      </c>
      <c r="C10697" s="4" t="str">
        <f t="shared" si="949"/>
        <v>GSE74685</v>
      </c>
      <c r="D10697" s="1" t="s">
        <v>447</v>
      </c>
      <c r="E10697" t="s">
        <v>448</v>
      </c>
      <c r="F10697" s="1">
        <v>1</v>
      </c>
      <c r="G10697" s="1" t="s">
        <v>452</v>
      </c>
      <c r="H10697" s="4" t="str">
        <f>HYPERLINK("https://www.ncbi.nlm.nih.gov/geo/query/acc.cgi?acc=GSM1930096","GSM1930096")</f>
        <v>GSM1930096</v>
      </c>
      <c r="I10697" t="s">
        <v>161</v>
      </c>
      <c r="J10697" t="s">
        <v>193</v>
      </c>
      <c r="K10697" t="s">
        <v>19</v>
      </c>
      <c r="L10697" t="s">
        <v>162</v>
      </c>
      <c r="M10697" t="s">
        <v>24</v>
      </c>
      <c r="N10697" t="s">
        <v>22</v>
      </c>
    </row>
    <row r="10698" spans="1:14">
      <c r="A10698" s="4" t="str">
        <f t="shared" si="947"/>
        <v>EXP00354</v>
      </c>
      <c r="B10698" s="4" t="str">
        <f t="shared" si="948"/>
        <v>26667932</v>
      </c>
      <c r="C10698" s="4" t="str">
        <f t="shared" si="949"/>
        <v>GSE74685</v>
      </c>
      <c r="D10698" s="1" t="s">
        <v>447</v>
      </c>
      <c r="E10698" t="s">
        <v>448</v>
      </c>
      <c r="F10698" s="1">
        <v>1</v>
      </c>
      <c r="G10698" s="1" t="s">
        <v>452</v>
      </c>
      <c r="H10698" s="4" t="str">
        <f>HYPERLINK("https://www.ncbi.nlm.nih.gov/geo/query/acc.cgi?acc=GSM1930097","GSM1930097")</f>
        <v>GSM1930097</v>
      </c>
      <c r="I10698" t="s">
        <v>161</v>
      </c>
      <c r="J10698" t="s">
        <v>193</v>
      </c>
      <c r="K10698" t="s">
        <v>19</v>
      </c>
      <c r="L10698" t="s">
        <v>162</v>
      </c>
      <c r="M10698" t="s">
        <v>24</v>
      </c>
      <c r="N10698" t="s">
        <v>22</v>
      </c>
    </row>
    <row r="10699" spans="1:14">
      <c r="A10699" s="4" t="str">
        <f t="shared" si="947"/>
        <v>EXP00354</v>
      </c>
      <c r="B10699" s="4" t="str">
        <f t="shared" si="948"/>
        <v>26667932</v>
      </c>
      <c r="C10699" s="4" t="str">
        <f t="shared" si="949"/>
        <v>GSE74685</v>
      </c>
      <c r="D10699" s="1" t="s">
        <v>447</v>
      </c>
      <c r="E10699" t="s">
        <v>448</v>
      </c>
      <c r="F10699" s="1">
        <v>1</v>
      </c>
      <c r="G10699" s="1" t="s">
        <v>452</v>
      </c>
      <c r="H10699" s="4" t="str">
        <f>HYPERLINK("https://www.ncbi.nlm.nih.gov/geo/query/acc.cgi?acc=GSM1930102","GSM1930102")</f>
        <v>GSM1930102</v>
      </c>
      <c r="I10699" t="s">
        <v>161</v>
      </c>
      <c r="J10699" t="s">
        <v>193</v>
      </c>
      <c r="K10699" t="s">
        <v>19</v>
      </c>
      <c r="L10699" t="s">
        <v>162</v>
      </c>
      <c r="M10699" t="s">
        <v>24</v>
      </c>
      <c r="N10699" t="s">
        <v>22</v>
      </c>
    </row>
    <row r="10700" spans="1:14">
      <c r="A10700" s="4" t="str">
        <f t="shared" si="947"/>
        <v>EXP00354</v>
      </c>
      <c r="B10700" s="4" t="str">
        <f t="shared" si="948"/>
        <v>26667932</v>
      </c>
      <c r="C10700" s="4" t="str">
        <f t="shared" si="949"/>
        <v>GSE74685</v>
      </c>
      <c r="D10700" s="1" t="s">
        <v>447</v>
      </c>
      <c r="E10700" t="s">
        <v>448</v>
      </c>
      <c r="F10700" s="1">
        <v>1</v>
      </c>
      <c r="G10700" s="1" t="s">
        <v>452</v>
      </c>
      <c r="H10700" s="4" t="str">
        <f>HYPERLINK("https://www.ncbi.nlm.nih.gov/geo/query/acc.cgi?acc=GSM1930104","GSM1930104")</f>
        <v>GSM1930104</v>
      </c>
      <c r="I10700" t="s">
        <v>161</v>
      </c>
      <c r="J10700" t="s">
        <v>193</v>
      </c>
      <c r="K10700" t="s">
        <v>19</v>
      </c>
      <c r="L10700" t="s">
        <v>162</v>
      </c>
      <c r="M10700" t="s">
        <v>24</v>
      </c>
      <c r="N10700" t="s">
        <v>22</v>
      </c>
    </row>
    <row r="10701" spans="1:14">
      <c r="A10701" s="4" t="str">
        <f t="shared" si="947"/>
        <v>EXP00354</v>
      </c>
      <c r="B10701" s="4" t="str">
        <f t="shared" si="948"/>
        <v>26667932</v>
      </c>
      <c r="C10701" s="4" t="str">
        <f t="shared" si="949"/>
        <v>GSE74685</v>
      </c>
      <c r="D10701" s="1" t="s">
        <v>447</v>
      </c>
      <c r="E10701" t="s">
        <v>448</v>
      </c>
      <c r="F10701" s="1">
        <v>1</v>
      </c>
      <c r="G10701" s="1" t="s">
        <v>452</v>
      </c>
      <c r="H10701" s="4" t="str">
        <f>HYPERLINK("https://www.ncbi.nlm.nih.gov/geo/query/acc.cgi?acc=GSM1930105","GSM1930105")</f>
        <v>GSM1930105</v>
      </c>
      <c r="I10701" t="s">
        <v>161</v>
      </c>
      <c r="J10701" t="s">
        <v>193</v>
      </c>
      <c r="K10701" t="s">
        <v>19</v>
      </c>
      <c r="L10701" t="s">
        <v>162</v>
      </c>
      <c r="M10701" t="s">
        <v>24</v>
      </c>
      <c r="N10701" t="s">
        <v>22</v>
      </c>
    </row>
    <row r="10702" spans="1:14">
      <c r="A10702" s="4" t="str">
        <f t="shared" si="947"/>
        <v>EXP00354</v>
      </c>
      <c r="B10702" s="4" t="str">
        <f t="shared" si="948"/>
        <v>26667932</v>
      </c>
      <c r="C10702" s="4" t="str">
        <f t="shared" si="949"/>
        <v>GSE74685</v>
      </c>
      <c r="D10702" s="1" t="s">
        <v>447</v>
      </c>
      <c r="E10702" t="s">
        <v>448</v>
      </c>
      <c r="F10702" s="1">
        <v>1</v>
      </c>
      <c r="G10702" s="1" t="s">
        <v>452</v>
      </c>
      <c r="H10702" s="4" t="str">
        <f>HYPERLINK("https://www.ncbi.nlm.nih.gov/geo/query/acc.cgi?acc=GSM1930106","GSM1930106")</f>
        <v>GSM1930106</v>
      </c>
      <c r="I10702" t="s">
        <v>161</v>
      </c>
      <c r="J10702" t="s">
        <v>193</v>
      </c>
      <c r="K10702" t="s">
        <v>19</v>
      </c>
      <c r="L10702" t="s">
        <v>162</v>
      </c>
      <c r="M10702" t="s">
        <v>24</v>
      </c>
      <c r="N10702" t="s">
        <v>22</v>
      </c>
    </row>
    <row r="10703" spans="1:14">
      <c r="A10703" s="4" t="str">
        <f t="shared" si="947"/>
        <v>EXP00354</v>
      </c>
      <c r="B10703" s="4" t="str">
        <f t="shared" si="948"/>
        <v>26667932</v>
      </c>
      <c r="C10703" s="4" t="str">
        <f t="shared" si="949"/>
        <v>GSE74685</v>
      </c>
      <c r="D10703" s="1" t="s">
        <v>447</v>
      </c>
      <c r="E10703" t="s">
        <v>448</v>
      </c>
      <c r="F10703" s="1">
        <v>1</v>
      </c>
      <c r="G10703" s="1" t="s">
        <v>452</v>
      </c>
      <c r="H10703" s="4" t="str">
        <f>HYPERLINK("https://www.ncbi.nlm.nih.gov/geo/query/acc.cgi?acc=GSM1930109","GSM1930109")</f>
        <v>GSM1930109</v>
      </c>
      <c r="I10703" t="s">
        <v>161</v>
      </c>
      <c r="J10703" t="s">
        <v>193</v>
      </c>
      <c r="K10703" t="s">
        <v>19</v>
      </c>
      <c r="L10703" t="s">
        <v>162</v>
      </c>
      <c r="M10703" t="s">
        <v>24</v>
      </c>
      <c r="N10703" t="s">
        <v>22</v>
      </c>
    </row>
    <row r="10704" spans="1:14">
      <c r="A10704" s="4" t="str">
        <f t="shared" si="947"/>
        <v>EXP00354</v>
      </c>
      <c r="B10704" s="4" t="str">
        <f t="shared" si="948"/>
        <v>26667932</v>
      </c>
      <c r="C10704" s="4" t="str">
        <f t="shared" si="949"/>
        <v>GSE74685</v>
      </c>
      <c r="D10704" s="1" t="s">
        <v>447</v>
      </c>
      <c r="E10704" t="s">
        <v>448</v>
      </c>
      <c r="F10704" s="1">
        <v>1</v>
      </c>
      <c r="G10704" s="1" t="s">
        <v>452</v>
      </c>
      <c r="H10704" s="4" t="str">
        <f>HYPERLINK("https://www.ncbi.nlm.nih.gov/geo/query/acc.cgi?acc=GSM1930114","GSM1930114")</f>
        <v>GSM1930114</v>
      </c>
      <c r="I10704" t="s">
        <v>161</v>
      </c>
      <c r="J10704" t="s">
        <v>193</v>
      </c>
      <c r="K10704" t="s">
        <v>19</v>
      </c>
      <c r="L10704" t="s">
        <v>162</v>
      </c>
      <c r="M10704" t="s">
        <v>24</v>
      </c>
      <c r="N10704" t="s">
        <v>22</v>
      </c>
    </row>
    <row r="10705" spans="1:14">
      <c r="A10705" s="4" t="str">
        <f t="shared" si="947"/>
        <v>EXP00354</v>
      </c>
      <c r="B10705" s="4" t="str">
        <f t="shared" si="948"/>
        <v>26667932</v>
      </c>
      <c r="C10705" s="4" t="str">
        <f t="shared" si="949"/>
        <v>GSE74685</v>
      </c>
      <c r="D10705" s="1" t="s">
        <v>447</v>
      </c>
      <c r="E10705" t="s">
        <v>448</v>
      </c>
      <c r="F10705" s="1">
        <v>1</v>
      </c>
      <c r="G10705" s="1" t="s">
        <v>452</v>
      </c>
      <c r="H10705" s="4" t="str">
        <f>HYPERLINK("https://www.ncbi.nlm.nih.gov/geo/query/acc.cgi?acc=GSM1930117","GSM1930117")</f>
        <v>GSM1930117</v>
      </c>
      <c r="I10705" t="s">
        <v>161</v>
      </c>
      <c r="J10705" t="s">
        <v>193</v>
      </c>
      <c r="K10705" t="s">
        <v>19</v>
      </c>
      <c r="L10705" t="s">
        <v>162</v>
      </c>
      <c r="M10705" t="s">
        <v>24</v>
      </c>
      <c r="N10705" t="s">
        <v>22</v>
      </c>
    </row>
    <row r="10706" spans="1:14">
      <c r="A10706" s="4" t="str">
        <f t="shared" si="947"/>
        <v>EXP00354</v>
      </c>
      <c r="B10706" s="4" t="str">
        <f t="shared" si="948"/>
        <v>26667932</v>
      </c>
      <c r="C10706" s="4" t="str">
        <f t="shared" si="949"/>
        <v>GSE74685</v>
      </c>
      <c r="D10706" s="1" t="s">
        <v>447</v>
      </c>
      <c r="E10706" t="s">
        <v>448</v>
      </c>
      <c r="F10706" s="1">
        <v>1</v>
      </c>
      <c r="G10706" s="1" t="s">
        <v>452</v>
      </c>
      <c r="H10706" s="4" t="str">
        <f>HYPERLINK("https://www.ncbi.nlm.nih.gov/geo/query/acc.cgi?acc=GSM1930118","GSM1930118")</f>
        <v>GSM1930118</v>
      </c>
      <c r="I10706" t="s">
        <v>161</v>
      </c>
      <c r="J10706" t="s">
        <v>193</v>
      </c>
      <c r="K10706" t="s">
        <v>19</v>
      </c>
      <c r="L10706" t="s">
        <v>162</v>
      </c>
      <c r="M10706" t="s">
        <v>24</v>
      </c>
      <c r="N10706" t="s">
        <v>22</v>
      </c>
    </row>
    <row r="10707" spans="1:14">
      <c r="A10707" s="4" t="str">
        <f t="shared" si="947"/>
        <v>EXP00354</v>
      </c>
      <c r="B10707" s="4" t="str">
        <f t="shared" si="948"/>
        <v>26667932</v>
      </c>
      <c r="C10707" s="4" t="str">
        <f t="shared" si="949"/>
        <v>GSE74685</v>
      </c>
      <c r="D10707" s="1" t="s">
        <v>447</v>
      </c>
      <c r="E10707" t="s">
        <v>448</v>
      </c>
      <c r="F10707" s="1">
        <v>1</v>
      </c>
      <c r="G10707" s="1" t="s">
        <v>452</v>
      </c>
      <c r="H10707" s="4" t="str">
        <f>HYPERLINK("https://www.ncbi.nlm.nih.gov/geo/query/acc.cgi?acc=GSM1930121","GSM1930121")</f>
        <v>GSM1930121</v>
      </c>
      <c r="I10707" t="s">
        <v>161</v>
      </c>
      <c r="J10707" t="s">
        <v>193</v>
      </c>
      <c r="K10707" t="s">
        <v>19</v>
      </c>
      <c r="L10707" t="s">
        <v>162</v>
      </c>
      <c r="M10707" t="s">
        <v>24</v>
      </c>
      <c r="N10707" t="s">
        <v>22</v>
      </c>
    </row>
    <row r="10708" spans="1:14">
      <c r="A10708" s="4" t="str">
        <f t="shared" si="947"/>
        <v>EXP00354</v>
      </c>
      <c r="B10708" s="4" t="str">
        <f t="shared" si="948"/>
        <v>26667932</v>
      </c>
      <c r="C10708" s="4" t="str">
        <f t="shared" si="949"/>
        <v>GSE74685</v>
      </c>
      <c r="D10708" s="1" t="s">
        <v>447</v>
      </c>
      <c r="E10708" t="s">
        <v>448</v>
      </c>
      <c r="F10708" s="1">
        <v>1</v>
      </c>
      <c r="G10708" s="1" t="s">
        <v>452</v>
      </c>
      <c r="H10708" s="4" t="str">
        <f>HYPERLINK("https://www.ncbi.nlm.nih.gov/geo/query/acc.cgi?acc=GSM1930123","GSM1930123")</f>
        <v>GSM1930123</v>
      </c>
      <c r="I10708" t="s">
        <v>161</v>
      </c>
      <c r="J10708" t="s">
        <v>193</v>
      </c>
      <c r="K10708" t="s">
        <v>19</v>
      </c>
      <c r="L10708" t="s">
        <v>162</v>
      </c>
      <c r="M10708" t="s">
        <v>24</v>
      </c>
      <c r="N10708" t="s">
        <v>22</v>
      </c>
    </row>
    <row r="10709" spans="1:14">
      <c r="A10709" s="4" t="str">
        <f t="shared" si="947"/>
        <v>EXP00354</v>
      </c>
      <c r="B10709" s="4" t="str">
        <f t="shared" si="948"/>
        <v>26667932</v>
      </c>
      <c r="C10709" s="4" t="str">
        <f t="shared" si="949"/>
        <v>GSE74685</v>
      </c>
      <c r="D10709" s="1" t="s">
        <v>447</v>
      </c>
      <c r="E10709" t="s">
        <v>448</v>
      </c>
      <c r="F10709" s="1">
        <v>1</v>
      </c>
      <c r="G10709" s="1" t="s">
        <v>452</v>
      </c>
      <c r="H10709" s="4" t="str">
        <f>HYPERLINK("https://www.ncbi.nlm.nih.gov/geo/query/acc.cgi?acc=GSM1930124","GSM1930124")</f>
        <v>GSM1930124</v>
      </c>
      <c r="I10709" t="s">
        <v>161</v>
      </c>
      <c r="J10709" t="s">
        <v>193</v>
      </c>
      <c r="K10709" t="s">
        <v>19</v>
      </c>
      <c r="L10709" t="s">
        <v>162</v>
      </c>
      <c r="M10709" t="s">
        <v>24</v>
      </c>
      <c r="N10709" t="s">
        <v>22</v>
      </c>
    </row>
    <row r="10710" spans="1:14">
      <c r="A10710" s="4" t="str">
        <f t="shared" si="947"/>
        <v>EXP00354</v>
      </c>
      <c r="B10710" s="4" t="str">
        <f t="shared" si="948"/>
        <v>26667932</v>
      </c>
      <c r="C10710" s="4" t="str">
        <f t="shared" si="949"/>
        <v>GSE74685</v>
      </c>
      <c r="D10710" s="1" t="s">
        <v>447</v>
      </c>
      <c r="E10710" t="s">
        <v>448</v>
      </c>
      <c r="F10710" s="1">
        <v>1</v>
      </c>
      <c r="G10710" s="1" t="s">
        <v>452</v>
      </c>
      <c r="H10710" s="4" t="str">
        <f>HYPERLINK("https://www.ncbi.nlm.nih.gov/geo/query/acc.cgi?acc=GSM1930125","GSM1930125")</f>
        <v>GSM1930125</v>
      </c>
      <c r="I10710" t="s">
        <v>161</v>
      </c>
      <c r="J10710" t="s">
        <v>193</v>
      </c>
      <c r="K10710" t="s">
        <v>19</v>
      </c>
      <c r="L10710" t="s">
        <v>162</v>
      </c>
      <c r="M10710" t="s">
        <v>24</v>
      </c>
      <c r="N10710" t="s">
        <v>22</v>
      </c>
    </row>
    <row r="10711" spans="1:14">
      <c r="A10711" s="4" t="str">
        <f t="shared" si="947"/>
        <v>EXP00354</v>
      </c>
      <c r="B10711" s="4" t="str">
        <f t="shared" si="948"/>
        <v>26667932</v>
      </c>
      <c r="C10711" s="4" t="str">
        <f t="shared" si="949"/>
        <v>GSE74685</v>
      </c>
      <c r="D10711" s="1" t="s">
        <v>447</v>
      </c>
      <c r="E10711" t="s">
        <v>448</v>
      </c>
      <c r="F10711" s="1">
        <v>1</v>
      </c>
      <c r="G10711" s="1" t="s">
        <v>452</v>
      </c>
      <c r="H10711" s="4" t="str">
        <f>HYPERLINK("https://www.ncbi.nlm.nih.gov/geo/query/acc.cgi?acc=GSM1930127","GSM1930127")</f>
        <v>GSM1930127</v>
      </c>
      <c r="I10711" t="s">
        <v>161</v>
      </c>
      <c r="J10711" t="s">
        <v>193</v>
      </c>
      <c r="K10711" t="s">
        <v>19</v>
      </c>
      <c r="L10711" t="s">
        <v>162</v>
      </c>
      <c r="M10711" t="s">
        <v>24</v>
      </c>
      <c r="N10711" t="s">
        <v>22</v>
      </c>
    </row>
    <row r="10712" spans="1:14">
      <c r="A10712" s="4" t="str">
        <f t="shared" si="947"/>
        <v>EXP00354</v>
      </c>
      <c r="B10712" s="4" t="str">
        <f t="shared" si="948"/>
        <v>26667932</v>
      </c>
      <c r="C10712" s="4" t="str">
        <f t="shared" si="949"/>
        <v>GSE74685</v>
      </c>
      <c r="D10712" s="1" t="s">
        <v>447</v>
      </c>
      <c r="E10712" t="s">
        <v>448</v>
      </c>
      <c r="F10712" s="1">
        <v>1</v>
      </c>
      <c r="G10712" s="1" t="s">
        <v>452</v>
      </c>
      <c r="H10712" s="4" t="str">
        <f>HYPERLINK("https://www.ncbi.nlm.nih.gov/geo/query/acc.cgi?acc=GSM1930128","GSM1930128")</f>
        <v>GSM1930128</v>
      </c>
      <c r="I10712" t="s">
        <v>161</v>
      </c>
      <c r="J10712" t="s">
        <v>193</v>
      </c>
      <c r="K10712" t="s">
        <v>19</v>
      </c>
      <c r="L10712" t="s">
        <v>162</v>
      </c>
      <c r="M10712" t="s">
        <v>24</v>
      </c>
      <c r="N10712" t="s">
        <v>22</v>
      </c>
    </row>
    <row r="10713" spans="1:14">
      <c r="A10713" s="4" t="str">
        <f t="shared" si="947"/>
        <v>EXP00354</v>
      </c>
      <c r="B10713" s="4" t="str">
        <f t="shared" si="948"/>
        <v>26667932</v>
      </c>
      <c r="C10713" s="4" t="str">
        <f t="shared" si="949"/>
        <v>GSE74685</v>
      </c>
      <c r="D10713" s="1" t="s">
        <v>447</v>
      </c>
      <c r="E10713" t="s">
        <v>448</v>
      </c>
      <c r="F10713" s="1">
        <v>1</v>
      </c>
      <c r="G10713" s="1" t="s">
        <v>452</v>
      </c>
      <c r="H10713" s="4" t="str">
        <f>HYPERLINK("https://www.ncbi.nlm.nih.gov/geo/query/acc.cgi?acc=GSM1930130","GSM1930130")</f>
        <v>GSM1930130</v>
      </c>
      <c r="I10713" t="s">
        <v>161</v>
      </c>
      <c r="J10713" t="s">
        <v>193</v>
      </c>
      <c r="K10713" t="s">
        <v>19</v>
      </c>
      <c r="L10713" t="s">
        <v>162</v>
      </c>
      <c r="M10713" t="s">
        <v>24</v>
      </c>
      <c r="N10713" t="s">
        <v>22</v>
      </c>
    </row>
    <row r="10714" spans="1:14">
      <c r="A10714" s="4" t="str">
        <f t="shared" si="947"/>
        <v>EXP00354</v>
      </c>
      <c r="B10714" s="4" t="str">
        <f t="shared" si="948"/>
        <v>26667932</v>
      </c>
      <c r="C10714" s="4" t="str">
        <f t="shared" si="949"/>
        <v>GSE74685</v>
      </c>
      <c r="D10714" s="1" t="s">
        <v>447</v>
      </c>
      <c r="E10714" t="s">
        <v>448</v>
      </c>
      <c r="F10714" s="1">
        <v>1</v>
      </c>
      <c r="G10714" s="1" t="s">
        <v>452</v>
      </c>
      <c r="H10714" s="4" t="str">
        <f>HYPERLINK("https://www.ncbi.nlm.nih.gov/geo/query/acc.cgi?acc=GSM1930132","GSM1930132")</f>
        <v>GSM1930132</v>
      </c>
      <c r="I10714" t="s">
        <v>161</v>
      </c>
      <c r="J10714" t="s">
        <v>193</v>
      </c>
      <c r="K10714" t="s">
        <v>19</v>
      </c>
      <c r="L10714" t="s">
        <v>162</v>
      </c>
      <c r="M10714" t="s">
        <v>24</v>
      </c>
      <c r="N10714" t="s">
        <v>22</v>
      </c>
    </row>
    <row r="10715" spans="1:14">
      <c r="A10715" s="4" t="str">
        <f t="shared" si="947"/>
        <v>EXP00354</v>
      </c>
      <c r="B10715" s="4" t="str">
        <f t="shared" si="948"/>
        <v>26667932</v>
      </c>
      <c r="C10715" s="4" t="str">
        <f t="shared" si="949"/>
        <v>GSE74685</v>
      </c>
      <c r="D10715" s="1" t="s">
        <v>447</v>
      </c>
      <c r="E10715" t="s">
        <v>448</v>
      </c>
      <c r="F10715" s="1">
        <v>1</v>
      </c>
      <c r="G10715" s="1" t="s">
        <v>452</v>
      </c>
      <c r="H10715" s="4" t="str">
        <f>HYPERLINK("https://www.ncbi.nlm.nih.gov/geo/query/acc.cgi?acc=GSM1930139","GSM1930139")</f>
        <v>GSM1930139</v>
      </c>
      <c r="I10715" t="s">
        <v>161</v>
      </c>
      <c r="J10715" t="s">
        <v>193</v>
      </c>
      <c r="K10715" t="s">
        <v>19</v>
      </c>
      <c r="L10715" t="s">
        <v>162</v>
      </c>
      <c r="M10715" t="s">
        <v>24</v>
      </c>
      <c r="N10715" t="s">
        <v>22</v>
      </c>
    </row>
    <row r="10716" spans="1:14">
      <c r="A10716" s="4" t="str">
        <f t="shared" si="947"/>
        <v>EXP00354</v>
      </c>
      <c r="B10716" s="4" t="str">
        <f t="shared" si="948"/>
        <v>26667932</v>
      </c>
      <c r="C10716" s="4" t="str">
        <f t="shared" si="949"/>
        <v>GSE74685</v>
      </c>
      <c r="D10716" s="1" t="s">
        <v>447</v>
      </c>
      <c r="E10716" t="s">
        <v>448</v>
      </c>
      <c r="F10716" s="1">
        <v>1</v>
      </c>
      <c r="G10716" s="1" t="s">
        <v>452</v>
      </c>
      <c r="H10716" s="4" t="str">
        <f>HYPERLINK("https://www.ncbi.nlm.nih.gov/geo/query/acc.cgi?acc=GSM1930146","GSM1930146")</f>
        <v>GSM1930146</v>
      </c>
      <c r="I10716" t="s">
        <v>161</v>
      </c>
      <c r="J10716" t="s">
        <v>193</v>
      </c>
      <c r="K10716" t="s">
        <v>19</v>
      </c>
      <c r="L10716" t="s">
        <v>162</v>
      </c>
      <c r="M10716" t="s">
        <v>24</v>
      </c>
      <c r="N10716" t="s">
        <v>22</v>
      </c>
    </row>
    <row r="10717" spans="1:14">
      <c r="A10717" s="4" t="str">
        <f t="shared" si="947"/>
        <v>EXP00354</v>
      </c>
      <c r="B10717" s="4" t="str">
        <f t="shared" si="948"/>
        <v>26667932</v>
      </c>
      <c r="C10717" s="4" t="str">
        <f t="shared" si="949"/>
        <v>GSE74685</v>
      </c>
      <c r="D10717" s="1" t="s">
        <v>447</v>
      </c>
      <c r="E10717" t="s">
        <v>448</v>
      </c>
      <c r="F10717" s="1">
        <v>1</v>
      </c>
      <c r="G10717" s="1" t="s">
        <v>452</v>
      </c>
      <c r="H10717" s="4" t="str">
        <f>HYPERLINK("https://www.ncbi.nlm.nih.gov/geo/query/acc.cgi?acc=GSM1930147","GSM1930147")</f>
        <v>GSM1930147</v>
      </c>
      <c r="I10717" t="s">
        <v>161</v>
      </c>
      <c r="J10717" t="s">
        <v>193</v>
      </c>
      <c r="K10717" t="s">
        <v>19</v>
      </c>
      <c r="L10717" t="s">
        <v>162</v>
      </c>
      <c r="M10717" t="s">
        <v>24</v>
      </c>
      <c r="N10717" t="s">
        <v>22</v>
      </c>
    </row>
    <row r="10718" spans="1:14">
      <c r="A10718" s="4" t="str">
        <f t="shared" si="947"/>
        <v>EXP00354</v>
      </c>
      <c r="B10718" s="4" t="str">
        <f t="shared" si="948"/>
        <v>26667932</v>
      </c>
      <c r="C10718" s="4" t="str">
        <f t="shared" si="949"/>
        <v>GSE74685</v>
      </c>
      <c r="D10718" s="1" t="s">
        <v>447</v>
      </c>
      <c r="E10718" t="s">
        <v>448</v>
      </c>
      <c r="F10718" s="1">
        <v>1</v>
      </c>
      <c r="G10718" s="1" t="s">
        <v>452</v>
      </c>
      <c r="H10718" s="4" t="str">
        <f>HYPERLINK("https://www.ncbi.nlm.nih.gov/geo/query/acc.cgi?acc=GSM1930148","GSM1930148")</f>
        <v>GSM1930148</v>
      </c>
      <c r="I10718" t="s">
        <v>161</v>
      </c>
      <c r="J10718" t="s">
        <v>193</v>
      </c>
      <c r="K10718" t="s">
        <v>19</v>
      </c>
      <c r="L10718" t="s">
        <v>162</v>
      </c>
      <c r="M10718" t="s">
        <v>24</v>
      </c>
      <c r="N10718" t="s">
        <v>22</v>
      </c>
    </row>
    <row r="10719" spans="1:14">
      <c r="A10719" s="4" t="str">
        <f t="shared" si="947"/>
        <v>EXP00354</v>
      </c>
      <c r="B10719" s="4" t="str">
        <f t="shared" si="948"/>
        <v>26667932</v>
      </c>
      <c r="C10719" s="4" t="str">
        <f t="shared" si="949"/>
        <v>GSE74685</v>
      </c>
      <c r="D10719" s="1" t="s">
        <v>447</v>
      </c>
      <c r="E10719" t="s">
        <v>448</v>
      </c>
      <c r="F10719" s="1">
        <v>1</v>
      </c>
      <c r="G10719" s="1" t="s">
        <v>452</v>
      </c>
      <c r="H10719" s="4" t="str">
        <f>HYPERLINK("https://www.ncbi.nlm.nih.gov/geo/query/acc.cgi?acc=GSM1930149","GSM1930149")</f>
        <v>GSM1930149</v>
      </c>
      <c r="I10719" t="s">
        <v>161</v>
      </c>
      <c r="J10719" t="s">
        <v>193</v>
      </c>
      <c r="K10719" t="s">
        <v>19</v>
      </c>
      <c r="L10719" t="s">
        <v>162</v>
      </c>
      <c r="M10719" t="s">
        <v>24</v>
      </c>
      <c r="N10719" t="s">
        <v>22</v>
      </c>
    </row>
    <row r="10720" spans="1:14">
      <c r="A10720" s="4" t="str">
        <f t="shared" ref="A10720:A10727" si="950">HYPERLINK("http://hcmdb.i-sanger.com/experiment/details/experiment_id/EXP00354","EXP00354")</f>
        <v>EXP00354</v>
      </c>
      <c r="B10720" s="4" t="str">
        <f t="shared" si="948"/>
        <v>26667932</v>
      </c>
      <c r="C10720" s="4" t="str">
        <f t="shared" si="949"/>
        <v>GSE74685</v>
      </c>
      <c r="D10720" s="1" t="s">
        <v>447</v>
      </c>
      <c r="E10720" t="s">
        <v>448</v>
      </c>
      <c r="F10720" s="1">
        <v>1</v>
      </c>
      <c r="G10720" s="1" t="s">
        <v>452</v>
      </c>
      <c r="H10720" s="4" t="str">
        <f>HYPERLINK("https://www.ncbi.nlm.nih.gov/geo/query/acc.cgi?acc=GSM1930152","GSM1930152")</f>
        <v>GSM1930152</v>
      </c>
      <c r="I10720" t="s">
        <v>161</v>
      </c>
      <c r="J10720" t="s">
        <v>193</v>
      </c>
      <c r="K10720" t="s">
        <v>19</v>
      </c>
      <c r="L10720" t="s">
        <v>162</v>
      </c>
      <c r="M10720" t="s">
        <v>24</v>
      </c>
      <c r="N10720" t="s">
        <v>22</v>
      </c>
    </row>
    <row r="10721" spans="1:14">
      <c r="A10721" s="4" t="str">
        <f t="shared" si="950"/>
        <v>EXP00354</v>
      </c>
      <c r="B10721" s="4" t="str">
        <f t="shared" si="948"/>
        <v>26667932</v>
      </c>
      <c r="C10721" s="4" t="str">
        <f t="shared" si="949"/>
        <v>GSE74685</v>
      </c>
      <c r="D10721" s="1" t="s">
        <v>447</v>
      </c>
      <c r="E10721" t="s">
        <v>448</v>
      </c>
      <c r="F10721" s="1">
        <v>1</v>
      </c>
      <c r="G10721" s="1" t="s">
        <v>452</v>
      </c>
      <c r="H10721" s="4" t="str">
        <f>HYPERLINK("https://www.ncbi.nlm.nih.gov/geo/query/acc.cgi?acc=GSM1930156","GSM1930156")</f>
        <v>GSM1930156</v>
      </c>
      <c r="I10721" t="s">
        <v>161</v>
      </c>
      <c r="J10721" t="s">
        <v>193</v>
      </c>
      <c r="K10721" t="s">
        <v>19</v>
      </c>
      <c r="L10721" t="s">
        <v>162</v>
      </c>
      <c r="M10721" t="s">
        <v>24</v>
      </c>
      <c r="N10721" t="s">
        <v>22</v>
      </c>
    </row>
    <row r="10722" spans="1:14">
      <c r="A10722" s="4" t="str">
        <f t="shared" si="950"/>
        <v>EXP00354</v>
      </c>
      <c r="B10722" s="4" t="str">
        <f t="shared" si="948"/>
        <v>26667932</v>
      </c>
      <c r="C10722" s="4" t="str">
        <f t="shared" si="949"/>
        <v>GSE74685</v>
      </c>
      <c r="D10722" s="1" t="s">
        <v>447</v>
      </c>
      <c r="E10722" t="s">
        <v>448</v>
      </c>
      <c r="F10722" s="1">
        <v>1</v>
      </c>
      <c r="G10722" s="1" t="s">
        <v>452</v>
      </c>
      <c r="H10722" s="4" t="str">
        <f>HYPERLINK("https://www.ncbi.nlm.nih.gov/geo/query/acc.cgi?acc=GSM1930157","GSM1930157")</f>
        <v>GSM1930157</v>
      </c>
      <c r="I10722" t="s">
        <v>161</v>
      </c>
      <c r="J10722" t="s">
        <v>193</v>
      </c>
      <c r="K10722" t="s">
        <v>19</v>
      </c>
      <c r="L10722" t="s">
        <v>162</v>
      </c>
      <c r="M10722" t="s">
        <v>24</v>
      </c>
      <c r="N10722" t="s">
        <v>22</v>
      </c>
    </row>
    <row r="10723" spans="1:14">
      <c r="A10723" s="4" t="str">
        <f t="shared" si="950"/>
        <v>EXP00354</v>
      </c>
      <c r="B10723" s="4" t="str">
        <f t="shared" si="948"/>
        <v>26667932</v>
      </c>
      <c r="C10723" s="4" t="str">
        <f t="shared" si="949"/>
        <v>GSE74685</v>
      </c>
      <c r="D10723" s="1" t="s">
        <v>447</v>
      </c>
      <c r="E10723" t="s">
        <v>448</v>
      </c>
      <c r="F10723" s="1">
        <v>1</v>
      </c>
      <c r="G10723" s="1" t="s">
        <v>452</v>
      </c>
      <c r="H10723" s="4" t="str">
        <f>HYPERLINK("https://www.ncbi.nlm.nih.gov/geo/query/acc.cgi?acc=GSM1930158","GSM1930158")</f>
        <v>GSM1930158</v>
      </c>
      <c r="I10723" t="s">
        <v>161</v>
      </c>
      <c r="J10723" t="s">
        <v>193</v>
      </c>
      <c r="K10723" t="s">
        <v>19</v>
      </c>
      <c r="L10723" t="s">
        <v>162</v>
      </c>
      <c r="M10723" t="s">
        <v>24</v>
      </c>
      <c r="N10723" t="s">
        <v>22</v>
      </c>
    </row>
    <row r="10724" spans="1:14">
      <c r="A10724" s="4" t="str">
        <f t="shared" si="950"/>
        <v>EXP00354</v>
      </c>
      <c r="B10724" s="4" t="str">
        <f t="shared" si="948"/>
        <v>26667932</v>
      </c>
      <c r="C10724" s="4" t="str">
        <f t="shared" si="949"/>
        <v>GSE74685</v>
      </c>
      <c r="D10724" s="1" t="s">
        <v>447</v>
      </c>
      <c r="E10724" t="s">
        <v>448</v>
      </c>
      <c r="F10724" s="1">
        <v>1</v>
      </c>
      <c r="G10724" s="1" t="s">
        <v>452</v>
      </c>
      <c r="H10724" s="4" t="str">
        <f>HYPERLINK("https://www.ncbi.nlm.nih.gov/geo/query/acc.cgi?acc=GSM1930159","GSM1930159")</f>
        <v>GSM1930159</v>
      </c>
      <c r="I10724" t="s">
        <v>161</v>
      </c>
      <c r="J10724" t="s">
        <v>193</v>
      </c>
      <c r="K10724" t="s">
        <v>19</v>
      </c>
      <c r="L10724" t="s">
        <v>162</v>
      </c>
      <c r="M10724" t="s">
        <v>24</v>
      </c>
      <c r="N10724" t="s">
        <v>22</v>
      </c>
    </row>
    <row r="10725" spans="1:14">
      <c r="A10725" s="4" t="str">
        <f t="shared" si="950"/>
        <v>EXP00354</v>
      </c>
      <c r="B10725" s="4" t="str">
        <f t="shared" si="948"/>
        <v>26667932</v>
      </c>
      <c r="C10725" s="4" t="str">
        <f t="shared" si="949"/>
        <v>GSE74685</v>
      </c>
      <c r="D10725" s="1" t="s">
        <v>447</v>
      </c>
      <c r="E10725" t="s">
        <v>448</v>
      </c>
      <c r="F10725" s="1">
        <v>2</v>
      </c>
      <c r="G10725" s="1" t="s">
        <v>457</v>
      </c>
      <c r="H10725" s="4" t="str">
        <f>HYPERLINK("https://www.ncbi.nlm.nih.gov/geo/query/acc.cgi?acc=GSM1616658","GSM1616658")</f>
        <v>GSM1616658</v>
      </c>
      <c r="I10725" t="s">
        <v>161</v>
      </c>
      <c r="J10725" t="s">
        <v>193</v>
      </c>
      <c r="K10725" t="s">
        <v>19</v>
      </c>
      <c r="L10725" t="s">
        <v>162</v>
      </c>
      <c r="M10725" t="s">
        <v>292</v>
      </c>
      <c r="N10725" t="s">
        <v>22</v>
      </c>
    </row>
    <row r="10726" spans="1:14">
      <c r="A10726" s="4" t="str">
        <f t="shared" si="950"/>
        <v>EXP00354</v>
      </c>
      <c r="B10726" s="4" t="str">
        <f t="shared" si="948"/>
        <v>26667932</v>
      </c>
      <c r="C10726" s="4" t="str">
        <f t="shared" si="949"/>
        <v>GSE74685</v>
      </c>
      <c r="D10726" s="1" t="s">
        <v>447</v>
      </c>
      <c r="E10726" t="s">
        <v>448</v>
      </c>
      <c r="F10726" s="1">
        <v>2</v>
      </c>
      <c r="G10726" s="1" t="s">
        <v>457</v>
      </c>
      <c r="H10726" s="4" t="str">
        <f>HYPERLINK("https://www.ncbi.nlm.nih.gov/geo/query/acc.cgi?acc=GSM1918980","GSM1918980")</f>
        <v>GSM1918980</v>
      </c>
      <c r="I10726" t="s">
        <v>161</v>
      </c>
      <c r="J10726" t="s">
        <v>193</v>
      </c>
      <c r="K10726" t="s">
        <v>19</v>
      </c>
      <c r="L10726" t="s">
        <v>162</v>
      </c>
      <c r="M10726" t="s">
        <v>292</v>
      </c>
      <c r="N10726" t="s">
        <v>22</v>
      </c>
    </row>
    <row r="10727" spans="1:14">
      <c r="A10727" s="4" t="str">
        <f t="shared" si="950"/>
        <v>EXP00354</v>
      </c>
      <c r="B10727" s="4" t="str">
        <f t="shared" si="948"/>
        <v>26667932</v>
      </c>
      <c r="C10727" s="4" t="str">
        <f t="shared" si="949"/>
        <v>GSE74685</v>
      </c>
      <c r="D10727" s="1" t="s">
        <v>447</v>
      </c>
      <c r="E10727" t="s">
        <v>448</v>
      </c>
      <c r="F10727" s="1">
        <v>2</v>
      </c>
      <c r="G10727" s="1" t="s">
        <v>457</v>
      </c>
      <c r="H10727" s="4" t="str">
        <f>HYPERLINK("https://www.ncbi.nlm.nih.gov/geo/query/acc.cgi?acc=GSM1930093","GSM1930093")</f>
        <v>GSM1930093</v>
      </c>
      <c r="I10727" t="s">
        <v>161</v>
      </c>
      <c r="J10727" t="s">
        <v>193</v>
      </c>
      <c r="K10727" t="s">
        <v>19</v>
      </c>
      <c r="L10727" t="s">
        <v>162</v>
      </c>
      <c r="M10727" t="s">
        <v>292</v>
      </c>
      <c r="N10727" t="s">
        <v>22</v>
      </c>
    </row>
    <row r="10728" spans="1:14">
      <c r="A10728" s="4" t="str">
        <f t="shared" ref="A10728:A10759" si="951">HYPERLINK("http://hcmdb.i-sanger.com/experiment/details/experiment_id/EXP00355","EXP00355")</f>
        <v>EXP00355</v>
      </c>
      <c r="B10728" s="4" t="str">
        <f t="shared" si="948"/>
        <v>26667932</v>
      </c>
      <c r="C10728" s="4" t="str">
        <f t="shared" si="949"/>
        <v>GSE74685</v>
      </c>
      <c r="D10728" s="1" t="s">
        <v>447</v>
      </c>
      <c r="E10728" t="s">
        <v>448</v>
      </c>
      <c r="F10728" s="1">
        <v>1</v>
      </c>
      <c r="G10728" s="1" t="s">
        <v>452</v>
      </c>
      <c r="H10728" s="4" t="str">
        <f>HYPERLINK("https://www.ncbi.nlm.nih.gov/geo/query/acc.cgi?acc=GSM1616615","GSM1616615")</f>
        <v>GSM1616615</v>
      </c>
      <c r="I10728" t="s">
        <v>161</v>
      </c>
      <c r="J10728" t="s">
        <v>193</v>
      </c>
      <c r="K10728" t="s">
        <v>19</v>
      </c>
      <c r="L10728" t="s">
        <v>162</v>
      </c>
      <c r="M10728" t="s">
        <v>24</v>
      </c>
      <c r="N10728" t="s">
        <v>22</v>
      </c>
    </row>
    <row r="10729" spans="1:14">
      <c r="A10729" s="4" t="str">
        <f t="shared" si="951"/>
        <v>EXP00355</v>
      </c>
      <c r="B10729" s="4" t="str">
        <f t="shared" si="948"/>
        <v>26667932</v>
      </c>
      <c r="C10729" s="4" t="str">
        <f t="shared" si="949"/>
        <v>GSE74685</v>
      </c>
      <c r="D10729" s="1" t="s">
        <v>447</v>
      </c>
      <c r="E10729" t="s">
        <v>448</v>
      </c>
      <c r="F10729" s="1">
        <v>1</v>
      </c>
      <c r="G10729" s="1" t="s">
        <v>452</v>
      </c>
      <c r="H10729" s="4" t="str">
        <f>HYPERLINK("https://www.ncbi.nlm.nih.gov/geo/query/acc.cgi?acc=GSM1616616","GSM1616616")</f>
        <v>GSM1616616</v>
      </c>
      <c r="I10729" t="s">
        <v>161</v>
      </c>
      <c r="J10729" t="s">
        <v>193</v>
      </c>
      <c r="K10729" t="s">
        <v>19</v>
      </c>
      <c r="L10729" t="s">
        <v>162</v>
      </c>
      <c r="M10729" t="s">
        <v>24</v>
      </c>
      <c r="N10729" t="s">
        <v>22</v>
      </c>
    </row>
    <row r="10730" spans="1:14">
      <c r="A10730" s="4" t="str">
        <f t="shared" si="951"/>
        <v>EXP00355</v>
      </c>
      <c r="B10730" s="4" t="str">
        <f t="shared" si="948"/>
        <v>26667932</v>
      </c>
      <c r="C10730" s="4" t="str">
        <f t="shared" si="949"/>
        <v>GSE74685</v>
      </c>
      <c r="D10730" s="1" t="s">
        <v>447</v>
      </c>
      <c r="E10730" t="s">
        <v>448</v>
      </c>
      <c r="F10730" s="1">
        <v>1</v>
      </c>
      <c r="G10730" s="1" t="s">
        <v>452</v>
      </c>
      <c r="H10730" s="4" t="str">
        <f>HYPERLINK("https://www.ncbi.nlm.nih.gov/geo/query/acc.cgi?acc=GSM1616619","GSM1616619")</f>
        <v>GSM1616619</v>
      </c>
      <c r="I10730" t="s">
        <v>161</v>
      </c>
      <c r="J10730" t="s">
        <v>193</v>
      </c>
      <c r="K10730" t="s">
        <v>19</v>
      </c>
      <c r="L10730" t="s">
        <v>162</v>
      </c>
      <c r="M10730" t="s">
        <v>24</v>
      </c>
      <c r="N10730" t="s">
        <v>22</v>
      </c>
    </row>
    <row r="10731" spans="1:14">
      <c r="A10731" s="4" t="str">
        <f t="shared" si="951"/>
        <v>EXP00355</v>
      </c>
      <c r="B10731" s="4" t="str">
        <f t="shared" si="948"/>
        <v>26667932</v>
      </c>
      <c r="C10731" s="4" t="str">
        <f t="shared" si="949"/>
        <v>GSE74685</v>
      </c>
      <c r="D10731" s="1" t="s">
        <v>447</v>
      </c>
      <c r="E10731" t="s">
        <v>448</v>
      </c>
      <c r="F10731" s="1">
        <v>1</v>
      </c>
      <c r="G10731" s="1" t="s">
        <v>452</v>
      </c>
      <c r="H10731" s="4" t="str">
        <f>HYPERLINK("https://www.ncbi.nlm.nih.gov/geo/query/acc.cgi?acc=GSM1616620","GSM1616620")</f>
        <v>GSM1616620</v>
      </c>
      <c r="I10731" t="s">
        <v>161</v>
      </c>
      <c r="J10731" t="s">
        <v>193</v>
      </c>
      <c r="K10731" t="s">
        <v>19</v>
      </c>
      <c r="L10731" t="s">
        <v>162</v>
      </c>
      <c r="M10731" t="s">
        <v>24</v>
      </c>
      <c r="N10731" t="s">
        <v>22</v>
      </c>
    </row>
    <row r="10732" spans="1:14">
      <c r="A10732" s="4" t="str">
        <f t="shared" si="951"/>
        <v>EXP00355</v>
      </c>
      <c r="B10732" s="4" t="str">
        <f t="shared" si="948"/>
        <v>26667932</v>
      </c>
      <c r="C10732" s="4" t="str">
        <f t="shared" si="949"/>
        <v>GSE74685</v>
      </c>
      <c r="D10732" s="1" t="s">
        <v>447</v>
      </c>
      <c r="E10732" t="s">
        <v>448</v>
      </c>
      <c r="F10732" s="1">
        <v>1</v>
      </c>
      <c r="G10732" s="1" t="s">
        <v>452</v>
      </c>
      <c r="H10732" s="4" t="str">
        <f>HYPERLINK("https://www.ncbi.nlm.nih.gov/geo/query/acc.cgi?acc=GSM1616622","GSM1616622")</f>
        <v>GSM1616622</v>
      </c>
      <c r="I10732" t="s">
        <v>161</v>
      </c>
      <c r="J10732" t="s">
        <v>193</v>
      </c>
      <c r="K10732" t="s">
        <v>19</v>
      </c>
      <c r="L10732" t="s">
        <v>162</v>
      </c>
      <c r="M10732" t="s">
        <v>24</v>
      </c>
      <c r="N10732" t="s">
        <v>22</v>
      </c>
    </row>
    <row r="10733" spans="1:14">
      <c r="A10733" s="4" t="str">
        <f t="shared" si="951"/>
        <v>EXP00355</v>
      </c>
      <c r="B10733" s="4" t="str">
        <f t="shared" si="948"/>
        <v>26667932</v>
      </c>
      <c r="C10733" s="4" t="str">
        <f t="shared" si="949"/>
        <v>GSE74685</v>
      </c>
      <c r="D10733" s="1" t="s">
        <v>447</v>
      </c>
      <c r="E10733" t="s">
        <v>448</v>
      </c>
      <c r="F10733" s="1">
        <v>1</v>
      </c>
      <c r="G10733" s="1" t="s">
        <v>452</v>
      </c>
      <c r="H10733" s="4" t="str">
        <f>HYPERLINK("https://www.ncbi.nlm.nih.gov/geo/query/acc.cgi?acc=GSM1616624","GSM1616624")</f>
        <v>GSM1616624</v>
      </c>
      <c r="I10733" t="s">
        <v>161</v>
      </c>
      <c r="J10733" t="s">
        <v>193</v>
      </c>
      <c r="K10733" t="s">
        <v>19</v>
      </c>
      <c r="L10733" t="s">
        <v>162</v>
      </c>
      <c r="M10733" t="s">
        <v>24</v>
      </c>
      <c r="N10733" t="s">
        <v>22</v>
      </c>
    </row>
    <row r="10734" spans="1:14">
      <c r="A10734" s="4" t="str">
        <f t="shared" si="951"/>
        <v>EXP00355</v>
      </c>
      <c r="B10734" s="4" t="str">
        <f t="shared" si="948"/>
        <v>26667932</v>
      </c>
      <c r="C10734" s="4" t="str">
        <f t="shared" si="949"/>
        <v>GSE74685</v>
      </c>
      <c r="D10734" s="1" t="s">
        <v>447</v>
      </c>
      <c r="E10734" t="s">
        <v>448</v>
      </c>
      <c r="F10734" s="1">
        <v>1</v>
      </c>
      <c r="G10734" s="1" t="s">
        <v>452</v>
      </c>
      <c r="H10734" s="4" t="str">
        <f>HYPERLINK("https://www.ncbi.nlm.nih.gov/geo/query/acc.cgi?acc=GSM1616626","GSM1616626")</f>
        <v>GSM1616626</v>
      </c>
      <c r="I10734" t="s">
        <v>161</v>
      </c>
      <c r="J10734" t="s">
        <v>193</v>
      </c>
      <c r="K10734" t="s">
        <v>19</v>
      </c>
      <c r="L10734" t="s">
        <v>162</v>
      </c>
      <c r="M10734" t="s">
        <v>24</v>
      </c>
      <c r="N10734" t="s">
        <v>22</v>
      </c>
    </row>
    <row r="10735" spans="1:14">
      <c r="A10735" s="4" t="str">
        <f t="shared" si="951"/>
        <v>EXP00355</v>
      </c>
      <c r="B10735" s="4" t="str">
        <f t="shared" si="948"/>
        <v>26667932</v>
      </c>
      <c r="C10735" s="4" t="str">
        <f t="shared" si="949"/>
        <v>GSE74685</v>
      </c>
      <c r="D10735" s="1" t="s">
        <v>447</v>
      </c>
      <c r="E10735" t="s">
        <v>448</v>
      </c>
      <c r="F10735" s="1">
        <v>1</v>
      </c>
      <c r="G10735" s="1" t="s">
        <v>452</v>
      </c>
      <c r="H10735" s="4" t="str">
        <f>HYPERLINK("https://www.ncbi.nlm.nih.gov/geo/query/acc.cgi?acc=GSM1616633","GSM1616633")</f>
        <v>GSM1616633</v>
      </c>
      <c r="I10735" t="s">
        <v>161</v>
      </c>
      <c r="J10735" t="s">
        <v>193</v>
      </c>
      <c r="K10735" t="s">
        <v>19</v>
      </c>
      <c r="L10735" t="s">
        <v>162</v>
      </c>
      <c r="M10735" t="s">
        <v>24</v>
      </c>
      <c r="N10735" t="s">
        <v>22</v>
      </c>
    </row>
    <row r="10736" spans="1:14">
      <c r="A10736" s="4" t="str">
        <f t="shared" si="951"/>
        <v>EXP00355</v>
      </c>
      <c r="B10736" s="4" t="str">
        <f t="shared" si="948"/>
        <v>26667932</v>
      </c>
      <c r="C10736" s="4" t="str">
        <f t="shared" si="949"/>
        <v>GSE74685</v>
      </c>
      <c r="D10736" s="1" t="s">
        <v>447</v>
      </c>
      <c r="E10736" t="s">
        <v>448</v>
      </c>
      <c r="F10736" s="1">
        <v>1</v>
      </c>
      <c r="G10736" s="1" t="s">
        <v>452</v>
      </c>
      <c r="H10736" s="4" t="str">
        <f>HYPERLINK("https://www.ncbi.nlm.nih.gov/geo/query/acc.cgi?acc=GSM1616634","GSM1616634")</f>
        <v>GSM1616634</v>
      </c>
      <c r="I10736" t="s">
        <v>161</v>
      </c>
      <c r="J10736" t="s">
        <v>193</v>
      </c>
      <c r="K10736" t="s">
        <v>19</v>
      </c>
      <c r="L10736" t="s">
        <v>162</v>
      </c>
      <c r="M10736" t="s">
        <v>24</v>
      </c>
      <c r="N10736" t="s">
        <v>22</v>
      </c>
    </row>
    <row r="10737" spans="1:14">
      <c r="A10737" s="4" t="str">
        <f t="shared" si="951"/>
        <v>EXP00355</v>
      </c>
      <c r="B10737" s="4" t="str">
        <f t="shared" si="948"/>
        <v>26667932</v>
      </c>
      <c r="C10737" s="4" t="str">
        <f t="shared" si="949"/>
        <v>GSE74685</v>
      </c>
      <c r="D10737" s="1" t="s">
        <v>447</v>
      </c>
      <c r="E10737" t="s">
        <v>448</v>
      </c>
      <c r="F10737" s="1">
        <v>1</v>
      </c>
      <c r="G10737" s="1" t="s">
        <v>452</v>
      </c>
      <c r="H10737" s="4" t="str">
        <f>HYPERLINK("https://www.ncbi.nlm.nih.gov/geo/query/acc.cgi?acc=GSM1616635","GSM1616635")</f>
        <v>GSM1616635</v>
      </c>
      <c r="I10737" t="s">
        <v>161</v>
      </c>
      <c r="J10737" t="s">
        <v>193</v>
      </c>
      <c r="K10737" t="s">
        <v>19</v>
      </c>
      <c r="L10737" t="s">
        <v>162</v>
      </c>
      <c r="M10737" t="s">
        <v>24</v>
      </c>
      <c r="N10737" t="s">
        <v>22</v>
      </c>
    </row>
    <row r="10738" spans="1:14">
      <c r="A10738" s="4" t="str">
        <f t="shared" si="951"/>
        <v>EXP00355</v>
      </c>
      <c r="B10738" s="4" t="str">
        <f t="shared" si="948"/>
        <v>26667932</v>
      </c>
      <c r="C10738" s="4" t="str">
        <f t="shared" si="949"/>
        <v>GSE74685</v>
      </c>
      <c r="D10738" s="1" t="s">
        <v>447</v>
      </c>
      <c r="E10738" t="s">
        <v>448</v>
      </c>
      <c r="F10738" s="1">
        <v>1</v>
      </c>
      <c r="G10738" s="1" t="s">
        <v>452</v>
      </c>
      <c r="H10738" s="4" t="str">
        <f>HYPERLINK("https://www.ncbi.nlm.nih.gov/geo/query/acc.cgi?acc=GSM1616636","GSM1616636")</f>
        <v>GSM1616636</v>
      </c>
      <c r="I10738" t="s">
        <v>161</v>
      </c>
      <c r="J10738" t="s">
        <v>193</v>
      </c>
      <c r="K10738" t="s">
        <v>19</v>
      </c>
      <c r="L10738" t="s">
        <v>162</v>
      </c>
      <c r="M10738" t="s">
        <v>24</v>
      </c>
      <c r="N10738" t="s">
        <v>22</v>
      </c>
    </row>
    <row r="10739" spans="1:14">
      <c r="A10739" s="4" t="str">
        <f t="shared" si="951"/>
        <v>EXP00355</v>
      </c>
      <c r="B10739" s="4" t="str">
        <f t="shared" si="948"/>
        <v>26667932</v>
      </c>
      <c r="C10739" s="4" t="str">
        <f t="shared" si="949"/>
        <v>GSE74685</v>
      </c>
      <c r="D10739" s="1" t="s">
        <v>447</v>
      </c>
      <c r="E10739" t="s">
        <v>448</v>
      </c>
      <c r="F10739" s="1">
        <v>1</v>
      </c>
      <c r="G10739" s="1" t="s">
        <v>452</v>
      </c>
      <c r="H10739" s="4" t="str">
        <f>HYPERLINK("https://www.ncbi.nlm.nih.gov/geo/query/acc.cgi?acc=GSM1616639","GSM1616639")</f>
        <v>GSM1616639</v>
      </c>
      <c r="I10739" t="s">
        <v>161</v>
      </c>
      <c r="J10739" t="s">
        <v>193</v>
      </c>
      <c r="K10739" t="s">
        <v>19</v>
      </c>
      <c r="L10739" t="s">
        <v>162</v>
      </c>
      <c r="M10739" t="s">
        <v>24</v>
      </c>
      <c r="N10739" t="s">
        <v>22</v>
      </c>
    </row>
    <row r="10740" spans="1:14">
      <c r="A10740" s="4" t="str">
        <f t="shared" si="951"/>
        <v>EXP00355</v>
      </c>
      <c r="B10740" s="4" t="str">
        <f t="shared" si="948"/>
        <v>26667932</v>
      </c>
      <c r="C10740" s="4" t="str">
        <f t="shared" si="949"/>
        <v>GSE74685</v>
      </c>
      <c r="D10740" s="1" t="s">
        <v>447</v>
      </c>
      <c r="E10740" t="s">
        <v>448</v>
      </c>
      <c r="F10740" s="1">
        <v>1</v>
      </c>
      <c r="G10740" s="1" t="s">
        <v>452</v>
      </c>
      <c r="H10740" s="4" t="str">
        <f>HYPERLINK("https://www.ncbi.nlm.nih.gov/geo/query/acc.cgi?acc=GSM1616642","GSM1616642")</f>
        <v>GSM1616642</v>
      </c>
      <c r="I10740" t="s">
        <v>161</v>
      </c>
      <c r="J10740" t="s">
        <v>193</v>
      </c>
      <c r="K10740" t="s">
        <v>19</v>
      </c>
      <c r="L10740" t="s">
        <v>162</v>
      </c>
      <c r="M10740" t="s">
        <v>24</v>
      </c>
      <c r="N10740" t="s">
        <v>22</v>
      </c>
    </row>
    <row r="10741" spans="1:14">
      <c r="A10741" s="4" t="str">
        <f t="shared" si="951"/>
        <v>EXP00355</v>
      </c>
      <c r="B10741" s="4" t="str">
        <f t="shared" si="948"/>
        <v>26667932</v>
      </c>
      <c r="C10741" s="4" t="str">
        <f t="shared" si="949"/>
        <v>GSE74685</v>
      </c>
      <c r="D10741" s="1" t="s">
        <v>447</v>
      </c>
      <c r="E10741" t="s">
        <v>448</v>
      </c>
      <c r="F10741" s="1">
        <v>1</v>
      </c>
      <c r="G10741" s="1" t="s">
        <v>452</v>
      </c>
      <c r="H10741" s="4" t="str">
        <f>HYPERLINK("https://www.ncbi.nlm.nih.gov/geo/query/acc.cgi?acc=GSM1616644","GSM1616644")</f>
        <v>GSM1616644</v>
      </c>
      <c r="I10741" t="s">
        <v>161</v>
      </c>
      <c r="J10741" t="s">
        <v>193</v>
      </c>
      <c r="K10741" t="s">
        <v>19</v>
      </c>
      <c r="L10741" t="s">
        <v>162</v>
      </c>
      <c r="M10741" t="s">
        <v>24</v>
      </c>
      <c r="N10741" t="s">
        <v>22</v>
      </c>
    </row>
    <row r="10742" spans="1:14">
      <c r="A10742" s="4" t="str">
        <f t="shared" si="951"/>
        <v>EXP00355</v>
      </c>
      <c r="B10742" s="4" t="str">
        <f t="shared" si="948"/>
        <v>26667932</v>
      </c>
      <c r="C10742" s="4" t="str">
        <f t="shared" si="949"/>
        <v>GSE74685</v>
      </c>
      <c r="D10742" s="1" t="s">
        <v>447</v>
      </c>
      <c r="E10742" t="s">
        <v>448</v>
      </c>
      <c r="F10742" s="1">
        <v>1</v>
      </c>
      <c r="G10742" s="1" t="s">
        <v>452</v>
      </c>
      <c r="H10742" s="4" t="str">
        <f>HYPERLINK("https://www.ncbi.nlm.nih.gov/geo/query/acc.cgi?acc=GSM1616645","GSM1616645")</f>
        <v>GSM1616645</v>
      </c>
      <c r="I10742" t="s">
        <v>161</v>
      </c>
      <c r="J10742" t="s">
        <v>193</v>
      </c>
      <c r="K10742" t="s">
        <v>19</v>
      </c>
      <c r="L10742" t="s">
        <v>162</v>
      </c>
      <c r="M10742" t="s">
        <v>24</v>
      </c>
      <c r="N10742" t="s">
        <v>22</v>
      </c>
    </row>
    <row r="10743" spans="1:14">
      <c r="A10743" s="4" t="str">
        <f t="shared" si="951"/>
        <v>EXP00355</v>
      </c>
      <c r="B10743" s="4" t="str">
        <f t="shared" si="948"/>
        <v>26667932</v>
      </c>
      <c r="C10743" s="4" t="str">
        <f t="shared" si="949"/>
        <v>GSE74685</v>
      </c>
      <c r="D10743" s="1" t="s">
        <v>447</v>
      </c>
      <c r="E10743" t="s">
        <v>448</v>
      </c>
      <c r="F10743" s="1">
        <v>1</v>
      </c>
      <c r="G10743" s="1" t="s">
        <v>452</v>
      </c>
      <c r="H10743" s="4" t="str">
        <f>HYPERLINK("https://www.ncbi.nlm.nih.gov/geo/query/acc.cgi?acc=GSM1616649","GSM1616649")</f>
        <v>GSM1616649</v>
      </c>
      <c r="I10743" t="s">
        <v>161</v>
      </c>
      <c r="J10743" t="s">
        <v>193</v>
      </c>
      <c r="K10743" t="s">
        <v>19</v>
      </c>
      <c r="L10743" t="s">
        <v>162</v>
      </c>
      <c r="M10743" t="s">
        <v>24</v>
      </c>
      <c r="N10743" t="s">
        <v>22</v>
      </c>
    </row>
    <row r="10744" spans="1:14">
      <c r="A10744" s="4" t="str">
        <f t="shared" si="951"/>
        <v>EXP00355</v>
      </c>
      <c r="B10744" s="4" t="str">
        <f t="shared" si="948"/>
        <v>26667932</v>
      </c>
      <c r="C10744" s="4" t="str">
        <f t="shared" si="949"/>
        <v>GSE74685</v>
      </c>
      <c r="D10744" s="1" t="s">
        <v>447</v>
      </c>
      <c r="E10744" t="s">
        <v>448</v>
      </c>
      <c r="F10744" s="1">
        <v>1</v>
      </c>
      <c r="G10744" s="1" t="s">
        <v>452</v>
      </c>
      <c r="H10744" s="4" t="str">
        <f>HYPERLINK("https://www.ncbi.nlm.nih.gov/geo/query/acc.cgi?acc=GSM1616653","GSM1616653")</f>
        <v>GSM1616653</v>
      </c>
      <c r="I10744" t="s">
        <v>161</v>
      </c>
      <c r="J10744" t="s">
        <v>193</v>
      </c>
      <c r="K10744" t="s">
        <v>19</v>
      </c>
      <c r="L10744" t="s">
        <v>162</v>
      </c>
      <c r="M10744" t="s">
        <v>24</v>
      </c>
      <c r="N10744" t="s">
        <v>22</v>
      </c>
    </row>
    <row r="10745" spans="1:14">
      <c r="A10745" s="4" t="str">
        <f t="shared" si="951"/>
        <v>EXP00355</v>
      </c>
      <c r="B10745" s="4" t="str">
        <f t="shared" si="948"/>
        <v>26667932</v>
      </c>
      <c r="C10745" s="4" t="str">
        <f t="shared" si="949"/>
        <v>GSE74685</v>
      </c>
      <c r="D10745" s="1" t="s">
        <v>447</v>
      </c>
      <c r="E10745" t="s">
        <v>448</v>
      </c>
      <c r="F10745" s="1">
        <v>1</v>
      </c>
      <c r="G10745" s="1" t="s">
        <v>452</v>
      </c>
      <c r="H10745" s="4" t="str">
        <f>HYPERLINK("https://www.ncbi.nlm.nih.gov/geo/query/acc.cgi?acc=GSM1616659","GSM1616659")</f>
        <v>GSM1616659</v>
      </c>
      <c r="I10745" t="s">
        <v>161</v>
      </c>
      <c r="J10745" t="s">
        <v>193</v>
      </c>
      <c r="K10745" t="s">
        <v>19</v>
      </c>
      <c r="L10745" t="s">
        <v>162</v>
      </c>
      <c r="M10745" t="s">
        <v>24</v>
      </c>
      <c r="N10745" t="s">
        <v>22</v>
      </c>
    </row>
    <row r="10746" spans="1:14">
      <c r="A10746" s="4" t="str">
        <f t="shared" si="951"/>
        <v>EXP00355</v>
      </c>
      <c r="B10746" s="4" t="str">
        <f t="shared" si="948"/>
        <v>26667932</v>
      </c>
      <c r="C10746" s="4" t="str">
        <f t="shared" si="949"/>
        <v>GSE74685</v>
      </c>
      <c r="D10746" s="1" t="s">
        <v>447</v>
      </c>
      <c r="E10746" t="s">
        <v>448</v>
      </c>
      <c r="F10746" s="1">
        <v>1</v>
      </c>
      <c r="G10746" s="1" t="s">
        <v>452</v>
      </c>
      <c r="H10746" s="4" t="str">
        <f>HYPERLINK("https://www.ncbi.nlm.nih.gov/geo/query/acc.cgi?acc=GSM1616661","GSM1616661")</f>
        <v>GSM1616661</v>
      </c>
      <c r="I10746" t="s">
        <v>161</v>
      </c>
      <c r="J10746" t="s">
        <v>193</v>
      </c>
      <c r="K10746" t="s">
        <v>19</v>
      </c>
      <c r="L10746" t="s">
        <v>162</v>
      </c>
      <c r="M10746" t="s">
        <v>24</v>
      </c>
      <c r="N10746" t="s">
        <v>22</v>
      </c>
    </row>
    <row r="10747" spans="1:14">
      <c r="A10747" s="4" t="str">
        <f t="shared" si="951"/>
        <v>EXP00355</v>
      </c>
      <c r="B10747" s="4" t="str">
        <f t="shared" si="948"/>
        <v>26667932</v>
      </c>
      <c r="C10747" s="4" t="str">
        <f t="shared" si="949"/>
        <v>GSE74685</v>
      </c>
      <c r="D10747" s="1" t="s">
        <v>447</v>
      </c>
      <c r="E10747" t="s">
        <v>448</v>
      </c>
      <c r="F10747" s="1">
        <v>1</v>
      </c>
      <c r="G10747" s="1" t="s">
        <v>452</v>
      </c>
      <c r="H10747" s="4" t="str">
        <f>HYPERLINK("https://www.ncbi.nlm.nih.gov/geo/query/acc.cgi?acc=GSM1616662","GSM1616662")</f>
        <v>GSM1616662</v>
      </c>
      <c r="I10747" t="s">
        <v>161</v>
      </c>
      <c r="J10747" t="s">
        <v>193</v>
      </c>
      <c r="K10747" t="s">
        <v>19</v>
      </c>
      <c r="L10747" t="s">
        <v>162</v>
      </c>
      <c r="M10747" t="s">
        <v>24</v>
      </c>
      <c r="N10747" t="s">
        <v>22</v>
      </c>
    </row>
    <row r="10748" spans="1:14">
      <c r="A10748" s="4" t="str">
        <f t="shared" si="951"/>
        <v>EXP00355</v>
      </c>
      <c r="B10748" s="4" t="str">
        <f t="shared" si="948"/>
        <v>26667932</v>
      </c>
      <c r="C10748" s="4" t="str">
        <f t="shared" si="949"/>
        <v>GSE74685</v>
      </c>
      <c r="D10748" s="1" t="s">
        <v>447</v>
      </c>
      <c r="E10748" t="s">
        <v>448</v>
      </c>
      <c r="F10748" s="1">
        <v>1</v>
      </c>
      <c r="G10748" s="1" t="s">
        <v>452</v>
      </c>
      <c r="H10748" s="4" t="str">
        <f>HYPERLINK("https://www.ncbi.nlm.nih.gov/geo/query/acc.cgi?acc=GSM1616664","GSM1616664")</f>
        <v>GSM1616664</v>
      </c>
      <c r="I10748" t="s">
        <v>161</v>
      </c>
      <c r="J10748" t="s">
        <v>193</v>
      </c>
      <c r="K10748" t="s">
        <v>19</v>
      </c>
      <c r="L10748" t="s">
        <v>162</v>
      </c>
      <c r="M10748" t="s">
        <v>24</v>
      </c>
      <c r="N10748" t="s">
        <v>22</v>
      </c>
    </row>
    <row r="10749" spans="1:14">
      <c r="A10749" s="4" t="str">
        <f t="shared" si="951"/>
        <v>EXP00355</v>
      </c>
      <c r="B10749" s="4" t="str">
        <f t="shared" si="948"/>
        <v>26667932</v>
      </c>
      <c r="C10749" s="4" t="str">
        <f t="shared" si="949"/>
        <v>GSE74685</v>
      </c>
      <c r="D10749" s="1" t="s">
        <v>447</v>
      </c>
      <c r="E10749" t="s">
        <v>448</v>
      </c>
      <c r="F10749" s="1">
        <v>1</v>
      </c>
      <c r="G10749" s="1" t="s">
        <v>452</v>
      </c>
      <c r="H10749" s="4" t="str">
        <f>HYPERLINK("https://www.ncbi.nlm.nih.gov/geo/query/acc.cgi?acc=GSM1616669","GSM1616669")</f>
        <v>GSM1616669</v>
      </c>
      <c r="I10749" t="s">
        <v>161</v>
      </c>
      <c r="J10749" t="s">
        <v>193</v>
      </c>
      <c r="K10749" t="s">
        <v>19</v>
      </c>
      <c r="L10749" t="s">
        <v>162</v>
      </c>
      <c r="M10749" t="s">
        <v>24</v>
      </c>
      <c r="N10749" t="s">
        <v>22</v>
      </c>
    </row>
    <row r="10750" spans="1:14">
      <c r="A10750" s="4" t="str">
        <f t="shared" si="951"/>
        <v>EXP00355</v>
      </c>
      <c r="B10750" s="4" t="str">
        <f t="shared" si="948"/>
        <v>26667932</v>
      </c>
      <c r="C10750" s="4" t="str">
        <f t="shared" si="949"/>
        <v>GSE74685</v>
      </c>
      <c r="D10750" s="1" t="s">
        <v>447</v>
      </c>
      <c r="E10750" t="s">
        <v>448</v>
      </c>
      <c r="F10750" s="1">
        <v>1</v>
      </c>
      <c r="G10750" s="1" t="s">
        <v>452</v>
      </c>
      <c r="H10750" s="4" t="str">
        <f>HYPERLINK("https://www.ncbi.nlm.nih.gov/geo/query/acc.cgi?acc=GSM1616670","GSM1616670")</f>
        <v>GSM1616670</v>
      </c>
      <c r="I10750" t="s">
        <v>161</v>
      </c>
      <c r="J10750" t="s">
        <v>193</v>
      </c>
      <c r="K10750" t="s">
        <v>19</v>
      </c>
      <c r="L10750" t="s">
        <v>162</v>
      </c>
      <c r="M10750" t="s">
        <v>24</v>
      </c>
      <c r="N10750" t="s">
        <v>22</v>
      </c>
    </row>
    <row r="10751" spans="1:14">
      <c r="A10751" s="4" t="str">
        <f t="shared" si="951"/>
        <v>EXP00355</v>
      </c>
      <c r="B10751" s="4" t="str">
        <f t="shared" si="948"/>
        <v>26667932</v>
      </c>
      <c r="C10751" s="4" t="str">
        <f t="shared" si="949"/>
        <v>GSE74685</v>
      </c>
      <c r="D10751" s="1" t="s">
        <v>447</v>
      </c>
      <c r="E10751" t="s">
        <v>448</v>
      </c>
      <c r="F10751" s="1">
        <v>1</v>
      </c>
      <c r="G10751" s="1" t="s">
        <v>452</v>
      </c>
      <c r="H10751" s="4" t="str">
        <f>HYPERLINK("https://www.ncbi.nlm.nih.gov/geo/query/acc.cgi?acc=GSM1616672","GSM1616672")</f>
        <v>GSM1616672</v>
      </c>
      <c r="I10751" t="s">
        <v>161</v>
      </c>
      <c r="J10751" t="s">
        <v>193</v>
      </c>
      <c r="K10751" t="s">
        <v>19</v>
      </c>
      <c r="L10751" t="s">
        <v>162</v>
      </c>
      <c r="M10751" t="s">
        <v>24</v>
      </c>
      <c r="N10751" t="s">
        <v>22</v>
      </c>
    </row>
    <row r="10752" spans="1:14">
      <c r="A10752" s="4" t="str">
        <f t="shared" si="951"/>
        <v>EXP00355</v>
      </c>
      <c r="B10752" s="4" t="str">
        <f t="shared" si="948"/>
        <v>26667932</v>
      </c>
      <c r="C10752" s="4" t="str">
        <f t="shared" si="949"/>
        <v>GSE74685</v>
      </c>
      <c r="D10752" s="1" t="s">
        <v>447</v>
      </c>
      <c r="E10752" t="s">
        <v>448</v>
      </c>
      <c r="F10752" s="1">
        <v>1</v>
      </c>
      <c r="G10752" s="1" t="s">
        <v>452</v>
      </c>
      <c r="H10752" s="4" t="str">
        <f>HYPERLINK("https://www.ncbi.nlm.nih.gov/geo/query/acc.cgi?acc=GSM1616676","GSM1616676")</f>
        <v>GSM1616676</v>
      </c>
      <c r="I10752" t="s">
        <v>161</v>
      </c>
      <c r="J10752" t="s">
        <v>193</v>
      </c>
      <c r="K10752" t="s">
        <v>19</v>
      </c>
      <c r="L10752" t="s">
        <v>162</v>
      </c>
      <c r="M10752" t="s">
        <v>24</v>
      </c>
      <c r="N10752" t="s">
        <v>22</v>
      </c>
    </row>
    <row r="10753" spans="1:14">
      <c r="A10753" s="4" t="str">
        <f t="shared" si="951"/>
        <v>EXP00355</v>
      </c>
      <c r="B10753" s="4" t="str">
        <f t="shared" ref="B10753:B10807" si="952">HYPERLINK("https://www.ncbi.nlm.nih.gov/pubmed/26667932","26667932")</f>
        <v>26667932</v>
      </c>
      <c r="C10753" s="4" t="str">
        <f t="shared" ref="C10753:C10807" si="953">HYPERLINK("https://www.ncbi.nlm.nih.gov/geo/query/acc.cgi?acc=GSE74685","GSE74685")</f>
        <v>GSE74685</v>
      </c>
      <c r="D10753" s="1" t="s">
        <v>447</v>
      </c>
      <c r="E10753" t="s">
        <v>448</v>
      </c>
      <c r="F10753" s="1">
        <v>1</v>
      </c>
      <c r="G10753" s="1" t="s">
        <v>452</v>
      </c>
      <c r="H10753" s="4" t="str">
        <f>HYPERLINK("https://www.ncbi.nlm.nih.gov/geo/query/acc.cgi?acc=GSM1616682","GSM1616682")</f>
        <v>GSM1616682</v>
      </c>
      <c r="I10753" t="s">
        <v>161</v>
      </c>
      <c r="J10753" t="s">
        <v>193</v>
      </c>
      <c r="K10753" t="s">
        <v>19</v>
      </c>
      <c r="L10753" t="s">
        <v>162</v>
      </c>
      <c r="M10753" t="s">
        <v>24</v>
      </c>
      <c r="N10753" t="s">
        <v>22</v>
      </c>
    </row>
    <row r="10754" spans="1:14">
      <c r="A10754" s="4" t="str">
        <f t="shared" si="951"/>
        <v>EXP00355</v>
      </c>
      <c r="B10754" s="4" t="str">
        <f t="shared" si="952"/>
        <v>26667932</v>
      </c>
      <c r="C10754" s="4" t="str">
        <f t="shared" si="953"/>
        <v>GSE74685</v>
      </c>
      <c r="D10754" s="1" t="s">
        <v>447</v>
      </c>
      <c r="E10754" t="s">
        <v>448</v>
      </c>
      <c r="F10754" s="1">
        <v>1</v>
      </c>
      <c r="G10754" s="1" t="s">
        <v>452</v>
      </c>
      <c r="H10754" s="4" t="str">
        <f>HYPERLINK("https://www.ncbi.nlm.nih.gov/geo/query/acc.cgi?acc=GSM1616684","GSM1616684")</f>
        <v>GSM1616684</v>
      </c>
      <c r="I10754" t="s">
        <v>161</v>
      </c>
      <c r="J10754" t="s">
        <v>193</v>
      </c>
      <c r="K10754" t="s">
        <v>19</v>
      </c>
      <c r="L10754" t="s">
        <v>162</v>
      </c>
      <c r="M10754" t="s">
        <v>24</v>
      </c>
      <c r="N10754" t="s">
        <v>22</v>
      </c>
    </row>
    <row r="10755" spans="1:14">
      <c r="A10755" s="4" t="str">
        <f t="shared" si="951"/>
        <v>EXP00355</v>
      </c>
      <c r="B10755" s="4" t="str">
        <f t="shared" si="952"/>
        <v>26667932</v>
      </c>
      <c r="C10755" s="4" t="str">
        <f t="shared" si="953"/>
        <v>GSE74685</v>
      </c>
      <c r="D10755" s="1" t="s">
        <v>447</v>
      </c>
      <c r="E10755" t="s">
        <v>448</v>
      </c>
      <c r="F10755" s="1">
        <v>1</v>
      </c>
      <c r="G10755" s="1" t="s">
        <v>452</v>
      </c>
      <c r="H10755" s="4" t="str">
        <f>HYPERLINK("https://www.ncbi.nlm.nih.gov/geo/query/acc.cgi?acc=GSM1918978","GSM1918978")</f>
        <v>GSM1918978</v>
      </c>
      <c r="I10755" t="s">
        <v>161</v>
      </c>
      <c r="J10755" t="s">
        <v>193</v>
      </c>
      <c r="K10755" t="s">
        <v>19</v>
      </c>
      <c r="L10755" t="s">
        <v>162</v>
      </c>
      <c r="M10755" t="s">
        <v>24</v>
      </c>
      <c r="N10755" t="s">
        <v>22</v>
      </c>
    </row>
    <row r="10756" spans="1:14">
      <c r="A10756" s="4" t="str">
        <f t="shared" si="951"/>
        <v>EXP00355</v>
      </c>
      <c r="B10756" s="4" t="str">
        <f t="shared" si="952"/>
        <v>26667932</v>
      </c>
      <c r="C10756" s="4" t="str">
        <f t="shared" si="953"/>
        <v>GSE74685</v>
      </c>
      <c r="D10756" s="1" t="s">
        <v>447</v>
      </c>
      <c r="E10756" t="s">
        <v>448</v>
      </c>
      <c r="F10756" s="1">
        <v>1</v>
      </c>
      <c r="G10756" s="1" t="s">
        <v>452</v>
      </c>
      <c r="H10756" s="4" t="str">
        <f>HYPERLINK("https://www.ncbi.nlm.nih.gov/geo/query/acc.cgi?acc=GSM1930063","GSM1930063")</f>
        <v>GSM1930063</v>
      </c>
      <c r="I10756" t="s">
        <v>161</v>
      </c>
      <c r="J10756" t="s">
        <v>193</v>
      </c>
      <c r="K10756" t="s">
        <v>19</v>
      </c>
      <c r="L10756" t="s">
        <v>162</v>
      </c>
      <c r="M10756" t="s">
        <v>24</v>
      </c>
      <c r="N10756" t="s">
        <v>22</v>
      </c>
    </row>
    <row r="10757" spans="1:14">
      <c r="A10757" s="4" t="str">
        <f t="shared" si="951"/>
        <v>EXP00355</v>
      </c>
      <c r="B10757" s="4" t="str">
        <f t="shared" si="952"/>
        <v>26667932</v>
      </c>
      <c r="C10757" s="4" t="str">
        <f t="shared" si="953"/>
        <v>GSE74685</v>
      </c>
      <c r="D10757" s="1" t="s">
        <v>447</v>
      </c>
      <c r="E10757" t="s">
        <v>448</v>
      </c>
      <c r="F10757" s="1">
        <v>1</v>
      </c>
      <c r="G10757" s="1" t="s">
        <v>452</v>
      </c>
      <c r="H10757" s="4" t="str">
        <f>HYPERLINK("https://www.ncbi.nlm.nih.gov/geo/query/acc.cgi?acc=GSM1930065","GSM1930065")</f>
        <v>GSM1930065</v>
      </c>
      <c r="I10757" t="s">
        <v>161</v>
      </c>
      <c r="J10757" t="s">
        <v>193</v>
      </c>
      <c r="K10757" t="s">
        <v>19</v>
      </c>
      <c r="L10757" t="s">
        <v>162</v>
      </c>
      <c r="M10757" t="s">
        <v>24</v>
      </c>
      <c r="N10757" t="s">
        <v>22</v>
      </c>
    </row>
    <row r="10758" spans="1:14">
      <c r="A10758" s="4" t="str">
        <f t="shared" si="951"/>
        <v>EXP00355</v>
      </c>
      <c r="B10758" s="4" t="str">
        <f t="shared" si="952"/>
        <v>26667932</v>
      </c>
      <c r="C10758" s="4" t="str">
        <f t="shared" si="953"/>
        <v>GSE74685</v>
      </c>
      <c r="D10758" s="1" t="s">
        <v>447</v>
      </c>
      <c r="E10758" t="s">
        <v>448</v>
      </c>
      <c r="F10758" s="1">
        <v>1</v>
      </c>
      <c r="G10758" s="1" t="s">
        <v>452</v>
      </c>
      <c r="H10758" s="4" t="str">
        <f>HYPERLINK("https://www.ncbi.nlm.nih.gov/geo/query/acc.cgi?acc=GSM1930068","GSM1930068")</f>
        <v>GSM1930068</v>
      </c>
      <c r="I10758" t="s">
        <v>161</v>
      </c>
      <c r="J10758" t="s">
        <v>193</v>
      </c>
      <c r="K10758" t="s">
        <v>19</v>
      </c>
      <c r="L10758" t="s">
        <v>162</v>
      </c>
      <c r="M10758" t="s">
        <v>24</v>
      </c>
      <c r="N10758" t="s">
        <v>22</v>
      </c>
    </row>
    <row r="10759" spans="1:14">
      <c r="A10759" s="4" t="str">
        <f t="shared" si="951"/>
        <v>EXP00355</v>
      </c>
      <c r="B10759" s="4" t="str">
        <f t="shared" si="952"/>
        <v>26667932</v>
      </c>
      <c r="C10759" s="4" t="str">
        <f t="shared" si="953"/>
        <v>GSE74685</v>
      </c>
      <c r="D10759" s="1" t="s">
        <v>447</v>
      </c>
      <c r="E10759" t="s">
        <v>448</v>
      </c>
      <c r="F10759" s="1">
        <v>1</v>
      </c>
      <c r="G10759" s="1" t="s">
        <v>452</v>
      </c>
      <c r="H10759" s="4" t="str">
        <f>HYPERLINK("https://www.ncbi.nlm.nih.gov/geo/query/acc.cgi?acc=GSM1930071","GSM1930071")</f>
        <v>GSM1930071</v>
      </c>
      <c r="I10759" t="s">
        <v>161</v>
      </c>
      <c r="J10759" t="s">
        <v>193</v>
      </c>
      <c r="K10759" t="s">
        <v>19</v>
      </c>
      <c r="L10759" t="s">
        <v>162</v>
      </c>
      <c r="M10759" t="s">
        <v>24</v>
      </c>
      <c r="N10759" t="s">
        <v>22</v>
      </c>
    </row>
    <row r="10760" spans="1:14">
      <c r="A10760" s="4" t="str">
        <f t="shared" ref="A10760:A10791" si="954">HYPERLINK("http://hcmdb.i-sanger.com/experiment/details/experiment_id/EXP00355","EXP00355")</f>
        <v>EXP00355</v>
      </c>
      <c r="B10760" s="4" t="str">
        <f t="shared" si="952"/>
        <v>26667932</v>
      </c>
      <c r="C10760" s="4" t="str">
        <f t="shared" si="953"/>
        <v>GSE74685</v>
      </c>
      <c r="D10760" s="1" t="s">
        <v>447</v>
      </c>
      <c r="E10760" t="s">
        <v>448</v>
      </c>
      <c r="F10760" s="1">
        <v>1</v>
      </c>
      <c r="G10760" s="1" t="s">
        <v>452</v>
      </c>
      <c r="H10760" s="4" t="str">
        <f>HYPERLINK("https://www.ncbi.nlm.nih.gov/geo/query/acc.cgi?acc=GSM1930077","GSM1930077")</f>
        <v>GSM1930077</v>
      </c>
      <c r="I10760" t="s">
        <v>161</v>
      </c>
      <c r="J10760" t="s">
        <v>193</v>
      </c>
      <c r="K10760" t="s">
        <v>19</v>
      </c>
      <c r="L10760" t="s">
        <v>162</v>
      </c>
      <c r="M10760" t="s">
        <v>24</v>
      </c>
      <c r="N10760" t="s">
        <v>22</v>
      </c>
    </row>
    <row r="10761" spans="1:14">
      <c r="A10761" s="4" t="str">
        <f t="shared" si="954"/>
        <v>EXP00355</v>
      </c>
      <c r="B10761" s="4" t="str">
        <f t="shared" si="952"/>
        <v>26667932</v>
      </c>
      <c r="C10761" s="4" t="str">
        <f t="shared" si="953"/>
        <v>GSE74685</v>
      </c>
      <c r="D10761" s="1" t="s">
        <v>447</v>
      </c>
      <c r="E10761" t="s">
        <v>448</v>
      </c>
      <c r="F10761" s="1">
        <v>1</v>
      </c>
      <c r="G10761" s="1" t="s">
        <v>452</v>
      </c>
      <c r="H10761" s="4" t="str">
        <f>HYPERLINK("https://www.ncbi.nlm.nih.gov/geo/query/acc.cgi?acc=GSM1930078","GSM1930078")</f>
        <v>GSM1930078</v>
      </c>
      <c r="I10761" t="s">
        <v>161</v>
      </c>
      <c r="J10761" t="s">
        <v>193</v>
      </c>
      <c r="K10761" t="s">
        <v>19</v>
      </c>
      <c r="L10761" t="s">
        <v>162</v>
      </c>
      <c r="M10761" t="s">
        <v>24</v>
      </c>
      <c r="N10761" t="s">
        <v>22</v>
      </c>
    </row>
    <row r="10762" spans="1:14">
      <c r="A10762" s="4" t="str">
        <f t="shared" si="954"/>
        <v>EXP00355</v>
      </c>
      <c r="B10762" s="4" t="str">
        <f t="shared" si="952"/>
        <v>26667932</v>
      </c>
      <c r="C10762" s="4" t="str">
        <f t="shared" si="953"/>
        <v>GSE74685</v>
      </c>
      <c r="D10762" s="1" t="s">
        <v>447</v>
      </c>
      <c r="E10762" t="s">
        <v>448</v>
      </c>
      <c r="F10762" s="1">
        <v>1</v>
      </c>
      <c r="G10762" s="1" t="s">
        <v>452</v>
      </c>
      <c r="H10762" s="4" t="str">
        <f>HYPERLINK("https://www.ncbi.nlm.nih.gov/geo/query/acc.cgi?acc=GSM1930083","GSM1930083")</f>
        <v>GSM1930083</v>
      </c>
      <c r="I10762" t="s">
        <v>161</v>
      </c>
      <c r="J10762" t="s">
        <v>193</v>
      </c>
      <c r="K10762" t="s">
        <v>19</v>
      </c>
      <c r="L10762" t="s">
        <v>162</v>
      </c>
      <c r="M10762" t="s">
        <v>24</v>
      </c>
      <c r="N10762" t="s">
        <v>22</v>
      </c>
    </row>
    <row r="10763" spans="1:14">
      <c r="A10763" s="4" t="str">
        <f t="shared" si="954"/>
        <v>EXP00355</v>
      </c>
      <c r="B10763" s="4" t="str">
        <f t="shared" si="952"/>
        <v>26667932</v>
      </c>
      <c r="C10763" s="4" t="str">
        <f t="shared" si="953"/>
        <v>GSE74685</v>
      </c>
      <c r="D10763" s="1" t="s">
        <v>447</v>
      </c>
      <c r="E10763" t="s">
        <v>448</v>
      </c>
      <c r="F10763" s="1">
        <v>1</v>
      </c>
      <c r="G10763" s="1" t="s">
        <v>452</v>
      </c>
      <c r="H10763" s="4" t="str">
        <f>HYPERLINK("https://www.ncbi.nlm.nih.gov/geo/query/acc.cgi?acc=GSM1930086","GSM1930086")</f>
        <v>GSM1930086</v>
      </c>
      <c r="I10763" t="s">
        <v>161</v>
      </c>
      <c r="J10763" t="s">
        <v>193</v>
      </c>
      <c r="K10763" t="s">
        <v>19</v>
      </c>
      <c r="L10763" t="s">
        <v>162</v>
      </c>
      <c r="M10763" t="s">
        <v>24</v>
      </c>
      <c r="N10763" t="s">
        <v>22</v>
      </c>
    </row>
    <row r="10764" spans="1:14">
      <c r="A10764" s="4" t="str">
        <f t="shared" si="954"/>
        <v>EXP00355</v>
      </c>
      <c r="B10764" s="4" t="str">
        <f t="shared" si="952"/>
        <v>26667932</v>
      </c>
      <c r="C10764" s="4" t="str">
        <f t="shared" si="953"/>
        <v>GSE74685</v>
      </c>
      <c r="D10764" s="1" t="s">
        <v>447</v>
      </c>
      <c r="E10764" t="s">
        <v>448</v>
      </c>
      <c r="F10764" s="1">
        <v>1</v>
      </c>
      <c r="G10764" s="1" t="s">
        <v>452</v>
      </c>
      <c r="H10764" s="4" t="str">
        <f>HYPERLINK("https://www.ncbi.nlm.nih.gov/geo/query/acc.cgi?acc=GSM1930089","GSM1930089")</f>
        <v>GSM1930089</v>
      </c>
      <c r="I10764" t="s">
        <v>161</v>
      </c>
      <c r="J10764" t="s">
        <v>193</v>
      </c>
      <c r="K10764" t="s">
        <v>19</v>
      </c>
      <c r="L10764" t="s">
        <v>162</v>
      </c>
      <c r="M10764" t="s">
        <v>24</v>
      </c>
      <c r="N10764" t="s">
        <v>22</v>
      </c>
    </row>
    <row r="10765" spans="1:14">
      <c r="A10765" s="4" t="str">
        <f t="shared" si="954"/>
        <v>EXP00355</v>
      </c>
      <c r="B10765" s="4" t="str">
        <f t="shared" si="952"/>
        <v>26667932</v>
      </c>
      <c r="C10765" s="4" t="str">
        <f t="shared" si="953"/>
        <v>GSE74685</v>
      </c>
      <c r="D10765" s="1" t="s">
        <v>447</v>
      </c>
      <c r="E10765" t="s">
        <v>448</v>
      </c>
      <c r="F10765" s="1">
        <v>1</v>
      </c>
      <c r="G10765" s="1" t="s">
        <v>452</v>
      </c>
      <c r="H10765" s="4" t="str">
        <f>HYPERLINK("https://www.ncbi.nlm.nih.gov/geo/query/acc.cgi?acc=GSM1930090","GSM1930090")</f>
        <v>GSM1930090</v>
      </c>
      <c r="I10765" t="s">
        <v>161</v>
      </c>
      <c r="J10765" t="s">
        <v>193</v>
      </c>
      <c r="K10765" t="s">
        <v>19</v>
      </c>
      <c r="L10765" t="s">
        <v>162</v>
      </c>
      <c r="M10765" t="s">
        <v>24</v>
      </c>
      <c r="N10765" t="s">
        <v>22</v>
      </c>
    </row>
    <row r="10766" spans="1:14">
      <c r="A10766" s="4" t="str">
        <f t="shared" si="954"/>
        <v>EXP00355</v>
      </c>
      <c r="B10766" s="4" t="str">
        <f t="shared" si="952"/>
        <v>26667932</v>
      </c>
      <c r="C10766" s="4" t="str">
        <f t="shared" si="953"/>
        <v>GSE74685</v>
      </c>
      <c r="D10766" s="1" t="s">
        <v>447</v>
      </c>
      <c r="E10766" t="s">
        <v>448</v>
      </c>
      <c r="F10766" s="1">
        <v>1</v>
      </c>
      <c r="G10766" s="1" t="s">
        <v>452</v>
      </c>
      <c r="H10766" s="4" t="str">
        <f>HYPERLINK("https://www.ncbi.nlm.nih.gov/geo/query/acc.cgi?acc=GSM1930091","GSM1930091")</f>
        <v>GSM1930091</v>
      </c>
      <c r="I10766" t="s">
        <v>161</v>
      </c>
      <c r="J10766" t="s">
        <v>193</v>
      </c>
      <c r="K10766" t="s">
        <v>19</v>
      </c>
      <c r="L10766" t="s">
        <v>162</v>
      </c>
      <c r="M10766" t="s">
        <v>24</v>
      </c>
      <c r="N10766" t="s">
        <v>22</v>
      </c>
    </row>
    <row r="10767" spans="1:14">
      <c r="A10767" s="4" t="str">
        <f t="shared" si="954"/>
        <v>EXP00355</v>
      </c>
      <c r="B10767" s="4" t="str">
        <f t="shared" si="952"/>
        <v>26667932</v>
      </c>
      <c r="C10767" s="4" t="str">
        <f t="shared" si="953"/>
        <v>GSE74685</v>
      </c>
      <c r="D10767" s="1" t="s">
        <v>447</v>
      </c>
      <c r="E10767" t="s">
        <v>448</v>
      </c>
      <c r="F10767" s="1">
        <v>1</v>
      </c>
      <c r="G10767" s="1" t="s">
        <v>452</v>
      </c>
      <c r="H10767" s="4" t="str">
        <f>HYPERLINK("https://www.ncbi.nlm.nih.gov/geo/query/acc.cgi?acc=GSM1930094","GSM1930094")</f>
        <v>GSM1930094</v>
      </c>
      <c r="I10767" t="s">
        <v>161</v>
      </c>
      <c r="J10767" t="s">
        <v>193</v>
      </c>
      <c r="K10767" t="s">
        <v>19</v>
      </c>
      <c r="L10767" t="s">
        <v>162</v>
      </c>
      <c r="M10767" t="s">
        <v>24</v>
      </c>
      <c r="N10767" t="s">
        <v>22</v>
      </c>
    </row>
    <row r="10768" spans="1:14">
      <c r="A10768" s="4" t="str">
        <f t="shared" si="954"/>
        <v>EXP00355</v>
      </c>
      <c r="B10768" s="4" t="str">
        <f t="shared" si="952"/>
        <v>26667932</v>
      </c>
      <c r="C10768" s="4" t="str">
        <f t="shared" si="953"/>
        <v>GSE74685</v>
      </c>
      <c r="D10768" s="1" t="s">
        <v>447</v>
      </c>
      <c r="E10768" t="s">
        <v>448</v>
      </c>
      <c r="F10768" s="1">
        <v>1</v>
      </c>
      <c r="G10768" s="1" t="s">
        <v>452</v>
      </c>
      <c r="H10768" s="4" t="str">
        <f>HYPERLINK("https://www.ncbi.nlm.nih.gov/geo/query/acc.cgi?acc=GSM1930095","GSM1930095")</f>
        <v>GSM1930095</v>
      </c>
      <c r="I10768" t="s">
        <v>161</v>
      </c>
      <c r="J10768" t="s">
        <v>193</v>
      </c>
      <c r="K10768" t="s">
        <v>19</v>
      </c>
      <c r="L10768" t="s">
        <v>162</v>
      </c>
      <c r="M10768" t="s">
        <v>24</v>
      </c>
      <c r="N10768" t="s">
        <v>22</v>
      </c>
    </row>
    <row r="10769" spans="1:14">
      <c r="A10769" s="4" t="str">
        <f t="shared" si="954"/>
        <v>EXP00355</v>
      </c>
      <c r="B10769" s="4" t="str">
        <f t="shared" si="952"/>
        <v>26667932</v>
      </c>
      <c r="C10769" s="4" t="str">
        <f t="shared" si="953"/>
        <v>GSE74685</v>
      </c>
      <c r="D10769" s="1" t="s">
        <v>447</v>
      </c>
      <c r="E10769" t="s">
        <v>448</v>
      </c>
      <c r="F10769" s="1">
        <v>1</v>
      </c>
      <c r="G10769" s="1" t="s">
        <v>452</v>
      </c>
      <c r="H10769" s="4" t="str">
        <f>HYPERLINK("https://www.ncbi.nlm.nih.gov/geo/query/acc.cgi?acc=GSM1930096","GSM1930096")</f>
        <v>GSM1930096</v>
      </c>
      <c r="I10769" t="s">
        <v>161</v>
      </c>
      <c r="J10769" t="s">
        <v>193</v>
      </c>
      <c r="K10769" t="s">
        <v>19</v>
      </c>
      <c r="L10769" t="s">
        <v>162</v>
      </c>
      <c r="M10769" t="s">
        <v>24</v>
      </c>
      <c r="N10769" t="s">
        <v>22</v>
      </c>
    </row>
    <row r="10770" spans="1:14">
      <c r="A10770" s="4" t="str">
        <f t="shared" si="954"/>
        <v>EXP00355</v>
      </c>
      <c r="B10770" s="4" t="str">
        <f t="shared" si="952"/>
        <v>26667932</v>
      </c>
      <c r="C10770" s="4" t="str">
        <f t="shared" si="953"/>
        <v>GSE74685</v>
      </c>
      <c r="D10770" s="1" t="s">
        <v>447</v>
      </c>
      <c r="E10770" t="s">
        <v>448</v>
      </c>
      <c r="F10770" s="1">
        <v>1</v>
      </c>
      <c r="G10770" s="1" t="s">
        <v>452</v>
      </c>
      <c r="H10770" s="4" t="str">
        <f>HYPERLINK("https://www.ncbi.nlm.nih.gov/geo/query/acc.cgi?acc=GSM1930097","GSM1930097")</f>
        <v>GSM1930097</v>
      </c>
      <c r="I10770" t="s">
        <v>161</v>
      </c>
      <c r="J10770" t="s">
        <v>193</v>
      </c>
      <c r="K10770" t="s">
        <v>19</v>
      </c>
      <c r="L10770" t="s">
        <v>162</v>
      </c>
      <c r="M10770" t="s">
        <v>24</v>
      </c>
      <c r="N10770" t="s">
        <v>22</v>
      </c>
    </row>
    <row r="10771" spans="1:14">
      <c r="A10771" s="4" t="str">
        <f t="shared" si="954"/>
        <v>EXP00355</v>
      </c>
      <c r="B10771" s="4" t="str">
        <f t="shared" si="952"/>
        <v>26667932</v>
      </c>
      <c r="C10771" s="4" t="str">
        <f t="shared" si="953"/>
        <v>GSE74685</v>
      </c>
      <c r="D10771" s="1" t="s">
        <v>447</v>
      </c>
      <c r="E10771" t="s">
        <v>448</v>
      </c>
      <c r="F10771" s="1">
        <v>1</v>
      </c>
      <c r="G10771" s="1" t="s">
        <v>452</v>
      </c>
      <c r="H10771" s="4" t="str">
        <f>HYPERLINK("https://www.ncbi.nlm.nih.gov/geo/query/acc.cgi?acc=GSM1930102","GSM1930102")</f>
        <v>GSM1930102</v>
      </c>
      <c r="I10771" t="s">
        <v>161</v>
      </c>
      <c r="J10771" t="s">
        <v>193</v>
      </c>
      <c r="K10771" t="s">
        <v>19</v>
      </c>
      <c r="L10771" t="s">
        <v>162</v>
      </c>
      <c r="M10771" t="s">
        <v>24</v>
      </c>
      <c r="N10771" t="s">
        <v>22</v>
      </c>
    </row>
    <row r="10772" spans="1:14">
      <c r="A10772" s="4" t="str">
        <f t="shared" si="954"/>
        <v>EXP00355</v>
      </c>
      <c r="B10772" s="4" t="str">
        <f t="shared" si="952"/>
        <v>26667932</v>
      </c>
      <c r="C10772" s="4" t="str">
        <f t="shared" si="953"/>
        <v>GSE74685</v>
      </c>
      <c r="D10772" s="1" t="s">
        <v>447</v>
      </c>
      <c r="E10772" t="s">
        <v>448</v>
      </c>
      <c r="F10772" s="1">
        <v>1</v>
      </c>
      <c r="G10772" s="1" t="s">
        <v>452</v>
      </c>
      <c r="H10772" s="4" t="str">
        <f>HYPERLINK("https://www.ncbi.nlm.nih.gov/geo/query/acc.cgi?acc=GSM1930104","GSM1930104")</f>
        <v>GSM1930104</v>
      </c>
      <c r="I10772" t="s">
        <v>161</v>
      </c>
      <c r="J10772" t="s">
        <v>193</v>
      </c>
      <c r="K10772" t="s">
        <v>19</v>
      </c>
      <c r="L10772" t="s">
        <v>162</v>
      </c>
      <c r="M10772" t="s">
        <v>24</v>
      </c>
      <c r="N10772" t="s">
        <v>22</v>
      </c>
    </row>
    <row r="10773" spans="1:14">
      <c r="A10773" s="4" t="str">
        <f t="shared" si="954"/>
        <v>EXP00355</v>
      </c>
      <c r="B10773" s="4" t="str">
        <f t="shared" si="952"/>
        <v>26667932</v>
      </c>
      <c r="C10773" s="4" t="str">
        <f t="shared" si="953"/>
        <v>GSE74685</v>
      </c>
      <c r="D10773" s="1" t="s">
        <v>447</v>
      </c>
      <c r="E10773" t="s">
        <v>448</v>
      </c>
      <c r="F10773" s="1">
        <v>1</v>
      </c>
      <c r="G10773" s="1" t="s">
        <v>452</v>
      </c>
      <c r="H10773" s="4" t="str">
        <f>HYPERLINK("https://www.ncbi.nlm.nih.gov/geo/query/acc.cgi?acc=GSM1930105","GSM1930105")</f>
        <v>GSM1930105</v>
      </c>
      <c r="I10773" t="s">
        <v>161</v>
      </c>
      <c r="J10773" t="s">
        <v>193</v>
      </c>
      <c r="K10773" t="s">
        <v>19</v>
      </c>
      <c r="L10773" t="s">
        <v>162</v>
      </c>
      <c r="M10773" t="s">
        <v>24</v>
      </c>
      <c r="N10773" t="s">
        <v>22</v>
      </c>
    </row>
    <row r="10774" spans="1:14">
      <c r="A10774" s="4" t="str">
        <f t="shared" si="954"/>
        <v>EXP00355</v>
      </c>
      <c r="B10774" s="4" t="str">
        <f t="shared" si="952"/>
        <v>26667932</v>
      </c>
      <c r="C10774" s="4" t="str">
        <f t="shared" si="953"/>
        <v>GSE74685</v>
      </c>
      <c r="D10774" s="1" t="s">
        <v>447</v>
      </c>
      <c r="E10774" t="s">
        <v>448</v>
      </c>
      <c r="F10774" s="1">
        <v>1</v>
      </c>
      <c r="G10774" s="1" t="s">
        <v>452</v>
      </c>
      <c r="H10774" s="4" t="str">
        <f>HYPERLINK("https://www.ncbi.nlm.nih.gov/geo/query/acc.cgi?acc=GSM1930106","GSM1930106")</f>
        <v>GSM1930106</v>
      </c>
      <c r="I10774" t="s">
        <v>161</v>
      </c>
      <c r="J10774" t="s">
        <v>193</v>
      </c>
      <c r="K10774" t="s">
        <v>19</v>
      </c>
      <c r="L10774" t="s">
        <v>162</v>
      </c>
      <c r="M10774" t="s">
        <v>24</v>
      </c>
      <c r="N10774" t="s">
        <v>22</v>
      </c>
    </row>
    <row r="10775" spans="1:14">
      <c r="A10775" s="4" t="str">
        <f t="shared" si="954"/>
        <v>EXP00355</v>
      </c>
      <c r="B10775" s="4" t="str">
        <f t="shared" si="952"/>
        <v>26667932</v>
      </c>
      <c r="C10775" s="4" t="str">
        <f t="shared" si="953"/>
        <v>GSE74685</v>
      </c>
      <c r="D10775" s="1" t="s">
        <v>447</v>
      </c>
      <c r="E10775" t="s">
        <v>448</v>
      </c>
      <c r="F10775" s="1">
        <v>1</v>
      </c>
      <c r="G10775" s="1" t="s">
        <v>452</v>
      </c>
      <c r="H10775" s="4" t="str">
        <f>HYPERLINK("https://www.ncbi.nlm.nih.gov/geo/query/acc.cgi?acc=GSM1930109","GSM1930109")</f>
        <v>GSM1930109</v>
      </c>
      <c r="I10775" t="s">
        <v>161</v>
      </c>
      <c r="J10775" t="s">
        <v>193</v>
      </c>
      <c r="K10775" t="s">
        <v>19</v>
      </c>
      <c r="L10775" t="s">
        <v>162</v>
      </c>
      <c r="M10775" t="s">
        <v>24</v>
      </c>
      <c r="N10775" t="s">
        <v>22</v>
      </c>
    </row>
    <row r="10776" spans="1:14">
      <c r="A10776" s="4" t="str">
        <f t="shared" si="954"/>
        <v>EXP00355</v>
      </c>
      <c r="B10776" s="4" t="str">
        <f t="shared" si="952"/>
        <v>26667932</v>
      </c>
      <c r="C10776" s="4" t="str">
        <f t="shared" si="953"/>
        <v>GSE74685</v>
      </c>
      <c r="D10776" s="1" t="s">
        <v>447</v>
      </c>
      <c r="E10776" t="s">
        <v>448</v>
      </c>
      <c r="F10776" s="1">
        <v>1</v>
      </c>
      <c r="G10776" s="1" t="s">
        <v>452</v>
      </c>
      <c r="H10776" s="4" t="str">
        <f>HYPERLINK("https://www.ncbi.nlm.nih.gov/geo/query/acc.cgi?acc=GSM1930114","GSM1930114")</f>
        <v>GSM1930114</v>
      </c>
      <c r="I10776" t="s">
        <v>161</v>
      </c>
      <c r="J10776" t="s">
        <v>193</v>
      </c>
      <c r="K10776" t="s">
        <v>19</v>
      </c>
      <c r="L10776" t="s">
        <v>162</v>
      </c>
      <c r="M10776" t="s">
        <v>24</v>
      </c>
      <c r="N10776" t="s">
        <v>22</v>
      </c>
    </row>
    <row r="10777" spans="1:14">
      <c r="A10777" s="4" t="str">
        <f t="shared" si="954"/>
        <v>EXP00355</v>
      </c>
      <c r="B10777" s="4" t="str">
        <f t="shared" si="952"/>
        <v>26667932</v>
      </c>
      <c r="C10777" s="4" t="str">
        <f t="shared" si="953"/>
        <v>GSE74685</v>
      </c>
      <c r="D10777" s="1" t="s">
        <v>447</v>
      </c>
      <c r="E10777" t="s">
        <v>448</v>
      </c>
      <c r="F10777" s="1">
        <v>1</v>
      </c>
      <c r="G10777" s="1" t="s">
        <v>452</v>
      </c>
      <c r="H10777" s="4" t="str">
        <f>HYPERLINK("https://www.ncbi.nlm.nih.gov/geo/query/acc.cgi?acc=GSM1930117","GSM1930117")</f>
        <v>GSM1930117</v>
      </c>
      <c r="I10777" t="s">
        <v>161</v>
      </c>
      <c r="J10777" t="s">
        <v>193</v>
      </c>
      <c r="K10777" t="s">
        <v>19</v>
      </c>
      <c r="L10777" t="s">
        <v>162</v>
      </c>
      <c r="M10777" t="s">
        <v>24</v>
      </c>
      <c r="N10777" t="s">
        <v>22</v>
      </c>
    </row>
    <row r="10778" spans="1:14">
      <c r="A10778" s="4" t="str">
        <f t="shared" si="954"/>
        <v>EXP00355</v>
      </c>
      <c r="B10778" s="4" t="str">
        <f t="shared" si="952"/>
        <v>26667932</v>
      </c>
      <c r="C10778" s="4" t="str">
        <f t="shared" si="953"/>
        <v>GSE74685</v>
      </c>
      <c r="D10778" s="1" t="s">
        <v>447</v>
      </c>
      <c r="E10778" t="s">
        <v>448</v>
      </c>
      <c r="F10778" s="1">
        <v>1</v>
      </c>
      <c r="G10778" s="1" t="s">
        <v>452</v>
      </c>
      <c r="H10778" s="4" t="str">
        <f>HYPERLINK("https://www.ncbi.nlm.nih.gov/geo/query/acc.cgi?acc=GSM1930118","GSM1930118")</f>
        <v>GSM1930118</v>
      </c>
      <c r="I10778" t="s">
        <v>161</v>
      </c>
      <c r="J10778" t="s">
        <v>193</v>
      </c>
      <c r="K10778" t="s">
        <v>19</v>
      </c>
      <c r="L10778" t="s">
        <v>162</v>
      </c>
      <c r="M10778" t="s">
        <v>24</v>
      </c>
      <c r="N10778" t="s">
        <v>22</v>
      </c>
    </row>
    <row r="10779" spans="1:14">
      <c r="A10779" s="4" t="str">
        <f t="shared" si="954"/>
        <v>EXP00355</v>
      </c>
      <c r="B10779" s="4" t="str">
        <f t="shared" si="952"/>
        <v>26667932</v>
      </c>
      <c r="C10779" s="4" t="str">
        <f t="shared" si="953"/>
        <v>GSE74685</v>
      </c>
      <c r="D10779" s="1" t="s">
        <v>447</v>
      </c>
      <c r="E10779" t="s">
        <v>448</v>
      </c>
      <c r="F10779" s="1">
        <v>1</v>
      </c>
      <c r="G10779" s="1" t="s">
        <v>452</v>
      </c>
      <c r="H10779" s="4" t="str">
        <f>HYPERLINK("https://www.ncbi.nlm.nih.gov/geo/query/acc.cgi?acc=GSM1930121","GSM1930121")</f>
        <v>GSM1930121</v>
      </c>
      <c r="I10779" t="s">
        <v>161</v>
      </c>
      <c r="J10779" t="s">
        <v>193</v>
      </c>
      <c r="K10779" t="s">
        <v>19</v>
      </c>
      <c r="L10779" t="s">
        <v>162</v>
      </c>
      <c r="M10779" t="s">
        <v>24</v>
      </c>
      <c r="N10779" t="s">
        <v>22</v>
      </c>
    </row>
    <row r="10780" spans="1:14">
      <c r="A10780" s="4" t="str">
        <f t="shared" si="954"/>
        <v>EXP00355</v>
      </c>
      <c r="B10780" s="4" t="str">
        <f t="shared" si="952"/>
        <v>26667932</v>
      </c>
      <c r="C10780" s="4" t="str">
        <f t="shared" si="953"/>
        <v>GSE74685</v>
      </c>
      <c r="D10780" s="1" t="s">
        <v>447</v>
      </c>
      <c r="E10780" t="s">
        <v>448</v>
      </c>
      <c r="F10780" s="1">
        <v>1</v>
      </c>
      <c r="G10780" s="1" t="s">
        <v>452</v>
      </c>
      <c r="H10780" s="4" t="str">
        <f>HYPERLINK("https://www.ncbi.nlm.nih.gov/geo/query/acc.cgi?acc=GSM1930123","GSM1930123")</f>
        <v>GSM1930123</v>
      </c>
      <c r="I10780" t="s">
        <v>161</v>
      </c>
      <c r="J10780" t="s">
        <v>193</v>
      </c>
      <c r="K10780" t="s">
        <v>19</v>
      </c>
      <c r="L10780" t="s">
        <v>162</v>
      </c>
      <c r="M10780" t="s">
        <v>24</v>
      </c>
      <c r="N10780" t="s">
        <v>22</v>
      </c>
    </row>
    <row r="10781" spans="1:14">
      <c r="A10781" s="4" t="str">
        <f t="shared" si="954"/>
        <v>EXP00355</v>
      </c>
      <c r="B10781" s="4" t="str">
        <f t="shared" si="952"/>
        <v>26667932</v>
      </c>
      <c r="C10781" s="4" t="str">
        <f t="shared" si="953"/>
        <v>GSE74685</v>
      </c>
      <c r="D10781" s="1" t="s">
        <v>447</v>
      </c>
      <c r="E10781" t="s">
        <v>448</v>
      </c>
      <c r="F10781" s="1">
        <v>1</v>
      </c>
      <c r="G10781" s="1" t="s">
        <v>452</v>
      </c>
      <c r="H10781" s="4" t="str">
        <f>HYPERLINK("https://www.ncbi.nlm.nih.gov/geo/query/acc.cgi?acc=GSM1930124","GSM1930124")</f>
        <v>GSM1930124</v>
      </c>
      <c r="I10781" t="s">
        <v>161</v>
      </c>
      <c r="J10781" t="s">
        <v>193</v>
      </c>
      <c r="K10781" t="s">
        <v>19</v>
      </c>
      <c r="L10781" t="s">
        <v>162</v>
      </c>
      <c r="M10781" t="s">
        <v>24</v>
      </c>
      <c r="N10781" t="s">
        <v>22</v>
      </c>
    </row>
    <row r="10782" spans="1:14">
      <c r="A10782" s="4" t="str">
        <f t="shared" si="954"/>
        <v>EXP00355</v>
      </c>
      <c r="B10782" s="4" t="str">
        <f t="shared" si="952"/>
        <v>26667932</v>
      </c>
      <c r="C10782" s="4" t="str">
        <f t="shared" si="953"/>
        <v>GSE74685</v>
      </c>
      <c r="D10782" s="1" t="s">
        <v>447</v>
      </c>
      <c r="E10782" t="s">
        <v>448</v>
      </c>
      <c r="F10782" s="1">
        <v>1</v>
      </c>
      <c r="G10782" s="1" t="s">
        <v>452</v>
      </c>
      <c r="H10782" s="4" t="str">
        <f>HYPERLINK("https://www.ncbi.nlm.nih.gov/geo/query/acc.cgi?acc=GSM1930125","GSM1930125")</f>
        <v>GSM1930125</v>
      </c>
      <c r="I10782" t="s">
        <v>161</v>
      </c>
      <c r="J10782" t="s">
        <v>193</v>
      </c>
      <c r="K10782" t="s">
        <v>19</v>
      </c>
      <c r="L10782" t="s">
        <v>162</v>
      </c>
      <c r="M10782" t="s">
        <v>24</v>
      </c>
      <c r="N10782" t="s">
        <v>22</v>
      </c>
    </row>
    <row r="10783" spans="1:14">
      <c r="A10783" s="4" t="str">
        <f t="shared" si="954"/>
        <v>EXP00355</v>
      </c>
      <c r="B10783" s="4" t="str">
        <f t="shared" si="952"/>
        <v>26667932</v>
      </c>
      <c r="C10783" s="4" t="str">
        <f t="shared" si="953"/>
        <v>GSE74685</v>
      </c>
      <c r="D10783" s="1" t="s">
        <v>447</v>
      </c>
      <c r="E10783" t="s">
        <v>448</v>
      </c>
      <c r="F10783" s="1">
        <v>1</v>
      </c>
      <c r="G10783" s="1" t="s">
        <v>452</v>
      </c>
      <c r="H10783" s="4" t="str">
        <f>HYPERLINK("https://www.ncbi.nlm.nih.gov/geo/query/acc.cgi?acc=GSM1930127","GSM1930127")</f>
        <v>GSM1930127</v>
      </c>
      <c r="I10783" t="s">
        <v>161</v>
      </c>
      <c r="J10783" t="s">
        <v>193</v>
      </c>
      <c r="K10783" t="s">
        <v>19</v>
      </c>
      <c r="L10783" t="s">
        <v>162</v>
      </c>
      <c r="M10783" t="s">
        <v>24</v>
      </c>
      <c r="N10783" t="s">
        <v>22</v>
      </c>
    </row>
    <row r="10784" spans="1:14">
      <c r="A10784" s="4" t="str">
        <f t="shared" si="954"/>
        <v>EXP00355</v>
      </c>
      <c r="B10784" s="4" t="str">
        <f t="shared" si="952"/>
        <v>26667932</v>
      </c>
      <c r="C10784" s="4" t="str">
        <f t="shared" si="953"/>
        <v>GSE74685</v>
      </c>
      <c r="D10784" s="1" t="s">
        <v>447</v>
      </c>
      <c r="E10784" t="s">
        <v>448</v>
      </c>
      <c r="F10784" s="1">
        <v>1</v>
      </c>
      <c r="G10784" s="1" t="s">
        <v>452</v>
      </c>
      <c r="H10784" s="4" t="str">
        <f>HYPERLINK("https://www.ncbi.nlm.nih.gov/geo/query/acc.cgi?acc=GSM1930128","GSM1930128")</f>
        <v>GSM1930128</v>
      </c>
      <c r="I10784" t="s">
        <v>161</v>
      </c>
      <c r="J10784" t="s">
        <v>193</v>
      </c>
      <c r="K10784" t="s">
        <v>19</v>
      </c>
      <c r="L10784" t="s">
        <v>162</v>
      </c>
      <c r="M10784" t="s">
        <v>24</v>
      </c>
      <c r="N10784" t="s">
        <v>22</v>
      </c>
    </row>
    <row r="10785" spans="1:14">
      <c r="A10785" s="4" t="str">
        <f t="shared" si="954"/>
        <v>EXP00355</v>
      </c>
      <c r="B10785" s="4" t="str">
        <f t="shared" si="952"/>
        <v>26667932</v>
      </c>
      <c r="C10785" s="4" t="str">
        <f t="shared" si="953"/>
        <v>GSE74685</v>
      </c>
      <c r="D10785" s="1" t="s">
        <v>447</v>
      </c>
      <c r="E10785" t="s">
        <v>448</v>
      </c>
      <c r="F10785" s="1">
        <v>1</v>
      </c>
      <c r="G10785" s="1" t="s">
        <v>452</v>
      </c>
      <c r="H10785" s="4" t="str">
        <f>HYPERLINK("https://www.ncbi.nlm.nih.gov/geo/query/acc.cgi?acc=GSM1930130","GSM1930130")</f>
        <v>GSM1930130</v>
      </c>
      <c r="I10785" t="s">
        <v>161</v>
      </c>
      <c r="J10785" t="s">
        <v>193</v>
      </c>
      <c r="K10785" t="s">
        <v>19</v>
      </c>
      <c r="L10785" t="s">
        <v>162</v>
      </c>
      <c r="M10785" t="s">
        <v>24</v>
      </c>
      <c r="N10785" t="s">
        <v>22</v>
      </c>
    </row>
    <row r="10786" spans="1:14">
      <c r="A10786" s="4" t="str">
        <f t="shared" si="954"/>
        <v>EXP00355</v>
      </c>
      <c r="B10786" s="4" t="str">
        <f t="shared" si="952"/>
        <v>26667932</v>
      </c>
      <c r="C10786" s="4" t="str">
        <f t="shared" si="953"/>
        <v>GSE74685</v>
      </c>
      <c r="D10786" s="1" t="s">
        <v>447</v>
      </c>
      <c r="E10786" t="s">
        <v>448</v>
      </c>
      <c r="F10786" s="1">
        <v>1</v>
      </c>
      <c r="G10786" s="1" t="s">
        <v>452</v>
      </c>
      <c r="H10786" s="4" t="str">
        <f>HYPERLINK("https://www.ncbi.nlm.nih.gov/geo/query/acc.cgi?acc=GSM1930132","GSM1930132")</f>
        <v>GSM1930132</v>
      </c>
      <c r="I10786" t="s">
        <v>161</v>
      </c>
      <c r="J10786" t="s">
        <v>193</v>
      </c>
      <c r="K10786" t="s">
        <v>19</v>
      </c>
      <c r="L10786" t="s">
        <v>162</v>
      </c>
      <c r="M10786" t="s">
        <v>24</v>
      </c>
      <c r="N10786" t="s">
        <v>22</v>
      </c>
    </row>
    <row r="10787" spans="1:14">
      <c r="A10787" s="4" t="str">
        <f t="shared" si="954"/>
        <v>EXP00355</v>
      </c>
      <c r="B10787" s="4" t="str">
        <f t="shared" si="952"/>
        <v>26667932</v>
      </c>
      <c r="C10787" s="4" t="str">
        <f t="shared" si="953"/>
        <v>GSE74685</v>
      </c>
      <c r="D10787" s="1" t="s">
        <v>447</v>
      </c>
      <c r="E10787" t="s">
        <v>448</v>
      </c>
      <c r="F10787" s="1">
        <v>1</v>
      </c>
      <c r="G10787" s="1" t="s">
        <v>452</v>
      </c>
      <c r="H10787" s="4" t="str">
        <f>HYPERLINK("https://www.ncbi.nlm.nih.gov/geo/query/acc.cgi?acc=GSM1930139","GSM1930139")</f>
        <v>GSM1930139</v>
      </c>
      <c r="I10787" t="s">
        <v>161</v>
      </c>
      <c r="J10787" t="s">
        <v>193</v>
      </c>
      <c r="K10787" t="s">
        <v>19</v>
      </c>
      <c r="L10787" t="s">
        <v>162</v>
      </c>
      <c r="M10787" t="s">
        <v>24</v>
      </c>
      <c r="N10787" t="s">
        <v>22</v>
      </c>
    </row>
    <row r="10788" spans="1:14">
      <c r="A10788" s="4" t="str">
        <f t="shared" si="954"/>
        <v>EXP00355</v>
      </c>
      <c r="B10788" s="4" t="str">
        <f t="shared" si="952"/>
        <v>26667932</v>
      </c>
      <c r="C10788" s="4" t="str">
        <f t="shared" si="953"/>
        <v>GSE74685</v>
      </c>
      <c r="D10788" s="1" t="s">
        <v>447</v>
      </c>
      <c r="E10788" t="s">
        <v>448</v>
      </c>
      <c r="F10788" s="1">
        <v>1</v>
      </c>
      <c r="G10788" s="1" t="s">
        <v>452</v>
      </c>
      <c r="H10788" s="4" t="str">
        <f>HYPERLINK("https://www.ncbi.nlm.nih.gov/geo/query/acc.cgi?acc=GSM1930146","GSM1930146")</f>
        <v>GSM1930146</v>
      </c>
      <c r="I10788" t="s">
        <v>161</v>
      </c>
      <c r="J10788" t="s">
        <v>193</v>
      </c>
      <c r="K10788" t="s">
        <v>19</v>
      </c>
      <c r="L10788" t="s">
        <v>162</v>
      </c>
      <c r="M10788" t="s">
        <v>24</v>
      </c>
      <c r="N10788" t="s">
        <v>22</v>
      </c>
    </row>
    <row r="10789" spans="1:14">
      <c r="A10789" s="4" t="str">
        <f t="shared" si="954"/>
        <v>EXP00355</v>
      </c>
      <c r="B10789" s="4" t="str">
        <f t="shared" si="952"/>
        <v>26667932</v>
      </c>
      <c r="C10789" s="4" t="str">
        <f t="shared" si="953"/>
        <v>GSE74685</v>
      </c>
      <c r="D10789" s="1" t="s">
        <v>447</v>
      </c>
      <c r="E10789" t="s">
        <v>448</v>
      </c>
      <c r="F10789" s="1">
        <v>1</v>
      </c>
      <c r="G10789" s="1" t="s">
        <v>452</v>
      </c>
      <c r="H10789" s="4" t="str">
        <f>HYPERLINK("https://www.ncbi.nlm.nih.gov/geo/query/acc.cgi?acc=GSM1930147","GSM1930147")</f>
        <v>GSM1930147</v>
      </c>
      <c r="I10789" t="s">
        <v>161</v>
      </c>
      <c r="J10789" t="s">
        <v>193</v>
      </c>
      <c r="K10789" t="s">
        <v>19</v>
      </c>
      <c r="L10789" t="s">
        <v>162</v>
      </c>
      <c r="M10789" t="s">
        <v>24</v>
      </c>
      <c r="N10789" t="s">
        <v>22</v>
      </c>
    </row>
    <row r="10790" spans="1:14">
      <c r="A10790" s="4" t="str">
        <f t="shared" si="954"/>
        <v>EXP00355</v>
      </c>
      <c r="B10790" s="4" t="str">
        <f t="shared" si="952"/>
        <v>26667932</v>
      </c>
      <c r="C10790" s="4" t="str">
        <f t="shared" si="953"/>
        <v>GSE74685</v>
      </c>
      <c r="D10790" s="1" t="s">
        <v>447</v>
      </c>
      <c r="E10790" t="s">
        <v>448</v>
      </c>
      <c r="F10790" s="1">
        <v>1</v>
      </c>
      <c r="G10790" s="1" t="s">
        <v>452</v>
      </c>
      <c r="H10790" s="4" t="str">
        <f>HYPERLINK("https://www.ncbi.nlm.nih.gov/geo/query/acc.cgi?acc=GSM1930148","GSM1930148")</f>
        <v>GSM1930148</v>
      </c>
      <c r="I10790" t="s">
        <v>161</v>
      </c>
      <c r="J10790" t="s">
        <v>193</v>
      </c>
      <c r="K10790" t="s">
        <v>19</v>
      </c>
      <c r="L10790" t="s">
        <v>162</v>
      </c>
      <c r="M10790" t="s">
        <v>24</v>
      </c>
      <c r="N10790" t="s">
        <v>22</v>
      </c>
    </row>
    <row r="10791" spans="1:14">
      <c r="A10791" s="4" t="str">
        <f t="shared" si="954"/>
        <v>EXP00355</v>
      </c>
      <c r="B10791" s="4" t="str">
        <f t="shared" si="952"/>
        <v>26667932</v>
      </c>
      <c r="C10791" s="4" t="str">
        <f t="shared" si="953"/>
        <v>GSE74685</v>
      </c>
      <c r="D10791" s="1" t="s">
        <v>447</v>
      </c>
      <c r="E10791" t="s">
        <v>448</v>
      </c>
      <c r="F10791" s="1">
        <v>1</v>
      </c>
      <c r="G10791" s="1" t="s">
        <v>452</v>
      </c>
      <c r="H10791" s="4" t="str">
        <f>HYPERLINK("https://www.ncbi.nlm.nih.gov/geo/query/acc.cgi?acc=GSM1930149","GSM1930149")</f>
        <v>GSM1930149</v>
      </c>
      <c r="I10791" t="s">
        <v>161</v>
      </c>
      <c r="J10791" t="s">
        <v>193</v>
      </c>
      <c r="K10791" t="s">
        <v>19</v>
      </c>
      <c r="L10791" t="s">
        <v>162</v>
      </c>
      <c r="M10791" t="s">
        <v>24</v>
      </c>
      <c r="N10791" t="s">
        <v>22</v>
      </c>
    </row>
    <row r="10792" spans="1:14">
      <c r="A10792" s="4" t="str">
        <f t="shared" ref="A10792:A10800" si="955">HYPERLINK("http://hcmdb.i-sanger.com/experiment/details/experiment_id/EXP00355","EXP00355")</f>
        <v>EXP00355</v>
      </c>
      <c r="B10792" s="4" t="str">
        <f t="shared" si="952"/>
        <v>26667932</v>
      </c>
      <c r="C10792" s="4" t="str">
        <f t="shared" si="953"/>
        <v>GSE74685</v>
      </c>
      <c r="D10792" s="1" t="s">
        <v>447</v>
      </c>
      <c r="E10792" t="s">
        <v>448</v>
      </c>
      <c r="F10792" s="1">
        <v>1</v>
      </c>
      <c r="G10792" s="1" t="s">
        <v>452</v>
      </c>
      <c r="H10792" s="4" t="str">
        <f>HYPERLINK("https://www.ncbi.nlm.nih.gov/geo/query/acc.cgi?acc=GSM1930152","GSM1930152")</f>
        <v>GSM1930152</v>
      </c>
      <c r="I10792" t="s">
        <v>161</v>
      </c>
      <c r="J10792" t="s">
        <v>193</v>
      </c>
      <c r="K10792" t="s">
        <v>19</v>
      </c>
      <c r="L10792" t="s">
        <v>162</v>
      </c>
      <c r="M10792" t="s">
        <v>24</v>
      </c>
      <c r="N10792" t="s">
        <v>22</v>
      </c>
    </row>
    <row r="10793" spans="1:14">
      <c r="A10793" s="4" t="str">
        <f t="shared" si="955"/>
        <v>EXP00355</v>
      </c>
      <c r="B10793" s="4" t="str">
        <f t="shared" si="952"/>
        <v>26667932</v>
      </c>
      <c r="C10793" s="4" t="str">
        <f t="shared" si="953"/>
        <v>GSE74685</v>
      </c>
      <c r="D10793" s="1" t="s">
        <v>447</v>
      </c>
      <c r="E10793" t="s">
        <v>448</v>
      </c>
      <c r="F10793" s="1">
        <v>1</v>
      </c>
      <c r="G10793" s="1" t="s">
        <v>452</v>
      </c>
      <c r="H10793" s="4" t="str">
        <f>HYPERLINK("https://www.ncbi.nlm.nih.gov/geo/query/acc.cgi?acc=GSM1930156","GSM1930156")</f>
        <v>GSM1930156</v>
      </c>
      <c r="I10793" t="s">
        <v>161</v>
      </c>
      <c r="J10793" t="s">
        <v>193</v>
      </c>
      <c r="K10793" t="s">
        <v>19</v>
      </c>
      <c r="L10793" t="s">
        <v>162</v>
      </c>
      <c r="M10793" t="s">
        <v>24</v>
      </c>
      <c r="N10793" t="s">
        <v>22</v>
      </c>
    </row>
    <row r="10794" spans="1:14">
      <c r="A10794" s="4" t="str">
        <f t="shared" si="955"/>
        <v>EXP00355</v>
      </c>
      <c r="B10794" s="4" t="str">
        <f t="shared" si="952"/>
        <v>26667932</v>
      </c>
      <c r="C10794" s="4" t="str">
        <f t="shared" si="953"/>
        <v>GSE74685</v>
      </c>
      <c r="D10794" s="1" t="s">
        <v>447</v>
      </c>
      <c r="E10794" t="s">
        <v>448</v>
      </c>
      <c r="F10794" s="1">
        <v>1</v>
      </c>
      <c r="G10794" s="1" t="s">
        <v>452</v>
      </c>
      <c r="H10794" s="4" t="str">
        <f>HYPERLINK("https://www.ncbi.nlm.nih.gov/geo/query/acc.cgi?acc=GSM1930157","GSM1930157")</f>
        <v>GSM1930157</v>
      </c>
      <c r="I10794" t="s">
        <v>161</v>
      </c>
      <c r="J10794" t="s">
        <v>193</v>
      </c>
      <c r="K10794" t="s">
        <v>19</v>
      </c>
      <c r="L10794" t="s">
        <v>162</v>
      </c>
      <c r="M10794" t="s">
        <v>24</v>
      </c>
      <c r="N10794" t="s">
        <v>22</v>
      </c>
    </row>
    <row r="10795" spans="1:14">
      <c r="A10795" s="4" t="str">
        <f t="shared" si="955"/>
        <v>EXP00355</v>
      </c>
      <c r="B10795" s="4" t="str">
        <f t="shared" si="952"/>
        <v>26667932</v>
      </c>
      <c r="C10795" s="4" t="str">
        <f t="shared" si="953"/>
        <v>GSE74685</v>
      </c>
      <c r="D10795" s="1" t="s">
        <v>447</v>
      </c>
      <c r="E10795" t="s">
        <v>448</v>
      </c>
      <c r="F10795" s="1">
        <v>1</v>
      </c>
      <c r="G10795" s="1" t="s">
        <v>452</v>
      </c>
      <c r="H10795" s="4" t="str">
        <f>HYPERLINK("https://www.ncbi.nlm.nih.gov/geo/query/acc.cgi?acc=GSM1930158","GSM1930158")</f>
        <v>GSM1930158</v>
      </c>
      <c r="I10795" t="s">
        <v>161</v>
      </c>
      <c r="J10795" t="s">
        <v>193</v>
      </c>
      <c r="K10795" t="s">
        <v>19</v>
      </c>
      <c r="L10795" t="s">
        <v>162</v>
      </c>
      <c r="M10795" t="s">
        <v>24</v>
      </c>
      <c r="N10795" t="s">
        <v>22</v>
      </c>
    </row>
    <row r="10796" spans="1:14">
      <c r="A10796" s="4" t="str">
        <f t="shared" si="955"/>
        <v>EXP00355</v>
      </c>
      <c r="B10796" s="4" t="str">
        <f t="shared" si="952"/>
        <v>26667932</v>
      </c>
      <c r="C10796" s="4" t="str">
        <f t="shared" si="953"/>
        <v>GSE74685</v>
      </c>
      <c r="D10796" s="1" t="s">
        <v>447</v>
      </c>
      <c r="E10796" t="s">
        <v>448</v>
      </c>
      <c r="F10796" s="1">
        <v>1</v>
      </c>
      <c r="G10796" s="1" t="s">
        <v>452</v>
      </c>
      <c r="H10796" s="4" t="str">
        <f>HYPERLINK("https://www.ncbi.nlm.nih.gov/geo/query/acc.cgi?acc=GSM1930159","GSM1930159")</f>
        <v>GSM1930159</v>
      </c>
      <c r="I10796" t="s">
        <v>161</v>
      </c>
      <c r="J10796" t="s">
        <v>193</v>
      </c>
      <c r="K10796" t="s">
        <v>19</v>
      </c>
      <c r="L10796" t="s">
        <v>162</v>
      </c>
      <c r="M10796" t="s">
        <v>24</v>
      </c>
      <c r="N10796" t="s">
        <v>22</v>
      </c>
    </row>
    <row r="10797" spans="1:14">
      <c r="A10797" s="4" t="str">
        <f t="shared" si="955"/>
        <v>EXP00355</v>
      </c>
      <c r="B10797" s="4" t="str">
        <f t="shared" si="952"/>
        <v>26667932</v>
      </c>
      <c r="C10797" s="4" t="str">
        <f t="shared" si="953"/>
        <v>GSE74685</v>
      </c>
      <c r="D10797" s="1" t="s">
        <v>447</v>
      </c>
      <c r="E10797" t="s">
        <v>448</v>
      </c>
      <c r="F10797" s="1">
        <v>2</v>
      </c>
      <c r="G10797" s="1" t="s">
        <v>453</v>
      </c>
      <c r="H10797" s="4" t="str">
        <f>HYPERLINK("https://www.ncbi.nlm.nih.gov/geo/query/acc.cgi?acc=GSM1616630","GSM1616630")</f>
        <v>GSM1616630</v>
      </c>
      <c r="I10797" t="s">
        <v>161</v>
      </c>
      <c r="J10797" t="s">
        <v>193</v>
      </c>
      <c r="K10797" t="s">
        <v>19</v>
      </c>
      <c r="L10797" t="s">
        <v>162</v>
      </c>
      <c r="M10797" t="s">
        <v>454</v>
      </c>
      <c r="N10797" t="s">
        <v>22</v>
      </c>
    </row>
    <row r="10798" spans="1:14">
      <c r="A10798" s="4" t="str">
        <f t="shared" si="955"/>
        <v>EXP00355</v>
      </c>
      <c r="B10798" s="4" t="str">
        <f t="shared" si="952"/>
        <v>26667932</v>
      </c>
      <c r="C10798" s="4" t="str">
        <f t="shared" si="953"/>
        <v>GSE74685</v>
      </c>
      <c r="D10798" s="1" t="s">
        <v>447</v>
      </c>
      <c r="E10798" t="s">
        <v>448</v>
      </c>
      <c r="F10798" s="1">
        <v>2</v>
      </c>
      <c r="G10798" s="1" t="s">
        <v>453</v>
      </c>
      <c r="H10798" s="4" t="str">
        <f>HYPERLINK("https://www.ncbi.nlm.nih.gov/geo/query/acc.cgi?acc=GSM1616631","GSM1616631")</f>
        <v>GSM1616631</v>
      </c>
      <c r="I10798" t="s">
        <v>161</v>
      </c>
      <c r="J10798" t="s">
        <v>193</v>
      </c>
      <c r="K10798" t="s">
        <v>19</v>
      </c>
      <c r="L10798" t="s">
        <v>162</v>
      </c>
      <c r="M10798" t="s">
        <v>454</v>
      </c>
      <c r="N10798" t="s">
        <v>22</v>
      </c>
    </row>
    <row r="10799" spans="1:14">
      <c r="A10799" s="4" t="str">
        <f t="shared" si="955"/>
        <v>EXP00355</v>
      </c>
      <c r="B10799" s="4" t="str">
        <f t="shared" si="952"/>
        <v>26667932</v>
      </c>
      <c r="C10799" s="4" t="str">
        <f t="shared" si="953"/>
        <v>GSE74685</v>
      </c>
      <c r="D10799" s="1" t="s">
        <v>447</v>
      </c>
      <c r="E10799" t="s">
        <v>448</v>
      </c>
      <c r="F10799" s="1">
        <v>2</v>
      </c>
      <c r="G10799" s="1" t="s">
        <v>453</v>
      </c>
      <c r="H10799" s="4" t="str">
        <f>HYPERLINK("https://www.ncbi.nlm.nih.gov/geo/query/acc.cgi?acc=GSM1930081","GSM1930081")</f>
        <v>GSM1930081</v>
      </c>
      <c r="I10799" t="s">
        <v>161</v>
      </c>
      <c r="J10799" t="s">
        <v>193</v>
      </c>
      <c r="K10799" t="s">
        <v>19</v>
      </c>
      <c r="L10799" t="s">
        <v>162</v>
      </c>
      <c r="M10799" t="s">
        <v>454</v>
      </c>
      <c r="N10799" t="s">
        <v>22</v>
      </c>
    </row>
    <row r="10800" spans="1:14">
      <c r="A10800" s="4" t="str">
        <f t="shared" si="955"/>
        <v>EXP00355</v>
      </c>
      <c r="B10800" s="4" t="str">
        <f t="shared" si="952"/>
        <v>26667932</v>
      </c>
      <c r="C10800" s="4" t="str">
        <f t="shared" si="953"/>
        <v>GSE74685</v>
      </c>
      <c r="D10800" s="1" t="s">
        <v>447</v>
      </c>
      <c r="E10800" t="s">
        <v>448</v>
      </c>
      <c r="F10800" s="1">
        <v>2</v>
      </c>
      <c r="G10800" s="1" t="s">
        <v>453</v>
      </c>
      <c r="H10800" s="4" t="str">
        <f>HYPERLINK("https://www.ncbi.nlm.nih.gov/geo/query/acc.cgi?acc=GSM1930131","GSM1930131")</f>
        <v>GSM1930131</v>
      </c>
      <c r="I10800" t="s">
        <v>161</v>
      </c>
      <c r="J10800" t="s">
        <v>193</v>
      </c>
      <c r="K10800" t="s">
        <v>19</v>
      </c>
      <c r="L10800" t="s">
        <v>162</v>
      </c>
      <c r="M10800" t="s">
        <v>454</v>
      </c>
      <c r="N10800" t="s">
        <v>22</v>
      </c>
    </row>
    <row r="10801" spans="1:14">
      <c r="A10801" s="4" t="str">
        <f t="shared" ref="A10801:A10807" si="956">HYPERLINK("http://hcmdb.i-sanger.com/experiment/details/experiment_id/EXP00356","EXP00356")</f>
        <v>EXP00356</v>
      </c>
      <c r="B10801" s="4" t="str">
        <f t="shared" si="952"/>
        <v>26667932</v>
      </c>
      <c r="C10801" s="4" t="str">
        <f t="shared" si="953"/>
        <v>GSE74685</v>
      </c>
      <c r="D10801" s="1" t="s">
        <v>447</v>
      </c>
      <c r="E10801" t="s">
        <v>448</v>
      </c>
      <c r="F10801" s="1">
        <v>1</v>
      </c>
      <c r="G10801" s="1" t="s">
        <v>457</v>
      </c>
      <c r="H10801" s="4" t="str">
        <f>HYPERLINK("https://www.ncbi.nlm.nih.gov/geo/query/acc.cgi?acc=GSM1616658","GSM1616658")</f>
        <v>GSM1616658</v>
      </c>
      <c r="I10801" t="s">
        <v>161</v>
      </c>
      <c r="J10801" t="s">
        <v>193</v>
      </c>
      <c r="K10801" t="s">
        <v>19</v>
      </c>
      <c r="L10801" t="s">
        <v>162</v>
      </c>
      <c r="M10801" t="s">
        <v>292</v>
      </c>
      <c r="N10801" t="s">
        <v>22</v>
      </c>
    </row>
    <row r="10802" spans="1:14">
      <c r="A10802" s="4" t="str">
        <f t="shared" si="956"/>
        <v>EXP00356</v>
      </c>
      <c r="B10802" s="4" t="str">
        <f t="shared" si="952"/>
        <v>26667932</v>
      </c>
      <c r="C10802" s="4" t="str">
        <f t="shared" si="953"/>
        <v>GSE74685</v>
      </c>
      <c r="D10802" s="1" t="s">
        <v>447</v>
      </c>
      <c r="E10802" t="s">
        <v>448</v>
      </c>
      <c r="F10802" s="1">
        <v>1</v>
      </c>
      <c r="G10802" s="1" t="s">
        <v>457</v>
      </c>
      <c r="H10802" s="4" t="str">
        <f>HYPERLINK("https://www.ncbi.nlm.nih.gov/geo/query/acc.cgi?acc=GSM1918980","GSM1918980")</f>
        <v>GSM1918980</v>
      </c>
      <c r="I10802" t="s">
        <v>161</v>
      </c>
      <c r="J10802" t="s">
        <v>193</v>
      </c>
      <c r="K10802" t="s">
        <v>19</v>
      </c>
      <c r="L10802" t="s">
        <v>162</v>
      </c>
      <c r="M10802" t="s">
        <v>292</v>
      </c>
      <c r="N10802" t="s">
        <v>22</v>
      </c>
    </row>
    <row r="10803" spans="1:14">
      <c r="A10803" s="4" t="str">
        <f t="shared" si="956"/>
        <v>EXP00356</v>
      </c>
      <c r="B10803" s="4" t="str">
        <f t="shared" si="952"/>
        <v>26667932</v>
      </c>
      <c r="C10803" s="4" t="str">
        <f t="shared" si="953"/>
        <v>GSE74685</v>
      </c>
      <c r="D10803" s="1" t="s">
        <v>447</v>
      </c>
      <c r="E10803" t="s">
        <v>448</v>
      </c>
      <c r="F10803" s="1">
        <v>1</v>
      </c>
      <c r="G10803" s="1" t="s">
        <v>457</v>
      </c>
      <c r="H10803" s="4" t="str">
        <f>HYPERLINK("https://www.ncbi.nlm.nih.gov/geo/query/acc.cgi?acc=GSM1930093","GSM1930093")</f>
        <v>GSM1930093</v>
      </c>
      <c r="I10803" t="s">
        <v>161</v>
      </c>
      <c r="J10803" t="s">
        <v>193</v>
      </c>
      <c r="K10803" t="s">
        <v>19</v>
      </c>
      <c r="L10803" t="s">
        <v>162</v>
      </c>
      <c r="M10803" t="s">
        <v>292</v>
      </c>
      <c r="N10803" t="s">
        <v>22</v>
      </c>
    </row>
    <row r="10804" spans="1:14">
      <c r="A10804" s="4" t="str">
        <f t="shared" si="956"/>
        <v>EXP00356</v>
      </c>
      <c r="B10804" s="4" t="str">
        <f t="shared" si="952"/>
        <v>26667932</v>
      </c>
      <c r="C10804" s="4" t="str">
        <f t="shared" si="953"/>
        <v>GSE74685</v>
      </c>
      <c r="D10804" s="1" t="s">
        <v>447</v>
      </c>
      <c r="E10804" t="s">
        <v>448</v>
      </c>
      <c r="F10804" s="1">
        <v>2</v>
      </c>
      <c r="G10804" s="1" t="s">
        <v>453</v>
      </c>
      <c r="H10804" s="4" t="str">
        <f>HYPERLINK("https://www.ncbi.nlm.nih.gov/geo/query/acc.cgi?acc=GSM1616630","GSM1616630")</f>
        <v>GSM1616630</v>
      </c>
      <c r="I10804" t="s">
        <v>161</v>
      </c>
      <c r="J10804" t="s">
        <v>193</v>
      </c>
      <c r="K10804" t="s">
        <v>19</v>
      </c>
      <c r="L10804" t="s">
        <v>162</v>
      </c>
      <c r="M10804" t="s">
        <v>454</v>
      </c>
      <c r="N10804" t="s">
        <v>22</v>
      </c>
    </row>
    <row r="10805" spans="1:14">
      <c r="A10805" s="4" t="str">
        <f t="shared" si="956"/>
        <v>EXP00356</v>
      </c>
      <c r="B10805" s="4" t="str">
        <f t="shared" si="952"/>
        <v>26667932</v>
      </c>
      <c r="C10805" s="4" t="str">
        <f t="shared" si="953"/>
        <v>GSE74685</v>
      </c>
      <c r="D10805" s="1" t="s">
        <v>447</v>
      </c>
      <c r="E10805" t="s">
        <v>448</v>
      </c>
      <c r="F10805" s="1">
        <v>2</v>
      </c>
      <c r="G10805" s="1" t="s">
        <v>453</v>
      </c>
      <c r="H10805" s="4" t="str">
        <f>HYPERLINK("https://www.ncbi.nlm.nih.gov/geo/query/acc.cgi?acc=GSM1616631","GSM1616631")</f>
        <v>GSM1616631</v>
      </c>
      <c r="I10805" t="s">
        <v>161</v>
      </c>
      <c r="J10805" t="s">
        <v>193</v>
      </c>
      <c r="K10805" t="s">
        <v>19</v>
      </c>
      <c r="L10805" t="s">
        <v>162</v>
      </c>
      <c r="M10805" t="s">
        <v>454</v>
      </c>
      <c r="N10805" t="s">
        <v>22</v>
      </c>
    </row>
    <row r="10806" spans="1:14">
      <c r="A10806" s="4" t="str">
        <f t="shared" si="956"/>
        <v>EXP00356</v>
      </c>
      <c r="B10806" s="4" t="str">
        <f t="shared" si="952"/>
        <v>26667932</v>
      </c>
      <c r="C10806" s="4" t="str">
        <f t="shared" si="953"/>
        <v>GSE74685</v>
      </c>
      <c r="D10806" s="1" t="s">
        <v>447</v>
      </c>
      <c r="E10806" t="s">
        <v>448</v>
      </c>
      <c r="F10806" s="1">
        <v>2</v>
      </c>
      <c r="G10806" s="1" t="s">
        <v>453</v>
      </c>
      <c r="H10806" s="4" t="str">
        <f>HYPERLINK("https://www.ncbi.nlm.nih.gov/geo/query/acc.cgi?acc=GSM1930081","GSM1930081")</f>
        <v>GSM1930081</v>
      </c>
      <c r="I10806" t="s">
        <v>161</v>
      </c>
      <c r="J10806" t="s">
        <v>193</v>
      </c>
      <c r="K10806" t="s">
        <v>19</v>
      </c>
      <c r="L10806" t="s">
        <v>162</v>
      </c>
      <c r="M10806" t="s">
        <v>454</v>
      </c>
      <c r="N10806" t="s">
        <v>22</v>
      </c>
    </row>
    <row r="10807" spans="1:14">
      <c r="A10807" s="4" t="str">
        <f t="shared" si="956"/>
        <v>EXP00356</v>
      </c>
      <c r="B10807" s="4" t="str">
        <f t="shared" si="952"/>
        <v>26667932</v>
      </c>
      <c r="C10807" s="4" t="str">
        <f t="shared" si="953"/>
        <v>GSE74685</v>
      </c>
      <c r="D10807" s="1" t="s">
        <v>447</v>
      </c>
      <c r="E10807" t="s">
        <v>448</v>
      </c>
      <c r="F10807" s="1">
        <v>2</v>
      </c>
      <c r="G10807" s="1" t="s">
        <v>453</v>
      </c>
      <c r="H10807" s="4" t="str">
        <f>HYPERLINK("https://www.ncbi.nlm.nih.gov/geo/query/acc.cgi?acc=GSM1930131","GSM1930131")</f>
        <v>GSM1930131</v>
      </c>
      <c r="I10807" t="s">
        <v>161</v>
      </c>
      <c r="J10807" t="s">
        <v>193</v>
      </c>
      <c r="K10807" t="s">
        <v>19</v>
      </c>
      <c r="L10807" t="s">
        <v>162</v>
      </c>
      <c r="M10807" t="s">
        <v>454</v>
      </c>
      <c r="N10807" t="s">
        <v>22</v>
      </c>
    </row>
    <row r="10808" spans="1:14">
      <c r="A10808" s="4" t="str">
        <f t="shared" ref="A10808:A10818" si="957">HYPERLINK("http://hcmdb.i-sanger.com/experiment/details/experiment_id/EXP00357","EXP00357")</f>
        <v>EXP00357</v>
      </c>
      <c r="B10808" s="3" t="s">
        <v>66</v>
      </c>
      <c r="C10808" s="4" t="str">
        <f t="shared" ref="C10808:C10839" si="958">HYPERLINK("https://www.ncbi.nlm.nih.gov/geo/query/acc.cgi?acc=GSE75117","GSE75117")</f>
        <v>GSE75117</v>
      </c>
      <c r="D10808" s="1" t="s">
        <v>458</v>
      </c>
      <c r="E10808" t="s">
        <v>72</v>
      </c>
      <c r="F10808" s="1">
        <v>1</v>
      </c>
      <c r="G10808" s="1" t="s">
        <v>26</v>
      </c>
      <c r="H10808" s="4" t="str">
        <f>HYPERLINK("https://www.ncbi.nlm.nih.gov/geo/query/acc.cgi?acc=GSM1943563","GSM1943563")</f>
        <v>GSM1943563</v>
      </c>
      <c r="I10808" t="s">
        <v>69</v>
      </c>
      <c r="J10808" t="s">
        <v>18</v>
      </c>
      <c r="K10808" t="s">
        <v>19</v>
      </c>
      <c r="L10808" t="s">
        <v>70</v>
      </c>
      <c r="M10808" t="s">
        <v>44</v>
      </c>
      <c r="N10808" t="s">
        <v>22</v>
      </c>
    </row>
    <row r="10809" spans="1:14">
      <c r="A10809" s="4" t="str">
        <f t="shared" si="957"/>
        <v>EXP00357</v>
      </c>
      <c r="B10809" s="3" t="s">
        <v>66</v>
      </c>
      <c r="C10809" s="4" t="str">
        <f t="shared" si="958"/>
        <v>GSE75117</v>
      </c>
      <c r="D10809" s="1" t="s">
        <v>458</v>
      </c>
      <c r="E10809" t="s">
        <v>72</v>
      </c>
      <c r="F10809" s="1">
        <v>1</v>
      </c>
      <c r="G10809" s="1" t="s">
        <v>26</v>
      </c>
      <c r="H10809" s="4" t="str">
        <f>HYPERLINK("https://www.ncbi.nlm.nih.gov/geo/query/acc.cgi?acc=GSM1943574","GSM1943574")</f>
        <v>GSM1943574</v>
      </c>
      <c r="I10809" t="s">
        <v>69</v>
      </c>
      <c r="J10809" t="s">
        <v>18</v>
      </c>
      <c r="K10809" t="s">
        <v>19</v>
      </c>
      <c r="L10809" t="s">
        <v>70</v>
      </c>
      <c r="M10809" t="s">
        <v>44</v>
      </c>
      <c r="N10809" t="s">
        <v>22</v>
      </c>
    </row>
    <row r="10810" spans="1:14">
      <c r="A10810" s="4" t="str">
        <f t="shared" si="957"/>
        <v>EXP00357</v>
      </c>
      <c r="B10810" s="3" t="s">
        <v>66</v>
      </c>
      <c r="C10810" s="4" t="str">
        <f t="shared" si="958"/>
        <v>GSE75117</v>
      </c>
      <c r="D10810" s="1" t="s">
        <v>458</v>
      </c>
      <c r="E10810" t="s">
        <v>72</v>
      </c>
      <c r="F10810" s="1">
        <v>1</v>
      </c>
      <c r="G10810" s="1" t="s">
        <v>26</v>
      </c>
      <c r="H10810" s="4" t="str">
        <f>HYPERLINK("https://www.ncbi.nlm.nih.gov/geo/query/acc.cgi?acc=GSM1943575","GSM1943575")</f>
        <v>GSM1943575</v>
      </c>
      <c r="I10810" t="s">
        <v>69</v>
      </c>
      <c r="J10810" t="s">
        <v>18</v>
      </c>
      <c r="K10810" t="s">
        <v>19</v>
      </c>
      <c r="L10810" t="s">
        <v>70</v>
      </c>
      <c r="M10810" t="s">
        <v>44</v>
      </c>
      <c r="N10810" t="s">
        <v>22</v>
      </c>
    </row>
    <row r="10811" spans="1:14">
      <c r="A10811" s="4" t="str">
        <f t="shared" si="957"/>
        <v>EXP00357</v>
      </c>
      <c r="B10811" s="3" t="s">
        <v>66</v>
      </c>
      <c r="C10811" s="4" t="str">
        <f t="shared" si="958"/>
        <v>GSE75117</v>
      </c>
      <c r="D10811" s="1" t="s">
        <v>458</v>
      </c>
      <c r="E10811" t="s">
        <v>72</v>
      </c>
      <c r="F10811" s="1">
        <v>2</v>
      </c>
      <c r="G10811" s="1" t="s">
        <v>28</v>
      </c>
      <c r="H10811" s="4" t="str">
        <f>HYPERLINK("https://www.ncbi.nlm.nih.gov/geo/query/acc.cgi?acc=GSM1943559","GSM1943559")</f>
        <v>GSM1943559</v>
      </c>
      <c r="I10811" t="s">
        <v>69</v>
      </c>
      <c r="J10811" t="s">
        <v>18</v>
      </c>
      <c r="K10811" t="s">
        <v>19</v>
      </c>
      <c r="L10811" t="s">
        <v>70</v>
      </c>
      <c r="M10811" t="s">
        <v>44</v>
      </c>
      <c r="N10811" t="s">
        <v>29</v>
      </c>
    </row>
    <row r="10812" spans="1:14">
      <c r="A10812" s="4" t="str">
        <f t="shared" si="957"/>
        <v>EXP00357</v>
      </c>
      <c r="B10812" s="3" t="s">
        <v>66</v>
      </c>
      <c r="C10812" s="4" t="str">
        <f t="shared" si="958"/>
        <v>GSE75117</v>
      </c>
      <c r="D10812" s="1" t="s">
        <v>458</v>
      </c>
      <c r="E10812" t="s">
        <v>72</v>
      </c>
      <c r="F10812" s="1">
        <v>2</v>
      </c>
      <c r="G10812" s="1" t="s">
        <v>28</v>
      </c>
      <c r="H10812" s="4" t="str">
        <f>HYPERLINK("https://www.ncbi.nlm.nih.gov/geo/query/acc.cgi?acc=GSM1943560","GSM1943560")</f>
        <v>GSM1943560</v>
      </c>
      <c r="I10812" t="s">
        <v>69</v>
      </c>
      <c r="J10812" t="s">
        <v>18</v>
      </c>
      <c r="K10812" t="s">
        <v>19</v>
      </c>
      <c r="L10812" t="s">
        <v>70</v>
      </c>
      <c r="M10812" t="s">
        <v>44</v>
      </c>
      <c r="N10812" t="s">
        <v>29</v>
      </c>
    </row>
    <row r="10813" spans="1:14">
      <c r="A10813" s="4" t="str">
        <f t="shared" si="957"/>
        <v>EXP00357</v>
      </c>
      <c r="B10813" s="3" t="s">
        <v>66</v>
      </c>
      <c r="C10813" s="4" t="str">
        <f t="shared" si="958"/>
        <v>GSE75117</v>
      </c>
      <c r="D10813" s="1" t="s">
        <v>458</v>
      </c>
      <c r="E10813" t="s">
        <v>72</v>
      </c>
      <c r="F10813" s="1">
        <v>2</v>
      </c>
      <c r="G10813" s="1" t="s">
        <v>28</v>
      </c>
      <c r="H10813" s="4" t="str">
        <f>HYPERLINK("https://www.ncbi.nlm.nih.gov/geo/query/acc.cgi?acc=GSM1943561","GSM1943561")</f>
        <v>GSM1943561</v>
      </c>
      <c r="I10813" t="s">
        <v>69</v>
      </c>
      <c r="J10813" t="s">
        <v>18</v>
      </c>
      <c r="K10813" t="s">
        <v>19</v>
      </c>
      <c r="L10813" t="s">
        <v>70</v>
      </c>
      <c r="M10813" t="s">
        <v>44</v>
      </c>
      <c r="N10813" t="s">
        <v>29</v>
      </c>
    </row>
    <row r="10814" spans="1:14">
      <c r="A10814" s="4" t="str">
        <f t="shared" si="957"/>
        <v>EXP00357</v>
      </c>
      <c r="B10814" s="3" t="s">
        <v>66</v>
      </c>
      <c r="C10814" s="4" t="str">
        <f t="shared" si="958"/>
        <v>GSE75117</v>
      </c>
      <c r="D10814" s="1" t="s">
        <v>458</v>
      </c>
      <c r="E10814" t="s">
        <v>72</v>
      </c>
      <c r="F10814" s="1">
        <v>2</v>
      </c>
      <c r="G10814" s="1" t="s">
        <v>28</v>
      </c>
      <c r="H10814" s="4" t="str">
        <f>HYPERLINK("https://www.ncbi.nlm.nih.gov/geo/query/acc.cgi?acc=GSM1943569","GSM1943569")</f>
        <v>GSM1943569</v>
      </c>
      <c r="I10814" t="s">
        <v>69</v>
      </c>
      <c r="J10814" t="s">
        <v>18</v>
      </c>
      <c r="K10814" t="s">
        <v>19</v>
      </c>
      <c r="L10814" t="s">
        <v>70</v>
      </c>
      <c r="M10814" t="s">
        <v>44</v>
      </c>
      <c r="N10814" t="s">
        <v>29</v>
      </c>
    </row>
    <row r="10815" spans="1:14">
      <c r="A10815" s="4" t="str">
        <f t="shared" si="957"/>
        <v>EXP00357</v>
      </c>
      <c r="B10815" s="3" t="s">
        <v>66</v>
      </c>
      <c r="C10815" s="4" t="str">
        <f t="shared" si="958"/>
        <v>GSE75117</v>
      </c>
      <c r="D10815" s="1" t="s">
        <v>458</v>
      </c>
      <c r="E10815" t="s">
        <v>72</v>
      </c>
      <c r="F10815" s="1">
        <v>2</v>
      </c>
      <c r="G10815" s="1" t="s">
        <v>28</v>
      </c>
      <c r="H10815" s="4" t="str">
        <f>HYPERLINK("https://www.ncbi.nlm.nih.gov/geo/query/acc.cgi?acc=GSM1943570","GSM1943570")</f>
        <v>GSM1943570</v>
      </c>
      <c r="I10815" t="s">
        <v>69</v>
      </c>
      <c r="J10815" t="s">
        <v>18</v>
      </c>
      <c r="K10815" t="s">
        <v>19</v>
      </c>
      <c r="L10815" t="s">
        <v>70</v>
      </c>
      <c r="M10815" t="s">
        <v>44</v>
      </c>
      <c r="N10815" t="s">
        <v>29</v>
      </c>
    </row>
    <row r="10816" spans="1:14">
      <c r="A10816" s="4" t="str">
        <f t="shared" si="957"/>
        <v>EXP00357</v>
      </c>
      <c r="B10816" s="3" t="s">
        <v>66</v>
      </c>
      <c r="C10816" s="4" t="str">
        <f t="shared" si="958"/>
        <v>GSE75117</v>
      </c>
      <c r="D10816" s="1" t="s">
        <v>458</v>
      </c>
      <c r="E10816" t="s">
        <v>72</v>
      </c>
      <c r="F10816" s="1">
        <v>2</v>
      </c>
      <c r="G10816" s="1" t="s">
        <v>28</v>
      </c>
      <c r="H10816" s="4" t="str">
        <f>HYPERLINK("https://www.ncbi.nlm.nih.gov/geo/query/acc.cgi?acc=GSM1943571","GSM1943571")</f>
        <v>GSM1943571</v>
      </c>
      <c r="I10816" t="s">
        <v>69</v>
      </c>
      <c r="J10816" t="s">
        <v>18</v>
      </c>
      <c r="K10816" t="s">
        <v>19</v>
      </c>
      <c r="L10816" t="s">
        <v>70</v>
      </c>
      <c r="M10816" t="s">
        <v>44</v>
      </c>
      <c r="N10816" t="s">
        <v>29</v>
      </c>
    </row>
    <row r="10817" spans="1:14">
      <c r="A10817" s="4" t="str">
        <f t="shared" si="957"/>
        <v>EXP00357</v>
      </c>
      <c r="B10817" s="3" t="s">
        <v>66</v>
      </c>
      <c r="C10817" s="4" t="str">
        <f t="shared" si="958"/>
        <v>GSE75117</v>
      </c>
      <c r="D10817" s="1" t="s">
        <v>458</v>
      </c>
      <c r="E10817" t="s">
        <v>72</v>
      </c>
      <c r="F10817" s="1">
        <v>2</v>
      </c>
      <c r="G10817" s="1" t="s">
        <v>28</v>
      </c>
      <c r="H10817" s="4" t="str">
        <f>HYPERLINK("https://www.ncbi.nlm.nih.gov/geo/query/acc.cgi?acc=GSM1943572","GSM1943572")</f>
        <v>GSM1943572</v>
      </c>
      <c r="I10817" t="s">
        <v>69</v>
      </c>
      <c r="J10817" t="s">
        <v>18</v>
      </c>
      <c r="K10817" t="s">
        <v>19</v>
      </c>
      <c r="L10817" t="s">
        <v>70</v>
      </c>
      <c r="M10817" t="s">
        <v>44</v>
      </c>
      <c r="N10817" t="s">
        <v>29</v>
      </c>
    </row>
    <row r="10818" spans="1:14">
      <c r="A10818" s="4" t="str">
        <f t="shared" si="957"/>
        <v>EXP00357</v>
      </c>
      <c r="B10818" s="3" t="s">
        <v>66</v>
      </c>
      <c r="C10818" s="4" t="str">
        <f t="shared" si="958"/>
        <v>GSE75117</v>
      </c>
      <c r="D10818" s="1" t="s">
        <v>458</v>
      </c>
      <c r="E10818" t="s">
        <v>72</v>
      </c>
      <c r="F10818" s="1">
        <v>2</v>
      </c>
      <c r="G10818" s="1" t="s">
        <v>28</v>
      </c>
      <c r="H10818" s="4" t="str">
        <f>HYPERLINK("https://www.ncbi.nlm.nih.gov/geo/query/acc.cgi?acc=GSM1943573","GSM1943573")</f>
        <v>GSM1943573</v>
      </c>
      <c r="I10818" t="s">
        <v>69</v>
      </c>
      <c r="J10818" t="s">
        <v>18</v>
      </c>
      <c r="K10818" t="s">
        <v>19</v>
      </c>
      <c r="L10818" t="s">
        <v>70</v>
      </c>
      <c r="M10818" t="s">
        <v>44</v>
      </c>
      <c r="N10818" t="s">
        <v>29</v>
      </c>
    </row>
    <row r="10819" spans="1:14">
      <c r="A10819" s="4" t="str">
        <f t="shared" ref="A10819:A10824" si="959">HYPERLINK("http://hcmdb.i-sanger.com/experiment/details/experiment_id/EXP00358","EXP00358")</f>
        <v>EXP00358</v>
      </c>
      <c r="B10819" s="3" t="s">
        <v>66</v>
      </c>
      <c r="C10819" s="4" t="str">
        <f t="shared" si="958"/>
        <v>GSE75117</v>
      </c>
      <c r="D10819" s="1" t="s">
        <v>458</v>
      </c>
      <c r="E10819" t="s">
        <v>459</v>
      </c>
      <c r="F10819" s="1">
        <v>1</v>
      </c>
      <c r="G10819" s="1" t="s">
        <v>26</v>
      </c>
      <c r="H10819" s="4" t="str">
        <f>HYPERLINK("https://www.ncbi.nlm.nih.gov/geo/query/acc.cgi?acc=GSM1943558","GSM1943558")</f>
        <v>GSM1943558</v>
      </c>
      <c r="I10819" t="s">
        <v>69</v>
      </c>
      <c r="J10819" t="s">
        <v>18</v>
      </c>
      <c r="K10819" t="s">
        <v>19</v>
      </c>
      <c r="L10819" t="s">
        <v>70</v>
      </c>
      <c r="M10819" t="s">
        <v>292</v>
      </c>
      <c r="N10819" t="s">
        <v>22</v>
      </c>
    </row>
    <row r="10820" spans="1:14">
      <c r="A10820" s="4" t="str">
        <f t="shared" si="959"/>
        <v>EXP00358</v>
      </c>
      <c r="B10820" s="3" t="s">
        <v>66</v>
      </c>
      <c r="C10820" s="4" t="str">
        <f t="shared" si="958"/>
        <v>GSE75117</v>
      </c>
      <c r="D10820" s="1" t="s">
        <v>458</v>
      </c>
      <c r="E10820" t="s">
        <v>459</v>
      </c>
      <c r="F10820" s="1">
        <v>1</v>
      </c>
      <c r="G10820" s="1" t="s">
        <v>26</v>
      </c>
      <c r="H10820" s="4" t="str">
        <f>HYPERLINK("https://www.ncbi.nlm.nih.gov/geo/query/acc.cgi?acc=GSM1943582","GSM1943582")</f>
        <v>GSM1943582</v>
      </c>
      <c r="I10820" t="s">
        <v>69</v>
      </c>
      <c r="J10820" t="s">
        <v>18</v>
      </c>
      <c r="K10820" t="s">
        <v>19</v>
      </c>
      <c r="L10820" t="s">
        <v>70</v>
      </c>
      <c r="M10820" t="s">
        <v>292</v>
      </c>
      <c r="N10820" t="s">
        <v>22</v>
      </c>
    </row>
    <row r="10821" spans="1:14">
      <c r="A10821" s="4" t="str">
        <f t="shared" si="959"/>
        <v>EXP00358</v>
      </c>
      <c r="B10821" s="3" t="s">
        <v>66</v>
      </c>
      <c r="C10821" s="4" t="str">
        <f t="shared" si="958"/>
        <v>GSE75117</v>
      </c>
      <c r="D10821" s="1" t="s">
        <v>458</v>
      </c>
      <c r="E10821" t="s">
        <v>459</v>
      </c>
      <c r="F10821" s="1">
        <v>1</v>
      </c>
      <c r="G10821" s="1" t="s">
        <v>26</v>
      </c>
      <c r="H10821" s="4" t="str">
        <f>HYPERLINK("https://www.ncbi.nlm.nih.gov/geo/query/acc.cgi?acc=GSM1943583","GSM1943583")</f>
        <v>GSM1943583</v>
      </c>
      <c r="I10821" t="s">
        <v>69</v>
      </c>
      <c r="J10821" t="s">
        <v>18</v>
      </c>
      <c r="K10821" t="s">
        <v>19</v>
      </c>
      <c r="L10821" t="s">
        <v>70</v>
      </c>
      <c r="M10821" t="s">
        <v>292</v>
      </c>
      <c r="N10821" t="s">
        <v>22</v>
      </c>
    </row>
    <row r="10822" spans="1:14">
      <c r="A10822" s="4" t="str">
        <f t="shared" si="959"/>
        <v>EXP00358</v>
      </c>
      <c r="B10822" s="3" t="s">
        <v>66</v>
      </c>
      <c r="C10822" s="4" t="str">
        <f t="shared" si="958"/>
        <v>GSE75117</v>
      </c>
      <c r="D10822" s="1" t="s">
        <v>458</v>
      </c>
      <c r="E10822" t="s">
        <v>459</v>
      </c>
      <c r="F10822" s="1">
        <v>2</v>
      </c>
      <c r="G10822" s="1" t="s">
        <v>28</v>
      </c>
      <c r="H10822" s="4" t="str">
        <f>HYPERLINK("https://www.ncbi.nlm.nih.gov/geo/query/acc.cgi?acc=GSM1943555","GSM1943555")</f>
        <v>GSM1943555</v>
      </c>
      <c r="I10822" t="s">
        <v>69</v>
      </c>
      <c r="J10822" t="s">
        <v>18</v>
      </c>
      <c r="K10822" t="s">
        <v>19</v>
      </c>
      <c r="L10822" t="s">
        <v>70</v>
      </c>
      <c r="M10822" t="s">
        <v>292</v>
      </c>
      <c r="N10822" t="s">
        <v>29</v>
      </c>
    </row>
    <row r="10823" spans="1:14">
      <c r="A10823" s="4" t="str">
        <f t="shared" si="959"/>
        <v>EXP00358</v>
      </c>
      <c r="B10823" s="3" t="s">
        <v>66</v>
      </c>
      <c r="C10823" s="4" t="str">
        <f t="shared" si="958"/>
        <v>GSE75117</v>
      </c>
      <c r="D10823" s="1" t="s">
        <v>458</v>
      </c>
      <c r="E10823" t="s">
        <v>459</v>
      </c>
      <c r="F10823" s="1">
        <v>2</v>
      </c>
      <c r="G10823" s="1" t="s">
        <v>28</v>
      </c>
      <c r="H10823" s="4" t="str">
        <f>HYPERLINK("https://www.ncbi.nlm.nih.gov/geo/query/acc.cgi?acc=GSM1943556","GSM1943556")</f>
        <v>GSM1943556</v>
      </c>
      <c r="I10823" t="s">
        <v>69</v>
      </c>
      <c r="J10823" t="s">
        <v>18</v>
      </c>
      <c r="K10823" t="s">
        <v>19</v>
      </c>
      <c r="L10823" t="s">
        <v>70</v>
      </c>
      <c r="M10823" t="s">
        <v>292</v>
      </c>
      <c r="N10823" t="s">
        <v>29</v>
      </c>
    </row>
    <row r="10824" spans="1:14">
      <c r="A10824" s="4" t="str">
        <f t="shared" si="959"/>
        <v>EXP00358</v>
      </c>
      <c r="B10824" s="3" t="s">
        <v>66</v>
      </c>
      <c r="C10824" s="4" t="str">
        <f t="shared" si="958"/>
        <v>GSE75117</v>
      </c>
      <c r="D10824" s="1" t="s">
        <v>458</v>
      </c>
      <c r="E10824" t="s">
        <v>459</v>
      </c>
      <c r="F10824" s="1">
        <v>2</v>
      </c>
      <c r="G10824" s="1" t="s">
        <v>28</v>
      </c>
      <c r="H10824" s="4" t="str">
        <f>HYPERLINK("https://www.ncbi.nlm.nih.gov/geo/query/acc.cgi?acc=GSM1943557","GSM1943557")</f>
        <v>GSM1943557</v>
      </c>
      <c r="I10824" t="s">
        <v>69</v>
      </c>
      <c r="J10824" t="s">
        <v>18</v>
      </c>
      <c r="K10824" t="s">
        <v>19</v>
      </c>
      <c r="L10824" t="s">
        <v>70</v>
      </c>
      <c r="M10824" t="s">
        <v>292</v>
      </c>
      <c r="N10824" t="s">
        <v>29</v>
      </c>
    </row>
    <row r="10825" spans="1:14">
      <c r="A10825" s="4" t="str">
        <f t="shared" ref="A10825:A10835" si="960">HYPERLINK("http://hcmdb.i-sanger.com/experiment/details/experiment_id/EXP00359","EXP00359")</f>
        <v>EXP00359</v>
      </c>
      <c r="B10825" s="3" t="s">
        <v>66</v>
      </c>
      <c r="C10825" s="4" t="str">
        <f t="shared" si="958"/>
        <v>GSE75117</v>
      </c>
      <c r="D10825" s="1" t="s">
        <v>458</v>
      </c>
      <c r="E10825" t="s">
        <v>73</v>
      </c>
      <c r="F10825" s="1">
        <v>1</v>
      </c>
      <c r="G10825" s="1" t="s">
        <v>36</v>
      </c>
      <c r="H10825" s="4" t="str">
        <f>HYPERLINK("https://www.ncbi.nlm.nih.gov/geo/query/acc.cgi?acc=GSM1943562","GSM1943562")</f>
        <v>GSM1943562</v>
      </c>
      <c r="I10825" t="s">
        <v>69</v>
      </c>
      <c r="J10825" t="s">
        <v>18</v>
      </c>
      <c r="K10825" t="s">
        <v>19</v>
      </c>
      <c r="L10825" t="s">
        <v>70</v>
      </c>
      <c r="M10825" t="s">
        <v>44</v>
      </c>
      <c r="N10825" t="s">
        <v>37</v>
      </c>
    </row>
    <row r="10826" spans="1:14">
      <c r="A10826" s="4" t="str">
        <f t="shared" si="960"/>
        <v>EXP00359</v>
      </c>
      <c r="B10826" s="3" t="s">
        <v>66</v>
      </c>
      <c r="C10826" s="4" t="str">
        <f t="shared" si="958"/>
        <v>GSE75117</v>
      </c>
      <c r="D10826" s="1" t="s">
        <v>458</v>
      </c>
      <c r="E10826" t="s">
        <v>73</v>
      </c>
      <c r="F10826" s="1">
        <v>1</v>
      </c>
      <c r="G10826" s="1" t="s">
        <v>36</v>
      </c>
      <c r="H10826" s="4" t="str">
        <f>HYPERLINK("https://www.ncbi.nlm.nih.gov/geo/query/acc.cgi?acc=GSM1943568","GSM1943568")</f>
        <v>GSM1943568</v>
      </c>
      <c r="I10826" t="s">
        <v>69</v>
      </c>
      <c r="J10826" t="s">
        <v>18</v>
      </c>
      <c r="K10826" t="s">
        <v>19</v>
      </c>
      <c r="L10826" t="s">
        <v>70</v>
      </c>
      <c r="M10826" t="s">
        <v>44</v>
      </c>
      <c r="N10826" t="s">
        <v>37</v>
      </c>
    </row>
    <row r="10827" spans="1:14">
      <c r="A10827" s="4" t="str">
        <f t="shared" si="960"/>
        <v>EXP00359</v>
      </c>
      <c r="B10827" s="3" t="s">
        <v>66</v>
      </c>
      <c r="C10827" s="4" t="str">
        <f t="shared" si="958"/>
        <v>GSE75117</v>
      </c>
      <c r="D10827" s="1" t="s">
        <v>458</v>
      </c>
      <c r="E10827" t="s">
        <v>73</v>
      </c>
      <c r="F10827" s="1">
        <v>1</v>
      </c>
      <c r="G10827" s="1" t="s">
        <v>36</v>
      </c>
      <c r="H10827" s="4" t="str">
        <f>HYPERLINK("https://www.ncbi.nlm.nih.gov/geo/query/acc.cgi?acc=GSM1943576","GSM1943576")</f>
        <v>GSM1943576</v>
      </c>
      <c r="I10827" t="s">
        <v>69</v>
      </c>
      <c r="J10827" t="s">
        <v>18</v>
      </c>
      <c r="K10827" t="s">
        <v>19</v>
      </c>
      <c r="L10827" t="s">
        <v>70</v>
      </c>
      <c r="M10827" t="s">
        <v>44</v>
      </c>
      <c r="N10827" t="s">
        <v>37</v>
      </c>
    </row>
    <row r="10828" spans="1:14">
      <c r="A10828" s="4" t="str">
        <f t="shared" si="960"/>
        <v>EXP00359</v>
      </c>
      <c r="B10828" s="3" t="s">
        <v>66</v>
      </c>
      <c r="C10828" s="4" t="str">
        <f t="shared" si="958"/>
        <v>GSE75117</v>
      </c>
      <c r="D10828" s="1" t="s">
        <v>458</v>
      </c>
      <c r="E10828" t="s">
        <v>73</v>
      </c>
      <c r="F10828" s="1">
        <v>2</v>
      </c>
      <c r="G10828" s="1" t="s">
        <v>28</v>
      </c>
      <c r="H10828" s="4" t="str">
        <f>HYPERLINK("https://www.ncbi.nlm.nih.gov/geo/query/acc.cgi?acc=GSM1943559","GSM1943559")</f>
        <v>GSM1943559</v>
      </c>
      <c r="I10828" t="s">
        <v>69</v>
      </c>
      <c r="J10828" t="s">
        <v>18</v>
      </c>
      <c r="K10828" t="s">
        <v>19</v>
      </c>
      <c r="L10828" t="s">
        <v>70</v>
      </c>
      <c r="M10828" t="s">
        <v>44</v>
      </c>
      <c r="N10828" t="s">
        <v>29</v>
      </c>
    </row>
    <row r="10829" spans="1:14">
      <c r="A10829" s="4" t="str">
        <f t="shared" si="960"/>
        <v>EXP00359</v>
      </c>
      <c r="B10829" s="3" t="s">
        <v>66</v>
      </c>
      <c r="C10829" s="4" t="str">
        <f t="shared" si="958"/>
        <v>GSE75117</v>
      </c>
      <c r="D10829" s="1" t="s">
        <v>458</v>
      </c>
      <c r="E10829" t="s">
        <v>73</v>
      </c>
      <c r="F10829" s="1">
        <v>2</v>
      </c>
      <c r="G10829" s="1" t="s">
        <v>28</v>
      </c>
      <c r="H10829" s="4" t="str">
        <f>HYPERLINK("https://www.ncbi.nlm.nih.gov/geo/query/acc.cgi?acc=GSM1943560","GSM1943560")</f>
        <v>GSM1943560</v>
      </c>
      <c r="I10829" t="s">
        <v>69</v>
      </c>
      <c r="J10829" t="s">
        <v>18</v>
      </c>
      <c r="K10829" t="s">
        <v>19</v>
      </c>
      <c r="L10829" t="s">
        <v>70</v>
      </c>
      <c r="M10829" t="s">
        <v>44</v>
      </c>
      <c r="N10829" t="s">
        <v>29</v>
      </c>
    </row>
    <row r="10830" spans="1:14">
      <c r="A10830" s="4" t="str">
        <f t="shared" si="960"/>
        <v>EXP00359</v>
      </c>
      <c r="B10830" s="3" t="s">
        <v>66</v>
      </c>
      <c r="C10830" s="4" t="str">
        <f t="shared" si="958"/>
        <v>GSE75117</v>
      </c>
      <c r="D10830" s="1" t="s">
        <v>458</v>
      </c>
      <c r="E10830" t="s">
        <v>73</v>
      </c>
      <c r="F10830" s="1">
        <v>2</v>
      </c>
      <c r="G10830" s="1" t="s">
        <v>28</v>
      </c>
      <c r="H10830" s="4" t="str">
        <f>HYPERLINK("https://www.ncbi.nlm.nih.gov/geo/query/acc.cgi?acc=GSM1943561","GSM1943561")</f>
        <v>GSM1943561</v>
      </c>
      <c r="I10830" t="s">
        <v>69</v>
      </c>
      <c r="J10830" t="s">
        <v>18</v>
      </c>
      <c r="K10830" t="s">
        <v>19</v>
      </c>
      <c r="L10830" t="s">
        <v>70</v>
      </c>
      <c r="M10830" t="s">
        <v>44</v>
      </c>
      <c r="N10830" t="s">
        <v>29</v>
      </c>
    </row>
    <row r="10831" spans="1:14">
      <c r="A10831" s="4" t="str">
        <f t="shared" si="960"/>
        <v>EXP00359</v>
      </c>
      <c r="B10831" s="3" t="s">
        <v>66</v>
      </c>
      <c r="C10831" s="4" t="str">
        <f t="shared" si="958"/>
        <v>GSE75117</v>
      </c>
      <c r="D10831" s="1" t="s">
        <v>458</v>
      </c>
      <c r="E10831" t="s">
        <v>73</v>
      </c>
      <c r="F10831" s="1">
        <v>2</v>
      </c>
      <c r="G10831" s="1" t="s">
        <v>28</v>
      </c>
      <c r="H10831" s="4" t="str">
        <f>HYPERLINK("https://www.ncbi.nlm.nih.gov/geo/query/acc.cgi?acc=GSM1943569","GSM1943569")</f>
        <v>GSM1943569</v>
      </c>
      <c r="I10831" t="s">
        <v>69</v>
      </c>
      <c r="J10831" t="s">
        <v>18</v>
      </c>
      <c r="K10831" t="s">
        <v>19</v>
      </c>
      <c r="L10831" t="s">
        <v>70</v>
      </c>
      <c r="M10831" t="s">
        <v>44</v>
      </c>
      <c r="N10831" t="s">
        <v>29</v>
      </c>
    </row>
    <row r="10832" spans="1:14">
      <c r="A10832" s="4" t="str">
        <f t="shared" si="960"/>
        <v>EXP00359</v>
      </c>
      <c r="B10832" s="3" t="s">
        <v>66</v>
      </c>
      <c r="C10832" s="4" t="str">
        <f t="shared" si="958"/>
        <v>GSE75117</v>
      </c>
      <c r="D10832" s="1" t="s">
        <v>458</v>
      </c>
      <c r="E10832" t="s">
        <v>73</v>
      </c>
      <c r="F10832" s="1">
        <v>2</v>
      </c>
      <c r="G10832" s="1" t="s">
        <v>28</v>
      </c>
      <c r="H10832" s="4" t="str">
        <f>HYPERLINK("https://www.ncbi.nlm.nih.gov/geo/query/acc.cgi?acc=GSM1943570","GSM1943570")</f>
        <v>GSM1943570</v>
      </c>
      <c r="I10832" t="s">
        <v>69</v>
      </c>
      <c r="J10832" t="s">
        <v>18</v>
      </c>
      <c r="K10832" t="s">
        <v>19</v>
      </c>
      <c r="L10832" t="s">
        <v>70</v>
      </c>
      <c r="M10832" t="s">
        <v>44</v>
      </c>
      <c r="N10832" t="s">
        <v>29</v>
      </c>
    </row>
    <row r="10833" spans="1:14">
      <c r="A10833" s="4" t="str">
        <f t="shared" si="960"/>
        <v>EXP00359</v>
      </c>
      <c r="B10833" s="3" t="s">
        <v>66</v>
      </c>
      <c r="C10833" s="4" t="str">
        <f t="shared" si="958"/>
        <v>GSE75117</v>
      </c>
      <c r="D10833" s="1" t="s">
        <v>458</v>
      </c>
      <c r="E10833" t="s">
        <v>73</v>
      </c>
      <c r="F10833" s="1">
        <v>2</v>
      </c>
      <c r="G10833" s="1" t="s">
        <v>28</v>
      </c>
      <c r="H10833" s="4" t="str">
        <f>HYPERLINK("https://www.ncbi.nlm.nih.gov/geo/query/acc.cgi?acc=GSM1943571","GSM1943571")</f>
        <v>GSM1943571</v>
      </c>
      <c r="I10833" t="s">
        <v>69</v>
      </c>
      <c r="J10833" t="s">
        <v>18</v>
      </c>
      <c r="K10833" t="s">
        <v>19</v>
      </c>
      <c r="L10833" t="s">
        <v>70</v>
      </c>
      <c r="M10833" t="s">
        <v>44</v>
      </c>
      <c r="N10833" t="s">
        <v>29</v>
      </c>
    </row>
    <row r="10834" spans="1:14">
      <c r="A10834" s="4" t="str">
        <f t="shared" si="960"/>
        <v>EXP00359</v>
      </c>
      <c r="B10834" s="3" t="s">
        <v>66</v>
      </c>
      <c r="C10834" s="4" t="str">
        <f t="shared" si="958"/>
        <v>GSE75117</v>
      </c>
      <c r="D10834" s="1" t="s">
        <v>458</v>
      </c>
      <c r="E10834" t="s">
        <v>73</v>
      </c>
      <c r="F10834" s="1">
        <v>2</v>
      </c>
      <c r="G10834" s="1" t="s">
        <v>28</v>
      </c>
      <c r="H10834" s="4" t="str">
        <f>HYPERLINK("https://www.ncbi.nlm.nih.gov/geo/query/acc.cgi?acc=GSM1943572","GSM1943572")</f>
        <v>GSM1943572</v>
      </c>
      <c r="I10834" t="s">
        <v>69</v>
      </c>
      <c r="J10834" t="s">
        <v>18</v>
      </c>
      <c r="K10834" t="s">
        <v>19</v>
      </c>
      <c r="L10834" t="s">
        <v>70</v>
      </c>
      <c r="M10834" t="s">
        <v>44</v>
      </c>
      <c r="N10834" t="s">
        <v>29</v>
      </c>
    </row>
    <row r="10835" spans="1:14">
      <c r="A10835" s="4" t="str">
        <f t="shared" si="960"/>
        <v>EXP00359</v>
      </c>
      <c r="B10835" s="3" t="s">
        <v>66</v>
      </c>
      <c r="C10835" s="4" t="str">
        <f t="shared" si="958"/>
        <v>GSE75117</v>
      </c>
      <c r="D10835" s="1" t="s">
        <v>458</v>
      </c>
      <c r="E10835" t="s">
        <v>73</v>
      </c>
      <c r="F10835" s="1">
        <v>2</v>
      </c>
      <c r="G10835" s="1" t="s">
        <v>28</v>
      </c>
      <c r="H10835" s="4" t="str">
        <f>HYPERLINK("https://www.ncbi.nlm.nih.gov/geo/query/acc.cgi?acc=GSM1943573","GSM1943573")</f>
        <v>GSM1943573</v>
      </c>
      <c r="I10835" t="s">
        <v>69</v>
      </c>
      <c r="J10835" t="s">
        <v>18</v>
      </c>
      <c r="K10835" t="s">
        <v>19</v>
      </c>
      <c r="L10835" t="s">
        <v>70</v>
      </c>
      <c r="M10835" t="s">
        <v>44</v>
      </c>
      <c r="N10835" t="s">
        <v>29</v>
      </c>
    </row>
    <row r="10836" spans="1:14">
      <c r="A10836" s="4" t="str">
        <f t="shared" ref="A10836:A10850" si="961">HYPERLINK("http://hcmdb.i-sanger.com/experiment/details/experiment_id/EXP00360","EXP00360")</f>
        <v>EXP00360</v>
      </c>
      <c r="B10836" s="3" t="s">
        <v>66</v>
      </c>
      <c r="C10836" s="4" t="str">
        <f t="shared" si="958"/>
        <v>GSE75117</v>
      </c>
      <c r="D10836" s="1" t="s">
        <v>458</v>
      </c>
      <c r="E10836" t="s">
        <v>101</v>
      </c>
      <c r="F10836" s="1">
        <v>1</v>
      </c>
      <c r="G10836" s="1" t="s">
        <v>104</v>
      </c>
      <c r="H10836" s="4" t="str">
        <f>HYPERLINK("https://www.ncbi.nlm.nih.gov/geo/query/acc.cgi?acc=GSM1943559","GSM1943559")</f>
        <v>GSM1943559</v>
      </c>
      <c r="I10836" t="s">
        <v>69</v>
      </c>
      <c r="J10836" t="s">
        <v>18</v>
      </c>
      <c r="K10836" t="s">
        <v>19</v>
      </c>
      <c r="L10836" t="s">
        <v>70</v>
      </c>
      <c r="M10836" t="s">
        <v>44</v>
      </c>
      <c r="N10836" t="s">
        <v>29</v>
      </c>
    </row>
    <row r="10837" spans="1:14">
      <c r="A10837" s="4" t="str">
        <f t="shared" si="961"/>
        <v>EXP00360</v>
      </c>
      <c r="B10837" s="3" t="s">
        <v>66</v>
      </c>
      <c r="C10837" s="4" t="str">
        <f t="shared" si="958"/>
        <v>GSE75117</v>
      </c>
      <c r="D10837" s="1" t="s">
        <v>458</v>
      </c>
      <c r="E10837" t="s">
        <v>101</v>
      </c>
      <c r="F10837" s="1">
        <v>1</v>
      </c>
      <c r="G10837" s="1" t="s">
        <v>104</v>
      </c>
      <c r="H10837" s="4" t="str">
        <f>HYPERLINK("https://www.ncbi.nlm.nih.gov/geo/query/acc.cgi?acc=GSM1943560","GSM1943560")</f>
        <v>GSM1943560</v>
      </c>
      <c r="I10837" t="s">
        <v>69</v>
      </c>
      <c r="J10837" t="s">
        <v>18</v>
      </c>
      <c r="K10837" t="s">
        <v>19</v>
      </c>
      <c r="L10837" t="s">
        <v>70</v>
      </c>
      <c r="M10837" t="s">
        <v>44</v>
      </c>
      <c r="N10837" t="s">
        <v>29</v>
      </c>
    </row>
    <row r="10838" spans="1:14">
      <c r="A10838" s="4" t="str">
        <f t="shared" si="961"/>
        <v>EXP00360</v>
      </c>
      <c r="B10838" s="3" t="s">
        <v>66</v>
      </c>
      <c r="C10838" s="4" t="str">
        <f t="shared" si="958"/>
        <v>GSE75117</v>
      </c>
      <c r="D10838" s="1" t="s">
        <v>458</v>
      </c>
      <c r="E10838" t="s">
        <v>101</v>
      </c>
      <c r="F10838" s="1">
        <v>1</v>
      </c>
      <c r="G10838" s="1" t="s">
        <v>104</v>
      </c>
      <c r="H10838" s="4" t="str">
        <f>HYPERLINK("https://www.ncbi.nlm.nih.gov/geo/query/acc.cgi?acc=GSM1943561","GSM1943561")</f>
        <v>GSM1943561</v>
      </c>
      <c r="I10838" t="s">
        <v>69</v>
      </c>
      <c r="J10838" t="s">
        <v>18</v>
      </c>
      <c r="K10838" t="s">
        <v>19</v>
      </c>
      <c r="L10838" t="s">
        <v>70</v>
      </c>
      <c r="M10838" t="s">
        <v>44</v>
      </c>
      <c r="N10838" t="s">
        <v>29</v>
      </c>
    </row>
    <row r="10839" spans="1:14">
      <c r="A10839" s="4" t="str">
        <f t="shared" si="961"/>
        <v>EXP00360</v>
      </c>
      <c r="B10839" s="3" t="s">
        <v>66</v>
      </c>
      <c r="C10839" s="4" t="str">
        <f t="shared" si="958"/>
        <v>GSE75117</v>
      </c>
      <c r="D10839" s="1" t="s">
        <v>458</v>
      </c>
      <c r="E10839" t="s">
        <v>101</v>
      </c>
      <c r="F10839" s="1">
        <v>1</v>
      </c>
      <c r="G10839" s="1" t="s">
        <v>104</v>
      </c>
      <c r="H10839" s="4" t="str">
        <f>HYPERLINK("https://www.ncbi.nlm.nih.gov/geo/query/acc.cgi?acc=GSM1943569","GSM1943569")</f>
        <v>GSM1943569</v>
      </c>
      <c r="I10839" t="s">
        <v>69</v>
      </c>
      <c r="J10839" t="s">
        <v>18</v>
      </c>
      <c r="K10839" t="s">
        <v>19</v>
      </c>
      <c r="L10839" t="s">
        <v>70</v>
      </c>
      <c r="M10839" t="s">
        <v>44</v>
      </c>
      <c r="N10839" t="s">
        <v>29</v>
      </c>
    </row>
    <row r="10840" spans="1:14">
      <c r="A10840" s="4" t="str">
        <f t="shared" si="961"/>
        <v>EXP00360</v>
      </c>
      <c r="B10840" s="3" t="s">
        <v>66</v>
      </c>
      <c r="C10840" s="4" t="str">
        <f t="shared" ref="C10840:C10871" si="962">HYPERLINK("https://www.ncbi.nlm.nih.gov/geo/query/acc.cgi?acc=GSE75117","GSE75117")</f>
        <v>GSE75117</v>
      </c>
      <c r="D10840" s="1" t="s">
        <v>458</v>
      </c>
      <c r="E10840" t="s">
        <v>101</v>
      </c>
      <c r="F10840" s="1">
        <v>1</v>
      </c>
      <c r="G10840" s="1" t="s">
        <v>104</v>
      </c>
      <c r="H10840" s="4" t="str">
        <f>HYPERLINK("https://www.ncbi.nlm.nih.gov/geo/query/acc.cgi?acc=GSM1943570","GSM1943570")</f>
        <v>GSM1943570</v>
      </c>
      <c r="I10840" t="s">
        <v>69</v>
      </c>
      <c r="J10840" t="s">
        <v>18</v>
      </c>
      <c r="K10840" t="s">
        <v>19</v>
      </c>
      <c r="L10840" t="s">
        <v>70</v>
      </c>
      <c r="M10840" t="s">
        <v>44</v>
      </c>
      <c r="N10840" t="s">
        <v>29</v>
      </c>
    </row>
    <row r="10841" spans="1:14">
      <c r="A10841" s="4" t="str">
        <f t="shared" si="961"/>
        <v>EXP00360</v>
      </c>
      <c r="B10841" s="3" t="s">
        <v>66</v>
      </c>
      <c r="C10841" s="4" t="str">
        <f t="shared" si="962"/>
        <v>GSE75117</v>
      </c>
      <c r="D10841" s="1" t="s">
        <v>458</v>
      </c>
      <c r="E10841" t="s">
        <v>101</v>
      </c>
      <c r="F10841" s="1">
        <v>1</v>
      </c>
      <c r="G10841" s="1" t="s">
        <v>104</v>
      </c>
      <c r="H10841" s="4" t="str">
        <f>HYPERLINK("https://www.ncbi.nlm.nih.gov/geo/query/acc.cgi?acc=GSM1943571","GSM1943571")</f>
        <v>GSM1943571</v>
      </c>
      <c r="I10841" t="s">
        <v>69</v>
      </c>
      <c r="J10841" t="s">
        <v>18</v>
      </c>
      <c r="K10841" t="s">
        <v>19</v>
      </c>
      <c r="L10841" t="s">
        <v>70</v>
      </c>
      <c r="M10841" t="s">
        <v>44</v>
      </c>
      <c r="N10841" t="s">
        <v>29</v>
      </c>
    </row>
    <row r="10842" spans="1:14">
      <c r="A10842" s="4" t="str">
        <f t="shared" si="961"/>
        <v>EXP00360</v>
      </c>
      <c r="B10842" s="3" t="s">
        <v>66</v>
      </c>
      <c r="C10842" s="4" t="str">
        <f t="shared" si="962"/>
        <v>GSE75117</v>
      </c>
      <c r="D10842" s="1" t="s">
        <v>458</v>
      </c>
      <c r="E10842" t="s">
        <v>101</v>
      </c>
      <c r="F10842" s="1">
        <v>1</v>
      </c>
      <c r="G10842" s="1" t="s">
        <v>104</v>
      </c>
      <c r="H10842" s="4" t="str">
        <f>HYPERLINK("https://www.ncbi.nlm.nih.gov/geo/query/acc.cgi?acc=GSM1943572","GSM1943572")</f>
        <v>GSM1943572</v>
      </c>
      <c r="I10842" t="s">
        <v>69</v>
      </c>
      <c r="J10842" t="s">
        <v>18</v>
      </c>
      <c r="K10842" t="s">
        <v>19</v>
      </c>
      <c r="L10842" t="s">
        <v>70</v>
      </c>
      <c r="M10842" t="s">
        <v>44</v>
      </c>
      <c r="N10842" t="s">
        <v>29</v>
      </c>
    </row>
    <row r="10843" spans="1:14">
      <c r="A10843" s="4" t="str">
        <f t="shared" si="961"/>
        <v>EXP00360</v>
      </c>
      <c r="B10843" s="3" t="s">
        <v>66</v>
      </c>
      <c r="C10843" s="4" t="str">
        <f t="shared" si="962"/>
        <v>GSE75117</v>
      </c>
      <c r="D10843" s="1" t="s">
        <v>458</v>
      </c>
      <c r="E10843" t="s">
        <v>101</v>
      </c>
      <c r="F10843" s="1">
        <v>1</v>
      </c>
      <c r="G10843" s="1" t="s">
        <v>104</v>
      </c>
      <c r="H10843" s="4" t="str">
        <f>HYPERLINK("https://www.ncbi.nlm.nih.gov/geo/query/acc.cgi?acc=GSM1943573","GSM1943573")</f>
        <v>GSM1943573</v>
      </c>
      <c r="I10843" t="s">
        <v>69</v>
      </c>
      <c r="J10843" t="s">
        <v>18</v>
      </c>
      <c r="K10843" t="s">
        <v>19</v>
      </c>
      <c r="L10843" t="s">
        <v>70</v>
      </c>
      <c r="M10843" t="s">
        <v>44</v>
      </c>
      <c r="N10843" t="s">
        <v>29</v>
      </c>
    </row>
    <row r="10844" spans="1:14">
      <c r="A10844" s="4" t="str">
        <f t="shared" si="961"/>
        <v>EXP00360</v>
      </c>
      <c r="B10844" s="3" t="s">
        <v>66</v>
      </c>
      <c r="C10844" s="4" t="str">
        <f t="shared" si="962"/>
        <v>GSE75117</v>
      </c>
      <c r="D10844" s="1" t="s">
        <v>458</v>
      </c>
      <c r="E10844" t="s">
        <v>101</v>
      </c>
      <c r="F10844" s="1">
        <v>2</v>
      </c>
      <c r="G10844" s="1" t="s">
        <v>460</v>
      </c>
      <c r="H10844" s="4" t="str">
        <f>HYPERLINK("https://www.ncbi.nlm.nih.gov/geo/query/acc.cgi?acc=GSM1943577","GSM1943577")</f>
        <v>GSM1943577</v>
      </c>
      <c r="I10844" t="s">
        <v>69</v>
      </c>
      <c r="J10844" t="s">
        <v>18</v>
      </c>
      <c r="K10844" t="s">
        <v>19</v>
      </c>
      <c r="L10844" t="s">
        <v>70</v>
      </c>
      <c r="M10844" t="s">
        <v>461</v>
      </c>
      <c r="N10844" t="s">
        <v>29</v>
      </c>
    </row>
    <row r="10845" spans="1:14">
      <c r="A10845" s="4" t="str">
        <f t="shared" si="961"/>
        <v>EXP00360</v>
      </c>
      <c r="B10845" s="3" t="s">
        <v>66</v>
      </c>
      <c r="C10845" s="4" t="str">
        <f t="shared" si="962"/>
        <v>GSE75117</v>
      </c>
      <c r="D10845" s="1" t="s">
        <v>458</v>
      </c>
      <c r="E10845" t="s">
        <v>101</v>
      </c>
      <c r="F10845" s="1">
        <v>2</v>
      </c>
      <c r="G10845" s="1" t="s">
        <v>460</v>
      </c>
      <c r="H10845" s="4" t="str">
        <f>HYPERLINK("https://www.ncbi.nlm.nih.gov/geo/query/acc.cgi?acc=GSM1943578","GSM1943578")</f>
        <v>GSM1943578</v>
      </c>
      <c r="I10845" t="s">
        <v>69</v>
      </c>
      <c r="J10845" t="s">
        <v>18</v>
      </c>
      <c r="K10845" t="s">
        <v>19</v>
      </c>
      <c r="L10845" t="s">
        <v>70</v>
      </c>
      <c r="M10845" t="s">
        <v>461</v>
      </c>
      <c r="N10845" t="s">
        <v>29</v>
      </c>
    </row>
    <row r="10846" spans="1:14">
      <c r="A10846" s="4" t="str">
        <f t="shared" si="961"/>
        <v>EXP00360</v>
      </c>
      <c r="B10846" s="3" t="s">
        <v>66</v>
      </c>
      <c r="C10846" s="4" t="str">
        <f t="shared" si="962"/>
        <v>GSE75117</v>
      </c>
      <c r="D10846" s="1" t="s">
        <v>458</v>
      </c>
      <c r="E10846" t="s">
        <v>101</v>
      </c>
      <c r="F10846" s="1">
        <v>2</v>
      </c>
      <c r="G10846" s="1" t="s">
        <v>460</v>
      </c>
      <c r="H10846" s="4" t="str">
        <f>HYPERLINK("https://www.ncbi.nlm.nih.gov/geo/query/acc.cgi?acc=GSM1943579","GSM1943579")</f>
        <v>GSM1943579</v>
      </c>
      <c r="I10846" t="s">
        <v>69</v>
      </c>
      <c r="J10846" t="s">
        <v>18</v>
      </c>
      <c r="K10846" t="s">
        <v>19</v>
      </c>
      <c r="L10846" t="s">
        <v>70</v>
      </c>
      <c r="M10846" t="s">
        <v>461</v>
      </c>
      <c r="N10846" t="s">
        <v>29</v>
      </c>
    </row>
    <row r="10847" spans="1:14">
      <c r="A10847" s="4" t="str">
        <f t="shared" si="961"/>
        <v>EXP00360</v>
      </c>
      <c r="B10847" s="3" t="s">
        <v>66</v>
      </c>
      <c r="C10847" s="4" t="str">
        <f t="shared" si="962"/>
        <v>GSE75117</v>
      </c>
      <c r="D10847" s="1" t="s">
        <v>458</v>
      </c>
      <c r="E10847" t="s">
        <v>101</v>
      </c>
      <c r="F10847" s="1">
        <v>2</v>
      </c>
      <c r="G10847" s="1" t="s">
        <v>460</v>
      </c>
      <c r="H10847" s="4" t="str">
        <f>HYPERLINK("https://www.ncbi.nlm.nih.gov/geo/query/acc.cgi?acc=GSM1943580","GSM1943580")</f>
        <v>GSM1943580</v>
      </c>
      <c r="I10847" t="s">
        <v>69</v>
      </c>
      <c r="J10847" t="s">
        <v>18</v>
      </c>
      <c r="K10847" t="s">
        <v>19</v>
      </c>
      <c r="L10847" t="s">
        <v>70</v>
      </c>
      <c r="M10847" t="s">
        <v>461</v>
      </c>
      <c r="N10847" t="s">
        <v>29</v>
      </c>
    </row>
    <row r="10848" spans="1:14">
      <c r="A10848" s="4" t="str">
        <f t="shared" si="961"/>
        <v>EXP00360</v>
      </c>
      <c r="B10848" s="3" t="s">
        <v>66</v>
      </c>
      <c r="C10848" s="4" t="str">
        <f t="shared" si="962"/>
        <v>GSE75117</v>
      </c>
      <c r="D10848" s="1" t="s">
        <v>458</v>
      </c>
      <c r="E10848" t="s">
        <v>101</v>
      </c>
      <c r="F10848" s="1">
        <v>3</v>
      </c>
      <c r="G10848" s="1" t="s">
        <v>462</v>
      </c>
      <c r="H10848" s="4" t="str">
        <f>HYPERLINK("https://www.ncbi.nlm.nih.gov/geo/query/acc.cgi?acc=GSM1943555","GSM1943555")</f>
        <v>GSM1943555</v>
      </c>
      <c r="I10848" t="s">
        <v>69</v>
      </c>
      <c r="J10848" t="s">
        <v>18</v>
      </c>
      <c r="K10848" t="s">
        <v>19</v>
      </c>
      <c r="L10848" t="s">
        <v>70</v>
      </c>
      <c r="M10848" t="s">
        <v>292</v>
      </c>
      <c r="N10848" t="s">
        <v>29</v>
      </c>
    </row>
    <row r="10849" spans="1:14">
      <c r="A10849" s="4" t="str">
        <f t="shared" si="961"/>
        <v>EXP00360</v>
      </c>
      <c r="B10849" s="3" t="s">
        <v>66</v>
      </c>
      <c r="C10849" s="4" t="str">
        <f t="shared" si="962"/>
        <v>GSE75117</v>
      </c>
      <c r="D10849" s="1" t="s">
        <v>458</v>
      </c>
      <c r="E10849" t="s">
        <v>101</v>
      </c>
      <c r="F10849" s="1">
        <v>3</v>
      </c>
      <c r="G10849" s="1" t="s">
        <v>462</v>
      </c>
      <c r="H10849" s="4" t="str">
        <f>HYPERLINK("https://www.ncbi.nlm.nih.gov/geo/query/acc.cgi?acc=GSM1943556","GSM1943556")</f>
        <v>GSM1943556</v>
      </c>
      <c r="I10849" t="s">
        <v>69</v>
      </c>
      <c r="J10849" t="s">
        <v>18</v>
      </c>
      <c r="K10849" t="s">
        <v>19</v>
      </c>
      <c r="L10849" t="s">
        <v>70</v>
      </c>
      <c r="M10849" t="s">
        <v>292</v>
      </c>
      <c r="N10849" t="s">
        <v>29</v>
      </c>
    </row>
    <row r="10850" spans="1:14">
      <c r="A10850" s="4" t="str">
        <f t="shared" si="961"/>
        <v>EXP00360</v>
      </c>
      <c r="B10850" s="3" t="s">
        <v>66</v>
      </c>
      <c r="C10850" s="4" t="str">
        <f t="shared" si="962"/>
        <v>GSE75117</v>
      </c>
      <c r="D10850" s="1" t="s">
        <v>458</v>
      </c>
      <c r="E10850" t="s">
        <v>101</v>
      </c>
      <c r="F10850" s="1">
        <v>3</v>
      </c>
      <c r="G10850" s="1" t="s">
        <v>462</v>
      </c>
      <c r="H10850" s="4" t="str">
        <f>HYPERLINK("https://www.ncbi.nlm.nih.gov/geo/query/acc.cgi?acc=GSM1943557","GSM1943557")</f>
        <v>GSM1943557</v>
      </c>
      <c r="I10850" t="s">
        <v>69</v>
      </c>
      <c r="J10850" t="s">
        <v>18</v>
      </c>
      <c r="K10850" t="s">
        <v>19</v>
      </c>
      <c r="L10850" t="s">
        <v>70</v>
      </c>
      <c r="M10850" t="s">
        <v>292</v>
      </c>
      <c r="N10850" t="s">
        <v>29</v>
      </c>
    </row>
    <row r="10851" spans="1:14">
      <c r="A10851" s="4" t="str">
        <f t="shared" ref="A10851:A10856" si="963">HYPERLINK("http://hcmdb.i-sanger.com/experiment/details/experiment_id/EXP00361","EXP00361")</f>
        <v>EXP00361</v>
      </c>
      <c r="B10851" s="3" t="s">
        <v>66</v>
      </c>
      <c r="C10851" s="4" t="str">
        <f t="shared" si="962"/>
        <v>GSE75117</v>
      </c>
      <c r="D10851" s="1" t="s">
        <v>458</v>
      </c>
      <c r="E10851" t="s">
        <v>154</v>
      </c>
      <c r="F10851" s="1">
        <v>1</v>
      </c>
      <c r="G10851" s="1" t="s">
        <v>155</v>
      </c>
      <c r="H10851" s="4" t="str">
        <f>HYPERLINK("https://www.ncbi.nlm.nih.gov/geo/query/acc.cgi?acc=GSM1943563","GSM1943563")</f>
        <v>GSM1943563</v>
      </c>
      <c r="I10851" t="s">
        <v>69</v>
      </c>
      <c r="J10851" t="s">
        <v>18</v>
      </c>
      <c r="K10851" t="s">
        <v>19</v>
      </c>
      <c r="L10851" t="s">
        <v>70</v>
      </c>
      <c r="M10851" t="s">
        <v>44</v>
      </c>
      <c r="N10851" t="s">
        <v>22</v>
      </c>
    </row>
    <row r="10852" spans="1:14">
      <c r="A10852" s="4" t="str">
        <f t="shared" si="963"/>
        <v>EXP00361</v>
      </c>
      <c r="B10852" s="3" t="s">
        <v>66</v>
      </c>
      <c r="C10852" s="4" t="str">
        <f t="shared" si="962"/>
        <v>GSE75117</v>
      </c>
      <c r="D10852" s="1" t="s">
        <v>458</v>
      </c>
      <c r="E10852" t="s">
        <v>154</v>
      </c>
      <c r="F10852" s="1">
        <v>1</v>
      </c>
      <c r="G10852" s="1" t="s">
        <v>155</v>
      </c>
      <c r="H10852" s="4" t="str">
        <f>HYPERLINK("https://www.ncbi.nlm.nih.gov/geo/query/acc.cgi?acc=GSM1943574","GSM1943574")</f>
        <v>GSM1943574</v>
      </c>
      <c r="I10852" t="s">
        <v>69</v>
      </c>
      <c r="J10852" t="s">
        <v>18</v>
      </c>
      <c r="K10852" t="s">
        <v>19</v>
      </c>
      <c r="L10852" t="s">
        <v>70</v>
      </c>
      <c r="M10852" t="s">
        <v>44</v>
      </c>
      <c r="N10852" t="s">
        <v>22</v>
      </c>
    </row>
    <row r="10853" spans="1:14">
      <c r="A10853" s="4" t="str">
        <f t="shared" si="963"/>
        <v>EXP00361</v>
      </c>
      <c r="B10853" s="3" t="s">
        <v>66</v>
      </c>
      <c r="C10853" s="4" t="str">
        <f t="shared" si="962"/>
        <v>GSE75117</v>
      </c>
      <c r="D10853" s="1" t="s">
        <v>458</v>
      </c>
      <c r="E10853" t="s">
        <v>154</v>
      </c>
      <c r="F10853" s="1">
        <v>1</v>
      </c>
      <c r="G10853" s="1" t="s">
        <v>155</v>
      </c>
      <c r="H10853" s="4" t="str">
        <f>HYPERLINK("https://www.ncbi.nlm.nih.gov/geo/query/acc.cgi?acc=GSM1943575","GSM1943575")</f>
        <v>GSM1943575</v>
      </c>
      <c r="I10853" t="s">
        <v>69</v>
      </c>
      <c r="J10853" t="s">
        <v>18</v>
      </c>
      <c r="K10853" t="s">
        <v>19</v>
      </c>
      <c r="L10853" t="s">
        <v>70</v>
      </c>
      <c r="M10853" t="s">
        <v>44</v>
      </c>
      <c r="N10853" t="s">
        <v>22</v>
      </c>
    </row>
    <row r="10854" spans="1:14">
      <c r="A10854" s="4" t="str">
        <f t="shared" si="963"/>
        <v>EXP00361</v>
      </c>
      <c r="B10854" s="3" t="s">
        <v>66</v>
      </c>
      <c r="C10854" s="4" t="str">
        <f t="shared" si="962"/>
        <v>GSE75117</v>
      </c>
      <c r="D10854" s="1" t="s">
        <v>458</v>
      </c>
      <c r="E10854" t="s">
        <v>154</v>
      </c>
      <c r="F10854" s="1">
        <v>2</v>
      </c>
      <c r="G10854" s="1" t="s">
        <v>463</v>
      </c>
      <c r="H10854" s="4" t="str">
        <f>HYPERLINK("https://www.ncbi.nlm.nih.gov/geo/query/acc.cgi?acc=GSM1943558","GSM1943558")</f>
        <v>GSM1943558</v>
      </c>
      <c r="I10854" t="s">
        <v>69</v>
      </c>
      <c r="J10854" t="s">
        <v>18</v>
      </c>
      <c r="K10854" t="s">
        <v>19</v>
      </c>
      <c r="L10854" t="s">
        <v>70</v>
      </c>
      <c r="M10854" t="s">
        <v>292</v>
      </c>
      <c r="N10854" t="s">
        <v>22</v>
      </c>
    </row>
    <row r="10855" spans="1:14">
      <c r="A10855" s="4" t="str">
        <f t="shared" si="963"/>
        <v>EXP00361</v>
      </c>
      <c r="B10855" s="3" t="s">
        <v>66</v>
      </c>
      <c r="C10855" s="4" t="str">
        <f t="shared" si="962"/>
        <v>GSE75117</v>
      </c>
      <c r="D10855" s="1" t="s">
        <v>458</v>
      </c>
      <c r="E10855" t="s">
        <v>154</v>
      </c>
      <c r="F10855" s="1">
        <v>2</v>
      </c>
      <c r="G10855" s="1" t="s">
        <v>463</v>
      </c>
      <c r="H10855" s="4" t="str">
        <f>HYPERLINK("https://www.ncbi.nlm.nih.gov/geo/query/acc.cgi?acc=GSM1943582","GSM1943582")</f>
        <v>GSM1943582</v>
      </c>
      <c r="I10855" t="s">
        <v>69</v>
      </c>
      <c r="J10855" t="s">
        <v>18</v>
      </c>
      <c r="K10855" t="s">
        <v>19</v>
      </c>
      <c r="L10855" t="s">
        <v>70</v>
      </c>
      <c r="M10855" t="s">
        <v>292</v>
      </c>
      <c r="N10855" t="s">
        <v>22</v>
      </c>
    </row>
    <row r="10856" spans="1:14">
      <c r="A10856" s="4" t="str">
        <f t="shared" si="963"/>
        <v>EXP00361</v>
      </c>
      <c r="B10856" s="3" t="s">
        <v>66</v>
      </c>
      <c r="C10856" s="4" t="str">
        <f t="shared" si="962"/>
        <v>GSE75117</v>
      </c>
      <c r="D10856" s="1" t="s">
        <v>458</v>
      </c>
      <c r="E10856" t="s">
        <v>154</v>
      </c>
      <c r="F10856" s="1">
        <v>2</v>
      </c>
      <c r="G10856" s="1" t="s">
        <v>463</v>
      </c>
      <c r="H10856" s="4" t="str">
        <f>HYPERLINK("https://www.ncbi.nlm.nih.gov/geo/query/acc.cgi?acc=GSM1943583","GSM1943583")</f>
        <v>GSM1943583</v>
      </c>
      <c r="I10856" t="s">
        <v>69</v>
      </c>
      <c r="J10856" t="s">
        <v>18</v>
      </c>
      <c r="K10856" t="s">
        <v>19</v>
      </c>
      <c r="L10856" t="s">
        <v>70</v>
      </c>
      <c r="M10856" t="s">
        <v>292</v>
      </c>
      <c r="N10856" t="s">
        <v>22</v>
      </c>
    </row>
    <row r="10857" spans="1:14">
      <c r="A10857" s="4" t="str">
        <f t="shared" ref="A10857:A10878" si="964">HYPERLINK("http://hcmdb.i-sanger.com/experiment/details/experiment_id/EXP00362","EXP00362")</f>
        <v>EXP00362</v>
      </c>
      <c r="B10857" s="3" t="s">
        <v>66</v>
      </c>
      <c r="C10857" s="4" t="str">
        <f t="shared" si="962"/>
        <v>GSE75117</v>
      </c>
      <c r="D10857" s="1" t="s">
        <v>458</v>
      </c>
      <c r="E10857" t="s">
        <v>157</v>
      </c>
      <c r="F10857" s="1">
        <v>1</v>
      </c>
      <c r="G10857" s="1" t="s">
        <v>26</v>
      </c>
      <c r="H10857" s="4" t="str">
        <f>HYPERLINK("https://www.ncbi.nlm.nih.gov/geo/query/acc.cgi?acc=GSM1943558","GSM1943558")</f>
        <v>GSM1943558</v>
      </c>
      <c r="I10857" t="s">
        <v>69</v>
      </c>
      <c r="J10857" t="s">
        <v>18</v>
      </c>
      <c r="K10857" t="s">
        <v>19</v>
      </c>
      <c r="L10857" t="s">
        <v>70</v>
      </c>
      <c r="M10857" t="s">
        <v>292</v>
      </c>
      <c r="N10857" t="s">
        <v>22</v>
      </c>
    </row>
    <row r="10858" spans="1:14">
      <c r="A10858" s="4" t="str">
        <f t="shared" si="964"/>
        <v>EXP00362</v>
      </c>
      <c r="B10858" s="3" t="s">
        <v>66</v>
      </c>
      <c r="C10858" s="4" t="str">
        <f t="shared" si="962"/>
        <v>GSE75117</v>
      </c>
      <c r="D10858" s="1" t="s">
        <v>458</v>
      </c>
      <c r="E10858" t="s">
        <v>157</v>
      </c>
      <c r="F10858" s="1">
        <v>1</v>
      </c>
      <c r="G10858" s="1" t="s">
        <v>26</v>
      </c>
      <c r="H10858" s="4" t="str">
        <f>HYPERLINK("https://www.ncbi.nlm.nih.gov/geo/query/acc.cgi?acc=GSM1943563","GSM1943563")</f>
        <v>GSM1943563</v>
      </c>
      <c r="I10858" t="s">
        <v>69</v>
      </c>
      <c r="J10858" t="s">
        <v>18</v>
      </c>
      <c r="K10858" t="s">
        <v>19</v>
      </c>
      <c r="L10858" t="s">
        <v>70</v>
      </c>
      <c r="M10858" t="s">
        <v>44</v>
      </c>
      <c r="N10858" t="s">
        <v>22</v>
      </c>
    </row>
    <row r="10859" spans="1:14">
      <c r="A10859" s="4" t="str">
        <f t="shared" si="964"/>
        <v>EXP00362</v>
      </c>
      <c r="B10859" s="3" t="s">
        <v>66</v>
      </c>
      <c r="C10859" s="4" t="str">
        <f t="shared" si="962"/>
        <v>GSE75117</v>
      </c>
      <c r="D10859" s="1" t="s">
        <v>458</v>
      </c>
      <c r="E10859" t="s">
        <v>157</v>
      </c>
      <c r="F10859" s="1">
        <v>1</v>
      </c>
      <c r="G10859" s="1" t="s">
        <v>26</v>
      </c>
      <c r="H10859" s="4" t="str">
        <f>HYPERLINK("https://www.ncbi.nlm.nih.gov/geo/query/acc.cgi?acc=GSM1943574","GSM1943574")</f>
        <v>GSM1943574</v>
      </c>
      <c r="I10859" t="s">
        <v>69</v>
      </c>
      <c r="J10859" t="s">
        <v>18</v>
      </c>
      <c r="K10859" t="s">
        <v>19</v>
      </c>
      <c r="L10859" t="s">
        <v>70</v>
      </c>
      <c r="M10859" t="s">
        <v>44</v>
      </c>
      <c r="N10859" t="s">
        <v>22</v>
      </c>
    </row>
    <row r="10860" spans="1:14">
      <c r="A10860" s="4" t="str">
        <f t="shared" si="964"/>
        <v>EXP00362</v>
      </c>
      <c r="B10860" s="3" t="s">
        <v>66</v>
      </c>
      <c r="C10860" s="4" t="str">
        <f t="shared" si="962"/>
        <v>GSE75117</v>
      </c>
      <c r="D10860" s="1" t="s">
        <v>458</v>
      </c>
      <c r="E10860" t="s">
        <v>157</v>
      </c>
      <c r="F10860" s="1">
        <v>1</v>
      </c>
      <c r="G10860" s="1" t="s">
        <v>26</v>
      </c>
      <c r="H10860" s="4" t="str">
        <f>HYPERLINK("https://www.ncbi.nlm.nih.gov/geo/query/acc.cgi?acc=GSM1943575","GSM1943575")</f>
        <v>GSM1943575</v>
      </c>
      <c r="I10860" t="s">
        <v>69</v>
      </c>
      <c r="J10860" t="s">
        <v>18</v>
      </c>
      <c r="K10860" t="s">
        <v>19</v>
      </c>
      <c r="L10860" t="s">
        <v>70</v>
      </c>
      <c r="M10860" t="s">
        <v>44</v>
      </c>
      <c r="N10860" t="s">
        <v>22</v>
      </c>
    </row>
    <row r="10861" spans="1:14">
      <c r="A10861" s="4" t="str">
        <f t="shared" si="964"/>
        <v>EXP00362</v>
      </c>
      <c r="B10861" s="3" t="s">
        <v>66</v>
      </c>
      <c r="C10861" s="4" t="str">
        <f t="shared" si="962"/>
        <v>GSE75117</v>
      </c>
      <c r="D10861" s="1" t="s">
        <v>458</v>
      </c>
      <c r="E10861" t="s">
        <v>157</v>
      </c>
      <c r="F10861" s="1">
        <v>1</v>
      </c>
      <c r="G10861" s="1" t="s">
        <v>26</v>
      </c>
      <c r="H10861" s="4" t="str">
        <f>HYPERLINK("https://www.ncbi.nlm.nih.gov/geo/query/acc.cgi?acc=GSM1943581","GSM1943581")</f>
        <v>GSM1943581</v>
      </c>
      <c r="I10861" t="s">
        <v>69</v>
      </c>
      <c r="J10861" t="s">
        <v>18</v>
      </c>
      <c r="K10861" t="s">
        <v>19</v>
      </c>
      <c r="L10861" t="s">
        <v>70</v>
      </c>
      <c r="M10861" t="s">
        <v>65</v>
      </c>
      <c r="N10861" t="s">
        <v>22</v>
      </c>
    </row>
    <row r="10862" spans="1:14">
      <c r="A10862" s="4" t="str">
        <f t="shared" si="964"/>
        <v>EXP00362</v>
      </c>
      <c r="B10862" s="3" t="s">
        <v>66</v>
      </c>
      <c r="C10862" s="4" t="str">
        <f t="shared" si="962"/>
        <v>GSE75117</v>
      </c>
      <c r="D10862" s="1" t="s">
        <v>458</v>
      </c>
      <c r="E10862" t="s">
        <v>157</v>
      </c>
      <c r="F10862" s="1">
        <v>1</v>
      </c>
      <c r="G10862" s="1" t="s">
        <v>26</v>
      </c>
      <c r="H10862" s="4" t="str">
        <f>HYPERLINK("https://www.ncbi.nlm.nih.gov/geo/query/acc.cgi?acc=GSM1943582","GSM1943582")</f>
        <v>GSM1943582</v>
      </c>
      <c r="I10862" t="s">
        <v>69</v>
      </c>
      <c r="J10862" t="s">
        <v>18</v>
      </c>
      <c r="K10862" t="s">
        <v>19</v>
      </c>
      <c r="L10862" t="s">
        <v>70</v>
      </c>
      <c r="M10862" t="s">
        <v>292</v>
      </c>
      <c r="N10862" t="s">
        <v>22</v>
      </c>
    </row>
    <row r="10863" spans="1:14">
      <c r="A10863" s="4" t="str">
        <f t="shared" si="964"/>
        <v>EXP00362</v>
      </c>
      <c r="B10863" s="3" t="s">
        <v>66</v>
      </c>
      <c r="C10863" s="4" t="str">
        <f t="shared" si="962"/>
        <v>GSE75117</v>
      </c>
      <c r="D10863" s="1" t="s">
        <v>458</v>
      </c>
      <c r="E10863" t="s">
        <v>157</v>
      </c>
      <c r="F10863" s="1">
        <v>1</v>
      </c>
      <c r="G10863" s="1" t="s">
        <v>26</v>
      </c>
      <c r="H10863" s="4" t="str">
        <f>HYPERLINK("https://www.ncbi.nlm.nih.gov/geo/query/acc.cgi?acc=GSM1943583","GSM1943583")</f>
        <v>GSM1943583</v>
      </c>
      <c r="I10863" t="s">
        <v>69</v>
      </c>
      <c r="J10863" t="s">
        <v>18</v>
      </c>
      <c r="K10863" t="s">
        <v>19</v>
      </c>
      <c r="L10863" t="s">
        <v>70</v>
      </c>
      <c r="M10863" t="s">
        <v>292</v>
      </c>
      <c r="N10863" t="s">
        <v>22</v>
      </c>
    </row>
    <row r="10864" spans="1:14">
      <c r="A10864" s="4" t="str">
        <f t="shared" si="964"/>
        <v>EXP00362</v>
      </c>
      <c r="B10864" s="3" t="s">
        <v>66</v>
      </c>
      <c r="C10864" s="4" t="str">
        <f t="shared" si="962"/>
        <v>GSE75117</v>
      </c>
      <c r="D10864" s="1" t="s">
        <v>458</v>
      </c>
      <c r="E10864" t="s">
        <v>157</v>
      </c>
      <c r="F10864" s="1">
        <v>2</v>
      </c>
      <c r="G10864" s="1" t="s">
        <v>28</v>
      </c>
      <c r="H10864" s="4" t="str">
        <f>HYPERLINK("https://www.ncbi.nlm.nih.gov/geo/query/acc.cgi?acc=GSM1943555","GSM1943555")</f>
        <v>GSM1943555</v>
      </c>
      <c r="I10864" t="s">
        <v>69</v>
      </c>
      <c r="J10864" t="s">
        <v>18</v>
      </c>
      <c r="K10864" t="s">
        <v>19</v>
      </c>
      <c r="L10864" t="s">
        <v>70</v>
      </c>
      <c r="M10864" t="s">
        <v>292</v>
      </c>
      <c r="N10864" t="s">
        <v>29</v>
      </c>
    </row>
    <row r="10865" spans="1:14">
      <c r="A10865" s="4" t="str">
        <f t="shared" si="964"/>
        <v>EXP00362</v>
      </c>
      <c r="B10865" s="3" t="s">
        <v>66</v>
      </c>
      <c r="C10865" s="4" t="str">
        <f t="shared" si="962"/>
        <v>GSE75117</v>
      </c>
      <c r="D10865" s="1" t="s">
        <v>458</v>
      </c>
      <c r="E10865" t="s">
        <v>157</v>
      </c>
      <c r="F10865" s="1">
        <v>2</v>
      </c>
      <c r="G10865" s="1" t="s">
        <v>28</v>
      </c>
      <c r="H10865" s="4" t="str">
        <f>HYPERLINK("https://www.ncbi.nlm.nih.gov/geo/query/acc.cgi?acc=GSM1943556","GSM1943556")</f>
        <v>GSM1943556</v>
      </c>
      <c r="I10865" t="s">
        <v>69</v>
      </c>
      <c r="J10865" t="s">
        <v>18</v>
      </c>
      <c r="K10865" t="s">
        <v>19</v>
      </c>
      <c r="L10865" t="s">
        <v>70</v>
      </c>
      <c r="M10865" t="s">
        <v>292</v>
      </c>
      <c r="N10865" t="s">
        <v>29</v>
      </c>
    </row>
    <row r="10866" spans="1:14">
      <c r="A10866" s="4" t="str">
        <f t="shared" si="964"/>
        <v>EXP00362</v>
      </c>
      <c r="B10866" s="3" t="s">
        <v>66</v>
      </c>
      <c r="C10866" s="4" t="str">
        <f t="shared" si="962"/>
        <v>GSE75117</v>
      </c>
      <c r="D10866" s="1" t="s">
        <v>458</v>
      </c>
      <c r="E10866" t="s">
        <v>157</v>
      </c>
      <c r="F10866" s="1">
        <v>2</v>
      </c>
      <c r="G10866" s="1" t="s">
        <v>28</v>
      </c>
      <c r="H10866" s="4" t="str">
        <f>HYPERLINK("https://www.ncbi.nlm.nih.gov/geo/query/acc.cgi?acc=GSM1943557","GSM1943557")</f>
        <v>GSM1943557</v>
      </c>
      <c r="I10866" t="s">
        <v>69</v>
      </c>
      <c r="J10866" t="s">
        <v>18</v>
      </c>
      <c r="K10866" t="s">
        <v>19</v>
      </c>
      <c r="L10866" t="s">
        <v>70</v>
      </c>
      <c r="M10866" t="s">
        <v>292</v>
      </c>
      <c r="N10866" t="s">
        <v>29</v>
      </c>
    </row>
    <row r="10867" spans="1:14">
      <c r="A10867" s="4" t="str">
        <f t="shared" si="964"/>
        <v>EXP00362</v>
      </c>
      <c r="B10867" s="3" t="s">
        <v>66</v>
      </c>
      <c r="C10867" s="4" t="str">
        <f t="shared" si="962"/>
        <v>GSE75117</v>
      </c>
      <c r="D10867" s="1" t="s">
        <v>458</v>
      </c>
      <c r="E10867" t="s">
        <v>157</v>
      </c>
      <c r="F10867" s="1">
        <v>2</v>
      </c>
      <c r="G10867" s="1" t="s">
        <v>28</v>
      </c>
      <c r="H10867" s="4" t="str">
        <f>HYPERLINK("https://www.ncbi.nlm.nih.gov/geo/query/acc.cgi?acc=GSM1943559","GSM1943559")</f>
        <v>GSM1943559</v>
      </c>
      <c r="I10867" t="s">
        <v>69</v>
      </c>
      <c r="J10867" t="s">
        <v>18</v>
      </c>
      <c r="K10867" t="s">
        <v>19</v>
      </c>
      <c r="L10867" t="s">
        <v>70</v>
      </c>
      <c r="M10867" t="s">
        <v>44</v>
      </c>
      <c r="N10867" t="s">
        <v>29</v>
      </c>
    </row>
    <row r="10868" spans="1:14">
      <c r="A10868" s="4" t="str">
        <f t="shared" si="964"/>
        <v>EXP00362</v>
      </c>
      <c r="B10868" s="3" t="s">
        <v>66</v>
      </c>
      <c r="C10868" s="4" t="str">
        <f t="shared" si="962"/>
        <v>GSE75117</v>
      </c>
      <c r="D10868" s="1" t="s">
        <v>458</v>
      </c>
      <c r="E10868" t="s">
        <v>157</v>
      </c>
      <c r="F10868" s="1">
        <v>2</v>
      </c>
      <c r="G10868" s="1" t="s">
        <v>28</v>
      </c>
      <c r="H10868" s="4" t="str">
        <f>HYPERLINK("https://www.ncbi.nlm.nih.gov/geo/query/acc.cgi?acc=GSM1943560","GSM1943560")</f>
        <v>GSM1943560</v>
      </c>
      <c r="I10868" t="s">
        <v>69</v>
      </c>
      <c r="J10868" t="s">
        <v>18</v>
      </c>
      <c r="K10868" t="s">
        <v>19</v>
      </c>
      <c r="L10868" t="s">
        <v>70</v>
      </c>
      <c r="M10868" t="s">
        <v>44</v>
      </c>
      <c r="N10868" t="s">
        <v>29</v>
      </c>
    </row>
    <row r="10869" spans="1:14">
      <c r="A10869" s="4" t="str">
        <f t="shared" si="964"/>
        <v>EXP00362</v>
      </c>
      <c r="B10869" s="3" t="s">
        <v>66</v>
      </c>
      <c r="C10869" s="4" t="str">
        <f t="shared" si="962"/>
        <v>GSE75117</v>
      </c>
      <c r="D10869" s="1" t="s">
        <v>458</v>
      </c>
      <c r="E10869" t="s">
        <v>157</v>
      </c>
      <c r="F10869" s="1">
        <v>2</v>
      </c>
      <c r="G10869" s="1" t="s">
        <v>28</v>
      </c>
      <c r="H10869" s="4" t="str">
        <f>HYPERLINK("https://www.ncbi.nlm.nih.gov/geo/query/acc.cgi?acc=GSM1943561","GSM1943561")</f>
        <v>GSM1943561</v>
      </c>
      <c r="I10869" t="s">
        <v>69</v>
      </c>
      <c r="J10869" t="s">
        <v>18</v>
      </c>
      <c r="K10869" t="s">
        <v>19</v>
      </c>
      <c r="L10869" t="s">
        <v>70</v>
      </c>
      <c r="M10869" t="s">
        <v>44</v>
      </c>
      <c r="N10869" t="s">
        <v>29</v>
      </c>
    </row>
    <row r="10870" spans="1:14">
      <c r="A10870" s="4" t="str">
        <f t="shared" si="964"/>
        <v>EXP00362</v>
      </c>
      <c r="B10870" s="3" t="s">
        <v>66</v>
      </c>
      <c r="C10870" s="4" t="str">
        <f t="shared" si="962"/>
        <v>GSE75117</v>
      </c>
      <c r="D10870" s="1" t="s">
        <v>458</v>
      </c>
      <c r="E10870" t="s">
        <v>157</v>
      </c>
      <c r="F10870" s="1">
        <v>2</v>
      </c>
      <c r="G10870" s="1" t="s">
        <v>28</v>
      </c>
      <c r="H10870" s="4" t="str">
        <f>HYPERLINK("https://www.ncbi.nlm.nih.gov/geo/query/acc.cgi?acc=GSM1943569","GSM1943569")</f>
        <v>GSM1943569</v>
      </c>
      <c r="I10870" t="s">
        <v>69</v>
      </c>
      <c r="J10870" t="s">
        <v>18</v>
      </c>
      <c r="K10870" t="s">
        <v>19</v>
      </c>
      <c r="L10870" t="s">
        <v>70</v>
      </c>
      <c r="M10870" t="s">
        <v>44</v>
      </c>
      <c r="N10870" t="s">
        <v>29</v>
      </c>
    </row>
    <row r="10871" spans="1:14">
      <c r="A10871" s="4" t="str">
        <f t="shared" si="964"/>
        <v>EXP00362</v>
      </c>
      <c r="B10871" s="3" t="s">
        <v>66</v>
      </c>
      <c r="C10871" s="4" t="str">
        <f t="shared" si="962"/>
        <v>GSE75117</v>
      </c>
      <c r="D10871" s="1" t="s">
        <v>458</v>
      </c>
      <c r="E10871" t="s">
        <v>157</v>
      </c>
      <c r="F10871" s="1">
        <v>2</v>
      </c>
      <c r="G10871" s="1" t="s">
        <v>28</v>
      </c>
      <c r="H10871" s="4" t="str">
        <f>HYPERLINK("https://www.ncbi.nlm.nih.gov/geo/query/acc.cgi?acc=GSM1943570","GSM1943570")</f>
        <v>GSM1943570</v>
      </c>
      <c r="I10871" t="s">
        <v>69</v>
      </c>
      <c r="J10871" t="s">
        <v>18</v>
      </c>
      <c r="K10871" t="s">
        <v>19</v>
      </c>
      <c r="L10871" t="s">
        <v>70</v>
      </c>
      <c r="M10871" t="s">
        <v>44</v>
      </c>
      <c r="N10871" t="s">
        <v>29</v>
      </c>
    </row>
    <row r="10872" spans="1:14">
      <c r="A10872" s="4" t="str">
        <f t="shared" si="964"/>
        <v>EXP00362</v>
      </c>
      <c r="B10872" s="3" t="s">
        <v>66</v>
      </c>
      <c r="C10872" s="4" t="str">
        <f t="shared" ref="C10872:C10903" si="965">HYPERLINK("https://www.ncbi.nlm.nih.gov/geo/query/acc.cgi?acc=GSE75117","GSE75117")</f>
        <v>GSE75117</v>
      </c>
      <c r="D10872" s="1" t="s">
        <v>458</v>
      </c>
      <c r="E10872" t="s">
        <v>157</v>
      </c>
      <c r="F10872" s="1">
        <v>2</v>
      </c>
      <c r="G10872" s="1" t="s">
        <v>28</v>
      </c>
      <c r="H10872" s="4" t="str">
        <f>HYPERLINK("https://www.ncbi.nlm.nih.gov/geo/query/acc.cgi?acc=GSM1943571","GSM1943571")</f>
        <v>GSM1943571</v>
      </c>
      <c r="I10872" t="s">
        <v>69</v>
      </c>
      <c r="J10872" t="s">
        <v>18</v>
      </c>
      <c r="K10872" t="s">
        <v>19</v>
      </c>
      <c r="L10872" t="s">
        <v>70</v>
      </c>
      <c r="M10872" t="s">
        <v>44</v>
      </c>
      <c r="N10872" t="s">
        <v>29</v>
      </c>
    </row>
    <row r="10873" spans="1:14">
      <c r="A10873" s="4" t="str">
        <f t="shared" si="964"/>
        <v>EXP00362</v>
      </c>
      <c r="B10873" s="3" t="s">
        <v>66</v>
      </c>
      <c r="C10873" s="4" t="str">
        <f t="shared" si="965"/>
        <v>GSE75117</v>
      </c>
      <c r="D10873" s="1" t="s">
        <v>458</v>
      </c>
      <c r="E10873" t="s">
        <v>157</v>
      </c>
      <c r="F10873" s="1">
        <v>2</v>
      </c>
      <c r="G10873" s="1" t="s">
        <v>28</v>
      </c>
      <c r="H10873" s="4" t="str">
        <f>HYPERLINK("https://www.ncbi.nlm.nih.gov/geo/query/acc.cgi?acc=GSM1943572","GSM1943572")</f>
        <v>GSM1943572</v>
      </c>
      <c r="I10873" t="s">
        <v>69</v>
      </c>
      <c r="J10873" t="s">
        <v>18</v>
      </c>
      <c r="K10873" t="s">
        <v>19</v>
      </c>
      <c r="L10873" t="s">
        <v>70</v>
      </c>
      <c r="M10873" t="s">
        <v>44</v>
      </c>
      <c r="N10873" t="s">
        <v>29</v>
      </c>
    </row>
    <row r="10874" spans="1:14">
      <c r="A10874" s="4" t="str">
        <f t="shared" si="964"/>
        <v>EXP00362</v>
      </c>
      <c r="B10874" s="3" t="s">
        <v>66</v>
      </c>
      <c r="C10874" s="4" t="str">
        <f t="shared" si="965"/>
        <v>GSE75117</v>
      </c>
      <c r="D10874" s="1" t="s">
        <v>458</v>
      </c>
      <c r="E10874" t="s">
        <v>157</v>
      </c>
      <c r="F10874" s="1">
        <v>2</v>
      </c>
      <c r="G10874" s="1" t="s">
        <v>28</v>
      </c>
      <c r="H10874" s="4" t="str">
        <f>HYPERLINK("https://www.ncbi.nlm.nih.gov/geo/query/acc.cgi?acc=GSM1943573","GSM1943573")</f>
        <v>GSM1943573</v>
      </c>
      <c r="I10874" t="s">
        <v>69</v>
      </c>
      <c r="J10874" t="s">
        <v>18</v>
      </c>
      <c r="K10874" t="s">
        <v>19</v>
      </c>
      <c r="L10874" t="s">
        <v>70</v>
      </c>
      <c r="M10874" t="s">
        <v>44</v>
      </c>
      <c r="N10874" t="s">
        <v>29</v>
      </c>
    </row>
    <row r="10875" spans="1:14">
      <c r="A10875" s="4" t="str">
        <f t="shared" si="964"/>
        <v>EXP00362</v>
      </c>
      <c r="B10875" s="3" t="s">
        <v>66</v>
      </c>
      <c r="C10875" s="4" t="str">
        <f t="shared" si="965"/>
        <v>GSE75117</v>
      </c>
      <c r="D10875" s="1" t="s">
        <v>458</v>
      </c>
      <c r="E10875" t="s">
        <v>157</v>
      </c>
      <c r="F10875" s="1">
        <v>2</v>
      </c>
      <c r="G10875" s="1" t="s">
        <v>28</v>
      </c>
      <c r="H10875" s="4" t="str">
        <f>HYPERLINK("https://www.ncbi.nlm.nih.gov/geo/query/acc.cgi?acc=GSM1943577","GSM1943577")</f>
        <v>GSM1943577</v>
      </c>
      <c r="I10875" t="s">
        <v>69</v>
      </c>
      <c r="J10875" t="s">
        <v>18</v>
      </c>
      <c r="K10875" t="s">
        <v>19</v>
      </c>
      <c r="L10875" t="s">
        <v>70</v>
      </c>
      <c r="M10875" t="s">
        <v>461</v>
      </c>
      <c r="N10875" t="s">
        <v>29</v>
      </c>
    </row>
    <row r="10876" spans="1:14">
      <c r="A10876" s="4" t="str">
        <f t="shared" si="964"/>
        <v>EXP00362</v>
      </c>
      <c r="B10876" s="3" t="s">
        <v>66</v>
      </c>
      <c r="C10876" s="4" t="str">
        <f t="shared" si="965"/>
        <v>GSE75117</v>
      </c>
      <c r="D10876" s="1" t="s">
        <v>458</v>
      </c>
      <c r="E10876" t="s">
        <v>157</v>
      </c>
      <c r="F10876" s="1">
        <v>2</v>
      </c>
      <c r="G10876" s="1" t="s">
        <v>28</v>
      </c>
      <c r="H10876" s="4" t="str">
        <f>HYPERLINK("https://www.ncbi.nlm.nih.gov/geo/query/acc.cgi?acc=GSM1943578","GSM1943578")</f>
        <v>GSM1943578</v>
      </c>
      <c r="I10876" t="s">
        <v>69</v>
      </c>
      <c r="J10876" t="s">
        <v>18</v>
      </c>
      <c r="K10876" t="s">
        <v>19</v>
      </c>
      <c r="L10876" t="s">
        <v>70</v>
      </c>
      <c r="M10876" t="s">
        <v>461</v>
      </c>
      <c r="N10876" t="s">
        <v>29</v>
      </c>
    </row>
    <row r="10877" spans="1:14">
      <c r="A10877" s="4" t="str">
        <f t="shared" si="964"/>
        <v>EXP00362</v>
      </c>
      <c r="B10877" s="3" t="s">
        <v>66</v>
      </c>
      <c r="C10877" s="4" t="str">
        <f t="shared" si="965"/>
        <v>GSE75117</v>
      </c>
      <c r="D10877" s="1" t="s">
        <v>458</v>
      </c>
      <c r="E10877" t="s">
        <v>157</v>
      </c>
      <c r="F10877" s="1">
        <v>2</v>
      </c>
      <c r="G10877" s="1" t="s">
        <v>28</v>
      </c>
      <c r="H10877" s="4" t="str">
        <f>HYPERLINK("https://www.ncbi.nlm.nih.gov/geo/query/acc.cgi?acc=GSM1943579","GSM1943579")</f>
        <v>GSM1943579</v>
      </c>
      <c r="I10877" t="s">
        <v>69</v>
      </c>
      <c r="J10877" t="s">
        <v>18</v>
      </c>
      <c r="K10877" t="s">
        <v>19</v>
      </c>
      <c r="L10877" t="s">
        <v>70</v>
      </c>
      <c r="M10877" t="s">
        <v>461</v>
      </c>
      <c r="N10877" t="s">
        <v>29</v>
      </c>
    </row>
    <row r="10878" spans="1:14">
      <c r="A10878" s="4" t="str">
        <f t="shared" si="964"/>
        <v>EXP00362</v>
      </c>
      <c r="B10878" s="3" t="s">
        <v>66</v>
      </c>
      <c r="C10878" s="4" t="str">
        <f t="shared" si="965"/>
        <v>GSE75117</v>
      </c>
      <c r="D10878" s="1" t="s">
        <v>458</v>
      </c>
      <c r="E10878" t="s">
        <v>157</v>
      </c>
      <c r="F10878" s="1">
        <v>2</v>
      </c>
      <c r="G10878" s="1" t="s">
        <v>28</v>
      </c>
      <c r="H10878" s="4" t="str">
        <f>HYPERLINK("https://www.ncbi.nlm.nih.gov/geo/query/acc.cgi?acc=GSM1943580","GSM1943580")</f>
        <v>GSM1943580</v>
      </c>
      <c r="I10878" t="s">
        <v>69</v>
      </c>
      <c r="J10878" t="s">
        <v>18</v>
      </c>
      <c r="K10878" t="s">
        <v>19</v>
      </c>
      <c r="L10878" t="s">
        <v>70</v>
      </c>
      <c r="M10878" t="s">
        <v>461</v>
      </c>
      <c r="N10878" t="s">
        <v>29</v>
      </c>
    </row>
    <row r="10879" spans="1:14">
      <c r="A10879" s="4" t="str">
        <f t="shared" ref="A10879:A10896" si="966">HYPERLINK("http://hcmdb.i-sanger.com/experiment/details/experiment_id/EXP00363","EXP00363")</f>
        <v>EXP00363</v>
      </c>
      <c r="B10879" s="3" t="s">
        <v>66</v>
      </c>
      <c r="C10879" s="4" t="str">
        <f t="shared" si="965"/>
        <v>GSE75117</v>
      </c>
      <c r="D10879" s="1" t="s">
        <v>458</v>
      </c>
      <c r="E10879" t="s">
        <v>158</v>
      </c>
      <c r="F10879" s="1">
        <v>1</v>
      </c>
      <c r="G10879" s="1" t="s">
        <v>36</v>
      </c>
      <c r="H10879" s="4" t="str">
        <f>HYPERLINK("https://www.ncbi.nlm.nih.gov/geo/query/acc.cgi?acc=GSM1943562","GSM1943562")</f>
        <v>GSM1943562</v>
      </c>
      <c r="I10879" t="s">
        <v>69</v>
      </c>
      <c r="J10879" t="s">
        <v>18</v>
      </c>
      <c r="K10879" t="s">
        <v>19</v>
      </c>
      <c r="L10879" t="s">
        <v>70</v>
      </c>
      <c r="M10879" t="s">
        <v>44</v>
      </c>
      <c r="N10879" t="s">
        <v>37</v>
      </c>
    </row>
    <row r="10880" spans="1:14">
      <c r="A10880" s="4" t="str">
        <f t="shared" si="966"/>
        <v>EXP00363</v>
      </c>
      <c r="B10880" s="3" t="s">
        <v>66</v>
      </c>
      <c r="C10880" s="4" t="str">
        <f t="shared" si="965"/>
        <v>GSE75117</v>
      </c>
      <c r="D10880" s="1" t="s">
        <v>458</v>
      </c>
      <c r="E10880" t="s">
        <v>158</v>
      </c>
      <c r="F10880" s="1">
        <v>1</v>
      </c>
      <c r="G10880" s="1" t="s">
        <v>36</v>
      </c>
      <c r="H10880" s="4" t="str">
        <f>HYPERLINK("https://www.ncbi.nlm.nih.gov/geo/query/acc.cgi?acc=GSM1943568","GSM1943568")</f>
        <v>GSM1943568</v>
      </c>
      <c r="I10880" t="s">
        <v>69</v>
      </c>
      <c r="J10880" t="s">
        <v>18</v>
      </c>
      <c r="K10880" t="s">
        <v>19</v>
      </c>
      <c r="L10880" t="s">
        <v>70</v>
      </c>
      <c r="M10880" t="s">
        <v>44</v>
      </c>
      <c r="N10880" t="s">
        <v>37</v>
      </c>
    </row>
    <row r="10881" spans="1:14">
      <c r="A10881" s="4" t="str">
        <f t="shared" si="966"/>
        <v>EXP00363</v>
      </c>
      <c r="B10881" s="3" t="s">
        <v>66</v>
      </c>
      <c r="C10881" s="4" t="str">
        <f t="shared" si="965"/>
        <v>GSE75117</v>
      </c>
      <c r="D10881" s="1" t="s">
        <v>458</v>
      </c>
      <c r="E10881" t="s">
        <v>158</v>
      </c>
      <c r="F10881" s="1">
        <v>1</v>
      </c>
      <c r="G10881" s="1" t="s">
        <v>36</v>
      </c>
      <c r="H10881" s="4" t="str">
        <f>HYPERLINK("https://www.ncbi.nlm.nih.gov/geo/query/acc.cgi?acc=GSM1943576","GSM1943576")</f>
        <v>GSM1943576</v>
      </c>
      <c r="I10881" t="s">
        <v>69</v>
      </c>
      <c r="J10881" t="s">
        <v>18</v>
      </c>
      <c r="K10881" t="s">
        <v>19</v>
      </c>
      <c r="L10881" t="s">
        <v>70</v>
      </c>
      <c r="M10881" t="s">
        <v>44</v>
      </c>
      <c r="N10881" t="s">
        <v>37</v>
      </c>
    </row>
    <row r="10882" spans="1:14">
      <c r="A10882" s="4" t="str">
        <f t="shared" si="966"/>
        <v>EXP00363</v>
      </c>
      <c r="B10882" s="3" t="s">
        <v>66</v>
      </c>
      <c r="C10882" s="4" t="str">
        <f t="shared" si="965"/>
        <v>GSE75117</v>
      </c>
      <c r="D10882" s="1" t="s">
        <v>458</v>
      </c>
      <c r="E10882" t="s">
        <v>158</v>
      </c>
      <c r="F10882" s="1">
        <v>2</v>
      </c>
      <c r="G10882" s="1" t="s">
        <v>28</v>
      </c>
      <c r="H10882" s="4" t="str">
        <f>HYPERLINK("https://www.ncbi.nlm.nih.gov/geo/query/acc.cgi?acc=GSM1943555","GSM1943555")</f>
        <v>GSM1943555</v>
      </c>
      <c r="I10882" t="s">
        <v>69</v>
      </c>
      <c r="J10882" t="s">
        <v>18</v>
      </c>
      <c r="K10882" t="s">
        <v>19</v>
      </c>
      <c r="L10882" t="s">
        <v>70</v>
      </c>
      <c r="M10882" t="s">
        <v>292</v>
      </c>
      <c r="N10882" t="s">
        <v>29</v>
      </c>
    </row>
    <row r="10883" spans="1:14">
      <c r="A10883" s="4" t="str">
        <f t="shared" si="966"/>
        <v>EXP00363</v>
      </c>
      <c r="B10883" s="3" t="s">
        <v>66</v>
      </c>
      <c r="C10883" s="4" t="str">
        <f t="shared" si="965"/>
        <v>GSE75117</v>
      </c>
      <c r="D10883" s="1" t="s">
        <v>458</v>
      </c>
      <c r="E10883" t="s">
        <v>158</v>
      </c>
      <c r="F10883" s="1">
        <v>2</v>
      </c>
      <c r="G10883" s="1" t="s">
        <v>28</v>
      </c>
      <c r="H10883" s="4" t="str">
        <f>HYPERLINK("https://www.ncbi.nlm.nih.gov/geo/query/acc.cgi?acc=GSM1943556","GSM1943556")</f>
        <v>GSM1943556</v>
      </c>
      <c r="I10883" t="s">
        <v>69</v>
      </c>
      <c r="J10883" t="s">
        <v>18</v>
      </c>
      <c r="K10883" t="s">
        <v>19</v>
      </c>
      <c r="L10883" t="s">
        <v>70</v>
      </c>
      <c r="M10883" t="s">
        <v>292</v>
      </c>
      <c r="N10883" t="s">
        <v>29</v>
      </c>
    </row>
    <row r="10884" spans="1:14">
      <c r="A10884" s="4" t="str">
        <f t="shared" si="966"/>
        <v>EXP00363</v>
      </c>
      <c r="B10884" s="3" t="s">
        <v>66</v>
      </c>
      <c r="C10884" s="4" t="str">
        <f t="shared" si="965"/>
        <v>GSE75117</v>
      </c>
      <c r="D10884" s="1" t="s">
        <v>458</v>
      </c>
      <c r="E10884" t="s">
        <v>158</v>
      </c>
      <c r="F10884" s="1">
        <v>2</v>
      </c>
      <c r="G10884" s="1" t="s">
        <v>28</v>
      </c>
      <c r="H10884" s="4" t="str">
        <f>HYPERLINK("https://www.ncbi.nlm.nih.gov/geo/query/acc.cgi?acc=GSM1943557","GSM1943557")</f>
        <v>GSM1943557</v>
      </c>
      <c r="I10884" t="s">
        <v>69</v>
      </c>
      <c r="J10884" t="s">
        <v>18</v>
      </c>
      <c r="K10884" t="s">
        <v>19</v>
      </c>
      <c r="L10884" t="s">
        <v>70</v>
      </c>
      <c r="M10884" t="s">
        <v>292</v>
      </c>
      <c r="N10884" t="s">
        <v>29</v>
      </c>
    </row>
    <row r="10885" spans="1:14">
      <c r="A10885" s="4" t="str">
        <f t="shared" si="966"/>
        <v>EXP00363</v>
      </c>
      <c r="B10885" s="3" t="s">
        <v>66</v>
      </c>
      <c r="C10885" s="4" t="str">
        <f t="shared" si="965"/>
        <v>GSE75117</v>
      </c>
      <c r="D10885" s="1" t="s">
        <v>458</v>
      </c>
      <c r="E10885" t="s">
        <v>158</v>
      </c>
      <c r="F10885" s="1">
        <v>2</v>
      </c>
      <c r="G10885" s="1" t="s">
        <v>28</v>
      </c>
      <c r="H10885" s="4" t="str">
        <f>HYPERLINK("https://www.ncbi.nlm.nih.gov/geo/query/acc.cgi?acc=GSM1943559","GSM1943559")</f>
        <v>GSM1943559</v>
      </c>
      <c r="I10885" t="s">
        <v>69</v>
      </c>
      <c r="J10885" t="s">
        <v>18</v>
      </c>
      <c r="K10885" t="s">
        <v>19</v>
      </c>
      <c r="L10885" t="s">
        <v>70</v>
      </c>
      <c r="M10885" t="s">
        <v>44</v>
      </c>
      <c r="N10885" t="s">
        <v>29</v>
      </c>
    </row>
    <row r="10886" spans="1:14">
      <c r="A10886" s="4" t="str">
        <f t="shared" si="966"/>
        <v>EXP00363</v>
      </c>
      <c r="B10886" s="3" t="s">
        <v>66</v>
      </c>
      <c r="C10886" s="4" t="str">
        <f t="shared" si="965"/>
        <v>GSE75117</v>
      </c>
      <c r="D10886" s="1" t="s">
        <v>458</v>
      </c>
      <c r="E10886" t="s">
        <v>158</v>
      </c>
      <c r="F10886" s="1">
        <v>2</v>
      </c>
      <c r="G10886" s="1" t="s">
        <v>28</v>
      </c>
      <c r="H10886" s="4" t="str">
        <f>HYPERLINK("https://www.ncbi.nlm.nih.gov/geo/query/acc.cgi?acc=GSM1943560","GSM1943560")</f>
        <v>GSM1943560</v>
      </c>
      <c r="I10886" t="s">
        <v>69</v>
      </c>
      <c r="J10886" t="s">
        <v>18</v>
      </c>
      <c r="K10886" t="s">
        <v>19</v>
      </c>
      <c r="L10886" t="s">
        <v>70</v>
      </c>
      <c r="M10886" t="s">
        <v>44</v>
      </c>
      <c r="N10886" t="s">
        <v>29</v>
      </c>
    </row>
    <row r="10887" spans="1:14">
      <c r="A10887" s="4" t="str">
        <f t="shared" si="966"/>
        <v>EXP00363</v>
      </c>
      <c r="B10887" s="3" t="s">
        <v>66</v>
      </c>
      <c r="C10887" s="4" t="str">
        <f t="shared" si="965"/>
        <v>GSE75117</v>
      </c>
      <c r="D10887" s="1" t="s">
        <v>458</v>
      </c>
      <c r="E10887" t="s">
        <v>158</v>
      </c>
      <c r="F10887" s="1">
        <v>2</v>
      </c>
      <c r="G10887" s="1" t="s">
        <v>28</v>
      </c>
      <c r="H10887" s="4" t="str">
        <f>HYPERLINK("https://www.ncbi.nlm.nih.gov/geo/query/acc.cgi?acc=GSM1943561","GSM1943561")</f>
        <v>GSM1943561</v>
      </c>
      <c r="I10887" t="s">
        <v>69</v>
      </c>
      <c r="J10887" t="s">
        <v>18</v>
      </c>
      <c r="K10887" t="s">
        <v>19</v>
      </c>
      <c r="L10887" t="s">
        <v>70</v>
      </c>
      <c r="M10887" t="s">
        <v>44</v>
      </c>
      <c r="N10887" t="s">
        <v>29</v>
      </c>
    </row>
    <row r="10888" spans="1:14">
      <c r="A10888" s="4" t="str">
        <f t="shared" si="966"/>
        <v>EXP00363</v>
      </c>
      <c r="B10888" s="3" t="s">
        <v>66</v>
      </c>
      <c r="C10888" s="4" t="str">
        <f t="shared" si="965"/>
        <v>GSE75117</v>
      </c>
      <c r="D10888" s="1" t="s">
        <v>458</v>
      </c>
      <c r="E10888" t="s">
        <v>158</v>
      </c>
      <c r="F10888" s="1">
        <v>2</v>
      </c>
      <c r="G10888" s="1" t="s">
        <v>28</v>
      </c>
      <c r="H10888" s="4" t="str">
        <f>HYPERLINK("https://www.ncbi.nlm.nih.gov/geo/query/acc.cgi?acc=GSM1943569","GSM1943569")</f>
        <v>GSM1943569</v>
      </c>
      <c r="I10888" t="s">
        <v>69</v>
      </c>
      <c r="J10888" t="s">
        <v>18</v>
      </c>
      <c r="K10888" t="s">
        <v>19</v>
      </c>
      <c r="L10888" t="s">
        <v>70</v>
      </c>
      <c r="M10888" t="s">
        <v>44</v>
      </c>
      <c r="N10888" t="s">
        <v>29</v>
      </c>
    </row>
    <row r="10889" spans="1:14">
      <c r="A10889" s="4" t="str">
        <f t="shared" si="966"/>
        <v>EXP00363</v>
      </c>
      <c r="B10889" s="3" t="s">
        <v>66</v>
      </c>
      <c r="C10889" s="4" t="str">
        <f t="shared" si="965"/>
        <v>GSE75117</v>
      </c>
      <c r="D10889" s="1" t="s">
        <v>458</v>
      </c>
      <c r="E10889" t="s">
        <v>158</v>
      </c>
      <c r="F10889" s="1">
        <v>2</v>
      </c>
      <c r="G10889" s="1" t="s">
        <v>28</v>
      </c>
      <c r="H10889" s="4" t="str">
        <f>HYPERLINK("https://www.ncbi.nlm.nih.gov/geo/query/acc.cgi?acc=GSM1943570","GSM1943570")</f>
        <v>GSM1943570</v>
      </c>
      <c r="I10889" t="s">
        <v>69</v>
      </c>
      <c r="J10889" t="s">
        <v>18</v>
      </c>
      <c r="K10889" t="s">
        <v>19</v>
      </c>
      <c r="L10889" t="s">
        <v>70</v>
      </c>
      <c r="M10889" t="s">
        <v>44</v>
      </c>
      <c r="N10889" t="s">
        <v>29</v>
      </c>
    </row>
    <row r="10890" spans="1:14">
      <c r="A10890" s="4" t="str">
        <f t="shared" si="966"/>
        <v>EXP00363</v>
      </c>
      <c r="B10890" s="3" t="s">
        <v>66</v>
      </c>
      <c r="C10890" s="4" t="str">
        <f t="shared" si="965"/>
        <v>GSE75117</v>
      </c>
      <c r="D10890" s="1" t="s">
        <v>458</v>
      </c>
      <c r="E10890" t="s">
        <v>158</v>
      </c>
      <c r="F10890" s="1">
        <v>2</v>
      </c>
      <c r="G10890" s="1" t="s">
        <v>28</v>
      </c>
      <c r="H10890" s="4" t="str">
        <f>HYPERLINK("https://www.ncbi.nlm.nih.gov/geo/query/acc.cgi?acc=GSM1943571","GSM1943571")</f>
        <v>GSM1943571</v>
      </c>
      <c r="I10890" t="s">
        <v>69</v>
      </c>
      <c r="J10890" t="s">
        <v>18</v>
      </c>
      <c r="K10890" t="s">
        <v>19</v>
      </c>
      <c r="L10890" t="s">
        <v>70</v>
      </c>
      <c r="M10890" t="s">
        <v>44</v>
      </c>
      <c r="N10890" t="s">
        <v>29</v>
      </c>
    </row>
    <row r="10891" spans="1:14">
      <c r="A10891" s="4" t="str">
        <f t="shared" si="966"/>
        <v>EXP00363</v>
      </c>
      <c r="B10891" s="3" t="s">
        <v>66</v>
      </c>
      <c r="C10891" s="4" t="str">
        <f t="shared" si="965"/>
        <v>GSE75117</v>
      </c>
      <c r="D10891" s="1" t="s">
        <v>458</v>
      </c>
      <c r="E10891" t="s">
        <v>158</v>
      </c>
      <c r="F10891" s="1">
        <v>2</v>
      </c>
      <c r="G10891" s="1" t="s">
        <v>28</v>
      </c>
      <c r="H10891" s="4" t="str">
        <f>HYPERLINK("https://www.ncbi.nlm.nih.gov/geo/query/acc.cgi?acc=GSM1943572","GSM1943572")</f>
        <v>GSM1943572</v>
      </c>
      <c r="I10891" t="s">
        <v>69</v>
      </c>
      <c r="J10891" t="s">
        <v>18</v>
      </c>
      <c r="K10891" t="s">
        <v>19</v>
      </c>
      <c r="L10891" t="s">
        <v>70</v>
      </c>
      <c r="M10891" t="s">
        <v>44</v>
      </c>
      <c r="N10891" t="s">
        <v>29</v>
      </c>
    </row>
    <row r="10892" spans="1:14">
      <c r="A10892" s="4" t="str">
        <f t="shared" si="966"/>
        <v>EXP00363</v>
      </c>
      <c r="B10892" s="3" t="s">
        <v>66</v>
      </c>
      <c r="C10892" s="4" t="str">
        <f t="shared" si="965"/>
        <v>GSE75117</v>
      </c>
      <c r="D10892" s="1" t="s">
        <v>458</v>
      </c>
      <c r="E10892" t="s">
        <v>158</v>
      </c>
      <c r="F10892" s="1">
        <v>2</v>
      </c>
      <c r="G10892" s="1" t="s">
        <v>28</v>
      </c>
      <c r="H10892" s="4" t="str">
        <f>HYPERLINK("https://www.ncbi.nlm.nih.gov/geo/query/acc.cgi?acc=GSM1943573","GSM1943573")</f>
        <v>GSM1943573</v>
      </c>
      <c r="I10892" t="s">
        <v>69</v>
      </c>
      <c r="J10892" t="s">
        <v>18</v>
      </c>
      <c r="K10892" t="s">
        <v>19</v>
      </c>
      <c r="L10892" t="s">
        <v>70</v>
      </c>
      <c r="M10892" t="s">
        <v>44</v>
      </c>
      <c r="N10892" t="s">
        <v>29</v>
      </c>
    </row>
    <row r="10893" spans="1:14">
      <c r="A10893" s="4" t="str">
        <f t="shared" si="966"/>
        <v>EXP00363</v>
      </c>
      <c r="B10893" s="3" t="s">
        <v>66</v>
      </c>
      <c r="C10893" s="4" t="str">
        <f t="shared" si="965"/>
        <v>GSE75117</v>
      </c>
      <c r="D10893" s="1" t="s">
        <v>458</v>
      </c>
      <c r="E10893" t="s">
        <v>158</v>
      </c>
      <c r="F10893" s="1">
        <v>2</v>
      </c>
      <c r="G10893" s="1" t="s">
        <v>28</v>
      </c>
      <c r="H10893" s="4" t="str">
        <f>HYPERLINK("https://www.ncbi.nlm.nih.gov/geo/query/acc.cgi?acc=GSM1943577","GSM1943577")</f>
        <v>GSM1943577</v>
      </c>
      <c r="I10893" t="s">
        <v>69</v>
      </c>
      <c r="J10893" t="s">
        <v>18</v>
      </c>
      <c r="K10893" t="s">
        <v>19</v>
      </c>
      <c r="L10893" t="s">
        <v>70</v>
      </c>
      <c r="M10893" t="s">
        <v>461</v>
      </c>
      <c r="N10893" t="s">
        <v>29</v>
      </c>
    </row>
    <row r="10894" spans="1:14">
      <c r="A10894" s="4" t="str">
        <f t="shared" si="966"/>
        <v>EXP00363</v>
      </c>
      <c r="B10894" s="3" t="s">
        <v>66</v>
      </c>
      <c r="C10894" s="4" t="str">
        <f t="shared" si="965"/>
        <v>GSE75117</v>
      </c>
      <c r="D10894" s="1" t="s">
        <v>458</v>
      </c>
      <c r="E10894" t="s">
        <v>158</v>
      </c>
      <c r="F10894" s="1">
        <v>2</v>
      </c>
      <c r="G10894" s="1" t="s">
        <v>28</v>
      </c>
      <c r="H10894" s="4" t="str">
        <f>HYPERLINK("https://www.ncbi.nlm.nih.gov/geo/query/acc.cgi?acc=GSM1943578","GSM1943578")</f>
        <v>GSM1943578</v>
      </c>
      <c r="I10894" t="s">
        <v>69</v>
      </c>
      <c r="J10894" t="s">
        <v>18</v>
      </c>
      <c r="K10894" t="s">
        <v>19</v>
      </c>
      <c r="L10894" t="s">
        <v>70</v>
      </c>
      <c r="M10894" t="s">
        <v>461</v>
      </c>
      <c r="N10894" t="s">
        <v>29</v>
      </c>
    </row>
    <row r="10895" spans="1:14">
      <c r="A10895" s="4" t="str">
        <f t="shared" si="966"/>
        <v>EXP00363</v>
      </c>
      <c r="B10895" s="3" t="s">
        <v>66</v>
      </c>
      <c r="C10895" s="4" t="str">
        <f t="shared" si="965"/>
        <v>GSE75117</v>
      </c>
      <c r="D10895" s="1" t="s">
        <v>458</v>
      </c>
      <c r="E10895" t="s">
        <v>158</v>
      </c>
      <c r="F10895" s="1">
        <v>2</v>
      </c>
      <c r="G10895" s="1" t="s">
        <v>28</v>
      </c>
      <c r="H10895" s="4" t="str">
        <f>HYPERLINK("https://www.ncbi.nlm.nih.gov/geo/query/acc.cgi?acc=GSM1943579","GSM1943579")</f>
        <v>GSM1943579</v>
      </c>
      <c r="I10895" t="s">
        <v>69</v>
      </c>
      <c r="J10895" t="s">
        <v>18</v>
      </c>
      <c r="K10895" t="s">
        <v>19</v>
      </c>
      <c r="L10895" t="s">
        <v>70</v>
      </c>
      <c r="M10895" t="s">
        <v>461</v>
      </c>
      <c r="N10895" t="s">
        <v>29</v>
      </c>
    </row>
    <row r="10896" spans="1:14">
      <c r="A10896" s="4" t="str">
        <f t="shared" si="966"/>
        <v>EXP00363</v>
      </c>
      <c r="B10896" s="3" t="s">
        <v>66</v>
      </c>
      <c r="C10896" s="4" t="str">
        <f t="shared" si="965"/>
        <v>GSE75117</v>
      </c>
      <c r="D10896" s="1" t="s">
        <v>458</v>
      </c>
      <c r="E10896" t="s">
        <v>158</v>
      </c>
      <c r="F10896" s="1">
        <v>2</v>
      </c>
      <c r="G10896" s="1" t="s">
        <v>28</v>
      </c>
      <c r="H10896" s="4" t="str">
        <f>HYPERLINK("https://www.ncbi.nlm.nih.gov/geo/query/acc.cgi?acc=GSM1943580","GSM1943580")</f>
        <v>GSM1943580</v>
      </c>
      <c r="I10896" t="s">
        <v>69</v>
      </c>
      <c r="J10896" t="s">
        <v>18</v>
      </c>
      <c r="K10896" t="s">
        <v>19</v>
      </c>
      <c r="L10896" t="s">
        <v>70</v>
      </c>
      <c r="M10896" t="s">
        <v>461</v>
      </c>
      <c r="N10896" t="s">
        <v>29</v>
      </c>
    </row>
    <row r="10897" spans="1:14">
      <c r="A10897" s="4" t="str">
        <f t="shared" ref="A10897:A10923" si="967">HYPERLINK("http://hcmdb.i-sanger.com/experiment/details/experiment_id/EXP00364","EXP00364")</f>
        <v>EXP00364</v>
      </c>
      <c r="B10897" s="3" t="s">
        <v>66</v>
      </c>
      <c r="C10897" s="4" t="str">
        <f t="shared" si="965"/>
        <v>GSE75117</v>
      </c>
      <c r="D10897" s="1" t="s">
        <v>458</v>
      </c>
      <c r="E10897" t="s">
        <v>68</v>
      </c>
      <c r="F10897" s="1">
        <v>1</v>
      </c>
      <c r="G10897" s="1" t="s">
        <v>31</v>
      </c>
      <c r="H10897" s="4" t="str">
        <f>HYPERLINK("https://www.ncbi.nlm.nih.gov/geo/query/acc.cgi?acc=GSM1943555","GSM1943555")</f>
        <v>GSM1943555</v>
      </c>
      <c r="I10897" t="s">
        <v>69</v>
      </c>
      <c r="J10897" t="s">
        <v>18</v>
      </c>
      <c r="K10897" t="s">
        <v>19</v>
      </c>
      <c r="L10897" t="s">
        <v>70</v>
      </c>
      <c r="M10897" t="s">
        <v>292</v>
      </c>
      <c r="N10897" t="s">
        <v>29</v>
      </c>
    </row>
    <row r="10898" spans="1:14">
      <c r="A10898" s="4" t="str">
        <f t="shared" si="967"/>
        <v>EXP00364</v>
      </c>
      <c r="B10898" s="3" t="s">
        <v>66</v>
      </c>
      <c r="C10898" s="4" t="str">
        <f t="shared" si="965"/>
        <v>GSE75117</v>
      </c>
      <c r="D10898" s="1" t="s">
        <v>458</v>
      </c>
      <c r="E10898" t="s">
        <v>68</v>
      </c>
      <c r="F10898" s="1">
        <v>1</v>
      </c>
      <c r="G10898" s="1" t="s">
        <v>31</v>
      </c>
      <c r="H10898" s="4" t="str">
        <f>HYPERLINK("https://www.ncbi.nlm.nih.gov/geo/query/acc.cgi?acc=GSM1943556","GSM1943556")</f>
        <v>GSM1943556</v>
      </c>
      <c r="I10898" t="s">
        <v>69</v>
      </c>
      <c r="J10898" t="s">
        <v>18</v>
      </c>
      <c r="K10898" t="s">
        <v>19</v>
      </c>
      <c r="L10898" t="s">
        <v>70</v>
      </c>
      <c r="M10898" t="s">
        <v>292</v>
      </c>
      <c r="N10898" t="s">
        <v>29</v>
      </c>
    </row>
    <row r="10899" spans="1:14">
      <c r="A10899" s="4" t="str">
        <f t="shared" si="967"/>
        <v>EXP00364</v>
      </c>
      <c r="B10899" s="3" t="s">
        <v>66</v>
      </c>
      <c r="C10899" s="4" t="str">
        <f t="shared" si="965"/>
        <v>GSE75117</v>
      </c>
      <c r="D10899" s="1" t="s">
        <v>458</v>
      </c>
      <c r="E10899" t="s">
        <v>68</v>
      </c>
      <c r="F10899" s="1">
        <v>1</v>
      </c>
      <c r="G10899" s="1" t="s">
        <v>31</v>
      </c>
      <c r="H10899" s="4" t="str">
        <f>HYPERLINK("https://www.ncbi.nlm.nih.gov/geo/query/acc.cgi?acc=GSM1943557","GSM1943557")</f>
        <v>GSM1943557</v>
      </c>
      <c r="I10899" t="s">
        <v>69</v>
      </c>
      <c r="J10899" t="s">
        <v>18</v>
      </c>
      <c r="K10899" t="s">
        <v>19</v>
      </c>
      <c r="L10899" t="s">
        <v>70</v>
      </c>
      <c r="M10899" t="s">
        <v>292</v>
      </c>
      <c r="N10899" t="s">
        <v>29</v>
      </c>
    </row>
    <row r="10900" spans="1:14">
      <c r="A10900" s="4" t="str">
        <f t="shared" si="967"/>
        <v>EXP00364</v>
      </c>
      <c r="B10900" s="3" t="s">
        <v>66</v>
      </c>
      <c r="C10900" s="4" t="str">
        <f t="shared" si="965"/>
        <v>GSE75117</v>
      </c>
      <c r="D10900" s="1" t="s">
        <v>458</v>
      </c>
      <c r="E10900" t="s">
        <v>68</v>
      </c>
      <c r="F10900" s="1">
        <v>1</v>
      </c>
      <c r="G10900" s="1" t="s">
        <v>31</v>
      </c>
      <c r="H10900" s="4" t="str">
        <f>HYPERLINK("https://www.ncbi.nlm.nih.gov/geo/query/acc.cgi?acc=GSM1943559","GSM1943559")</f>
        <v>GSM1943559</v>
      </c>
      <c r="I10900" t="s">
        <v>69</v>
      </c>
      <c r="J10900" t="s">
        <v>18</v>
      </c>
      <c r="K10900" t="s">
        <v>19</v>
      </c>
      <c r="L10900" t="s">
        <v>70</v>
      </c>
      <c r="M10900" t="s">
        <v>44</v>
      </c>
      <c r="N10900" t="s">
        <v>29</v>
      </c>
    </row>
    <row r="10901" spans="1:14">
      <c r="A10901" s="4" t="str">
        <f t="shared" si="967"/>
        <v>EXP00364</v>
      </c>
      <c r="B10901" s="3" t="s">
        <v>66</v>
      </c>
      <c r="C10901" s="4" t="str">
        <f t="shared" si="965"/>
        <v>GSE75117</v>
      </c>
      <c r="D10901" s="1" t="s">
        <v>458</v>
      </c>
      <c r="E10901" t="s">
        <v>68</v>
      </c>
      <c r="F10901" s="1">
        <v>1</v>
      </c>
      <c r="G10901" s="1" t="s">
        <v>31</v>
      </c>
      <c r="H10901" s="4" t="str">
        <f>HYPERLINK("https://www.ncbi.nlm.nih.gov/geo/query/acc.cgi?acc=GSM1943560","GSM1943560")</f>
        <v>GSM1943560</v>
      </c>
      <c r="I10901" t="s">
        <v>69</v>
      </c>
      <c r="J10901" t="s">
        <v>18</v>
      </c>
      <c r="K10901" t="s">
        <v>19</v>
      </c>
      <c r="L10901" t="s">
        <v>70</v>
      </c>
      <c r="M10901" t="s">
        <v>44</v>
      </c>
      <c r="N10901" t="s">
        <v>29</v>
      </c>
    </row>
    <row r="10902" spans="1:14">
      <c r="A10902" s="4" t="str">
        <f t="shared" si="967"/>
        <v>EXP00364</v>
      </c>
      <c r="B10902" s="3" t="s">
        <v>66</v>
      </c>
      <c r="C10902" s="4" t="str">
        <f t="shared" si="965"/>
        <v>GSE75117</v>
      </c>
      <c r="D10902" s="1" t="s">
        <v>458</v>
      </c>
      <c r="E10902" t="s">
        <v>68</v>
      </c>
      <c r="F10902" s="1">
        <v>1</v>
      </c>
      <c r="G10902" s="1" t="s">
        <v>31</v>
      </c>
      <c r="H10902" s="4" t="str">
        <f>HYPERLINK("https://www.ncbi.nlm.nih.gov/geo/query/acc.cgi?acc=GSM1943561","GSM1943561")</f>
        <v>GSM1943561</v>
      </c>
      <c r="I10902" t="s">
        <v>69</v>
      </c>
      <c r="J10902" t="s">
        <v>18</v>
      </c>
      <c r="K10902" t="s">
        <v>19</v>
      </c>
      <c r="L10902" t="s">
        <v>70</v>
      </c>
      <c r="M10902" t="s">
        <v>44</v>
      </c>
      <c r="N10902" t="s">
        <v>29</v>
      </c>
    </row>
    <row r="10903" spans="1:14">
      <c r="A10903" s="4" t="str">
        <f t="shared" si="967"/>
        <v>EXP00364</v>
      </c>
      <c r="B10903" s="3" t="s">
        <v>66</v>
      </c>
      <c r="C10903" s="4" t="str">
        <f t="shared" si="965"/>
        <v>GSE75117</v>
      </c>
      <c r="D10903" s="1" t="s">
        <v>458</v>
      </c>
      <c r="E10903" t="s">
        <v>68</v>
      </c>
      <c r="F10903" s="1">
        <v>1</v>
      </c>
      <c r="G10903" s="1" t="s">
        <v>31</v>
      </c>
      <c r="H10903" s="4" t="str">
        <f>HYPERLINK("https://www.ncbi.nlm.nih.gov/geo/query/acc.cgi?acc=GSM1943569","GSM1943569")</f>
        <v>GSM1943569</v>
      </c>
      <c r="I10903" t="s">
        <v>69</v>
      </c>
      <c r="J10903" t="s">
        <v>18</v>
      </c>
      <c r="K10903" t="s">
        <v>19</v>
      </c>
      <c r="L10903" t="s">
        <v>70</v>
      </c>
      <c r="M10903" t="s">
        <v>44</v>
      </c>
      <c r="N10903" t="s">
        <v>29</v>
      </c>
    </row>
    <row r="10904" spans="1:14">
      <c r="A10904" s="4" t="str">
        <f t="shared" si="967"/>
        <v>EXP00364</v>
      </c>
      <c r="B10904" s="3" t="s">
        <v>66</v>
      </c>
      <c r="C10904" s="4" t="str">
        <f t="shared" ref="C10904:C10923" si="968">HYPERLINK("https://www.ncbi.nlm.nih.gov/geo/query/acc.cgi?acc=GSE75117","GSE75117")</f>
        <v>GSE75117</v>
      </c>
      <c r="D10904" s="1" t="s">
        <v>458</v>
      </c>
      <c r="E10904" t="s">
        <v>68</v>
      </c>
      <c r="F10904" s="1">
        <v>1</v>
      </c>
      <c r="G10904" s="1" t="s">
        <v>31</v>
      </c>
      <c r="H10904" s="4" t="str">
        <f>HYPERLINK("https://www.ncbi.nlm.nih.gov/geo/query/acc.cgi?acc=GSM1943570","GSM1943570")</f>
        <v>GSM1943570</v>
      </c>
      <c r="I10904" t="s">
        <v>69</v>
      </c>
      <c r="J10904" t="s">
        <v>18</v>
      </c>
      <c r="K10904" t="s">
        <v>19</v>
      </c>
      <c r="L10904" t="s">
        <v>70</v>
      </c>
      <c r="M10904" t="s">
        <v>44</v>
      </c>
      <c r="N10904" t="s">
        <v>29</v>
      </c>
    </row>
    <row r="10905" spans="1:14">
      <c r="A10905" s="4" t="str">
        <f t="shared" si="967"/>
        <v>EXP00364</v>
      </c>
      <c r="B10905" s="3" t="s">
        <v>66</v>
      </c>
      <c r="C10905" s="4" t="str">
        <f t="shared" si="968"/>
        <v>GSE75117</v>
      </c>
      <c r="D10905" s="1" t="s">
        <v>458</v>
      </c>
      <c r="E10905" t="s">
        <v>68</v>
      </c>
      <c r="F10905" s="1">
        <v>1</v>
      </c>
      <c r="G10905" s="1" t="s">
        <v>31</v>
      </c>
      <c r="H10905" s="4" t="str">
        <f>HYPERLINK("https://www.ncbi.nlm.nih.gov/geo/query/acc.cgi?acc=GSM1943571","GSM1943571")</f>
        <v>GSM1943571</v>
      </c>
      <c r="I10905" t="s">
        <v>69</v>
      </c>
      <c r="J10905" t="s">
        <v>18</v>
      </c>
      <c r="K10905" t="s">
        <v>19</v>
      </c>
      <c r="L10905" t="s">
        <v>70</v>
      </c>
      <c r="M10905" t="s">
        <v>44</v>
      </c>
      <c r="N10905" t="s">
        <v>29</v>
      </c>
    </row>
    <row r="10906" spans="1:14">
      <c r="A10906" s="4" t="str">
        <f t="shared" si="967"/>
        <v>EXP00364</v>
      </c>
      <c r="B10906" s="3" t="s">
        <v>66</v>
      </c>
      <c r="C10906" s="4" t="str">
        <f t="shared" si="968"/>
        <v>GSE75117</v>
      </c>
      <c r="D10906" s="1" t="s">
        <v>458</v>
      </c>
      <c r="E10906" t="s">
        <v>68</v>
      </c>
      <c r="F10906" s="1">
        <v>1</v>
      </c>
      <c r="G10906" s="1" t="s">
        <v>31</v>
      </c>
      <c r="H10906" s="4" t="str">
        <f>HYPERLINK("https://www.ncbi.nlm.nih.gov/geo/query/acc.cgi?acc=GSM1943572","GSM1943572")</f>
        <v>GSM1943572</v>
      </c>
      <c r="I10906" t="s">
        <v>69</v>
      </c>
      <c r="J10906" t="s">
        <v>18</v>
      </c>
      <c r="K10906" t="s">
        <v>19</v>
      </c>
      <c r="L10906" t="s">
        <v>70</v>
      </c>
      <c r="M10906" t="s">
        <v>44</v>
      </c>
      <c r="N10906" t="s">
        <v>29</v>
      </c>
    </row>
    <row r="10907" spans="1:14">
      <c r="A10907" s="4" t="str">
        <f t="shared" si="967"/>
        <v>EXP00364</v>
      </c>
      <c r="B10907" s="3" t="s">
        <v>66</v>
      </c>
      <c r="C10907" s="4" t="str">
        <f t="shared" si="968"/>
        <v>GSE75117</v>
      </c>
      <c r="D10907" s="1" t="s">
        <v>458</v>
      </c>
      <c r="E10907" t="s">
        <v>68</v>
      </c>
      <c r="F10907" s="1">
        <v>1</v>
      </c>
      <c r="G10907" s="1" t="s">
        <v>31</v>
      </c>
      <c r="H10907" s="4" t="str">
        <f>HYPERLINK("https://www.ncbi.nlm.nih.gov/geo/query/acc.cgi?acc=GSM1943573","GSM1943573")</f>
        <v>GSM1943573</v>
      </c>
      <c r="I10907" t="s">
        <v>69</v>
      </c>
      <c r="J10907" t="s">
        <v>18</v>
      </c>
      <c r="K10907" t="s">
        <v>19</v>
      </c>
      <c r="L10907" t="s">
        <v>70</v>
      </c>
      <c r="M10907" t="s">
        <v>44</v>
      </c>
      <c r="N10907" t="s">
        <v>29</v>
      </c>
    </row>
    <row r="10908" spans="1:14">
      <c r="A10908" s="4" t="str">
        <f t="shared" si="967"/>
        <v>EXP00364</v>
      </c>
      <c r="B10908" s="3" t="s">
        <v>66</v>
      </c>
      <c r="C10908" s="4" t="str">
        <f t="shared" si="968"/>
        <v>GSE75117</v>
      </c>
      <c r="D10908" s="1" t="s">
        <v>458</v>
      </c>
      <c r="E10908" t="s">
        <v>68</v>
      </c>
      <c r="F10908" s="1">
        <v>1</v>
      </c>
      <c r="G10908" s="1" t="s">
        <v>31</v>
      </c>
      <c r="H10908" s="4" t="str">
        <f>HYPERLINK("https://www.ncbi.nlm.nih.gov/geo/query/acc.cgi?acc=GSM1943577","GSM1943577")</f>
        <v>GSM1943577</v>
      </c>
      <c r="I10908" t="s">
        <v>69</v>
      </c>
      <c r="J10908" t="s">
        <v>18</v>
      </c>
      <c r="K10908" t="s">
        <v>19</v>
      </c>
      <c r="L10908" t="s">
        <v>70</v>
      </c>
      <c r="M10908" t="s">
        <v>461</v>
      </c>
      <c r="N10908" t="s">
        <v>29</v>
      </c>
    </row>
    <row r="10909" spans="1:14">
      <c r="A10909" s="4" t="str">
        <f t="shared" si="967"/>
        <v>EXP00364</v>
      </c>
      <c r="B10909" s="3" t="s">
        <v>66</v>
      </c>
      <c r="C10909" s="4" t="str">
        <f t="shared" si="968"/>
        <v>GSE75117</v>
      </c>
      <c r="D10909" s="1" t="s">
        <v>458</v>
      </c>
      <c r="E10909" t="s">
        <v>68</v>
      </c>
      <c r="F10909" s="1">
        <v>1</v>
      </c>
      <c r="G10909" s="1" t="s">
        <v>31</v>
      </c>
      <c r="H10909" s="4" t="str">
        <f>HYPERLINK("https://www.ncbi.nlm.nih.gov/geo/query/acc.cgi?acc=GSM1943578","GSM1943578")</f>
        <v>GSM1943578</v>
      </c>
      <c r="I10909" t="s">
        <v>69</v>
      </c>
      <c r="J10909" t="s">
        <v>18</v>
      </c>
      <c r="K10909" t="s">
        <v>19</v>
      </c>
      <c r="L10909" t="s">
        <v>70</v>
      </c>
      <c r="M10909" t="s">
        <v>461</v>
      </c>
      <c r="N10909" t="s">
        <v>29</v>
      </c>
    </row>
    <row r="10910" spans="1:14">
      <c r="A10910" s="4" t="str">
        <f t="shared" si="967"/>
        <v>EXP00364</v>
      </c>
      <c r="B10910" s="3" t="s">
        <v>66</v>
      </c>
      <c r="C10910" s="4" t="str">
        <f t="shared" si="968"/>
        <v>GSE75117</v>
      </c>
      <c r="D10910" s="1" t="s">
        <v>458</v>
      </c>
      <c r="E10910" t="s">
        <v>68</v>
      </c>
      <c r="F10910" s="1">
        <v>1</v>
      </c>
      <c r="G10910" s="1" t="s">
        <v>31</v>
      </c>
      <c r="H10910" s="4" t="str">
        <f>HYPERLINK("https://www.ncbi.nlm.nih.gov/geo/query/acc.cgi?acc=GSM1943579","GSM1943579")</f>
        <v>GSM1943579</v>
      </c>
      <c r="I10910" t="s">
        <v>69</v>
      </c>
      <c r="J10910" t="s">
        <v>18</v>
      </c>
      <c r="K10910" t="s">
        <v>19</v>
      </c>
      <c r="L10910" t="s">
        <v>70</v>
      </c>
      <c r="M10910" t="s">
        <v>461</v>
      </c>
      <c r="N10910" t="s">
        <v>29</v>
      </c>
    </row>
    <row r="10911" spans="1:14">
      <c r="A10911" s="4" t="str">
        <f t="shared" si="967"/>
        <v>EXP00364</v>
      </c>
      <c r="B10911" s="3" t="s">
        <v>66</v>
      </c>
      <c r="C10911" s="4" t="str">
        <f t="shared" si="968"/>
        <v>GSE75117</v>
      </c>
      <c r="D10911" s="1" t="s">
        <v>458</v>
      </c>
      <c r="E10911" t="s">
        <v>68</v>
      </c>
      <c r="F10911" s="1">
        <v>1</v>
      </c>
      <c r="G10911" s="1" t="s">
        <v>31</v>
      </c>
      <c r="H10911" s="4" t="str">
        <f>HYPERLINK("https://www.ncbi.nlm.nih.gov/geo/query/acc.cgi?acc=GSM1943580","GSM1943580")</f>
        <v>GSM1943580</v>
      </c>
      <c r="I10911" t="s">
        <v>69</v>
      </c>
      <c r="J10911" t="s">
        <v>18</v>
      </c>
      <c r="K10911" t="s">
        <v>19</v>
      </c>
      <c r="L10911" t="s">
        <v>70</v>
      </c>
      <c r="M10911" t="s">
        <v>461</v>
      </c>
      <c r="N10911" t="s">
        <v>29</v>
      </c>
    </row>
    <row r="10912" spans="1:14">
      <c r="A10912" s="4" t="str">
        <f t="shared" si="967"/>
        <v>EXP00364</v>
      </c>
      <c r="B10912" s="3" t="s">
        <v>66</v>
      </c>
      <c r="C10912" s="4" t="str">
        <f t="shared" si="968"/>
        <v>GSE75117</v>
      </c>
      <c r="D10912" s="1" t="s">
        <v>458</v>
      </c>
      <c r="E10912" t="s">
        <v>68</v>
      </c>
      <c r="F10912" s="1">
        <v>2</v>
      </c>
      <c r="G10912" s="1" t="s">
        <v>32</v>
      </c>
      <c r="H10912" s="4" t="str">
        <f>HYPERLINK("https://www.ncbi.nlm.nih.gov/geo/query/acc.cgi?acc=GSM1943553","GSM1943553")</f>
        <v>GSM1943553</v>
      </c>
      <c r="I10912" t="s">
        <v>69</v>
      </c>
      <c r="J10912" t="s">
        <v>18</v>
      </c>
      <c r="K10912" t="s">
        <v>33</v>
      </c>
      <c r="L10912" t="s">
        <v>70</v>
      </c>
      <c r="N10912" t="s">
        <v>29</v>
      </c>
    </row>
    <row r="10913" spans="1:14">
      <c r="A10913" s="4" t="str">
        <f t="shared" si="967"/>
        <v>EXP00364</v>
      </c>
      <c r="B10913" s="3" t="s">
        <v>66</v>
      </c>
      <c r="C10913" s="4" t="str">
        <f t="shared" si="968"/>
        <v>GSE75117</v>
      </c>
      <c r="D10913" s="1" t="s">
        <v>458</v>
      </c>
      <c r="E10913" t="s">
        <v>68</v>
      </c>
      <c r="F10913" s="1">
        <v>2</v>
      </c>
      <c r="G10913" s="1" t="s">
        <v>32</v>
      </c>
      <c r="H10913" s="4" t="str">
        <f>HYPERLINK("https://www.ncbi.nlm.nih.gov/geo/query/acc.cgi?acc=GSM1943554","GSM1943554")</f>
        <v>GSM1943554</v>
      </c>
      <c r="I10913" t="s">
        <v>69</v>
      </c>
      <c r="J10913" t="s">
        <v>18</v>
      </c>
      <c r="K10913" t="s">
        <v>33</v>
      </c>
      <c r="L10913" t="s">
        <v>70</v>
      </c>
      <c r="N10913" t="s">
        <v>29</v>
      </c>
    </row>
    <row r="10914" spans="1:14">
      <c r="A10914" s="4" t="str">
        <f t="shared" si="967"/>
        <v>EXP00364</v>
      </c>
      <c r="B10914" s="3" t="s">
        <v>66</v>
      </c>
      <c r="C10914" s="4" t="str">
        <f t="shared" si="968"/>
        <v>GSE75117</v>
      </c>
      <c r="D10914" s="1" t="s">
        <v>458</v>
      </c>
      <c r="E10914" t="s">
        <v>68</v>
      </c>
      <c r="F10914" s="1">
        <v>2</v>
      </c>
      <c r="G10914" s="1" t="s">
        <v>32</v>
      </c>
      <c r="H10914" s="4" t="str">
        <f>HYPERLINK("https://www.ncbi.nlm.nih.gov/geo/query/acc.cgi?acc=GSM1943565","GSM1943565")</f>
        <v>GSM1943565</v>
      </c>
      <c r="I10914" t="s">
        <v>69</v>
      </c>
      <c r="J10914" t="s">
        <v>18</v>
      </c>
      <c r="K10914" t="s">
        <v>33</v>
      </c>
      <c r="L10914" t="s">
        <v>70</v>
      </c>
      <c r="N10914" t="s">
        <v>29</v>
      </c>
    </row>
    <row r="10915" spans="1:14">
      <c r="A10915" s="4" t="str">
        <f t="shared" si="967"/>
        <v>EXP00364</v>
      </c>
      <c r="B10915" s="3" t="s">
        <v>66</v>
      </c>
      <c r="C10915" s="4" t="str">
        <f t="shared" si="968"/>
        <v>GSE75117</v>
      </c>
      <c r="D10915" s="1" t="s">
        <v>458</v>
      </c>
      <c r="E10915" t="s">
        <v>68</v>
      </c>
      <c r="F10915" s="1">
        <v>2</v>
      </c>
      <c r="G10915" s="1" t="s">
        <v>32</v>
      </c>
      <c r="H10915" s="4" t="str">
        <f>HYPERLINK("https://www.ncbi.nlm.nih.gov/geo/query/acc.cgi?acc=GSM1943566","GSM1943566")</f>
        <v>GSM1943566</v>
      </c>
      <c r="I10915" t="s">
        <v>69</v>
      </c>
      <c r="J10915" t="s">
        <v>18</v>
      </c>
      <c r="K10915" t="s">
        <v>33</v>
      </c>
      <c r="L10915" t="s">
        <v>70</v>
      </c>
      <c r="N10915" t="s">
        <v>29</v>
      </c>
    </row>
    <row r="10916" spans="1:14">
      <c r="A10916" s="4" t="str">
        <f t="shared" si="967"/>
        <v>EXP00364</v>
      </c>
      <c r="B10916" s="3" t="s">
        <v>66</v>
      </c>
      <c r="C10916" s="4" t="str">
        <f t="shared" si="968"/>
        <v>GSE75117</v>
      </c>
      <c r="D10916" s="1" t="s">
        <v>458</v>
      </c>
      <c r="E10916" t="s">
        <v>68</v>
      </c>
      <c r="F10916" s="1">
        <v>2</v>
      </c>
      <c r="G10916" s="1" t="s">
        <v>32</v>
      </c>
      <c r="H10916" s="4" t="str">
        <f>HYPERLINK("https://www.ncbi.nlm.nih.gov/geo/query/acc.cgi?acc=GSM1943567","GSM1943567")</f>
        <v>GSM1943567</v>
      </c>
      <c r="I10916" t="s">
        <v>69</v>
      </c>
      <c r="J10916" t="s">
        <v>18</v>
      </c>
      <c r="K10916" t="s">
        <v>33</v>
      </c>
      <c r="L10916" t="s">
        <v>70</v>
      </c>
      <c r="N10916" t="s">
        <v>29</v>
      </c>
    </row>
    <row r="10917" spans="1:14">
      <c r="A10917" s="4" t="str">
        <f t="shared" si="967"/>
        <v>EXP00364</v>
      </c>
      <c r="B10917" s="3" t="s">
        <v>66</v>
      </c>
      <c r="C10917" s="4" t="str">
        <f t="shared" si="968"/>
        <v>GSE75117</v>
      </c>
      <c r="D10917" s="1" t="s">
        <v>458</v>
      </c>
      <c r="E10917" t="s">
        <v>68</v>
      </c>
      <c r="F10917" s="1">
        <v>2</v>
      </c>
      <c r="G10917" s="1" t="s">
        <v>32</v>
      </c>
      <c r="H10917" s="4" t="str">
        <f>HYPERLINK("https://www.ncbi.nlm.nih.gov/geo/query/acc.cgi?acc=GSM1943584","GSM1943584")</f>
        <v>GSM1943584</v>
      </c>
      <c r="I10917" t="s">
        <v>69</v>
      </c>
      <c r="J10917" t="s">
        <v>18</v>
      </c>
      <c r="K10917" t="s">
        <v>33</v>
      </c>
      <c r="L10917" t="s">
        <v>70</v>
      </c>
      <c r="N10917" t="s">
        <v>29</v>
      </c>
    </row>
    <row r="10918" spans="1:14">
      <c r="A10918" s="4" t="str">
        <f t="shared" si="967"/>
        <v>EXP00364</v>
      </c>
      <c r="B10918" s="3" t="s">
        <v>66</v>
      </c>
      <c r="C10918" s="4" t="str">
        <f t="shared" si="968"/>
        <v>GSE75117</v>
      </c>
      <c r="D10918" s="1" t="s">
        <v>458</v>
      </c>
      <c r="E10918" t="s">
        <v>68</v>
      </c>
      <c r="F10918" s="1">
        <v>2</v>
      </c>
      <c r="G10918" s="1" t="s">
        <v>32</v>
      </c>
      <c r="H10918" s="4" t="str">
        <f>HYPERLINK("https://www.ncbi.nlm.nih.gov/geo/query/acc.cgi?acc=GSM1943585","GSM1943585")</f>
        <v>GSM1943585</v>
      </c>
      <c r="I10918" t="s">
        <v>69</v>
      </c>
      <c r="J10918" t="s">
        <v>18</v>
      </c>
      <c r="K10918" t="s">
        <v>33</v>
      </c>
      <c r="L10918" t="s">
        <v>70</v>
      </c>
      <c r="N10918" t="s">
        <v>29</v>
      </c>
    </row>
    <row r="10919" spans="1:14">
      <c r="A10919" s="4" t="str">
        <f t="shared" si="967"/>
        <v>EXP00364</v>
      </c>
      <c r="B10919" s="3" t="s">
        <v>66</v>
      </c>
      <c r="C10919" s="4" t="str">
        <f t="shared" si="968"/>
        <v>GSE75117</v>
      </c>
      <c r="D10919" s="1" t="s">
        <v>458</v>
      </c>
      <c r="E10919" t="s">
        <v>68</v>
      </c>
      <c r="F10919" s="1">
        <v>2</v>
      </c>
      <c r="G10919" s="1" t="s">
        <v>32</v>
      </c>
      <c r="H10919" s="4" t="str">
        <f>HYPERLINK("https://www.ncbi.nlm.nih.gov/geo/query/acc.cgi?acc=GSM1943586","GSM1943586")</f>
        <v>GSM1943586</v>
      </c>
      <c r="I10919" t="s">
        <v>69</v>
      </c>
      <c r="J10919" t="s">
        <v>18</v>
      </c>
      <c r="K10919" t="s">
        <v>33</v>
      </c>
      <c r="L10919" t="s">
        <v>70</v>
      </c>
      <c r="N10919" t="s">
        <v>29</v>
      </c>
    </row>
    <row r="10920" spans="1:14">
      <c r="A10920" s="4" t="str">
        <f t="shared" si="967"/>
        <v>EXP00364</v>
      </c>
      <c r="B10920" s="3" t="s">
        <v>66</v>
      </c>
      <c r="C10920" s="4" t="str">
        <f t="shared" si="968"/>
        <v>GSE75117</v>
      </c>
      <c r="D10920" s="1" t="s">
        <v>458</v>
      </c>
      <c r="E10920" t="s">
        <v>68</v>
      </c>
      <c r="F10920" s="1">
        <v>2</v>
      </c>
      <c r="G10920" s="1" t="s">
        <v>32</v>
      </c>
      <c r="H10920" s="4" t="str">
        <f>HYPERLINK("https://www.ncbi.nlm.nih.gov/geo/query/acc.cgi?acc=GSM1943587","GSM1943587")</f>
        <v>GSM1943587</v>
      </c>
      <c r="I10920" t="s">
        <v>69</v>
      </c>
      <c r="J10920" t="s">
        <v>18</v>
      </c>
      <c r="K10920" t="s">
        <v>33</v>
      </c>
      <c r="L10920" t="s">
        <v>70</v>
      </c>
      <c r="N10920" t="s">
        <v>29</v>
      </c>
    </row>
    <row r="10921" spans="1:14">
      <c r="A10921" s="4" t="str">
        <f t="shared" si="967"/>
        <v>EXP00364</v>
      </c>
      <c r="B10921" s="3" t="s">
        <v>66</v>
      </c>
      <c r="C10921" s="4" t="str">
        <f t="shared" si="968"/>
        <v>GSE75117</v>
      </c>
      <c r="D10921" s="1" t="s">
        <v>458</v>
      </c>
      <c r="E10921" t="s">
        <v>68</v>
      </c>
      <c r="F10921" s="1">
        <v>2</v>
      </c>
      <c r="G10921" s="1" t="s">
        <v>32</v>
      </c>
      <c r="H10921" s="4" t="str">
        <f>HYPERLINK("https://www.ncbi.nlm.nih.gov/geo/query/acc.cgi?acc=GSM1943588","GSM1943588")</f>
        <v>GSM1943588</v>
      </c>
      <c r="I10921" t="s">
        <v>69</v>
      </c>
      <c r="J10921" t="s">
        <v>18</v>
      </c>
      <c r="K10921" t="s">
        <v>33</v>
      </c>
      <c r="L10921" t="s">
        <v>70</v>
      </c>
      <c r="N10921" t="s">
        <v>29</v>
      </c>
    </row>
    <row r="10922" spans="1:14">
      <c r="A10922" s="4" t="str">
        <f t="shared" si="967"/>
        <v>EXP00364</v>
      </c>
      <c r="B10922" s="3" t="s">
        <v>66</v>
      </c>
      <c r="C10922" s="4" t="str">
        <f t="shared" si="968"/>
        <v>GSE75117</v>
      </c>
      <c r="D10922" s="1" t="s">
        <v>458</v>
      </c>
      <c r="E10922" t="s">
        <v>68</v>
      </c>
      <c r="F10922" s="1">
        <v>2</v>
      </c>
      <c r="G10922" s="1" t="s">
        <v>32</v>
      </c>
      <c r="H10922" s="4" t="str">
        <f>HYPERLINK("https://www.ncbi.nlm.nih.gov/geo/query/acc.cgi?acc=GSM1943589","GSM1943589")</f>
        <v>GSM1943589</v>
      </c>
      <c r="I10922" t="s">
        <v>69</v>
      </c>
      <c r="J10922" t="s">
        <v>18</v>
      </c>
      <c r="K10922" t="s">
        <v>33</v>
      </c>
      <c r="L10922" t="s">
        <v>70</v>
      </c>
      <c r="N10922" t="s">
        <v>29</v>
      </c>
    </row>
    <row r="10923" spans="1:14">
      <c r="A10923" s="4" t="str">
        <f t="shared" si="967"/>
        <v>EXP00364</v>
      </c>
      <c r="B10923" s="3" t="s">
        <v>66</v>
      </c>
      <c r="C10923" s="4" t="str">
        <f t="shared" si="968"/>
        <v>GSE75117</v>
      </c>
      <c r="D10923" s="1" t="s">
        <v>458</v>
      </c>
      <c r="E10923" t="s">
        <v>68</v>
      </c>
      <c r="F10923" s="1">
        <v>2</v>
      </c>
      <c r="G10923" s="1" t="s">
        <v>32</v>
      </c>
      <c r="H10923" s="4" t="str">
        <f>HYPERLINK("https://www.ncbi.nlm.nih.gov/geo/query/acc.cgi?acc=GSM1943590","GSM1943590")</f>
        <v>GSM1943590</v>
      </c>
      <c r="I10923" t="s">
        <v>69</v>
      </c>
      <c r="J10923" t="s">
        <v>18</v>
      </c>
      <c r="K10923" t="s">
        <v>33</v>
      </c>
      <c r="L10923" t="s">
        <v>70</v>
      </c>
      <c r="N10923" t="s">
        <v>29</v>
      </c>
    </row>
    <row r="10924" spans="1:14">
      <c r="A10924" s="4" t="str">
        <f t="shared" ref="A10924:A10955" si="969">HYPERLINK("http://hcmdb.i-sanger.com/experiment/details/experiment_id/EXP00365","EXP00365")</f>
        <v>EXP00365</v>
      </c>
      <c r="B10924" s="4" t="str">
        <f t="shared" ref="B10924:B10955" si="970">HYPERLINK("https://www.ncbi.nlm.nih.gov/pubmed/18442402","18442402")</f>
        <v>18442402</v>
      </c>
      <c r="C10924" s="4" t="str">
        <f t="shared" ref="C10924:C10955" si="971">HYPERLINK("https://www.ncbi.nlm.nih.gov/geo/query/acc.cgi?acc=GSE7553","GSE7553")</f>
        <v>GSE7553</v>
      </c>
      <c r="D10924" s="1" t="s">
        <v>45</v>
      </c>
      <c r="E10924" t="s">
        <v>464</v>
      </c>
      <c r="F10924" s="1">
        <v>1</v>
      </c>
      <c r="G10924" s="1" t="s">
        <v>26</v>
      </c>
      <c r="H10924" s="4" t="str">
        <f>HYPERLINK("https://www.ncbi.nlm.nih.gov/geo/query/acc.cgi?acc=GSM183226","GSM183226")</f>
        <v>GSM183226</v>
      </c>
      <c r="I10924" t="s">
        <v>82</v>
      </c>
      <c r="J10924" t="s">
        <v>83</v>
      </c>
      <c r="K10924" t="s">
        <v>19</v>
      </c>
      <c r="L10924" t="s">
        <v>27</v>
      </c>
      <c r="M10924" t="s">
        <v>51</v>
      </c>
      <c r="N10924" t="s">
        <v>22</v>
      </c>
    </row>
    <row r="10925" spans="1:14">
      <c r="A10925" s="4" t="str">
        <f t="shared" si="969"/>
        <v>EXP00365</v>
      </c>
      <c r="B10925" s="4" t="str">
        <f t="shared" si="970"/>
        <v>18442402</v>
      </c>
      <c r="C10925" s="4" t="str">
        <f t="shared" si="971"/>
        <v>GSE7553</v>
      </c>
      <c r="D10925" s="1" t="s">
        <v>45</v>
      </c>
      <c r="E10925" t="s">
        <v>464</v>
      </c>
      <c r="F10925" s="1">
        <v>1</v>
      </c>
      <c r="G10925" s="1" t="s">
        <v>26</v>
      </c>
      <c r="H10925" s="4" t="str">
        <f>HYPERLINK("https://www.ncbi.nlm.nih.gov/geo/query/acc.cgi?acc=GSM183227","GSM183227")</f>
        <v>GSM183227</v>
      </c>
      <c r="I10925" t="s">
        <v>82</v>
      </c>
      <c r="J10925" t="s">
        <v>83</v>
      </c>
      <c r="K10925" t="s">
        <v>19</v>
      </c>
      <c r="L10925" t="s">
        <v>27</v>
      </c>
      <c r="M10925" t="s">
        <v>51</v>
      </c>
      <c r="N10925" t="s">
        <v>22</v>
      </c>
    </row>
    <row r="10926" spans="1:14">
      <c r="A10926" s="4" t="str">
        <f t="shared" si="969"/>
        <v>EXP00365</v>
      </c>
      <c r="B10926" s="4" t="str">
        <f t="shared" si="970"/>
        <v>18442402</v>
      </c>
      <c r="C10926" s="4" t="str">
        <f t="shared" si="971"/>
        <v>GSE7553</v>
      </c>
      <c r="D10926" s="1" t="s">
        <v>45</v>
      </c>
      <c r="E10926" t="s">
        <v>464</v>
      </c>
      <c r="F10926" s="1">
        <v>1</v>
      </c>
      <c r="G10926" s="1" t="s">
        <v>26</v>
      </c>
      <c r="H10926" s="4" t="str">
        <f>HYPERLINK("https://www.ncbi.nlm.nih.gov/geo/query/acc.cgi?acc=GSM183228","GSM183228")</f>
        <v>GSM183228</v>
      </c>
      <c r="I10926" t="s">
        <v>82</v>
      </c>
      <c r="J10926" t="s">
        <v>83</v>
      </c>
      <c r="K10926" t="s">
        <v>19</v>
      </c>
      <c r="L10926" t="s">
        <v>27</v>
      </c>
      <c r="M10926" t="s">
        <v>51</v>
      </c>
      <c r="N10926" t="s">
        <v>22</v>
      </c>
    </row>
    <row r="10927" spans="1:14">
      <c r="A10927" s="4" t="str">
        <f t="shared" si="969"/>
        <v>EXP00365</v>
      </c>
      <c r="B10927" s="4" t="str">
        <f t="shared" si="970"/>
        <v>18442402</v>
      </c>
      <c r="C10927" s="4" t="str">
        <f t="shared" si="971"/>
        <v>GSE7553</v>
      </c>
      <c r="D10927" s="1" t="s">
        <v>45</v>
      </c>
      <c r="E10927" t="s">
        <v>464</v>
      </c>
      <c r="F10927" s="1">
        <v>1</v>
      </c>
      <c r="G10927" s="1" t="s">
        <v>26</v>
      </c>
      <c r="H10927" s="4" t="str">
        <f>HYPERLINK("https://www.ncbi.nlm.nih.gov/geo/query/acc.cgi?acc=GSM183229","GSM183229")</f>
        <v>GSM183229</v>
      </c>
      <c r="I10927" t="s">
        <v>82</v>
      </c>
      <c r="J10927" t="s">
        <v>83</v>
      </c>
      <c r="K10927" t="s">
        <v>19</v>
      </c>
      <c r="L10927" t="s">
        <v>27</v>
      </c>
      <c r="M10927" t="s">
        <v>51</v>
      </c>
      <c r="N10927" t="s">
        <v>22</v>
      </c>
    </row>
    <row r="10928" spans="1:14">
      <c r="A10928" s="4" t="str">
        <f t="shared" si="969"/>
        <v>EXP00365</v>
      </c>
      <c r="B10928" s="4" t="str">
        <f t="shared" si="970"/>
        <v>18442402</v>
      </c>
      <c r="C10928" s="4" t="str">
        <f t="shared" si="971"/>
        <v>GSE7553</v>
      </c>
      <c r="D10928" s="1" t="s">
        <v>45</v>
      </c>
      <c r="E10928" t="s">
        <v>464</v>
      </c>
      <c r="F10928" s="1">
        <v>1</v>
      </c>
      <c r="G10928" s="1" t="s">
        <v>26</v>
      </c>
      <c r="H10928" s="4" t="str">
        <f>HYPERLINK("https://www.ncbi.nlm.nih.gov/geo/query/acc.cgi?acc=GSM183230","GSM183230")</f>
        <v>GSM183230</v>
      </c>
      <c r="I10928" t="s">
        <v>82</v>
      </c>
      <c r="J10928" t="s">
        <v>83</v>
      </c>
      <c r="K10928" t="s">
        <v>19</v>
      </c>
      <c r="L10928" t="s">
        <v>27</v>
      </c>
      <c r="M10928" t="s">
        <v>51</v>
      </c>
      <c r="N10928" t="s">
        <v>22</v>
      </c>
    </row>
    <row r="10929" spans="1:14">
      <c r="A10929" s="4" t="str">
        <f t="shared" si="969"/>
        <v>EXP00365</v>
      </c>
      <c r="B10929" s="4" t="str">
        <f t="shared" si="970"/>
        <v>18442402</v>
      </c>
      <c r="C10929" s="4" t="str">
        <f t="shared" si="971"/>
        <v>GSE7553</v>
      </c>
      <c r="D10929" s="1" t="s">
        <v>45</v>
      </c>
      <c r="E10929" t="s">
        <v>464</v>
      </c>
      <c r="F10929" s="1">
        <v>1</v>
      </c>
      <c r="G10929" s="1" t="s">
        <v>26</v>
      </c>
      <c r="H10929" s="4" t="str">
        <f>HYPERLINK("https://www.ncbi.nlm.nih.gov/geo/query/acc.cgi?acc=GSM183231","GSM183231")</f>
        <v>GSM183231</v>
      </c>
      <c r="I10929" t="s">
        <v>82</v>
      </c>
      <c r="J10929" t="s">
        <v>83</v>
      </c>
      <c r="K10929" t="s">
        <v>19</v>
      </c>
      <c r="L10929" t="s">
        <v>27</v>
      </c>
      <c r="M10929" t="s">
        <v>51</v>
      </c>
      <c r="N10929" t="s">
        <v>22</v>
      </c>
    </row>
    <row r="10930" spans="1:14">
      <c r="A10930" s="4" t="str">
        <f t="shared" si="969"/>
        <v>EXP00365</v>
      </c>
      <c r="B10930" s="4" t="str">
        <f t="shared" si="970"/>
        <v>18442402</v>
      </c>
      <c r="C10930" s="4" t="str">
        <f t="shared" si="971"/>
        <v>GSE7553</v>
      </c>
      <c r="D10930" s="1" t="s">
        <v>45</v>
      </c>
      <c r="E10930" t="s">
        <v>464</v>
      </c>
      <c r="F10930" s="1">
        <v>1</v>
      </c>
      <c r="G10930" s="1" t="s">
        <v>26</v>
      </c>
      <c r="H10930" s="4" t="str">
        <f>HYPERLINK("https://www.ncbi.nlm.nih.gov/geo/query/acc.cgi?acc=GSM183232","GSM183232")</f>
        <v>GSM183232</v>
      </c>
      <c r="I10930" t="s">
        <v>82</v>
      </c>
      <c r="J10930" t="s">
        <v>83</v>
      </c>
      <c r="K10930" t="s">
        <v>19</v>
      </c>
      <c r="L10930" t="s">
        <v>27</v>
      </c>
      <c r="M10930" t="s">
        <v>51</v>
      </c>
      <c r="N10930" t="s">
        <v>22</v>
      </c>
    </row>
    <row r="10931" spans="1:14">
      <c r="A10931" s="4" t="str">
        <f t="shared" si="969"/>
        <v>EXP00365</v>
      </c>
      <c r="B10931" s="4" t="str">
        <f t="shared" si="970"/>
        <v>18442402</v>
      </c>
      <c r="C10931" s="4" t="str">
        <f t="shared" si="971"/>
        <v>GSE7553</v>
      </c>
      <c r="D10931" s="1" t="s">
        <v>45</v>
      </c>
      <c r="E10931" t="s">
        <v>464</v>
      </c>
      <c r="F10931" s="1">
        <v>1</v>
      </c>
      <c r="G10931" s="1" t="s">
        <v>26</v>
      </c>
      <c r="H10931" s="4" t="str">
        <f>HYPERLINK("https://www.ncbi.nlm.nih.gov/geo/query/acc.cgi?acc=GSM183233","GSM183233")</f>
        <v>GSM183233</v>
      </c>
      <c r="I10931" t="s">
        <v>82</v>
      </c>
      <c r="J10931" t="s">
        <v>83</v>
      </c>
      <c r="K10931" t="s">
        <v>19</v>
      </c>
      <c r="L10931" t="s">
        <v>27</v>
      </c>
      <c r="M10931" t="s">
        <v>51</v>
      </c>
      <c r="N10931" t="s">
        <v>22</v>
      </c>
    </row>
    <row r="10932" spans="1:14">
      <c r="A10932" s="4" t="str">
        <f t="shared" si="969"/>
        <v>EXP00365</v>
      </c>
      <c r="B10932" s="4" t="str">
        <f t="shared" si="970"/>
        <v>18442402</v>
      </c>
      <c r="C10932" s="4" t="str">
        <f t="shared" si="971"/>
        <v>GSE7553</v>
      </c>
      <c r="D10932" s="1" t="s">
        <v>45</v>
      </c>
      <c r="E10932" t="s">
        <v>464</v>
      </c>
      <c r="F10932" s="1">
        <v>1</v>
      </c>
      <c r="G10932" s="1" t="s">
        <v>26</v>
      </c>
      <c r="H10932" s="4" t="str">
        <f>HYPERLINK("https://www.ncbi.nlm.nih.gov/geo/query/acc.cgi?acc=GSM183252","GSM183252")</f>
        <v>GSM183252</v>
      </c>
      <c r="I10932" t="s">
        <v>82</v>
      </c>
      <c r="J10932" t="s">
        <v>83</v>
      </c>
      <c r="K10932" t="s">
        <v>19</v>
      </c>
      <c r="L10932" t="s">
        <v>27</v>
      </c>
      <c r="M10932" t="s">
        <v>51</v>
      </c>
      <c r="N10932" t="s">
        <v>22</v>
      </c>
    </row>
    <row r="10933" spans="1:14">
      <c r="A10933" s="4" t="str">
        <f t="shared" si="969"/>
        <v>EXP00365</v>
      </c>
      <c r="B10933" s="4" t="str">
        <f t="shared" si="970"/>
        <v>18442402</v>
      </c>
      <c r="C10933" s="4" t="str">
        <f t="shared" si="971"/>
        <v>GSE7553</v>
      </c>
      <c r="D10933" s="1" t="s">
        <v>45</v>
      </c>
      <c r="E10933" t="s">
        <v>464</v>
      </c>
      <c r="F10933" s="1">
        <v>1</v>
      </c>
      <c r="G10933" s="1" t="s">
        <v>26</v>
      </c>
      <c r="H10933" s="4" t="str">
        <f>HYPERLINK("https://www.ncbi.nlm.nih.gov/geo/query/acc.cgi?acc=GSM183253","GSM183253")</f>
        <v>GSM183253</v>
      </c>
      <c r="I10933" t="s">
        <v>82</v>
      </c>
      <c r="J10933" t="s">
        <v>83</v>
      </c>
      <c r="K10933" t="s">
        <v>19</v>
      </c>
      <c r="L10933" t="s">
        <v>27</v>
      </c>
      <c r="M10933" t="s">
        <v>51</v>
      </c>
      <c r="N10933" t="s">
        <v>22</v>
      </c>
    </row>
    <row r="10934" spans="1:14">
      <c r="A10934" s="4" t="str">
        <f t="shared" si="969"/>
        <v>EXP00365</v>
      </c>
      <c r="B10934" s="4" t="str">
        <f t="shared" si="970"/>
        <v>18442402</v>
      </c>
      <c r="C10934" s="4" t="str">
        <f t="shared" si="971"/>
        <v>GSE7553</v>
      </c>
      <c r="D10934" s="1" t="s">
        <v>45</v>
      </c>
      <c r="E10934" t="s">
        <v>464</v>
      </c>
      <c r="F10934" s="1">
        <v>1</v>
      </c>
      <c r="G10934" s="1" t="s">
        <v>26</v>
      </c>
      <c r="H10934" s="4" t="str">
        <f>HYPERLINK("https://www.ncbi.nlm.nih.gov/geo/query/acc.cgi?acc=GSM183254","GSM183254")</f>
        <v>GSM183254</v>
      </c>
      <c r="I10934" t="s">
        <v>82</v>
      </c>
      <c r="J10934" t="s">
        <v>83</v>
      </c>
      <c r="K10934" t="s">
        <v>19</v>
      </c>
      <c r="L10934" t="s">
        <v>27</v>
      </c>
      <c r="M10934" t="s">
        <v>51</v>
      </c>
      <c r="N10934" t="s">
        <v>22</v>
      </c>
    </row>
    <row r="10935" spans="1:14">
      <c r="A10935" s="4" t="str">
        <f t="shared" si="969"/>
        <v>EXP00365</v>
      </c>
      <c r="B10935" s="4" t="str">
        <f t="shared" si="970"/>
        <v>18442402</v>
      </c>
      <c r="C10935" s="4" t="str">
        <f t="shared" si="971"/>
        <v>GSE7553</v>
      </c>
      <c r="D10935" s="1" t="s">
        <v>45</v>
      </c>
      <c r="E10935" t="s">
        <v>464</v>
      </c>
      <c r="F10935" s="1">
        <v>1</v>
      </c>
      <c r="G10935" s="1" t="s">
        <v>26</v>
      </c>
      <c r="H10935" s="4" t="str">
        <f>HYPERLINK("https://www.ncbi.nlm.nih.gov/geo/query/acc.cgi?acc=GSM183255","GSM183255")</f>
        <v>GSM183255</v>
      </c>
      <c r="I10935" t="s">
        <v>82</v>
      </c>
      <c r="J10935" t="s">
        <v>83</v>
      </c>
      <c r="K10935" t="s">
        <v>19</v>
      </c>
      <c r="L10935" t="s">
        <v>27</v>
      </c>
      <c r="M10935" t="s">
        <v>51</v>
      </c>
      <c r="N10935" t="s">
        <v>22</v>
      </c>
    </row>
    <row r="10936" spans="1:14">
      <c r="A10936" s="4" t="str">
        <f t="shared" si="969"/>
        <v>EXP00365</v>
      </c>
      <c r="B10936" s="4" t="str">
        <f t="shared" si="970"/>
        <v>18442402</v>
      </c>
      <c r="C10936" s="4" t="str">
        <f t="shared" si="971"/>
        <v>GSE7553</v>
      </c>
      <c r="D10936" s="1" t="s">
        <v>45</v>
      </c>
      <c r="E10936" t="s">
        <v>464</v>
      </c>
      <c r="F10936" s="1">
        <v>1</v>
      </c>
      <c r="G10936" s="1" t="s">
        <v>26</v>
      </c>
      <c r="H10936" s="4" t="str">
        <f>HYPERLINK("https://www.ncbi.nlm.nih.gov/geo/query/acc.cgi?acc=GSM183256","GSM183256")</f>
        <v>GSM183256</v>
      </c>
      <c r="I10936" t="s">
        <v>82</v>
      </c>
      <c r="J10936" t="s">
        <v>83</v>
      </c>
      <c r="K10936" t="s">
        <v>19</v>
      </c>
      <c r="L10936" t="s">
        <v>27</v>
      </c>
      <c r="M10936" t="s">
        <v>51</v>
      </c>
      <c r="N10936" t="s">
        <v>22</v>
      </c>
    </row>
    <row r="10937" spans="1:14">
      <c r="A10937" s="4" t="str">
        <f t="shared" si="969"/>
        <v>EXP00365</v>
      </c>
      <c r="B10937" s="4" t="str">
        <f t="shared" si="970"/>
        <v>18442402</v>
      </c>
      <c r="C10937" s="4" t="str">
        <f t="shared" si="971"/>
        <v>GSE7553</v>
      </c>
      <c r="D10937" s="1" t="s">
        <v>45</v>
      </c>
      <c r="E10937" t="s">
        <v>464</v>
      </c>
      <c r="F10937" s="1">
        <v>1</v>
      </c>
      <c r="G10937" s="1" t="s">
        <v>26</v>
      </c>
      <c r="H10937" s="4" t="str">
        <f>HYPERLINK("https://www.ncbi.nlm.nih.gov/geo/query/acc.cgi?acc=GSM183257","GSM183257")</f>
        <v>GSM183257</v>
      </c>
      <c r="I10937" t="s">
        <v>82</v>
      </c>
      <c r="J10937" t="s">
        <v>83</v>
      </c>
      <c r="K10937" t="s">
        <v>19</v>
      </c>
      <c r="L10937" t="s">
        <v>27</v>
      </c>
      <c r="M10937" t="s">
        <v>51</v>
      </c>
      <c r="N10937" t="s">
        <v>22</v>
      </c>
    </row>
    <row r="10938" spans="1:14">
      <c r="A10938" s="4" t="str">
        <f t="shared" si="969"/>
        <v>EXP00365</v>
      </c>
      <c r="B10938" s="4" t="str">
        <f t="shared" si="970"/>
        <v>18442402</v>
      </c>
      <c r="C10938" s="4" t="str">
        <f t="shared" si="971"/>
        <v>GSE7553</v>
      </c>
      <c r="D10938" s="1" t="s">
        <v>45</v>
      </c>
      <c r="E10938" t="s">
        <v>464</v>
      </c>
      <c r="F10938" s="1">
        <v>1</v>
      </c>
      <c r="G10938" s="1" t="s">
        <v>26</v>
      </c>
      <c r="H10938" s="4" t="str">
        <f>HYPERLINK("https://www.ncbi.nlm.nih.gov/geo/query/acc.cgi?acc=GSM183273","GSM183273")</f>
        <v>GSM183273</v>
      </c>
      <c r="I10938" t="s">
        <v>82</v>
      </c>
      <c r="J10938" t="s">
        <v>83</v>
      </c>
      <c r="K10938" t="s">
        <v>19</v>
      </c>
      <c r="L10938" t="s">
        <v>27</v>
      </c>
      <c r="M10938" t="s">
        <v>51</v>
      </c>
      <c r="N10938" t="s">
        <v>22</v>
      </c>
    </row>
    <row r="10939" spans="1:14">
      <c r="A10939" s="4" t="str">
        <f t="shared" si="969"/>
        <v>EXP00365</v>
      </c>
      <c r="B10939" s="4" t="str">
        <f t="shared" si="970"/>
        <v>18442402</v>
      </c>
      <c r="C10939" s="4" t="str">
        <f t="shared" si="971"/>
        <v>GSE7553</v>
      </c>
      <c r="D10939" s="1" t="s">
        <v>45</v>
      </c>
      <c r="E10939" t="s">
        <v>464</v>
      </c>
      <c r="F10939" s="1">
        <v>1</v>
      </c>
      <c r="G10939" s="1" t="s">
        <v>26</v>
      </c>
      <c r="H10939" s="4" t="str">
        <f>HYPERLINK("https://www.ncbi.nlm.nih.gov/geo/query/acc.cgi?acc=GSM183274","GSM183274")</f>
        <v>GSM183274</v>
      </c>
      <c r="I10939" t="s">
        <v>82</v>
      </c>
      <c r="J10939" t="s">
        <v>83</v>
      </c>
      <c r="K10939" t="s">
        <v>19</v>
      </c>
      <c r="L10939" t="s">
        <v>27</v>
      </c>
      <c r="M10939" t="s">
        <v>51</v>
      </c>
      <c r="N10939" t="s">
        <v>22</v>
      </c>
    </row>
    <row r="10940" spans="1:14">
      <c r="A10940" s="4" t="str">
        <f t="shared" si="969"/>
        <v>EXP00365</v>
      </c>
      <c r="B10940" s="4" t="str">
        <f t="shared" si="970"/>
        <v>18442402</v>
      </c>
      <c r="C10940" s="4" t="str">
        <f t="shared" si="971"/>
        <v>GSE7553</v>
      </c>
      <c r="D10940" s="1" t="s">
        <v>45</v>
      </c>
      <c r="E10940" t="s">
        <v>464</v>
      </c>
      <c r="F10940" s="1">
        <v>1</v>
      </c>
      <c r="G10940" s="1" t="s">
        <v>26</v>
      </c>
      <c r="H10940" s="4" t="str">
        <f>HYPERLINK("https://www.ncbi.nlm.nih.gov/geo/query/acc.cgi?acc=GSM183275","GSM183275")</f>
        <v>GSM183275</v>
      </c>
      <c r="I10940" t="s">
        <v>82</v>
      </c>
      <c r="J10940" t="s">
        <v>83</v>
      </c>
      <c r="K10940" t="s">
        <v>19</v>
      </c>
      <c r="L10940" t="s">
        <v>27</v>
      </c>
      <c r="M10940" t="s">
        <v>51</v>
      </c>
      <c r="N10940" t="s">
        <v>22</v>
      </c>
    </row>
    <row r="10941" spans="1:14">
      <c r="A10941" s="4" t="str">
        <f t="shared" si="969"/>
        <v>EXP00365</v>
      </c>
      <c r="B10941" s="4" t="str">
        <f t="shared" si="970"/>
        <v>18442402</v>
      </c>
      <c r="C10941" s="4" t="str">
        <f t="shared" si="971"/>
        <v>GSE7553</v>
      </c>
      <c r="D10941" s="1" t="s">
        <v>45</v>
      </c>
      <c r="E10941" t="s">
        <v>464</v>
      </c>
      <c r="F10941" s="1">
        <v>1</v>
      </c>
      <c r="G10941" s="1" t="s">
        <v>26</v>
      </c>
      <c r="H10941" s="4" t="str">
        <f>HYPERLINK("https://www.ncbi.nlm.nih.gov/geo/query/acc.cgi?acc=GSM183276","GSM183276")</f>
        <v>GSM183276</v>
      </c>
      <c r="I10941" t="s">
        <v>82</v>
      </c>
      <c r="J10941" t="s">
        <v>83</v>
      </c>
      <c r="K10941" t="s">
        <v>19</v>
      </c>
      <c r="L10941" t="s">
        <v>27</v>
      </c>
      <c r="M10941" t="s">
        <v>51</v>
      </c>
      <c r="N10941" t="s">
        <v>22</v>
      </c>
    </row>
    <row r="10942" spans="1:14">
      <c r="A10942" s="4" t="str">
        <f t="shared" si="969"/>
        <v>EXP00365</v>
      </c>
      <c r="B10942" s="4" t="str">
        <f t="shared" si="970"/>
        <v>18442402</v>
      </c>
      <c r="C10942" s="4" t="str">
        <f t="shared" si="971"/>
        <v>GSE7553</v>
      </c>
      <c r="D10942" s="1" t="s">
        <v>45</v>
      </c>
      <c r="E10942" t="s">
        <v>464</v>
      </c>
      <c r="F10942" s="1">
        <v>1</v>
      </c>
      <c r="G10942" s="1" t="s">
        <v>26</v>
      </c>
      <c r="H10942" s="4" t="str">
        <f>HYPERLINK("https://www.ncbi.nlm.nih.gov/geo/query/acc.cgi?acc=GSM183277","GSM183277")</f>
        <v>GSM183277</v>
      </c>
      <c r="I10942" t="s">
        <v>82</v>
      </c>
      <c r="J10942" t="s">
        <v>83</v>
      </c>
      <c r="K10942" t="s">
        <v>19</v>
      </c>
      <c r="L10942" t="s">
        <v>27</v>
      </c>
      <c r="M10942" t="s">
        <v>51</v>
      </c>
      <c r="N10942" t="s">
        <v>22</v>
      </c>
    </row>
    <row r="10943" spans="1:14">
      <c r="A10943" s="4" t="str">
        <f t="shared" si="969"/>
        <v>EXP00365</v>
      </c>
      <c r="B10943" s="4" t="str">
        <f t="shared" si="970"/>
        <v>18442402</v>
      </c>
      <c r="C10943" s="4" t="str">
        <f t="shared" si="971"/>
        <v>GSE7553</v>
      </c>
      <c r="D10943" s="1" t="s">
        <v>45</v>
      </c>
      <c r="E10943" t="s">
        <v>464</v>
      </c>
      <c r="F10943" s="1">
        <v>1</v>
      </c>
      <c r="G10943" s="1" t="s">
        <v>26</v>
      </c>
      <c r="H10943" s="4" t="str">
        <f>HYPERLINK("https://www.ncbi.nlm.nih.gov/geo/query/acc.cgi?acc=GSM183278","GSM183278")</f>
        <v>GSM183278</v>
      </c>
      <c r="I10943" t="s">
        <v>82</v>
      </c>
      <c r="J10943" t="s">
        <v>83</v>
      </c>
      <c r="K10943" t="s">
        <v>19</v>
      </c>
      <c r="L10943" t="s">
        <v>27</v>
      </c>
      <c r="M10943" t="s">
        <v>51</v>
      </c>
      <c r="N10943" t="s">
        <v>22</v>
      </c>
    </row>
    <row r="10944" spans="1:14">
      <c r="A10944" s="4" t="str">
        <f t="shared" si="969"/>
        <v>EXP00365</v>
      </c>
      <c r="B10944" s="4" t="str">
        <f t="shared" si="970"/>
        <v>18442402</v>
      </c>
      <c r="C10944" s="4" t="str">
        <f t="shared" si="971"/>
        <v>GSE7553</v>
      </c>
      <c r="D10944" s="1" t="s">
        <v>45</v>
      </c>
      <c r="E10944" t="s">
        <v>464</v>
      </c>
      <c r="F10944" s="1">
        <v>1</v>
      </c>
      <c r="G10944" s="1" t="s">
        <v>26</v>
      </c>
      <c r="H10944" s="4" t="str">
        <f>HYPERLINK("https://www.ncbi.nlm.nih.gov/geo/query/acc.cgi?acc=GSM183279","GSM183279")</f>
        <v>GSM183279</v>
      </c>
      <c r="I10944" t="s">
        <v>82</v>
      </c>
      <c r="J10944" t="s">
        <v>83</v>
      </c>
      <c r="K10944" t="s">
        <v>19</v>
      </c>
      <c r="L10944" t="s">
        <v>27</v>
      </c>
      <c r="M10944" t="s">
        <v>51</v>
      </c>
      <c r="N10944" t="s">
        <v>22</v>
      </c>
    </row>
    <row r="10945" spans="1:14">
      <c r="A10945" s="4" t="str">
        <f t="shared" si="969"/>
        <v>EXP00365</v>
      </c>
      <c r="B10945" s="4" t="str">
        <f t="shared" si="970"/>
        <v>18442402</v>
      </c>
      <c r="C10945" s="4" t="str">
        <f t="shared" si="971"/>
        <v>GSE7553</v>
      </c>
      <c r="D10945" s="1" t="s">
        <v>45</v>
      </c>
      <c r="E10945" t="s">
        <v>464</v>
      </c>
      <c r="F10945" s="1">
        <v>1</v>
      </c>
      <c r="G10945" s="1" t="s">
        <v>26</v>
      </c>
      <c r="H10945" s="4" t="str">
        <f>HYPERLINK("https://www.ncbi.nlm.nih.gov/geo/query/acc.cgi?acc=GSM183280","GSM183280")</f>
        <v>GSM183280</v>
      </c>
      <c r="I10945" t="s">
        <v>82</v>
      </c>
      <c r="J10945" t="s">
        <v>83</v>
      </c>
      <c r="K10945" t="s">
        <v>19</v>
      </c>
      <c r="L10945" t="s">
        <v>27</v>
      </c>
      <c r="M10945" t="s">
        <v>51</v>
      </c>
      <c r="N10945" t="s">
        <v>22</v>
      </c>
    </row>
    <row r="10946" spans="1:14">
      <c r="A10946" s="4" t="str">
        <f t="shared" si="969"/>
        <v>EXP00365</v>
      </c>
      <c r="B10946" s="4" t="str">
        <f t="shared" si="970"/>
        <v>18442402</v>
      </c>
      <c r="C10946" s="4" t="str">
        <f t="shared" si="971"/>
        <v>GSE7553</v>
      </c>
      <c r="D10946" s="1" t="s">
        <v>45</v>
      </c>
      <c r="E10946" t="s">
        <v>464</v>
      </c>
      <c r="F10946" s="1">
        <v>1</v>
      </c>
      <c r="G10946" s="1" t="s">
        <v>26</v>
      </c>
      <c r="H10946" s="4" t="str">
        <f>HYPERLINK("https://www.ncbi.nlm.nih.gov/geo/query/acc.cgi?acc=GSM183281","GSM183281")</f>
        <v>GSM183281</v>
      </c>
      <c r="I10946" t="s">
        <v>82</v>
      </c>
      <c r="J10946" t="s">
        <v>83</v>
      </c>
      <c r="K10946" t="s">
        <v>19</v>
      </c>
      <c r="L10946" t="s">
        <v>27</v>
      </c>
      <c r="M10946" t="s">
        <v>51</v>
      </c>
      <c r="N10946" t="s">
        <v>22</v>
      </c>
    </row>
    <row r="10947" spans="1:14">
      <c r="A10947" s="4" t="str">
        <f t="shared" si="969"/>
        <v>EXP00365</v>
      </c>
      <c r="B10947" s="4" t="str">
        <f t="shared" si="970"/>
        <v>18442402</v>
      </c>
      <c r="C10947" s="4" t="str">
        <f t="shared" si="971"/>
        <v>GSE7553</v>
      </c>
      <c r="D10947" s="1" t="s">
        <v>45</v>
      </c>
      <c r="E10947" t="s">
        <v>464</v>
      </c>
      <c r="F10947" s="1">
        <v>1</v>
      </c>
      <c r="G10947" s="1" t="s">
        <v>26</v>
      </c>
      <c r="H10947" s="4" t="str">
        <f>HYPERLINK("https://www.ncbi.nlm.nih.gov/geo/query/acc.cgi?acc=GSM183282","GSM183282")</f>
        <v>GSM183282</v>
      </c>
      <c r="I10947" t="s">
        <v>82</v>
      </c>
      <c r="J10947" t="s">
        <v>83</v>
      </c>
      <c r="K10947" t="s">
        <v>19</v>
      </c>
      <c r="L10947" t="s">
        <v>27</v>
      </c>
      <c r="M10947" t="s">
        <v>51</v>
      </c>
      <c r="N10947" t="s">
        <v>22</v>
      </c>
    </row>
    <row r="10948" spans="1:14">
      <c r="A10948" s="4" t="str">
        <f t="shared" si="969"/>
        <v>EXP00365</v>
      </c>
      <c r="B10948" s="4" t="str">
        <f t="shared" si="970"/>
        <v>18442402</v>
      </c>
      <c r="C10948" s="4" t="str">
        <f t="shared" si="971"/>
        <v>GSE7553</v>
      </c>
      <c r="D10948" s="1" t="s">
        <v>45</v>
      </c>
      <c r="E10948" t="s">
        <v>464</v>
      </c>
      <c r="F10948" s="1">
        <v>1</v>
      </c>
      <c r="G10948" s="1" t="s">
        <v>26</v>
      </c>
      <c r="H10948" s="4" t="str">
        <f>HYPERLINK("https://www.ncbi.nlm.nih.gov/geo/query/acc.cgi?acc=GSM183283","GSM183283")</f>
        <v>GSM183283</v>
      </c>
      <c r="I10948" t="s">
        <v>82</v>
      </c>
      <c r="J10948" t="s">
        <v>83</v>
      </c>
      <c r="K10948" t="s">
        <v>19</v>
      </c>
      <c r="L10948" t="s">
        <v>27</v>
      </c>
      <c r="M10948" t="s">
        <v>51</v>
      </c>
      <c r="N10948" t="s">
        <v>22</v>
      </c>
    </row>
    <row r="10949" spans="1:14">
      <c r="A10949" s="4" t="str">
        <f t="shared" si="969"/>
        <v>EXP00365</v>
      </c>
      <c r="B10949" s="4" t="str">
        <f t="shared" si="970"/>
        <v>18442402</v>
      </c>
      <c r="C10949" s="4" t="str">
        <f t="shared" si="971"/>
        <v>GSE7553</v>
      </c>
      <c r="D10949" s="1" t="s">
        <v>45</v>
      </c>
      <c r="E10949" t="s">
        <v>464</v>
      </c>
      <c r="F10949" s="1">
        <v>1</v>
      </c>
      <c r="G10949" s="1" t="s">
        <v>26</v>
      </c>
      <c r="H10949" s="4" t="str">
        <f>HYPERLINK("https://www.ncbi.nlm.nih.gov/geo/query/acc.cgi?acc=GSM183284","GSM183284")</f>
        <v>GSM183284</v>
      </c>
      <c r="I10949" t="s">
        <v>82</v>
      </c>
      <c r="J10949" t="s">
        <v>83</v>
      </c>
      <c r="K10949" t="s">
        <v>19</v>
      </c>
      <c r="L10949" t="s">
        <v>27</v>
      </c>
      <c r="M10949" t="s">
        <v>51</v>
      </c>
      <c r="N10949" t="s">
        <v>22</v>
      </c>
    </row>
    <row r="10950" spans="1:14">
      <c r="A10950" s="4" t="str">
        <f t="shared" si="969"/>
        <v>EXP00365</v>
      </c>
      <c r="B10950" s="4" t="str">
        <f t="shared" si="970"/>
        <v>18442402</v>
      </c>
      <c r="C10950" s="4" t="str">
        <f t="shared" si="971"/>
        <v>GSE7553</v>
      </c>
      <c r="D10950" s="1" t="s">
        <v>45</v>
      </c>
      <c r="E10950" t="s">
        <v>464</v>
      </c>
      <c r="F10950" s="1">
        <v>1</v>
      </c>
      <c r="G10950" s="1" t="s">
        <v>26</v>
      </c>
      <c r="H10950" s="4" t="str">
        <f>HYPERLINK("https://www.ncbi.nlm.nih.gov/geo/query/acc.cgi?acc=GSM183285","GSM183285")</f>
        <v>GSM183285</v>
      </c>
      <c r="I10950" t="s">
        <v>82</v>
      </c>
      <c r="J10950" t="s">
        <v>83</v>
      </c>
      <c r="K10950" t="s">
        <v>19</v>
      </c>
      <c r="L10950" t="s">
        <v>27</v>
      </c>
      <c r="M10950" t="s">
        <v>51</v>
      </c>
      <c r="N10950" t="s">
        <v>22</v>
      </c>
    </row>
    <row r="10951" spans="1:14">
      <c r="A10951" s="4" t="str">
        <f t="shared" si="969"/>
        <v>EXP00365</v>
      </c>
      <c r="B10951" s="4" t="str">
        <f t="shared" si="970"/>
        <v>18442402</v>
      </c>
      <c r="C10951" s="4" t="str">
        <f t="shared" si="971"/>
        <v>GSE7553</v>
      </c>
      <c r="D10951" s="1" t="s">
        <v>45</v>
      </c>
      <c r="E10951" t="s">
        <v>464</v>
      </c>
      <c r="F10951" s="1">
        <v>1</v>
      </c>
      <c r="G10951" s="1" t="s">
        <v>26</v>
      </c>
      <c r="H10951" s="4" t="str">
        <f>HYPERLINK("https://www.ncbi.nlm.nih.gov/geo/query/acc.cgi?acc=GSM183286","GSM183286")</f>
        <v>GSM183286</v>
      </c>
      <c r="I10951" t="s">
        <v>82</v>
      </c>
      <c r="J10951" t="s">
        <v>83</v>
      </c>
      <c r="K10951" t="s">
        <v>19</v>
      </c>
      <c r="L10951" t="s">
        <v>27</v>
      </c>
      <c r="M10951" t="s">
        <v>51</v>
      </c>
      <c r="N10951" t="s">
        <v>22</v>
      </c>
    </row>
    <row r="10952" spans="1:14">
      <c r="A10952" s="4" t="str">
        <f t="shared" si="969"/>
        <v>EXP00365</v>
      </c>
      <c r="B10952" s="4" t="str">
        <f t="shared" si="970"/>
        <v>18442402</v>
      </c>
      <c r="C10952" s="4" t="str">
        <f t="shared" si="971"/>
        <v>GSE7553</v>
      </c>
      <c r="D10952" s="1" t="s">
        <v>45</v>
      </c>
      <c r="E10952" t="s">
        <v>464</v>
      </c>
      <c r="F10952" s="1">
        <v>1</v>
      </c>
      <c r="G10952" s="1" t="s">
        <v>26</v>
      </c>
      <c r="H10952" s="4" t="str">
        <f>HYPERLINK("https://www.ncbi.nlm.nih.gov/geo/query/acc.cgi?acc=GSM183287","GSM183287")</f>
        <v>GSM183287</v>
      </c>
      <c r="I10952" t="s">
        <v>82</v>
      </c>
      <c r="J10952" t="s">
        <v>83</v>
      </c>
      <c r="K10952" t="s">
        <v>19</v>
      </c>
      <c r="L10952" t="s">
        <v>27</v>
      </c>
      <c r="M10952" t="s">
        <v>51</v>
      </c>
      <c r="N10952" t="s">
        <v>22</v>
      </c>
    </row>
    <row r="10953" spans="1:14">
      <c r="A10953" s="4" t="str">
        <f t="shared" si="969"/>
        <v>EXP00365</v>
      </c>
      <c r="B10953" s="4" t="str">
        <f t="shared" si="970"/>
        <v>18442402</v>
      </c>
      <c r="C10953" s="4" t="str">
        <f t="shared" si="971"/>
        <v>GSE7553</v>
      </c>
      <c r="D10953" s="1" t="s">
        <v>45</v>
      </c>
      <c r="E10953" t="s">
        <v>464</v>
      </c>
      <c r="F10953" s="1">
        <v>1</v>
      </c>
      <c r="G10953" s="1" t="s">
        <v>26</v>
      </c>
      <c r="H10953" s="4" t="str">
        <f>HYPERLINK("https://www.ncbi.nlm.nih.gov/geo/query/acc.cgi?acc=GSM183288","GSM183288")</f>
        <v>GSM183288</v>
      </c>
      <c r="I10953" t="s">
        <v>82</v>
      </c>
      <c r="J10953" t="s">
        <v>83</v>
      </c>
      <c r="K10953" t="s">
        <v>19</v>
      </c>
      <c r="L10953" t="s">
        <v>27</v>
      </c>
      <c r="M10953" t="s">
        <v>51</v>
      </c>
      <c r="N10953" t="s">
        <v>22</v>
      </c>
    </row>
    <row r="10954" spans="1:14">
      <c r="A10954" s="4" t="str">
        <f t="shared" si="969"/>
        <v>EXP00365</v>
      </c>
      <c r="B10954" s="4" t="str">
        <f t="shared" si="970"/>
        <v>18442402</v>
      </c>
      <c r="C10954" s="4" t="str">
        <f t="shared" si="971"/>
        <v>GSE7553</v>
      </c>
      <c r="D10954" s="1" t="s">
        <v>45</v>
      </c>
      <c r="E10954" t="s">
        <v>464</v>
      </c>
      <c r="F10954" s="1">
        <v>1</v>
      </c>
      <c r="G10954" s="1" t="s">
        <v>26</v>
      </c>
      <c r="H10954" s="4" t="str">
        <f>HYPERLINK("https://www.ncbi.nlm.nih.gov/geo/query/acc.cgi?acc=GSM183289","GSM183289")</f>
        <v>GSM183289</v>
      </c>
      <c r="I10954" t="s">
        <v>82</v>
      </c>
      <c r="J10954" t="s">
        <v>83</v>
      </c>
      <c r="K10954" t="s">
        <v>19</v>
      </c>
      <c r="L10954" t="s">
        <v>27</v>
      </c>
      <c r="M10954" t="s">
        <v>51</v>
      </c>
      <c r="N10954" t="s">
        <v>22</v>
      </c>
    </row>
    <row r="10955" spans="1:14">
      <c r="A10955" s="4" t="str">
        <f t="shared" si="969"/>
        <v>EXP00365</v>
      </c>
      <c r="B10955" s="4" t="str">
        <f t="shared" si="970"/>
        <v>18442402</v>
      </c>
      <c r="C10955" s="4" t="str">
        <f t="shared" si="971"/>
        <v>GSE7553</v>
      </c>
      <c r="D10955" s="1" t="s">
        <v>45</v>
      </c>
      <c r="E10955" t="s">
        <v>464</v>
      </c>
      <c r="F10955" s="1">
        <v>1</v>
      </c>
      <c r="G10955" s="1" t="s">
        <v>26</v>
      </c>
      <c r="H10955" s="4" t="str">
        <f>HYPERLINK("https://www.ncbi.nlm.nih.gov/geo/query/acc.cgi?acc=GSM183290","GSM183290")</f>
        <v>GSM183290</v>
      </c>
      <c r="I10955" t="s">
        <v>82</v>
      </c>
      <c r="J10955" t="s">
        <v>83</v>
      </c>
      <c r="K10955" t="s">
        <v>19</v>
      </c>
      <c r="L10955" t="s">
        <v>27</v>
      </c>
      <c r="M10955" t="s">
        <v>51</v>
      </c>
      <c r="N10955" t="s">
        <v>22</v>
      </c>
    </row>
    <row r="10956" spans="1:14">
      <c r="A10956" s="4" t="str">
        <f t="shared" ref="A10956:A10979" si="972">HYPERLINK("http://hcmdb.i-sanger.com/experiment/details/experiment_id/EXP00365","EXP00365")</f>
        <v>EXP00365</v>
      </c>
      <c r="B10956" s="4" t="str">
        <f t="shared" ref="B10956:B10987" si="973">HYPERLINK("https://www.ncbi.nlm.nih.gov/pubmed/18442402","18442402")</f>
        <v>18442402</v>
      </c>
      <c r="C10956" s="4" t="str">
        <f t="shared" ref="C10956:C10987" si="974">HYPERLINK("https://www.ncbi.nlm.nih.gov/geo/query/acc.cgi?acc=GSE7553","GSE7553")</f>
        <v>GSE7553</v>
      </c>
      <c r="D10956" s="1" t="s">
        <v>45</v>
      </c>
      <c r="E10956" t="s">
        <v>464</v>
      </c>
      <c r="F10956" s="1">
        <v>1</v>
      </c>
      <c r="G10956" s="1" t="s">
        <v>26</v>
      </c>
      <c r="H10956" s="4" t="str">
        <f>HYPERLINK("https://www.ncbi.nlm.nih.gov/geo/query/acc.cgi?acc=GSM183291","GSM183291")</f>
        <v>GSM183291</v>
      </c>
      <c r="I10956" t="s">
        <v>82</v>
      </c>
      <c r="J10956" t="s">
        <v>83</v>
      </c>
      <c r="K10956" t="s">
        <v>19</v>
      </c>
      <c r="L10956" t="s">
        <v>27</v>
      </c>
      <c r="M10956" t="s">
        <v>51</v>
      </c>
      <c r="N10956" t="s">
        <v>22</v>
      </c>
    </row>
    <row r="10957" spans="1:14">
      <c r="A10957" s="4" t="str">
        <f t="shared" si="972"/>
        <v>EXP00365</v>
      </c>
      <c r="B10957" s="4" t="str">
        <f t="shared" si="973"/>
        <v>18442402</v>
      </c>
      <c r="C10957" s="4" t="str">
        <f t="shared" si="974"/>
        <v>GSE7553</v>
      </c>
      <c r="D10957" s="1" t="s">
        <v>45</v>
      </c>
      <c r="E10957" t="s">
        <v>464</v>
      </c>
      <c r="F10957" s="1">
        <v>1</v>
      </c>
      <c r="G10957" s="1" t="s">
        <v>26</v>
      </c>
      <c r="H10957" s="4" t="str">
        <f>HYPERLINK("https://www.ncbi.nlm.nih.gov/geo/query/acc.cgi?acc=GSM183292","GSM183292")</f>
        <v>GSM183292</v>
      </c>
      <c r="I10957" t="s">
        <v>82</v>
      </c>
      <c r="J10957" t="s">
        <v>83</v>
      </c>
      <c r="K10957" t="s">
        <v>19</v>
      </c>
      <c r="L10957" t="s">
        <v>27</v>
      </c>
      <c r="M10957" t="s">
        <v>51</v>
      </c>
      <c r="N10957" t="s">
        <v>22</v>
      </c>
    </row>
    <row r="10958" spans="1:14">
      <c r="A10958" s="4" t="str">
        <f t="shared" si="972"/>
        <v>EXP00365</v>
      </c>
      <c r="B10958" s="4" t="str">
        <f t="shared" si="973"/>
        <v>18442402</v>
      </c>
      <c r="C10958" s="4" t="str">
        <f t="shared" si="974"/>
        <v>GSE7553</v>
      </c>
      <c r="D10958" s="1" t="s">
        <v>45</v>
      </c>
      <c r="E10958" t="s">
        <v>464</v>
      </c>
      <c r="F10958" s="1">
        <v>1</v>
      </c>
      <c r="G10958" s="1" t="s">
        <v>26</v>
      </c>
      <c r="H10958" s="4" t="str">
        <f>HYPERLINK("https://www.ncbi.nlm.nih.gov/geo/query/acc.cgi?acc=GSM183293","GSM183293")</f>
        <v>GSM183293</v>
      </c>
      <c r="I10958" t="s">
        <v>82</v>
      </c>
      <c r="J10958" t="s">
        <v>83</v>
      </c>
      <c r="K10958" t="s">
        <v>19</v>
      </c>
      <c r="L10958" t="s">
        <v>27</v>
      </c>
      <c r="M10958" t="s">
        <v>51</v>
      </c>
      <c r="N10958" t="s">
        <v>22</v>
      </c>
    </row>
    <row r="10959" spans="1:14">
      <c r="A10959" s="4" t="str">
        <f t="shared" si="972"/>
        <v>EXP00365</v>
      </c>
      <c r="B10959" s="4" t="str">
        <f t="shared" si="973"/>
        <v>18442402</v>
      </c>
      <c r="C10959" s="4" t="str">
        <f t="shared" si="974"/>
        <v>GSE7553</v>
      </c>
      <c r="D10959" s="1" t="s">
        <v>45</v>
      </c>
      <c r="E10959" t="s">
        <v>464</v>
      </c>
      <c r="F10959" s="1">
        <v>1</v>
      </c>
      <c r="G10959" s="1" t="s">
        <v>26</v>
      </c>
      <c r="H10959" s="4" t="str">
        <f>HYPERLINK("https://www.ncbi.nlm.nih.gov/geo/query/acc.cgi?acc=GSM183294","GSM183294")</f>
        <v>GSM183294</v>
      </c>
      <c r="I10959" t="s">
        <v>82</v>
      </c>
      <c r="J10959" t="s">
        <v>83</v>
      </c>
      <c r="K10959" t="s">
        <v>19</v>
      </c>
      <c r="L10959" t="s">
        <v>27</v>
      </c>
      <c r="M10959" t="s">
        <v>51</v>
      </c>
      <c r="N10959" t="s">
        <v>22</v>
      </c>
    </row>
    <row r="10960" spans="1:14">
      <c r="A10960" s="4" t="str">
        <f t="shared" si="972"/>
        <v>EXP00365</v>
      </c>
      <c r="B10960" s="4" t="str">
        <f t="shared" si="973"/>
        <v>18442402</v>
      </c>
      <c r="C10960" s="4" t="str">
        <f t="shared" si="974"/>
        <v>GSE7553</v>
      </c>
      <c r="D10960" s="1" t="s">
        <v>45</v>
      </c>
      <c r="E10960" t="s">
        <v>464</v>
      </c>
      <c r="F10960" s="1">
        <v>1</v>
      </c>
      <c r="G10960" s="1" t="s">
        <v>26</v>
      </c>
      <c r="H10960" s="4" t="str">
        <f>HYPERLINK("https://www.ncbi.nlm.nih.gov/geo/query/acc.cgi?acc=GSM183295","GSM183295")</f>
        <v>GSM183295</v>
      </c>
      <c r="I10960" t="s">
        <v>82</v>
      </c>
      <c r="J10960" t="s">
        <v>83</v>
      </c>
      <c r="K10960" t="s">
        <v>19</v>
      </c>
      <c r="L10960" t="s">
        <v>27</v>
      </c>
      <c r="M10960" t="s">
        <v>51</v>
      </c>
      <c r="N10960" t="s">
        <v>22</v>
      </c>
    </row>
    <row r="10961" spans="1:14">
      <c r="A10961" s="4" t="str">
        <f t="shared" si="972"/>
        <v>EXP00365</v>
      </c>
      <c r="B10961" s="4" t="str">
        <f t="shared" si="973"/>
        <v>18442402</v>
      </c>
      <c r="C10961" s="4" t="str">
        <f t="shared" si="974"/>
        <v>GSE7553</v>
      </c>
      <c r="D10961" s="1" t="s">
        <v>45</v>
      </c>
      <c r="E10961" t="s">
        <v>464</v>
      </c>
      <c r="F10961" s="1">
        <v>1</v>
      </c>
      <c r="G10961" s="1" t="s">
        <v>26</v>
      </c>
      <c r="H10961" s="4" t="str">
        <f>HYPERLINK("https://www.ncbi.nlm.nih.gov/geo/query/acc.cgi?acc=GSM183296","GSM183296")</f>
        <v>GSM183296</v>
      </c>
      <c r="I10961" t="s">
        <v>82</v>
      </c>
      <c r="J10961" t="s">
        <v>83</v>
      </c>
      <c r="K10961" t="s">
        <v>19</v>
      </c>
      <c r="L10961" t="s">
        <v>27</v>
      </c>
      <c r="M10961" t="s">
        <v>51</v>
      </c>
      <c r="N10961" t="s">
        <v>22</v>
      </c>
    </row>
    <row r="10962" spans="1:14">
      <c r="A10962" s="4" t="str">
        <f t="shared" si="972"/>
        <v>EXP00365</v>
      </c>
      <c r="B10962" s="4" t="str">
        <f t="shared" si="973"/>
        <v>18442402</v>
      </c>
      <c r="C10962" s="4" t="str">
        <f t="shared" si="974"/>
        <v>GSE7553</v>
      </c>
      <c r="D10962" s="1" t="s">
        <v>45</v>
      </c>
      <c r="E10962" t="s">
        <v>464</v>
      </c>
      <c r="F10962" s="1">
        <v>1</v>
      </c>
      <c r="G10962" s="1" t="s">
        <v>26</v>
      </c>
      <c r="H10962" s="4" t="str">
        <f>HYPERLINK("https://www.ncbi.nlm.nih.gov/geo/query/acc.cgi?acc=GSM183297","GSM183297")</f>
        <v>GSM183297</v>
      </c>
      <c r="I10962" t="s">
        <v>82</v>
      </c>
      <c r="J10962" t="s">
        <v>83</v>
      </c>
      <c r="K10962" t="s">
        <v>19</v>
      </c>
      <c r="L10962" t="s">
        <v>27</v>
      </c>
      <c r="M10962" t="s">
        <v>51</v>
      </c>
      <c r="N10962" t="s">
        <v>22</v>
      </c>
    </row>
    <row r="10963" spans="1:14">
      <c r="A10963" s="4" t="str">
        <f t="shared" si="972"/>
        <v>EXP00365</v>
      </c>
      <c r="B10963" s="4" t="str">
        <f t="shared" si="973"/>
        <v>18442402</v>
      </c>
      <c r="C10963" s="4" t="str">
        <f t="shared" si="974"/>
        <v>GSE7553</v>
      </c>
      <c r="D10963" s="1" t="s">
        <v>45</v>
      </c>
      <c r="E10963" t="s">
        <v>464</v>
      </c>
      <c r="F10963" s="1">
        <v>1</v>
      </c>
      <c r="G10963" s="1" t="s">
        <v>26</v>
      </c>
      <c r="H10963" s="4" t="str">
        <f>HYPERLINK("https://www.ncbi.nlm.nih.gov/geo/query/acc.cgi?acc=GSM183298","GSM183298")</f>
        <v>GSM183298</v>
      </c>
      <c r="I10963" t="s">
        <v>82</v>
      </c>
      <c r="J10963" t="s">
        <v>83</v>
      </c>
      <c r="K10963" t="s">
        <v>19</v>
      </c>
      <c r="L10963" t="s">
        <v>27</v>
      </c>
      <c r="M10963" t="s">
        <v>51</v>
      </c>
      <c r="N10963" t="s">
        <v>22</v>
      </c>
    </row>
    <row r="10964" spans="1:14">
      <c r="A10964" s="4" t="str">
        <f t="shared" si="972"/>
        <v>EXP00365</v>
      </c>
      <c r="B10964" s="4" t="str">
        <f t="shared" si="973"/>
        <v>18442402</v>
      </c>
      <c r="C10964" s="4" t="str">
        <f t="shared" si="974"/>
        <v>GSE7553</v>
      </c>
      <c r="D10964" s="1" t="s">
        <v>45</v>
      </c>
      <c r="E10964" t="s">
        <v>464</v>
      </c>
      <c r="F10964" s="1">
        <v>2</v>
      </c>
      <c r="G10964" s="1" t="s">
        <v>28</v>
      </c>
      <c r="H10964" s="4" t="str">
        <f>HYPERLINK("https://www.ncbi.nlm.nih.gov/geo/query/acc.cgi?acc=GSM183222","GSM183222")</f>
        <v>GSM183222</v>
      </c>
      <c r="I10964" t="s">
        <v>82</v>
      </c>
      <c r="J10964" t="s">
        <v>83</v>
      </c>
      <c r="K10964" t="s">
        <v>19</v>
      </c>
      <c r="L10964" t="s">
        <v>27</v>
      </c>
      <c r="M10964" t="s">
        <v>51</v>
      </c>
      <c r="N10964" t="s">
        <v>29</v>
      </c>
    </row>
    <row r="10965" spans="1:14">
      <c r="A10965" s="4" t="str">
        <f t="shared" si="972"/>
        <v>EXP00365</v>
      </c>
      <c r="B10965" s="4" t="str">
        <f t="shared" si="973"/>
        <v>18442402</v>
      </c>
      <c r="C10965" s="4" t="str">
        <f t="shared" si="974"/>
        <v>GSE7553</v>
      </c>
      <c r="D10965" s="1" t="s">
        <v>45</v>
      </c>
      <c r="E10965" t="s">
        <v>464</v>
      </c>
      <c r="F10965" s="1">
        <v>2</v>
      </c>
      <c r="G10965" s="1" t="s">
        <v>28</v>
      </c>
      <c r="H10965" s="4" t="str">
        <f>HYPERLINK("https://www.ncbi.nlm.nih.gov/geo/query/acc.cgi?acc=GSM183223","GSM183223")</f>
        <v>GSM183223</v>
      </c>
      <c r="I10965" t="s">
        <v>82</v>
      </c>
      <c r="J10965" t="s">
        <v>83</v>
      </c>
      <c r="K10965" t="s">
        <v>19</v>
      </c>
      <c r="L10965" t="s">
        <v>27</v>
      </c>
      <c r="M10965" t="s">
        <v>51</v>
      </c>
      <c r="N10965" t="s">
        <v>29</v>
      </c>
    </row>
    <row r="10966" spans="1:14">
      <c r="A10966" s="4" t="str">
        <f t="shared" si="972"/>
        <v>EXP00365</v>
      </c>
      <c r="B10966" s="4" t="str">
        <f t="shared" si="973"/>
        <v>18442402</v>
      </c>
      <c r="C10966" s="4" t="str">
        <f t="shared" si="974"/>
        <v>GSE7553</v>
      </c>
      <c r="D10966" s="1" t="s">
        <v>45</v>
      </c>
      <c r="E10966" t="s">
        <v>464</v>
      </c>
      <c r="F10966" s="1">
        <v>2</v>
      </c>
      <c r="G10966" s="1" t="s">
        <v>28</v>
      </c>
      <c r="H10966" s="4" t="str">
        <f>HYPERLINK("https://www.ncbi.nlm.nih.gov/geo/query/acc.cgi?acc=GSM183224","GSM183224")</f>
        <v>GSM183224</v>
      </c>
      <c r="I10966" t="s">
        <v>82</v>
      </c>
      <c r="J10966" t="s">
        <v>83</v>
      </c>
      <c r="K10966" t="s">
        <v>19</v>
      </c>
      <c r="L10966" t="s">
        <v>27</v>
      </c>
      <c r="M10966" t="s">
        <v>51</v>
      </c>
      <c r="N10966" t="s">
        <v>29</v>
      </c>
    </row>
    <row r="10967" spans="1:14">
      <c r="A10967" s="4" t="str">
        <f t="shared" si="972"/>
        <v>EXP00365</v>
      </c>
      <c r="B10967" s="4" t="str">
        <f t="shared" si="973"/>
        <v>18442402</v>
      </c>
      <c r="C10967" s="4" t="str">
        <f t="shared" si="974"/>
        <v>GSE7553</v>
      </c>
      <c r="D10967" s="1" t="s">
        <v>45</v>
      </c>
      <c r="E10967" t="s">
        <v>464</v>
      </c>
      <c r="F10967" s="1">
        <v>2</v>
      </c>
      <c r="G10967" s="1" t="s">
        <v>28</v>
      </c>
      <c r="H10967" s="4" t="str">
        <f>HYPERLINK("https://www.ncbi.nlm.nih.gov/geo/query/acc.cgi?acc=GSM183225","GSM183225")</f>
        <v>GSM183225</v>
      </c>
      <c r="I10967" t="s">
        <v>82</v>
      </c>
      <c r="J10967" t="s">
        <v>83</v>
      </c>
      <c r="K10967" t="s">
        <v>19</v>
      </c>
      <c r="L10967" t="s">
        <v>27</v>
      </c>
      <c r="M10967" t="s">
        <v>51</v>
      </c>
      <c r="N10967" t="s">
        <v>29</v>
      </c>
    </row>
    <row r="10968" spans="1:14">
      <c r="A10968" s="4" t="str">
        <f t="shared" si="972"/>
        <v>EXP00365</v>
      </c>
      <c r="B10968" s="4" t="str">
        <f t="shared" si="973"/>
        <v>18442402</v>
      </c>
      <c r="C10968" s="4" t="str">
        <f t="shared" si="974"/>
        <v>GSE7553</v>
      </c>
      <c r="D10968" s="1" t="s">
        <v>45</v>
      </c>
      <c r="E10968" t="s">
        <v>464</v>
      </c>
      <c r="F10968" s="1">
        <v>2</v>
      </c>
      <c r="G10968" s="1" t="s">
        <v>28</v>
      </c>
      <c r="H10968" s="4" t="str">
        <f>HYPERLINK("https://www.ncbi.nlm.nih.gov/geo/query/acc.cgi?acc=GSM183235","GSM183235")</f>
        <v>GSM183235</v>
      </c>
      <c r="I10968" t="s">
        <v>82</v>
      </c>
      <c r="J10968" t="s">
        <v>83</v>
      </c>
      <c r="K10968" t="s">
        <v>19</v>
      </c>
      <c r="L10968" t="s">
        <v>27</v>
      </c>
      <c r="M10968" t="s">
        <v>51</v>
      </c>
      <c r="N10968" t="s">
        <v>29</v>
      </c>
    </row>
    <row r="10969" spans="1:14">
      <c r="A10969" s="4" t="str">
        <f t="shared" si="972"/>
        <v>EXP00365</v>
      </c>
      <c r="B10969" s="4" t="str">
        <f t="shared" si="973"/>
        <v>18442402</v>
      </c>
      <c r="C10969" s="4" t="str">
        <f t="shared" si="974"/>
        <v>GSE7553</v>
      </c>
      <c r="D10969" s="1" t="s">
        <v>45</v>
      </c>
      <c r="E10969" t="s">
        <v>464</v>
      </c>
      <c r="F10969" s="1">
        <v>2</v>
      </c>
      <c r="G10969" s="1" t="s">
        <v>28</v>
      </c>
      <c r="H10969" s="4" t="str">
        <f>HYPERLINK("https://www.ncbi.nlm.nih.gov/geo/query/acc.cgi?acc=GSM183258","GSM183258")</f>
        <v>GSM183258</v>
      </c>
      <c r="I10969" t="s">
        <v>82</v>
      </c>
      <c r="J10969" t="s">
        <v>83</v>
      </c>
      <c r="K10969" t="s">
        <v>19</v>
      </c>
      <c r="L10969" t="s">
        <v>27</v>
      </c>
      <c r="M10969" t="s">
        <v>51</v>
      </c>
      <c r="N10969" t="s">
        <v>29</v>
      </c>
    </row>
    <row r="10970" spans="1:14">
      <c r="A10970" s="4" t="str">
        <f t="shared" si="972"/>
        <v>EXP00365</v>
      </c>
      <c r="B10970" s="4" t="str">
        <f t="shared" si="973"/>
        <v>18442402</v>
      </c>
      <c r="C10970" s="4" t="str">
        <f t="shared" si="974"/>
        <v>GSE7553</v>
      </c>
      <c r="D10970" s="1" t="s">
        <v>45</v>
      </c>
      <c r="E10970" t="s">
        <v>464</v>
      </c>
      <c r="F10970" s="1">
        <v>2</v>
      </c>
      <c r="G10970" s="1" t="s">
        <v>28</v>
      </c>
      <c r="H10970" s="4" t="str">
        <f>HYPERLINK("https://www.ncbi.nlm.nih.gov/geo/query/acc.cgi?acc=GSM183259","GSM183259")</f>
        <v>GSM183259</v>
      </c>
      <c r="I10970" t="s">
        <v>82</v>
      </c>
      <c r="J10970" t="s">
        <v>83</v>
      </c>
      <c r="K10970" t="s">
        <v>19</v>
      </c>
      <c r="L10970" t="s">
        <v>27</v>
      </c>
      <c r="M10970" t="s">
        <v>51</v>
      </c>
      <c r="N10970" t="s">
        <v>29</v>
      </c>
    </row>
    <row r="10971" spans="1:14">
      <c r="A10971" s="4" t="str">
        <f t="shared" si="972"/>
        <v>EXP00365</v>
      </c>
      <c r="B10971" s="4" t="str">
        <f t="shared" si="973"/>
        <v>18442402</v>
      </c>
      <c r="C10971" s="4" t="str">
        <f t="shared" si="974"/>
        <v>GSE7553</v>
      </c>
      <c r="D10971" s="1" t="s">
        <v>45</v>
      </c>
      <c r="E10971" t="s">
        <v>464</v>
      </c>
      <c r="F10971" s="1">
        <v>2</v>
      </c>
      <c r="G10971" s="1" t="s">
        <v>28</v>
      </c>
      <c r="H10971" s="4" t="str">
        <f>HYPERLINK("https://www.ncbi.nlm.nih.gov/geo/query/acc.cgi?acc=GSM183260","GSM183260")</f>
        <v>GSM183260</v>
      </c>
      <c r="I10971" t="s">
        <v>82</v>
      </c>
      <c r="J10971" t="s">
        <v>83</v>
      </c>
      <c r="K10971" t="s">
        <v>19</v>
      </c>
      <c r="L10971" t="s">
        <v>27</v>
      </c>
      <c r="M10971" t="s">
        <v>51</v>
      </c>
      <c r="N10971" t="s">
        <v>29</v>
      </c>
    </row>
    <row r="10972" spans="1:14">
      <c r="A10972" s="4" t="str">
        <f t="shared" si="972"/>
        <v>EXP00365</v>
      </c>
      <c r="B10972" s="4" t="str">
        <f t="shared" si="973"/>
        <v>18442402</v>
      </c>
      <c r="C10972" s="4" t="str">
        <f t="shared" si="974"/>
        <v>GSE7553</v>
      </c>
      <c r="D10972" s="1" t="s">
        <v>45</v>
      </c>
      <c r="E10972" t="s">
        <v>464</v>
      </c>
      <c r="F10972" s="1">
        <v>2</v>
      </c>
      <c r="G10972" s="1" t="s">
        <v>28</v>
      </c>
      <c r="H10972" s="4" t="str">
        <f>HYPERLINK("https://www.ncbi.nlm.nih.gov/geo/query/acc.cgi?acc=GSM183261","GSM183261")</f>
        <v>GSM183261</v>
      </c>
      <c r="I10972" t="s">
        <v>82</v>
      </c>
      <c r="J10972" t="s">
        <v>83</v>
      </c>
      <c r="K10972" t="s">
        <v>19</v>
      </c>
      <c r="L10972" t="s">
        <v>27</v>
      </c>
      <c r="M10972" t="s">
        <v>51</v>
      </c>
      <c r="N10972" t="s">
        <v>29</v>
      </c>
    </row>
    <row r="10973" spans="1:14">
      <c r="A10973" s="4" t="str">
        <f t="shared" si="972"/>
        <v>EXP00365</v>
      </c>
      <c r="B10973" s="4" t="str">
        <f t="shared" si="973"/>
        <v>18442402</v>
      </c>
      <c r="C10973" s="4" t="str">
        <f t="shared" si="974"/>
        <v>GSE7553</v>
      </c>
      <c r="D10973" s="1" t="s">
        <v>45</v>
      </c>
      <c r="E10973" t="s">
        <v>464</v>
      </c>
      <c r="F10973" s="1">
        <v>2</v>
      </c>
      <c r="G10973" s="1" t="s">
        <v>28</v>
      </c>
      <c r="H10973" s="4" t="str">
        <f>HYPERLINK("https://www.ncbi.nlm.nih.gov/geo/query/acc.cgi?acc=GSM183262","GSM183262")</f>
        <v>GSM183262</v>
      </c>
      <c r="I10973" t="s">
        <v>82</v>
      </c>
      <c r="J10973" t="s">
        <v>83</v>
      </c>
      <c r="K10973" t="s">
        <v>19</v>
      </c>
      <c r="L10973" t="s">
        <v>27</v>
      </c>
      <c r="M10973" t="s">
        <v>51</v>
      </c>
      <c r="N10973" t="s">
        <v>29</v>
      </c>
    </row>
    <row r="10974" spans="1:14">
      <c r="A10974" s="4" t="str">
        <f t="shared" si="972"/>
        <v>EXP00365</v>
      </c>
      <c r="B10974" s="4" t="str">
        <f t="shared" si="973"/>
        <v>18442402</v>
      </c>
      <c r="C10974" s="4" t="str">
        <f t="shared" si="974"/>
        <v>GSE7553</v>
      </c>
      <c r="D10974" s="1" t="s">
        <v>45</v>
      </c>
      <c r="E10974" t="s">
        <v>464</v>
      </c>
      <c r="F10974" s="1">
        <v>2</v>
      </c>
      <c r="G10974" s="1" t="s">
        <v>28</v>
      </c>
      <c r="H10974" s="4" t="str">
        <f>HYPERLINK("https://www.ncbi.nlm.nih.gov/geo/query/acc.cgi?acc=GSM183263","GSM183263")</f>
        <v>GSM183263</v>
      </c>
      <c r="I10974" t="s">
        <v>82</v>
      </c>
      <c r="J10974" t="s">
        <v>83</v>
      </c>
      <c r="K10974" t="s">
        <v>19</v>
      </c>
      <c r="L10974" t="s">
        <v>27</v>
      </c>
      <c r="M10974" t="s">
        <v>51</v>
      </c>
      <c r="N10974" t="s">
        <v>29</v>
      </c>
    </row>
    <row r="10975" spans="1:14">
      <c r="A10975" s="4" t="str">
        <f t="shared" si="972"/>
        <v>EXP00365</v>
      </c>
      <c r="B10975" s="4" t="str">
        <f t="shared" si="973"/>
        <v>18442402</v>
      </c>
      <c r="C10975" s="4" t="str">
        <f t="shared" si="974"/>
        <v>GSE7553</v>
      </c>
      <c r="D10975" s="1" t="s">
        <v>45</v>
      </c>
      <c r="E10975" t="s">
        <v>464</v>
      </c>
      <c r="F10975" s="1">
        <v>2</v>
      </c>
      <c r="G10975" s="1" t="s">
        <v>28</v>
      </c>
      <c r="H10975" s="4" t="str">
        <f>HYPERLINK("https://www.ncbi.nlm.nih.gov/geo/query/acc.cgi?acc=GSM183264","GSM183264")</f>
        <v>GSM183264</v>
      </c>
      <c r="I10975" t="s">
        <v>82</v>
      </c>
      <c r="J10975" t="s">
        <v>83</v>
      </c>
      <c r="K10975" t="s">
        <v>19</v>
      </c>
      <c r="L10975" t="s">
        <v>27</v>
      </c>
      <c r="M10975" t="s">
        <v>51</v>
      </c>
      <c r="N10975" t="s">
        <v>29</v>
      </c>
    </row>
    <row r="10976" spans="1:14">
      <c r="A10976" s="4" t="str">
        <f t="shared" si="972"/>
        <v>EXP00365</v>
      </c>
      <c r="B10976" s="4" t="str">
        <f t="shared" si="973"/>
        <v>18442402</v>
      </c>
      <c r="C10976" s="4" t="str">
        <f t="shared" si="974"/>
        <v>GSE7553</v>
      </c>
      <c r="D10976" s="1" t="s">
        <v>45</v>
      </c>
      <c r="E10976" t="s">
        <v>464</v>
      </c>
      <c r="F10976" s="1">
        <v>2</v>
      </c>
      <c r="G10976" s="1" t="s">
        <v>28</v>
      </c>
      <c r="H10976" s="4" t="str">
        <f>HYPERLINK("https://www.ncbi.nlm.nih.gov/geo/query/acc.cgi?acc=GSM183265","GSM183265")</f>
        <v>GSM183265</v>
      </c>
      <c r="I10976" t="s">
        <v>82</v>
      </c>
      <c r="J10976" t="s">
        <v>83</v>
      </c>
      <c r="K10976" t="s">
        <v>19</v>
      </c>
      <c r="L10976" t="s">
        <v>27</v>
      </c>
      <c r="M10976" t="s">
        <v>51</v>
      </c>
      <c r="N10976" t="s">
        <v>29</v>
      </c>
    </row>
    <row r="10977" spans="1:14">
      <c r="A10977" s="4" t="str">
        <f t="shared" si="972"/>
        <v>EXP00365</v>
      </c>
      <c r="B10977" s="4" t="str">
        <f t="shared" si="973"/>
        <v>18442402</v>
      </c>
      <c r="C10977" s="4" t="str">
        <f t="shared" si="974"/>
        <v>GSE7553</v>
      </c>
      <c r="D10977" s="1" t="s">
        <v>45</v>
      </c>
      <c r="E10977" t="s">
        <v>464</v>
      </c>
      <c r="F10977" s="1">
        <v>2</v>
      </c>
      <c r="G10977" s="1" t="s">
        <v>28</v>
      </c>
      <c r="H10977" s="4" t="str">
        <f>HYPERLINK("https://www.ncbi.nlm.nih.gov/geo/query/acc.cgi?acc=GSM183266","GSM183266")</f>
        <v>GSM183266</v>
      </c>
      <c r="I10977" t="s">
        <v>82</v>
      </c>
      <c r="J10977" t="s">
        <v>83</v>
      </c>
      <c r="K10977" t="s">
        <v>19</v>
      </c>
      <c r="L10977" t="s">
        <v>27</v>
      </c>
      <c r="M10977" t="s">
        <v>51</v>
      </c>
      <c r="N10977" t="s">
        <v>29</v>
      </c>
    </row>
    <row r="10978" spans="1:14">
      <c r="A10978" s="4" t="str">
        <f t="shared" si="972"/>
        <v>EXP00365</v>
      </c>
      <c r="B10978" s="4" t="str">
        <f t="shared" si="973"/>
        <v>18442402</v>
      </c>
      <c r="C10978" s="4" t="str">
        <f t="shared" si="974"/>
        <v>GSE7553</v>
      </c>
      <c r="D10978" s="1" t="s">
        <v>45</v>
      </c>
      <c r="E10978" t="s">
        <v>464</v>
      </c>
      <c r="F10978" s="1">
        <v>2</v>
      </c>
      <c r="G10978" s="1" t="s">
        <v>28</v>
      </c>
      <c r="H10978" s="4" t="str">
        <f>HYPERLINK("https://www.ncbi.nlm.nih.gov/geo/query/acc.cgi?acc=GSM183303","GSM183303")</f>
        <v>GSM183303</v>
      </c>
      <c r="I10978" t="s">
        <v>82</v>
      </c>
      <c r="J10978" t="s">
        <v>83</v>
      </c>
      <c r="K10978" t="s">
        <v>19</v>
      </c>
      <c r="L10978" t="s">
        <v>27</v>
      </c>
      <c r="M10978" t="s">
        <v>51</v>
      </c>
      <c r="N10978" t="s">
        <v>29</v>
      </c>
    </row>
    <row r="10979" spans="1:14">
      <c r="A10979" s="4" t="str">
        <f t="shared" si="972"/>
        <v>EXP00365</v>
      </c>
      <c r="B10979" s="4" t="str">
        <f t="shared" si="973"/>
        <v>18442402</v>
      </c>
      <c r="C10979" s="4" t="str">
        <f t="shared" si="974"/>
        <v>GSE7553</v>
      </c>
      <c r="D10979" s="1" t="s">
        <v>45</v>
      </c>
      <c r="E10979" t="s">
        <v>464</v>
      </c>
      <c r="F10979" s="1">
        <v>2</v>
      </c>
      <c r="G10979" s="1" t="s">
        <v>28</v>
      </c>
      <c r="H10979" s="4" t="str">
        <f>HYPERLINK("https://www.ncbi.nlm.nih.gov/geo/query/acc.cgi?acc=GSM183304","GSM183304")</f>
        <v>GSM183304</v>
      </c>
      <c r="I10979" t="s">
        <v>82</v>
      </c>
      <c r="J10979" t="s">
        <v>83</v>
      </c>
      <c r="K10979" t="s">
        <v>19</v>
      </c>
      <c r="L10979" t="s">
        <v>27</v>
      </c>
      <c r="M10979" t="s">
        <v>51</v>
      </c>
      <c r="N10979" t="s">
        <v>29</v>
      </c>
    </row>
    <row r="10980" spans="1:14">
      <c r="A10980" s="4" t="str">
        <f t="shared" ref="A10980:A11021" si="975">HYPERLINK("http://hcmdb.i-sanger.com/experiment/details/experiment_id/EXP00366","EXP00366")</f>
        <v>EXP00366</v>
      </c>
      <c r="B10980" s="4" t="str">
        <f t="shared" si="973"/>
        <v>18442402</v>
      </c>
      <c r="C10980" s="4" t="str">
        <f t="shared" si="974"/>
        <v>GSE7553</v>
      </c>
      <c r="D10980" s="1" t="s">
        <v>45</v>
      </c>
      <c r="E10980" t="s">
        <v>465</v>
      </c>
      <c r="F10980" s="1">
        <v>1</v>
      </c>
      <c r="G10980" s="1" t="s">
        <v>31</v>
      </c>
      <c r="H10980" s="4" t="str">
        <f>HYPERLINK("https://www.ncbi.nlm.nih.gov/geo/query/acc.cgi?acc=GSM183222","GSM183222")</f>
        <v>GSM183222</v>
      </c>
      <c r="I10980" t="s">
        <v>82</v>
      </c>
      <c r="J10980" t="s">
        <v>83</v>
      </c>
      <c r="K10980" t="s">
        <v>19</v>
      </c>
      <c r="L10980" t="s">
        <v>27</v>
      </c>
      <c r="M10980" t="s">
        <v>51</v>
      </c>
      <c r="N10980" t="s">
        <v>29</v>
      </c>
    </row>
    <row r="10981" spans="1:14">
      <c r="A10981" s="4" t="str">
        <f t="shared" si="975"/>
        <v>EXP00366</v>
      </c>
      <c r="B10981" s="4" t="str">
        <f t="shared" si="973"/>
        <v>18442402</v>
      </c>
      <c r="C10981" s="4" t="str">
        <f t="shared" si="974"/>
        <v>GSE7553</v>
      </c>
      <c r="D10981" s="1" t="s">
        <v>45</v>
      </c>
      <c r="E10981" t="s">
        <v>465</v>
      </c>
      <c r="F10981" s="1">
        <v>1</v>
      </c>
      <c r="G10981" s="1" t="s">
        <v>31</v>
      </c>
      <c r="H10981" s="4" t="str">
        <f>HYPERLINK("https://www.ncbi.nlm.nih.gov/geo/query/acc.cgi?acc=GSM183223","GSM183223")</f>
        <v>GSM183223</v>
      </c>
      <c r="I10981" t="s">
        <v>82</v>
      </c>
      <c r="J10981" t="s">
        <v>83</v>
      </c>
      <c r="K10981" t="s">
        <v>19</v>
      </c>
      <c r="L10981" t="s">
        <v>27</v>
      </c>
      <c r="M10981" t="s">
        <v>51</v>
      </c>
      <c r="N10981" t="s">
        <v>29</v>
      </c>
    </row>
    <row r="10982" spans="1:14">
      <c r="A10982" s="4" t="str">
        <f t="shared" si="975"/>
        <v>EXP00366</v>
      </c>
      <c r="B10982" s="4" t="str">
        <f t="shared" si="973"/>
        <v>18442402</v>
      </c>
      <c r="C10982" s="4" t="str">
        <f t="shared" si="974"/>
        <v>GSE7553</v>
      </c>
      <c r="D10982" s="1" t="s">
        <v>45</v>
      </c>
      <c r="E10982" t="s">
        <v>465</v>
      </c>
      <c r="F10982" s="1">
        <v>1</v>
      </c>
      <c r="G10982" s="1" t="s">
        <v>31</v>
      </c>
      <c r="H10982" s="4" t="str">
        <f>HYPERLINK("https://www.ncbi.nlm.nih.gov/geo/query/acc.cgi?acc=GSM183224","GSM183224")</f>
        <v>GSM183224</v>
      </c>
      <c r="I10982" t="s">
        <v>82</v>
      </c>
      <c r="J10982" t="s">
        <v>83</v>
      </c>
      <c r="K10982" t="s">
        <v>19</v>
      </c>
      <c r="L10982" t="s">
        <v>27</v>
      </c>
      <c r="M10982" t="s">
        <v>51</v>
      </c>
      <c r="N10982" t="s">
        <v>29</v>
      </c>
    </row>
    <row r="10983" spans="1:14">
      <c r="A10983" s="4" t="str">
        <f t="shared" si="975"/>
        <v>EXP00366</v>
      </c>
      <c r="B10983" s="4" t="str">
        <f t="shared" si="973"/>
        <v>18442402</v>
      </c>
      <c r="C10983" s="4" t="str">
        <f t="shared" si="974"/>
        <v>GSE7553</v>
      </c>
      <c r="D10983" s="1" t="s">
        <v>45</v>
      </c>
      <c r="E10983" t="s">
        <v>465</v>
      </c>
      <c r="F10983" s="1">
        <v>1</v>
      </c>
      <c r="G10983" s="1" t="s">
        <v>31</v>
      </c>
      <c r="H10983" s="4" t="str">
        <f>HYPERLINK("https://www.ncbi.nlm.nih.gov/geo/query/acc.cgi?acc=GSM183225","GSM183225")</f>
        <v>GSM183225</v>
      </c>
      <c r="I10983" t="s">
        <v>82</v>
      </c>
      <c r="J10983" t="s">
        <v>83</v>
      </c>
      <c r="K10983" t="s">
        <v>19</v>
      </c>
      <c r="L10983" t="s">
        <v>27</v>
      </c>
      <c r="M10983" t="s">
        <v>51</v>
      </c>
      <c r="N10983" t="s">
        <v>29</v>
      </c>
    </row>
    <row r="10984" spans="1:14">
      <c r="A10984" s="4" t="str">
        <f t="shared" si="975"/>
        <v>EXP00366</v>
      </c>
      <c r="B10984" s="4" t="str">
        <f t="shared" si="973"/>
        <v>18442402</v>
      </c>
      <c r="C10984" s="4" t="str">
        <f t="shared" si="974"/>
        <v>GSE7553</v>
      </c>
      <c r="D10984" s="1" t="s">
        <v>45</v>
      </c>
      <c r="E10984" t="s">
        <v>465</v>
      </c>
      <c r="F10984" s="1">
        <v>1</v>
      </c>
      <c r="G10984" s="1" t="s">
        <v>31</v>
      </c>
      <c r="H10984" s="4" t="str">
        <f>HYPERLINK("https://www.ncbi.nlm.nih.gov/geo/query/acc.cgi?acc=GSM183235","GSM183235")</f>
        <v>GSM183235</v>
      </c>
      <c r="I10984" t="s">
        <v>82</v>
      </c>
      <c r="J10984" t="s">
        <v>83</v>
      </c>
      <c r="K10984" t="s">
        <v>19</v>
      </c>
      <c r="L10984" t="s">
        <v>27</v>
      </c>
      <c r="M10984" t="s">
        <v>51</v>
      </c>
      <c r="N10984" t="s">
        <v>29</v>
      </c>
    </row>
    <row r="10985" spans="1:14">
      <c r="A10985" s="4" t="str">
        <f t="shared" si="975"/>
        <v>EXP00366</v>
      </c>
      <c r="B10985" s="4" t="str">
        <f t="shared" si="973"/>
        <v>18442402</v>
      </c>
      <c r="C10985" s="4" t="str">
        <f t="shared" si="974"/>
        <v>GSE7553</v>
      </c>
      <c r="D10985" s="1" t="s">
        <v>45</v>
      </c>
      <c r="E10985" t="s">
        <v>465</v>
      </c>
      <c r="F10985" s="1">
        <v>1</v>
      </c>
      <c r="G10985" s="1" t="s">
        <v>31</v>
      </c>
      <c r="H10985" s="4" t="str">
        <f>HYPERLINK("https://www.ncbi.nlm.nih.gov/geo/query/acc.cgi?acc=GSM183258","GSM183258")</f>
        <v>GSM183258</v>
      </c>
      <c r="I10985" t="s">
        <v>82</v>
      </c>
      <c r="J10985" t="s">
        <v>83</v>
      </c>
      <c r="K10985" t="s">
        <v>19</v>
      </c>
      <c r="L10985" t="s">
        <v>27</v>
      </c>
      <c r="M10985" t="s">
        <v>51</v>
      </c>
      <c r="N10985" t="s">
        <v>29</v>
      </c>
    </row>
    <row r="10986" spans="1:14">
      <c r="A10986" s="4" t="str">
        <f t="shared" si="975"/>
        <v>EXP00366</v>
      </c>
      <c r="B10986" s="4" t="str">
        <f t="shared" si="973"/>
        <v>18442402</v>
      </c>
      <c r="C10986" s="4" t="str">
        <f t="shared" si="974"/>
        <v>GSE7553</v>
      </c>
      <c r="D10986" s="1" t="s">
        <v>45</v>
      </c>
      <c r="E10986" t="s">
        <v>465</v>
      </c>
      <c r="F10986" s="1">
        <v>1</v>
      </c>
      <c r="G10986" s="1" t="s">
        <v>31</v>
      </c>
      <c r="H10986" s="4" t="str">
        <f>HYPERLINK("https://www.ncbi.nlm.nih.gov/geo/query/acc.cgi?acc=GSM183259","GSM183259")</f>
        <v>GSM183259</v>
      </c>
      <c r="I10986" t="s">
        <v>82</v>
      </c>
      <c r="J10986" t="s">
        <v>83</v>
      </c>
      <c r="K10986" t="s">
        <v>19</v>
      </c>
      <c r="L10986" t="s">
        <v>27</v>
      </c>
      <c r="M10986" t="s">
        <v>51</v>
      </c>
      <c r="N10986" t="s">
        <v>29</v>
      </c>
    </row>
    <row r="10987" spans="1:14">
      <c r="A10987" s="4" t="str">
        <f t="shared" si="975"/>
        <v>EXP00366</v>
      </c>
      <c r="B10987" s="4" t="str">
        <f t="shared" si="973"/>
        <v>18442402</v>
      </c>
      <c r="C10987" s="4" t="str">
        <f t="shared" si="974"/>
        <v>GSE7553</v>
      </c>
      <c r="D10987" s="1" t="s">
        <v>45</v>
      </c>
      <c r="E10987" t="s">
        <v>465</v>
      </c>
      <c r="F10987" s="1">
        <v>1</v>
      </c>
      <c r="G10987" s="1" t="s">
        <v>31</v>
      </c>
      <c r="H10987" s="4" t="str">
        <f>HYPERLINK("https://www.ncbi.nlm.nih.gov/geo/query/acc.cgi?acc=GSM183260","GSM183260")</f>
        <v>GSM183260</v>
      </c>
      <c r="I10987" t="s">
        <v>82</v>
      </c>
      <c r="J10987" t="s">
        <v>83</v>
      </c>
      <c r="K10987" t="s">
        <v>19</v>
      </c>
      <c r="L10987" t="s">
        <v>27</v>
      </c>
      <c r="M10987" t="s">
        <v>51</v>
      </c>
      <c r="N10987" t="s">
        <v>29</v>
      </c>
    </row>
    <row r="10988" spans="1:14">
      <c r="A10988" s="4" t="str">
        <f t="shared" si="975"/>
        <v>EXP00366</v>
      </c>
      <c r="B10988" s="4" t="str">
        <f t="shared" ref="B10988:B11019" si="976">HYPERLINK("https://www.ncbi.nlm.nih.gov/pubmed/18442402","18442402")</f>
        <v>18442402</v>
      </c>
      <c r="C10988" s="4" t="str">
        <f t="shared" ref="C10988:C11019" si="977">HYPERLINK("https://www.ncbi.nlm.nih.gov/geo/query/acc.cgi?acc=GSE7553","GSE7553")</f>
        <v>GSE7553</v>
      </c>
      <c r="D10988" s="1" t="s">
        <v>45</v>
      </c>
      <c r="E10988" t="s">
        <v>465</v>
      </c>
      <c r="F10988" s="1">
        <v>1</v>
      </c>
      <c r="G10988" s="1" t="s">
        <v>31</v>
      </c>
      <c r="H10988" s="4" t="str">
        <f>HYPERLINK("https://www.ncbi.nlm.nih.gov/geo/query/acc.cgi?acc=GSM183261","GSM183261")</f>
        <v>GSM183261</v>
      </c>
      <c r="I10988" t="s">
        <v>82</v>
      </c>
      <c r="J10988" t="s">
        <v>83</v>
      </c>
      <c r="K10988" t="s">
        <v>19</v>
      </c>
      <c r="L10988" t="s">
        <v>27</v>
      </c>
      <c r="M10988" t="s">
        <v>51</v>
      </c>
      <c r="N10988" t="s">
        <v>29</v>
      </c>
    </row>
    <row r="10989" spans="1:14">
      <c r="A10989" s="4" t="str">
        <f t="shared" si="975"/>
        <v>EXP00366</v>
      </c>
      <c r="B10989" s="4" t="str">
        <f t="shared" si="976"/>
        <v>18442402</v>
      </c>
      <c r="C10989" s="4" t="str">
        <f t="shared" si="977"/>
        <v>GSE7553</v>
      </c>
      <c r="D10989" s="1" t="s">
        <v>45</v>
      </c>
      <c r="E10989" t="s">
        <v>465</v>
      </c>
      <c r="F10989" s="1">
        <v>1</v>
      </c>
      <c r="G10989" s="1" t="s">
        <v>31</v>
      </c>
      <c r="H10989" s="4" t="str">
        <f>HYPERLINK("https://www.ncbi.nlm.nih.gov/geo/query/acc.cgi?acc=GSM183262","GSM183262")</f>
        <v>GSM183262</v>
      </c>
      <c r="I10989" t="s">
        <v>82</v>
      </c>
      <c r="J10989" t="s">
        <v>83</v>
      </c>
      <c r="K10989" t="s">
        <v>19</v>
      </c>
      <c r="L10989" t="s">
        <v>27</v>
      </c>
      <c r="M10989" t="s">
        <v>51</v>
      </c>
      <c r="N10989" t="s">
        <v>29</v>
      </c>
    </row>
    <row r="10990" spans="1:14">
      <c r="A10990" s="4" t="str">
        <f t="shared" si="975"/>
        <v>EXP00366</v>
      </c>
      <c r="B10990" s="4" t="str">
        <f t="shared" si="976"/>
        <v>18442402</v>
      </c>
      <c r="C10990" s="4" t="str">
        <f t="shared" si="977"/>
        <v>GSE7553</v>
      </c>
      <c r="D10990" s="1" t="s">
        <v>45</v>
      </c>
      <c r="E10990" t="s">
        <v>465</v>
      </c>
      <c r="F10990" s="1">
        <v>1</v>
      </c>
      <c r="G10990" s="1" t="s">
        <v>31</v>
      </c>
      <c r="H10990" s="4" t="str">
        <f>HYPERLINK("https://www.ncbi.nlm.nih.gov/geo/query/acc.cgi?acc=GSM183263","GSM183263")</f>
        <v>GSM183263</v>
      </c>
      <c r="I10990" t="s">
        <v>82</v>
      </c>
      <c r="J10990" t="s">
        <v>83</v>
      </c>
      <c r="K10990" t="s">
        <v>19</v>
      </c>
      <c r="L10990" t="s">
        <v>27</v>
      </c>
      <c r="M10990" t="s">
        <v>51</v>
      </c>
      <c r="N10990" t="s">
        <v>29</v>
      </c>
    </row>
    <row r="10991" spans="1:14">
      <c r="A10991" s="4" t="str">
        <f t="shared" si="975"/>
        <v>EXP00366</v>
      </c>
      <c r="B10991" s="4" t="str">
        <f t="shared" si="976"/>
        <v>18442402</v>
      </c>
      <c r="C10991" s="4" t="str">
        <f t="shared" si="977"/>
        <v>GSE7553</v>
      </c>
      <c r="D10991" s="1" t="s">
        <v>45</v>
      </c>
      <c r="E10991" t="s">
        <v>465</v>
      </c>
      <c r="F10991" s="1">
        <v>1</v>
      </c>
      <c r="G10991" s="1" t="s">
        <v>31</v>
      </c>
      <c r="H10991" s="4" t="str">
        <f>HYPERLINK("https://www.ncbi.nlm.nih.gov/geo/query/acc.cgi?acc=GSM183264","GSM183264")</f>
        <v>GSM183264</v>
      </c>
      <c r="I10991" t="s">
        <v>82</v>
      </c>
      <c r="J10991" t="s">
        <v>83</v>
      </c>
      <c r="K10991" t="s">
        <v>19</v>
      </c>
      <c r="L10991" t="s">
        <v>27</v>
      </c>
      <c r="M10991" t="s">
        <v>51</v>
      </c>
      <c r="N10991" t="s">
        <v>29</v>
      </c>
    </row>
    <row r="10992" spans="1:14">
      <c r="A10992" s="4" t="str">
        <f t="shared" si="975"/>
        <v>EXP00366</v>
      </c>
      <c r="B10992" s="4" t="str">
        <f t="shared" si="976"/>
        <v>18442402</v>
      </c>
      <c r="C10992" s="4" t="str">
        <f t="shared" si="977"/>
        <v>GSE7553</v>
      </c>
      <c r="D10992" s="1" t="s">
        <v>45</v>
      </c>
      <c r="E10992" t="s">
        <v>465</v>
      </c>
      <c r="F10992" s="1">
        <v>1</v>
      </c>
      <c r="G10992" s="1" t="s">
        <v>31</v>
      </c>
      <c r="H10992" s="4" t="str">
        <f>HYPERLINK("https://www.ncbi.nlm.nih.gov/geo/query/acc.cgi?acc=GSM183265","GSM183265")</f>
        <v>GSM183265</v>
      </c>
      <c r="I10992" t="s">
        <v>82</v>
      </c>
      <c r="J10992" t="s">
        <v>83</v>
      </c>
      <c r="K10992" t="s">
        <v>19</v>
      </c>
      <c r="L10992" t="s">
        <v>27</v>
      </c>
      <c r="M10992" t="s">
        <v>51</v>
      </c>
      <c r="N10992" t="s">
        <v>29</v>
      </c>
    </row>
    <row r="10993" spans="1:14">
      <c r="A10993" s="4" t="str">
        <f t="shared" si="975"/>
        <v>EXP00366</v>
      </c>
      <c r="B10993" s="4" t="str">
        <f t="shared" si="976"/>
        <v>18442402</v>
      </c>
      <c r="C10993" s="4" t="str">
        <f t="shared" si="977"/>
        <v>GSE7553</v>
      </c>
      <c r="D10993" s="1" t="s">
        <v>45</v>
      </c>
      <c r="E10993" t="s">
        <v>465</v>
      </c>
      <c r="F10993" s="1">
        <v>1</v>
      </c>
      <c r="G10993" s="1" t="s">
        <v>31</v>
      </c>
      <c r="H10993" s="4" t="str">
        <f>HYPERLINK("https://www.ncbi.nlm.nih.gov/geo/query/acc.cgi?acc=GSM183266","GSM183266")</f>
        <v>GSM183266</v>
      </c>
      <c r="I10993" t="s">
        <v>82</v>
      </c>
      <c r="J10993" t="s">
        <v>83</v>
      </c>
      <c r="K10993" t="s">
        <v>19</v>
      </c>
      <c r="L10993" t="s">
        <v>27</v>
      </c>
      <c r="M10993" t="s">
        <v>51</v>
      </c>
      <c r="N10993" t="s">
        <v>29</v>
      </c>
    </row>
    <row r="10994" spans="1:14">
      <c r="A10994" s="4" t="str">
        <f t="shared" si="975"/>
        <v>EXP00366</v>
      </c>
      <c r="B10994" s="4" t="str">
        <f t="shared" si="976"/>
        <v>18442402</v>
      </c>
      <c r="C10994" s="4" t="str">
        <f t="shared" si="977"/>
        <v>GSE7553</v>
      </c>
      <c r="D10994" s="1" t="s">
        <v>45</v>
      </c>
      <c r="E10994" t="s">
        <v>465</v>
      </c>
      <c r="F10994" s="1">
        <v>1</v>
      </c>
      <c r="G10994" s="1" t="s">
        <v>31</v>
      </c>
      <c r="H10994" s="4" t="str">
        <f>HYPERLINK("https://www.ncbi.nlm.nih.gov/geo/query/acc.cgi?acc=GSM183303","GSM183303")</f>
        <v>GSM183303</v>
      </c>
      <c r="I10994" t="s">
        <v>82</v>
      </c>
      <c r="J10994" t="s">
        <v>83</v>
      </c>
      <c r="K10994" t="s">
        <v>19</v>
      </c>
      <c r="L10994" t="s">
        <v>27</v>
      </c>
      <c r="M10994" t="s">
        <v>51</v>
      </c>
      <c r="N10994" t="s">
        <v>29</v>
      </c>
    </row>
    <row r="10995" spans="1:14">
      <c r="A10995" s="4" t="str">
        <f t="shared" si="975"/>
        <v>EXP00366</v>
      </c>
      <c r="B10995" s="4" t="str">
        <f t="shared" si="976"/>
        <v>18442402</v>
      </c>
      <c r="C10995" s="4" t="str">
        <f t="shared" si="977"/>
        <v>GSE7553</v>
      </c>
      <c r="D10995" s="1" t="s">
        <v>45</v>
      </c>
      <c r="E10995" t="s">
        <v>465</v>
      </c>
      <c r="F10995" s="1">
        <v>1</v>
      </c>
      <c r="G10995" s="1" t="s">
        <v>31</v>
      </c>
      <c r="H10995" s="4" t="str">
        <f>HYPERLINK("https://www.ncbi.nlm.nih.gov/geo/query/acc.cgi?acc=GSM183304","GSM183304")</f>
        <v>GSM183304</v>
      </c>
      <c r="I10995" t="s">
        <v>82</v>
      </c>
      <c r="J10995" t="s">
        <v>83</v>
      </c>
      <c r="K10995" t="s">
        <v>19</v>
      </c>
      <c r="L10995" t="s">
        <v>27</v>
      </c>
      <c r="M10995" t="s">
        <v>51</v>
      </c>
      <c r="N10995" t="s">
        <v>29</v>
      </c>
    </row>
    <row r="10996" spans="1:14">
      <c r="A10996" s="4" t="str">
        <f t="shared" si="975"/>
        <v>EXP00366</v>
      </c>
      <c r="B10996" s="4" t="str">
        <f t="shared" si="976"/>
        <v>18442402</v>
      </c>
      <c r="C10996" s="4" t="str">
        <f t="shared" si="977"/>
        <v>GSE7553</v>
      </c>
      <c r="D10996" s="1" t="s">
        <v>45</v>
      </c>
      <c r="E10996" t="s">
        <v>465</v>
      </c>
      <c r="F10996" s="1">
        <v>2</v>
      </c>
      <c r="G10996" s="1" t="s">
        <v>32</v>
      </c>
      <c r="H10996" s="4" t="str">
        <f>HYPERLINK("https://www.ncbi.nlm.nih.gov/geo/query/acc.cgi?acc=GSM183218","GSM183218")</f>
        <v>GSM183218</v>
      </c>
      <c r="I10996" t="s">
        <v>82</v>
      </c>
      <c r="J10996" t="s">
        <v>466</v>
      </c>
      <c r="K10996" t="s">
        <v>33</v>
      </c>
      <c r="L10996" t="s">
        <v>27</v>
      </c>
      <c r="N10996" t="s">
        <v>29</v>
      </c>
    </row>
    <row r="10997" spans="1:14">
      <c r="A10997" s="4" t="str">
        <f t="shared" si="975"/>
        <v>EXP00366</v>
      </c>
      <c r="B10997" s="4" t="str">
        <f t="shared" si="976"/>
        <v>18442402</v>
      </c>
      <c r="C10997" s="4" t="str">
        <f t="shared" si="977"/>
        <v>GSE7553</v>
      </c>
      <c r="D10997" s="1" t="s">
        <v>45</v>
      </c>
      <c r="E10997" t="s">
        <v>465</v>
      </c>
      <c r="F10997" s="1">
        <v>2</v>
      </c>
      <c r="G10997" s="1" t="s">
        <v>32</v>
      </c>
      <c r="H10997" s="4" t="str">
        <f>HYPERLINK("https://www.ncbi.nlm.nih.gov/geo/query/acc.cgi?acc=GSM183219","GSM183219")</f>
        <v>GSM183219</v>
      </c>
      <c r="I10997" t="s">
        <v>82</v>
      </c>
      <c r="J10997" t="s">
        <v>466</v>
      </c>
      <c r="K10997" t="s">
        <v>33</v>
      </c>
      <c r="L10997" t="s">
        <v>27</v>
      </c>
      <c r="N10997" t="s">
        <v>29</v>
      </c>
    </row>
    <row r="10998" spans="1:14">
      <c r="A10998" s="4" t="str">
        <f t="shared" si="975"/>
        <v>EXP00366</v>
      </c>
      <c r="B10998" s="4" t="str">
        <f t="shared" si="976"/>
        <v>18442402</v>
      </c>
      <c r="C10998" s="4" t="str">
        <f t="shared" si="977"/>
        <v>GSE7553</v>
      </c>
      <c r="D10998" s="1" t="s">
        <v>45</v>
      </c>
      <c r="E10998" t="s">
        <v>465</v>
      </c>
      <c r="F10998" s="1">
        <v>2</v>
      </c>
      <c r="G10998" s="1" t="s">
        <v>32</v>
      </c>
      <c r="H10998" s="4" t="str">
        <f>HYPERLINK("https://www.ncbi.nlm.nih.gov/geo/query/acc.cgi?acc=GSM183220","GSM183220")</f>
        <v>GSM183220</v>
      </c>
      <c r="I10998" t="s">
        <v>82</v>
      </c>
      <c r="J10998" t="s">
        <v>466</v>
      </c>
      <c r="K10998" t="s">
        <v>33</v>
      </c>
      <c r="L10998" t="s">
        <v>27</v>
      </c>
      <c r="N10998" t="s">
        <v>29</v>
      </c>
    </row>
    <row r="10999" spans="1:14">
      <c r="A10999" s="4" t="str">
        <f t="shared" si="975"/>
        <v>EXP00366</v>
      </c>
      <c r="B10999" s="4" t="str">
        <f t="shared" si="976"/>
        <v>18442402</v>
      </c>
      <c r="C10999" s="4" t="str">
        <f t="shared" si="977"/>
        <v>GSE7553</v>
      </c>
      <c r="D10999" s="1" t="s">
        <v>45</v>
      </c>
      <c r="E10999" t="s">
        <v>465</v>
      </c>
      <c r="F10999" s="1">
        <v>2</v>
      </c>
      <c r="G10999" s="1" t="s">
        <v>32</v>
      </c>
      <c r="H10999" s="4" t="str">
        <f>HYPERLINK("https://www.ncbi.nlm.nih.gov/geo/query/acc.cgi?acc=GSM183221","GSM183221")</f>
        <v>GSM183221</v>
      </c>
      <c r="I10999" t="s">
        <v>82</v>
      </c>
      <c r="J10999" t="s">
        <v>466</v>
      </c>
      <c r="K10999" t="s">
        <v>33</v>
      </c>
      <c r="L10999" t="s">
        <v>27</v>
      </c>
      <c r="N10999" t="s">
        <v>29</v>
      </c>
    </row>
    <row r="11000" spans="1:14">
      <c r="A11000" s="4" t="str">
        <f t="shared" si="975"/>
        <v>EXP00366</v>
      </c>
      <c r="B11000" s="4" t="str">
        <f t="shared" si="976"/>
        <v>18442402</v>
      </c>
      <c r="C11000" s="4" t="str">
        <f t="shared" si="977"/>
        <v>GSE7553</v>
      </c>
      <c r="D11000" s="1" t="s">
        <v>45</v>
      </c>
      <c r="E11000" t="s">
        <v>465</v>
      </c>
      <c r="F11000" s="1">
        <v>2</v>
      </c>
      <c r="G11000" s="1" t="s">
        <v>32</v>
      </c>
      <c r="H11000" s="4" t="str">
        <f>HYPERLINK("https://www.ncbi.nlm.nih.gov/geo/query/acc.cgi?acc=GSM183236","GSM183236")</f>
        <v>GSM183236</v>
      </c>
      <c r="I11000" t="s">
        <v>82</v>
      </c>
      <c r="J11000" t="s">
        <v>467</v>
      </c>
      <c r="K11000" t="s">
        <v>33</v>
      </c>
      <c r="L11000" t="s">
        <v>27</v>
      </c>
      <c r="N11000" t="s">
        <v>29</v>
      </c>
    </row>
    <row r="11001" spans="1:14">
      <c r="A11001" s="4" t="str">
        <f t="shared" si="975"/>
        <v>EXP00366</v>
      </c>
      <c r="B11001" s="4" t="str">
        <f t="shared" si="976"/>
        <v>18442402</v>
      </c>
      <c r="C11001" s="4" t="str">
        <f t="shared" si="977"/>
        <v>GSE7553</v>
      </c>
      <c r="D11001" s="1" t="s">
        <v>45</v>
      </c>
      <c r="E11001" t="s">
        <v>465</v>
      </c>
      <c r="F11001" s="1">
        <v>2</v>
      </c>
      <c r="G11001" s="1" t="s">
        <v>32</v>
      </c>
      <c r="H11001" s="4" t="str">
        <f>HYPERLINK("https://www.ncbi.nlm.nih.gov/geo/query/acc.cgi?acc=GSM183237","GSM183237")</f>
        <v>GSM183237</v>
      </c>
      <c r="I11001" t="s">
        <v>82</v>
      </c>
      <c r="J11001" t="s">
        <v>467</v>
      </c>
      <c r="K11001" t="s">
        <v>33</v>
      </c>
      <c r="L11001" t="s">
        <v>27</v>
      </c>
      <c r="N11001" t="s">
        <v>29</v>
      </c>
    </row>
    <row r="11002" spans="1:14">
      <c r="A11002" s="4" t="str">
        <f t="shared" si="975"/>
        <v>EXP00366</v>
      </c>
      <c r="B11002" s="4" t="str">
        <f t="shared" si="976"/>
        <v>18442402</v>
      </c>
      <c r="C11002" s="4" t="str">
        <f t="shared" si="977"/>
        <v>GSE7553</v>
      </c>
      <c r="D11002" s="1" t="s">
        <v>45</v>
      </c>
      <c r="E11002" t="s">
        <v>465</v>
      </c>
      <c r="F11002" s="1">
        <v>2</v>
      </c>
      <c r="G11002" s="1" t="s">
        <v>32</v>
      </c>
      <c r="H11002" s="4" t="str">
        <f>HYPERLINK("https://www.ncbi.nlm.nih.gov/geo/query/acc.cgi?acc=GSM183238","GSM183238")</f>
        <v>GSM183238</v>
      </c>
      <c r="I11002" t="s">
        <v>82</v>
      </c>
      <c r="J11002" t="s">
        <v>467</v>
      </c>
      <c r="K11002" t="s">
        <v>33</v>
      </c>
      <c r="L11002" t="s">
        <v>27</v>
      </c>
      <c r="N11002" t="s">
        <v>29</v>
      </c>
    </row>
    <row r="11003" spans="1:14">
      <c r="A11003" s="4" t="str">
        <f t="shared" si="975"/>
        <v>EXP00366</v>
      </c>
      <c r="B11003" s="4" t="str">
        <f t="shared" si="976"/>
        <v>18442402</v>
      </c>
      <c r="C11003" s="4" t="str">
        <f t="shared" si="977"/>
        <v>GSE7553</v>
      </c>
      <c r="D11003" s="1" t="s">
        <v>45</v>
      </c>
      <c r="E11003" t="s">
        <v>465</v>
      </c>
      <c r="F11003" s="1">
        <v>2</v>
      </c>
      <c r="G11003" s="1" t="s">
        <v>32</v>
      </c>
      <c r="H11003" s="4" t="str">
        <f>HYPERLINK("https://www.ncbi.nlm.nih.gov/geo/query/acc.cgi?acc=GSM183239","GSM183239")</f>
        <v>GSM183239</v>
      </c>
      <c r="I11003" t="s">
        <v>82</v>
      </c>
      <c r="J11003" t="s">
        <v>467</v>
      </c>
      <c r="K11003" t="s">
        <v>33</v>
      </c>
      <c r="L11003" t="s">
        <v>27</v>
      </c>
      <c r="N11003" t="s">
        <v>29</v>
      </c>
    </row>
    <row r="11004" spans="1:14">
      <c r="A11004" s="4" t="str">
        <f t="shared" si="975"/>
        <v>EXP00366</v>
      </c>
      <c r="B11004" s="4" t="str">
        <f t="shared" si="976"/>
        <v>18442402</v>
      </c>
      <c r="C11004" s="4" t="str">
        <f t="shared" si="977"/>
        <v>GSE7553</v>
      </c>
      <c r="D11004" s="1" t="s">
        <v>45</v>
      </c>
      <c r="E11004" t="s">
        <v>465</v>
      </c>
      <c r="F11004" s="1">
        <v>2</v>
      </c>
      <c r="G11004" s="1" t="s">
        <v>32</v>
      </c>
      <c r="H11004" s="4" t="str">
        <f>HYPERLINK("https://www.ncbi.nlm.nih.gov/geo/query/acc.cgi?acc=GSM183240","GSM183240")</f>
        <v>GSM183240</v>
      </c>
      <c r="I11004" t="s">
        <v>82</v>
      </c>
      <c r="J11004" t="s">
        <v>467</v>
      </c>
      <c r="K11004" t="s">
        <v>33</v>
      </c>
      <c r="L11004" t="s">
        <v>27</v>
      </c>
      <c r="N11004" t="s">
        <v>29</v>
      </c>
    </row>
    <row r="11005" spans="1:14">
      <c r="A11005" s="4" t="str">
        <f t="shared" si="975"/>
        <v>EXP00366</v>
      </c>
      <c r="B11005" s="4" t="str">
        <f t="shared" si="976"/>
        <v>18442402</v>
      </c>
      <c r="C11005" s="4" t="str">
        <f t="shared" si="977"/>
        <v>GSE7553</v>
      </c>
      <c r="D11005" s="1" t="s">
        <v>45</v>
      </c>
      <c r="E11005" t="s">
        <v>465</v>
      </c>
      <c r="F11005" s="1">
        <v>2</v>
      </c>
      <c r="G11005" s="1" t="s">
        <v>32</v>
      </c>
      <c r="H11005" s="4" t="str">
        <f>HYPERLINK("https://www.ncbi.nlm.nih.gov/geo/query/acc.cgi?acc=GSM183241","GSM183241")</f>
        <v>GSM183241</v>
      </c>
      <c r="I11005" t="s">
        <v>82</v>
      </c>
      <c r="J11005" t="s">
        <v>466</v>
      </c>
      <c r="K11005" t="s">
        <v>33</v>
      </c>
      <c r="L11005" t="s">
        <v>27</v>
      </c>
      <c r="N11005" t="s">
        <v>29</v>
      </c>
    </row>
    <row r="11006" spans="1:14">
      <c r="A11006" s="4" t="str">
        <f t="shared" si="975"/>
        <v>EXP00366</v>
      </c>
      <c r="B11006" s="4" t="str">
        <f t="shared" si="976"/>
        <v>18442402</v>
      </c>
      <c r="C11006" s="4" t="str">
        <f t="shared" si="977"/>
        <v>GSE7553</v>
      </c>
      <c r="D11006" s="1" t="s">
        <v>45</v>
      </c>
      <c r="E11006" t="s">
        <v>465</v>
      </c>
      <c r="F11006" s="1">
        <v>2</v>
      </c>
      <c r="G11006" s="1" t="s">
        <v>32</v>
      </c>
      <c r="H11006" s="4" t="str">
        <f>HYPERLINK("https://www.ncbi.nlm.nih.gov/geo/query/acc.cgi?acc=GSM183242","GSM183242")</f>
        <v>GSM183242</v>
      </c>
      <c r="I11006" t="s">
        <v>82</v>
      </c>
      <c r="J11006" t="s">
        <v>466</v>
      </c>
      <c r="K11006" t="s">
        <v>33</v>
      </c>
      <c r="L11006" t="s">
        <v>27</v>
      </c>
      <c r="N11006" t="s">
        <v>29</v>
      </c>
    </row>
    <row r="11007" spans="1:14">
      <c r="A11007" s="4" t="str">
        <f t="shared" si="975"/>
        <v>EXP00366</v>
      </c>
      <c r="B11007" s="4" t="str">
        <f t="shared" si="976"/>
        <v>18442402</v>
      </c>
      <c r="C11007" s="4" t="str">
        <f t="shared" si="977"/>
        <v>GSE7553</v>
      </c>
      <c r="D11007" s="1" t="s">
        <v>45</v>
      </c>
      <c r="E11007" t="s">
        <v>465</v>
      </c>
      <c r="F11007" s="1">
        <v>2</v>
      </c>
      <c r="G11007" s="1" t="s">
        <v>32</v>
      </c>
      <c r="H11007" s="4" t="str">
        <f>HYPERLINK("https://www.ncbi.nlm.nih.gov/geo/query/acc.cgi?acc=GSM183243","GSM183243")</f>
        <v>GSM183243</v>
      </c>
      <c r="I11007" t="s">
        <v>82</v>
      </c>
      <c r="J11007" t="s">
        <v>466</v>
      </c>
      <c r="K11007" t="s">
        <v>33</v>
      </c>
      <c r="L11007" t="s">
        <v>27</v>
      </c>
      <c r="N11007" t="s">
        <v>29</v>
      </c>
    </row>
    <row r="11008" spans="1:14">
      <c r="A11008" s="4" t="str">
        <f t="shared" si="975"/>
        <v>EXP00366</v>
      </c>
      <c r="B11008" s="4" t="str">
        <f t="shared" si="976"/>
        <v>18442402</v>
      </c>
      <c r="C11008" s="4" t="str">
        <f t="shared" si="977"/>
        <v>GSE7553</v>
      </c>
      <c r="D11008" s="1" t="s">
        <v>45</v>
      </c>
      <c r="E11008" t="s">
        <v>465</v>
      </c>
      <c r="F11008" s="1">
        <v>2</v>
      </c>
      <c r="G11008" s="1" t="s">
        <v>32</v>
      </c>
      <c r="H11008" s="4" t="str">
        <f>HYPERLINK("https://www.ncbi.nlm.nih.gov/geo/query/acc.cgi?acc=GSM183244","GSM183244")</f>
        <v>GSM183244</v>
      </c>
      <c r="I11008" t="s">
        <v>82</v>
      </c>
      <c r="J11008" t="s">
        <v>466</v>
      </c>
      <c r="K11008" t="s">
        <v>33</v>
      </c>
      <c r="L11008" t="s">
        <v>27</v>
      </c>
      <c r="N11008" t="s">
        <v>29</v>
      </c>
    </row>
    <row r="11009" spans="1:14">
      <c r="A11009" s="4" t="str">
        <f t="shared" si="975"/>
        <v>EXP00366</v>
      </c>
      <c r="B11009" s="4" t="str">
        <f t="shared" si="976"/>
        <v>18442402</v>
      </c>
      <c r="C11009" s="4" t="str">
        <f t="shared" si="977"/>
        <v>GSE7553</v>
      </c>
      <c r="D11009" s="1" t="s">
        <v>45</v>
      </c>
      <c r="E11009" t="s">
        <v>465</v>
      </c>
      <c r="F11009" s="1">
        <v>2</v>
      </c>
      <c r="G11009" s="1" t="s">
        <v>32</v>
      </c>
      <c r="H11009" s="4" t="str">
        <f>HYPERLINK("https://www.ncbi.nlm.nih.gov/geo/query/acc.cgi?acc=GSM183245","GSM183245")</f>
        <v>GSM183245</v>
      </c>
      <c r="I11009" t="s">
        <v>82</v>
      </c>
      <c r="J11009" t="s">
        <v>466</v>
      </c>
      <c r="K11009" t="s">
        <v>33</v>
      </c>
      <c r="L11009" t="s">
        <v>27</v>
      </c>
      <c r="N11009" t="s">
        <v>29</v>
      </c>
    </row>
    <row r="11010" spans="1:14">
      <c r="A11010" s="4" t="str">
        <f t="shared" si="975"/>
        <v>EXP00366</v>
      </c>
      <c r="B11010" s="4" t="str">
        <f t="shared" si="976"/>
        <v>18442402</v>
      </c>
      <c r="C11010" s="4" t="str">
        <f t="shared" si="977"/>
        <v>GSE7553</v>
      </c>
      <c r="D11010" s="1" t="s">
        <v>45</v>
      </c>
      <c r="E11010" t="s">
        <v>465</v>
      </c>
      <c r="F11010" s="1">
        <v>2</v>
      </c>
      <c r="G11010" s="1" t="s">
        <v>32</v>
      </c>
      <c r="H11010" s="4" t="str">
        <f>HYPERLINK("https://www.ncbi.nlm.nih.gov/geo/query/acc.cgi?acc=GSM183246","GSM183246")</f>
        <v>GSM183246</v>
      </c>
      <c r="I11010" t="s">
        <v>82</v>
      </c>
      <c r="J11010" t="s">
        <v>466</v>
      </c>
      <c r="K11010" t="s">
        <v>33</v>
      </c>
      <c r="L11010" t="s">
        <v>27</v>
      </c>
      <c r="N11010" t="s">
        <v>29</v>
      </c>
    </row>
    <row r="11011" spans="1:14">
      <c r="A11011" s="4" t="str">
        <f t="shared" si="975"/>
        <v>EXP00366</v>
      </c>
      <c r="B11011" s="4" t="str">
        <f t="shared" si="976"/>
        <v>18442402</v>
      </c>
      <c r="C11011" s="4" t="str">
        <f t="shared" si="977"/>
        <v>GSE7553</v>
      </c>
      <c r="D11011" s="1" t="s">
        <v>45</v>
      </c>
      <c r="E11011" t="s">
        <v>465</v>
      </c>
      <c r="F11011" s="1">
        <v>2</v>
      </c>
      <c r="G11011" s="1" t="s">
        <v>32</v>
      </c>
      <c r="H11011" s="4" t="str">
        <f>HYPERLINK("https://www.ncbi.nlm.nih.gov/geo/query/acc.cgi?acc=GSM183247","GSM183247")</f>
        <v>GSM183247</v>
      </c>
      <c r="I11011" t="s">
        <v>82</v>
      </c>
      <c r="J11011" t="s">
        <v>466</v>
      </c>
      <c r="K11011" t="s">
        <v>33</v>
      </c>
      <c r="L11011" t="s">
        <v>27</v>
      </c>
      <c r="N11011" t="s">
        <v>29</v>
      </c>
    </row>
    <row r="11012" spans="1:14">
      <c r="A11012" s="4" t="str">
        <f t="shared" si="975"/>
        <v>EXP00366</v>
      </c>
      <c r="B11012" s="4" t="str">
        <f t="shared" si="976"/>
        <v>18442402</v>
      </c>
      <c r="C11012" s="4" t="str">
        <f t="shared" si="977"/>
        <v>GSE7553</v>
      </c>
      <c r="D11012" s="1" t="s">
        <v>45</v>
      </c>
      <c r="E11012" t="s">
        <v>465</v>
      </c>
      <c r="F11012" s="1">
        <v>2</v>
      </c>
      <c r="G11012" s="1" t="s">
        <v>32</v>
      </c>
      <c r="H11012" s="4" t="str">
        <f>HYPERLINK("https://www.ncbi.nlm.nih.gov/geo/query/acc.cgi?acc=GSM183248","GSM183248")</f>
        <v>GSM183248</v>
      </c>
      <c r="I11012" t="s">
        <v>82</v>
      </c>
      <c r="J11012" t="s">
        <v>466</v>
      </c>
      <c r="K11012" t="s">
        <v>33</v>
      </c>
      <c r="L11012" t="s">
        <v>27</v>
      </c>
      <c r="N11012" t="s">
        <v>29</v>
      </c>
    </row>
    <row r="11013" spans="1:14">
      <c r="A11013" s="4" t="str">
        <f t="shared" si="975"/>
        <v>EXP00366</v>
      </c>
      <c r="B11013" s="4" t="str">
        <f t="shared" si="976"/>
        <v>18442402</v>
      </c>
      <c r="C11013" s="4" t="str">
        <f t="shared" si="977"/>
        <v>GSE7553</v>
      </c>
      <c r="D11013" s="1" t="s">
        <v>45</v>
      </c>
      <c r="E11013" t="s">
        <v>465</v>
      </c>
      <c r="F11013" s="1">
        <v>2</v>
      </c>
      <c r="G11013" s="1" t="s">
        <v>32</v>
      </c>
      <c r="H11013" s="4" t="str">
        <f>HYPERLINK("https://www.ncbi.nlm.nih.gov/geo/query/acc.cgi?acc=GSM183249","GSM183249")</f>
        <v>GSM183249</v>
      </c>
      <c r="I11013" t="s">
        <v>82</v>
      </c>
      <c r="J11013" t="s">
        <v>466</v>
      </c>
      <c r="K11013" t="s">
        <v>33</v>
      </c>
      <c r="L11013" t="s">
        <v>27</v>
      </c>
      <c r="N11013" t="s">
        <v>29</v>
      </c>
    </row>
    <row r="11014" spans="1:14">
      <c r="A11014" s="4" t="str">
        <f t="shared" si="975"/>
        <v>EXP00366</v>
      </c>
      <c r="B11014" s="4" t="str">
        <f t="shared" si="976"/>
        <v>18442402</v>
      </c>
      <c r="C11014" s="4" t="str">
        <f t="shared" si="977"/>
        <v>GSE7553</v>
      </c>
      <c r="D11014" s="1" t="s">
        <v>45</v>
      </c>
      <c r="E11014" t="s">
        <v>465</v>
      </c>
      <c r="F11014" s="1">
        <v>2</v>
      </c>
      <c r="G11014" s="1" t="s">
        <v>32</v>
      </c>
      <c r="H11014" s="4" t="str">
        <f>HYPERLINK("https://www.ncbi.nlm.nih.gov/geo/query/acc.cgi?acc=GSM183250","GSM183250")</f>
        <v>GSM183250</v>
      </c>
      <c r="I11014" t="s">
        <v>82</v>
      </c>
      <c r="J11014" t="s">
        <v>466</v>
      </c>
      <c r="K11014" t="s">
        <v>33</v>
      </c>
      <c r="L11014" t="s">
        <v>27</v>
      </c>
      <c r="N11014" t="s">
        <v>29</v>
      </c>
    </row>
    <row r="11015" spans="1:14">
      <c r="A11015" s="4" t="str">
        <f t="shared" si="975"/>
        <v>EXP00366</v>
      </c>
      <c r="B11015" s="4" t="str">
        <f t="shared" si="976"/>
        <v>18442402</v>
      </c>
      <c r="C11015" s="4" t="str">
        <f t="shared" si="977"/>
        <v>GSE7553</v>
      </c>
      <c r="D11015" s="1" t="s">
        <v>45</v>
      </c>
      <c r="E11015" t="s">
        <v>465</v>
      </c>
      <c r="F11015" s="1">
        <v>2</v>
      </c>
      <c r="G11015" s="1" t="s">
        <v>32</v>
      </c>
      <c r="H11015" s="4" t="str">
        <f>HYPERLINK("https://www.ncbi.nlm.nih.gov/geo/query/acc.cgi?acc=GSM183251","GSM183251")</f>
        <v>GSM183251</v>
      </c>
      <c r="I11015" t="s">
        <v>82</v>
      </c>
      <c r="J11015" t="s">
        <v>466</v>
      </c>
      <c r="K11015" t="s">
        <v>33</v>
      </c>
      <c r="L11015" t="s">
        <v>27</v>
      </c>
      <c r="N11015" t="s">
        <v>29</v>
      </c>
    </row>
    <row r="11016" spans="1:14">
      <c r="A11016" s="4" t="str">
        <f t="shared" si="975"/>
        <v>EXP00366</v>
      </c>
      <c r="B11016" s="4" t="str">
        <f t="shared" si="976"/>
        <v>18442402</v>
      </c>
      <c r="C11016" s="4" t="str">
        <f t="shared" si="977"/>
        <v>GSE7553</v>
      </c>
      <c r="D11016" s="1" t="s">
        <v>45</v>
      </c>
      <c r="E11016" t="s">
        <v>465</v>
      </c>
      <c r="F11016" s="1">
        <v>2</v>
      </c>
      <c r="G11016" s="1" t="s">
        <v>32</v>
      </c>
      <c r="H11016" s="4" t="str">
        <f>HYPERLINK("https://www.ncbi.nlm.nih.gov/geo/query/acc.cgi?acc=GSM183267","GSM183267")</f>
        <v>GSM183267</v>
      </c>
      <c r="I11016" t="s">
        <v>82</v>
      </c>
      <c r="J11016" t="s">
        <v>467</v>
      </c>
      <c r="K11016" t="s">
        <v>33</v>
      </c>
      <c r="L11016" t="s">
        <v>27</v>
      </c>
      <c r="N11016" t="s">
        <v>29</v>
      </c>
    </row>
    <row r="11017" spans="1:14">
      <c r="A11017" s="4" t="str">
        <f t="shared" si="975"/>
        <v>EXP00366</v>
      </c>
      <c r="B11017" s="4" t="str">
        <f t="shared" si="976"/>
        <v>18442402</v>
      </c>
      <c r="C11017" s="4" t="str">
        <f t="shared" si="977"/>
        <v>GSE7553</v>
      </c>
      <c r="D11017" s="1" t="s">
        <v>45</v>
      </c>
      <c r="E11017" t="s">
        <v>465</v>
      </c>
      <c r="F11017" s="1">
        <v>2</v>
      </c>
      <c r="G11017" s="1" t="s">
        <v>32</v>
      </c>
      <c r="H11017" s="4" t="str">
        <f>HYPERLINK("https://www.ncbi.nlm.nih.gov/geo/query/acc.cgi?acc=GSM183268","GSM183268")</f>
        <v>GSM183268</v>
      </c>
      <c r="I11017" t="s">
        <v>82</v>
      </c>
      <c r="J11017" t="s">
        <v>467</v>
      </c>
      <c r="K11017" t="s">
        <v>33</v>
      </c>
      <c r="L11017" t="s">
        <v>27</v>
      </c>
      <c r="N11017" t="s">
        <v>29</v>
      </c>
    </row>
    <row r="11018" spans="1:14">
      <c r="A11018" s="4" t="str">
        <f t="shared" si="975"/>
        <v>EXP00366</v>
      </c>
      <c r="B11018" s="4" t="str">
        <f t="shared" si="976"/>
        <v>18442402</v>
      </c>
      <c r="C11018" s="4" t="str">
        <f t="shared" si="977"/>
        <v>GSE7553</v>
      </c>
      <c r="D11018" s="1" t="s">
        <v>45</v>
      </c>
      <c r="E11018" t="s">
        <v>465</v>
      </c>
      <c r="F11018" s="1">
        <v>2</v>
      </c>
      <c r="G11018" s="1" t="s">
        <v>32</v>
      </c>
      <c r="H11018" s="4" t="str">
        <f>HYPERLINK("https://www.ncbi.nlm.nih.gov/geo/query/acc.cgi?acc=GSM183269","GSM183269")</f>
        <v>GSM183269</v>
      </c>
      <c r="I11018" t="s">
        <v>82</v>
      </c>
      <c r="J11018" t="s">
        <v>467</v>
      </c>
      <c r="K11018" t="s">
        <v>33</v>
      </c>
      <c r="L11018" t="s">
        <v>27</v>
      </c>
      <c r="N11018" t="s">
        <v>29</v>
      </c>
    </row>
    <row r="11019" spans="1:14">
      <c r="A11019" s="4" t="str">
        <f t="shared" si="975"/>
        <v>EXP00366</v>
      </c>
      <c r="B11019" s="4" t="str">
        <f t="shared" si="976"/>
        <v>18442402</v>
      </c>
      <c r="C11019" s="4" t="str">
        <f t="shared" si="977"/>
        <v>GSE7553</v>
      </c>
      <c r="D11019" s="1" t="s">
        <v>45</v>
      </c>
      <c r="E11019" t="s">
        <v>465</v>
      </c>
      <c r="F11019" s="1">
        <v>2</v>
      </c>
      <c r="G11019" s="1" t="s">
        <v>32</v>
      </c>
      <c r="H11019" s="4" t="str">
        <f>HYPERLINK("https://www.ncbi.nlm.nih.gov/geo/query/acc.cgi?acc=GSM183270","GSM183270")</f>
        <v>GSM183270</v>
      </c>
      <c r="I11019" t="s">
        <v>82</v>
      </c>
      <c r="J11019" t="s">
        <v>467</v>
      </c>
      <c r="K11019" t="s">
        <v>33</v>
      </c>
      <c r="L11019" t="s">
        <v>27</v>
      </c>
      <c r="N11019" t="s">
        <v>29</v>
      </c>
    </row>
    <row r="11020" spans="1:14">
      <c r="A11020" s="4" t="str">
        <f t="shared" si="975"/>
        <v>EXP00366</v>
      </c>
      <c r="B11020" s="4" t="str">
        <f t="shared" ref="B11020:B11051" si="978">HYPERLINK("https://www.ncbi.nlm.nih.gov/pubmed/18442402","18442402")</f>
        <v>18442402</v>
      </c>
      <c r="C11020" s="4" t="str">
        <f t="shared" ref="C11020:C11051" si="979">HYPERLINK("https://www.ncbi.nlm.nih.gov/geo/query/acc.cgi?acc=GSE7553","GSE7553")</f>
        <v>GSE7553</v>
      </c>
      <c r="D11020" s="1" t="s">
        <v>45</v>
      </c>
      <c r="E11020" t="s">
        <v>465</v>
      </c>
      <c r="F11020" s="1">
        <v>2</v>
      </c>
      <c r="G11020" s="1" t="s">
        <v>32</v>
      </c>
      <c r="H11020" s="4" t="str">
        <f>HYPERLINK("https://www.ncbi.nlm.nih.gov/geo/query/acc.cgi?acc=GSM183271","GSM183271")</f>
        <v>GSM183271</v>
      </c>
      <c r="I11020" t="s">
        <v>82</v>
      </c>
      <c r="J11020" t="s">
        <v>467</v>
      </c>
      <c r="K11020" t="s">
        <v>33</v>
      </c>
      <c r="L11020" t="s">
        <v>27</v>
      </c>
      <c r="N11020" t="s">
        <v>29</v>
      </c>
    </row>
    <row r="11021" spans="1:14">
      <c r="A11021" s="4" t="str">
        <f t="shared" si="975"/>
        <v>EXP00366</v>
      </c>
      <c r="B11021" s="4" t="str">
        <f t="shared" si="978"/>
        <v>18442402</v>
      </c>
      <c r="C11021" s="4" t="str">
        <f t="shared" si="979"/>
        <v>GSE7553</v>
      </c>
      <c r="D11021" s="1" t="s">
        <v>45</v>
      </c>
      <c r="E11021" t="s">
        <v>465</v>
      </c>
      <c r="F11021" s="1">
        <v>2</v>
      </c>
      <c r="G11021" s="1" t="s">
        <v>32</v>
      </c>
      <c r="H11021" s="4" t="str">
        <f>HYPERLINK("https://www.ncbi.nlm.nih.gov/geo/query/acc.cgi?acc=GSM183272","GSM183272")</f>
        <v>GSM183272</v>
      </c>
      <c r="I11021" t="s">
        <v>82</v>
      </c>
      <c r="J11021" t="s">
        <v>467</v>
      </c>
      <c r="K11021" t="s">
        <v>33</v>
      </c>
      <c r="L11021" t="s">
        <v>27</v>
      </c>
      <c r="N11021" t="s">
        <v>29</v>
      </c>
    </row>
    <row r="11022" spans="1:14">
      <c r="A11022" s="4" t="str">
        <f t="shared" ref="A11022:A11051" si="980">HYPERLINK("http://hcmdb.i-sanger.com/experiment/details/experiment_id/EXP00367","EXP00367")</f>
        <v>EXP00367</v>
      </c>
      <c r="B11022" s="4" t="str">
        <f t="shared" si="978"/>
        <v>18442402</v>
      </c>
      <c r="C11022" s="4" t="str">
        <f t="shared" si="979"/>
        <v>GSE7553</v>
      </c>
      <c r="D11022" s="1" t="s">
        <v>45</v>
      </c>
      <c r="E11022" t="s">
        <v>468</v>
      </c>
      <c r="F11022" s="1">
        <v>1</v>
      </c>
      <c r="G11022" s="1" t="s">
        <v>36</v>
      </c>
      <c r="H11022" s="4" t="str">
        <f>HYPERLINK("https://www.ncbi.nlm.nih.gov/geo/query/acc.cgi?acc=GSM183234","GSM183234")</f>
        <v>GSM183234</v>
      </c>
      <c r="I11022" t="s">
        <v>82</v>
      </c>
      <c r="J11022" t="s">
        <v>83</v>
      </c>
      <c r="K11022" t="s">
        <v>33</v>
      </c>
      <c r="L11022" t="s">
        <v>27</v>
      </c>
      <c r="N11022" t="s">
        <v>37</v>
      </c>
    </row>
    <row r="11023" spans="1:14">
      <c r="A11023" s="4" t="str">
        <f t="shared" si="980"/>
        <v>EXP00367</v>
      </c>
      <c r="B11023" s="4" t="str">
        <f t="shared" si="978"/>
        <v>18442402</v>
      </c>
      <c r="C11023" s="4" t="str">
        <f t="shared" si="979"/>
        <v>GSE7553</v>
      </c>
      <c r="D11023" s="1" t="s">
        <v>45</v>
      </c>
      <c r="E11023" t="s">
        <v>468</v>
      </c>
      <c r="F11023" s="1">
        <v>1</v>
      </c>
      <c r="G11023" s="1" t="s">
        <v>36</v>
      </c>
      <c r="H11023" s="4" t="str">
        <f>HYPERLINK("https://www.ncbi.nlm.nih.gov/geo/query/acc.cgi?acc=GSM183300","GSM183300")</f>
        <v>GSM183300</v>
      </c>
      <c r="I11023" t="s">
        <v>82</v>
      </c>
      <c r="J11023" t="s">
        <v>83</v>
      </c>
      <c r="K11023" t="s">
        <v>33</v>
      </c>
      <c r="L11023" t="s">
        <v>27</v>
      </c>
      <c r="N11023" t="s">
        <v>37</v>
      </c>
    </row>
    <row r="11024" spans="1:14">
      <c r="A11024" s="4" t="str">
        <f t="shared" si="980"/>
        <v>EXP00367</v>
      </c>
      <c r="B11024" s="4" t="str">
        <f t="shared" si="978"/>
        <v>18442402</v>
      </c>
      <c r="C11024" s="4" t="str">
        <f t="shared" si="979"/>
        <v>GSE7553</v>
      </c>
      <c r="D11024" s="1" t="s">
        <v>45</v>
      </c>
      <c r="E11024" t="s">
        <v>468</v>
      </c>
      <c r="F11024" s="1">
        <v>1</v>
      </c>
      <c r="G11024" s="1" t="s">
        <v>36</v>
      </c>
      <c r="H11024" s="4" t="str">
        <f>HYPERLINK("https://www.ncbi.nlm.nih.gov/geo/query/acc.cgi?acc=GSM183301","GSM183301")</f>
        <v>GSM183301</v>
      </c>
      <c r="I11024" t="s">
        <v>82</v>
      </c>
      <c r="J11024" t="s">
        <v>83</v>
      </c>
      <c r="K11024" t="s">
        <v>33</v>
      </c>
      <c r="L11024" t="s">
        <v>27</v>
      </c>
      <c r="N11024" t="s">
        <v>37</v>
      </c>
    </row>
    <row r="11025" spans="1:14">
      <c r="A11025" s="4" t="str">
        <f t="shared" si="980"/>
        <v>EXP00367</v>
      </c>
      <c r="B11025" s="4" t="str">
        <f t="shared" si="978"/>
        <v>18442402</v>
      </c>
      <c r="C11025" s="4" t="str">
        <f t="shared" si="979"/>
        <v>GSE7553</v>
      </c>
      <c r="D11025" s="1" t="s">
        <v>45</v>
      </c>
      <c r="E11025" t="s">
        <v>468</v>
      </c>
      <c r="F11025" s="1">
        <v>1</v>
      </c>
      <c r="G11025" s="1" t="s">
        <v>36</v>
      </c>
      <c r="H11025" s="4" t="str">
        <f>HYPERLINK("https://www.ncbi.nlm.nih.gov/geo/query/acc.cgi?acc=GSM183302","GSM183302")</f>
        <v>GSM183302</v>
      </c>
      <c r="I11025" t="s">
        <v>82</v>
      </c>
      <c r="J11025" t="s">
        <v>83</v>
      </c>
      <c r="K11025" t="s">
        <v>33</v>
      </c>
      <c r="L11025" t="s">
        <v>27</v>
      </c>
      <c r="N11025" t="s">
        <v>37</v>
      </c>
    </row>
    <row r="11026" spans="1:14">
      <c r="A11026" s="4" t="str">
        <f t="shared" si="980"/>
        <v>EXP00367</v>
      </c>
      <c r="B11026" s="4" t="str">
        <f t="shared" si="978"/>
        <v>18442402</v>
      </c>
      <c r="C11026" s="4" t="str">
        <f t="shared" si="979"/>
        <v>GSE7553</v>
      </c>
      <c r="D11026" s="1" t="s">
        <v>45</v>
      </c>
      <c r="E11026" t="s">
        <v>468</v>
      </c>
      <c r="F11026" s="1">
        <v>2</v>
      </c>
      <c r="G11026" s="1" t="s">
        <v>28</v>
      </c>
      <c r="H11026" s="4" t="str">
        <f>HYPERLINK("https://www.ncbi.nlm.nih.gov/geo/query/acc.cgi?acc=GSM183218","GSM183218")</f>
        <v>GSM183218</v>
      </c>
      <c r="I11026" t="s">
        <v>82</v>
      </c>
      <c r="J11026" t="s">
        <v>466</v>
      </c>
      <c r="K11026" t="s">
        <v>33</v>
      </c>
      <c r="L11026" t="s">
        <v>27</v>
      </c>
      <c r="N11026" t="s">
        <v>29</v>
      </c>
    </row>
    <row r="11027" spans="1:14">
      <c r="A11027" s="4" t="str">
        <f t="shared" si="980"/>
        <v>EXP00367</v>
      </c>
      <c r="B11027" s="4" t="str">
        <f t="shared" si="978"/>
        <v>18442402</v>
      </c>
      <c r="C11027" s="4" t="str">
        <f t="shared" si="979"/>
        <v>GSE7553</v>
      </c>
      <c r="D11027" s="1" t="s">
        <v>45</v>
      </c>
      <c r="E11027" t="s">
        <v>468</v>
      </c>
      <c r="F11027" s="1">
        <v>2</v>
      </c>
      <c r="G11027" s="1" t="s">
        <v>28</v>
      </c>
      <c r="H11027" s="4" t="str">
        <f>HYPERLINK("https://www.ncbi.nlm.nih.gov/geo/query/acc.cgi?acc=GSM183219","GSM183219")</f>
        <v>GSM183219</v>
      </c>
      <c r="I11027" t="s">
        <v>82</v>
      </c>
      <c r="J11027" t="s">
        <v>466</v>
      </c>
      <c r="K11027" t="s">
        <v>33</v>
      </c>
      <c r="L11027" t="s">
        <v>27</v>
      </c>
      <c r="N11027" t="s">
        <v>29</v>
      </c>
    </row>
    <row r="11028" spans="1:14">
      <c r="A11028" s="4" t="str">
        <f t="shared" si="980"/>
        <v>EXP00367</v>
      </c>
      <c r="B11028" s="4" t="str">
        <f t="shared" si="978"/>
        <v>18442402</v>
      </c>
      <c r="C11028" s="4" t="str">
        <f t="shared" si="979"/>
        <v>GSE7553</v>
      </c>
      <c r="D11028" s="1" t="s">
        <v>45</v>
      </c>
      <c r="E11028" t="s">
        <v>468</v>
      </c>
      <c r="F11028" s="1">
        <v>2</v>
      </c>
      <c r="G11028" s="1" t="s">
        <v>28</v>
      </c>
      <c r="H11028" s="4" t="str">
        <f>HYPERLINK("https://www.ncbi.nlm.nih.gov/geo/query/acc.cgi?acc=GSM183220","GSM183220")</f>
        <v>GSM183220</v>
      </c>
      <c r="I11028" t="s">
        <v>82</v>
      </c>
      <c r="J11028" t="s">
        <v>466</v>
      </c>
      <c r="K11028" t="s">
        <v>33</v>
      </c>
      <c r="L11028" t="s">
        <v>27</v>
      </c>
      <c r="N11028" t="s">
        <v>29</v>
      </c>
    </row>
    <row r="11029" spans="1:14">
      <c r="A11029" s="4" t="str">
        <f t="shared" si="980"/>
        <v>EXP00367</v>
      </c>
      <c r="B11029" s="4" t="str">
        <f t="shared" si="978"/>
        <v>18442402</v>
      </c>
      <c r="C11029" s="4" t="str">
        <f t="shared" si="979"/>
        <v>GSE7553</v>
      </c>
      <c r="D11029" s="1" t="s">
        <v>45</v>
      </c>
      <c r="E11029" t="s">
        <v>468</v>
      </c>
      <c r="F11029" s="1">
        <v>2</v>
      </c>
      <c r="G11029" s="1" t="s">
        <v>28</v>
      </c>
      <c r="H11029" s="4" t="str">
        <f>HYPERLINK("https://www.ncbi.nlm.nih.gov/geo/query/acc.cgi?acc=GSM183221","GSM183221")</f>
        <v>GSM183221</v>
      </c>
      <c r="I11029" t="s">
        <v>82</v>
      </c>
      <c r="J11029" t="s">
        <v>466</v>
      </c>
      <c r="K11029" t="s">
        <v>33</v>
      </c>
      <c r="L11029" t="s">
        <v>27</v>
      </c>
      <c r="N11029" t="s">
        <v>29</v>
      </c>
    </row>
    <row r="11030" spans="1:14">
      <c r="A11030" s="4" t="str">
        <f t="shared" si="980"/>
        <v>EXP00367</v>
      </c>
      <c r="B11030" s="4" t="str">
        <f t="shared" si="978"/>
        <v>18442402</v>
      </c>
      <c r="C11030" s="4" t="str">
        <f t="shared" si="979"/>
        <v>GSE7553</v>
      </c>
      <c r="D11030" s="1" t="s">
        <v>45</v>
      </c>
      <c r="E11030" t="s">
        <v>468</v>
      </c>
      <c r="F11030" s="1">
        <v>2</v>
      </c>
      <c r="G11030" s="1" t="s">
        <v>28</v>
      </c>
      <c r="H11030" s="4" t="str">
        <f>HYPERLINK("https://www.ncbi.nlm.nih.gov/geo/query/acc.cgi?acc=GSM183236","GSM183236")</f>
        <v>GSM183236</v>
      </c>
      <c r="I11030" t="s">
        <v>82</v>
      </c>
      <c r="J11030" t="s">
        <v>467</v>
      </c>
      <c r="K11030" t="s">
        <v>33</v>
      </c>
      <c r="L11030" t="s">
        <v>27</v>
      </c>
      <c r="N11030" t="s">
        <v>29</v>
      </c>
    </row>
    <row r="11031" spans="1:14">
      <c r="A11031" s="4" t="str">
        <f t="shared" si="980"/>
        <v>EXP00367</v>
      </c>
      <c r="B11031" s="4" t="str">
        <f t="shared" si="978"/>
        <v>18442402</v>
      </c>
      <c r="C11031" s="4" t="str">
        <f t="shared" si="979"/>
        <v>GSE7553</v>
      </c>
      <c r="D11031" s="1" t="s">
        <v>45</v>
      </c>
      <c r="E11031" t="s">
        <v>468</v>
      </c>
      <c r="F11031" s="1">
        <v>2</v>
      </c>
      <c r="G11031" s="1" t="s">
        <v>28</v>
      </c>
      <c r="H11031" s="4" t="str">
        <f>HYPERLINK("https://www.ncbi.nlm.nih.gov/geo/query/acc.cgi?acc=GSM183237","GSM183237")</f>
        <v>GSM183237</v>
      </c>
      <c r="I11031" t="s">
        <v>82</v>
      </c>
      <c r="J11031" t="s">
        <v>467</v>
      </c>
      <c r="K11031" t="s">
        <v>33</v>
      </c>
      <c r="L11031" t="s">
        <v>27</v>
      </c>
      <c r="N11031" t="s">
        <v>29</v>
      </c>
    </row>
    <row r="11032" spans="1:14">
      <c r="A11032" s="4" t="str">
        <f t="shared" si="980"/>
        <v>EXP00367</v>
      </c>
      <c r="B11032" s="4" t="str">
        <f t="shared" si="978"/>
        <v>18442402</v>
      </c>
      <c r="C11032" s="4" t="str">
        <f t="shared" si="979"/>
        <v>GSE7553</v>
      </c>
      <c r="D11032" s="1" t="s">
        <v>45</v>
      </c>
      <c r="E11032" t="s">
        <v>468</v>
      </c>
      <c r="F11032" s="1">
        <v>2</v>
      </c>
      <c r="G11032" s="1" t="s">
        <v>28</v>
      </c>
      <c r="H11032" s="4" t="str">
        <f>HYPERLINK("https://www.ncbi.nlm.nih.gov/geo/query/acc.cgi?acc=GSM183238","GSM183238")</f>
        <v>GSM183238</v>
      </c>
      <c r="I11032" t="s">
        <v>82</v>
      </c>
      <c r="J11032" t="s">
        <v>467</v>
      </c>
      <c r="K11032" t="s">
        <v>33</v>
      </c>
      <c r="L11032" t="s">
        <v>27</v>
      </c>
      <c r="N11032" t="s">
        <v>29</v>
      </c>
    </row>
    <row r="11033" spans="1:14">
      <c r="A11033" s="4" t="str">
        <f t="shared" si="980"/>
        <v>EXP00367</v>
      </c>
      <c r="B11033" s="4" t="str">
        <f t="shared" si="978"/>
        <v>18442402</v>
      </c>
      <c r="C11033" s="4" t="str">
        <f t="shared" si="979"/>
        <v>GSE7553</v>
      </c>
      <c r="D11033" s="1" t="s">
        <v>45</v>
      </c>
      <c r="E11033" t="s">
        <v>468</v>
      </c>
      <c r="F11033" s="1">
        <v>2</v>
      </c>
      <c r="G11033" s="1" t="s">
        <v>28</v>
      </c>
      <c r="H11033" s="4" t="str">
        <f>HYPERLINK("https://www.ncbi.nlm.nih.gov/geo/query/acc.cgi?acc=GSM183239","GSM183239")</f>
        <v>GSM183239</v>
      </c>
      <c r="I11033" t="s">
        <v>82</v>
      </c>
      <c r="J11033" t="s">
        <v>467</v>
      </c>
      <c r="K11033" t="s">
        <v>33</v>
      </c>
      <c r="L11033" t="s">
        <v>27</v>
      </c>
      <c r="N11033" t="s">
        <v>29</v>
      </c>
    </row>
    <row r="11034" spans="1:14">
      <c r="A11034" s="4" t="str">
        <f t="shared" si="980"/>
        <v>EXP00367</v>
      </c>
      <c r="B11034" s="4" t="str">
        <f t="shared" si="978"/>
        <v>18442402</v>
      </c>
      <c r="C11034" s="4" t="str">
        <f t="shared" si="979"/>
        <v>GSE7553</v>
      </c>
      <c r="D11034" s="1" t="s">
        <v>45</v>
      </c>
      <c r="E11034" t="s">
        <v>468</v>
      </c>
      <c r="F11034" s="1">
        <v>2</v>
      </c>
      <c r="G11034" s="1" t="s">
        <v>28</v>
      </c>
      <c r="H11034" s="4" t="str">
        <f>HYPERLINK("https://www.ncbi.nlm.nih.gov/geo/query/acc.cgi?acc=GSM183240","GSM183240")</f>
        <v>GSM183240</v>
      </c>
      <c r="I11034" t="s">
        <v>82</v>
      </c>
      <c r="J11034" t="s">
        <v>467</v>
      </c>
      <c r="K11034" t="s">
        <v>33</v>
      </c>
      <c r="L11034" t="s">
        <v>27</v>
      </c>
      <c r="N11034" t="s">
        <v>29</v>
      </c>
    </row>
    <row r="11035" spans="1:14">
      <c r="A11035" s="4" t="str">
        <f t="shared" si="980"/>
        <v>EXP00367</v>
      </c>
      <c r="B11035" s="4" t="str">
        <f t="shared" si="978"/>
        <v>18442402</v>
      </c>
      <c r="C11035" s="4" t="str">
        <f t="shared" si="979"/>
        <v>GSE7553</v>
      </c>
      <c r="D11035" s="1" t="s">
        <v>45</v>
      </c>
      <c r="E11035" t="s">
        <v>468</v>
      </c>
      <c r="F11035" s="1">
        <v>2</v>
      </c>
      <c r="G11035" s="1" t="s">
        <v>28</v>
      </c>
      <c r="H11035" s="4" t="str">
        <f>HYPERLINK("https://www.ncbi.nlm.nih.gov/geo/query/acc.cgi?acc=GSM183241","GSM183241")</f>
        <v>GSM183241</v>
      </c>
      <c r="I11035" t="s">
        <v>82</v>
      </c>
      <c r="J11035" t="s">
        <v>466</v>
      </c>
      <c r="K11035" t="s">
        <v>33</v>
      </c>
      <c r="L11035" t="s">
        <v>27</v>
      </c>
      <c r="N11035" t="s">
        <v>29</v>
      </c>
    </row>
    <row r="11036" spans="1:14">
      <c r="A11036" s="4" t="str">
        <f t="shared" si="980"/>
        <v>EXP00367</v>
      </c>
      <c r="B11036" s="4" t="str">
        <f t="shared" si="978"/>
        <v>18442402</v>
      </c>
      <c r="C11036" s="4" t="str">
        <f t="shared" si="979"/>
        <v>GSE7553</v>
      </c>
      <c r="D11036" s="1" t="s">
        <v>45</v>
      </c>
      <c r="E11036" t="s">
        <v>468</v>
      </c>
      <c r="F11036" s="1">
        <v>2</v>
      </c>
      <c r="G11036" s="1" t="s">
        <v>28</v>
      </c>
      <c r="H11036" s="4" t="str">
        <f>HYPERLINK("https://www.ncbi.nlm.nih.gov/geo/query/acc.cgi?acc=GSM183242","GSM183242")</f>
        <v>GSM183242</v>
      </c>
      <c r="I11036" t="s">
        <v>82</v>
      </c>
      <c r="J11036" t="s">
        <v>466</v>
      </c>
      <c r="K11036" t="s">
        <v>33</v>
      </c>
      <c r="L11036" t="s">
        <v>27</v>
      </c>
      <c r="N11036" t="s">
        <v>29</v>
      </c>
    </row>
    <row r="11037" spans="1:14">
      <c r="A11037" s="4" t="str">
        <f t="shared" si="980"/>
        <v>EXP00367</v>
      </c>
      <c r="B11037" s="4" t="str">
        <f t="shared" si="978"/>
        <v>18442402</v>
      </c>
      <c r="C11037" s="4" t="str">
        <f t="shared" si="979"/>
        <v>GSE7553</v>
      </c>
      <c r="D11037" s="1" t="s">
        <v>45</v>
      </c>
      <c r="E11037" t="s">
        <v>468</v>
      </c>
      <c r="F11037" s="1">
        <v>2</v>
      </c>
      <c r="G11037" s="1" t="s">
        <v>28</v>
      </c>
      <c r="H11037" s="4" t="str">
        <f>HYPERLINK("https://www.ncbi.nlm.nih.gov/geo/query/acc.cgi?acc=GSM183243","GSM183243")</f>
        <v>GSM183243</v>
      </c>
      <c r="I11037" t="s">
        <v>82</v>
      </c>
      <c r="J11037" t="s">
        <v>466</v>
      </c>
      <c r="K11037" t="s">
        <v>33</v>
      </c>
      <c r="L11037" t="s">
        <v>27</v>
      </c>
      <c r="N11037" t="s">
        <v>29</v>
      </c>
    </row>
    <row r="11038" spans="1:14">
      <c r="A11038" s="4" t="str">
        <f t="shared" si="980"/>
        <v>EXP00367</v>
      </c>
      <c r="B11038" s="4" t="str">
        <f t="shared" si="978"/>
        <v>18442402</v>
      </c>
      <c r="C11038" s="4" t="str">
        <f t="shared" si="979"/>
        <v>GSE7553</v>
      </c>
      <c r="D11038" s="1" t="s">
        <v>45</v>
      </c>
      <c r="E11038" t="s">
        <v>468</v>
      </c>
      <c r="F11038" s="1">
        <v>2</v>
      </c>
      <c r="G11038" s="1" t="s">
        <v>28</v>
      </c>
      <c r="H11038" s="4" t="str">
        <f>HYPERLINK("https://www.ncbi.nlm.nih.gov/geo/query/acc.cgi?acc=GSM183244","GSM183244")</f>
        <v>GSM183244</v>
      </c>
      <c r="I11038" t="s">
        <v>82</v>
      </c>
      <c r="J11038" t="s">
        <v>466</v>
      </c>
      <c r="K11038" t="s">
        <v>33</v>
      </c>
      <c r="L11038" t="s">
        <v>27</v>
      </c>
      <c r="N11038" t="s">
        <v>29</v>
      </c>
    </row>
    <row r="11039" spans="1:14">
      <c r="A11039" s="4" t="str">
        <f t="shared" si="980"/>
        <v>EXP00367</v>
      </c>
      <c r="B11039" s="4" t="str">
        <f t="shared" si="978"/>
        <v>18442402</v>
      </c>
      <c r="C11039" s="4" t="str">
        <f t="shared" si="979"/>
        <v>GSE7553</v>
      </c>
      <c r="D11039" s="1" t="s">
        <v>45</v>
      </c>
      <c r="E11039" t="s">
        <v>468</v>
      </c>
      <c r="F11039" s="1">
        <v>2</v>
      </c>
      <c r="G11039" s="1" t="s">
        <v>28</v>
      </c>
      <c r="H11039" s="4" t="str">
        <f>HYPERLINK("https://www.ncbi.nlm.nih.gov/geo/query/acc.cgi?acc=GSM183245","GSM183245")</f>
        <v>GSM183245</v>
      </c>
      <c r="I11039" t="s">
        <v>82</v>
      </c>
      <c r="J11039" t="s">
        <v>466</v>
      </c>
      <c r="K11039" t="s">
        <v>33</v>
      </c>
      <c r="L11039" t="s">
        <v>27</v>
      </c>
      <c r="N11039" t="s">
        <v>29</v>
      </c>
    </row>
    <row r="11040" spans="1:14">
      <c r="A11040" s="4" t="str">
        <f t="shared" si="980"/>
        <v>EXP00367</v>
      </c>
      <c r="B11040" s="4" t="str">
        <f t="shared" si="978"/>
        <v>18442402</v>
      </c>
      <c r="C11040" s="4" t="str">
        <f t="shared" si="979"/>
        <v>GSE7553</v>
      </c>
      <c r="D11040" s="1" t="s">
        <v>45</v>
      </c>
      <c r="E11040" t="s">
        <v>468</v>
      </c>
      <c r="F11040" s="1">
        <v>2</v>
      </c>
      <c r="G11040" s="1" t="s">
        <v>28</v>
      </c>
      <c r="H11040" s="4" t="str">
        <f>HYPERLINK("https://www.ncbi.nlm.nih.gov/geo/query/acc.cgi?acc=GSM183246","GSM183246")</f>
        <v>GSM183246</v>
      </c>
      <c r="I11040" t="s">
        <v>82</v>
      </c>
      <c r="J11040" t="s">
        <v>466</v>
      </c>
      <c r="K11040" t="s">
        <v>33</v>
      </c>
      <c r="L11040" t="s">
        <v>27</v>
      </c>
      <c r="N11040" t="s">
        <v>29</v>
      </c>
    </row>
    <row r="11041" spans="1:14">
      <c r="A11041" s="4" t="str">
        <f t="shared" si="980"/>
        <v>EXP00367</v>
      </c>
      <c r="B11041" s="4" t="str">
        <f t="shared" si="978"/>
        <v>18442402</v>
      </c>
      <c r="C11041" s="4" t="str">
        <f t="shared" si="979"/>
        <v>GSE7553</v>
      </c>
      <c r="D11041" s="1" t="s">
        <v>45</v>
      </c>
      <c r="E11041" t="s">
        <v>468</v>
      </c>
      <c r="F11041" s="1">
        <v>2</v>
      </c>
      <c r="G11041" s="1" t="s">
        <v>28</v>
      </c>
      <c r="H11041" s="4" t="str">
        <f>HYPERLINK("https://www.ncbi.nlm.nih.gov/geo/query/acc.cgi?acc=GSM183247","GSM183247")</f>
        <v>GSM183247</v>
      </c>
      <c r="I11041" t="s">
        <v>82</v>
      </c>
      <c r="J11041" t="s">
        <v>466</v>
      </c>
      <c r="K11041" t="s">
        <v>33</v>
      </c>
      <c r="L11041" t="s">
        <v>27</v>
      </c>
      <c r="N11041" t="s">
        <v>29</v>
      </c>
    </row>
    <row r="11042" spans="1:14">
      <c r="A11042" s="4" t="str">
        <f t="shared" si="980"/>
        <v>EXP00367</v>
      </c>
      <c r="B11042" s="4" t="str">
        <f t="shared" si="978"/>
        <v>18442402</v>
      </c>
      <c r="C11042" s="4" t="str">
        <f t="shared" si="979"/>
        <v>GSE7553</v>
      </c>
      <c r="D11042" s="1" t="s">
        <v>45</v>
      </c>
      <c r="E11042" t="s">
        <v>468</v>
      </c>
      <c r="F11042" s="1">
        <v>2</v>
      </c>
      <c r="G11042" s="1" t="s">
        <v>28</v>
      </c>
      <c r="H11042" s="4" t="str">
        <f>HYPERLINK("https://www.ncbi.nlm.nih.gov/geo/query/acc.cgi?acc=GSM183248","GSM183248")</f>
        <v>GSM183248</v>
      </c>
      <c r="I11042" t="s">
        <v>82</v>
      </c>
      <c r="J11042" t="s">
        <v>466</v>
      </c>
      <c r="K11042" t="s">
        <v>33</v>
      </c>
      <c r="L11042" t="s">
        <v>27</v>
      </c>
      <c r="N11042" t="s">
        <v>29</v>
      </c>
    </row>
    <row r="11043" spans="1:14">
      <c r="A11043" s="4" t="str">
        <f t="shared" si="980"/>
        <v>EXP00367</v>
      </c>
      <c r="B11043" s="4" t="str">
        <f t="shared" si="978"/>
        <v>18442402</v>
      </c>
      <c r="C11043" s="4" t="str">
        <f t="shared" si="979"/>
        <v>GSE7553</v>
      </c>
      <c r="D11043" s="1" t="s">
        <v>45</v>
      </c>
      <c r="E11043" t="s">
        <v>468</v>
      </c>
      <c r="F11043" s="1">
        <v>2</v>
      </c>
      <c r="G11043" s="1" t="s">
        <v>28</v>
      </c>
      <c r="H11043" s="4" t="str">
        <f>HYPERLINK("https://www.ncbi.nlm.nih.gov/geo/query/acc.cgi?acc=GSM183249","GSM183249")</f>
        <v>GSM183249</v>
      </c>
      <c r="I11043" t="s">
        <v>82</v>
      </c>
      <c r="J11043" t="s">
        <v>466</v>
      </c>
      <c r="K11043" t="s">
        <v>33</v>
      </c>
      <c r="L11043" t="s">
        <v>27</v>
      </c>
      <c r="N11043" t="s">
        <v>29</v>
      </c>
    </row>
    <row r="11044" spans="1:14">
      <c r="A11044" s="4" t="str">
        <f t="shared" si="980"/>
        <v>EXP00367</v>
      </c>
      <c r="B11044" s="4" t="str">
        <f t="shared" si="978"/>
        <v>18442402</v>
      </c>
      <c r="C11044" s="4" t="str">
        <f t="shared" si="979"/>
        <v>GSE7553</v>
      </c>
      <c r="D11044" s="1" t="s">
        <v>45</v>
      </c>
      <c r="E11044" t="s">
        <v>468</v>
      </c>
      <c r="F11044" s="1">
        <v>2</v>
      </c>
      <c r="G11044" s="1" t="s">
        <v>28</v>
      </c>
      <c r="H11044" s="4" t="str">
        <f>HYPERLINK("https://www.ncbi.nlm.nih.gov/geo/query/acc.cgi?acc=GSM183250","GSM183250")</f>
        <v>GSM183250</v>
      </c>
      <c r="I11044" t="s">
        <v>82</v>
      </c>
      <c r="J11044" t="s">
        <v>466</v>
      </c>
      <c r="K11044" t="s">
        <v>33</v>
      </c>
      <c r="L11044" t="s">
        <v>27</v>
      </c>
      <c r="N11044" t="s">
        <v>29</v>
      </c>
    </row>
    <row r="11045" spans="1:14">
      <c r="A11045" s="4" t="str">
        <f t="shared" si="980"/>
        <v>EXP00367</v>
      </c>
      <c r="B11045" s="4" t="str">
        <f t="shared" si="978"/>
        <v>18442402</v>
      </c>
      <c r="C11045" s="4" t="str">
        <f t="shared" si="979"/>
        <v>GSE7553</v>
      </c>
      <c r="D11045" s="1" t="s">
        <v>45</v>
      </c>
      <c r="E11045" t="s">
        <v>468</v>
      </c>
      <c r="F11045" s="1">
        <v>2</v>
      </c>
      <c r="G11045" s="1" t="s">
        <v>28</v>
      </c>
      <c r="H11045" s="4" t="str">
        <f>HYPERLINK("https://www.ncbi.nlm.nih.gov/geo/query/acc.cgi?acc=GSM183251","GSM183251")</f>
        <v>GSM183251</v>
      </c>
      <c r="I11045" t="s">
        <v>82</v>
      </c>
      <c r="J11045" t="s">
        <v>466</v>
      </c>
      <c r="K11045" t="s">
        <v>33</v>
      </c>
      <c r="L11045" t="s">
        <v>27</v>
      </c>
      <c r="N11045" t="s">
        <v>29</v>
      </c>
    </row>
    <row r="11046" spans="1:14">
      <c r="A11046" s="4" t="str">
        <f t="shared" si="980"/>
        <v>EXP00367</v>
      </c>
      <c r="B11046" s="4" t="str">
        <f t="shared" si="978"/>
        <v>18442402</v>
      </c>
      <c r="C11046" s="4" t="str">
        <f t="shared" si="979"/>
        <v>GSE7553</v>
      </c>
      <c r="D11046" s="1" t="s">
        <v>45</v>
      </c>
      <c r="E11046" t="s">
        <v>468</v>
      </c>
      <c r="F11046" s="1">
        <v>2</v>
      </c>
      <c r="G11046" s="1" t="s">
        <v>28</v>
      </c>
      <c r="H11046" s="4" t="str">
        <f>HYPERLINK("https://www.ncbi.nlm.nih.gov/geo/query/acc.cgi?acc=GSM183267","GSM183267")</f>
        <v>GSM183267</v>
      </c>
      <c r="I11046" t="s">
        <v>82</v>
      </c>
      <c r="J11046" t="s">
        <v>467</v>
      </c>
      <c r="K11046" t="s">
        <v>33</v>
      </c>
      <c r="L11046" t="s">
        <v>27</v>
      </c>
      <c r="N11046" t="s">
        <v>29</v>
      </c>
    </row>
    <row r="11047" spans="1:14">
      <c r="A11047" s="4" t="str">
        <f t="shared" si="980"/>
        <v>EXP00367</v>
      </c>
      <c r="B11047" s="4" t="str">
        <f t="shared" si="978"/>
        <v>18442402</v>
      </c>
      <c r="C11047" s="4" t="str">
        <f t="shared" si="979"/>
        <v>GSE7553</v>
      </c>
      <c r="D11047" s="1" t="s">
        <v>45</v>
      </c>
      <c r="E11047" t="s">
        <v>468</v>
      </c>
      <c r="F11047" s="1">
        <v>2</v>
      </c>
      <c r="G11047" s="1" t="s">
        <v>28</v>
      </c>
      <c r="H11047" s="4" t="str">
        <f>HYPERLINK("https://www.ncbi.nlm.nih.gov/geo/query/acc.cgi?acc=GSM183268","GSM183268")</f>
        <v>GSM183268</v>
      </c>
      <c r="I11047" t="s">
        <v>82</v>
      </c>
      <c r="J11047" t="s">
        <v>467</v>
      </c>
      <c r="K11047" t="s">
        <v>33</v>
      </c>
      <c r="L11047" t="s">
        <v>27</v>
      </c>
      <c r="N11047" t="s">
        <v>29</v>
      </c>
    </row>
    <row r="11048" spans="1:14">
      <c r="A11048" s="4" t="str">
        <f t="shared" si="980"/>
        <v>EXP00367</v>
      </c>
      <c r="B11048" s="4" t="str">
        <f t="shared" si="978"/>
        <v>18442402</v>
      </c>
      <c r="C11048" s="4" t="str">
        <f t="shared" si="979"/>
        <v>GSE7553</v>
      </c>
      <c r="D11048" s="1" t="s">
        <v>45</v>
      </c>
      <c r="E11048" t="s">
        <v>468</v>
      </c>
      <c r="F11048" s="1">
        <v>2</v>
      </c>
      <c r="G11048" s="1" t="s">
        <v>28</v>
      </c>
      <c r="H11048" s="4" t="str">
        <f>HYPERLINK("https://www.ncbi.nlm.nih.gov/geo/query/acc.cgi?acc=GSM183269","GSM183269")</f>
        <v>GSM183269</v>
      </c>
      <c r="I11048" t="s">
        <v>82</v>
      </c>
      <c r="J11048" t="s">
        <v>467</v>
      </c>
      <c r="K11048" t="s">
        <v>33</v>
      </c>
      <c r="L11048" t="s">
        <v>27</v>
      </c>
      <c r="N11048" t="s">
        <v>29</v>
      </c>
    </row>
    <row r="11049" spans="1:14">
      <c r="A11049" s="4" t="str">
        <f t="shared" si="980"/>
        <v>EXP00367</v>
      </c>
      <c r="B11049" s="4" t="str">
        <f t="shared" si="978"/>
        <v>18442402</v>
      </c>
      <c r="C11049" s="4" t="str">
        <f t="shared" si="979"/>
        <v>GSE7553</v>
      </c>
      <c r="D11049" s="1" t="s">
        <v>45</v>
      </c>
      <c r="E11049" t="s">
        <v>468</v>
      </c>
      <c r="F11049" s="1">
        <v>2</v>
      </c>
      <c r="G11049" s="1" t="s">
        <v>28</v>
      </c>
      <c r="H11049" s="4" t="str">
        <f>HYPERLINK("https://www.ncbi.nlm.nih.gov/geo/query/acc.cgi?acc=GSM183270","GSM183270")</f>
        <v>GSM183270</v>
      </c>
      <c r="I11049" t="s">
        <v>82</v>
      </c>
      <c r="J11049" t="s">
        <v>467</v>
      </c>
      <c r="K11049" t="s">
        <v>33</v>
      </c>
      <c r="L11049" t="s">
        <v>27</v>
      </c>
      <c r="N11049" t="s">
        <v>29</v>
      </c>
    </row>
    <row r="11050" spans="1:14">
      <c r="A11050" s="4" t="str">
        <f t="shared" si="980"/>
        <v>EXP00367</v>
      </c>
      <c r="B11050" s="4" t="str">
        <f t="shared" si="978"/>
        <v>18442402</v>
      </c>
      <c r="C11050" s="4" t="str">
        <f t="shared" si="979"/>
        <v>GSE7553</v>
      </c>
      <c r="D11050" s="1" t="s">
        <v>45</v>
      </c>
      <c r="E11050" t="s">
        <v>468</v>
      </c>
      <c r="F11050" s="1">
        <v>2</v>
      </c>
      <c r="G11050" s="1" t="s">
        <v>28</v>
      </c>
      <c r="H11050" s="4" t="str">
        <f>HYPERLINK("https://www.ncbi.nlm.nih.gov/geo/query/acc.cgi?acc=GSM183271","GSM183271")</f>
        <v>GSM183271</v>
      </c>
      <c r="I11050" t="s">
        <v>82</v>
      </c>
      <c r="J11050" t="s">
        <v>467</v>
      </c>
      <c r="K11050" t="s">
        <v>33</v>
      </c>
      <c r="L11050" t="s">
        <v>27</v>
      </c>
      <c r="N11050" t="s">
        <v>29</v>
      </c>
    </row>
    <row r="11051" spans="1:14">
      <c r="A11051" s="4" t="str">
        <f t="shared" si="980"/>
        <v>EXP00367</v>
      </c>
      <c r="B11051" s="4" t="str">
        <f t="shared" si="978"/>
        <v>18442402</v>
      </c>
      <c r="C11051" s="4" t="str">
        <f t="shared" si="979"/>
        <v>GSE7553</v>
      </c>
      <c r="D11051" s="1" t="s">
        <v>45</v>
      </c>
      <c r="E11051" t="s">
        <v>468</v>
      </c>
      <c r="F11051" s="1">
        <v>2</v>
      </c>
      <c r="G11051" s="1" t="s">
        <v>28</v>
      </c>
      <c r="H11051" s="4" t="str">
        <f>HYPERLINK("https://www.ncbi.nlm.nih.gov/geo/query/acc.cgi?acc=GSM183272","GSM183272")</f>
        <v>GSM183272</v>
      </c>
      <c r="I11051" t="s">
        <v>82</v>
      </c>
      <c r="J11051" t="s">
        <v>467</v>
      </c>
      <c r="K11051" t="s">
        <v>33</v>
      </c>
      <c r="L11051" t="s">
        <v>27</v>
      </c>
      <c r="N11051" t="s">
        <v>29</v>
      </c>
    </row>
    <row r="11052" spans="1:14">
      <c r="A11052" s="4" t="str">
        <f t="shared" ref="A11052:A11083" si="981">HYPERLINK("http://hcmdb.i-sanger.com/experiment/details/experiment_id/EXP00368","EXP00368")</f>
        <v>EXP00368</v>
      </c>
      <c r="B11052" s="4" t="str">
        <f t="shared" ref="B11052:B11083" si="982">HYPERLINK("https://www.ncbi.nlm.nih.gov/pubmed/18442402","18442402")</f>
        <v>18442402</v>
      </c>
      <c r="C11052" s="4" t="str">
        <f t="shared" ref="C11052:C11083" si="983">HYPERLINK("https://www.ncbi.nlm.nih.gov/geo/query/acc.cgi?acc=GSE7553","GSE7553")</f>
        <v>GSE7553</v>
      </c>
      <c r="D11052" s="1" t="s">
        <v>45</v>
      </c>
      <c r="E11052" t="s">
        <v>469</v>
      </c>
      <c r="F11052" s="1">
        <v>1</v>
      </c>
      <c r="G11052" s="1" t="s">
        <v>26</v>
      </c>
      <c r="H11052" s="4" t="str">
        <f>HYPERLINK("https://www.ncbi.nlm.nih.gov/geo/query/acc.cgi?acc=GSM183226","GSM183226")</f>
        <v>GSM183226</v>
      </c>
      <c r="I11052" t="s">
        <v>82</v>
      </c>
      <c r="J11052" t="s">
        <v>83</v>
      </c>
      <c r="K11052" t="s">
        <v>19</v>
      </c>
      <c r="L11052" t="s">
        <v>27</v>
      </c>
      <c r="M11052" t="s">
        <v>51</v>
      </c>
      <c r="N11052" t="s">
        <v>22</v>
      </c>
    </row>
    <row r="11053" spans="1:14">
      <c r="A11053" s="4" t="str">
        <f t="shared" si="981"/>
        <v>EXP00368</v>
      </c>
      <c r="B11053" s="4" t="str">
        <f t="shared" si="982"/>
        <v>18442402</v>
      </c>
      <c r="C11053" s="4" t="str">
        <f t="shared" si="983"/>
        <v>GSE7553</v>
      </c>
      <c r="D11053" s="1" t="s">
        <v>45</v>
      </c>
      <c r="E11053" t="s">
        <v>469</v>
      </c>
      <c r="F11053" s="1">
        <v>1</v>
      </c>
      <c r="G11053" s="1" t="s">
        <v>26</v>
      </c>
      <c r="H11053" s="4" t="str">
        <f>HYPERLINK("https://www.ncbi.nlm.nih.gov/geo/query/acc.cgi?acc=GSM183227","GSM183227")</f>
        <v>GSM183227</v>
      </c>
      <c r="I11053" t="s">
        <v>82</v>
      </c>
      <c r="J11053" t="s">
        <v>83</v>
      </c>
      <c r="K11053" t="s">
        <v>19</v>
      </c>
      <c r="L11053" t="s">
        <v>27</v>
      </c>
      <c r="M11053" t="s">
        <v>51</v>
      </c>
      <c r="N11053" t="s">
        <v>22</v>
      </c>
    </row>
    <row r="11054" spans="1:14">
      <c r="A11054" s="4" t="str">
        <f t="shared" si="981"/>
        <v>EXP00368</v>
      </c>
      <c r="B11054" s="4" t="str">
        <f t="shared" si="982"/>
        <v>18442402</v>
      </c>
      <c r="C11054" s="4" t="str">
        <f t="shared" si="983"/>
        <v>GSE7553</v>
      </c>
      <c r="D11054" s="1" t="s">
        <v>45</v>
      </c>
      <c r="E11054" t="s">
        <v>469</v>
      </c>
      <c r="F11054" s="1">
        <v>1</v>
      </c>
      <c r="G11054" s="1" t="s">
        <v>26</v>
      </c>
      <c r="H11054" s="4" t="str">
        <f>HYPERLINK("https://www.ncbi.nlm.nih.gov/geo/query/acc.cgi?acc=GSM183228","GSM183228")</f>
        <v>GSM183228</v>
      </c>
      <c r="I11054" t="s">
        <v>82</v>
      </c>
      <c r="J11054" t="s">
        <v>83</v>
      </c>
      <c r="K11054" t="s">
        <v>19</v>
      </c>
      <c r="L11054" t="s">
        <v>27</v>
      </c>
      <c r="M11054" t="s">
        <v>51</v>
      </c>
      <c r="N11054" t="s">
        <v>22</v>
      </c>
    </row>
    <row r="11055" spans="1:14">
      <c r="A11055" s="4" t="str">
        <f t="shared" si="981"/>
        <v>EXP00368</v>
      </c>
      <c r="B11055" s="4" t="str">
        <f t="shared" si="982"/>
        <v>18442402</v>
      </c>
      <c r="C11055" s="4" t="str">
        <f t="shared" si="983"/>
        <v>GSE7553</v>
      </c>
      <c r="D11055" s="1" t="s">
        <v>45</v>
      </c>
      <c r="E11055" t="s">
        <v>469</v>
      </c>
      <c r="F11055" s="1">
        <v>1</v>
      </c>
      <c r="G11055" s="1" t="s">
        <v>26</v>
      </c>
      <c r="H11055" s="4" t="str">
        <f>HYPERLINK("https://www.ncbi.nlm.nih.gov/geo/query/acc.cgi?acc=GSM183229","GSM183229")</f>
        <v>GSM183229</v>
      </c>
      <c r="I11055" t="s">
        <v>82</v>
      </c>
      <c r="J11055" t="s">
        <v>83</v>
      </c>
      <c r="K11055" t="s">
        <v>19</v>
      </c>
      <c r="L11055" t="s">
        <v>27</v>
      </c>
      <c r="M11055" t="s">
        <v>51</v>
      </c>
      <c r="N11055" t="s">
        <v>22</v>
      </c>
    </row>
    <row r="11056" spans="1:14">
      <c r="A11056" s="4" t="str">
        <f t="shared" si="981"/>
        <v>EXP00368</v>
      </c>
      <c r="B11056" s="4" t="str">
        <f t="shared" si="982"/>
        <v>18442402</v>
      </c>
      <c r="C11056" s="4" t="str">
        <f t="shared" si="983"/>
        <v>GSE7553</v>
      </c>
      <c r="D11056" s="1" t="s">
        <v>45</v>
      </c>
      <c r="E11056" t="s">
        <v>469</v>
      </c>
      <c r="F11056" s="1">
        <v>1</v>
      </c>
      <c r="G11056" s="1" t="s">
        <v>26</v>
      </c>
      <c r="H11056" s="4" t="str">
        <f>HYPERLINK("https://www.ncbi.nlm.nih.gov/geo/query/acc.cgi?acc=GSM183230","GSM183230")</f>
        <v>GSM183230</v>
      </c>
      <c r="I11056" t="s">
        <v>82</v>
      </c>
      <c r="J11056" t="s">
        <v>83</v>
      </c>
      <c r="K11056" t="s">
        <v>19</v>
      </c>
      <c r="L11056" t="s">
        <v>27</v>
      </c>
      <c r="M11056" t="s">
        <v>51</v>
      </c>
      <c r="N11056" t="s">
        <v>22</v>
      </c>
    </row>
    <row r="11057" spans="1:14">
      <c r="A11057" s="4" t="str">
        <f t="shared" si="981"/>
        <v>EXP00368</v>
      </c>
      <c r="B11057" s="4" t="str">
        <f t="shared" si="982"/>
        <v>18442402</v>
      </c>
      <c r="C11057" s="4" t="str">
        <f t="shared" si="983"/>
        <v>GSE7553</v>
      </c>
      <c r="D11057" s="1" t="s">
        <v>45</v>
      </c>
      <c r="E11057" t="s">
        <v>469</v>
      </c>
      <c r="F11057" s="1">
        <v>1</v>
      </c>
      <c r="G11057" s="1" t="s">
        <v>26</v>
      </c>
      <c r="H11057" s="4" t="str">
        <f>HYPERLINK("https://www.ncbi.nlm.nih.gov/geo/query/acc.cgi?acc=GSM183231","GSM183231")</f>
        <v>GSM183231</v>
      </c>
      <c r="I11057" t="s">
        <v>82</v>
      </c>
      <c r="J11057" t="s">
        <v>83</v>
      </c>
      <c r="K11057" t="s">
        <v>19</v>
      </c>
      <c r="L11057" t="s">
        <v>27</v>
      </c>
      <c r="M11057" t="s">
        <v>51</v>
      </c>
      <c r="N11057" t="s">
        <v>22</v>
      </c>
    </row>
    <row r="11058" spans="1:14">
      <c r="A11058" s="4" t="str">
        <f t="shared" si="981"/>
        <v>EXP00368</v>
      </c>
      <c r="B11058" s="4" t="str">
        <f t="shared" si="982"/>
        <v>18442402</v>
      </c>
      <c r="C11058" s="4" t="str">
        <f t="shared" si="983"/>
        <v>GSE7553</v>
      </c>
      <c r="D11058" s="1" t="s">
        <v>45</v>
      </c>
      <c r="E11058" t="s">
        <v>469</v>
      </c>
      <c r="F11058" s="1">
        <v>1</v>
      </c>
      <c r="G11058" s="1" t="s">
        <v>26</v>
      </c>
      <c r="H11058" s="4" t="str">
        <f>HYPERLINK("https://www.ncbi.nlm.nih.gov/geo/query/acc.cgi?acc=GSM183232","GSM183232")</f>
        <v>GSM183232</v>
      </c>
      <c r="I11058" t="s">
        <v>82</v>
      </c>
      <c r="J11058" t="s">
        <v>83</v>
      </c>
      <c r="K11058" t="s">
        <v>19</v>
      </c>
      <c r="L11058" t="s">
        <v>27</v>
      </c>
      <c r="M11058" t="s">
        <v>51</v>
      </c>
      <c r="N11058" t="s">
        <v>22</v>
      </c>
    </row>
    <row r="11059" spans="1:14">
      <c r="A11059" s="4" t="str">
        <f t="shared" si="981"/>
        <v>EXP00368</v>
      </c>
      <c r="B11059" s="4" t="str">
        <f t="shared" si="982"/>
        <v>18442402</v>
      </c>
      <c r="C11059" s="4" t="str">
        <f t="shared" si="983"/>
        <v>GSE7553</v>
      </c>
      <c r="D11059" s="1" t="s">
        <v>45</v>
      </c>
      <c r="E11059" t="s">
        <v>469</v>
      </c>
      <c r="F11059" s="1">
        <v>1</v>
      </c>
      <c r="G11059" s="1" t="s">
        <v>26</v>
      </c>
      <c r="H11059" s="4" t="str">
        <f>HYPERLINK("https://www.ncbi.nlm.nih.gov/geo/query/acc.cgi?acc=GSM183233","GSM183233")</f>
        <v>GSM183233</v>
      </c>
      <c r="I11059" t="s">
        <v>82</v>
      </c>
      <c r="J11059" t="s">
        <v>83</v>
      </c>
      <c r="K11059" t="s">
        <v>19</v>
      </c>
      <c r="L11059" t="s">
        <v>27</v>
      </c>
      <c r="M11059" t="s">
        <v>51</v>
      </c>
      <c r="N11059" t="s">
        <v>22</v>
      </c>
    </row>
    <row r="11060" spans="1:14">
      <c r="A11060" s="4" t="str">
        <f t="shared" si="981"/>
        <v>EXP00368</v>
      </c>
      <c r="B11060" s="4" t="str">
        <f t="shared" si="982"/>
        <v>18442402</v>
      </c>
      <c r="C11060" s="4" t="str">
        <f t="shared" si="983"/>
        <v>GSE7553</v>
      </c>
      <c r="D11060" s="1" t="s">
        <v>45</v>
      </c>
      <c r="E11060" t="s">
        <v>469</v>
      </c>
      <c r="F11060" s="1">
        <v>1</v>
      </c>
      <c r="G11060" s="1" t="s">
        <v>26</v>
      </c>
      <c r="H11060" s="4" t="str">
        <f>HYPERLINK("https://www.ncbi.nlm.nih.gov/geo/query/acc.cgi?acc=GSM183252","GSM183252")</f>
        <v>GSM183252</v>
      </c>
      <c r="I11060" t="s">
        <v>82</v>
      </c>
      <c r="J11060" t="s">
        <v>83</v>
      </c>
      <c r="K11060" t="s">
        <v>19</v>
      </c>
      <c r="L11060" t="s">
        <v>27</v>
      </c>
      <c r="M11060" t="s">
        <v>51</v>
      </c>
      <c r="N11060" t="s">
        <v>22</v>
      </c>
    </row>
    <row r="11061" spans="1:14">
      <c r="A11061" s="4" t="str">
        <f t="shared" si="981"/>
        <v>EXP00368</v>
      </c>
      <c r="B11061" s="4" t="str">
        <f t="shared" si="982"/>
        <v>18442402</v>
      </c>
      <c r="C11061" s="4" t="str">
        <f t="shared" si="983"/>
        <v>GSE7553</v>
      </c>
      <c r="D11061" s="1" t="s">
        <v>45</v>
      </c>
      <c r="E11061" t="s">
        <v>469</v>
      </c>
      <c r="F11061" s="1">
        <v>1</v>
      </c>
      <c r="G11061" s="1" t="s">
        <v>26</v>
      </c>
      <c r="H11061" s="4" t="str">
        <f>HYPERLINK("https://www.ncbi.nlm.nih.gov/geo/query/acc.cgi?acc=GSM183253","GSM183253")</f>
        <v>GSM183253</v>
      </c>
      <c r="I11061" t="s">
        <v>82</v>
      </c>
      <c r="J11061" t="s">
        <v>83</v>
      </c>
      <c r="K11061" t="s">
        <v>19</v>
      </c>
      <c r="L11061" t="s">
        <v>27</v>
      </c>
      <c r="M11061" t="s">
        <v>51</v>
      </c>
      <c r="N11061" t="s">
        <v>22</v>
      </c>
    </row>
    <row r="11062" spans="1:14">
      <c r="A11062" s="4" t="str">
        <f t="shared" si="981"/>
        <v>EXP00368</v>
      </c>
      <c r="B11062" s="4" t="str">
        <f t="shared" si="982"/>
        <v>18442402</v>
      </c>
      <c r="C11062" s="4" t="str">
        <f t="shared" si="983"/>
        <v>GSE7553</v>
      </c>
      <c r="D11062" s="1" t="s">
        <v>45</v>
      </c>
      <c r="E11062" t="s">
        <v>469</v>
      </c>
      <c r="F11062" s="1">
        <v>1</v>
      </c>
      <c r="G11062" s="1" t="s">
        <v>26</v>
      </c>
      <c r="H11062" s="4" t="str">
        <f>HYPERLINK("https://www.ncbi.nlm.nih.gov/geo/query/acc.cgi?acc=GSM183254","GSM183254")</f>
        <v>GSM183254</v>
      </c>
      <c r="I11062" t="s">
        <v>82</v>
      </c>
      <c r="J11062" t="s">
        <v>83</v>
      </c>
      <c r="K11062" t="s">
        <v>19</v>
      </c>
      <c r="L11062" t="s">
        <v>27</v>
      </c>
      <c r="M11062" t="s">
        <v>51</v>
      </c>
      <c r="N11062" t="s">
        <v>22</v>
      </c>
    </row>
    <row r="11063" spans="1:14">
      <c r="A11063" s="4" t="str">
        <f t="shared" si="981"/>
        <v>EXP00368</v>
      </c>
      <c r="B11063" s="4" t="str">
        <f t="shared" si="982"/>
        <v>18442402</v>
      </c>
      <c r="C11063" s="4" t="str">
        <f t="shared" si="983"/>
        <v>GSE7553</v>
      </c>
      <c r="D11063" s="1" t="s">
        <v>45</v>
      </c>
      <c r="E11063" t="s">
        <v>469</v>
      </c>
      <c r="F11063" s="1">
        <v>1</v>
      </c>
      <c r="G11063" s="1" t="s">
        <v>26</v>
      </c>
      <c r="H11063" s="4" t="str">
        <f>HYPERLINK("https://www.ncbi.nlm.nih.gov/geo/query/acc.cgi?acc=GSM183255","GSM183255")</f>
        <v>GSM183255</v>
      </c>
      <c r="I11063" t="s">
        <v>82</v>
      </c>
      <c r="J11063" t="s">
        <v>83</v>
      </c>
      <c r="K11063" t="s">
        <v>19</v>
      </c>
      <c r="L11063" t="s">
        <v>27</v>
      </c>
      <c r="M11063" t="s">
        <v>51</v>
      </c>
      <c r="N11063" t="s">
        <v>22</v>
      </c>
    </row>
    <row r="11064" spans="1:14">
      <c r="A11064" s="4" t="str">
        <f t="shared" si="981"/>
        <v>EXP00368</v>
      </c>
      <c r="B11064" s="4" t="str">
        <f t="shared" si="982"/>
        <v>18442402</v>
      </c>
      <c r="C11064" s="4" t="str">
        <f t="shared" si="983"/>
        <v>GSE7553</v>
      </c>
      <c r="D11064" s="1" t="s">
        <v>45</v>
      </c>
      <c r="E11064" t="s">
        <v>469</v>
      </c>
      <c r="F11064" s="1">
        <v>1</v>
      </c>
      <c r="G11064" s="1" t="s">
        <v>26</v>
      </c>
      <c r="H11064" s="4" t="str">
        <f>HYPERLINK("https://www.ncbi.nlm.nih.gov/geo/query/acc.cgi?acc=GSM183256","GSM183256")</f>
        <v>GSM183256</v>
      </c>
      <c r="I11064" t="s">
        <v>82</v>
      </c>
      <c r="J11064" t="s">
        <v>83</v>
      </c>
      <c r="K11064" t="s">
        <v>19</v>
      </c>
      <c r="L11064" t="s">
        <v>27</v>
      </c>
      <c r="M11064" t="s">
        <v>51</v>
      </c>
      <c r="N11064" t="s">
        <v>22</v>
      </c>
    </row>
    <row r="11065" spans="1:14">
      <c r="A11065" s="4" t="str">
        <f t="shared" si="981"/>
        <v>EXP00368</v>
      </c>
      <c r="B11065" s="4" t="str">
        <f t="shared" si="982"/>
        <v>18442402</v>
      </c>
      <c r="C11065" s="4" t="str">
        <f t="shared" si="983"/>
        <v>GSE7553</v>
      </c>
      <c r="D11065" s="1" t="s">
        <v>45</v>
      </c>
      <c r="E11065" t="s">
        <v>469</v>
      </c>
      <c r="F11065" s="1">
        <v>1</v>
      </c>
      <c r="G11065" s="1" t="s">
        <v>26</v>
      </c>
      <c r="H11065" s="4" t="str">
        <f>HYPERLINK("https://www.ncbi.nlm.nih.gov/geo/query/acc.cgi?acc=GSM183257","GSM183257")</f>
        <v>GSM183257</v>
      </c>
      <c r="I11065" t="s">
        <v>82</v>
      </c>
      <c r="J11065" t="s">
        <v>83</v>
      </c>
      <c r="K11065" t="s">
        <v>19</v>
      </c>
      <c r="L11065" t="s">
        <v>27</v>
      </c>
      <c r="M11065" t="s">
        <v>51</v>
      </c>
      <c r="N11065" t="s">
        <v>22</v>
      </c>
    </row>
    <row r="11066" spans="1:14">
      <c r="A11066" s="4" t="str">
        <f t="shared" si="981"/>
        <v>EXP00368</v>
      </c>
      <c r="B11066" s="4" t="str">
        <f t="shared" si="982"/>
        <v>18442402</v>
      </c>
      <c r="C11066" s="4" t="str">
        <f t="shared" si="983"/>
        <v>GSE7553</v>
      </c>
      <c r="D11066" s="1" t="s">
        <v>45</v>
      </c>
      <c r="E11066" t="s">
        <v>469</v>
      </c>
      <c r="F11066" s="1">
        <v>1</v>
      </c>
      <c r="G11066" s="1" t="s">
        <v>26</v>
      </c>
      <c r="H11066" s="4" t="str">
        <f>HYPERLINK("https://www.ncbi.nlm.nih.gov/geo/query/acc.cgi?acc=GSM183273","GSM183273")</f>
        <v>GSM183273</v>
      </c>
      <c r="I11066" t="s">
        <v>82</v>
      </c>
      <c r="J11066" t="s">
        <v>83</v>
      </c>
      <c r="K11066" t="s">
        <v>19</v>
      </c>
      <c r="L11066" t="s">
        <v>27</v>
      </c>
      <c r="M11066" t="s">
        <v>51</v>
      </c>
      <c r="N11066" t="s">
        <v>22</v>
      </c>
    </row>
    <row r="11067" spans="1:14">
      <c r="A11067" s="4" t="str">
        <f t="shared" si="981"/>
        <v>EXP00368</v>
      </c>
      <c r="B11067" s="4" t="str">
        <f t="shared" si="982"/>
        <v>18442402</v>
      </c>
      <c r="C11067" s="4" t="str">
        <f t="shared" si="983"/>
        <v>GSE7553</v>
      </c>
      <c r="D11067" s="1" t="s">
        <v>45</v>
      </c>
      <c r="E11067" t="s">
        <v>469</v>
      </c>
      <c r="F11067" s="1">
        <v>1</v>
      </c>
      <c r="G11067" s="1" t="s">
        <v>26</v>
      </c>
      <c r="H11067" s="4" t="str">
        <f>HYPERLINK("https://www.ncbi.nlm.nih.gov/geo/query/acc.cgi?acc=GSM183274","GSM183274")</f>
        <v>GSM183274</v>
      </c>
      <c r="I11067" t="s">
        <v>82</v>
      </c>
      <c r="J11067" t="s">
        <v>83</v>
      </c>
      <c r="K11067" t="s">
        <v>19</v>
      </c>
      <c r="L11067" t="s">
        <v>27</v>
      </c>
      <c r="M11067" t="s">
        <v>51</v>
      </c>
      <c r="N11067" t="s">
        <v>22</v>
      </c>
    </row>
    <row r="11068" spans="1:14">
      <c r="A11068" s="4" t="str">
        <f t="shared" si="981"/>
        <v>EXP00368</v>
      </c>
      <c r="B11068" s="4" t="str">
        <f t="shared" si="982"/>
        <v>18442402</v>
      </c>
      <c r="C11068" s="4" t="str">
        <f t="shared" si="983"/>
        <v>GSE7553</v>
      </c>
      <c r="D11068" s="1" t="s">
        <v>45</v>
      </c>
      <c r="E11068" t="s">
        <v>469</v>
      </c>
      <c r="F11068" s="1">
        <v>1</v>
      </c>
      <c r="G11068" s="1" t="s">
        <v>26</v>
      </c>
      <c r="H11068" s="4" t="str">
        <f>HYPERLINK("https://www.ncbi.nlm.nih.gov/geo/query/acc.cgi?acc=GSM183275","GSM183275")</f>
        <v>GSM183275</v>
      </c>
      <c r="I11068" t="s">
        <v>82</v>
      </c>
      <c r="J11068" t="s">
        <v>83</v>
      </c>
      <c r="K11068" t="s">
        <v>19</v>
      </c>
      <c r="L11068" t="s">
        <v>27</v>
      </c>
      <c r="M11068" t="s">
        <v>51</v>
      </c>
      <c r="N11068" t="s">
        <v>22</v>
      </c>
    </row>
    <row r="11069" spans="1:14">
      <c r="A11069" s="4" t="str">
        <f t="shared" si="981"/>
        <v>EXP00368</v>
      </c>
      <c r="B11069" s="4" t="str">
        <f t="shared" si="982"/>
        <v>18442402</v>
      </c>
      <c r="C11069" s="4" t="str">
        <f t="shared" si="983"/>
        <v>GSE7553</v>
      </c>
      <c r="D11069" s="1" t="s">
        <v>45</v>
      </c>
      <c r="E11069" t="s">
        <v>469</v>
      </c>
      <c r="F11069" s="1">
        <v>1</v>
      </c>
      <c r="G11069" s="1" t="s">
        <v>26</v>
      </c>
      <c r="H11069" s="4" t="str">
        <f>HYPERLINK("https://www.ncbi.nlm.nih.gov/geo/query/acc.cgi?acc=GSM183276","GSM183276")</f>
        <v>GSM183276</v>
      </c>
      <c r="I11069" t="s">
        <v>82</v>
      </c>
      <c r="J11069" t="s">
        <v>83</v>
      </c>
      <c r="K11069" t="s">
        <v>19</v>
      </c>
      <c r="L11069" t="s">
        <v>27</v>
      </c>
      <c r="M11069" t="s">
        <v>51</v>
      </c>
      <c r="N11069" t="s">
        <v>22</v>
      </c>
    </row>
    <row r="11070" spans="1:14">
      <c r="A11070" s="4" t="str">
        <f t="shared" si="981"/>
        <v>EXP00368</v>
      </c>
      <c r="B11070" s="4" t="str">
        <f t="shared" si="982"/>
        <v>18442402</v>
      </c>
      <c r="C11070" s="4" t="str">
        <f t="shared" si="983"/>
        <v>GSE7553</v>
      </c>
      <c r="D11070" s="1" t="s">
        <v>45</v>
      </c>
      <c r="E11070" t="s">
        <v>469</v>
      </c>
      <c r="F11070" s="1">
        <v>1</v>
      </c>
      <c r="G11070" s="1" t="s">
        <v>26</v>
      </c>
      <c r="H11070" s="4" t="str">
        <f>HYPERLINK("https://www.ncbi.nlm.nih.gov/geo/query/acc.cgi?acc=GSM183277","GSM183277")</f>
        <v>GSM183277</v>
      </c>
      <c r="I11070" t="s">
        <v>82</v>
      </c>
      <c r="J11070" t="s">
        <v>83</v>
      </c>
      <c r="K11070" t="s">
        <v>19</v>
      </c>
      <c r="L11070" t="s">
        <v>27</v>
      </c>
      <c r="M11070" t="s">
        <v>51</v>
      </c>
      <c r="N11070" t="s">
        <v>22</v>
      </c>
    </row>
    <row r="11071" spans="1:14">
      <c r="A11071" s="4" t="str">
        <f t="shared" si="981"/>
        <v>EXP00368</v>
      </c>
      <c r="B11071" s="4" t="str">
        <f t="shared" si="982"/>
        <v>18442402</v>
      </c>
      <c r="C11071" s="4" t="str">
        <f t="shared" si="983"/>
        <v>GSE7553</v>
      </c>
      <c r="D11071" s="1" t="s">
        <v>45</v>
      </c>
      <c r="E11071" t="s">
        <v>469</v>
      </c>
      <c r="F11071" s="1">
        <v>1</v>
      </c>
      <c r="G11071" s="1" t="s">
        <v>26</v>
      </c>
      <c r="H11071" s="4" t="str">
        <f>HYPERLINK("https://www.ncbi.nlm.nih.gov/geo/query/acc.cgi?acc=GSM183278","GSM183278")</f>
        <v>GSM183278</v>
      </c>
      <c r="I11071" t="s">
        <v>82</v>
      </c>
      <c r="J11071" t="s">
        <v>83</v>
      </c>
      <c r="K11071" t="s">
        <v>19</v>
      </c>
      <c r="L11071" t="s">
        <v>27</v>
      </c>
      <c r="M11071" t="s">
        <v>51</v>
      </c>
      <c r="N11071" t="s">
        <v>22</v>
      </c>
    </row>
    <row r="11072" spans="1:14">
      <c r="A11072" s="4" t="str">
        <f t="shared" si="981"/>
        <v>EXP00368</v>
      </c>
      <c r="B11072" s="4" t="str">
        <f t="shared" si="982"/>
        <v>18442402</v>
      </c>
      <c r="C11072" s="4" t="str">
        <f t="shared" si="983"/>
        <v>GSE7553</v>
      </c>
      <c r="D11072" s="1" t="s">
        <v>45</v>
      </c>
      <c r="E11072" t="s">
        <v>469</v>
      </c>
      <c r="F11072" s="1">
        <v>1</v>
      </c>
      <c r="G11072" s="1" t="s">
        <v>26</v>
      </c>
      <c r="H11072" s="4" t="str">
        <f>HYPERLINK("https://www.ncbi.nlm.nih.gov/geo/query/acc.cgi?acc=GSM183279","GSM183279")</f>
        <v>GSM183279</v>
      </c>
      <c r="I11072" t="s">
        <v>82</v>
      </c>
      <c r="J11072" t="s">
        <v>83</v>
      </c>
      <c r="K11072" t="s">
        <v>19</v>
      </c>
      <c r="L11072" t="s">
        <v>27</v>
      </c>
      <c r="M11072" t="s">
        <v>51</v>
      </c>
      <c r="N11072" t="s">
        <v>22</v>
      </c>
    </row>
    <row r="11073" spans="1:14">
      <c r="A11073" s="4" t="str">
        <f t="shared" si="981"/>
        <v>EXP00368</v>
      </c>
      <c r="B11073" s="4" t="str">
        <f t="shared" si="982"/>
        <v>18442402</v>
      </c>
      <c r="C11073" s="4" t="str">
        <f t="shared" si="983"/>
        <v>GSE7553</v>
      </c>
      <c r="D11073" s="1" t="s">
        <v>45</v>
      </c>
      <c r="E11073" t="s">
        <v>469</v>
      </c>
      <c r="F11073" s="1">
        <v>1</v>
      </c>
      <c r="G11073" s="1" t="s">
        <v>26</v>
      </c>
      <c r="H11073" s="4" t="str">
        <f>HYPERLINK("https://www.ncbi.nlm.nih.gov/geo/query/acc.cgi?acc=GSM183280","GSM183280")</f>
        <v>GSM183280</v>
      </c>
      <c r="I11073" t="s">
        <v>82</v>
      </c>
      <c r="J11073" t="s">
        <v>83</v>
      </c>
      <c r="K11073" t="s">
        <v>19</v>
      </c>
      <c r="L11073" t="s">
        <v>27</v>
      </c>
      <c r="M11073" t="s">
        <v>51</v>
      </c>
      <c r="N11073" t="s">
        <v>22</v>
      </c>
    </row>
    <row r="11074" spans="1:14">
      <c r="A11074" s="4" t="str">
        <f t="shared" si="981"/>
        <v>EXP00368</v>
      </c>
      <c r="B11074" s="4" t="str">
        <f t="shared" si="982"/>
        <v>18442402</v>
      </c>
      <c r="C11074" s="4" t="str">
        <f t="shared" si="983"/>
        <v>GSE7553</v>
      </c>
      <c r="D11074" s="1" t="s">
        <v>45</v>
      </c>
      <c r="E11074" t="s">
        <v>469</v>
      </c>
      <c r="F11074" s="1">
        <v>1</v>
      </c>
      <c r="G11074" s="1" t="s">
        <v>26</v>
      </c>
      <c r="H11074" s="4" t="str">
        <f>HYPERLINK("https://www.ncbi.nlm.nih.gov/geo/query/acc.cgi?acc=GSM183281","GSM183281")</f>
        <v>GSM183281</v>
      </c>
      <c r="I11074" t="s">
        <v>82</v>
      </c>
      <c r="J11074" t="s">
        <v>83</v>
      </c>
      <c r="K11074" t="s">
        <v>19</v>
      </c>
      <c r="L11074" t="s">
        <v>27</v>
      </c>
      <c r="M11074" t="s">
        <v>51</v>
      </c>
      <c r="N11074" t="s">
        <v>22</v>
      </c>
    </row>
    <row r="11075" spans="1:14">
      <c r="A11075" s="4" t="str">
        <f t="shared" si="981"/>
        <v>EXP00368</v>
      </c>
      <c r="B11075" s="4" t="str">
        <f t="shared" si="982"/>
        <v>18442402</v>
      </c>
      <c r="C11075" s="4" t="str">
        <f t="shared" si="983"/>
        <v>GSE7553</v>
      </c>
      <c r="D11075" s="1" t="s">
        <v>45</v>
      </c>
      <c r="E11075" t="s">
        <v>469</v>
      </c>
      <c r="F11075" s="1">
        <v>1</v>
      </c>
      <c r="G11075" s="1" t="s">
        <v>26</v>
      </c>
      <c r="H11075" s="4" t="str">
        <f>HYPERLINK("https://www.ncbi.nlm.nih.gov/geo/query/acc.cgi?acc=GSM183282","GSM183282")</f>
        <v>GSM183282</v>
      </c>
      <c r="I11075" t="s">
        <v>82</v>
      </c>
      <c r="J11075" t="s">
        <v>83</v>
      </c>
      <c r="K11075" t="s">
        <v>19</v>
      </c>
      <c r="L11075" t="s">
        <v>27</v>
      </c>
      <c r="M11075" t="s">
        <v>51</v>
      </c>
      <c r="N11075" t="s">
        <v>22</v>
      </c>
    </row>
    <row r="11076" spans="1:14">
      <c r="A11076" s="4" t="str">
        <f t="shared" si="981"/>
        <v>EXP00368</v>
      </c>
      <c r="B11076" s="4" t="str">
        <f t="shared" si="982"/>
        <v>18442402</v>
      </c>
      <c r="C11076" s="4" t="str">
        <f t="shared" si="983"/>
        <v>GSE7553</v>
      </c>
      <c r="D11076" s="1" t="s">
        <v>45</v>
      </c>
      <c r="E11076" t="s">
        <v>469</v>
      </c>
      <c r="F11076" s="1">
        <v>1</v>
      </c>
      <c r="G11076" s="1" t="s">
        <v>26</v>
      </c>
      <c r="H11076" s="4" t="str">
        <f>HYPERLINK("https://www.ncbi.nlm.nih.gov/geo/query/acc.cgi?acc=GSM183283","GSM183283")</f>
        <v>GSM183283</v>
      </c>
      <c r="I11076" t="s">
        <v>82</v>
      </c>
      <c r="J11076" t="s">
        <v>83</v>
      </c>
      <c r="K11076" t="s">
        <v>19</v>
      </c>
      <c r="L11076" t="s">
        <v>27</v>
      </c>
      <c r="M11076" t="s">
        <v>51</v>
      </c>
      <c r="N11076" t="s">
        <v>22</v>
      </c>
    </row>
    <row r="11077" spans="1:14">
      <c r="A11077" s="4" t="str">
        <f t="shared" si="981"/>
        <v>EXP00368</v>
      </c>
      <c r="B11077" s="4" t="str">
        <f t="shared" si="982"/>
        <v>18442402</v>
      </c>
      <c r="C11077" s="4" t="str">
        <f t="shared" si="983"/>
        <v>GSE7553</v>
      </c>
      <c r="D11077" s="1" t="s">
        <v>45</v>
      </c>
      <c r="E11077" t="s">
        <v>469</v>
      </c>
      <c r="F11077" s="1">
        <v>1</v>
      </c>
      <c r="G11077" s="1" t="s">
        <v>26</v>
      </c>
      <c r="H11077" s="4" t="str">
        <f>HYPERLINK("https://www.ncbi.nlm.nih.gov/geo/query/acc.cgi?acc=GSM183284","GSM183284")</f>
        <v>GSM183284</v>
      </c>
      <c r="I11077" t="s">
        <v>82</v>
      </c>
      <c r="J11077" t="s">
        <v>83</v>
      </c>
      <c r="K11077" t="s">
        <v>19</v>
      </c>
      <c r="L11077" t="s">
        <v>27</v>
      </c>
      <c r="M11077" t="s">
        <v>51</v>
      </c>
      <c r="N11077" t="s">
        <v>22</v>
      </c>
    </row>
    <row r="11078" spans="1:14">
      <c r="A11078" s="4" t="str">
        <f t="shared" si="981"/>
        <v>EXP00368</v>
      </c>
      <c r="B11078" s="4" t="str">
        <f t="shared" si="982"/>
        <v>18442402</v>
      </c>
      <c r="C11078" s="4" t="str">
        <f t="shared" si="983"/>
        <v>GSE7553</v>
      </c>
      <c r="D11078" s="1" t="s">
        <v>45</v>
      </c>
      <c r="E11078" t="s">
        <v>469</v>
      </c>
      <c r="F11078" s="1">
        <v>1</v>
      </c>
      <c r="G11078" s="1" t="s">
        <v>26</v>
      </c>
      <c r="H11078" s="4" t="str">
        <f>HYPERLINK("https://www.ncbi.nlm.nih.gov/geo/query/acc.cgi?acc=GSM183285","GSM183285")</f>
        <v>GSM183285</v>
      </c>
      <c r="I11078" t="s">
        <v>82</v>
      </c>
      <c r="J11078" t="s">
        <v>83</v>
      </c>
      <c r="K11078" t="s">
        <v>19</v>
      </c>
      <c r="L11078" t="s">
        <v>27</v>
      </c>
      <c r="M11078" t="s">
        <v>51</v>
      </c>
      <c r="N11078" t="s">
        <v>22</v>
      </c>
    </row>
    <row r="11079" spans="1:14">
      <c r="A11079" s="4" t="str">
        <f t="shared" si="981"/>
        <v>EXP00368</v>
      </c>
      <c r="B11079" s="4" t="str">
        <f t="shared" si="982"/>
        <v>18442402</v>
      </c>
      <c r="C11079" s="4" t="str">
        <f t="shared" si="983"/>
        <v>GSE7553</v>
      </c>
      <c r="D11079" s="1" t="s">
        <v>45</v>
      </c>
      <c r="E11079" t="s">
        <v>469</v>
      </c>
      <c r="F11079" s="1">
        <v>1</v>
      </c>
      <c r="G11079" s="1" t="s">
        <v>26</v>
      </c>
      <c r="H11079" s="4" t="str">
        <f>HYPERLINK("https://www.ncbi.nlm.nih.gov/geo/query/acc.cgi?acc=GSM183286","GSM183286")</f>
        <v>GSM183286</v>
      </c>
      <c r="I11079" t="s">
        <v>82</v>
      </c>
      <c r="J11079" t="s">
        <v>83</v>
      </c>
      <c r="K11079" t="s">
        <v>19</v>
      </c>
      <c r="L11079" t="s">
        <v>27</v>
      </c>
      <c r="M11079" t="s">
        <v>51</v>
      </c>
      <c r="N11079" t="s">
        <v>22</v>
      </c>
    </row>
    <row r="11080" spans="1:14">
      <c r="A11080" s="4" t="str">
        <f t="shared" si="981"/>
        <v>EXP00368</v>
      </c>
      <c r="B11080" s="4" t="str">
        <f t="shared" si="982"/>
        <v>18442402</v>
      </c>
      <c r="C11080" s="4" t="str">
        <f t="shared" si="983"/>
        <v>GSE7553</v>
      </c>
      <c r="D11080" s="1" t="s">
        <v>45</v>
      </c>
      <c r="E11080" t="s">
        <v>469</v>
      </c>
      <c r="F11080" s="1">
        <v>1</v>
      </c>
      <c r="G11080" s="1" t="s">
        <v>26</v>
      </c>
      <c r="H11080" s="4" t="str">
        <f>HYPERLINK("https://www.ncbi.nlm.nih.gov/geo/query/acc.cgi?acc=GSM183287","GSM183287")</f>
        <v>GSM183287</v>
      </c>
      <c r="I11080" t="s">
        <v>82</v>
      </c>
      <c r="J11080" t="s">
        <v>83</v>
      </c>
      <c r="K11080" t="s">
        <v>19</v>
      </c>
      <c r="L11080" t="s">
        <v>27</v>
      </c>
      <c r="M11080" t="s">
        <v>51</v>
      </c>
      <c r="N11080" t="s">
        <v>22</v>
      </c>
    </row>
    <row r="11081" spans="1:14">
      <c r="A11081" s="4" t="str">
        <f t="shared" si="981"/>
        <v>EXP00368</v>
      </c>
      <c r="B11081" s="4" t="str">
        <f t="shared" si="982"/>
        <v>18442402</v>
      </c>
      <c r="C11081" s="4" t="str">
        <f t="shared" si="983"/>
        <v>GSE7553</v>
      </c>
      <c r="D11081" s="1" t="s">
        <v>45</v>
      </c>
      <c r="E11081" t="s">
        <v>469</v>
      </c>
      <c r="F11081" s="1">
        <v>1</v>
      </c>
      <c r="G11081" s="1" t="s">
        <v>26</v>
      </c>
      <c r="H11081" s="4" t="str">
        <f>HYPERLINK("https://www.ncbi.nlm.nih.gov/geo/query/acc.cgi?acc=GSM183288","GSM183288")</f>
        <v>GSM183288</v>
      </c>
      <c r="I11081" t="s">
        <v>82</v>
      </c>
      <c r="J11081" t="s">
        <v>83</v>
      </c>
      <c r="K11081" t="s">
        <v>19</v>
      </c>
      <c r="L11081" t="s">
        <v>27</v>
      </c>
      <c r="M11081" t="s">
        <v>51</v>
      </c>
      <c r="N11081" t="s">
        <v>22</v>
      </c>
    </row>
    <row r="11082" spans="1:14">
      <c r="A11082" s="4" t="str">
        <f t="shared" si="981"/>
        <v>EXP00368</v>
      </c>
      <c r="B11082" s="4" t="str">
        <f t="shared" si="982"/>
        <v>18442402</v>
      </c>
      <c r="C11082" s="4" t="str">
        <f t="shared" si="983"/>
        <v>GSE7553</v>
      </c>
      <c r="D11082" s="1" t="s">
        <v>45</v>
      </c>
      <c r="E11082" t="s">
        <v>469</v>
      </c>
      <c r="F11082" s="1">
        <v>1</v>
      </c>
      <c r="G11082" s="1" t="s">
        <v>26</v>
      </c>
      <c r="H11082" s="4" t="str">
        <f>HYPERLINK("https://www.ncbi.nlm.nih.gov/geo/query/acc.cgi?acc=GSM183289","GSM183289")</f>
        <v>GSM183289</v>
      </c>
      <c r="I11082" t="s">
        <v>82</v>
      </c>
      <c r="J11082" t="s">
        <v>83</v>
      </c>
      <c r="K11082" t="s">
        <v>19</v>
      </c>
      <c r="L11082" t="s">
        <v>27</v>
      </c>
      <c r="M11082" t="s">
        <v>51</v>
      </c>
      <c r="N11082" t="s">
        <v>22</v>
      </c>
    </row>
    <row r="11083" spans="1:14">
      <c r="A11083" s="4" t="str">
        <f t="shared" si="981"/>
        <v>EXP00368</v>
      </c>
      <c r="B11083" s="4" t="str">
        <f t="shared" si="982"/>
        <v>18442402</v>
      </c>
      <c r="C11083" s="4" t="str">
        <f t="shared" si="983"/>
        <v>GSE7553</v>
      </c>
      <c r="D11083" s="1" t="s">
        <v>45</v>
      </c>
      <c r="E11083" t="s">
        <v>469</v>
      </c>
      <c r="F11083" s="1">
        <v>1</v>
      </c>
      <c r="G11083" s="1" t="s">
        <v>26</v>
      </c>
      <c r="H11083" s="4" t="str">
        <f>HYPERLINK("https://www.ncbi.nlm.nih.gov/geo/query/acc.cgi?acc=GSM183290","GSM183290")</f>
        <v>GSM183290</v>
      </c>
      <c r="I11083" t="s">
        <v>82</v>
      </c>
      <c r="J11083" t="s">
        <v>83</v>
      </c>
      <c r="K11083" t="s">
        <v>19</v>
      </c>
      <c r="L11083" t="s">
        <v>27</v>
      </c>
      <c r="M11083" t="s">
        <v>51</v>
      </c>
      <c r="N11083" t="s">
        <v>22</v>
      </c>
    </row>
    <row r="11084" spans="1:14">
      <c r="A11084" s="4" t="str">
        <f t="shared" ref="A11084:A11107" si="984">HYPERLINK("http://hcmdb.i-sanger.com/experiment/details/experiment_id/EXP00368","EXP00368")</f>
        <v>EXP00368</v>
      </c>
      <c r="B11084" s="4" t="str">
        <f t="shared" ref="B11084:B11107" si="985">HYPERLINK("https://www.ncbi.nlm.nih.gov/pubmed/18442402","18442402")</f>
        <v>18442402</v>
      </c>
      <c r="C11084" s="4" t="str">
        <f t="shared" ref="C11084:C11107" si="986">HYPERLINK("https://www.ncbi.nlm.nih.gov/geo/query/acc.cgi?acc=GSE7553","GSE7553")</f>
        <v>GSE7553</v>
      </c>
      <c r="D11084" s="1" t="s">
        <v>45</v>
      </c>
      <c r="E11084" t="s">
        <v>469</v>
      </c>
      <c r="F11084" s="1">
        <v>1</v>
      </c>
      <c r="G11084" s="1" t="s">
        <v>26</v>
      </c>
      <c r="H11084" s="4" t="str">
        <f>HYPERLINK("https://www.ncbi.nlm.nih.gov/geo/query/acc.cgi?acc=GSM183291","GSM183291")</f>
        <v>GSM183291</v>
      </c>
      <c r="I11084" t="s">
        <v>82</v>
      </c>
      <c r="J11084" t="s">
        <v>83</v>
      </c>
      <c r="K11084" t="s">
        <v>19</v>
      </c>
      <c r="L11084" t="s">
        <v>27</v>
      </c>
      <c r="M11084" t="s">
        <v>51</v>
      </c>
      <c r="N11084" t="s">
        <v>22</v>
      </c>
    </row>
    <row r="11085" spans="1:14">
      <c r="A11085" s="4" t="str">
        <f t="shared" si="984"/>
        <v>EXP00368</v>
      </c>
      <c r="B11085" s="4" t="str">
        <f t="shared" si="985"/>
        <v>18442402</v>
      </c>
      <c r="C11085" s="4" t="str">
        <f t="shared" si="986"/>
        <v>GSE7553</v>
      </c>
      <c r="D11085" s="1" t="s">
        <v>45</v>
      </c>
      <c r="E11085" t="s">
        <v>469</v>
      </c>
      <c r="F11085" s="1">
        <v>1</v>
      </c>
      <c r="G11085" s="1" t="s">
        <v>26</v>
      </c>
      <c r="H11085" s="4" t="str">
        <f>HYPERLINK("https://www.ncbi.nlm.nih.gov/geo/query/acc.cgi?acc=GSM183292","GSM183292")</f>
        <v>GSM183292</v>
      </c>
      <c r="I11085" t="s">
        <v>82</v>
      </c>
      <c r="J11085" t="s">
        <v>83</v>
      </c>
      <c r="K11085" t="s">
        <v>19</v>
      </c>
      <c r="L11085" t="s">
        <v>27</v>
      </c>
      <c r="M11085" t="s">
        <v>51</v>
      </c>
      <c r="N11085" t="s">
        <v>22</v>
      </c>
    </row>
    <row r="11086" spans="1:14">
      <c r="A11086" s="4" t="str">
        <f t="shared" si="984"/>
        <v>EXP00368</v>
      </c>
      <c r="B11086" s="4" t="str">
        <f t="shared" si="985"/>
        <v>18442402</v>
      </c>
      <c r="C11086" s="4" t="str">
        <f t="shared" si="986"/>
        <v>GSE7553</v>
      </c>
      <c r="D11086" s="1" t="s">
        <v>45</v>
      </c>
      <c r="E11086" t="s">
        <v>469</v>
      </c>
      <c r="F11086" s="1">
        <v>1</v>
      </c>
      <c r="G11086" s="1" t="s">
        <v>26</v>
      </c>
      <c r="H11086" s="4" t="str">
        <f>HYPERLINK("https://www.ncbi.nlm.nih.gov/geo/query/acc.cgi?acc=GSM183293","GSM183293")</f>
        <v>GSM183293</v>
      </c>
      <c r="I11086" t="s">
        <v>82</v>
      </c>
      <c r="J11086" t="s">
        <v>83</v>
      </c>
      <c r="K11086" t="s">
        <v>19</v>
      </c>
      <c r="L11086" t="s">
        <v>27</v>
      </c>
      <c r="M11086" t="s">
        <v>51</v>
      </c>
      <c r="N11086" t="s">
        <v>22</v>
      </c>
    </row>
    <row r="11087" spans="1:14">
      <c r="A11087" s="4" t="str">
        <f t="shared" si="984"/>
        <v>EXP00368</v>
      </c>
      <c r="B11087" s="4" t="str">
        <f t="shared" si="985"/>
        <v>18442402</v>
      </c>
      <c r="C11087" s="4" t="str">
        <f t="shared" si="986"/>
        <v>GSE7553</v>
      </c>
      <c r="D11087" s="1" t="s">
        <v>45</v>
      </c>
      <c r="E11087" t="s">
        <v>469</v>
      </c>
      <c r="F11087" s="1">
        <v>1</v>
      </c>
      <c r="G11087" s="1" t="s">
        <v>26</v>
      </c>
      <c r="H11087" s="4" t="str">
        <f>HYPERLINK("https://www.ncbi.nlm.nih.gov/geo/query/acc.cgi?acc=GSM183294","GSM183294")</f>
        <v>GSM183294</v>
      </c>
      <c r="I11087" t="s">
        <v>82</v>
      </c>
      <c r="J11087" t="s">
        <v>83</v>
      </c>
      <c r="K11087" t="s">
        <v>19</v>
      </c>
      <c r="L11087" t="s">
        <v>27</v>
      </c>
      <c r="M11087" t="s">
        <v>51</v>
      </c>
      <c r="N11087" t="s">
        <v>22</v>
      </c>
    </row>
    <row r="11088" spans="1:14">
      <c r="A11088" s="4" t="str">
        <f t="shared" si="984"/>
        <v>EXP00368</v>
      </c>
      <c r="B11088" s="4" t="str">
        <f t="shared" si="985"/>
        <v>18442402</v>
      </c>
      <c r="C11088" s="4" t="str">
        <f t="shared" si="986"/>
        <v>GSE7553</v>
      </c>
      <c r="D11088" s="1" t="s">
        <v>45</v>
      </c>
      <c r="E11088" t="s">
        <v>469</v>
      </c>
      <c r="F11088" s="1">
        <v>1</v>
      </c>
      <c r="G11088" s="1" t="s">
        <v>26</v>
      </c>
      <c r="H11088" s="4" t="str">
        <f>HYPERLINK("https://www.ncbi.nlm.nih.gov/geo/query/acc.cgi?acc=GSM183295","GSM183295")</f>
        <v>GSM183295</v>
      </c>
      <c r="I11088" t="s">
        <v>82</v>
      </c>
      <c r="J11088" t="s">
        <v>83</v>
      </c>
      <c r="K11088" t="s">
        <v>19</v>
      </c>
      <c r="L11088" t="s">
        <v>27</v>
      </c>
      <c r="M11088" t="s">
        <v>51</v>
      </c>
      <c r="N11088" t="s">
        <v>22</v>
      </c>
    </row>
    <row r="11089" spans="1:14">
      <c r="A11089" s="4" t="str">
        <f t="shared" si="984"/>
        <v>EXP00368</v>
      </c>
      <c r="B11089" s="4" t="str">
        <f t="shared" si="985"/>
        <v>18442402</v>
      </c>
      <c r="C11089" s="4" t="str">
        <f t="shared" si="986"/>
        <v>GSE7553</v>
      </c>
      <c r="D11089" s="1" t="s">
        <v>45</v>
      </c>
      <c r="E11089" t="s">
        <v>469</v>
      </c>
      <c r="F11089" s="1">
        <v>1</v>
      </c>
      <c r="G11089" s="1" t="s">
        <v>26</v>
      </c>
      <c r="H11089" s="4" t="str">
        <f>HYPERLINK("https://www.ncbi.nlm.nih.gov/geo/query/acc.cgi?acc=GSM183296","GSM183296")</f>
        <v>GSM183296</v>
      </c>
      <c r="I11089" t="s">
        <v>82</v>
      </c>
      <c r="J11089" t="s">
        <v>83</v>
      </c>
      <c r="K11089" t="s">
        <v>19</v>
      </c>
      <c r="L11089" t="s">
        <v>27</v>
      </c>
      <c r="M11089" t="s">
        <v>51</v>
      </c>
      <c r="N11089" t="s">
        <v>22</v>
      </c>
    </row>
    <row r="11090" spans="1:14">
      <c r="A11090" s="4" t="str">
        <f t="shared" si="984"/>
        <v>EXP00368</v>
      </c>
      <c r="B11090" s="4" t="str">
        <f t="shared" si="985"/>
        <v>18442402</v>
      </c>
      <c r="C11090" s="4" t="str">
        <f t="shared" si="986"/>
        <v>GSE7553</v>
      </c>
      <c r="D11090" s="1" t="s">
        <v>45</v>
      </c>
      <c r="E11090" t="s">
        <v>469</v>
      </c>
      <c r="F11090" s="1">
        <v>1</v>
      </c>
      <c r="G11090" s="1" t="s">
        <v>26</v>
      </c>
      <c r="H11090" s="4" t="str">
        <f>HYPERLINK("https://www.ncbi.nlm.nih.gov/geo/query/acc.cgi?acc=GSM183297","GSM183297")</f>
        <v>GSM183297</v>
      </c>
      <c r="I11090" t="s">
        <v>82</v>
      </c>
      <c r="J11090" t="s">
        <v>83</v>
      </c>
      <c r="K11090" t="s">
        <v>19</v>
      </c>
      <c r="L11090" t="s">
        <v>27</v>
      </c>
      <c r="M11090" t="s">
        <v>51</v>
      </c>
      <c r="N11090" t="s">
        <v>22</v>
      </c>
    </row>
    <row r="11091" spans="1:14">
      <c r="A11091" s="4" t="str">
        <f t="shared" si="984"/>
        <v>EXP00368</v>
      </c>
      <c r="B11091" s="4" t="str">
        <f t="shared" si="985"/>
        <v>18442402</v>
      </c>
      <c r="C11091" s="4" t="str">
        <f t="shared" si="986"/>
        <v>GSE7553</v>
      </c>
      <c r="D11091" s="1" t="s">
        <v>45</v>
      </c>
      <c r="E11091" t="s">
        <v>469</v>
      </c>
      <c r="F11091" s="1">
        <v>1</v>
      </c>
      <c r="G11091" s="1" t="s">
        <v>26</v>
      </c>
      <c r="H11091" s="4" t="str">
        <f>HYPERLINK("https://www.ncbi.nlm.nih.gov/geo/query/acc.cgi?acc=GSM183298","GSM183298")</f>
        <v>GSM183298</v>
      </c>
      <c r="I11091" t="s">
        <v>82</v>
      </c>
      <c r="J11091" t="s">
        <v>83</v>
      </c>
      <c r="K11091" t="s">
        <v>19</v>
      </c>
      <c r="L11091" t="s">
        <v>27</v>
      </c>
      <c r="M11091" t="s">
        <v>51</v>
      </c>
      <c r="N11091" t="s">
        <v>22</v>
      </c>
    </row>
    <row r="11092" spans="1:14">
      <c r="A11092" s="4" t="str">
        <f t="shared" si="984"/>
        <v>EXP00368</v>
      </c>
      <c r="B11092" s="4" t="str">
        <f t="shared" si="985"/>
        <v>18442402</v>
      </c>
      <c r="C11092" s="4" t="str">
        <f t="shared" si="986"/>
        <v>GSE7553</v>
      </c>
      <c r="D11092" s="1" t="s">
        <v>45</v>
      </c>
      <c r="E11092" t="s">
        <v>469</v>
      </c>
      <c r="F11092" s="1">
        <v>2</v>
      </c>
      <c r="G11092" s="1" t="s">
        <v>28</v>
      </c>
      <c r="H11092" s="4" t="str">
        <f>HYPERLINK("https://www.ncbi.nlm.nih.gov/geo/query/acc.cgi?acc=GSM183222","GSM183222")</f>
        <v>GSM183222</v>
      </c>
      <c r="I11092" t="s">
        <v>82</v>
      </c>
      <c r="J11092" t="s">
        <v>83</v>
      </c>
      <c r="K11092" t="s">
        <v>19</v>
      </c>
      <c r="L11092" t="s">
        <v>27</v>
      </c>
      <c r="M11092" t="s">
        <v>51</v>
      </c>
      <c r="N11092" t="s">
        <v>29</v>
      </c>
    </row>
    <row r="11093" spans="1:14">
      <c r="A11093" s="4" t="str">
        <f t="shared" si="984"/>
        <v>EXP00368</v>
      </c>
      <c r="B11093" s="4" t="str">
        <f t="shared" si="985"/>
        <v>18442402</v>
      </c>
      <c r="C11093" s="4" t="str">
        <f t="shared" si="986"/>
        <v>GSE7553</v>
      </c>
      <c r="D11093" s="1" t="s">
        <v>45</v>
      </c>
      <c r="E11093" t="s">
        <v>469</v>
      </c>
      <c r="F11093" s="1">
        <v>2</v>
      </c>
      <c r="G11093" s="1" t="s">
        <v>28</v>
      </c>
      <c r="H11093" s="4" t="str">
        <f>HYPERLINK("https://www.ncbi.nlm.nih.gov/geo/query/acc.cgi?acc=GSM183223","GSM183223")</f>
        <v>GSM183223</v>
      </c>
      <c r="I11093" t="s">
        <v>82</v>
      </c>
      <c r="J11093" t="s">
        <v>83</v>
      </c>
      <c r="K11093" t="s">
        <v>19</v>
      </c>
      <c r="L11093" t="s">
        <v>27</v>
      </c>
      <c r="M11093" t="s">
        <v>51</v>
      </c>
      <c r="N11093" t="s">
        <v>29</v>
      </c>
    </row>
    <row r="11094" spans="1:14">
      <c r="A11094" s="4" t="str">
        <f t="shared" si="984"/>
        <v>EXP00368</v>
      </c>
      <c r="B11094" s="4" t="str">
        <f t="shared" si="985"/>
        <v>18442402</v>
      </c>
      <c r="C11094" s="4" t="str">
        <f t="shared" si="986"/>
        <v>GSE7553</v>
      </c>
      <c r="D11094" s="1" t="s">
        <v>45</v>
      </c>
      <c r="E11094" t="s">
        <v>469</v>
      </c>
      <c r="F11094" s="1">
        <v>2</v>
      </c>
      <c r="G11094" s="1" t="s">
        <v>28</v>
      </c>
      <c r="H11094" s="4" t="str">
        <f>HYPERLINK("https://www.ncbi.nlm.nih.gov/geo/query/acc.cgi?acc=GSM183224","GSM183224")</f>
        <v>GSM183224</v>
      </c>
      <c r="I11094" t="s">
        <v>82</v>
      </c>
      <c r="J11094" t="s">
        <v>83</v>
      </c>
      <c r="K11094" t="s">
        <v>19</v>
      </c>
      <c r="L11094" t="s">
        <v>27</v>
      </c>
      <c r="M11094" t="s">
        <v>51</v>
      </c>
      <c r="N11094" t="s">
        <v>29</v>
      </c>
    </row>
    <row r="11095" spans="1:14">
      <c r="A11095" s="4" t="str">
        <f t="shared" si="984"/>
        <v>EXP00368</v>
      </c>
      <c r="B11095" s="4" t="str">
        <f t="shared" si="985"/>
        <v>18442402</v>
      </c>
      <c r="C11095" s="4" t="str">
        <f t="shared" si="986"/>
        <v>GSE7553</v>
      </c>
      <c r="D11095" s="1" t="s">
        <v>45</v>
      </c>
      <c r="E11095" t="s">
        <v>469</v>
      </c>
      <c r="F11095" s="1">
        <v>2</v>
      </c>
      <c r="G11095" s="1" t="s">
        <v>28</v>
      </c>
      <c r="H11095" s="4" t="str">
        <f>HYPERLINK("https://www.ncbi.nlm.nih.gov/geo/query/acc.cgi?acc=GSM183225","GSM183225")</f>
        <v>GSM183225</v>
      </c>
      <c r="I11095" t="s">
        <v>82</v>
      </c>
      <c r="J11095" t="s">
        <v>83</v>
      </c>
      <c r="K11095" t="s">
        <v>19</v>
      </c>
      <c r="L11095" t="s">
        <v>27</v>
      </c>
      <c r="M11095" t="s">
        <v>51</v>
      </c>
      <c r="N11095" t="s">
        <v>29</v>
      </c>
    </row>
    <row r="11096" spans="1:14">
      <c r="A11096" s="4" t="str">
        <f t="shared" si="984"/>
        <v>EXP00368</v>
      </c>
      <c r="B11096" s="4" t="str">
        <f t="shared" si="985"/>
        <v>18442402</v>
      </c>
      <c r="C11096" s="4" t="str">
        <f t="shared" si="986"/>
        <v>GSE7553</v>
      </c>
      <c r="D11096" s="1" t="s">
        <v>45</v>
      </c>
      <c r="E11096" t="s">
        <v>469</v>
      </c>
      <c r="F11096" s="1">
        <v>2</v>
      </c>
      <c r="G11096" s="1" t="s">
        <v>28</v>
      </c>
      <c r="H11096" s="4" t="str">
        <f>HYPERLINK("https://www.ncbi.nlm.nih.gov/geo/query/acc.cgi?acc=GSM183235","GSM183235")</f>
        <v>GSM183235</v>
      </c>
      <c r="I11096" t="s">
        <v>82</v>
      </c>
      <c r="J11096" t="s">
        <v>83</v>
      </c>
      <c r="K11096" t="s">
        <v>19</v>
      </c>
      <c r="L11096" t="s">
        <v>27</v>
      </c>
      <c r="M11096" t="s">
        <v>51</v>
      </c>
      <c r="N11096" t="s">
        <v>29</v>
      </c>
    </row>
    <row r="11097" spans="1:14">
      <c r="A11097" s="4" t="str">
        <f t="shared" si="984"/>
        <v>EXP00368</v>
      </c>
      <c r="B11097" s="4" t="str">
        <f t="shared" si="985"/>
        <v>18442402</v>
      </c>
      <c r="C11097" s="4" t="str">
        <f t="shared" si="986"/>
        <v>GSE7553</v>
      </c>
      <c r="D11097" s="1" t="s">
        <v>45</v>
      </c>
      <c r="E11097" t="s">
        <v>469</v>
      </c>
      <c r="F11097" s="1">
        <v>2</v>
      </c>
      <c r="G11097" s="1" t="s">
        <v>28</v>
      </c>
      <c r="H11097" s="4" t="str">
        <f>HYPERLINK("https://www.ncbi.nlm.nih.gov/geo/query/acc.cgi?acc=GSM183258","GSM183258")</f>
        <v>GSM183258</v>
      </c>
      <c r="I11097" t="s">
        <v>82</v>
      </c>
      <c r="J11097" t="s">
        <v>83</v>
      </c>
      <c r="K11097" t="s">
        <v>19</v>
      </c>
      <c r="L11097" t="s">
        <v>27</v>
      </c>
      <c r="M11097" t="s">
        <v>51</v>
      </c>
      <c r="N11097" t="s">
        <v>29</v>
      </c>
    </row>
    <row r="11098" spans="1:14">
      <c r="A11098" s="4" t="str">
        <f t="shared" si="984"/>
        <v>EXP00368</v>
      </c>
      <c r="B11098" s="4" t="str">
        <f t="shared" si="985"/>
        <v>18442402</v>
      </c>
      <c r="C11098" s="4" t="str">
        <f t="shared" si="986"/>
        <v>GSE7553</v>
      </c>
      <c r="D11098" s="1" t="s">
        <v>45</v>
      </c>
      <c r="E11098" t="s">
        <v>469</v>
      </c>
      <c r="F11098" s="1">
        <v>2</v>
      </c>
      <c r="G11098" s="1" t="s">
        <v>28</v>
      </c>
      <c r="H11098" s="4" t="str">
        <f>HYPERLINK("https://www.ncbi.nlm.nih.gov/geo/query/acc.cgi?acc=GSM183259","GSM183259")</f>
        <v>GSM183259</v>
      </c>
      <c r="I11098" t="s">
        <v>82</v>
      </c>
      <c r="J11098" t="s">
        <v>83</v>
      </c>
      <c r="K11098" t="s">
        <v>19</v>
      </c>
      <c r="L11098" t="s">
        <v>27</v>
      </c>
      <c r="M11098" t="s">
        <v>51</v>
      </c>
      <c r="N11098" t="s">
        <v>29</v>
      </c>
    </row>
    <row r="11099" spans="1:14">
      <c r="A11099" s="4" t="str">
        <f t="shared" si="984"/>
        <v>EXP00368</v>
      </c>
      <c r="B11099" s="4" t="str">
        <f t="shared" si="985"/>
        <v>18442402</v>
      </c>
      <c r="C11099" s="4" t="str">
        <f t="shared" si="986"/>
        <v>GSE7553</v>
      </c>
      <c r="D11099" s="1" t="s">
        <v>45</v>
      </c>
      <c r="E11099" t="s">
        <v>469</v>
      </c>
      <c r="F11099" s="1">
        <v>2</v>
      </c>
      <c r="G11099" s="1" t="s">
        <v>28</v>
      </c>
      <c r="H11099" s="4" t="str">
        <f>HYPERLINK("https://www.ncbi.nlm.nih.gov/geo/query/acc.cgi?acc=GSM183260","GSM183260")</f>
        <v>GSM183260</v>
      </c>
      <c r="I11099" t="s">
        <v>82</v>
      </c>
      <c r="J11099" t="s">
        <v>83</v>
      </c>
      <c r="K11099" t="s">
        <v>19</v>
      </c>
      <c r="L11099" t="s">
        <v>27</v>
      </c>
      <c r="M11099" t="s">
        <v>51</v>
      </c>
      <c r="N11099" t="s">
        <v>29</v>
      </c>
    </row>
    <row r="11100" spans="1:14">
      <c r="A11100" s="4" t="str">
        <f t="shared" si="984"/>
        <v>EXP00368</v>
      </c>
      <c r="B11100" s="4" t="str">
        <f t="shared" si="985"/>
        <v>18442402</v>
      </c>
      <c r="C11100" s="4" t="str">
        <f t="shared" si="986"/>
        <v>GSE7553</v>
      </c>
      <c r="D11100" s="1" t="s">
        <v>45</v>
      </c>
      <c r="E11100" t="s">
        <v>469</v>
      </c>
      <c r="F11100" s="1">
        <v>2</v>
      </c>
      <c r="G11100" s="1" t="s">
        <v>28</v>
      </c>
      <c r="H11100" s="4" t="str">
        <f>HYPERLINK("https://www.ncbi.nlm.nih.gov/geo/query/acc.cgi?acc=GSM183261","GSM183261")</f>
        <v>GSM183261</v>
      </c>
      <c r="I11100" t="s">
        <v>82</v>
      </c>
      <c r="J11100" t="s">
        <v>83</v>
      </c>
      <c r="K11100" t="s">
        <v>19</v>
      </c>
      <c r="L11100" t="s">
        <v>27</v>
      </c>
      <c r="M11100" t="s">
        <v>51</v>
      </c>
      <c r="N11100" t="s">
        <v>29</v>
      </c>
    </row>
    <row r="11101" spans="1:14">
      <c r="A11101" s="4" t="str">
        <f t="shared" si="984"/>
        <v>EXP00368</v>
      </c>
      <c r="B11101" s="4" t="str">
        <f t="shared" si="985"/>
        <v>18442402</v>
      </c>
      <c r="C11101" s="4" t="str">
        <f t="shared" si="986"/>
        <v>GSE7553</v>
      </c>
      <c r="D11101" s="1" t="s">
        <v>45</v>
      </c>
      <c r="E11101" t="s">
        <v>469</v>
      </c>
      <c r="F11101" s="1">
        <v>2</v>
      </c>
      <c r="G11101" s="1" t="s">
        <v>28</v>
      </c>
      <c r="H11101" s="4" t="str">
        <f>HYPERLINK("https://www.ncbi.nlm.nih.gov/geo/query/acc.cgi?acc=GSM183262","GSM183262")</f>
        <v>GSM183262</v>
      </c>
      <c r="I11101" t="s">
        <v>82</v>
      </c>
      <c r="J11101" t="s">
        <v>83</v>
      </c>
      <c r="K11101" t="s">
        <v>19</v>
      </c>
      <c r="L11101" t="s">
        <v>27</v>
      </c>
      <c r="M11101" t="s">
        <v>51</v>
      </c>
      <c r="N11101" t="s">
        <v>29</v>
      </c>
    </row>
    <row r="11102" spans="1:14">
      <c r="A11102" s="4" t="str">
        <f t="shared" si="984"/>
        <v>EXP00368</v>
      </c>
      <c r="B11102" s="4" t="str">
        <f t="shared" si="985"/>
        <v>18442402</v>
      </c>
      <c r="C11102" s="4" t="str">
        <f t="shared" si="986"/>
        <v>GSE7553</v>
      </c>
      <c r="D11102" s="1" t="s">
        <v>45</v>
      </c>
      <c r="E11102" t="s">
        <v>469</v>
      </c>
      <c r="F11102" s="1">
        <v>2</v>
      </c>
      <c r="G11102" s="1" t="s">
        <v>28</v>
      </c>
      <c r="H11102" s="4" t="str">
        <f>HYPERLINK("https://www.ncbi.nlm.nih.gov/geo/query/acc.cgi?acc=GSM183263","GSM183263")</f>
        <v>GSM183263</v>
      </c>
      <c r="I11102" t="s">
        <v>82</v>
      </c>
      <c r="J11102" t="s">
        <v>83</v>
      </c>
      <c r="K11102" t="s">
        <v>19</v>
      </c>
      <c r="L11102" t="s">
        <v>27</v>
      </c>
      <c r="M11102" t="s">
        <v>51</v>
      </c>
      <c r="N11102" t="s">
        <v>29</v>
      </c>
    </row>
    <row r="11103" spans="1:14">
      <c r="A11103" s="4" t="str">
        <f t="shared" si="984"/>
        <v>EXP00368</v>
      </c>
      <c r="B11103" s="4" t="str">
        <f t="shared" si="985"/>
        <v>18442402</v>
      </c>
      <c r="C11103" s="4" t="str">
        <f t="shared" si="986"/>
        <v>GSE7553</v>
      </c>
      <c r="D11103" s="1" t="s">
        <v>45</v>
      </c>
      <c r="E11103" t="s">
        <v>469</v>
      </c>
      <c r="F11103" s="1">
        <v>2</v>
      </c>
      <c r="G11103" s="1" t="s">
        <v>28</v>
      </c>
      <c r="H11103" s="4" t="str">
        <f>HYPERLINK("https://www.ncbi.nlm.nih.gov/geo/query/acc.cgi?acc=GSM183264","GSM183264")</f>
        <v>GSM183264</v>
      </c>
      <c r="I11103" t="s">
        <v>82</v>
      </c>
      <c r="J11103" t="s">
        <v>83</v>
      </c>
      <c r="K11103" t="s">
        <v>19</v>
      </c>
      <c r="L11103" t="s">
        <v>27</v>
      </c>
      <c r="M11103" t="s">
        <v>51</v>
      </c>
      <c r="N11103" t="s">
        <v>29</v>
      </c>
    </row>
    <row r="11104" spans="1:14">
      <c r="A11104" s="4" t="str">
        <f t="shared" si="984"/>
        <v>EXP00368</v>
      </c>
      <c r="B11104" s="4" t="str">
        <f t="shared" si="985"/>
        <v>18442402</v>
      </c>
      <c r="C11104" s="4" t="str">
        <f t="shared" si="986"/>
        <v>GSE7553</v>
      </c>
      <c r="D11104" s="1" t="s">
        <v>45</v>
      </c>
      <c r="E11104" t="s">
        <v>469</v>
      </c>
      <c r="F11104" s="1">
        <v>2</v>
      </c>
      <c r="G11104" s="1" t="s">
        <v>28</v>
      </c>
      <c r="H11104" s="4" t="str">
        <f>HYPERLINK("https://www.ncbi.nlm.nih.gov/geo/query/acc.cgi?acc=GSM183265","GSM183265")</f>
        <v>GSM183265</v>
      </c>
      <c r="I11104" t="s">
        <v>82</v>
      </c>
      <c r="J11104" t="s">
        <v>83</v>
      </c>
      <c r="K11104" t="s">
        <v>19</v>
      </c>
      <c r="L11104" t="s">
        <v>27</v>
      </c>
      <c r="M11104" t="s">
        <v>51</v>
      </c>
      <c r="N11104" t="s">
        <v>29</v>
      </c>
    </row>
    <row r="11105" spans="1:14">
      <c r="A11105" s="4" t="str">
        <f t="shared" si="984"/>
        <v>EXP00368</v>
      </c>
      <c r="B11105" s="4" t="str">
        <f t="shared" si="985"/>
        <v>18442402</v>
      </c>
      <c r="C11105" s="4" t="str">
        <f t="shared" si="986"/>
        <v>GSE7553</v>
      </c>
      <c r="D11105" s="1" t="s">
        <v>45</v>
      </c>
      <c r="E11105" t="s">
        <v>469</v>
      </c>
      <c r="F11105" s="1">
        <v>2</v>
      </c>
      <c r="G11105" s="1" t="s">
        <v>28</v>
      </c>
      <c r="H11105" s="4" t="str">
        <f>HYPERLINK("https://www.ncbi.nlm.nih.gov/geo/query/acc.cgi?acc=GSM183266","GSM183266")</f>
        <v>GSM183266</v>
      </c>
      <c r="I11105" t="s">
        <v>82</v>
      </c>
      <c r="J11105" t="s">
        <v>83</v>
      </c>
      <c r="K11105" t="s">
        <v>19</v>
      </c>
      <c r="L11105" t="s">
        <v>27</v>
      </c>
      <c r="M11105" t="s">
        <v>51</v>
      </c>
      <c r="N11105" t="s">
        <v>29</v>
      </c>
    </row>
    <row r="11106" spans="1:14">
      <c r="A11106" s="4" t="str">
        <f t="shared" si="984"/>
        <v>EXP00368</v>
      </c>
      <c r="B11106" s="4" t="str">
        <f t="shared" si="985"/>
        <v>18442402</v>
      </c>
      <c r="C11106" s="4" t="str">
        <f t="shared" si="986"/>
        <v>GSE7553</v>
      </c>
      <c r="D11106" s="1" t="s">
        <v>45</v>
      </c>
      <c r="E11106" t="s">
        <v>469</v>
      </c>
      <c r="F11106" s="1">
        <v>2</v>
      </c>
      <c r="G11106" s="1" t="s">
        <v>28</v>
      </c>
      <c r="H11106" s="4" t="str">
        <f>HYPERLINK("https://www.ncbi.nlm.nih.gov/geo/query/acc.cgi?acc=GSM183303","GSM183303")</f>
        <v>GSM183303</v>
      </c>
      <c r="I11106" t="s">
        <v>82</v>
      </c>
      <c r="J11106" t="s">
        <v>83</v>
      </c>
      <c r="K11106" t="s">
        <v>19</v>
      </c>
      <c r="L11106" t="s">
        <v>27</v>
      </c>
      <c r="M11106" t="s">
        <v>51</v>
      </c>
      <c r="N11106" t="s">
        <v>29</v>
      </c>
    </row>
    <row r="11107" spans="1:14">
      <c r="A11107" s="4" t="str">
        <f t="shared" si="984"/>
        <v>EXP00368</v>
      </c>
      <c r="B11107" s="4" t="str">
        <f t="shared" si="985"/>
        <v>18442402</v>
      </c>
      <c r="C11107" s="4" t="str">
        <f t="shared" si="986"/>
        <v>GSE7553</v>
      </c>
      <c r="D11107" s="1" t="s">
        <v>45</v>
      </c>
      <c r="E11107" t="s">
        <v>469</v>
      </c>
      <c r="F11107" s="1">
        <v>2</v>
      </c>
      <c r="G11107" s="1" t="s">
        <v>28</v>
      </c>
      <c r="H11107" s="4" t="str">
        <f>HYPERLINK("https://www.ncbi.nlm.nih.gov/geo/query/acc.cgi?acc=GSM183304","GSM183304")</f>
        <v>GSM183304</v>
      </c>
      <c r="I11107" t="s">
        <v>82</v>
      </c>
      <c r="J11107" t="s">
        <v>83</v>
      </c>
      <c r="K11107" t="s">
        <v>19</v>
      </c>
      <c r="L11107" t="s">
        <v>27</v>
      </c>
      <c r="M11107" t="s">
        <v>51</v>
      </c>
      <c r="N11107" t="s">
        <v>29</v>
      </c>
    </row>
    <row r="11108" spans="1:14">
      <c r="A11108" s="4" t="str">
        <f t="shared" ref="A11108:A11139" si="987">HYPERLINK("http://hcmdb.i-sanger.com/experiment/details/experiment_id/EXP00369","EXP00369")</f>
        <v>EXP00369</v>
      </c>
      <c r="B11108" s="3" t="s">
        <v>66</v>
      </c>
      <c r="C11108" s="4" t="str">
        <f t="shared" ref="C11108:C11139" si="988">HYPERLINK("https://www.ncbi.nlm.nih.gov/geo/query/acc.cgi?acc=GSE76124","GSE76124")</f>
        <v>GSE76124</v>
      </c>
      <c r="D11108" s="1" t="s">
        <v>45</v>
      </c>
      <c r="E11108" t="s">
        <v>470</v>
      </c>
      <c r="F11108" s="1">
        <v>1</v>
      </c>
      <c r="G11108" s="1" t="s">
        <v>31</v>
      </c>
      <c r="H11108" s="4" t="str">
        <f>HYPERLINK("https://www.ncbi.nlm.nih.gov/geo/query/acc.cgi?acc=GSM1974651","GSM1974651")</f>
        <v>GSM1974651</v>
      </c>
      <c r="I11108" t="s">
        <v>17</v>
      </c>
      <c r="J11108" t="s">
        <v>471</v>
      </c>
      <c r="K11108" t="s">
        <v>19</v>
      </c>
      <c r="L11108" t="s">
        <v>20</v>
      </c>
      <c r="M11108" t="s">
        <v>51</v>
      </c>
      <c r="N11108" t="s">
        <v>29</v>
      </c>
    </row>
    <row r="11109" spans="1:14">
      <c r="A11109" s="4" t="str">
        <f t="shared" si="987"/>
        <v>EXP00369</v>
      </c>
      <c r="B11109" s="3" t="s">
        <v>66</v>
      </c>
      <c r="C11109" s="4" t="str">
        <f t="shared" si="988"/>
        <v>GSE76124</v>
      </c>
      <c r="D11109" s="1" t="s">
        <v>45</v>
      </c>
      <c r="E11109" t="s">
        <v>470</v>
      </c>
      <c r="F11109" s="1">
        <v>1</v>
      </c>
      <c r="G11109" s="1" t="s">
        <v>31</v>
      </c>
      <c r="H11109" s="4" t="str">
        <f>HYPERLINK("https://www.ncbi.nlm.nih.gov/geo/query/acc.cgi?acc=GSM1974680","GSM1974680")</f>
        <v>GSM1974680</v>
      </c>
      <c r="I11109" t="s">
        <v>17</v>
      </c>
      <c r="J11109" t="s">
        <v>471</v>
      </c>
      <c r="K11109" t="s">
        <v>19</v>
      </c>
      <c r="L11109" t="s">
        <v>20</v>
      </c>
      <c r="M11109" t="s">
        <v>51</v>
      </c>
      <c r="N11109" t="s">
        <v>29</v>
      </c>
    </row>
    <row r="11110" spans="1:14">
      <c r="A11110" s="4" t="str">
        <f t="shared" si="987"/>
        <v>EXP00369</v>
      </c>
      <c r="B11110" s="3" t="s">
        <v>66</v>
      </c>
      <c r="C11110" s="4" t="str">
        <f t="shared" si="988"/>
        <v>GSE76124</v>
      </c>
      <c r="D11110" s="1" t="s">
        <v>45</v>
      </c>
      <c r="E11110" t="s">
        <v>470</v>
      </c>
      <c r="F11110" s="1">
        <v>2</v>
      </c>
      <c r="G11110" s="1" t="s">
        <v>32</v>
      </c>
      <c r="H11110" s="4" t="str">
        <f>HYPERLINK("https://www.ncbi.nlm.nih.gov/geo/query/acc.cgi?acc=GSM1974566","GSM1974566")</f>
        <v>GSM1974566</v>
      </c>
      <c r="I11110" t="s">
        <v>17</v>
      </c>
      <c r="J11110" t="s">
        <v>471</v>
      </c>
      <c r="K11110" t="s">
        <v>33</v>
      </c>
      <c r="L11110" t="s">
        <v>20</v>
      </c>
      <c r="N11110" t="s">
        <v>29</v>
      </c>
    </row>
    <row r="11111" spans="1:14">
      <c r="A11111" s="4" t="str">
        <f t="shared" si="987"/>
        <v>EXP00369</v>
      </c>
      <c r="B11111" s="3" t="s">
        <v>66</v>
      </c>
      <c r="C11111" s="4" t="str">
        <f t="shared" si="988"/>
        <v>GSE76124</v>
      </c>
      <c r="D11111" s="1" t="s">
        <v>45</v>
      </c>
      <c r="E11111" t="s">
        <v>470</v>
      </c>
      <c r="F11111" s="1">
        <v>2</v>
      </c>
      <c r="G11111" s="1" t="s">
        <v>32</v>
      </c>
      <c r="H11111" s="4" t="str">
        <f>HYPERLINK("https://www.ncbi.nlm.nih.gov/geo/query/acc.cgi?acc=GSM1974567","GSM1974567")</f>
        <v>GSM1974567</v>
      </c>
      <c r="I11111" t="s">
        <v>17</v>
      </c>
      <c r="J11111" t="s">
        <v>471</v>
      </c>
      <c r="K11111" t="s">
        <v>33</v>
      </c>
      <c r="L11111" t="s">
        <v>20</v>
      </c>
      <c r="N11111" t="s">
        <v>29</v>
      </c>
    </row>
    <row r="11112" spans="1:14">
      <c r="A11112" s="4" t="str">
        <f t="shared" si="987"/>
        <v>EXP00369</v>
      </c>
      <c r="B11112" s="3" t="s">
        <v>66</v>
      </c>
      <c r="C11112" s="4" t="str">
        <f t="shared" si="988"/>
        <v>GSE76124</v>
      </c>
      <c r="D11112" s="1" t="s">
        <v>45</v>
      </c>
      <c r="E11112" t="s">
        <v>470</v>
      </c>
      <c r="F11112" s="1">
        <v>2</v>
      </c>
      <c r="G11112" s="1" t="s">
        <v>32</v>
      </c>
      <c r="H11112" s="4" t="str">
        <f>HYPERLINK("https://www.ncbi.nlm.nih.gov/geo/query/acc.cgi?acc=GSM1974568","GSM1974568")</f>
        <v>GSM1974568</v>
      </c>
      <c r="I11112" t="s">
        <v>17</v>
      </c>
      <c r="J11112" t="s">
        <v>471</v>
      </c>
      <c r="K11112" t="s">
        <v>33</v>
      </c>
      <c r="L11112" t="s">
        <v>20</v>
      </c>
      <c r="N11112" t="s">
        <v>29</v>
      </c>
    </row>
    <row r="11113" spans="1:14">
      <c r="A11113" s="4" t="str">
        <f t="shared" si="987"/>
        <v>EXP00369</v>
      </c>
      <c r="B11113" s="3" t="s">
        <v>66</v>
      </c>
      <c r="C11113" s="4" t="str">
        <f t="shared" si="988"/>
        <v>GSE76124</v>
      </c>
      <c r="D11113" s="1" t="s">
        <v>45</v>
      </c>
      <c r="E11113" t="s">
        <v>470</v>
      </c>
      <c r="F11113" s="1">
        <v>2</v>
      </c>
      <c r="G11113" s="1" t="s">
        <v>32</v>
      </c>
      <c r="H11113" s="4" t="str">
        <f>HYPERLINK("https://www.ncbi.nlm.nih.gov/geo/query/acc.cgi?acc=GSM1974569","GSM1974569")</f>
        <v>GSM1974569</v>
      </c>
      <c r="I11113" t="s">
        <v>17</v>
      </c>
      <c r="J11113" t="s">
        <v>471</v>
      </c>
      <c r="K11113" t="s">
        <v>33</v>
      </c>
      <c r="L11113" t="s">
        <v>20</v>
      </c>
      <c r="N11113" t="s">
        <v>29</v>
      </c>
    </row>
    <row r="11114" spans="1:14">
      <c r="A11114" s="4" t="str">
        <f t="shared" si="987"/>
        <v>EXP00369</v>
      </c>
      <c r="B11114" s="3" t="s">
        <v>66</v>
      </c>
      <c r="C11114" s="4" t="str">
        <f t="shared" si="988"/>
        <v>GSE76124</v>
      </c>
      <c r="D11114" s="1" t="s">
        <v>45</v>
      </c>
      <c r="E11114" t="s">
        <v>470</v>
      </c>
      <c r="F11114" s="1">
        <v>2</v>
      </c>
      <c r="G11114" s="1" t="s">
        <v>32</v>
      </c>
      <c r="H11114" s="4" t="str">
        <f>HYPERLINK("https://www.ncbi.nlm.nih.gov/geo/query/acc.cgi?acc=GSM1974574","GSM1974574")</f>
        <v>GSM1974574</v>
      </c>
      <c r="I11114" t="s">
        <v>17</v>
      </c>
      <c r="J11114" t="s">
        <v>471</v>
      </c>
      <c r="K11114" t="s">
        <v>33</v>
      </c>
      <c r="L11114" t="s">
        <v>20</v>
      </c>
      <c r="N11114" t="s">
        <v>29</v>
      </c>
    </row>
    <row r="11115" spans="1:14">
      <c r="A11115" s="4" t="str">
        <f t="shared" si="987"/>
        <v>EXP00369</v>
      </c>
      <c r="B11115" s="3" t="s">
        <v>66</v>
      </c>
      <c r="C11115" s="4" t="str">
        <f t="shared" si="988"/>
        <v>GSE76124</v>
      </c>
      <c r="D11115" s="1" t="s">
        <v>45</v>
      </c>
      <c r="E11115" t="s">
        <v>470</v>
      </c>
      <c r="F11115" s="1">
        <v>2</v>
      </c>
      <c r="G11115" s="1" t="s">
        <v>32</v>
      </c>
      <c r="H11115" s="4" t="str">
        <f>HYPERLINK("https://www.ncbi.nlm.nih.gov/geo/query/acc.cgi?acc=GSM1974578","GSM1974578")</f>
        <v>GSM1974578</v>
      </c>
      <c r="I11115" t="s">
        <v>17</v>
      </c>
      <c r="J11115" t="s">
        <v>471</v>
      </c>
      <c r="K11115" t="s">
        <v>33</v>
      </c>
      <c r="L11115" t="s">
        <v>20</v>
      </c>
      <c r="N11115" t="s">
        <v>29</v>
      </c>
    </row>
    <row r="11116" spans="1:14">
      <c r="A11116" s="4" t="str">
        <f t="shared" si="987"/>
        <v>EXP00369</v>
      </c>
      <c r="B11116" s="3" t="s">
        <v>66</v>
      </c>
      <c r="C11116" s="4" t="str">
        <f t="shared" si="988"/>
        <v>GSE76124</v>
      </c>
      <c r="D11116" s="1" t="s">
        <v>45</v>
      </c>
      <c r="E11116" t="s">
        <v>470</v>
      </c>
      <c r="F11116" s="1">
        <v>2</v>
      </c>
      <c r="G11116" s="1" t="s">
        <v>32</v>
      </c>
      <c r="H11116" s="4" t="str">
        <f>HYPERLINK("https://www.ncbi.nlm.nih.gov/geo/query/acc.cgi?acc=GSM1974579","GSM1974579")</f>
        <v>GSM1974579</v>
      </c>
      <c r="I11116" t="s">
        <v>17</v>
      </c>
      <c r="J11116" t="s">
        <v>471</v>
      </c>
      <c r="K11116" t="s">
        <v>33</v>
      </c>
      <c r="L11116" t="s">
        <v>20</v>
      </c>
      <c r="N11116" t="s">
        <v>29</v>
      </c>
    </row>
    <row r="11117" spans="1:14">
      <c r="A11117" s="4" t="str">
        <f t="shared" si="987"/>
        <v>EXP00369</v>
      </c>
      <c r="B11117" s="3" t="s">
        <v>66</v>
      </c>
      <c r="C11117" s="4" t="str">
        <f t="shared" si="988"/>
        <v>GSE76124</v>
      </c>
      <c r="D11117" s="1" t="s">
        <v>45</v>
      </c>
      <c r="E11117" t="s">
        <v>470</v>
      </c>
      <c r="F11117" s="1">
        <v>2</v>
      </c>
      <c r="G11117" s="1" t="s">
        <v>32</v>
      </c>
      <c r="H11117" s="4" t="str">
        <f>HYPERLINK("https://www.ncbi.nlm.nih.gov/geo/query/acc.cgi?acc=GSM1974581","GSM1974581")</f>
        <v>GSM1974581</v>
      </c>
      <c r="I11117" t="s">
        <v>17</v>
      </c>
      <c r="J11117" t="s">
        <v>471</v>
      </c>
      <c r="K11117" t="s">
        <v>33</v>
      </c>
      <c r="L11117" t="s">
        <v>20</v>
      </c>
      <c r="N11117" t="s">
        <v>29</v>
      </c>
    </row>
    <row r="11118" spans="1:14">
      <c r="A11118" s="4" t="str">
        <f t="shared" si="987"/>
        <v>EXP00369</v>
      </c>
      <c r="B11118" s="3" t="s">
        <v>66</v>
      </c>
      <c r="C11118" s="4" t="str">
        <f t="shared" si="988"/>
        <v>GSE76124</v>
      </c>
      <c r="D11118" s="1" t="s">
        <v>45</v>
      </c>
      <c r="E11118" t="s">
        <v>470</v>
      </c>
      <c r="F11118" s="1">
        <v>2</v>
      </c>
      <c r="G11118" s="1" t="s">
        <v>32</v>
      </c>
      <c r="H11118" s="4" t="str">
        <f>HYPERLINK("https://www.ncbi.nlm.nih.gov/geo/query/acc.cgi?acc=GSM1974583","GSM1974583")</f>
        <v>GSM1974583</v>
      </c>
      <c r="I11118" t="s">
        <v>17</v>
      </c>
      <c r="J11118" t="s">
        <v>471</v>
      </c>
      <c r="K11118" t="s">
        <v>33</v>
      </c>
      <c r="L11118" t="s">
        <v>20</v>
      </c>
      <c r="N11118" t="s">
        <v>29</v>
      </c>
    </row>
    <row r="11119" spans="1:14">
      <c r="A11119" s="4" t="str">
        <f t="shared" si="987"/>
        <v>EXP00369</v>
      </c>
      <c r="B11119" s="3" t="s">
        <v>66</v>
      </c>
      <c r="C11119" s="4" t="str">
        <f t="shared" si="988"/>
        <v>GSE76124</v>
      </c>
      <c r="D11119" s="1" t="s">
        <v>45</v>
      </c>
      <c r="E11119" t="s">
        <v>470</v>
      </c>
      <c r="F11119" s="1">
        <v>2</v>
      </c>
      <c r="G11119" s="1" t="s">
        <v>32</v>
      </c>
      <c r="H11119" s="4" t="str">
        <f>HYPERLINK("https://www.ncbi.nlm.nih.gov/geo/query/acc.cgi?acc=GSM1974584","GSM1974584")</f>
        <v>GSM1974584</v>
      </c>
      <c r="I11119" t="s">
        <v>17</v>
      </c>
      <c r="J11119" t="s">
        <v>471</v>
      </c>
      <c r="K11119" t="s">
        <v>33</v>
      </c>
      <c r="L11119" t="s">
        <v>20</v>
      </c>
      <c r="N11119" t="s">
        <v>29</v>
      </c>
    </row>
    <row r="11120" spans="1:14">
      <c r="A11120" s="4" t="str">
        <f t="shared" si="987"/>
        <v>EXP00369</v>
      </c>
      <c r="B11120" s="3" t="s">
        <v>66</v>
      </c>
      <c r="C11120" s="4" t="str">
        <f t="shared" si="988"/>
        <v>GSE76124</v>
      </c>
      <c r="D11120" s="1" t="s">
        <v>45</v>
      </c>
      <c r="E11120" t="s">
        <v>470</v>
      </c>
      <c r="F11120" s="1">
        <v>2</v>
      </c>
      <c r="G11120" s="1" t="s">
        <v>32</v>
      </c>
      <c r="H11120" s="4" t="str">
        <f>HYPERLINK("https://www.ncbi.nlm.nih.gov/geo/query/acc.cgi?acc=GSM1974585","GSM1974585")</f>
        <v>GSM1974585</v>
      </c>
      <c r="I11120" t="s">
        <v>17</v>
      </c>
      <c r="J11120" t="s">
        <v>471</v>
      </c>
      <c r="K11120" t="s">
        <v>33</v>
      </c>
      <c r="L11120" t="s">
        <v>20</v>
      </c>
      <c r="N11120" t="s">
        <v>29</v>
      </c>
    </row>
    <row r="11121" spans="1:14">
      <c r="A11121" s="4" t="str">
        <f t="shared" si="987"/>
        <v>EXP00369</v>
      </c>
      <c r="B11121" s="3" t="s">
        <v>66</v>
      </c>
      <c r="C11121" s="4" t="str">
        <f t="shared" si="988"/>
        <v>GSE76124</v>
      </c>
      <c r="D11121" s="1" t="s">
        <v>45</v>
      </c>
      <c r="E11121" t="s">
        <v>470</v>
      </c>
      <c r="F11121" s="1">
        <v>2</v>
      </c>
      <c r="G11121" s="1" t="s">
        <v>32</v>
      </c>
      <c r="H11121" s="4" t="str">
        <f>HYPERLINK("https://www.ncbi.nlm.nih.gov/geo/query/acc.cgi?acc=GSM1974587","GSM1974587")</f>
        <v>GSM1974587</v>
      </c>
      <c r="I11121" t="s">
        <v>17</v>
      </c>
      <c r="J11121" t="s">
        <v>471</v>
      </c>
      <c r="K11121" t="s">
        <v>33</v>
      </c>
      <c r="L11121" t="s">
        <v>20</v>
      </c>
      <c r="N11121" t="s">
        <v>29</v>
      </c>
    </row>
    <row r="11122" spans="1:14">
      <c r="A11122" s="4" t="str">
        <f t="shared" si="987"/>
        <v>EXP00369</v>
      </c>
      <c r="B11122" s="3" t="s">
        <v>66</v>
      </c>
      <c r="C11122" s="4" t="str">
        <f t="shared" si="988"/>
        <v>GSE76124</v>
      </c>
      <c r="D11122" s="1" t="s">
        <v>45</v>
      </c>
      <c r="E11122" t="s">
        <v>470</v>
      </c>
      <c r="F11122" s="1">
        <v>2</v>
      </c>
      <c r="G11122" s="1" t="s">
        <v>32</v>
      </c>
      <c r="H11122" s="4" t="str">
        <f>HYPERLINK("https://www.ncbi.nlm.nih.gov/geo/query/acc.cgi?acc=GSM1974588","GSM1974588")</f>
        <v>GSM1974588</v>
      </c>
      <c r="I11122" t="s">
        <v>17</v>
      </c>
      <c r="J11122" t="s">
        <v>471</v>
      </c>
      <c r="K11122" t="s">
        <v>33</v>
      </c>
      <c r="L11122" t="s">
        <v>20</v>
      </c>
      <c r="N11122" t="s">
        <v>29</v>
      </c>
    </row>
    <row r="11123" spans="1:14">
      <c r="A11123" s="4" t="str">
        <f t="shared" si="987"/>
        <v>EXP00369</v>
      </c>
      <c r="B11123" s="3" t="s">
        <v>66</v>
      </c>
      <c r="C11123" s="4" t="str">
        <f t="shared" si="988"/>
        <v>GSE76124</v>
      </c>
      <c r="D11123" s="1" t="s">
        <v>45</v>
      </c>
      <c r="E11123" t="s">
        <v>470</v>
      </c>
      <c r="F11123" s="1">
        <v>2</v>
      </c>
      <c r="G11123" s="1" t="s">
        <v>32</v>
      </c>
      <c r="H11123" s="4" t="str">
        <f>HYPERLINK("https://www.ncbi.nlm.nih.gov/geo/query/acc.cgi?acc=GSM1974589","GSM1974589")</f>
        <v>GSM1974589</v>
      </c>
      <c r="I11123" t="s">
        <v>17</v>
      </c>
      <c r="J11123" t="s">
        <v>471</v>
      </c>
      <c r="K11123" t="s">
        <v>33</v>
      </c>
      <c r="L11123" t="s">
        <v>20</v>
      </c>
      <c r="N11123" t="s">
        <v>29</v>
      </c>
    </row>
    <row r="11124" spans="1:14">
      <c r="A11124" s="4" t="str">
        <f t="shared" si="987"/>
        <v>EXP00369</v>
      </c>
      <c r="B11124" s="3" t="s">
        <v>66</v>
      </c>
      <c r="C11124" s="4" t="str">
        <f t="shared" si="988"/>
        <v>GSE76124</v>
      </c>
      <c r="D11124" s="1" t="s">
        <v>45</v>
      </c>
      <c r="E11124" t="s">
        <v>470</v>
      </c>
      <c r="F11124" s="1">
        <v>2</v>
      </c>
      <c r="G11124" s="1" t="s">
        <v>32</v>
      </c>
      <c r="H11124" s="4" t="str">
        <f>HYPERLINK("https://www.ncbi.nlm.nih.gov/geo/query/acc.cgi?acc=GSM1974590","GSM1974590")</f>
        <v>GSM1974590</v>
      </c>
      <c r="I11124" t="s">
        <v>17</v>
      </c>
      <c r="J11124" t="s">
        <v>471</v>
      </c>
      <c r="K11124" t="s">
        <v>33</v>
      </c>
      <c r="L11124" t="s">
        <v>20</v>
      </c>
      <c r="N11124" t="s">
        <v>29</v>
      </c>
    </row>
    <row r="11125" spans="1:14">
      <c r="A11125" s="4" t="str">
        <f t="shared" si="987"/>
        <v>EXP00369</v>
      </c>
      <c r="B11125" s="3" t="s">
        <v>66</v>
      </c>
      <c r="C11125" s="4" t="str">
        <f t="shared" si="988"/>
        <v>GSE76124</v>
      </c>
      <c r="D11125" s="1" t="s">
        <v>45</v>
      </c>
      <c r="E11125" t="s">
        <v>470</v>
      </c>
      <c r="F11125" s="1">
        <v>2</v>
      </c>
      <c r="G11125" s="1" t="s">
        <v>32</v>
      </c>
      <c r="H11125" s="4" t="str">
        <f>HYPERLINK("https://www.ncbi.nlm.nih.gov/geo/query/acc.cgi?acc=GSM1974591","GSM1974591")</f>
        <v>GSM1974591</v>
      </c>
      <c r="I11125" t="s">
        <v>17</v>
      </c>
      <c r="J11125" t="s">
        <v>471</v>
      </c>
      <c r="K11125" t="s">
        <v>33</v>
      </c>
      <c r="L11125" t="s">
        <v>20</v>
      </c>
      <c r="N11125" t="s">
        <v>29</v>
      </c>
    </row>
    <row r="11126" spans="1:14">
      <c r="A11126" s="4" t="str">
        <f t="shared" si="987"/>
        <v>EXP00369</v>
      </c>
      <c r="B11126" s="3" t="s">
        <v>66</v>
      </c>
      <c r="C11126" s="4" t="str">
        <f t="shared" si="988"/>
        <v>GSE76124</v>
      </c>
      <c r="D11126" s="1" t="s">
        <v>45</v>
      </c>
      <c r="E11126" t="s">
        <v>470</v>
      </c>
      <c r="F11126" s="1">
        <v>2</v>
      </c>
      <c r="G11126" s="1" t="s">
        <v>32</v>
      </c>
      <c r="H11126" s="4" t="str">
        <f>HYPERLINK("https://www.ncbi.nlm.nih.gov/geo/query/acc.cgi?acc=GSM1974596","GSM1974596")</f>
        <v>GSM1974596</v>
      </c>
      <c r="I11126" t="s">
        <v>17</v>
      </c>
      <c r="J11126" t="s">
        <v>471</v>
      </c>
      <c r="K11126" t="s">
        <v>33</v>
      </c>
      <c r="L11126" t="s">
        <v>20</v>
      </c>
      <c r="N11126" t="s">
        <v>29</v>
      </c>
    </row>
    <row r="11127" spans="1:14">
      <c r="A11127" s="4" t="str">
        <f t="shared" si="987"/>
        <v>EXP00369</v>
      </c>
      <c r="B11127" s="3" t="s">
        <v>66</v>
      </c>
      <c r="C11127" s="4" t="str">
        <f t="shared" si="988"/>
        <v>GSE76124</v>
      </c>
      <c r="D11127" s="1" t="s">
        <v>45</v>
      </c>
      <c r="E11127" t="s">
        <v>470</v>
      </c>
      <c r="F11127" s="1">
        <v>2</v>
      </c>
      <c r="G11127" s="1" t="s">
        <v>32</v>
      </c>
      <c r="H11127" s="4" t="str">
        <f>HYPERLINK("https://www.ncbi.nlm.nih.gov/geo/query/acc.cgi?acc=GSM1974597","GSM1974597")</f>
        <v>GSM1974597</v>
      </c>
      <c r="I11127" t="s">
        <v>17</v>
      </c>
      <c r="J11127" t="s">
        <v>471</v>
      </c>
      <c r="K11127" t="s">
        <v>33</v>
      </c>
      <c r="L11127" t="s">
        <v>20</v>
      </c>
      <c r="N11127" t="s">
        <v>29</v>
      </c>
    </row>
    <row r="11128" spans="1:14">
      <c r="A11128" s="4" t="str">
        <f t="shared" si="987"/>
        <v>EXP00369</v>
      </c>
      <c r="B11128" s="3" t="s">
        <v>66</v>
      </c>
      <c r="C11128" s="4" t="str">
        <f t="shared" si="988"/>
        <v>GSE76124</v>
      </c>
      <c r="D11128" s="1" t="s">
        <v>45</v>
      </c>
      <c r="E11128" t="s">
        <v>470</v>
      </c>
      <c r="F11128" s="1">
        <v>2</v>
      </c>
      <c r="G11128" s="1" t="s">
        <v>32</v>
      </c>
      <c r="H11128" s="4" t="str">
        <f>HYPERLINK("https://www.ncbi.nlm.nih.gov/geo/query/acc.cgi?acc=GSM1974598","GSM1974598")</f>
        <v>GSM1974598</v>
      </c>
      <c r="I11128" t="s">
        <v>17</v>
      </c>
      <c r="J11128" t="s">
        <v>471</v>
      </c>
      <c r="K11128" t="s">
        <v>33</v>
      </c>
      <c r="L11128" t="s">
        <v>20</v>
      </c>
      <c r="N11128" t="s">
        <v>29</v>
      </c>
    </row>
    <row r="11129" spans="1:14">
      <c r="A11129" s="4" t="str">
        <f t="shared" si="987"/>
        <v>EXP00369</v>
      </c>
      <c r="B11129" s="3" t="s">
        <v>66</v>
      </c>
      <c r="C11129" s="4" t="str">
        <f t="shared" si="988"/>
        <v>GSE76124</v>
      </c>
      <c r="D11129" s="1" t="s">
        <v>45</v>
      </c>
      <c r="E11129" t="s">
        <v>470</v>
      </c>
      <c r="F11129" s="1">
        <v>2</v>
      </c>
      <c r="G11129" s="1" t="s">
        <v>32</v>
      </c>
      <c r="H11129" s="4" t="str">
        <f>HYPERLINK("https://www.ncbi.nlm.nih.gov/geo/query/acc.cgi?acc=GSM1974602","GSM1974602")</f>
        <v>GSM1974602</v>
      </c>
      <c r="I11129" t="s">
        <v>17</v>
      </c>
      <c r="J11129" t="s">
        <v>471</v>
      </c>
      <c r="K11129" t="s">
        <v>33</v>
      </c>
      <c r="L11129" t="s">
        <v>20</v>
      </c>
      <c r="N11129" t="s">
        <v>29</v>
      </c>
    </row>
    <row r="11130" spans="1:14">
      <c r="A11130" s="4" t="str">
        <f t="shared" si="987"/>
        <v>EXP00369</v>
      </c>
      <c r="B11130" s="3" t="s">
        <v>66</v>
      </c>
      <c r="C11130" s="4" t="str">
        <f t="shared" si="988"/>
        <v>GSE76124</v>
      </c>
      <c r="D11130" s="1" t="s">
        <v>45</v>
      </c>
      <c r="E11130" t="s">
        <v>470</v>
      </c>
      <c r="F11130" s="1">
        <v>2</v>
      </c>
      <c r="G11130" s="1" t="s">
        <v>32</v>
      </c>
      <c r="H11130" s="4" t="str">
        <f>HYPERLINK("https://www.ncbi.nlm.nih.gov/geo/query/acc.cgi?acc=GSM1974605","GSM1974605")</f>
        <v>GSM1974605</v>
      </c>
      <c r="I11130" t="s">
        <v>17</v>
      </c>
      <c r="J11130" t="s">
        <v>471</v>
      </c>
      <c r="K11130" t="s">
        <v>33</v>
      </c>
      <c r="L11130" t="s">
        <v>20</v>
      </c>
      <c r="N11130" t="s">
        <v>29</v>
      </c>
    </row>
    <row r="11131" spans="1:14">
      <c r="A11131" s="4" t="str">
        <f t="shared" si="987"/>
        <v>EXP00369</v>
      </c>
      <c r="B11131" s="3" t="s">
        <v>66</v>
      </c>
      <c r="C11131" s="4" t="str">
        <f t="shared" si="988"/>
        <v>GSE76124</v>
      </c>
      <c r="D11131" s="1" t="s">
        <v>45</v>
      </c>
      <c r="E11131" t="s">
        <v>470</v>
      </c>
      <c r="F11131" s="1">
        <v>2</v>
      </c>
      <c r="G11131" s="1" t="s">
        <v>32</v>
      </c>
      <c r="H11131" s="4" t="str">
        <f>HYPERLINK("https://www.ncbi.nlm.nih.gov/geo/query/acc.cgi?acc=GSM1974606","GSM1974606")</f>
        <v>GSM1974606</v>
      </c>
      <c r="I11131" t="s">
        <v>17</v>
      </c>
      <c r="J11131" t="s">
        <v>471</v>
      </c>
      <c r="K11131" t="s">
        <v>33</v>
      </c>
      <c r="L11131" t="s">
        <v>20</v>
      </c>
      <c r="N11131" t="s">
        <v>29</v>
      </c>
    </row>
    <row r="11132" spans="1:14">
      <c r="A11132" s="4" t="str">
        <f t="shared" si="987"/>
        <v>EXP00369</v>
      </c>
      <c r="B11132" s="3" t="s">
        <v>66</v>
      </c>
      <c r="C11132" s="4" t="str">
        <f t="shared" si="988"/>
        <v>GSE76124</v>
      </c>
      <c r="D11132" s="1" t="s">
        <v>45</v>
      </c>
      <c r="E11132" t="s">
        <v>470</v>
      </c>
      <c r="F11132" s="1">
        <v>2</v>
      </c>
      <c r="G11132" s="1" t="s">
        <v>32</v>
      </c>
      <c r="H11132" s="4" t="str">
        <f>HYPERLINK("https://www.ncbi.nlm.nih.gov/geo/query/acc.cgi?acc=GSM1974607","GSM1974607")</f>
        <v>GSM1974607</v>
      </c>
      <c r="I11132" t="s">
        <v>17</v>
      </c>
      <c r="J11132" t="s">
        <v>471</v>
      </c>
      <c r="K11132" t="s">
        <v>33</v>
      </c>
      <c r="L11132" t="s">
        <v>20</v>
      </c>
      <c r="N11132" t="s">
        <v>29</v>
      </c>
    </row>
    <row r="11133" spans="1:14">
      <c r="A11133" s="4" t="str">
        <f t="shared" si="987"/>
        <v>EXP00369</v>
      </c>
      <c r="B11133" s="3" t="s">
        <v>66</v>
      </c>
      <c r="C11133" s="4" t="str">
        <f t="shared" si="988"/>
        <v>GSE76124</v>
      </c>
      <c r="D11133" s="1" t="s">
        <v>45</v>
      </c>
      <c r="E11133" t="s">
        <v>470</v>
      </c>
      <c r="F11133" s="1">
        <v>2</v>
      </c>
      <c r="G11133" s="1" t="s">
        <v>32</v>
      </c>
      <c r="H11133" s="4" t="str">
        <f>HYPERLINK("https://www.ncbi.nlm.nih.gov/geo/query/acc.cgi?acc=GSM1974608","GSM1974608")</f>
        <v>GSM1974608</v>
      </c>
      <c r="I11133" t="s">
        <v>17</v>
      </c>
      <c r="J11133" t="s">
        <v>471</v>
      </c>
      <c r="K11133" t="s">
        <v>33</v>
      </c>
      <c r="L11133" t="s">
        <v>20</v>
      </c>
      <c r="N11133" t="s">
        <v>29</v>
      </c>
    </row>
    <row r="11134" spans="1:14">
      <c r="A11134" s="4" t="str">
        <f t="shared" si="987"/>
        <v>EXP00369</v>
      </c>
      <c r="B11134" s="3" t="s">
        <v>66</v>
      </c>
      <c r="C11134" s="4" t="str">
        <f t="shared" si="988"/>
        <v>GSE76124</v>
      </c>
      <c r="D11134" s="1" t="s">
        <v>45</v>
      </c>
      <c r="E11134" t="s">
        <v>470</v>
      </c>
      <c r="F11134" s="1">
        <v>2</v>
      </c>
      <c r="G11134" s="1" t="s">
        <v>32</v>
      </c>
      <c r="H11134" s="4" t="str">
        <f>HYPERLINK("https://www.ncbi.nlm.nih.gov/geo/query/acc.cgi?acc=GSM1974611","GSM1974611")</f>
        <v>GSM1974611</v>
      </c>
      <c r="I11134" t="s">
        <v>17</v>
      </c>
      <c r="J11134" t="s">
        <v>471</v>
      </c>
      <c r="K11134" t="s">
        <v>33</v>
      </c>
      <c r="L11134" t="s">
        <v>20</v>
      </c>
      <c r="N11134" t="s">
        <v>29</v>
      </c>
    </row>
    <row r="11135" spans="1:14">
      <c r="A11135" s="4" t="str">
        <f t="shared" si="987"/>
        <v>EXP00369</v>
      </c>
      <c r="B11135" s="3" t="s">
        <v>66</v>
      </c>
      <c r="C11135" s="4" t="str">
        <f t="shared" si="988"/>
        <v>GSE76124</v>
      </c>
      <c r="D11135" s="1" t="s">
        <v>45</v>
      </c>
      <c r="E11135" t="s">
        <v>470</v>
      </c>
      <c r="F11135" s="1">
        <v>2</v>
      </c>
      <c r="G11135" s="1" t="s">
        <v>32</v>
      </c>
      <c r="H11135" s="4" t="str">
        <f>HYPERLINK("https://www.ncbi.nlm.nih.gov/geo/query/acc.cgi?acc=GSM1974612","GSM1974612")</f>
        <v>GSM1974612</v>
      </c>
      <c r="I11135" t="s">
        <v>17</v>
      </c>
      <c r="J11135" t="s">
        <v>471</v>
      </c>
      <c r="K11135" t="s">
        <v>33</v>
      </c>
      <c r="L11135" t="s">
        <v>20</v>
      </c>
      <c r="N11135" t="s">
        <v>29</v>
      </c>
    </row>
    <row r="11136" spans="1:14">
      <c r="A11136" s="4" t="str">
        <f t="shared" si="987"/>
        <v>EXP00369</v>
      </c>
      <c r="B11136" s="3" t="s">
        <v>66</v>
      </c>
      <c r="C11136" s="4" t="str">
        <f t="shared" si="988"/>
        <v>GSE76124</v>
      </c>
      <c r="D11136" s="1" t="s">
        <v>45</v>
      </c>
      <c r="E11136" t="s">
        <v>470</v>
      </c>
      <c r="F11136" s="1">
        <v>2</v>
      </c>
      <c r="G11136" s="1" t="s">
        <v>32</v>
      </c>
      <c r="H11136" s="4" t="str">
        <f>HYPERLINK("https://www.ncbi.nlm.nih.gov/geo/query/acc.cgi?acc=GSM1974613","GSM1974613")</f>
        <v>GSM1974613</v>
      </c>
      <c r="I11136" t="s">
        <v>17</v>
      </c>
      <c r="J11136" t="s">
        <v>471</v>
      </c>
      <c r="K11136" t="s">
        <v>33</v>
      </c>
      <c r="L11136" t="s">
        <v>20</v>
      </c>
      <c r="N11136" t="s">
        <v>29</v>
      </c>
    </row>
    <row r="11137" spans="1:14">
      <c r="A11137" s="4" t="str">
        <f t="shared" si="987"/>
        <v>EXP00369</v>
      </c>
      <c r="B11137" s="3" t="s">
        <v>66</v>
      </c>
      <c r="C11137" s="4" t="str">
        <f t="shared" si="988"/>
        <v>GSE76124</v>
      </c>
      <c r="D11137" s="1" t="s">
        <v>45</v>
      </c>
      <c r="E11137" t="s">
        <v>470</v>
      </c>
      <c r="F11137" s="1">
        <v>2</v>
      </c>
      <c r="G11137" s="1" t="s">
        <v>32</v>
      </c>
      <c r="H11137" s="4" t="str">
        <f>HYPERLINK("https://www.ncbi.nlm.nih.gov/geo/query/acc.cgi?acc=GSM1974614","GSM1974614")</f>
        <v>GSM1974614</v>
      </c>
      <c r="I11137" t="s">
        <v>17</v>
      </c>
      <c r="J11137" t="s">
        <v>471</v>
      </c>
      <c r="K11137" t="s">
        <v>33</v>
      </c>
      <c r="L11137" t="s">
        <v>20</v>
      </c>
      <c r="N11137" t="s">
        <v>29</v>
      </c>
    </row>
    <row r="11138" spans="1:14">
      <c r="A11138" s="4" t="str">
        <f t="shared" si="987"/>
        <v>EXP00369</v>
      </c>
      <c r="B11138" s="3" t="s">
        <v>66</v>
      </c>
      <c r="C11138" s="4" t="str">
        <f t="shared" si="988"/>
        <v>GSE76124</v>
      </c>
      <c r="D11138" s="1" t="s">
        <v>45</v>
      </c>
      <c r="E11138" t="s">
        <v>470</v>
      </c>
      <c r="F11138" s="1">
        <v>2</v>
      </c>
      <c r="G11138" s="1" t="s">
        <v>32</v>
      </c>
      <c r="H11138" s="4" t="str">
        <f>HYPERLINK("https://www.ncbi.nlm.nih.gov/geo/query/acc.cgi?acc=GSM1974615","GSM1974615")</f>
        <v>GSM1974615</v>
      </c>
      <c r="I11138" t="s">
        <v>17</v>
      </c>
      <c r="J11138" t="s">
        <v>471</v>
      </c>
      <c r="K11138" t="s">
        <v>33</v>
      </c>
      <c r="L11138" t="s">
        <v>20</v>
      </c>
      <c r="N11138" t="s">
        <v>29</v>
      </c>
    </row>
    <row r="11139" spans="1:14">
      <c r="A11139" s="4" t="str">
        <f t="shared" si="987"/>
        <v>EXP00369</v>
      </c>
      <c r="B11139" s="3" t="s">
        <v>66</v>
      </c>
      <c r="C11139" s="4" t="str">
        <f t="shared" si="988"/>
        <v>GSE76124</v>
      </c>
      <c r="D11139" s="1" t="s">
        <v>45</v>
      </c>
      <c r="E11139" t="s">
        <v>470</v>
      </c>
      <c r="F11139" s="1">
        <v>2</v>
      </c>
      <c r="G11139" s="1" t="s">
        <v>32</v>
      </c>
      <c r="H11139" s="4" t="str">
        <f>HYPERLINK("https://www.ncbi.nlm.nih.gov/geo/query/acc.cgi?acc=GSM1974616","GSM1974616")</f>
        <v>GSM1974616</v>
      </c>
      <c r="I11139" t="s">
        <v>17</v>
      </c>
      <c r="J11139" t="s">
        <v>471</v>
      </c>
      <c r="K11139" t="s">
        <v>33</v>
      </c>
      <c r="L11139" t="s">
        <v>20</v>
      </c>
      <c r="N11139" t="s">
        <v>29</v>
      </c>
    </row>
    <row r="11140" spans="1:14">
      <c r="A11140" s="4" t="str">
        <f t="shared" ref="A11140:A11171" si="989">HYPERLINK("http://hcmdb.i-sanger.com/experiment/details/experiment_id/EXP00369","EXP00369")</f>
        <v>EXP00369</v>
      </c>
      <c r="B11140" s="3" t="s">
        <v>66</v>
      </c>
      <c r="C11140" s="4" t="str">
        <f t="shared" ref="C11140:C11171" si="990">HYPERLINK("https://www.ncbi.nlm.nih.gov/geo/query/acc.cgi?acc=GSE76124","GSE76124")</f>
        <v>GSE76124</v>
      </c>
      <c r="D11140" s="1" t="s">
        <v>45</v>
      </c>
      <c r="E11140" t="s">
        <v>470</v>
      </c>
      <c r="F11140" s="1">
        <v>2</v>
      </c>
      <c r="G11140" s="1" t="s">
        <v>32</v>
      </c>
      <c r="H11140" s="4" t="str">
        <f>HYPERLINK("https://www.ncbi.nlm.nih.gov/geo/query/acc.cgi?acc=GSM1974618","GSM1974618")</f>
        <v>GSM1974618</v>
      </c>
      <c r="I11140" t="s">
        <v>17</v>
      </c>
      <c r="J11140" t="s">
        <v>471</v>
      </c>
      <c r="K11140" t="s">
        <v>33</v>
      </c>
      <c r="L11140" t="s">
        <v>20</v>
      </c>
      <c r="N11140" t="s">
        <v>29</v>
      </c>
    </row>
    <row r="11141" spans="1:14">
      <c r="A11141" s="4" t="str">
        <f t="shared" si="989"/>
        <v>EXP00369</v>
      </c>
      <c r="B11141" s="3" t="s">
        <v>66</v>
      </c>
      <c r="C11141" s="4" t="str">
        <f t="shared" si="990"/>
        <v>GSE76124</v>
      </c>
      <c r="D11141" s="1" t="s">
        <v>45</v>
      </c>
      <c r="E11141" t="s">
        <v>470</v>
      </c>
      <c r="F11141" s="1">
        <v>2</v>
      </c>
      <c r="G11141" s="1" t="s">
        <v>32</v>
      </c>
      <c r="H11141" s="4" t="str">
        <f>HYPERLINK("https://www.ncbi.nlm.nih.gov/geo/query/acc.cgi?acc=GSM1974619","GSM1974619")</f>
        <v>GSM1974619</v>
      </c>
      <c r="I11141" t="s">
        <v>17</v>
      </c>
      <c r="J11141" t="s">
        <v>471</v>
      </c>
      <c r="K11141" t="s">
        <v>33</v>
      </c>
      <c r="L11141" t="s">
        <v>20</v>
      </c>
      <c r="N11141" t="s">
        <v>29</v>
      </c>
    </row>
    <row r="11142" spans="1:14">
      <c r="A11142" s="4" t="str">
        <f t="shared" si="989"/>
        <v>EXP00369</v>
      </c>
      <c r="B11142" s="3" t="s">
        <v>66</v>
      </c>
      <c r="C11142" s="4" t="str">
        <f t="shared" si="990"/>
        <v>GSE76124</v>
      </c>
      <c r="D11142" s="1" t="s">
        <v>45</v>
      </c>
      <c r="E11142" t="s">
        <v>470</v>
      </c>
      <c r="F11142" s="1">
        <v>2</v>
      </c>
      <c r="G11142" s="1" t="s">
        <v>32</v>
      </c>
      <c r="H11142" s="4" t="str">
        <f>HYPERLINK("https://www.ncbi.nlm.nih.gov/geo/query/acc.cgi?acc=GSM1974620","GSM1974620")</f>
        <v>GSM1974620</v>
      </c>
      <c r="I11142" t="s">
        <v>17</v>
      </c>
      <c r="J11142" t="s">
        <v>471</v>
      </c>
      <c r="K11142" t="s">
        <v>33</v>
      </c>
      <c r="L11142" t="s">
        <v>20</v>
      </c>
      <c r="N11142" t="s">
        <v>29</v>
      </c>
    </row>
    <row r="11143" spans="1:14">
      <c r="A11143" s="4" t="str">
        <f t="shared" si="989"/>
        <v>EXP00369</v>
      </c>
      <c r="B11143" s="3" t="s">
        <v>66</v>
      </c>
      <c r="C11143" s="4" t="str">
        <f t="shared" si="990"/>
        <v>GSE76124</v>
      </c>
      <c r="D11143" s="1" t="s">
        <v>45</v>
      </c>
      <c r="E11143" t="s">
        <v>470</v>
      </c>
      <c r="F11143" s="1">
        <v>2</v>
      </c>
      <c r="G11143" s="1" t="s">
        <v>32</v>
      </c>
      <c r="H11143" s="4" t="str">
        <f>HYPERLINK("https://www.ncbi.nlm.nih.gov/geo/query/acc.cgi?acc=GSM1974621","GSM1974621")</f>
        <v>GSM1974621</v>
      </c>
      <c r="I11143" t="s">
        <v>17</v>
      </c>
      <c r="J11143" t="s">
        <v>471</v>
      </c>
      <c r="K11143" t="s">
        <v>33</v>
      </c>
      <c r="L11143" t="s">
        <v>20</v>
      </c>
      <c r="N11143" t="s">
        <v>29</v>
      </c>
    </row>
    <row r="11144" spans="1:14">
      <c r="A11144" s="4" t="str">
        <f t="shared" si="989"/>
        <v>EXP00369</v>
      </c>
      <c r="B11144" s="3" t="s">
        <v>66</v>
      </c>
      <c r="C11144" s="4" t="str">
        <f t="shared" si="990"/>
        <v>GSE76124</v>
      </c>
      <c r="D11144" s="1" t="s">
        <v>45</v>
      </c>
      <c r="E11144" t="s">
        <v>470</v>
      </c>
      <c r="F11144" s="1">
        <v>2</v>
      </c>
      <c r="G11144" s="1" t="s">
        <v>32</v>
      </c>
      <c r="H11144" s="4" t="str">
        <f>HYPERLINK("https://www.ncbi.nlm.nih.gov/geo/query/acc.cgi?acc=GSM1974622","GSM1974622")</f>
        <v>GSM1974622</v>
      </c>
      <c r="I11144" t="s">
        <v>17</v>
      </c>
      <c r="J11144" t="s">
        <v>471</v>
      </c>
      <c r="K11144" t="s">
        <v>33</v>
      </c>
      <c r="L11144" t="s">
        <v>20</v>
      </c>
      <c r="N11144" t="s">
        <v>29</v>
      </c>
    </row>
    <row r="11145" spans="1:14">
      <c r="A11145" s="4" t="str">
        <f t="shared" si="989"/>
        <v>EXP00369</v>
      </c>
      <c r="B11145" s="3" t="s">
        <v>66</v>
      </c>
      <c r="C11145" s="4" t="str">
        <f t="shared" si="990"/>
        <v>GSE76124</v>
      </c>
      <c r="D11145" s="1" t="s">
        <v>45</v>
      </c>
      <c r="E11145" t="s">
        <v>470</v>
      </c>
      <c r="F11145" s="1">
        <v>2</v>
      </c>
      <c r="G11145" s="1" t="s">
        <v>32</v>
      </c>
      <c r="H11145" s="4" t="str">
        <f>HYPERLINK("https://www.ncbi.nlm.nih.gov/geo/query/acc.cgi?acc=GSM1974623","GSM1974623")</f>
        <v>GSM1974623</v>
      </c>
      <c r="I11145" t="s">
        <v>17</v>
      </c>
      <c r="J11145" t="s">
        <v>471</v>
      </c>
      <c r="K11145" t="s">
        <v>33</v>
      </c>
      <c r="L11145" t="s">
        <v>20</v>
      </c>
      <c r="N11145" t="s">
        <v>29</v>
      </c>
    </row>
    <row r="11146" spans="1:14">
      <c r="A11146" s="4" t="str">
        <f t="shared" si="989"/>
        <v>EXP00369</v>
      </c>
      <c r="B11146" s="3" t="s">
        <v>66</v>
      </c>
      <c r="C11146" s="4" t="str">
        <f t="shared" si="990"/>
        <v>GSE76124</v>
      </c>
      <c r="D11146" s="1" t="s">
        <v>45</v>
      </c>
      <c r="E11146" t="s">
        <v>470</v>
      </c>
      <c r="F11146" s="1">
        <v>2</v>
      </c>
      <c r="G11146" s="1" t="s">
        <v>32</v>
      </c>
      <c r="H11146" s="4" t="str">
        <f>HYPERLINK("https://www.ncbi.nlm.nih.gov/geo/query/acc.cgi?acc=GSM1974624","GSM1974624")</f>
        <v>GSM1974624</v>
      </c>
      <c r="I11146" t="s">
        <v>17</v>
      </c>
      <c r="J11146" t="s">
        <v>471</v>
      </c>
      <c r="K11146" t="s">
        <v>33</v>
      </c>
      <c r="L11146" t="s">
        <v>20</v>
      </c>
      <c r="N11146" t="s">
        <v>29</v>
      </c>
    </row>
    <row r="11147" spans="1:14">
      <c r="A11147" s="4" t="str">
        <f t="shared" si="989"/>
        <v>EXP00369</v>
      </c>
      <c r="B11147" s="3" t="s">
        <v>66</v>
      </c>
      <c r="C11147" s="4" t="str">
        <f t="shared" si="990"/>
        <v>GSE76124</v>
      </c>
      <c r="D11147" s="1" t="s">
        <v>45</v>
      </c>
      <c r="E11147" t="s">
        <v>470</v>
      </c>
      <c r="F11147" s="1">
        <v>2</v>
      </c>
      <c r="G11147" s="1" t="s">
        <v>32</v>
      </c>
      <c r="H11147" s="4" t="str">
        <f>HYPERLINK("https://www.ncbi.nlm.nih.gov/geo/query/acc.cgi?acc=GSM1974625","GSM1974625")</f>
        <v>GSM1974625</v>
      </c>
      <c r="I11147" t="s">
        <v>17</v>
      </c>
      <c r="J11147" t="s">
        <v>471</v>
      </c>
      <c r="K11147" t="s">
        <v>33</v>
      </c>
      <c r="L11147" t="s">
        <v>20</v>
      </c>
      <c r="N11147" t="s">
        <v>29</v>
      </c>
    </row>
    <row r="11148" spans="1:14">
      <c r="A11148" s="4" t="str">
        <f t="shared" si="989"/>
        <v>EXP00369</v>
      </c>
      <c r="B11148" s="3" t="s">
        <v>66</v>
      </c>
      <c r="C11148" s="4" t="str">
        <f t="shared" si="990"/>
        <v>GSE76124</v>
      </c>
      <c r="D11148" s="1" t="s">
        <v>45</v>
      </c>
      <c r="E11148" t="s">
        <v>470</v>
      </c>
      <c r="F11148" s="1">
        <v>2</v>
      </c>
      <c r="G11148" s="1" t="s">
        <v>32</v>
      </c>
      <c r="H11148" s="4" t="str">
        <f>HYPERLINK("https://www.ncbi.nlm.nih.gov/geo/query/acc.cgi?acc=GSM1974626","GSM1974626")</f>
        <v>GSM1974626</v>
      </c>
      <c r="I11148" t="s">
        <v>17</v>
      </c>
      <c r="J11148" t="s">
        <v>471</v>
      </c>
      <c r="K11148" t="s">
        <v>33</v>
      </c>
      <c r="L11148" t="s">
        <v>20</v>
      </c>
      <c r="N11148" t="s">
        <v>29</v>
      </c>
    </row>
    <row r="11149" spans="1:14">
      <c r="A11149" s="4" t="str">
        <f t="shared" si="989"/>
        <v>EXP00369</v>
      </c>
      <c r="B11149" s="3" t="s">
        <v>66</v>
      </c>
      <c r="C11149" s="4" t="str">
        <f t="shared" si="990"/>
        <v>GSE76124</v>
      </c>
      <c r="D11149" s="1" t="s">
        <v>45</v>
      </c>
      <c r="E11149" t="s">
        <v>470</v>
      </c>
      <c r="F11149" s="1">
        <v>2</v>
      </c>
      <c r="G11149" s="1" t="s">
        <v>32</v>
      </c>
      <c r="H11149" s="4" t="str">
        <f>HYPERLINK("https://www.ncbi.nlm.nih.gov/geo/query/acc.cgi?acc=GSM1974627","GSM1974627")</f>
        <v>GSM1974627</v>
      </c>
      <c r="I11149" t="s">
        <v>17</v>
      </c>
      <c r="J11149" t="s">
        <v>471</v>
      </c>
      <c r="K11149" t="s">
        <v>33</v>
      </c>
      <c r="L11149" t="s">
        <v>20</v>
      </c>
      <c r="N11149" t="s">
        <v>29</v>
      </c>
    </row>
    <row r="11150" spans="1:14">
      <c r="A11150" s="4" t="str">
        <f t="shared" si="989"/>
        <v>EXP00369</v>
      </c>
      <c r="B11150" s="3" t="s">
        <v>66</v>
      </c>
      <c r="C11150" s="4" t="str">
        <f t="shared" si="990"/>
        <v>GSE76124</v>
      </c>
      <c r="D11150" s="1" t="s">
        <v>45</v>
      </c>
      <c r="E11150" t="s">
        <v>470</v>
      </c>
      <c r="F11150" s="1">
        <v>2</v>
      </c>
      <c r="G11150" s="1" t="s">
        <v>32</v>
      </c>
      <c r="H11150" s="4" t="str">
        <f>HYPERLINK("https://www.ncbi.nlm.nih.gov/geo/query/acc.cgi?acc=GSM1974628","GSM1974628")</f>
        <v>GSM1974628</v>
      </c>
      <c r="I11150" t="s">
        <v>17</v>
      </c>
      <c r="J11150" t="s">
        <v>471</v>
      </c>
      <c r="K11150" t="s">
        <v>33</v>
      </c>
      <c r="L11150" t="s">
        <v>20</v>
      </c>
      <c r="N11150" t="s">
        <v>29</v>
      </c>
    </row>
    <row r="11151" spans="1:14">
      <c r="A11151" s="4" t="str">
        <f t="shared" si="989"/>
        <v>EXP00369</v>
      </c>
      <c r="B11151" s="3" t="s">
        <v>66</v>
      </c>
      <c r="C11151" s="4" t="str">
        <f t="shared" si="990"/>
        <v>GSE76124</v>
      </c>
      <c r="D11151" s="1" t="s">
        <v>45</v>
      </c>
      <c r="E11151" t="s">
        <v>470</v>
      </c>
      <c r="F11151" s="1">
        <v>2</v>
      </c>
      <c r="G11151" s="1" t="s">
        <v>32</v>
      </c>
      <c r="H11151" s="4" t="str">
        <f>HYPERLINK("https://www.ncbi.nlm.nih.gov/geo/query/acc.cgi?acc=GSM1974629","GSM1974629")</f>
        <v>GSM1974629</v>
      </c>
      <c r="I11151" t="s">
        <v>17</v>
      </c>
      <c r="J11151" t="s">
        <v>471</v>
      </c>
      <c r="K11151" t="s">
        <v>33</v>
      </c>
      <c r="L11151" t="s">
        <v>20</v>
      </c>
      <c r="N11151" t="s">
        <v>29</v>
      </c>
    </row>
    <row r="11152" spans="1:14">
      <c r="A11152" s="4" t="str">
        <f t="shared" si="989"/>
        <v>EXP00369</v>
      </c>
      <c r="B11152" s="3" t="s">
        <v>66</v>
      </c>
      <c r="C11152" s="4" t="str">
        <f t="shared" si="990"/>
        <v>GSE76124</v>
      </c>
      <c r="D11152" s="1" t="s">
        <v>45</v>
      </c>
      <c r="E11152" t="s">
        <v>470</v>
      </c>
      <c r="F11152" s="1">
        <v>2</v>
      </c>
      <c r="G11152" s="1" t="s">
        <v>32</v>
      </c>
      <c r="H11152" s="4" t="str">
        <f>HYPERLINK("https://www.ncbi.nlm.nih.gov/geo/query/acc.cgi?acc=GSM1974630","GSM1974630")</f>
        <v>GSM1974630</v>
      </c>
      <c r="I11152" t="s">
        <v>17</v>
      </c>
      <c r="J11152" t="s">
        <v>471</v>
      </c>
      <c r="K11152" t="s">
        <v>33</v>
      </c>
      <c r="L11152" t="s">
        <v>20</v>
      </c>
      <c r="N11152" t="s">
        <v>29</v>
      </c>
    </row>
    <row r="11153" spans="1:14">
      <c r="A11153" s="4" t="str">
        <f t="shared" si="989"/>
        <v>EXP00369</v>
      </c>
      <c r="B11153" s="3" t="s">
        <v>66</v>
      </c>
      <c r="C11153" s="4" t="str">
        <f t="shared" si="990"/>
        <v>GSE76124</v>
      </c>
      <c r="D11153" s="1" t="s">
        <v>45</v>
      </c>
      <c r="E11153" t="s">
        <v>470</v>
      </c>
      <c r="F11153" s="1">
        <v>2</v>
      </c>
      <c r="G11153" s="1" t="s">
        <v>32</v>
      </c>
      <c r="H11153" s="4" t="str">
        <f>HYPERLINK("https://www.ncbi.nlm.nih.gov/geo/query/acc.cgi?acc=GSM1974631","GSM1974631")</f>
        <v>GSM1974631</v>
      </c>
      <c r="I11153" t="s">
        <v>17</v>
      </c>
      <c r="J11153" t="s">
        <v>471</v>
      </c>
      <c r="K11153" t="s">
        <v>33</v>
      </c>
      <c r="L11153" t="s">
        <v>20</v>
      </c>
      <c r="N11153" t="s">
        <v>29</v>
      </c>
    </row>
    <row r="11154" spans="1:14">
      <c r="A11154" s="4" t="str">
        <f t="shared" si="989"/>
        <v>EXP00369</v>
      </c>
      <c r="B11154" s="3" t="s">
        <v>66</v>
      </c>
      <c r="C11154" s="4" t="str">
        <f t="shared" si="990"/>
        <v>GSE76124</v>
      </c>
      <c r="D11154" s="1" t="s">
        <v>45</v>
      </c>
      <c r="E11154" t="s">
        <v>470</v>
      </c>
      <c r="F11154" s="1">
        <v>2</v>
      </c>
      <c r="G11154" s="1" t="s">
        <v>32</v>
      </c>
      <c r="H11154" s="4" t="str">
        <f>HYPERLINK("https://www.ncbi.nlm.nih.gov/geo/query/acc.cgi?acc=GSM1974635","GSM1974635")</f>
        <v>GSM1974635</v>
      </c>
      <c r="I11154" t="s">
        <v>17</v>
      </c>
      <c r="J11154" t="s">
        <v>471</v>
      </c>
      <c r="K11154" t="s">
        <v>33</v>
      </c>
      <c r="L11154" t="s">
        <v>20</v>
      </c>
      <c r="N11154" t="s">
        <v>29</v>
      </c>
    </row>
    <row r="11155" spans="1:14">
      <c r="A11155" s="4" t="str">
        <f t="shared" si="989"/>
        <v>EXP00369</v>
      </c>
      <c r="B11155" s="3" t="s">
        <v>66</v>
      </c>
      <c r="C11155" s="4" t="str">
        <f t="shared" si="990"/>
        <v>GSE76124</v>
      </c>
      <c r="D11155" s="1" t="s">
        <v>45</v>
      </c>
      <c r="E11155" t="s">
        <v>470</v>
      </c>
      <c r="F11155" s="1">
        <v>2</v>
      </c>
      <c r="G11155" s="1" t="s">
        <v>32</v>
      </c>
      <c r="H11155" s="4" t="str">
        <f>HYPERLINK("https://www.ncbi.nlm.nih.gov/geo/query/acc.cgi?acc=GSM1974636","GSM1974636")</f>
        <v>GSM1974636</v>
      </c>
      <c r="I11155" t="s">
        <v>17</v>
      </c>
      <c r="J11155" t="s">
        <v>471</v>
      </c>
      <c r="K11155" t="s">
        <v>33</v>
      </c>
      <c r="L11155" t="s">
        <v>20</v>
      </c>
      <c r="N11155" t="s">
        <v>29</v>
      </c>
    </row>
    <row r="11156" spans="1:14">
      <c r="A11156" s="4" t="str">
        <f t="shared" si="989"/>
        <v>EXP00369</v>
      </c>
      <c r="B11156" s="3" t="s">
        <v>66</v>
      </c>
      <c r="C11156" s="4" t="str">
        <f t="shared" si="990"/>
        <v>GSE76124</v>
      </c>
      <c r="D11156" s="1" t="s">
        <v>45</v>
      </c>
      <c r="E11156" t="s">
        <v>470</v>
      </c>
      <c r="F11156" s="1">
        <v>2</v>
      </c>
      <c r="G11156" s="1" t="s">
        <v>32</v>
      </c>
      <c r="H11156" s="4" t="str">
        <f>HYPERLINK("https://www.ncbi.nlm.nih.gov/geo/query/acc.cgi?acc=GSM1974638","GSM1974638")</f>
        <v>GSM1974638</v>
      </c>
      <c r="I11156" t="s">
        <v>17</v>
      </c>
      <c r="J11156" t="s">
        <v>471</v>
      </c>
      <c r="K11156" t="s">
        <v>33</v>
      </c>
      <c r="L11156" t="s">
        <v>20</v>
      </c>
      <c r="N11156" t="s">
        <v>29</v>
      </c>
    </row>
    <row r="11157" spans="1:14">
      <c r="A11157" s="4" t="str">
        <f t="shared" si="989"/>
        <v>EXP00369</v>
      </c>
      <c r="B11157" s="3" t="s">
        <v>66</v>
      </c>
      <c r="C11157" s="4" t="str">
        <f t="shared" si="990"/>
        <v>GSE76124</v>
      </c>
      <c r="D11157" s="1" t="s">
        <v>45</v>
      </c>
      <c r="E11157" t="s">
        <v>470</v>
      </c>
      <c r="F11157" s="1">
        <v>2</v>
      </c>
      <c r="G11157" s="1" t="s">
        <v>32</v>
      </c>
      <c r="H11157" s="4" t="str">
        <f>HYPERLINK("https://www.ncbi.nlm.nih.gov/geo/query/acc.cgi?acc=GSM1974639","GSM1974639")</f>
        <v>GSM1974639</v>
      </c>
      <c r="I11157" t="s">
        <v>17</v>
      </c>
      <c r="J11157" t="s">
        <v>471</v>
      </c>
      <c r="K11157" t="s">
        <v>33</v>
      </c>
      <c r="L11157" t="s">
        <v>20</v>
      </c>
      <c r="N11157" t="s">
        <v>29</v>
      </c>
    </row>
    <row r="11158" spans="1:14">
      <c r="A11158" s="4" t="str">
        <f t="shared" si="989"/>
        <v>EXP00369</v>
      </c>
      <c r="B11158" s="3" t="s">
        <v>66</v>
      </c>
      <c r="C11158" s="4" t="str">
        <f t="shared" si="990"/>
        <v>GSE76124</v>
      </c>
      <c r="D11158" s="1" t="s">
        <v>45</v>
      </c>
      <c r="E11158" t="s">
        <v>470</v>
      </c>
      <c r="F11158" s="1">
        <v>2</v>
      </c>
      <c r="G11158" s="1" t="s">
        <v>32</v>
      </c>
      <c r="H11158" s="4" t="str">
        <f>HYPERLINK("https://www.ncbi.nlm.nih.gov/geo/query/acc.cgi?acc=GSM1974641","GSM1974641")</f>
        <v>GSM1974641</v>
      </c>
      <c r="I11158" t="s">
        <v>17</v>
      </c>
      <c r="J11158" t="s">
        <v>471</v>
      </c>
      <c r="K11158" t="s">
        <v>33</v>
      </c>
      <c r="L11158" t="s">
        <v>20</v>
      </c>
      <c r="N11158" t="s">
        <v>29</v>
      </c>
    </row>
    <row r="11159" spans="1:14">
      <c r="A11159" s="4" t="str">
        <f t="shared" si="989"/>
        <v>EXP00369</v>
      </c>
      <c r="B11159" s="3" t="s">
        <v>66</v>
      </c>
      <c r="C11159" s="4" t="str">
        <f t="shared" si="990"/>
        <v>GSE76124</v>
      </c>
      <c r="D11159" s="1" t="s">
        <v>45</v>
      </c>
      <c r="E11159" t="s">
        <v>470</v>
      </c>
      <c r="F11159" s="1">
        <v>2</v>
      </c>
      <c r="G11159" s="1" t="s">
        <v>32</v>
      </c>
      <c r="H11159" s="4" t="str">
        <f>HYPERLINK("https://www.ncbi.nlm.nih.gov/geo/query/acc.cgi?acc=GSM1974643","GSM1974643")</f>
        <v>GSM1974643</v>
      </c>
      <c r="I11159" t="s">
        <v>17</v>
      </c>
      <c r="J11159" t="s">
        <v>471</v>
      </c>
      <c r="K11159" t="s">
        <v>33</v>
      </c>
      <c r="L11159" t="s">
        <v>20</v>
      </c>
      <c r="N11159" t="s">
        <v>29</v>
      </c>
    </row>
    <row r="11160" spans="1:14">
      <c r="A11160" s="4" t="str">
        <f t="shared" si="989"/>
        <v>EXP00369</v>
      </c>
      <c r="B11160" s="3" t="s">
        <v>66</v>
      </c>
      <c r="C11160" s="4" t="str">
        <f t="shared" si="990"/>
        <v>GSE76124</v>
      </c>
      <c r="D11160" s="1" t="s">
        <v>45</v>
      </c>
      <c r="E11160" t="s">
        <v>470</v>
      </c>
      <c r="F11160" s="1">
        <v>2</v>
      </c>
      <c r="G11160" s="1" t="s">
        <v>32</v>
      </c>
      <c r="H11160" s="4" t="str">
        <f>HYPERLINK("https://www.ncbi.nlm.nih.gov/geo/query/acc.cgi?acc=GSM1974644","GSM1974644")</f>
        <v>GSM1974644</v>
      </c>
      <c r="I11160" t="s">
        <v>17</v>
      </c>
      <c r="J11160" t="s">
        <v>471</v>
      </c>
      <c r="K11160" t="s">
        <v>33</v>
      </c>
      <c r="L11160" t="s">
        <v>20</v>
      </c>
      <c r="N11160" t="s">
        <v>29</v>
      </c>
    </row>
    <row r="11161" spans="1:14">
      <c r="A11161" s="4" t="str">
        <f t="shared" si="989"/>
        <v>EXP00369</v>
      </c>
      <c r="B11161" s="3" t="s">
        <v>66</v>
      </c>
      <c r="C11161" s="4" t="str">
        <f t="shared" si="990"/>
        <v>GSE76124</v>
      </c>
      <c r="D11161" s="1" t="s">
        <v>45</v>
      </c>
      <c r="E11161" t="s">
        <v>470</v>
      </c>
      <c r="F11161" s="1">
        <v>2</v>
      </c>
      <c r="G11161" s="1" t="s">
        <v>32</v>
      </c>
      <c r="H11161" s="4" t="str">
        <f>HYPERLINK("https://www.ncbi.nlm.nih.gov/geo/query/acc.cgi?acc=GSM1974645","GSM1974645")</f>
        <v>GSM1974645</v>
      </c>
      <c r="I11161" t="s">
        <v>17</v>
      </c>
      <c r="J11161" t="s">
        <v>471</v>
      </c>
      <c r="K11161" t="s">
        <v>33</v>
      </c>
      <c r="L11161" t="s">
        <v>20</v>
      </c>
      <c r="N11161" t="s">
        <v>29</v>
      </c>
    </row>
    <row r="11162" spans="1:14">
      <c r="A11162" s="4" t="str">
        <f t="shared" si="989"/>
        <v>EXP00369</v>
      </c>
      <c r="B11162" s="3" t="s">
        <v>66</v>
      </c>
      <c r="C11162" s="4" t="str">
        <f t="shared" si="990"/>
        <v>GSE76124</v>
      </c>
      <c r="D11162" s="1" t="s">
        <v>45</v>
      </c>
      <c r="E11162" t="s">
        <v>470</v>
      </c>
      <c r="F11162" s="1">
        <v>2</v>
      </c>
      <c r="G11162" s="1" t="s">
        <v>32</v>
      </c>
      <c r="H11162" s="4" t="str">
        <f>HYPERLINK("https://www.ncbi.nlm.nih.gov/geo/query/acc.cgi?acc=GSM1974646","GSM1974646")</f>
        <v>GSM1974646</v>
      </c>
      <c r="I11162" t="s">
        <v>17</v>
      </c>
      <c r="J11162" t="s">
        <v>471</v>
      </c>
      <c r="K11162" t="s">
        <v>33</v>
      </c>
      <c r="L11162" t="s">
        <v>20</v>
      </c>
      <c r="N11162" t="s">
        <v>29</v>
      </c>
    </row>
    <row r="11163" spans="1:14">
      <c r="A11163" s="4" t="str">
        <f t="shared" si="989"/>
        <v>EXP00369</v>
      </c>
      <c r="B11163" s="3" t="s">
        <v>66</v>
      </c>
      <c r="C11163" s="4" t="str">
        <f t="shared" si="990"/>
        <v>GSE76124</v>
      </c>
      <c r="D11163" s="1" t="s">
        <v>45</v>
      </c>
      <c r="E11163" t="s">
        <v>470</v>
      </c>
      <c r="F11163" s="1">
        <v>2</v>
      </c>
      <c r="G11163" s="1" t="s">
        <v>32</v>
      </c>
      <c r="H11163" s="4" t="str">
        <f>HYPERLINK("https://www.ncbi.nlm.nih.gov/geo/query/acc.cgi?acc=GSM1974648","GSM1974648")</f>
        <v>GSM1974648</v>
      </c>
      <c r="I11163" t="s">
        <v>17</v>
      </c>
      <c r="J11163" t="s">
        <v>471</v>
      </c>
      <c r="K11163" t="s">
        <v>33</v>
      </c>
      <c r="L11163" t="s">
        <v>20</v>
      </c>
      <c r="N11163" t="s">
        <v>29</v>
      </c>
    </row>
    <row r="11164" spans="1:14">
      <c r="A11164" s="4" t="str">
        <f t="shared" si="989"/>
        <v>EXP00369</v>
      </c>
      <c r="B11164" s="3" t="s">
        <v>66</v>
      </c>
      <c r="C11164" s="4" t="str">
        <f t="shared" si="990"/>
        <v>GSE76124</v>
      </c>
      <c r="D11164" s="1" t="s">
        <v>45</v>
      </c>
      <c r="E11164" t="s">
        <v>470</v>
      </c>
      <c r="F11164" s="1">
        <v>2</v>
      </c>
      <c r="G11164" s="1" t="s">
        <v>32</v>
      </c>
      <c r="H11164" s="4" t="str">
        <f>HYPERLINK("https://www.ncbi.nlm.nih.gov/geo/query/acc.cgi?acc=GSM1974650","GSM1974650")</f>
        <v>GSM1974650</v>
      </c>
      <c r="I11164" t="s">
        <v>17</v>
      </c>
      <c r="J11164" t="s">
        <v>471</v>
      </c>
      <c r="K11164" t="s">
        <v>33</v>
      </c>
      <c r="L11164" t="s">
        <v>20</v>
      </c>
      <c r="N11164" t="s">
        <v>29</v>
      </c>
    </row>
    <row r="11165" spans="1:14">
      <c r="A11165" s="4" t="str">
        <f t="shared" si="989"/>
        <v>EXP00369</v>
      </c>
      <c r="B11165" s="3" t="s">
        <v>66</v>
      </c>
      <c r="C11165" s="4" t="str">
        <f t="shared" si="990"/>
        <v>GSE76124</v>
      </c>
      <c r="D11165" s="1" t="s">
        <v>45</v>
      </c>
      <c r="E11165" t="s">
        <v>470</v>
      </c>
      <c r="F11165" s="1">
        <v>2</v>
      </c>
      <c r="G11165" s="1" t="s">
        <v>32</v>
      </c>
      <c r="H11165" s="4" t="str">
        <f>HYPERLINK("https://www.ncbi.nlm.nih.gov/geo/query/acc.cgi?acc=GSM1974652","GSM1974652")</f>
        <v>GSM1974652</v>
      </c>
      <c r="I11165" t="s">
        <v>17</v>
      </c>
      <c r="J11165" t="s">
        <v>471</v>
      </c>
      <c r="K11165" t="s">
        <v>33</v>
      </c>
      <c r="L11165" t="s">
        <v>20</v>
      </c>
      <c r="N11165" t="s">
        <v>29</v>
      </c>
    </row>
    <row r="11166" spans="1:14">
      <c r="A11166" s="4" t="str">
        <f t="shared" si="989"/>
        <v>EXP00369</v>
      </c>
      <c r="B11166" s="3" t="s">
        <v>66</v>
      </c>
      <c r="C11166" s="4" t="str">
        <f t="shared" si="990"/>
        <v>GSE76124</v>
      </c>
      <c r="D11166" s="1" t="s">
        <v>45</v>
      </c>
      <c r="E11166" t="s">
        <v>470</v>
      </c>
      <c r="F11166" s="1">
        <v>2</v>
      </c>
      <c r="G11166" s="1" t="s">
        <v>32</v>
      </c>
      <c r="H11166" s="4" t="str">
        <f>HYPERLINK("https://www.ncbi.nlm.nih.gov/geo/query/acc.cgi?acc=GSM1974653","GSM1974653")</f>
        <v>GSM1974653</v>
      </c>
      <c r="I11166" t="s">
        <v>17</v>
      </c>
      <c r="J11166" t="s">
        <v>471</v>
      </c>
      <c r="K11166" t="s">
        <v>33</v>
      </c>
      <c r="L11166" t="s">
        <v>20</v>
      </c>
      <c r="N11166" t="s">
        <v>29</v>
      </c>
    </row>
    <row r="11167" spans="1:14">
      <c r="A11167" s="4" t="str">
        <f t="shared" si="989"/>
        <v>EXP00369</v>
      </c>
      <c r="B11167" s="3" t="s">
        <v>66</v>
      </c>
      <c r="C11167" s="4" t="str">
        <f t="shared" si="990"/>
        <v>GSE76124</v>
      </c>
      <c r="D11167" s="1" t="s">
        <v>45</v>
      </c>
      <c r="E11167" t="s">
        <v>470</v>
      </c>
      <c r="F11167" s="1">
        <v>2</v>
      </c>
      <c r="G11167" s="1" t="s">
        <v>32</v>
      </c>
      <c r="H11167" s="4" t="str">
        <f>HYPERLINK("https://www.ncbi.nlm.nih.gov/geo/query/acc.cgi?acc=GSM1974654","GSM1974654")</f>
        <v>GSM1974654</v>
      </c>
      <c r="I11167" t="s">
        <v>17</v>
      </c>
      <c r="J11167" t="s">
        <v>471</v>
      </c>
      <c r="K11167" t="s">
        <v>33</v>
      </c>
      <c r="L11167" t="s">
        <v>20</v>
      </c>
      <c r="N11167" t="s">
        <v>29</v>
      </c>
    </row>
    <row r="11168" spans="1:14">
      <c r="A11168" s="4" t="str">
        <f t="shared" si="989"/>
        <v>EXP00369</v>
      </c>
      <c r="B11168" s="3" t="s">
        <v>66</v>
      </c>
      <c r="C11168" s="4" t="str">
        <f t="shared" si="990"/>
        <v>GSE76124</v>
      </c>
      <c r="D11168" s="1" t="s">
        <v>45</v>
      </c>
      <c r="E11168" t="s">
        <v>470</v>
      </c>
      <c r="F11168" s="1">
        <v>2</v>
      </c>
      <c r="G11168" s="1" t="s">
        <v>32</v>
      </c>
      <c r="H11168" s="4" t="str">
        <f>HYPERLINK("https://www.ncbi.nlm.nih.gov/geo/query/acc.cgi?acc=GSM1974656","GSM1974656")</f>
        <v>GSM1974656</v>
      </c>
      <c r="I11168" t="s">
        <v>17</v>
      </c>
      <c r="J11168" t="s">
        <v>471</v>
      </c>
      <c r="K11168" t="s">
        <v>33</v>
      </c>
      <c r="L11168" t="s">
        <v>20</v>
      </c>
      <c r="N11168" t="s">
        <v>29</v>
      </c>
    </row>
    <row r="11169" spans="1:14">
      <c r="A11169" s="4" t="str">
        <f t="shared" si="989"/>
        <v>EXP00369</v>
      </c>
      <c r="B11169" s="3" t="s">
        <v>66</v>
      </c>
      <c r="C11169" s="4" t="str">
        <f t="shared" si="990"/>
        <v>GSE76124</v>
      </c>
      <c r="D11169" s="1" t="s">
        <v>45</v>
      </c>
      <c r="E11169" t="s">
        <v>470</v>
      </c>
      <c r="F11169" s="1">
        <v>2</v>
      </c>
      <c r="G11169" s="1" t="s">
        <v>32</v>
      </c>
      <c r="H11169" s="4" t="str">
        <f>HYPERLINK("https://www.ncbi.nlm.nih.gov/geo/query/acc.cgi?acc=GSM1974657","GSM1974657")</f>
        <v>GSM1974657</v>
      </c>
      <c r="I11169" t="s">
        <v>17</v>
      </c>
      <c r="J11169" t="s">
        <v>471</v>
      </c>
      <c r="K11169" t="s">
        <v>33</v>
      </c>
      <c r="L11169" t="s">
        <v>20</v>
      </c>
      <c r="N11169" t="s">
        <v>29</v>
      </c>
    </row>
    <row r="11170" spans="1:14">
      <c r="A11170" s="4" t="str">
        <f t="shared" si="989"/>
        <v>EXP00369</v>
      </c>
      <c r="B11170" s="3" t="s">
        <v>66</v>
      </c>
      <c r="C11170" s="4" t="str">
        <f t="shared" si="990"/>
        <v>GSE76124</v>
      </c>
      <c r="D11170" s="1" t="s">
        <v>45</v>
      </c>
      <c r="E11170" t="s">
        <v>470</v>
      </c>
      <c r="F11170" s="1">
        <v>2</v>
      </c>
      <c r="G11170" s="1" t="s">
        <v>32</v>
      </c>
      <c r="H11170" s="4" t="str">
        <f>HYPERLINK("https://www.ncbi.nlm.nih.gov/geo/query/acc.cgi?acc=GSM1974658","GSM1974658")</f>
        <v>GSM1974658</v>
      </c>
      <c r="I11170" t="s">
        <v>17</v>
      </c>
      <c r="J11170" t="s">
        <v>471</v>
      </c>
      <c r="K11170" t="s">
        <v>33</v>
      </c>
      <c r="L11170" t="s">
        <v>20</v>
      </c>
      <c r="N11170" t="s">
        <v>29</v>
      </c>
    </row>
    <row r="11171" spans="1:14">
      <c r="A11171" s="4" t="str">
        <f t="shared" si="989"/>
        <v>EXP00369</v>
      </c>
      <c r="B11171" s="3" t="s">
        <v>66</v>
      </c>
      <c r="C11171" s="4" t="str">
        <f t="shared" si="990"/>
        <v>GSE76124</v>
      </c>
      <c r="D11171" s="1" t="s">
        <v>45</v>
      </c>
      <c r="E11171" t="s">
        <v>470</v>
      </c>
      <c r="F11171" s="1">
        <v>2</v>
      </c>
      <c r="G11171" s="1" t="s">
        <v>32</v>
      </c>
      <c r="H11171" s="4" t="str">
        <f>HYPERLINK("https://www.ncbi.nlm.nih.gov/geo/query/acc.cgi?acc=GSM1974661","GSM1974661")</f>
        <v>GSM1974661</v>
      </c>
      <c r="I11171" t="s">
        <v>17</v>
      </c>
      <c r="J11171" t="s">
        <v>471</v>
      </c>
      <c r="K11171" t="s">
        <v>33</v>
      </c>
      <c r="L11171" t="s">
        <v>20</v>
      </c>
      <c r="N11171" t="s">
        <v>29</v>
      </c>
    </row>
    <row r="11172" spans="1:14">
      <c r="A11172" s="4" t="str">
        <f t="shared" ref="A11172:A11203" si="991">HYPERLINK("http://hcmdb.i-sanger.com/experiment/details/experiment_id/EXP00369","EXP00369")</f>
        <v>EXP00369</v>
      </c>
      <c r="B11172" s="3" t="s">
        <v>66</v>
      </c>
      <c r="C11172" s="4" t="str">
        <f t="shared" ref="C11172:C11203" si="992">HYPERLINK("https://www.ncbi.nlm.nih.gov/geo/query/acc.cgi?acc=GSE76124","GSE76124")</f>
        <v>GSE76124</v>
      </c>
      <c r="D11172" s="1" t="s">
        <v>45</v>
      </c>
      <c r="E11172" t="s">
        <v>470</v>
      </c>
      <c r="F11172" s="1">
        <v>2</v>
      </c>
      <c r="G11172" s="1" t="s">
        <v>32</v>
      </c>
      <c r="H11172" s="4" t="str">
        <f>HYPERLINK("https://www.ncbi.nlm.nih.gov/geo/query/acc.cgi?acc=GSM1974662","GSM1974662")</f>
        <v>GSM1974662</v>
      </c>
      <c r="I11172" t="s">
        <v>17</v>
      </c>
      <c r="J11172" t="s">
        <v>471</v>
      </c>
      <c r="K11172" t="s">
        <v>33</v>
      </c>
      <c r="L11172" t="s">
        <v>20</v>
      </c>
      <c r="N11172" t="s">
        <v>29</v>
      </c>
    </row>
    <row r="11173" spans="1:14">
      <c r="A11173" s="4" t="str">
        <f t="shared" si="991"/>
        <v>EXP00369</v>
      </c>
      <c r="B11173" s="3" t="s">
        <v>66</v>
      </c>
      <c r="C11173" s="4" t="str">
        <f t="shared" si="992"/>
        <v>GSE76124</v>
      </c>
      <c r="D11173" s="1" t="s">
        <v>45</v>
      </c>
      <c r="E11173" t="s">
        <v>470</v>
      </c>
      <c r="F11173" s="1">
        <v>2</v>
      </c>
      <c r="G11173" s="1" t="s">
        <v>32</v>
      </c>
      <c r="H11173" s="4" t="str">
        <f>HYPERLINK("https://www.ncbi.nlm.nih.gov/geo/query/acc.cgi?acc=GSM1974663","GSM1974663")</f>
        <v>GSM1974663</v>
      </c>
      <c r="I11173" t="s">
        <v>17</v>
      </c>
      <c r="J11173" t="s">
        <v>471</v>
      </c>
      <c r="K11173" t="s">
        <v>33</v>
      </c>
      <c r="L11173" t="s">
        <v>20</v>
      </c>
      <c r="N11173" t="s">
        <v>29</v>
      </c>
    </row>
    <row r="11174" spans="1:14">
      <c r="A11174" s="4" t="str">
        <f t="shared" si="991"/>
        <v>EXP00369</v>
      </c>
      <c r="B11174" s="3" t="s">
        <v>66</v>
      </c>
      <c r="C11174" s="4" t="str">
        <f t="shared" si="992"/>
        <v>GSE76124</v>
      </c>
      <c r="D11174" s="1" t="s">
        <v>45</v>
      </c>
      <c r="E11174" t="s">
        <v>470</v>
      </c>
      <c r="F11174" s="1">
        <v>2</v>
      </c>
      <c r="G11174" s="1" t="s">
        <v>32</v>
      </c>
      <c r="H11174" s="4" t="str">
        <f>HYPERLINK("https://www.ncbi.nlm.nih.gov/geo/query/acc.cgi?acc=GSM1974664","GSM1974664")</f>
        <v>GSM1974664</v>
      </c>
      <c r="I11174" t="s">
        <v>17</v>
      </c>
      <c r="J11174" t="s">
        <v>471</v>
      </c>
      <c r="K11174" t="s">
        <v>33</v>
      </c>
      <c r="L11174" t="s">
        <v>20</v>
      </c>
      <c r="N11174" t="s">
        <v>29</v>
      </c>
    </row>
    <row r="11175" spans="1:14">
      <c r="A11175" s="4" t="str">
        <f t="shared" si="991"/>
        <v>EXP00369</v>
      </c>
      <c r="B11175" s="3" t="s">
        <v>66</v>
      </c>
      <c r="C11175" s="4" t="str">
        <f t="shared" si="992"/>
        <v>GSE76124</v>
      </c>
      <c r="D11175" s="1" t="s">
        <v>45</v>
      </c>
      <c r="E11175" t="s">
        <v>470</v>
      </c>
      <c r="F11175" s="1">
        <v>2</v>
      </c>
      <c r="G11175" s="1" t="s">
        <v>32</v>
      </c>
      <c r="H11175" s="4" t="str">
        <f>HYPERLINK("https://www.ncbi.nlm.nih.gov/geo/query/acc.cgi?acc=GSM1974665","GSM1974665")</f>
        <v>GSM1974665</v>
      </c>
      <c r="I11175" t="s">
        <v>17</v>
      </c>
      <c r="J11175" t="s">
        <v>471</v>
      </c>
      <c r="K11175" t="s">
        <v>33</v>
      </c>
      <c r="L11175" t="s">
        <v>20</v>
      </c>
      <c r="N11175" t="s">
        <v>29</v>
      </c>
    </row>
    <row r="11176" spans="1:14">
      <c r="A11176" s="4" t="str">
        <f t="shared" si="991"/>
        <v>EXP00369</v>
      </c>
      <c r="B11176" s="3" t="s">
        <v>66</v>
      </c>
      <c r="C11176" s="4" t="str">
        <f t="shared" si="992"/>
        <v>GSE76124</v>
      </c>
      <c r="D11176" s="1" t="s">
        <v>45</v>
      </c>
      <c r="E11176" t="s">
        <v>470</v>
      </c>
      <c r="F11176" s="1">
        <v>2</v>
      </c>
      <c r="G11176" s="1" t="s">
        <v>32</v>
      </c>
      <c r="H11176" s="4" t="str">
        <f>HYPERLINK("https://www.ncbi.nlm.nih.gov/geo/query/acc.cgi?acc=GSM1974666","GSM1974666")</f>
        <v>GSM1974666</v>
      </c>
      <c r="I11176" t="s">
        <v>17</v>
      </c>
      <c r="J11176" t="s">
        <v>471</v>
      </c>
      <c r="K11176" t="s">
        <v>33</v>
      </c>
      <c r="L11176" t="s">
        <v>20</v>
      </c>
      <c r="N11176" t="s">
        <v>29</v>
      </c>
    </row>
    <row r="11177" spans="1:14">
      <c r="A11177" s="4" t="str">
        <f t="shared" si="991"/>
        <v>EXP00369</v>
      </c>
      <c r="B11177" s="3" t="s">
        <v>66</v>
      </c>
      <c r="C11177" s="4" t="str">
        <f t="shared" si="992"/>
        <v>GSE76124</v>
      </c>
      <c r="D11177" s="1" t="s">
        <v>45</v>
      </c>
      <c r="E11177" t="s">
        <v>470</v>
      </c>
      <c r="F11177" s="1">
        <v>2</v>
      </c>
      <c r="G11177" s="1" t="s">
        <v>32</v>
      </c>
      <c r="H11177" s="4" t="str">
        <f>HYPERLINK("https://www.ncbi.nlm.nih.gov/geo/query/acc.cgi?acc=GSM1974667","GSM1974667")</f>
        <v>GSM1974667</v>
      </c>
      <c r="I11177" t="s">
        <v>17</v>
      </c>
      <c r="J11177" t="s">
        <v>471</v>
      </c>
      <c r="K11177" t="s">
        <v>33</v>
      </c>
      <c r="L11177" t="s">
        <v>20</v>
      </c>
      <c r="N11177" t="s">
        <v>29</v>
      </c>
    </row>
    <row r="11178" spans="1:14">
      <c r="A11178" s="4" t="str">
        <f t="shared" si="991"/>
        <v>EXP00369</v>
      </c>
      <c r="B11178" s="3" t="s">
        <v>66</v>
      </c>
      <c r="C11178" s="4" t="str">
        <f t="shared" si="992"/>
        <v>GSE76124</v>
      </c>
      <c r="D11178" s="1" t="s">
        <v>45</v>
      </c>
      <c r="E11178" t="s">
        <v>470</v>
      </c>
      <c r="F11178" s="1">
        <v>2</v>
      </c>
      <c r="G11178" s="1" t="s">
        <v>32</v>
      </c>
      <c r="H11178" s="4" t="str">
        <f>HYPERLINK("https://www.ncbi.nlm.nih.gov/geo/query/acc.cgi?acc=GSM1974668","GSM1974668")</f>
        <v>GSM1974668</v>
      </c>
      <c r="I11178" t="s">
        <v>17</v>
      </c>
      <c r="J11178" t="s">
        <v>471</v>
      </c>
      <c r="K11178" t="s">
        <v>33</v>
      </c>
      <c r="L11178" t="s">
        <v>20</v>
      </c>
      <c r="N11178" t="s">
        <v>29</v>
      </c>
    </row>
    <row r="11179" spans="1:14">
      <c r="A11179" s="4" t="str">
        <f t="shared" si="991"/>
        <v>EXP00369</v>
      </c>
      <c r="B11179" s="3" t="s">
        <v>66</v>
      </c>
      <c r="C11179" s="4" t="str">
        <f t="shared" si="992"/>
        <v>GSE76124</v>
      </c>
      <c r="D11179" s="1" t="s">
        <v>45</v>
      </c>
      <c r="E11179" t="s">
        <v>470</v>
      </c>
      <c r="F11179" s="1">
        <v>2</v>
      </c>
      <c r="G11179" s="1" t="s">
        <v>32</v>
      </c>
      <c r="H11179" s="4" t="str">
        <f>HYPERLINK("https://www.ncbi.nlm.nih.gov/geo/query/acc.cgi?acc=GSM1974669","GSM1974669")</f>
        <v>GSM1974669</v>
      </c>
      <c r="I11179" t="s">
        <v>17</v>
      </c>
      <c r="J11179" t="s">
        <v>471</v>
      </c>
      <c r="K11179" t="s">
        <v>33</v>
      </c>
      <c r="L11179" t="s">
        <v>20</v>
      </c>
      <c r="N11179" t="s">
        <v>29</v>
      </c>
    </row>
    <row r="11180" spans="1:14">
      <c r="A11180" s="4" t="str">
        <f t="shared" si="991"/>
        <v>EXP00369</v>
      </c>
      <c r="B11180" s="3" t="s">
        <v>66</v>
      </c>
      <c r="C11180" s="4" t="str">
        <f t="shared" si="992"/>
        <v>GSE76124</v>
      </c>
      <c r="D11180" s="1" t="s">
        <v>45</v>
      </c>
      <c r="E11180" t="s">
        <v>470</v>
      </c>
      <c r="F11180" s="1">
        <v>2</v>
      </c>
      <c r="G11180" s="1" t="s">
        <v>32</v>
      </c>
      <c r="H11180" s="4" t="str">
        <f>HYPERLINK("https://www.ncbi.nlm.nih.gov/geo/query/acc.cgi?acc=GSM1974670","GSM1974670")</f>
        <v>GSM1974670</v>
      </c>
      <c r="I11180" t="s">
        <v>17</v>
      </c>
      <c r="J11180" t="s">
        <v>471</v>
      </c>
      <c r="K11180" t="s">
        <v>33</v>
      </c>
      <c r="L11180" t="s">
        <v>20</v>
      </c>
      <c r="N11180" t="s">
        <v>29</v>
      </c>
    </row>
    <row r="11181" spans="1:14">
      <c r="A11181" s="4" t="str">
        <f t="shared" si="991"/>
        <v>EXP00369</v>
      </c>
      <c r="B11181" s="3" t="s">
        <v>66</v>
      </c>
      <c r="C11181" s="4" t="str">
        <f t="shared" si="992"/>
        <v>GSE76124</v>
      </c>
      <c r="D11181" s="1" t="s">
        <v>45</v>
      </c>
      <c r="E11181" t="s">
        <v>470</v>
      </c>
      <c r="F11181" s="1">
        <v>2</v>
      </c>
      <c r="G11181" s="1" t="s">
        <v>32</v>
      </c>
      <c r="H11181" s="4" t="str">
        <f>HYPERLINK("https://www.ncbi.nlm.nih.gov/geo/query/acc.cgi?acc=GSM1974671","GSM1974671")</f>
        <v>GSM1974671</v>
      </c>
      <c r="I11181" t="s">
        <v>17</v>
      </c>
      <c r="J11181" t="s">
        <v>471</v>
      </c>
      <c r="K11181" t="s">
        <v>33</v>
      </c>
      <c r="L11181" t="s">
        <v>20</v>
      </c>
      <c r="N11181" t="s">
        <v>29</v>
      </c>
    </row>
    <row r="11182" spans="1:14">
      <c r="A11182" s="4" t="str">
        <f t="shared" si="991"/>
        <v>EXP00369</v>
      </c>
      <c r="B11182" s="3" t="s">
        <v>66</v>
      </c>
      <c r="C11182" s="4" t="str">
        <f t="shared" si="992"/>
        <v>GSE76124</v>
      </c>
      <c r="D11182" s="1" t="s">
        <v>45</v>
      </c>
      <c r="E11182" t="s">
        <v>470</v>
      </c>
      <c r="F11182" s="1">
        <v>2</v>
      </c>
      <c r="G11182" s="1" t="s">
        <v>32</v>
      </c>
      <c r="H11182" s="4" t="str">
        <f>HYPERLINK("https://www.ncbi.nlm.nih.gov/geo/query/acc.cgi?acc=GSM1974673","GSM1974673")</f>
        <v>GSM1974673</v>
      </c>
      <c r="I11182" t="s">
        <v>17</v>
      </c>
      <c r="J11182" t="s">
        <v>471</v>
      </c>
      <c r="K11182" t="s">
        <v>33</v>
      </c>
      <c r="L11182" t="s">
        <v>20</v>
      </c>
      <c r="N11182" t="s">
        <v>29</v>
      </c>
    </row>
    <row r="11183" spans="1:14">
      <c r="A11183" s="4" t="str">
        <f t="shared" si="991"/>
        <v>EXP00369</v>
      </c>
      <c r="B11183" s="3" t="s">
        <v>66</v>
      </c>
      <c r="C11183" s="4" t="str">
        <f t="shared" si="992"/>
        <v>GSE76124</v>
      </c>
      <c r="D11183" s="1" t="s">
        <v>45</v>
      </c>
      <c r="E11183" t="s">
        <v>470</v>
      </c>
      <c r="F11183" s="1">
        <v>2</v>
      </c>
      <c r="G11183" s="1" t="s">
        <v>32</v>
      </c>
      <c r="H11183" s="4" t="str">
        <f>HYPERLINK("https://www.ncbi.nlm.nih.gov/geo/query/acc.cgi?acc=GSM1974674","GSM1974674")</f>
        <v>GSM1974674</v>
      </c>
      <c r="I11183" t="s">
        <v>17</v>
      </c>
      <c r="J11183" t="s">
        <v>471</v>
      </c>
      <c r="K11183" t="s">
        <v>33</v>
      </c>
      <c r="L11183" t="s">
        <v>20</v>
      </c>
      <c r="N11183" t="s">
        <v>29</v>
      </c>
    </row>
    <row r="11184" spans="1:14">
      <c r="A11184" s="4" t="str">
        <f t="shared" si="991"/>
        <v>EXP00369</v>
      </c>
      <c r="B11184" s="3" t="s">
        <v>66</v>
      </c>
      <c r="C11184" s="4" t="str">
        <f t="shared" si="992"/>
        <v>GSE76124</v>
      </c>
      <c r="D11184" s="1" t="s">
        <v>45</v>
      </c>
      <c r="E11184" t="s">
        <v>470</v>
      </c>
      <c r="F11184" s="1">
        <v>2</v>
      </c>
      <c r="G11184" s="1" t="s">
        <v>32</v>
      </c>
      <c r="H11184" s="4" t="str">
        <f>HYPERLINK("https://www.ncbi.nlm.nih.gov/geo/query/acc.cgi?acc=GSM1974681","GSM1974681")</f>
        <v>GSM1974681</v>
      </c>
      <c r="I11184" t="s">
        <v>17</v>
      </c>
      <c r="J11184" t="s">
        <v>471</v>
      </c>
      <c r="K11184" t="s">
        <v>33</v>
      </c>
      <c r="L11184" t="s">
        <v>20</v>
      </c>
      <c r="N11184" t="s">
        <v>29</v>
      </c>
    </row>
    <row r="11185" spans="1:14">
      <c r="A11185" s="4" t="str">
        <f t="shared" si="991"/>
        <v>EXP00369</v>
      </c>
      <c r="B11185" s="3" t="s">
        <v>66</v>
      </c>
      <c r="C11185" s="4" t="str">
        <f t="shared" si="992"/>
        <v>GSE76124</v>
      </c>
      <c r="D11185" s="1" t="s">
        <v>45</v>
      </c>
      <c r="E11185" t="s">
        <v>470</v>
      </c>
      <c r="F11185" s="1">
        <v>2</v>
      </c>
      <c r="G11185" s="1" t="s">
        <v>32</v>
      </c>
      <c r="H11185" s="4" t="str">
        <f>HYPERLINK("https://www.ncbi.nlm.nih.gov/geo/query/acc.cgi?acc=GSM1974682","GSM1974682")</f>
        <v>GSM1974682</v>
      </c>
      <c r="I11185" t="s">
        <v>17</v>
      </c>
      <c r="J11185" t="s">
        <v>471</v>
      </c>
      <c r="K11185" t="s">
        <v>33</v>
      </c>
      <c r="L11185" t="s">
        <v>20</v>
      </c>
      <c r="N11185" t="s">
        <v>29</v>
      </c>
    </row>
    <row r="11186" spans="1:14">
      <c r="A11186" s="4" t="str">
        <f t="shared" si="991"/>
        <v>EXP00369</v>
      </c>
      <c r="B11186" s="3" t="s">
        <v>66</v>
      </c>
      <c r="C11186" s="4" t="str">
        <f t="shared" si="992"/>
        <v>GSE76124</v>
      </c>
      <c r="D11186" s="1" t="s">
        <v>45</v>
      </c>
      <c r="E11186" t="s">
        <v>470</v>
      </c>
      <c r="F11186" s="1">
        <v>2</v>
      </c>
      <c r="G11186" s="1" t="s">
        <v>32</v>
      </c>
      <c r="H11186" s="4" t="str">
        <f>HYPERLINK("https://www.ncbi.nlm.nih.gov/geo/query/acc.cgi?acc=GSM1974685","GSM1974685")</f>
        <v>GSM1974685</v>
      </c>
      <c r="I11186" t="s">
        <v>17</v>
      </c>
      <c r="J11186" t="s">
        <v>471</v>
      </c>
      <c r="K11186" t="s">
        <v>33</v>
      </c>
      <c r="L11186" t="s">
        <v>20</v>
      </c>
      <c r="N11186" t="s">
        <v>29</v>
      </c>
    </row>
    <row r="11187" spans="1:14">
      <c r="A11187" s="4" t="str">
        <f t="shared" si="991"/>
        <v>EXP00369</v>
      </c>
      <c r="B11187" s="3" t="s">
        <v>66</v>
      </c>
      <c r="C11187" s="4" t="str">
        <f t="shared" si="992"/>
        <v>GSE76124</v>
      </c>
      <c r="D11187" s="1" t="s">
        <v>45</v>
      </c>
      <c r="E11187" t="s">
        <v>470</v>
      </c>
      <c r="F11187" s="1">
        <v>2</v>
      </c>
      <c r="G11187" s="1" t="s">
        <v>32</v>
      </c>
      <c r="H11187" s="4" t="str">
        <f>HYPERLINK("https://www.ncbi.nlm.nih.gov/geo/query/acc.cgi?acc=GSM1974687","GSM1974687")</f>
        <v>GSM1974687</v>
      </c>
      <c r="I11187" t="s">
        <v>17</v>
      </c>
      <c r="J11187" t="s">
        <v>471</v>
      </c>
      <c r="K11187" t="s">
        <v>33</v>
      </c>
      <c r="L11187" t="s">
        <v>20</v>
      </c>
      <c r="N11187" t="s">
        <v>29</v>
      </c>
    </row>
    <row r="11188" spans="1:14">
      <c r="A11188" s="4" t="str">
        <f t="shared" si="991"/>
        <v>EXP00369</v>
      </c>
      <c r="B11188" s="3" t="s">
        <v>66</v>
      </c>
      <c r="C11188" s="4" t="str">
        <f t="shared" si="992"/>
        <v>GSE76124</v>
      </c>
      <c r="D11188" s="1" t="s">
        <v>45</v>
      </c>
      <c r="E11188" t="s">
        <v>470</v>
      </c>
      <c r="F11188" s="1">
        <v>2</v>
      </c>
      <c r="G11188" s="1" t="s">
        <v>32</v>
      </c>
      <c r="H11188" s="4" t="str">
        <f>HYPERLINK("https://www.ncbi.nlm.nih.gov/geo/query/acc.cgi?acc=GSM1974688","GSM1974688")</f>
        <v>GSM1974688</v>
      </c>
      <c r="I11188" t="s">
        <v>17</v>
      </c>
      <c r="J11188" t="s">
        <v>471</v>
      </c>
      <c r="K11188" t="s">
        <v>33</v>
      </c>
      <c r="L11188" t="s">
        <v>20</v>
      </c>
      <c r="N11188" t="s">
        <v>29</v>
      </c>
    </row>
    <row r="11189" spans="1:14">
      <c r="A11189" s="4" t="str">
        <f t="shared" si="991"/>
        <v>EXP00369</v>
      </c>
      <c r="B11189" s="3" t="s">
        <v>66</v>
      </c>
      <c r="C11189" s="4" t="str">
        <f t="shared" si="992"/>
        <v>GSE76124</v>
      </c>
      <c r="D11189" s="1" t="s">
        <v>45</v>
      </c>
      <c r="E11189" t="s">
        <v>470</v>
      </c>
      <c r="F11189" s="1">
        <v>2</v>
      </c>
      <c r="G11189" s="1" t="s">
        <v>32</v>
      </c>
      <c r="H11189" s="4" t="str">
        <f>HYPERLINK("https://www.ncbi.nlm.nih.gov/geo/query/acc.cgi?acc=GSM1974689","GSM1974689")</f>
        <v>GSM1974689</v>
      </c>
      <c r="I11189" t="s">
        <v>17</v>
      </c>
      <c r="J11189" t="s">
        <v>471</v>
      </c>
      <c r="K11189" t="s">
        <v>33</v>
      </c>
      <c r="L11189" t="s">
        <v>20</v>
      </c>
      <c r="N11189" t="s">
        <v>29</v>
      </c>
    </row>
    <row r="11190" spans="1:14">
      <c r="A11190" s="4" t="str">
        <f t="shared" si="991"/>
        <v>EXP00369</v>
      </c>
      <c r="B11190" s="3" t="s">
        <v>66</v>
      </c>
      <c r="C11190" s="4" t="str">
        <f t="shared" si="992"/>
        <v>GSE76124</v>
      </c>
      <c r="D11190" s="1" t="s">
        <v>45</v>
      </c>
      <c r="E11190" t="s">
        <v>470</v>
      </c>
      <c r="F11190" s="1">
        <v>2</v>
      </c>
      <c r="G11190" s="1" t="s">
        <v>32</v>
      </c>
      <c r="H11190" s="4" t="str">
        <f>HYPERLINK("https://www.ncbi.nlm.nih.gov/geo/query/acc.cgi?acc=GSM1974692","GSM1974692")</f>
        <v>GSM1974692</v>
      </c>
      <c r="I11190" t="s">
        <v>17</v>
      </c>
      <c r="J11190" t="s">
        <v>471</v>
      </c>
      <c r="K11190" t="s">
        <v>33</v>
      </c>
      <c r="L11190" t="s">
        <v>20</v>
      </c>
      <c r="N11190" t="s">
        <v>29</v>
      </c>
    </row>
    <row r="11191" spans="1:14">
      <c r="A11191" s="4" t="str">
        <f t="shared" si="991"/>
        <v>EXP00369</v>
      </c>
      <c r="B11191" s="3" t="s">
        <v>66</v>
      </c>
      <c r="C11191" s="4" t="str">
        <f t="shared" si="992"/>
        <v>GSE76124</v>
      </c>
      <c r="D11191" s="1" t="s">
        <v>45</v>
      </c>
      <c r="E11191" t="s">
        <v>470</v>
      </c>
      <c r="F11191" s="1">
        <v>2</v>
      </c>
      <c r="G11191" s="1" t="s">
        <v>32</v>
      </c>
      <c r="H11191" s="4" t="str">
        <f>HYPERLINK("https://www.ncbi.nlm.nih.gov/geo/query/acc.cgi?acc=GSM1974693","GSM1974693")</f>
        <v>GSM1974693</v>
      </c>
      <c r="I11191" t="s">
        <v>17</v>
      </c>
      <c r="J11191" t="s">
        <v>471</v>
      </c>
      <c r="K11191" t="s">
        <v>33</v>
      </c>
      <c r="L11191" t="s">
        <v>20</v>
      </c>
      <c r="N11191" t="s">
        <v>29</v>
      </c>
    </row>
    <row r="11192" spans="1:14">
      <c r="A11192" s="4" t="str">
        <f t="shared" si="991"/>
        <v>EXP00369</v>
      </c>
      <c r="B11192" s="3" t="s">
        <v>66</v>
      </c>
      <c r="C11192" s="4" t="str">
        <f t="shared" si="992"/>
        <v>GSE76124</v>
      </c>
      <c r="D11192" s="1" t="s">
        <v>45</v>
      </c>
      <c r="E11192" t="s">
        <v>470</v>
      </c>
      <c r="F11192" s="1">
        <v>2</v>
      </c>
      <c r="G11192" s="1" t="s">
        <v>32</v>
      </c>
      <c r="H11192" s="4" t="str">
        <f>HYPERLINK("https://www.ncbi.nlm.nih.gov/geo/query/acc.cgi?acc=GSM1974694","GSM1974694")</f>
        <v>GSM1974694</v>
      </c>
      <c r="I11192" t="s">
        <v>17</v>
      </c>
      <c r="J11192" t="s">
        <v>471</v>
      </c>
      <c r="K11192" t="s">
        <v>33</v>
      </c>
      <c r="L11192" t="s">
        <v>20</v>
      </c>
      <c r="N11192" t="s">
        <v>29</v>
      </c>
    </row>
    <row r="11193" spans="1:14">
      <c r="A11193" s="4" t="str">
        <f t="shared" si="991"/>
        <v>EXP00369</v>
      </c>
      <c r="B11193" s="3" t="s">
        <v>66</v>
      </c>
      <c r="C11193" s="4" t="str">
        <f t="shared" si="992"/>
        <v>GSE76124</v>
      </c>
      <c r="D11193" s="1" t="s">
        <v>45</v>
      </c>
      <c r="E11193" t="s">
        <v>470</v>
      </c>
      <c r="F11193" s="1">
        <v>2</v>
      </c>
      <c r="G11193" s="1" t="s">
        <v>32</v>
      </c>
      <c r="H11193" s="4" t="str">
        <f>HYPERLINK("https://www.ncbi.nlm.nih.gov/geo/query/acc.cgi?acc=GSM1974695","GSM1974695")</f>
        <v>GSM1974695</v>
      </c>
      <c r="I11193" t="s">
        <v>17</v>
      </c>
      <c r="J11193" t="s">
        <v>471</v>
      </c>
      <c r="K11193" t="s">
        <v>33</v>
      </c>
      <c r="L11193" t="s">
        <v>20</v>
      </c>
      <c r="N11193" t="s">
        <v>29</v>
      </c>
    </row>
    <row r="11194" spans="1:14">
      <c r="A11194" s="4" t="str">
        <f t="shared" si="991"/>
        <v>EXP00369</v>
      </c>
      <c r="B11194" s="3" t="s">
        <v>66</v>
      </c>
      <c r="C11194" s="4" t="str">
        <f t="shared" si="992"/>
        <v>GSE76124</v>
      </c>
      <c r="D11194" s="1" t="s">
        <v>45</v>
      </c>
      <c r="E11194" t="s">
        <v>470</v>
      </c>
      <c r="F11194" s="1">
        <v>2</v>
      </c>
      <c r="G11194" s="1" t="s">
        <v>32</v>
      </c>
      <c r="H11194" s="4" t="str">
        <f>HYPERLINK("https://www.ncbi.nlm.nih.gov/geo/query/acc.cgi?acc=GSM1974696","GSM1974696")</f>
        <v>GSM1974696</v>
      </c>
      <c r="I11194" t="s">
        <v>17</v>
      </c>
      <c r="J11194" t="s">
        <v>471</v>
      </c>
      <c r="K11194" t="s">
        <v>33</v>
      </c>
      <c r="L11194" t="s">
        <v>20</v>
      </c>
      <c r="N11194" t="s">
        <v>29</v>
      </c>
    </row>
    <row r="11195" spans="1:14">
      <c r="A11195" s="4" t="str">
        <f t="shared" si="991"/>
        <v>EXP00369</v>
      </c>
      <c r="B11195" s="3" t="s">
        <v>66</v>
      </c>
      <c r="C11195" s="4" t="str">
        <f t="shared" si="992"/>
        <v>GSE76124</v>
      </c>
      <c r="D11195" s="1" t="s">
        <v>45</v>
      </c>
      <c r="E11195" t="s">
        <v>470</v>
      </c>
      <c r="F11195" s="1">
        <v>2</v>
      </c>
      <c r="G11195" s="1" t="s">
        <v>32</v>
      </c>
      <c r="H11195" s="4" t="str">
        <f>HYPERLINK("https://www.ncbi.nlm.nih.gov/geo/query/acc.cgi?acc=GSM1974697","GSM1974697")</f>
        <v>GSM1974697</v>
      </c>
      <c r="I11195" t="s">
        <v>17</v>
      </c>
      <c r="J11195" t="s">
        <v>471</v>
      </c>
      <c r="K11195" t="s">
        <v>33</v>
      </c>
      <c r="L11195" t="s">
        <v>20</v>
      </c>
      <c r="N11195" t="s">
        <v>29</v>
      </c>
    </row>
    <row r="11196" spans="1:14">
      <c r="A11196" s="4" t="str">
        <f t="shared" si="991"/>
        <v>EXP00369</v>
      </c>
      <c r="B11196" s="3" t="s">
        <v>66</v>
      </c>
      <c r="C11196" s="4" t="str">
        <f t="shared" si="992"/>
        <v>GSE76124</v>
      </c>
      <c r="D11196" s="1" t="s">
        <v>45</v>
      </c>
      <c r="E11196" t="s">
        <v>470</v>
      </c>
      <c r="F11196" s="1">
        <v>2</v>
      </c>
      <c r="G11196" s="1" t="s">
        <v>32</v>
      </c>
      <c r="H11196" s="4" t="str">
        <f>HYPERLINK("https://www.ncbi.nlm.nih.gov/geo/query/acc.cgi?acc=GSM1974698","GSM1974698")</f>
        <v>GSM1974698</v>
      </c>
      <c r="I11196" t="s">
        <v>17</v>
      </c>
      <c r="J11196" t="s">
        <v>471</v>
      </c>
      <c r="K11196" t="s">
        <v>33</v>
      </c>
      <c r="L11196" t="s">
        <v>20</v>
      </c>
      <c r="N11196" t="s">
        <v>29</v>
      </c>
    </row>
    <row r="11197" spans="1:14">
      <c r="A11197" s="4" t="str">
        <f t="shared" si="991"/>
        <v>EXP00369</v>
      </c>
      <c r="B11197" s="3" t="s">
        <v>66</v>
      </c>
      <c r="C11197" s="4" t="str">
        <f t="shared" si="992"/>
        <v>GSE76124</v>
      </c>
      <c r="D11197" s="1" t="s">
        <v>45</v>
      </c>
      <c r="E11197" t="s">
        <v>470</v>
      </c>
      <c r="F11197" s="1">
        <v>2</v>
      </c>
      <c r="G11197" s="1" t="s">
        <v>32</v>
      </c>
      <c r="H11197" s="4" t="str">
        <f>HYPERLINK("https://www.ncbi.nlm.nih.gov/geo/query/acc.cgi?acc=GSM1974699","GSM1974699")</f>
        <v>GSM1974699</v>
      </c>
      <c r="I11197" t="s">
        <v>17</v>
      </c>
      <c r="J11197" t="s">
        <v>471</v>
      </c>
      <c r="K11197" t="s">
        <v>33</v>
      </c>
      <c r="L11197" t="s">
        <v>20</v>
      </c>
      <c r="N11197" t="s">
        <v>29</v>
      </c>
    </row>
    <row r="11198" spans="1:14">
      <c r="A11198" s="4" t="str">
        <f t="shared" si="991"/>
        <v>EXP00369</v>
      </c>
      <c r="B11198" s="3" t="s">
        <v>66</v>
      </c>
      <c r="C11198" s="4" t="str">
        <f t="shared" si="992"/>
        <v>GSE76124</v>
      </c>
      <c r="D11198" s="1" t="s">
        <v>45</v>
      </c>
      <c r="E11198" t="s">
        <v>470</v>
      </c>
      <c r="F11198" s="1">
        <v>2</v>
      </c>
      <c r="G11198" s="1" t="s">
        <v>32</v>
      </c>
      <c r="H11198" s="4" t="str">
        <f>HYPERLINK("https://www.ncbi.nlm.nih.gov/geo/query/acc.cgi?acc=GSM1974700","GSM1974700")</f>
        <v>GSM1974700</v>
      </c>
      <c r="I11198" t="s">
        <v>17</v>
      </c>
      <c r="J11198" t="s">
        <v>471</v>
      </c>
      <c r="K11198" t="s">
        <v>33</v>
      </c>
      <c r="L11198" t="s">
        <v>20</v>
      </c>
      <c r="N11198" t="s">
        <v>29</v>
      </c>
    </row>
    <row r="11199" spans="1:14">
      <c r="A11199" s="4" t="str">
        <f t="shared" si="991"/>
        <v>EXP00369</v>
      </c>
      <c r="B11199" s="3" t="s">
        <v>66</v>
      </c>
      <c r="C11199" s="4" t="str">
        <f t="shared" si="992"/>
        <v>GSE76124</v>
      </c>
      <c r="D11199" s="1" t="s">
        <v>45</v>
      </c>
      <c r="E11199" t="s">
        <v>470</v>
      </c>
      <c r="F11199" s="1">
        <v>2</v>
      </c>
      <c r="G11199" s="1" t="s">
        <v>32</v>
      </c>
      <c r="H11199" s="4" t="str">
        <f>HYPERLINK("https://www.ncbi.nlm.nih.gov/geo/query/acc.cgi?acc=GSM1974701","GSM1974701")</f>
        <v>GSM1974701</v>
      </c>
      <c r="I11199" t="s">
        <v>17</v>
      </c>
      <c r="J11199" t="s">
        <v>471</v>
      </c>
      <c r="K11199" t="s">
        <v>33</v>
      </c>
      <c r="L11199" t="s">
        <v>20</v>
      </c>
      <c r="N11199" t="s">
        <v>29</v>
      </c>
    </row>
    <row r="11200" spans="1:14">
      <c r="A11200" s="4" t="str">
        <f t="shared" si="991"/>
        <v>EXP00369</v>
      </c>
      <c r="B11200" s="3" t="s">
        <v>66</v>
      </c>
      <c r="C11200" s="4" t="str">
        <f t="shared" si="992"/>
        <v>GSE76124</v>
      </c>
      <c r="D11200" s="1" t="s">
        <v>45</v>
      </c>
      <c r="E11200" t="s">
        <v>470</v>
      </c>
      <c r="F11200" s="1">
        <v>2</v>
      </c>
      <c r="G11200" s="1" t="s">
        <v>32</v>
      </c>
      <c r="H11200" s="4" t="str">
        <f>HYPERLINK("https://www.ncbi.nlm.nih.gov/geo/query/acc.cgi?acc=GSM1974702","GSM1974702")</f>
        <v>GSM1974702</v>
      </c>
      <c r="I11200" t="s">
        <v>17</v>
      </c>
      <c r="J11200" t="s">
        <v>471</v>
      </c>
      <c r="K11200" t="s">
        <v>33</v>
      </c>
      <c r="L11200" t="s">
        <v>20</v>
      </c>
      <c r="N11200" t="s">
        <v>29</v>
      </c>
    </row>
    <row r="11201" spans="1:14">
      <c r="A11201" s="4" t="str">
        <f t="shared" si="991"/>
        <v>EXP00369</v>
      </c>
      <c r="B11201" s="3" t="s">
        <v>66</v>
      </c>
      <c r="C11201" s="4" t="str">
        <f t="shared" si="992"/>
        <v>GSE76124</v>
      </c>
      <c r="D11201" s="1" t="s">
        <v>45</v>
      </c>
      <c r="E11201" t="s">
        <v>470</v>
      </c>
      <c r="F11201" s="1">
        <v>2</v>
      </c>
      <c r="G11201" s="1" t="s">
        <v>32</v>
      </c>
      <c r="H11201" s="4" t="str">
        <f>HYPERLINK("https://www.ncbi.nlm.nih.gov/geo/query/acc.cgi?acc=GSM1974703","GSM1974703")</f>
        <v>GSM1974703</v>
      </c>
      <c r="I11201" t="s">
        <v>17</v>
      </c>
      <c r="J11201" t="s">
        <v>471</v>
      </c>
      <c r="K11201" t="s">
        <v>33</v>
      </c>
      <c r="L11201" t="s">
        <v>20</v>
      </c>
      <c r="N11201" t="s">
        <v>29</v>
      </c>
    </row>
    <row r="11202" spans="1:14">
      <c r="A11202" s="4" t="str">
        <f t="shared" si="991"/>
        <v>EXP00369</v>
      </c>
      <c r="B11202" s="3" t="s">
        <v>66</v>
      </c>
      <c r="C11202" s="4" t="str">
        <f t="shared" si="992"/>
        <v>GSE76124</v>
      </c>
      <c r="D11202" s="1" t="s">
        <v>45</v>
      </c>
      <c r="E11202" t="s">
        <v>470</v>
      </c>
      <c r="F11202" s="1">
        <v>2</v>
      </c>
      <c r="G11202" s="1" t="s">
        <v>32</v>
      </c>
      <c r="H11202" s="4" t="str">
        <f>HYPERLINK("https://www.ncbi.nlm.nih.gov/geo/query/acc.cgi?acc=GSM1974704","GSM1974704")</f>
        <v>GSM1974704</v>
      </c>
      <c r="I11202" t="s">
        <v>17</v>
      </c>
      <c r="J11202" t="s">
        <v>471</v>
      </c>
      <c r="K11202" t="s">
        <v>33</v>
      </c>
      <c r="L11202" t="s">
        <v>20</v>
      </c>
      <c r="N11202" t="s">
        <v>29</v>
      </c>
    </row>
    <row r="11203" spans="1:14">
      <c r="A11203" s="4" t="str">
        <f t="shared" si="991"/>
        <v>EXP00369</v>
      </c>
      <c r="B11203" s="3" t="s">
        <v>66</v>
      </c>
      <c r="C11203" s="4" t="str">
        <f t="shared" si="992"/>
        <v>GSE76124</v>
      </c>
      <c r="D11203" s="1" t="s">
        <v>45</v>
      </c>
      <c r="E11203" t="s">
        <v>470</v>
      </c>
      <c r="F11203" s="1">
        <v>2</v>
      </c>
      <c r="G11203" s="1" t="s">
        <v>32</v>
      </c>
      <c r="H11203" s="4" t="str">
        <f>HYPERLINK("https://www.ncbi.nlm.nih.gov/geo/query/acc.cgi?acc=GSM1974705","GSM1974705")</f>
        <v>GSM1974705</v>
      </c>
      <c r="I11203" t="s">
        <v>17</v>
      </c>
      <c r="J11203" t="s">
        <v>471</v>
      </c>
      <c r="K11203" t="s">
        <v>33</v>
      </c>
      <c r="L11203" t="s">
        <v>20</v>
      </c>
      <c r="N11203" t="s">
        <v>29</v>
      </c>
    </row>
    <row r="11204" spans="1:14">
      <c r="A11204" s="4" t="str">
        <f t="shared" ref="A11204:A11235" si="993">HYPERLINK("http://hcmdb.i-sanger.com/experiment/details/experiment_id/EXP00369","EXP00369")</f>
        <v>EXP00369</v>
      </c>
      <c r="B11204" s="3" t="s">
        <v>66</v>
      </c>
      <c r="C11204" s="4" t="str">
        <f t="shared" ref="C11204:C11235" si="994">HYPERLINK("https://www.ncbi.nlm.nih.gov/geo/query/acc.cgi?acc=GSE76124","GSE76124")</f>
        <v>GSE76124</v>
      </c>
      <c r="D11204" s="1" t="s">
        <v>45</v>
      </c>
      <c r="E11204" t="s">
        <v>470</v>
      </c>
      <c r="F11204" s="1">
        <v>2</v>
      </c>
      <c r="G11204" s="1" t="s">
        <v>32</v>
      </c>
      <c r="H11204" s="4" t="str">
        <f>HYPERLINK("https://www.ncbi.nlm.nih.gov/geo/query/acc.cgi?acc=GSM1974706","GSM1974706")</f>
        <v>GSM1974706</v>
      </c>
      <c r="I11204" t="s">
        <v>17</v>
      </c>
      <c r="J11204" t="s">
        <v>471</v>
      </c>
      <c r="K11204" t="s">
        <v>33</v>
      </c>
      <c r="L11204" t="s">
        <v>20</v>
      </c>
      <c r="N11204" t="s">
        <v>29</v>
      </c>
    </row>
    <row r="11205" spans="1:14">
      <c r="A11205" s="4" t="str">
        <f t="shared" si="993"/>
        <v>EXP00369</v>
      </c>
      <c r="B11205" s="3" t="s">
        <v>66</v>
      </c>
      <c r="C11205" s="4" t="str">
        <f t="shared" si="994"/>
        <v>GSE76124</v>
      </c>
      <c r="D11205" s="1" t="s">
        <v>45</v>
      </c>
      <c r="E11205" t="s">
        <v>470</v>
      </c>
      <c r="F11205" s="1">
        <v>2</v>
      </c>
      <c r="G11205" s="1" t="s">
        <v>32</v>
      </c>
      <c r="H11205" s="4" t="str">
        <f>HYPERLINK("https://www.ncbi.nlm.nih.gov/geo/query/acc.cgi?acc=GSM1974707","GSM1974707")</f>
        <v>GSM1974707</v>
      </c>
      <c r="I11205" t="s">
        <v>17</v>
      </c>
      <c r="J11205" t="s">
        <v>471</v>
      </c>
      <c r="K11205" t="s">
        <v>33</v>
      </c>
      <c r="L11205" t="s">
        <v>20</v>
      </c>
      <c r="N11205" t="s">
        <v>29</v>
      </c>
    </row>
    <row r="11206" spans="1:14">
      <c r="A11206" s="4" t="str">
        <f t="shared" si="993"/>
        <v>EXP00369</v>
      </c>
      <c r="B11206" s="3" t="s">
        <v>66</v>
      </c>
      <c r="C11206" s="4" t="str">
        <f t="shared" si="994"/>
        <v>GSE76124</v>
      </c>
      <c r="D11206" s="1" t="s">
        <v>45</v>
      </c>
      <c r="E11206" t="s">
        <v>470</v>
      </c>
      <c r="F11206" s="1">
        <v>2</v>
      </c>
      <c r="G11206" s="1" t="s">
        <v>32</v>
      </c>
      <c r="H11206" s="4" t="str">
        <f>HYPERLINK("https://www.ncbi.nlm.nih.gov/geo/query/acc.cgi?acc=GSM1974708","GSM1974708")</f>
        <v>GSM1974708</v>
      </c>
      <c r="I11206" t="s">
        <v>17</v>
      </c>
      <c r="J11206" t="s">
        <v>471</v>
      </c>
      <c r="K11206" t="s">
        <v>33</v>
      </c>
      <c r="L11206" t="s">
        <v>20</v>
      </c>
      <c r="N11206" t="s">
        <v>29</v>
      </c>
    </row>
    <row r="11207" spans="1:14">
      <c r="A11207" s="4" t="str">
        <f t="shared" si="993"/>
        <v>EXP00369</v>
      </c>
      <c r="B11207" s="3" t="s">
        <v>66</v>
      </c>
      <c r="C11207" s="4" t="str">
        <f t="shared" si="994"/>
        <v>GSE76124</v>
      </c>
      <c r="D11207" s="1" t="s">
        <v>45</v>
      </c>
      <c r="E11207" t="s">
        <v>470</v>
      </c>
      <c r="F11207" s="1">
        <v>2</v>
      </c>
      <c r="G11207" s="1" t="s">
        <v>32</v>
      </c>
      <c r="H11207" s="4" t="str">
        <f>HYPERLINK("https://www.ncbi.nlm.nih.gov/geo/query/acc.cgi?acc=GSM1974709","GSM1974709")</f>
        <v>GSM1974709</v>
      </c>
      <c r="I11207" t="s">
        <v>17</v>
      </c>
      <c r="J11207" t="s">
        <v>471</v>
      </c>
      <c r="K11207" t="s">
        <v>33</v>
      </c>
      <c r="L11207" t="s">
        <v>20</v>
      </c>
      <c r="N11207" t="s">
        <v>29</v>
      </c>
    </row>
    <row r="11208" spans="1:14">
      <c r="A11208" s="4" t="str">
        <f t="shared" si="993"/>
        <v>EXP00369</v>
      </c>
      <c r="B11208" s="3" t="s">
        <v>66</v>
      </c>
      <c r="C11208" s="4" t="str">
        <f t="shared" si="994"/>
        <v>GSE76124</v>
      </c>
      <c r="D11208" s="1" t="s">
        <v>45</v>
      </c>
      <c r="E11208" t="s">
        <v>470</v>
      </c>
      <c r="F11208" s="1">
        <v>2</v>
      </c>
      <c r="G11208" s="1" t="s">
        <v>32</v>
      </c>
      <c r="H11208" s="4" t="str">
        <f>HYPERLINK("https://www.ncbi.nlm.nih.gov/geo/query/acc.cgi?acc=GSM1974710","GSM1974710")</f>
        <v>GSM1974710</v>
      </c>
      <c r="I11208" t="s">
        <v>17</v>
      </c>
      <c r="J11208" t="s">
        <v>471</v>
      </c>
      <c r="K11208" t="s">
        <v>33</v>
      </c>
      <c r="L11208" t="s">
        <v>20</v>
      </c>
      <c r="N11208" t="s">
        <v>29</v>
      </c>
    </row>
    <row r="11209" spans="1:14">
      <c r="A11209" s="4" t="str">
        <f t="shared" si="993"/>
        <v>EXP00369</v>
      </c>
      <c r="B11209" s="3" t="s">
        <v>66</v>
      </c>
      <c r="C11209" s="4" t="str">
        <f t="shared" si="994"/>
        <v>GSE76124</v>
      </c>
      <c r="D11209" s="1" t="s">
        <v>45</v>
      </c>
      <c r="E11209" t="s">
        <v>470</v>
      </c>
      <c r="F11209" s="1">
        <v>2</v>
      </c>
      <c r="G11209" s="1" t="s">
        <v>32</v>
      </c>
      <c r="H11209" s="4" t="str">
        <f>HYPERLINK("https://www.ncbi.nlm.nih.gov/geo/query/acc.cgi?acc=GSM1974711","GSM1974711")</f>
        <v>GSM1974711</v>
      </c>
      <c r="I11209" t="s">
        <v>17</v>
      </c>
      <c r="J11209" t="s">
        <v>471</v>
      </c>
      <c r="K11209" t="s">
        <v>33</v>
      </c>
      <c r="L11209" t="s">
        <v>20</v>
      </c>
      <c r="N11209" t="s">
        <v>29</v>
      </c>
    </row>
    <row r="11210" spans="1:14">
      <c r="A11210" s="4" t="str">
        <f t="shared" si="993"/>
        <v>EXP00369</v>
      </c>
      <c r="B11210" s="3" t="s">
        <v>66</v>
      </c>
      <c r="C11210" s="4" t="str">
        <f t="shared" si="994"/>
        <v>GSE76124</v>
      </c>
      <c r="D11210" s="1" t="s">
        <v>45</v>
      </c>
      <c r="E11210" t="s">
        <v>470</v>
      </c>
      <c r="F11210" s="1">
        <v>2</v>
      </c>
      <c r="G11210" s="1" t="s">
        <v>32</v>
      </c>
      <c r="H11210" s="4" t="str">
        <f>HYPERLINK("https://www.ncbi.nlm.nih.gov/geo/query/acc.cgi?acc=GSM1974712","GSM1974712")</f>
        <v>GSM1974712</v>
      </c>
      <c r="I11210" t="s">
        <v>17</v>
      </c>
      <c r="J11210" t="s">
        <v>471</v>
      </c>
      <c r="K11210" t="s">
        <v>33</v>
      </c>
      <c r="L11210" t="s">
        <v>20</v>
      </c>
      <c r="N11210" t="s">
        <v>29</v>
      </c>
    </row>
    <row r="11211" spans="1:14">
      <c r="A11211" s="4" t="str">
        <f t="shared" si="993"/>
        <v>EXP00369</v>
      </c>
      <c r="B11211" s="3" t="s">
        <v>66</v>
      </c>
      <c r="C11211" s="4" t="str">
        <f t="shared" si="994"/>
        <v>GSE76124</v>
      </c>
      <c r="D11211" s="1" t="s">
        <v>45</v>
      </c>
      <c r="E11211" t="s">
        <v>470</v>
      </c>
      <c r="F11211" s="1">
        <v>2</v>
      </c>
      <c r="G11211" s="1" t="s">
        <v>32</v>
      </c>
      <c r="H11211" s="4" t="str">
        <f>HYPERLINK("https://www.ncbi.nlm.nih.gov/geo/query/acc.cgi?acc=GSM1974713","GSM1974713")</f>
        <v>GSM1974713</v>
      </c>
      <c r="I11211" t="s">
        <v>17</v>
      </c>
      <c r="J11211" t="s">
        <v>471</v>
      </c>
      <c r="K11211" t="s">
        <v>33</v>
      </c>
      <c r="L11211" t="s">
        <v>20</v>
      </c>
      <c r="N11211" t="s">
        <v>29</v>
      </c>
    </row>
    <row r="11212" spans="1:14">
      <c r="A11212" s="4" t="str">
        <f t="shared" si="993"/>
        <v>EXP00369</v>
      </c>
      <c r="B11212" s="3" t="s">
        <v>66</v>
      </c>
      <c r="C11212" s="4" t="str">
        <f t="shared" si="994"/>
        <v>GSE76124</v>
      </c>
      <c r="D11212" s="1" t="s">
        <v>45</v>
      </c>
      <c r="E11212" t="s">
        <v>470</v>
      </c>
      <c r="F11212" s="1">
        <v>2</v>
      </c>
      <c r="G11212" s="1" t="s">
        <v>32</v>
      </c>
      <c r="H11212" s="4" t="str">
        <f>HYPERLINK("https://www.ncbi.nlm.nih.gov/geo/query/acc.cgi?acc=GSM1974714","GSM1974714")</f>
        <v>GSM1974714</v>
      </c>
      <c r="I11212" t="s">
        <v>17</v>
      </c>
      <c r="J11212" t="s">
        <v>471</v>
      </c>
      <c r="K11212" t="s">
        <v>33</v>
      </c>
      <c r="L11212" t="s">
        <v>20</v>
      </c>
      <c r="N11212" t="s">
        <v>29</v>
      </c>
    </row>
    <row r="11213" spans="1:14">
      <c r="A11213" s="4" t="str">
        <f t="shared" si="993"/>
        <v>EXP00369</v>
      </c>
      <c r="B11213" s="3" t="s">
        <v>66</v>
      </c>
      <c r="C11213" s="4" t="str">
        <f t="shared" si="994"/>
        <v>GSE76124</v>
      </c>
      <c r="D11213" s="1" t="s">
        <v>45</v>
      </c>
      <c r="E11213" t="s">
        <v>470</v>
      </c>
      <c r="F11213" s="1">
        <v>2</v>
      </c>
      <c r="G11213" s="1" t="s">
        <v>32</v>
      </c>
      <c r="H11213" s="4" t="str">
        <f>HYPERLINK("https://www.ncbi.nlm.nih.gov/geo/query/acc.cgi?acc=GSM1974717","GSM1974717")</f>
        <v>GSM1974717</v>
      </c>
      <c r="I11213" t="s">
        <v>17</v>
      </c>
      <c r="J11213" t="s">
        <v>471</v>
      </c>
      <c r="K11213" t="s">
        <v>33</v>
      </c>
      <c r="L11213" t="s">
        <v>20</v>
      </c>
      <c r="N11213" t="s">
        <v>29</v>
      </c>
    </row>
    <row r="11214" spans="1:14">
      <c r="A11214" s="4" t="str">
        <f t="shared" si="993"/>
        <v>EXP00369</v>
      </c>
      <c r="B11214" s="3" t="s">
        <v>66</v>
      </c>
      <c r="C11214" s="4" t="str">
        <f t="shared" si="994"/>
        <v>GSE76124</v>
      </c>
      <c r="D11214" s="1" t="s">
        <v>45</v>
      </c>
      <c r="E11214" t="s">
        <v>470</v>
      </c>
      <c r="F11214" s="1">
        <v>2</v>
      </c>
      <c r="G11214" s="1" t="s">
        <v>32</v>
      </c>
      <c r="H11214" s="4" t="str">
        <f>HYPERLINK("https://www.ncbi.nlm.nih.gov/geo/query/acc.cgi?acc=GSM1974718","GSM1974718")</f>
        <v>GSM1974718</v>
      </c>
      <c r="I11214" t="s">
        <v>17</v>
      </c>
      <c r="J11214" t="s">
        <v>471</v>
      </c>
      <c r="K11214" t="s">
        <v>33</v>
      </c>
      <c r="L11214" t="s">
        <v>20</v>
      </c>
      <c r="N11214" t="s">
        <v>29</v>
      </c>
    </row>
    <row r="11215" spans="1:14">
      <c r="A11215" s="4" t="str">
        <f t="shared" si="993"/>
        <v>EXP00369</v>
      </c>
      <c r="B11215" s="3" t="s">
        <v>66</v>
      </c>
      <c r="C11215" s="4" t="str">
        <f t="shared" si="994"/>
        <v>GSE76124</v>
      </c>
      <c r="D11215" s="1" t="s">
        <v>45</v>
      </c>
      <c r="E11215" t="s">
        <v>470</v>
      </c>
      <c r="F11215" s="1">
        <v>2</v>
      </c>
      <c r="G11215" s="1" t="s">
        <v>32</v>
      </c>
      <c r="H11215" s="4" t="str">
        <f>HYPERLINK("https://www.ncbi.nlm.nih.gov/geo/query/acc.cgi?acc=GSM1974719","GSM1974719")</f>
        <v>GSM1974719</v>
      </c>
      <c r="I11215" t="s">
        <v>17</v>
      </c>
      <c r="J11215" t="s">
        <v>471</v>
      </c>
      <c r="K11215" t="s">
        <v>33</v>
      </c>
      <c r="L11215" t="s">
        <v>20</v>
      </c>
      <c r="N11215" t="s">
        <v>29</v>
      </c>
    </row>
    <row r="11216" spans="1:14">
      <c r="A11216" s="4" t="str">
        <f t="shared" si="993"/>
        <v>EXP00369</v>
      </c>
      <c r="B11216" s="3" t="s">
        <v>66</v>
      </c>
      <c r="C11216" s="4" t="str">
        <f t="shared" si="994"/>
        <v>GSE76124</v>
      </c>
      <c r="D11216" s="1" t="s">
        <v>45</v>
      </c>
      <c r="E11216" t="s">
        <v>470</v>
      </c>
      <c r="F11216" s="1">
        <v>2</v>
      </c>
      <c r="G11216" s="1" t="s">
        <v>32</v>
      </c>
      <c r="H11216" s="4" t="str">
        <f>HYPERLINK("https://www.ncbi.nlm.nih.gov/geo/query/acc.cgi?acc=GSM1974720","GSM1974720")</f>
        <v>GSM1974720</v>
      </c>
      <c r="I11216" t="s">
        <v>17</v>
      </c>
      <c r="J11216" t="s">
        <v>471</v>
      </c>
      <c r="K11216" t="s">
        <v>33</v>
      </c>
      <c r="L11216" t="s">
        <v>20</v>
      </c>
      <c r="N11216" t="s">
        <v>29</v>
      </c>
    </row>
    <row r="11217" spans="1:14">
      <c r="A11217" s="4" t="str">
        <f t="shared" si="993"/>
        <v>EXP00369</v>
      </c>
      <c r="B11217" s="3" t="s">
        <v>66</v>
      </c>
      <c r="C11217" s="4" t="str">
        <f t="shared" si="994"/>
        <v>GSE76124</v>
      </c>
      <c r="D11217" s="1" t="s">
        <v>45</v>
      </c>
      <c r="E11217" t="s">
        <v>470</v>
      </c>
      <c r="F11217" s="1">
        <v>2</v>
      </c>
      <c r="G11217" s="1" t="s">
        <v>32</v>
      </c>
      <c r="H11217" s="4" t="str">
        <f>HYPERLINK("https://www.ncbi.nlm.nih.gov/geo/query/acc.cgi?acc=GSM1974721","GSM1974721")</f>
        <v>GSM1974721</v>
      </c>
      <c r="I11217" t="s">
        <v>17</v>
      </c>
      <c r="J11217" t="s">
        <v>471</v>
      </c>
      <c r="K11217" t="s">
        <v>33</v>
      </c>
      <c r="L11217" t="s">
        <v>20</v>
      </c>
      <c r="N11217" t="s">
        <v>29</v>
      </c>
    </row>
    <row r="11218" spans="1:14">
      <c r="A11218" s="4" t="str">
        <f t="shared" si="993"/>
        <v>EXP00369</v>
      </c>
      <c r="B11218" s="3" t="s">
        <v>66</v>
      </c>
      <c r="C11218" s="4" t="str">
        <f t="shared" si="994"/>
        <v>GSE76124</v>
      </c>
      <c r="D11218" s="1" t="s">
        <v>45</v>
      </c>
      <c r="E11218" t="s">
        <v>470</v>
      </c>
      <c r="F11218" s="1">
        <v>2</v>
      </c>
      <c r="G11218" s="1" t="s">
        <v>32</v>
      </c>
      <c r="H11218" s="4" t="str">
        <f>HYPERLINK("https://www.ncbi.nlm.nih.gov/geo/query/acc.cgi?acc=GSM1974722","GSM1974722")</f>
        <v>GSM1974722</v>
      </c>
      <c r="I11218" t="s">
        <v>17</v>
      </c>
      <c r="J11218" t="s">
        <v>471</v>
      </c>
      <c r="K11218" t="s">
        <v>33</v>
      </c>
      <c r="L11218" t="s">
        <v>20</v>
      </c>
      <c r="N11218" t="s">
        <v>29</v>
      </c>
    </row>
    <row r="11219" spans="1:14">
      <c r="A11219" s="4" t="str">
        <f t="shared" si="993"/>
        <v>EXP00369</v>
      </c>
      <c r="B11219" s="3" t="s">
        <v>66</v>
      </c>
      <c r="C11219" s="4" t="str">
        <f t="shared" si="994"/>
        <v>GSE76124</v>
      </c>
      <c r="D11219" s="1" t="s">
        <v>45</v>
      </c>
      <c r="E11219" t="s">
        <v>470</v>
      </c>
      <c r="F11219" s="1">
        <v>2</v>
      </c>
      <c r="G11219" s="1" t="s">
        <v>32</v>
      </c>
      <c r="H11219" s="4" t="str">
        <f>HYPERLINK("https://www.ncbi.nlm.nih.gov/geo/query/acc.cgi?acc=GSM1974723","GSM1974723")</f>
        <v>GSM1974723</v>
      </c>
      <c r="I11219" t="s">
        <v>17</v>
      </c>
      <c r="J11219" t="s">
        <v>471</v>
      </c>
      <c r="K11219" t="s">
        <v>33</v>
      </c>
      <c r="L11219" t="s">
        <v>20</v>
      </c>
      <c r="N11219" t="s">
        <v>29</v>
      </c>
    </row>
    <row r="11220" spans="1:14">
      <c r="A11220" s="4" t="str">
        <f t="shared" si="993"/>
        <v>EXP00369</v>
      </c>
      <c r="B11220" s="3" t="s">
        <v>66</v>
      </c>
      <c r="C11220" s="4" t="str">
        <f t="shared" si="994"/>
        <v>GSE76124</v>
      </c>
      <c r="D11220" s="1" t="s">
        <v>45</v>
      </c>
      <c r="E11220" t="s">
        <v>470</v>
      </c>
      <c r="F11220" s="1">
        <v>2</v>
      </c>
      <c r="G11220" s="1" t="s">
        <v>32</v>
      </c>
      <c r="H11220" s="4" t="str">
        <f>HYPERLINK("https://www.ncbi.nlm.nih.gov/geo/query/acc.cgi?acc=GSM1974724","GSM1974724")</f>
        <v>GSM1974724</v>
      </c>
      <c r="I11220" t="s">
        <v>17</v>
      </c>
      <c r="J11220" t="s">
        <v>471</v>
      </c>
      <c r="K11220" t="s">
        <v>33</v>
      </c>
      <c r="L11220" t="s">
        <v>20</v>
      </c>
      <c r="N11220" t="s">
        <v>29</v>
      </c>
    </row>
    <row r="11221" spans="1:14">
      <c r="A11221" s="4" t="str">
        <f t="shared" si="993"/>
        <v>EXP00369</v>
      </c>
      <c r="B11221" s="3" t="s">
        <v>66</v>
      </c>
      <c r="C11221" s="4" t="str">
        <f t="shared" si="994"/>
        <v>GSE76124</v>
      </c>
      <c r="D11221" s="1" t="s">
        <v>45</v>
      </c>
      <c r="E11221" t="s">
        <v>470</v>
      </c>
      <c r="F11221" s="1">
        <v>2</v>
      </c>
      <c r="G11221" s="1" t="s">
        <v>32</v>
      </c>
      <c r="H11221" s="4" t="str">
        <f>HYPERLINK("https://www.ncbi.nlm.nih.gov/geo/query/acc.cgi?acc=GSM1974725","GSM1974725")</f>
        <v>GSM1974725</v>
      </c>
      <c r="I11221" t="s">
        <v>17</v>
      </c>
      <c r="J11221" t="s">
        <v>471</v>
      </c>
      <c r="K11221" t="s">
        <v>33</v>
      </c>
      <c r="L11221" t="s">
        <v>20</v>
      </c>
      <c r="N11221" t="s">
        <v>29</v>
      </c>
    </row>
    <row r="11222" spans="1:14">
      <c r="A11222" s="4" t="str">
        <f t="shared" si="993"/>
        <v>EXP00369</v>
      </c>
      <c r="B11222" s="3" t="s">
        <v>66</v>
      </c>
      <c r="C11222" s="4" t="str">
        <f t="shared" si="994"/>
        <v>GSE76124</v>
      </c>
      <c r="D11222" s="1" t="s">
        <v>45</v>
      </c>
      <c r="E11222" t="s">
        <v>470</v>
      </c>
      <c r="F11222" s="1">
        <v>2</v>
      </c>
      <c r="G11222" s="1" t="s">
        <v>32</v>
      </c>
      <c r="H11222" s="4" t="str">
        <f>HYPERLINK("https://www.ncbi.nlm.nih.gov/geo/query/acc.cgi?acc=GSM1974726","GSM1974726")</f>
        <v>GSM1974726</v>
      </c>
      <c r="I11222" t="s">
        <v>17</v>
      </c>
      <c r="J11222" t="s">
        <v>471</v>
      </c>
      <c r="K11222" t="s">
        <v>33</v>
      </c>
      <c r="L11222" t="s">
        <v>20</v>
      </c>
      <c r="N11222" t="s">
        <v>29</v>
      </c>
    </row>
    <row r="11223" spans="1:14">
      <c r="A11223" s="4" t="str">
        <f t="shared" si="993"/>
        <v>EXP00369</v>
      </c>
      <c r="B11223" s="3" t="s">
        <v>66</v>
      </c>
      <c r="C11223" s="4" t="str">
        <f t="shared" si="994"/>
        <v>GSE76124</v>
      </c>
      <c r="D11223" s="1" t="s">
        <v>45</v>
      </c>
      <c r="E11223" t="s">
        <v>470</v>
      </c>
      <c r="F11223" s="1">
        <v>2</v>
      </c>
      <c r="G11223" s="1" t="s">
        <v>32</v>
      </c>
      <c r="H11223" s="4" t="str">
        <f>HYPERLINK("https://www.ncbi.nlm.nih.gov/geo/query/acc.cgi?acc=GSM1974727","GSM1974727")</f>
        <v>GSM1974727</v>
      </c>
      <c r="I11223" t="s">
        <v>17</v>
      </c>
      <c r="J11223" t="s">
        <v>471</v>
      </c>
      <c r="K11223" t="s">
        <v>33</v>
      </c>
      <c r="L11223" t="s">
        <v>20</v>
      </c>
      <c r="N11223" t="s">
        <v>29</v>
      </c>
    </row>
    <row r="11224" spans="1:14">
      <c r="A11224" s="4" t="str">
        <f t="shared" si="993"/>
        <v>EXP00369</v>
      </c>
      <c r="B11224" s="3" t="s">
        <v>66</v>
      </c>
      <c r="C11224" s="4" t="str">
        <f t="shared" si="994"/>
        <v>GSE76124</v>
      </c>
      <c r="D11224" s="1" t="s">
        <v>45</v>
      </c>
      <c r="E11224" t="s">
        <v>470</v>
      </c>
      <c r="F11224" s="1">
        <v>2</v>
      </c>
      <c r="G11224" s="1" t="s">
        <v>32</v>
      </c>
      <c r="H11224" s="4" t="str">
        <f>HYPERLINK("https://www.ncbi.nlm.nih.gov/geo/query/acc.cgi?acc=GSM1974729","GSM1974729")</f>
        <v>GSM1974729</v>
      </c>
      <c r="I11224" t="s">
        <v>17</v>
      </c>
      <c r="J11224" t="s">
        <v>471</v>
      </c>
      <c r="K11224" t="s">
        <v>33</v>
      </c>
      <c r="L11224" t="s">
        <v>20</v>
      </c>
      <c r="N11224" t="s">
        <v>29</v>
      </c>
    </row>
    <row r="11225" spans="1:14">
      <c r="A11225" s="4" t="str">
        <f t="shared" si="993"/>
        <v>EXP00369</v>
      </c>
      <c r="B11225" s="3" t="s">
        <v>66</v>
      </c>
      <c r="C11225" s="4" t="str">
        <f t="shared" si="994"/>
        <v>GSE76124</v>
      </c>
      <c r="D11225" s="1" t="s">
        <v>45</v>
      </c>
      <c r="E11225" t="s">
        <v>470</v>
      </c>
      <c r="F11225" s="1">
        <v>2</v>
      </c>
      <c r="G11225" s="1" t="s">
        <v>32</v>
      </c>
      <c r="H11225" s="4" t="str">
        <f>HYPERLINK("https://www.ncbi.nlm.nih.gov/geo/query/acc.cgi?acc=GSM1974731","GSM1974731")</f>
        <v>GSM1974731</v>
      </c>
      <c r="I11225" t="s">
        <v>17</v>
      </c>
      <c r="J11225" t="s">
        <v>471</v>
      </c>
      <c r="K11225" t="s">
        <v>33</v>
      </c>
      <c r="L11225" t="s">
        <v>20</v>
      </c>
      <c r="N11225" t="s">
        <v>29</v>
      </c>
    </row>
    <row r="11226" spans="1:14">
      <c r="A11226" s="4" t="str">
        <f t="shared" si="993"/>
        <v>EXP00369</v>
      </c>
      <c r="B11226" s="3" t="s">
        <v>66</v>
      </c>
      <c r="C11226" s="4" t="str">
        <f t="shared" si="994"/>
        <v>GSE76124</v>
      </c>
      <c r="D11226" s="1" t="s">
        <v>45</v>
      </c>
      <c r="E11226" t="s">
        <v>470</v>
      </c>
      <c r="F11226" s="1">
        <v>2</v>
      </c>
      <c r="G11226" s="1" t="s">
        <v>32</v>
      </c>
      <c r="H11226" s="4" t="str">
        <f>HYPERLINK("https://www.ncbi.nlm.nih.gov/geo/query/acc.cgi?acc=GSM1974732","GSM1974732")</f>
        <v>GSM1974732</v>
      </c>
      <c r="I11226" t="s">
        <v>17</v>
      </c>
      <c r="J11226" t="s">
        <v>471</v>
      </c>
      <c r="K11226" t="s">
        <v>33</v>
      </c>
      <c r="L11226" t="s">
        <v>20</v>
      </c>
      <c r="N11226" t="s">
        <v>29</v>
      </c>
    </row>
    <row r="11227" spans="1:14">
      <c r="A11227" s="4" t="str">
        <f t="shared" si="993"/>
        <v>EXP00369</v>
      </c>
      <c r="B11227" s="3" t="s">
        <v>66</v>
      </c>
      <c r="C11227" s="4" t="str">
        <f t="shared" si="994"/>
        <v>GSE76124</v>
      </c>
      <c r="D11227" s="1" t="s">
        <v>45</v>
      </c>
      <c r="E11227" t="s">
        <v>470</v>
      </c>
      <c r="F11227" s="1">
        <v>2</v>
      </c>
      <c r="G11227" s="1" t="s">
        <v>32</v>
      </c>
      <c r="H11227" s="4" t="str">
        <f>HYPERLINK("https://www.ncbi.nlm.nih.gov/geo/query/acc.cgi?acc=GSM1974735","GSM1974735")</f>
        <v>GSM1974735</v>
      </c>
      <c r="I11227" t="s">
        <v>17</v>
      </c>
      <c r="J11227" t="s">
        <v>471</v>
      </c>
      <c r="K11227" t="s">
        <v>33</v>
      </c>
      <c r="L11227" t="s">
        <v>20</v>
      </c>
      <c r="N11227" t="s">
        <v>29</v>
      </c>
    </row>
    <row r="11228" spans="1:14">
      <c r="A11228" s="4" t="str">
        <f t="shared" si="993"/>
        <v>EXP00369</v>
      </c>
      <c r="B11228" s="3" t="s">
        <v>66</v>
      </c>
      <c r="C11228" s="4" t="str">
        <f t="shared" si="994"/>
        <v>GSE76124</v>
      </c>
      <c r="D11228" s="1" t="s">
        <v>45</v>
      </c>
      <c r="E11228" t="s">
        <v>470</v>
      </c>
      <c r="F11228" s="1">
        <v>2</v>
      </c>
      <c r="G11228" s="1" t="s">
        <v>32</v>
      </c>
      <c r="H11228" s="4" t="str">
        <f>HYPERLINK("https://www.ncbi.nlm.nih.gov/geo/query/acc.cgi?acc=GSM1974736","GSM1974736")</f>
        <v>GSM1974736</v>
      </c>
      <c r="I11228" t="s">
        <v>17</v>
      </c>
      <c r="J11228" t="s">
        <v>471</v>
      </c>
      <c r="K11228" t="s">
        <v>33</v>
      </c>
      <c r="L11228" t="s">
        <v>20</v>
      </c>
      <c r="N11228" t="s">
        <v>29</v>
      </c>
    </row>
    <row r="11229" spans="1:14">
      <c r="A11229" s="4" t="str">
        <f t="shared" si="993"/>
        <v>EXP00369</v>
      </c>
      <c r="B11229" s="3" t="s">
        <v>66</v>
      </c>
      <c r="C11229" s="4" t="str">
        <f t="shared" si="994"/>
        <v>GSE76124</v>
      </c>
      <c r="D11229" s="1" t="s">
        <v>45</v>
      </c>
      <c r="E11229" t="s">
        <v>470</v>
      </c>
      <c r="F11229" s="1">
        <v>2</v>
      </c>
      <c r="G11229" s="1" t="s">
        <v>32</v>
      </c>
      <c r="H11229" s="4" t="str">
        <f>HYPERLINK("https://www.ncbi.nlm.nih.gov/geo/query/acc.cgi?acc=GSM1974737","GSM1974737")</f>
        <v>GSM1974737</v>
      </c>
      <c r="I11229" t="s">
        <v>17</v>
      </c>
      <c r="J11229" t="s">
        <v>471</v>
      </c>
      <c r="K11229" t="s">
        <v>33</v>
      </c>
      <c r="L11229" t="s">
        <v>20</v>
      </c>
      <c r="N11229" t="s">
        <v>29</v>
      </c>
    </row>
    <row r="11230" spans="1:14">
      <c r="A11230" s="4" t="str">
        <f t="shared" si="993"/>
        <v>EXP00369</v>
      </c>
      <c r="B11230" s="3" t="s">
        <v>66</v>
      </c>
      <c r="C11230" s="4" t="str">
        <f t="shared" si="994"/>
        <v>GSE76124</v>
      </c>
      <c r="D11230" s="1" t="s">
        <v>45</v>
      </c>
      <c r="E11230" t="s">
        <v>470</v>
      </c>
      <c r="F11230" s="1">
        <v>2</v>
      </c>
      <c r="G11230" s="1" t="s">
        <v>32</v>
      </c>
      <c r="H11230" s="4" t="str">
        <f>HYPERLINK("https://www.ncbi.nlm.nih.gov/geo/query/acc.cgi?acc=GSM1974738","GSM1974738")</f>
        <v>GSM1974738</v>
      </c>
      <c r="I11230" t="s">
        <v>17</v>
      </c>
      <c r="J11230" t="s">
        <v>471</v>
      </c>
      <c r="K11230" t="s">
        <v>33</v>
      </c>
      <c r="L11230" t="s">
        <v>20</v>
      </c>
      <c r="N11230" t="s">
        <v>29</v>
      </c>
    </row>
    <row r="11231" spans="1:14">
      <c r="A11231" s="4" t="str">
        <f t="shared" si="993"/>
        <v>EXP00369</v>
      </c>
      <c r="B11231" s="3" t="s">
        <v>66</v>
      </c>
      <c r="C11231" s="4" t="str">
        <f t="shared" si="994"/>
        <v>GSE76124</v>
      </c>
      <c r="D11231" s="1" t="s">
        <v>45</v>
      </c>
      <c r="E11231" t="s">
        <v>470</v>
      </c>
      <c r="F11231" s="1">
        <v>2</v>
      </c>
      <c r="G11231" s="1" t="s">
        <v>32</v>
      </c>
      <c r="H11231" s="4" t="str">
        <f>HYPERLINK("https://www.ncbi.nlm.nih.gov/geo/query/acc.cgi?acc=GSM1974739","GSM1974739")</f>
        <v>GSM1974739</v>
      </c>
      <c r="I11231" t="s">
        <v>17</v>
      </c>
      <c r="J11231" t="s">
        <v>471</v>
      </c>
      <c r="K11231" t="s">
        <v>33</v>
      </c>
      <c r="L11231" t="s">
        <v>20</v>
      </c>
      <c r="N11231" t="s">
        <v>29</v>
      </c>
    </row>
    <row r="11232" spans="1:14">
      <c r="A11232" s="4" t="str">
        <f t="shared" si="993"/>
        <v>EXP00369</v>
      </c>
      <c r="B11232" s="3" t="s">
        <v>66</v>
      </c>
      <c r="C11232" s="4" t="str">
        <f t="shared" si="994"/>
        <v>GSE76124</v>
      </c>
      <c r="D11232" s="1" t="s">
        <v>45</v>
      </c>
      <c r="E11232" t="s">
        <v>470</v>
      </c>
      <c r="F11232" s="1">
        <v>2</v>
      </c>
      <c r="G11232" s="1" t="s">
        <v>32</v>
      </c>
      <c r="H11232" s="4" t="str">
        <f>HYPERLINK("https://www.ncbi.nlm.nih.gov/geo/query/acc.cgi?acc=GSM1974740","GSM1974740")</f>
        <v>GSM1974740</v>
      </c>
      <c r="I11232" t="s">
        <v>17</v>
      </c>
      <c r="J11232" t="s">
        <v>471</v>
      </c>
      <c r="K11232" t="s">
        <v>33</v>
      </c>
      <c r="L11232" t="s">
        <v>20</v>
      </c>
      <c r="N11232" t="s">
        <v>29</v>
      </c>
    </row>
    <row r="11233" spans="1:14">
      <c r="A11233" s="4" t="str">
        <f t="shared" si="993"/>
        <v>EXP00369</v>
      </c>
      <c r="B11233" s="3" t="s">
        <v>66</v>
      </c>
      <c r="C11233" s="4" t="str">
        <f t="shared" si="994"/>
        <v>GSE76124</v>
      </c>
      <c r="D11233" s="1" t="s">
        <v>45</v>
      </c>
      <c r="E11233" t="s">
        <v>470</v>
      </c>
      <c r="F11233" s="1">
        <v>2</v>
      </c>
      <c r="G11233" s="1" t="s">
        <v>32</v>
      </c>
      <c r="H11233" s="4" t="str">
        <f>HYPERLINK("https://www.ncbi.nlm.nih.gov/geo/query/acc.cgi?acc=GSM1974741","GSM1974741")</f>
        <v>GSM1974741</v>
      </c>
      <c r="I11233" t="s">
        <v>17</v>
      </c>
      <c r="J11233" t="s">
        <v>471</v>
      </c>
      <c r="K11233" t="s">
        <v>33</v>
      </c>
      <c r="L11233" t="s">
        <v>20</v>
      </c>
      <c r="N11233" t="s">
        <v>29</v>
      </c>
    </row>
    <row r="11234" spans="1:14">
      <c r="A11234" s="4" t="str">
        <f t="shared" si="993"/>
        <v>EXP00369</v>
      </c>
      <c r="B11234" s="3" t="s">
        <v>66</v>
      </c>
      <c r="C11234" s="4" t="str">
        <f t="shared" si="994"/>
        <v>GSE76124</v>
      </c>
      <c r="D11234" s="1" t="s">
        <v>45</v>
      </c>
      <c r="E11234" t="s">
        <v>470</v>
      </c>
      <c r="F11234" s="1">
        <v>2</v>
      </c>
      <c r="G11234" s="1" t="s">
        <v>32</v>
      </c>
      <c r="H11234" s="4" t="str">
        <f>HYPERLINK("https://www.ncbi.nlm.nih.gov/geo/query/acc.cgi?acc=GSM1974744","GSM1974744")</f>
        <v>GSM1974744</v>
      </c>
      <c r="I11234" t="s">
        <v>17</v>
      </c>
      <c r="J11234" t="s">
        <v>471</v>
      </c>
      <c r="K11234" t="s">
        <v>33</v>
      </c>
      <c r="L11234" t="s">
        <v>20</v>
      </c>
      <c r="N11234" t="s">
        <v>29</v>
      </c>
    </row>
    <row r="11235" spans="1:14">
      <c r="A11235" s="4" t="str">
        <f t="shared" si="993"/>
        <v>EXP00369</v>
      </c>
      <c r="B11235" s="3" t="s">
        <v>66</v>
      </c>
      <c r="C11235" s="4" t="str">
        <f t="shared" si="994"/>
        <v>GSE76124</v>
      </c>
      <c r="D11235" s="1" t="s">
        <v>45</v>
      </c>
      <c r="E11235" t="s">
        <v>470</v>
      </c>
      <c r="F11235" s="1">
        <v>2</v>
      </c>
      <c r="G11235" s="1" t="s">
        <v>32</v>
      </c>
      <c r="H11235" s="4" t="str">
        <f>HYPERLINK("https://www.ncbi.nlm.nih.gov/geo/query/acc.cgi?acc=GSM1974745","GSM1974745")</f>
        <v>GSM1974745</v>
      </c>
      <c r="I11235" t="s">
        <v>17</v>
      </c>
      <c r="J11235" t="s">
        <v>471</v>
      </c>
      <c r="K11235" t="s">
        <v>33</v>
      </c>
      <c r="L11235" t="s">
        <v>20</v>
      </c>
      <c r="N11235" t="s">
        <v>29</v>
      </c>
    </row>
    <row r="11236" spans="1:14">
      <c r="A11236" s="4" t="str">
        <f t="shared" ref="A11236:A11248" si="995">HYPERLINK("http://hcmdb.i-sanger.com/experiment/details/experiment_id/EXP00369","EXP00369")</f>
        <v>EXP00369</v>
      </c>
      <c r="B11236" s="3" t="s">
        <v>66</v>
      </c>
      <c r="C11236" s="4" t="str">
        <f t="shared" ref="C11236:C11248" si="996">HYPERLINK("https://www.ncbi.nlm.nih.gov/geo/query/acc.cgi?acc=GSE76124","GSE76124")</f>
        <v>GSE76124</v>
      </c>
      <c r="D11236" s="1" t="s">
        <v>45</v>
      </c>
      <c r="E11236" t="s">
        <v>470</v>
      </c>
      <c r="F11236" s="1">
        <v>2</v>
      </c>
      <c r="G11236" s="1" t="s">
        <v>32</v>
      </c>
      <c r="H11236" s="4" t="str">
        <f>HYPERLINK("https://www.ncbi.nlm.nih.gov/geo/query/acc.cgi?acc=GSM1974748","GSM1974748")</f>
        <v>GSM1974748</v>
      </c>
      <c r="I11236" t="s">
        <v>17</v>
      </c>
      <c r="J11236" t="s">
        <v>471</v>
      </c>
      <c r="K11236" t="s">
        <v>33</v>
      </c>
      <c r="L11236" t="s">
        <v>20</v>
      </c>
      <c r="N11236" t="s">
        <v>29</v>
      </c>
    </row>
    <row r="11237" spans="1:14">
      <c r="A11237" s="4" t="str">
        <f t="shared" si="995"/>
        <v>EXP00369</v>
      </c>
      <c r="B11237" s="3" t="s">
        <v>66</v>
      </c>
      <c r="C11237" s="4" t="str">
        <f t="shared" si="996"/>
        <v>GSE76124</v>
      </c>
      <c r="D11237" s="1" t="s">
        <v>45</v>
      </c>
      <c r="E11237" t="s">
        <v>470</v>
      </c>
      <c r="F11237" s="1">
        <v>2</v>
      </c>
      <c r="G11237" s="1" t="s">
        <v>32</v>
      </c>
      <c r="H11237" s="4" t="str">
        <f>HYPERLINK("https://www.ncbi.nlm.nih.gov/geo/query/acc.cgi?acc=GSM1974749","GSM1974749")</f>
        <v>GSM1974749</v>
      </c>
      <c r="I11237" t="s">
        <v>17</v>
      </c>
      <c r="J11237" t="s">
        <v>471</v>
      </c>
      <c r="K11237" t="s">
        <v>33</v>
      </c>
      <c r="L11237" t="s">
        <v>20</v>
      </c>
      <c r="N11237" t="s">
        <v>29</v>
      </c>
    </row>
    <row r="11238" spans="1:14">
      <c r="A11238" s="4" t="str">
        <f t="shared" si="995"/>
        <v>EXP00369</v>
      </c>
      <c r="B11238" s="3" t="s">
        <v>66</v>
      </c>
      <c r="C11238" s="4" t="str">
        <f t="shared" si="996"/>
        <v>GSE76124</v>
      </c>
      <c r="D11238" s="1" t="s">
        <v>45</v>
      </c>
      <c r="E11238" t="s">
        <v>470</v>
      </c>
      <c r="F11238" s="1">
        <v>2</v>
      </c>
      <c r="G11238" s="1" t="s">
        <v>32</v>
      </c>
      <c r="H11238" s="4" t="str">
        <f>HYPERLINK("https://www.ncbi.nlm.nih.gov/geo/query/acc.cgi?acc=GSM1974751","GSM1974751")</f>
        <v>GSM1974751</v>
      </c>
      <c r="I11238" t="s">
        <v>17</v>
      </c>
      <c r="J11238" t="s">
        <v>471</v>
      </c>
      <c r="K11238" t="s">
        <v>33</v>
      </c>
      <c r="L11238" t="s">
        <v>20</v>
      </c>
      <c r="N11238" t="s">
        <v>29</v>
      </c>
    </row>
    <row r="11239" spans="1:14">
      <c r="A11239" s="4" t="str">
        <f t="shared" si="995"/>
        <v>EXP00369</v>
      </c>
      <c r="B11239" s="3" t="s">
        <v>66</v>
      </c>
      <c r="C11239" s="4" t="str">
        <f t="shared" si="996"/>
        <v>GSE76124</v>
      </c>
      <c r="D11239" s="1" t="s">
        <v>45</v>
      </c>
      <c r="E11239" t="s">
        <v>470</v>
      </c>
      <c r="F11239" s="1">
        <v>2</v>
      </c>
      <c r="G11239" s="1" t="s">
        <v>32</v>
      </c>
      <c r="H11239" s="4" t="str">
        <f>HYPERLINK("https://www.ncbi.nlm.nih.gov/geo/query/acc.cgi?acc=GSM1974752","GSM1974752")</f>
        <v>GSM1974752</v>
      </c>
      <c r="I11239" t="s">
        <v>17</v>
      </c>
      <c r="J11239" t="s">
        <v>471</v>
      </c>
      <c r="K11239" t="s">
        <v>33</v>
      </c>
      <c r="L11239" t="s">
        <v>20</v>
      </c>
      <c r="N11239" t="s">
        <v>29</v>
      </c>
    </row>
    <row r="11240" spans="1:14">
      <c r="A11240" s="4" t="str">
        <f t="shared" si="995"/>
        <v>EXP00369</v>
      </c>
      <c r="B11240" s="3" t="s">
        <v>66</v>
      </c>
      <c r="C11240" s="4" t="str">
        <f t="shared" si="996"/>
        <v>GSE76124</v>
      </c>
      <c r="D11240" s="1" t="s">
        <v>45</v>
      </c>
      <c r="E11240" t="s">
        <v>470</v>
      </c>
      <c r="F11240" s="1">
        <v>2</v>
      </c>
      <c r="G11240" s="1" t="s">
        <v>32</v>
      </c>
      <c r="H11240" s="4" t="str">
        <f>HYPERLINK("https://www.ncbi.nlm.nih.gov/geo/query/acc.cgi?acc=GSM1974753","GSM1974753")</f>
        <v>GSM1974753</v>
      </c>
      <c r="I11240" t="s">
        <v>17</v>
      </c>
      <c r="J11240" t="s">
        <v>471</v>
      </c>
      <c r="K11240" t="s">
        <v>33</v>
      </c>
      <c r="L11240" t="s">
        <v>20</v>
      </c>
      <c r="N11240" t="s">
        <v>29</v>
      </c>
    </row>
    <row r="11241" spans="1:14">
      <c r="A11241" s="4" t="str">
        <f t="shared" si="995"/>
        <v>EXP00369</v>
      </c>
      <c r="B11241" s="3" t="s">
        <v>66</v>
      </c>
      <c r="C11241" s="4" t="str">
        <f t="shared" si="996"/>
        <v>GSE76124</v>
      </c>
      <c r="D11241" s="1" t="s">
        <v>45</v>
      </c>
      <c r="E11241" t="s">
        <v>470</v>
      </c>
      <c r="F11241" s="1">
        <v>2</v>
      </c>
      <c r="G11241" s="1" t="s">
        <v>32</v>
      </c>
      <c r="H11241" s="4" t="str">
        <f>HYPERLINK("https://www.ncbi.nlm.nih.gov/geo/query/acc.cgi?acc=GSM1974754","GSM1974754")</f>
        <v>GSM1974754</v>
      </c>
      <c r="I11241" t="s">
        <v>17</v>
      </c>
      <c r="J11241" t="s">
        <v>471</v>
      </c>
      <c r="K11241" t="s">
        <v>33</v>
      </c>
      <c r="L11241" t="s">
        <v>20</v>
      </c>
      <c r="N11241" t="s">
        <v>29</v>
      </c>
    </row>
    <row r="11242" spans="1:14">
      <c r="A11242" s="4" t="str">
        <f t="shared" si="995"/>
        <v>EXP00369</v>
      </c>
      <c r="B11242" s="3" t="s">
        <v>66</v>
      </c>
      <c r="C11242" s="4" t="str">
        <f t="shared" si="996"/>
        <v>GSE76124</v>
      </c>
      <c r="D11242" s="1" t="s">
        <v>45</v>
      </c>
      <c r="E11242" t="s">
        <v>470</v>
      </c>
      <c r="F11242" s="1">
        <v>2</v>
      </c>
      <c r="G11242" s="1" t="s">
        <v>32</v>
      </c>
      <c r="H11242" s="4" t="str">
        <f>HYPERLINK("https://www.ncbi.nlm.nih.gov/geo/query/acc.cgi?acc=GSM1974755","GSM1974755")</f>
        <v>GSM1974755</v>
      </c>
      <c r="I11242" t="s">
        <v>17</v>
      </c>
      <c r="J11242" t="s">
        <v>471</v>
      </c>
      <c r="K11242" t="s">
        <v>33</v>
      </c>
      <c r="L11242" t="s">
        <v>20</v>
      </c>
      <c r="N11242" t="s">
        <v>29</v>
      </c>
    </row>
    <row r="11243" spans="1:14">
      <c r="A11243" s="4" t="str">
        <f t="shared" si="995"/>
        <v>EXP00369</v>
      </c>
      <c r="B11243" s="3" t="s">
        <v>66</v>
      </c>
      <c r="C11243" s="4" t="str">
        <f t="shared" si="996"/>
        <v>GSE76124</v>
      </c>
      <c r="D11243" s="1" t="s">
        <v>45</v>
      </c>
      <c r="E11243" t="s">
        <v>470</v>
      </c>
      <c r="F11243" s="1">
        <v>2</v>
      </c>
      <c r="G11243" s="1" t="s">
        <v>32</v>
      </c>
      <c r="H11243" s="4" t="str">
        <f>HYPERLINK("https://www.ncbi.nlm.nih.gov/geo/query/acc.cgi?acc=GSM1974756","GSM1974756")</f>
        <v>GSM1974756</v>
      </c>
      <c r="I11243" t="s">
        <v>17</v>
      </c>
      <c r="J11243" t="s">
        <v>471</v>
      </c>
      <c r="K11243" t="s">
        <v>33</v>
      </c>
      <c r="L11243" t="s">
        <v>20</v>
      </c>
      <c r="N11243" t="s">
        <v>29</v>
      </c>
    </row>
    <row r="11244" spans="1:14">
      <c r="A11244" s="4" t="str">
        <f t="shared" si="995"/>
        <v>EXP00369</v>
      </c>
      <c r="B11244" s="3" t="s">
        <v>66</v>
      </c>
      <c r="C11244" s="4" t="str">
        <f t="shared" si="996"/>
        <v>GSE76124</v>
      </c>
      <c r="D11244" s="1" t="s">
        <v>45</v>
      </c>
      <c r="E11244" t="s">
        <v>470</v>
      </c>
      <c r="F11244" s="1">
        <v>2</v>
      </c>
      <c r="G11244" s="1" t="s">
        <v>32</v>
      </c>
      <c r="H11244" s="4" t="str">
        <f>HYPERLINK("https://www.ncbi.nlm.nih.gov/geo/query/acc.cgi?acc=GSM1974758","GSM1974758")</f>
        <v>GSM1974758</v>
      </c>
      <c r="I11244" t="s">
        <v>17</v>
      </c>
      <c r="J11244" t="s">
        <v>471</v>
      </c>
      <c r="K11244" t="s">
        <v>33</v>
      </c>
      <c r="L11244" t="s">
        <v>20</v>
      </c>
      <c r="N11244" t="s">
        <v>29</v>
      </c>
    </row>
    <row r="11245" spans="1:14">
      <c r="A11245" s="4" t="str">
        <f t="shared" si="995"/>
        <v>EXP00369</v>
      </c>
      <c r="B11245" s="3" t="s">
        <v>66</v>
      </c>
      <c r="C11245" s="4" t="str">
        <f t="shared" si="996"/>
        <v>GSE76124</v>
      </c>
      <c r="D11245" s="1" t="s">
        <v>45</v>
      </c>
      <c r="E11245" t="s">
        <v>470</v>
      </c>
      <c r="F11245" s="1">
        <v>2</v>
      </c>
      <c r="G11245" s="1" t="s">
        <v>32</v>
      </c>
      <c r="H11245" s="4" t="str">
        <f>HYPERLINK("https://www.ncbi.nlm.nih.gov/geo/query/acc.cgi?acc=GSM1974759","GSM1974759")</f>
        <v>GSM1974759</v>
      </c>
      <c r="I11245" t="s">
        <v>17</v>
      </c>
      <c r="J11245" t="s">
        <v>471</v>
      </c>
      <c r="K11245" t="s">
        <v>33</v>
      </c>
      <c r="L11245" t="s">
        <v>20</v>
      </c>
      <c r="N11245" t="s">
        <v>29</v>
      </c>
    </row>
    <row r="11246" spans="1:14">
      <c r="A11246" s="4" t="str">
        <f t="shared" si="995"/>
        <v>EXP00369</v>
      </c>
      <c r="B11246" s="3" t="s">
        <v>66</v>
      </c>
      <c r="C11246" s="4" t="str">
        <f t="shared" si="996"/>
        <v>GSE76124</v>
      </c>
      <c r="D11246" s="1" t="s">
        <v>45</v>
      </c>
      <c r="E11246" t="s">
        <v>470</v>
      </c>
      <c r="F11246" s="1">
        <v>2</v>
      </c>
      <c r="G11246" s="1" t="s">
        <v>32</v>
      </c>
      <c r="H11246" s="4" t="str">
        <f>HYPERLINK("https://www.ncbi.nlm.nih.gov/geo/query/acc.cgi?acc=GSM1974760","GSM1974760")</f>
        <v>GSM1974760</v>
      </c>
      <c r="I11246" t="s">
        <v>17</v>
      </c>
      <c r="J11246" t="s">
        <v>471</v>
      </c>
      <c r="K11246" t="s">
        <v>33</v>
      </c>
      <c r="L11246" t="s">
        <v>20</v>
      </c>
      <c r="N11246" t="s">
        <v>29</v>
      </c>
    </row>
    <row r="11247" spans="1:14">
      <c r="A11247" s="4" t="str">
        <f t="shared" si="995"/>
        <v>EXP00369</v>
      </c>
      <c r="B11247" s="3" t="s">
        <v>66</v>
      </c>
      <c r="C11247" s="4" t="str">
        <f t="shared" si="996"/>
        <v>GSE76124</v>
      </c>
      <c r="D11247" s="1" t="s">
        <v>45</v>
      </c>
      <c r="E11247" t="s">
        <v>470</v>
      </c>
      <c r="F11247" s="1">
        <v>2</v>
      </c>
      <c r="G11247" s="1" t="s">
        <v>32</v>
      </c>
      <c r="H11247" s="4" t="str">
        <f>HYPERLINK("https://www.ncbi.nlm.nih.gov/geo/query/acc.cgi?acc=GSM1974761","GSM1974761")</f>
        <v>GSM1974761</v>
      </c>
      <c r="I11247" t="s">
        <v>17</v>
      </c>
      <c r="J11247" t="s">
        <v>471</v>
      </c>
      <c r="K11247" t="s">
        <v>33</v>
      </c>
      <c r="L11247" t="s">
        <v>20</v>
      </c>
      <c r="N11247" t="s">
        <v>29</v>
      </c>
    </row>
    <row r="11248" spans="1:14">
      <c r="A11248" s="4" t="str">
        <f t="shared" si="995"/>
        <v>EXP00369</v>
      </c>
      <c r="B11248" s="3" t="s">
        <v>66</v>
      </c>
      <c r="C11248" s="4" t="str">
        <f t="shared" si="996"/>
        <v>GSE76124</v>
      </c>
      <c r="D11248" s="1" t="s">
        <v>45</v>
      </c>
      <c r="E11248" t="s">
        <v>470</v>
      </c>
      <c r="F11248" s="1">
        <v>2</v>
      </c>
      <c r="G11248" s="1" t="s">
        <v>32</v>
      </c>
      <c r="H11248" s="4" t="str">
        <f>HYPERLINK("https://www.ncbi.nlm.nih.gov/geo/query/acc.cgi?acc=GSM1974762","GSM1974762")</f>
        <v>GSM1974762</v>
      </c>
      <c r="I11248" t="s">
        <v>17</v>
      </c>
      <c r="J11248" t="s">
        <v>471</v>
      </c>
      <c r="K11248" t="s">
        <v>33</v>
      </c>
      <c r="L11248" t="s">
        <v>20</v>
      </c>
      <c r="N11248" t="s">
        <v>29</v>
      </c>
    </row>
    <row r="11249" spans="1:14">
      <c r="A11249" s="4" t="str">
        <f t="shared" ref="A11249:A11280" si="997">HYPERLINK("http://hcmdb.i-sanger.com/experiment/details/experiment_id/EXP00370","EXP00370")</f>
        <v>EXP00370</v>
      </c>
      <c r="B11249" s="3" t="s">
        <v>66</v>
      </c>
      <c r="C11249" s="4" t="str">
        <f t="shared" ref="C11249:C11280" si="998">HYPERLINK("https://www.ncbi.nlm.nih.gov/geo/query/acc.cgi?acc=GSE76714","GSE76714")</f>
        <v>GSE76714</v>
      </c>
      <c r="D11249" s="1" t="s">
        <v>341</v>
      </c>
      <c r="E11249" t="s">
        <v>472</v>
      </c>
      <c r="F11249" s="1">
        <v>1</v>
      </c>
      <c r="G11249" s="1" t="s">
        <v>473</v>
      </c>
      <c r="H11249" s="4" t="str">
        <f>HYPERLINK("https://www.ncbi.nlm.nih.gov/geo/query/acc.cgi?acc=GSM2036444","GSM2036444")</f>
        <v>GSM2036444</v>
      </c>
      <c r="I11249" t="s">
        <v>17</v>
      </c>
      <c r="J11249" t="s">
        <v>350</v>
      </c>
      <c r="K11249" t="s">
        <v>19</v>
      </c>
      <c r="L11249" t="s">
        <v>20</v>
      </c>
      <c r="M11249" t="s">
        <v>21</v>
      </c>
      <c r="N11249" t="s">
        <v>29</v>
      </c>
    </row>
    <row r="11250" spans="1:14">
      <c r="A11250" s="4" t="str">
        <f t="shared" si="997"/>
        <v>EXP00370</v>
      </c>
      <c r="B11250" s="3" t="s">
        <v>66</v>
      </c>
      <c r="C11250" s="4" t="str">
        <f t="shared" si="998"/>
        <v>GSE76714</v>
      </c>
      <c r="D11250" s="1" t="s">
        <v>341</v>
      </c>
      <c r="E11250" t="s">
        <v>472</v>
      </c>
      <c r="F11250" s="1">
        <v>1</v>
      </c>
      <c r="G11250" s="1" t="s">
        <v>473</v>
      </c>
      <c r="H11250" s="4" t="str">
        <f>HYPERLINK("https://www.ncbi.nlm.nih.gov/geo/query/acc.cgi?acc=GSM2036447","GSM2036447")</f>
        <v>GSM2036447</v>
      </c>
      <c r="I11250" t="s">
        <v>17</v>
      </c>
      <c r="J11250" t="s">
        <v>350</v>
      </c>
      <c r="K11250" t="s">
        <v>19</v>
      </c>
      <c r="L11250" t="s">
        <v>20</v>
      </c>
      <c r="M11250" t="s">
        <v>21</v>
      </c>
      <c r="N11250" t="s">
        <v>29</v>
      </c>
    </row>
    <row r="11251" spans="1:14">
      <c r="A11251" s="4" t="str">
        <f t="shared" si="997"/>
        <v>EXP00370</v>
      </c>
      <c r="B11251" s="3" t="s">
        <v>66</v>
      </c>
      <c r="C11251" s="4" t="str">
        <f t="shared" si="998"/>
        <v>GSE76714</v>
      </c>
      <c r="D11251" s="1" t="s">
        <v>341</v>
      </c>
      <c r="E11251" t="s">
        <v>472</v>
      </c>
      <c r="F11251" s="1">
        <v>1</v>
      </c>
      <c r="G11251" s="1" t="s">
        <v>473</v>
      </c>
      <c r="H11251" s="4" t="str">
        <f>HYPERLINK("https://www.ncbi.nlm.nih.gov/geo/query/acc.cgi?acc=GSM2036453","GSM2036453")</f>
        <v>GSM2036453</v>
      </c>
      <c r="I11251" t="s">
        <v>17</v>
      </c>
      <c r="J11251" t="s">
        <v>350</v>
      </c>
      <c r="K11251" t="s">
        <v>19</v>
      </c>
      <c r="L11251" t="s">
        <v>20</v>
      </c>
      <c r="M11251" t="s">
        <v>21</v>
      </c>
      <c r="N11251" t="s">
        <v>29</v>
      </c>
    </row>
    <row r="11252" spans="1:14">
      <c r="A11252" s="4" t="str">
        <f t="shared" si="997"/>
        <v>EXP00370</v>
      </c>
      <c r="B11252" s="3" t="s">
        <v>66</v>
      </c>
      <c r="C11252" s="4" t="str">
        <f t="shared" si="998"/>
        <v>GSE76714</v>
      </c>
      <c r="D11252" s="1" t="s">
        <v>341</v>
      </c>
      <c r="E11252" t="s">
        <v>472</v>
      </c>
      <c r="F11252" s="1">
        <v>1</v>
      </c>
      <c r="G11252" s="1" t="s">
        <v>473</v>
      </c>
      <c r="H11252" s="4" t="str">
        <f>HYPERLINK("https://www.ncbi.nlm.nih.gov/geo/query/acc.cgi?acc=GSM2036460","GSM2036460")</f>
        <v>GSM2036460</v>
      </c>
      <c r="I11252" t="s">
        <v>17</v>
      </c>
      <c r="J11252" t="s">
        <v>350</v>
      </c>
      <c r="K11252" t="s">
        <v>19</v>
      </c>
      <c r="L11252" t="s">
        <v>20</v>
      </c>
      <c r="M11252" t="s">
        <v>21</v>
      </c>
      <c r="N11252" t="s">
        <v>29</v>
      </c>
    </row>
    <row r="11253" spans="1:14">
      <c r="A11253" s="4" t="str">
        <f t="shared" si="997"/>
        <v>EXP00370</v>
      </c>
      <c r="B11253" s="3" t="s">
        <v>66</v>
      </c>
      <c r="C11253" s="4" t="str">
        <f t="shared" si="998"/>
        <v>GSE76714</v>
      </c>
      <c r="D11253" s="1" t="s">
        <v>341</v>
      </c>
      <c r="E11253" t="s">
        <v>472</v>
      </c>
      <c r="F11253" s="1">
        <v>1</v>
      </c>
      <c r="G11253" s="1" t="s">
        <v>473</v>
      </c>
      <c r="H11253" s="4" t="str">
        <f>HYPERLINK("https://www.ncbi.nlm.nih.gov/geo/query/acc.cgi?acc=GSM2036461","GSM2036461")</f>
        <v>GSM2036461</v>
      </c>
      <c r="I11253" t="s">
        <v>17</v>
      </c>
      <c r="J11253" t="s">
        <v>350</v>
      </c>
      <c r="K11253" t="s">
        <v>19</v>
      </c>
      <c r="L11253" t="s">
        <v>20</v>
      </c>
      <c r="M11253" t="s">
        <v>21</v>
      </c>
      <c r="N11253" t="s">
        <v>29</v>
      </c>
    </row>
    <row r="11254" spans="1:14">
      <c r="A11254" s="4" t="str">
        <f t="shared" si="997"/>
        <v>EXP00370</v>
      </c>
      <c r="B11254" s="3" t="s">
        <v>66</v>
      </c>
      <c r="C11254" s="4" t="str">
        <f t="shared" si="998"/>
        <v>GSE76714</v>
      </c>
      <c r="D11254" s="1" t="s">
        <v>341</v>
      </c>
      <c r="E11254" t="s">
        <v>472</v>
      </c>
      <c r="F11254" s="1">
        <v>1</v>
      </c>
      <c r="G11254" s="1" t="s">
        <v>473</v>
      </c>
      <c r="H11254" s="4" t="str">
        <f>HYPERLINK("https://www.ncbi.nlm.nih.gov/geo/query/acc.cgi?acc=GSM2036463","GSM2036463")</f>
        <v>GSM2036463</v>
      </c>
      <c r="I11254" t="s">
        <v>17</v>
      </c>
      <c r="J11254" t="s">
        <v>350</v>
      </c>
      <c r="K11254" t="s">
        <v>19</v>
      </c>
      <c r="L11254" t="s">
        <v>20</v>
      </c>
      <c r="M11254" t="s">
        <v>21</v>
      </c>
      <c r="N11254" t="s">
        <v>29</v>
      </c>
    </row>
    <row r="11255" spans="1:14">
      <c r="A11255" s="4" t="str">
        <f t="shared" si="997"/>
        <v>EXP00370</v>
      </c>
      <c r="B11255" s="3" t="s">
        <v>66</v>
      </c>
      <c r="C11255" s="4" t="str">
        <f t="shared" si="998"/>
        <v>GSE76714</v>
      </c>
      <c r="D11255" s="1" t="s">
        <v>341</v>
      </c>
      <c r="E11255" t="s">
        <v>472</v>
      </c>
      <c r="F11255" s="1">
        <v>1</v>
      </c>
      <c r="G11255" s="1" t="s">
        <v>473</v>
      </c>
      <c r="H11255" s="4" t="str">
        <f>HYPERLINK("https://www.ncbi.nlm.nih.gov/geo/query/acc.cgi?acc=GSM2036465","GSM2036465")</f>
        <v>GSM2036465</v>
      </c>
      <c r="I11255" t="s">
        <v>17</v>
      </c>
      <c r="J11255" t="s">
        <v>350</v>
      </c>
      <c r="K11255" t="s">
        <v>19</v>
      </c>
      <c r="L11255" t="s">
        <v>20</v>
      </c>
      <c r="M11255" t="s">
        <v>21</v>
      </c>
      <c r="N11255" t="s">
        <v>29</v>
      </c>
    </row>
    <row r="11256" spans="1:14">
      <c r="A11256" s="4" t="str">
        <f t="shared" si="997"/>
        <v>EXP00370</v>
      </c>
      <c r="B11256" s="3" t="s">
        <v>66</v>
      </c>
      <c r="C11256" s="4" t="str">
        <f t="shared" si="998"/>
        <v>GSE76714</v>
      </c>
      <c r="D11256" s="1" t="s">
        <v>341</v>
      </c>
      <c r="E11256" t="s">
        <v>472</v>
      </c>
      <c r="F11256" s="1">
        <v>1</v>
      </c>
      <c r="G11256" s="1" t="s">
        <v>473</v>
      </c>
      <c r="H11256" s="4" t="str">
        <f>HYPERLINK("https://www.ncbi.nlm.nih.gov/geo/query/acc.cgi?acc=GSM2036467","GSM2036467")</f>
        <v>GSM2036467</v>
      </c>
      <c r="I11256" t="s">
        <v>17</v>
      </c>
      <c r="J11256" t="s">
        <v>350</v>
      </c>
      <c r="K11256" t="s">
        <v>19</v>
      </c>
      <c r="L11256" t="s">
        <v>20</v>
      </c>
      <c r="M11256" t="s">
        <v>21</v>
      </c>
      <c r="N11256" t="s">
        <v>29</v>
      </c>
    </row>
    <row r="11257" spans="1:14">
      <c r="A11257" s="4" t="str">
        <f t="shared" si="997"/>
        <v>EXP00370</v>
      </c>
      <c r="B11257" s="3" t="s">
        <v>66</v>
      </c>
      <c r="C11257" s="4" t="str">
        <f t="shared" si="998"/>
        <v>GSE76714</v>
      </c>
      <c r="D11257" s="1" t="s">
        <v>341</v>
      </c>
      <c r="E11257" t="s">
        <v>472</v>
      </c>
      <c r="F11257" s="1">
        <v>1</v>
      </c>
      <c r="G11257" s="1" t="s">
        <v>473</v>
      </c>
      <c r="H11257" s="4" t="str">
        <f>HYPERLINK("https://www.ncbi.nlm.nih.gov/geo/query/acc.cgi?acc=GSM2036468","GSM2036468")</f>
        <v>GSM2036468</v>
      </c>
      <c r="I11257" t="s">
        <v>17</v>
      </c>
      <c r="J11257" t="s">
        <v>350</v>
      </c>
      <c r="K11257" t="s">
        <v>19</v>
      </c>
      <c r="L11257" t="s">
        <v>20</v>
      </c>
      <c r="M11257" t="s">
        <v>21</v>
      </c>
      <c r="N11257" t="s">
        <v>29</v>
      </c>
    </row>
    <row r="11258" spans="1:14">
      <c r="A11258" s="4" t="str">
        <f t="shared" si="997"/>
        <v>EXP00370</v>
      </c>
      <c r="B11258" s="3" t="s">
        <v>66</v>
      </c>
      <c r="C11258" s="4" t="str">
        <f t="shared" si="998"/>
        <v>GSE76714</v>
      </c>
      <c r="D11258" s="1" t="s">
        <v>341</v>
      </c>
      <c r="E11258" t="s">
        <v>472</v>
      </c>
      <c r="F11258" s="1">
        <v>1</v>
      </c>
      <c r="G11258" s="1" t="s">
        <v>473</v>
      </c>
      <c r="H11258" s="4" t="str">
        <f>HYPERLINK("https://www.ncbi.nlm.nih.gov/geo/query/acc.cgi?acc=GSM2036471","GSM2036471")</f>
        <v>GSM2036471</v>
      </c>
      <c r="I11258" t="s">
        <v>17</v>
      </c>
      <c r="J11258" t="s">
        <v>350</v>
      </c>
      <c r="K11258" t="s">
        <v>19</v>
      </c>
      <c r="L11258" t="s">
        <v>20</v>
      </c>
      <c r="M11258" t="s">
        <v>21</v>
      </c>
      <c r="N11258" t="s">
        <v>29</v>
      </c>
    </row>
    <row r="11259" spans="1:14">
      <c r="A11259" s="4" t="str">
        <f t="shared" si="997"/>
        <v>EXP00370</v>
      </c>
      <c r="B11259" s="3" t="s">
        <v>66</v>
      </c>
      <c r="C11259" s="4" t="str">
        <f t="shared" si="998"/>
        <v>GSE76714</v>
      </c>
      <c r="D11259" s="1" t="s">
        <v>341</v>
      </c>
      <c r="E11259" t="s">
        <v>472</v>
      </c>
      <c r="F11259" s="1">
        <v>1</v>
      </c>
      <c r="G11259" s="1" t="s">
        <v>473</v>
      </c>
      <c r="H11259" s="4" t="str">
        <f>HYPERLINK("https://www.ncbi.nlm.nih.gov/geo/query/acc.cgi?acc=GSM2036473","GSM2036473")</f>
        <v>GSM2036473</v>
      </c>
      <c r="I11259" t="s">
        <v>17</v>
      </c>
      <c r="J11259" t="s">
        <v>350</v>
      </c>
      <c r="K11259" t="s">
        <v>19</v>
      </c>
      <c r="L11259" t="s">
        <v>20</v>
      </c>
      <c r="M11259" t="s">
        <v>21</v>
      </c>
      <c r="N11259" t="s">
        <v>29</v>
      </c>
    </row>
    <row r="11260" spans="1:14">
      <c r="A11260" s="4" t="str">
        <f t="shared" si="997"/>
        <v>EXP00370</v>
      </c>
      <c r="B11260" s="3" t="s">
        <v>66</v>
      </c>
      <c r="C11260" s="4" t="str">
        <f t="shared" si="998"/>
        <v>GSE76714</v>
      </c>
      <c r="D11260" s="1" t="s">
        <v>341</v>
      </c>
      <c r="E11260" t="s">
        <v>472</v>
      </c>
      <c r="F11260" s="1">
        <v>1</v>
      </c>
      <c r="G11260" s="1" t="s">
        <v>473</v>
      </c>
      <c r="H11260" s="4" t="str">
        <f>HYPERLINK("https://www.ncbi.nlm.nih.gov/geo/query/acc.cgi?acc=GSM2036474","GSM2036474")</f>
        <v>GSM2036474</v>
      </c>
      <c r="I11260" t="s">
        <v>17</v>
      </c>
      <c r="J11260" t="s">
        <v>350</v>
      </c>
      <c r="K11260" t="s">
        <v>19</v>
      </c>
      <c r="L11260" t="s">
        <v>20</v>
      </c>
      <c r="M11260" t="s">
        <v>21</v>
      </c>
      <c r="N11260" t="s">
        <v>29</v>
      </c>
    </row>
    <row r="11261" spans="1:14">
      <c r="A11261" s="4" t="str">
        <f t="shared" si="997"/>
        <v>EXP00370</v>
      </c>
      <c r="B11261" s="3" t="s">
        <v>66</v>
      </c>
      <c r="C11261" s="4" t="str">
        <f t="shared" si="998"/>
        <v>GSE76714</v>
      </c>
      <c r="D11261" s="1" t="s">
        <v>341</v>
      </c>
      <c r="E11261" t="s">
        <v>472</v>
      </c>
      <c r="F11261" s="1">
        <v>1</v>
      </c>
      <c r="G11261" s="1" t="s">
        <v>473</v>
      </c>
      <c r="H11261" s="4" t="str">
        <f>HYPERLINK("https://www.ncbi.nlm.nih.gov/geo/query/acc.cgi?acc=GSM2036482","GSM2036482")</f>
        <v>GSM2036482</v>
      </c>
      <c r="I11261" t="s">
        <v>17</v>
      </c>
      <c r="J11261" t="s">
        <v>350</v>
      </c>
      <c r="K11261" t="s">
        <v>19</v>
      </c>
      <c r="L11261" t="s">
        <v>20</v>
      </c>
      <c r="M11261" t="s">
        <v>21</v>
      </c>
      <c r="N11261" t="s">
        <v>29</v>
      </c>
    </row>
    <row r="11262" spans="1:14">
      <c r="A11262" s="4" t="str">
        <f t="shared" si="997"/>
        <v>EXP00370</v>
      </c>
      <c r="B11262" s="3" t="s">
        <v>66</v>
      </c>
      <c r="C11262" s="4" t="str">
        <f t="shared" si="998"/>
        <v>GSE76714</v>
      </c>
      <c r="D11262" s="1" t="s">
        <v>341</v>
      </c>
      <c r="E11262" t="s">
        <v>472</v>
      </c>
      <c r="F11262" s="1">
        <v>1</v>
      </c>
      <c r="G11262" s="1" t="s">
        <v>473</v>
      </c>
      <c r="H11262" s="4" t="str">
        <f>HYPERLINK("https://www.ncbi.nlm.nih.gov/geo/query/acc.cgi?acc=GSM2036483","GSM2036483")</f>
        <v>GSM2036483</v>
      </c>
      <c r="I11262" t="s">
        <v>17</v>
      </c>
      <c r="J11262" t="s">
        <v>350</v>
      </c>
      <c r="K11262" t="s">
        <v>19</v>
      </c>
      <c r="L11262" t="s">
        <v>20</v>
      </c>
      <c r="M11262" t="s">
        <v>21</v>
      </c>
      <c r="N11262" t="s">
        <v>29</v>
      </c>
    </row>
    <row r="11263" spans="1:14">
      <c r="A11263" s="4" t="str">
        <f t="shared" si="997"/>
        <v>EXP00370</v>
      </c>
      <c r="B11263" s="3" t="s">
        <v>66</v>
      </c>
      <c r="C11263" s="4" t="str">
        <f t="shared" si="998"/>
        <v>GSE76714</v>
      </c>
      <c r="D11263" s="1" t="s">
        <v>341</v>
      </c>
      <c r="E11263" t="s">
        <v>472</v>
      </c>
      <c r="F11263" s="1">
        <v>1</v>
      </c>
      <c r="G11263" s="1" t="s">
        <v>473</v>
      </c>
      <c r="H11263" s="4" t="str">
        <f>HYPERLINK("https://www.ncbi.nlm.nih.gov/geo/query/acc.cgi?acc=GSM2036484","GSM2036484")</f>
        <v>GSM2036484</v>
      </c>
      <c r="I11263" t="s">
        <v>17</v>
      </c>
      <c r="J11263" t="s">
        <v>350</v>
      </c>
      <c r="K11263" t="s">
        <v>19</v>
      </c>
      <c r="L11263" t="s">
        <v>20</v>
      </c>
      <c r="M11263" t="s">
        <v>21</v>
      </c>
      <c r="N11263" t="s">
        <v>29</v>
      </c>
    </row>
    <row r="11264" spans="1:14">
      <c r="A11264" s="4" t="str">
        <f t="shared" si="997"/>
        <v>EXP00370</v>
      </c>
      <c r="B11264" s="3" t="s">
        <v>66</v>
      </c>
      <c r="C11264" s="4" t="str">
        <f t="shared" si="998"/>
        <v>GSE76714</v>
      </c>
      <c r="D11264" s="1" t="s">
        <v>341</v>
      </c>
      <c r="E11264" t="s">
        <v>472</v>
      </c>
      <c r="F11264" s="1">
        <v>1</v>
      </c>
      <c r="G11264" s="1" t="s">
        <v>473</v>
      </c>
      <c r="H11264" s="4" t="str">
        <f>HYPERLINK("https://www.ncbi.nlm.nih.gov/geo/query/acc.cgi?acc=GSM2036486","GSM2036486")</f>
        <v>GSM2036486</v>
      </c>
      <c r="I11264" t="s">
        <v>17</v>
      </c>
      <c r="J11264" t="s">
        <v>350</v>
      </c>
      <c r="K11264" t="s">
        <v>19</v>
      </c>
      <c r="L11264" t="s">
        <v>20</v>
      </c>
      <c r="M11264" t="s">
        <v>21</v>
      </c>
      <c r="N11264" t="s">
        <v>29</v>
      </c>
    </row>
    <row r="11265" spans="1:14">
      <c r="A11265" s="4" t="str">
        <f t="shared" si="997"/>
        <v>EXP00370</v>
      </c>
      <c r="B11265" s="3" t="s">
        <v>66</v>
      </c>
      <c r="C11265" s="4" t="str">
        <f t="shared" si="998"/>
        <v>GSE76714</v>
      </c>
      <c r="D11265" s="1" t="s">
        <v>341</v>
      </c>
      <c r="E11265" t="s">
        <v>472</v>
      </c>
      <c r="F11265" s="1">
        <v>1</v>
      </c>
      <c r="G11265" s="1" t="s">
        <v>473</v>
      </c>
      <c r="H11265" s="4" t="str">
        <f>HYPERLINK("https://www.ncbi.nlm.nih.gov/geo/query/acc.cgi?acc=GSM2036491","GSM2036491")</f>
        <v>GSM2036491</v>
      </c>
      <c r="I11265" t="s">
        <v>17</v>
      </c>
      <c r="J11265" t="s">
        <v>350</v>
      </c>
      <c r="K11265" t="s">
        <v>19</v>
      </c>
      <c r="L11265" t="s">
        <v>20</v>
      </c>
      <c r="M11265" t="s">
        <v>21</v>
      </c>
      <c r="N11265" t="s">
        <v>29</v>
      </c>
    </row>
    <row r="11266" spans="1:14">
      <c r="A11266" s="4" t="str">
        <f t="shared" si="997"/>
        <v>EXP00370</v>
      </c>
      <c r="B11266" s="3" t="s">
        <v>66</v>
      </c>
      <c r="C11266" s="4" t="str">
        <f t="shared" si="998"/>
        <v>GSE76714</v>
      </c>
      <c r="D11266" s="1" t="s">
        <v>341</v>
      </c>
      <c r="E11266" t="s">
        <v>472</v>
      </c>
      <c r="F11266" s="1">
        <v>1</v>
      </c>
      <c r="G11266" s="1" t="s">
        <v>473</v>
      </c>
      <c r="H11266" s="4" t="str">
        <f>HYPERLINK("https://www.ncbi.nlm.nih.gov/geo/query/acc.cgi?acc=GSM2036494","GSM2036494")</f>
        <v>GSM2036494</v>
      </c>
      <c r="I11266" t="s">
        <v>17</v>
      </c>
      <c r="J11266" t="s">
        <v>350</v>
      </c>
      <c r="K11266" t="s">
        <v>19</v>
      </c>
      <c r="L11266" t="s">
        <v>20</v>
      </c>
      <c r="M11266" t="s">
        <v>21</v>
      </c>
      <c r="N11266" t="s">
        <v>29</v>
      </c>
    </row>
    <row r="11267" spans="1:14">
      <c r="A11267" s="4" t="str">
        <f t="shared" si="997"/>
        <v>EXP00370</v>
      </c>
      <c r="B11267" s="3" t="s">
        <v>66</v>
      </c>
      <c r="C11267" s="4" t="str">
        <f t="shared" si="998"/>
        <v>GSE76714</v>
      </c>
      <c r="D11267" s="1" t="s">
        <v>341</v>
      </c>
      <c r="E11267" t="s">
        <v>472</v>
      </c>
      <c r="F11267" s="1">
        <v>1</v>
      </c>
      <c r="G11267" s="1" t="s">
        <v>473</v>
      </c>
      <c r="H11267" s="4" t="str">
        <f>HYPERLINK("https://www.ncbi.nlm.nih.gov/geo/query/acc.cgi?acc=GSM2036498","GSM2036498")</f>
        <v>GSM2036498</v>
      </c>
      <c r="I11267" t="s">
        <v>17</v>
      </c>
      <c r="J11267" t="s">
        <v>350</v>
      </c>
      <c r="K11267" t="s">
        <v>19</v>
      </c>
      <c r="L11267" t="s">
        <v>20</v>
      </c>
      <c r="M11267" t="s">
        <v>21</v>
      </c>
      <c r="N11267" t="s">
        <v>29</v>
      </c>
    </row>
    <row r="11268" spans="1:14">
      <c r="A11268" s="4" t="str">
        <f t="shared" si="997"/>
        <v>EXP00370</v>
      </c>
      <c r="B11268" s="3" t="s">
        <v>66</v>
      </c>
      <c r="C11268" s="4" t="str">
        <f t="shared" si="998"/>
        <v>GSE76714</v>
      </c>
      <c r="D11268" s="1" t="s">
        <v>341</v>
      </c>
      <c r="E11268" t="s">
        <v>472</v>
      </c>
      <c r="F11268" s="1">
        <v>1</v>
      </c>
      <c r="G11268" s="1" t="s">
        <v>473</v>
      </c>
      <c r="H11268" s="4" t="str">
        <f>HYPERLINK("https://www.ncbi.nlm.nih.gov/geo/query/acc.cgi?acc=GSM2036503","GSM2036503")</f>
        <v>GSM2036503</v>
      </c>
      <c r="I11268" t="s">
        <v>17</v>
      </c>
      <c r="J11268" t="s">
        <v>350</v>
      </c>
      <c r="K11268" t="s">
        <v>19</v>
      </c>
      <c r="L11268" t="s">
        <v>20</v>
      </c>
      <c r="M11268" t="s">
        <v>21</v>
      </c>
      <c r="N11268" t="s">
        <v>29</v>
      </c>
    </row>
    <row r="11269" spans="1:14">
      <c r="A11269" s="4" t="str">
        <f t="shared" si="997"/>
        <v>EXP00370</v>
      </c>
      <c r="B11269" s="3" t="s">
        <v>66</v>
      </c>
      <c r="C11269" s="4" t="str">
        <f t="shared" si="998"/>
        <v>GSE76714</v>
      </c>
      <c r="D11269" s="1" t="s">
        <v>341</v>
      </c>
      <c r="E11269" t="s">
        <v>472</v>
      </c>
      <c r="F11269" s="1">
        <v>1</v>
      </c>
      <c r="G11269" s="1" t="s">
        <v>473</v>
      </c>
      <c r="H11269" s="4" t="str">
        <f>HYPERLINK("https://www.ncbi.nlm.nih.gov/geo/query/acc.cgi?acc=GSM2036506","GSM2036506")</f>
        <v>GSM2036506</v>
      </c>
      <c r="I11269" t="s">
        <v>17</v>
      </c>
      <c r="J11269" t="s">
        <v>350</v>
      </c>
      <c r="K11269" t="s">
        <v>19</v>
      </c>
      <c r="L11269" t="s">
        <v>20</v>
      </c>
      <c r="M11269" t="s">
        <v>21</v>
      </c>
      <c r="N11269" t="s">
        <v>29</v>
      </c>
    </row>
    <row r="11270" spans="1:14">
      <c r="A11270" s="4" t="str">
        <f t="shared" si="997"/>
        <v>EXP00370</v>
      </c>
      <c r="B11270" s="3" t="s">
        <v>66</v>
      </c>
      <c r="C11270" s="4" t="str">
        <f t="shared" si="998"/>
        <v>GSE76714</v>
      </c>
      <c r="D11270" s="1" t="s">
        <v>341</v>
      </c>
      <c r="E11270" t="s">
        <v>472</v>
      </c>
      <c r="F11270" s="1">
        <v>1</v>
      </c>
      <c r="G11270" s="1" t="s">
        <v>473</v>
      </c>
      <c r="H11270" s="4" t="str">
        <f>HYPERLINK("https://www.ncbi.nlm.nih.gov/geo/query/acc.cgi?acc=GSM2036507","GSM2036507")</f>
        <v>GSM2036507</v>
      </c>
      <c r="I11270" t="s">
        <v>17</v>
      </c>
      <c r="J11270" t="s">
        <v>350</v>
      </c>
      <c r="K11270" t="s">
        <v>19</v>
      </c>
      <c r="L11270" t="s">
        <v>20</v>
      </c>
      <c r="M11270" t="s">
        <v>21</v>
      </c>
      <c r="N11270" t="s">
        <v>29</v>
      </c>
    </row>
    <row r="11271" spans="1:14">
      <c r="A11271" s="4" t="str">
        <f t="shared" si="997"/>
        <v>EXP00370</v>
      </c>
      <c r="B11271" s="3" t="s">
        <v>66</v>
      </c>
      <c r="C11271" s="4" t="str">
        <f t="shared" si="998"/>
        <v>GSE76714</v>
      </c>
      <c r="D11271" s="1" t="s">
        <v>341</v>
      </c>
      <c r="E11271" t="s">
        <v>472</v>
      </c>
      <c r="F11271" s="1">
        <v>1</v>
      </c>
      <c r="G11271" s="1" t="s">
        <v>473</v>
      </c>
      <c r="H11271" s="4" t="str">
        <f>HYPERLINK("https://www.ncbi.nlm.nih.gov/geo/query/acc.cgi?acc=GSM2036509","GSM2036509")</f>
        <v>GSM2036509</v>
      </c>
      <c r="I11271" t="s">
        <v>17</v>
      </c>
      <c r="J11271" t="s">
        <v>350</v>
      </c>
      <c r="K11271" t="s">
        <v>19</v>
      </c>
      <c r="L11271" t="s">
        <v>20</v>
      </c>
      <c r="M11271" t="s">
        <v>21</v>
      </c>
      <c r="N11271" t="s">
        <v>29</v>
      </c>
    </row>
    <row r="11272" spans="1:14">
      <c r="A11272" s="4" t="str">
        <f t="shared" si="997"/>
        <v>EXP00370</v>
      </c>
      <c r="B11272" s="3" t="s">
        <v>66</v>
      </c>
      <c r="C11272" s="4" t="str">
        <f t="shared" si="998"/>
        <v>GSE76714</v>
      </c>
      <c r="D11272" s="1" t="s">
        <v>341</v>
      </c>
      <c r="E11272" t="s">
        <v>472</v>
      </c>
      <c r="F11272" s="1">
        <v>2</v>
      </c>
      <c r="G11272" s="1" t="s">
        <v>474</v>
      </c>
      <c r="H11272" s="4" t="str">
        <f>HYPERLINK("https://www.ncbi.nlm.nih.gov/geo/query/acc.cgi?acc=GSM2036445","GSM2036445")</f>
        <v>GSM2036445</v>
      </c>
      <c r="I11272" t="s">
        <v>17</v>
      </c>
      <c r="J11272" t="s">
        <v>350</v>
      </c>
      <c r="K11272" t="s">
        <v>19</v>
      </c>
      <c r="L11272" t="s">
        <v>20</v>
      </c>
      <c r="M11272" t="s">
        <v>47</v>
      </c>
      <c r="N11272" t="s">
        <v>29</v>
      </c>
    </row>
    <row r="11273" spans="1:14">
      <c r="A11273" s="4" t="str">
        <f t="shared" si="997"/>
        <v>EXP00370</v>
      </c>
      <c r="B11273" s="3" t="s">
        <v>66</v>
      </c>
      <c r="C11273" s="4" t="str">
        <f t="shared" si="998"/>
        <v>GSE76714</v>
      </c>
      <c r="D11273" s="1" t="s">
        <v>341</v>
      </c>
      <c r="E11273" t="s">
        <v>472</v>
      </c>
      <c r="F11273" s="1">
        <v>2</v>
      </c>
      <c r="G11273" s="1" t="s">
        <v>474</v>
      </c>
      <c r="H11273" s="4" t="str">
        <f>HYPERLINK("https://www.ncbi.nlm.nih.gov/geo/query/acc.cgi?acc=GSM2036446","GSM2036446")</f>
        <v>GSM2036446</v>
      </c>
      <c r="I11273" t="s">
        <v>17</v>
      </c>
      <c r="J11273" t="s">
        <v>350</v>
      </c>
      <c r="K11273" t="s">
        <v>19</v>
      </c>
      <c r="L11273" t="s">
        <v>20</v>
      </c>
      <c r="M11273" t="s">
        <v>47</v>
      </c>
      <c r="N11273" t="s">
        <v>29</v>
      </c>
    </row>
    <row r="11274" spans="1:14">
      <c r="A11274" s="4" t="str">
        <f t="shared" si="997"/>
        <v>EXP00370</v>
      </c>
      <c r="B11274" s="3" t="s">
        <v>66</v>
      </c>
      <c r="C11274" s="4" t="str">
        <f t="shared" si="998"/>
        <v>GSE76714</v>
      </c>
      <c r="D11274" s="1" t="s">
        <v>341</v>
      </c>
      <c r="E11274" t="s">
        <v>472</v>
      </c>
      <c r="F11274" s="1">
        <v>2</v>
      </c>
      <c r="G11274" s="1" t="s">
        <v>474</v>
      </c>
      <c r="H11274" s="4" t="str">
        <f>HYPERLINK("https://www.ncbi.nlm.nih.gov/geo/query/acc.cgi?acc=GSM2036448","GSM2036448")</f>
        <v>GSM2036448</v>
      </c>
      <c r="I11274" t="s">
        <v>17</v>
      </c>
      <c r="J11274" t="s">
        <v>350</v>
      </c>
      <c r="K11274" t="s">
        <v>19</v>
      </c>
      <c r="L11274" t="s">
        <v>20</v>
      </c>
      <c r="M11274" t="s">
        <v>47</v>
      </c>
      <c r="N11274" t="s">
        <v>29</v>
      </c>
    </row>
    <row r="11275" spans="1:14">
      <c r="A11275" s="4" t="str">
        <f t="shared" si="997"/>
        <v>EXP00370</v>
      </c>
      <c r="B11275" s="3" t="s">
        <v>66</v>
      </c>
      <c r="C11275" s="4" t="str">
        <f t="shared" si="998"/>
        <v>GSE76714</v>
      </c>
      <c r="D11275" s="1" t="s">
        <v>341</v>
      </c>
      <c r="E11275" t="s">
        <v>472</v>
      </c>
      <c r="F11275" s="1">
        <v>2</v>
      </c>
      <c r="G11275" s="1" t="s">
        <v>474</v>
      </c>
      <c r="H11275" s="4" t="str">
        <f>HYPERLINK("https://www.ncbi.nlm.nih.gov/geo/query/acc.cgi?acc=GSM2036449","GSM2036449")</f>
        <v>GSM2036449</v>
      </c>
      <c r="I11275" t="s">
        <v>17</v>
      </c>
      <c r="J11275" t="s">
        <v>350</v>
      </c>
      <c r="K11275" t="s">
        <v>19</v>
      </c>
      <c r="L11275" t="s">
        <v>20</v>
      </c>
      <c r="M11275" t="s">
        <v>47</v>
      </c>
      <c r="N11275" t="s">
        <v>29</v>
      </c>
    </row>
    <row r="11276" spans="1:14">
      <c r="A11276" s="4" t="str">
        <f t="shared" si="997"/>
        <v>EXP00370</v>
      </c>
      <c r="B11276" s="3" t="s">
        <v>66</v>
      </c>
      <c r="C11276" s="4" t="str">
        <f t="shared" si="998"/>
        <v>GSE76714</v>
      </c>
      <c r="D11276" s="1" t="s">
        <v>341</v>
      </c>
      <c r="E11276" t="s">
        <v>472</v>
      </c>
      <c r="F11276" s="1">
        <v>2</v>
      </c>
      <c r="G11276" s="1" t="s">
        <v>474</v>
      </c>
      <c r="H11276" s="4" t="str">
        <f>HYPERLINK("https://www.ncbi.nlm.nih.gov/geo/query/acc.cgi?acc=GSM2036450","GSM2036450")</f>
        <v>GSM2036450</v>
      </c>
      <c r="I11276" t="s">
        <v>17</v>
      </c>
      <c r="J11276" t="s">
        <v>350</v>
      </c>
      <c r="K11276" t="s">
        <v>19</v>
      </c>
      <c r="L11276" t="s">
        <v>20</v>
      </c>
      <c r="M11276" t="s">
        <v>47</v>
      </c>
      <c r="N11276" t="s">
        <v>29</v>
      </c>
    </row>
    <row r="11277" spans="1:14">
      <c r="A11277" s="4" t="str">
        <f t="shared" si="997"/>
        <v>EXP00370</v>
      </c>
      <c r="B11277" s="3" t="s">
        <v>66</v>
      </c>
      <c r="C11277" s="4" t="str">
        <f t="shared" si="998"/>
        <v>GSE76714</v>
      </c>
      <c r="D11277" s="1" t="s">
        <v>341</v>
      </c>
      <c r="E11277" t="s">
        <v>472</v>
      </c>
      <c r="F11277" s="1">
        <v>2</v>
      </c>
      <c r="G11277" s="1" t="s">
        <v>474</v>
      </c>
      <c r="H11277" s="4" t="str">
        <f>HYPERLINK("https://www.ncbi.nlm.nih.gov/geo/query/acc.cgi?acc=GSM2036451","GSM2036451")</f>
        <v>GSM2036451</v>
      </c>
      <c r="I11277" t="s">
        <v>17</v>
      </c>
      <c r="J11277" t="s">
        <v>350</v>
      </c>
      <c r="K11277" t="s">
        <v>19</v>
      </c>
      <c r="L11277" t="s">
        <v>20</v>
      </c>
      <c r="M11277" t="s">
        <v>47</v>
      </c>
      <c r="N11277" t="s">
        <v>29</v>
      </c>
    </row>
    <row r="11278" spans="1:14">
      <c r="A11278" s="4" t="str">
        <f t="shared" si="997"/>
        <v>EXP00370</v>
      </c>
      <c r="B11278" s="3" t="s">
        <v>66</v>
      </c>
      <c r="C11278" s="4" t="str">
        <f t="shared" si="998"/>
        <v>GSE76714</v>
      </c>
      <c r="D11278" s="1" t="s">
        <v>341</v>
      </c>
      <c r="E11278" t="s">
        <v>472</v>
      </c>
      <c r="F11278" s="1">
        <v>2</v>
      </c>
      <c r="G11278" s="1" t="s">
        <v>474</v>
      </c>
      <c r="H11278" s="4" t="str">
        <f>HYPERLINK("https://www.ncbi.nlm.nih.gov/geo/query/acc.cgi?acc=GSM2036452","GSM2036452")</f>
        <v>GSM2036452</v>
      </c>
      <c r="I11278" t="s">
        <v>17</v>
      </c>
      <c r="J11278" t="s">
        <v>350</v>
      </c>
      <c r="K11278" t="s">
        <v>19</v>
      </c>
      <c r="L11278" t="s">
        <v>20</v>
      </c>
      <c r="M11278" t="s">
        <v>47</v>
      </c>
      <c r="N11278" t="s">
        <v>29</v>
      </c>
    </row>
    <row r="11279" spans="1:14">
      <c r="A11279" s="4" t="str">
        <f t="shared" si="997"/>
        <v>EXP00370</v>
      </c>
      <c r="B11279" s="3" t="s">
        <v>66</v>
      </c>
      <c r="C11279" s="4" t="str">
        <f t="shared" si="998"/>
        <v>GSE76714</v>
      </c>
      <c r="D11279" s="1" t="s">
        <v>341</v>
      </c>
      <c r="E11279" t="s">
        <v>472</v>
      </c>
      <c r="F11279" s="1">
        <v>2</v>
      </c>
      <c r="G11279" s="1" t="s">
        <v>474</v>
      </c>
      <c r="H11279" s="4" t="str">
        <f>HYPERLINK("https://www.ncbi.nlm.nih.gov/geo/query/acc.cgi?acc=GSM2036454","GSM2036454")</f>
        <v>GSM2036454</v>
      </c>
      <c r="I11279" t="s">
        <v>17</v>
      </c>
      <c r="J11279" t="s">
        <v>350</v>
      </c>
      <c r="K11279" t="s">
        <v>19</v>
      </c>
      <c r="L11279" t="s">
        <v>20</v>
      </c>
      <c r="M11279" t="s">
        <v>47</v>
      </c>
      <c r="N11279" t="s">
        <v>29</v>
      </c>
    </row>
    <row r="11280" spans="1:14">
      <c r="A11280" s="4" t="str">
        <f t="shared" si="997"/>
        <v>EXP00370</v>
      </c>
      <c r="B11280" s="3" t="s">
        <v>66</v>
      </c>
      <c r="C11280" s="4" t="str">
        <f t="shared" si="998"/>
        <v>GSE76714</v>
      </c>
      <c r="D11280" s="1" t="s">
        <v>341</v>
      </c>
      <c r="E11280" t="s">
        <v>472</v>
      </c>
      <c r="F11280" s="1">
        <v>2</v>
      </c>
      <c r="G11280" s="1" t="s">
        <v>474</v>
      </c>
      <c r="H11280" s="4" t="str">
        <f>HYPERLINK("https://www.ncbi.nlm.nih.gov/geo/query/acc.cgi?acc=GSM2036455","GSM2036455")</f>
        <v>GSM2036455</v>
      </c>
      <c r="I11280" t="s">
        <v>17</v>
      </c>
      <c r="J11280" t="s">
        <v>350</v>
      </c>
      <c r="K11280" t="s">
        <v>19</v>
      </c>
      <c r="L11280" t="s">
        <v>20</v>
      </c>
      <c r="M11280" t="s">
        <v>47</v>
      </c>
      <c r="N11280" t="s">
        <v>29</v>
      </c>
    </row>
    <row r="11281" spans="1:14">
      <c r="A11281" s="4" t="str">
        <f t="shared" ref="A11281:A11312" si="999">HYPERLINK("http://hcmdb.i-sanger.com/experiment/details/experiment_id/EXP00370","EXP00370")</f>
        <v>EXP00370</v>
      </c>
      <c r="B11281" s="3" t="s">
        <v>66</v>
      </c>
      <c r="C11281" s="4" t="str">
        <f t="shared" ref="C11281:C11312" si="1000">HYPERLINK("https://www.ncbi.nlm.nih.gov/geo/query/acc.cgi?acc=GSE76714","GSE76714")</f>
        <v>GSE76714</v>
      </c>
      <c r="D11281" s="1" t="s">
        <v>341</v>
      </c>
      <c r="E11281" t="s">
        <v>472</v>
      </c>
      <c r="F11281" s="1">
        <v>2</v>
      </c>
      <c r="G11281" s="1" t="s">
        <v>474</v>
      </c>
      <c r="H11281" s="4" t="str">
        <f>HYPERLINK("https://www.ncbi.nlm.nih.gov/geo/query/acc.cgi?acc=GSM2036456","GSM2036456")</f>
        <v>GSM2036456</v>
      </c>
      <c r="I11281" t="s">
        <v>17</v>
      </c>
      <c r="J11281" t="s">
        <v>350</v>
      </c>
      <c r="K11281" t="s">
        <v>19</v>
      </c>
      <c r="L11281" t="s">
        <v>20</v>
      </c>
      <c r="M11281" t="s">
        <v>47</v>
      </c>
      <c r="N11281" t="s">
        <v>29</v>
      </c>
    </row>
    <row r="11282" spans="1:14">
      <c r="A11282" s="4" t="str">
        <f t="shared" si="999"/>
        <v>EXP00370</v>
      </c>
      <c r="B11282" s="3" t="s">
        <v>66</v>
      </c>
      <c r="C11282" s="4" t="str">
        <f t="shared" si="1000"/>
        <v>GSE76714</v>
      </c>
      <c r="D11282" s="1" t="s">
        <v>341</v>
      </c>
      <c r="E11282" t="s">
        <v>472</v>
      </c>
      <c r="F11282" s="1">
        <v>2</v>
      </c>
      <c r="G11282" s="1" t="s">
        <v>474</v>
      </c>
      <c r="H11282" s="4" t="str">
        <f>HYPERLINK("https://www.ncbi.nlm.nih.gov/geo/query/acc.cgi?acc=GSM2036457","GSM2036457")</f>
        <v>GSM2036457</v>
      </c>
      <c r="I11282" t="s">
        <v>17</v>
      </c>
      <c r="J11282" t="s">
        <v>350</v>
      </c>
      <c r="K11282" t="s">
        <v>19</v>
      </c>
      <c r="L11282" t="s">
        <v>20</v>
      </c>
      <c r="M11282" t="s">
        <v>47</v>
      </c>
      <c r="N11282" t="s">
        <v>29</v>
      </c>
    </row>
    <row r="11283" spans="1:14">
      <c r="A11283" s="4" t="str">
        <f t="shared" si="999"/>
        <v>EXP00370</v>
      </c>
      <c r="B11283" s="3" t="s">
        <v>66</v>
      </c>
      <c r="C11283" s="4" t="str">
        <f t="shared" si="1000"/>
        <v>GSE76714</v>
      </c>
      <c r="D11283" s="1" t="s">
        <v>341</v>
      </c>
      <c r="E11283" t="s">
        <v>472</v>
      </c>
      <c r="F11283" s="1">
        <v>2</v>
      </c>
      <c r="G11283" s="1" t="s">
        <v>474</v>
      </c>
      <c r="H11283" s="4" t="str">
        <f>HYPERLINK("https://www.ncbi.nlm.nih.gov/geo/query/acc.cgi?acc=GSM2036458","GSM2036458")</f>
        <v>GSM2036458</v>
      </c>
      <c r="I11283" t="s">
        <v>17</v>
      </c>
      <c r="J11283" t="s">
        <v>350</v>
      </c>
      <c r="K11283" t="s">
        <v>19</v>
      </c>
      <c r="L11283" t="s">
        <v>20</v>
      </c>
      <c r="M11283" t="s">
        <v>47</v>
      </c>
      <c r="N11283" t="s">
        <v>29</v>
      </c>
    </row>
    <row r="11284" spans="1:14">
      <c r="A11284" s="4" t="str">
        <f t="shared" si="999"/>
        <v>EXP00370</v>
      </c>
      <c r="B11284" s="3" t="s">
        <v>66</v>
      </c>
      <c r="C11284" s="4" t="str">
        <f t="shared" si="1000"/>
        <v>GSE76714</v>
      </c>
      <c r="D11284" s="1" t="s">
        <v>341</v>
      </c>
      <c r="E11284" t="s">
        <v>472</v>
      </c>
      <c r="F11284" s="1">
        <v>2</v>
      </c>
      <c r="G11284" s="1" t="s">
        <v>474</v>
      </c>
      <c r="H11284" s="4" t="str">
        <f>HYPERLINK("https://www.ncbi.nlm.nih.gov/geo/query/acc.cgi?acc=GSM2036459","GSM2036459")</f>
        <v>GSM2036459</v>
      </c>
      <c r="I11284" t="s">
        <v>17</v>
      </c>
      <c r="J11284" t="s">
        <v>350</v>
      </c>
      <c r="K11284" t="s">
        <v>19</v>
      </c>
      <c r="L11284" t="s">
        <v>20</v>
      </c>
      <c r="M11284" t="s">
        <v>47</v>
      </c>
      <c r="N11284" t="s">
        <v>29</v>
      </c>
    </row>
    <row r="11285" spans="1:14">
      <c r="A11285" s="4" t="str">
        <f t="shared" si="999"/>
        <v>EXP00370</v>
      </c>
      <c r="B11285" s="3" t="s">
        <v>66</v>
      </c>
      <c r="C11285" s="4" t="str">
        <f t="shared" si="1000"/>
        <v>GSE76714</v>
      </c>
      <c r="D11285" s="1" t="s">
        <v>341</v>
      </c>
      <c r="E11285" t="s">
        <v>472</v>
      </c>
      <c r="F11285" s="1">
        <v>2</v>
      </c>
      <c r="G11285" s="1" t="s">
        <v>474</v>
      </c>
      <c r="H11285" s="4" t="str">
        <f>HYPERLINK("https://www.ncbi.nlm.nih.gov/geo/query/acc.cgi?acc=GSM2036462","GSM2036462")</f>
        <v>GSM2036462</v>
      </c>
      <c r="I11285" t="s">
        <v>17</v>
      </c>
      <c r="J11285" t="s">
        <v>350</v>
      </c>
      <c r="K11285" t="s">
        <v>19</v>
      </c>
      <c r="L11285" t="s">
        <v>20</v>
      </c>
      <c r="M11285" t="s">
        <v>47</v>
      </c>
      <c r="N11285" t="s">
        <v>29</v>
      </c>
    </row>
    <row r="11286" spans="1:14">
      <c r="A11286" s="4" t="str">
        <f t="shared" si="999"/>
        <v>EXP00370</v>
      </c>
      <c r="B11286" s="3" t="s">
        <v>66</v>
      </c>
      <c r="C11286" s="4" t="str">
        <f t="shared" si="1000"/>
        <v>GSE76714</v>
      </c>
      <c r="D11286" s="1" t="s">
        <v>341</v>
      </c>
      <c r="E11286" t="s">
        <v>472</v>
      </c>
      <c r="F11286" s="1">
        <v>2</v>
      </c>
      <c r="G11286" s="1" t="s">
        <v>474</v>
      </c>
      <c r="H11286" s="4" t="str">
        <f>HYPERLINK("https://www.ncbi.nlm.nih.gov/geo/query/acc.cgi?acc=GSM2036464","GSM2036464")</f>
        <v>GSM2036464</v>
      </c>
      <c r="I11286" t="s">
        <v>17</v>
      </c>
      <c r="J11286" t="s">
        <v>350</v>
      </c>
      <c r="K11286" t="s">
        <v>19</v>
      </c>
      <c r="L11286" t="s">
        <v>20</v>
      </c>
      <c r="M11286" t="s">
        <v>47</v>
      </c>
      <c r="N11286" t="s">
        <v>29</v>
      </c>
    </row>
    <row r="11287" spans="1:14">
      <c r="A11287" s="4" t="str">
        <f t="shared" si="999"/>
        <v>EXP00370</v>
      </c>
      <c r="B11287" s="3" t="s">
        <v>66</v>
      </c>
      <c r="C11287" s="4" t="str">
        <f t="shared" si="1000"/>
        <v>GSE76714</v>
      </c>
      <c r="D11287" s="1" t="s">
        <v>341</v>
      </c>
      <c r="E11287" t="s">
        <v>472</v>
      </c>
      <c r="F11287" s="1">
        <v>2</v>
      </c>
      <c r="G11287" s="1" t="s">
        <v>474</v>
      </c>
      <c r="H11287" s="4" t="str">
        <f>HYPERLINK("https://www.ncbi.nlm.nih.gov/geo/query/acc.cgi?acc=GSM2036466","GSM2036466")</f>
        <v>GSM2036466</v>
      </c>
      <c r="I11287" t="s">
        <v>17</v>
      </c>
      <c r="J11287" t="s">
        <v>350</v>
      </c>
      <c r="K11287" t="s">
        <v>19</v>
      </c>
      <c r="L11287" t="s">
        <v>20</v>
      </c>
      <c r="M11287" t="s">
        <v>47</v>
      </c>
      <c r="N11287" t="s">
        <v>29</v>
      </c>
    </row>
    <row r="11288" spans="1:14">
      <c r="A11288" s="4" t="str">
        <f t="shared" si="999"/>
        <v>EXP00370</v>
      </c>
      <c r="B11288" s="3" t="s">
        <v>66</v>
      </c>
      <c r="C11288" s="4" t="str">
        <f t="shared" si="1000"/>
        <v>GSE76714</v>
      </c>
      <c r="D11288" s="1" t="s">
        <v>341</v>
      </c>
      <c r="E11288" t="s">
        <v>472</v>
      </c>
      <c r="F11288" s="1">
        <v>2</v>
      </c>
      <c r="G11288" s="1" t="s">
        <v>474</v>
      </c>
      <c r="H11288" s="4" t="str">
        <f>HYPERLINK("https://www.ncbi.nlm.nih.gov/geo/query/acc.cgi?acc=GSM2036469","GSM2036469")</f>
        <v>GSM2036469</v>
      </c>
      <c r="I11288" t="s">
        <v>17</v>
      </c>
      <c r="J11288" t="s">
        <v>350</v>
      </c>
      <c r="K11288" t="s">
        <v>19</v>
      </c>
      <c r="L11288" t="s">
        <v>20</v>
      </c>
      <c r="M11288" t="s">
        <v>47</v>
      </c>
      <c r="N11288" t="s">
        <v>29</v>
      </c>
    </row>
    <row r="11289" spans="1:14">
      <c r="A11289" s="4" t="str">
        <f t="shared" si="999"/>
        <v>EXP00370</v>
      </c>
      <c r="B11289" s="3" t="s">
        <v>66</v>
      </c>
      <c r="C11289" s="4" t="str">
        <f t="shared" si="1000"/>
        <v>GSE76714</v>
      </c>
      <c r="D11289" s="1" t="s">
        <v>341</v>
      </c>
      <c r="E11289" t="s">
        <v>472</v>
      </c>
      <c r="F11289" s="1">
        <v>2</v>
      </c>
      <c r="G11289" s="1" t="s">
        <v>474</v>
      </c>
      <c r="H11289" s="4" t="str">
        <f>HYPERLINK("https://www.ncbi.nlm.nih.gov/geo/query/acc.cgi?acc=GSM2036470","GSM2036470")</f>
        <v>GSM2036470</v>
      </c>
      <c r="I11289" t="s">
        <v>17</v>
      </c>
      <c r="J11289" t="s">
        <v>350</v>
      </c>
      <c r="K11289" t="s">
        <v>19</v>
      </c>
      <c r="L11289" t="s">
        <v>20</v>
      </c>
      <c r="M11289" t="s">
        <v>47</v>
      </c>
      <c r="N11289" t="s">
        <v>29</v>
      </c>
    </row>
    <row r="11290" spans="1:14">
      <c r="A11290" s="4" t="str">
        <f t="shared" si="999"/>
        <v>EXP00370</v>
      </c>
      <c r="B11290" s="3" t="s">
        <v>66</v>
      </c>
      <c r="C11290" s="4" t="str">
        <f t="shared" si="1000"/>
        <v>GSE76714</v>
      </c>
      <c r="D11290" s="1" t="s">
        <v>341</v>
      </c>
      <c r="E11290" t="s">
        <v>472</v>
      </c>
      <c r="F11290" s="1">
        <v>2</v>
      </c>
      <c r="G11290" s="1" t="s">
        <v>474</v>
      </c>
      <c r="H11290" s="4" t="str">
        <f>HYPERLINK("https://www.ncbi.nlm.nih.gov/geo/query/acc.cgi?acc=GSM2036472","GSM2036472")</f>
        <v>GSM2036472</v>
      </c>
      <c r="I11290" t="s">
        <v>17</v>
      </c>
      <c r="J11290" t="s">
        <v>350</v>
      </c>
      <c r="K11290" t="s">
        <v>19</v>
      </c>
      <c r="L11290" t="s">
        <v>20</v>
      </c>
      <c r="M11290" t="s">
        <v>47</v>
      </c>
      <c r="N11290" t="s">
        <v>29</v>
      </c>
    </row>
    <row r="11291" spans="1:14">
      <c r="A11291" s="4" t="str">
        <f t="shared" si="999"/>
        <v>EXP00370</v>
      </c>
      <c r="B11291" s="3" t="s">
        <v>66</v>
      </c>
      <c r="C11291" s="4" t="str">
        <f t="shared" si="1000"/>
        <v>GSE76714</v>
      </c>
      <c r="D11291" s="1" t="s">
        <v>341</v>
      </c>
      <c r="E11291" t="s">
        <v>472</v>
      </c>
      <c r="F11291" s="1">
        <v>2</v>
      </c>
      <c r="G11291" s="1" t="s">
        <v>474</v>
      </c>
      <c r="H11291" s="4" t="str">
        <f>HYPERLINK("https://www.ncbi.nlm.nih.gov/geo/query/acc.cgi?acc=GSM2036475","GSM2036475")</f>
        <v>GSM2036475</v>
      </c>
      <c r="I11291" t="s">
        <v>17</v>
      </c>
      <c r="J11291" t="s">
        <v>350</v>
      </c>
      <c r="K11291" t="s">
        <v>19</v>
      </c>
      <c r="L11291" t="s">
        <v>20</v>
      </c>
      <c r="M11291" t="s">
        <v>47</v>
      </c>
      <c r="N11291" t="s">
        <v>29</v>
      </c>
    </row>
    <row r="11292" spans="1:14">
      <c r="A11292" s="4" t="str">
        <f t="shared" si="999"/>
        <v>EXP00370</v>
      </c>
      <c r="B11292" s="3" t="s">
        <v>66</v>
      </c>
      <c r="C11292" s="4" t="str">
        <f t="shared" si="1000"/>
        <v>GSE76714</v>
      </c>
      <c r="D11292" s="1" t="s">
        <v>341</v>
      </c>
      <c r="E11292" t="s">
        <v>472</v>
      </c>
      <c r="F11292" s="1">
        <v>2</v>
      </c>
      <c r="G11292" s="1" t="s">
        <v>474</v>
      </c>
      <c r="H11292" s="4" t="str">
        <f>HYPERLINK("https://www.ncbi.nlm.nih.gov/geo/query/acc.cgi?acc=GSM2036476","GSM2036476")</f>
        <v>GSM2036476</v>
      </c>
      <c r="I11292" t="s">
        <v>17</v>
      </c>
      <c r="J11292" t="s">
        <v>350</v>
      </c>
      <c r="K11292" t="s">
        <v>19</v>
      </c>
      <c r="L11292" t="s">
        <v>20</v>
      </c>
      <c r="M11292" t="s">
        <v>47</v>
      </c>
      <c r="N11292" t="s">
        <v>29</v>
      </c>
    </row>
    <row r="11293" spans="1:14">
      <c r="A11293" s="4" t="str">
        <f t="shared" si="999"/>
        <v>EXP00370</v>
      </c>
      <c r="B11293" s="3" t="s">
        <v>66</v>
      </c>
      <c r="C11293" s="4" t="str">
        <f t="shared" si="1000"/>
        <v>GSE76714</v>
      </c>
      <c r="D11293" s="1" t="s">
        <v>341</v>
      </c>
      <c r="E11293" t="s">
        <v>472</v>
      </c>
      <c r="F11293" s="1">
        <v>2</v>
      </c>
      <c r="G11293" s="1" t="s">
        <v>474</v>
      </c>
      <c r="H11293" s="4" t="str">
        <f>HYPERLINK("https://www.ncbi.nlm.nih.gov/geo/query/acc.cgi?acc=GSM2036477","GSM2036477")</f>
        <v>GSM2036477</v>
      </c>
      <c r="I11293" t="s">
        <v>17</v>
      </c>
      <c r="J11293" t="s">
        <v>350</v>
      </c>
      <c r="K11293" t="s">
        <v>19</v>
      </c>
      <c r="L11293" t="s">
        <v>20</v>
      </c>
      <c r="M11293" t="s">
        <v>47</v>
      </c>
      <c r="N11293" t="s">
        <v>29</v>
      </c>
    </row>
    <row r="11294" spans="1:14">
      <c r="A11294" s="4" t="str">
        <f t="shared" si="999"/>
        <v>EXP00370</v>
      </c>
      <c r="B11294" s="3" t="s">
        <v>66</v>
      </c>
      <c r="C11294" s="4" t="str">
        <f t="shared" si="1000"/>
        <v>GSE76714</v>
      </c>
      <c r="D11294" s="1" t="s">
        <v>341</v>
      </c>
      <c r="E11294" t="s">
        <v>472</v>
      </c>
      <c r="F11294" s="1">
        <v>2</v>
      </c>
      <c r="G11294" s="1" t="s">
        <v>474</v>
      </c>
      <c r="H11294" s="4" t="str">
        <f>HYPERLINK("https://www.ncbi.nlm.nih.gov/geo/query/acc.cgi?acc=GSM2036478","GSM2036478")</f>
        <v>GSM2036478</v>
      </c>
      <c r="I11294" t="s">
        <v>17</v>
      </c>
      <c r="J11294" t="s">
        <v>350</v>
      </c>
      <c r="K11294" t="s">
        <v>19</v>
      </c>
      <c r="L11294" t="s">
        <v>20</v>
      </c>
      <c r="M11294" t="s">
        <v>47</v>
      </c>
      <c r="N11294" t="s">
        <v>29</v>
      </c>
    </row>
    <row r="11295" spans="1:14">
      <c r="A11295" s="4" t="str">
        <f t="shared" si="999"/>
        <v>EXP00370</v>
      </c>
      <c r="B11295" s="3" t="s">
        <v>66</v>
      </c>
      <c r="C11295" s="4" t="str">
        <f t="shared" si="1000"/>
        <v>GSE76714</v>
      </c>
      <c r="D11295" s="1" t="s">
        <v>341</v>
      </c>
      <c r="E11295" t="s">
        <v>472</v>
      </c>
      <c r="F11295" s="1">
        <v>2</v>
      </c>
      <c r="G11295" s="1" t="s">
        <v>474</v>
      </c>
      <c r="H11295" s="4" t="str">
        <f>HYPERLINK("https://www.ncbi.nlm.nih.gov/geo/query/acc.cgi?acc=GSM2036479","GSM2036479")</f>
        <v>GSM2036479</v>
      </c>
      <c r="I11295" t="s">
        <v>17</v>
      </c>
      <c r="J11295" t="s">
        <v>350</v>
      </c>
      <c r="K11295" t="s">
        <v>19</v>
      </c>
      <c r="L11295" t="s">
        <v>20</v>
      </c>
      <c r="M11295" t="s">
        <v>47</v>
      </c>
      <c r="N11295" t="s">
        <v>29</v>
      </c>
    </row>
    <row r="11296" spans="1:14">
      <c r="A11296" s="4" t="str">
        <f t="shared" si="999"/>
        <v>EXP00370</v>
      </c>
      <c r="B11296" s="3" t="s">
        <v>66</v>
      </c>
      <c r="C11296" s="4" t="str">
        <f t="shared" si="1000"/>
        <v>GSE76714</v>
      </c>
      <c r="D11296" s="1" t="s">
        <v>341</v>
      </c>
      <c r="E11296" t="s">
        <v>472</v>
      </c>
      <c r="F11296" s="1">
        <v>2</v>
      </c>
      <c r="G11296" s="1" t="s">
        <v>474</v>
      </c>
      <c r="H11296" s="4" t="str">
        <f>HYPERLINK("https://www.ncbi.nlm.nih.gov/geo/query/acc.cgi?acc=GSM2036480","GSM2036480")</f>
        <v>GSM2036480</v>
      </c>
      <c r="I11296" t="s">
        <v>17</v>
      </c>
      <c r="J11296" t="s">
        <v>350</v>
      </c>
      <c r="K11296" t="s">
        <v>19</v>
      </c>
      <c r="L11296" t="s">
        <v>20</v>
      </c>
      <c r="M11296" t="s">
        <v>47</v>
      </c>
      <c r="N11296" t="s">
        <v>29</v>
      </c>
    </row>
    <row r="11297" spans="1:14">
      <c r="A11297" s="4" t="str">
        <f t="shared" si="999"/>
        <v>EXP00370</v>
      </c>
      <c r="B11297" s="3" t="s">
        <v>66</v>
      </c>
      <c r="C11297" s="4" t="str">
        <f t="shared" si="1000"/>
        <v>GSE76714</v>
      </c>
      <c r="D11297" s="1" t="s">
        <v>341</v>
      </c>
      <c r="E11297" t="s">
        <v>472</v>
      </c>
      <c r="F11297" s="1">
        <v>2</v>
      </c>
      <c r="G11297" s="1" t="s">
        <v>474</v>
      </c>
      <c r="H11297" s="4" t="str">
        <f>HYPERLINK("https://www.ncbi.nlm.nih.gov/geo/query/acc.cgi?acc=GSM2036481","GSM2036481")</f>
        <v>GSM2036481</v>
      </c>
      <c r="I11297" t="s">
        <v>17</v>
      </c>
      <c r="J11297" t="s">
        <v>350</v>
      </c>
      <c r="K11297" t="s">
        <v>19</v>
      </c>
      <c r="L11297" t="s">
        <v>20</v>
      </c>
      <c r="M11297" t="s">
        <v>47</v>
      </c>
      <c r="N11297" t="s">
        <v>29</v>
      </c>
    </row>
    <row r="11298" spans="1:14">
      <c r="A11298" s="4" t="str">
        <f t="shared" si="999"/>
        <v>EXP00370</v>
      </c>
      <c r="B11298" s="3" t="s">
        <v>66</v>
      </c>
      <c r="C11298" s="4" t="str">
        <f t="shared" si="1000"/>
        <v>GSE76714</v>
      </c>
      <c r="D11298" s="1" t="s">
        <v>341</v>
      </c>
      <c r="E11298" t="s">
        <v>472</v>
      </c>
      <c r="F11298" s="1">
        <v>2</v>
      </c>
      <c r="G11298" s="1" t="s">
        <v>474</v>
      </c>
      <c r="H11298" s="4" t="str">
        <f>HYPERLINK("https://www.ncbi.nlm.nih.gov/geo/query/acc.cgi?acc=GSM2036485","GSM2036485")</f>
        <v>GSM2036485</v>
      </c>
      <c r="I11298" t="s">
        <v>17</v>
      </c>
      <c r="J11298" t="s">
        <v>350</v>
      </c>
      <c r="K11298" t="s">
        <v>19</v>
      </c>
      <c r="L11298" t="s">
        <v>20</v>
      </c>
      <c r="M11298" t="s">
        <v>47</v>
      </c>
      <c r="N11298" t="s">
        <v>29</v>
      </c>
    </row>
    <row r="11299" spans="1:14">
      <c r="A11299" s="4" t="str">
        <f t="shared" si="999"/>
        <v>EXP00370</v>
      </c>
      <c r="B11299" s="3" t="s">
        <v>66</v>
      </c>
      <c r="C11299" s="4" t="str">
        <f t="shared" si="1000"/>
        <v>GSE76714</v>
      </c>
      <c r="D11299" s="1" t="s">
        <v>341</v>
      </c>
      <c r="E11299" t="s">
        <v>472</v>
      </c>
      <c r="F11299" s="1">
        <v>2</v>
      </c>
      <c r="G11299" s="1" t="s">
        <v>474</v>
      </c>
      <c r="H11299" s="4" t="str">
        <f>HYPERLINK("https://www.ncbi.nlm.nih.gov/geo/query/acc.cgi?acc=GSM2036487","GSM2036487")</f>
        <v>GSM2036487</v>
      </c>
      <c r="I11299" t="s">
        <v>17</v>
      </c>
      <c r="J11299" t="s">
        <v>350</v>
      </c>
      <c r="K11299" t="s">
        <v>19</v>
      </c>
      <c r="L11299" t="s">
        <v>20</v>
      </c>
      <c r="M11299" t="s">
        <v>47</v>
      </c>
      <c r="N11299" t="s">
        <v>29</v>
      </c>
    </row>
    <row r="11300" spans="1:14">
      <c r="A11300" s="4" t="str">
        <f t="shared" si="999"/>
        <v>EXP00370</v>
      </c>
      <c r="B11300" s="3" t="s">
        <v>66</v>
      </c>
      <c r="C11300" s="4" t="str">
        <f t="shared" si="1000"/>
        <v>GSE76714</v>
      </c>
      <c r="D11300" s="1" t="s">
        <v>341</v>
      </c>
      <c r="E11300" t="s">
        <v>472</v>
      </c>
      <c r="F11300" s="1">
        <v>2</v>
      </c>
      <c r="G11300" s="1" t="s">
        <v>474</v>
      </c>
      <c r="H11300" s="4" t="str">
        <f>HYPERLINK("https://www.ncbi.nlm.nih.gov/geo/query/acc.cgi?acc=GSM2036488","GSM2036488")</f>
        <v>GSM2036488</v>
      </c>
      <c r="I11300" t="s">
        <v>17</v>
      </c>
      <c r="J11300" t="s">
        <v>350</v>
      </c>
      <c r="K11300" t="s">
        <v>19</v>
      </c>
      <c r="L11300" t="s">
        <v>20</v>
      </c>
      <c r="M11300" t="s">
        <v>47</v>
      </c>
      <c r="N11300" t="s">
        <v>29</v>
      </c>
    </row>
    <row r="11301" spans="1:14">
      <c r="A11301" s="4" t="str">
        <f t="shared" si="999"/>
        <v>EXP00370</v>
      </c>
      <c r="B11301" s="3" t="s">
        <v>66</v>
      </c>
      <c r="C11301" s="4" t="str">
        <f t="shared" si="1000"/>
        <v>GSE76714</v>
      </c>
      <c r="D11301" s="1" t="s">
        <v>341</v>
      </c>
      <c r="E11301" t="s">
        <v>472</v>
      </c>
      <c r="F11301" s="1">
        <v>2</v>
      </c>
      <c r="G11301" s="1" t="s">
        <v>474</v>
      </c>
      <c r="H11301" s="4" t="str">
        <f>HYPERLINK("https://www.ncbi.nlm.nih.gov/geo/query/acc.cgi?acc=GSM2036489","GSM2036489")</f>
        <v>GSM2036489</v>
      </c>
      <c r="I11301" t="s">
        <v>17</v>
      </c>
      <c r="J11301" t="s">
        <v>350</v>
      </c>
      <c r="K11301" t="s">
        <v>19</v>
      </c>
      <c r="L11301" t="s">
        <v>20</v>
      </c>
      <c r="M11301" t="s">
        <v>47</v>
      </c>
      <c r="N11301" t="s">
        <v>29</v>
      </c>
    </row>
    <row r="11302" spans="1:14">
      <c r="A11302" s="4" t="str">
        <f t="shared" si="999"/>
        <v>EXP00370</v>
      </c>
      <c r="B11302" s="3" t="s">
        <v>66</v>
      </c>
      <c r="C11302" s="4" t="str">
        <f t="shared" si="1000"/>
        <v>GSE76714</v>
      </c>
      <c r="D11302" s="1" t="s">
        <v>341</v>
      </c>
      <c r="E11302" t="s">
        <v>472</v>
      </c>
      <c r="F11302" s="1">
        <v>2</v>
      </c>
      <c r="G11302" s="1" t="s">
        <v>474</v>
      </c>
      <c r="H11302" s="4" t="str">
        <f>HYPERLINK("https://www.ncbi.nlm.nih.gov/geo/query/acc.cgi?acc=GSM2036490","GSM2036490")</f>
        <v>GSM2036490</v>
      </c>
      <c r="I11302" t="s">
        <v>17</v>
      </c>
      <c r="J11302" t="s">
        <v>350</v>
      </c>
      <c r="K11302" t="s">
        <v>19</v>
      </c>
      <c r="L11302" t="s">
        <v>20</v>
      </c>
      <c r="M11302" t="s">
        <v>47</v>
      </c>
      <c r="N11302" t="s">
        <v>29</v>
      </c>
    </row>
    <row r="11303" spans="1:14">
      <c r="A11303" s="4" t="str">
        <f t="shared" si="999"/>
        <v>EXP00370</v>
      </c>
      <c r="B11303" s="3" t="s">
        <v>66</v>
      </c>
      <c r="C11303" s="4" t="str">
        <f t="shared" si="1000"/>
        <v>GSE76714</v>
      </c>
      <c r="D11303" s="1" t="s">
        <v>341</v>
      </c>
      <c r="E11303" t="s">
        <v>472</v>
      </c>
      <c r="F11303" s="1">
        <v>2</v>
      </c>
      <c r="G11303" s="1" t="s">
        <v>474</v>
      </c>
      <c r="H11303" s="4" t="str">
        <f>HYPERLINK("https://www.ncbi.nlm.nih.gov/geo/query/acc.cgi?acc=GSM2036492","GSM2036492")</f>
        <v>GSM2036492</v>
      </c>
      <c r="I11303" t="s">
        <v>17</v>
      </c>
      <c r="J11303" t="s">
        <v>350</v>
      </c>
      <c r="K11303" t="s">
        <v>19</v>
      </c>
      <c r="L11303" t="s">
        <v>20</v>
      </c>
      <c r="M11303" t="s">
        <v>47</v>
      </c>
      <c r="N11303" t="s">
        <v>29</v>
      </c>
    </row>
    <row r="11304" spans="1:14">
      <c r="A11304" s="4" t="str">
        <f t="shared" si="999"/>
        <v>EXP00370</v>
      </c>
      <c r="B11304" s="3" t="s">
        <v>66</v>
      </c>
      <c r="C11304" s="4" t="str">
        <f t="shared" si="1000"/>
        <v>GSE76714</v>
      </c>
      <c r="D11304" s="1" t="s">
        <v>341</v>
      </c>
      <c r="E11304" t="s">
        <v>472</v>
      </c>
      <c r="F11304" s="1">
        <v>2</v>
      </c>
      <c r="G11304" s="1" t="s">
        <v>474</v>
      </c>
      <c r="H11304" s="4" t="str">
        <f>HYPERLINK("https://www.ncbi.nlm.nih.gov/geo/query/acc.cgi?acc=GSM2036493","GSM2036493")</f>
        <v>GSM2036493</v>
      </c>
      <c r="I11304" t="s">
        <v>17</v>
      </c>
      <c r="J11304" t="s">
        <v>350</v>
      </c>
      <c r="K11304" t="s">
        <v>19</v>
      </c>
      <c r="L11304" t="s">
        <v>20</v>
      </c>
      <c r="M11304" t="s">
        <v>47</v>
      </c>
      <c r="N11304" t="s">
        <v>29</v>
      </c>
    </row>
    <row r="11305" spans="1:14">
      <c r="A11305" s="4" t="str">
        <f t="shared" si="999"/>
        <v>EXP00370</v>
      </c>
      <c r="B11305" s="3" t="s">
        <v>66</v>
      </c>
      <c r="C11305" s="4" t="str">
        <f t="shared" si="1000"/>
        <v>GSE76714</v>
      </c>
      <c r="D11305" s="1" t="s">
        <v>341</v>
      </c>
      <c r="E11305" t="s">
        <v>472</v>
      </c>
      <c r="F11305" s="1">
        <v>2</v>
      </c>
      <c r="G11305" s="1" t="s">
        <v>474</v>
      </c>
      <c r="H11305" s="4" t="str">
        <f>HYPERLINK("https://www.ncbi.nlm.nih.gov/geo/query/acc.cgi?acc=GSM2036495","GSM2036495")</f>
        <v>GSM2036495</v>
      </c>
      <c r="I11305" t="s">
        <v>17</v>
      </c>
      <c r="J11305" t="s">
        <v>350</v>
      </c>
      <c r="K11305" t="s">
        <v>19</v>
      </c>
      <c r="L11305" t="s">
        <v>20</v>
      </c>
      <c r="M11305" t="s">
        <v>47</v>
      </c>
      <c r="N11305" t="s">
        <v>29</v>
      </c>
    </row>
    <row r="11306" spans="1:14">
      <c r="A11306" s="4" t="str">
        <f t="shared" si="999"/>
        <v>EXP00370</v>
      </c>
      <c r="B11306" s="3" t="s">
        <v>66</v>
      </c>
      <c r="C11306" s="4" t="str">
        <f t="shared" si="1000"/>
        <v>GSE76714</v>
      </c>
      <c r="D11306" s="1" t="s">
        <v>341</v>
      </c>
      <c r="E11306" t="s">
        <v>472</v>
      </c>
      <c r="F11306" s="1">
        <v>2</v>
      </c>
      <c r="G11306" s="1" t="s">
        <v>474</v>
      </c>
      <c r="H11306" s="4" t="str">
        <f>HYPERLINK("https://www.ncbi.nlm.nih.gov/geo/query/acc.cgi?acc=GSM2036496","GSM2036496")</f>
        <v>GSM2036496</v>
      </c>
      <c r="I11306" t="s">
        <v>17</v>
      </c>
      <c r="J11306" t="s">
        <v>350</v>
      </c>
      <c r="K11306" t="s">
        <v>19</v>
      </c>
      <c r="L11306" t="s">
        <v>20</v>
      </c>
      <c r="M11306" t="s">
        <v>47</v>
      </c>
      <c r="N11306" t="s">
        <v>29</v>
      </c>
    </row>
    <row r="11307" spans="1:14">
      <c r="A11307" s="4" t="str">
        <f t="shared" si="999"/>
        <v>EXP00370</v>
      </c>
      <c r="B11307" s="3" t="s">
        <v>66</v>
      </c>
      <c r="C11307" s="4" t="str">
        <f t="shared" si="1000"/>
        <v>GSE76714</v>
      </c>
      <c r="D11307" s="1" t="s">
        <v>341</v>
      </c>
      <c r="E11307" t="s">
        <v>472</v>
      </c>
      <c r="F11307" s="1">
        <v>2</v>
      </c>
      <c r="G11307" s="1" t="s">
        <v>474</v>
      </c>
      <c r="H11307" s="4" t="str">
        <f>HYPERLINK("https://www.ncbi.nlm.nih.gov/geo/query/acc.cgi?acc=GSM2036497","GSM2036497")</f>
        <v>GSM2036497</v>
      </c>
      <c r="I11307" t="s">
        <v>17</v>
      </c>
      <c r="J11307" t="s">
        <v>350</v>
      </c>
      <c r="K11307" t="s">
        <v>19</v>
      </c>
      <c r="L11307" t="s">
        <v>20</v>
      </c>
      <c r="M11307" t="s">
        <v>47</v>
      </c>
      <c r="N11307" t="s">
        <v>29</v>
      </c>
    </row>
    <row r="11308" spans="1:14">
      <c r="A11308" s="4" t="str">
        <f t="shared" si="999"/>
        <v>EXP00370</v>
      </c>
      <c r="B11308" s="3" t="s">
        <v>66</v>
      </c>
      <c r="C11308" s="4" t="str">
        <f t="shared" si="1000"/>
        <v>GSE76714</v>
      </c>
      <c r="D11308" s="1" t="s">
        <v>341</v>
      </c>
      <c r="E11308" t="s">
        <v>472</v>
      </c>
      <c r="F11308" s="1">
        <v>2</v>
      </c>
      <c r="G11308" s="1" t="s">
        <v>474</v>
      </c>
      <c r="H11308" s="4" t="str">
        <f>HYPERLINK("https://www.ncbi.nlm.nih.gov/geo/query/acc.cgi?acc=GSM2036499","GSM2036499")</f>
        <v>GSM2036499</v>
      </c>
      <c r="I11308" t="s">
        <v>17</v>
      </c>
      <c r="J11308" t="s">
        <v>350</v>
      </c>
      <c r="K11308" t="s">
        <v>19</v>
      </c>
      <c r="L11308" t="s">
        <v>20</v>
      </c>
      <c r="M11308" t="s">
        <v>47</v>
      </c>
      <c r="N11308" t="s">
        <v>29</v>
      </c>
    </row>
    <row r="11309" spans="1:14">
      <c r="A11309" s="4" t="str">
        <f t="shared" si="999"/>
        <v>EXP00370</v>
      </c>
      <c r="B11309" s="3" t="s">
        <v>66</v>
      </c>
      <c r="C11309" s="4" t="str">
        <f t="shared" si="1000"/>
        <v>GSE76714</v>
      </c>
      <c r="D11309" s="1" t="s">
        <v>341</v>
      </c>
      <c r="E11309" t="s">
        <v>472</v>
      </c>
      <c r="F11309" s="1">
        <v>2</v>
      </c>
      <c r="G11309" s="1" t="s">
        <v>474</v>
      </c>
      <c r="H11309" s="4" t="str">
        <f>HYPERLINK("https://www.ncbi.nlm.nih.gov/geo/query/acc.cgi?acc=GSM2036500","GSM2036500")</f>
        <v>GSM2036500</v>
      </c>
      <c r="I11309" t="s">
        <v>17</v>
      </c>
      <c r="J11309" t="s">
        <v>350</v>
      </c>
      <c r="K11309" t="s">
        <v>19</v>
      </c>
      <c r="L11309" t="s">
        <v>20</v>
      </c>
      <c r="M11309" t="s">
        <v>47</v>
      </c>
      <c r="N11309" t="s">
        <v>29</v>
      </c>
    </row>
    <row r="11310" spans="1:14">
      <c r="A11310" s="4" t="str">
        <f t="shared" si="999"/>
        <v>EXP00370</v>
      </c>
      <c r="B11310" s="3" t="s">
        <v>66</v>
      </c>
      <c r="C11310" s="4" t="str">
        <f t="shared" si="1000"/>
        <v>GSE76714</v>
      </c>
      <c r="D11310" s="1" t="s">
        <v>341</v>
      </c>
      <c r="E11310" t="s">
        <v>472</v>
      </c>
      <c r="F11310" s="1">
        <v>2</v>
      </c>
      <c r="G11310" s="1" t="s">
        <v>474</v>
      </c>
      <c r="H11310" s="4" t="str">
        <f>HYPERLINK("https://www.ncbi.nlm.nih.gov/geo/query/acc.cgi?acc=GSM2036501","GSM2036501")</f>
        <v>GSM2036501</v>
      </c>
      <c r="I11310" t="s">
        <v>17</v>
      </c>
      <c r="J11310" t="s">
        <v>350</v>
      </c>
      <c r="K11310" t="s">
        <v>19</v>
      </c>
      <c r="L11310" t="s">
        <v>20</v>
      </c>
      <c r="M11310" t="s">
        <v>47</v>
      </c>
      <c r="N11310" t="s">
        <v>29</v>
      </c>
    </row>
    <row r="11311" spans="1:14">
      <c r="A11311" s="4" t="str">
        <f t="shared" si="999"/>
        <v>EXP00370</v>
      </c>
      <c r="B11311" s="3" t="s">
        <v>66</v>
      </c>
      <c r="C11311" s="4" t="str">
        <f t="shared" si="1000"/>
        <v>GSE76714</v>
      </c>
      <c r="D11311" s="1" t="s">
        <v>341</v>
      </c>
      <c r="E11311" t="s">
        <v>472</v>
      </c>
      <c r="F11311" s="1">
        <v>2</v>
      </c>
      <c r="G11311" s="1" t="s">
        <v>474</v>
      </c>
      <c r="H11311" s="4" t="str">
        <f>HYPERLINK("https://www.ncbi.nlm.nih.gov/geo/query/acc.cgi?acc=GSM2036502","GSM2036502")</f>
        <v>GSM2036502</v>
      </c>
      <c r="I11311" t="s">
        <v>17</v>
      </c>
      <c r="J11311" t="s">
        <v>350</v>
      </c>
      <c r="K11311" t="s">
        <v>19</v>
      </c>
      <c r="L11311" t="s">
        <v>20</v>
      </c>
      <c r="M11311" t="s">
        <v>47</v>
      </c>
      <c r="N11311" t="s">
        <v>29</v>
      </c>
    </row>
    <row r="11312" spans="1:14">
      <c r="A11312" s="4" t="str">
        <f t="shared" si="999"/>
        <v>EXP00370</v>
      </c>
      <c r="B11312" s="3" t="s">
        <v>66</v>
      </c>
      <c r="C11312" s="4" t="str">
        <f t="shared" si="1000"/>
        <v>GSE76714</v>
      </c>
      <c r="D11312" s="1" t="s">
        <v>341</v>
      </c>
      <c r="E11312" t="s">
        <v>472</v>
      </c>
      <c r="F11312" s="1">
        <v>2</v>
      </c>
      <c r="G11312" s="1" t="s">
        <v>474</v>
      </c>
      <c r="H11312" s="4" t="str">
        <f>HYPERLINK("https://www.ncbi.nlm.nih.gov/geo/query/acc.cgi?acc=GSM2036504","GSM2036504")</f>
        <v>GSM2036504</v>
      </c>
      <c r="I11312" t="s">
        <v>17</v>
      </c>
      <c r="J11312" t="s">
        <v>350</v>
      </c>
      <c r="K11312" t="s">
        <v>19</v>
      </c>
      <c r="L11312" t="s">
        <v>20</v>
      </c>
      <c r="M11312" t="s">
        <v>47</v>
      </c>
      <c r="N11312" t="s">
        <v>29</v>
      </c>
    </row>
    <row r="11313" spans="1:14">
      <c r="A11313" s="4" t="str">
        <f t="shared" ref="A11313:A11319" si="1001">HYPERLINK("http://hcmdb.i-sanger.com/experiment/details/experiment_id/EXP00370","EXP00370")</f>
        <v>EXP00370</v>
      </c>
      <c r="B11313" s="3" t="s">
        <v>66</v>
      </c>
      <c r="C11313" s="4" t="str">
        <f t="shared" ref="C11313:C11319" si="1002">HYPERLINK("https://www.ncbi.nlm.nih.gov/geo/query/acc.cgi?acc=GSE76714","GSE76714")</f>
        <v>GSE76714</v>
      </c>
      <c r="D11313" s="1" t="s">
        <v>341</v>
      </c>
      <c r="E11313" t="s">
        <v>472</v>
      </c>
      <c r="F11313" s="1">
        <v>2</v>
      </c>
      <c r="G11313" s="1" t="s">
        <v>474</v>
      </c>
      <c r="H11313" s="4" t="str">
        <f>HYPERLINK("https://www.ncbi.nlm.nih.gov/geo/query/acc.cgi?acc=GSM2036505","GSM2036505")</f>
        <v>GSM2036505</v>
      </c>
      <c r="I11313" t="s">
        <v>17</v>
      </c>
      <c r="J11313" t="s">
        <v>350</v>
      </c>
      <c r="K11313" t="s">
        <v>19</v>
      </c>
      <c r="L11313" t="s">
        <v>20</v>
      </c>
      <c r="M11313" t="s">
        <v>47</v>
      </c>
      <c r="N11313" t="s">
        <v>29</v>
      </c>
    </row>
    <row r="11314" spans="1:14">
      <c r="A11314" s="4" t="str">
        <f t="shared" si="1001"/>
        <v>EXP00370</v>
      </c>
      <c r="B11314" s="3" t="s">
        <v>66</v>
      </c>
      <c r="C11314" s="4" t="str">
        <f t="shared" si="1002"/>
        <v>GSE76714</v>
      </c>
      <c r="D11314" s="1" t="s">
        <v>341</v>
      </c>
      <c r="E11314" t="s">
        <v>472</v>
      </c>
      <c r="F11314" s="1">
        <v>2</v>
      </c>
      <c r="G11314" s="1" t="s">
        <v>474</v>
      </c>
      <c r="H11314" s="4" t="str">
        <f>HYPERLINK("https://www.ncbi.nlm.nih.gov/geo/query/acc.cgi?acc=GSM2036508","GSM2036508")</f>
        <v>GSM2036508</v>
      </c>
      <c r="I11314" t="s">
        <v>17</v>
      </c>
      <c r="J11314" t="s">
        <v>350</v>
      </c>
      <c r="K11314" t="s">
        <v>19</v>
      </c>
      <c r="L11314" t="s">
        <v>20</v>
      </c>
      <c r="M11314" t="s">
        <v>47</v>
      </c>
      <c r="N11314" t="s">
        <v>29</v>
      </c>
    </row>
    <row r="11315" spans="1:14">
      <c r="A11315" s="4" t="str">
        <f t="shared" si="1001"/>
        <v>EXP00370</v>
      </c>
      <c r="B11315" s="3" t="s">
        <v>66</v>
      </c>
      <c r="C11315" s="4" t="str">
        <f t="shared" si="1002"/>
        <v>GSE76714</v>
      </c>
      <c r="D11315" s="1" t="s">
        <v>341</v>
      </c>
      <c r="E11315" t="s">
        <v>472</v>
      </c>
      <c r="F11315" s="1">
        <v>2</v>
      </c>
      <c r="G11315" s="1" t="s">
        <v>474</v>
      </c>
      <c r="H11315" s="4" t="str">
        <f>HYPERLINK("https://www.ncbi.nlm.nih.gov/geo/query/acc.cgi?acc=GSM2036510","GSM2036510")</f>
        <v>GSM2036510</v>
      </c>
      <c r="I11315" t="s">
        <v>17</v>
      </c>
      <c r="J11315" t="s">
        <v>350</v>
      </c>
      <c r="K11315" t="s">
        <v>19</v>
      </c>
      <c r="L11315" t="s">
        <v>20</v>
      </c>
      <c r="M11315" t="s">
        <v>47</v>
      </c>
      <c r="N11315" t="s">
        <v>29</v>
      </c>
    </row>
    <row r="11316" spans="1:14">
      <c r="A11316" s="4" t="str">
        <f t="shared" si="1001"/>
        <v>EXP00370</v>
      </c>
      <c r="B11316" s="3" t="s">
        <v>66</v>
      </c>
      <c r="C11316" s="4" t="str">
        <f t="shared" si="1002"/>
        <v>GSE76714</v>
      </c>
      <c r="D11316" s="1" t="s">
        <v>341</v>
      </c>
      <c r="E11316" t="s">
        <v>472</v>
      </c>
      <c r="F11316" s="1">
        <v>2</v>
      </c>
      <c r="G11316" s="1" t="s">
        <v>474</v>
      </c>
      <c r="H11316" s="4" t="str">
        <f>HYPERLINK("https://www.ncbi.nlm.nih.gov/geo/query/acc.cgi?acc=GSM2036511","GSM2036511")</f>
        <v>GSM2036511</v>
      </c>
      <c r="I11316" t="s">
        <v>17</v>
      </c>
      <c r="J11316" t="s">
        <v>350</v>
      </c>
      <c r="K11316" t="s">
        <v>19</v>
      </c>
      <c r="L11316" t="s">
        <v>20</v>
      </c>
      <c r="M11316" t="s">
        <v>47</v>
      </c>
      <c r="N11316" t="s">
        <v>29</v>
      </c>
    </row>
    <row r="11317" spans="1:14">
      <c r="A11317" s="4" t="str">
        <f t="shared" si="1001"/>
        <v>EXP00370</v>
      </c>
      <c r="B11317" s="3" t="s">
        <v>66</v>
      </c>
      <c r="C11317" s="4" t="str">
        <f t="shared" si="1002"/>
        <v>GSE76714</v>
      </c>
      <c r="D11317" s="1" t="s">
        <v>341</v>
      </c>
      <c r="E11317" t="s">
        <v>472</v>
      </c>
      <c r="F11317" s="1">
        <v>2</v>
      </c>
      <c r="G11317" s="1" t="s">
        <v>474</v>
      </c>
      <c r="H11317" s="4" t="str">
        <f>HYPERLINK("https://www.ncbi.nlm.nih.gov/geo/query/acc.cgi?acc=GSM2036512","GSM2036512")</f>
        <v>GSM2036512</v>
      </c>
      <c r="I11317" t="s">
        <v>17</v>
      </c>
      <c r="J11317" t="s">
        <v>350</v>
      </c>
      <c r="K11317" t="s">
        <v>19</v>
      </c>
      <c r="L11317" t="s">
        <v>20</v>
      </c>
      <c r="M11317" t="s">
        <v>47</v>
      </c>
      <c r="N11317" t="s">
        <v>29</v>
      </c>
    </row>
    <row r="11318" spans="1:14">
      <c r="A11318" s="4" t="str">
        <f t="shared" si="1001"/>
        <v>EXP00370</v>
      </c>
      <c r="B11318" s="3" t="s">
        <v>66</v>
      </c>
      <c r="C11318" s="4" t="str">
        <f t="shared" si="1002"/>
        <v>GSE76714</v>
      </c>
      <c r="D11318" s="1" t="s">
        <v>341</v>
      </c>
      <c r="E11318" t="s">
        <v>472</v>
      </c>
      <c r="F11318" s="1">
        <v>2</v>
      </c>
      <c r="G11318" s="1" t="s">
        <v>474</v>
      </c>
      <c r="H11318" s="4" t="str">
        <f>HYPERLINK("https://www.ncbi.nlm.nih.gov/geo/query/acc.cgi?acc=GSM2036513","GSM2036513")</f>
        <v>GSM2036513</v>
      </c>
      <c r="I11318" t="s">
        <v>17</v>
      </c>
      <c r="J11318" t="s">
        <v>350</v>
      </c>
      <c r="K11318" t="s">
        <v>19</v>
      </c>
      <c r="L11318" t="s">
        <v>20</v>
      </c>
      <c r="M11318" t="s">
        <v>47</v>
      </c>
      <c r="N11318" t="s">
        <v>29</v>
      </c>
    </row>
    <row r="11319" spans="1:14">
      <c r="A11319" s="4" t="str">
        <f t="shared" si="1001"/>
        <v>EXP00370</v>
      </c>
      <c r="B11319" s="3" t="s">
        <v>66</v>
      </c>
      <c r="C11319" s="4" t="str">
        <f t="shared" si="1002"/>
        <v>GSE76714</v>
      </c>
      <c r="D11319" s="1" t="s">
        <v>341</v>
      </c>
      <c r="E11319" t="s">
        <v>472</v>
      </c>
      <c r="F11319" s="1">
        <v>2</v>
      </c>
      <c r="G11319" s="1" t="s">
        <v>474</v>
      </c>
      <c r="H11319" s="4" t="str">
        <f>HYPERLINK("https://www.ncbi.nlm.nih.gov/geo/query/acc.cgi?acc=GSM2036514","GSM2036514")</f>
        <v>GSM2036514</v>
      </c>
      <c r="I11319" t="s">
        <v>17</v>
      </c>
      <c r="J11319" t="s">
        <v>350</v>
      </c>
      <c r="K11319" t="s">
        <v>19</v>
      </c>
      <c r="L11319" t="s">
        <v>20</v>
      </c>
      <c r="M11319" t="s">
        <v>47</v>
      </c>
      <c r="N11319" t="s">
        <v>29</v>
      </c>
    </row>
    <row r="11320" spans="1:14">
      <c r="A11320" s="4" t="str">
        <f t="shared" ref="A11320:A11327" si="1003">HYPERLINK("http://hcmdb.i-sanger.com/experiment/details/experiment_id/EXP00371","EXP00371")</f>
        <v>EXP00371</v>
      </c>
      <c r="B11320" s="4" t="str">
        <f t="shared" ref="B11320:B11343" si="1004">HYPERLINK("https://www.ncbi.nlm.nih.gov/pubmed/26921326","26921326")</f>
        <v>26921326</v>
      </c>
      <c r="C11320" s="4" t="str">
        <f t="shared" ref="C11320:C11343" si="1005">HYPERLINK("https://www.ncbi.nlm.nih.gov/geo/query/acc.cgi?acc=GSE77199","GSE77199")</f>
        <v>GSE77199</v>
      </c>
      <c r="D11320" s="1" t="s">
        <v>475</v>
      </c>
      <c r="E11320" t="s">
        <v>74</v>
      </c>
      <c r="F11320" s="1">
        <v>1</v>
      </c>
      <c r="G11320" s="1" t="s">
        <v>75</v>
      </c>
      <c r="H11320" s="4" t="str">
        <f>HYPERLINK("https://www.ncbi.nlm.nih.gov/geo/query/acc.cgi?acc=GSM2045944","GSM2045944")</f>
        <v>GSM2045944</v>
      </c>
      <c r="I11320" t="s">
        <v>69</v>
      </c>
      <c r="J11320" t="s">
        <v>18</v>
      </c>
      <c r="K11320" t="s">
        <v>19</v>
      </c>
      <c r="L11320" t="s">
        <v>70</v>
      </c>
      <c r="M11320" t="s">
        <v>44</v>
      </c>
      <c r="N11320" t="s">
        <v>76</v>
      </c>
    </row>
    <row r="11321" spans="1:14">
      <c r="A11321" s="4" t="str">
        <f t="shared" si="1003"/>
        <v>EXP00371</v>
      </c>
      <c r="B11321" s="4" t="str">
        <f t="shared" si="1004"/>
        <v>26921326</v>
      </c>
      <c r="C11321" s="4" t="str">
        <f t="shared" si="1005"/>
        <v>GSE77199</v>
      </c>
      <c r="D11321" s="1" t="s">
        <v>475</v>
      </c>
      <c r="E11321" t="s">
        <v>74</v>
      </c>
      <c r="F11321" s="1">
        <v>1</v>
      </c>
      <c r="G11321" s="1" t="s">
        <v>75</v>
      </c>
      <c r="H11321" s="4" t="str">
        <f>HYPERLINK("https://www.ncbi.nlm.nih.gov/geo/query/acc.cgi?acc=GSM2045945","GSM2045945")</f>
        <v>GSM2045945</v>
      </c>
      <c r="I11321" t="s">
        <v>69</v>
      </c>
      <c r="J11321" t="s">
        <v>18</v>
      </c>
      <c r="K11321" t="s">
        <v>19</v>
      </c>
      <c r="L11321" t="s">
        <v>70</v>
      </c>
      <c r="M11321" t="s">
        <v>44</v>
      </c>
      <c r="N11321" t="s">
        <v>76</v>
      </c>
    </row>
    <row r="11322" spans="1:14">
      <c r="A11322" s="4" t="str">
        <f t="shared" si="1003"/>
        <v>EXP00371</v>
      </c>
      <c r="B11322" s="4" t="str">
        <f t="shared" si="1004"/>
        <v>26921326</v>
      </c>
      <c r="C11322" s="4" t="str">
        <f t="shared" si="1005"/>
        <v>GSE77199</v>
      </c>
      <c r="D11322" s="1" t="s">
        <v>475</v>
      </c>
      <c r="E11322" t="s">
        <v>74</v>
      </c>
      <c r="F11322" s="1">
        <v>1</v>
      </c>
      <c r="G11322" s="1" t="s">
        <v>75</v>
      </c>
      <c r="H11322" s="4" t="str">
        <f>HYPERLINK("https://www.ncbi.nlm.nih.gov/geo/query/acc.cgi?acc=GSM2045946","GSM2045946")</f>
        <v>GSM2045946</v>
      </c>
      <c r="I11322" t="s">
        <v>69</v>
      </c>
      <c r="J11322" t="s">
        <v>18</v>
      </c>
      <c r="K11322" t="s">
        <v>19</v>
      </c>
      <c r="L11322" t="s">
        <v>70</v>
      </c>
      <c r="M11322" t="s">
        <v>44</v>
      </c>
      <c r="N11322" t="s">
        <v>76</v>
      </c>
    </row>
    <row r="11323" spans="1:14">
      <c r="A11323" s="4" t="str">
        <f t="shared" si="1003"/>
        <v>EXP00371</v>
      </c>
      <c r="B11323" s="4" t="str">
        <f t="shared" si="1004"/>
        <v>26921326</v>
      </c>
      <c r="C11323" s="4" t="str">
        <f t="shared" si="1005"/>
        <v>GSE77199</v>
      </c>
      <c r="D11323" s="1" t="s">
        <v>475</v>
      </c>
      <c r="E11323" t="s">
        <v>74</v>
      </c>
      <c r="F11323" s="1">
        <v>1</v>
      </c>
      <c r="G11323" s="1" t="s">
        <v>75</v>
      </c>
      <c r="H11323" s="4" t="str">
        <f>HYPERLINK("https://www.ncbi.nlm.nih.gov/geo/query/acc.cgi?acc=GSM2045947","GSM2045947")</f>
        <v>GSM2045947</v>
      </c>
      <c r="I11323" t="s">
        <v>69</v>
      </c>
      <c r="J11323" t="s">
        <v>18</v>
      </c>
      <c r="K11323" t="s">
        <v>19</v>
      </c>
      <c r="L11323" t="s">
        <v>70</v>
      </c>
      <c r="M11323" t="s">
        <v>44</v>
      </c>
      <c r="N11323" t="s">
        <v>76</v>
      </c>
    </row>
    <row r="11324" spans="1:14">
      <c r="A11324" s="4" t="str">
        <f t="shared" si="1003"/>
        <v>EXP00371</v>
      </c>
      <c r="B11324" s="4" t="str">
        <f t="shared" si="1004"/>
        <v>26921326</v>
      </c>
      <c r="C11324" s="4" t="str">
        <f t="shared" si="1005"/>
        <v>GSE77199</v>
      </c>
      <c r="D11324" s="1" t="s">
        <v>475</v>
      </c>
      <c r="E11324" t="s">
        <v>74</v>
      </c>
      <c r="F11324" s="1">
        <v>2</v>
      </c>
      <c r="G11324" s="1" t="s">
        <v>26</v>
      </c>
      <c r="H11324" s="4" t="str">
        <f>HYPERLINK("https://www.ncbi.nlm.nih.gov/geo/query/acc.cgi?acc=GSM2045948","GSM2045948")</f>
        <v>GSM2045948</v>
      </c>
      <c r="I11324" t="s">
        <v>69</v>
      </c>
      <c r="J11324" t="s">
        <v>18</v>
      </c>
      <c r="K11324" t="s">
        <v>19</v>
      </c>
      <c r="L11324" t="s">
        <v>70</v>
      </c>
      <c r="M11324" t="s">
        <v>44</v>
      </c>
      <c r="N11324" t="s">
        <v>22</v>
      </c>
    </row>
    <row r="11325" spans="1:14">
      <c r="A11325" s="4" t="str">
        <f t="shared" si="1003"/>
        <v>EXP00371</v>
      </c>
      <c r="B11325" s="4" t="str">
        <f t="shared" si="1004"/>
        <v>26921326</v>
      </c>
      <c r="C11325" s="4" t="str">
        <f t="shared" si="1005"/>
        <v>GSE77199</v>
      </c>
      <c r="D11325" s="1" t="s">
        <v>475</v>
      </c>
      <c r="E11325" t="s">
        <v>74</v>
      </c>
      <c r="F11325" s="1">
        <v>2</v>
      </c>
      <c r="G11325" s="1" t="s">
        <v>26</v>
      </c>
      <c r="H11325" s="4" t="str">
        <f>HYPERLINK("https://www.ncbi.nlm.nih.gov/geo/query/acc.cgi?acc=GSM2045949","GSM2045949")</f>
        <v>GSM2045949</v>
      </c>
      <c r="I11325" t="s">
        <v>69</v>
      </c>
      <c r="J11325" t="s">
        <v>18</v>
      </c>
      <c r="K11325" t="s">
        <v>19</v>
      </c>
      <c r="L11325" t="s">
        <v>70</v>
      </c>
      <c r="M11325" t="s">
        <v>44</v>
      </c>
      <c r="N11325" t="s">
        <v>22</v>
      </c>
    </row>
    <row r="11326" spans="1:14">
      <c r="A11326" s="4" t="str">
        <f t="shared" si="1003"/>
        <v>EXP00371</v>
      </c>
      <c r="B11326" s="4" t="str">
        <f t="shared" si="1004"/>
        <v>26921326</v>
      </c>
      <c r="C11326" s="4" t="str">
        <f t="shared" si="1005"/>
        <v>GSE77199</v>
      </c>
      <c r="D11326" s="1" t="s">
        <v>475</v>
      </c>
      <c r="E11326" t="s">
        <v>74</v>
      </c>
      <c r="F11326" s="1">
        <v>2</v>
      </c>
      <c r="G11326" s="1" t="s">
        <v>26</v>
      </c>
      <c r="H11326" s="4" t="str">
        <f>HYPERLINK("https://www.ncbi.nlm.nih.gov/geo/query/acc.cgi?acc=GSM2045950","GSM2045950")</f>
        <v>GSM2045950</v>
      </c>
      <c r="I11326" t="s">
        <v>69</v>
      </c>
      <c r="J11326" t="s">
        <v>18</v>
      </c>
      <c r="K11326" t="s">
        <v>19</v>
      </c>
      <c r="L11326" t="s">
        <v>70</v>
      </c>
      <c r="M11326" t="s">
        <v>44</v>
      </c>
      <c r="N11326" t="s">
        <v>22</v>
      </c>
    </row>
    <row r="11327" spans="1:14">
      <c r="A11327" s="4" t="str">
        <f t="shared" si="1003"/>
        <v>EXP00371</v>
      </c>
      <c r="B11327" s="4" t="str">
        <f t="shared" si="1004"/>
        <v>26921326</v>
      </c>
      <c r="C11327" s="4" t="str">
        <f t="shared" si="1005"/>
        <v>GSE77199</v>
      </c>
      <c r="D11327" s="1" t="s">
        <v>475</v>
      </c>
      <c r="E11327" t="s">
        <v>74</v>
      </c>
      <c r="F11327" s="1">
        <v>2</v>
      </c>
      <c r="G11327" s="1" t="s">
        <v>26</v>
      </c>
      <c r="H11327" s="4" t="str">
        <f>HYPERLINK("https://www.ncbi.nlm.nih.gov/geo/query/acc.cgi?acc=GSM2045951","GSM2045951")</f>
        <v>GSM2045951</v>
      </c>
      <c r="I11327" t="s">
        <v>69</v>
      </c>
      <c r="J11327" t="s">
        <v>18</v>
      </c>
      <c r="K11327" t="s">
        <v>19</v>
      </c>
      <c r="L11327" t="s">
        <v>70</v>
      </c>
      <c r="M11327" t="s">
        <v>44</v>
      </c>
      <c r="N11327" t="s">
        <v>22</v>
      </c>
    </row>
    <row r="11328" spans="1:14">
      <c r="A11328" s="4" t="str">
        <f t="shared" ref="A11328:A11335" si="1006">HYPERLINK("http://hcmdb.i-sanger.com/experiment/details/experiment_id/EXP00372","EXP00372")</f>
        <v>EXP00372</v>
      </c>
      <c r="B11328" s="4" t="str">
        <f t="shared" si="1004"/>
        <v>26921326</v>
      </c>
      <c r="C11328" s="4" t="str">
        <f t="shared" si="1005"/>
        <v>GSE77199</v>
      </c>
      <c r="D11328" s="1" t="s">
        <v>475</v>
      </c>
      <c r="E11328" t="s">
        <v>96</v>
      </c>
      <c r="F11328" s="1">
        <v>1</v>
      </c>
      <c r="G11328" s="1" t="s">
        <v>36</v>
      </c>
      <c r="H11328" s="4" t="str">
        <f>HYPERLINK("https://www.ncbi.nlm.nih.gov/geo/query/acc.cgi?acc=GSM2045928","GSM2045928")</f>
        <v>GSM2045928</v>
      </c>
      <c r="I11328" t="s">
        <v>69</v>
      </c>
      <c r="J11328" t="s">
        <v>18</v>
      </c>
      <c r="K11328" t="s">
        <v>33</v>
      </c>
      <c r="L11328" t="s">
        <v>70</v>
      </c>
      <c r="N11328" t="s">
        <v>37</v>
      </c>
    </row>
    <row r="11329" spans="1:14">
      <c r="A11329" s="4" t="str">
        <f t="shared" si="1006"/>
        <v>EXP00372</v>
      </c>
      <c r="B11329" s="4" t="str">
        <f t="shared" si="1004"/>
        <v>26921326</v>
      </c>
      <c r="C11329" s="4" t="str">
        <f t="shared" si="1005"/>
        <v>GSE77199</v>
      </c>
      <c r="D11329" s="1" t="s">
        <v>475</v>
      </c>
      <c r="E11329" t="s">
        <v>96</v>
      </c>
      <c r="F11329" s="1">
        <v>1</v>
      </c>
      <c r="G11329" s="1" t="s">
        <v>36</v>
      </c>
      <c r="H11329" s="4" t="str">
        <f>HYPERLINK("https://www.ncbi.nlm.nih.gov/geo/query/acc.cgi?acc=GSM2045929","GSM2045929")</f>
        <v>GSM2045929</v>
      </c>
      <c r="I11329" t="s">
        <v>69</v>
      </c>
      <c r="J11329" t="s">
        <v>18</v>
      </c>
      <c r="K11329" t="s">
        <v>33</v>
      </c>
      <c r="L11329" t="s">
        <v>70</v>
      </c>
      <c r="N11329" t="s">
        <v>37</v>
      </c>
    </row>
    <row r="11330" spans="1:14">
      <c r="A11330" s="4" t="str">
        <f t="shared" si="1006"/>
        <v>EXP00372</v>
      </c>
      <c r="B11330" s="4" t="str">
        <f t="shared" si="1004"/>
        <v>26921326</v>
      </c>
      <c r="C11330" s="4" t="str">
        <f t="shared" si="1005"/>
        <v>GSE77199</v>
      </c>
      <c r="D11330" s="1" t="s">
        <v>475</v>
      </c>
      <c r="E11330" t="s">
        <v>96</v>
      </c>
      <c r="F11330" s="1">
        <v>1</v>
      </c>
      <c r="G11330" s="1" t="s">
        <v>36</v>
      </c>
      <c r="H11330" s="4" t="str">
        <f>HYPERLINK("https://www.ncbi.nlm.nih.gov/geo/query/acc.cgi?acc=GSM2045930","GSM2045930")</f>
        <v>GSM2045930</v>
      </c>
      <c r="I11330" t="s">
        <v>69</v>
      </c>
      <c r="J11330" t="s">
        <v>18</v>
      </c>
      <c r="K11330" t="s">
        <v>33</v>
      </c>
      <c r="L11330" t="s">
        <v>70</v>
      </c>
      <c r="N11330" t="s">
        <v>37</v>
      </c>
    </row>
    <row r="11331" spans="1:14">
      <c r="A11331" s="4" t="str">
        <f t="shared" si="1006"/>
        <v>EXP00372</v>
      </c>
      <c r="B11331" s="4" t="str">
        <f t="shared" si="1004"/>
        <v>26921326</v>
      </c>
      <c r="C11331" s="4" t="str">
        <f t="shared" si="1005"/>
        <v>GSE77199</v>
      </c>
      <c r="D11331" s="1" t="s">
        <v>475</v>
      </c>
      <c r="E11331" t="s">
        <v>96</v>
      </c>
      <c r="F11331" s="1">
        <v>1</v>
      </c>
      <c r="G11331" s="1" t="s">
        <v>36</v>
      </c>
      <c r="H11331" s="4" t="str">
        <f>HYPERLINK("https://www.ncbi.nlm.nih.gov/geo/query/acc.cgi?acc=GSM2045931","GSM2045931")</f>
        <v>GSM2045931</v>
      </c>
      <c r="I11331" t="s">
        <v>69</v>
      </c>
      <c r="J11331" t="s">
        <v>18</v>
      </c>
      <c r="K11331" t="s">
        <v>33</v>
      </c>
      <c r="L11331" t="s">
        <v>70</v>
      </c>
      <c r="N11331" t="s">
        <v>37</v>
      </c>
    </row>
    <row r="11332" spans="1:14">
      <c r="A11332" s="4" t="str">
        <f t="shared" si="1006"/>
        <v>EXP00372</v>
      </c>
      <c r="B11332" s="4" t="str">
        <f t="shared" si="1004"/>
        <v>26921326</v>
      </c>
      <c r="C11332" s="4" t="str">
        <f t="shared" si="1005"/>
        <v>GSE77199</v>
      </c>
      <c r="D11332" s="1" t="s">
        <v>475</v>
      </c>
      <c r="E11332" t="s">
        <v>96</v>
      </c>
      <c r="F11332" s="1">
        <v>2</v>
      </c>
      <c r="G11332" s="1" t="s">
        <v>28</v>
      </c>
      <c r="H11332" s="4" t="str">
        <f>HYPERLINK("https://www.ncbi.nlm.nih.gov/geo/query/acc.cgi?acc=GSM2045932","GSM2045932")</f>
        <v>GSM2045932</v>
      </c>
      <c r="I11332" t="s">
        <v>69</v>
      </c>
      <c r="J11332" t="s">
        <v>18</v>
      </c>
      <c r="K11332" t="s">
        <v>33</v>
      </c>
      <c r="L11332" t="s">
        <v>70</v>
      </c>
      <c r="N11332" t="s">
        <v>29</v>
      </c>
    </row>
    <row r="11333" spans="1:14">
      <c r="A11333" s="4" t="str">
        <f t="shared" si="1006"/>
        <v>EXP00372</v>
      </c>
      <c r="B11333" s="4" t="str">
        <f t="shared" si="1004"/>
        <v>26921326</v>
      </c>
      <c r="C11333" s="4" t="str">
        <f t="shared" si="1005"/>
        <v>GSE77199</v>
      </c>
      <c r="D11333" s="1" t="s">
        <v>475</v>
      </c>
      <c r="E11333" t="s">
        <v>96</v>
      </c>
      <c r="F11333" s="1">
        <v>2</v>
      </c>
      <c r="G11333" s="1" t="s">
        <v>28</v>
      </c>
      <c r="H11333" s="4" t="str">
        <f>HYPERLINK("https://www.ncbi.nlm.nih.gov/geo/query/acc.cgi?acc=GSM2045933","GSM2045933")</f>
        <v>GSM2045933</v>
      </c>
      <c r="I11333" t="s">
        <v>69</v>
      </c>
      <c r="J11333" t="s">
        <v>18</v>
      </c>
      <c r="K11333" t="s">
        <v>33</v>
      </c>
      <c r="L11333" t="s">
        <v>70</v>
      </c>
      <c r="N11333" t="s">
        <v>29</v>
      </c>
    </row>
    <row r="11334" spans="1:14">
      <c r="A11334" s="4" t="str">
        <f t="shared" si="1006"/>
        <v>EXP00372</v>
      </c>
      <c r="B11334" s="4" t="str">
        <f t="shared" si="1004"/>
        <v>26921326</v>
      </c>
      <c r="C11334" s="4" t="str">
        <f t="shared" si="1005"/>
        <v>GSE77199</v>
      </c>
      <c r="D11334" s="1" t="s">
        <v>475</v>
      </c>
      <c r="E11334" t="s">
        <v>96</v>
      </c>
      <c r="F11334" s="1">
        <v>2</v>
      </c>
      <c r="G11334" s="1" t="s">
        <v>28</v>
      </c>
      <c r="H11334" s="4" t="str">
        <f>HYPERLINK("https://www.ncbi.nlm.nih.gov/geo/query/acc.cgi?acc=GSM2045934","GSM2045934")</f>
        <v>GSM2045934</v>
      </c>
      <c r="I11334" t="s">
        <v>69</v>
      </c>
      <c r="J11334" t="s">
        <v>18</v>
      </c>
      <c r="K11334" t="s">
        <v>33</v>
      </c>
      <c r="L11334" t="s">
        <v>70</v>
      </c>
      <c r="N11334" t="s">
        <v>29</v>
      </c>
    </row>
    <row r="11335" spans="1:14">
      <c r="A11335" s="4" t="str">
        <f t="shared" si="1006"/>
        <v>EXP00372</v>
      </c>
      <c r="B11335" s="4" t="str">
        <f t="shared" si="1004"/>
        <v>26921326</v>
      </c>
      <c r="C11335" s="4" t="str">
        <f t="shared" si="1005"/>
        <v>GSE77199</v>
      </c>
      <c r="D11335" s="1" t="s">
        <v>475</v>
      </c>
      <c r="E11335" t="s">
        <v>96</v>
      </c>
      <c r="F11335" s="1">
        <v>2</v>
      </c>
      <c r="G11335" s="1" t="s">
        <v>28</v>
      </c>
      <c r="H11335" s="4" t="str">
        <f>HYPERLINK("https://www.ncbi.nlm.nih.gov/geo/query/acc.cgi?acc=GSM2045935","GSM2045935")</f>
        <v>GSM2045935</v>
      </c>
      <c r="I11335" t="s">
        <v>69</v>
      </c>
      <c r="J11335" t="s">
        <v>18</v>
      </c>
      <c r="K11335" t="s">
        <v>33</v>
      </c>
      <c r="L11335" t="s">
        <v>70</v>
      </c>
      <c r="N11335" t="s">
        <v>29</v>
      </c>
    </row>
    <row r="11336" spans="1:14">
      <c r="A11336" s="4" t="str">
        <f t="shared" ref="A11336:A11343" si="1007">HYPERLINK("http://hcmdb.i-sanger.com/experiment/details/experiment_id/EXP00373","EXP00373")</f>
        <v>EXP00373</v>
      </c>
      <c r="B11336" s="4" t="str">
        <f t="shared" si="1004"/>
        <v>26921326</v>
      </c>
      <c r="C11336" s="4" t="str">
        <f t="shared" si="1005"/>
        <v>GSE77199</v>
      </c>
      <c r="D11336" s="1" t="s">
        <v>475</v>
      </c>
      <c r="E11336" t="s">
        <v>476</v>
      </c>
      <c r="F11336" s="1">
        <v>1</v>
      </c>
      <c r="G11336" s="1" t="s">
        <v>36</v>
      </c>
      <c r="H11336" s="4" t="str">
        <f>HYPERLINK("https://www.ncbi.nlm.nih.gov/geo/query/acc.cgi?acc=GSM2045936","GSM2045936")</f>
        <v>GSM2045936</v>
      </c>
      <c r="I11336" t="s">
        <v>59</v>
      </c>
      <c r="J11336" t="s">
        <v>149</v>
      </c>
      <c r="K11336" t="s">
        <v>33</v>
      </c>
      <c r="L11336" t="s">
        <v>61</v>
      </c>
      <c r="N11336" t="s">
        <v>37</v>
      </c>
    </row>
    <row r="11337" spans="1:14">
      <c r="A11337" s="4" t="str">
        <f t="shared" si="1007"/>
        <v>EXP00373</v>
      </c>
      <c r="B11337" s="4" t="str">
        <f t="shared" si="1004"/>
        <v>26921326</v>
      </c>
      <c r="C11337" s="4" t="str">
        <f t="shared" si="1005"/>
        <v>GSE77199</v>
      </c>
      <c r="D11337" s="1" t="s">
        <v>475</v>
      </c>
      <c r="E11337" t="s">
        <v>476</v>
      </c>
      <c r="F11337" s="1">
        <v>1</v>
      </c>
      <c r="G11337" s="1" t="s">
        <v>36</v>
      </c>
      <c r="H11337" s="4" t="str">
        <f>HYPERLINK("https://www.ncbi.nlm.nih.gov/geo/query/acc.cgi?acc=GSM2045937","GSM2045937")</f>
        <v>GSM2045937</v>
      </c>
      <c r="I11337" t="s">
        <v>59</v>
      </c>
      <c r="J11337" t="s">
        <v>149</v>
      </c>
      <c r="K11337" t="s">
        <v>33</v>
      </c>
      <c r="L11337" t="s">
        <v>61</v>
      </c>
      <c r="N11337" t="s">
        <v>37</v>
      </c>
    </row>
    <row r="11338" spans="1:14">
      <c r="A11338" s="4" t="str">
        <f t="shared" si="1007"/>
        <v>EXP00373</v>
      </c>
      <c r="B11338" s="4" t="str">
        <f t="shared" si="1004"/>
        <v>26921326</v>
      </c>
      <c r="C11338" s="4" t="str">
        <f t="shared" si="1005"/>
        <v>GSE77199</v>
      </c>
      <c r="D11338" s="1" t="s">
        <v>475</v>
      </c>
      <c r="E11338" t="s">
        <v>476</v>
      </c>
      <c r="F11338" s="1">
        <v>1</v>
      </c>
      <c r="G11338" s="1" t="s">
        <v>36</v>
      </c>
      <c r="H11338" s="4" t="str">
        <f>HYPERLINK("https://www.ncbi.nlm.nih.gov/geo/query/acc.cgi?acc=GSM2045938","GSM2045938")</f>
        <v>GSM2045938</v>
      </c>
      <c r="I11338" t="s">
        <v>59</v>
      </c>
      <c r="J11338" t="s">
        <v>149</v>
      </c>
      <c r="K11338" t="s">
        <v>33</v>
      </c>
      <c r="L11338" t="s">
        <v>61</v>
      </c>
      <c r="N11338" t="s">
        <v>37</v>
      </c>
    </row>
    <row r="11339" spans="1:14">
      <c r="A11339" s="4" t="str">
        <f t="shared" si="1007"/>
        <v>EXP00373</v>
      </c>
      <c r="B11339" s="4" t="str">
        <f t="shared" si="1004"/>
        <v>26921326</v>
      </c>
      <c r="C11339" s="4" t="str">
        <f t="shared" si="1005"/>
        <v>GSE77199</v>
      </c>
      <c r="D11339" s="1" t="s">
        <v>475</v>
      </c>
      <c r="E11339" t="s">
        <v>476</v>
      </c>
      <c r="F11339" s="1">
        <v>1</v>
      </c>
      <c r="G11339" s="1" t="s">
        <v>36</v>
      </c>
      <c r="H11339" s="4" t="str">
        <f>HYPERLINK("https://www.ncbi.nlm.nih.gov/geo/query/acc.cgi?acc=GSM2045939","GSM2045939")</f>
        <v>GSM2045939</v>
      </c>
      <c r="I11339" t="s">
        <v>59</v>
      </c>
      <c r="J11339" t="s">
        <v>149</v>
      </c>
      <c r="K11339" t="s">
        <v>33</v>
      </c>
      <c r="L11339" t="s">
        <v>61</v>
      </c>
      <c r="N11339" t="s">
        <v>37</v>
      </c>
    </row>
    <row r="11340" spans="1:14">
      <c r="A11340" s="4" t="str">
        <f t="shared" si="1007"/>
        <v>EXP00373</v>
      </c>
      <c r="B11340" s="4" t="str">
        <f t="shared" si="1004"/>
        <v>26921326</v>
      </c>
      <c r="C11340" s="4" t="str">
        <f t="shared" si="1005"/>
        <v>GSE77199</v>
      </c>
      <c r="D11340" s="1" t="s">
        <v>475</v>
      </c>
      <c r="E11340" t="s">
        <v>476</v>
      </c>
      <c r="F11340" s="1">
        <v>2</v>
      </c>
      <c r="G11340" s="1" t="s">
        <v>28</v>
      </c>
      <c r="H11340" s="4" t="str">
        <f>HYPERLINK("https://www.ncbi.nlm.nih.gov/geo/query/acc.cgi?acc=GSM2045940","GSM2045940")</f>
        <v>GSM2045940</v>
      </c>
      <c r="I11340" t="s">
        <v>59</v>
      </c>
      <c r="J11340" t="s">
        <v>149</v>
      </c>
      <c r="K11340" t="s">
        <v>33</v>
      </c>
      <c r="L11340" t="s">
        <v>61</v>
      </c>
      <c r="N11340" t="s">
        <v>29</v>
      </c>
    </row>
    <row r="11341" spans="1:14">
      <c r="A11341" s="4" t="str">
        <f t="shared" si="1007"/>
        <v>EXP00373</v>
      </c>
      <c r="B11341" s="4" t="str">
        <f t="shared" si="1004"/>
        <v>26921326</v>
      </c>
      <c r="C11341" s="4" t="str">
        <f t="shared" si="1005"/>
        <v>GSE77199</v>
      </c>
      <c r="D11341" s="1" t="s">
        <v>475</v>
      </c>
      <c r="E11341" t="s">
        <v>476</v>
      </c>
      <c r="F11341" s="1">
        <v>2</v>
      </c>
      <c r="G11341" s="1" t="s">
        <v>28</v>
      </c>
      <c r="H11341" s="4" t="str">
        <f>HYPERLINK("https://www.ncbi.nlm.nih.gov/geo/query/acc.cgi?acc=GSM2045941","GSM2045941")</f>
        <v>GSM2045941</v>
      </c>
      <c r="I11341" t="s">
        <v>59</v>
      </c>
      <c r="J11341" t="s">
        <v>149</v>
      </c>
      <c r="K11341" t="s">
        <v>33</v>
      </c>
      <c r="L11341" t="s">
        <v>61</v>
      </c>
      <c r="N11341" t="s">
        <v>29</v>
      </c>
    </row>
    <row r="11342" spans="1:14">
      <c r="A11342" s="4" t="str">
        <f t="shared" si="1007"/>
        <v>EXP00373</v>
      </c>
      <c r="B11342" s="4" t="str">
        <f t="shared" si="1004"/>
        <v>26921326</v>
      </c>
      <c r="C11342" s="4" t="str">
        <f t="shared" si="1005"/>
        <v>GSE77199</v>
      </c>
      <c r="D11342" s="1" t="s">
        <v>475</v>
      </c>
      <c r="E11342" t="s">
        <v>476</v>
      </c>
      <c r="F11342" s="1">
        <v>2</v>
      </c>
      <c r="G11342" s="1" t="s">
        <v>28</v>
      </c>
      <c r="H11342" s="4" t="str">
        <f>HYPERLINK("https://www.ncbi.nlm.nih.gov/geo/query/acc.cgi?acc=GSM2045942","GSM2045942")</f>
        <v>GSM2045942</v>
      </c>
      <c r="I11342" t="s">
        <v>59</v>
      </c>
      <c r="J11342" t="s">
        <v>149</v>
      </c>
      <c r="K11342" t="s">
        <v>33</v>
      </c>
      <c r="L11342" t="s">
        <v>61</v>
      </c>
      <c r="N11342" t="s">
        <v>29</v>
      </c>
    </row>
    <row r="11343" spans="1:14">
      <c r="A11343" s="4" t="str">
        <f t="shared" si="1007"/>
        <v>EXP00373</v>
      </c>
      <c r="B11343" s="4" t="str">
        <f t="shared" si="1004"/>
        <v>26921326</v>
      </c>
      <c r="C11343" s="4" t="str">
        <f t="shared" si="1005"/>
        <v>GSE77199</v>
      </c>
      <c r="D11343" s="1" t="s">
        <v>475</v>
      </c>
      <c r="E11343" t="s">
        <v>476</v>
      </c>
      <c r="F11343" s="1">
        <v>2</v>
      </c>
      <c r="G11343" s="1" t="s">
        <v>28</v>
      </c>
      <c r="H11343" s="4" t="str">
        <f>HYPERLINK("https://www.ncbi.nlm.nih.gov/geo/query/acc.cgi?acc=GSM2045943","GSM2045943")</f>
        <v>GSM2045943</v>
      </c>
      <c r="I11343" t="s">
        <v>59</v>
      </c>
      <c r="J11343" t="s">
        <v>149</v>
      </c>
      <c r="K11343" t="s">
        <v>33</v>
      </c>
      <c r="L11343" t="s">
        <v>61</v>
      </c>
      <c r="N11343" t="s">
        <v>29</v>
      </c>
    </row>
    <row r="11344" spans="1:14">
      <c r="A11344" s="4" t="str">
        <f t="shared" ref="A11344:A11351" si="1008">HYPERLINK("http://hcmdb.i-sanger.com/experiment/details/experiment_id/EXP00374","EXP00374")</f>
        <v>EXP00374</v>
      </c>
      <c r="B11344" s="3" t="s">
        <v>66</v>
      </c>
      <c r="C11344" s="4" t="str">
        <f t="shared" ref="C11344:C11375" si="1009">HYPERLINK("https://www.ncbi.nlm.nih.gov/geo/query/acc.cgi?acc=GSE80038","GSE80038")</f>
        <v>GSE80038</v>
      </c>
      <c r="D11344" s="1" t="s">
        <v>477</v>
      </c>
      <c r="E11344" t="s">
        <v>478</v>
      </c>
      <c r="F11344" s="1">
        <v>1</v>
      </c>
      <c r="G11344" s="1" t="s">
        <v>26</v>
      </c>
      <c r="H11344" s="4" t="str">
        <f>HYPERLINK("https://www.ncbi.nlm.nih.gov/geo/query/acc.cgi?acc=GSM2111489","GSM2111489")</f>
        <v>GSM2111489</v>
      </c>
      <c r="I11344" t="s">
        <v>17</v>
      </c>
      <c r="J11344" t="s">
        <v>350</v>
      </c>
      <c r="K11344" t="s">
        <v>19</v>
      </c>
      <c r="L11344" t="s">
        <v>20</v>
      </c>
      <c r="M11344" t="s">
        <v>41</v>
      </c>
      <c r="N11344" t="s">
        <v>22</v>
      </c>
    </row>
    <row r="11345" spans="1:14">
      <c r="A11345" s="4" t="str">
        <f t="shared" si="1008"/>
        <v>EXP00374</v>
      </c>
      <c r="B11345" s="3" t="s">
        <v>66</v>
      </c>
      <c r="C11345" s="4" t="str">
        <f t="shared" si="1009"/>
        <v>GSE80038</v>
      </c>
      <c r="D11345" s="1" t="s">
        <v>477</v>
      </c>
      <c r="E11345" t="s">
        <v>478</v>
      </c>
      <c r="F11345" s="1">
        <v>1</v>
      </c>
      <c r="G11345" s="1" t="s">
        <v>26</v>
      </c>
      <c r="H11345" s="4" t="str">
        <f>HYPERLINK("https://www.ncbi.nlm.nih.gov/geo/query/acc.cgi?acc=GSM2111490","GSM2111490")</f>
        <v>GSM2111490</v>
      </c>
      <c r="I11345" t="s">
        <v>17</v>
      </c>
      <c r="J11345" t="s">
        <v>350</v>
      </c>
      <c r="K11345" t="s">
        <v>19</v>
      </c>
      <c r="L11345" t="s">
        <v>20</v>
      </c>
      <c r="M11345" t="s">
        <v>41</v>
      </c>
      <c r="N11345" t="s">
        <v>22</v>
      </c>
    </row>
    <row r="11346" spans="1:14">
      <c r="A11346" s="4" t="str">
        <f t="shared" si="1008"/>
        <v>EXP00374</v>
      </c>
      <c r="B11346" s="3" t="s">
        <v>66</v>
      </c>
      <c r="C11346" s="4" t="str">
        <f t="shared" si="1009"/>
        <v>GSE80038</v>
      </c>
      <c r="D11346" s="1" t="s">
        <v>477</v>
      </c>
      <c r="E11346" t="s">
        <v>478</v>
      </c>
      <c r="F11346" s="1">
        <v>1</v>
      </c>
      <c r="G11346" s="1" t="s">
        <v>26</v>
      </c>
      <c r="H11346" s="4" t="str">
        <f>HYPERLINK("https://www.ncbi.nlm.nih.gov/geo/query/acc.cgi?acc=GSM2111491","GSM2111491")</f>
        <v>GSM2111491</v>
      </c>
      <c r="I11346" t="s">
        <v>17</v>
      </c>
      <c r="J11346" t="s">
        <v>350</v>
      </c>
      <c r="K11346" t="s">
        <v>19</v>
      </c>
      <c r="L11346" t="s">
        <v>20</v>
      </c>
      <c r="M11346" t="s">
        <v>41</v>
      </c>
      <c r="N11346" t="s">
        <v>22</v>
      </c>
    </row>
    <row r="11347" spans="1:14">
      <c r="A11347" s="4" t="str">
        <f t="shared" si="1008"/>
        <v>EXP00374</v>
      </c>
      <c r="B11347" s="3" t="s">
        <v>66</v>
      </c>
      <c r="C11347" s="4" t="str">
        <f t="shared" si="1009"/>
        <v>GSE80038</v>
      </c>
      <c r="D11347" s="1" t="s">
        <v>477</v>
      </c>
      <c r="E11347" t="s">
        <v>478</v>
      </c>
      <c r="F11347" s="1">
        <v>1</v>
      </c>
      <c r="G11347" s="1" t="s">
        <v>26</v>
      </c>
      <c r="H11347" s="4" t="str">
        <f>HYPERLINK("https://www.ncbi.nlm.nih.gov/geo/query/acc.cgi?acc=GSM2111492","GSM2111492")</f>
        <v>GSM2111492</v>
      </c>
      <c r="I11347" t="s">
        <v>17</v>
      </c>
      <c r="J11347" t="s">
        <v>350</v>
      </c>
      <c r="K11347" t="s">
        <v>19</v>
      </c>
      <c r="L11347" t="s">
        <v>20</v>
      </c>
      <c r="M11347" t="s">
        <v>41</v>
      </c>
      <c r="N11347" t="s">
        <v>22</v>
      </c>
    </row>
    <row r="11348" spans="1:14">
      <c r="A11348" s="4" t="str">
        <f t="shared" si="1008"/>
        <v>EXP00374</v>
      </c>
      <c r="B11348" s="3" t="s">
        <v>66</v>
      </c>
      <c r="C11348" s="4" t="str">
        <f t="shared" si="1009"/>
        <v>GSE80038</v>
      </c>
      <c r="D11348" s="1" t="s">
        <v>477</v>
      </c>
      <c r="E11348" t="s">
        <v>478</v>
      </c>
      <c r="F11348" s="1">
        <v>2</v>
      </c>
      <c r="G11348" s="1" t="s">
        <v>28</v>
      </c>
      <c r="H11348" s="4" t="str">
        <f>HYPERLINK("https://www.ncbi.nlm.nih.gov/geo/query/acc.cgi?acc=GSM2111493","GSM2111493")</f>
        <v>GSM2111493</v>
      </c>
      <c r="I11348" t="s">
        <v>17</v>
      </c>
      <c r="J11348" t="s">
        <v>350</v>
      </c>
      <c r="K11348" t="s">
        <v>19</v>
      </c>
      <c r="L11348" t="s">
        <v>20</v>
      </c>
      <c r="M11348" t="s">
        <v>41</v>
      </c>
      <c r="N11348" t="s">
        <v>29</v>
      </c>
    </row>
    <row r="11349" spans="1:14">
      <c r="A11349" s="4" t="str">
        <f t="shared" si="1008"/>
        <v>EXP00374</v>
      </c>
      <c r="B11349" s="3" t="s">
        <v>66</v>
      </c>
      <c r="C11349" s="4" t="str">
        <f t="shared" si="1009"/>
        <v>GSE80038</v>
      </c>
      <c r="D11349" s="1" t="s">
        <v>477</v>
      </c>
      <c r="E11349" t="s">
        <v>478</v>
      </c>
      <c r="F11349" s="1">
        <v>2</v>
      </c>
      <c r="G11349" s="1" t="s">
        <v>28</v>
      </c>
      <c r="H11349" s="4" t="str">
        <f>HYPERLINK("https://www.ncbi.nlm.nih.gov/geo/query/acc.cgi?acc=GSM2111494","GSM2111494")</f>
        <v>GSM2111494</v>
      </c>
      <c r="I11349" t="s">
        <v>17</v>
      </c>
      <c r="J11349" t="s">
        <v>350</v>
      </c>
      <c r="K11349" t="s">
        <v>19</v>
      </c>
      <c r="L11349" t="s">
        <v>20</v>
      </c>
      <c r="M11349" t="s">
        <v>41</v>
      </c>
      <c r="N11349" t="s">
        <v>29</v>
      </c>
    </row>
    <row r="11350" spans="1:14">
      <c r="A11350" s="4" t="str">
        <f t="shared" si="1008"/>
        <v>EXP00374</v>
      </c>
      <c r="B11350" s="3" t="s">
        <v>66</v>
      </c>
      <c r="C11350" s="4" t="str">
        <f t="shared" si="1009"/>
        <v>GSE80038</v>
      </c>
      <c r="D11350" s="1" t="s">
        <v>477</v>
      </c>
      <c r="E11350" t="s">
        <v>478</v>
      </c>
      <c r="F11350" s="1">
        <v>2</v>
      </c>
      <c r="G11350" s="1" t="s">
        <v>28</v>
      </c>
      <c r="H11350" s="4" t="str">
        <f>HYPERLINK("https://www.ncbi.nlm.nih.gov/geo/query/acc.cgi?acc=GSM2111495","GSM2111495")</f>
        <v>GSM2111495</v>
      </c>
      <c r="I11350" t="s">
        <v>17</v>
      </c>
      <c r="J11350" t="s">
        <v>350</v>
      </c>
      <c r="K11350" t="s">
        <v>19</v>
      </c>
      <c r="L11350" t="s">
        <v>20</v>
      </c>
      <c r="M11350" t="s">
        <v>41</v>
      </c>
      <c r="N11350" t="s">
        <v>29</v>
      </c>
    </row>
    <row r="11351" spans="1:14">
      <c r="A11351" s="4" t="str">
        <f t="shared" si="1008"/>
        <v>EXP00374</v>
      </c>
      <c r="B11351" s="3" t="s">
        <v>66</v>
      </c>
      <c r="C11351" s="4" t="str">
        <f t="shared" si="1009"/>
        <v>GSE80038</v>
      </c>
      <c r="D11351" s="1" t="s">
        <v>477</v>
      </c>
      <c r="E11351" t="s">
        <v>478</v>
      </c>
      <c r="F11351" s="1">
        <v>2</v>
      </c>
      <c r="G11351" s="1" t="s">
        <v>28</v>
      </c>
      <c r="H11351" s="4" t="str">
        <f>HYPERLINK("https://www.ncbi.nlm.nih.gov/geo/query/acc.cgi?acc=GSM2111496","GSM2111496")</f>
        <v>GSM2111496</v>
      </c>
      <c r="I11351" t="s">
        <v>17</v>
      </c>
      <c r="J11351" t="s">
        <v>350</v>
      </c>
      <c r="K11351" t="s">
        <v>19</v>
      </c>
      <c r="L11351" t="s">
        <v>20</v>
      </c>
      <c r="M11351" t="s">
        <v>41</v>
      </c>
      <c r="N11351" t="s">
        <v>29</v>
      </c>
    </row>
    <row r="11352" spans="1:14">
      <c r="A11352" s="4" t="str">
        <f t="shared" ref="A11352:A11359" si="1010">HYPERLINK("http://hcmdb.i-sanger.com/experiment/details/experiment_id/EXP00375","EXP00375")</f>
        <v>EXP00375</v>
      </c>
      <c r="B11352" s="3" t="s">
        <v>66</v>
      </c>
      <c r="C11352" s="4" t="str">
        <f t="shared" si="1009"/>
        <v>GSE80038</v>
      </c>
      <c r="D11352" s="1" t="s">
        <v>477</v>
      </c>
      <c r="E11352" t="s">
        <v>479</v>
      </c>
      <c r="F11352" s="1">
        <v>1</v>
      </c>
      <c r="G11352" s="1" t="s">
        <v>36</v>
      </c>
      <c r="H11352" s="4" t="str">
        <f>HYPERLINK("https://www.ncbi.nlm.nih.gov/geo/query/acc.cgi?acc=GSM2111485","GSM2111485")</f>
        <v>GSM2111485</v>
      </c>
      <c r="I11352" t="s">
        <v>17</v>
      </c>
      <c r="J11352" t="s">
        <v>350</v>
      </c>
      <c r="K11352" t="s">
        <v>19</v>
      </c>
      <c r="L11352" t="s">
        <v>20</v>
      </c>
      <c r="M11352" t="s">
        <v>41</v>
      </c>
      <c r="N11352" t="s">
        <v>37</v>
      </c>
    </row>
    <row r="11353" spans="1:14">
      <c r="A11353" s="4" t="str">
        <f t="shared" si="1010"/>
        <v>EXP00375</v>
      </c>
      <c r="B11353" s="3" t="s">
        <v>66</v>
      </c>
      <c r="C11353" s="4" t="str">
        <f t="shared" si="1009"/>
        <v>GSE80038</v>
      </c>
      <c r="D11353" s="1" t="s">
        <v>477</v>
      </c>
      <c r="E11353" t="s">
        <v>479</v>
      </c>
      <c r="F11353" s="1">
        <v>1</v>
      </c>
      <c r="G11353" s="1" t="s">
        <v>36</v>
      </c>
      <c r="H11353" s="4" t="str">
        <f>HYPERLINK("https://www.ncbi.nlm.nih.gov/geo/query/acc.cgi?acc=GSM2111486","GSM2111486")</f>
        <v>GSM2111486</v>
      </c>
      <c r="I11353" t="s">
        <v>17</v>
      </c>
      <c r="J11353" t="s">
        <v>350</v>
      </c>
      <c r="K11353" t="s">
        <v>19</v>
      </c>
      <c r="L11353" t="s">
        <v>20</v>
      </c>
      <c r="M11353" t="s">
        <v>41</v>
      </c>
      <c r="N11353" t="s">
        <v>37</v>
      </c>
    </row>
    <row r="11354" spans="1:14">
      <c r="A11354" s="4" t="str">
        <f t="shared" si="1010"/>
        <v>EXP00375</v>
      </c>
      <c r="B11354" s="3" t="s">
        <v>66</v>
      </c>
      <c r="C11354" s="4" t="str">
        <f t="shared" si="1009"/>
        <v>GSE80038</v>
      </c>
      <c r="D11354" s="1" t="s">
        <v>477</v>
      </c>
      <c r="E11354" t="s">
        <v>479</v>
      </c>
      <c r="F11354" s="1">
        <v>1</v>
      </c>
      <c r="G11354" s="1" t="s">
        <v>36</v>
      </c>
      <c r="H11354" s="4" t="str">
        <f>HYPERLINK("https://www.ncbi.nlm.nih.gov/geo/query/acc.cgi?acc=GSM2111487","GSM2111487")</f>
        <v>GSM2111487</v>
      </c>
      <c r="I11354" t="s">
        <v>17</v>
      </c>
      <c r="J11354" t="s">
        <v>350</v>
      </c>
      <c r="K11354" t="s">
        <v>19</v>
      </c>
      <c r="L11354" t="s">
        <v>20</v>
      </c>
      <c r="M11354" t="s">
        <v>41</v>
      </c>
      <c r="N11354" t="s">
        <v>37</v>
      </c>
    </row>
    <row r="11355" spans="1:14">
      <c r="A11355" s="4" t="str">
        <f t="shared" si="1010"/>
        <v>EXP00375</v>
      </c>
      <c r="B11355" s="3" t="s">
        <v>66</v>
      </c>
      <c r="C11355" s="4" t="str">
        <f t="shared" si="1009"/>
        <v>GSE80038</v>
      </c>
      <c r="D11355" s="1" t="s">
        <v>477</v>
      </c>
      <c r="E11355" t="s">
        <v>479</v>
      </c>
      <c r="F11355" s="1">
        <v>1</v>
      </c>
      <c r="G11355" s="1" t="s">
        <v>36</v>
      </c>
      <c r="H11355" s="4" t="str">
        <f>HYPERLINK("https://www.ncbi.nlm.nih.gov/geo/query/acc.cgi?acc=GSM2111488","GSM2111488")</f>
        <v>GSM2111488</v>
      </c>
      <c r="I11355" t="s">
        <v>17</v>
      </c>
      <c r="J11355" t="s">
        <v>350</v>
      </c>
      <c r="K11355" t="s">
        <v>19</v>
      </c>
      <c r="L11355" t="s">
        <v>20</v>
      </c>
      <c r="M11355" t="s">
        <v>41</v>
      </c>
      <c r="N11355" t="s">
        <v>37</v>
      </c>
    </row>
    <row r="11356" spans="1:14">
      <c r="A11356" s="4" t="str">
        <f t="shared" si="1010"/>
        <v>EXP00375</v>
      </c>
      <c r="B11356" s="3" t="s">
        <v>66</v>
      </c>
      <c r="C11356" s="4" t="str">
        <f t="shared" si="1009"/>
        <v>GSE80038</v>
      </c>
      <c r="D11356" s="1" t="s">
        <v>477</v>
      </c>
      <c r="E11356" t="s">
        <v>479</v>
      </c>
      <c r="F11356" s="1">
        <v>2</v>
      </c>
      <c r="G11356" s="1" t="s">
        <v>28</v>
      </c>
      <c r="H11356" s="4" t="str">
        <f>HYPERLINK("https://www.ncbi.nlm.nih.gov/geo/query/acc.cgi?acc=GSM2111493","GSM2111493")</f>
        <v>GSM2111493</v>
      </c>
      <c r="I11356" t="s">
        <v>17</v>
      </c>
      <c r="J11356" t="s">
        <v>350</v>
      </c>
      <c r="K11356" t="s">
        <v>19</v>
      </c>
      <c r="L11356" t="s">
        <v>20</v>
      </c>
      <c r="M11356" t="s">
        <v>41</v>
      </c>
      <c r="N11356" t="s">
        <v>29</v>
      </c>
    </row>
    <row r="11357" spans="1:14">
      <c r="A11357" s="4" t="str">
        <f t="shared" si="1010"/>
        <v>EXP00375</v>
      </c>
      <c r="B11357" s="3" t="s">
        <v>66</v>
      </c>
      <c r="C11357" s="4" t="str">
        <f t="shared" si="1009"/>
        <v>GSE80038</v>
      </c>
      <c r="D11357" s="1" t="s">
        <v>477</v>
      </c>
      <c r="E11357" t="s">
        <v>479</v>
      </c>
      <c r="F11357" s="1">
        <v>2</v>
      </c>
      <c r="G11357" s="1" t="s">
        <v>28</v>
      </c>
      <c r="H11357" s="4" t="str">
        <f>HYPERLINK("https://www.ncbi.nlm.nih.gov/geo/query/acc.cgi?acc=GSM2111494","GSM2111494")</f>
        <v>GSM2111494</v>
      </c>
      <c r="I11357" t="s">
        <v>17</v>
      </c>
      <c r="J11357" t="s">
        <v>350</v>
      </c>
      <c r="K11357" t="s">
        <v>19</v>
      </c>
      <c r="L11357" t="s">
        <v>20</v>
      </c>
      <c r="M11357" t="s">
        <v>41</v>
      </c>
      <c r="N11357" t="s">
        <v>29</v>
      </c>
    </row>
    <row r="11358" spans="1:14">
      <c r="A11358" s="4" t="str">
        <f t="shared" si="1010"/>
        <v>EXP00375</v>
      </c>
      <c r="B11358" s="3" t="s">
        <v>66</v>
      </c>
      <c r="C11358" s="4" t="str">
        <f t="shared" si="1009"/>
        <v>GSE80038</v>
      </c>
      <c r="D11358" s="1" t="s">
        <v>477</v>
      </c>
      <c r="E11358" t="s">
        <v>479</v>
      </c>
      <c r="F11358" s="1">
        <v>2</v>
      </c>
      <c r="G11358" s="1" t="s">
        <v>28</v>
      </c>
      <c r="H11358" s="4" t="str">
        <f>HYPERLINK("https://www.ncbi.nlm.nih.gov/geo/query/acc.cgi?acc=GSM2111495","GSM2111495")</f>
        <v>GSM2111495</v>
      </c>
      <c r="I11358" t="s">
        <v>17</v>
      </c>
      <c r="J11358" t="s">
        <v>350</v>
      </c>
      <c r="K11358" t="s">
        <v>19</v>
      </c>
      <c r="L11358" t="s">
        <v>20</v>
      </c>
      <c r="M11358" t="s">
        <v>41</v>
      </c>
      <c r="N11358" t="s">
        <v>29</v>
      </c>
    </row>
    <row r="11359" spans="1:14">
      <c r="A11359" s="4" t="str">
        <f t="shared" si="1010"/>
        <v>EXP00375</v>
      </c>
      <c r="B11359" s="3" t="s">
        <v>66</v>
      </c>
      <c r="C11359" s="4" t="str">
        <f t="shared" si="1009"/>
        <v>GSE80038</v>
      </c>
      <c r="D11359" s="1" t="s">
        <v>477</v>
      </c>
      <c r="E11359" t="s">
        <v>479</v>
      </c>
      <c r="F11359" s="1">
        <v>2</v>
      </c>
      <c r="G11359" s="1" t="s">
        <v>28</v>
      </c>
      <c r="H11359" s="4" t="str">
        <f>HYPERLINK("https://www.ncbi.nlm.nih.gov/geo/query/acc.cgi?acc=GSM2111496","GSM2111496")</f>
        <v>GSM2111496</v>
      </c>
      <c r="I11359" t="s">
        <v>17</v>
      </c>
      <c r="J11359" t="s">
        <v>350</v>
      </c>
      <c r="K11359" t="s">
        <v>19</v>
      </c>
      <c r="L11359" t="s">
        <v>20</v>
      </c>
      <c r="M11359" t="s">
        <v>41</v>
      </c>
      <c r="N11359" t="s">
        <v>29</v>
      </c>
    </row>
    <row r="11360" spans="1:14">
      <c r="A11360" s="4" t="str">
        <f t="shared" ref="A11360:A11367" si="1011">HYPERLINK("http://hcmdb.i-sanger.com/experiment/details/experiment_id/EXP00376","EXP00376")</f>
        <v>EXP00376</v>
      </c>
      <c r="B11360" s="3" t="s">
        <v>66</v>
      </c>
      <c r="C11360" s="4" t="str">
        <f t="shared" si="1009"/>
        <v>GSE80038</v>
      </c>
      <c r="D11360" s="1" t="s">
        <v>477</v>
      </c>
      <c r="E11360" t="s">
        <v>354</v>
      </c>
      <c r="F11360" s="1">
        <v>1</v>
      </c>
      <c r="G11360" s="1" t="s">
        <v>31</v>
      </c>
      <c r="H11360" s="4" t="str">
        <f>HYPERLINK("https://www.ncbi.nlm.nih.gov/geo/query/acc.cgi?acc=GSM2111493","GSM2111493")</f>
        <v>GSM2111493</v>
      </c>
      <c r="I11360" t="s">
        <v>17</v>
      </c>
      <c r="J11360" t="s">
        <v>350</v>
      </c>
      <c r="K11360" t="s">
        <v>19</v>
      </c>
      <c r="L11360" t="s">
        <v>20</v>
      </c>
      <c r="M11360" t="s">
        <v>41</v>
      </c>
      <c r="N11360" t="s">
        <v>29</v>
      </c>
    </row>
    <row r="11361" spans="1:14">
      <c r="A11361" s="4" t="str">
        <f t="shared" si="1011"/>
        <v>EXP00376</v>
      </c>
      <c r="B11361" s="3" t="s">
        <v>66</v>
      </c>
      <c r="C11361" s="4" t="str">
        <f t="shared" si="1009"/>
        <v>GSE80038</v>
      </c>
      <c r="D11361" s="1" t="s">
        <v>477</v>
      </c>
      <c r="E11361" t="s">
        <v>354</v>
      </c>
      <c r="F11361" s="1">
        <v>1</v>
      </c>
      <c r="G11361" s="1" t="s">
        <v>31</v>
      </c>
      <c r="H11361" s="4" t="str">
        <f>HYPERLINK("https://www.ncbi.nlm.nih.gov/geo/query/acc.cgi?acc=GSM2111494","GSM2111494")</f>
        <v>GSM2111494</v>
      </c>
      <c r="I11361" t="s">
        <v>17</v>
      </c>
      <c r="J11361" t="s">
        <v>350</v>
      </c>
      <c r="K11361" t="s">
        <v>19</v>
      </c>
      <c r="L11361" t="s">
        <v>20</v>
      </c>
      <c r="M11361" t="s">
        <v>41</v>
      </c>
      <c r="N11361" t="s">
        <v>29</v>
      </c>
    </row>
    <row r="11362" spans="1:14">
      <c r="A11362" s="4" t="str">
        <f t="shared" si="1011"/>
        <v>EXP00376</v>
      </c>
      <c r="B11362" s="3" t="s">
        <v>66</v>
      </c>
      <c r="C11362" s="4" t="str">
        <f t="shared" si="1009"/>
        <v>GSE80038</v>
      </c>
      <c r="D11362" s="1" t="s">
        <v>477</v>
      </c>
      <c r="E11362" t="s">
        <v>354</v>
      </c>
      <c r="F11362" s="1">
        <v>1</v>
      </c>
      <c r="G11362" s="1" t="s">
        <v>31</v>
      </c>
      <c r="H11362" s="4" t="str">
        <f>HYPERLINK("https://www.ncbi.nlm.nih.gov/geo/query/acc.cgi?acc=GSM2111495","GSM2111495")</f>
        <v>GSM2111495</v>
      </c>
      <c r="I11362" t="s">
        <v>17</v>
      </c>
      <c r="J11362" t="s">
        <v>350</v>
      </c>
      <c r="K11362" t="s">
        <v>19</v>
      </c>
      <c r="L11362" t="s">
        <v>20</v>
      </c>
      <c r="M11362" t="s">
        <v>41</v>
      </c>
      <c r="N11362" t="s">
        <v>29</v>
      </c>
    </row>
    <row r="11363" spans="1:14">
      <c r="A11363" s="4" t="str">
        <f t="shared" si="1011"/>
        <v>EXP00376</v>
      </c>
      <c r="B11363" s="3" t="s">
        <v>66</v>
      </c>
      <c r="C11363" s="4" t="str">
        <f t="shared" si="1009"/>
        <v>GSE80038</v>
      </c>
      <c r="D11363" s="1" t="s">
        <v>477</v>
      </c>
      <c r="E11363" t="s">
        <v>354</v>
      </c>
      <c r="F11363" s="1">
        <v>1</v>
      </c>
      <c r="G11363" s="1" t="s">
        <v>31</v>
      </c>
      <c r="H11363" s="4" t="str">
        <f>HYPERLINK("https://www.ncbi.nlm.nih.gov/geo/query/acc.cgi?acc=GSM2111496","GSM2111496")</f>
        <v>GSM2111496</v>
      </c>
      <c r="I11363" t="s">
        <v>17</v>
      </c>
      <c r="J11363" t="s">
        <v>350</v>
      </c>
      <c r="K11363" t="s">
        <v>19</v>
      </c>
      <c r="L11363" t="s">
        <v>20</v>
      </c>
      <c r="M11363" t="s">
        <v>41</v>
      </c>
      <c r="N11363" t="s">
        <v>29</v>
      </c>
    </row>
    <row r="11364" spans="1:14">
      <c r="A11364" s="4" t="str">
        <f t="shared" si="1011"/>
        <v>EXP00376</v>
      </c>
      <c r="B11364" s="3" t="s">
        <v>66</v>
      </c>
      <c r="C11364" s="4" t="str">
        <f t="shared" si="1009"/>
        <v>GSE80038</v>
      </c>
      <c r="D11364" s="1" t="s">
        <v>477</v>
      </c>
      <c r="E11364" t="s">
        <v>354</v>
      </c>
      <c r="F11364" s="1">
        <v>2</v>
      </c>
      <c r="G11364" s="1" t="s">
        <v>32</v>
      </c>
      <c r="H11364" s="4" t="str">
        <f>HYPERLINK("https://www.ncbi.nlm.nih.gov/geo/query/acc.cgi?acc=GSM2111501","GSM2111501")</f>
        <v>GSM2111501</v>
      </c>
      <c r="I11364" t="s">
        <v>17</v>
      </c>
      <c r="J11364" t="s">
        <v>350</v>
      </c>
      <c r="K11364" t="s">
        <v>33</v>
      </c>
      <c r="L11364" t="s">
        <v>20</v>
      </c>
      <c r="N11364" t="s">
        <v>29</v>
      </c>
    </row>
    <row r="11365" spans="1:14">
      <c r="A11365" s="4" t="str">
        <f t="shared" si="1011"/>
        <v>EXP00376</v>
      </c>
      <c r="B11365" s="3" t="s">
        <v>66</v>
      </c>
      <c r="C11365" s="4" t="str">
        <f t="shared" si="1009"/>
        <v>GSE80038</v>
      </c>
      <c r="D11365" s="1" t="s">
        <v>477</v>
      </c>
      <c r="E11365" t="s">
        <v>354</v>
      </c>
      <c r="F11365" s="1">
        <v>2</v>
      </c>
      <c r="G11365" s="1" t="s">
        <v>32</v>
      </c>
      <c r="H11365" s="4" t="str">
        <f>HYPERLINK("https://www.ncbi.nlm.nih.gov/geo/query/acc.cgi?acc=GSM2111502","GSM2111502")</f>
        <v>GSM2111502</v>
      </c>
      <c r="I11365" t="s">
        <v>17</v>
      </c>
      <c r="J11365" t="s">
        <v>350</v>
      </c>
      <c r="K11365" t="s">
        <v>33</v>
      </c>
      <c r="L11365" t="s">
        <v>20</v>
      </c>
      <c r="N11365" t="s">
        <v>29</v>
      </c>
    </row>
    <row r="11366" spans="1:14">
      <c r="A11366" s="4" t="str">
        <f t="shared" si="1011"/>
        <v>EXP00376</v>
      </c>
      <c r="B11366" s="3" t="s">
        <v>66</v>
      </c>
      <c r="C11366" s="4" t="str">
        <f t="shared" si="1009"/>
        <v>GSE80038</v>
      </c>
      <c r="D11366" s="1" t="s">
        <v>477</v>
      </c>
      <c r="E11366" t="s">
        <v>354</v>
      </c>
      <c r="F11366" s="1">
        <v>2</v>
      </c>
      <c r="G11366" s="1" t="s">
        <v>32</v>
      </c>
      <c r="H11366" s="4" t="str">
        <f>HYPERLINK("https://www.ncbi.nlm.nih.gov/geo/query/acc.cgi?acc=GSM2111503","GSM2111503")</f>
        <v>GSM2111503</v>
      </c>
      <c r="I11366" t="s">
        <v>17</v>
      </c>
      <c r="J11366" t="s">
        <v>350</v>
      </c>
      <c r="K11366" t="s">
        <v>33</v>
      </c>
      <c r="L11366" t="s">
        <v>20</v>
      </c>
      <c r="N11366" t="s">
        <v>29</v>
      </c>
    </row>
    <row r="11367" spans="1:14">
      <c r="A11367" s="4" t="str">
        <f t="shared" si="1011"/>
        <v>EXP00376</v>
      </c>
      <c r="B11367" s="3" t="s">
        <v>66</v>
      </c>
      <c r="C11367" s="4" t="str">
        <f t="shared" si="1009"/>
        <v>GSE80038</v>
      </c>
      <c r="D11367" s="1" t="s">
        <v>477</v>
      </c>
      <c r="E11367" t="s">
        <v>354</v>
      </c>
      <c r="F11367" s="1">
        <v>2</v>
      </c>
      <c r="G11367" s="1" t="s">
        <v>32</v>
      </c>
      <c r="H11367" s="4" t="str">
        <f>HYPERLINK("https://www.ncbi.nlm.nih.gov/geo/query/acc.cgi?acc=GSM2111504","GSM2111504")</f>
        <v>GSM2111504</v>
      </c>
      <c r="I11367" t="s">
        <v>17</v>
      </c>
      <c r="J11367" t="s">
        <v>350</v>
      </c>
      <c r="K11367" t="s">
        <v>33</v>
      </c>
      <c r="L11367" t="s">
        <v>20</v>
      </c>
      <c r="N11367" t="s">
        <v>29</v>
      </c>
    </row>
    <row r="11368" spans="1:14">
      <c r="A11368" s="4" t="str">
        <f t="shared" ref="A11368:A11375" si="1012">HYPERLINK("http://hcmdb.i-sanger.com/experiment/details/experiment_id/EXP00377","EXP00377")</f>
        <v>EXP00377</v>
      </c>
      <c r="B11368" s="3" t="s">
        <v>66</v>
      </c>
      <c r="C11368" s="4" t="str">
        <f t="shared" si="1009"/>
        <v>GSE80038</v>
      </c>
      <c r="D11368" s="1" t="s">
        <v>477</v>
      </c>
      <c r="E11368" t="s">
        <v>355</v>
      </c>
      <c r="F11368" s="1">
        <v>1</v>
      </c>
      <c r="G11368" s="1" t="s">
        <v>36</v>
      </c>
      <c r="H11368" s="4" t="str">
        <f>HYPERLINK("https://www.ncbi.nlm.nih.gov/geo/query/acc.cgi?acc=GSM2111497","GSM2111497")</f>
        <v>GSM2111497</v>
      </c>
      <c r="I11368" t="s">
        <v>17</v>
      </c>
      <c r="J11368" t="s">
        <v>350</v>
      </c>
      <c r="K11368" t="s">
        <v>33</v>
      </c>
      <c r="L11368" t="s">
        <v>20</v>
      </c>
      <c r="N11368" t="s">
        <v>37</v>
      </c>
    </row>
    <row r="11369" spans="1:14">
      <c r="A11369" s="4" t="str">
        <f t="shared" si="1012"/>
        <v>EXP00377</v>
      </c>
      <c r="B11369" s="3" t="s">
        <v>66</v>
      </c>
      <c r="C11369" s="4" t="str">
        <f t="shared" si="1009"/>
        <v>GSE80038</v>
      </c>
      <c r="D11369" s="1" t="s">
        <v>477</v>
      </c>
      <c r="E11369" t="s">
        <v>355</v>
      </c>
      <c r="F11369" s="1">
        <v>1</v>
      </c>
      <c r="G11369" s="1" t="s">
        <v>36</v>
      </c>
      <c r="H11369" s="4" t="str">
        <f>HYPERLINK("https://www.ncbi.nlm.nih.gov/geo/query/acc.cgi?acc=GSM2111498","GSM2111498")</f>
        <v>GSM2111498</v>
      </c>
      <c r="I11369" t="s">
        <v>17</v>
      </c>
      <c r="J11369" t="s">
        <v>350</v>
      </c>
      <c r="K11369" t="s">
        <v>33</v>
      </c>
      <c r="L11369" t="s">
        <v>20</v>
      </c>
      <c r="N11369" t="s">
        <v>37</v>
      </c>
    </row>
    <row r="11370" spans="1:14">
      <c r="A11370" s="4" t="str">
        <f t="shared" si="1012"/>
        <v>EXP00377</v>
      </c>
      <c r="B11370" s="3" t="s">
        <v>66</v>
      </c>
      <c r="C11370" s="4" t="str">
        <f t="shared" si="1009"/>
        <v>GSE80038</v>
      </c>
      <c r="D11370" s="1" t="s">
        <v>477</v>
      </c>
      <c r="E11370" t="s">
        <v>355</v>
      </c>
      <c r="F11370" s="1">
        <v>1</v>
      </c>
      <c r="G11370" s="1" t="s">
        <v>36</v>
      </c>
      <c r="H11370" s="4" t="str">
        <f>HYPERLINK("https://www.ncbi.nlm.nih.gov/geo/query/acc.cgi?acc=GSM2111499","GSM2111499")</f>
        <v>GSM2111499</v>
      </c>
      <c r="I11370" t="s">
        <v>17</v>
      </c>
      <c r="J11370" t="s">
        <v>350</v>
      </c>
      <c r="K11370" t="s">
        <v>33</v>
      </c>
      <c r="L11370" t="s">
        <v>20</v>
      </c>
      <c r="N11370" t="s">
        <v>37</v>
      </c>
    </row>
    <row r="11371" spans="1:14">
      <c r="A11371" s="4" t="str">
        <f t="shared" si="1012"/>
        <v>EXP00377</v>
      </c>
      <c r="B11371" s="3" t="s">
        <v>66</v>
      </c>
      <c r="C11371" s="4" t="str">
        <f t="shared" si="1009"/>
        <v>GSE80038</v>
      </c>
      <c r="D11371" s="1" t="s">
        <v>477</v>
      </c>
      <c r="E11371" t="s">
        <v>355</v>
      </c>
      <c r="F11371" s="1">
        <v>1</v>
      </c>
      <c r="G11371" s="1" t="s">
        <v>36</v>
      </c>
      <c r="H11371" s="4" t="str">
        <f>HYPERLINK("https://www.ncbi.nlm.nih.gov/geo/query/acc.cgi?acc=GSM2111500","GSM2111500")</f>
        <v>GSM2111500</v>
      </c>
      <c r="I11371" t="s">
        <v>17</v>
      </c>
      <c r="J11371" t="s">
        <v>350</v>
      </c>
      <c r="K11371" t="s">
        <v>33</v>
      </c>
      <c r="L11371" t="s">
        <v>20</v>
      </c>
      <c r="N11371" t="s">
        <v>37</v>
      </c>
    </row>
    <row r="11372" spans="1:14">
      <c r="A11372" s="4" t="str">
        <f t="shared" si="1012"/>
        <v>EXP00377</v>
      </c>
      <c r="B11372" s="3" t="s">
        <v>66</v>
      </c>
      <c r="C11372" s="4" t="str">
        <f t="shared" si="1009"/>
        <v>GSE80038</v>
      </c>
      <c r="D11372" s="1" t="s">
        <v>477</v>
      </c>
      <c r="E11372" t="s">
        <v>355</v>
      </c>
      <c r="F11372" s="1">
        <v>2</v>
      </c>
      <c r="G11372" s="1" t="s">
        <v>28</v>
      </c>
      <c r="H11372" s="4" t="str">
        <f>HYPERLINK("https://www.ncbi.nlm.nih.gov/geo/query/acc.cgi?acc=GSM2111501","GSM2111501")</f>
        <v>GSM2111501</v>
      </c>
      <c r="I11372" t="s">
        <v>17</v>
      </c>
      <c r="J11372" t="s">
        <v>350</v>
      </c>
      <c r="K11372" t="s">
        <v>33</v>
      </c>
      <c r="L11372" t="s">
        <v>20</v>
      </c>
      <c r="N11372" t="s">
        <v>29</v>
      </c>
    </row>
    <row r="11373" spans="1:14">
      <c r="A11373" s="4" t="str">
        <f t="shared" si="1012"/>
        <v>EXP00377</v>
      </c>
      <c r="B11373" s="3" t="s">
        <v>66</v>
      </c>
      <c r="C11373" s="4" t="str">
        <f t="shared" si="1009"/>
        <v>GSE80038</v>
      </c>
      <c r="D11373" s="1" t="s">
        <v>477</v>
      </c>
      <c r="E11373" t="s">
        <v>355</v>
      </c>
      <c r="F11373" s="1">
        <v>2</v>
      </c>
      <c r="G11373" s="1" t="s">
        <v>28</v>
      </c>
      <c r="H11373" s="4" t="str">
        <f>HYPERLINK("https://www.ncbi.nlm.nih.gov/geo/query/acc.cgi?acc=GSM2111502","GSM2111502")</f>
        <v>GSM2111502</v>
      </c>
      <c r="I11373" t="s">
        <v>17</v>
      </c>
      <c r="J11373" t="s">
        <v>350</v>
      </c>
      <c r="K11373" t="s">
        <v>33</v>
      </c>
      <c r="L11373" t="s">
        <v>20</v>
      </c>
      <c r="N11373" t="s">
        <v>29</v>
      </c>
    </row>
    <row r="11374" spans="1:14">
      <c r="A11374" s="4" t="str">
        <f t="shared" si="1012"/>
        <v>EXP00377</v>
      </c>
      <c r="B11374" s="3" t="s">
        <v>66</v>
      </c>
      <c r="C11374" s="4" t="str">
        <f t="shared" si="1009"/>
        <v>GSE80038</v>
      </c>
      <c r="D11374" s="1" t="s">
        <v>477</v>
      </c>
      <c r="E11374" t="s">
        <v>355</v>
      </c>
      <c r="F11374" s="1">
        <v>2</v>
      </c>
      <c r="G11374" s="1" t="s">
        <v>28</v>
      </c>
      <c r="H11374" s="4" t="str">
        <f>HYPERLINK("https://www.ncbi.nlm.nih.gov/geo/query/acc.cgi?acc=GSM2111503","GSM2111503")</f>
        <v>GSM2111503</v>
      </c>
      <c r="I11374" t="s">
        <v>17</v>
      </c>
      <c r="J11374" t="s">
        <v>350</v>
      </c>
      <c r="K11374" t="s">
        <v>33</v>
      </c>
      <c r="L11374" t="s">
        <v>20</v>
      </c>
      <c r="N11374" t="s">
        <v>29</v>
      </c>
    </row>
    <row r="11375" spans="1:14">
      <c r="A11375" s="4" t="str">
        <f t="shared" si="1012"/>
        <v>EXP00377</v>
      </c>
      <c r="B11375" s="3" t="s">
        <v>66</v>
      </c>
      <c r="C11375" s="4" t="str">
        <f t="shared" si="1009"/>
        <v>GSE80038</v>
      </c>
      <c r="D11375" s="1" t="s">
        <v>477</v>
      </c>
      <c r="E11375" t="s">
        <v>355</v>
      </c>
      <c r="F11375" s="1">
        <v>2</v>
      </c>
      <c r="G11375" s="1" t="s">
        <v>28</v>
      </c>
      <c r="H11375" s="4" t="str">
        <f>HYPERLINK("https://www.ncbi.nlm.nih.gov/geo/query/acc.cgi?acc=GSM2111504","GSM2111504")</f>
        <v>GSM2111504</v>
      </c>
      <c r="I11375" t="s">
        <v>17</v>
      </c>
      <c r="J11375" t="s">
        <v>350</v>
      </c>
      <c r="K11375" t="s">
        <v>33</v>
      </c>
      <c r="L11375" t="s">
        <v>20</v>
      </c>
      <c r="N11375" t="s">
        <v>29</v>
      </c>
    </row>
    <row r="11376" spans="1:14">
      <c r="A11376" s="4" t="str">
        <f t="shared" ref="A11376:A11403" si="1013">HYPERLINK("http://hcmdb.i-sanger.com/experiment/details/experiment_id/EXP00378","EXP00378")</f>
        <v>EXP00378</v>
      </c>
      <c r="B11376" s="4" t="str">
        <f t="shared" ref="B11376:B11403" si="1014">HYPERLINK("https://www.ncbi.nlm.nih.gov/pubmed/27764126","27764126")</f>
        <v>27764126</v>
      </c>
      <c r="C11376" s="4" t="str">
        <f t="shared" ref="C11376:C11403" si="1015">HYPERLINK("https://www.ncbi.nlm.nih.gov/geo/query/acc.cgi?acc=GSE84976","GSE84976")</f>
        <v>GSE84976</v>
      </c>
      <c r="D11376" s="1" t="s">
        <v>303</v>
      </c>
      <c r="E11376" t="s">
        <v>438</v>
      </c>
      <c r="F11376" s="1">
        <v>1</v>
      </c>
      <c r="G11376" s="1" t="s">
        <v>31</v>
      </c>
      <c r="H11376" s="4" t="str">
        <f>HYPERLINK("https://www.ncbi.nlm.nih.gov/geo/query/acc.cgi?acc=GSM2254879","GSM2254879")</f>
        <v>GSM2254879</v>
      </c>
      <c r="I11376" t="s">
        <v>439</v>
      </c>
      <c r="J11376" t="s">
        <v>440</v>
      </c>
      <c r="K11376" t="s">
        <v>19</v>
      </c>
      <c r="L11376" t="s">
        <v>441</v>
      </c>
      <c r="M11376" t="s">
        <v>51</v>
      </c>
      <c r="N11376" t="s">
        <v>29</v>
      </c>
    </row>
    <row r="11377" spans="1:14">
      <c r="A11377" s="4" t="str">
        <f t="shared" si="1013"/>
        <v>EXP00378</v>
      </c>
      <c r="B11377" s="4" t="str">
        <f t="shared" si="1014"/>
        <v>27764126</v>
      </c>
      <c r="C11377" s="4" t="str">
        <f t="shared" si="1015"/>
        <v>GSE84976</v>
      </c>
      <c r="D11377" s="1" t="s">
        <v>303</v>
      </c>
      <c r="E11377" t="s">
        <v>438</v>
      </c>
      <c r="F11377" s="1">
        <v>1</v>
      </c>
      <c r="G11377" s="1" t="s">
        <v>31</v>
      </c>
      <c r="H11377" s="4" t="str">
        <f>HYPERLINK("https://www.ncbi.nlm.nih.gov/geo/query/acc.cgi?acc=GSM2254880","GSM2254880")</f>
        <v>GSM2254880</v>
      </c>
      <c r="I11377" t="s">
        <v>439</v>
      </c>
      <c r="J11377" t="s">
        <v>440</v>
      </c>
      <c r="K11377" t="s">
        <v>19</v>
      </c>
      <c r="L11377" t="s">
        <v>441</v>
      </c>
      <c r="M11377" t="s">
        <v>51</v>
      </c>
      <c r="N11377" t="s">
        <v>29</v>
      </c>
    </row>
    <row r="11378" spans="1:14">
      <c r="A11378" s="4" t="str">
        <f t="shared" si="1013"/>
        <v>EXP00378</v>
      </c>
      <c r="B11378" s="4" t="str">
        <f t="shared" si="1014"/>
        <v>27764126</v>
      </c>
      <c r="C11378" s="4" t="str">
        <f t="shared" si="1015"/>
        <v>GSE84976</v>
      </c>
      <c r="D11378" s="1" t="s">
        <v>303</v>
      </c>
      <c r="E11378" t="s">
        <v>438</v>
      </c>
      <c r="F11378" s="1">
        <v>1</v>
      </c>
      <c r="G11378" s="1" t="s">
        <v>31</v>
      </c>
      <c r="H11378" s="4" t="str">
        <f>HYPERLINK("https://www.ncbi.nlm.nih.gov/geo/query/acc.cgi?acc=GSM2254888","GSM2254888")</f>
        <v>GSM2254888</v>
      </c>
      <c r="I11378" t="s">
        <v>439</v>
      </c>
      <c r="J11378" t="s">
        <v>440</v>
      </c>
      <c r="K11378" t="s">
        <v>19</v>
      </c>
      <c r="L11378" t="s">
        <v>441</v>
      </c>
      <c r="M11378" t="s">
        <v>51</v>
      </c>
      <c r="N11378" t="s">
        <v>29</v>
      </c>
    </row>
    <row r="11379" spans="1:14">
      <c r="A11379" s="4" t="str">
        <f t="shared" si="1013"/>
        <v>EXP00378</v>
      </c>
      <c r="B11379" s="4" t="str">
        <f t="shared" si="1014"/>
        <v>27764126</v>
      </c>
      <c r="C11379" s="4" t="str">
        <f t="shared" si="1015"/>
        <v>GSE84976</v>
      </c>
      <c r="D11379" s="1" t="s">
        <v>303</v>
      </c>
      <c r="E11379" t="s">
        <v>438</v>
      </c>
      <c r="F11379" s="1">
        <v>1</v>
      </c>
      <c r="G11379" s="1" t="s">
        <v>31</v>
      </c>
      <c r="H11379" s="4" t="str">
        <f>HYPERLINK("https://www.ncbi.nlm.nih.gov/geo/query/acc.cgi?acc=GSM2254889","GSM2254889")</f>
        <v>GSM2254889</v>
      </c>
      <c r="I11379" t="s">
        <v>439</v>
      </c>
      <c r="J11379" t="s">
        <v>440</v>
      </c>
      <c r="K11379" t="s">
        <v>19</v>
      </c>
      <c r="L11379" t="s">
        <v>441</v>
      </c>
      <c r="M11379" t="s">
        <v>51</v>
      </c>
      <c r="N11379" t="s">
        <v>29</v>
      </c>
    </row>
    <row r="11380" spans="1:14">
      <c r="A11380" s="4" t="str">
        <f t="shared" si="1013"/>
        <v>EXP00378</v>
      </c>
      <c r="B11380" s="4" t="str">
        <f t="shared" si="1014"/>
        <v>27764126</v>
      </c>
      <c r="C11380" s="4" t="str">
        <f t="shared" si="1015"/>
        <v>GSE84976</v>
      </c>
      <c r="D11380" s="1" t="s">
        <v>303</v>
      </c>
      <c r="E11380" t="s">
        <v>438</v>
      </c>
      <c r="F11380" s="1">
        <v>1</v>
      </c>
      <c r="G11380" s="1" t="s">
        <v>31</v>
      </c>
      <c r="H11380" s="4" t="str">
        <f>HYPERLINK("https://www.ncbi.nlm.nih.gov/geo/query/acc.cgi?acc=GSM2254892","GSM2254892")</f>
        <v>GSM2254892</v>
      </c>
      <c r="I11380" t="s">
        <v>439</v>
      </c>
      <c r="J11380" t="s">
        <v>440</v>
      </c>
      <c r="K11380" t="s">
        <v>19</v>
      </c>
      <c r="L11380" t="s">
        <v>441</v>
      </c>
      <c r="M11380" t="s">
        <v>51</v>
      </c>
      <c r="N11380" t="s">
        <v>29</v>
      </c>
    </row>
    <row r="11381" spans="1:14">
      <c r="A11381" s="4" t="str">
        <f t="shared" si="1013"/>
        <v>EXP00378</v>
      </c>
      <c r="B11381" s="4" t="str">
        <f t="shared" si="1014"/>
        <v>27764126</v>
      </c>
      <c r="C11381" s="4" t="str">
        <f t="shared" si="1015"/>
        <v>GSE84976</v>
      </c>
      <c r="D11381" s="1" t="s">
        <v>303</v>
      </c>
      <c r="E11381" t="s">
        <v>438</v>
      </c>
      <c r="F11381" s="1">
        <v>1</v>
      </c>
      <c r="G11381" s="1" t="s">
        <v>31</v>
      </c>
      <c r="H11381" s="4" t="str">
        <f>HYPERLINK("https://www.ncbi.nlm.nih.gov/geo/query/acc.cgi?acc=GSM2254893","GSM2254893")</f>
        <v>GSM2254893</v>
      </c>
      <c r="I11381" t="s">
        <v>439</v>
      </c>
      <c r="J11381" t="s">
        <v>440</v>
      </c>
      <c r="K11381" t="s">
        <v>19</v>
      </c>
      <c r="L11381" t="s">
        <v>441</v>
      </c>
      <c r="M11381" t="s">
        <v>51</v>
      </c>
      <c r="N11381" t="s">
        <v>29</v>
      </c>
    </row>
    <row r="11382" spans="1:14">
      <c r="A11382" s="4" t="str">
        <f t="shared" si="1013"/>
        <v>EXP00378</v>
      </c>
      <c r="B11382" s="4" t="str">
        <f t="shared" si="1014"/>
        <v>27764126</v>
      </c>
      <c r="C11382" s="4" t="str">
        <f t="shared" si="1015"/>
        <v>GSE84976</v>
      </c>
      <c r="D11382" s="1" t="s">
        <v>303</v>
      </c>
      <c r="E11382" t="s">
        <v>438</v>
      </c>
      <c r="F11382" s="1">
        <v>1</v>
      </c>
      <c r="G11382" s="1" t="s">
        <v>31</v>
      </c>
      <c r="H11382" s="4" t="str">
        <f>HYPERLINK("https://www.ncbi.nlm.nih.gov/geo/query/acc.cgi?acc=GSM2254894","GSM2254894")</f>
        <v>GSM2254894</v>
      </c>
      <c r="I11382" t="s">
        <v>439</v>
      </c>
      <c r="J11382" t="s">
        <v>440</v>
      </c>
      <c r="K11382" t="s">
        <v>19</v>
      </c>
      <c r="L11382" t="s">
        <v>441</v>
      </c>
      <c r="M11382" t="s">
        <v>51</v>
      </c>
      <c r="N11382" t="s">
        <v>29</v>
      </c>
    </row>
    <row r="11383" spans="1:14">
      <c r="A11383" s="4" t="str">
        <f t="shared" si="1013"/>
        <v>EXP00378</v>
      </c>
      <c r="B11383" s="4" t="str">
        <f t="shared" si="1014"/>
        <v>27764126</v>
      </c>
      <c r="C11383" s="4" t="str">
        <f t="shared" si="1015"/>
        <v>GSE84976</v>
      </c>
      <c r="D11383" s="1" t="s">
        <v>303</v>
      </c>
      <c r="E11383" t="s">
        <v>438</v>
      </c>
      <c r="F11383" s="1">
        <v>1</v>
      </c>
      <c r="G11383" s="1" t="s">
        <v>31</v>
      </c>
      <c r="H11383" s="4" t="str">
        <f>HYPERLINK("https://www.ncbi.nlm.nih.gov/geo/query/acc.cgi?acc=GSM2254896","GSM2254896")</f>
        <v>GSM2254896</v>
      </c>
      <c r="I11383" t="s">
        <v>439</v>
      </c>
      <c r="J11383" t="s">
        <v>440</v>
      </c>
      <c r="K11383" t="s">
        <v>19</v>
      </c>
      <c r="L11383" t="s">
        <v>441</v>
      </c>
      <c r="M11383" t="s">
        <v>51</v>
      </c>
      <c r="N11383" t="s">
        <v>29</v>
      </c>
    </row>
    <row r="11384" spans="1:14">
      <c r="A11384" s="4" t="str">
        <f t="shared" si="1013"/>
        <v>EXP00378</v>
      </c>
      <c r="B11384" s="4" t="str">
        <f t="shared" si="1014"/>
        <v>27764126</v>
      </c>
      <c r="C11384" s="4" t="str">
        <f t="shared" si="1015"/>
        <v>GSE84976</v>
      </c>
      <c r="D11384" s="1" t="s">
        <v>303</v>
      </c>
      <c r="E11384" t="s">
        <v>438</v>
      </c>
      <c r="F11384" s="1">
        <v>1</v>
      </c>
      <c r="G11384" s="1" t="s">
        <v>31</v>
      </c>
      <c r="H11384" s="4" t="str">
        <f>HYPERLINK("https://www.ncbi.nlm.nih.gov/geo/query/acc.cgi?acc=GSM2254897","GSM2254897")</f>
        <v>GSM2254897</v>
      </c>
      <c r="I11384" t="s">
        <v>439</v>
      </c>
      <c r="J11384" t="s">
        <v>440</v>
      </c>
      <c r="K11384" t="s">
        <v>19</v>
      </c>
      <c r="L11384" t="s">
        <v>441</v>
      </c>
      <c r="M11384" t="s">
        <v>51</v>
      </c>
      <c r="N11384" t="s">
        <v>29</v>
      </c>
    </row>
    <row r="11385" spans="1:14">
      <c r="A11385" s="4" t="str">
        <f t="shared" si="1013"/>
        <v>EXP00378</v>
      </c>
      <c r="B11385" s="4" t="str">
        <f t="shared" si="1014"/>
        <v>27764126</v>
      </c>
      <c r="C11385" s="4" t="str">
        <f t="shared" si="1015"/>
        <v>GSE84976</v>
      </c>
      <c r="D11385" s="1" t="s">
        <v>303</v>
      </c>
      <c r="E11385" t="s">
        <v>438</v>
      </c>
      <c r="F11385" s="1">
        <v>1</v>
      </c>
      <c r="G11385" s="1" t="s">
        <v>31</v>
      </c>
      <c r="H11385" s="4" t="str">
        <f>HYPERLINK("https://www.ncbi.nlm.nih.gov/geo/query/acc.cgi?acc=GSM2254898","GSM2254898")</f>
        <v>GSM2254898</v>
      </c>
      <c r="I11385" t="s">
        <v>439</v>
      </c>
      <c r="J11385" t="s">
        <v>440</v>
      </c>
      <c r="K11385" t="s">
        <v>19</v>
      </c>
      <c r="L11385" t="s">
        <v>441</v>
      </c>
      <c r="M11385" t="s">
        <v>51</v>
      </c>
      <c r="N11385" t="s">
        <v>29</v>
      </c>
    </row>
    <row r="11386" spans="1:14">
      <c r="A11386" s="4" t="str">
        <f t="shared" si="1013"/>
        <v>EXP00378</v>
      </c>
      <c r="B11386" s="4" t="str">
        <f t="shared" si="1014"/>
        <v>27764126</v>
      </c>
      <c r="C11386" s="4" t="str">
        <f t="shared" si="1015"/>
        <v>GSE84976</v>
      </c>
      <c r="D11386" s="1" t="s">
        <v>303</v>
      </c>
      <c r="E11386" t="s">
        <v>438</v>
      </c>
      <c r="F11386" s="1">
        <v>1</v>
      </c>
      <c r="G11386" s="1" t="s">
        <v>31</v>
      </c>
      <c r="H11386" s="4" t="str">
        <f>HYPERLINK("https://www.ncbi.nlm.nih.gov/geo/query/acc.cgi?acc=GSM2254900","GSM2254900")</f>
        <v>GSM2254900</v>
      </c>
      <c r="I11386" t="s">
        <v>439</v>
      </c>
      <c r="J11386" t="s">
        <v>440</v>
      </c>
      <c r="K11386" t="s">
        <v>19</v>
      </c>
      <c r="L11386" t="s">
        <v>441</v>
      </c>
      <c r="M11386" t="s">
        <v>51</v>
      </c>
      <c r="N11386" t="s">
        <v>29</v>
      </c>
    </row>
    <row r="11387" spans="1:14">
      <c r="A11387" s="4" t="str">
        <f t="shared" si="1013"/>
        <v>EXP00378</v>
      </c>
      <c r="B11387" s="4" t="str">
        <f t="shared" si="1014"/>
        <v>27764126</v>
      </c>
      <c r="C11387" s="4" t="str">
        <f t="shared" si="1015"/>
        <v>GSE84976</v>
      </c>
      <c r="D11387" s="1" t="s">
        <v>303</v>
      </c>
      <c r="E11387" t="s">
        <v>438</v>
      </c>
      <c r="F11387" s="1">
        <v>1</v>
      </c>
      <c r="G11387" s="1" t="s">
        <v>31</v>
      </c>
      <c r="H11387" s="4" t="str">
        <f>HYPERLINK("https://www.ncbi.nlm.nih.gov/geo/query/acc.cgi?acc=GSM2254901","GSM2254901")</f>
        <v>GSM2254901</v>
      </c>
      <c r="I11387" t="s">
        <v>439</v>
      </c>
      <c r="J11387" t="s">
        <v>440</v>
      </c>
      <c r="K11387" t="s">
        <v>19</v>
      </c>
      <c r="L11387" t="s">
        <v>441</v>
      </c>
      <c r="M11387" t="s">
        <v>51</v>
      </c>
      <c r="N11387" t="s">
        <v>29</v>
      </c>
    </row>
    <row r="11388" spans="1:14">
      <c r="A11388" s="4" t="str">
        <f t="shared" si="1013"/>
        <v>EXP00378</v>
      </c>
      <c r="B11388" s="4" t="str">
        <f t="shared" si="1014"/>
        <v>27764126</v>
      </c>
      <c r="C11388" s="4" t="str">
        <f t="shared" si="1015"/>
        <v>GSE84976</v>
      </c>
      <c r="D11388" s="1" t="s">
        <v>303</v>
      </c>
      <c r="E11388" t="s">
        <v>438</v>
      </c>
      <c r="F11388" s="1">
        <v>1</v>
      </c>
      <c r="G11388" s="1" t="s">
        <v>31</v>
      </c>
      <c r="H11388" s="4" t="str">
        <f>HYPERLINK("https://www.ncbi.nlm.nih.gov/geo/query/acc.cgi?acc=GSM2254903","GSM2254903")</f>
        <v>GSM2254903</v>
      </c>
      <c r="I11388" t="s">
        <v>439</v>
      </c>
      <c r="J11388" t="s">
        <v>440</v>
      </c>
      <c r="K11388" t="s">
        <v>19</v>
      </c>
      <c r="L11388" t="s">
        <v>441</v>
      </c>
      <c r="M11388" t="s">
        <v>51</v>
      </c>
      <c r="N11388" t="s">
        <v>29</v>
      </c>
    </row>
    <row r="11389" spans="1:14">
      <c r="A11389" s="4" t="str">
        <f t="shared" si="1013"/>
        <v>EXP00378</v>
      </c>
      <c r="B11389" s="4" t="str">
        <f t="shared" si="1014"/>
        <v>27764126</v>
      </c>
      <c r="C11389" s="4" t="str">
        <f t="shared" si="1015"/>
        <v>GSE84976</v>
      </c>
      <c r="D11389" s="1" t="s">
        <v>303</v>
      </c>
      <c r="E11389" t="s">
        <v>438</v>
      </c>
      <c r="F11389" s="1">
        <v>2</v>
      </c>
      <c r="G11389" s="1" t="s">
        <v>32</v>
      </c>
      <c r="H11389" s="4" t="str">
        <f>HYPERLINK("https://www.ncbi.nlm.nih.gov/geo/query/acc.cgi?acc=GSM2254877","GSM2254877")</f>
        <v>GSM2254877</v>
      </c>
      <c r="I11389" t="s">
        <v>439</v>
      </c>
      <c r="J11389" t="s">
        <v>440</v>
      </c>
      <c r="K11389" t="s">
        <v>33</v>
      </c>
      <c r="L11389" t="s">
        <v>441</v>
      </c>
      <c r="N11389" t="s">
        <v>29</v>
      </c>
    </row>
    <row r="11390" spans="1:14">
      <c r="A11390" s="4" t="str">
        <f t="shared" si="1013"/>
        <v>EXP00378</v>
      </c>
      <c r="B11390" s="4" t="str">
        <f t="shared" si="1014"/>
        <v>27764126</v>
      </c>
      <c r="C11390" s="4" t="str">
        <f t="shared" si="1015"/>
        <v>GSE84976</v>
      </c>
      <c r="D11390" s="1" t="s">
        <v>303</v>
      </c>
      <c r="E11390" t="s">
        <v>438</v>
      </c>
      <c r="F11390" s="1">
        <v>2</v>
      </c>
      <c r="G11390" s="1" t="s">
        <v>32</v>
      </c>
      <c r="H11390" s="4" t="str">
        <f>HYPERLINK("https://www.ncbi.nlm.nih.gov/geo/query/acc.cgi?acc=GSM2254878","GSM2254878")</f>
        <v>GSM2254878</v>
      </c>
      <c r="I11390" t="s">
        <v>439</v>
      </c>
      <c r="J11390" t="s">
        <v>440</v>
      </c>
      <c r="K11390" t="s">
        <v>33</v>
      </c>
      <c r="L11390" t="s">
        <v>441</v>
      </c>
      <c r="N11390" t="s">
        <v>29</v>
      </c>
    </row>
    <row r="11391" spans="1:14">
      <c r="A11391" s="4" t="str">
        <f t="shared" si="1013"/>
        <v>EXP00378</v>
      </c>
      <c r="B11391" s="4" t="str">
        <f t="shared" si="1014"/>
        <v>27764126</v>
      </c>
      <c r="C11391" s="4" t="str">
        <f t="shared" si="1015"/>
        <v>GSE84976</v>
      </c>
      <c r="D11391" s="1" t="s">
        <v>303</v>
      </c>
      <c r="E11391" t="s">
        <v>438</v>
      </c>
      <c r="F11391" s="1">
        <v>2</v>
      </c>
      <c r="G11391" s="1" t="s">
        <v>32</v>
      </c>
      <c r="H11391" s="4" t="str">
        <f>HYPERLINK("https://www.ncbi.nlm.nih.gov/geo/query/acc.cgi?acc=GSM2254881","GSM2254881")</f>
        <v>GSM2254881</v>
      </c>
      <c r="I11391" t="s">
        <v>439</v>
      </c>
      <c r="J11391" t="s">
        <v>440</v>
      </c>
      <c r="K11391" t="s">
        <v>33</v>
      </c>
      <c r="L11391" t="s">
        <v>441</v>
      </c>
      <c r="N11391" t="s">
        <v>29</v>
      </c>
    </row>
    <row r="11392" spans="1:14">
      <c r="A11392" s="4" t="str">
        <f t="shared" si="1013"/>
        <v>EXP00378</v>
      </c>
      <c r="B11392" s="4" t="str">
        <f t="shared" si="1014"/>
        <v>27764126</v>
      </c>
      <c r="C11392" s="4" t="str">
        <f t="shared" si="1015"/>
        <v>GSE84976</v>
      </c>
      <c r="D11392" s="1" t="s">
        <v>303</v>
      </c>
      <c r="E11392" t="s">
        <v>438</v>
      </c>
      <c r="F11392" s="1">
        <v>2</v>
      </c>
      <c r="G11392" s="1" t="s">
        <v>32</v>
      </c>
      <c r="H11392" s="4" t="str">
        <f>HYPERLINK("https://www.ncbi.nlm.nih.gov/geo/query/acc.cgi?acc=GSM2254882","GSM2254882")</f>
        <v>GSM2254882</v>
      </c>
      <c r="I11392" t="s">
        <v>439</v>
      </c>
      <c r="J11392" t="s">
        <v>440</v>
      </c>
      <c r="K11392" t="s">
        <v>33</v>
      </c>
      <c r="L11392" t="s">
        <v>441</v>
      </c>
      <c r="N11392" t="s">
        <v>29</v>
      </c>
    </row>
    <row r="11393" spans="1:14">
      <c r="A11393" s="4" t="str">
        <f t="shared" si="1013"/>
        <v>EXP00378</v>
      </c>
      <c r="B11393" s="4" t="str">
        <f t="shared" si="1014"/>
        <v>27764126</v>
      </c>
      <c r="C11393" s="4" t="str">
        <f t="shared" si="1015"/>
        <v>GSE84976</v>
      </c>
      <c r="D11393" s="1" t="s">
        <v>303</v>
      </c>
      <c r="E11393" t="s">
        <v>438</v>
      </c>
      <c r="F11393" s="1">
        <v>2</v>
      </c>
      <c r="G11393" s="1" t="s">
        <v>32</v>
      </c>
      <c r="H11393" s="4" t="str">
        <f>HYPERLINK("https://www.ncbi.nlm.nih.gov/geo/query/acc.cgi?acc=GSM2254883","GSM2254883")</f>
        <v>GSM2254883</v>
      </c>
      <c r="I11393" t="s">
        <v>439</v>
      </c>
      <c r="J11393" t="s">
        <v>440</v>
      </c>
      <c r="K11393" t="s">
        <v>33</v>
      </c>
      <c r="L11393" t="s">
        <v>441</v>
      </c>
      <c r="N11393" t="s">
        <v>29</v>
      </c>
    </row>
    <row r="11394" spans="1:14">
      <c r="A11394" s="4" t="str">
        <f t="shared" si="1013"/>
        <v>EXP00378</v>
      </c>
      <c r="B11394" s="4" t="str">
        <f t="shared" si="1014"/>
        <v>27764126</v>
      </c>
      <c r="C11394" s="4" t="str">
        <f t="shared" si="1015"/>
        <v>GSE84976</v>
      </c>
      <c r="D11394" s="1" t="s">
        <v>303</v>
      </c>
      <c r="E11394" t="s">
        <v>438</v>
      </c>
      <c r="F11394" s="1">
        <v>2</v>
      </c>
      <c r="G11394" s="1" t="s">
        <v>32</v>
      </c>
      <c r="H11394" s="4" t="str">
        <f>HYPERLINK("https://www.ncbi.nlm.nih.gov/geo/query/acc.cgi?acc=GSM2254884","GSM2254884")</f>
        <v>GSM2254884</v>
      </c>
      <c r="I11394" t="s">
        <v>439</v>
      </c>
      <c r="J11394" t="s">
        <v>440</v>
      </c>
      <c r="K11394" t="s">
        <v>33</v>
      </c>
      <c r="L11394" t="s">
        <v>441</v>
      </c>
      <c r="N11394" t="s">
        <v>29</v>
      </c>
    </row>
    <row r="11395" spans="1:14">
      <c r="A11395" s="4" t="str">
        <f t="shared" si="1013"/>
        <v>EXP00378</v>
      </c>
      <c r="B11395" s="4" t="str">
        <f t="shared" si="1014"/>
        <v>27764126</v>
      </c>
      <c r="C11395" s="4" t="str">
        <f t="shared" si="1015"/>
        <v>GSE84976</v>
      </c>
      <c r="D11395" s="1" t="s">
        <v>303</v>
      </c>
      <c r="E11395" t="s">
        <v>438</v>
      </c>
      <c r="F11395" s="1">
        <v>2</v>
      </c>
      <c r="G11395" s="1" t="s">
        <v>32</v>
      </c>
      <c r="H11395" s="4" t="str">
        <f>HYPERLINK("https://www.ncbi.nlm.nih.gov/geo/query/acc.cgi?acc=GSM2254885","GSM2254885")</f>
        <v>GSM2254885</v>
      </c>
      <c r="I11395" t="s">
        <v>439</v>
      </c>
      <c r="J11395" t="s">
        <v>440</v>
      </c>
      <c r="K11395" t="s">
        <v>33</v>
      </c>
      <c r="L11395" t="s">
        <v>441</v>
      </c>
      <c r="N11395" t="s">
        <v>29</v>
      </c>
    </row>
    <row r="11396" spans="1:14">
      <c r="A11396" s="4" t="str">
        <f t="shared" si="1013"/>
        <v>EXP00378</v>
      </c>
      <c r="B11396" s="4" t="str">
        <f t="shared" si="1014"/>
        <v>27764126</v>
      </c>
      <c r="C11396" s="4" t="str">
        <f t="shared" si="1015"/>
        <v>GSE84976</v>
      </c>
      <c r="D11396" s="1" t="s">
        <v>303</v>
      </c>
      <c r="E11396" t="s">
        <v>438</v>
      </c>
      <c r="F11396" s="1">
        <v>2</v>
      </c>
      <c r="G11396" s="1" t="s">
        <v>32</v>
      </c>
      <c r="H11396" s="4" t="str">
        <f>HYPERLINK("https://www.ncbi.nlm.nih.gov/geo/query/acc.cgi?acc=GSM2254886","GSM2254886")</f>
        <v>GSM2254886</v>
      </c>
      <c r="I11396" t="s">
        <v>439</v>
      </c>
      <c r="J11396" t="s">
        <v>440</v>
      </c>
      <c r="K11396" t="s">
        <v>33</v>
      </c>
      <c r="L11396" t="s">
        <v>441</v>
      </c>
      <c r="N11396" t="s">
        <v>29</v>
      </c>
    </row>
    <row r="11397" spans="1:14">
      <c r="A11397" s="4" t="str">
        <f t="shared" si="1013"/>
        <v>EXP00378</v>
      </c>
      <c r="B11397" s="4" t="str">
        <f t="shared" si="1014"/>
        <v>27764126</v>
      </c>
      <c r="C11397" s="4" t="str">
        <f t="shared" si="1015"/>
        <v>GSE84976</v>
      </c>
      <c r="D11397" s="1" t="s">
        <v>303</v>
      </c>
      <c r="E11397" t="s">
        <v>438</v>
      </c>
      <c r="F11397" s="1">
        <v>2</v>
      </c>
      <c r="G11397" s="1" t="s">
        <v>32</v>
      </c>
      <c r="H11397" s="4" t="str">
        <f>HYPERLINK("https://www.ncbi.nlm.nih.gov/geo/query/acc.cgi?acc=GSM2254887","GSM2254887")</f>
        <v>GSM2254887</v>
      </c>
      <c r="I11397" t="s">
        <v>439</v>
      </c>
      <c r="J11397" t="s">
        <v>440</v>
      </c>
      <c r="K11397" t="s">
        <v>33</v>
      </c>
      <c r="L11397" t="s">
        <v>441</v>
      </c>
      <c r="N11397" t="s">
        <v>29</v>
      </c>
    </row>
    <row r="11398" spans="1:14">
      <c r="A11398" s="4" t="str">
        <f t="shared" si="1013"/>
        <v>EXP00378</v>
      </c>
      <c r="B11398" s="4" t="str">
        <f t="shared" si="1014"/>
        <v>27764126</v>
      </c>
      <c r="C11398" s="4" t="str">
        <f t="shared" si="1015"/>
        <v>GSE84976</v>
      </c>
      <c r="D11398" s="1" t="s">
        <v>303</v>
      </c>
      <c r="E11398" t="s">
        <v>438</v>
      </c>
      <c r="F11398" s="1">
        <v>2</v>
      </c>
      <c r="G11398" s="1" t="s">
        <v>32</v>
      </c>
      <c r="H11398" s="4" t="str">
        <f>HYPERLINK("https://www.ncbi.nlm.nih.gov/geo/query/acc.cgi?acc=GSM2254890","GSM2254890")</f>
        <v>GSM2254890</v>
      </c>
      <c r="I11398" t="s">
        <v>439</v>
      </c>
      <c r="J11398" t="s">
        <v>440</v>
      </c>
      <c r="K11398" t="s">
        <v>33</v>
      </c>
      <c r="L11398" t="s">
        <v>441</v>
      </c>
      <c r="N11398" t="s">
        <v>29</v>
      </c>
    </row>
    <row r="11399" spans="1:14">
      <c r="A11399" s="4" t="str">
        <f t="shared" si="1013"/>
        <v>EXP00378</v>
      </c>
      <c r="B11399" s="4" t="str">
        <f t="shared" si="1014"/>
        <v>27764126</v>
      </c>
      <c r="C11399" s="4" t="str">
        <f t="shared" si="1015"/>
        <v>GSE84976</v>
      </c>
      <c r="D11399" s="1" t="s">
        <v>303</v>
      </c>
      <c r="E11399" t="s">
        <v>438</v>
      </c>
      <c r="F11399" s="1">
        <v>2</v>
      </c>
      <c r="G11399" s="1" t="s">
        <v>32</v>
      </c>
      <c r="H11399" s="4" t="str">
        <f>HYPERLINK("https://www.ncbi.nlm.nih.gov/geo/query/acc.cgi?acc=GSM2254891","GSM2254891")</f>
        <v>GSM2254891</v>
      </c>
      <c r="I11399" t="s">
        <v>439</v>
      </c>
      <c r="J11399" t="s">
        <v>440</v>
      </c>
      <c r="K11399" t="s">
        <v>33</v>
      </c>
      <c r="L11399" t="s">
        <v>441</v>
      </c>
      <c r="N11399" t="s">
        <v>29</v>
      </c>
    </row>
    <row r="11400" spans="1:14">
      <c r="A11400" s="4" t="str">
        <f t="shared" si="1013"/>
        <v>EXP00378</v>
      </c>
      <c r="B11400" s="4" t="str">
        <f t="shared" si="1014"/>
        <v>27764126</v>
      </c>
      <c r="C11400" s="4" t="str">
        <f t="shared" si="1015"/>
        <v>GSE84976</v>
      </c>
      <c r="D11400" s="1" t="s">
        <v>303</v>
      </c>
      <c r="E11400" t="s">
        <v>438</v>
      </c>
      <c r="F11400" s="1">
        <v>2</v>
      </c>
      <c r="G11400" s="1" t="s">
        <v>32</v>
      </c>
      <c r="H11400" s="4" t="str">
        <f>HYPERLINK("https://www.ncbi.nlm.nih.gov/geo/query/acc.cgi?acc=GSM2254895","GSM2254895")</f>
        <v>GSM2254895</v>
      </c>
      <c r="I11400" t="s">
        <v>439</v>
      </c>
      <c r="J11400" t="s">
        <v>440</v>
      </c>
      <c r="K11400" t="s">
        <v>33</v>
      </c>
      <c r="L11400" t="s">
        <v>441</v>
      </c>
      <c r="N11400" t="s">
        <v>29</v>
      </c>
    </row>
    <row r="11401" spans="1:14">
      <c r="A11401" s="4" t="str">
        <f t="shared" si="1013"/>
        <v>EXP00378</v>
      </c>
      <c r="B11401" s="4" t="str">
        <f t="shared" si="1014"/>
        <v>27764126</v>
      </c>
      <c r="C11401" s="4" t="str">
        <f t="shared" si="1015"/>
        <v>GSE84976</v>
      </c>
      <c r="D11401" s="1" t="s">
        <v>303</v>
      </c>
      <c r="E11401" t="s">
        <v>438</v>
      </c>
      <c r="F11401" s="1">
        <v>2</v>
      </c>
      <c r="G11401" s="1" t="s">
        <v>32</v>
      </c>
      <c r="H11401" s="4" t="str">
        <f>HYPERLINK("https://www.ncbi.nlm.nih.gov/geo/query/acc.cgi?acc=GSM2254899","GSM2254899")</f>
        <v>GSM2254899</v>
      </c>
      <c r="I11401" t="s">
        <v>439</v>
      </c>
      <c r="J11401" t="s">
        <v>440</v>
      </c>
      <c r="K11401" t="s">
        <v>33</v>
      </c>
      <c r="L11401" t="s">
        <v>441</v>
      </c>
      <c r="N11401" t="s">
        <v>29</v>
      </c>
    </row>
    <row r="11402" spans="1:14">
      <c r="A11402" s="4" t="str">
        <f t="shared" si="1013"/>
        <v>EXP00378</v>
      </c>
      <c r="B11402" s="4" t="str">
        <f t="shared" si="1014"/>
        <v>27764126</v>
      </c>
      <c r="C11402" s="4" t="str">
        <f t="shared" si="1015"/>
        <v>GSE84976</v>
      </c>
      <c r="D11402" s="1" t="s">
        <v>303</v>
      </c>
      <c r="E11402" t="s">
        <v>438</v>
      </c>
      <c r="F11402" s="1">
        <v>2</v>
      </c>
      <c r="G11402" s="1" t="s">
        <v>32</v>
      </c>
      <c r="H11402" s="4" t="str">
        <f>HYPERLINK("https://www.ncbi.nlm.nih.gov/geo/query/acc.cgi?acc=GSM2254902","GSM2254902")</f>
        <v>GSM2254902</v>
      </c>
      <c r="I11402" t="s">
        <v>439</v>
      </c>
      <c r="J11402" t="s">
        <v>440</v>
      </c>
      <c r="K11402" t="s">
        <v>33</v>
      </c>
      <c r="L11402" t="s">
        <v>441</v>
      </c>
      <c r="N11402" t="s">
        <v>29</v>
      </c>
    </row>
    <row r="11403" spans="1:14">
      <c r="A11403" s="4" t="str">
        <f t="shared" si="1013"/>
        <v>EXP00378</v>
      </c>
      <c r="B11403" s="4" t="str">
        <f t="shared" si="1014"/>
        <v>27764126</v>
      </c>
      <c r="C11403" s="4" t="str">
        <f t="shared" si="1015"/>
        <v>GSE84976</v>
      </c>
      <c r="D11403" s="1" t="s">
        <v>303</v>
      </c>
      <c r="E11403" t="s">
        <v>438</v>
      </c>
      <c r="F11403" s="1">
        <v>2</v>
      </c>
      <c r="G11403" s="1" t="s">
        <v>32</v>
      </c>
      <c r="H11403" s="4" t="str">
        <f>HYPERLINK("https://www.ncbi.nlm.nih.gov/geo/query/acc.cgi?acc=GSM2254904","GSM2254904")</f>
        <v>GSM2254904</v>
      </c>
      <c r="I11403" t="s">
        <v>439</v>
      </c>
      <c r="J11403" t="s">
        <v>440</v>
      </c>
      <c r="K11403" t="s">
        <v>33</v>
      </c>
      <c r="L11403" t="s">
        <v>441</v>
      </c>
      <c r="N11403" t="s">
        <v>29</v>
      </c>
    </row>
    <row r="11404" spans="1:14">
      <c r="A11404" s="4" t="str">
        <f t="shared" ref="A11404:A11434" si="1016">HYPERLINK("http://hcmdb.i-sanger.com/experiment/details/experiment_id/EXP00379","EXP00379")</f>
        <v>EXP00379</v>
      </c>
      <c r="B11404" s="3" t="s">
        <v>66</v>
      </c>
      <c r="C11404" s="4" t="str">
        <f t="shared" ref="C11404:C11435" si="1017">HYPERLINK("https://www.ncbi.nlm.nih.gov/geo/query/acc.cgi?acc=GSE85258","GSE85258")</f>
        <v>GSE85258</v>
      </c>
      <c r="D11404" s="1" t="s">
        <v>45</v>
      </c>
      <c r="E11404" t="s">
        <v>480</v>
      </c>
      <c r="F11404" s="1">
        <v>1</v>
      </c>
      <c r="G11404" s="1" t="s">
        <v>26</v>
      </c>
      <c r="H11404" s="4" t="str">
        <f>HYPERLINK("https://www.ncbi.nlm.nih.gov/geo/query/acc.cgi?acc=GSM2263272","GSM2263272")</f>
        <v>GSM2263272</v>
      </c>
      <c r="I11404" t="s">
        <v>59</v>
      </c>
      <c r="J11404" t="s">
        <v>60</v>
      </c>
      <c r="K11404" t="s">
        <v>19</v>
      </c>
      <c r="L11404" t="s">
        <v>61</v>
      </c>
      <c r="M11404" t="s">
        <v>41</v>
      </c>
      <c r="N11404" t="s">
        <v>22</v>
      </c>
    </row>
    <row r="11405" spans="1:14">
      <c r="A11405" s="4" t="str">
        <f t="shared" si="1016"/>
        <v>EXP00379</v>
      </c>
      <c r="B11405" s="3" t="s">
        <v>66</v>
      </c>
      <c r="C11405" s="4" t="str">
        <f t="shared" si="1017"/>
        <v>GSE85258</v>
      </c>
      <c r="D11405" s="1" t="s">
        <v>45</v>
      </c>
      <c r="E11405" t="s">
        <v>480</v>
      </c>
      <c r="F11405" s="1">
        <v>1</v>
      </c>
      <c r="G11405" s="1" t="s">
        <v>26</v>
      </c>
      <c r="H11405" s="4" t="str">
        <f>HYPERLINK("https://www.ncbi.nlm.nih.gov/geo/query/acc.cgi?acc=GSM2263274","GSM2263274")</f>
        <v>GSM2263274</v>
      </c>
      <c r="I11405" t="s">
        <v>59</v>
      </c>
      <c r="J11405" t="s">
        <v>60</v>
      </c>
      <c r="K11405" t="s">
        <v>19</v>
      </c>
      <c r="L11405" t="s">
        <v>61</v>
      </c>
      <c r="M11405" t="s">
        <v>41</v>
      </c>
      <c r="N11405" t="s">
        <v>22</v>
      </c>
    </row>
    <row r="11406" spans="1:14">
      <c r="A11406" s="4" t="str">
        <f t="shared" si="1016"/>
        <v>EXP00379</v>
      </c>
      <c r="B11406" s="3" t="s">
        <v>66</v>
      </c>
      <c r="C11406" s="4" t="str">
        <f t="shared" si="1017"/>
        <v>GSE85258</v>
      </c>
      <c r="D11406" s="1" t="s">
        <v>45</v>
      </c>
      <c r="E11406" t="s">
        <v>480</v>
      </c>
      <c r="F11406" s="1">
        <v>1</v>
      </c>
      <c r="G11406" s="1" t="s">
        <v>26</v>
      </c>
      <c r="H11406" s="4" t="str">
        <f>HYPERLINK("https://www.ncbi.nlm.nih.gov/geo/query/acc.cgi?acc=GSM2263276","GSM2263276")</f>
        <v>GSM2263276</v>
      </c>
      <c r="I11406" t="s">
        <v>59</v>
      </c>
      <c r="J11406" t="s">
        <v>60</v>
      </c>
      <c r="K11406" t="s">
        <v>19</v>
      </c>
      <c r="L11406" t="s">
        <v>61</v>
      </c>
      <c r="M11406" t="s">
        <v>41</v>
      </c>
      <c r="N11406" t="s">
        <v>22</v>
      </c>
    </row>
    <row r="11407" spans="1:14">
      <c r="A11407" s="4" t="str">
        <f t="shared" si="1016"/>
        <v>EXP00379</v>
      </c>
      <c r="B11407" s="3" t="s">
        <v>66</v>
      </c>
      <c r="C11407" s="4" t="str">
        <f t="shared" si="1017"/>
        <v>GSE85258</v>
      </c>
      <c r="D11407" s="1" t="s">
        <v>45</v>
      </c>
      <c r="E11407" t="s">
        <v>480</v>
      </c>
      <c r="F11407" s="1">
        <v>1</v>
      </c>
      <c r="G11407" s="1" t="s">
        <v>26</v>
      </c>
      <c r="H11407" s="4" t="str">
        <f>HYPERLINK("https://www.ncbi.nlm.nih.gov/geo/query/acc.cgi?acc=GSM2263278","GSM2263278")</f>
        <v>GSM2263278</v>
      </c>
      <c r="I11407" t="s">
        <v>59</v>
      </c>
      <c r="J11407" t="s">
        <v>481</v>
      </c>
      <c r="K11407" t="s">
        <v>19</v>
      </c>
      <c r="L11407" t="s">
        <v>61</v>
      </c>
      <c r="M11407" t="s">
        <v>41</v>
      </c>
      <c r="N11407" t="s">
        <v>22</v>
      </c>
    </row>
    <row r="11408" spans="1:14">
      <c r="A11408" s="4" t="str">
        <f t="shared" si="1016"/>
        <v>EXP00379</v>
      </c>
      <c r="B11408" s="3" t="s">
        <v>66</v>
      </c>
      <c r="C11408" s="4" t="str">
        <f t="shared" si="1017"/>
        <v>GSE85258</v>
      </c>
      <c r="D11408" s="1" t="s">
        <v>45</v>
      </c>
      <c r="E11408" t="s">
        <v>480</v>
      </c>
      <c r="F11408" s="1">
        <v>1</v>
      </c>
      <c r="G11408" s="1" t="s">
        <v>26</v>
      </c>
      <c r="H11408" s="4" t="str">
        <f>HYPERLINK("https://www.ncbi.nlm.nih.gov/geo/query/acc.cgi?acc=GSM2263280","GSM2263280")</f>
        <v>GSM2263280</v>
      </c>
      <c r="I11408" t="s">
        <v>59</v>
      </c>
      <c r="J11408" t="s">
        <v>60</v>
      </c>
      <c r="K11408" t="s">
        <v>19</v>
      </c>
      <c r="L11408" t="s">
        <v>61</v>
      </c>
      <c r="M11408" t="s">
        <v>41</v>
      </c>
      <c r="N11408" t="s">
        <v>22</v>
      </c>
    </row>
    <row r="11409" spans="1:14">
      <c r="A11409" s="4" t="str">
        <f t="shared" si="1016"/>
        <v>EXP00379</v>
      </c>
      <c r="B11409" s="3" t="s">
        <v>66</v>
      </c>
      <c r="C11409" s="4" t="str">
        <f t="shared" si="1017"/>
        <v>GSE85258</v>
      </c>
      <c r="D11409" s="1" t="s">
        <v>45</v>
      </c>
      <c r="E11409" t="s">
        <v>480</v>
      </c>
      <c r="F11409" s="1">
        <v>1</v>
      </c>
      <c r="G11409" s="1" t="s">
        <v>26</v>
      </c>
      <c r="H11409" s="4" t="str">
        <f>HYPERLINK("https://www.ncbi.nlm.nih.gov/geo/query/acc.cgi?acc=GSM2263283","GSM2263283")</f>
        <v>GSM2263283</v>
      </c>
      <c r="I11409" t="s">
        <v>59</v>
      </c>
      <c r="J11409" t="s">
        <v>60</v>
      </c>
      <c r="K11409" t="s">
        <v>19</v>
      </c>
      <c r="L11409" t="s">
        <v>61</v>
      </c>
      <c r="M11409" t="s">
        <v>41</v>
      </c>
      <c r="N11409" t="s">
        <v>22</v>
      </c>
    </row>
    <row r="11410" spans="1:14">
      <c r="A11410" s="4" t="str">
        <f t="shared" si="1016"/>
        <v>EXP00379</v>
      </c>
      <c r="B11410" s="3" t="s">
        <v>66</v>
      </c>
      <c r="C11410" s="4" t="str">
        <f t="shared" si="1017"/>
        <v>GSE85258</v>
      </c>
      <c r="D11410" s="1" t="s">
        <v>45</v>
      </c>
      <c r="E11410" t="s">
        <v>480</v>
      </c>
      <c r="F11410" s="1">
        <v>1</v>
      </c>
      <c r="G11410" s="1" t="s">
        <v>26</v>
      </c>
      <c r="H11410" s="4" t="str">
        <f>HYPERLINK("https://www.ncbi.nlm.nih.gov/geo/query/acc.cgi?acc=GSM2263285","GSM2263285")</f>
        <v>GSM2263285</v>
      </c>
      <c r="I11410" t="s">
        <v>59</v>
      </c>
      <c r="J11410" t="s">
        <v>60</v>
      </c>
      <c r="K11410" t="s">
        <v>19</v>
      </c>
      <c r="L11410" t="s">
        <v>61</v>
      </c>
      <c r="M11410" t="s">
        <v>41</v>
      </c>
      <c r="N11410" t="s">
        <v>22</v>
      </c>
    </row>
    <row r="11411" spans="1:14">
      <c r="A11411" s="4" t="str">
        <f t="shared" si="1016"/>
        <v>EXP00379</v>
      </c>
      <c r="B11411" s="3" t="s">
        <v>66</v>
      </c>
      <c r="C11411" s="4" t="str">
        <f t="shared" si="1017"/>
        <v>GSE85258</v>
      </c>
      <c r="D11411" s="1" t="s">
        <v>45</v>
      </c>
      <c r="E11411" t="s">
        <v>480</v>
      </c>
      <c r="F11411" s="1">
        <v>1</v>
      </c>
      <c r="G11411" s="1" t="s">
        <v>26</v>
      </c>
      <c r="H11411" s="4" t="str">
        <f>HYPERLINK("https://www.ncbi.nlm.nih.gov/geo/query/acc.cgi?acc=GSM2263286","GSM2263286")</f>
        <v>GSM2263286</v>
      </c>
      <c r="I11411" t="s">
        <v>59</v>
      </c>
      <c r="J11411" t="s">
        <v>60</v>
      </c>
      <c r="K11411" t="s">
        <v>19</v>
      </c>
      <c r="L11411" t="s">
        <v>61</v>
      </c>
      <c r="M11411" t="s">
        <v>41</v>
      </c>
      <c r="N11411" t="s">
        <v>22</v>
      </c>
    </row>
    <row r="11412" spans="1:14">
      <c r="A11412" s="4" t="str">
        <f t="shared" si="1016"/>
        <v>EXP00379</v>
      </c>
      <c r="B11412" s="3" t="s">
        <v>66</v>
      </c>
      <c r="C11412" s="4" t="str">
        <f t="shared" si="1017"/>
        <v>GSE85258</v>
      </c>
      <c r="D11412" s="1" t="s">
        <v>45</v>
      </c>
      <c r="E11412" t="s">
        <v>480</v>
      </c>
      <c r="F11412" s="1">
        <v>1</v>
      </c>
      <c r="G11412" s="1" t="s">
        <v>26</v>
      </c>
      <c r="H11412" s="4" t="str">
        <f>HYPERLINK("https://www.ncbi.nlm.nih.gov/geo/query/acc.cgi?acc=GSM2263289","GSM2263289")</f>
        <v>GSM2263289</v>
      </c>
      <c r="I11412" t="s">
        <v>59</v>
      </c>
      <c r="J11412" t="s">
        <v>60</v>
      </c>
      <c r="K11412" t="s">
        <v>19</v>
      </c>
      <c r="L11412" t="s">
        <v>61</v>
      </c>
      <c r="M11412" t="s">
        <v>41</v>
      </c>
      <c r="N11412" t="s">
        <v>22</v>
      </c>
    </row>
    <row r="11413" spans="1:14">
      <c r="A11413" s="4" t="str">
        <f t="shared" si="1016"/>
        <v>EXP00379</v>
      </c>
      <c r="B11413" s="3" t="s">
        <v>66</v>
      </c>
      <c r="C11413" s="4" t="str">
        <f t="shared" si="1017"/>
        <v>GSE85258</v>
      </c>
      <c r="D11413" s="1" t="s">
        <v>45</v>
      </c>
      <c r="E11413" t="s">
        <v>480</v>
      </c>
      <c r="F11413" s="1">
        <v>1</v>
      </c>
      <c r="G11413" s="1" t="s">
        <v>26</v>
      </c>
      <c r="H11413" s="4" t="str">
        <f>HYPERLINK("https://www.ncbi.nlm.nih.gov/geo/query/acc.cgi?acc=GSM2263290","GSM2263290")</f>
        <v>GSM2263290</v>
      </c>
      <c r="I11413" t="s">
        <v>59</v>
      </c>
      <c r="J11413" t="s">
        <v>60</v>
      </c>
      <c r="K11413" t="s">
        <v>19</v>
      </c>
      <c r="L11413" t="s">
        <v>61</v>
      </c>
      <c r="M11413" t="s">
        <v>41</v>
      </c>
      <c r="N11413" t="s">
        <v>22</v>
      </c>
    </row>
    <row r="11414" spans="1:14">
      <c r="A11414" s="4" t="str">
        <f t="shared" si="1016"/>
        <v>EXP00379</v>
      </c>
      <c r="B11414" s="3" t="s">
        <v>66</v>
      </c>
      <c r="C11414" s="4" t="str">
        <f t="shared" si="1017"/>
        <v>GSE85258</v>
      </c>
      <c r="D11414" s="1" t="s">
        <v>45</v>
      </c>
      <c r="E11414" t="s">
        <v>480</v>
      </c>
      <c r="F11414" s="1">
        <v>1</v>
      </c>
      <c r="G11414" s="1" t="s">
        <v>26</v>
      </c>
      <c r="H11414" s="4" t="str">
        <f>HYPERLINK("https://www.ncbi.nlm.nih.gov/geo/query/acc.cgi?acc=GSM2263291","GSM2263291")</f>
        <v>GSM2263291</v>
      </c>
      <c r="I11414" t="s">
        <v>59</v>
      </c>
      <c r="J11414" t="s">
        <v>60</v>
      </c>
      <c r="K11414" t="s">
        <v>19</v>
      </c>
      <c r="L11414" t="s">
        <v>61</v>
      </c>
      <c r="M11414" t="s">
        <v>41</v>
      </c>
      <c r="N11414" t="s">
        <v>22</v>
      </c>
    </row>
    <row r="11415" spans="1:14">
      <c r="A11415" s="4" t="str">
        <f t="shared" si="1016"/>
        <v>EXP00379</v>
      </c>
      <c r="B11415" s="3" t="s">
        <v>66</v>
      </c>
      <c r="C11415" s="4" t="str">
        <f t="shared" si="1017"/>
        <v>GSE85258</v>
      </c>
      <c r="D11415" s="1" t="s">
        <v>45</v>
      </c>
      <c r="E11415" t="s">
        <v>480</v>
      </c>
      <c r="F11415" s="1">
        <v>1</v>
      </c>
      <c r="G11415" s="1" t="s">
        <v>26</v>
      </c>
      <c r="H11415" s="4" t="str">
        <f>HYPERLINK("https://www.ncbi.nlm.nih.gov/geo/query/acc.cgi?acc=GSM2263293","GSM2263293")</f>
        <v>GSM2263293</v>
      </c>
      <c r="I11415" t="s">
        <v>59</v>
      </c>
      <c r="J11415" t="s">
        <v>60</v>
      </c>
      <c r="K11415" t="s">
        <v>19</v>
      </c>
      <c r="L11415" t="s">
        <v>61</v>
      </c>
      <c r="M11415" t="s">
        <v>41</v>
      </c>
      <c r="N11415" t="s">
        <v>22</v>
      </c>
    </row>
    <row r="11416" spans="1:14">
      <c r="A11416" s="4" t="str">
        <f t="shared" si="1016"/>
        <v>EXP00379</v>
      </c>
      <c r="B11416" s="3" t="s">
        <v>66</v>
      </c>
      <c r="C11416" s="4" t="str">
        <f t="shared" si="1017"/>
        <v>GSE85258</v>
      </c>
      <c r="D11416" s="1" t="s">
        <v>45</v>
      </c>
      <c r="E11416" t="s">
        <v>480</v>
      </c>
      <c r="F11416" s="1">
        <v>1</v>
      </c>
      <c r="G11416" s="1" t="s">
        <v>26</v>
      </c>
      <c r="H11416" s="4" t="str">
        <f>HYPERLINK("https://www.ncbi.nlm.nih.gov/geo/query/acc.cgi?acc=GSM2263296","GSM2263296")</f>
        <v>GSM2263296</v>
      </c>
      <c r="I11416" t="s">
        <v>59</v>
      </c>
      <c r="J11416" t="s">
        <v>60</v>
      </c>
      <c r="K11416" t="s">
        <v>19</v>
      </c>
      <c r="L11416" t="s">
        <v>61</v>
      </c>
      <c r="M11416" t="s">
        <v>41</v>
      </c>
      <c r="N11416" t="s">
        <v>22</v>
      </c>
    </row>
    <row r="11417" spans="1:14">
      <c r="A11417" s="4" t="str">
        <f t="shared" si="1016"/>
        <v>EXP00379</v>
      </c>
      <c r="B11417" s="3" t="s">
        <v>66</v>
      </c>
      <c r="C11417" s="4" t="str">
        <f t="shared" si="1017"/>
        <v>GSE85258</v>
      </c>
      <c r="D11417" s="1" t="s">
        <v>45</v>
      </c>
      <c r="E11417" t="s">
        <v>480</v>
      </c>
      <c r="F11417" s="1">
        <v>1</v>
      </c>
      <c r="G11417" s="1" t="s">
        <v>26</v>
      </c>
      <c r="H11417" s="4" t="str">
        <f>HYPERLINK("https://www.ncbi.nlm.nih.gov/geo/query/acc.cgi?acc=GSM2263297","GSM2263297")</f>
        <v>GSM2263297</v>
      </c>
      <c r="I11417" t="s">
        <v>59</v>
      </c>
      <c r="J11417" t="s">
        <v>60</v>
      </c>
      <c r="K11417" t="s">
        <v>19</v>
      </c>
      <c r="L11417" t="s">
        <v>61</v>
      </c>
      <c r="M11417" t="s">
        <v>41</v>
      </c>
      <c r="N11417" t="s">
        <v>22</v>
      </c>
    </row>
    <row r="11418" spans="1:14">
      <c r="A11418" s="4" t="str">
        <f t="shared" si="1016"/>
        <v>EXP00379</v>
      </c>
      <c r="B11418" s="3" t="s">
        <v>66</v>
      </c>
      <c r="C11418" s="4" t="str">
        <f t="shared" si="1017"/>
        <v>GSE85258</v>
      </c>
      <c r="D11418" s="1" t="s">
        <v>45</v>
      </c>
      <c r="E11418" t="s">
        <v>480</v>
      </c>
      <c r="F11418" s="1">
        <v>1</v>
      </c>
      <c r="G11418" s="1" t="s">
        <v>26</v>
      </c>
      <c r="H11418" s="4" t="str">
        <f>HYPERLINK("https://www.ncbi.nlm.nih.gov/geo/query/acc.cgi?acc=GSM2263300","GSM2263300")</f>
        <v>GSM2263300</v>
      </c>
      <c r="I11418" t="s">
        <v>59</v>
      </c>
      <c r="J11418" t="s">
        <v>60</v>
      </c>
      <c r="K11418" t="s">
        <v>19</v>
      </c>
      <c r="L11418" t="s">
        <v>61</v>
      </c>
      <c r="M11418" t="s">
        <v>41</v>
      </c>
      <c r="N11418" t="s">
        <v>22</v>
      </c>
    </row>
    <row r="11419" spans="1:14">
      <c r="A11419" s="4" t="str">
        <f t="shared" si="1016"/>
        <v>EXP00379</v>
      </c>
      <c r="B11419" s="3" t="s">
        <v>66</v>
      </c>
      <c r="C11419" s="4" t="str">
        <f t="shared" si="1017"/>
        <v>GSE85258</v>
      </c>
      <c r="D11419" s="1" t="s">
        <v>45</v>
      </c>
      <c r="E11419" t="s">
        <v>480</v>
      </c>
      <c r="F11419" s="1">
        <v>1</v>
      </c>
      <c r="G11419" s="1" t="s">
        <v>26</v>
      </c>
      <c r="H11419" s="4" t="str">
        <f>HYPERLINK("https://www.ncbi.nlm.nih.gov/geo/query/acc.cgi?acc=GSM2263301","GSM2263301")</f>
        <v>GSM2263301</v>
      </c>
      <c r="I11419" t="s">
        <v>59</v>
      </c>
      <c r="J11419" t="s">
        <v>60</v>
      </c>
      <c r="K11419" t="s">
        <v>19</v>
      </c>
      <c r="L11419" t="s">
        <v>61</v>
      </c>
      <c r="M11419" t="s">
        <v>41</v>
      </c>
      <c r="N11419" t="s">
        <v>22</v>
      </c>
    </row>
    <row r="11420" spans="1:14">
      <c r="A11420" s="4" t="str">
        <f t="shared" si="1016"/>
        <v>EXP00379</v>
      </c>
      <c r="B11420" s="3" t="s">
        <v>66</v>
      </c>
      <c r="C11420" s="4" t="str">
        <f t="shared" si="1017"/>
        <v>GSE85258</v>
      </c>
      <c r="D11420" s="1" t="s">
        <v>45</v>
      </c>
      <c r="E11420" t="s">
        <v>480</v>
      </c>
      <c r="F11420" s="1">
        <v>2</v>
      </c>
      <c r="G11420" s="1" t="s">
        <v>28</v>
      </c>
      <c r="H11420" s="4" t="str">
        <f>HYPERLINK("https://www.ncbi.nlm.nih.gov/geo/query/acc.cgi?acc=GSM2263273","GSM2263273")</f>
        <v>GSM2263273</v>
      </c>
      <c r="I11420" t="s">
        <v>59</v>
      </c>
      <c r="J11420" t="s">
        <v>60</v>
      </c>
      <c r="K11420" t="s">
        <v>19</v>
      </c>
      <c r="L11420" t="s">
        <v>61</v>
      </c>
      <c r="M11420" t="s">
        <v>41</v>
      </c>
      <c r="N11420" t="s">
        <v>29</v>
      </c>
    </row>
    <row r="11421" spans="1:14">
      <c r="A11421" s="4" t="str">
        <f t="shared" si="1016"/>
        <v>EXP00379</v>
      </c>
      <c r="B11421" s="3" t="s">
        <v>66</v>
      </c>
      <c r="C11421" s="4" t="str">
        <f t="shared" si="1017"/>
        <v>GSE85258</v>
      </c>
      <c r="D11421" s="1" t="s">
        <v>45</v>
      </c>
      <c r="E11421" t="s">
        <v>480</v>
      </c>
      <c r="F11421" s="1">
        <v>2</v>
      </c>
      <c r="G11421" s="1" t="s">
        <v>28</v>
      </c>
      <c r="H11421" s="4" t="str">
        <f>HYPERLINK("https://www.ncbi.nlm.nih.gov/geo/query/acc.cgi?acc=GSM2263275","GSM2263275")</f>
        <v>GSM2263275</v>
      </c>
      <c r="I11421" t="s">
        <v>59</v>
      </c>
      <c r="J11421" t="s">
        <v>60</v>
      </c>
      <c r="K11421" t="s">
        <v>19</v>
      </c>
      <c r="L11421" t="s">
        <v>61</v>
      </c>
      <c r="M11421" t="s">
        <v>41</v>
      </c>
      <c r="N11421" t="s">
        <v>29</v>
      </c>
    </row>
    <row r="11422" spans="1:14">
      <c r="A11422" s="4" t="str">
        <f t="shared" si="1016"/>
        <v>EXP00379</v>
      </c>
      <c r="B11422" s="3" t="s">
        <v>66</v>
      </c>
      <c r="C11422" s="4" t="str">
        <f t="shared" si="1017"/>
        <v>GSE85258</v>
      </c>
      <c r="D11422" s="1" t="s">
        <v>45</v>
      </c>
      <c r="E11422" t="s">
        <v>480</v>
      </c>
      <c r="F11422" s="1">
        <v>2</v>
      </c>
      <c r="G11422" s="1" t="s">
        <v>28</v>
      </c>
      <c r="H11422" s="4" t="str">
        <f>HYPERLINK("https://www.ncbi.nlm.nih.gov/geo/query/acc.cgi?acc=GSM2263277","GSM2263277")</f>
        <v>GSM2263277</v>
      </c>
      <c r="I11422" t="s">
        <v>59</v>
      </c>
      <c r="J11422" t="s">
        <v>60</v>
      </c>
      <c r="K11422" t="s">
        <v>19</v>
      </c>
      <c r="L11422" t="s">
        <v>61</v>
      </c>
      <c r="M11422" t="s">
        <v>41</v>
      </c>
      <c r="N11422" t="s">
        <v>29</v>
      </c>
    </row>
    <row r="11423" spans="1:14">
      <c r="A11423" s="4" t="str">
        <f t="shared" si="1016"/>
        <v>EXP00379</v>
      </c>
      <c r="B11423" s="3" t="s">
        <v>66</v>
      </c>
      <c r="C11423" s="4" t="str">
        <f t="shared" si="1017"/>
        <v>GSE85258</v>
      </c>
      <c r="D11423" s="1" t="s">
        <v>45</v>
      </c>
      <c r="E11423" t="s">
        <v>480</v>
      </c>
      <c r="F11423" s="1">
        <v>2</v>
      </c>
      <c r="G11423" s="1" t="s">
        <v>28</v>
      </c>
      <c r="H11423" s="4" t="str">
        <f>HYPERLINK("https://www.ncbi.nlm.nih.gov/geo/query/acc.cgi?acc=GSM2263279","GSM2263279")</f>
        <v>GSM2263279</v>
      </c>
      <c r="I11423" t="s">
        <v>59</v>
      </c>
      <c r="J11423" t="s">
        <v>481</v>
      </c>
      <c r="K11423" t="s">
        <v>19</v>
      </c>
      <c r="L11423" t="s">
        <v>61</v>
      </c>
      <c r="M11423" t="s">
        <v>41</v>
      </c>
      <c r="N11423" t="s">
        <v>29</v>
      </c>
    </row>
    <row r="11424" spans="1:14">
      <c r="A11424" s="4" t="str">
        <f t="shared" si="1016"/>
        <v>EXP00379</v>
      </c>
      <c r="B11424" s="3" t="s">
        <v>66</v>
      </c>
      <c r="C11424" s="4" t="str">
        <f t="shared" si="1017"/>
        <v>GSE85258</v>
      </c>
      <c r="D11424" s="1" t="s">
        <v>45</v>
      </c>
      <c r="E11424" t="s">
        <v>480</v>
      </c>
      <c r="F11424" s="1">
        <v>2</v>
      </c>
      <c r="G11424" s="1" t="s">
        <v>28</v>
      </c>
      <c r="H11424" s="4" t="str">
        <f>HYPERLINK("https://www.ncbi.nlm.nih.gov/geo/query/acc.cgi?acc=GSM2263281","GSM2263281")</f>
        <v>GSM2263281</v>
      </c>
      <c r="I11424" t="s">
        <v>59</v>
      </c>
      <c r="J11424" t="s">
        <v>60</v>
      </c>
      <c r="K11424" t="s">
        <v>19</v>
      </c>
      <c r="L11424" t="s">
        <v>61</v>
      </c>
      <c r="M11424" t="s">
        <v>41</v>
      </c>
      <c r="N11424" t="s">
        <v>29</v>
      </c>
    </row>
    <row r="11425" spans="1:14">
      <c r="A11425" s="4" t="str">
        <f t="shared" si="1016"/>
        <v>EXP00379</v>
      </c>
      <c r="B11425" s="3" t="s">
        <v>66</v>
      </c>
      <c r="C11425" s="4" t="str">
        <f t="shared" si="1017"/>
        <v>GSE85258</v>
      </c>
      <c r="D11425" s="1" t="s">
        <v>45</v>
      </c>
      <c r="E11425" t="s">
        <v>480</v>
      </c>
      <c r="F11425" s="1">
        <v>2</v>
      </c>
      <c r="G11425" s="1" t="s">
        <v>28</v>
      </c>
      <c r="H11425" s="4" t="str">
        <f>HYPERLINK("https://www.ncbi.nlm.nih.gov/geo/query/acc.cgi?acc=GSM2263282","GSM2263282")</f>
        <v>GSM2263282</v>
      </c>
      <c r="I11425" t="s">
        <v>59</v>
      </c>
      <c r="J11425" t="s">
        <v>60</v>
      </c>
      <c r="K11425" t="s">
        <v>19</v>
      </c>
      <c r="L11425" t="s">
        <v>61</v>
      </c>
      <c r="M11425" t="s">
        <v>41</v>
      </c>
      <c r="N11425" t="s">
        <v>29</v>
      </c>
    </row>
    <row r="11426" spans="1:14">
      <c r="A11426" s="4" t="str">
        <f t="shared" si="1016"/>
        <v>EXP00379</v>
      </c>
      <c r="B11426" s="3" t="s">
        <v>66</v>
      </c>
      <c r="C11426" s="4" t="str">
        <f t="shared" si="1017"/>
        <v>GSE85258</v>
      </c>
      <c r="D11426" s="1" t="s">
        <v>45</v>
      </c>
      <c r="E11426" t="s">
        <v>480</v>
      </c>
      <c r="F11426" s="1">
        <v>2</v>
      </c>
      <c r="G11426" s="1" t="s">
        <v>28</v>
      </c>
      <c r="H11426" s="4" t="str">
        <f>HYPERLINK("https://www.ncbi.nlm.nih.gov/geo/query/acc.cgi?acc=GSM2263284","GSM2263284")</f>
        <v>GSM2263284</v>
      </c>
      <c r="I11426" t="s">
        <v>59</v>
      </c>
      <c r="J11426" t="s">
        <v>60</v>
      </c>
      <c r="K11426" t="s">
        <v>19</v>
      </c>
      <c r="L11426" t="s">
        <v>61</v>
      </c>
      <c r="M11426" t="s">
        <v>41</v>
      </c>
      <c r="N11426" t="s">
        <v>29</v>
      </c>
    </row>
    <row r="11427" spans="1:14">
      <c r="A11427" s="4" t="str">
        <f t="shared" si="1016"/>
        <v>EXP00379</v>
      </c>
      <c r="B11427" s="3" t="s">
        <v>66</v>
      </c>
      <c r="C11427" s="4" t="str">
        <f t="shared" si="1017"/>
        <v>GSE85258</v>
      </c>
      <c r="D11427" s="1" t="s">
        <v>45</v>
      </c>
      <c r="E11427" t="s">
        <v>480</v>
      </c>
      <c r="F11427" s="1">
        <v>2</v>
      </c>
      <c r="G11427" s="1" t="s">
        <v>28</v>
      </c>
      <c r="H11427" s="4" t="str">
        <f>HYPERLINK("https://www.ncbi.nlm.nih.gov/geo/query/acc.cgi?acc=GSM2263287","GSM2263287")</f>
        <v>GSM2263287</v>
      </c>
      <c r="I11427" t="s">
        <v>59</v>
      </c>
      <c r="J11427" t="s">
        <v>60</v>
      </c>
      <c r="K11427" t="s">
        <v>19</v>
      </c>
      <c r="L11427" t="s">
        <v>61</v>
      </c>
      <c r="M11427" t="s">
        <v>41</v>
      </c>
      <c r="N11427" t="s">
        <v>29</v>
      </c>
    </row>
    <row r="11428" spans="1:14">
      <c r="A11428" s="4" t="str">
        <f t="shared" si="1016"/>
        <v>EXP00379</v>
      </c>
      <c r="B11428" s="3" t="s">
        <v>66</v>
      </c>
      <c r="C11428" s="4" t="str">
        <f t="shared" si="1017"/>
        <v>GSE85258</v>
      </c>
      <c r="D11428" s="1" t="s">
        <v>45</v>
      </c>
      <c r="E11428" t="s">
        <v>480</v>
      </c>
      <c r="F11428" s="1">
        <v>2</v>
      </c>
      <c r="G11428" s="1" t="s">
        <v>28</v>
      </c>
      <c r="H11428" s="4" t="str">
        <f>HYPERLINK("https://www.ncbi.nlm.nih.gov/geo/query/acc.cgi?acc=GSM2263288","GSM2263288")</f>
        <v>GSM2263288</v>
      </c>
      <c r="I11428" t="s">
        <v>59</v>
      </c>
      <c r="J11428" t="s">
        <v>60</v>
      </c>
      <c r="K11428" t="s">
        <v>19</v>
      </c>
      <c r="L11428" t="s">
        <v>61</v>
      </c>
      <c r="M11428" t="s">
        <v>41</v>
      </c>
      <c r="N11428" t="s">
        <v>29</v>
      </c>
    </row>
    <row r="11429" spans="1:14">
      <c r="A11429" s="4" t="str">
        <f t="shared" si="1016"/>
        <v>EXP00379</v>
      </c>
      <c r="B11429" s="3" t="s">
        <v>66</v>
      </c>
      <c r="C11429" s="4" t="str">
        <f t="shared" si="1017"/>
        <v>GSE85258</v>
      </c>
      <c r="D11429" s="1" t="s">
        <v>45</v>
      </c>
      <c r="E11429" t="s">
        <v>480</v>
      </c>
      <c r="F11429" s="1">
        <v>2</v>
      </c>
      <c r="G11429" s="1" t="s">
        <v>28</v>
      </c>
      <c r="H11429" s="4" t="str">
        <f>HYPERLINK("https://www.ncbi.nlm.nih.gov/geo/query/acc.cgi?acc=GSM2263292","GSM2263292")</f>
        <v>GSM2263292</v>
      </c>
      <c r="I11429" t="s">
        <v>59</v>
      </c>
      <c r="J11429" t="s">
        <v>60</v>
      </c>
      <c r="K11429" t="s">
        <v>19</v>
      </c>
      <c r="L11429" t="s">
        <v>61</v>
      </c>
      <c r="M11429" t="s">
        <v>41</v>
      </c>
      <c r="N11429" t="s">
        <v>29</v>
      </c>
    </row>
    <row r="11430" spans="1:14">
      <c r="A11430" s="4" t="str">
        <f t="shared" si="1016"/>
        <v>EXP00379</v>
      </c>
      <c r="B11430" s="3" t="s">
        <v>66</v>
      </c>
      <c r="C11430" s="4" t="str">
        <f t="shared" si="1017"/>
        <v>GSE85258</v>
      </c>
      <c r="D11430" s="1" t="s">
        <v>45</v>
      </c>
      <c r="E11430" t="s">
        <v>480</v>
      </c>
      <c r="F11430" s="1">
        <v>2</v>
      </c>
      <c r="G11430" s="1" t="s">
        <v>28</v>
      </c>
      <c r="H11430" s="4" t="str">
        <f>HYPERLINK("https://www.ncbi.nlm.nih.gov/geo/query/acc.cgi?acc=GSM2263294","GSM2263294")</f>
        <v>GSM2263294</v>
      </c>
      <c r="I11430" t="s">
        <v>59</v>
      </c>
      <c r="J11430" t="s">
        <v>60</v>
      </c>
      <c r="K11430" t="s">
        <v>19</v>
      </c>
      <c r="L11430" t="s">
        <v>61</v>
      </c>
      <c r="M11430" t="s">
        <v>41</v>
      </c>
      <c r="N11430" t="s">
        <v>29</v>
      </c>
    </row>
    <row r="11431" spans="1:14">
      <c r="A11431" s="4" t="str">
        <f t="shared" si="1016"/>
        <v>EXP00379</v>
      </c>
      <c r="B11431" s="3" t="s">
        <v>66</v>
      </c>
      <c r="C11431" s="4" t="str">
        <f t="shared" si="1017"/>
        <v>GSE85258</v>
      </c>
      <c r="D11431" s="1" t="s">
        <v>45</v>
      </c>
      <c r="E11431" t="s">
        <v>480</v>
      </c>
      <c r="F11431" s="1">
        <v>2</v>
      </c>
      <c r="G11431" s="1" t="s">
        <v>28</v>
      </c>
      <c r="H11431" s="4" t="str">
        <f>HYPERLINK("https://www.ncbi.nlm.nih.gov/geo/query/acc.cgi?acc=GSM2263295","GSM2263295")</f>
        <v>GSM2263295</v>
      </c>
      <c r="I11431" t="s">
        <v>59</v>
      </c>
      <c r="J11431" t="s">
        <v>60</v>
      </c>
      <c r="K11431" t="s">
        <v>19</v>
      </c>
      <c r="L11431" t="s">
        <v>61</v>
      </c>
      <c r="M11431" t="s">
        <v>41</v>
      </c>
      <c r="N11431" t="s">
        <v>29</v>
      </c>
    </row>
    <row r="11432" spans="1:14">
      <c r="A11432" s="4" t="str">
        <f t="shared" si="1016"/>
        <v>EXP00379</v>
      </c>
      <c r="B11432" s="3" t="s">
        <v>66</v>
      </c>
      <c r="C11432" s="4" t="str">
        <f t="shared" si="1017"/>
        <v>GSE85258</v>
      </c>
      <c r="D11432" s="1" t="s">
        <v>45</v>
      </c>
      <c r="E11432" t="s">
        <v>480</v>
      </c>
      <c r="F11432" s="1">
        <v>2</v>
      </c>
      <c r="G11432" s="1" t="s">
        <v>28</v>
      </c>
      <c r="H11432" s="4" t="str">
        <f>HYPERLINK("https://www.ncbi.nlm.nih.gov/geo/query/acc.cgi?acc=GSM2263298","GSM2263298")</f>
        <v>GSM2263298</v>
      </c>
      <c r="I11432" t="s">
        <v>59</v>
      </c>
      <c r="J11432" t="s">
        <v>60</v>
      </c>
      <c r="K11432" t="s">
        <v>19</v>
      </c>
      <c r="L11432" t="s">
        <v>61</v>
      </c>
      <c r="M11432" t="s">
        <v>41</v>
      </c>
      <c r="N11432" t="s">
        <v>29</v>
      </c>
    </row>
    <row r="11433" spans="1:14">
      <c r="A11433" s="4" t="str">
        <f t="shared" si="1016"/>
        <v>EXP00379</v>
      </c>
      <c r="B11433" s="3" t="s">
        <v>66</v>
      </c>
      <c r="C11433" s="4" t="str">
        <f t="shared" si="1017"/>
        <v>GSE85258</v>
      </c>
      <c r="D11433" s="1" t="s">
        <v>45</v>
      </c>
      <c r="E11433" t="s">
        <v>480</v>
      </c>
      <c r="F11433" s="1">
        <v>2</v>
      </c>
      <c r="G11433" s="1" t="s">
        <v>28</v>
      </c>
      <c r="H11433" s="4" t="str">
        <f>HYPERLINK("https://www.ncbi.nlm.nih.gov/geo/query/acc.cgi?acc=GSM2263299","GSM2263299")</f>
        <v>GSM2263299</v>
      </c>
      <c r="I11433" t="s">
        <v>59</v>
      </c>
      <c r="J11433" t="s">
        <v>60</v>
      </c>
      <c r="K11433" t="s">
        <v>19</v>
      </c>
      <c r="L11433" t="s">
        <v>61</v>
      </c>
      <c r="M11433" t="s">
        <v>41</v>
      </c>
      <c r="N11433" t="s">
        <v>29</v>
      </c>
    </row>
    <row r="11434" spans="1:14">
      <c r="A11434" s="4" t="str">
        <f t="shared" si="1016"/>
        <v>EXP00379</v>
      </c>
      <c r="B11434" s="3" t="s">
        <v>66</v>
      </c>
      <c r="C11434" s="4" t="str">
        <f t="shared" si="1017"/>
        <v>GSE85258</v>
      </c>
      <c r="D11434" s="1" t="s">
        <v>45</v>
      </c>
      <c r="E11434" t="s">
        <v>480</v>
      </c>
      <c r="F11434" s="1">
        <v>2</v>
      </c>
      <c r="G11434" s="1" t="s">
        <v>28</v>
      </c>
      <c r="H11434" s="4" t="str">
        <f>HYPERLINK("https://www.ncbi.nlm.nih.gov/geo/query/acc.cgi?acc=GSM2263302","GSM2263302")</f>
        <v>GSM2263302</v>
      </c>
      <c r="I11434" t="s">
        <v>59</v>
      </c>
      <c r="J11434" t="s">
        <v>60</v>
      </c>
      <c r="K11434" t="s">
        <v>19</v>
      </c>
      <c r="L11434" t="s">
        <v>61</v>
      </c>
      <c r="M11434" t="s">
        <v>41</v>
      </c>
      <c r="N11434" t="s">
        <v>29</v>
      </c>
    </row>
    <row r="11435" spans="1:14">
      <c r="A11435" s="4" t="str">
        <f t="shared" ref="A11435:A11463" si="1018">HYPERLINK("http://hcmdb.i-sanger.com/experiment/details/experiment_id/EXP00380","EXP00380")</f>
        <v>EXP00380</v>
      </c>
      <c r="B11435" s="3" t="s">
        <v>66</v>
      </c>
      <c r="C11435" s="4" t="str">
        <f t="shared" si="1017"/>
        <v>GSE85258</v>
      </c>
      <c r="D11435" s="1" t="s">
        <v>45</v>
      </c>
      <c r="E11435" t="s">
        <v>125</v>
      </c>
      <c r="F11435" s="1">
        <v>1</v>
      </c>
      <c r="G11435" s="1" t="s">
        <v>26</v>
      </c>
      <c r="H11435" s="4" t="str">
        <f>HYPERLINK("https://www.ncbi.nlm.nih.gov/geo/query/acc.cgi?acc=GSM2263272","GSM2263272")</f>
        <v>GSM2263272</v>
      </c>
      <c r="I11435" t="s">
        <v>59</v>
      </c>
      <c r="J11435" t="s">
        <v>60</v>
      </c>
      <c r="K11435" t="s">
        <v>19</v>
      </c>
      <c r="L11435" t="s">
        <v>61</v>
      </c>
      <c r="M11435" t="s">
        <v>41</v>
      </c>
      <c r="N11435" t="s">
        <v>22</v>
      </c>
    </row>
    <row r="11436" spans="1:14">
      <c r="A11436" s="4" t="str">
        <f t="shared" si="1018"/>
        <v>EXP00380</v>
      </c>
      <c r="B11436" s="3" t="s">
        <v>66</v>
      </c>
      <c r="C11436" s="4" t="str">
        <f t="shared" ref="C11436:C11463" si="1019">HYPERLINK("https://www.ncbi.nlm.nih.gov/geo/query/acc.cgi?acc=GSE85258","GSE85258")</f>
        <v>GSE85258</v>
      </c>
      <c r="D11436" s="1" t="s">
        <v>45</v>
      </c>
      <c r="E11436" t="s">
        <v>125</v>
      </c>
      <c r="F11436" s="1">
        <v>1</v>
      </c>
      <c r="G11436" s="1" t="s">
        <v>26</v>
      </c>
      <c r="H11436" s="4" t="str">
        <f>HYPERLINK("https://www.ncbi.nlm.nih.gov/geo/query/acc.cgi?acc=GSM2263274","GSM2263274")</f>
        <v>GSM2263274</v>
      </c>
      <c r="I11436" t="s">
        <v>59</v>
      </c>
      <c r="J11436" t="s">
        <v>60</v>
      </c>
      <c r="K11436" t="s">
        <v>19</v>
      </c>
      <c r="L11436" t="s">
        <v>61</v>
      </c>
      <c r="M11436" t="s">
        <v>41</v>
      </c>
      <c r="N11436" t="s">
        <v>22</v>
      </c>
    </row>
    <row r="11437" spans="1:14">
      <c r="A11437" s="4" t="str">
        <f t="shared" si="1018"/>
        <v>EXP00380</v>
      </c>
      <c r="B11437" s="3" t="s">
        <v>66</v>
      </c>
      <c r="C11437" s="4" t="str">
        <f t="shared" si="1019"/>
        <v>GSE85258</v>
      </c>
      <c r="D11437" s="1" t="s">
        <v>45</v>
      </c>
      <c r="E11437" t="s">
        <v>125</v>
      </c>
      <c r="F11437" s="1">
        <v>1</v>
      </c>
      <c r="G11437" s="1" t="s">
        <v>26</v>
      </c>
      <c r="H11437" s="4" t="str">
        <f>HYPERLINK("https://www.ncbi.nlm.nih.gov/geo/query/acc.cgi?acc=GSM2263276","GSM2263276")</f>
        <v>GSM2263276</v>
      </c>
      <c r="I11437" t="s">
        <v>59</v>
      </c>
      <c r="J11437" t="s">
        <v>60</v>
      </c>
      <c r="K11437" t="s">
        <v>19</v>
      </c>
      <c r="L11437" t="s">
        <v>61</v>
      </c>
      <c r="M11437" t="s">
        <v>41</v>
      </c>
      <c r="N11437" t="s">
        <v>22</v>
      </c>
    </row>
    <row r="11438" spans="1:14">
      <c r="A11438" s="4" t="str">
        <f t="shared" si="1018"/>
        <v>EXP00380</v>
      </c>
      <c r="B11438" s="3" t="s">
        <v>66</v>
      </c>
      <c r="C11438" s="4" t="str">
        <f t="shared" si="1019"/>
        <v>GSE85258</v>
      </c>
      <c r="D11438" s="1" t="s">
        <v>45</v>
      </c>
      <c r="E11438" t="s">
        <v>125</v>
      </c>
      <c r="F11438" s="1">
        <v>1</v>
      </c>
      <c r="G11438" s="1" t="s">
        <v>26</v>
      </c>
      <c r="H11438" s="4" t="str">
        <f>HYPERLINK("https://www.ncbi.nlm.nih.gov/geo/query/acc.cgi?acc=GSM2263280","GSM2263280")</f>
        <v>GSM2263280</v>
      </c>
      <c r="I11438" t="s">
        <v>59</v>
      </c>
      <c r="J11438" t="s">
        <v>60</v>
      </c>
      <c r="K11438" t="s">
        <v>19</v>
      </c>
      <c r="L11438" t="s">
        <v>61</v>
      </c>
      <c r="M11438" t="s">
        <v>41</v>
      </c>
      <c r="N11438" t="s">
        <v>22</v>
      </c>
    </row>
    <row r="11439" spans="1:14">
      <c r="A11439" s="4" t="str">
        <f t="shared" si="1018"/>
        <v>EXP00380</v>
      </c>
      <c r="B11439" s="3" t="s">
        <v>66</v>
      </c>
      <c r="C11439" s="4" t="str">
        <f t="shared" si="1019"/>
        <v>GSE85258</v>
      </c>
      <c r="D11439" s="1" t="s">
        <v>45</v>
      </c>
      <c r="E11439" t="s">
        <v>125</v>
      </c>
      <c r="F11439" s="1">
        <v>1</v>
      </c>
      <c r="G11439" s="1" t="s">
        <v>26</v>
      </c>
      <c r="H11439" s="4" t="str">
        <f>HYPERLINK("https://www.ncbi.nlm.nih.gov/geo/query/acc.cgi?acc=GSM2263283","GSM2263283")</f>
        <v>GSM2263283</v>
      </c>
      <c r="I11439" t="s">
        <v>59</v>
      </c>
      <c r="J11439" t="s">
        <v>60</v>
      </c>
      <c r="K11439" t="s">
        <v>19</v>
      </c>
      <c r="L11439" t="s">
        <v>61</v>
      </c>
      <c r="M11439" t="s">
        <v>41</v>
      </c>
      <c r="N11439" t="s">
        <v>22</v>
      </c>
    </row>
    <row r="11440" spans="1:14">
      <c r="A11440" s="4" t="str">
        <f t="shared" si="1018"/>
        <v>EXP00380</v>
      </c>
      <c r="B11440" s="3" t="s">
        <v>66</v>
      </c>
      <c r="C11440" s="4" t="str">
        <f t="shared" si="1019"/>
        <v>GSE85258</v>
      </c>
      <c r="D11440" s="1" t="s">
        <v>45</v>
      </c>
      <c r="E11440" t="s">
        <v>125</v>
      </c>
      <c r="F11440" s="1">
        <v>1</v>
      </c>
      <c r="G11440" s="1" t="s">
        <v>26</v>
      </c>
      <c r="H11440" s="4" t="str">
        <f>HYPERLINK("https://www.ncbi.nlm.nih.gov/geo/query/acc.cgi?acc=GSM2263285","GSM2263285")</f>
        <v>GSM2263285</v>
      </c>
      <c r="I11440" t="s">
        <v>59</v>
      </c>
      <c r="J11440" t="s">
        <v>60</v>
      </c>
      <c r="K11440" t="s">
        <v>19</v>
      </c>
      <c r="L11440" t="s">
        <v>61</v>
      </c>
      <c r="M11440" t="s">
        <v>41</v>
      </c>
      <c r="N11440" t="s">
        <v>22</v>
      </c>
    </row>
    <row r="11441" spans="1:14">
      <c r="A11441" s="4" t="str">
        <f t="shared" si="1018"/>
        <v>EXP00380</v>
      </c>
      <c r="B11441" s="3" t="s">
        <v>66</v>
      </c>
      <c r="C11441" s="4" t="str">
        <f t="shared" si="1019"/>
        <v>GSE85258</v>
      </c>
      <c r="D11441" s="1" t="s">
        <v>45</v>
      </c>
      <c r="E11441" t="s">
        <v>125</v>
      </c>
      <c r="F11441" s="1">
        <v>1</v>
      </c>
      <c r="G11441" s="1" t="s">
        <v>26</v>
      </c>
      <c r="H11441" s="4" t="str">
        <f>HYPERLINK("https://www.ncbi.nlm.nih.gov/geo/query/acc.cgi?acc=GSM2263286","GSM2263286")</f>
        <v>GSM2263286</v>
      </c>
      <c r="I11441" t="s">
        <v>59</v>
      </c>
      <c r="J11441" t="s">
        <v>60</v>
      </c>
      <c r="K11441" t="s">
        <v>19</v>
      </c>
      <c r="L11441" t="s">
        <v>61</v>
      </c>
      <c r="M11441" t="s">
        <v>41</v>
      </c>
      <c r="N11441" t="s">
        <v>22</v>
      </c>
    </row>
    <row r="11442" spans="1:14">
      <c r="A11442" s="4" t="str">
        <f t="shared" si="1018"/>
        <v>EXP00380</v>
      </c>
      <c r="B11442" s="3" t="s">
        <v>66</v>
      </c>
      <c r="C11442" s="4" t="str">
        <f t="shared" si="1019"/>
        <v>GSE85258</v>
      </c>
      <c r="D11442" s="1" t="s">
        <v>45</v>
      </c>
      <c r="E11442" t="s">
        <v>125</v>
      </c>
      <c r="F11442" s="1">
        <v>1</v>
      </c>
      <c r="G11442" s="1" t="s">
        <v>26</v>
      </c>
      <c r="H11442" s="4" t="str">
        <f>HYPERLINK("https://www.ncbi.nlm.nih.gov/geo/query/acc.cgi?acc=GSM2263289","GSM2263289")</f>
        <v>GSM2263289</v>
      </c>
      <c r="I11442" t="s">
        <v>59</v>
      </c>
      <c r="J11442" t="s">
        <v>60</v>
      </c>
      <c r="K11442" t="s">
        <v>19</v>
      </c>
      <c r="L11442" t="s">
        <v>61</v>
      </c>
      <c r="M11442" t="s">
        <v>41</v>
      </c>
      <c r="N11442" t="s">
        <v>22</v>
      </c>
    </row>
    <row r="11443" spans="1:14">
      <c r="A11443" s="4" t="str">
        <f t="shared" si="1018"/>
        <v>EXP00380</v>
      </c>
      <c r="B11443" s="3" t="s">
        <v>66</v>
      </c>
      <c r="C11443" s="4" t="str">
        <f t="shared" si="1019"/>
        <v>GSE85258</v>
      </c>
      <c r="D11443" s="1" t="s">
        <v>45</v>
      </c>
      <c r="E11443" t="s">
        <v>125</v>
      </c>
      <c r="F11443" s="1">
        <v>1</v>
      </c>
      <c r="G11443" s="1" t="s">
        <v>26</v>
      </c>
      <c r="H11443" s="4" t="str">
        <f>HYPERLINK("https://www.ncbi.nlm.nih.gov/geo/query/acc.cgi?acc=GSM2263290","GSM2263290")</f>
        <v>GSM2263290</v>
      </c>
      <c r="I11443" t="s">
        <v>59</v>
      </c>
      <c r="J11443" t="s">
        <v>60</v>
      </c>
      <c r="K11443" t="s">
        <v>19</v>
      </c>
      <c r="L11443" t="s">
        <v>61</v>
      </c>
      <c r="M11443" t="s">
        <v>41</v>
      </c>
      <c r="N11443" t="s">
        <v>22</v>
      </c>
    </row>
    <row r="11444" spans="1:14">
      <c r="A11444" s="4" t="str">
        <f t="shared" si="1018"/>
        <v>EXP00380</v>
      </c>
      <c r="B11444" s="3" t="s">
        <v>66</v>
      </c>
      <c r="C11444" s="4" t="str">
        <f t="shared" si="1019"/>
        <v>GSE85258</v>
      </c>
      <c r="D11444" s="1" t="s">
        <v>45</v>
      </c>
      <c r="E11444" t="s">
        <v>125</v>
      </c>
      <c r="F11444" s="1">
        <v>1</v>
      </c>
      <c r="G11444" s="1" t="s">
        <v>26</v>
      </c>
      <c r="H11444" s="4" t="str">
        <f>HYPERLINK("https://www.ncbi.nlm.nih.gov/geo/query/acc.cgi?acc=GSM2263291","GSM2263291")</f>
        <v>GSM2263291</v>
      </c>
      <c r="I11444" t="s">
        <v>59</v>
      </c>
      <c r="J11444" t="s">
        <v>60</v>
      </c>
      <c r="K11444" t="s">
        <v>19</v>
      </c>
      <c r="L11444" t="s">
        <v>61</v>
      </c>
      <c r="M11444" t="s">
        <v>41</v>
      </c>
      <c r="N11444" t="s">
        <v>22</v>
      </c>
    </row>
    <row r="11445" spans="1:14">
      <c r="A11445" s="4" t="str">
        <f t="shared" si="1018"/>
        <v>EXP00380</v>
      </c>
      <c r="B11445" s="3" t="s">
        <v>66</v>
      </c>
      <c r="C11445" s="4" t="str">
        <f t="shared" si="1019"/>
        <v>GSE85258</v>
      </c>
      <c r="D11445" s="1" t="s">
        <v>45</v>
      </c>
      <c r="E11445" t="s">
        <v>125</v>
      </c>
      <c r="F11445" s="1">
        <v>1</v>
      </c>
      <c r="G11445" s="1" t="s">
        <v>26</v>
      </c>
      <c r="H11445" s="4" t="str">
        <f>HYPERLINK("https://www.ncbi.nlm.nih.gov/geo/query/acc.cgi?acc=GSM2263293","GSM2263293")</f>
        <v>GSM2263293</v>
      </c>
      <c r="I11445" t="s">
        <v>59</v>
      </c>
      <c r="J11445" t="s">
        <v>60</v>
      </c>
      <c r="K11445" t="s">
        <v>19</v>
      </c>
      <c r="L11445" t="s">
        <v>61</v>
      </c>
      <c r="M11445" t="s">
        <v>41</v>
      </c>
      <c r="N11445" t="s">
        <v>22</v>
      </c>
    </row>
    <row r="11446" spans="1:14">
      <c r="A11446" s="4" t="str">
        <f t="shared" si="1018"/>
        <v>EXP00380</v>
      </c>
      <c r="B11446" s="3" t="s">
        <v>66</v>
      </c>
      <c r="C11446" s="4" t="str">
        <f t="shared" si="1019"/>
        <v>GSE85258</v>
      </c>
      <c r="D11446" s="1" t="s">
        <v>45</v>
      </c>
      <c r="E11446" t="s">
        <v>125</v>
      </c>
      <c r="F11446" s="1">
        <v>1</v>
      </c>
      <c r="G11446" s="1" t="s">
        <v>26</v>
      </c>
      <c r="H11446" s="4" t="str">
        <f>HYPERLINK("https://www.ncbi.nlm.nih.gov/geo/query/acc.cgi?acc=GSM2263296","GSM2263296")</f>
        <v>GSM2263296</v>
      </c>
      <c r="I11446" t="s">
        <v>59</v>
      </c>
      <c r="J11446" t="s">
        <v>60</v>
      </c>
      <c r="K11446" t="s">
        <v>19</v>
      </c>
      <c r="L11446" t="s">
        <v>61</v>
      </c>
      <c r="M11446" t="s">
        <v>41</v>
      </c>
      <c r="N11446" t="s">
        <v>22</v>
      </c>
    </row>
    <row r="11447" spans="1:14">
      <c r="A11447" s="4" t="str">
        <f t="shared" si="1018"/>
        <v>EXP00380</v>
      </c>
      <c r="B11447" s="3" t="s">
        <v>66</v>
      </c>
      <c r="C11447" s="4" t="str">
        <f t="shared" si="1019"/>
        <v>GSE85258</v>
      </c>
      <c r="D11447" s="1" t="s">
        <v>45</v>
      </c>
      <c r="E11447" t="s">
        <v>125</v>
      </c>
      <c r="F11447" s="1">
        <v>1</v>
      </c>
      <c r="G11447" s="1" t="s">
        <v>26</v>
      </c>
      <c r="H11447" s="4" t="str">
        <f>HYPERLINK("https://www.ncbi.nlm.nih.gov/geo/query/acc.cgi?acc=GSM2263297","GSM2263297")</f>
        <v>GSM2263297</v>
      </c>
      <c r="I11447" t="s">
        <v>59</v>
      </c>
      <c r="J11447" t="s">
        <v>60</v>
      </c>
      <c r="K11447" t="s">
        <v>19</v>
      </c>
      <c r="L11447" t="s">
        <v>61</v>
      </c>
      <c r="M11447" t="s">
        <v>41</v>
      </c>
      <c r="N11447" t="s">
        <v>22</v>
      </c>
    </row>
    <row r="11448" spans="1:14">
      <c r="A11448" s="4" t="str">
        <f t="shared" si="1018"/>
        <v>EXP00380</v>
      </c>
      <c r="B11448" s="3" t="s">
        <v>66</v>
      </c>
      <c r="C11448" s="4" t="str">
        <f t="shared" si="1019"/>
        <v>GSE85258</v>
      </c>
      <c r="D11448" s="1" t="s">
        <v>45</v>
      </c>
      <c r="E11448" t="s">
        <v>125</v>
      </c>
      <c r="F11448" s="1">
        <v>1</v>
      </c>
      <c r="G11448" s="1" t="s">
        <v>26</v>
      </c>
      <c r="H11448" s="4" t="str">
        <f>HYPERLINK("https://www.ncbi.nlm.nih.gov/geo/query/acc.cgi?acc=GSM2263300","GSM2263300")</f>
        <v>GSM2263300</v>
      </c>
      <c r="I11448" t="s">
        <v>59</v>
      </c>
      <c r="J11448" t="s">
        <v>60</v>
      </c>
      <c r="K11448" t="s">
        <v>19</v>
      </c>
      <c r="L11448" t="s">
        <v>61</v>
      </c>
      <c r="M11448" t="s">
        <v>41</v>
      </c>
      <c r="N11448" t="s">
        <v>22</v>
      </c>
    </row>
    <row r="11449" spans="1:14">
      <c r="A11449" s="4" t="str">
        <f t="shared" si="1018"/>
        <v>EXP00380</v>
      </c>
      <c r="B11449" s="3" t="s">
        <v>66</v>
      </c>
      <c r="C11449" s="4" t="str">
        <f t="shared" si="1019"/>
        <v>GSE85258</v>
      </c>
      <c r="D11449" s="1" t="s">
        <v>45</v>
      </c>
      <c r="E11449" t="s">
        <v>125</v>
      </c>
      <c r="F11449" s="1">
        <v>1</v>
      </c>
      <c r="G11449" s="1" t="s">
        <v>26</v>
      </c>
      <c r="H11449" s="4" t="str">
        <f>HYPERLINK("https://www.ncbi.nlm.nih.gov/geo/query/acc.cgi?acc=GSM2263301","GSM2263301")</f>
        <v>GSM2263301</v>
      </c>
      <c r="I11449" t="s">
        <v>59</v>
      </c>
      <c r="J11449" t="s">
        <v>60</v>
      </c>
      <c r="K11449" t="s">
        <v>19</v>
      </c>
      <c r="L11449" t="s">
        <v>61</v>
      </c>
      <c r="M11449" t="s">
        <v>41</v>
      </c>
      <c r="N11449" t="s">
        <v>22</v>
      </c>
    </row>
    <row r="11450" spans="1:14">
      <c r="A11450" s="4" t="str">
        <f t="shared" si="1018"/>
        <v>EXP00380</v>
      </c>
      <c r="B11450" s="3" t="s">
        <v>66</v>
      </c>
      <c r="C11450" s="4" t="str">
        <f t="shared" si="1019"/>
        <v>GSE85258</v>
      </c>
      <c r="D11450" s="1" t="s">
        <v>45</v>
      </c>
      <c r="E11450" t="s">
        <v>125</v>
      </c>
      <c r="F11450" s="1">
        <v>2</v>
      </c>
      <c r="G11450" s="1" t="s">
        <v>28</v>
      </c>
      <c r="H11450" s="4" t="str">
        <f>HYPERLINK("https://www.ncbi.nlm.nih.gov/geo/query/acc.cgi?acc=GSM2263273","GSM2263273")</f>
        <v>GSM2263273</v>
      </c>
      <c r="I11450" t="s">
        <v>59</v>
      </c>
      <c r="J11450" t="s">
        <v>60</v>
      </c>
      <c r="K11450" t="s">
        <v>19</v>
      </c>
      <c r="L11450" t="s">
        <v>61</v>
      </c>
      <c r="M11450" t="s">
        <v>41</v>
      </c>
      <c r="N11450" t="s">
        <v>29</v>
      </c>
    </row>
    <row r="11451" spans="1:14">
      <c r="A11451" s="4" t="str">
        <f t="shared" si="1018"/>
        <v>EXP00380</v>
      </c>
      <c r="B11451" s="3" t="s">
        <v>66</v>
      </c>
      <c r="C11451" s="4" t="str">
        <f t="shared" si="1019"/>
        <v>GSE85258</v>
      </c>
      <c r="D11451" s="1" t="s">
        <v>45</v>
      </c>
      <c r="E11451" t="s">
        <v>125</v>
      </c>
      <c r="F11451" s="1">
        <v>2</v>
      </c>
      <c r="G11451" s="1" t="s">
        <v>28</v>
      </c>
      <c r="H11451" s="4" t="str">
        <f>HYPERLINK("https://www.ncbi.nlm.nih.gov/geo/query/acc.cgi?acc=GSM2263275","GSM2263275")</f>
        <v>GSM2263275</v>
      </c>
      <c r="I11451" t="s">
        <v>59</v>
      </c>
      <c r="J11451" t="s">
        <v>60</v>
      </c>
      <c r="K11451" t="s">
        <v>19</v>
      </c>
      <c r="L11451" t="s">
        <v>61</v>
      </c>
      <c r="M11451" t="s">
        <v>41</v>
      </c>
      <c r="N11451" t="s">
        <v>29</v>
      </c>
    </row>
    <row r="11452" spans="1:14">
      <c r="A11452" s="4" t="str">
        <f t="shared" si="1018"/>
        <v>EXP00380</v>
      </c>
      <c r="B11452" s="3" t="s">
        <v>66</v>
      </c>
      <c r="C11452" s="4" t="str">
        <f t="shared" si="1019"/>
        <v>GSE85258</v>
      </c>
      <c r="D11452" s="1" t="s">
        <v>45</v>
      </c>
      <c r="E11452" t="s">
        <v>125</v>
      </c>
      <c r="F11452" s="1">
        <v>2</v>
      </c>
      <c r="G11452" s="1" t="s">
        <v>28</v>
      </c>
      <c r="H11452" s="4" t="str">
        <f>HYPERLINK("https://www.ncbi.nlm.nih.gov/geo/query/acc.cgi?acc=GSM2263277","GSM2263277")</f>
        <v>GSM2263277</v>
      </c>
      <c r="I11452" t="s">
        <v>59</v>
      </c>
      <c r="J11452" t="s">
        <v>60</v>
      </c>
      <c r="K11452" t="s">
        <v>19</v>
      </c>
      <c r="L11452" t="s">
        <v>61</v>
      </c>
      <c r="M11452" t="s">
        <v>41</v>
      </c>
      <c r="N11452" t="s">
        <v>29</v>
      </c>
    </row>
    <row r="11453" spans="1:14">
      <c r="A11453" s="4" t="str">
        <f t="shared" si="1018"/>
        <v>EXP00380</v>
      </c>
      <c r="B11453" s="3" t="s">
        <v>66</v>
      </c>
      <c r="C11453" s="4" t="str">
        <f t="shared" si="1019"/>
        <v>GSE85258</v>
      </c>
      <c r="D11453" s="1" t="s">
        <v>45</v>
      </c>
      <c r="E11453" t="s">
        <v>125</v>
      </c>
      <c r="F11453" s="1">
        <v>2</v>
      </c>
      <c r="G11453" s="1" t="s">
        <v>28</v>
      </c>
      <c r="H11453" s="4" t="str">
        <f>HYPERLINK("https://www.ncbi.nlm.nih.gov/geo/query/acc.cgi?acc=GSM2263281","GSM2263281")</f>
        <v>GSM2263281</v>
      </c>
      <c r="I11453" t="s">
        <v>59</v>
      </c>
      <c r="J11453" t="s">
        <v>60</v>
      </c>
      <c r="K11453" t="s">
        <v>19</v>
      </c>
      <c r="L11453" t="s">
        <v>61</v>
      </c>
      <c r="M11453" t="s">
        <v>41</v>
      </c>
      <c r="N11453" t="s">
        <v>29</v>
      </c>
    </row>
    <row r="11454" spans="1:14">
      <c r="A11454" s="4" t="str">
        <f t="shared" si="1018"/>
        <v>EXP00380</v>
      </c>
      <c r="B11454" s="3" t="s">
        <v>66</v>
      </c>
      <c r="C11454" s="4" t="str">
        <f t="shared" si="1019"/>
        <v>GSE85258</v>
      </c>
      <c r="D11454" s="1" t="s">
        <v>45</v>
      </c>
      <c r="E11454" t="s">
        <v>125</v>
      </c>
      <c r="F11454" s="1">
        <v>2</v>
      </c>
      <c r="G11454" s="1" t="s">
        <v>28</v>
      </c>
      <c r="H11454" s="4" t="str">
        <f>HYPERLINK("https://www.ncbi.nlm.nih.gov/geo/query/acc.cgi?acc=GSM2263282","GSM2263282")</f>
        <v>GSM2263282</v>
      </c>
      <c r="I11454" t="s">
        <v>59</v>
      </c>
      <c r="J11454" t="s">
        <v>60</v>
      </c>
      <c r="K11454" t="s">
        <v>19</v>
      </c>
      <c r="L11454" t="s">
        <v>61</v>
      </c>
      <c r="M11454" t="s">
        <v>41</v>
      </c>
      <c r="N11454" t="s">
        <v>29</v>
      </c>
    </row>
    <row r="11455" spans="1:14">
      <c r="A11455" s="4" t="str">
        <f t="shared" si="1018"/>
        <v>EXP00380</v>
      </c>
      <c r="B11455" s="3" t="s">
        <v>66</v>
      </c>
      <c r="C11455" s="4" t="str">
        <f t="shared" si="1019"/>
        <v>GSE85258</v>
      </c>
      <c r="D11455" s="1" t="s">
        <v>45</v>
      </c>
      <c r="E11455" t="s">
        <v>125</v>
      </c>
      <c r="F11455" s="1">
        <v>2</v>
      </c>
      <c r="G11455" s="1" t="s">
        <v>28</v>
      </c>
      <c r="H11455" s="4" t="str">
        <f>HYPERLINK("https://www.ncbi.nlm.nih.gov/geo/query/acc.cgi?acc=GSM2263284","GSM2263284")</f>
        <v>GSM2263284</v>
      </c>
      <c r="I11455" t="s">
        <v>59</v>
      </c>
      <c r="J11455" t="s">
        <v>60</v>
      </c>
      <c r="K11455" t="s">
        <v>19</v>
      </c>
      <c r="L11455" t="s">
        <v>61</v>
      </c>
      <c r="M11455" t="s">
        <v>41</v>
      </c>
      <c r="N11455" t="s">
        <v>29</v>
      </c>
    </row>
    <row r="11456" spans="1:14">
      <c r="A11456" s="4" t="str">
        <f t="shared" si="1018"/>
        <v>EXP00380</v>
      </c>
      <c r="B11456" s="3" t="s">
        <v>66</v>
      </c>
      <c r="C11456" s="4" t="str">
        <f t="shared" si="1019"/>
        <v>GSE85258</v>
      </c>
      <c r="D11456" s="1" t="s">
        <v>45</v>
      </c>
      <c r="E11456" t="s">
        <v>125</v>
      </c>
      <c r="F11456" s="1">
        <v>2</v>
      </c>
      <c r="G11456" s="1" t="s">
        <v>28</v>
      </c>
      <c r="H11456" s="4" t="str">
        <f>HYPERLINK("https://www.ncbi.nlm.nih.gov/geo/query/acc.cgi?acc=GSM2263287","GSM2263287")</f>
        <v>GSM2263287</v>
      </c>
      <c r="I11456" t="s">
        <v>59</v>
      </c>
      <c r="J11456" t="s">
        <v>60</v>
      </c>
      <c r="K11456" t="s">
        <v>19</v>
      </c>
      <c r="L11456" t="s">
        <v>61</v>
      </c>
      <c r="M11456" t="s">
        <v>41</v>
      </c>
      <c r="N11456" t="s">
        <v>29</v>
      </c>
    </row>
    <row r="11457" spans="1:14">
      <c r="A11457" s="4" t="str">
        <f t="shared" si="1018"/>
        <v>EXP00380</v>
      </c>
      <c r="B11457" s="3" t="s">
        <v>66</v>
      </c>
      <c r="C11457" s="4" t="str">
        <f t="shared" si="1019"/>
        <v>GSE85258</v>
      </c>
      <c r="D11457" s="1" t="s">
        <v>45</v>
      </c>
      <c r="E11457" t="s">
        <v>125</v>
      </c>
      <c r="F11457" s="1">
        <v>2</v>
      </c>
      <c r="G11457" s="1" t="s">
        <v>28</v>
      </c>
      <c r="H11457" s="4" t="str">
        <f>HYPERLINK("https://www.ncbi.nlm.nih.gov/geo/query/acc.cgi?acc=GSM2263288","GSM2263288")</f>
        <v>GSM2263288</v>
      </c>
      <c r="I11457" t="s">
        <v>59</v>
      </c>
      <c r="J11457" t="s">
        <v>60</v>
      </c>
      <c r="K11457" t="s">
        <v>19</v>
      </c>
      <c r="L11457" t="s">
        <v>61</v>
      </c>
      <c r="M11457" t="s">
        <v>41</v>
      </c>
      <c r="N11457" t="s">
        <v>29</v>
      </c>
    </row>
    <row r="11458" spans="1:14">
      <c r="A11458" s="4" t="str">
        <f t="shared" si="1018"/>
        <v>EXP00380</v>
      </c>
      <c r="B11458" s="3" t="s">
        <v>66</v>
      </c>
      <c r="C11458" s="4" t="str">
        <f t="shared" si="1019"/>
        <v>GSE85258</v>
      </c>
      <c r="D11458" s="1" t="s">
        <v>45</v>
      </c>
      <c r="E11458" t="s">
        <v>125</v>
      </c>
      <c r="F11458" s="1">
        <v>2</v>
      </c>
      <c r="G11458" s="1" t="s">
        <v>28</v>
      </c>
      <c r="H11458" s="4" t="str">
        <f>HYPERLINK("https://www.ncbi.nlm.nih.gov/geo/query/acc.cgi?acc=GSM2263292","GSM2263292")</f>
        <v>GSM2263292</v>
      </c>
      <c r="I11458" t="s">
        <v>59</v>
      </c>
      <c r="J11458" t="s">
        <v>60</v>
      </c>
      <c r="K11458" t="s">
        <v>19</v>
      </c>
      <c r="L11458" t="s">
        <v>61</v>
      </c>
      <c r="M11458" t="s">
        <v>41</v>
      </c>
      <c r="N11458" t="s">
        <v>29</v>
      </c>
    </row>
    <row r="11459" spans="1:14">
      <c r="A11459" s="4" t="str">
        <f t="shared" si="1018"/>
        <v>EXP00380</v>
      </c>
      <c r="B11459" s="3" t="s">
        <v>66</v>
      </c>
      <c r="C11459" s="4" t="str">
        <f t="shared" si="1019"/>
        <v>GSE85258</v>
      </c>
      <c r="D11459" s="1" t="s">
        <v>45</v>
      </c>
      <c r="E11459" t="s">
        <v>125</v>
      </c>
      <c r="F11459" s="1">
        <v>2</v>
      </c>
      <c r="G11459" s="1" t="s">
        <v>28</v>
      </c>
      <c r="H11459" s="4" t="str">
        <f>HYPERLINK("https://www.ncbi.nlm.nih.gov/geo/query/acc.cgi?acc=GSM2263294","GSM2263294")</f>
        <v>GSM2263294</v>
      </c>
      <c r="I11459" t="s">
        <v>59</v>
      </c>
      <c r="J11459" t="s">
        <v>60</v>
      </c>
      <c r="K11459" t="s">
        <v>19</v>
      </c>
      <c r="L11459" t="s">
        <v>61</v>
      </c>
      <c r="M11459" t="s">
        <v>41</v>
      </c>
      <c r="N11459" t="s">
        <v>29</v>
      </c>
    </row>
    <row r="11460" spans="1:14">
      <c r="A11460" s="4" t="str">
        <f t="shared" si="1018"/>
        <v>EXP00380</v>
      </c>
      <c r="B11460" s="3" t="s">
        <v>66</v>
      </c>
      <c r="C11460" s="4" t="str">
        <f t="shared" si="1019"/>
        <v>GSE85258</v>
      </c>
      <c r="D11460" s="1" t="s">
        <v>45</v>
      </c>
      <c r="E11460" t="s">
        <v>125</v>
      </c>
      <c r="F11460" s="1">
        <v>2</v>
      </c>
      <c r="G11460" s="1" t="s">
        <v>28</v>
      </c>
      <c r="H11460" s="4" t="str">
        <f>HYPERLINK("https://www.ncbi.nlm.nih.gov/geo/query/acc.cgi?acc=GSM2263295","GSM2263295")</f>
        <v>GSM2263295</v>
      </c>
      <c r="I11460" t="s">
        <v>59</v>
      </c>
      <c r="J11460" t="s">
        <v>60</v>
      </c>
      <c r="K11460" t="s">
        <v>19</v>
      </c>
      <c r="L11460" t="s">
        <v>61</v>
      </c>
      <c r="M11460" t="s">
        <v>41</v>
      </c>
      <c r="N11460" t="s">
        <v>29</v>
      </c>
    </row>
    <row r="11461" spans="1:14">
      <c r="A11461" s="4" t="str">
        <f t="shared" si="1018"/>
        <v>EXP00380</v>
      </c>
      <c r="B11461" s="3" t="s">
        <v>66</v>
      </c>
      <c r="C11461" s="4" t="str">
        <f t="shared" si="1019"/>
        <v>GSE85258</v>
      </c>
      <c r="D11461" s="1" t="s">
        <v>45</v>
      </c>
      <c r="E11461" t="s">
        <v>125</v>
      </c>
      <c r="F11461" s="1">
        <v>2</v>
      </c>
      <c r="G11461" s="1" t="s">
        <v>28</v>
      </c>
      <c r="H11461" s="4" t="str">
        <f>HYPERLINK("https://www.ncbi.nlm.nih.gov/geo/query/acc.cgi?acc=GSM2263298","GSM2263298")</f>
        <v>GSM2263298</v>
      </c>
      <c r="I11461" t="s">
        <v>59</v>
      </c>
      <c r="J11461" t="s">
        <v>60</v>
      </c>
      <c r="K11461" t="s">
        <v>19</v>
      </c>
      <c r="L11461" t="s">
        <v>61</v>
      </c>
      <c r="M11461" t="s">
        <v>41</v>
      </c>
      <c r="N11461" t="s">
        <v>29</v>
      </c>
    </row>
    <row r="11462" spans="1:14">
      <c r="A11462" s="4" t="str">
        <f t="shared" si="1018"/>
        <v>EXP00380</v>
      </c>
      <c r="B11462" s="3" t="s">
        <v>66</v>
      </c>
      <c r="C11462" s="4" t="str">
        <f t="shared" si="1019"/>
        <v>GSE85258</v>
      </c>
      <c r="D11462" s="1" t="s">
        <v>45</v>
      </c>
      <c r="E11462" t="s">
        <v>125</v>
      </c>
      <c r="F11462" s="1">
        <v>2</v>
      </c>
      <c r="G11462" s="1" t="s">
        <v>28</v>
      </c>
      <c r="H11462" s="4" t="str">
        <f>HYPERLINK("https://www.ncbi.nlm.nih.gov/geo/query/acc.cgi?acc=GSM2263299","GSM2263299")</f>
        <v>GSM2263299</v>
      </c>
      <c r="I11462" t="s">
        <v>59</v>
      </c>
      <c r="J11462" t="s">
        <v>60</v>
      </c>
      <c r="K11462" t="s">
        <v>19</v>
      </c>
      <c r="L11462" t="s">
        <v>61</v>
      </c>
      <c r="M11462" t="s">
        <v>41</v>
      </c>
      <c r="N11462" t="s">
        <v>29</v>
      </c>
    </row>
    <row r="11463" spans="1:14">
      <c r="A11463" s="4" t="str">
        <f t="shared" si="1018"/>
        <v>EXP00380</v>
      </c>
      <c r="B11463" s="3" t="s">
        <v>66</v>
      </c>
      <c r="C11463" s="4" t="str">
        <f t="shared" si="1019"/>
        <v>GSE85258</v>
      </c>
      <c r="D11463" s="1" t="s">
        <v>45</v>
      </c>
      <c r="E11463" t="s">
        <v>125</v>
      </c>
      <c r="F11463" s="1">
        <v>2</v>
      </c>
      <c r="G11463" s="1" t="s">
        <v>28</v>
      </c>
      <c r="H11463" s="4" t="str">
        <f>HYPERLINK("https://www.ncbi.nlm.nih.gov/geo/query/acc.cgi?acc=GSM2263302","GSM2263302")</f>
        <v>GSM2263302</v>
      </c>
      <c r="I11463" t="s">
        <v>59</v>
      </c>
      <c r="J11463" t="s">
        <v>60</v>
      </c>
      <c r="K11463" t="s">
        <v>19</v>
      </c>
      <c r="L11463" t="s">
        <v>61</v>
      </c>
      <c r="M11463" t="s">
        <v>41</v>
      </c>
      <c r="N11463" t="s">
        <v>29</v>
      </c>
    </row>
    <row r="11464" spans="1:14">
      <c r="A11464" s="4" t="str">
        <f t="shared" ref="A11464:A11476" si="1020">HYPERLINK("http://hcmdb.i-sanger.com/experiment/details/experiment_id/EXP00381","EXP00381")</f>
        <v>EXP00381</v>
      </c>
      <c r="B11464" s="3" t="s">
        <v>66</v>
      </c>
      <c r="C11464" s="4" t="str">
        <f t="shared" ref="C11464:C11495" si="1021">HYPERLINK("https://www.ncbi.nlm.nih.gov/geo/query/acc.cgi?acc=GSE85730","GSE85730")</f>
        <v>GSE85730</v>
      </c>
      <c r="D11464" s="1" t="s">
        <v>482</v>
      </c>
      <c r="E11464" t="s">
        <v>483</v>
      </c>
      <c r="F11464" s="1">
        <v>1</v>
      </c>
      <c r="G11464" s="1" t="s">
        <v>36</v>
      </c>
      <c r="H11464" s="4" t="str">
        <f>HYPERLINK("https://www.ncbi.nlm.nih.gov/geo/query/acc.cgi?acc=GSM2283246","GSM2283246")</f>
        <v>GSM2283246</v>
      </c>
      <c r="I11464" t="s">
        <v>484</v>
      </c>
      <c r="J11464" t="s">
        <v>485</v>
      </c>
      <c r="K11464" t="s">
        <v>19</v>
      </c>
      <c r="L11464" t="s">
        <v>486</v>
      </c>
      <c r="M11464" t="s">
        <v>365</v>
      </c>
      <c r="N11464" t="s">
        <v>37</v>
      </c>
    </row>
    <row r="11465" spans="1:14">
      <c r="A11465" s="4" t="str">
        <f t="shared" si="1020"/>
        <v>EXP00381</v>
      </c>
      <c r="B11465" s="3" t="s">
        <v>66</v>
      </c>
      <c r="C11465" s="4" t="str">
        <f t="shared" si="1021"/>
        <v>GSE85730</v>
      </c>
      <c r="D11465" s="1" t="s">
        <v>482</v>
      </c>
      <c r="E11465" t="s">
        <v>483</v>
      </c>
      <c r="F11465" s="1">
        <v>1</v>
      </c>
      <c r="G11465" s="1" t="s">
        <v>36</v>
      </c>
      <c r="H11465" s="4" t="str">
        <f>HYPERLINK("https://www.ncbi.nlm.nih.gov/geo/query/acc.cgi?acc=GSM2283250","GSM2283250")</f>
        <v>GSM2283250</v>
      </c>
      <c r="I11465" t="s">
        <v>484</v>
      </c>
      <c r="J11465" t="s">
        <v>485</v>
      </c>
      <c r="K11465" t="s">
        <v>19</v>
      </c>
      <c r="L11465" t="s">
        <v>486</v>
      </c>
      <c r="M11465" t="s">
        <v>365</v>
      </c>
      <c r="N11465" t="s">
        <v>37</v>
      </c>
    </row>
    <row r="11466" spans="1:14">
      <c r="A11466" s="4" t="str">
        <f t="shared" si="1020"/>
        <v>EXP00381</v>
      </c>
      <c r="B11466" s="3" t="s">
        <v>66</v>
      </c>
      <c r="C11466" s="4" t="str">
        <f t="shared" si="1021"/>
        <v>GSE85730</v>
      </c>
      <c r="D11466" s="1" t="s">
        <v>482</v>
      </c>
      <c r="E11466" t="s">
        <v>483</v>
      </c>
      <c r="F11466" s="1">
        <v>1</v>
      </c>
      <c r="G11466" s="1" t="s">
        <v>36</v>
      </c>
      <c r="H11466" s="4" t="str">
        <f>HYPERLINK("https://www.ncbi.nlm.nih.gov/geo/query/acc.cgi?acc=GSM2283252","GSM2283252")</f>
        <v>GSM2283252</v>
      </c>
      <c r="I11466" t="s">
        <v>484</v>
      </c>
      <c r="J11466" t="s">
        <v>485</v>
      </c>
      <c r="K11466" t="s">
        <v>19</v>
      </c>
      <c r="L11466" t="s">
        <v>486</v>
      </c>
      <c r="M11466" t="s">
        <v>365</v>
      </c>
      <c r="N11466" t="s">
        <v>37</v>
      </c>
    </row>
    <row r="11467" spans="1:14">
      <c r="A11467" s="4" t="str">
        <f t="shared" si="1020"/>
        <v>EXP00381</v>
      </c>
      <c r="B11467" s="3" t="s">
        <v>66</v>
      </c>
      <c r="C11467" s="4" t="str">
        <f t="shared" si="1021"/>
        <v>GSE85730</v>
      </c>
      <c r="D11467" s="1" t="s">
        <v>482</v>
      </c>
      <c r="E11467" t="s">
        <v>483</v>
      </c>
      <c r="F11467" s="1">
        <v>1</v>
      </c>
      <c r="G11467" s="1" t="s">
        <v>36</v>
      </c>
      <c r="H11467" s="4" t="str">
        <f>HYPERLINK("https://www.ncbi.nlm.nih.gov/geo/query/acc.cgi?acc=GSM2283255","GSM2283255")</f>
        <v>GSM2283255</v>
      </c>
      <c r="I11467" t="s">
        <v>484</v>
      </c>
      <c r="J11467" t="s">
        <v>485</v>
      </c>
      <c r="K11467" t="s">
        <v>19</v>
      </c>
      <c r="L11467" t="s">
        <v>486</v>
      </c>
      <c r="M11467" t="s">
        <v>365</v>
      </c>
      <c r="N11467" t="s">
        <v>37</v>
      </c>
    </row>
    <row r="11468" spans="1:14">
      <c r="A11468" s="4" t="str">
        <f t="shared" si="1020"/>
        <v>EXP00381</v>
      </c>
      <c r="B11468" s="3" t="s">
        <v>66</v>
      </c>
      <c r="C11468" s="4" t="str">
        <f t="shared" si="1021"/>
        <v>GSE85730</v>
      </c>
      <c r="D11468" s="1" t="s">
        <v>482</v>
      </c>
      <c r="E11468" t="s">
        <v>483</v>
      </c>
      <c r="F11468" s="1">
        <v>1</v>
      </c>
      <c r="G11468" s="1" t="s">
        <v>36</v>
      </c>
      <c r="H11468" s="4" t="str">
        <f>HYPERLINK("https://www.ncbi.nlm.nih.gov/geo/query/acc.cgi?acc=GSM2283257","GSM2283257")</f>
        <v>GSM2283257</v>
      </c>
      <c r="I11468" t="s">
        <v>484</v>
      </c>
      <c r="J11468" t="s">
        <v>485</v>
      </c>
      <c r="K11468" t="s">
        <v>19</v>
      </c>
      <c r="L11468" t="s">
        <v>486</v>
      </c>
      <c r="M11468" t="s">
        <v>365</v>
      </c>
      <c r="N11468" t="s">
        <v>37</v>
      </c>
    </row>
    <row r="11469" spans="1:14">
      <c r="A11469" s="4" t="str">
        <f t="shared" si="1020"/>
        <v>EXP00381</v>
      </c>
      <c r="B11469" s="3" t="s">
        <v>66</v>
      </c>
      <c r="C11469" s="4" t="str">
        <f t="shared" si="1021"/>
        <v>GSE85730</v>
      </c>
      <c r="D11469" s="1" t="s">
        <v>482</v>
      </c>
      <c r="E11469" t="s">
        <v>483</v>
      </c>
      <c r="F11469" s="1">
        <v>2</v>
      </c>
      <c r="G11469" s="1" t="s">
        <v>28</v>
      </c>
      <c r="H11469" s="4" t="str">
        <f>HYPERLINK("https://www.ncbi.nlm.nih.gov/geo/query/acc.cgi?acc=GSM2283245","GSM2283245")</f>
        <v>GSM2283245</v>
      </c>
      <c r="I11469" t="s">
        <v>484</v>
      </c>
      <c r="J11469" t="s">
        <v>485</v>
      </c>
      <c r="K11469" t="s">
        <v>19</v>
      </c>
      <c r="L11469" t="s">
        <v>486</v>
      </c>
      <c r="M11469" t="s">
        <v>365</v>
      </c>
      <c r="N11469" t="s">
        <v>29</v>
      </c>
    </row>
    <row r="11470" spans="1:14">
      <c r="A11470" s="4" t="str">
        <f t="shared" si="1020"/>
        <v>EXP00381</v>
      </c>
      <c r="B11470" s="3" t="s">
        <v>66</v>
      </c>
      <c r="C11470" s="4" t="str">
        <f t="shared" si="1021"/>
        <v>GSE85730</v>
      </c>
      <c r="D11470" s="1" t="s">
        <v>482</v>
      </c>
      <c r="E11470" t="s">
        <v>483</v>
      </c>
      <c r="F11470" s="1">
        <v>2</v>
      </c>
      <c r="G11470" s="1" t="s">
        <v>28</v>
      </c>
      <c r="H11470" s="4" t="str">
        <f>HYPERLINK("https://www.ncbi.nlm.nih.gov/geo/query/acc.cgi?acc=GSM2283247","GSM2283247")</f>
        <v>GSM2283247</v>
      </c>
      <c r="I11470" t="s">
        <v>484</v>
      </c>
      <c r="J11470" t="s">
        <v>485</v>
      </c>
      <c r="K11470" t="s">
        <v>19</v>
      </c>
      <c r="L11470" t="s">
        <v>486</v>
      </c>
      <c r="M11470" t="s">
        <v>365</v>
      </c>
      <c r="N11470" t="s">
        <v>29</v>
      </c>
    </row>
    <row r="11471" spans="1:14">
      <c r="A11471" s="4" t="str">
        <f t="shared" si="1020"/>
        <v>EXP00381</v>
      </c>
      <c r="B11471" s="3" t="s">
        <v>66</v>
      </c>
      <c r="C11471" s="4" t="str">
        <f t="shared" si="1021"/>
        <v>GSE85730</v>
      </c>
      <c r="D11471" s="1" t="s">
        <v>482</v>
      </c>
      <c r="E11471" t="s">
        <v>483</v>
      </c>
      <c r="F11471" s="1">
        <v>2</v>
      </c>
      <c r="G11471" s="1" t="s">
        <v>28</v>
      </c>
      <c r="H11471" s="4" t="str">
        <f>HYPERLINK("https://www.ncbi.nlm.nih.gov/geo/query/acc.cgi?acc=GSM2283248","GSM2283248")</f>
        <v>GSM2283248</v>
      </c>
      <c r="I11471" t="s">
        <v>484</v>
      </c>
      <c r="J11471" t="s">
        <v>485</v>
      </c>
      <c r="K11471" t="s">
        <v>19</v>
      </c>
      <c r="L11471" t="s">
        <v>486</v>
      </c>
      <c r="M11471" t="s">
        <v>365</v>
      </c>
      <c r="N11471" t="s">
        <v>29</v>
      </c>
    </row>
    <row r="11472" spans="1:14">
      <c r="A11472" s="4" t="str">
        <f t="shared" si="1020"/>
        <v>EXP00381</v>
      </c>
      <c r="B11472" s="3" t="s">
        <v>66</v>
      </c>
      <c r="C11472" s="4" t="str">
        <f t="shared" si="1021"/>
        <v>GSE85730</v>
      </c>
      <c r="D11472" s="1" t="s">
        <v>482</v>
      </c>
      <c r="E11472" t="s">
        <v>483</v>
      </c>
      <c r="F11472" s="1">
        <v>2</v>
      </c>
      <c r="G11472" s="1" t="s">
        <v>28</v>
      </c>
      <c r="H11472" s="4" t="str">
        <f>HYPERLINK("https://www.ncbi.nlm.nih.gov/geo/query/acc.cgi?acc=GSM2283249","GSM2283249")</f>
        <v>GSM2283249</v>
      </c>
      <c r="I11472" t="s">
        <v>484</v>
      </c>
      <c r="J11472" t="s">
        <v>485</v>
      </c>
      <c r="K11472" t="s">
        <v>19</v>
      </c>
      <c r="L11472" t="s">
        <v>486</v>
      </c>
      <c r="M11472" t="s">
        <v>365</v>
      </c>
      <c r="N11472" t="s">
        <v>29</v>
      </c>
    </row>
    <row r="11473" spans="1:14">
      <c r="A11473" s="4" t="str">
        <f t="shared" si="1020"/>
        <v>EXP00381</v>
      </c>
      <c r="B11473" s="3" t="s">
        <v>66</v>
      </c>
      <c r="C11473" s="4" t="str">
        <f t="shared" si="1021"/>
        <v>GSE85730</v>
      </c>
      <c r="D11473" s="1" t="s">
        <v>482</v>
      </c>
      <c r="E11473" t="s">
        <v>483</v>
      </c>
      <c r="F11473" s="1">
        <v>2</v>
      </c>
      <c r="G11473" s="1" t="s">
        <v>28</v>
      </c>
      <c r="H11473" s="4" t="str">
        <f>HYPERLINK("https://www.ncbi.nlm.nih.gov/geo/query/acc.cgi?acc=GSM2283251","GSM2283251")</f>
        <v>GSM2283251</v>
      </c>
      <c r="I11473" t="s">
        <v>484</v>
      </c>
      <c r="J11473" t="s">
        <v>485</v>
      </c>
      <c r="K11473" t="s">
        <v>19</v>
      </c>
      <c r="L11473" t="s">
        <v>486</v>
      </c>
      <c r="M11473" t="s">
        <v>365</v>
      </c>
      <c r="N11473" t="s">
        <v>29</v>
      </c>
    </row>
    <row r="11474" spans="1:14">
      <c r="A11474" s="4" t="str">
        <f t="shared" si="1020"/>
        <v>EXP00381</v>
      </c>
      <c r="B11474" s="3" t="s">
        <v>66</v>
      </c>
      <c r="C11474" s="4" t="str">
        <f t="shared" si="1021"/>
        <v>GSE85730</v>
      </c>
      <c r="D11474" s="1" t="s">
        <v>482</v>
      </c>
      <c r="E11474" t="s">
        <v>483</v>
      </c>
      <c r="F11474" s="1">
        <v>2</v>
      </c>
      <c r="G11474" s="1" t="s">
        <v>28</v>
      </c>
      <c r="H11474" s="4" t="str">
        <f>HYPERLINK("https://www.ncbi.nlm.nih.gov/geo/query/acc.cgi?acc=GSM2283253","GSM2283253")</f>
        <v>GSM2283253</v>
      </c>
      <c r="I11474" t="s">
        <v>484</v>
      </c>
      <c r="J11474" t="s">
        <v>485</v>
      </c>
      <c r="K11474" t="s">
        <v>19</v>
      </c>
      <c r="L11474" t="s">
        <v>486</v>
      </c>
      <c r="M11474" t="s">
        <v>365</v>
      </c>
      <c r="N11474" t="s">
        <v>29</v>
      </c>
    </row>
    <row r="11475" spans="1:14">
      <c r="A11475" s="4" t="str">
        <f t="shared" si="1020"/>
        <v>EXP00381</v>
      </c>
      <c r="B11475" s="3" t="s">
        <v>66</v>
      </c>
      <c r="C11475" s="4" t="str">
        <f t="shared" si="1021"/>
        <v>GSE85730</v>
      </c>
      <c r="D11475" s="1" t="s">
        <v>482</v>
      </c>
      <c r="E11475" t="s">
        <v>483</v>
      </c>
      <c r="F11475" s="1">
        <v>2</v>
      </c>
      <c r="G11475" s="1" t="s">
        <v>28</v>
      </c>
      <c r="H11475" s="4" t="str">
        <f>HYPERLINK("https://www.ncbi.nlm.nih.gov/geo/query/acc.cgi?acc=GSM2283254","GSM2283254")</f>
        <v>GSM2283254</v>
      </c>
      <c r="I11475" t="s">
        <v>484</v>
      </c>
      <c r="J11475" t="s">
        <v>485</v>
      </c>
      <c r="K11475" t="s">
        <v>19</v>
      </c>
      <c r="L11475" t="s">
        <v>486</v>
      </c>
      <c r="M11475" t="s">
        <v>365</v>
      </c>
      <c r="N11475" t="s">
        <v>29</v>
      </c>
    </row>
    <row r="11476" spans="1:14">
      <c r="A11476" s="4" t="str">
        <f t="shared" si="1020"/>
        <v>EXP00381</v>
      </c>
      <c r="B11476" s="3" t="s">
        <v>66</v>
      </c>
      <c r="C11476" s="4" t="str">
        <f t="shared" si="1021"/>
        <v>GSE85730</v>
      </c>
      <c r="D11476" s="1" t="s">
        <v>482</v>
      </c>
      <c r="E11476" t="s">
        <v>483</v>
      </c>
      <c r="F11476" s="1">
        <v>2</v>
      </c>
      <c r="G11476" s="1" t="s">
        <v>28</v>
      </c>
      <c r="H11476" s="4" t="str">
        <f>HYPERLINK("https://www.ncbi.nlm.nih.gov/geo/query/acc.cgi?acc=GSM2283256","GSM2283256")</f>
        <v>GSM2283256</v>
      </c>
      <c r="I11476" t="s">
        <v>484</v>
      </c>
      <c r="J11476" t="s">
        <v>485</v>
      </c>
      <c r="K11476" t="s">
        <v>19</v>
      </c>
      <c r="L11476" t="s">
        <v>486</v>
      </c>
      <c r="M11476" t="s">
        <v>365</v>
      </c>
      <c r="N11476" t="s">
        <v>29</v>
      </c>
    </row>
    <row r="11477" spans="1:14">
      <c r="A11477" s="4" t="str">
        <f t="shared" ref="A11477:A11501" si="1022">HYPERLINK("http://hcmdb.i-sanger.com/experiment/details/experiment_id/EXP00382","EXP00382")</f>
        <v>EXP00382</v>
      </c>
      <c r="B11477" s="3" t="s">
        <v>66</v>
      </c>
      <c r="C11477" s="4" t="str">
        <f t="shared" si="1021"/>
        <v>GSE85730</v>
      </c>
      <c r="D11477" s="1" t="s">
        <v>482</v>
      </c>
      <c r="E11477" t="s">
        <v>487</v>
      </c>
      <c r="F11477" s="1">
        <v>1</v>
      </c>
      <c r="G11477" s="1" t="s">
        <v>31</v>
      </c>
      <c r="H11477" s="4" t="str">
        <f>HYPERLINK("https://www.ncbi.nlm.nih.gov/geo/query/acc.cgi?acc=GSM2283245","GSM2283245")</f>
        <v>GSM2283245</v>
      </c>
      <c r="I11477" t="s">
        <v>484</v>
      </c>
      <c r="J11477" t="s">
        <v>485</v>
      </c>
      <c r="K11477" t="s">
        <v>19</v>
      </c>
      <c r="L11477" t="s">
        <v>486</v>
      </c>
      <c r="M11477" t="s">
        <v>365</v>
      </c>
      <c r="N11477" t="s">
        <v>29</v>
      </c>
    </row>
    <row r="11478" spans="1:14">
      <c r="A11478" s="4" t="str">
        <f t="shared" si="1022"/>
        <v>EXP00382</v>
      </c>
      <c r="B11478" s="3" t="s">
        <v>66</v>
      </c>
      <c r="C11478" s="4" t="str">
        <f t="shared" si="1021"/>
        <v>GSE85730</v>
      </c>
      <c r="D11478" s="1" t="s">
        <v>482</v>
      </c>
      <c r="E11478" t="s">
        <v>487</v>
      </c>
      <c r="F11478" s="1">
        <v>1</v>
      </c>
      <c r="G11478" s="1" t="s">
        <v>31</v>
      </c>
      <c r="H11478" s="4" t="str">
        <f>HYPERLINK("https://www.ncbi.nlm.nih.gov/geo/query/acc.cgi?acc=GSM2283247","GSM2283247")</f>
        <v>GSM2283247</v>
      </c>
      <c r="I11478" t="s">
        <v>484</v>
      </c>
      <c r="J11478" t="s">
        <v>485</v>
      </c>
      <c r="K11478" t="s">
        <v>19</v>
      </c>
      <c r="L11478" t="s">
        <v>486</v>
      </c>
      <c r="M11478" t="s">
        <v>365</v>
      </c>
      <c r="N11478" t="s">
        <v>29</v>
      </c>
    </row>
    <row r="11479" spans="1:14">
      <c r="A11479" s="4" t="str">
        <f t="shared" si="1022"/>
        <v>EXP00382</v>
      </c>
      <c r="B11479" s="3" t="s">
        <v>66</v>
      </c>
      <c r="C11479" s="4" t="str">
        <f t="shared" si="1021"/>
        <v>GSE85730</v>
      </c>
      <c r="D11479" s="1" t="s">
        <v>482</v>
      </c>
      <c r="E11479" t="s">
        <v>487</v>
      </c>
      <c r="F11479" s="1">
        <v>1</v>
      </c>
      <c r="G11479" s="1" t="s">
        <v>31</v>
      </c>
      <c r="H11479" s="4" t="str">
        <f>HYPERLINK("https://www.ncbi.nlm.nih.gov/geo/query/acc.cgi?acc=GSM2283248","GSM2283248")</f>
        <v>GSM2283248</v>
      </c>
      <c r="I11479" t="s">
        <v>484</v>
      </c>
      <c r="J11479" t="s">
        <v>485</v>
      </c>
      <c r="K11479" t="s">
        <v>19</v>
      </c>
      <c r="L11479" t="s">
        <v>486</v>
      </c>
      <c r="M11479" t="s">
        <v>365</v>
      </c>
      <c r="N11479" t="s">
        <v>29</v>
      </c>
    </row>
    <row r="11480" spans="1:14">
      <c r="A11480" s="4" t="str">
        <f t="shared" si="1022"/>
        <v>EXP00382</v>
      </c>
      <c r="B11480" s="3" t="s">
        <v>66</v>
      </c>
      <c r="C11480" s="4" t="str">
        <f t="shared" si="1021"/>
        <v>GSE85730</v>
      </c>
      <c r="D11480" s="1" t="s">
        <v>482</v>
      </c>
      <c r="E11480" t="s">
        <v>487</v>
      </c>
      <c r="F11480" s="1">
        <v>1</v>
      </c>
      <c r="G11480" s="1" t="s">
        <v>31</v>
      </c>
      <c r="H11480" s="4" t="str">
        <f>HYPERLINK("https://www.ncbi.nlm.nih.gov/geo/query/acc.cgi?acc=GSM2283249","GSM2283249")</f>
        <v>GSM2283249</v>
      </c>
      <c r="I11480" t="s">
        <v>484</v>
      </c>
      <c r="J11480" t="s">
        <v>485</v>
      </c>
      <c r="K11480" t="s">
        <v>19</v>
      </c>
      <c r="L11480" t="s">
        <v>486</v>
      </c>
      <c r="M11480" t="s">
        <v>365</v>
      </c>
      <c r="N11480" t="s">
        <v>29</v>
      </c>
    </row>
    <row r="11481" spans="1:14">
      <c r="A11481" s="4" t="str">
        <f t="shared" si="1022"/>
        <v>EXP00382</v>
      </c>
      <c r="B11481" s="3" t="s">
        <v>66</v>
      </c>
      <c r="C11481" s="4" t="str">
        <f t="shared" si="1021"/>
        <v>GSE85730</v>
      </c>
      <c r="D11481" s="1" t="s">
        <v>482</v>
      </c>
      <c r="E11481" t="s">
        <v>487</v>
      </c>
      <c r="F11481" s="1">
        <v>1</v>
      </c>
      <c r="G11481" s="1" t="s">
        <v>31</v>
      </c>
      <c r="H11481" s="4" t="str">
        <f>HYPERLINK("https://www.ncbi.nlm.nih.gov/geo/query/acc.cgi?acc=GSM2283251","GSM2283251")</f>
        <v>GSM2283251</v>
      </c>
      <c r="I11481" t="s">
        <v>484</v>
      </c>
      <c r="J11481" t="s">
        <v>485</v>
      </c>
      <c r="K11481" t="s">
        <v>19</v>
      </c>
      <c r="L11481" t="s">
        <v>486</v>
      </c>
      <c r="M11481" t="s">
        <v>365</v>
      </c>
      <c r="N11481" t="s">
        <v>29</v>
      </c>
    </row>
    <row r="11482" spans="1:14">
      <c r="A11482" s="4" t="str">
        <f t="shared" si="1022"/>
        <v>EXP00382</v>
      </c>
      <c r="B11482" s="3" t="s">
        <v>66</v>
      </c>
      <c r="C11482" s="4" t="str">
        <f t="shared" si="1021"/>
        <v>GSE85730</v>
      </c>
      <c r="D11482" s="1" t="s">
        <v>482</v>
      </c>
      <c r="E11482" t="s">
        <v>487</v>
      </c>
      <c r="F11482" s="1">
        <v>1</v>
      </c>
      <c r="G11482" s="1" t="s">
        <v>31</v>
      </c>
      <c r="H11482" s="4" t="str">
        <f>HYPERLINK("https://www.ncbi.nlm.nih.gov/geo/query/acc.cgi?acc=GSM2283253","GSM2283253")</f>
        <v>GSM2283253</v>
      </c>
      <c r="I11482" t="s">
        <v>484</v>
      </c>
      <c r="J11482" t="s">
        <v>485</v>
      </c>
      <c r="K11482" t="s">
        <v>19</v>
      </c>
      <c r="L11482" t="s">
        <v>486</v>
      </c>
      <c r="M11482" t="s">
        <v>365</v>
      </c>
      <c r="N11482" t="s">
        <v>29</v>
      </c>
    </row>
    <row r="11483" spans="1:14">
      <c r="A11483" s="4" t="str">
        <f t="shared" si="1022"/>
        <v>EXP00382</v>
      </c>
      <c r="B11483" s="3" t="s">
        <v>66</v>
      </c>
      <c r="C11483" s="4" t="str">
        <f t="shared" si="1021"/>
        <v>GSE85730</v>
      </c>
      <c r="D11483" s="1" t="s">
        <v>482</v>
      </c>
      <c r="E11483" t="s">
        <v>487</v>
      </c>
      <c r="F11483" s="1">
        <v>1</v>
      </c>
      <c r="G11483" s="1" t="s">
        <v>31</v>
      </c>
      <c r="H11483" s="4" t="str">
        <f>HYPERLINK("https://www.ncbi.nlm.nih.gov/geo/query/acc.cgi?acc=GSM2283254","GSM2283254")</f>
        <v>GSM2283254</v>
      </c>
      <c r="I11483" t="s">
        <v>484</v>
      </c>
      <c r="J11483" t="s">
        <v>485</v>
      </c>
      <c r="K11483" t="s">
        <v>19</v>
      </c>
      <c r="L11483" t="s">
        <v>486</v>
      </c>
      <c r="M11483" t="s">
        <v>365</v>
      </c>
      <c r="N11483" t="s">
        <v>29</v>
      </c>
    </row>
    <row r="11484" spans="1:14">
      <c r="A11484" s="4" t="str">
        <f t="shared" si="1022"/>
        <v>EXP00382</v>
      </c>
      <c r="B11484" s="3" t="s">
        <v>66</v>
      </c>
      <c r="C11484" s="4" t="str">
        <f t="shared" si="1021"/>
        <v>GSE85730</v>
      </c>
      <c r="D11484" s="1" t="s">
        <v>482</v>
      </c>
      <c r="E11484" t="s">
        <v>487</v>
      </c>
      <c r="F11484" s="1">
        <v>1</v>
      </c>
      <c r="G11484" s="1" t="s">
        <v>31</v>
      </c>
      <c r="H11484" s="4" t="str">
        <f>HYPERLINK("https://www.ncbi.nlm.nih.gov/geo/query/acc.cgi?acc=GSM2283256","GSM2283256")</f>
        <v>GSM2283256</v>
      </c>
      <c r="I11484" t="s">
        <v>484</v>
      </c>
      <c r="J11484" t="s">
        <v>485</v>
      </c>
      <c r="K11484" t="s">
        <v>19</v>
      </c>
      <c r="L11484" t="s">
        <v>486</v>
      </c>
      <c r="M11484" t="s">
        <v>365</v>
      </c>
      <c r="N11484" t="s">
        <v>29</v>
      </c>
    </row>
    <row r="11485" spans="1:14">
      <c r="A11485" s="4" t="str">
        <f t="shared" si="1022"/>
        <v>EXP00382</v>
      </c>
      <c r="B11485" s="3" t="s">
        <v>66</v>
      </c>
      <c r="C11485" s="4" t="str">
        <f t="shared" si="1021"/>
        <v>GSE85730</v>
      </c>
      <c r="D11485" s="1" t="s">
        <v>482</v>
      </c>
      <c r="E11485" t="s">
        <v>487</v>
      </c>
      <c r="F11485" s="1">
        <v>2</v>
      </c>
      <c r="G11485" s="1" t="s">
        <v>32</v>
      </c>
      <c r="H11485" s="4" t="str">
        <f>HYPERLINK("https://www.ncbi.nlm.nih.gov/geo/query/acc.cgi?acc=GSM2283235","GSM2283235")</f>
        <v>GSM2283235</v>
      </c>
      <c r="I11485" t="s">
        <v>484</v>
      </c>
      <c r="J11485" t="s">
        <v>485</v>
      </c>
      <c r="K11485" t="s">
        <v>33</v>
      </c>
      <c r="L11485" t="s">
        <v>486</v>
      </c>
      <c r="N11485" t="s">
        <v>29</v>
      </c>
    </row>
    <row r="11486" spans="1:14">
      <c r="A11486" s="4" t="str">
        <f t="shared" si="1022"/>
        <v>EXP00382</v>
      </c>
      <c r="B11486" s="3" t="s">
        <v>66</v>
      </c>
      <c r="C11486" s="4" t="str">
        <f t="shared" si="1021"/>
        <v>GSE85730</v>
      </c>
      <c r="D11486" s="1" t="s">
        <v>482</v>
      </c>
      <c r="E11486" t="s">
        <v>487</v>
      </c>
      <c r="F11486" s="1">
        <v>2</v>
      </c>
      <c r="G11486" s="1" t="s">
        <v>32</v>
      </c>
      <c r="H11486" s="4" t="str">
        <f>HYPERLINK("https://www.ncbi.nlm.nih.gov/geo/query/acc.cgi?acc=GSM2283236","GSM2283236")</f>
        <v>GSM2283236</v>
      </c>
      <c r="I11486" t="s">
        <v>484</v>
      </c>
      <c r="J11486" t="s">
        <v>485</v>
      </c>
      <c r="K11486" t="s">
        <v>33</v>
      </c>
      <c r="L11486" t="s">
        <v>486</v>
      </c>
      <c r="N11486" t="s">
        <v>29</v>
      </c>
    </row>
    <row r="11487" spans="1:14">
      <c r="A11487" s="4" t="str">
        <f t="shared" si="1022"/>
        <v>EXP00382</v>
      </c>
      <c r="B11487" s="3" t="s">
        <v>66</v>
      </c>
      <c r="C11487" s="4" t="str">
        <f t="shared" si="1021"/>
        <v>GSE85730</v>
      </c>
      <c r="D11487" s="1" t="s">
        <v>482</v>
      </c>
      <c r="E11487" t="s">
        <v>487</v>
      </c>
      <c r="F11487" s="1">
        <v>2</v>
      </c>
      <c r="G11487" s="1" t="s">
        <v>32</v>
      </c>
      <c r="H11487" s="4" t="str">
        <f>HYPERLINK("https://www.ncbi.nlm.nih.gov/geo/query/acc.cgi?acc=GSM2283238","GSM2283238")</f>
        <v>GSM2283238</v>
      </c>
      <c r="I11487" t="s">
        <v>484</v>
      </c>
      <c r="J11487" t="s">
        <v>485</v>
      </c>
      <c r="K11487" t="s">
        <v>33</v>
      </c>
      <c r="L11487" t="s">
        <v>486</v>
      </c>
      <c r="N11487" t="s">
        <v>29</v>
      </c>
    </row>
    <row r="11488" spans="1:14">
      <c r="A11488" s="4" t="str">
        <f t="shared" si="1022"/>
        <v>EXP00382</v>
      </c>
      <c r="B11488" s="3" t="s">
        <v>66</v>
      </c>
      <c r="C11488" s="4" t="str">
        <f t="shared" si="1021"/>
        <v>GSE85730</v>
      </c>
      <c r="D11488" s="1" t="s">
        <v>482</v>
      </c>
      <c r="E11488" t="s">
        <v>487</v>
      </c>
      <c r="F11488" s="1">
        <v>2</v>
      </c>
      <c r="G11488" s="1" t="s">
        <v>32</v>
      </c>
      <c r="H11488" s="4" t="str">
        <f>HYPERLINK("https://www.ncbi.nlm.nih.gov/geo/query/acc.cgi?acc=GSM2283239","GSM2283239")</f>
        <v>GSM2283239</v>
      </c>
      <c r="I11488" t="s">
        <v>484</v>
      </c>
      <c r="J11488" t="s">
        <v>485</v>
      </c>
      <c r="K11488" t="s">
        <v>33</v>
      </c>
      <c r="L11488" t="s">
        <v>486</v>
      </c>
      <c r="N11488" t="s">
        <v>29</v>
      </c>
    </row>
    <row r="11489" spans="1:14">
      <c r="A11489" s="4" t="str">
        <f t="shared" si="1022"/>
        <v>EXP00382</v>
      </c>
      <c r="B11489" s="3" t="s">
        <v>66</v>
      </c>
      <c r="C11489" s="4" t="str">
        <f t="shared" si="1021"/>
        <v>GSE85730</v>
      </c>
      <c r="D11489" s="1" t="s">
        <v>482</v>
      </c>
      <c r="E11489" t="s">
        <v>487</v>
      </c>
      <c r="F11489" s="1">
        <v>2</v>
      </c>
      <c r="G11489" s="1" t="s">
        <v>32</v>
      </c>
      <c r="H11489" s="4" t="str">
        <f>HYPERLINK("https://www.ncbi.nlm.nih.gov/geo/query/acc.cgi?acc=GSM2283241","GSM2283241")</f>
        <v>GSM2283241</v>
      </c>
      <c r="I11489" t="s">
        <v>484</v>
      </c>
      <c r="J11489" t="s">
        <v>485</v>
      </c>
      <c r="K11489" t="s">
        <v>33</v>
      </c>
      <c r="L11489" t="s">
        <v>486</v>
      </c>
      <c r="N11489" t="s">
        <v>29</v>
      </c>
    </row>
    <row r="11490" spans="1:14">
      <c r="A11490" s="4" t="str">
        <f t="shared" si="1022"/>
        <v>EXP00382</v>
      </c>
      <c r="B11490" s="3" t="s">
        <v>66</v>
      </c>
      <c r="C11490" s="4" t="str">
        <f t="shared" si="1021"/>
        <v>GSE85730</v>
      </c>
      <c r="D11490" s="1" t="s">
        <v>482</v>
      </c>
      <c r="E11490" t="s">
        <v>487</v>
      </c>
      <c r="F11490" s="1">
        <v>2</v>
      </c>
      <c r="G11490" s="1" t="s">
        <v>32</v>
      </c>
      <c r="H11490" s="4" t="str">
        <f>HYPERLINK("https://www.ncbi.nlm.nih.gov/geo/query/acc.cgi?acc=GSM2283242","GSM2283242")</f>
        <v>GSM2283242</v>
      </c>
      <c r="I11490" t="s">
        <v>484</v>
      </c>
      <c r="J11490" t="s">
        <v>485</v>
      </c>
      <c r="K11490" t="s">
        <v>33</v>
      </c>
      <c r="L11490" t="s">
        <v>486</v>
      </c>
      <c r="N11490" t="s">
        <v>29</v>
      </c>
    </row>
    <row r="11491" spans="1:14">
      <c r="A11491" s="4" t="str">
        <f t="shared" si="1022"/>
        <v>EXP00382</v>
      </c>
      <c r="B11491" s="3" t="s">
        <v>66</v>
      </c>
      <c r="C11491" s="4" t="str">
        <f t="shared" si="1021"/>
        <v>GSE85730</v>
      </c>
      <c r="D11491" s="1" t="s">
        <v>482</v>
      </c>
      <c r="E11491" t="s">
        <v>487</v>
      </c>
      <c r="F11491" s="1">
        <v>2</v>
      </c>
      <c r="G11491" s="1" t="s">
        <v>32</v>
      </c>
      <c r="H11491" s="4" t="str">
        <f>HYPERLINK("https://www.ncbi.nlm.nih.gov/geo/query/acc.cgi?acc=GSM2283244","GSM2283244")</f>
        <v>GSM2283244</v>
      </c>
      <c r="I11491" t="s">
        <v>484</v>
      </c>
      <c r="J11491" t="s">
        <v>485</v>
      </c>
      <c r="K11491" t="s">
        <v>33</v>
      </c>
      <c r="L11491" t="s">
        <v>486</v>
      </c>
      <c r="N11491" t="s">
        <v>29</v>
      </c>
    </row>
    <row r="11492" spans="1:14">
      <c r="A11492" s="4" t="str">
        <f t="shared" si="1022"/>
        <v>EXP00382</v>
      </c>
      <c r="B11492" s="3" t="s">
        <v>66</v>
      </c>
      <c r="C11492" s="4" t="str">
        <f t="shared" si="1021"/>
        <v>GSE85730</v>
      </c>
      <c r="D11492" s="1" t="s">
        <v>482</v>
      </c>
      <c r="E11492" t="s">
        <v>487</v>
      </c>
      <c r="F11492" s="1">
        <v>2</v>
      </c>
      <c r="G11492" s="1" t="s">
        <v>32</v>
      </c>
      <c r="H11492" s="4" t="str">
        <f>HYPERLINK("https://www.ncbi.nlm.nih.gov/geo/query/acc.cgi?acc=GSM2283258","GSM2283258")</f>
        <v>GSM2283258</v>
      </c>
      <c r="I11492" t="s">
        <v>484</v>
      </c>
      <c r="J11492" t="s">
        <v>485</v>
      </c>
      <c r="K11492" t="s">
        <v>33</v>
      </c>
      <c r="L11492" t="s">
        <v>486</v>
      </c>
      <c r="N11492" t="s">
        <v>29</v>
      </c>
    </row>
    <row r="11493" spans="1:14">
      <c r="A11493" s="4" t="str">
        <f t="shared" si="1022"/>
        <v>EXP00382</v>
      </c>
      <c r="B11493" s="3" t="s">
        <v>66</v>
      </c>
      <c r="C11493" s="4" t="str">
        <f t="shared" si="1021"/>
        <v>GSE85730</v>
      </c>
      <c r="D11493" s="1" t="s">
        <v>482</v>
      </c>
      <c r="E11493" t="s">
        <v>487</v>
      </c>
      <c r="F11493" s="1">
        <v>2</v>
      </c>
      <c r="G11493" s="1" t="s">
        <v>32</v>
      </c>
      <c r="H11493" s="4" t="str">
        <f>HYPERLINK("https://www.ncbi.nlm.nih.gov/geo/query/acc.cgi?acc=GSM2283259","GSM2283259")</f>
        <v>GSM2283259</v>
      </c>
      <c r="I11493" t="s">
        <v>484</v>
      </c>
      <c r="J11493" t="s">
        <v>485</v>
      </c>
      <c r="K11493" t="s">
        <v>33</v>
      </c>
      <c r="L11493" t="s">
        <v>486</v>
      </c>
      <c r="N11493" t="s">
        <v>29</v>
      </c>
    </row>
    <row r="11494" spans="1:14">
      <c r="A11494" s="4" t="str">
        <f t="shared" si="1022"/>
        <v>EXP00382</v>
      </c>
      <c r="B11494" s="3" t="s">
        <v>66</v>
      </c>
      <c r="C11494" s="4" t="str">
        <f t="shared" si="1021"/>
        <v>GSE85730</v>
      </c>
      <c r="D11494" s="1" t="s">
        <v>482</v>
      </c>
      <c r="E11494" t="s">
        <v>487</v>
      </c>
      <c r="F11494" s="1">
        <v>2</v>
      </c>
      <c r="G11494" s="1" t="s">
        <v>32</v>
      </c>
      <c r="H11494" s="4" t="str">
        <f>HYPERLINK("https://www.ncbi.nlm.nih.gov/geo/query/acc.cgi?acc=GSM2283260","GSM2283260")</f>
        <v>GSM2283260</v>
      </c>
      <c r="I11494" t="s">
        <v>484</v>
      </c>
      <c r="J11494" t="s">
        <v>485</v>
      </c>
      <c r="K11494" t="s">
        <v>33</v>
      </c>
      <c r="L11494" t="s">
        <v>486</v>
      </c>
      <c r="N11494" t="s">
        <v>29</v>
      </c>
    </row>
    <row r="11495" spans="1:14">
      <c r="A11495" s="4" t="str">
        <f t="shared" si="1022"/>
        <v>EXP00382</v>
      </c>
      <c r="B11495" s="3" t="s">
        <v>66</v>
      </c>
      <c r="C11495" s="4" t="str">
        <f t="shared" si="1021"/>
        <v>GSE85730</v>
      </c>
      <c r="D11495" s="1" t="s">
        <v>482</v>
      </c>
      <c r="E11495" t="s">
        <v>487</v>
      </c>
      <c r="F11495" s="1">
        <v>2</v>
      </c>
      <c r="G11495" s="1" t="s">
        <v>32</v>
      </c>
      <c r="H11495" s="4" t="str">
        <f>HYPERLINK("https://www.ncbi.nlm.nih.gov/geo/query/acc.cgi?acc=GSM2283261","GSM2283261")</f>
        <v>GSM2283261</v>
      </c>
      <c r="I11495" t="s">
        <v>484</v>
      </c>
      <c r="J11495" t="s">
        <v>485</v>
      </c>
      <c r="K11495" t="s">
        <v>33</v>
      </c>
      <c r="L11495" t="s">
        <v>486</v>
      </c>
      <c r="N11495" t="s">
        <v>29</v>
      </c>
    </row>
    <row r="11496" spans="1:14">
      <c r="A11496" s="4" t="str">
        <f t="shared" si="1022"/>
        <v>EXP00382</v>
      </c>
      <c r="B11496" s="3" t="s">
        <v>66</v>
      </c>
      <c r="C11496" s="4" t="str">
        <f t="shared" ref="C11496:C11521" si="1023">HYPERLINK("https://www.ncbi.nlm.nih.gov/geo/query/acc.cgi?acc=GSE85730","GSE85730")</f>
        <v>GSE85730</v>
      </c>
      <c r="D11496" s="1" t="s">
        <v>482</v>
      </c>
      <c r="E11496" t="s">
        <v>487</v>
      </c>
      <c r="F11496" s="1">
        <v>2</v>
      </c>
      <c r="G11496" s="1" t="s">
        <v>32</v>
      </c>
      <c r="H11496" s="4" t="str">
        <f>HYPERLINK("https://www.ncbi.nlm.nih.gov/geo/query/acc.cgi?acc=GSM2283262","GSM2283262")</f>
        <v>GSM2283262</v>
      </c>
      <c r="I11496" t="s">
        <v>484</v>
      </c>
      <c r="J11496" t="s">
        <v>485</v>
      </c>
      <c r="K11496" t="s">
        <v>33</v>
      </c>
      <c r="L11496" t="s">
        <v>486</v>
      </c>
      <c r="N11496" t="s">
        <v>29</v>
      </c>
    </row>
    <row r="11497" spans="1:14">
      <c r="A11497" s="4" t="str">
        <f t="shared" si="1022"/>
        <v>EXP00382</v>
      </c>
      <c r="B11497" s="3" t="s">
        <v>66</v>
      </c>
      <c r="C11497" s="4" t="str">
        <f t="shared" si="1023"/>
        <v>GSE85730</v>
      </c>
      <c r="D11497" s="1" t="s">
        <v>482</v>
      </c>
      <c r="E11497" t="s">
        <v>487</v>
      </c>
      <c r="F11497" s="1">
        <v>2</v>
      </c>
      <c r="G11497" s="1" t="s">
        <v>32</v>
      </c>
      <c r="H11497" s="4" t="str">
        <f>HYPERLINK("https://www.ncbi.nlm.nih.gov/geo/query/acc.cgi?acc=GSM2283263","GSM2283263")</f>
        <v>GSM2283263</v>
      </c>
      <c r="I11497" t="s">
        <v>484</v>
      </c>
      <c r="J11497" t="s">
        <v>485</v>
      </c>
      <c r="K11497" t="s">
        <v>33</v>
      </c>
      <c r="L11497" t="s">
        <v>486</v>
      </c>
      <c r="N11497" t="s">
        <v>29</v>
      </c>
    </row>
    <row r="11498" spans="1:14">
      <c r="A11498" s="4" t="str">
        <f t="shared" si="1022"/>
        <v>EXP00382</v>
      </c>
      <c r="B11498" s="3" t="s">
        <v>66</v>
      </c>
      <c r="C11498" s="4" t="str">
        <f t="shared" si="1023"/>
        <v>GSE85730</v>
      </c>
      <c r="D11498" s="1" t="s">
        <v>482</v>
      </c>
      <c r="E11498" t="s">
        <v>487</v>
      </c>
      <c r="F11498" s="1">
        <v>2</v>
      </c>
      <c r="G11498" s="1" t="s">
        <v>32</v>
      </c>
      <c r="H11498" s="4" t="str">
        <f>HYPERLINK("https://www.ncbi.nlm.nih.gov/geo/query/acc.cgi?acc=GSM2283264","GSM2283264")</f>
        <v>GSM2283264</v>
      </c>
      <c r="I11498" t="s">
        <v>484</v>
      </c>
      <c r="J11498" t="s">
        <v>485</v>
      </c>
      <c r="K11498" t="s">
        <v>33</v>
      </c>
      <c r="L11498" t="s">
        <v>486</v>
      </c>
      <c r="N11498" t="s">
        <v>29</v>
      </c>
    </row>
    <row r="11499" spans="1:14">
      <c r="A11499" s="4" t="str">
        <f t="shared" si="1022"/>
        <v>EXP00382</v>
      </c>
      <c r="B11499" s="3" t="s">
        <v>66</v>
      </c>
      <c r="C11499" s="4" t="str">
        <f t="shared" si="1023"/>
        <v>GSE85730</v>
      </c>
      <c r="D11499" s="1" t="s">
        <v>482</v>
      </c>
      <c r="E11499" t="s">
        <v>487</v>
      </c>
      <c r="F11499" s="1">
        <v>2</v>
      </c>
      <c r="G11499" s="1" t="s">
        <v>32</v>
      </c>
      <c r="H11499" s="4" t="str">
        <f>HYPERLINK("https://www.ncbi.nlm.nih.gov/geo/query/acc.cgi?acc=GSM2283265","GSM2283265")</f>
        <v>GSM2283265</v>
      </c>
      <c r="I11499" t="s">
        <v>484</v>
      </c>
      <c r="J11499" t="s">
        <v>485</v>
      </c>
      <c r="K11499" t="s">
        <v>33</v>
      </c>
      <c r="L11499" t="s">
        <v>486</v>
      </c>
      <c r="N11499" t="s">
        <v>29</v>
      </c>
    </row>
    <row r="11500" spans="1:14">
      <c r="A11500" s="4" t="str">
        <f t="shared" si="1022"/>
        <v>EXP00382</v>
      </c>
      <c r="B11500" s="3" t="s">
        <v>66</v>
      </c>
      <c r="C11500" s="4" t="str">
        <f t="shared" si="1023"/>
        <v>GSE85730</v>
      </c>
      <c r="D11500" s="1" t="s">
        <v>482</v>
      </c>
      <c r="E11500" t="s">
        <v>487</v>
      </c>
      <c r="F11500" s="1">
        <v>2</v>
      </c>
      <c r="G11500" s="1" t="s">
        <v>32</v>
      </c>
      <c r="H11500" s="4" t="str">
        <f>HYPERLINK("https://www.ncbi.nlm.nih.gov/geo/query/acc.cgi?acc=GSM2283266","GSM2283266")</f>
        <v>GSM2283266</v>
      </c>
      <c r="I11500" t="s">
        <v>484</v>
      </c>
      <c r="J11500" t="s">
        <v>485</v>
      </c>
      <c r="K11500" t="s">
        <v>33</v>
      </c>
      <c r="L11500" t="s">
        <v>486</v>
      </c>
      <c r="N11500" t="s">
        <v>29</v>
      </c>
    </row>
    <row r="11501" spans="1:14">
      <c r="A11501" s="4" t="str">
        <f t="shared" si="1022"/>
        <v>EXP00382</v>
      </c>
      <c r="B11501" s="3" t="s">
        <v>66</v>
      </c>
      <c r="C11501" s="4" t="str">
        <f t="shared" si="1023"/>
        <v>GSE85730</v>
      </c>
      <c r="D11501" s="1" t="s">
        <v>482</v>
      </c>
      <c r="E11501" t="s">
        <v>487</v>
      </c>
      <c r="F11501" s="1">
        <v>2</v>
      </c>
      <c r="G11501" s="1" t="s">
        <v>32</v>
      </c>
      <c r="H11501" s="4" t="str">
        <f>HYPERLINK("https://www.ncbi.nlm.nih.gov/geo/query/acc.cgi?acc=GSM2283267","GSM2283267")</f>
        <v>GSM2283267</v>
      </c>
      <c r="I11501" t="s">
        <v>484</v>
      </c>
      <c r="J11501" t="s">
        <v>485</v>
      </c>
      <c r="K11501" t="s">
        <v>33</v>
      </c>
      <c r="L11501" t="s">
        <v>486</v>
      </c>
      <c r="N11501" t="s">
        <v>29</v>
      </c>
    </row>
    <row r="11502" spans="1:14">
      <c r="A11502" s="4" t="str">
        <f t="shared" ref="A11502:A11521" si="1024">HYPERLINK("http://hcmdb.i-sanger.com/experiment/details/experiment_id/EXP00383","EXP00383")</f>
        <v>EXP00383</v>
      </c>
      <c r="B11502" s="3" t="s">
        <v>66</v>
      </c>
      <c r="C11502" s="4" t="str">
        <f t="shared" si="1023"/>
        <v>GSE85730</v>
      </c>
      <c r="D11502" s="1" t="s">
        <v>482</v>
      </c>
      <c r="E11502" t="s">
        <v>488</v>
      </c>
      <c r="F11502" s="1">
        <v>1</v>
      </c>
      <c r="G11502" s="1" t="s">
        <v>36</v>
      </c>
      <c r="H11502" s="4" t="str">
        <f>HYPERLINK("https://www.ncbi.nlm.nih.gov/geo/query/acc.cgi?acc=GSM2283237","GSM2283237")</f>
        <v>GSM2283237</v>
      </c>
      <c r="I11502" t="s">
        <v>484</v>
      </c>
      <c r="J11502" t="s">
        <v>485</v>
      </c>
      <c r="K11502" t="s">
        <v>33</v>
      </c>
      <c r="L11502" t="s">
        <v>486</v>
      </c>
      <c r="N11502" t="s">
        <v>37</v>
      </c>
    </row>
    <row r="11503" spans="1:14">
      <c r="A11503" s="4" t="str">
        <f t="shared" si="1024"/>
        <v>EXP00383</v>
      </c>
      <c r="B11503" s="3" t="s">
        <v>66</v>
      </c>
      <c r="C11503" s="4" t="str">
        <f t="shared" si="1023"/>
        <v>GSE85730</v>
      </c>
      <c r="D11503" s="1" t="s">
        <v>482</v>
      </c>
      <c r="E11503" t="s">
        <v>488</v>
      </c>
      <c r="F11503" s="1">
        <v>1</v>
      </c>
      <c r="G11503" s="1" t="s">
        <v>36</v>
      </c>
      <c r="H11503" s="4" t="str">
        <f>HYPERLINK("https://www.ncbi.nlm.nih.gov/geo/query/acc.cgi?acc=GSM2283240","GSM2283240")</f>
        <v>GSM2283240</v>
      </c>
      <c r="I11503" t="s">
        <v>484</v>
      </c>
      <c r="J11503" t="s">
        <v>485</v>
      </c>
      <c r="K11503" t="s">
        <v>33</v>
      </c>
      <c r="L11503" t="s">
        <v>486</v>
      </c>
      <c r="N11503" t="s">
        <v>37</v>
      </c>
    </row>
    <row r="11504" spans="1:14">
      <c r="A11504" s="4" t="str">
        <f t="shared" si="1024"/>
        <v>EXP00383</v>
      </c>
      <c r="B11504" s="3" t="s">
        <v>66</v>
      </c>
      <c r="C11504" s="4" t="str">
        <f t="shared" si="1023"/>
        <v>GSE85730</v>
      </c>
      <c r="D11504" s="1" t="s">
        <v>482</v>
      </c>
      <c r="E11504" t="s">
        <v>488</v>
      </c>
      <c r="F11504" s="1">
        <v>1</v>
      </c>
      <c r="G11504" s="1" t="s">
        <v>36</v>
      </c>
      <c r="H11504" s="4" t="str">
        <f>HYPERLINK("https://www.ncbi.nlm.nih.gov/geo/query/acc.cgi?acc=GSM2283243","GSM2283243")</f>
        <v>GSM2283243</v>
      </c>
      <c r="I11504" t="s">
        <v>484</v>
      </c>
      <c r="J11504" t="s">
        <v>485</v>
      </c>
      <c r="K11504" t="s">
        <v>33</v>
      </c>
      <c r="L11504" t="s">
        <v>486</v>
      </c>
      <c r="N11504" t="s">
        <v>37</v>
      </c>
    </row>
    <row r="11505" spans="1:14">
      <c r="A11505" s="4" t="str">
        <f t="shared" si="1024"/>
        <v>EXP00383</v>
      </c>
      <c r="B11505" s="3" t="s">
        <v>66</v>
      </c>
      <c r="C11505" s="4" t="str">
        <f t="shared" si="1023"/>
        <v>GSE85730</v>
      </c>
      <c r="D11505" s="1" t="s">
        <v>482</v>
      </c>
      <c r="E11505" t="s">
        <v>488</v>
      </c>
      <c r="F11505" s="1">
        <v>2</v>
      </c>
      <c r="G11505" s="1" t="s">
        <v>28</v>
      </c>
      <c r="H11505" s="4" t="str">
        <f>HYPERLINK("https://www.ncbi.nlm.nih.gov/geo/query/acc.cgi?acc=GSM2283235","GSM2283235")</f>
        <v>GSM2283235</v>
      </c>
      <c r="I11505" t="s">
        <v>484</v>
      </c>
      <c r="J11505" t="s">
        <v>485</v>
      </c>
      <c r="K11505" t="s">
        <v>33</v>
      </c>
      <c r="L11505" t="s">
        <v>486</v>
      </c>
      <c r="N11505" t="s">
        <v>29</v>
      </c>
    </row>
    <row r="11506" spans="1:14">
      <c r="A11506" s="4" t="str">
        <f t="shared" si="1024"/>
        <v>EXP00383</v>
      </c>
      <c r="B11506" s="3" t="s">
        <v>66</v>
      </c>
      <c r="C11506" s="4" t="str">
        <f t="shared" si="1023"/>
        <v>GSE85730</v>
      </c>
      <c r="D11506" s="1" t="s">
        <v>482</v>
      </c>
      <c r="E11506" t="s">
        <v>488</v>
      </c>
      <c r="F11506" s="1">
        <v>2</v>
      </c>
      <c r="G11506" s="1" t="s">
        <v>28</v>
      </c>
      <c r="H11506" s="4" t="str">
        <f>HYPERLINK("https://www.ncbi.nlm.nih.gov/geo/query/acc.cgi?acc=GSM2283236","GSM2283236")</f>
        <v>GSM2283236</v>
      </c>
      <c r="I11506" t="s">
        <v>484</v>
      </c>
      <c r="J11506" t="s">
        <v>485</v>
      </c>
      <c r="K11506" t="s">
        <v>33</v>
      </c>
      <c r="L11506" t="s">
        <v>486</v>
      </c>
      <c r="N11506" t="s">
        <v>29</v>
      </c>
    </row>
    <row r="11507" spans="1:14">
      <c r="A11507" s="4" t="str">
        <f t="shared" si="1024"/>
        <v>EXP00383</v>
      </c>
      <c r="B11507" s="3" t="s">
        <v>66</v>
      </c>
      <c r="C11507" s="4" t="str">
        <f t="shared" si="1023"/>
        <v>GSE85730</v>
      </c>
      <c r="D11507" s="1" t="s">
        <v>482</v>
      </c>
      <c r="E11507" t="s">
        <v>488</v>
      </c>
      <c r="F11507" s="1">
        <v>2</v>
      </c>
      <c r="G11507" s="1" t="s">
        <v>28</v>
      </c>
      <c r="H11507" s="4" t="str">
        <f>HYPERLINK("https://www.ncbi.nlm.nih.gov/geo/query/acc.cgi?acc=GSM2283238","GSM2283238")</f>
        <v>GSM2283238</v>
      </c>
      <c r="I11507" t="s">
        <v>484</v>
      </c>
      <c r="J11507" t="s">
        <v>485</v>
      </c>
      <c r="K11507" t="s">
        <v>33</v>
      </c>
      <c r="L11507" t="s">
        <v>486</v>
      </c>
      <c r="N11507" t="s">
        <v>29</v>
      </c>
    </row>
    <row r="11508" spans="1:14">
      <c r="A11508" s="4" t="str">
        <f t="shared" si="1024"/>
        <v>EXP00383</v>
      </c>
      <c r="B11508" s="3" t="s">
        <v>66</v>
      </c>
      <c r="C11508" s="4" t="str">
        <f t="shared" si="1023"/>
        <v>GSE85730</v>
      </c>
      <c r="D11508" s="1" t="s">
        <v>482</v>
      </c>
      <c r="E11508" t="s">
        <v>488</v>
      </c>
      <c r="F11508" s="1">
        <v>2</v>
      </c>
      <c r="G11508" s="1" t="s">
        <v>28</v>
      </c>
      <c r="H11508" s="4" t="str">
        <f>HYPERLINK("https://www.ncbi.nlm.nih.gov/geo/query/acc.cgi?acc=GSM2283239","GSM2283239")</f>
        <v>GSM2283239</v>
      </c>
      <c r="I11508" t="s">
        <v>484</v>
      </c>
      <c r="J11508" t="s">
        <v>485</v>
      </c>
      <c r="K11508" t="s">
        <v>33</v>
      </c>
      <c r="L11508" t="s">
        <v>486</v>
      </c>
      <c r="N11508" t="s">
        <v>29</v>
      </c>
    </row>
    <row r="11509" spans="1:14">
      <c r="A11509" s="4" t="str">
        <f t="shared" si="1024"/>
        <v>EXP00383</v>
      </c>
      <c r="B11509" s="3" t="s">
        <v>66</v>
      </c>
      <c r="C11509" s="4" t="str">
        <f t="shared" si="1023"/>
        <v>GSE85730</v>
      </c>
      <c r="D11509" s="1" t="s">
        <v>482</v>
      </c>
      <c r="E11509" t="s">
        <v>488</v>
      </c>
      <c r="F11509" s="1">
        <v>2</v>
      </c>
      <c r="G11509" s="1" t="s">
        <v>28</v>
      </c>
      <c r="H11509" s="4" t="str">
        <f>HYPERLINK("https://www.ncbi.nlm.nih.gov/geo/query/acc.cgi?acc=GSM2283241","GSM2283241")</f>
        <v>GSM2283241</v>
      </c>
      <c r="I11509" t="s">
        <v>484</v>
      </c>
      <c r="J11509" t="s">
        <v>485</v>
      </c>
      <c r="K11509" t="s">
        <v>33</v>
      </c>
      <c r="L11509" t="s">
        <v>486</v>
      </c>
      <c r="N11509" t="s">
        <v>29</v>
      </c>
    </row>
    <row r="11510" spans="1:14">
      <c r="A11510" s="4" t="str">
        <f t="shared" si="1024"/>
        <v>EXP00383</v>
      </c>
      <c r="B11510" s="3" t="s">
        <v>66</v>
      </c>
      <c r="C11510" s="4" t="str">
        <f t="shared" si="1023"/>
        <v>GSE85730</v>
      </c>
      <c r="D11510" s="1" t="s">
        <v>482</v>
      </c>
      <c r="E11510" t="s">
        <v>488</v>
      </c>
      <c r="F11510" s="1">
        <v>2</v>
      </c>
      <c r="G11510" s="1" t="s">
        <v>28</v>
      </c>
      <c r="H11510" s="4" t="str">
        <f>HYPERLINK("https://www.ncbi.nlm.nih.gov/geo/query/acc.cgi?acc=GSM2283242","GSM2283242")</f>
        <v>GSM2283242</v>
      </c>
      <c r="I11510" t="s">
        <v>484</v>
      </c>
      <c r="J11510" t="s">
        <v>485</v>
      </c>
      <c r="K11510" t="s">
        <v>33</v>
      </c>
      <c r="L11510" t="s">
        <v>486</v>
      </c>
      <c r="N11510" t="s">
        <v>29</v>
      </c>
    </row>
    <row r="11511" spans="1:14">
      <c r="A11511" s="4" t="str">
        <f t="shared" si="1024"/>
        <v>EXP00383</v>
      </c>
      <c r="B11511" s="3" t="s">
        <v>66</v>
      </c>
      <c r="C11511" s="4" t="str">
        <f t="shared" si="1023"/>
        <v>GSE85730</v>
      </c>
      <c r="D11511" s="1" t="s">
        <v>482</v>
      </c>
      <c r="E11511" t="s">
        <v>488</v>
      </c>
      <c r="F11511" s="1">
        <v>2</v>
      </c>
      <c r="G11511" s="1" t="s">
        <v>28</v>
      </c>
      <c r="H11511" s="4" t="str">
        <f>HYPERLINK("https://www.ncbi.nlm.nih.gov/geo/query/acc.cgi?acc=GSM2283244","GSM2283244")</f>
        <v>GSM2283244</v>
      </c>
      <c r="I11511" t="s">
        <v>484</v>
      </c>
      <c r="J11511" t="s">
        <v>485</v>
      </c>
      <c r="K11511" t="s">
        <v>33</v>
      </c>
      <c r="L11511" t="s">
        <v>486</v>
      </c>
      <c r="N11511" t="s">
        <v>29</v>
      </c>
    </row>
    <row r="11512" spans="1:14">
      <c r="A11512" s="4" t="str">
        <f t="shared" si="1024"/>
        <v>EXP00383</v>
      </c>
      <c r="B11512" s="3" t="s">
        <v>66</v>
      </c>
      <c r="C11512" s="4" t="str">
        <f t="shared" si="1023"/>
        <v>GSE85730</v>
      </c>
      <c r="D11512" s="1" t="s">
        <v>482</v>
      </c>
      <c r="E11512" t="s">
        <v>488</v>
      </c>
      <c r="F11512" s="1">
        <v>2</v>
      </c>
      <c r="G11512" s="1" t="s">
        <v>28</v>
      </c>
      <c r="H11512" s="4" t="str">
        <f>HYPERLINK("https://www.ncbi.nlm.nih.gov/geo/query/acc.cgi?acc=GSM2283258","GSM2283258")</f>
        <v>GSM2283258</v>
      </c>
      <c r="I11512" t="s">
        <v>484</v>
      </c>
      <c r="J11512" t="s">
        <v>485</v>
      </c>
      <c r="K11512" t="s">
        <v>33</v>
      </c>
      <c r="L11512" t="s">
        <v>486</v>
      </c>
      <c r="N11512" t="s">
        <v>29</v>
      </c>
    </row>
    <row r="11513" spans="1:14">
      <c r="A11513" s="4" t="str">
        <f t="shared" si="1024"/>
        <v>EXP00383</v>
      </c>
      <c r="B11513" s="3" t="s">
        <v>66</v>
      </c>
      <c r="C11513" s="4" t="str">
        <f t="shared" si="1023"/>
        <v>GSE85730</v>
      </c>
      <c r="D11513" s="1" t="s">
        <v>482</v>
      </c>
      <c r="E11513" t="s">
        <v>488</v>
      </c>
      <c r="F11513" s="1">
        <v>2</v>
      </c>
      <c r="G11513" s="1" t="s">
        <v>28</v>
      </c>
      <c r="H11513" s="4" t="str">
        <f>HYPERLINK("https://www.ncbi.nlm.nih.gov/geo/query/acc.cgi?acc=GSM2283259","GSM2283259")</f>
        <v>GSM2283259</v>
      </c>
      <c r="I11513" t="s">
        <v>484</v>
      </c>
      <c r="J11513" t="s">
        <v>485</v>
      </c>
      <c r="K11513" t="s">
        <v>33</v>
      </c>
      <c r="L11513" t="s">
        <v>486</v>
      </c>
      <c r="N11513" t="s">
        <v>29</v>
      </c>
    </row>
    <row r="11514" spans="1:14">
      <c r="A11514" s="4" t="str">
        <f t="shared" si="1024"/>
        <v>EXP00383</v>
      </c>
      <c r="B11514" s="3" t="s">
        <v>66</v>
      </c>
      <c r="C11514" s="4" t="str">
        <f t="shared" si="1023"/>
        <v>GSE85730</v>
      </c>
      <c r="D11514" s="1" t="s">
        <v>482</v>
      </c>
      <c r="E11514" t="s">
        <v>488</v>
      </c>
      <c r="F11514" s="1">
        <v>2</v>
      </c>
      <c r="G11514" s="1" t="s">
        <v>28</v>
      </c>
      <c r="H11514" s="4" t="str">
        <f>HYPERLINK("https://www.ncbi.nlm.nih.gov/geo/query/acc.cgi?acc=GSM2283260","GSM2283260")</f>
        <v>GSM2283260</v>
      </c>
      <c r="I11514" t="s">
        <v>484</v>
      </c>
      <c r="J11514" t="s">
        <v>485</v>
      </c>
      <c r="K11514" t="s">
        <v>33</v>
      </c>
      <c r="L11514" t="s">
        <v>486</v>
      </c>
      <c r="N11514" t="s">
        <v>29</v>
      </c>
    </row>
    <row r="11515" spans="1:14">
      <c r="A11515" s="4" t="str">
        <f t="shared" si="1024"/>
        <v>EXP00383</v>
      </c>
      <c r="B11515" s="3" t="s">
        <v>66</v>
      </c>
      <c r="C11515" s="4" t="str">
        <f t="shared" si="1023"/>
        <v>GSE85730</v>
      </c>
      <c r="D11515" s="1" t="s">
        <v>482</v>
      </c>
      <c r="E11515" t="s">
        <v>488</v>
      </c>
      <c r="F11515" s="1">
        <v>2</v>
      </c>
      <c r="G11515" s="1" t="s">
        <v>28</v>
      </c>
      <c r="H11515" s="4" t="str">
        <f>HYPERLINK("https://www.ncbi.nlm.nih.gov/geo/query/acc.cgi?acc=GSM2283261","GSM2283261")</f>
        <v>GSM2283261</v>
      </c>
      <c r="I11515" t="s">
        <v>484</v>
      </c>
      <c r="J11515" t="s">
        <v>485</v>
      </c>
      <c r="K11515" t="s">
        <v>33</v>
      </c>
      <c r="L11515" t="s">
        <v>486</v>
      </c>
      <c r="N11515" t="s">
        <v>29</v>
      </c>
    </row>
    <row r="11516" spans="1:14">
      <c r="A11516" s="4" t="str">
        <f t="shared" si="1024"/>
        <v>EXP00383</v>
      </c>
      <c r="B11516" s="3" t="s">
        <v>66</v>
      </c>
      <c r="C11516" s="4" t="str">
        <f t="shared" si="1023"/>
        <v>GSE85730</v>
      </c>
      <c r="D11516" s="1" t="s">
        <v>482</v>
      </c>
      <c r="E11516" t="s">
        <v>488</v>
      </c>
      <c r="F11516" s="1">
        <v>2</v>
      </c>
      <c r="G11516" s="1" t="s">
        <v>28</v>
      </c>
      <c r="H11516" s="4" t="str">
        <f>HYPERLINK("https://www.ncbi.nlm.nih.gov/geo/query/acc.cgi?acc=GSM2283262","GSM2283262")</f>
        <v>GSM2283262</v>
      </c>
      <c r="I11516" t="s">
        <v>484</v>
      </c>
      <c r="J11516" t="s">
        <v>485</v>
      </c>
      <c r="K11516" t="s">
        <v>33</v>
      </c>
      <c r="L11516" t="s">
        <v>486</v>
      </c>
      <c r="N11516" t="s">
        <v>29</v>
      </c>
    </row>
    <row r="11517" spans="1:14">
      <c r="A11517" s="4" t="str">
        <f t="shared" si="1024"/>
        <v>EXP00383</v>
      </c>
      <c r="B11517" s="3" t="s">
        <v>66</v>
      </c>
      <c r="C11517" s="4" t="str">
        <f t="shared" si="1023"/>
        <v>GSE85730</v>
      </c>
      <c r="D11517" s="1" t="s">
        <v>482</v>
      </c>
      <c r="E11517" t="s">
        <v>488</v>
      </c>
      <c r="F11517" s="1">
        <v>2</v>
      </c>
      <c r="G11517" s="1" t="s">
        <v>28</v>
      </c>
      <c r="H11517" s="4" t="str">
        <f>HYPERLINK("https://www.ncbi.nlm.nih.gov/geo/query/acc.cgi?acc=GSM2283263","GSM2283263")</f>
        <v>GSM2283263</v>
      </c>
      <c r="I11517" t="s">
        <v>484</v>
      </c>
      <c r="J11517" t="s">
        <v>485</v>
      </c>
      <c r="K11517" t="s">
        <v>33</v>
      </c>
      <c r="L11517" t="s">
        <v>486</v>
      </c>
      <c r="N11517" t="s">
        <v>29</v>
      </c>
    </row>
    <row r="11518" spans="1:14">
      <c r="A11518" s="4" t="str">
        <f t="shared" si="1024"/>
        <v>EXP00383</v>
      </c>
      <c r="B11518" s="3" t="s">
        <v>66</v>
      </c>
      <c r="C11518" s="4" t="str">
        <f t="shared" si="1023"/>
        <v>GSE85730</v>
      </c>
      <c r="D11518" s="1" t="s">
        <v>482</v>
      </c>
      <c r="E11518" t="s">
        <v>488</v>
      </c>
      <c r="F11518" s="1">
        <v>2</v>
      </c>
      <c r="G11518" s="1" t="s">
        <v>28</v>
      </c>
      <c r="H11518" s="4" t="str">
        <f>HYPERLINK("https://www.ncbi.nlm.nih.gov/geo/query/acc.cgi?acc=GSM2283264","GSM2283264")</f>
        <v>GSM2283264</v>
      </c>
      <c r="I11518" t="s">
        <v>484</v>
      </c>
      <c r="J11518" t="s">
        <v>485</v>
      </c>
      <c r="K11518" t="s">
        <v>33</v>
      </c>
      <c r="L11518" t="s">
        <v>486</v>
      </c>
      <c r="N11518" t="s">
        <v>29</v>
      </c>
    </row>
    <row r="11519" spans="1:14">
      <c r="A11519" s="4" t="str">
        <f t="shared" si="1024"/>
        <v>EXP00383</v>
      </c>
      <c r="B11519" s="3" t="s">
        <v>66</v>
      </c>
      <c r="C11519" s="4" t="str">
        <f t="shared" si="1023"/>
        <v>GSE85730</v>
      </c>
      <c r="D11519" s="1" t="s">
        <v>482</v>
      </c>
      <c r="E11519" t="s">
        <v>488</v>
      </c>
      <c r="F11519" s="1">
        <v>2</v>
      </c>
      <c r="G11519" s="1" t="s">
        <v>28</v>
      </c>
      <c r="H11519" s="4" t="str">
        <f>HYPERLINK("https://www.ncbi.nlm.nih.gov/geo/query/acc.cgi?acc=GSM2283265","GSM2283265")</f>
        <v>GSM2283265</v>
      </c>
      <c r="I11519" t="s">
        <v>484</v>
      </c>
      <c r="J11519" t="s">
        <v>485</v>
      </c>
      <c r="K11519" t="s">
        <v>33</v>
      </c>
      <c r="L11519" t="s">
        <v>486</v>
      </c>
      <c r="N11519" t="s">
        <v>29</v>
      </c>
    </row>
    <row r="11520" spans="1:14">
      <c r="A11520" s="4" t="str">
        <f t="shared" si="1024"/>
        <v>EXP00383</v>
      </c>
      <c r="B11520" s="3" t="s">
        <v>66</v>
      </c>
      <c r="C11520" s="4" t="str">
        <f t="shared" si="1023"/>
        <v>GSE85730</v>
      </c>
      <c r="D11520" s="1" t="s">
        <v>482</v>
      </c>
      <c r="E11520" t="s">
        <v>488</v>
      </c>
      <c r="F11520" s="1">
        <v>2</v>
      </c>
      <c r="G11520" s="1" t="s">
        <v>28</v>
      </c>
      <c r="H11520" s="4" t="str">
        <f>HYPERLINK("https://www.ncbi.nlm.nih.gov/geo/query/acc.cgi?acc=GSM2283266","GSM2283266")</f>
        <v>GSM2283266</v>
      </c>
      <c r="I11520" t="s">
        <v>484</v>
      </c>
      <c r="J11520" t="s">
        <v>485</v>
      </c>
      <c r="K11520" t="s">
        <v>33</v>
      </c>
      <c r="L11520" t="s">
        <v>486</v>
      </c>
      <c r="N11520" t="s">
        <v>29</v>
      </c>
    </row>
    <row r="11521" spans="1:14">
      <c r="A11521" s="4" t="str">
        <f t="shared" si="1024"/>
        <v>EXP00383</v>
      </c>
      <c r="B11521" s="3" t="s">
        <v>66</v>
      </c>
      <c r="C11521" s="4" t="str">
        <f t="shared" si="1023"/>
        <v>GSE85730</v>
      </c>
      <c r="D11521" s="1" t="s">
        <v>482</v>
      </c>
      <c r="E11521" t="s">
        <v>488</v>
      </c>
      <c r="F11521" s="1">
        <v>2</v>
      </c>
      <c r="G11521" s="1" t="s">
        <v>28</v>
      </c>
      <c r="H11521" s="4" t="str">
        <f>HYPERLINK("https://www.ncbi.nlm.nih.gov/geo/query/acc.cgi?acc=GSM2283267","GSM2283267")</f>
        <v>GSM2283267</v>
      </c>
      <c r="I11521" t="s">
        <v>484</v>
      </c>
      <c r="J11521" t="s">
        <v>485</v>
      </c>
      <c r="K11521" t="s">
        <v>33</v>
      </c>
      <c r="L11521" t="s">
        <v>486</v>
      </c>
      <c r="N11521" t="s">
        <v>29</v>
      </c>
    </row>
    <row r="11522" spans="1:14">
      <c r="A11522" s="4" t="str">
        <f t="shared" ref="A11522:A11549" si="1025">HYPERLINK("http://hcmdb.i-sanger.com/experiment/details/experiment_id/EXP00384","EXP00384")</f>
        <v>EXP00384</v>
      </c>
      <c r="B11522" s="3" t="s">
        <v>66</v>
      </c>
      <c r="C11522" s="4" t="str">
        <f t="shared" ref="C11522:C11585" si="1026">HYPERLINK("https://www.ncbi.nlm.nih.gov/geo/query/acc.cgi?acc=GSE87211","GSE87211")</f>
        <v>GSE87211</v>
      </c>
      <c r="D11522" s="1" t="s">
        <v>239</v>
      </c>
      <c r="E11522" t="s">
        <v>95</v>
      </c>
      <c r="F11522" s="1">
        <v>1</v>
      </c>
      <c r="G11522" s="1" t="s">
        <v>36</v>
      </c>
      <c r="H11522" s="4" t="str">
        <f>HYPERLINK("https://www.ncbi.nlm.nih.gov/geo/query/acc.cgi?acc=GSM2325441","GSM2325441")</f>
        <v>GSM2325441</v>
      </c>
      <c r="I11522" t="s">
        <v>69</v>
      </c>
      <c r="J11522" t="s">
        <v>18</v>
      </c>
      <c r="K11522" t="s">
        <v>19</v>
      </c>
      <c r="L11522" t="s">
        <v>70</v>
      </c>
      <c r="M11522" t="s">
        <v>51</v>
      </c>
      <c r="N11522" t="s">
        <v>37</v>
      </c>
    </row>
    <row r="11523" spans="1:14">
      <c r="A11523" s="4" t="str">
        <f t="shared" si="1025"/>
        <v>EXP00384</v>
      </c>
      <c r="B11523" s="3" t="s">
        <v>66</v>
      </c>
      <c r="C11523" s="4" t="str">
        <f t="shared" si="1026"/>
        <v>GSE87211</v>
      </c>
      <c r="D11523" s="1" t="s">
        <v>239</v>
      </c>
      <c r="E11523" t="s">
        <v>95</v>
      </c>
      <c r="F11523" s="1">
        <v>1</v>
      </c>
      <c r="G11523" s="1" t="s">
        <v>36</v>
      </c>
      <c r="H11523" s="4" t="str">
        <f>HYPERLINK("https://www.ncbi.nlm.nih.gov/geo/query/acc.cgi?acc=GSM2325454","GSM2325454")</f>
        <v>GSM2325454</v>
      </c>
      <c r="I11523" t="s">
        <v>69</v>
      </c>
      <c r="J11523" t="s">
        <v>18</v>
      </c>
      <c r="K11523" t="s">
        <v>19</v>
      </c>
      <c r="L11523" t="s">
        <v>70</v>
      </c>
      <c r="M11523" t="s">
        <v>51</v>
      </c>
      <c r="N11523" t="s">
        <v>37</v>
      </c>
    </row>
    <row r="11524" spans="1:14">
      <c r="A11524" s="4" t="str">
        <f t="shared" si="1025"/>
        <v>EXP00384</v>
      </c>
      <c r="B11524" s="3" t="s">
        <v>66</v>
      </c>
      <c r="C11524" s="4" t="str">
        <f t="shared" si="1026"/>
        <v>GSE87211</v>
      </c>
      <c r="D11524" s="1" t="s">
        <v>239</v>
      </c>
      <c r="E11524" t="s">
        <v>95</v>
      </c>
      <c r="F11524" s="1">
        <v>1</v>
      </c>
      <c r="G11524" s="1" t="s">
        <v>36</v>
      </c>
      <c r="H11524" s="4" t="str">
        <f>HYPERLINK("https://www.ncbi.nlm.nih.gov/geo/query/acc.cgi?acc=GSM2325457","GSM2325457")</f>
        <v>GSM2325457</v>
      </c>
      <c r="I11524" t="s">
        <v>69</v>
      </c>
      <c r="J11524" t="s">
        <v>18</v>
      </c>
      <c r="K11524" t="s">
        <v>19</v>
      </c>
      <c r="L11524" t="s">
        <v>70</v>
      </c>
      <c r="M11524" t="s">
        <v>51</v>
      </c>
      <c r="N11524" t="s">
        <v>37</v>
      </c>
    </row>
    <row r="11525" spans="1:14">
      <c r="A11525" s="4" t="str">
        <f t="shared" si="1025"/>
        <v>EXP00384</v>
      </c>
      <c r="B11525" s="3" t="s">
        <v>66</v>
      </c>
      <c r="C11525" s="4" t="str">
        <f t="shared" si="1026"/>
        <v>GSE87211</v>
      </c>
      <c r="D11525" s="1" t="s">
        <v>239</v>
      </c>
      <c r="E11525" t="s">
        <v>95</v>
      </c>
      <c r="F11525" s="1">
        <v>1</v>
      </c>
      <c r="G11525" s="1" t="s">
        <v>36</v>
      </c>
      <c r="H11525" s="4" t="str">
        <f>HYPERLINK("https://www.ncbi.nlm.nih.gov/geo/query/acc.cgi?acc=GSM2325458","GSM2325458")</f>
        <v>GSM2325458</v>
      </c>
      <c r="I11525" t="s">
        <v>69</v>
      </c>
      <c r="J11525" t="s">
        <v>18</v>
      </c>
      <c r="K11525" t="s">
        <v>19</v>
      </c>
      <c r="L11525" t="s">
        <v>70</v>
      </c>
      <c r="M11525" t="s">
        <v>51</v>
      </c>
      <c r="N11525" t="s">
        <v>37</v>
      </c>
    </row>
    <row r="11526" spans="1:14">
      <c r="A11526" s="4" t="str">
        <f t="shared" si="1025"/>
        <v>EXP00384</v>
      </c>
      <c r="B11526" s="3" t="s">
        <v>66</v>
      </c>
      <c r="C11526" s="4" t="str">
        <f t="shared" si="1026"/>
        <v>GSE87211</v>
      </c>
      <c r="D11526" s="1" t="s">
        <v>239</v>
      </c>
      <c r="E11526" t="s">
        <v>95</v>
      </c>
      <c r="F11526" s="1">
        <v>1</v>
      </c>
      <c r="G11526" s="1" t="s">
        <v>36</v>
      </c>
      <c r="H11526" s="4" t="str">
        <f>HYPERLINK("https://www.ncbi.nlm.nih.gov/geo/query/acc.cgi?acc=GSM2325461","GSM2325461")</f>
        <v>GSM2325461</v>
      </c>
      <c r="I11526" t="s">
        <v>69</v>
      </c>
      <c r="J11526" t="s">
        <v>18</v>
      </c>
      <c r="K11526" t="s">
        <v>19</v>
      </c>
      <c r="L11526" t="s">
        <v>70</v>
      </c>
      <c r="M11526" t="s">
        <v>51</v>
      </c>
      <c r="N11526" t="s">
        <v>37</v>
      </c>
    </row>
    <row r="11527" spans="1:14">
      <c r="A11527" s="4" t="str">
        <f t="shared" si="1025"/>
        <v>EXP00384</v>
      </c>
      <c r="B11527" s="3" t="s">
        <v>66</v>
      </c>
      <c r="C11527" s="4" t="str">
        <f t="shared" si="1026"/>
        <v>GSE87211</v>
      </c>
      <c r="D11527" s="1" t="s">
        <v>239</v>
      </c>
      <c r="E11527" t="s">
        <v>95</v>
      </c>
      <c r="F11527" s="1">
        <v>1</v>
      </c>
      <c r="G11527" s="1" t="s">
        <v>36</v>
      </c>
      <c r="H11527" s="4" t="str">
        <f>HYPERLINK("https://www.ncbi.nlm.nih.gov/geo/query/acc.cgi?acc=GSM2325469","GSM2325469")</f>
        <v>GSM2325469</v>
      </c>
      <c r="I11527" t="s">
        <v>69</v>
      </c>
      <c r="J11527" t="s">
        <v>18</v>
      </c>
      <c r="K11527" t="s">
        <v>19</v>
      </c>
      <c r="L11527" t="s">
        <v>70</v>
      </c>
      <c r="M11527" t="s">
        <v>51</v>
      </c>
      <c r="N11527" t="s">
        <v>37</v>
      </c>
    </row>
    <row r="11528" spans="1:14">
      <c r="A11528" s="4" t="str">
        <f t="shared" si="1025"/>
        <v>EXP00384</v>
      </c>
      <c r="B11528" s="3" t="s">
        <v>66</v>
      </c>
      <c r="C11528" s="4" t="str">
        <f t="shared" si="1026"/>
        <v>GSE87211</v>
      </c>
      <c r="D11528" s="1" t="s">
        <v>239</v>
      </c>
      <c r="E11528" t="s">
        <v>95</v>
      </c>
      <c r="F11528" s="1">
        <v>1</v>
      </c>
      <c r="G11528" s="1" t="s">
        <v>36</v>
      </c>
      <c r="H11528" s="4" t="str">
        <f>HYPERLINK("https://www.ncbi.nlm.nih.gov/geo/query/acc.cgi?acc=GSM2325470","GSM2325470")</f>
        <v>GSM2325470</v>
      </c>
      <c r="I11528" t="s">
        <v>69</v>
      </c>
      <c r="J11528" t="s">
        <v>18</v>
      </c>
      <c r="K11528" t="s">
        <v>19</v>
      </c>
      <c r="L11528" t="s">
        <v>70</v>
      </c>
      <c r="M11528" t="s">
        <v>51</v>
      </c>
      <c r="N11528" t="s">
        <v>37</v>
      </c>
    </row>
    <row r="11529" spans="1:14">
      <c r="A11529" s="4" t="str">
        <f t="shared" si="1025"/>
        <v>EXP00384</v>
      </c>
      <c r="B11529" s="3" t="s">
        <v>66</v>
      </c>
      <c r="C11529" s="4" t="str">
        <f t="shared" si="1026"/>
        <v>GSE87211</v>
      </c>
      <c r="D11529" s="1" t="s">
        <v>239</v>
      </c>
      <c r="E11529" t="s">
        <v>95</v>
      </c>
      <c r="F11529" s="1">
        <v>1</v>
      </c>
      <c r="G11529" s="1" t="s">
        <v>36</v>
      </c>
      <c r="H11529" s="4" t="str">
        <f>HYPERLINK("https://www.ncbi.nlm.nih.gov/geo/query/acc.cgi?acc=GSM2325538","GSM2325538")</f>
        <v>GSM2325538</v>
      </c>
      <c r="I11529" t="s">
        <v>69</v>
      </c>
      <c r="J11529" t="s">
        <v>18</v>
      </c>
      <c r="K11529" t="s">
        <v>19</v>
      </c>
      <c r="L11529" t="s">
        <v>70</v>
      </c>
      <c r="M11529" t="s">
        <v>51</v>
      </c>
      <c r="N11529" t="s">
        <v>37</v>
      </c>
    </row>
    <row r="11530" spans="1:14">
      <c r="A11530" s="4" t="str">
        <f t="shared" si="1025"/>
        <v>EXP00384</v>
      </c>
      <c r="B11530" s="3" t="s">
        <v>66</v>
      </c>
      <c r="C11530" s="4" t="str">
        <f t="shared" si="1026"/>
        <v>GSE87211</v>
      </c>
      <c r="D11530" s="1" t="s">
        <v>239</v>
      </c>
      <c r="E11530" t="s">
        <v>95</v>
      </c>
      <c r="F11530" s="1">
        <v>1</v>
      </c>
      <c r="G11530" s="1" t="s">
        <v>36</v>
      </c>
      <c r="H11530" s="4" t="str">
        <f>HYPERLINK("https://www.ncbi.nlm.nih.gov/geo/query/acc.cgi?acc=GSM2325563","GSM2325563")</f>
        <v>GSM2325563</v>
      </c>
      <c r="I11530" t="s">
        <v>69</v>
      </c>
      <c r="J11530" t="s">
        <v>18</v>
      </c>
      <c r="K11530" t="s">
        <v>19</v>
      </c>
      <c r="L11530" t="s">
        <v>70</v>
      </c>
      <c r="M11530" t="s">
        <v>51</v>
      </c>
      <c r="N11530" t="s">
        <v>37</v>
      </c>
    </row>
    <row r="11531" spans="1:14">
      <c r="A11531" s="4" t="str">
        <f t="shared" si="1025"/>
        <v>EXP00384</v>
      </c>
      <c r="B11531" s="3" t="s">
        <v>66</v>
      </c>
      <c r="C11531" s="4" t="str">
        <f t="shared" si="1026"/>
        <v>GSE87211</v>
      </c>
      <c r="D11531" s="1" t="s">
        <v>239</v>
      </c>
      <c r="E11531" t="s">
        <v>95</v>
      </c>
      <c r="F11531" s="1">
        <v>1</v>
      </c>
      <c r="G11531" s="1" t="s">
        <v>36</v>
      </c>
      <c r="H11531" s="4" t="str">
        <f>HYPERLINK("https://www.ncbi.nlm.nih.gov/geo/query/acc.cgi?acc=GSM2325564","GSM2325564")</f>
        <v>GSM2325564</v>
      </c>
      <c r="I11531" t="s">
        <v>69</v>
      </c>
      <c r="J11531" t="s">
        <v>18</v>
      </c>
      <c r="K11531" t="s">
        <v>19</v>
      </c>
      <c r="L11531" t="s">
        <v>70</v>
      </c>
      <c r="M11531" t="s">
        <v>51</v>
      </c>
      <c r="N11531" t="s">
        <v>37</v>
      </c>
    </row>
    <row r="11532" spans="1:14">
      <c r="A11532" s="4" t="str">
        <f t="shared" si="1025"/>
        <v>EXP00384</v>
      </c>
      <c r="B11532" s="3" t="s">
        <v>66</v>
      </c>
      <c r="C11532" s="4" t="str">
        <f t="shared" si="1026"/>
        <v>GSE87211</v>
      </c>
      <c r="D11532" s="1" t="s">
        <v>239</v>
      </c>
      <c r="E11532" t="s">
        <v>95</v>
      </c>
      <c r="F11532" s="1">
        <v>1</v>
      </c>
      <c r="G11532" s="1" t="s">
        <v>36</v>
      </c>
      <c r="H11532" s="4" t="str">
        <f>HYPERLINK("https://www.ncbi.nlm.nih.gov/geo/query/acc.cgi?acc=GSM2325574","GSM2325574")</f>
        <v>GSM2325574</v>
      </c>
      <c r="I11532" t="s">
        <v>69</v>
      </c>
      <c r="J11532" t="s">
        <v>18</v>
      </c>
      <c r="K11532" t="s">
        <v>19</v>
      </c>
      <c r="L11532" t="s">
        <v>70</v>
      </c>
      <c r="M11532" t="s">
        <v>51</v>
      </c>
      <c r="N11532" t="s">
        <v>37</v>
      </c>
    </row>
    <row r="11533" spans="1:14">
      <c r="A11533" s="4" t="str">
        <f t="shared" si="1025"/>
        <v>EXP00384</v>
      </c>
      <c r="B11533" s="3" t="s">
        <v>66</v>
      </c>
      <c r="C11533" s="4" t="str">
        <f t="shared" si="1026"/>
        <v>GSE87211</v>
      </c>
      <c r="D11533" s="1" t="s">
        <v>239</v>
      </c>
      <c r="E11533" t="s">
        <v>95</v>
      </c>
      <c r="F11533" s="1">
        <v>1</v>
      </c>
      <c r="G11533" s="1" t="s">
        <v>36</v>
      </c>
      <c r="H11533" s="4" t="str">
        <f>HYPERLINK("https://www.ncbi.nlm.nih.gov/geo/query/acc.cgi?acc=GSM2325586","GSM2325586")</f>
        <v>GSM2325586</v>
      </c>
      <c r="I11533" t="s">
        <v>69</v>
      </c>
      <c r="J11533" t="s">
        <v>18</v>
      </c>
      <c r="K11533" t="s">
        <v>19</v>
      </c>
      <c r="L11533" t="s">
        <v>70</v>
      </c>
      <c r="M11533" t="s">
        <v>51</v>
      </c>
      <c r="N11533" t="s">
        <v>37</v>
      </c>
    </row>
    <row r="11534" spans="1:14">
      <c r="A11534" s="4" t="str">
        <f t="shared" si="1025"/>
        <v>EXP00384</v>
      </c>
      <c r="B11534" s="3" t="s">
        <v>66</v>
      </c>
      <c r="C11534" s="4" t="str">
        <f t="shared" si="1026"/>
        <v>GSE87211</v>
      </c>
      <c r="D11534" s="1" t="s">
        <v>239</v>
      </c>
      <c r="E11534" t="s">
        <v>95</v>
      </c>
      <c r="F11534" s="1">
        <v>2</v>
      </c>
      <c r="G11534" s="1" t="s">
        <v>28</v>
      </c>
      <c r="H11534" s="4" t="str">
        <f>HYPERLINK("https://www.ncbi.nlm.nih.gov/geo/query/acc.cgi?acc=GSM2325238","GSM2325238")</f>
        <v>GSM2325238</v>
      </c>
      <c r="I11534" t="s">
        <v>69</v>
      </c>
      <c r="J11534" t="s">
        <v>18</v>
      </c>
      <c r="K11534" t="s">
        <v>19</v>
      </c>
      <c r="L11534" t="s">
        <v>70</v>
      </c>
      <c r="M11534" t="s">
        <v>51</v>
      </c>
      <c r="N11534" t="s">
        <v>29</v>
      </c>
    </row>
    <row r="11535" spans="1:14">
      <c r="A11535" s="4" t="str">
        <f t="shared" si="1025"/>
        <v>EXP00384</v>
      </c>
      <c r="B11535" s="3" t="s">
        <v>66</v>
      </c>
      <c r="C11535" s="4" t="str">
        <f t="shared" si="1026"/>
        <v>GSE87211</v>
      </c>
      <c r="D11535" s="1" t="s">
        <v>239</v>
      </c>
      <c r="E11535" t="s">
        <v>95</v>
      </c>
      <c r="F11535" s="1">
        <v>2</v>
      </c>
      <c r="G11535" s="1" t="s">
        <v>28</v>
      </c>
      <c r="H11535" s="4" t="str">
        <f>HYPERLINK("https://www.ncbi.nlm.nih.gov/geo/query/acc.cgi?acc=GSM2325251","GSM2325251")</f>
        <v>GSM2325251</v>
      </c>
      <c r="I11535" t="s">
        <v>69</v>
      </c>
      <c r="J11535" t="s">
        <v>18</v>
      </c>
      <c r="K11535" t="s">
        <v>19</v>
      </c>
      <c r="L11535" t="s">
        <v>70</v>
      </c>
      <c r="M11535" t="s">
        <v>51</v>
      </c>
      <c r="N11535" t="s">
        <v>29</v>
      </c>
    </row>
    <row r="11536" spans="1:14">
      <c r="A11536" s="4" t="str">
        <f t="shared" si="1025"/>
        <v>EXP00384</v>
      </c>
      <c r="B11536" s="3" t="s">
        <v>66</v>
      </c>
      <c r="C11536" s="4" t="str">
        <f t="shared" si="1026"/>
        <v>GSE87211</v>
      </c>
      <c r="D11536" s="1" t="s">
        <v>239</v>
      </c>
      <c r="E11536" t="s">
        <v>95</v>
      </c>
      <c r="F11536" s="1">
        <v>2</v>
      </c>
      <c r="G11536" s="1" t="s">
        <v>28</v>
      </c>
      <c r="H11536" s="4" t="str">
        <f>HYPERLINK("https://www.ncbi.nlm.nih.gov/geo/query/acc.cgi?acc=GSM2325254","GSM2325254")</f>
        <v>GSM2325254</v>
      </c>
      <c r="I11536" t="s">
        <v>69</v>
      </c>
      <c r="J11536" t="s">
        <v>18</v>
      </c>
      <c r="K11536" t="s">
        <v>19</v>
      </c>
      <c r="L11536" t="s">
        <v>70</v>
      </c>
      <c r="M11536" t="s">
        <v>51</v>
      </c>
      <c r="N11536" t="s">
        <v>29</v>
      </c>
    </row>
    <row r="11537" spans="1:14">
      <c r="A11537" s="4" t="str">
        <f t="shared" si="1025"/>
        <v>EXP00384</v>
      </c>
      <c r="B11537" s="3" t="s">
        <v>66</v>
      </c>
      <c r="C11537" s="4" t="str">
        <f t="shared" si="1026"/>
        <v>GSE87211</v>
      </c>
      <c r="D11537" s="1" t="s">
        <v>239</v>
      </c>
      <c r="E11537" t="s">
        <v>95</v>
      </c>
      <c r="F11537" s="1">
        <v>2</v>
      </c>
      <c r="G11537" s="1" t="s">
        <v>28</v>
      </c>
      <c r="H11537" s="4" t="str">
        <f>HYPERLINK("https://www.ncbi.nlm.nih.gov/geo/query/acc.cgi?acc=GSM2325255","GSM2325255")</f>
        <v>GSM2325255</v>
      </c>
      <c r="I11537" t="s">
        <v>69</v>
      </c>
      <c r="J11537" t="s">
        <v>18</v>
      </c>
      <c r="K11537" t="s">
        <v>19</v>
      </c>
      <c r="L11537" t="s">
        <v>70</v>
      </c>
      <c r="M11537" t="s">
        <v>51</v>
      </c>
      <c r="N11537" t="s">
        <v>29</v>
      </c>
    </row>
    <row r="11538" spans="1:14">
      <c r="A11538" s="4" t="str">
        <f t="shared" si="1025"/>
        <v>EXP00384</v>
      </c>
      <c r="B11538" s="3" t="s">
        <v>66</v>
      </c>
      <c r="C11538" s="4" t="str">
        <f t="shared" si="1026"/>
        <v>GSE87211</v>
      </c>
      <c r="D11538" s="1" t="s">
        <v>239</v>
      </c>
      <c r="E11538" t="s">
        <v>95</v>
      </c>
      <c r="F11538" s="1">
        <v>2</v>
      </c>
      <c r="G11538" s="1" t="s">
        <v>28</v>
      </c>
      <c r="H11538" s="4" t="str">
        <f>HYPERLINK("https://www.ncbi.nlm.nih.gov/geo/query/acc.cgi?acc=GSM2325258","GSM2325258")</f>
        <v>GSM2325258</v>
      </c>
      <c r="I11538" t="s">
        <v>69</v>
      </c>
      <c r="J11538" t="s">
        <v>18</v>
      </c>
      <c r="K11538" t="s">
        <v>19</v>
      </c>
      <c r="L11538" t="s">
        <v>70</v>
      </c>
      <c r="M11538" t="s">
        <v>51</v>
      </c>
      <c r="N11538" t="s">
        <v>29</v>
      </c>
    </row>
    <row r="11539" spans="1:14">
      <c r="A11539" s="4" t="str">
        <f t="shared" si="1025"/>
        <v>EXP00384</v>
      </c>
      <c r="B11539" s="3" t="s">
        <v>66</v>
      </c>
      <c r="C11539" s="4" t="str">
        <f t="shared" si="1026"/>
        <v>GSE87211</v>
      </c>
      <c r="D11539" s="1" t="s">
        <v>239</v>
      </c>
      <c r="E11539" t="s">
        <v>95</v>
      </c>
      <c r="F11539" s="1">
        <v>2</v>
      </c>
      <c r="G11539" s="1" t="s">
        <v>28</v>
      </c>
      <c r="H11539" s="4" t="str">
        <f>HYPERLINK("https://www.ncbi.nlm.nih.gov/geo/query/acc.cgi?acc=GSM2325266","GSM2325266")</f>
        <v>GSM2325266</v>
      </c>
      <c r="I11539" t="s">
        <v>69</v>
      </c>
      <c r="J11539" t="s">
        <v>18</v>
      </c>
      <c r="K11539" t="s">
        <v>19</v>
      </c>
      <c r="L11539" t="s">
        <v>70</v>
      </c>
      <c r="M11539" t="s">
        <v>51</v>
      </c>
      <c r="N11539" t="s">
        <v>29</v>
      </c>
    </row>
    <row r="11540" spans="1:14">
      <c r="A11540" s="4" t="str">
        <f t="shared" si="1025"/>
        <v>EXP00384</v>
      </c>
      <c r="B11540" s="3" t="s">
        <v>66</v>
      </c>
      <c r="C11540" s="4" t="str">
        <f t="shared" si="1026"/>
        <v>GSE87211</v>
      </c>
      <c r="D11540" s="1" t="s">
        <v>239</v>
      </c>
      <c r="E11540" t="s">
        <v>95</v>
      </c>
      <c r="F11540" s="1">
        <v>2</v>
      </c>
      <c r="G11540" s="1" t="s">
        <v>28</v>
      </c>
      <c r="H11540" s="4" t="str">
        <f>HYPERLINK("https://www.ncbi.nlm.nih.gov/geo/query/acc.cgi?acc=GSM2325267","GSM2325267")</f>
        <v>GSM2325267</v>
      </c>
      <c r="I11540" t="s">
        <v>69</v>
      </c>
      <c r="J11540" t="s">
        <v>18</v>
      </c>
      <c r="K11540" t="s">
        <v>19</v>
      </c>
      <c r="L11540" t="s">
        <v>70</v>
      </c>
      <c r="M11540" t="s">
        <v>51</v>
      </c>
      <c r="N11540" t="s">
        <v>29</v>
      </c>
    </row>
    <row r="11541" spans="1:14">
      <c r="A11541" s="4" t="str">
        <f t="shared" si="1025"/>
        <v>EXP00384</v>
      </c>
      <c r="B11541" s="3" t="s">
        <v>66</v>
      </c>
      <c r="C11541" s="4" t="str">
        <f t="shared" si="1026"/>
        <v>GSE87211</v>
      </c>
      <c r="D11541" s="1" t="s">
        <v>239</v>
      </c>
      <c r="E11541" t="s">
        <v>95</v>
      </c>
      <c r="F11541" s="1">
        <v>2</v>
      </c>
      <c r="G11541" s="1" t="s">
        <v>28</v>
      </c>
      <c r="H11541" s="4" t="str">
        <f>HYPERLINK("https://www.ncbi.nlm.nih.gov/geo/query/acc.cgi?acc=GSM2325335","GSM2325335")</f>
        <v>GSM2325335</v>
      </c>
      <c r="I11541" t="s">
        <v>69</v>
      </c>
      <c r="J11541" t="s">
        <v>18</v>
      </c>
      <c r="K11541" t="s">
        <v>19</v>
      </c>
      <c r="L11541" t="s">
        <v>70</v>
      </c>
      <c r="M11541" t="s">
        <v>51</v>
      </c>
      <c r="N11541" t="s">
        <v>29</v>
      </c>
    </row>
    <row r="11542" spans="1:14">
      <c r="A11542" s="4" t="str">
        <f t="shared" si="1025"/>
        <v>EXP00384</v>
      </c>
      <c r="B11542" s="3" t="s">
        <v>66</v>
      </c>
      <c r="C11542" s="4" t="str">
        <f t="shared" si="1026"/>
        <v>GSE87211</v>
      </c>
      <c r="D11542" s="1" t="s">
        <v>239</v>
      </c>
      <c r="E11542" t="s">
        <v>95</v>
      </c>
      <c r="F11542" s="1">
        <v>2</v>
      </c>
      <c r="G11542" s="1" t="s">
        <v>28</v>
      </c>
      <c r="H11542" s="4" t="str">
        <f>HYPERLINK("https://www.ncbi.nlm.nih.gov/geo/query/acc.cgi?acc=GSM2325360","GSM2325360")</f>
        <v>GSM2325360</v>
      </c>
      <c r="I11542" t="s">
        <v>69</v>
      </c>
      <c r="J11542" t="s">
        <v>18</v>
      </c>
      <c r="K11542" t="s">
        <v>19</v>
      </c>
      <c r="L11542" t="s">
        <v>70</v>
      </c>
      <c r="M11542" t="s">
        <v>51</v>
      </c>
      <c r="N11542" t="s">
        <v>29</v>
      </c>
    </row>
    <row r="11543" spans="1:14">
      <c r="A11543" s="4" t="str">
        <f t="shared" si="1025"/>
        <v>EXP00384</v>
      </c>
      <c r="B11543" s="3" t="s">
        <v>66</v>
      </c>
      <c r="C11543" s="4" t="str">
        <f t="shared" si="1026"/>
        <v>GSE87211</v>
      </c>
      <c r="D11543" s="1" t="s">
        <v>239</v>
      </c>
      <c r="E11543" t="s">
        <v>95</v>
      </c>
      <c r="F11543" s="1">
        <v>2</v>
      </c>
      <c r="G11543" s="1" t="s">
        <v>28</v>
      </c>
      <c r="H11543" s="4" t="str">
        <f>HYPERLINK("https://www.ncbi.nlm.nih.gov/geo/query/acc.cgi?acc=GSM2325361","GSM2325361")</f>
        <v>GSM2325361</v>
      </c>
      <c r="I11543" t="s">
        <v>69</v>
      </c>
      <c r="J11543" t="s">
        <v>18</v>
      </c>
      <c r="K11543" t="s">
        <v>19</v>
      </c>
      <c r="L11543" t="s">
        <v>70</v>
      </c>
      <c r="M11543" t="s">
        <v>51</v>
      </c>
      <c r="N11543" t="s">
        <v>29</v>
      </c>
    </row>
    <row r="11544" spans="1:14">
      <c r="A11544" s="4" t="str">
        <f t="shared" si="1025"/>
        <v>EXP00384</v>
      </c>
      <c r="B11544" s="3" t="s">
        <v>66</v>
      </c>
      <c r="C11544" s="4" t="str">
        <f t="shared" si="1026"/>
        <v>GSE87211</v>
      </c>
      <c r="D11544" s="1" t="s">
        <v>239</v>
      </c>
      <c r="E11544" t="s">
        <v>95</v>
      </c>
      <c r="F11544" s="1">
        <v>2</v>
      </c>
      <c r="G11544" s="1" t="s">
        <v>28</v>
      </c>
      <c r="H11544" s="4" t="str">
        <f>HYPERLINK("https://www.ncbi.nlm.nih.gov/geo/query/acc.cgi?acc=GSM2325371","GSM2325371")</f>
        <v>GSM2325371</v>
      </c>
      <c r="I11544" t="s">
        <v>69</v>
      </c>
      <c r="J11544" t="s">
        <v>18</v>
      </c>
      <c r="K11544" t="s">
        <v>19</v>
      </c>
      <c r="L11544" t="s">
        <v>70</v>
      </c>
      <c r="M11544" t="s">
        <v>51</v>
      </c>
      <c r="N11544" t="s">
        <v>29</v>
      </c>
    </row>
    <row r="11545" spans="1:14">
      <c r="A11545" s="4" t="str">
        <f t="shared" si="1025"/>
        <v>EXP00384</v>
      </c>
      <c r="B11545" s="3" t="s">
        <v>66</v>
      </c>
      <c r="C11545" s="4" t="str">
        <f t="shared" si="1026"/>
        <v>GSE87211</v>
      </c>
      <c r="D11545" s="1" t="s">
        <v>239</v>
      </c>
      <c r="E11545" t="s">
        <v>95</v>
      </c>
      <c r="F11545" s="1">
        <v>2</v>
      </c>
      <c r="G11545" s="1" t="s">
        <v>28</v>
      </c>
      <c r="H11545" s="4" t="str">
        <f>HYPERLINK("https://www.ncbi.nlm.nih.gov/geo/query/acc.cgi?acc=GSM2325383","GSM2325383")</f>
        <v>GSM2325383</v>
      </c>
      <c r="I11545" t="s">
        <v>69</v>
      </c>
      <c r="J11545" t="s">
        <v>18</v>
      </c>
      <c r="K11545" t="s">
        <v>19</v>
      </c>
      <c r="L11545" t="s">
        <v>70</v>
      </c>
      <c r="M11545" t="s">
        <v>51</v>
      </c>
      <c r="N11545" t="s">
        <v>29</v>
      </c>
    </row>
    <row r="11546" spans="1:14">
      <c r="A11546" s="4" t="str">
        <f t="shared" si="1025"/>
        <v>EXP00384</v>
      </c>
      <c r="B11546" s="3" t="s">
        <v>66</v>
      </c>
      <c r="C11546" s="4" t="str">
        <f t="shared" si="1026"/>
        <v>GSE87211</v>
      </c>
      <c r="D11546" s="1" t="s">
        <v>239</v>
      </c>
      <c r="E11546" t="s">
        <v>95</v>
      </c>
      <c r="F11546" s="1">
        <v>2</v>
      </c>
      <c r="G11546" s="1" t="s">
        <v>28</v>
      </c>
      <c r="H11546" s="4" t="str">
        <f>HYPERLINK("https://www.ncbi.nlm.nih.gov/geo/query/acc.cgi?acc=GSM2325427","GSM2325427")</f>
        <v>GSM2325427</v>
      </c>
      <c r="I11546" t="s">
        <v>69</v>
      </c>
      <c r="J11546" t="s">
        <v>18</v>
      </c>
      <c r="K11546" t="s">
        <v>19</v>
      </c>
      <c r="L11546" t="s">
        <v>70</v>
      </c>
      <c r="M11546" t="s">
        <v>51</v>
      </c>
      <c r="N11546" t="s">
        <v>29</v>
      </c>
    </row>
    <row r="11547" spans="1:14">
      <c r="A11547" s="4" t="str">
        <f t="shared" si="1025"/>
        <v>EXP00384</v>
      </c>
      <c r="B11547" s="3" t="s">
        <v>66</v>
      </c>
      <c r="C11547" s="4" t="str">
        <f t="shared" si="1026"/>
        <v>GSE87211</v>
      </c>
      <c r="D11547" s="1" t="s">
        <v>239</v>
      </c>
      <c r="E11547" t="s">
        <v>95</v>
      </c>
      <c r="F11547" s="1">
        <v>2</v>
      </c>
      <c r="G11547" s="1" t="s">
        <v>28</v>
      </c>
      <c r="H11547" s="4" t="str">
        <f>HYPERLINK("https://www.ncbi.nlm.nih.gov/geo/query/acc.cgi?acc=GSM2325435","GSM2325435")</f>
        <v>GSM2325435</v>
      </c>
      <c r="I11547" t="s">
        <v>69</v>
      </c>
      <c r="J11547" t="s">
        <v>18</v>
      </c>
      <c r="K11547" t="s">
        <v>19</v>
      </c>
      <c r="L11547" t="s">
        <v>70</v>
      </c>
      <c r="M11547" t="s">
        <v>51</v>
      </c>
      <c r="N11547" t="s">
        <v>29</v>
      </c>
    </row>
    <row r="11548" spans="1:14">
      <c r="A11548" s="4" t="str">
        <f t="shared" si="1025"/>
        <v>EXP00384</v>
      </c>
      <c r="B11548" s="3" t="s">
        <v>66</v>
      </c>
      <c r="C11548" s="4" t="str">
        <f t="shared" si="1026"/>
        <v>GSE87211</v>
      </c>
      <c r="D11548" s="1" t="s">
        <v>239</v>
      </c>
      <c r="E11548" t="s">
        <v>95</v>
      </c>
      <c r="F11548" s="1">
        <v>2</v>
      </c>
      <c r="G11548" s="1" t="s">
        <v>28</v>
      </c>
      <c r="H11548" s="4" t="str">
        <f>HYPERLINK("https://www.ncbi.nlm.nih.gov/geo/query/acc.cgi?acc=GSM2325436","GSM2325436")</f>
        <v>GSM2325436</v>
      </c>
      <c r="I11548" t="s">
        <v>69</v>
      </c>
      <c r="J11548" t="s">
        <v>18</v>
      </c>
      <c r="K11548" t="s">
        <v>19</v>
      </c>
      <c r="L11548" t="s">
        <v>70</v>
      </c>
      <c r="M11548" t="s">
        <v>51</v>
      </c>
      <c r="N11548" t="s">
        <v>29</v>
      </c>
    </row>
    <row r="11549" spans="1:14">
      <c r="A11549" s="4" t="str">
        <f t="shared" si="1025"/>
        <v>EXP00384</v>
      </c>
      <c r="B11549" s="3" t="s">
        <v>66</v>
      </c>
      <c r="C11549" s="4" t="str">
        <f t="shared" si="1026"/>
        <v>GSE87211</v>
      </c>
      <c r="D11549" s="1" t="s">
        <v>239</v>
      </c>
      <c r="E11549" t="s">
        <v>95</v>
      </c>
      <c r="F11549" s="1">
        <v>2</v>
      </c>
      <c r="G11549" s="1" t="s">
        <v>28</v>
      </c>
      <c r="H11549" s="4" t="str">
        <f>HYPERLINK("https://www.ncbi.nlm.nih.gov/geo/query/acc.cgi?acc=GSM2325440","GSM2325440")</f>
        <v>GSM2325440</v>
      </c>
      <c r="I11549" t="s">
        <v>69</v>
      </c>
      <c r="J11549" t="s">
        <v>18</v>
      </c>
      <c r="K11549" t="s">
        <v>19</v>
      </c>
      <c r="L11549" t="s">
        <v>70</v>
      </c>
      <c r="M11549" t="s">
        <v>51</v>
      </c>
      <c r="N11549" t="s">
        <v>29</v>
      </c>
    </row>
    <row r="11550" spans="1:14">
      <c r="A11550" s="4" t="str">
        <f t="shared" ref="A11550:A11613" si="1027">HYPERLINK("http://hcmdb.i-sanger.com/experiment/details/experiment_id/EXP00385","EXP00385")</f>
        <v>EXP00385</v>
      </c>
      <c r="B11550" s="3" t="s">
        <v>66</v>
      </c>
      <c r="C11550" s="4" t="str">
        <f t="shared" si="1026"/>
        <v>GSE87211</v>
      </c>
      <c r="D11550" s="1" t="s">
        <v>239</v>
      </c>
      <c r="E11550" t="s">
        <v>68</v>
      </c>
      <c r="F11550" s="1">
        <v>1</v>
      </c>
      <c r="G11550" s="1" t="s">
        <v>31</v>
      </c>
      <c r="H11550" s="4" t="str">
        <f>HYPERLINK("https://www.ncbi.nlm.nih.gov/geo/query/acc.cgi?acc=GSM2325238","GSM2325238")</f>
        <v>GSM2325238</v>
      </c>
      <c r="I11550" t="s">
        <v>69</v>
      </c>
      <c r="J11550" t="s">
        <v>18</v>
      </c>
      <c r="K11550" t="s">
        <v>19</v>
      </c>
      <c r="L11550" t="s">
        <v>70</v>
      </c>
      <c r="M11550" t="s">
        <v>51</v>
      </c>
      <c r="N11550" t="s">
        <v>29</v>
      </c>
    </row>
    <row r="11551" spans="1:14">
      <c r="A11551" s="4" t="str">
        <f t="shared" si="1027"/>
        <v>EXP00385</v>
      </c>
      <c r="B11551" s="3" t="s">
        <v>66</v>
      </c>
      <c r="C11551" s="4" t="str">
        <f t="shared" si="1026"/>
        <v>GSE87211</v>
      </c>
      <c r="D11551" s="1" t="s">
        <v>239</v>
      </c>
      <c r="E11551" t="s">
        <v>68</v>
      </c>
      <c r="F11551" s="1">
        <v>1</v>
      </c>
      <c r="G11551" s="1" t="s">
        <v>31</v>
      </c>
      <c r="H11551" s="4" t="str">
        <f>HYPERLINK("https://www.ncbi.nlm.nih.gov/geo/query/acc.cgi?acc=GSM2325251","GSM2325251")</f>
        <v>GSM2325251</v>
      </c>
      <c r="I11551" t="s">
        <v>69</v>
      </c>
      <c r="J11551" t="s">
        <v>18</v>
      </c>
      <c r="K11551" t="s">
        <v>19</v>
      </c>
      <c r="L11551" t="s">
        <v>70</v>
      </c>
      <c r="M11551" t="s">
        <v>51</v>
      </c>
      <c r="N11551" t="s">
        <v>29</v>
      </c>
    </row>
    <row r="11552" spans="1:14">
      <c r="A11552" s="4" t="str">
        <f t="shared" si="1027"/>
        <v>EXP00385</v>
      </c>
      <c r="B11552" s="3" t="s">
        <v>66</v>
      </c>
      <c r="C11552" s="4" t="str">
        <f t="shared" si="1026"/>
        <v>GSE87211</v>
      </c>
      <c r="D11552" s="1" t="s">
        <v>239</v>
      </c>
      <c r="E11552" t="s">
        <v>68</v>
      </c>
      <c r="F11552" s="1">
        <v>1</v>
      </c>
      <c r="G11552" s="1" t="s">
        <v>31</v>
      </c>
      <c r="H11552" s="4" t="str">
        <f>HYPERLINK("https://www.ncbi.nlm.nih.gov/geo/query/acc.cgi?acc=GSM2325254","GSM2325254")</f>
        <v>GSM2325254</v>
      </c>
      <c r="I11552" t="s">
        <v>69</v>
      </c>
      <c r="J11552" t="s">
        <v>18</v>
      </c>
      <c r="K11552" t="s">
        <v>19</v>
      </c>
      <c r="L11552" t="s">
        <v>70</v>
      </c>
      <c r="M11552" t="s">
        <v>51</v>
      </c>
      <c r="N11552" t="s">
        <v>29</v>
      </c>
    </row>
    <row r="11553" spans="1:14">
      <c r="A11553" s="4" t="str">
        <f t="shared" si="1027"/>
        <v>EXP00385</v>
      </c>
      <c r="B11553" s="3" t="s">
        <v>66</v>
      </c>
      <c r="C11553" s="4" t="str">
        <f t="shared" si="1026"/>
        <v>GSE87211</v>
      </c>
      <c r="D11553" s="1" t="s">
        <v>239</v>
      </c>
      <c r="E11553" t="s">
        <v>68</v>
      </c>
      <c r="F11553" s="1">
        <v>1</v>
      </c>
      <c r="G11553" s="1" t="s">
        <v>31</v>
      </c>
      <c r="H11553" s="4" t="str">
        <f>HYPERLINK("https://www.ncbi.nlm.nih.gov/geo/query/acc.cgi?acc=GSM2325255","GSM2325255")</f>
        <v>GSM2325255</v>
      </c>
      <c r="I11553" t="s">
        <v>69</v>
      </c>
      <c r="J11553" t="s">
        <v>18</v>
      </c>
      <c r="K11553" t="s">
        <v>19</v>
      </c>
      <c r="L11553" t="s">
        <v>70</v>
      </c>
      <c r="M11553" t="s">
        <v>51</v>
      </c>
      <c r="N11553" t="s">
        <v>29</v>
      </c>
    </row>
    <row r="11554" spans="1:14">
      <c r="A11554" s="4" t="str">
        <f t="shared" si="1027"/>
        <v>EXP00385</v>
      </c>
      <c r="B11554" s="3" t="s">
        <v>66</v>
      </c>
      <c r="C11554" s="4" t="str">
        <f t="shared" si="1026"/>
        <v>GSE87211</v>
      </c>
      <c r="D11554" s="1" t="s">
        <v>239</v>
      </c>
      <c r="E11554" t="s">
        <v>68</v>
      </c>
      <c r="F11554" s="1">
        <v>1</v>
      </c>
      <c r="G11554" s="1" t="s">
        <v>31</v>
      </c>
      <c r="H11554" s="4" t="str">
        <f>HYPERLINK("https://www.ncbi.nlm.nih.gov/geo/query/acc.cgi?acc=GSM2325258","GSM2325258")</f>
        <v>GSM2325258</v>
      </c>
      <c r="I11554" t="s">
        <v>69</v>
      </c>
      <c r="J11554" t="s">
        <v>18</v>
      </c>
      <c r="K11554" t="s">
        <v>19</v>
      </c>
      <c r="L11554" t="s">
        <v>70</v>
      </c>
      <c r="M11554" t="s">
        <v>51</v>
      </c>
      <c r="N11554" t="s">
        <v>29</v>
      </c>
    </row>
    <row r="11555" spans="1:14">
      <c r="A11555" s="4" t="str">
        <f t="shared" si="1027"/>
        <v>EXP00385</v>
      </c>
      <c r="B11555" s="3" t="s">
        <v>66</v>
      </c>
      <c r="C11555" s="4" t="str">
        <f t="shared" si="1026"/>
        <v>GSE87211</v>
      </c>
      <c r="D11555" s="1" t="s">
        <v>239</v>
      </c>
      <c r="E11555" t="s">
        <v>68</v>
      </c>
      <c r="F11555" s="1">
        <v>1</v>
      </c>
      <c r="G11555" s="1" t="s">
        <v>31</v>
      </c>
      <c r="H11555" s="4" t="str">
        <f>HYPERLINK("https://www.ncbi.nlm.nih.gov/geo/query/acc.cgi?acc=GSM2325266","GSM2325266")</f>
        <v>GSM2325266</v>
      </c>
      <c r="I11555" t="s">
        <v>69</v>
      </c>
      <c r="J11555" t="s">
        <v>18</v>
      </c>
      <c r="K11555" t="s">
        <v>19</v>
      </c>
      <c r="L11555" t="s">
        <v>70</v>
      </c>
      <c r="M11555" t="s">
        <v>51</v>
      </c>
      <c r="N11555" t="s">
        <v>29</v>
      </c>
    </row>
    <row r="11556" spans="1:14">
      <c r="A11556" s="4" t="str">
        <f t="shared" si="1027"/>
        <v>EXP00385</v>
      </c>
      <c r="B11556" s="3" t="s">
        <v>66</v>
      </c>
      <c r="C11556" s="4" t="str">
        <f t="shared" si="1026"/>
        <v>GSE87211</v>
      </c>
      <c r="D11556" s="1" t="s">
        <v>239</v>
      </c>
      <c r="E11556" t="s">
        <v>68</v>
      </c>
      <c r="F11556" s="1">
        <v>1</v>
      </c>
      <c r="G11556" s="1" t="s">
        <v>31</v>
      </c>
      <c r="H11556" s="4" t="str">
        <f>HYPERLINK("https://www.ncbi.nlm.nih.gov/geo/query/acc.cgi?acc=GSM2325267","GSM2325267")</f>
        <v>GSM2325267</v>
      </c>
      <c r="I11556" t="s">
        <v>69</v>
      </c>
      <c r="J11556" t="s">
        <v>18</v>
      </c>
      <c r="K11556" t="s">
        <v>19</v>
      </c>
      <c r="L11556" t="s">
        <v>70</v>
      </c>
      <c r="M11556" t="s">
        <v>51</v>
      </c>
      <c r="N11556" t="s">
        <v>29</v>
      </c>
    </row>
    <row r="11557" spans="1:14">
      <c r="A11557" s="4" t="str">
        <f t="shared" si="1027"/>
        <v>EXP00385</v>
      </c>
      <c r="B11557" s="3" t="s">
        <v>66</v>
      </c>
      <c r="C11557" s="4" t="str">
        <f t="shared" si="1026"/>
        <v>GSE87211</v>
      </c>
      <c r="D11557" s="1" t="s">
        <v>239</v>
      </c>
      <c r="E11557" t="s">
        <v>68</v>
      </c>
      <c r="F11557" s="1">
        <v>1</v>
      </c>
      <c r="G11557" s="1" t="s">
        <v>31</v>
      </c>
      <c r="H11557" s="4" t="str">
        <f>HYPERLINK("https://www.ncbi.nlm.nih.gov/geo/query/acc.cgi?acc=GSM2325335","GSM2325335")</f>
        <v>GSM2325335</v>
      </c>
      <c r="I11557" t="s">
        <v>69</v>
      </c>
      <c r="J11557" t="s">
        <v>18</v>
      </c>
      <c r="K11557" t="s">
        <v>19</v>
      </c>
      <c r="L11557" t="s">
        <v>70</v>
      </c>
      <c r="M11557" t="s">
        <v>51</v>
      </c>
      <c r="N11557" t="s">
        <v>29</v>
      </c>
    </row>
    <row r="11558" spans="1:14">
      <c r="A11558" s="4" t="str">
        <f t="shared" si="1027"/>
        <v>EXP00385</v>
      </c>
      <c r="B11558" s="3" t="s">
        <v>66</v>
      </c>
      <c r="C11558" s="4" t="str">
        <f t="shared" si="1026"/>
        <v>GSE87211</v>
      </c>
      <c r="D11558" s="1" t="s">
        <v>239</v>
      </c>
      <c r="E11558" t="s">
        <v>68</v>
      </c>
      <c r="F11558" s="1">
        <v>1</v>
      </c>
      <c r="G11558" s="1" t="s">
        <v>31</v>
      </c>
      <c r="H11558" s="4" t="str">
        <f>HYPERLINK("https://www.ncbi.nlm.nih.gov/geo/query/acc.cgi?acc=GSM2325360","GSM2325360")</f>
        <v>GSM2325360</v>
      </c>
      <c r="I11558" t="s">
        <v>69</v>
      </c>
      <c r="J11558" t="s">
        <v>18</v>
      </c>
      <c r="K11558" t="s">
        <v>19</v>
      </c>
      <c r="L11558" t="s">
        <v>70</v>
      </c>
      <c r="M11558" t="s">
        <v>51</v>
      </c>
      <c r="N11558" t="s">
        <v>29</v>
      </c>
    </row>
    <row r="11559" spans="1:14">
      <c r="A11559" s="4" t="str">
        <f t="shared" si="1027"/>
        <v>EXP00385</v>
      </c>
      <c r="B11559" s="3" t="s">
        <v>66</v>
      </c>
      <c r="C11559" s="4" t="str">
        <f t="shared" si="1026"/>
        <v>GSE87211</v>
      </c>
      <c r="D11559" s="1" t="s">
        <v>239</v>
      </c>
      <c r="E11559" t="s">
        <v>68</v>
      </c>
      <c r="F11559" s="1">
        <v>1</v>
      </c>
      <c r="G11559" s="1" t="s">
        <v>31</v>
      </c>
      <c r="H11559" s="4" t="str">
        <f>HYPERLINK("https://www.ncbi.nlm.nih.gov/geo/query/acc.cgi?acc=GSM2325361","GSM2325361")</f>
        <v>GSM2325361</v>
      </c>
      <c r="I11559" t="s">
        <v>69</v>
      </c>
      <c r="J11559" t="s">
        <v>18</v>
      </c>
      <c r="K11559" t="s">
        <v>19</v>
      </c>
      <c r="L11559" t="s">
        <v>70</v>
      </c>
      <c r="M11559" t="s">
        <v>51</v>
      </c>
      <c r="N11559" t="s">
        <v>29</v>
      </c>
    </row>
    <row r="11560" spans="1:14">
      <c r="A11560" s="4" t="str">
        <f t="shared" si="1027"/>
        <v>EXP00385</v>
      </c>
      <c r="B11560" s="3" t="s">
        <v>66</v>
      </c>
      <c r="C11560" s="4" t="str">
        <f t="shared" si="1026"/>
        <v>GSE87211</v>
      </c>
      <c r="D11560" s="1" t="s">
        <v>239</v>
      </c>
      <c r="E11560" t="s">
        <v>68</v>
      </c>
      <c r="F11560" s="1">
        <v>1</v>
      </c>
      <c r="G11560" s="1" t="s">
        <v>31</v>
      </c>
      <c r="H11560" s="4" t="str">
        <f>HYPERLINK("https://www.ncbi.nlm.nih.gov/geo/query/acc.cgi?acc=GSM2325371","GSM2325371")</f>
        <v>GSM2325371</v>
      </c>
      <c r="I11560" t="s">
        <v>69</v>
      </c>
      <c r="J11560" t="s">
        <v>18</v>
      </c>
      <c r="K11560" t="s">
        <v>19</v>
      </c>
      <c r="L11560" t="s">
        <v>70</v>
      </c>
      <c r="M11560" t="s">
        <v>51</v>
      </c>
      <c r="N11560" t="s">
        <v>29</v>
      </c>
    </row>
    <row r="11561" spans="1:14">
      <c r="A11561" s="4" t="str">
        <f t="shared" si="1027"/>
        <v>EXP00385</v>
      </c>
      <c r="B11561" s="3" t="s">
        <v>66</v>
      </c>
      <c r="C11561" s="4" t="str">
        <f t="shared" si="1026"/>
        <v>GSE87211</v>
      </c>
      <c r="D11561" s="1" t="s">
        <v>239</v>
      </c>
      <c r="E11561" t="s">
        <v>68</v>
      </c>
      <c r="F11561" s="1">
        <v>1</v>
      </c>
      <c r="G11561" s="1" t="s">
        <v>31</v>
      </c>
      <c r="H11561" s="4" t="str">
        <f>HYPERLINK("https://www.ncbi.nlm.nih.gov/geo/query/acc.cgi?acc=GSM2325383","GSM2325383")</f>
        <v>GSM2325383</v>
      </c>
      <c r="I11561" t="s">
        <v>69</v>
      </c>
      <c r="J11561" t="s">
        <v>18</v>
      </c>
      <c r="K11561" t="s">
        <v>19</v>
      </c>
      <c r="L11561" t="s">
        <v>70</v>
      </c>
      <c r="M11561" t="s">
        <v>51</v>
      </c>
      <c r="N11561" t="s">
        <v>29</v>
      </c>
    </row>
    <row r="11562" spans="1:14">
      <c r="A11562" s="4" t="str">
        <f t="shared" si="1027"/>
        <v>EXP00385</v>
      </c>
      <c r="B11562" s="3" t="s">
        <v>66</v>
      </c>
      <c r="C11562" s="4" t="str">
        <f t="shared" si="1026"/>
        <v>GSE87211</v>
      </c>
      <c r="D11562" s="1" t="s">
        <v>239</v>
      </c>
      <c r="E11562" t="s">
        <v>68</v>
      </c>
      <c r="F11562" s="1">
        <v>1</v>
      </c>
      <c r="G11562" s="1" t="s">
        <v>31</v>
      </c>
      <c r="H11562" s="4" t="str">
        <f>HYPERLINK("https://www.ncbi.nlm.nih.gov/geo/query/acc.cgi?acc=GSM2325427","GSM2325427")</f>
        <v>GSM2325427</v>
      </c>
      <c r="I11562" t="s">
        <v>69</v>
      </c>
      <c r="J11562" t="s">
        <v>18</v>
      </c>
      <c r="K11562" t="s">
        <v>19</v>
      </c>
      <c r="L11562" t="s">
        <v>70</v>
      </c>
      <c r="M11562" t="s">
        <v>51</v>
      </c>
      <c r="N11562" t="s">
        <v>29</v>
      </c>
    </row>
    <row r="11563" spans="1:14">
      <c r="A11563" s="4" t="str">
        <f t="shared" si="1027"/>
        <v>EXP00385</v>
      </c>
      <c r="B11563" s="3" t="s">
        <v>66</v>
      </c>
      <c r="C11563" s="4" t="str">
        <f t="shared" si="1026"/>
        <v>GSE87211</v>
      </c>
      <c r="D11563" s="1" t="s">
        <v>239</v>
      </c>
      <c r="E11563" t="s">
        <v>68</v>
      </c>
      <c r="F11563" s="1">
        <v>1</v>
      </c>
      <c r="G11563" s="1" t="s">
        <v>31</v>
      </c>
      <c r="H11563" s="4" t="str">
        <f>HYPERLINK("https://www.ncbi.nlm.nih.gov/geo/query/acc.cgi?acc=GSM2325435","GSM2325435")</f>
        <v>GSM2325435</v>
      </c>
      <c r="I11563" t="s">
        <v>69</v>
      </c>
      <c r="J11563" t="s">
        <v>18</v>
      </c>
      <c r="K11563" t="s">
        <v>19</v>
      </c>
      <c r="L11563" t="s">
        <v>70</v>
      </c>
      <c r="M11563" t="s">
        <v>51</v>
      </c>
      <c r="N11563" t="s">
        <v>29</v>
      </c>
    </row>
    <row r="11564" spans="1:14">
      <c r="A11564" s="4" t="str">
        <f t="shared" si="1027"/>
        <v>EXP00385</v>
      </c>
      <c r="B11564" s="3" t="s">
        <v>66</v>
      </c>
      <c r="C11564" s="4" t="str">
        <f t="shared" si="1026"/>
        <v>GSE87211</v>
      </c>
      <c r="D11564" s="1" t="s">
        <v>239</v>
      </c>
      <c r="E11564" t="s">
        <v>68</v>
      </c>
      <c r="F11564" s="1">
        <v>1</v>
      </c>
      <c r="G11564" s="1" t="s">
        <v>31</v>
      </c>
      <c r="H11564" s="4" t="str">
        <f>HYPERLINK("https://www.ncbi.nlm.nih.gov/geo/query/acc.cgi?acc=GSM2325436","GSM2325436")</f>
        <v>GSM2325436</v>
      </c>
      <c r="I11564" t="s">
        <v>69</v>
      </c>
      <c r="J11564" t="s">
        <v>18</v>
      </c>
      <c r="K11564" t="s">
        <v>19</v>
      </c>
      <c r="L11564" t="s">
        <v>70</v>
      </c>
      <c r="M11564" t="s">
        <v>51</v>
      </c>
      <c r="N11564" t="s">
        <v>29</v>
      </c>
    </row>
    <row r="11565" spans="1:14">
      <c r="A11565" s="4" t="str">
        <f t="shared" si="1027"/>
        <v>EXP00385</v>
      </c>
      <c r="B11565" s="3" t="s">
        <v>66</v>
      </c>
      <c r="C11565" s="4" t="str">
        <f t="shared" si="1026"/>
        <v>GSE87211</v>
      </c>
      <c r="D11565" s="1" t="s">
        <v>239</v>
      </c>
      <c r="E11565" t="s">
        <v>68</v>
      </c>
      <c r="F11565" s="1">
        <v>1</v>
      </c>
      <c r="G11565" s="1" t="s">
        <v>31</v>
      </c>
      <c r="H11565" s="4" t="str">
        <f>HYPERLINK("https://www.ncbi.nlm.nih.gov/geo/query/acc.cgi?acc=GSM2325440","GSM2325440")</f>
        <v>GSM2325440</v>
      </c>
      <c r="I11565" t="s">
        <v>69</v>
      </c>
      <c r="J11565" t="s">
        <v>18</v>
      </c>
      <c r="K11565" t="s">
        <v>19</v>
      </c>
      <c r="L11565" t="s">
        <v>70</v>
      </c>
      <c r="M11565" t="s">
        <v>51</v>
      </c>
      <c r="N11565" t="s">
        <v>29</v>
      </c>
    </row>
    <row r="11566" spans="1:14">
      <c r="A11566" s="4" t="str">
        <f t="shared" si="1027"/>
        <v>EXP00385</v>
      </c>
      <c r="B11566" s="3" t="s">
        <v>66</v>
      </c>
      <c r="C11566" s="4" t="str">
        <f t="shared" si="1026"/>
        <v>GSE87211</v>
      </c>
      <c r="D11566" s="1" t="s">
        <v>239</v>
      </c>
      <c r="E11566" t="s">
        <v>68</v>
      </c>
      <c r="F11566" s="1">
        <v>2</v>
      </c>
      <c r="G11566" s="1" t="s">
        <v>32</v>
      </c>
      <c r="H11566" s="4" t="str">
        <f>HYPERLINK("https://www.ncbi.nlm.nih.gov/geo/query/acc.cgi?acc=GSM2325239","GSM2325239")</f>
        <v>GSM2325239</v>
      </c>
      <c r="I11566" t="s">
        <v>69</v>
      </c>
      <c r="J11566" t="s">
        <v>18</v>
      </c>
      <c r="K11566" t="s">
        <v>33</v>
      </c>
      <c r="L11566" t="s">
        <v>70</v>
      </c>
      <c r="N11566" t="s">
        <v>29</v>
      </c>
    </row>
    <row r="11567" spans="1:14">
      <c r="A11567" s="4" t="str">
        <f t="shared" si="1027"/>
        <v>EXP00385</v>
      </c>
      <c r="B11567" s="3" t="s">
        <v>66</v>
      </c>
      <c r="C11567" s="4" t="str">
        <f t="shared" si="1026"/>
        <v>GSE87211</v>
      </c>
      <c r="D11567" s="1" t="s">
        <v>239</v>
      </c>
      <c r="E11567" t="s">
        <v>68</v>
      </c>
      <c r="F11567" s="1">
        <v>2</v>
      </c>
      <c r="G11567" s="1" t="s">
        <v>32</v>
      </c>
      <c r="H11567" s="4" t="str">
        <f>HYPERLINK("https://www.ncbi.nlm.nih.gov/geo/query/acc.cgi?acc=GSM2325240","GSM2325240")</f>
        <v>GSM2325240</v>
      </c>
      <c r="I11567" t="s">
        <v>69</v>
      </c>
      <c r="J11567" t="s">
        <v>18</v>
      </c>
      <c r="K11567" t="s">
        <v>33</v>
      </c>
      <c r="L11567" t="s">
        <v>70</v>
      </c>
      <c r="N11567" t="s">
        <v>29</v>
      </c>
    </row>
    <row r="11568" spans="1:14">
      <c r="A11568" s="4" t="str">
        <f t="shared" si="1027"/>
        <v>EXP00385</v>
      </c>
      <c r="B11568" s="3" t="s">
        <v>66</v>
      </c>
      <c r="C11568" s="4" t="str">
        <f t="shared" si="1026"/>
        <v>GSE87211</v>
      </c>
      <c r="D11568" s="1" t="s">
        <v>239</v>
      </c>
      <c r="E11568" t="s">
        <v>68</v>
      </c>
      <c r="F11568" s="1">
        <v>2</v>
      </c>
      <c r="G11568" s="1" t="s">
        <v>32</v>
      </c>
      <c r="H11568" s="4" t="str">
        <f>HYPERLINK("https://www.ncbi.nlm.nih.gov/geo/query/acc.cgi?acc=GSM2325241","GSM2325241")</f>
        <v>GSM2325241</v>
      </c>
      <c r="I11568" t="s">
        <v>69</v>
      </c>
      <c r="J11568" t="s">
        <v>18</v>
      </c>
      <c r="K11568" t="s">
        <v>33</v>
      </c>
      <c r="L11568" t="s">
        <v>70</v>
      </c>
      <c r="N11568" t="s">
        <v>29</v>
      </c>
    </row>
    <row r="11569" spans="1:14">
      <c r="A11569" s="4" t="str">
        <f t="shared" si="1027"/>
        <v>EXP00385</v>
      </c>
      <c r="B11569" s="3" t="s">
        <v>66</v>
      </c>
      <c r="C11569" s="4" t="str">
        <f t="shared" si="1026"/>
        <v>GSE87211</v>
      </c>
      <c r="D11569" s="1" t="s">
        <v>239</v>
      </c>
      <c r="E11569" t="s">
        <v>68</v>
      </c>
      <c r="F11569" s="1">
        <v>2</v>
      </c>
      <c r="G11569" s="1" t="s">
        <v>32</v>
      </c>
      <c r="H11569" s="4" t="str">
        <f>HYPERLINK("https://www.ncbi.nlm.nih.gov/geo/query/acc.cgi?acc=GSM2325242","GSM2325242")</f>
        <v>GSM2325242</v>
      </c>
      <c r="I11569" t="s">
        <v>69</v>
      </c>
      <c r="J11569" t="s">
        <v>18</v>
      </c>
      <c r="K11569" t="s">
        <v>33</v>
      </c>
      <c r="L11569" t="s">
        <v>70</v>
      </c>
      <c r="N11569" t="s">
        <v>29</v>
      </c>
    </row>
    <row r="11570" spans="1:14">
      <c r="A11570" s="4" t="str">
        <f t="shared" si="1027"/>
        <v>EXP00385</v>
      </c>
      <c r="B11570" s="3" t="s">
        <v>66</v>
      </c>
      <c r="C11570" s="4" t="str">
        <f t="shared" si="1026"/>
        <v>GSE87211</v>
      </c>
      <c r="D11570" s="1" t="s">
        <v>239</v>
      </c>
      <c r="E11570" t="s">
        <v>68</v>
      </c>
      <c r="F11570" s="1">
        <v>2</v>
      </c>
      <c r="G11570" s="1" t="s">
        <v>32</v>
      </c>
      <c r="H11570" s="4" t="str">
        <f>HYPERLINK("https://www.ncbi.nlm.nih.gov/geo/query/acc.cgi?acc=GSM2325243","GSM2325243")</f>
        <v>GSM2325243</v>
      </c>
      <c r="I11570" t="s">
        <v>69</v>
      </c>
      <c r="J11570" t="s">
        <v>18</v>
      </c>
      <c r="K11570" t="s">
        <v>33</v>
      </c>
      <c r="L11570" t="s">
        <v>70</v>
      </c>
      <c r="N11570" t="s">
        <v>29</v>
      </c>
    </row>
    <row r="11571" spans="1:14">
      <c r="A11571" s="4" t="str">
        <f t="shared" si="1027"/>
        <v>EXP00385</v>
      </c>
      <c r="B11571" s="3" t="s">
        <v>66</v>
      </c>
      <c r="C11571" s="4" t="str">
        <f t="shared" si="1026"/>
        <v>GSE87211</v>
      </c>
      <c r="D11571" s="1" t="s">
        <v>239</v>
      </c>
      <c r="E11571" t="s">
        <v>68</v>
      </c>
      <c r="F11571" s="1">
        <v>2</v>
      </c>
      <c r="G11571" s="1" t="s">
        <v>32</v>
      </c>
      <c r="H11571" s="4" t="str">
        <f>HYPERLINK("https://www.ncbi.nlm.nih.gov/geo/query/acc.cgi?acc=GSM2325244","GSM2325244")</f>
        <v>GSM2325244</v>
      </c>
      <c r="I11571" t="s">
        <v>69</v>
      </c>
      <c r="J11571" t="s">
        <v>18</v>
      </c>
      <c r="K11571" t="s">
        <v>33</v>
      </c>
      <c r="L11571" t="s">
        <v>70</v>
      </c>
      <c r="N11571" t="s">
        <v>29</v>
      </c>
    </row>
    <row r="11572" spans="1:14">
      <c r="A11572" s="4" t="str">
        <f t="shared" si="1027"/>
        <v>EXP00385</v>
      </c>
      <c r="B11572" s="3" t="s">
        <v>66</v>
      </c>
      <c r="C11572" s="4" t="str">
        <f t="shared" si="1026"/>
        <v>GSE87211</v>
      </c>
      <c r="D11572" s="1" t="s">
        <v>239</v>
      </c>
      <c r="E11572" t="s">
        <v>68</v>
      </c>
      <c r="F11572" s="1">
        <v>2</v>
      </c>
      <c r="G11572" s="1" t="s">
        <v>32</v>
      </c>
      <c r="H11572" s="4" t="str">
        <f>HYPERLINK("https://www.ncbi.nlm.nih.gov/geo/query/acc.cgi?acc=GSM2325245","GSM2325245")</f>
        <v>GSM2325245</v>
      </c>
      <c r="I11572" t="s">
        <v>69</v>
      </c>
      <c r="J11572" t="s">
        <v>18</v>
      </c>
      <c r="K11572" t="s">
        <v>33</v>
      </c>
      <c r="L11572" t="s">
        <v>70</v>
      </c>
      <c r="N11572" t="s">
        <v>29</v>
      </c>
    </row>
    <row r="11573" spans="1:14">
      <c r="A11573" s="4" t="str">
        <f t="shared" si="1027"/>
        <v>EXP00385</v>
      </c>
      <c r="B11573" s="3" t="s">
        <v>66</v>
      </c>
      <c r="C11573" s="4" t="str">
        <f t="shared" si="1026"/>
        <v>GSE87211</v>
      </c>
      <c r="D11573" s="1" t="s">
        <v>239</v>
      </c>
      <c r="E11573" t="s">
        <v>68</v>
      </c>
      <c r="F11573" s="1">
        <v>2</v>
      </c>
      <c r="G11573" s="1" t="s">
        <v>32</v>
      </c>
      <c r="H11573" s="4" t="str">
        <f>HYPERLINK("https://www.ncbi.nlm.nih.gov/geo/query/acc.cgi?acc=GSM2325246","GSM2325246")</f>
        <v>GSM2325246</v>
      </c>
      <c r="I11573" t="s">
        <v>69</v>
      </c>
      <c r="J11573" t="s">
        <v>18</v>
      </c>
      <c r="K11573" t="s">
        <v>33</v>
      </c>
      <c r="L11573" t="s">
        <v>70</v>
      </c>
      <c r="N11573" t="s">
        <v>29</v>
      </c>
    </row>
    <row r="11574" spans="1:14">
      <c r="A11574" s="4" t="str">
        <f t="shared" si="1027"/>
        <v>EXP00385</v>
      </c>
      <c r="B11574" s="3" t="s">
        <v>66</v>
      </c>
      <c r="C11574" s="4" t="str">
        <f t="shared" si="1026"/>
        <v>GSE87211</v>
      </c>
      <c r="D11574" s="1" t="s">
        <v>239</v>
      </c>
      <c r="E11574" t="s">
        <v>68</v>
      </c>
      <c r="F11574" s="1">
        <v>2</v>
      </c>
      <c r="G11574" s="1" t="s">
        <v>32</v>
      </c>
      <c r="H11574" s="4" t="str">
        <f>HYPERLINK("https://www.ncbi.nlm.nih.gov/geo/query/acc.cgi?acc=GSM2325247","GSM2325247")</f>
        <v>GSM2325247</v>
      </c>
      <c r="I11574" t="s">
        <v>69</v>
      </c>
      <c r="J11574" t="s">
        <v>18</v>
      </c>
      <c r="K11574" t="s">
        <v>33</v>
      </c>
      <c r="L11574" t="s">
        <v>70</v>
      </c>
      <c r="N11574" t="s">
        <v>29</v>
      </c>
    </row>
    <row r="11575" spans="1:14">
      <c r="A11575" s="4" t="str">
        <f t="shared" si="1027"/>
        <v>EXP00385</v>
      </c>
      <c r="B11575" s="3" t="s">
        <v>66</v>
      </c>
      <c r="C11575" s="4" t="str">
        <f t="shared" si="1026"/>
        <v>GSE87211</v>
      </c>
      <c r="D11575" s="1" t="s">
        <v>239</v>
      </c>
      <c r="E11575" t="s">
        <v>68</v>
      </c>
      <c r="F11575" s="1">
        <v>2</v>
      </c>
      <c r="G11575" s="1" t="s">
        <v>32</v>
      </c>
      <c r="H11575" s="4" t="str">
        <f>HYPERLINK("https://www.ncbi.nlm.nih.gov/geo/query/acc.cgi?acc=GSM2325249","GSM2325249")</f>
        <v>GSM2325249</v>
      </c>
      <c r="I11575" t="s">
        <v>69</v>
      </c>
      <c r="J11575" t="s">
        <v>18</v>
      </c>
      <c r="K11575" t="s">
        <v>33</v>
      </c>
      <c r="L11575" t="s">
        <v>70</v>
      </c>
      <c r="N11575" t="s">
        <v>29</v>
      </c>
    </row>
    <row r="11576" spans="1:14">
      <c r="A11576" s="4" t="str">
        <f t="shared" si="1027"/>
        <v>EXP00385</v>
      </c>
      <c r="B11576" s="3" t="s">
        <v>66</v>
      </c>
      <c r="C11576" s="4" t="str">
        <f t="shared" si="1026"/>
        <v>GSE87211</v>
      </c>
      <c r="D11576" s="1" t="s">
        <v>239</v>
      </c>
      <c r="E11576" t="s">
        <v>68</v>
      </c>
      <c r="F11576" s="1">
        <v>2</v>
      </c>
      <c r="G11576" s="1" t="s">
        <v>32</v>
      </c>
      <c r="H11576" s="4" t="str">
        <f>HYPERLINK("https://www.ncbi.nlm.nih.gov/geo/query/acc.cgi?acc=GSM2325250","GSM2325250")</f>
        <v>GSM2325250</v>
      </c>
      <c r="I11576" t="s">
        <v>69</v>
      </c>
      <c r="J11576" t="s">
        <v>18</v>
      </c>
      <c r="K11576" t="s">
        <v>33</v>
      </c>
      <c r="L11576" t="s">
        <v>70</v>
      </c>
      <c r="N11576" t="s">
        <v>29</v>
      </c>
    </row>
    <row r="11577" spans="1:14">
      <c r="A11577" s="4" t="str">
        <f t="shared" si="1027"/>
        <v>EXP00385</v>
      </c>
      <c r="B11577" s="3" t="s">
        <v>66</v>
      </c>
      <c r="C11577" s="4" t="str">
        <f t="shared" si="1026"/>
        <v>GSE87211</v>
      </c>
      <c r="D11577" s="1" t="s">
        <v>239</v>
      </c>
      <c r="E11577" t="s">
        <v>68</v>
      </c>
      <c r="F11577" s="1">
        <v>2</v>
      </c>
      <c r="G11577" s="1" t="s">
        <v>32</v>
      </c>
      <c r="H11577" s="4" t="str">
        <f>HYPERLINK("https://www.ncbi.nlm.nih.gov/geo/query/acc.cgi?acc=GSM2325252","GSM2325252")</f>
        <v>GSM2325252</v>
      </c>
      <c r="I11577" t="s">
        <v>69</v>
      </c>
      <c r="J11577" t="s">
        <v>18</v>
      </c>
      <c r="K11577" t="s">
        <v>33</v>
      </c>
      <c r="L11577" t="s">
        <v>70</v>
      </c>
      <c r="N11577" t="s">
        <v>29</v>
      </c>
    </row>
    <row r="11578" spans="1:14">
      <c r="A11578" s="4" t="str">
        <f t="shared" si="1027"/>
        <v>EXP00385</v>
      </c>
      <c r="B11578" s="3" t="s">
        <v>66</v>
      </c>
      <c r="C11578" s="4" t="str">
        <f t="shared" si="1026"/>
        <v>GSE87211</v>
      </c>
      <c r="D11578" s="1" t="s">
        <v>239</v>
      </c>
      <c r="E11578" t="s">
        <v>68</v>
      </c>
      <c r="F11578" s="1">
        <v>2</v>
      </c>
      <c r="G11578" s="1" t="s">
        <v>32</v>
      </c>
      <c r="H11578" s="4" t="str">
        <f>HYPERLINK("https://www.ncbi.nlm.nih.gov/geo/query/acc.cgi?acc=GSM2325253","GSM2325253")</f>
        <v>GSM2325253</v>
      </c>
      <c r="I11578" t="s">
        <v>69</v>
      </c>
      <c r="J11578" t="s">
        <v>18</v>
      </c>
      <c r="K11578" t="s">
        <v>33</v>
      </c>
      <c r="L11578" t="s">
        <v>70</v>
      </c>
      <c r="N11578" t="s">
        <v>29</v>
      </c>
    </row>
    <row r="11579" spans="1:14">
      <c r="A11579" s="4" t="str">
        <f t="shared" si="1027"/>
        <v>EXP00385</v>
      </c>
      <c r="B11579" s="3" t="s">
        <v>66</v>
      </c>
      <c r="C11579" s="4" t="str">
        <f t="shared" si="1026"/>
        <v>GSE87211</v>
      </c>
      <c r="D11579" s="1" t="s">
        <v>239</v>
      </c>
      <c r="E11579" t="s">
        <v>68</v>
      </c>
      <c r="F11579" s="1">
        <v>2</v>
      </c>
      <c r="G11579" s="1" t="s">
        <v>32</v>
      </c>
      <c r="H11579" s="4" t="str">
        <f>HYPERLINK("https://www.ncbi.nlm.nih.gov/geo/query/acc.cgi?acc=GSM2325256","GSM2325256")</f>
        <v>GSM2325256</v>
      </c>
      <c r="I11579" t="s">
        <v>69</v>
      </c>
      <c r="J11579" t="s">
        <v>18</v>
      </c>
      <c r="K11579" t="s">
        <v>33</v>
      </c>
      <c r="L11579" t="s">
        <v>70</v>
      </c>
      <c r="N11579" t="s">
        <v>29</v>
      </c>
    </row>
    <row r="11580" spans="1:14">
      <c r="A11580" s="4" t="str">
        <f t="shared" si="1027"/>
        <v>EXP00385</v>
      </c>
      <c r="B11580" s="3" t="s">
        <v>66</v>
      </c>
      <c r="C11580" s="4" t="str">
        <f t="shared" si="1026"/>
        <v>GSE87211</v>
      </c>
      <c r="D11580" s="1" t="s">
        <v>239</v>
      </c>
      <c r="E11580" t="s">
        <v>68</v>
      </c>
      <c r="F11580" s="1">
        <v>2</v>
      </c>
      <c r="G11580" s="1" t="s">
        <v>32</v>
      </c>
      <c r="H11580" s="4" t="str">
        <f>HYPERLINK("https://www.ncbi.nlm.nih.gov/geo/query/acc.cgi?acc=GSM2325257","GSM2325257")</f>
        <v>GSM2325257</v>
      </c>
      <c r="I11580" t="s">
        <v>69</v>
      </c>
      <c r="J11580" t="s">
        <v>18</v>
      </c>
      <c r="K11580" t="s">
        <v>33</v>
      </c>
      <c r="L11580" t="s">
        <v>70</v>
      </c>
      <c r="N11580" t="s">
        <v>29</v>
      </c>
    </row>
    <row r="11581" spans="1:14">
      <c r="A11581" s="4" t="str">
        <f t="shared" si="1027"/>
        <v>EXP00385</v>
      </c>
      <c r="B11581" s="3" t="s">
        <v>66</v>
      </c>
      <c r="C11581" s="4" t="str">
        <f t="shared" si="1026"/>
        <v>GSE87211</v>
      </c>
      <c r="D11581" s="1" t="s">
        <v>239</v>
      </c>
      <c r="E11581" t="s">
        <v>68</v>
      </c>
      <c r="F11581" s="1">
        <v>2</v>
      </c>
      <c r="G11581" s="1" t="s">
        <v>32</v>
      </c>
      <c r="H11581" s="4" t="str">
        <f>HYPERLINK("https://www.ncbi.nlm.nih.gov/geo/query/acc.cgi?acc=GSM2325259","GSM2325259")</f>
        <v>GSM2325259</v>
      </c>
      <c r="I11581" t="s">
        <v>69</v>
      </c>
      <c r="J11581" t="s">
        <v>18</v>
      </c>
      <c r="K11581" t="s">
        <v>33</v>
      </c>
      <c r="L11581" t="s">
        <v>70</v>
      </c>
      <c r="N11581" t="s">
        <v>29</v>
      </c>
    </row>
    <row r="11582" spans="1:14">
      <c r="A11582" s="4" t="str">
        <f t="shared" si="1027"/>
        <v>EXP00385</v>
      </c>
      <c r="B11582" s="3" t="s">
        <v>66</v>
      </c>
      <c r="C11582" s="4" t="str">
        <f t="shared" si="1026"/>
        <v>GSE87211</v>
      </c>
      <c r="D11582" s="1" t="s">
        <v>239</v>
      </c>
      <c r="E11582" t="s">
        <v>68</v>
      </c>
      <c r="F11582" s="1">
        <v>2</v>
      </c>
      <c r="G11582" s="1" t="s">
        <v>32</v>
      </c>
      <c r="H11582" s="4" t="str">
        <f>HYPERLINK("https://www.ncbi.nlm.nih.gov/geo/query/acc.cgi?acc=GSM2325260","GSM2325260")</f>
        <v>GSM2325260</v>
      </c>
      <c r="I11582" t="s">
        <v>69</v>
      </c>
      <c r="J11582" t="s">
        <v>18</v>
      </c>
      <c r="K11582" t="s">
        <v>33</v>
      </c>
      <c r="L11582" t="s">
        <v>70</v>
      </c>
      <c r="N11582" t="s">
        <v>29</v>
      </c>
    </row>
    <row r="11583" spans="1:14">
      <c r="A11583" s="4" t="str">
        <f t="shared" si="1027"/>
        <v>EXP00385</v>
      </c>
      <c r="B11583" s="3" t="s">
        <v>66</v>
      </c>
      <c r="C11583" s="4" t="str">
        <f t="shared" si="1026"/>
        <v>GSE87211</v>
      </c>
      <c r="D11583" s="1" t="s">
        <v>239</v>
      </c>
      <c r="E11583" t="s">
        <v>68</v>
      </c>
      <c r="F11583" s="1">
        <v>2</v>
      </c>
      <c r="G11583" s="1" t="s">
        <v>32</v>
      </c>
      <c r="H11583" s="4" t="str">
        <f>HYPERLINK("https://www.ncbi.nlm.nih.gov/geo/query/acc.cgi?acc=GSM2325261","GSM2325261")</f>
        <v>GSM2325261</v>
      </c>
      <c r="I11583" t="s">
        <v>69</v>
      </c>
      <c r="J11583" t="s">
        <v>18</v>
      </c>
      <c r="K11583" t="s">
        <v>33</v>
      </c>
      <c r="L11583" t="s">
        <v>70</v>
      </c>
      <c r="N11583" t="s">
        <v>29</v>
      </c>
    </row>
    <row r="11584" spans="1:14">
      <c r="A11584" s="4" t="str">
        <f t="shared" si="1027"/>
        <v>EXP00385</v>
      </c>
      <c r="B11584" s="3" t="s">
        <v>66</v>
      </c>
      <c r="C11584" s="4" t="str">
        <f t="shared" si="1026"/>
        <v>GSE87211</v>
      </c>
      <c r="D11584" s="1" t="s">
        <v>239</v>
      </c>
      <c r="E11584" t="s">
        <v>68</v>
      </c>
      <c r="F11584" s="1">
        <v>2</v>
      </c>
      <c r="G11584" s="1" t="s">
        <v>32</v>
      </c>
      <c r="H11584" s="4" t="str">
        <f>HYPERLINK("https://www.ncbi.nlm.nih.gov/geo/query/acc.cgi?acc=GSM2325262","GSM2325262")</f>
        <v>GSM2325262</v>
      </c>
      <c r="I11584" t="s">
        <v>69</v>
      </c>
      <c r="J11584" t="s">
        <v>18</v>
      </c>
      <c r="K11584" t="s">
        <v>33</v>
      </c>
      <c r="L11584" t="s">
        <v>70</v>
      </c>
      <c r="N11584" t="s">
        <v>29</v>
      </c>
    </row>
    <row r="11585" spans="1:14">
      <c r="A11585" s="4" t="str">
        <f t="shared" si="1027"/>
        <v>EXP00385</v>
      </c>
      <c r="B11585" s="3" t="s">
        <v>66</v>
      </c>
      <c r="C11585" s="4" t="str">
        <f t="shared" si="1026"/>
        <v>GSE87211</v>
      </c>
      <c r="D11585" s="1" t="s">
        <v>239</v>
      </c>
      <c r="E11585" t="s">
        <v>68</v>
      </c>
      <c r="F11585" s="1">
        <v>2</v>
      </c>
      <c r="G11585" s="1" t="s">
        <v>32</v>
      </c>
      <c r="H11585" s="4" t="str">
        <f>HYPERLINK("https://www.ncbi.nlm.nih.gov/geo/query/acc.cgi?acc=GSM2325263","GSM2325263")</f>
        <v>GSM2325263</v>
      </c>
      <c r="I11585" t="s">
        <v>69</v>
      </c>
      <c r="J11585" t="s">
        <v>18</v>
      </c>
      <c r="K11585" t="s">
        <v>33</v>
      </c>
      <c r="L11585" t="s">
        <v>70</v>
      </c>
      <c r="N11585" t="s">
        <v>29</v>
      </c>
    </row>
    <row r="11586" spans="1:14">
      <c r="A11586" s="4" t="str">
        <f t="shared" si="1027"/>
        <v>EXP00385</v>
      </c>
      <c r="B11586" s="3" t="s">
        <v>66</v>
      </c>
      <c r="C11586" s="4" t="str">
        <f t="shared" ref="C11586:C11649" si="1028">HYPERLINK("https://www.ncbi.nlm.nih.gov/geo/query/acc.cgi?acc=GSE87211","GSE87211")</f>
        <v>GSE87211</v>
      </c>
      <c r="D11586" s="1" t="s">
        <v>239</v>
      </c>
      <c r="E11586" t="s">
        <v>68</v>
      </c>
      <c r="F11586" s="1">
        <v>2</v>
      </c>
      <c r="G11586" s="1" t="s">
        <v>32</v>
      </c>
      <c r="H11586" s="4" t="str">
        <f>HYPERLINK("https://www.ncbi.nlm.nih.gov/geo/query/acc.cgi?acc=GSM2325264","GSM2325264")</f>
        <v>GSM2325264</v>
      </c>
      <c r="I11586" t="s">
        <v>69</v>
      </c>
      <c r="J11586" t="s">
        <v>18</v>
      </c>
      <c r="K11586" t="s">
        <v>33</v>
      </c>
      <c r="L11586" t="s">
        <v>70</v>
      </c>
      <c r="N11586" t="s">
        <v>29</v>
      </c>
    </row>
    <row r="11587" spans="1:14">
      <c r="A11587" s="4" t="str">
        <f t="shared" si="1027"/>
        <v>EXP00385</v>
      </c>
      <c r="B11587" s="3" t="s">
        <v>66</v>
      </c>
      <c r="C11587" s="4" t="str">
        <f t="shared" si="1028"/>
        <v>GSE87211</v>
      </c>
      <c r="D11587" s="1" t="s">
        <v>239</v>
      </c>
      <c r="E11587" t="s">
        <v>68</v>
      </c>
      <c r="F11587" s="1">
        <v>2</v>
      </c>
      <c r="G11587" s="1" t="s">
        <v>32</v>
      </c>
      <c r="H11587" s="4" t="str">
        <f>HYPERLINK("https://www.ncbi.nlm.nih.gov/geo/query/acc.cgi?acc=GSM2325265","GSM2325265")</f>
        <v>GSM2325265</v>
      </c>
      <c r="I11587" t="s">
        <v>69</v>
      </c>
      <c r="J11587" t="s">
        <v>18</v>
      </c>
      <c r="K11587" t="s">
        <v>33</v>
      </c>
      <c r="L11587" t="s">
        <v>70</v>
      </c>
      <c r="N11587" t="s">
        <v>29</v>
      </c>
    </row>
    <row r="11588" spans="1:14">
      <c r="A11588" s="4" t="str">
        <f t="shared" si="1027"/>
        <v>EXP00385</v>
      </c>
      <c r="B11588" s="3" t="s">
        <v>66</v>
      </c>
      <c r="C11588" s="4" t="str">
        <f t="shared" si="1028"/>
        <v>GSE87211</v>
      </c>
      <c r="D11588" s="1" t="s">
        <v>239</v>
      </c>
      <c r="E11588" t="s">
        <v>68</v>
      </c>
      <c r="F11588" s="1">
        <v>2</v>
      </c>
      <c r="G11588" s="1" t="s">
        <v>32</v>
      </c>
      <c r="H11588" s="4" t="str">
        <f>HYPERLINK("https://www.ncbi.nlm.nih.gov/geo/query/acc.cgi?acc=GSM2325268","GSM2325268")</f>
        <v>GSM2325268</v>
      </c>
      <c r="I11588" t="s">
        <v>69</v>
      </c>
      <c r="J11588" t="s">
        <v>18</v>
      </c>
      <c r="K11588" t="s">
        <v>33</v>
      </c>
      <c r="L11588" t="s">
        <v>70</v>
      </c>
      <c r="N11588" t="s">
        <v>29</v>
      </c>
    </row>
    <row r="11589" spans="1:14">
      <c r="A11589" s="4" t="str">
        <f t="shared" si="1027"/>
        <v>EXP00385</v>
      </c>
      <c r="B11589" s="3" t="s">
        <v>66</v>
      </c>
      <c r="C11589" s="4" t="str">
        <f t="shared" si="1028"/>
        <v>GSE87211</v>
      </c>
      <c r="D11589" s="1" t="s">
        <v>239</v>
      </c>
      <c r="E11589" t="s">
        <v>68</v>
      </c>
      <c r="F11589" s="1">
        <v>2</v>
      </c>
      <c r="G11589" s="1" t="s">
        <v>32</v>
      </c>
      <c r="H11589" s="4" t="str">
        <f>HYPERLINK("https://www.ncbi.nlm.nih.gov/geo/query/acc.cgi?acc=GSM2325269","GSM2325269")</f>
        <v>GSM2325269</v>
      </c>
      <c r="I11589" t="s">
        <v>69</v>
      </c>
      <c r="J11589" t="s">
        <v>18</v>
      </c>
      <c r="K11589" t="s">
        <v>33</v>
      </c>
      <c r="L11589" t="s">
        <v>70</v>
      </c>
      <c r="N11589" t="s">
        <v>29</v>
      </c>
    </row>
    <row r="11590" spans="1:14">
      <c r="A11590" s="4" t="str">
        <f t="shared" si="1027"/>
        <v>EXP00385</v>
      </c>
      <c r="B11590" s="3" t="s">
        <v>66</v>
      </c>
      <c r="C11590" s="4" t="str">
        <f t="shared" si="1028"/>
        <v>GSE87211</v>
      </c>
      <c r="D11590" s="1" t="s">
        <v>239</v>
      </c>
      <c r="E11590" t="s">
        <v>68</v>
      </c>
      <c r="F11590" s="1">
        <v>2</v>
      </c>
      <c r="G11590" s="1" t="s">
        <v>32</v>
      </c>
      <c r="H11590" s="4" t="str">
        <f>HYPERLINK("https://www.ncbi.nlm.nih.gov/geo/query/acc.cgi?acc=GSM2325270","GSM2325270")</f>
        <v>GSM2325270</v>
      </c>
      <c r="I11590" t="s">
        <v>69</v>
      </c>
      <c r="J11590" t="s">
        <v>18</v>
      </c>
      <c r="K11590" t="s">
        <v>33</v>
      </c>
      <c r="L11590" t="s">
        <v>70</v>
      </c>
      <c r="N11590" t="s">
        <v>29</v>
      </c>
    </row>
    <row r="11591" spans="1:14">
      <c r="A11591" s="4" t="str">
        <f t="shared" si="1027"/>
        <v>EXP00385</v>
      </c>
      <c r="B11591" s="3" t="s">
        <v>66</v>
      </c>
      <c r="C11591" s="4" t="str">
        <f t="shared" si="1028"/>
        <v>GSE87211</v>
      </c>
      <c r="D11591" s="1" t="s">
        <v>239</v>
      </c>
      <c r="E11591" t="s">
        <v>68</v>
      </c>
      <c r="F11591" s="1">
        <v>2</v>
      </c>
      <c r="G11591" s="1" t="s">
        <v>32</v>
      </c>
      <c r="H11591" s="4" t="str">
        <f>HYPERLINK("https://www.ncbi.nlm.nih.gov/geo/query/acc.cgi?acc=GSM2325271","GSM2325271")</f>
        <v>GSM2325271</v>
      </c>
      <c r="I11591" t="s">
        <v>69</v>
      </c>
      <c r="J11591" t="s">
        <v>18</v>
      </c>
      <c r="K11591" t="s">
        <v>33</v>
      </c>
      <c r="L11591" t="s">
        <v>70</v>
      </c>
      <c r="N11591" t="s">
        <v>29</v>
      </c>
    </row>
    <row r="11592" spans="1:14">
      <c r="A11592" s="4" t="str">
        <f t="shared" si="1027"/>
        <v>EXP00385</v>
      </c>
      <c r="B11592" s="3" t="s">
        <v>66</v>
      </c>
      <c r="C11592" s="4" t="str">
        <f t="shared" si="1028"/>
        <v>GSE87211</v>
      </c>
      <c r="D11592" s="1" t="s">
        <v>239</v>
      </c>
      <c r="E11592" t="s">
        <v>68</v>
      </c>
      <c r="F11592" s="1">
        <v>2</v>
      </c>
      <c r="G11592" s="1" t="s">
        <v>32</v>
      </c>
      <c r="H11592" s="4" t="str">
        <f>HYPERLINK("https://www.ncbi.nlm.nih.gov/geo/query/acc.cgi?acc=GSM2325272","GSM2325272")</f>
        <v>GSM2325272</v>
      </c>
      <c r="I11592" t="s">
        <v>69</v>
      </c>
      <c r="J11592" t="s">
        <v>18</v>
      </c>
      <c r="K11592" t="s">
        <v>33</v>
      </c>
      <c r="L11592" t="s">
        <v>70</v>
      </c>
      <c r="N11592" t="s">
        <v>29</v>
      </c>
    </row>
    <row r="11593" spans="1:14">
      <c r="A11593" s="4" t="str">
        <f t="shared" si="1027"/>
        <v>EXP00385</v>
      </c>
      <c r="B11593" s="3" t="s">
        <v>66</v>
      </c>
      <c r="C11593" s="4" t="str">
        <f t="shared" si="1028"/>
        <v>GSE87211</v>
      </c>
      <c r="D11593" s="1" t="s">
        <v>239</v>
      </c>
      <c r="E11593" t="s">
        <v>68</v>
      </c>
      <c r="F11593" s="1">
        <v>2</v>
      </c>
      <c r="G11593" s="1" t="s">
        <v>32</v>
      </c>
      <c r="H11593" s="4" t="str">
        <f>HYPERLINK("https://www.ncbi.nlm.nih.gov/geo/query/acc.cgi?acc=GSM2325273","GSM2325273")</f>
        <v>GSM2325273</v>
      </c>
      <c r="I11593" t="s">
        <v>69</v>
      </c>
      <c r="J11593" t="s">
        <v>18</v>
      </c>
      <c r="K11593" t="s">
        <v>33</v>
      </c>
      <c r="L11593" t="s">
        <v>70</v>
      </c>
      <c r="N11593" t="s">
        <v>29</v>
      </c>
    </row>
    <row r="11594" spans="1:14">
      <c r="A11594" s="4" t="str">
        <f t="shared" si="1027"/>
        <v>EXP00385</v>
      </c>
      <c r="B11594" s="3" t="s">
        <v>66</v>
      </c>
      <c r="C11594" s="4" t="str">
        <f t="shared" si="1028"/>
        <v>GSE87211</v>
      </c>
      <c r="D11594" s="1" t="s">
        <v>239</v>
      </c>
      <c r="E11594" t="s">
        <v>68</v>
      </c>
      <c r="F11594" s="1">
        <v>2</v>
      </c>
      <c r="G11594" s="1" t="s">
        <v>32</v>
      </c>
      <c r="H11594" s="4" t="str">
        <f>HYPERLINK("https://www.ncbi.nlm.nih.gov/geo/query/acc.cgi?acc=GSM2325274","GSM2325274")</f>
        <v>GSM2325274</v>
      </c>
      <c r="I11594" t="s">
        <v>69</v>
      </c>
      <c r="J11594" t="s">
        <v>18</v>
      </c>
      <c r="K11594" t="s">
        <v>33</v>
      </c>
      <c r="L11594" t="s">
        <v>70</v>
      </c>
      <c r="N11594" t="s">
        <v>29</v>
      </c>
    </row>
    <row r="11595" spans="1:14">
      <c r="A11595" s="4" t="str">
        <f t="shared" si="1027"/>
        <v>EXP00385</v>
      </c>
      <c r="B11595" s="3" t="s">
        <v>66</v>
      </c>
      <c r="C11595" s="4" t="str">
        <f t="shared" si="1028"/>
        <v>GSE87211</v>
      </c>
      <c r="D11595" s="1" t="s">
        <v>239</v>
      </c>
      <c r="E11595" t="s">
        <v>68</v>
      </c>
      <c r="F11595" s="1">
        <v>2</v>
      </c>
      <c r="G11595" s="1" t="s">
        <v>32</v>
      </c>
      <c r="H11595" s="4" t="str">
        <f>HYPERLINK("https://www.ncbi.nlm.nih.gov/geo/query/acc.cgi?acc=GSM2325275","GSM2325275")</f>
        <v>GSM2325275</v>
      </c>
      <c r="I11595" t="s">
        <v>69</v>
      </c>
      <c r="J11595" t="s">
        <v>18</v>
      </c>
      <c r="K11595" t="s">
        <v>33</v>
      </c>
      <c r="L11595" t="s">
        <v>70</v>
      </c>
      <c r="N11595" t="s">
        <v>29</v>
      </c>
    </row>
    <row r="11596" spans="1:14">
      <c r="A11596" s="4" t="str">
        <f t="shared" si="1027"/>
        <v>EXP00385</v>
      </c>
      <c r="B11596" s="3" t="s">
        <v>66</v>
      </c>
      <c r="C11596" s="4" t="str">
        <f t="shared" si="1028"/>
        <v>GSE87211</v>
      </c>
      <c r="D11596" s="1" t="s">
        <v>239</v>
      </c>
      <c r="E11596" t="s">
        <v>68</v>
      </c>
      <c r="F11596" s="1">
        <v>2</v>
      </c>
      <c r="G11596" s="1" t="s">
        <v>32</v>
      </c>
      <c r="H11596" s="4" t="str">
        <f>HYPERLINK("https://www.ncbi.nlm.nih.gov/geo/query/acc.cgi?acc=GSM2325276","GSM2325276")</f>
        <v>GSM2325276</v>
      </c>
      <c r="I11596" t="s">
        <v>69</v>
      </c>
      <c r="J11596" t="s">
        <v>18</v>
      </c>
      <c r="K11596" t="s">
        <v>33</v>
      </c>
      <c r="L11596" t="s">
        <v>70</v>
      </c>
      <c r="N11596" t="s">
        <v>29</v>
      </c>
    </row>
    <row r="11597" spans="1:14">
      <c r="A11597" s="4" t="str">
        <f t="shared" si="1027"/>
        <v>EXP00385</v>
      </c>
      <c r="B11597" s="3" t="s">
        <v>66</v>
      </c>
      <c r="C11597" s="4" t="str">
        <f t="shared" si="1028"/>
        <v>GSE87211</v>
      </c>
      <c r="D11597" s="1" t="s">
        <v>239</v>
      </c>
      <c r="E11597" t="s">
        <v>68</v>
      </c>
      <c r="F11597" s="1">
        <v>2</v>
      </c>
      <c r="G11597" s="1" t="s">
        <v>32</v>
      </c>
      <c r="H11597" s="4" t="str">
        <f>HYPERLINK("https://www.ncbi.nlm.nih.gov/geo/query/acc.cgi?acc=GSM2325277","GSM2325277")</f>
        <v>GSM2325277</v>
      </c>
      <c r="I11597" t="s">
        <v>69</v>
      </c>
      <c r="J11597" t="s">
        <v>18</v>
      </c>
      <c r="K11597" t="s">
        <v>33</v>
      </c>
      <c r="L11597" t="s">
        <v>70</v>
      </c>
      <c r="N11597" t="s">
        <v>29</v>
      </c>
    </row>
    <row r="11598" spans="1:14">
      <c r="A11598" s="4" t="str">
        <f t="shared" si="1027"/>
        <v>EXP00385</v>
      </c>
      <c r="B11598" s="3" t="s">
        <v>66</v>
      </c>
      <c r="C11598" s="4" t="str">
        <f t="shared" si="1028"/>
        <v>GSE87211</v>
      </c>
      <c r="D11598" s="1" t="s">
        <v>239</v>
      </c>
      <c r="E11598" t="s">
        <v>68</v>
      </c>
      <c r="F11598" s="1">
        <v>2</v>
      </c>
      <c r="G11598" s="1" t="s">
        <v>32</v>
      </c>
      <c r="H11598" s="4" t="str">
        <f>HYPERLINK("https://www.ncbi.nlm.nih.gov/geo/query/acc.cgi?acc=GSM2325278","GSM2325278")</f>
        <v>GSM2325278</v>
      </c>
      <c r="I11598" t="s">
        <v>69</v>
      </c>
      <c r="J11598" t="s">
        <v>18</v>
      </c>
      <c r="K11598" t="s">
        <v>33</v>
      </c>
      <c r="L11598" t="s">
        <v>70</v>
      </c>
      <c r="N11598" t="s">
        <v>29</v>
      </c>
    </row>
    <row r="11599" spans="1:14">
      <c r="A11599" s="4" t="str">
        <f t="shared" si="1027"/>
        <v>EXP00385</v>
      </c>
      <c r="B11599" s="3" t="s">
        <v>66</v>
      </c>
      <c r="C11599" s="4" t="str">
        <f t="shared" si="1028"/>
        <v>GSE87211</v>
      </c>
      <c r="D11599" s="1" t="s">
        <v>239</v>
      </c>
      <c r="E11599" t="s">
        <v>68</v>
      </c>
      <c r="F11599" s="1">
        <v>2</v>
      </c>
      <c r="G11599" s="1" t="s">
        <v>32</v>
      </c>
      <c r="H11599" s="4" t="str">
        <f>HYPERLINK("https://www.ncbi.nlm.nih.gov/geo/query/acc.cgi?acc=GSM2325279","GSM2325279")</f>
        <v>GSM2325279</v>
      </c>
      <c r="I11599" t="s">
        <v>69</v>
      </c>
      <c r="J11599" t="s">
        <v>18</v>
      </c>
      <c r="K11599" t="s">
        <v>33</v>
      </c>
      <c r="L11599" t="s">
        <v>70</v>
      </c>
      <c r="N11599" t="s">
        <v>29</v>
      </c>
    </row>
    <row r="11600" spans="1:14">
      <c r="A11600" s="4" t="str">
        <f t="shared" si="1027"/>
        <v>EXP00385</v>
      </c>
      <c r="B11600" s="3" t="s">
        <v>66</v>
      </c>
      <c r="C11600" s="4" t="str">
        <f t="shared" si="1028"/>
        <v>GSE87211</v>
      </c>
      <c r="D11600" s="1" t="s">
        <v>239</v>
      </c>
      <c r="E11600" t="s">
        <v>68</v>
      </c>
      <c r="F11600" s="1">
        <v>2</v>
      </c>
      <c r="G11600" s="1" t="s">
        <v>32</v>
      </c>
      <c r="H11600" s="4" t="str">
        <f>HYPERLINK("https://www.ncbi.nlm.nih.gov/geo/query/acc.cgi?acc=GSM2325280","GSM2325280")</f>
        <v>GSM2325280</v>
      </c>
      <c r="I11600" t="s">
        <v>69</v>
      </c>
      <c r="J11600" t="s">
        <v>18</v>
      </c>
      <c r="K11600" t="s">
        <v>33</v>
      </c>
      <c r="L11600" t="s">
        <v>70</v>
      </c>
      <c r="N11600" t="s">
        <v>29</v>
      </c>
    </row>
    <row r="11601" spans="1:14">
      <c r="A11601" s="4" t="str">
        <f t="shared" si="1027"/>
        <v>EXP00385</v>
      </c>
      <c r="B11601" s="3" t="s">
        <v>66</v>
      </c>
      <c r="C11601" s="4" t="str">
        <f t="shared" si="1028"/>
        <v>GSE87211</v>
      </c>
      <c r="D11601" s="1" t="s">
        <v>239</v>
      </c>
      <c r="E11601" t="s">
        <v>68</v>
      </c>
      <c r="F11601" s="1">
        <v>2</v>
      </c>
      <c r="G11601" s="1" t="s">
        <v>32</v>
      </c>
      <c r="H11601" s="4" t="str">
        <f>HYPERLINK("https://www.ncbi.nlm.nih.gov/geo/query/acc.cgi?acc=GSM2325281","GSM2325281")</f>
        <v>GSM2325281</v>
      </c>
      <c r="I11601" t="s">
        <v>69</v>
      </c>
      <c r="J11601" t="s">
        <v>18</v>
      </c>
      <c r="K11601" t="s">
        <v>33</v>
      </c>
      <c r="L11601" t="s">
        <v>70</v>
      </c>
      <c r="N11601" t="s">
        <v>29</v>
      </c>
    </row>
    <row r="11602" spans="1:14">
      <c r="A11602" s="4" t="str">
        <f t="shared" si="1027"/>
        <v>EXP00385</v>
      </c>
      <c r="B11602" s="3" t="s">
        <v>66</v>
      </c>
      <c r="C11602" s="4" t="str">
        <f t="shared" si="1028"/>
        <v>GSE87211</v>
      </c>
      <c r="D11602" s="1" t="s">
        <v>239</v>
      </c>
      <c r="E11602" t="s">
        <v>68</v>
      </c>
      <c r="F11602" s="1">
        <v>2</v>
      </c>
      <c r="G11602" s="1" t="s">
        <v>32</v>
      </c>
      <c r="H11602" s="4" t="str">
        <f>HYPERLINK("https://www.ncbi.nlm.nih.gov/geo/query/acc.cgi?acc=GSM2325282","GSM2325282")</f>
        <v>GSM2325282</v>
      </c>
      <c r="I11602" t="s">
        <v>69</v>
      </c>
      <c r="J11602" t="s">
        <v>18</v>
      </c>
      <c r="K11602" t="s">
        <v>33</v>
      </c>
      <c r="L11602" t="s">
        <v>70</v>
      </c>
      <c r="N11602" t="s">
        <v>29</v>
      </c>
    </row>
    <row r="11603" spans="1:14">
      <c r="A11603" s="4" t="str">
        <f t="shared" si="1027"/>
        <v>EXP00385</v>
      </c>
      <c r="B11603" s="3" t="s">
        <v>66</v>
      </c>
      <c r="C11603" s="4" t="str">
        <f t="shared" si="1028"/>
        <v>GSE87211</v>
      </c>
      <c r="D11603" s="1" t="s">
        <v>239</v>
      </c>
      <c r="E11603" t="s">
        <v>68</v>
      </c>
      <c r="F11603" s="1">
        <v>2</v>
      </c>
      <c r="G11603" s="1" t="s">
        <v>32</v>
      </c>
      <c r="H11603" s="4" t="str">
        <f>HYPERLINK("https://www.ncbi.nlm.nih.gov/geo/query/acc.cgi?acc=GSM2325283","GSM2325283")</f>
        <v>GSM2325283</v>
      </c>
      <c r="I11603" t="s">
        <v>69</v>
      </c>
      <c r="J11603" t="s">
        <v>18</v>
      </c>
      <c r="K11603" t="s">
        <v>33</v>
      </c>
      <c r="L11603" t="s">
        <v>70</v>
      </c>
      <c r="N11603" t="s">
        <v>29</v>
      </c>
    </row>
    <row r="11604" spans="1:14">
      <c r="A11604" s="4" t="str">
        <f t="shared" si="1027"/>
        <v>EXP00385</v>
      </c>
      <c r="B11604" s="3" t="s">
        <v>66</v>
      </c>
      <c r="C11604" s="4" t="str">
        <f t="shared" si="1028"/>
        <v>GSE87211</v>
      </c>
      <c r="D11604" s="1" t="s">
        <v>239</v>
      </c>
      <c r="E11604" t="s">
        <v>68</v>
      </c>
      <c r="F11604" s="1">
        <v>2</v>
      </c>
      <c r="G11604" s="1" t="s">
        <v>32</v>
      </c>
      <c r="H11604" s="4" t="str">
        <f>HYPERLINK("https://www.ncbi.nlm.nih.gov/geo/query/acc.cgi?acc=GSM2325284","GSM2325284")</f>
        <v>GSM2325284</v>
      </c>
      <c r="I11604" t="s">
        <v>69</v>
      </c>
      <c r="J11604" t="s">
        <v>18</v>
      </c>
      <c r="K11604" t="s">
        <v>33</v>
      </c>
      <c r="L11604" t="s">
        <v>70</v>
      </c>
      <c r="N11604" t="s">
        <v>29</v>
      </c>
    </row>
    <row r="11605" spans="1:14">
      <c r="A11605" s="4" t="str">
        <f t="shared" si="1027"/>
        <v>EXP00385</v>
      </c>
      <c r="B11605" s="3" t="s">
        <v>66</v>
      </c>
      <c r="C11605" s="4" t="str">
        <f t="shared" si="1028"/>
        <v>GSE87211</v>
      </c>
      <c r="D11605" s="1" t="s">
        <v>239</v>
      </c>
      <c r="E11605" t="s">
        <v>68</v>
      </c>
      <c r="F11605" s="1">
        <v>2</v>
      </c>
      <c r="G11605" s="1" t="s">
        <v>32</v>
      </c>
      <c r="H11605" s="4" t="str">
        <f>HYPERLINK("https://www.ncbi.nlm.nih.gov/geo/query/acc.cgi?acc=GSM2325285","GSM2325285")</f>
        <v>GSM2325285</v>
      </c>
      <c r="I11605" t="s">
        <v>69</v>
      </c>
      <c r="J11605" t="s">
        <v>18</v>
      </c>
      <c r="K11605" t="s">
        <v>33</v>
      </c>
      <c r="L11605" t="s">
        <v>70</v>
      </c>
      <c r="N11605" t="s">
        <v>29</v>
      </c>
    </row>
    <row r="11606" spans="1:14">
      <c r="A11606" s="4" t="str">
        <f t="shared" si="1027"/>
        <v>EXP00385</v>
      </c>
      <c r="B11606" s="3" t="s">
        <v>66</v>
      </c>
      <c r="C11606" s="4" t="str">
        <f t="shared" si="1028"/>
        <v>GSE87211</v>
      </c>
      <c r="D11606" s="1" t="s">
        <v>239</v>
      </c>
      <c r="E11606" t="s">
        <v>68</v>
      </c>
      <c r="F11606" s="1">
        <v>2</v>
      </c>
      <c r="G11606" s="1" t="s">
        <v>32</v>
      </c>
      <c r="H11606" s="4" t="str">
        <f>HYPERLINK("https://www.ncbi.nlm.nih.gov/geo/query/acc.cgi?acc=GSM2325286","GSM2325286")</f>
        <v>GSM2325286</v>
      </c>
      <c r="I11606" t="s">
        <v>69</v>
      </c>
      <c r="J11606" t="s">
        <v>18</v>
      </c>
      <c r="K11606" t="s">
        <v>33</v>
      </c>
      <c r="L11606" t="s">
        <v>70</v>
      </c>
      <c r="N11606" t="s">
        <v>29</v>
      </c>
    </row>
    <row r="11607" spans="1:14">
      <c r="A11607" s="4" t="str">
        <f t="shared" si="1027"/>
        <v>EXP00385</v>
      </c>
      <c r="B11607" s="3" t="s">
        <v>66</v>
      </c>
      <c r="C11607" s="4" t="str">
        <f t="shared" si="1028"/>
        <v>GSE87211</v>
      </c>
      <c r="D11607" s="1" t="s">
        <v>239</v>
      </c>
      <c r="E11607" t="s">
        <v>68</v>
      </c>
      <c r="F11607" s="1">
        <v>2</v>
      </c>
      <c r="G11607" s="1" t="s">
        <v>32</v>
      </c>
      <c r="H11607" s="4" t="str">
        <f>HYPERLINK("https://www.ncbi.nlm.nih.gov/geo/query/acc.cgi?acc=GSM2325287","GSM2325287")</f>
        <v>GSM2325287</v>
      </c>
      <c r="I11607" t="s">
        <v>69</v>
      </c>
      <c r="J11607" t="s">
        <v>18</v>
      </c>
      <c r="K11607" t="s">
        <v>33</v>
      </c>
      <c r="L11607" t="s">
        <v>70</v>
      </c>
      <c r="N11607" t="s">
        <v>29</v>
      </c>
    </row>
    <row r="11608" spans="1:14">
      <c r="A11608" s="4" t="str">
        <f t="shared" si="1027"/>
        <v>EXP00385</v>
      </c>
      <c r="B11608" s="3" t="s">
        <v>66</v>
      </c>
      <c r="C11608" s="4" t="str">
        <f t="shared" si="1028"/>
        <v>GSE87211</v>
      </c>
      <c r="D11608" s="1" t="s">
        <v>239</v>
      </c>
      <c r="E11608" t="s">
        <v>68</v>
      </c>
      <c r="F11608" s="1">
        <v>2</v>
      </c>
      <c r="G11608" s="1" t="s">
        <v>32</v>
      </c>
      <c r="H11608" s="4" t="str">
        <f>HYPERLINK("https://www.ncbi.nlm.nih.gov/geo/query/acc.cgi?acc=GSM2325288","GSM2325288")</f>
        <v>GSM2325288</v>
      </c>
      <c r="I11608" t="s">
        <v>69</v>
      </c>
      <c r="J11608" t="s">
        <v>18</v>
      </c>
      <c r="K11608" t="s">
        <v>33</v>
      </c>
      <c r="L11608" t="s">
        <v>70</v>
      </c>
      <c r="N11608" t="s">
        <v>29</v>
      </c>
    </row>
    <row r="11609" spans="1:14">
      <c r="A11609" s="4" t="str">
        <f t="shared" si="1027"/>
        <v>EXP00385</v>
      </c>
      <c r="B11609" s="3" t="s">
        <v>66</v>
      </c>
      <c r="C11609" s="4" t="str">
        <f t="shared" si="1028"/>
        <v>GSE87211</v>
      </c>
      <c r="D11609" s="1" t="s">
        <v>239</v>
      </c>
      <c r="E11609" t="s">
        <v>68</v>
      </c>
      <c r="F11609" s="1">
        <v>2</v>
      </c>
      <c r="G11609" s="1" t="s">
        <v>32</v>
      </c>
      <c r="H11609" s="4" t="str">
        <f>HYPERLINK("https://www.ncbi.nlm.nih.gov/geo/query/acc.cgi?acc=GSM2325289","GSM2325289")</f>
        <v>GSM2325289</v>
      </c>
      <c r="I11609" t="s">
        <v>69</v>
      </c>
      <c r="J11609" t="s">
        <v>18</v>
      </c>
      <c r="K11609" t="s">
        <v>33</v>
      </c>
      <c r="L11609" t="s">
        <v>70</v>
      </c>
      <c r="N11609" t="s">
        <v>29</v>
      </c>
    </row>
    <row r="11610" spans="1:14">
      <c r="A11610" s="4" t="str">
        <f t="shared" si="1027"/>
        <v>EXP00385</v>
      </c>
      <c r="B11610" s="3" t="s">
        <v>66</v>
      </c>
      <c r="C11610" s="4" t="str">
        <f t="shared" si="1028"/>
        <v>GSE87211</v>
      </c>
      <c r="D11610" s="1" t="s">
        <v>239</v>
      </c>
      <c r="E11610" t="s">
        <v>68</v>
      </c>
      <c r="F11610" s="1">
        <v>2</v>
      </c>
      <c r="G11610" s="1" t="s">
        <v>32</v>
      </c>
      <c r="H11610" s="4" t="str">
        <f>HYPERLINK("https://www.ncbi.nlm.nih.gov/geo/query/acc.cgi?acc=GSM2325290","GSM2325290")</f>
        <v>GSM2325290</v>
      </c>
      <c r="I11610" t="s">
        <v>69</v>
      </c>
      <c r="J11610" t="s">
        <v>18</v>
      </c>
      <c r="K11610" t="s">
        <v>33</v>
      </c>
      <c r="L11610" t="s">
        <v>70</v>
      </c>
      <c r="N11610" t="s">
        <v>29</v>
      </c>
    </row>
    <row r="11611" spans="1:14">
      <c r="A11611" s="4" t="str">
        <f t="shared" si="1027"/>
        <v>EXP00385</v>
      </c>
      <c r="B11611" s="3" t="s">
        <v>66</v>
      </c>
      <c r="C11611" s="4" t="str">
        <f t="shared" si="1028"/>
        <v>GSE87211</v>
      </c>
      <c r="D11611" s="1" t="s">
        <v>239</v>
      </c>
      <c r="E11611" t="s">
        <v>68</v>
      </c>
      <c r="F11611" s="1">
        <v>2</v>
      </c>
      <c r="G11611" s="1" t="s">
        <v>32</v>
      </c>
      <c r="H11611" s="4" t="str">
        <f>HYPERLINK("https://www.ncbi.nlm.nih.gov/geo/query/acc.cgi?acc=GSM2325291","GSM2325291")</f>
        <v>GSM2325291</v>
      </c>
      <c r="I11611" t="s">
        <v>69</v>
      </c>
      <c r="J11611" t="s">
        <v>18</v>
      </c>
      <c r="K11611" t="s">
        <v>33</v>
      </c>
      <c r="L11611" t="s">
        <v>70</v>
      </c>
      <c r="N11611" t="s">
        <v>29</v>
      </c>
    </row>
    <row r="11612" spans="1:14">
      <c r="A11612" s="4" t="str">
        <f t="shared" si="1027"/>
        <v>EXP00385</v>
      </c>
      <c r="B11612" s="3" t="s">
        <v>66</v>
      </c>
      <c r="C11612" s="4" t="str">
        <f t="shared" si="1028"/>
        <v>GSE87211</v>
      </c>
      <c r="D11612" s="1" t="s">
        <v>239</v>
      </c>
      <c r="E11612" t="s">
        <v>68</v>
      </c>
      <c r="F11612" s="1">
        <v>2</v>
      </c>
      <c r="G11612" s="1" t="s">
        <v>32</v>
      </c>
      <c r="H11612" s="4" t="str">
        <f>HYPERLINK("https://www.ncbi.nlm.nih.gov/geo/query/acc.cgi?acc=GSM2325292","GSM2325292")</f>
        <v>GSM2325292</v>
      </c>
      <c r="I11612" t="s">
        <v>69</v>
      </c>
      <c r="J11612" t="s">
        <v>18</v>
      </c>
      <c r="K11612" t="s">
        <v>33</v>
      </c>
      <c r="L11612" t="s">
        <v>70</v>
      </c>
      <c r="N11612" t="s">
        <v>29</v>
      </c>
    </row>
    <row r="11613" spans="1:14">
      <c r="A11613" s="4" t="str">
        <f t="shared" si="1027"/>
        <v>EXP00385</v>
      </c>
      <c r="B11613" s="3" t="s">
        <v>66</v>
      </c>
      <c r="C11613" s="4" t="str">
        <f t="shared" si="1028"/>
        <v>GSE87211</v>
      </c>
      <c r="D11613" s="1" t="s">
        <v>239</v>
      </c>
      <c r="E11613" t="s">
        <v>68</v>
      </c>
      <c r="F11613" s="1">
        <v>2</v>
      </c>
      <c r="G11613" s="1" t="s">
        <v>32</v>
      </c>
      <c r="H11613" s="4" t="str">
        <f>HYPERLINK("https://www.ncbi.nlm.nih.gov/geo/query/acc.cgi?acc=GSM2325293","GSM2325293")</f>
        <v>GSM2325293</v>
      </c>
      <c r="I11613" t="s">
        <v>69</v>
      </c>
      <c r="J11613" t="s">
        <v>18</v>
      </c>
      <c r="K11613" t="s">
        <v>33</v>
      </c>
      <c r="L11613" t="s">
        <v>70</v>
      </c>
      <c r="N11613" t="s">
        <v>29</v>
      </c>
    </row>
    <row r="11614" spans="1:14">
      <c r="A11614" s="4" t="str">
        <f t="shared" ref="A11614:A11677" si="1029">HYPERLINK("http://hcmdb.i-sanger.com/experiment/details/experiment_id/EXP00385","EXP00385")</f>
        <v>EXP00385</v>
      </c>
      <c r="B11614" s="3" t="s">
        <v>66</v>
      </c>
      <c r="C11614" s="4" t="str">
        <f t="shared" si="1028"/>
        <v>GSE87211</v>
      </c>
      <c r="D11614" s="1" t="s">
        <v>239</v>
      </c>
      <c r="E11614" t="s">
        <v>68</v>
      </c>
      <c r="F11614" s="1">
        <v>2</v>
      </c>
      <c r="G11614" s="1" t="s">
        <v>32</v>
      </c>
      <c r="H11614" s="4" t="str">
        <f>HYPERLINK("https://www.ncbi.nlm.nih.gov/geo/query/acc.cgi?acc=GSM2325294","GSM2325294")</f>
        <v>GSM2325294</v>
      </c>
      <c r="I11614" t="s">
        <v>69</v>
      </c>
      <c r="J11614" t="s">
        <v>18</v>
      </c>
      <c r="K11614" t="s">
        <v>33</v>
      </c>
      <c r="L11614" t="s">
        <v>70</v>
      </c>
      <c r="N11614" t="s">
        <v>29</v>
      </c>
    </row>
    <row r="11615" spans="1:14">
      <c r="A11615" s="4" t="str">
        <f t="shared" si="1029"/>
        <v>EXP00385</v>
      </c>
      <c r="B11615" s="3" t="s">
        <v>66</v>
      </c>
      <c r="C11615" s="4" t="str">
        <f t="shared" si="1028"/>
        <v>GSE87211</v>
      </c>
      <c r="D11615" s="1" t="s">
        <v>239</v>
      </c>
      <c r="E11615" t="s">
        <v>68</v>
      </c>
      <c r="F11615" s="1">
        <v>2</v>
      </c>
      <c r="G11615" s="1" t="s">
        <v>32</v>
      </c>
      <c r="H11615" s="4" t="str">
        <f>HYPERLINK("https://www.ncbi.nlm.nih.gov/geo/query/acc.cgi?acc=GSM2325295","GSM2325295")</f>
        <v>GSM2325295</v>
      </c>
      <c r="I11615" t="s">
        <v>69</v>
      </c>
      <c r="J11615" t="s">
        <v>18</v>
      </c>
      <c r="K11615" t="s">
        <v>33</v>
      </c>
      <c r="L11615" t="s">
        <v>70</v>
      </c>
      <c r="N11615" t="s">
        <v>29</v>
      </c>
    </row>
    <row r="11616" spans="1:14">
      <c r="A11616" s="4" t="str">
        <f t="shared" si="1029"/>
        <v>EXP00385</v>
      </c>
      <c r="B11616" s="3" t="s">
        <v>66</v>
      </c>
      <c r="C11616" s="4" t="str">
        <f t="shared" si="1028"/>
        <v>GSE87211</v>
      </c>
      <c r="D11616" s="1" t="s">
        <v>239</v>
      </c>
      <c r="E11616" t="s">
        <v>68</v>
      </c>
      <c r="F11616" s="1">
        <v>2</v>
      </c>
      <c r="G11616" s="1" t="s">
        <v>32</v>
      </c>
      <c r="H11616" s="4" t="str">
        <f>HYPERLINK("https://www.ncbi.nlm.nih.gov/geo/query/acc.cgi?acc=GSM2325296","GSM2325296")</f>
        <v>GSM2325296</v>
      </c>
      <c r="I11616" t="s">
        <v>69</v>
      </c>
      <c r="J11616" t="s">
        <v>18</v>
      </c>
      <c r="K11616" t="s">
        <v>33</v>
      </c>
      <c r="L11616" t="s">
        <v>70</v>
      </c>
      <c r="N11616" t="s">
        <v>29</v>
      </c>
    </row>
    <row r="11617" spans="1:14">
      <c r="A11617" s="4" t="str">
        <f t="shared" si="1029"/>
        <v>EXP00385</v>
      </c>
      <c r="B11617" s="3" t="s">
        <v>66</v>
      </c>
      <c r="C11617" s="4" t="str">
        <f t="shared" si="1028"/>
        <v>GSE87211</v>
      </c>
      <c r="D11617" s="1" t="s">
        <v>239</v>
      </c>
      <c r="E11617" t="s">
        <v>68</v>
      </c>
      <c r="F11617" s="1">
        <v>2</v>
      </c>
      <c r="G11617" s="1" t="s">
        <v>32</v>
      </c>
      <c r="H11617" s="4" t="str">
        <f>HYPERLINK("https://www.ncbi.nlm.nih.gov/geo/query/acc.cgi?acc=GSM2325297","GSM2325297")</f>
        <v>GSM2325297</v>
      </c>
      <c r="I11617" t="s">
        <v>69</v>
      </c>
      <c r="J11617" t="s">
        <v>18</v>
      </c>
      <c r="K11617" t="s">
        <v>33</v>
      </c>
      <c r="L11617" t="s">
        <v>70</v>
      </c>
      <c r="N11617" t="s">
        <v>29</v>
      </c>
    </row>
    <row r="11618" spans="1:14">
      <c r="A11618" s="4" t="str">
        <f t="shared" si="1029"/>
        <v>EXP00385</v>
      </c>
      <c r="B11618" s="3" t="s">
        <v>66</v>
      </c>
      <c r="C11618" s="4" t="str">
        <f t="shared" si="1028"/>
        <v>GSE87211</v>
      </c>
      <c r="D11618" s="1" t="s">
        <v>239</v>
      </c>
      <c r="E11618" t="s">
        <v>68</v>
      </c>
      <c r="F11618" s="1">
        <v>2</v>
      </c>
      <c r="G11618" s="1" t="s">
        <v>32</v>
      </c>
      <c r="H11618" s="4" t="str">
        <f>HYPERLINK("https://www.ncbi.nlm.nih.gov/geo/query/acc.cgi?acc=GSM2325298","GSM2325298")</f>
        <v>GSM2325298</v>
      </c>
      <c r="I11618" t="s">
        <v>69</v>
      </c>
      <c r="J11618" t="s">
        <v>18</v>
      </c>
      <c r="K11618" t="s">
        <v>33</v>
      </c>
      <c r="L11618" t="s">
        <v>70</v>
      </c>
      <c r="N11618" t="s">
        <v>29</v>
      </c>
    </row>
    <row r="11619" spans="1:14">
      <c r="A11619" s="4" t="str">
        <f t="shared" si="1029"/>
        <v>EXP00385</v>
      </c>
      <c r="B11619" s="3" t="s">
        <v>66</v>
      </c>
      <c r="C11619" s="4" t="str">
        <f t="shared" si="1028"/>
        <v>GSE87211</v>
      </c>
      <c r="D11619" s="1" t="s">
        <v>239</v>
      </c>
      <c r="E11619" t="s">
        <v>68</v>
      </c>
      <c r="F11619" s="1">
        <v>2</v>
      </c>
      <c r="G11619" s="1" t="s">
        <v>32</v>
      </c>
      <c r="H11619" s="4" t="str">
        <f>HYPERLINK("https://www.ncbi.nlm.nih.gov/geo/query/acc.cgi?acc=GSM2325299","GSM2325299")</f>
        <v>GSM2325299</v>
      </c>
      <c r="I11619" t="s">
        <v>69</v>
      </c>
      <c r="J11619" t="s">
        <v>18</v>
      </c>
      <c r="K11619" t="s">
        <v>33</v>
      </c>
      <c r="L11619" t="s">
        <v>70</v>
      </c>
      <c r="N11619" t="s">
        <v>29</v>
      </c>
    </row>
    <row r="11620" spans="1:14">
      <c r="A11620" s="4" t="str">
        <f t="shared" si="1029"/>
        <v>EXP00385</v>
      </c>
      <c r="B11620" s="3" t="s">
        <v>66</v>
      </c>
      <c r="C11620" s="4" t="str">
        <f t="shared" si="1028"/>
        <v>GSE87211</v>
      </c>
      <c r="D11620" s="1" t="s">
        <v>239</v>
      </c>
      <c r="E11620" t="s">
        <v>68</v>
      </c>
      <c r="F11620" s="1">
        <v>2</v>
      </c>
      <c r="G11620" s="1" t="s">
        <v>32</v>
      </c>
      <c r="H11620" s="4" t="str">
        <f>HYPERLINK("https://www.ncbi.nlm.nih.gov/geo/query/acc.cgi?acc=GSM2325300","GSM2325300")</f>
        <v>GSM2325300</v>
      </c>
      <c r="I11620" t="s">
        <v>69</v>
      </c>
      <c r="J11620" t="s">
        <v>18</v>
      </c>
      <c r="K11620" t="s">
        <v>33</v>
      </c>
      <c r="L11620" t="s">
        <v>70</v>
      </c>
      <c r="N11620" t="s">
        <v>29</v>
      </c>
    </row>
    <row r="11621" spans="1:14">
      <c r="A11621" s="4" t="str">
        <f t="shared" si="1029"/>
        <v>EXP00385</v>
      </c>
      <c r="B11621" s="3" t="s">
        <v>66</v>
      </c>
      <c r="C11621" s="4" t="str">
        <f t="shared" si="1028"/>
        <v>GSE87211</v>
      </c>
      <c r="D11621" s="1" t="s">
        <v>239</v>
      </c>
      <c r="E11621" t="s">
        <v>68</v>
      </c>
      <c r="F11621" s="1">
        <v>2</v>
      </c>
      <c r="G11621" s="1" t="s">
        <v>32</v>
      </c>
      <c r="H11621" s="4" t="str">
        <f>HYPERLINK("https://www.ncbi.nlm.nih.gov/geo/query/acc.cgi?acc=GSM2325301","GSM2325301")</f>
        <v>GSM2325301</v>
      </c>
      <c r="I11621" t="s">
        <v>69</v>
      </c>
      <c r="J11621" t="s">
        <v>18</v>
      </c>
      <c r="K11621" t="s">
        <v>33</v>
      </c>
      <c r="L11621" t="s">
        <v>70</v>
      </c>
      <c r="N11621" t="s">
        <v>29</v>
      </c>
    </row>
    <row r="11622" spans="1:14">
      <c r="A11622" s="4" t="str">
        <f t="shared" si="1029"/>
        <v>EXP00385</v>
      </c>
      <c r="B11622" s="3" t="s">
        <v>66</v>
      </c>
      <c r="C11622" s="4" t="str">
        <f t="shared" si="1028"/>
        <v>GSE87211</v>
      </c>
      <c r="D11622" s="1" t="s">
        <v>239</v>
      </c>
      <c r="E11622" t="s">
        <v>68</v>
      </c>
      <c r="F11622" s="1">
        <v>2</v>
      </c>
      <c r="G11622" s="1" t="s">
        <v>32</v>
      </c>
      <c r="H11622" s="4" t="str">
        <f>HYPERLINK("https://www.ncbi.nlm.nih.gov/geo/query/acc.cgi?acc=GSM2325302","GSM2325302")</f>
        <v>GSM2325302</v>
      </c>
      <c r="I11622" t="s">
        <v>69</v>
      </c>
      <c r="J11622" t="s">
        <v>18</v>
      </c>
      <c r="K11622" t="s">
        <v>33</v>
      </c>
      <c r="L11622" t="s">
        <v>70</v>
      </c>
      <c r="N11622" t="s">
        <v>29</v>
      </c>
    </row>
    <row r="11623" spans="1:14">
      <c r="A11623" s="4" t="str">
        <f t="shared" si="1029"/>
        <v>EXP00385</v>
      </c>
      <c r="B11623" s="3" t="s">
        <v>66</v>
      </c>
      <c r="C11623" s="4" t="str">
        <f t="shared" si="1028"/>
        <v>GSE87211</v>
      </c>
      <c r="D11623" s="1" t="s">
        <v>239</v>
      </c>
      <c r="E11623" t="s">
        <v>68</v>
      </c>
      <c r="F11623" s="1">
        <v>2</v>
      </c>
      <c r="G11623" s="1" t="s">
        <v>32</v>
      </c>
      <c r="H11623" s="4" t="str">
        <f>HYPERLINK("https://www.ncbi.nlm.nih.gov/geo/query/acc.cgi?acc=GSM2325303","GSM2325303")</f>
        <v>GSM2325303</v>
      </c>
      <c r="I11623" t="s">
        <v>69</v>
      </c>
      <c r="J11623" t="s">
        <v>18</v>
      </c>
      <c r="K11623" t="s">
        <v>33</v>
      </c>
      <c r="L11623" t="s">
        <v>70</v>
      </c>
      <c r="N11623" t="s">
        <v>29</v>
      </c>
    </row>
    <row r="11624" spans="1:14">
      <c r="A11624" s="4" t="str">
        <f t="shared" si="1029"/>
        <v>EXP00385</v>
      </c>
      <c r="B11624" s="3" t="s">
        <v>66</v>
      </c>
      <c r="C11624" s="4" t="str">
        <f t="shared" si="1028"/>
        <v>GSE87211</v>
      </c>
      <c r="D11624" s="1" t="s">
        <v>239</v>
      </c>
      <c r="E11624" t="s">
        <v>68</v>
      </c>
      <c r="F11624" s="1">
        <v>2</v>
      </c>
      <c r="G11624" s="1" t="s">
        <v>32</v>
      </c>
      <c r="H11624" s="4" t="str">
        <f>HYPERLINK("https://www.ncbi.nlm.nih.gov/geo/query/acc.cgi?acc=GSM2325304","GSM2325304")</f>
        <v>GSM2325304</v>
      </c>
      <c r="I11624" t="s">
        <v>69</v>
      </c>
      <c r="J11624" t="s">
        <v>18</v>
      </c>
      <c r="K11624" t="s">
        <v>33</v>
      </c>
      <c r="L11624" t="s">
        <v>70</v>
      </c>
      <c r="N11624" t="s">
        <v>29</v>
      </c>
    </row>
    <row r="11625" spans="1:14">
      <c r="A11625" s="4" t="str">
        <f t="shared" si="1029"/>
        <v>EXP00385</v>
      </c>
      <c r="B11625" s="3" t="s">
        <v>66</v>
      </c>
      <c r="C11625" s="4" t="str">
        <f t="shared" si="1028"/>
        <v>GSE87211</v>
      </c>
      <c r="D11625" s="1" t="s">
        <v>239</v>
      </c>
      <c r="E11625" t="s">
        <v>68</v>
      </c>
      <c r="F11625" s="1">
        <v>2</v>
      </c>
      <c r="G11625" s="1" t="s">
        <v>32</v>
      </c>
      <c r="H11625" s="4" t="str">
        <f>HYPERLINK("https://www.ncbi.nlm.nih.gov/geo/query/acc.cgi?acc=GSM2325305","GSM2325305")</f>
        <v>GSM2325305</v>
      </c>
      <c r="I11625" t="s">
        <v>69</v>
      </c>
      <c r="J11625" t="s">
        <v>18</v>
      </c>
      <c r="K11625" t="s">
        <v>33</v>
      </c>
      <c r="L11625" t="s">
        <v>70</v>
      </c>
      <c r="N11625" t="s">
        <v>29</v>
      </c>
    </row>
    <row r="11626" spans="1:14">
      <c r="A11626" s="4" t="str">
        <f t="shared" si="1029"/>
        <v>EXP00385</v>
      </c>
      <c r="B11626" s="3" t="s">
        <v>66</v>
      </c>
      <c r="C11626" s="4" t="str">
        <f t="shared" si="1028"/>
        <v>GSE87211</v>
      </c>
      <c r="D11626" s="1" t="s">
        <v>239</v>
      </c>
      <c r="E11626" t="s">
        <v>68</v>
      </c>
      <c r="F11626" s="1">
        <v>2</v>
      </c>
      <c r="G11626" s="1" t="s">
        <v>32</v>
      </c>
      <c r="H11626" s="4" t="str">
        <f>HYPERLINK("https://www.ncbi.nlm.nih.gov/geo/query/acc.cgi?acc=GSM2325306","GSM2325306")</f>
        <v>GSM2325306</v>
      </c>
      <c r="I11626" t="s">
        <v>69</v>
      </c>
      <c r="J11626" t="s">
        <v>18</v>
      </c>
      <c r="K11626" t="s">
        <v>33</v>
      </c>
      <c r="L11626" t="s">
        <v>70</v>
      </c>
      <c r="N11626" t="s">
        <v>29</v>
      </c>
    </row>
    <row r="11627" spans="1:14">
      <c r="A11627" s="4" t="str">
        <f t="shared" si="1029"/>
        <v>EXP00385</v>
      </c>
      <c r="B11627" s="3" t="s">
        <v>66</v>
      </c>
      <c r="C11627" s="4" t="str">
        <f t="shared" si="1028"/>
        <v>GSE87211</v>
      </c>
      <c r="D11627" s="1" t="s">
        <v>239</v>
      </c>
      <c r="E11627" t="s">
        <v>68</v>
      </c>
      <c r="F11627" s="1">
        <v>2</v>
      </c>
      <c r="G11627" s="1" t="s">
        <v>32</v>
      </c>
      <c r="H11627" s="4" t="str">
        <f>HYPERLINK("https://www.ncbi.nlm.nih.gov/geo/query/acc.cgi?acc=GSM2325307","GSM2325307")</f>
        <v>GSM2325307</v>
      </c>
      <c r="I11627" t="s">
        <v>69</v>
      </c>
      <c r="J11627" t="s">
        <v>18</v>
      </c>
      <c r="K11627" t="s">
        <v>33</v>
      </c>
      <c r="L11627" t="s">
        <v>70</v>
      </c>
      <c r="N11627" t="s">
        <v>29</v>
      </c>
    </row>
    <row r="11628" spans="1:14">
      <c r="A11628" s="4" t="str">
        <f t="shared" si="1029"/>
        <v>EXP00385</v>
      </c>
      <c r="B11628" s="3" t="s">
        <v>66</v>
      </c>
      <c r="C11628" s="4" t="str">
        <f t="shared" si="1028"/>
        <v>GSE87211</v>
      </c>
      <c r="D11628" s="1" t="s">
        <v>239</v>
      </c>
      <c r="E11628" t="s">
        <v>68</v>
      </c>
      <c r="F11628" s="1">
        <v>2</v>
      </c>
      <c r="G11628" s="1" t="s">
        <v>32</v>
      </c>
      <c r="H11628" s="4" t="str">
        <f>HYPERLINK("https://www.ncbi.nlm.nih.gov/geo/query/acc.cgi?acc=GSM2325308","GSM2325308")</f>
        <v>GSM2325308</v>
      </c>
      <c r="I11628" t="s">
        <v>69</v>
      </c>
      <c r="J11628" t="s">
        <v>18</v>
      </c>
      <c r="K11628" t="s">
        <v>33</v>
      </c>
      <c r="L11628" t="s">
        <v>70</v>
      </c>
      <c r="N11628" t="s">
        <v>29</v>
      </c>
    </row>
    <row r="11629" spans="1:14">
      <c r="A11629" s="4" t="str">
        <f t="shared" si="1029"/>
        <v>EXP00385</v>
      </c>
      <c r="B11629" s="3" t="s">
        <v>66</v>
      </c>
      <c r="C11629" s="4" t="str">
        <f t="shared" si="1028"/>
        <v>GSE87211</v>
      </c>
      <c r="D11629" s="1" t="s">
        <v>239</v>
      </c>
      <c r="E11629" t="s">
        <v>68</v>
      </c>
      <c r="F11629" s="1">
        <v>2</v>
      </c>
      <c r="G11629" s="1" t="s">
        <v>32</v>
      </c>
      <c r="H11629" s="4" t="str">
        <f>HYPERLINK("https://www.ncbi.nlm.nih.gov/geo/query/acc.cgi?acc=GSM2325309","GSM2325309")</f>
        <v>GSM2325309</v>
      </c>
      <c r="I11629" t="s">
        <v>69</v>
      </c>
      <c r="J11629" t="s">
        <v>18</v>
      </c>
      <c r="K11629" t="s">
        <v>33</v>
      </c>
      <c r="L11629" t="s">
        <v>70</v>
      </c>
      <c r="N11629" t="s">
        <v>29</v>
      </c>
    </row>
    <row r="11630" spans="1:14">
      <c r="A11630" s="4" t="str">
        <f t="shared" si="1029"/>
        <v>EXP00385</v>
      </c>
      <c r="B11630" s="3" t="s">
        <v>66</v>
      </c>
      <c r="C11630" s="4" t="str">
        <f t="shared" si="1028"/>
        <v>GSE87211</v>
      </c>
      <c r="D11630" s="1" t="s">
        <v>239</v>
      </c>
      <c r="E11630" t="s">
        <v>68</v>
      </c>
      <c r="F11630" s="1">
        <v>2</v>
      </c>
      <c r="G11630" s="1" t="s">
        <v>32</v>
      </c>
      <c r="H11630" s="4" t="str">
        <f>HYPERLINK("https://www.ncbi.nlm.nih.gov/geo/query/acc.cgi?acc=GSM2325310","GSM2325310")</f>
        <v>GSM2325310</v>
      </c>
      <c r="I11630" t="s">
        <v>69</v>
      </c>
      <c r="J11630" t="s">
        <v>18</v>
      </c>
      <c r="K11630" t="s">
        <v>33</v>
      </c>
      <c r="L11630" t="s">
        <v>70</v>
      </c>
      <c r="N11630" t="s">
        <v>29</v>
      </c>
    </row>
    <row r="11631" spans="1:14">
      <c r="A11631" s="4" t="str">
        <f t="shared" si="1029"/>
        <v>EXP00385</v>
      </c>
      <c r="B11631" s="3" t="s">
        <v>66</v>
      </c>
      <c r="C11631" s="4" t="str">
        <f t="shared" si="1028"/>
        <v>GSE87211</v>
      </c>
      <c r="D11631" s="1" t="s">
        <v>239</v>
      </c>
      <c r="E11631" t="s">
        <v>68</v>
      </c>
      <c r="F11631" s="1">
        <v>2</v>
      </c>
      <c r="G11631" s="1" t="s">
        <v>32</v>
      </c>
      <c r="H11631" s="4" t="str">
        <f>HYPERLINK("https://www.ncbi.nlm.nih.gov/geo/query/acc.cgi?acc=GSM2325311","GSM2325311")</f>
        <v>GSM2325311</v>
      </c>
      <c r="I11631" t="s">
        <v>69</v>
      </c>
      <c r="J11631" t="s">
        <v>18</v>
      </c>
      <c r="K11631" t="s">
        <v>33</v>
      </c>
      <c r="L11631" t="s">
        <v>70</v>
      </c>
      <c r="N11631" t="s">
        <v>29</v>
      </c>
    </row>
    <row r="11632" spans="1:14">
      <c r="A11632" s="4" t="str">
        <f t="shared" si="1029"/>
        <v>EXP00385</v>
      </c>
      <c r="B11632" s="3" t="s">
        <v>66</v>
      </c>
      <c r="C11632" s="4" t="str">
        <f t="shared" si="1028"/>
        <v>GSE87211</v>
      </c>
      <c r="D11632" s="1" t="s">
        <v>239</v>
      </c>
      <c r="E11632" t="s">
        <v>68</v>
      </c>
      <c r="F11632" s="1">
        <v>2</v>
      </c>
      <c r="G11632" s="1" t="s">
        <v>32</v>
      </c>
      <c r="H11632" s="4" t="str">
        <f>HYPERLINK("https://www.ncbi.nlm.nih.gov/geo/query/acc.cgi?acc=GSM2325312","GSM2325312")</f>
        <v>GSM2325312</v>
      </c>
      <c r="I11632" t="s">
        <v>69</v>
      </c>
      <c r="J11632" t="s">
        <v>18</v>
      </c>
      <c r="K11632" t="s">
        <v>33</v>
      </c>
      <c r="L11632" t="s">
        <v>70</v>
      </c>
      <c r="N11632" t="s">
        <v>29</v>
      </c>
    </row>
    <row r="11633" spans="1:14">
      <c r="A11633" s="4" t="str">
        <f t="shared" si="1029"/>
        <v>EXP00385</v>
      </c>
      <c r="B11633" s="3" t="s">
        <v>66</v>
      </c>
      <c r="C11633" s="4" t="str">
        <f t="shared" si="1028"/>
        <v>GSE87211</v>
      </c>
      <c r="D11633" s="1" t="s">
        <v>239</v>
      </c>
      <c r="E11633" t="s">
        <v>68</v>
      </c>
      <c r="F11633" s="1">
        <v>2</v>
      </c>
      <c r="G11633" s="1" t="s">
        <v>32</v>
      </c>
      <c r="H11633" s="4" t="str">
        <f>HYPERLINK("https://www.ncbi.nlm.nih.gov/geo/query/acc.cgi?acc=GSM2325313","GSM2325313")</f>
        <v>GSM2325313</v>
      </c>
      <c r="I11633" t="s">
        <v>69</v>
      </c>
      <c r="J11633" t="s">
        <v>18</v>
      </c>
      <c r="K11633" t="s">
        <v>33</v>
      </c>
      <c r="L11633" t="s">
        <v>70</v>
      </c>
      <c r="N11633" t="s">
        <v>29</v>
      </c>
    </row>
    <row r="11634" spans="1:14">
      <c r="A11634" s="4" t="str">
        <f t="shared" si="1029"/>
        <v>EXP00385</v>
      </c>
      <c r="B11634" s="3" t="s">
        <v>66</v>
      </c>
      <c r="C11634" s="4" t="str">
        <f t="shared" si="1028"/>
        <v>GSE87211</v>
      </c>
      <c r="D11634" s="1" t="s">
        <v>239</v>
      </c>
      <c r="E11634" t="s">
        <v>68</v>
      </c>
      <c r="F11634" s="1">
        <v>2</v>
      </c>
      <c r="G11634" s="1" t="s">
        <v>32</v>
      </c>
      <c r="H11634" s="4" t="str">
        <f>HYPERLINK("https://www.ncbi.nlm.nih.gov/geo/query/acc.cgi?acc=GSM2325314","GSM2325314")</f>
        <v>GSM2325314</v>
      </c>
      <c r="I11634" t="s">
        <v>69</v>
      </c>
      <c r="J11634" t="s">
        <v>18</v>
      </c>
      <c r="K11634" t="s">
        <v>33</v>
      </c>
      <c r="L11634" t="s">
        <v>70</v>
      </c>
      <c r="N11634" t="s">
        <v>29</v>
      </c>
    </row>
    <row r="11635" spans="1:14">
      <c r="A11635" s="4" t="str">
        <f t="shared" si="1029"/>
        <v>EXP00385</v>
      </c>
      <c r="B11635" s="3" t="s">
        <v>66</v>
      </c>
      <c r="C11635" s="4" t="str">
        <f t="shared" si="1028"/>
        <v>GSE87211</v>
      </c>
      <c r="D11635" s="1" t="s">
        <v>239</v>
      </c>
      <c r="E11635" t="s">
        <v>68</v>
      </c>
      <c r="F11635" s="1">
        <v>2</v>
      </c>
      <c r="G11635" s="1" t="s">
        <v>32</v>
      </c>
      <c r="H11635" s="4" t="str">
        <f>HYPERLINK("https://www.ncbi.nlm.nih.gov/geo/query/acc.cgi?acc=GSM2325315","GSM2325315")</f>
        <v>GSM2325315</v>
      </c>
      <c r="I11635" t="s">
        <v>69</v>
      </c>
      <c r="J11635" t="s">
        <v>18</v>
      </c>
      <c r="K11635" t="s">
        <v>33</v>
      </c>
      <c r="L11635" t="s">
        <v>70</v>
      </c>
      <c r="N11635" t="s">
        <v>29</v>
      </c>
    </row>
    <row r="11636" spans="1:14">
      <c r="A11636" s="4" t="str">
        <f t="shared" si="1029"/>
        <v>EXP00385</v>
      </c>
      <c r="B11636" s="3" t="s">
        <v>66</v>
      </c>
      <c r="C11636" s="4" t="str">
        <f t="shared" si="1028"/>
        <v>GSE87211</v>
      </c>
      <c r="D11636" s="1" t="s">
        <v>239</v>
      </c>
      <c r="E11636" t="s">
        <v>68</v>
      </c>
      <c r="F11636" s="1">
        <v>2</v>
      </c>
      <c r="G11636" s="1" t="s">
        <v>32</v>
      </c>
      <c r="H11636" s="4" t="str">
        <f>HYPERLINK("https://www.ncbi.nlm.nih.gov/geo/query/acc.cgi?acc=GSM2325316","GSM2325316")</f>
        <v>GSM2325316</v>
      </c>
      <c r="I11636" t="s">
        <v>69</v>
      </c>
      <c r="J11636" t="s">
        <v>18</v>
      </c>
      <c r="K11636" t="s">
        <v>33</v>
      </c>
      <c r="L11636" t="s">
        <v>70</v>
      </c>
      <c r="N11636" t="s">
        <v>29</v>
      </c>
    </row>
    <row r="11637" spans="1:14">
      <c r="A11637" s="4" t="str">
        <f t="shared" si="1029"/>
        <v>EXP00385</v>
      </c>
      <c r="B11637" s="3" t="s">
        <v>66</v>
      </c>
      <c r="C11637" s="4" t="str">
        <f t="shared" si="1028"/>
        <v>GSE87211</v>
      </c>
      <c r="D11637" s="1" t="s">
        <v>239</v>
      </c>
      <c r="E11637" t="s">
        <v>68</v>
      </c>
      <c r="F11637" s="1">
        <v>2</v>
      </c>
      <c r="G11637" s="1" t="s">
        <v>32</v>
      </c>
      <c r="H11637" s="4" t="str">
        <f>HYPERLINK("https://www.ncbi.nlm.nih.gov/geo/query/acc.cgi?acc=GSM2325317","GSM2325317")</f>
        <v>GSM2325317</v>
      </c>
      <c r="I11637" t="s">
        <v>69</v>
      </c>
      <c r="J11637" t="s">
        <v>18</v>
      </c>
      <c r="K11637" t="s">
        <v>33</v>
      </c>
      <c r="L11637" t="s">
        <v>70</v>
      </c>
      <c r="N11637" t="s">
        <v>29</v>
      </c>
    </row>
    <row r="11638" spans="1:14">
      <c r="A11638" s="4" t="str">
        <f t="shared" si="1029"/>
        <v>EXP00385</v>
      </c>
      <c r="B11638" s="3" t="s">
        <v>66</v>
      </c>
      <c r="C11638" s="4" t="str">
        <f t="shared" si="1028"/>
        <v>GSE87211</v>
      </c>
      <c r="D11638" s="1" t="s">
        <v>239</v>
      </c>
      <c r="E11638" t="s">
        <v>68</v>
      </c>
      <c r="F11638" s="1">
        <v>2</v>
      </c>
      <c r="G11638" s="1" t="s">
        <v>32</v>
      </c>
      <c r="H11638" s="4" t="str">
        <f>HYPERLINK("https://www.ncbi.nlm.nih.gov/geo/query/acc.cgi?acc=GSM2325318","GSM2325318")</f>
        <v>GSM2325318</v>
      </c>
      <c r="I11638" t="s">
        <v>69</v>
      </c>
      <c r="J11638" t="s">
        <v>18</v>
      </c>
      <c r="K11638" t="s">
        <v>33</v>
      </c>
      <c r="L11638" t="s">
        <v>70</v>
      </c>
      <c r="N11638" t="s">
        <v>29</v>
      </c>
    </row>
    <row r="11639" spans="1:14">
      <c r="A11639" s="4" t="str">
        <f t="shared" si="1029"/>
        <v>EXP00385</v>
      </c>
      <c r="B11639" s="3" t="s">
        <v>66</v>
      </c>
      <c r="C11639" s="4" t="str">
        <f t="shared" si="1028"/>
        <v>GSE87211</v>
      </c>
      <c r="D11639" s="1" t="s">
        <v>239</v>
      </c>
      <c r="E11639" t="s">
        <v>68</v>
      </c>
      <c r="F11639" s="1">
        <v>2</v>
      </c>
      <c r="G11639" s="1" t="s">
        <v>32</v>
      </c>
      <c r="H11639" s="4" t="str">
        <f>HYPERLINK("https://www.ncbi.nlm.nih.gov/geo/query/acc.cgi?acc=GSM2325319","GSM2325319")</f>
        <v>GSM2325319</v>
      </c>
      <c r="I11639" t="s">
        <v>69</v>
      </c>
      <c r="J11639" t="s">
        <v>18</v>
      </c>
      <c r="K11639" t="s">
        <v>33</v>
      </c>
      <c r="L11639" t="s">
        <v>70</v>
      </c>
      <c r="N11639" t="s">
        <v>29</v>
      </c>
    </row>
    <row r="11640" spans="1:14">
      <c r="A11640" s="4" t="str">
        <f t="shared" si="1029"/>
        <v>EXP00385</v>
      </c>
      <c r="B11640" s="3" t="s">
        <v>66</v>
      </c>
      <c r="C11640" s="4" t="str">
        <f t="shared" si="1028"/>
        <v>GSE87211</v>
      </c>
      <c r="D11640" s="1" t="s">
        <v>239</v>
      </c>
      <c r="E11640" t="s">
        <v>68</v>
      </c>
      <c r="F11640" s="1">
        <v>2</v>
      </c>
      <c r="G11640" s="1" t="s">
        <v>32</v>
      </c>
      <c r="H11640" s="4" t="str">
        <f>HYPERLINK("https://www.ncbi.nlm.nih.gov/geo/query/acc.cgi?acc=GSM2325320","GSM2325320")</f>
        <v>GSM2325320</v>
      </c>
      <c r="I11640" t="s">
        <v>69</v>
      </c>
      <c r="J11640" t="s">
        <v>18</v>
      </c>
      <c r="K11640" t="s">
        <v>33</v>
      </c>
      <c r="L11640" t="s">
        <v>70</v>
      </c>
      <c r="N11640" t="s">
        <v>29</v>
      </c>
    </row>
    <row r="11641" spans="1:14">
      <c r="A11641" s="4" t="str">
        <f t="shared" si="1029"/>
        <v>EXP00385</v>
      </c>
      <c r="B11641" s="3" t="s">
        <v>66</v>
      </c>
      <c r="C11641" s="4" t="str">
        <f t="shared" si="1028"/>
        <v>GSE87211</v>
      </c>
      <c r="D11641" s="1" t="s">
        <v>239</v>
      </c>
      <c r="E11641" t="s">
        <v>68</v>
      </c>
      <c r="F11641" s="1">
        <v>2</v>
      </c>
      <c r="G11641" s="1" t="s">
        <v>32</v>
      </c>
      <c r="H11641" s="4" t="str">
        <f>HYPERLINK("https://www.ncbi.nlm.nih.gov/geo/query/acc.cgi?acc=GSM2325321","GSM2325321")</f>
        <v>GSM2325321</v>
      </c>
      <c r="I11641" t="s">
        <v>69</v>
      </c>
      <c r="J11641" t="s">
        <v>18</v>
      </c>
      <c r="K11641" t="s">
        <v>33</v>
      </c>
      <c r="L11641" t="s">
        <v>70</v>
      </c>
      <c r="N11641" t="s">
        <v>29</v>
      </c>
    </row>
    <row r="11642" spans="1:14">
      <c r="A11642" s="4" t="str">
        <f t="shared" si="1029"/>
        <v>EXP00385</v>
      </c>
      <c r="B11642" s="3" t="s">
        <v>66</v>
      </c>
      <c r="C11642" s="4" t="str">
        <f t="shared" si="1028"/>
        <v>GSE87211</v>
      </c>
      <c r="D11642" s="1" t="s">
        <v>239</v>
      </c>
      <c r="E11642" t="s">
        <v>68</v>
      </c>
      <c r="F11642" s="1">
        <v>2</v>
      </c>
      <c r="G11642" s="1" t="s">
        <v>32</v>
      </c>
      <c r="H11642" s="4" t="str">
        <f>HYPERLINK("https://www.ncbi.nlm.nih.gov/geo/query/acc.cgi?acc=GSM2325322","GSM2325322")</f>
        <v>GSM2325322</v>
      </c>
      <c r="I11642" t="s">
        <v>69</v>
      </c>
      <c r="J11642" t="s">
        <v>18</v>
      </c>
      <c r="K11642" t="s">
        <v>33</v>
      </c>
      <c r="L11642" t="s">
        <v>70</v>
      </c>
      <c r="N11642" t="s">
        <v>29</v>
      </c>
    </row>
    <row r="11643" spans="1:14">
      <c r="A11643" s="4" t="str">
        <f t="shared" si="1029"/>
        <v>EXP00385</v>
      </c>
      <c r="B11643" s="3" t="s">
        <v>66</v>
      </c>
      <c r="C11643" s="4" t="str">
        <f t="shared" si="1028"/>
        <v>GSE87211</v>
      </c>
      <c r="D11643" s="1" t="s">
        <v>239</v>
      </c>
      <c r="E11643" t="s">
        <v>68</v>
      </c>
      <c r="F11643" s="1">
        <v>2</v>
      </c>
      <c r="G11643" s="1" t="s">
        <v>32</v>
      </c>
      <c r="H11643" s="4" t="str">
        <f>HYPERLINK("https://www.ncbi.nlm.nih.gov/geo/query/acc.cgi?acc=GSM2325323","GSM2325323")</f>
        <v>GSM2325323</v>
      </c>
      <c r="I11643" t="s">
        <v>69</v>
      </c>
      <c r="J11643" t="s">
        <v>18</v>
      </c>
      <c r="K11643" t="s">
        <v>33</v>
      </c>
      <c r="L11643" t="s">
        <v>70</v>
      </c>
      <c r="N11643" t="s">
        <v>29</v>
      </c>
    </row>
    <row r="11644" spans="1:14">
      <c r="A11644" s="4" t="str">
        <f t="shared" si="1029"/>
        <v>EXP00385</v>
      </c>
      <c r="B11644" s="3" t="s">
        <v>66</v>
      </c>
      <c r="C11644" s="4" t="str">
        <f t="shared" si="1028"/>
        <v>GSE87211</v>
      </c>
      <c r="D11644" s="1" t="s">
        <v>239</v>
      </c>
      <c r="E11644" t="s">
        <v>68</v>
      </c>
      <c r="F11644" s="1">
        <v>2</v>
      </c>
      <c r="G11644" s="1" t="s">
        <v>32</v>
      </c>
      <c r="H11644" s="4" t="str">
        <f>HYPERLINK("https://www.ncbi.nlm.nih.gov/geo/query/acc.cgi?acc=GSM2325324","GSM2325324")</f>
        <v>GSM2325324</v>
      </c>
      <c r="I11644" t="s">
        <v>69</v>
      </c>
      <c r="J11644" t="s">
        <v>18</v>
      </c>
      <c r="K11644" t="s">
        <v>33</v>
      </c>
      <c r="L11644" t="s">
        <v>70</v>
      </c>
      <c r="N11644" t="s">
        <v>29</v>
      </c>
    </row>
    <row r="11645" spans="1:14">
      <c r="A11645" s="4" t="str">
        <f t="shared" si="1029"/>
        <v>EXP00385</v>
      </c>
      <c r="B11645" s="3" t="s">
        <v>66</v>
      </c>
      <c r="C11645" s="4" t="str">
        <f t="shared" si="1028"/>
        <v>GSE87211</v>
      </c>
      <c r="D11645" s="1" t="s">
        <v>239</v>
      </c>
      <c r="E11645" t="s">
        <v>68</v>
      </c>
      <c r="F11645" s="1">
        <v>2</v>
      </c>
      <c r="G11645" s="1" t="s">
        <v>32</v>
      </c>
      <c r="H11645" s="4" t="str">
        <f>HYPERLINK("https://www.ncbi.nlm.nih.gov/geo/query/acc.cgi?acc=GSM2325325","GSM2325325")</f>
        <v>GSM2325325</v>
      </c>
      <c r="I11645" t="s">
        <v>69</v>
      </c>
      <c r="J11645" t="s">
        <v>18</v>
      </c>
      <c r="K11645" t="s">
        <v>33</v>
      </c>
      <c r="L11645" t="s">
        <v>70</v>
      </c>
      <c r="N11645" t="s">
        <v>29</v>
      </c>
    </row>
    <row r="11646" spans="1:14">
      <c r="A11646" s="4" t="str">
        <f t="shared" si="1029"/>
        <v>EXP00385</v>
      </c>
      <c r="B11646" s="3" t="s">
        <v>66</v>
      </c>
      <c r="C11646" s="4" t="str">
        <f t="shared" si="1028"/>
        <v>GSE87211</v>
      </c>
      <c r="D11646" s="1" t="s">
        <v>239</v>
      </c>
      <c r="E11646" t="s">
        <v>68</v>
      </c>
      <c r="F11646" s="1">
        <v>2</v>
      </c>
      <c r="G11646" s="1" t="s">
        <v>32</v>
      </c>
      <c r="H11646" s="4" t="str">
        <f>HYPERLINK("https://www.ncbi.nlm.nih.gov/geo/query/acc.cgi?acc=GSM2325326","GSM2325326")</f>
        <v>GSM2325326</v>
      </c>
      <c r="I11646" t="s">
        <v>69</v>
      </c>
      <c r="J11646" t="s">
        <v>18</v>
      </c>
      <c r="K11646" t="s">
        <v>33</v>
      </c>
      <c r="L11646" t="s">
        <v>70</v>
      </c>
      <c r="N11646" t="s">
        <v>29</v>
      </c>
    </row>
    <row r="11647" spans="1:14">
      <c r="A11647" s="4" t="str">
        <f t="shared" si="1029"/>
        <v>EXP00385</v>
      </c>
      <c r="B11647" s="3" t="s">
        <v>66</v>
      </c>
      <c r="C11647" s="4" t="str">
        <f t="shared" si="1028"/>
        <v>GSE87211</v>
      </c>
      <c r="D11647" s="1" t="s">
        <v>239</v>
      </c>
      <c r="E11647" t="s">
        <v>68</v>
      </c>
      <c r="F11647" s="1">
        <v>2</v>
      </c>
      <c r="G11647" s="1" t="s">
        <v>32</v>
      </c>
      <c r="H11647" s="4" t="str">
        <f>HYPERLINK("https://www.ncbi.nlm.nih.gov/geo/query/acc.cgi?acc=GSM2325327","GSM2325327")</f>
        <v>GSM2325327</v>
      </c>
      <c r="I11647" t="s">
        <v>69</v>
      </c>
      <c r="J11647" t="s">
        <v>18</v>
      </c>
      <c r="K11647" t="s">
        <v>33</v>
      </c>
      <c r="L11647" t="s">
        <v>70</v>
      </c>
      <c r="N11647" t="s">
        <v>29</v>
      </c>
    </row>
    <row r="11648" spans="1:14">
      <c r="A11648" s="4" t="str">
        <f t="shared" si="1029"/>
        <v>EXP00385</v>
      </c>
      <c r="B11648" s="3" t="s">
        <v>66</v>
      </c>
      <c r="C11648" s="4" t="str">
        <f t="shared" si="1028"/>
        <v>GSE87211</v>
      </c>
      <c r="D11648" s="1" t="s">
        <v>239</v>
      </c>
      <c r="E11648" t="s">
        <v>68</v>
      </c>
      <c r="F11648" s="1">
        <v>2</v>
      </c>
      <c r="G11648" s="1" t="s">
        <v>32</v>
      </c>
      <c r="H11648" s="4" t="str">
        <f>HYPERLINK("https://www.ncbi.nlm.nih.gov/geo/query/acc.cgi?acc=GSM2325328","GSM2325328")</f>
        <v>GSM2325328</v>
      </c>
      <c r="I11648" t="s">
        <v>69</v>
      </c>
      <c r="J11648" t="s">
        <v>18</v>
      </c>
      <c r="K11648" t="s">
        <v>33</v>
      </c>
      <c r="L11648" t="s">
        <v>70</v>
      </c>
      <c r="N11648" t="s">
        <v>29</v>
      </c>
    </row>
    <row r="11649" spans="1:14">
      <c r="A11649" s="4" t="str">
        <f t="shared" si="1029"/>
        <v>EXP00385</v>
      </c>
      <c r="B11649" s="3" t="s">
        <v>66</v>
      </c>
      <c r="C11649" s="4" t="str">
        <f t="shared" si="1028"/>
        <v>GSE87211</v>
      </c>
      <c r="D11649" s="1" t="s">
        <v>239</v>
      </c>
      <c r="E11649" t="s">
        <v>68</v>
      </c>
      <c r="F11649" s="1">
        <v>2</v>
      </c>
      <c r="G11649" s="1" t="s">
        <v>32</v>
      </c>
      <c r="H11649" s="4" t="str">
        <f>HYPERLINK("https://www.ncbi.nlm.nih.gov/geo/query/acc.cgi?acc=GSM2325329","GSM2325329")</f>
        <v>GSM2325329</v>
      </c>
      <c r="I11649" t="s">
        <v>69</v>
      </c>
      <c r="J11649" t="s">
        <v>18</v>
      </c>
      <c r="K11649" t="s">
        <v>33</v>
      </c>
      <c r="L11649" t="s">
        <v>70</v>
      </c>
      <c r="N11649" t="s">
        <v>29</v>
      </c>
    </row>
    <row r="11650" spans="1:14">
      <c r="A11650" s="4" t="str">
        <f t="shared" si="1029"/>
        <v>EXP00385</v>
      </c>
      <c r="B11650" s="3" t="s">
        <v>66</v>
      </c>
      <c r="C11650" s="4" t="str">
        <f t="shared" ref="C11650:C11713" si="1030">HYPERLINK("https://www.ncbi.nlm.nih.gov/geo/query/acc.cgi?acc=GSE87211","GSE87211")</f>
        <v>GSE87211</v>
      </c>
      <c r="D11650" s="1" t="s">
        <v>239</v>
      </c>
      <c r="E11650" t="s">
        <v>68</v>
      </c>
      <c r="F11650" s="1">
        <v>2</v>
      </c>
      <c r="G11650" s="1" t="s">
        <v>32</v>
      </c>
      <c r="H11650" s="4" t="str">
        <f>HYPERLINK("https://www.ncbi.nlm.nih.gov/geo/query/acc.cgi?acc=GSM2325330","GSM2325330")</f>
        <v>GSM2325330</v>
      </c>
      <c r="I11650" t="s">
        <v>69</v>
      </c>
      <c r="J11650" t="s">
        <v>18</v>
      </c>
      <c r="K11650" t="s">
        <v>33</v>
      </c>
      <c r="L11650" t="s">
        <v>70</v>
      </c>
      <c r="N11650" t="s">
        <v>29</v>
      </c>
    </row>
    <row r="11651" spans="1:14">
      <c r="A11651" s="4" t="str">
        <f t="shared" si="1029"/>
        <v>EXP00385</v>
      </c>
      <c r="B11651" s="3" t="s">
        <v>66</v>
      </c>
      <c r="C11651" s="4" t="str">
        <f t="shared" si="1030"/>
        <v>GSE87211</v>
      </c>
      <c r="D11651" s="1" t="s">
        <v>239</v>
      </c>
      <c r="E11651" t="s">
        <v>68</v>
      </c>
      <c r="F11651" s="1">
        <v>2</v>
      </c>
      <c r="G11651" s="1" t="s">
        <v>32</v>
      </c>
      <c r="H11651" s="4" t="str">
        <f>HYPERLINK("https://www.ncbi.nlm.nih.gov/geo/query/acc.cgi?acc=GSM2325331","GSM2325331")</f>
        <v>GSM2325331</v>
      </c>
      <c r="I11651" t="s">
        <v>69</v>
      </c>
      <c r="J11651" t="s">
        <v>18</v>
      </c>
      <c r="K11651" t="s">
        <v>33</v>
      </c>
      <c r="L11651" t="s">
        <v>70</v>
      </c>
      <c r="N11651" t="s">
        <v>29</v>
      </c>
    </row>
    <row r="11652" spans="1:14">
      <c r="A11652" s="4" t="str">
        <f t="shared" si="1029"/>
        <v>EXP00385</v>
      </c>
      <c r="B11652" s="3" t="s">
        <v>66</v>
      </c>
      <c r="C11652" s="4" t="str">
        <f t="shared" si="1030"/>
        <v>GSE87211</v>
      </c>
      <c r="D11652" s="1" t="s">
        <v>239</v>
      </c>
      <c r="E11652" t="s">
        <v>68</v>
      </c>
      <c r="F11652" s="1">
        <v>2</v>
      </c>
      <c r="G11652" s="1" t="s">
        <v>32</v>
      </c>
      <c r="H11652" s="4" t="str">
        <f>HYPERLINK("https://www.ncbi.nlm.nih.gov/geo/query/acc.cgi?acc=GSM2325332","GSM2325332")</f>
        <v>GSM2325332</v>
      </c>
      <c r="I11652" t="s">
        <v>69</v>
      </c>
      <c r="J11652" t="s">
        <v>18</v>
      </c>
      <c r="K11652" t="s">
        <v>33</v>
      </c>
      <c r="L11652" t="s">
        <v>70</v>
      </c>
      <c r="N11652" t="s">
        <v>29</v>
      </c>
    </row>
    <row r="11653" spans="1:14">
      <c r="A11653" s="4" t="str">
        <f t="shared" si="1029"/>
        <v>EXP00385</v>
      </c>
      <c r="B11653" s="3" t="s">
        <v>66</v>
      </c>
      <c r="C11653" s="4" t="str">
        <f t="shared" si="1030"/>
        <v>GSE87211</v>
      </c>
      <c r="D11653" s="1" t="s">
        <v>239</v>
      </c>
      <c r="E11653" t="s">
        <v>68</v>
      </c>
      <c r="F11653" s="1">
        <v>2</v>
      </c>
      <c r="G11653" s="1" t="s">
        <v>32</v>
      </c>
      <c r="H11653" s="4" t="str">
        <f>HYPERLINK("https://www.ncbi.nlm.nih.gov/geo/query/acc.cgi?acc=GSM2325333","GSM2325333")</f>
        <v>GSM2325333</v>
      </c>
      <c r="I11653" t="s">
        <v>69</v>
      </c>
      <c r="J11653" t="s">
        <v>18</v>
      </c>
      <c r="K11653" t="s">
        <v>33</v>
      </c>
      <c r="L11653" t="s">
        <v>70</v>
      </c>
      <c r="N11653" t="s">
        <v>29</v>
      </c>
    </row>
    <row r="11654" spans="1:14">
      <c r="A11654" s="4" t="str">
        <f t="shared" si="1029"/>
        <v>EXP00385</v>
      </c>
      <c r="B11654" s="3" t="s">
        <v>66</v>
      </c>
      <c r="C11654" s="4" t="str">
        <f t="shared" si="1030"/>
        <v>GSE87211</v>
      </c>
      <c r="D11654" s="1" t="s">
        <v>239</v>
      </c>
      <c r="E11654" t="s">
        <v>68</v>
      </c>
      <c r="F11654" s="1">
        <v>2</v>
      </c>
      <c r="G11654" s="1" t="s">
        <v>32</v>
      </c>
      <c r="H11654" s="4" t="str">
        <f>HYPERLINK("https://www.ncbi.nlm.nih.gov/geo/query/acc.cgi?acc=GSM2325334","GSM2325334")</f>
        <v>GSM2325334</v>
      </c>
      <c r="I11654" t="s">
        <v>69</v>
      </c>
      <c r="J11654" t="s">
        <v>18</v>
      </c>
      <c r="K11654" t="s">
        <v>33</v>
      </c>
      <c r="L11654" t="s">
        <v>70</v>
      </c>
      <c r="N11654" t="s">
        <v>29</v>
      </c>
    </row>
    <row r="11655" spans="1:14">
      <c r="A11655" s="4" t="str">
        <f t="shared" si="1029"/>
        <v>EXP00385</v>
      </c>
      <c r="B11655" s="3" t="s">
        <v>66</v>
      </c>
      <c r="C11655" s="4" t="str">
        <f t="shared" si="1030"/>
        <v>GSE87211</v>
      </c>
      <c r="D11655" s="1" t="s">
        <v>239</v>
      </c>
      <c r="E11655" t="s">
        <v>68</v>
      </c>
      <c r="F11655" s="1">
        <v>2</v>
      </c>
      <c r="G11655" s="1" t="s">
        <v>32</v>
      </c>
      <c r="H11655" s="4" t="str">
        <f>HYPERLINK("https://www.ncbi.nlm.nih.gov/geo/query/acc.cgi?acc=GSM2325336","GSM2325336")</f>
        <v>GSM2325336</v>
      </c>
      <c r="I11655" t="s">
        <v>69</v>
      </c>
      <c r="J11655" t="s">
        <v>18</v>
      </c>
      <c r="K11655" t="s">
        <v>33</v>
      </c>
      <c r="L11655" t="s">
        <v>70</v>
      </c>
      <c r="N11655" t="s">
        <v>29</v>
      </c>
    </row>
    <row r="11656" spans="1:14">
      <c r="A11656" s="4" t="str">
        <f t="shared" si="1029"/>
        <v>EXP00385</v>
      </c>
      <c r="B11656" s="3" t="s">
        <v>66</v>
      </c>
      <c r="C11656" s="4" t="str">
        <f t="shared" si="1030"/>
        <v>GSE87211</v>
      </c>
      <c r="D11656" s="1" t="s">
        <v>239</v>
      </c>
      <c r="E11656" t="s">
        <v>68</v>
      </c>
      <c r="F11656" s="1">
        <v>2</v>
      </c>
      <c r="G11656" s="1" t="s">
        <v>32</v>
      </c>
      <c r="H11656" s="4" t="str">
        <f>HYPERLINK("https://www.ncbi.nlm.nih.gov/geo/query/acc.cgi?acc=GSM2325337","GSM2325337")</f>
        <v>GSM2325337</v>
      </c>
      <c r="I11656" t="s">
        <v>69</v>
      </c>
      <c r="J11656" t="s">
        <v>18</v>
      </c>
      <c r="K11656" t="s">
        <v>33</v>
      </c>
      <c r="L11656" t="s">
        <v>70</v>
      </c>
      <c r="N11656" t="s">
        <v>29</v>
      </c>
    </row>
    <row r="11657" spans="1:14">
      <c r="A11657" s="4" t="str">
        <f t="shared" si="1029"/>
        <v>EXP00385</v>
      </c>
      <c r="B11657" s="3" t="s">
        <v>66</v>
      </c>
      <c r="C11657" s="4" t="str">
        <f t="shared" si="1030"/>
        <v>GSE87211</v>
      </c>
      <c r="D11657" s="1" t="s">
        <v>239</v>
      </c>
      <c r="E11657" t="s">
        <v>68</v>
      </c>
      <c r="F11657" s="1">
        <v>2</v>
      </c>
      <c r="G11657" s="1" t="s">
        <v>32</v>
      </c>
      <c r="H11657" s="4" t="str">
        <f>HYPERLINK("https://www.ncbi.nlm.nih.gov/geo/query/acc.cgi?acc=GSM2325338","GSM2325338")</f>
        <v>GSM2325338</v>
      </c>
      <c r="I11657" t="s">
        <v>69</v>
      </c>
      <c r="J11657" t="s">
        <v>18</v>
      </c>
      <c r="K11657" t="s">
        <v>33</v>
      </c>
      <c r="L11657" t="s">
        <v>70</v>
      </c>
      <c r="N11657" t="s">
        <v>29</v>
      </c>
    </row>
    <row r="11658" spans="1:14">
      <c r="A11658" s="4" t="str">
        <f t="shared" si="1029"/>
        <v>EXP00385</v>
      </c>
      <c r="B11658" s="3" t="s">
        <v>66</v>
      </c>
      <c r="C11658" s="4" t="str">
        <f t="shared" si="1030"/>
        <v>GSE87211</v>
      </c>
      <c r="D11658" s="1" t="s">
        <v>239</v>
      </c>
      <c r="E11658" t="s">
        <v>68</v>
      </c>
      <c r="F11658" s="1">
        <v>2</v>
      </c>
      <c r="G11658" s="1" t="s">
        <v>32</v>
      </c>
      <c r="H11658" s="4" t="str">
        <f>HYPERLINK("https://www.ncbi.nlm.nih.gov/geo/query/acc.cgi?acc=GSM2325339","GSM2325339")</f>
        <v>GSM2325339</v>
      </c>
      <c r="I11658" t="s">
        <v>69</v>
      </c>
      <c r="J11658" t="s">
        <v>18</v>
      </c>
      <c r="K11658" t="s">
        <v>33</v>
      </c>
      <c r="L11658" t="s">
        <v>70</v>
      </c>
      <c r="N11658" t="s">
        <v>29</v>
      </c>
    </row>
    <row r="11659" spans="1:14">
      <c r="A11659" s="4" t="str">
        <f t="shared" si="1029"/>
        <v>EXP00385</v>
      </c>
      <c r="B11659" s="3" t="s">
        <v>66</v>
      </c>
      <c r="C11659" s="4" t="str">
        <f t="shared" si="1030"/>
        <v>GSE87211</v>
      </c>
      <c r="D11659" s="1" t="s">
        <v>239</v>
      </c>
      <c r="E11659" t="s">
        <v>68</v>
      </c>
      <c r="F11659" s="1">
        <v>2</v>
      </c>
      <c r="G11659" s="1" t="s">
        <v>32</v>
      </c>
      <c r="H11659" s="4" t="str">
        <f>HYPERLINK("https://www.ncbi.nlm.nih.gov/geo/query/acc.cgi?acc=GSM2325340","GSM2325340")</f>
        <v>GSM2325340</v>
      </c>
      <c r="I11659" t="s">
        <v>69</v>
      </c>
      <c r="J11659" t="s">
        <v>18</v>
      </c>
      <c r="K11659" t="s">
        <v>33</v>
      </c>
      <c r="L11659" t="s">
        <v>70</v>
      </c>
      <c r="N11659" t="s">
        <v>29</v>
      </c>
    </row>
    <row r="11660" spans="1:14">
      <c r="A11660" s="4" t="str">
        <f t="shared" si="1029"/>
        <v>EXP00385</v>
      </c>
      <c r="B11660" s="3" t="s">
        <v>66</v>
      </c>
      <c r="C11660" s="4" t="str">
        <f t="shared" si="1030"/>
        <v>GSE87211</v>
      </c>
      <c r="D11660" s="1" t="s">
        <v>239</v>
      </c>
      <c r="E11660" t="s">
        <v>68</v>
      </c>
      <c r="F11660" s="1">
        <v>2</v>
      </c>
      <c r="G11660" s="1" t="s">
        <v>32</v>
      </c>
      <c r="H11660" s="4" t="str">
        <f>HYPERLINK("https://www.ncbi.nlm.nih.gov/geo/query/acc.cgi?acc=GSM2325341","GSM2325341")</f>
        <v>GSM2325341</v>
      </c>
      <c r="I11660" t="s">
        <v>69</v>
      </c>
      <c r="J11660" t="s">
        <v>18</v>
      </c>
      <c r="K11660" t="s">
        <v>33</v>
      </c>
      <c r="L11660" t="s">
        <v>70</v>
      </c>
      <c r="N11660" t="s">
        <v>29</v>
      </c>
    </row>
    <row r="11661" spans="1:14">
      <c r="A11661" s="4" t="str">
        <f t="shared" si="1029"/>
        <v>EXP00385</v>
      </c>
      <c r="B11661" s="3" t="s">
        <v>66</v>
      </c>
      <c r="C11661" s="4" t="str">
        <f t="shared" si="1030"/>
        <v>GSE87211</v>
      </c>
      <c r="D11661" s="1" t="s">
        <v>239</v>
      </c>
      <c r="E11661" t="s">
        <v>68</v>
      </c>
      <c r="F11661" s="1">
        <v>2</v>
      </c>
      <c r="G11661" s="1" t="s">
        <v>32</v>
      </c>
      <c r="H11661" s="4" t="str">
        <f>HYPERLINK("https://www.ncbi.nlm.nih.gov/geo/query/acc.cgi?acc=GSM2325342","GSM2325342")</f>
        <v>GSM2325342</v>
      </c>
      <c r="I11661" t="s">
        <v>69</v>
      </c>
      <c r="J11661" t="s">
        <v>18</v>
      </c>
      <c r="K11661" t="s">
        <v>33</v>
      </c>
      <c r="L11661" t="s">
        <v>70</v>
      </c>
      <c r="N11661" t="s">
        <v>29</v>
      </c>
    </row>
    <row r="11662" spans="1:14">
      <c r="A11662" s="4" t="str">
        <f t="shared" si="1029"/>
        <v>EXP00385</v>
      </c>
      <c r="B11662" s="3" t="s">
        <v>66</v>
      </c>
      <c r="C11662" s="4" t="str">
        <f t="shared" si="1030"/>
        <v>GSE87211</v>
      </c>
      <c r="D11662" s="1" t="s">
        <v>239</v>
      </c>
      <c r="E11662" t="s">
        <v>68</v>
      </c>
      <c r="F11662" s="1">
        <v>2</v>
      </c>
      <c r="G11662" s="1" t="s">
        <v>32</v>
      </c>
      <c r="H11662" s="4" t="str">
        <f>HYPERLINK("https://www.ncbi.nlm.nih.gov/geo/query/acc.cgi?acc=GSM2325343","GSM2325343")</f>
        <v>GSM2325343</v>
      </c>
      <c r="I11662" t="s">
        <v>69</v>
      </c>
      <c r="J11662" t="s">
        <v>18</v>
      </c>
      <c r="K11662" t="s">
        <v>33</v>
      </c>
      <c r="L11662" t="s">
        <v>70</v>
      </c>
      <c r="N11662" t="s">
        <v>29</v>
      </c>
    </row>
    <row r="11663" spans="1:14">
      <c r="A11663" s="4" t="str">
        <f t="shared" si="1029"/>
        <v>EXP00385</v>
      </c>
      <c r="B11663" s="3" t="s">
        <v>66</v>
      </c>
      <c r="C11663" s="4" t="str">
        <f t="shared" si="1030"/>
        <v>GSE87211</v>
      </c>
      <c r="D11663" s="1" t="s">
        <v>239</v>
      </c>
      <c r="E11663" t="s">
        <v>68</v>
      </c>
      <c r="F11663" s="1">
        <v>2</v>
      </c>
      <c r="G11663" s="1" t="s">
        <v>32</v>
      </c>
      <c r="H11663" s="4" t="str">
        <f>HYPERLINK("https://www.ncbi.nlm.nih.gov/geo/query/acc.cgi?acc=GSM2325344","GSM2325344")</f>
        <v>GSM2325344</v>
      </c>
      <c r="I11663" t="s">
        <v>69</v>
      </c>
      <c r="J11663" t="s">
        <v>18</v>
      </c>
      <c r="K11663" t="s">
        <v>33</v>
      </c>
      <c r="L11663" t="s">
        <v>70</v>
      </c>
      <c r="N11663" t="s">
        <v>29</v>
      </c>
    </row>
    <row r="11664" spans="1:14">
      <c r="A11664" s="4" t="str">
        <f t="shared" si="1029"/>
        <v>EXP00385</v>
      </c>
      <c r="B11664" s="3" t="s">
        <v>66</v>
      </c>
      <c r="C11664" s="4" t="str">
        <f t="shared" si="1030"/>
        <v>GSE87211</v>
      </c>
      <c r="D11664" s="1" t="s">
        <v>239</v>
      </c>
      <c r="E11664" t="s">
        <v>68</v>
      </c>
      <c r="F11664" s="1">
        <v>2</v>
      </c>
      <c r="G11664" s="1" t="s">
        <v>32</v>
      </c>
      <c r="H11664" s="4" t="str">
        <f>HYPERLINK("https://www.ncbi.nlm.nih.gov/geo/query/acc.cgi?acc=GSM2325345","GSM2325345")</f>
        <v>GSM2325345</v>
      </c>
      <c r="I11664" t="s">
        <v>69</v>
      </c>
      <c r="J11664" t="s">
        <v>18</v>
      </c>
      <c r="K11664" t="s">
        <v>33</v>
      </c>
      <c r="L11664" t="s">
        <v>70</v>
      </c>
      <c r="N11664" t="s">
        <v>29</v>
      </c>
    </row>
    <row r="11665" spans="1:14">
      <c r="A11665" s="4" t="str">
        <f t="shared" si="1029"/>
        <v>EXP00385</v>
      </c>
      <c r="B11665" s="3" t="s">
        <v>66</v>
      </c>
      <c r="C11665" s="4" t="str">
        <f t="shared" si="1030"/>
        <v>GSE87211</v>
      </c>
      <c r="D11665" s="1" t="s">
        <v>239</v>
      </c>
      <c r="E11665" t="s">
        <v>68</v>
      </c>
      <c r="F11665" s="1">
        <v>2</v>
      </c>
      <c r="G11665" s="1" t="s">
        <v>32</v>
      </c>
      <c r="H11665" s="4" t="str">
        <f>HYPERLINK("https://www.ncbi.nlm.nih.gov/geo/query/acc.cgi?acc=GSM2325346","GSM2325346")</f>
        <v>GSM2325346</v>
      </c>
      <c r="I11665" t="s">
        <v>69</v>
      </c>
      <c r="J11665" t="s">
        <v>18</v>
      </c>
      <c r="K11665" t="s">
        <v>33</v>
      </c>
      <c r="L11665" t="s">
        <v>70</v>
      </c>
      <c r="N11665" t="s">
        <v>29</v>
      </c>
    </row>
    <row r="11666" spans="1:14">
      <c r="A11666" s="4" t="str">
        <f t="shared" si="1029"/>
        <v>EXP00385</v>
      </c>
      <c r="B11666" s="3" t="s">
        <v>66</v>
      </c>
      <c r="C11666" s="4" t="str">
        <f t="shared" si="1030"/>
        <v>GSE87211</v>
      </c>
      <c r="D11666" s="1" t="s">
        <v>239</v>
      </c>
      <c r="E11666" t="s">
        <v>68</v>
      </c>
      <c r="F11666" s="1">
        <v>2</v>
      </c>
      <c r="G11666" s="1" t="s">
        <v>32</v>
      </c>
      <c r="H11666" s="4" t="str">
        <f>HYPERLINK("https://www.ncbi.nlm.nih.gov/geo/query/acc.cgi?acc=GSM2325347","GSM2325347")</f>
        <v>GSM2325347</v>
      </c>
      <c r="I11666" t="s">
        <v>69</v>
      </c>
      <c r="J11666" t="s">
        <v>18</v>
      </c>
      <c r="K11666" t="s">
        <v>33</v>
      </c>
      <c r="L11666" t="s">
        <v>70</v>
      </c>
      <c r="N11666" t="s">
        <v>29</v>
      </c>
    </row>
    <row r="11667" spans="1:14">
      <c r="A11667" s="4" t="str">
        <f t="shared" si="1029"/>
        <v>EXP00385</v>
      </c>
      <c r="B11667" s="3" t="s">
        <v>66</v>
      </c>
      <c r="C11667" s="4" t="str">
        <f t="shared" si="1030"/>
        <v>GSE87211</v>
      </c>
      <c r="D11667" s="1" t="s">
        <v>239</v>
      </c>
      <c r="E11667" t="s">
        <v>68</v>
      </c>
      <c r="F11667" s="1">
        <v>2</v>
      </c>
      <c r="G11667" s="1" t="s">
        <v>32</v>
      </c>
      <c r="H11667" s="4" t="str">
        <f>HYPERLINK("https://www.ncbi.nlm.nih.gov/geo/query/acc.cgi?acc=GSM2325348","GSM2325348")</f>
        <v>GSM2325348</v>
      </c>
      <c r="I11667" t="s">
        <v>69</v>
      </c>
      <c r="J11667" t="s">
        <v>18</v>
      </c>
      <c r="K11667" t="s">
        <v>33</v>
      </c>
      <c r="L11667" t="s">
        <v>70</v>
      </c>
      <c r="N11667" t="s">
        <v>29</v>
      </c>
    </row>
    <row r="11668" spans="1:14">
      <c r="A11668" s="4" t="str">
        <f t="shared" si="1029"/>
        <v>EXP00385</v>
      </c>
      <c r="B11668" s="3" t="s">
        <v>66</v>
      </c>
      <c r="C11668" s="4" t="str">
        <f t="shared" si="1030"/>
        <v>GSE87211</v>
      </c>
      <c r="D11668" s="1" t="s">
        <v>239</v>
      </c>
      <c r="E11668" t="s">
        <v>68</v>
      </c>
      <c r="F11668" s="1">
        <v>2</v>
      </c>
      <c r="G11668" s="1" t="s">
        <v>32</v>
      </c>
      <c r="H11668" s="4" t="str">
        <f>HYPERLINK("https://www.ncbi.nlm.nih.gov/geo/query/acc.cgi?acc=GSM2325349","GSM2325349")</f>
        <v>GSM2325349</v>
      </c>
      <c r="I11668" t="s">
        <v>69</v>
      </c>
      <c r="J11668" t="s">
        <v>18</v>
      </c>
      <c r="K11668" t="s">
        <v>33</v>
      </c>
      <c r="L11668" t="s">
        <v>70</v>
      </c>
      <c r="N11668" t="s">
        <v>29</v>
      </c>
    </row>
    <row r="11669" spans="1:14">
      <c r="A11669" s="4" t="str">
        <f t="shared" si="1029"/>
        <v>EXP00385</v>
      </c>
      <c r="B11669" s="3" t="s">
        <v>66</v>
      </c>
      <c r="C11669" s="4" t="str">
        <f t="shared" si="1030"/>
        <v>GSE87211</v>
      </c>
      <c r="D11669" s="1" t="s">
        <v>239</v>
      </c>
      <c r="E11669" t="s">
        <v>68</v>
      </c>
      <c r="F11669" s="1">
        <v>2</v>
      </c>
      <c r="G11669" s="1" t="s">
        <v>32</v>
      </c>
      <c r="H11669" s="4" t="str">
        <f>HYPERLINK("https://www.ncbi.nlm.nih.gov/geo/query/acc.cgi?acc=GSM2325350","GSM2325350")</f>
        <v>GSM2325350</v>
      </c>
      <c r="I11669" t="s">
        <v>69</v>
      </c>
      <c r="J11669" t="s">
        <v>18</v>
      </c>
      <c r="K11669" t="s">
        <v>33</v>
      </c>
      <c r="L11669" t="s">
        <v>70</v>
      </c>
      <c r="N11669" t="s">
        <v>29</v>
      </c>
    </row>
    <row r="11670" spans="1:14">
      <c r="A11670" s="4" t="str">
        <f t="shared" si="1029"/>
        <v>EXP00385</v>
      </c>
      <c r="B11670" s="3" t="s">
        <v>66</v>
      </c>
      <c r="C11670" s="4" t="str">
        <f t="shared" si="1030"/>
        <v>GSE87211</v>
      </c>
      <c r="D11670" s="1" t="s">
        <v>239</v>
      </c>
      <c r="E11670" t="s">
        <v>68</v>
      </c>
      <c r="F11670" s="1">
        <v>2</v>
      </c>
      <c r="G11670" s="1" t="s">
        <v>32</v>
      </c>
      <c r="H11670" s="4" t="str">
        <f>HYPERLINK("https://www.ncbi.nlm.nih.gov/geo/query/acc.cgi?acc=GSM2325351","GSM2325351")</f>
        <v>GSM2325351</v>
      </c>
      <c r="I11670" t="s">
        <v>69</v>
      </c>
      <c r="J11670" t="s">
        <v>18</v>
      </c>
      <c r="K11670" t="s">
        <v>33</v>
      </c>
      <c r="L11670" t="s">
        <v>70</v>
      </c>
      <c r="N11670" t="s">
        <v>29</v>
      </c>
    </row>
    <row r="11671" spans="1:14">
      <c r="A11671" s="4" t="str">
        <f t="shared" si="1029"/>
        <v>EXP00385</v>
      </c>
      <c r="B11671" s="3" t="s">
        <v>66</v>
      </c>
      <c r="C11671" s="4" t="str">
        <f t="shared" si="1030"/>
        <v>GSE87211</v>
      </c>
      <c r="D11671" s="1" t="s">
        <v>239</v>
      </c>
      <c r="E11671" t="s">
        <v>68</v>
      </c>
      <c r="F11671" s="1">
        <v>2</v>
      </c>
      <c r="G11671" s="1" t="s">
        <v>32</v>
      </c>
      <c r="H11671" s="4" t="str">
        <f>HYPERLINK("https://www.ncbi.nlm.nih.gov/geo/query/acc.cgi?acc=GSM2325352","GSM2325352")</f>
        <v>GSM2325352</v>
      </c>
      <c r="I11671" t="s">
        <v>69</v>
      </c>
      <c r="J11671" t="s">
        <v>18</v>
      </c>
      <c r="K11671" t="s">
        <v>33</v>
      </c>
      <c r="L11671" t="s">
        <v>70</v>
      </c>
      <c r="N11671" t="s">
        <v>29</v>
      </c>
    </row>
    <row r="11672" spans="1:14">
      <c r="A11672" s="4" t="str">
        <f t="shared" si="1029"/>
        <v>EXP00385</v>
      </c>
      <c r="B11672" s="3" t="s">
        <v>66</v>
      </c>
      <c r="C11672" s="4" t="str">
        <f t="shared" si="1030"/>
        <v>GSE87211</v>
      </c>
      <c r="D11672" s="1" t="s">
        <v>239</v>
      </c>
      <c r="E11672" t="s">
        <v>68</v>
      </c>
      <c r="F11672" s="1">
        <v>2</v>
      </c>
      <c r="G11672" s="1" t="s">
        <v>32</v>
      </c>
      <c r="H11672" s="4" t="str">
        <f>HYPERLINK("https://www.ncbi.nlm.nih.gov/geo/query/acc.cgi?acc=GSM2325353","GSM2325353")</f>
        <v>GSM2325353</v>
      </c>
      <c r="I11672" t="s">
        <v>69</v>
      </c>
      <c r="J11672" t="s">
        <v>18</v>
      </c>
      <c r="K11672" t="s">
        <v>33</v>
      </c>
      <c r="L11672" t="s">
        <v>70</v>
      </c>
      <c r="N11672" t="s">
        <v>29</v>
      </c>
    </row>
    <row r="11673" spans="1:14">
      <c r="A11673" s="4" t="str">
        <f t="shared" si="1029"/>
        <v>EXP00385</v>
      </c>
      <c r="B11673" s="3" t="s">
        <v>66</v>
      </c>
      <c r="C11673" s="4" t="str">
        <f t="shared" si="1030"/>
        <v>GSE87211</v>
      </c>
      <c r="D11673" s="1" t="s">
        <v>239</v>
      </c>
      <c r="E11673" t="s">
        <v>68</v>
      </c>
      <c r="F11673" s="1">
        <v>2</v>
      </c>
      <c r="G11673" s="1" t="s">
        <v>32</v>
      </c>
      <c r="H11673" s="4" t="str">
        <f>HYPERLINK("https://www.ncbi.nlm.nih.gov/geo/query/acc.cgi?acc=GSM2325354","GSM2325354")</f>
        <v>GSM2325354</v>
      </c>
      <c r="I11673" t="s">
        <v>69</v>
      </c>
      <c r="J11673" t="s">
        <v>18</v>
      </c>
      <c r="K11673" t="s">
        <v>33</v>
      </c>
      <c r="L11673" t="s">
        <v>70</v>
      </c>
      <c r="N11673" t="s">
        <v>29</v>
      </c>
    </row>
    <row r="11674" spans="1:14">
      <c r="A11674" s="4" t="str">
        <f t="shared" si="1029"/>
        <v>EXP00385</v>
      </c>
      <c r="B11674" s="3" t="s">
        <v>66</v>
      </c>
      <c r="C11674" s="4" t="str">
        <f t="shared" si="1030"/>
        <v>GSE87211</v>
      </c>
      <c r="D11674" s="1" t="s">
        <v>239</v>
      </c>
      <c r="E11674" t="s">
        <v>68</v>
      </c>
      <c r="F11674" s="1">
        <v>2</v>
      </c>
      <c r="G11674" s="1" t="s">
        <v>32</v>
      </c>
      <c r="H11674" s="4" t="str">
        <f>HYPERLINK("https://www.ncbi.nlm.nih.gov/geo/query/acc.cgi?acc=GSM2325355","GSM2325355")</f>
        <v>GSM2325355</v>
      </c>
      <c r="I11674" t="s">
        <v>69</v>
      </c>
      <c r="J11674" t="s">
        <v>18</v>
      </c>
      <c r="K11674" t="s">
        <v>33</v>
      </c>
      <c r="L11674" t="s">
        <v>70</v>
      </c>
      <c r="N11674" t="s">
        <v>29</v>
      </c>
    </row>
    <row r="11675" spans="1:14">
      <c r="A11675" s="4" t="str">
        <f t="shared" si="1029"/>
        <v>EXP00385</v>
      </c>
      <c r="B11675" s="3" t="s">
        <v>66</v>
      </c>
      <c r="C11675" s="4" t="str">
        <f t="shared" si="1030"/>
        <v>GSE87211</v>
      </c>
      <c r="D11675" s="1" t="s">
        <v>239</v>
      </c>
      <c r="E11675" t="s">
        <v>68</v>
      </c>
      <c r="F11675" s="1">
        <v>2</v>
      </c>
      <c r="G11675" s="1" t="s">
        <v>32</v>
      </c>
      <c r="H11675" s="4" t="str">
        <f>HYPERLINK("https://www.ncbi.nlm.nih.gov/geo/query/acc.cgi?acc=GSM2325356","GSM2325356")</f>
        <v>GSM2325356</v>
      </c>
      <c r="I11675" t="s">
        <v>69</v>
      </c>
      <c r="J11675" t="s">
        <v>18</v>
      </c>
      <c r="K11675" t="s">
        <v>33</v>
      </c>
      <c r="L11675" t="s">
        <v>70</v>
      </c>
      <c r="N11675" t="s">
        <v>29</v>
      </c>
    </row>
    <row r="11676" spans="1:14">
      <c r="A11676" s="4" t="str">
        <f t="shared" si="1029"/>
        <v>EXP00385</v>
      </c>
      <c r="B11676" s="3" t="s">
        <v>66</v>
      </c>
      <c r="C11676" s="4" t="str">
        <f t="shared" si="1030"/>
        <v>GSE87211</v>
      </c>
      <c r="D11676" s="1" t="s">
        <v>239</v>
      </c>
      <c r="E11676" t="s">
        <v>68</v>
      </c>
      <c r="F11676" s="1">
        <v>2</v>
      </c>
      <c r="G11676" s="1" t="s">
        <v>32</v>
      </c>
      <c r="H11676" s="4" t="str">
        <f>HYPERLINK("https://www.ncbi.nlm.nih.gov/geo/query/acc.cgi?acc=GSM2325357","GSM2325357")</f>
        <v>GSM2325357</v>
      </c>
      <c r="I11676" t="s">
        <v>69</v>
      </c>
      <c r="J11676" t="s">
        <v>18</v>
      </c>
      <c r="K11676" t="s">
        <v>33</v>
      </c>
      <c r="L11676" t="s">
        <v>70</v>
      </c>
      <c r="N11676" t="s">
        <v>29</v>
      </c>
    </row>
    <row r="11677" spans="1:14">
      <c r="A11677" s="4" t="str">
        <f t="shared" si="1029"/>
        <v>EXP00385</v>
      </c>
      <c r="B11677" s="3" t="s">
        <v>66</v>
      </c>
      <c r="C11677" s="4" t="str">
        <f t="shared" si="1030"/>
        <v>GSE87211</v>
      </c>
      <c r="D11677" s="1" t="s">
        <v>239</v>
      </c>
      <c r="E11677" t="s">
        <v>68</v>
      </c>
      <c r="F11677" s="1">
        <v>2</v>
      </c>
      <c r="G11677" s="1" t="s">
        <v>32</v>
      </c>
      <c r="H11677" s="4" t="str">
        <f>HYPERLINK("https://www.ncbi.nlm.nih.gov/geo/query/acc.cgi?acc=GSM2325358","GSM2325358")</f>
        <v>GSM2325358</v>
      </c>
      <c r="I11677" t="s">
        <v>69</v>
      </c>
      <c r="J11677" t="s">
        <v>18</v>
      </c>
      <c r="K11677" t="s">
        <v>33</v>
      </c>
      <c r="L11677" t="s">
        <v>70</v>
      </c>
      <c r="N11677" t="s">
        <v>29</v>
      </c>
    </row>
    <row r="11678" spans="1:14">
      <c r="A11678" s="4" t="str">
        <f t="shared" ref="A11678:A11741" si="1031">HYPERLINK("http://hcmdb.i-sanger.com/experiment/details/experiment_id/EXP00385","EXP00385")</f>
        <v>EXP00385</v>
      </c>
      <c r="B11678" s="3" t="s">
        <v>66</v>
      </c>
      <c r="C11678" s="4" t="str">
        <f t="shared" si="1030"/>
        <v>GSE87211</v>
      </c>
      <c r="D11678" s="1" t="s">
        <v>239</v>
      </c>
      <c r="E11678" t="s">
        <v>68</v>
      </c>
      <c r="F11678" s="1">
        <v>2</v>
      </c>
      <c r="G11678" s="1" t="s">
        <v>32</v>
      </c>
      <c r="H11678" s="4" t="str">
        <f>HYPERLINK("https://www.ncbi.nlm.nih.gov/geo/query/acc.cgi?acc=GSM2325359","GSM2325359")</f>
        <v>GSM2325359</v>
      </c>
      <c r="I11678" t="s">
        <v>69</v>
      </c>
      <c r="J11678" t="s">
        <v>18</v>
      </c>
      <c r="K11678" t="s">
        <v>33</v>
      </c>
      <c r="L11678" t="s">
        <v>70</v>
      </c>
      <c r="N11678" t="s">
        <v>29</v>
      </c>
    </row>
    <row r="11679" spans="1:14">
      <c r="A11679" s="4" t="str">
        <f t="shared" si="1031"/>
        <v>EXP00385</v>
      </c>
      <c r="B11679" s="3" t="s">
        <v>66</v>
      </c>
      <c r="C11679" s="4" t="str">
        <f t="shared" si="1030"/>
        <v>GSE87211</v>
      </c>
      <c r="D11679" s="1" t="s">
        <v>239</v>
      </c>
      <c r="E11679" t="s">
        <v>68</v>
      </c>
      <c r="F11679" s="1">
        <v>2</v>
      </c>
      <c r="G11679" s="1" t="s">
        <v>32</v>
      </c>
      <c r="H11679" s="4" t="str">
        <f>HYPERLINK("https://www.ncbi.nlm.nih.gov/geo/query/acc.cgi?acc=GSM2325362","GSM2325362")</f>
        <v>GSM2325362</v>
      </c>
      <c r="I11679" t="s">
        <v>69</v>
      </c>
      <c r="J11679" t="s">
        <v>18</v>
      </c>
      <c r="K11679" t="s">
        <v>33</v>
      </c>
      <c r="L11679" t="s">
        <v>70</v>
      </c>
      <c r="N11679" t="s">
        <v>29</v>
      </c>
    </row>
    <row r="11680" spans="1:14">
      <c r="A11680" s="4" t="str">
        <f t="shared" si="1031"/>
        <v>EXP00385</v>
      </c>
      <c r="B11680" s="3" t="s">
        <v>66</v>
      </c>
      <c r="C11680" s="4" t="str">
        <f t="shared" si="1030"/>
        <v>GSE87211</v>
      </c>
      <c r="D11680" s="1" t="s">
        <v>239</v>
      </c>
      <c r="E11680" t="s">
        <v>68</v>
      </c>
      <c r="F11680" s="1">
        <v>2</v>
      </c>
      <c r="G11680" s="1" t="s">
        <v>32</v>
      </c>
      <c r="H11680" s="4" t="str">
        <f>HYPERLINK("https://www.ncbi.nlm.nih.gov/geo/query/acc.cgi?acc=GSM2325363","GSM2325363")</f>
        <v>GSM2325363</v>
      </c>
      <c r="I11680" t="s">
        <v>69</v>
      </c>
      <c r="J11680" t="s">
        <v>18</v>
      </c>
      <c r="K11680" t="s">
        <v>33</v>
      </c>
      <c r="L11680" t="s">
        <v>70</v>
      </c>
      <c r="N11680" t="s">
        <v>29</v>
      </c>
    </row>
    <row r="11681" spans="1:14">
      <c r="A11681" s="4" t="str">
        <f t="shared" si="1031"/>
        <v>EXP00385</v>
      </c>
      <c r="B11681" s="3" t="s">
        <v>66</v>
      </c>
      <c r="C11681" s="4" t="str">
        <f t="shared" si="1030"/>
        <v>GSE87211</v>
      </c>
      <c r="D11681" s="1" t="s">
        <v>239</v>
      </c>
      <c r="E11681" t="s">
        <v>68</v>
      </c>
      <c r="F11681" s="1">
        <v>2</v>
      </c>
      <c r="G11681" s="1" t="s">
        <v>32</v>
      </c>
      <c r="H11681" s="4" t="str">
        <f>HYPERLINK("https://www.ncbi.nlm.nih.gov/geo/query/acc.cgi?acc=GSM2325364","GSM2325364")</f>
        <v>GSM2325364</v>
      </c>
      <c r="I11681" t="s">
        <v>69</v>
      </c>
      <c r="J11681" t="s">
        <v>18</v>
      </c>
      <c r="K11681" t="s">
        <v>33</v>
      </c>
      <c r="L11681" t="s">
        <v>70</v>
      </c>
      <c r="N11681" t="s">
        <v>29</v>
      </c>
    </row>
    <row r="11682" spans="1:14">
      <c r="A11682" s="4" t="str">
        <f t="shared" si="1031"/>
        <v>EXP00385</v>
      </c>
      <c r="B11682" s="3" t="s">
        <v>66</v>
      </c>
      <c r="C11682" s="4" t="str">
        <f t="shared" si="1030"/>
        <v>GSE87211</v>
      </c>
      <c r="D11682" s="1" t="s">
        <v>239</v>
      </c>
      <c r="E11682" t="s">
        <v>68</v>
      </c>
      <c r="F11682" s="1">
        <v>2</v>
      </c>
      <c r="G11682" s="1" t="s">
        <v>32</v>
      </c>
      <c r="H11682" s="4" t="str">
        <f>HYPERLINK("https://www.ncbi.nlm.nih.gov/geo/query/acc.cgi?acc=GSM2325365","GSM2325365")</f>
        <v>GSM2325365</v>
      </c>
      <c r="I11682" t="s">
        <v>69</v>
      </c>
      <c r="J11682" t="s">
        <v>18</v>
      </c>
      <c r="K11682" t="s">
        <v>33</v>
      </c>
      <c r="L11682" t="s">
        <v>70</v>
      </c>
      <c r="N11682" t="s">
        <v>29</v>
      </c>
    </row>
    <row r="11683" spans="1:14">
      <c r="A11683" s="4" t="str">
        <f t="shared" si="1031"/>
        <v>EXP00385</v>
      </c>
      <c r="B11683" s="3" t="s">
        <v>66</v>
      </c>
      <c r="C11683" s="4" t="str">
        <f t="shared" si="1030"/>
        <v>GSE87211</v>
      </c>
      <c r="D11683" s="1" t="s">
        <v>239</v>
      </c>
      <c r="E11683" t="s">
        <v>68</v>
      </c>
      <c r="F11683" s="1">
        <v>2</v>
      </c>
      <c r="G11683" s="1" t="s">
        <v>32</v>
      </c>
      <c r="H11683" s="4" t="str">
        <f>HYPERLINK("https://www.ncbi.nlm.nih.gov/geo/query/acc.cgi?acc=GSM2325366","GSM2325366")</f>
        <v>GSM2325366</v>
      </c>
      <c r="I11683" t="s">
        <v>69</v>
      </c>
      <c r="J11683" t="s">
        <v>18</v>
      </c>
      <c r="K11683" t="s">
        <v>33</v>
      </c>
      <c r="L11683" t="s">
        <v>70</v>
      </c>
      <c r="N11683" t="s">
        <v>29</v>
      </c>
    </row>
    <row r="11684" spans="1:14">
      <c r="A11684" s="4" t="str">
        <f t="shared" si="1031"/>
        <v>EXP00385</v>
      </c>
      <c r="B11684" s="3" t="s">
        <v>66</v>
      </c>
      <c r="C11684" s="4" t="str">
        <f t="shared" si="1030"/>
        <v>GSE87211</v>
      </c>
      <c r="D11684" s="1" t="s">
        <v>239</v>
      </c>
      <c r="E11684" t="s">
        <v>68</v>
      </c>
      <c r="F11684" s="1">
        <v>2</v>
      </c>
      <c r="G11684" s="1" t="s">
        <v>32</v>
      </c>
      <c r="H11684" s="4" t="str">
        <f>HYPERLINK("https://www.ncbi.nlm.nih.gov/geo/query/acc.cgi?acc=GSM2325367","GSM2325367")</f>
        <v>GSM2325367</v>
      </c>
      <c r="I11684" t="s">
        <v>69</v>
      </c>
      <c r="J11684" t="s">
        <v>18</v>
      </c>
      <c r="K11684" t="s">
        <v>33</v>
      </c>
      <c r="L11684" t="s">
        <v>70</v>
      </c>
      <c r="N11684" t="s">
        <v>29</v>
      </c>
    </row>
    <row r="11685" spans="1:14">
      <c r="A11685" s="4" t="str">
        <f t="shared" si="1031"/>
        <v>EXP00385</v>
      </c>
      <c r="B11685" s="3" t="s">
        <v>66</v>
      </c>
      <c r="C11685" s="4" t="str">
        <f t="shared" si="1030"/>
        <v>GSE87211</v>
      </c>
      <c r="D11685" s="1" t="s">
        <v>239</v>
      </c>
      <c r="E11685" t="s">
        <v>68</v>
      </c>
      <c r="F11685" s="1">
        <v>2</v>
      </c>
      <c r="G11685" s="1" t="s">
        <v>32</v>
      </c>
      <c r="H11685" s="4" t="str">
        <f>HYPERLINK("https://www.ncbi.nlm.nih.gov/geo/query/acc.cgi?acc=GSM2325368","GSM2325368")</f>
        <v>GSM2325368</v>
      </c>
      <c r="I11685" t="s">
        <v>69</v>
      </c>
      <c r="J11685" t="s">
        <v>18</v>
      </c>
      <c r="K11685" t="s">
        <v>33</v>
      </c>
      <c r="L11685" t="s">
        <v>70</v>
      </c>
      <c r="N11685" t="s">
        <v>29</v>
      </c>
    </row>
    <row r="11686" spans="1:14">
      <c r="A11686" s="4" t="str">
        <f t="shared" si="1031"/>
        <v>EXP00385</v>
      </c>
      <c r="B11686" s="3" t="s">
        <v>66</v>
      </c>
      <c r="C11686" s="4" t="str">
        <f t="shared" si="1030"/>
        <v>GSE87211</v>
      </c>
      <c r="D11686" s="1" t="s">
        <v>239</v>
      </c>
      <c r="E11686" t="s">
        <v>68</v>
      </c>
      <c r="F11686" s="1">
        <v>2</v>
      </c>
      <c r="G11686" s="1" t="s">
        <v>32</v>
      </c>
      <c r="H11686" s="4" t="str">
        <f>HYPERLINK("https://www.ncbi.nlm.nih.gov/geo/query/acc.cgi?acc=GSM2325369","GSM2325369")</f>
        <v>GSM2325369</v>
      </c>
      <c r="I11686" t="s">
        <v>69</v>
      </c>
      <c r="J11686" t="s">
        <v>18</v>
      </c>
      <c r="K11686" t="s">
        <v>33</v>
      </c>
      <c r="L11686" t="s">
        <v>70</v>
      </c>
      <c r="N11686" t="s">
        <v>29</v>
      </c>
    </row>
    <row r="11687" spans="1:14">
      <c r="A11687" s="4" t="str">
        <f t="shared" si="1031"/>
        <v>EXP00385</v>
      </c>
      <c r="B11687" s="3" t="s">
        <v>66</v>
      </c>
      <c r="C11687" s="4" t="str">
        <f t="shared" si="1030"/>
        <v>GSE87211</v>
      </c>
      <c r="D11687" s="1" t="s">
        <v>239</v>
      </c>
      <c r="E11687" t="s">
        <v>68</v>
      </c>
      <c r="F11687" s="1">
        <v>2</v>
      </c>
      <c r="G11687" s="1" t="s">
        <v>32</v>
      </c>
      <c r="H11687" s="4" t="str">
        <f>HYPERLINK("https://www.ncbi.nlm.nih.gov/geo/query/acc.cgi?acc=GSM2325370","GSM2325370")</f>
        <v>GSM2325370</v>
      </c>
      <c r="I11687" t="s">
        <v>69</v>
      </c>
      <c r="J11687" t="s">
        <v>18</v>
      </c>
      <c r="K11687" t="s">
        <v>33</v>
      </c>
      <c r="L11687" t="s">
        <v>70</v>
      </c>
      <c r="N11687" t="s">
        <v>29</v>
      </c>
    </row>
    <row r="11688" spans="1:14">
      <c r="A11688" s="4" t="str">
        <f t="shared" si="1031"/>
        <v>EXP00385</v>
      </c>
      <c r="B11688" s="3" t="s">
        <v>66</v>
      </c>
      <c r="C11688" s="4" t="str">
        <f t="shared" si="1030"/>
        <v>GSE87211</v>
      </c>
      <c r="D11688" s="1" t="s">
        <v>239</v>
      </c>
      <c r="E11688" t="s">
        <v>68</v>
      </c>
      <c r="F11688" s="1">
        <v>2</v>
      </c>
      <c r="G11688" s="1" t="s">
        <v>32</v>
      </c>
      <c r="H11688" s="4" t="str">
        <f>HYPERLINK("https://www.ncbi.nlm.nih.gov/geo/query/acc.cgi?acc=GSM2325372","GSM2325372")</f>
        <v>GSM2325372</v>
      </c>
      <c r="I11688" t="s">
        <v>69</v>
      </c>
      <c r="J11688" t="s">
        <v>18</v>
      </c>
      <c r="K11688" t="s">
        <v>33</v>
      </c>
      <c r="L11688" t="s">
        <v>70</v>
      </c>
      <c r="N11688" t="s">
        <v>29</v>
      </c>
    </row>
    <row r="11689" spans="1:14">
      <c r="A11689" s="4" t="str">
        <f t="shared" si="1031"/>
        <v>EXP00385</v>
      </c>
      <c r="B11689" s="3" t="s">
        <v>66</v>
      </c>
      <c r="C11689" s="4" t="str">
        <f t="shared" si="1030"/>
        <v>GSE87211</v>
      </c>
      <c r="D11689" s="1" t="s">
        <v>239</v>
      </c>
      <c r="E11689" t="s">
        <v>68</v>
      </c>
      <c r="F11689" s="1">
        <v>2</v>
      </c>
      <c r="G11689" s="1" t="s">
        <v>32</v>
      </c>
      <c r="H11689" s="4" t="str">
        <f>HYPERLINK("https://www.ncbi.nlm.nih.gov/geo/query/acc.cgi?acc=GSM2325373","GSM2325373")</f>
        <v>GSM2325373</v>
      </c>
      <c r="I11689" t="s">
        <v>69</v>
      </c>
      <c r="J11689" t="s">
        <v>18</v>
      </c>
      <c r="K11689" t="s">
        <v>33</v>
      </c>
      <c r="L11689" t="s">
        <v>70</v>
      </c>
      <c r="N11689" t="s">
        <v>29</v>
      </c>
    </row>
    <row r="11690" spans="1:14">
      <c r="A11690" s="4" t="str">
        <f t="shared" si="1031"/>
        <v>EXP00385</v>
      </c>
      <c r="B11690" s="3" t="s">
        <v>66</v>
      </c>
      <c r="C11690" s="4" t="str">
        <f t="shared" si="1030"/>
        <v>GSE87211</v>
      </c>
      <c r="D11690" s="1" t="s">
        <v>239</v>
      </c>
      <c r="E11690" t="s">
        <v>68</v>
      </c>
      <c r="F11690" s="1">
        <v>2</v>
      </c>
      <c r="G11690" s="1" t="s">
        <v>32</v>
      </c>
      <c r="H11690" s="4" t="str">
        <f>HYPERLINK("https://www.ncbi.nlm.nih.gov/geo/query/acc.cgi?acc=GSM2325374","GSM2325374")</f>
        <v>GSM2325374</v>
      </c>
      <c r="I11690" t="s">
        <v>69</v>
      </c>
      <c r="J11690" t="s">
        <v>18</v>
      </c>
      <c r="K11690" t="s">
        <v>33</v>
      </c>
      <c r="L11690" t="s">
        <v>70</v>
      </c>
      <c r="N11690" t="s">
        <v>29</v>
      </c>
    </row>
    <row r="11691" spans="1:14">
      <c r="A11691" s="4" t="str">
        <f t="shared" si="1031"/>
        <v>EXP00385</v>
      </c>
      <c r="B11691" s="3" t="s">
        <v>66</v>
      </c>
      <c r="C11691" s="4" t="str">
        <f t="shared" si="1030"/>
        <v>GSE87211</v>
      </c>
      <c r="D11691" s="1" t="s">
        <v>239</v>
      </c>
      <c r="E11691" t="s">
        <v>68</v>
      </c>
      <c r="F11691" s="1">
        <v>2</v>
      </c>
      <c r="G11691" s="1" t="s">
        <v>32</v>
      </c>
      <c r="H11691" s="4" t="str">
        <f>HYPERLINK("https://www.ncbi.nlm.nih.gov/geo/query/acc.cgi?acc=GSM2325375","GSM2325375")</f>
        <v>GSM2325375</v>
      </c>
      <c r="I11691" t="s">
        <v>69</v>
      </c>
      <c r="J11691" t="s">
        <v>18</v>
      </c>
      <c r="K11691" t="s">
        <v>33</v>
      </c>
      <c r="L11691" t="s">
        <v>70</v>
      </c>
      <c r="N11691" t="s">
        <v>29</v>
      </c>
    </row>
    <row r="11692" spans="1:14">
      <c r="A11692" s="4" t="str">
        <f t="shared" si="1031"/>
        <v>EXP00385</v>
      </c>
      <c r="B11692" s="3" t="s">
        <v>66</v>
      </c>
      <c r="C11692" s="4" t="str">
        <f t="shared" si="1030"/>
        <v>GSE87211</v>
      </c>
      <c r="D11692" s="1" t="s">
        <v>239</v>
      </c>
      <c r="E11692" t="s">
        <v>68</v>
      </c>
      <c r="F11692" s="1">
        <v>2</v>
      </c>
      <c r="G11692" s="1" t="s">
        <v>32</v>
      </c>
      <c r="H11692" s="4" t="str">
        <f>HYPERLINK("https://www.ncbi.nlm.nih.gov/geo/query/acc.cgi?acc=GSM2325376","GSM2325376")</f>
        <v>GSM2325376</v>
      </c>
      <c r="I11692" t="s">
        <v>69</v>
      </c>
      <c r="J11692" t="s">
        <v>18</v>
      </c>
      <c r="K11692" t="s">
        <v>33</v>
      </c>
      <c r="L11692" t="s">
        <v>70</v>
      </c>
      <c r="N11692" t="s">
        <v>29</v>
      </c>
    </row>
    <row r="11693" spans="1:14">
      <c r="A11693" s="4" t="str">
        <f t="shared" si="1031"/>
        <v>EXP00385</v>
      </c>
      <c r="B11693" s="3" t="s">
        <v>66</v>
      </c>
      <c r="C11693" s="4" t="str">
        <f t="shared" si="1030"/>
        <v>GSE87211</v>
      </c>
      <c r="D11693" s="1" t="s">
        <v>239</v>
      </c>
      <c r="E11693" t="s">
        <v>68</v>
      </c>
      <c r="F11693" s="1">
        <v>2</v>
      </c>
      <c r="G11693" s="1" t="s">
        <v>32</v>
      </c>
      <c r="H11693" s="4" t="str">
        <f>HYPERLINK("https://www.ncbi.nlm.nih.gov/geo/query/acc.cgi?acc=GSM2325377","GSM2325377")</f>
        <v>GSM2325377</v>
      </c>
      <c r="I11693" t="s">
        <v>69</v>
      </c>
      <c r="J11693" t="s">
        <v>18</v>
      </c>
      <c r="K11693" t="s">
        <v>33</v>
      </c>
      <c r="L11693" t="s">
        <v>70</v>
      </c>
      <c r="N11693" t="s">
        <v>29</v>
      </c>
    </row>
    <row r="11694" spans="1:14">
      <c r="A11694" s="4" t="str">
        <f t="shared" si="1031"/>
        <v>EXP00385</v>
      </c>
      <c r="B11694" s="3" t="s">
        <v>66</v>
      </c>
      <c r="C11694" s="4" t="str">
        <f t="shared" si="1030"/>
        <v>GSE87211</v>
      </c>
      <c r="D11694" s="1" t="s">
        <v>239</v>
      </c>
      <c r="E11694" t="s">
        <v>68</v>
      </c>
      <c r="F11694" s="1">
        <v>2</v>
      </c>
      <c r="G11694" s="1" t="s">
        <v>32</v>
      </c>
      <c r="H11694" s="4" t="str">
        <f>HYPERLINK("https://www.ncbi.nlm.nih.gov/geo/query/acc.cgi?acc=GSM2325378","GSM2325378")</f>
        <v>GSM2325378</v>
      </c>
      <c r="I11694" t="s">
        <v>69</v>
      </c>
      <c r="J11694" t="s">
        <v>18</v>
      </c>
      <c r="K11694" t="s">
        <v>33</v>
      </c>
      <c r="L11694" t="s">
        <v>70</v>
      </c>
      <c r="N11694" t="s">
        <v>29</v>
      </c>
    </row>
    <row r="11695" spans="1:14">
      <c r="A11695" s="4" t="str">
        <f t="shared" si="1031"/>
        <v>EXP00385</v>
      </c>
      <c r="B11695" s="3" t="s">
        <v>66</v>
      </c>
      <c r="C11695" s="4" t="str">
        <f t="shared" si="1030"/>
        <v>GSE87211</v>
      </c>
      <c r="D11695" s="1" t="s">
        <v>239</v>
      </c>
      <c r="E11695" t="s">
        <v>68</v>
      </c>
      <c r="F11695" s="1">
        <v>2</v>
      </c>
      <c r="G11695" s="1" t="s">
        <v>32</v>
      </c>
      <c r="H11695" s="4" t="str">
        <f>HYPERLINK("https://www.ncbi.nlm.nih.gov/geo/query/acc.cgi?acc=GSM2325379","GSM2325379")</f>
        <v>GSM2325379</v>
      </c>
      <c r="I11695" t="s">
        <v>69</v>
      </c>
      <c r="J11695" t="s">
        <v>18</v>
      </c>
      <c r="K11695" t="s">
        <v>33</v>
      </c>
      <c r="L11695" t="s">
        <v>70</v>
      </c>
      <c r="N11695" t="s">
        <v>29</v>
      </c>
    </row>
    <row r="11696" spans="1:14">
      <c r="A11696" s="4" t="str">
        <f t="shared" si="1031"/>
        <v>EXP00385</v>
      </c>
      <c r="B11696" s="3" t="s">
        <v>66</v>
      </c>
      <c r="C11696" s="4" t="str">
        <f t="shared" si="1030"/>
        <v>GSE87211</v>
      </c>
      <c r="D11696" s="1" t="s">
        <v>239</v>
      </c>
      <c r="E11696" t="s">
        <v>68</v>
      </c>
      <c r="F11696" s="1">
        <v>2</v>
      </c>
      <c r="G11696" s="1" t="s">
        <v>32</v>
      </c>
      <c r="H11696" s="4" t="str">
        <f>HYPERLINK("https://www.ncbi.nlm.nih.gov/geo/query/acc.cgi?acc=GSM2325380","GSM2325380")</f>
        <v>GSM2325380</v>
      </c>
      <c r="I11696" t="s">
        <v>69</v>
      </c>
      <c r="J11696" t="s">
        <v>18</v>
      </c>
      <c r="K11696" t="s">
        <v>33</v>
      </c>
      <c r="L11696" t="s">
        <v>70</v>
      </c>
      <c r="N11696" t="s">
        <v>29</v>
      </c>
    </row>
    <row r="11697" spans="1:14">
      <c r="A11697" s="4" t="str">
        <f t="shared" si="1031"/>
        <v>EXP00385</v>
      </c>
      <c r="B11697" s="3" t="s">
        <v>66</v>
      </c>
      <c r="C11697" s="4" t="str">
        <f t="shared" si="1030"/>
        <v>GSE87211</v>
      </c>
      <c r="D11697" s="1" t="s">
        <v>239</v>
      </c>
      <c r="E11697" t="s">
        <v>68</v>
      </c>
      <c r="F11697" s="1">
        <v>2</v>
      </c>
      <c r="G11697" s="1" t="s">
        <v>32</v>
      </c>
      <c r="H11697" s="4" t="str">
        <f>HYPERLINK("https://www.ncbi.nlm.nih.gov/geo/query/acc.cgi?acc=GSM2325381","GSM2325381")</f>
        <v>GSM2325381</v>
      </c>
      <c r="I11697" t="s">
        <v>69</v>
      </c>
      <c r="J11697" t="s">
        <v>18</v>
      </c>
      <c r="K11697" t="s">
        <v>33</v>
      </c>
      <c r="L11697" t="s">
        <v>70</v>
      </c>
      <c r="N11697" t="s">
        <v>29</v>
      </c>
    </row>
    <row r="11698" spans="1:14">
      <c r="A11698" s="4" t="str">
        <f t="shared" si="1031"/>
        <v>EXP00385</v>
      </c>
      <c r="B11698" s="3" t="s">
        <v>66</v>
      </c>
      <c r="C11698" s="4" t="str">
        <f t="shared" si="1030"/>
        <v>GSE87211</v>
      </c>
      <c r="D11698" s="1" t="s">
        <v>239</v>
      </c>
      <c r="E11698" t="s">
        <v>68</v>
      </c>
      <c r="F11698" s="1">
        <v>2</v>
      </c>
      <c r="G11698" s="1" t="s">
        <v>32</v>
      </c>
      <c r="H11698" s="4" t="str">
        <f>HYPERLINK("https://www.ncbi.nlm.nih.gov/geo/query/acc.cgi?acc=GSM2325382","GSM2325382")</f>
        <v>GSM2325382</v>
      </c>
      <c r="I11698" t="s">
        <v>69</v>
      </c>
      <c r="J11698" t="s">
        <v>18</v>
      </c>
      <c r="K11698" t="s">
        <v>33</v>
      </c>
      <c r="L11698" t="s">
        <v>70</v>
      </c>
      <c r="N11698" t="s">
        <v>29</v>
      </c>
    </row>
    <row r="11699" spans="1:14">
      <c r="A11699" s="4" t="str">
        <f t="shared" si="1031"/>
        <v>EXP00385</v>
      </c>
      <c r="B11699" s="3" t="s">
        <v>66</v>
      </c>
      <c r="C11699" s="4" t="str">
        <f t="shared" si="1030"/>
        <v>GSE87211</v>
      </c>
      <c r="D11699" s="1" t="s">
        <v>239</v>
      </c>
      <c r="E11699" t="s">
        <v>68</v>
      </c>
      <c r="F11699" s="1">
        <v>2</v>
      </c>
      <c r="G11699" s="1" t="s">
        <v>32</v>
      </c>
      <c r="H11699" s="4" t="str">
        <f>HYPERLINK("https://www.ncbi.nlm.nih.gov/geo/query/acc.cgi?acc=GSM2325384","GSM2325384")</f>
        <v>GSM2325384</v>
      </c>
      <c r="I11699" t="s">
        <v>69</v>
      </c>
      <c r="J11699" t="s">
        <v>18</v>
      </c>
      <c r="K11699" t="s">
        <v>33</v>
      </c>
      <c r="L11699" t="s">
        <v>70</v>
      </c>
      <c r="N11699" t="s">
        <v>29</v>
      </c>
    </row>
    <row r="11700" spans="1:14">
      <c r="A11700" s="4" t="str">
        <f t="shared" si="1031"/>
        <v>EXP00385</v>
      </c>
      <c r="B11700" s="3" t="s">
        <v>66</v>
      </c>
      <c r="C11700" s="4" t="str">
        <f t="shared" si="1030"/>
        <v>GSE87211</v>
      </c>
      <c r="D11700" s="1" t="s">
        <v>239</v>
      </c>
      <c r="E11700" t="s">
        <v>68</v>
      </c>
      <c r="F11700" s="1">
        <v>2</v>
      </c>
      <c r="G11700" s="1" t="s">
        <v>32</v>
      </c>
      <c r="H11700" s="4" t="str">
        <f>HYPERLINK("https://www.ncbi.nlm.nih.gov/geo/query/acc.cgi?acc=GSM2325385","GSM2325385")</f>
        <v>GSM2325385</v>
      </c>
      <c r="I11700" t="s">
        <v>69</v>
      </c>
      <c r="J11700" t="s">
        <v>18</v>
      </c>
      <c r="K11700" t="s">
        <v>33</v>
      </c>
      <c r="L11700" t="s">
        <v>70</v>
      </c>
      <c r="N11700" t="s">
        <v>29</v>
      </c>
    </row>
    <row r="11701" spans="1:14">
      <c r="A11701" s="4" t="str">
        <f t="shared" si="1031"/>
        <v>EXP00385</v>
      </c>
      <c r="B11701" s="3" t="s">
        <v>66</v>
      </c>
      <c r="C11701" s="4" t="str">
        <f t="shared" si="1030"/>
        <v>GSE87211</v>
      </c>
      <c r="D11701" s="1" t="s">
        <v>239</v>
      </c>
      <c r="E11701" t="s">
        <v>68</v>
      </c>
      <c r="F11701" s="1">
        <v>2</v>
      </c>
      <c r="G11701" s="1" t="s">
        <v>32</v>
      </c>
      <c r="H11701" s="4" t="str">
        <f>HYPERLINK("https://www.ncbi.nlm.nih.gov/geo/query/acc.cgi?acc=GSM2325386","GSM2325386")</f>
        <v>GSM2325386</v>
      </c>
      <c r="I11701" t="s">
        <v>69</v>
      </c>
      <c r="J11701" t="s">
        <v>18</v>
      </c>
      <c r="K11701" t="s">
        <v>33</v>
      </c>
      <c r="L11701" t="s">
        <v>70</v>
      </c>
      <c r="N11701" t="s">
        <v>29</v>
      </c>
    </row>
    <row r="11702" spans="1:14">
      <c r="A11702" s="4" t="str">
        <f t="shared" si="1031"/>
        <v>EXP00385</v>
      </c>
      <c r="B11702" s="3" t="s">
        <v>66</v>
      </c>
      <c r="C11702" s="4" t="str">
        <f t="shared" si="1030"/>
        <v>GSE87211</v>
      </c>
      <c r="D11702" s="1" t="s">
        <v>239</v>
      </c>
      <c r="E11702" t="s">
        <v>68</v>
      </c>
      <c r="F11702" s="1">
        <v>2</v>
      </c>
      <c r="G11702" s="1" t="s">
        <v>32</v>
      </c>
      <c r="H11702" s="4" t="str">
        <f>HYPERLINK("https://www.ncbi.nlm.nih.gov/geo/query/acc.cgi?acc=GSM2325387","GSM2325387")</f>
        <v>GSM2325387</v>
      </c>
      <c r="I11702" t="s">
        <v>69</v>
      </c>
      <c r="J11702" t="s">
        <v>18</v>
      </c>
      <c r="K11702" t="s">
        <v>33</v>
      </c>
      <c r="L11702" t="s">
        <v>70</v>
      </c>
      <c r="N11702" t="s">
        <v>29</v>
      </c>
    </row>
    <row r="11703" spans="1:14">
      <c r="A11703" s="4" t="str">
        <f t="shared" si="1031"/>
        <v>EXP00385</v>
      </c>
      <c r="B11703" s="3" t="s">
        <v>66</v>
      </c>
      <c r="C11703" s="4" t="str">
        <f t="shared" si="1030"/>
        <v>GSE87211</v>
      </c>
      <c r="D11703" s="1" t="s">
        <v>239</v>
      </c>
      <c r="E11703" t="s">
        <v>68</v>
      </c>
      <c r="F11703" s="1">
        <v>2</v>
      </c>
      <c r="G11703" s="1" t="s">
        <v>32</v>
      </c>
      <c r="H11703" s="4" t="str">
        <f>HYPERLINK("https://www.ncbi.nlm.nih.gov/geo/query/acc.cgi?acc=GSM2325388","GSM2325388")</f>
        <v>GSM2325388</v>
      </c>
      <c r="I11703" t="s">
        <v>69</v>
      </c>
      <c r="J11703" t="s">
        <v>18</v>
      </c>
      <c r="K11703" t="s">
        <v>33</v>
      </c>
      <c r="L11703" t="s">
        <v>70</v>
      </c>
      <c r="N11703" t="s">
        <v>29</v>
      </c>
    </row>
    <row r="11704" spans="1:14">
      <c r="A11704" s="4" t="str">
        <f t="shared" si="1031"/>
        <v>EXP00385</v>
      </c>
      <c r="B11704" s="3" t="s">
        <v>66</v>
      </c>
      <c r="C11704" s="4" t="str">
        <f t="shared" si="1030"/>
        <v>GSE87211</v>
      </c>
      <c r="D11704" s="1" t="s">
        <v>239</v>
      </c>
      <c r="E11704" t="s">
        <v>68</v>
      </c>
      <c r="F11704" s="1">
        <v>2</v>
      </c>
      <c r="G11704" s="1" t="s">
        <v>32</v>
      </c>
      <c r="H11704" s="4" t="str">
        <f>HYPERLINK("https://www.ncbi.nlm.nih.gov/geo/query/acc.cgi?acc=GSM2325389","GSM2325389")</f>
        <v>GSM2325389</v>
      </c>
      <c r="I11704" t="s">
        <v>69</v>
      </c>
      <c r="J11704" t="s">
        <v>18</v>
      </c>
      <c r="K11704" t="s">
        <v>33</v>
      </c>
      <c r="L11704" t="s">
        <v>70</v>
      </c>
      <c r="N11704" t="s">
        <v>29</v>
      </c>
    </row>
    <row r="11705" spans="1:14">
      <c r="A11705" s="4" t="str">
        <f t="shared" si="1031"/>
        <v>EXP00385</v>
      </c>
      <c r="B11705" s="3" t="s">
        <v>66</v>
      </c>
      <c r="C11705" s="4" t="str">
        <f t="shared" si="1030"/>
        <v>GSE87211</v>
      </c>
      <c r="D11705" s="1" t="s">
        <v>239</v>
      </c>
      <c r="E11705" t="s">
        <v>68</v>
      </c>
      <c r="F11705" s="1">
        <v>2</v>
      </c>
      <c r="G11705" s="1" t="s">
        <v>32</v>
      </c>
      <c r="H11705" s="4" t="str">
        <f>HYPERLINK("https://www.ncbi.nlm.nih.gov/geo/query/acc.cgi?acc=GSM2325390","GSM2325390")</f>
        <v>GSM2325390</v>
      </c>
      <c r="I11705" t="s">
        <v>69</v>
      </c>
      <c r="J11705" t="s">
        <v>18</v>
      </c>
      <c r="K11705" t="s">
        <v>33</v>
      </c>
      <c r="L11705" t="s">
        <v>70</v>
      </c>
      <c r="N11705" t="s">
        <v>29</v>
      </c>
    </row>
    <row r="11706" spans="1:14">
      <c r="A11706" s="4" t="str">
        <f t="shared" si="1031"/>
        <v>EXP00385</v>
      </c>
      <c r="B11706" s="3" t="s">
        <v>66</v>
      </c>
      <c r="C11706" s="4" t="str">
        <f t="shared" si="1030"/>
        <v>GSE87211</v>
      </c>
      <c r="D11706" s="1" t="s">
        <v>239</v>
      </c>
      <c r="E11706" t="s">
        <v>68</v>
      </c>
      <c r="F11706" s="1">
        <v>2</v>
      </c>
      <c r="G11706" s="1" t="s">
        <v>32</v>
      </c>
      <c r="H11706" s="4" t="str">
        <f>HYPERLINK("https://www.ncbi.nlm.nih.gov/geo/query/acc.cgi?acc=GSM2325391","GSM2325391")</f>
        <v>GSM2325391</v>
      </c>
      <c r="I11706" t="s">
        <v>69</v>
      </c>
      <c r="J11706" t="s">
        <v>18</v>
      </c>
      <c r="K11706" t="s">
        <v>33</v>
      </c>
      <c r="L11706" t="s">
        <v>70</v>
      </c>
      <c r="N11706" t="s">
        <v>29</v>
      </c>
    </row>
    <row r="11707" spans="1:14">
      <c r="A11707" s="4" t="str">
        <f t="shared" si="1031"/>
        <v>EXP00385</v>
      </c>
      <c r="B11707" s="3" t="s">
        <v>66</v>
      </c>
      <c r="C11707" s="4" t="str">
        <f t="shared" si="1030"/>
        <v>GSE87211</v>
      </c>
      <c r="D11707" s="1" t="s">
        <v>239</v>
      </c>
      <c r="E11707" t="s">
        <v>68</v>
      </c>
      <c r="F11707" s="1">
        <v>2</v>
      </c>
      <c r="G11707" s="1" t="s">
        <v>32</v>
      </c>
      <c r="H11707" s="4" t="str">
        <f>HYPERLINK("https://www.ncbi.nlm.nih.gov/geo/query/acc.cgi?acc=GSM2325392","GSM2325392")</f>
        <v>GSM2325392</v>
      </c>
      <c r="I11707" t="s">
        <v>69</v>
      </c>
      <c r="J11707" t="s">
        <v>18</v>
      </c>
      <c r="K11707" t="s">
        <v>33</v>
      </c>
      <c r="L11707" t="s">
        <v>70</v>
      </c>
      <c r="N11707" t="s">
        <v>29</v>
      </c>
    </row>
    <row r="11708" spans="1:14">
      <c r="A11708" s="4" t="str">
        <f t="shared" si="1031"/>
        <v>EXP00385</v>
      </c>
      <c r="B11708" s="3" t="s">
        <v>66</v>
      </c>
      <c r="C11708" s="4" t="str">
        <f t="shared" si="1030"/>
        <v>GSE87211</v>
      </c>
      <c r="D11708" s="1" t="s">
        <v>239</v>
      </c>
      <c r="E11708" t="s">
        <v>68</v>
      </c>
      <c r="F11708" s="1">
        <v>2</v>
      </c>
      <c r="G11708" s="1" t="s">
        <v>32</v>
      </c>
      <c r="H11708" s="4" t="str">
        <f>HYPERLINK("https://www.ncbi.nlm.nih.gov/geo/query/acc.cgi?acc=GSM2325393","GSM2325393")</f>
        <v>GSM2325393</v>
      </c>
      <c r="I11708" t="s">
        <v>69</v>
      </c>
      <c r="J11708" t="s">
        <v>18</v>
      </c>
      <c r="K11708" t="s">
        <v>33</v>
      </c>
      <c r="L11708" t="s">
        <v>70</v>
      </c>
      <c r="N11708" t="s">
        <v>29</v>
      </c>
    </row>
    <row r="11709" spans="1:14">
      <c r="A11709" s="4" t="str">
        <f t="shared" si="1031"/>
        <v>EXP00385</v>
      </c>
      <c r="B11709" s="3" t="s">
        <v>66</v>
      </c>
      <c r="C11709" s="4" t="str">
        <f t="shared" si="1030"/>
        <v>GSE87211</v>
      </c>
      <c r="D11709" s="1" t="s">
        <v>239</v>
      </c>
      <c r="E11709" t="s">
        <v>68</v>
      </c>
      <c r="F11709" s="1">
        <v>2</v>
      </c>
      <c r="G11709" s="1" t="s">
        <v>32</v>
      </c>
      <c r="H11709" s="4" t="str">
        <f>HYPERLINK("https://www.ncbi.nlm.nih.gov/geo/query/acc.cgi?acc=GSM2325394","GSM2325394")</f>
        <v>GSM2325394</v>
      </c>
      <c r="I11709" t="s">
        <v>69</v>
      </c>
      <c r="J11709" t="s">
        <v>18</v>
      </c>
      <c r="K11709" t="s">
        <v>33</v>
      </c>
      <c r="L11709" t="s">
        <v>70</v>
      </c>
      <c r="N11709" t="s">
        <v>29</v>
      </c>
    </row>
    <row r="11710" spans="1:14">
      <c r="A11710" s="4" t="str">
        <f t="shared" si="1031"/>
        <v>EXP00385</v>
      </c>
      <c r="B11710" s="3" t="s">
        <v>66</v>
      </c>
      <c r="C11710" s="4" t="str">
        <f t="shared" si="1030"/>
        <v>GSE87211</v>
      </c>
      <c r="D11710" s="1" t="s">
        <v>239</v>
      </c>
      <c r="E11710" t="s">
        <v>68</v>
      </c>
      <c r="F11710" s="1">
        <v>2</v>
      </c>
      <c r="G11710" s="1" t="s">
        <v>32</v>
      </c>
      <c r="H11710" s="4" t="str">
        <f>HYPERLINK("https://www.ncbi.nlm.nih.gov/geo/query/acc.cgi?acc=GSM2325395","GSM2325395")</f>
        <v>GSM2325395</v>
      </c>
      <c r="I11710" t="s">
        <v>69</v>
      </c>
      <c r="J11710" t="s">
        <v>18</v>
      </c>
      <c r="K11710" t="s">
        <v>33</v>
      </c>
      <c r="L11710" t="s">
        <v>70</v>
      </c>
      <c r="N11710" t="s">
        <v>29</v>
      </c>
    </row>
    <row r="11711" spans="1:14">
      <c r="A11711" s="4" t="str">
        <f t="shared" si="1031"/>
        <v>EXP00385</v>
      </c>
      <c r="B11711" s="3" t="s">
        <v>66</v>
      </c>
      <c r="C11711" s="4" t="str">
        <f t="shared" si="1030"/>
        <v>GSE87211</v>
      </c>
      <c r="D11711" s="1" t="s">
        <v>239</v>
      </c>
      <c r="E11711" t="s">
        <v>68</v>
      </c>
      <c r="F11711" s="1">
        <v>2</v>
      </c>
      <c r="G11711" s="1" t="s">
        <v>32</v>
      </c>
      <c r="H11711" s="4" t="str">
        <f>HYPERLINK("https://www.ncbi.nlm.nih.gov/geo/query/acc.cgi?acc=GSM2325396","GSM2325396")</f>
        <v>GSM2325396</v>
      </c>
      <c r="I11711" t="s">
        <v>69</v>
      </c>
      <c r="J11711" t="s">
        <v>18</v>
      </c>
      <c r="K11711" t="s">
        <v>33</v>
      </c>
      <c r="L11711" t="s">
        <v>70</v>
      </c>
      <c r="N11711" t="s">
        <v>29</v>
      </c>
    </row>
    <row r="11712" spans="1:14">
      <c r="A11712" s="4" t="str">
        <f t="shared" si="1031"/>
        <v>EXP00385</v>
      </c>
      <c r="B11712" s="3" t="s">
        <v>66</v>
      </c>
      <c r="C11712" s="4" t="str">
        <f t="shared" si="1030"/>
        <v>GSE87211</v>
      </c>
      <c r="D11712" s="1" t="s">
        <v>239</v>
      </c>
      <c r="E11712" t="s">
        <v>68</v>
      </c>
      <c r="F11712" s="1">
        <v>2</v>
      </c>
      <c r="G11712" s="1" t="s">
        <v>32</v>
      </c>
      <c r="H11712" s="4" t="str">
        <f>HYPERLINK("https://www.ncbi.nlm.nih.gov/geo/query/acc.cgi?acc=GSM2325397","GSM2325397")</f>
        <v>GSM2325397</v>
      </c>
      <c r="I11712" t="s">
        <v>69</v>
      </c>
      <c r="J11712" t="s">
        <v>18</v>
      </c>
      <c r="K11712" t="s">
        <v>33</v>
      </c>
      <c r="L11712" t="s">
        <v>70</v>
      </c>
      <c r="N11712" t="s">
        <v>29</v>
      </c>
    </row>
    <row r="11713" spans="1:14">
      <c r="A11713" s="4" t="str">
        <f t="shared" si="1031"/>
        <v>EXP00385</v>
      </c>
      <c r="B11713" s="3" t="s">
        <v>66</v>
      </c>
      <c r="C11713" s="4" t="str">
        <f t="shared" si="1030"/>
        <v>GSE87211</v>
      </c>
      <c r="D11713" s="1" t="s">
        <v>239</v>
      </c>
      <c r="E11713" t="s">
        <v>68</v>
      </c>
      <c r="F11713" s="1">
        <v>2</v>
      </c>
      <c r="G11713" s="1" t="s">
        <v>32</v>
      </c>
      <c r="H11713" s="4" t="str">
        <f>HYPERLINK("https://www.ncbi.nlm.nih.gov/geo/query/acc.cgi?acc=GSM2325398","GSM2325398")</f>
        <v>GSM2325398</v>
      </c>
      <c r="I11713" t="s">
        <v>69</v>
      </c>
      <c r="J11713" t="s">
        <v>18</v>
      </c>
      <c r="K11713" t="s">
        <v>33</v>
      </c>
      <c r="L11713" t="s">
        <v>70</v>
      </c>
      <c r="N11713" t="s">
        <v>29</v>
      </c>
    </row>
    <row r="11714" spans="1:14">
      <c r="A11714" s="4" t="str">
        <f t="shared" si="1031"/>
        <v>EXP00385</v>
      </c>
      <c r="B11714" s="3" t="s">
        <v>66</v>
      </c>
      <c r="C11714" s="4" t="str">
        <f t="shared" ref="C11714:C11777" si="1032">HYPERLINK("https://www.ncbi.nlm.nih.gov/geo/query/acc.cgi?acc=GSE87211","GSE87211")</f>
        <v>GSE87211</v>
      </c>
      <c r="D11714" s="1" t="s">
        <v>239</v>
      </c>
      <c r="E11714" t="s">
        <v>68</v>
      </c>
      <c r="F11714" s="1">
        <v>2</v>
      </c>
      <c r="G11714" s="1" t="s">
        <v>32</v>
      </c>
      <c r="H11714" s="4" t="str">
        <f>HYPERLINK("https://www.ncbi.nlm.nih.gov/geo/query/acc.cgi?acc=GSM2325399","GSM2325399")</f>
        <v>GSM2325399</v>
      </c>
      <c r="I11714" t="s">
        <v>69</v>
      </c>
      <c r="J11714" t="s">
        <v>18</v>
      </c>
      <c r="K11714" t="s">
        <v>33</v>
      </c>
      <c r="L11714" t="s">
        <v>70</v>
      </c>
      <c r="N11714" t="s">
        <v>29</v>
      </c>
    </row>
    <row r="11715" spans="1:14">
      <c r="A11715" s="4" t="str">
        <f t="shared" si="1031"/>
        <v>EXP00385</v>
      </c>
      <c r="B11715" s="3" t="s">
        <v>66</v>
      </c>
      <c r="C11715" s="4" t="str">
        <f t="shared" si="1032"/>
        <v>GSE87211</v>
      </c>
      <c r="D11715" s="1" t="s">
        <v>239</v>
      </c>
      <c r="E11715" t="s">
        <v>68</v>
      </c>
      <c r="F11715" s="1">
        <v>2</v>
      </c>
      <c r="G11715" s="1" t="s">
        <v>32</v>
      </c>
      <c r="H11715" s="4" t="str">
        <f>HYPERLINK("https://www.ncbi.nlm.nih.gov/geo/query/acc.cgi?acc=GSM2325400","GSM2325400")</f>
        <v>GSM2325400</v>
      </c>
      <c r="I11715" t="s">
        <v>69</v>
      </c>
      <c r="J11715" t="s">
        <v>18</v>
      </c>
      <c r="K11715" t="s">
        <v>33</v>
      </c>
      <c r="L11715" t="s">
        <v>70</v>
      </c>
      <c r="N11715" t="s">
        <v>29</v>
      </c>
    </row>
    <row r="11716" spans="1:14">
      <c r="A11716" s="4" t="str">
        <f t="shared" si="1031"/>
        <v>EXP00385</v>
      </c>
      <c r="B11716" s="3" t="s">
        <v>66</v>
      </c>
      <c r="C11716" s="4" t="str">
        <f t="shared" si="1032"/>
        <v>GSE87211</v>
      </c>
      <c r="D11716" s="1" t="s">
        <v>239</v>
      </c>
      <c r="E11716" t="s">
        <v>68</v>
      </c>
      <c r="F11716" s="1">
        <v>2</v>
      </c>
      <c r="G11716" s="1" t="s">
        <v>32</v>
      </c>
      <c r="H11716" s="4" t="str">
        <f>HYPERLINK("https://www.ncbi.nlm.nih.gov/geo/query/acc.cgi?acc=GSM2325401","GSM2325401")</f>
        <v>GSM2325401</v>
      </c>
      <c r="I11716" t="s">
        <v>69</v>
      </c>
      <c r="J11716" t="s">
        <v>18</v>
      </c>
      <c r="K11716" t="s">
        <v>33</v>
      </c>
      <c r="L11716" t="s">
        <v>70</v>
      </c>
      <c r="N11716" t="s">
        <v>29</v>
      </c>
    </row>
    <row r="11717" spans="1:14">
      <c r="A11717" s="4" t="str">
        <f t="shared" si="1031"/>
        <v>EXP00385</v>
      </c>
      <c r="B11717" s="3" t="s">
        <v>66</v>
      </c>
      <c r="C11717" s="4" t="str">
        <f t="shared" si="1032"/>
        <v>GSE87211</v>
      </c>
      <c r="D11717" s="1" t="s">
        <v>239</v>
      </c>
      <c r="E11717" t="s">
        <v>68</v>
      </c>
      <c r="F11717" s="1">
        <v>2</v>
      </c>
      <c r="G11717" s="1" t="s">
        <v>32</v>
      </c>
      <c r="H11717" s="4" t="str">
        <f>HYPERLINK("https://www.ncbi.nlm.nih.gov/geo/query/acc.cgi?acc=GSM2325402","GSM2325402")</f>
        <v>GSM2325402</v>
      </c>
      <c r="I11717" t="s">
        <v>69</v>
      </c>
      <c r="J11717" t="s">
        <v>18</v>
      </c>
      <c r="K11717" t="s">
        <v>33</v>
      </c>
      <c r="L11717" t="s">
        <v>70</v>
      </c>
      <c r="N11717" t="s">
        <v>29</v>
      </c>
    </row>
    <row r="11718" spans="1:14">
      <c r="A11718" s="4" t="str">
        <f t="shared" si="1031"/>
        <v>EXP00385</v>
      </c>
      <c r="B11718" s="3" t="s">
        <v>66</v>
      </c>
      <c r="C11718" s="4" t="str">
        <f t="shared" si="1032"/>
        <v>GSE87211</v>
      </c>
      <c r="D11718" s="1" t="s">
        <v>239</v>
      </c>
      <c r="E11718" t="s">
        <v>68</v>
      </c>
      <c r="F11718" s="1">
        <v>2</v>
      </c>
      <c r="G11718" s="1" t="s">
        <v>32</v>
      </c>
      <c r="H11718" s="4" t="str">
        <f>HYPERLINK("https://www.ncbi.nlm.nih.gov/geo/query/acc.cgi?acc=GSM2325403","GSM2325403")</f>
        <v>GSM2325403</v>
      </c>
      <c r="I11718" t="s">
        <v>69</v>
      </c>
      <c r="J11718" t="s">
        <v>18</v>
      </c>
      <c r="K11718" t="s">
        <v>33</v>
      </c>
      <c r="L11718" t="s">
        <v>70</v>
      </c>
      <c r="N11718" t="s">
        <v>29</v>
      </c>
    </row>
    <row r="11719" spans="1:14">
      <c r="A11719" s="4" t="str">
        <f t="shared" si="1031"/>
        <v>EXP00385</v>
      </c>
      <c r="B11719" s="3" t="s">
        <v>66</v>
      </c>
      <c r="C11719" s="4" t="str">
        <f t="shared" si="1032"/>
        <v>GSE87211</v>
      </c>
      <c r="D11719" s="1" t="s">
        <v>239</v>
      </c>
      <c r="E11719" t="s">
        <v>68</v>
      </c>
      <c r="F11719" s="1">
        <v>2</v>
      </c>
      <c r="G11719" s="1" t="s">
        <v>32</v>
      </c>
      <c r="H11719" s="4" t="str">
        <f>HYPERLINK("https://www.ncbi.nlm.nih.gov/geo/query/acc.cgi?acc=GSM2325404","GSM2325404")</f>
        <v>GSM2325404</v>
      </c>
      <c r="I11719" t="s">
        <v>69</v>
      </c>
      <c r="J11719" t="s">
        <v>18</v>
      </c>
      <c r="K11719" t="s">
        <v>33</v>
      </c>
      <c r="L11719" t="s">
        <v>70</v>
      </c>
      <c r="N11719" t="s">
        <v>29</v>
      </c>
    </row>
    <row r="11720" spans="1:14">
      <c r="A11720" s="4" t="str">
        <f t="shared" si="1031"/>
        <v>EXP00385</v>
      </c>
      <c r="B11720" s="3" t="s">
        <v>66</v>
      </c>
      <c r="C11720" s="4" t="str">
        <f t="shared" si="1032"/>
        <v>GSE87211</v>
      </c>
      <c r="D11720" s="1" t="s">
        <v>239</v>
      </c>
      <c r="E11720" t="s">
        <v>68</v>
      </c>
      <c r="F11720" s="1">
        <v>2</v>
      </c>
      <c r="G11720" s="1" t="s">
        <v>32</v>
      </c>
      <c r="H11720" s="4" t="str">
        <f>HYPERLINK("https://www.ncbi.nlm.nih.gov/geo/query/acc.cgi?acc=GSM2325405","GSM2325405")</f>
        <v>GSM2325405</v>
      </c>
      <c r="I11720" t="s">
        <v>69</v>
      </c>
      <c r="J11720" t="s">
        <v>18</v>
      </c>
      <c r="K11720" t="s">
        <v>33</v>
      </c>
      <c r="L11720" t="s">
        <v>70</v>
      </c>
      <c r="N11720" t="s">
        <v>29</v>
      </c>
    </row>
    <row r="11721" spans="1:14">
      <c r="A11721" s="4" t="str">
        <f t="shared" si="1031"/>
        <v>EXP00385</v>
      </c>
      <c r="B11721" s="3" t="s">
        <v>66</v>
      </c>
      <c r="C11721" s="4" t="str">
        <f t="shared" si="1032"/>
        <v>GSE87211</v>
      </c>
      <c r="D11721" s="1" t="s">
        <v>239</v>
      </c>
      <c r="E11721" t="s">
        <v>68</v>
      </c>
      <c r="F11721" s="1">
        <v>2</v>
      </c>
      <c r="G11721" s="1" t="s">
        <v>32</v>
      </c>
      <c r="H11721" s="4" t="str">
        <f>HYPERLINK("https://www.ncbi.nlm.nih.gov/geo/query/acc.cgi?acc=GSM2325406","GSM2325406")</f>
        <v>GSM2325406</v>
      </c>
      <c r="I11721" t="s">
        <v>69</v>
      </c>
      <c r="J11721" t="s">
        <v>18</v>
      </c>
      <c r="K11721" t="s">
        <v>33</v>
      </c>
      <c r="L11721" t="s">
        <v>70</v>
      </c>
      <c r="N11721" t="s">
        <v>29</v>
      </c>
    </row>
    <row r="11722" spans="1:14">
      <c r="A11722" s="4" t="str">
        <f t="shared" si="1031"/>
        <v>EXP00385</v>
      </c>
      <c r="B11722" s="3" t="s">
        <v>66</v>
      </c>
      <c r="C11722" s="4" t="str">
        <f t="shared" si="1032"/>
        <v>GSE87211</v>
      </c>
      <c r="D11722" s="1" t="s">
        <v>239</v>
      </c>
      <c r="E11722" t="s">
        <v>68</v>
      </c>
      <c r="F11722" s="1">
        <v>2</v>
      </c>
      <c r="G11722" s="1" t="s">
        <v>32</v>
      </c>
      <c r="H11722" s="4" t="str">
        <f>HYPERLINK("https://www.ncbi.nlm.nih.gov/geo/query/acc.cgi?acc=GSM2325407","GSM2325407")</f>
        <v>GSM2325407</v>
      </c>
      <c r="I11722" t="s">
        <v>69</v>
      </c>
      <c r="J11722" t="s">
        <v>18</v>
      </c>
      <c r="K11722" t="s">
        <v>33</v>
      </c>
      <c r="L11722" t="s">
        <v>70</v>
      </c>
      <c r="N11722" t="s">
        <v>29</v>
      </c>
    </row>
    <row r="11723" spans="1:14">
      <c r="A11723" s="4" t="str">
        <f t="shared" si="1031"/>
        <v>EXP00385</v>
      </c>
      <c r="B11723" s="3" t="s">
        <v>66</v>
      </c>
      <c r="C11723" s="4" t="str">
        <f t="shared" si="1032"/>
        <v>GSE87211</v>
      </c>
      <c r="D11723" s="1" t="s">
        <v>239</v>
      </c>
      <c r="E11723" t="s">
        <v>68</v>
      </c>
      <c r="F11723" s="1">
        <v>2</v>
      </c>
      <c r="G11723" s="1" t="s">
        <v>32</v>
      </c>
      <c r="H11723" s="4" t="str">
        <f>HYPERLINK("https://www.ncbi.nlm.nih.gov/geo/query/acc.cgi?acc=GSM2325408","GSM2325408")</f>
        <v>GSM2325408</v>
      </c>
      <c r="I11723" t="s">
        <v>69</v>
      </c>
      <c r="J11723" t="s">
        <v>18</v>
      </c>
      <c r="K11723" t="s">
        <v>33</v>
      </c>
      <c r="L11723" t="s">
        <v>70</v>
      </c>
      <c r="N11723" t="s">
        <v>29</v>
      </c>
    </row>
    <row r="11724" spans="1:14">
      <c r="A11724" s="4" t="str">
        <f t="shared" si="1031"/>
        <v>EXP00385</v>
      </c>
      <c r="B11724" s="3" t="s">
        <v>66</v>
      </c>
      <c r="C11724" s="4" t="str">
        <f t="shared" si="1032"/>
        <v>GSE87211</v>
      </c>
      <c r="D11724" s="1" t="s">
        <v>239</v>
      </c>
      <c r="E11724" t="s">
        <v>68</v>
      </c>
      <c r="F11724" s="1">
        <v>2</v>
      </c>
      <c r="G11724" s="1" t="s">
        <v>32</v>
      </c>
      <c r="H11724" s="4" t="str">
        <f>HYPERLINK("https://www.ncbi.nlm.nih.gov/geo/query/acc.cgi?acc=GSM2325409","GSM2325409")</f>
        <v>GSM2325409</v>
      </c>
      <c r="I11724" t="s">
        <v>69</v>
      </c>
      <c r="J11724" t="s">
        <v>18</v>
      </c>
      <c r="K11724" t="s">
        <v>33</v>
      </c>
      <c r="L11724" t="s">
        <v>70</v>
      </c>
      <c r="N11724" t="s">
        <v>29</v>
      </c>
    </row>
    <row r="11725" spans="1:14">
      <c r="A11725" s="4" t="str">
        <f t="shared" si="1031"/>
        <v>EXP00385</v>
      </c>
      <c r="B11725" s="3" t="s">
        <v>66</v>
      </c>
      <c r="C11725" s="4" t="str">
        <f t="shared" si="1032"/>
        <v>GSE87211</v>
      </c>
      <c r="D11725" s="1" t="s">
        <v>239</v>
      </c>
      <c r="E11725" t="s">
        <v>68</v>
      </c>
      <c r="F11725" s="1">
        <v>2</v>
      </c>
      <c r="G11725" s="1" t="s">
        <v>32</v>
      </c>
      <c r="H11725" s="4" t="str">
        <f>HYPERLINK("https://www.ncbi.nlm.nih.gov/geo/query/acc.cgi?acc=GSM2325410","GSM2325410")</f>
        <v>GSM2325410</v>
      </c>
      <c r="I11725" t="s">
        <v>69</v>
      </c>
      <c r="J11725" t="s">
        <v>18</v>
      </c>
      <c r="K11725" t="s">
        <v>33</v>
      </c>
      <c r="L11725" t="s">
        <v>70</v>
      </c>
      <c r="N11725" t="s">
        <v>29</v>
      </c>
    </row>
    <row r="11726" spans="1:14">
      <c r="A11726" s="4" t="str">
        <f t="shared" si="1031"/>
        <v>EXP00385</v>
      </c>
      <c r="B11726" s="3" t="s">
        <v>66</v>
      </c>
      <c r="C11726" s="4" t="str">
        <f t="shared" si="1032"/>
        <v>GSE87211</v>
      </c>
      <c r="D11726" s="1" t="s">
        <v>239</v>
      </c>
      <c r="E11726" t="s">
        <v>68</v>
      </c>
      <c r="F11726" s="1">
        <v>2</v>
      </c>
      <c r="G11726" s="1" t="s">
        <v>32</v>
      </c>
      <c r="H11726" s="4" t="str">
        <f>HYPERLINK("https://www.ncbi.nlm.nih.gov/geo/query/acc.cgi?acc=GSM2325411","GSM2325411")</f>
        <v>GSM2325411</v>
      </c>
      <c r="I11726" t="s">
        <v>69</v>
      </c>
      <c r="J11726" t="s">
        <v>18</v>
      </c>
      <c r="K11726" t="s">
        <v>33</v>
      </c>
      <c r="L11726" t="s">
        <v>70</v>
      </c>
      <c r="N11726" t="s">
        <v>29</v>
      </c>
    </row>
    <row r="11727" spans="1:14">
      <c r="A11727" s="4" t="str">
        <f t="shared" si="1031"/>
        <v>EXP00385</v>
      </c>
      <c r="B11727" s="3" t="s">
        <v>66</v>
      </c>
      <c r="C11727" s="4" t="str">
        <f t="shared" si="1032"/>
        <v>GSE87211</v>
      </c>
      <c r="D11727" s="1" t="s">
        <v>239</v>
      </c>
      <c r="E11727" t="s">
        <v>68</v>
      </c>
      <c r="F11727" s="1">
        <v>2</v>
      </c>
      <c r="G11727" s="1" t="s">
        <v>32</v>
      </c>
      <c r="H11727" s="4" t="str">
        <f>HYPERLINK("https://www.ncbi.nlm.nih.gov/geo/query/acc.cgi?acc=GSM2325412","GSM2325412")</f>
        <v>GSM2325412</v>
      </c>
      <c r="I11727" t="s">
        <v>69</v>
      </c>
      <c r="J11727" t="s">
        <v>18</v>
      </c>
      <c r="K11727" t="s">
        <v>33</v>
      </c>
      <c r="L11727" t="s">
        <v>70</v>
      </c>
      <c r="N11727" t="s">
        <v>29</v>
      </c>
    </row>
    <row r="11728" spans="1:14">
      <c r="A11728" s="4" t="str">
        <f t="shared" si="1031"/>
        <v>EXP00385</v>
      </c>
      <c r="B11728" s="3" t="s">
        <v>66</v>
      </c>
      <c r="C11728" s="4" t="str">
        <f t="shared" si="1032"/>
        <v>GSE87211</v>
      </c>
      <c r="D11728" s="1" t="s">
        <v>239</v>
      </c>
      <c r="E11728" t="s">
        <v>68</v>
      </c>
      <c r="F11728" s="1">
        <v>2</v>
      </c>
      <c r="G11728" s="1" t="s">
        <v>32</v>
      </c>
      <c r="H11728" s="4" t="str">
        <f>HYPERLINK("https://www.ncbi.nlm.nih.gov/geo/query/acc.cgi?acc=GSM2325413","GSM2325413")</f>
        <v>GSM2325413</v>
      </c>
      <c r="I11728" t="s">
        <v>69</v>
      </c>
      <c r="J11728" t="s">
        <v>18</v>
      </c>
      <c r="K11728" t="s">
        <v>33</v>
      </c>
      <c r="L11728" t="s">
        <v>70</v>
      </c>
      <c r="N11728" t="s">
        <v>29</v>
      </c>
    </row>
    <row r="11729" spans="1:14">
      <c r="A11729" s="4" t="str">
        <f t="shared" si="1031"/>
        <v>EXP00385</v>
      </c>
      <c r="B11729" s="3" t="s">
        <v>66</v>
      </c>
      <c r="C11729" s="4" t="str">
        <f t="shared" si="1032"/>
        <v>GSE87211</v>
      </c>
      <c r="D11729" s="1" t="s">
        <v>239</v>
      </c>
      <c r="E11729" t="s">
        <v>68</v>
      </c>
      <c r="F11729" s="1">
        <v>2</v>
      </c>
      <c r="G11729" s="1" t="s">
        <v>32</v>
      </c>
      <c r="H11729" s="4" t="str">
        <f>HYPERLINK("https://www.ncbi.nlm.nih.gov/geo/query/acc.cgi?acc=GSM2325414","GSM2325414")</f>
        <v>GSM2325414</v>
      </c>
      <c r="I11729" t="s">
        <v>69</v>
      </c>
      <c r="J11729" t="s">
        <v>18</v>
      </c>
      <c r="K11729" t="s">
        <v>33</v>
      </c>
      <c r="L11729" t="s">
        <v>70</v>
      </c>
      <c r="N11729" t="s">
        <v>29</v>
      </c>
    </row>
    <row r="11730" spans="1:14">
      <c r="A11730" s="4" t="str">
        <f t="shared" si="1031"/>
        <v>EXP00385</v>
      </c>
      <c r="B11730" s="3" t="s">
        <v>66</v>
      </c>
      <c r="C11730" s="4" t="str">
        <f t="shared" si="1032"/>
        <v>GSE87211</v>
      </c>
      <c r="D11730" s="1" t="s">
        <v>239</v>
      </c>
      <c r="E11730" t="s">
        <v>68</v>
      </c>
      <c r="F11730" s="1">
        <v>2</v>
      </c>
      <c r="G11730" s="1" t="s">
        <v>32</v>
      </c>
      <c r="H11730" s="4" t="str">
        <f>HYPERLINK("https://www.ncbi.nlm.nih.gov/geo/query/acc.cgi?acc=GSM2325415","GSM2325415")</f>
        <v>GSM2325415</v>
      </c>
      <c r="I11730" t="s">
        <v>69</v>
      </c>
      <c r="J11730" t="s">
        <v>18</v>
      </c>
      <c r="K11730" t="s">
        <v>33</v>
      </c>
      <c r="L11730" t="s">
        <v>70</v>
      </c>
      <c r="N11730" t="s">
        <v>29</v>
      </c>
    </row>
    <row r="11731" spans="1:14">
      <c r="A11731" s="4" t="str">
        <f t="shared" si="1031"/>
        <v>EXP00385</v>
      </c>
      <c r="B11731" s="3" t="s">
        <v>66</v>
      </c>
      <c r="C11731" s="4" t="str">
        <f t="shared" si="1032"/>
        <v>GSE87211</v>
      </c>
      <c r="D11731" s="1" t="s">
        <v>239</v>
      </c>
      <c r="E11731" t="s">
        <v>68</v>
      </c>
      <c r="F11731" s="1">
        <v>2</v>
      </c>
      <c r="G11731" s="1" t="s">
        <v>32</v>
      </c>
      <c r="H11731" s="4" t="str">
        <f>HYPERLINK("https://www.ncbi.nlm.nih.gov/geo/query/acc.cgi?acc=GSM2325416","GSM2325416")</f>
        <v>GSM2325416</v>
      </c>
      <c r="I11731" t="s">
        <v>69</v>
      </c>
      <c r="J11731" t="s">
        <v>18</v>
      </c>
      <c r="K11731" t="s">
        <v>33</v>
      </c>
      <c r="L11731" t="s">
        <v>70</v>
      </c>
      <c r="N11731" t="s">
        <v>29</v>
      </c>
    </row>
    <row r="11732" spans="1:14">
      <c r="A11732" s="4" t="str">
        <f t="shared" si="1031"/>
        <v>EXP00385</v>
      </c>
      <c r="B11732" s="3" t="s">
        <v>66</v>
      </c>
      <c r="C11732" s="4" t="str">
        <f t="shared" si="1032"/>
        <v>GSE87211</v>
      </c>
      <c r="D11732" s="1" t="s">
        <v>239</v>
      </c>
      <c r="E11732" t="s">
        <v>68</v>
      </c>
      <c r="F11732" s="1">
        <v>2</v>
      </c>
      <c r="G11732" s="1" t="s">
        <v>32</v>
      </c>
      <c r="H11732" s="4" t="str">
        <f>HYPERLINK("https://www.ncbi.nlm.nih.gov/geo/query/acc.cgi?acc=GSM2325417","GSM2325417")</f>
        <v>GSM2325417</v>
      </c>
      <c r="I11732" t="s">
        <v>69</v>
      </c>
      <c r="J11732" t="s">
        <v>18</v>
      </c>
      <c r="K11732" t="s">
        <v>33</v>
      </c>
      <c r="L11732" t="s">
        <v>70</v>
      </c>
      <c r="N11732" t="s">
        <v>29</v>
      </c>
    </row>
    <row r="11733" spans="1:14">
      <c r="A11733" s="4" t="str">
        <f t="shared" si="1031"/>
        <v>EXP00385</v>
      </c>
      <c r="B11733" s="3" t="s">
        <v>66</v>
      </c>
      <c r="C11733" s="4" t="str">
        <f t="shared" si="1032"/>
        <v>GSE87211</v>
      </c>
      <c r="D11733" s="1" t="s">
        <v>239</v>
      </c>
      <c r="E11733" t="s">
        <v>68</v>
      </c>
      <c r="F11733" s="1">
        <v>2</v>
      </c>
      <c r="G11733" s="1" t="s">
        <v>32</v>
      </c>
      <c r="H11733" s="4" t="str">
        <f>HYPERLINK("https://www.ncbi.nlm.nih.gov/geo/query/acc.cgi?acc=GSM2325418","GSM2325418")</f>
        <v>GSM2325418</v>
      </c>
      <c r="I11733" t="s">
        <v>69</v>
      </c>
      <c r="J11733" t="s">
        <v>18</v>
      </c>
      <c r="K11733" t="s">
        <v>33</v>
      </c>
      <c r="L11733" t="s">
        <v>70</v>
      </c>
      <c r="N11733" t="s">
        <v>29</v>
      </c>
    </row>
    <row r="11734" spans="1:14">
      <c r="A11734" s="4" t="str">
        <f t="shared" si="1031"/>
        <v>EXP00385</v>
      </c>
      <c r="B11734" s="3" t="s">
        <v>66</v>
      </c>
      <c r="C11734" s="4" t="str">
        <f t="shared" si="1032"/>
        <v>GSE87211</v>
      </c>
      <c r="D11734" s="1" t="s">
        <v>239</v>
      </c>
      <c r="E11734" t="s">
        <v>68</v>
      </c>
      <c r="F11734" s="1">
        <v>2</v>
      </c>
      <c r="G11734" s="1" t="s">
        <v>32</v>
      </c>
      <c r="H11734" s="4" t="str">
        <f>HYPERLINK("https://www.ncbi.nlm.nih.gov/geo/query/acc.cgi?acc=GSM2325419","GSM2325419")</f>
        <v>GSM2325419</v>
      </c>
      <c r="I11734" t="s">
        <v>69</v>
      </c>
      <c r="J11734" t="s">
        <v>18</v>
      </c>
      <c r="K11734" t="s">
        <v>33</v>
      </c>
      <c r="L11734" t="s">
        <v>70</v>
      </c>
      <c r="N11734" t="s">
        <v>29</v>
      </c>
    </row>
    <row r="11735" spans="1:14">
      <c r="A11735" s="4" t="str">
        <f t="shared" si="1031"/>
        <v>EXP00385</v>
      </c>
      <c r="B11735" s="3" t="s">
        <v>66</v>
      </c>
      <c r="C11735" s="4" t="str">
        <f t="shared" si="1032"/>
        <v>GSE87211</v>
      </c>
      <c r="D11735" s="1" t="s">
        <v>239</v>
      </c>
      <c r="E11735" t="s">
        <v>68</v>
      </c>
      <c r="F11735" s="1">
        <v>2</v>
      </c>
      <c r="G11735" s="1" t="s">
        <v>32</v>
      </c>
      <c r="H11735" s="4" t="str">
        <f>HYPERLINK("https://www.ncbi.nlm.nih.gov/geo/query/acc.cgi?acc=GSM2325420","GSM2325420")</f>
        <v>GSM2325420</v>
      </c>
      <c r="I11735" t="s">
        <v>69</v>
      </c>
      <c r="J11735" t="s">
        <v>18</v>
      </c>
      <c r="K11735" t="s">
        <v>33</v>
      </c>
      <c r="L11735" t="s">
        <v>70</v>
      </c>
      <c r="N11735" t="s">
        <v>29</v>
      </c>
    </row>
    <row r="11736" spans="1:14">
      <c r="A11736" s="4" t="str">
        <f t="shared" si="1031"/>
        <v>EXP00385</v>
      </c>
      <c r="B11736" s="3" t="s">
        <v>66</v>
      </c>
      <c r="C11736" s="4" t="str">
        <f t="shared" si="1032"/>
        <v>GSE87211</v>
      </c>
      <c r="D11736" s="1" t="s">
        <v>239</v>
      </c>
      <c r="E11736" t="s">
        <v>68</v>
      </c>
      <c r="F11736" s="1">
        <v>2</v>
      </c>
      <c r="G11736" s="1" t="s">
        <v>32</v>
      </c>
      <c r="H11736" s="4" t="str">
        <f>HYPERLINK("https://www.ncbi.nlm.nih.gov/geo/query/acc.cgi?acc=GSM2325421","GSM2325421")</f>
        <v>GSM2325421</v>
      </c>
      <c r="I11736" t="s">
        <v>69</v>
      </c>
      <c r="J11736" t="s">
        <v>18</v>
      </c>
      <c r="K11736" t="s">
        <v>33</v>
      </c>
      <c r="L11736" t="s">
        <v>70</v>
      </c>
      <c r="N11736" t="s">
        <v>29</v>
      </c>
    </row>
    <row r="11737" spans="1:14">
      <c r="A11737" s="4" t="str">
        <f t="shared" si="1031"/>
        <v>EXP00385</v>
      </c>
      <c r="B11737" s="3" t="s">
        <v>66</v>
      </c>
      <c r="C11737" s="4" t="str">
        <f t="shared" si="1032"/>
        <v>GSE87211</v>
      </c>
      <c r="D11737" s="1" t="s">
        <v>239</v>
      </c>
      <c r="E11737" t="s">
        <v>68</v>
      </c>
      <c r="F11737" s="1">
        <v>2</v>
      </c>
      <c r="G11737" s="1" t="s">
        <v>32</v>
      </c>
      <c r="H11737" s="4" t="str">
        <f>HYPERLINK("https://www.ncbi.nlm.nih.gov/geo/query/acc.cgi?acc=GSM2325422","GSM2325422")</f>
        <v>GSM2325422</v>
      </c>
      <c r="I11737" t="s">
        <v>69</v>
      </c>
      <c r="J11737" t="s">
        <v>18</v>
      </c>
      <c r="K11737" t="s">
        <v>33</v>
      </c>
      <c r="L11737" t="s">
        <v>70</v>
      </c>
      <c r="N11737" t="s">
        <v>29</v>
      </c>
    </row>
    <row r="11738" spans="1:14">
      <c r="A11738" s="4" t="str">
        <f t="shared" si="1031"/>
        <v>EXP00385</v>
      </c>
      <c r="B11738" s="3" t="s">
        <v>66</v>
      </c>
      <c r="C11738" s="4" t="str">
        <f t="shared" si="1032"/>
        <v>GSE87211</v>
      </c>
      <c r="D11738" s="1" t="s">
        <v>239</v>
      </c>
      <c r="E11738" t="s">
        <v>68</v>
      </c>
      <c r="F11738" s="1">
        <v>2</v>
      </c>
      <c r="G11738" s="1" t="s">
        <v>32</v>
      </c>
      <c r="H11738" s="4" t="str">
        <f>HYPERLINK("https://www.ncbi.nlm.nih.gov/geo/query/acc.cgi?acc=GSM2325423","GSM2325423")</f>
        <v>GSM2325423</v>
      </c>
      <c r="I11738" t="s">
        <v>69</v>
      </c>
      <c r="J11738" t="s">
        <v>18</v>
      </c>
      <c r="K11738" t="s">
        <v>33</v>
      </c>
      <c r="L11738" t="s">
        <v>70</v>
      </c>
      <c r="N11738" t="s">
        <v>29</v>
      </c>
    </row>
    <row r="11739" spans="1:14">
      <c r="A11739" s="4" t="str">
        <f t="shared" si="1031"/>
        <v>EXP00385</v>
      </c>
      <c r="B11739" s="3" t="s">
        <v>66</v>
      </c>
      <c r="C11739" s="4" t="str">
        <f t="shared" si="1032"/>
        <v>GSE87211</v>
      </c>
      <c r="D11739" s="1" t="s">
        <v>239</v>
      </c>
      <c r="E11739" t="s">
        <v>68</v>
      </c>
      <c r="F11739" s="1">
        <v>2</v>
      </c>
      <c r="G11739" s="1" t="s">
        <v>32</v>
      </c>
      <c r="H11739" s="4" t="str">
        <f>HYPERLINK("https://www.ncbi.nlm.nih.gov/geo/query/acc.cgi?acc=GSM2325424","GSM2325424")</f>
        <v>GSM2325424</v>
      </c>
      <c r="I11739" t="s">
        <v>69</v>
      </c>
      <c r="J11739" t="s">
        <v>18</v>
      </c>
      <c r="K11739" t="s">
        <v>33</v>
      </c>
      <c r="L11739" t="s">
        <v>70</v>
      </c>
      <c r="N11739" t="s">
        <v>29</v>
      </c>
    </row>
    <row r="11740" spans="1:14">
      <c r="A11740" s="4" t="str">
        <f t="shared" si="1031"/>
        <v>EXP00385</v>
      </c>
      <c r="B11740" s="3" t="s">
        <v>66</v>
      </c>
      <c r="C11740" s="4" t="str">
        <f t="shared" si="1032"/>
        <v>GSE87211</v>
      </c>
      <c r="D11740" s="1" t="s">
        <v>239</v>
      </c>
      <c r="E11740" t="s">
        <v>68</v>
      </c>
      <c r="F11740" s="1">
        <v>2</v>
      </c>
      <c r="G11740" s="1" t="s">
        <v>32</v>
      </c>
      <c r="H11740" s="4" t="str">
        <f>HYPERLINK("https://www.ncbi.nlm.nih.gov/geo/query/acc.cgi?acc=GSM2325425","GSM2325425")</f>
        <v>GSM2325425</v>
      </c>
      <c r="I11740" t="s">
        <v>69</v>
      </c>
      <c r="J11740" t="s">
        <v>18</v>
      </c>
      <c r="K11740" t="s">
        <v>33</v>
      </c>
      <c r="L11740" t="s">
        <v>70</v>
      </c>
      <c r="N11740" t="s">
        <v>29</v>
      </c>
    </row>
    <row r="11741" spans="1:14">
      <c r="A11741" s="4" t="str">
        <f t="shared" si="1031"/>
        <v>EXP00385</v>
      </c>
      <c r="B11741" s="3" t="s">
        <v>66</v>
      </c>
      <c r="C11741" s="4" t="str">
        <f t="shared" si="1032"/>
        <v>GSE87211</v>
      </c>
      <c r="D11741" s="1" t="s">
        <v>239</v>
      </c>
      <c r="E11741" t="s">
        <v>68</v>
      </c>
      <c r="F11741" s="1">
        <v>2</v>
      </c>
      <c r="G11741" s="1" t="s">
        <v>32</v>
      </c>
      <c r="H11741" s="4" t="str">
        <f>HYPERLINK("https://www.ncbi.nlm.nih.gov/geo/query/acc.cgi?acc=GSM2325426","GSM2325426")</f>
        <v>GSM2325426</v>
      </c>
      <c r="I11741" t="s">
        <v>69</v>
      </c>
      <c r="J11741" t="s">
        <v>18</v>
      </c>
      <c r="K11741" t="s">
        <v>33</v>
      </c>
      <c r="L11741" t="s">
        <v>70</v>
      </c>
      <c r="N11741" t="s">
        <v>29</v>
      </c>
    </row>
    <row r="11742" spans="1:14">
      <c r="A11742" s="4" t="str">
        <f t="shared" ref="A11742:A11751" si="1033">HYPERLINK("http://hcmdb.i-sanger.com/experiment/details/experiment_id/EXP00385","EXP00385")</f>
        <v>EXP00385</v>
      </c>
      <c r="B11742" s="3" t="s">
        <v>66</v>
      </c>
      <c r="C11742" s="4" t="str">
        <f t="shared" si="1032"/>
        <v>GSE87211</v>
      </c>
      <c r="D11742" s="1" t="s">
        <v>239</v>
      </c>
      <c r="E11742" t="s">
        <v>68</v>
      </c>
      <c r="F11742" s="1">
        <v>2</v>
      </c>
      <c r="G11742" s="1" t="s">
        <v>32</v>
      </c>
      <c r="H11742" s="4" t="str">
        <f>HYPERLINK("https://www.ncbi.nlm.nih.gov/geo/query/acc.cgi?acc=GSM2325428","GSM2325428")</f>
        <v>GSM2325428</v>
      </c>
      <c r="I11742" t="s">
        <v>69</v>
      </c>
      <c r="J11742" t="s">
        <v>18</v>
      </c>
      <c r="K11742" t="s">
        <v>33</v>
      </c>
      <c r="L11742" t="s">
        <v>70</v>
      </c>
      <c r="N11742" t="s">
        <v>29</v>
      </c>
    </row>
    <row r="11743" spans="1:14">
      <c r="A11743" s="4" t="str">
        <f t="shared" si="1033"/>
        <v>EXP00385</v>
      </c>
      <c r="B11743" s="3" t="s">
        <v>66</v>
      </c>
      <c r="C11743" s="4" t="str">
        <f t="shared" si="1032"/>
        <v>GSE87211</v>
      </c>
      <c r="D11743" s="1" t="s">
        <v>239</v>
      </c>
      <c r="E11743" t="s">
        <v>68</v>
      </c>
      <c r="F11743" s="1">
        <v>2</v>
      </c>
      <c r="G11743" s="1" t="s">
        <v>32</v>
      </c>
      <c r="H11743" s="4" t="str">
        <f>HYPERLINK("https://www.ncbi.nlm.nih.gov/geo/query/acc.cgi?acc=GSM2325429","GSM2325429")</f>
        <v>GSM2325429</v>
      </c>
      <c r="I11743" t="s">
        <v>69</v>
      </c>
      <c r="J11743" t="s">
        <v>18</v>
      </c>
      <c r="K11743" t="s">
        <v>33</v>
      </c>
      <c r="L11743" t="s">
        <v>70</v>
      </c>
      <c r="N11743" t="s">
        <v>29</v>
      </c>
    </row>
    <row r="11744" spans="1:14">
      <c r="A11744" s="4" t="str">
        <f t="shared" si="1033"/>
        <v>EXP00385</v>
      </c>
      <c r="B11744" s="3" t="s">
        <v>66</v>
      </c>
      <c r="C11744" s="4" t="str">
        <f t="shared" si="1032"/>
        <v>GSE87211</v>
      </c>
      <c r="D11744" s="1" t="s">
        <v>239</v>
      </c>
      <c r="E11744" t="s">
        <v>68</v>
      </c>
      <c r="F11744" s="1">
        <v>2</v>
      </c>
      <c r="G11744" s="1" t="s">
        <v>32</v>
      </c>
      <c r="H11744" s="4" t="str">
        <f>HYPERLINK("https://www.ncbi.nlm.nih.gov/geo/query/acc.cgi?acc=GSM2325430","GSM2325430")</f>
        <v>GSM2325430</v>
      </c>
      <c r="I11744" t="s">
        <v>69</v>
      </c>
      <c r="J11744" t="s">
        <v>18</v>
      </c>
      <c r="K11744" t="s">
        <v>33</v>
      </c>
      <c r="L11744" t="s">
        <v>70</v>
      </c>
      <c r="N11744" t="s">
        <v>29</v>
      </c>
    </row>
    <row r="11745" spans="1:14">
      <c r="A11745" s="4" t="str">
        <f t="shared" si="1033"/>
        <v>EXP00385</v>
      </c>
      <c r="B11745" s="3" t="s">
        <v>66</v>
      </c>
      <c r="C11745" s="4" t="str">
        <f t="shared" si="1032"/>
        <v>GSE87211</v>
      </c>
      <c r="D11745" s="1" t="s">
        <v>239</v>
      </c>
      <c r="E11745" t="s">
        <v>68</v>
      </c>
      <c r="F11745" s="1">
        <v>2</v>
      </c>
      <c r="G11745" s="1" t="s">
        <v>32</v>
      </c>
      <c r="H11745" s="4" t="str">
        <f>HYPERLINK("https://www.ncbi.nlm.nih.gov/geo/query/acc.cgi?acc=GSM2325431","GSM2325431")</f>
        <v>GSM2325431</v>
      </c>
      <c r="I11745" t="s">
        <v>69</v>
      </c>
      <c r="J11745" t="s">
        <v>18</v>
      </c>
      <c r="K11745" t="s">
        <v>33</v>
      </c>
      <c r="L11745" t="s">
        <v>70</v>
      </c>
      <c r="N11745" t="s">
        <v>29</v>
      </c>
    </row>
    <row r="11746" spans="1:14">
      <c r="A11746" s="4" t="str">
        <f t="shared" si="1033"/>
        <v>EXP00385</v>
      </c>
      <c r="B11746" s="3" t="s">
        <v>66</v>
      </c>
      <c r="C11746" s="4" t="str">
        <f t="shared" si="1032"/>
        <v>GSE87211</v>
      </c>
      <c r="D11746" s="1" t="s">
        <v>239</v>
      </c>
      <c r="E11746" t="s">
        <v>68</v>
      </c>
      <c r="F11746" s="1">
        <v>2</v>
      </c>
      <c r="G11746" s="1" t="s">
        <v>32</v>
      </c>
      <c r="H11746" s="4" t="str">
        <f>HYPERLINK("https://www.ncbi.nlm.nih.gov/geo/query/acc.cgi?acc=GSM2325432","GSM2325432")</f>
        <v>GSM2325432</v>
      </c>
      <c r="I11746" t="s">
        <v>69</v>
      </c>
      <c r="J11746" t="s">
        <v>18</v>
      </c>
      <c r="K11746" t="s">
        <v>33</v>
      </c>
      <c r="L11746" t="s">
        <v>70</v>
      </c>
      <c r="N11746" t="s">
        <v>29</v>
      </c>
    </row>
    <row r="11747" spans="1:14">
      <c r="A11747" s="4" t="str">
        <f t="shared" si="1033"/>
        <v>EXP00385</v>
      </c>
      <c r="B11747" s="3" t="s">
        <v>66</v>
      </c>
      <c r="C11747" s="4" t="str">
        <f t="shared" si="1032"/>
        <v>GSE87211</v>
      </c>
      <c r="D11747" s="1" t="s">
        <v>239</v>
      </c>
      <c r="E11747" t="s">
        <v>68</v>
      </c>
      <c r="F11747" s="1">
        <v>2</v>
      </c>
      <c r="G11747" s="1" t="s">
        <v>32</v>
      </c>
      <c r="H11747" s="4" t="str">
        <f>HYPERLINK("https://www.ncbi.nlm.nih.gov/geo/query/acc.cgi?acc=GSM2325433","GSM2325433")</f>
        <v>GSM2325433</v>
      </c>
      <c r="I11747" t="s">
        <v>69</v>
      </c>
      <c r="J11747" t="s">
        <v>18</v>
      </c>
      <c r="K11747" t="s">
        <v>33</v>
      </c>
      <c r="L11747" t="s">
        <v>70</v>
      </c>
      <c r="N11747" t="s">
        <v>29</v>
      </c>
    </row>
    <row r="11748" spans="1:14">
      <c r="A11748" s="4" t="str">
        <f t="shared" si="1033"/>
        <v>EXP00385</v>
      </c>
      <c r="B11748" s="3" t="s">
        <v>66</v>
      </c>
      <c r="C11748" s="4" t="str">
        <f t="shared" si="1032"/>
        <v>GSE87211</v>
      </c>
      <c r="D11748" s="1" t="s">
        <v>239</v>
      </c>
      <c r="E11748" t="s">
        <v>68</v>
      </c>
      <c r="F11748" s="1">
        <v>2</v>
      </c>
      <c r="G11748" s="1" t="s">
        <v>32</v>
      </c>
      <c r="H11748" s="4" t="str">
        <f>HYPERLINK("https://www.ncbi.nlm.nih.gov/geo/query/acc.cgi?acc=GSM2325434","GSM2325434")</f>
        <v>GSM2325434</v>
      </c>
      <c r="I11748" t="s">
        <v>69</v>
      </c>
      <c r="J11748" t="s">
        <v>18</v>
      </c>
      <c r="K11748" t="s">
        <v>33</v>
      </c>
      <c r="L11748" t="s">
        <v>70</v>
      </c>
      <c r="N11748" t="s">
        <v>29</v>
      </c>
    </row>
    <row r="11749" spans="1:14">
      <c r="A11749" s="4" t="str">
        <f t="shared" si="1033"/>
        <v>EXP00385</v>
      </c>
      <c r="B11749" s="3" t="s">
        <v>66</v>
      </c>
      <c r="C11749" s="4" t="str">
        <f t="shared" si="1032"/>
        <v>GSE87211</v>
      </c>
      <c r="D11749" s="1" t="s">
        <v>239</v>
      </c>
      <c r="E11749" t="s">
        <v>68</v>
      </c>
      <c r="F11749" s="1">
        <v>2</v>
      </c>
      <c r="G11749" s="1" t="s">
        <v>32</v>
      </c>
      <c r="H11749" s="4" t="str">
        <f>HYPERLINK("https://www.ncbi.nlm.nih.gov/geo/query/acc.cgi?acc=GSM2325437","GSM2325437")</f>
        <v>GSM2325437</v>
      </c>
      <c r="I11749" t="s">
        <v>69</v>
      </c>
      <c r="J11749" t="s">
        <v>18</v>
      </c>
      <c r="K11749" t="s">
        <v>33</v>
      </c>
      <c r="L11749" t="s">
        <v>70</v>
      </c>
      <c r="N11749" t="s">
        <v>29</v>
      </c>
    </row>
    <row r="11750" spans="1:14">
      <c r="A11750" s="4" t="str">
        <f t="shared" si="1033"/>
        <v>EXP00385</v>
      </c>
      <c r="B11750" s="3" t="s">
        <v>66</v>
      </c>
      <c r="C11750" s="4" t="str">
        <f t="shared" si="1032"/>
        <v>GSE87211</v>
      </c>
      <c r="D11750" s="1" t="s">
        <v>239</v>
      </c>
      <c r="E11750" t="s">
        <v>68</v>
      </c>
      <c r="F11750" s="1">
        <v>2</v>
      </c>
      <c r="G11750" s="1" t="s">
        <v>32</v>
      </c>
      <c r="H11750" s="4" t="str">
        <f>HYPERLINK("https://www.ncbi.nlm.nih.gov/geo/query/acc.cgi?acc=GSM2325438","GSM2325438")</f>
        <v>GSM2325438</v>
      </c>
      <c r="I11750" t="s">
        <v>69</v>
      </c>
      <c r="J11750" t="s">
        <v>18</v>
      </c>
      <c r="K11750" t="s">
        <v>33</v>
      </c>
      <c r="L11750" t="s">
        <v>70</v>
      </c>
      <c r="N11750" t="s">
        <v>29</v>
      </c>
    </row>
    <row r="11751" spans="1:14">
      <c r="A11751" s="4" t="str">
        <f t="shared" si="1033"/>
        <v>EXP00385</v>
      </c>
      <c r="B11751" s="3" t="s">
        <v>66</v>
      </c>
      <c r="C11751" s="4" t="str">
        <f t="shared" si="1032"/>
        <v>GSE87211</v>
      </c>
      <c r="D11751" s="1" t="s">
        <v>239</v>
      </c>
      <c r="E11751" t="s">
        <v>68</v>
      </c>
      <c r="F11751" s="1">
        <v>2</v>
      </c>
      <c r="G11751" s="1" t="s">
        <v>32</v>
      </c>
      <c r="H11751" s="4" t="str">
        <f>HYPERLINK("https://www.ncbi.nlm.nih.gov/geo/query/acc.cgi?acc=GSM2325439","GSM2325439")</f>
        <v>GSM2325439</v>
      </c>
      <c r="I11751" t="s">
        <v>69</v>
      </c>
      <c r="J11751" t="s">
        <v>18</v>
      </c>
      <c r="K11751" t="s">
        <v>33</v>
      </c>
      <c r="L11751" t="s">
        <v>70</v>
      </c>
      <c r="N11751" t="s">
        <v>29</v>
      </c>
    </row>
    <row r="11752" spans="1:14">
      <c r="A11752" s="4" t="str">
        <f t="shared" ref="A11752:A11815" si="1034">HYPERLINK("http://hcmdb.i-sanger.com/experiment/details/experiment_id/EXP00386","EXP00386")</f>
        <v>EXP00386</v>
      </c>
      <c r="B11752" s="3" t="s">
        <v>66</v>
      </c>
      <c r="C11752" s="4" t="str">
        <f t="shared" si="1032"/>
        <v>GSE87211</v>
      </c>
      <c r="D11752" s="1" t="s">
        <v>239</v>
      </c>
      <c r="E11752" t="s">
        <v>96</v>
      </c>
      <c r="F11752" s="1">
        <v>1</v>
      </c>
      <c r="G11752" s="1" t="s">
        <v>36</v>
      </c>
      <c r="H11752" s="4" t="str">
        <f>HYPERLINK("https://www.ncbi.nlm.nih.gov/geo/query/acc.cgi?acc=GSM2325442","GSM2325442")</f>
        <v>GSM2325442</v>
      </c>
      <c r="I11752" t="s">
        <v>69</v>
      </c>
      <c r="J11752" t="s">
        <v>18</v>
      </c>
      <c r="K11752" t="s">
        <v>33</v>
      </c>
      <c r="L11752" t="s">
        <v>70</v>
      </c>
      <c r="N11752" t="s">
        <v>37</v>
      </c>
    </row>
    <row r="11753" spans="1:14">
      <c r="A11753" s="4" t="str">
        <f t="shared" si="1034"/>
        <v>EXP00386</v>
      </c>
      <c r="B11753" s="3" t="s">
        <v>66</v>
      </c>
      <c r="C11753" s="4" t="str">
        <f t="shared" si="1032"/>
        <v>GSE87211</v>
      </c>
      <c r="D11753" s="1" t="s">
        <v>239</v>
      </c>
      <c r="E11753" t="s">
        <v>96</v>
      </c>
      <c r="F11753" s="1">
        <v>1</v>
      </c>
      <c r="G11753" s="1" t="s">
        <v>36</v>
      </c>
      <c r="H11753" s="4" t="str">
        <f>HYPERLINK("https://www.ncbi.nlm.nih.gov/geo/query/acc.cgi?acc=GSM2325443","GSM2325443")</f>
        <v>GSM2325443</v>
      </c>
      <c r="I11753" t="s">
        <v>69</v>
      </c>
      <c r="J11753" t="s">
        <v>18</v>
      </c>
      <c r="K11753" t="s">
        <v>33</v>
      </c>
      <c r="L11753" t="s">
        <v>70</v>
      </c>
      <c r="N11753" t="s">
        <v>37</v>
      </c>
    </row>
    <row r="11754" spans="1:14">
      <c r="A11754" s="4" t="str">
        <f t="shared" si="1034"/>
        <v>EXP00386</v>
      </c>
      <c r="B11754" s="3" t="s">
        <v>66</v>
      </c>
      <c r="C11754" s="4" t="str">
        <f t="shared" si="1032"/>
        <v>GSE87211</v>
      </c>
      <c r="D11754" s="1" t="s">
        <v>239</v>
      </c>
      <c r="E11754" t="s">
        <v>96</v>
      </c>
      <c r="F11754" s="1">
        <v>1</v>
      </c>
      <c r="G11754" s="1" t="s">
        <v>36</v>
      </c>
      <c r="H11754" s="4" t="str">
        <f>HYPERLINK("https://www.ncbi.nlm.nih.gov/geo/query/acc.cgi?acc=GSM2325444","GSM2325444")</f>
        <v>GSM2325444</v>
      </c>
      <c r="I11754" t="s">
        <v>69</v>
      </c>
      <c r="J11754" t="s">
        <v>18</v>
      </c>
      <c r="K11754" t="s">
        <v>33</v>
      </c>
      <c r="L11754" t="s">
        <v>70</v>
      </c>
      <c r="N11754" t="s">
        <v>37</v>
      </c>
    </row>
    <row r="11755" spans="1:14">
      <c r="A11755" s="4" t="str">
        <f t="shared" si="1034"/>
        <v>EXP00386</v>
      </c>
      <c r="B11755" s="3" t="s">
        <v>66</v>
      </c>
      <c r="C11755" s="4" t="str">
        <f t="shared" si="1032"/>
        <v>GSE87211</v>
      </c>
      <c r="D11755" s="1" t="s">
        <v>239</v>
      </c>
      <c r="E11755" t="s">
        <v>96</v>
      </c>
      <c r="F11755" s="1">
        <v>1</v>
      </c>
      <c r="G11755" s="1" t="s">
        <v>36</v>
      </c>
      <c r="H11755" s="4" t="str">
        <f>HYPERLINK("https://www.ncbi.nlm.nih.gov/geo/query/acc.cgi?acc=GSM2325445","GSM2325445")</f>
        <v>GSM2325445</v>
      </c>
      <c r="I11755" t="s">
        <v>69</v>
      </c>
      <c r="J11755" t="s">
        <v>18</v>
      </c>
      <c r="K11755" t="s">
        <v>33</v>
      </c>
      <c r="L11755" t="s">
        <v>70</v>
      </c>
      <c r="N11755" t="s">
        <v>37</v>
      </c>
    </row>
    <row r="11756" spans="1:14">
      <c r="A11756" s="4" t="str">
        <f t="shared" si="1034"/>
        <v>EXP00386</v>
      </c>
      <c r="B11756" s="3" t="s">
        <v>66</v>
      </c>
      <c r="C11756" s="4" t="str">
        <f t="shared" si="1032"/>
        <v>GSE87211</v>
      </c>
      <c r="D11756" s="1" t="s">
        <v>239</v>
      </c>
      <c r="E11756" t="s">
        <v>96</v>
      </c>
      <c r="F11756" s="1">
        <v>1</v>
      </c>
      <c r="G11756" s="1" t="s">
        <v>36</v>
      </c>
      <c r="H11756" s="4" t="str">
        <f>HYPERLINK("https://www.ncbi.nlm.nih.gov/geo/query/acc.cgi?acc=GSM2325446","GSM2325446")</f>
        <v>GSM2325446</v>
      </c>
      <c r="I11756" t="s">
        <v>69</v>
      </c>
      <c r="J11756" t="s">
        <v>18</v>
      </c>
      <c r="K11756" t="s">
        <v>33</v>
      </c>
      <c r="L11756" t="s">
        <v>70</v>
      </c>
      <c r="N11756" t="s">
        <v>37</v>
      </c>
    </row>
    <row r="11757" spans="1:14">
      <c r="A11757" s="4" t="str">
        <f t="shared" si="1034"/>
        <v>EXP00386</v>
      </c>
      <c r="B11757" s="3" t="s">
        <v>66</v>
      </c>
      <c r="C11757" s="4" t="str">
        <f t="shared" si="1032"/>
        <v>GSE87211</v>
      </c>
      <c r="D11757" s="1" t="s">
        <v>239</v>
      </c>
      <c r="E11757" t="s">
        <v>96</v>
      </c>
      <c r="F11757" s="1">
        <v>1</v>
      </c>
      <c r="G11757" s="1" t="s">
        <v>36</v>
      </c>
      <c r="H11757" s="4" t="str">
        <f>HYPERLINK("https://www.ncbi.nlm.nih.gov/geo/query/acc.cgi?acc=GSM2325447","GSM2325447")</f>
        <v>GSM2325447</v>
      </c>
      <c r="I11757" t="s">
        <v>69</v>
      </c>
      <c r="J11757" t="s">
        <v>18</v>
      </c>
      <c r="K11757" t="s">
        <v>33</v>
      </c>
      <c r="L11757" t="s">
        <v>70</v>
      </c>
      <c r="N11757" t="s">
        <v>37</v>
      </c>
    </row>
    <row r="11758" spans="1:14">
      <c r="A11758" s="4" t="str">
        <f t="shared" si="1034"/>
        <v>EXP00386</v>
      </c>
      <c r="B11758" s="3" t="s">
        <v>66</v>
      </c>
      <c r="C11758" s="4" t="str">
        <f t="shared" si="1032"/>
        <v>GSE87211</v>
      </c>
      <c r="D11758" s="1" t="s">
        <v>239</v>
      </c>
      <c r="E11758" t="s">
        <v>96</v>
      </c>
      <c r="F11758" s="1">
        <v>1</v>
      </c>
      <c r="G11758" s="1" t="s">
        <v>36</v>
      </c>
      <c r="H11758" s="4" t="str">
        <f>HYPERLINK("https://www.ncbi.nlm.nih.gov/geo/query/acc.cgi?acc=GSM2325448","GSM2325448")</f>
        <v>GSM2325448</v>
      </c>
      <c r="I11758" t="s">
        <v>69</v>
      </c>
      <c r="J11758" t="s">
        <v>18</v>
      </c>
      <c r="K11758" t="s">
        <v>33</v>
      </c>
      <c r="L11758" t="s">
        <v>70</v>
      </c>
      <c r="N11758" t="s">
        <v>37</v>
      </c>
    </row>
    <row r="11759" spans="1:14">
      <c r="A11759" s="4" t="str">
        <f t="shared" si="1034"/>
        <v>EXP00386</v>
      </c>
      <c r="B11759" s="3" t="s">
        <v>66</v>
      </c>
      <c r="C11759" s="4" t="str">
        <f t="shared" si="1032"/>
        <v>GSE87211</v>
      </c>
      <c r="D11759" s="1" t="s">
        <v>239</v>
      </c>
      <c r="E11759" t="s">
        <v>96</v>
      </c>
      <c r="F11759" s="1">
        <v>1</v>
      </c>
      <c r="G11759" s="1" t="s">
        <v>36</v>
      </c>
      <c r="H11759" s="4" t="str">
        <f>HYPERLINK("https://www.ncbi.nlm.nih.gov/geo/query/acc.cgi?acc=GSM2325449","GSM2325449")</f>
        <v>GSM2325449</v>
      </c>
      <c r="I11759" t="s">
        <v>69</v>
      </c>
      <c r="J11759" t="s">
        <v>18</v>
      </c>
      <c r="K11759" t="s">
        <v>33</v>
      </c>
      <c r="L11759" t="s">
        <v>70</v>
      </c>
      <c r="N11759" t="s">
        <v>37</v>
      </c>
    </row>
    <row r="11760" spans="1:14">
      <c r="A11760" s="4" t="str">
        <f t="shared" si="1034"/>
        <v>EXP00386</v>
      </c>
      <c r="B11760" s="3" t="s">
        <v>66</v>
      </c>
      <c r="C11760" s="4" t="str">
        <f t="shared" si="1032"/>
        <v>GSE87211</v>
      </c>
      <c r="D11760" s="1" t="s">
        <v>239</v>
      </c>
      <c r="E11760" t="s">
        <v>96</v>
      </c>
      <c r="F11760" s="1">
        <v>1</v>
      </c>
      <c r="G11760" s="1" t="s">
        <v>36</v>
      </c>
      <c r="H11760" s="4" t="str">
        <f>HYPERLINK("https://www.ncbi.nlm.nih.gov/geo/query/acc.cgi?acc=GSM2325450","GSM2325450")</f>
        <v>GSM2325450</v>
      </c>
      <c r="I11760" t="s">
        <v>69</v>
      </c>
      <c r="J11760" t="s">
        <v>18</v>
      </c>
      <c r="K11760" t="s">
        <v>33</v>
      </c>
      <c r="L11760" t="s">
        <v>70</v>
      </c>
      <c r="N11760" t="s">
        <v>37</v>
      </c>
    </row>
    <row r="11761" spans="1:14">
      <c r="A11761" s="4" t="str">
        <f t="shared" si="1034"/>
        <v>EXP00386</v>
      </c>
      <c r="B11761" s="3" t="s">
        <v>66</v>
      </c>
      <c r="C11761" s="4" t="str">
        <f t="shared" si="1032"/>
        <v>GSE87211</v>
      </c>
      <c r="D11761" s="1" t="s">
        <v>239</v>
      </c>
      <c r="E11761" t="s">
        <v>96</v>
      </c>
      <c r="F11761" s="1">
        <v>1</v>
      </c>
      <c r="G11761" s="1" t="s">
        <v>36</v>
      </c>
      <c r="H11761" s="4" t="str">
        <f>HYPERLINK("https://www.ncbi.nlm.nih.gov/geo/query/acc.cgi?acc=GSM2325452","GSM2325452")</f>
        <v>GSM2325452</v>
      </c>
      <c r="I11761" t="s">
        <v>69</v>
      </c>
      <c r="J11761" t="s">
        <v>18</v>
      </c>
      <c r="K11761" t="s">
        <v>33</v>
      </c>
      <c r="L11761" t="s">
        <v>70</v>
      </c>
      <c r="N11761" t="s">
        <v>37</v>
      </c>
    </row>
    <row r="11762" spans="1:14">
      <c r="A11762" s="4" t="str">
        <f t="shared" si="1034"/>
        <v>EXP00386</v>
      </c>
      <c r="B11762" s="3" t="s">
        <v>66</v>
      </c>
      <c r="C11762" s="4" t="str">
        <f t="shared" si="1032"/>
        <v>GSE87211</v>
      </c>
      <c r="D11762" s="1" t="s">
        <v>239</v>
      </c>
      <c r="E11762" t="s">
        <v>96</v>
      </c>
      <c r="F11762" s="1">
        <v>1</v>
      </c>
      <c r="G11762" s="1" t="s">
        <v>36</v>
      </c>
      <c r="H11762" s="4" t="str">
        <f>HYPERLINK("https://www.ncbi.nlm.nih.gov/geo/query/acc.cgi?acc=GSM2325453","GSM2325453")</f>
        <v>GSM2325453</v>
      </c>
      <c r="I11762" t="s">
        <v>69</v>
      </c>
      <c r="J11762" t="s">
        <v>18</v>
      </c>
      <c r="K11762" t="s">
        <v>33</v>
      </c>
      <c r="L11762" t="s">
        <v>70</v>
      </c>
      <c r="N11762" t="s">
        <v>37</v>
      </c>
    </row>
    <row r="11763" spans="1:14">
      <c r="A11763" s="4" t="str">
        <f t="shared" si="1034"/>
        <v>EXP00386</v>
      </c>
      <c r="B11763" s="3" t="s">
        <v>66</v>
      </c>
      <c r="C11763" s="4" t="str">
        <f t="shared" si="1032"/>
        <v>GSE87211</v>
      </c>
      <c r="D11763" s="1" t="s">
        <v>239</v>
      </c>
      <c r="E11763" t="s">
        <v>96</v>
      </c>
      <c r="F11763" s="1">
        <v>1</v>
      </c>
      <c r="G11763" s="1" t="s">
        <v>36</v>
      </c>
      <c r="H11763" s="4" t="str">
        <f>HYPERLINK("https://www.ncbi.nlm.nih.gov/geo/query/acc.cgi?acc=GSM2325455","GSM2325455")</f>
        <v>GSM2325455</v>
      </c>
      <c r="I11763" t="s">
        <v>69</v>
      </c>
      <c r="J11763" t="s">
        <v>18</v>
      </c>
      <c r="K11763" t="s">
        <v>33</v>
      </c>
      <c r="L11763" t="s">
        <v>70</v>
      </c>
      <c r="N11763" t="s">
        <v>37</v>
      </c>
    </row>
    <row r="11764" spans="1:14">
      <c r="A11764" s="4" t="str">
        <f t="shared" si="1034"/>
        <v>EXP00386</v>
      </c>
      <c r="B11764" s="3" t="s">
        <v>66</v>
      </c>
      <c r="C11764" s="4" t="str">
        <f t="shared" si="1032"/>
        <v>GSE87211</v>
      </c>
      <c r="D11764" s="1" t="s">
        <v>239</v>
      </c>
      <c r="E11764" t="s">
        <v>96</v>
      </c>
      <c r="F11764" s="1">
        <v>1</v>
      </c>
      <c r="G11764" s="1" t="s">
        <v>36</v>
      </c>
      <c r="H11764" s="4" t="str">
        <f>HYPERLINK("https://www.ncbi.nlm.nih.gov/geo/query/acc.cgi?acc=GSM2325456","GSM2325456")</f>
        <v>GSM2325456</v>
      </c>
      <c r="I11764" t="s">
        <v>69</v>
      </c>
      <c r="J11764" t="s">
        <v>18</v>
      </c>
      <c r="K11764" t="s">
        <v>33</v>
      </c>
      <c r="L11764" t="s">
        <v>70</v>
      </c>
      <c r="N11764" t="s">
        <v>37</v>
      </c>
    </row>
    <row r="11765" spans="1:14">
      <c r="A11765" s="4" t="str">
        <f t="shared" si="1034"/>
        <v>EXP00386</v>
      </c>
      <c r="B11765" s="3" t="s">
        <v>66</v>
      </c>
      <c r="C11765" s="4" t="str">
        <f t="shared" si="1032"/>
        <v>GSE87211</v>
      </c>
      <c r="D11765" s="1" t="s">
        <v>239</v>
      </c>
      <c r="E11765" t="s">
        <v>96</v>
      </c>
      <c r="F11765" s="1">
        <v>1</v>
      </c>
      <c r="G11765" s="1" t="s">
        <v>36</v>
      </c>
      <c r="H11765" s="4" t="str">
        <f>HYPERLINK("https://www.ncbi.nlm.nih.gov/geo/query/acc.cgi?acc=GSM2325459","GSM2325459")</f>
        <v>GSM2325459</v>
      </c>
      <c r="I11765" t="s">
        <v>69</v>
      </c>
      <c r="J11765" t="s">
        <v>18</v>
      </c>
      <c r="K11765" t="s">
        <v>33</v>
      </c>
      <c r="L11765" t="s">
        <v>70</v>
      </c>
      <c r="N11765" t="s">
        <v>37</v>
      </c>
    </row>
    <row r="11766" spans="1:14">
      <c r="A11766" s="4" t="str">
        <f t="shared" si="1034"/>
        <v>EXP00386</v>
      </c>
      <c r="B11766" s="3" t="s">
        <v>66</v>
      </c>
      <c r="C11766" s="4" t="str">
        <f t="shared" si="1032"/>
        <v>GSE87211</v>
      </c>
      <c r="D11766" s="1" t="s">
        <v>239</v>
      </c>
      <c r="E11766" t="s">
        <v>96</v>
      </c>
      <c r="F11766" s="1">
        <v>1</v>
      </c>
      <c r="G11766" s="1" t="s">
        <v>36</v>
      </c>
      <c r="H11766" s="4" t="str">
        <f>HYPERLINK("https://www.ncbi.nlm.nih.gov/geo/query/acc.cgi?acc=GSM2325460","GSM2325460")</f>
        <v>GSM2325460</v>
      </c>
      <c r="I11766" t="s">
        <v>69</v>
      </c>
      <c r="J11766" t="s">
        <v>18</v>
      </c>
      <c r="K11766" t="s">
        <v>33</v>
      </c>
      <c r="L11766" t="s">
        <v>70</v>
      </c>
      <c r="N11766" t="s">
        <v>37</v>
      </c>
    </row>
    <row r="11767" spans="1:14">
      <c r="A11767" s="4" t="str">
        <f t="shared" si="1034"/>
        <v>EXP00386</v>
      </c>
      <c r="B11767" s="3" t="s">
        <v>66</v>
      </c>
      <c r="C11767" s="4" t="str">
        <f t="shared" si="1032"/>
        <v>GSE87211</v>
      </c>
      <c r="D11767" s="1" t="s">
        <v>239</v>
      </c>
      <c r="E11767" t="s">
        <v>96</v>
      </c>
      <c r="F11767" s="1">
        <v>1</v>
      </c>
      <c r="G11767" s="1" t="s">
        <v>36</v>
      </c>
      <c r="H11767" s="4" t="str">
        <f>HYPERLINK("https://www.ncbi.nlm.nih.gov/geo/query/acc.cgi?acc=GSM2325462","GSM2325462")</f>
        <v>GSM2325462</v>
      </c>
      <c r="I11767" t="s">
        <v>69</v>
      </c>
      <c r="J11767" t="s">
        <v>18</v>
      </c>
      <c r="K11767" t="s">
        <v>33</v>
      </c>
      <c r="L11767" t="s">
        <v>70</v>
      </c>
      <c r="N11767" t="s">
        <v>37</v>
      </c>
    </row>
    <row r="11768" spans="1:14">
      <c r="A11768" s="4" t="str">
        <f t="shared" si="1034"/>
        <v>EXP00386</v>
      </c>
      <c r="B11768" s="3" t="s">
        <v>66</v>
      </c>
      <c r="C11768" s="4" t="str">
        <f t="shared" si="1032"/>
        <v>GSE87211</v>
      </c>
      <c r="D11768" s="1" t="s">
        <v>239</v>
      </c>
      <c r="E11768" t="s">
        <v>96</v>
      </c>
      <c r="F11768" s="1">
        <v>1</v>
      </c>
      <c r="G11768" s="1" t="s">
        <v>36</v>
      </c>
      <c r="H11768" s="4" t="str">
        <f>HYPERLINK("https://www.ncbi.nlm.nih.gov/geo/query/acc.cgi?acc=GSM2325463","GSM2325463")</f>
        <v>GSM2325463</v>
      </c>
      <c r="I11768" t="s">
        <v>69</v>
      </c>
      <c r="J11768" t="s">
        <v>18</v>
      </c>
      <c r="K11768" t="s">
        <v>33</v>
      </c>
      <c r="L11768" t="s">
        <v>70</v>
      </c>
      <c r="N11768" t="s">
        <v>37</v>
      </c>
    </row>
    <row r="11769" spans="1:14">
      <c r="A11769" s="4" t="str">
        <f t="shared" si="1034"/>
        <v>EXP00386</v>
      </c>
      <c r="B11769" s="3" t="s">
        <v>66</v>
      </c>
      <c r="C11769" s="4" t="str">
        <f t="shared" si="1032"/>
        <v>GSE87211</v>
      </c>
      <c r="D11769" s="1" t="s">
        <v>239</v>
      </c>
      <c r="E11769" t="s">
        <v>96</v>
      </c>
      <c r="F11769" s="1">
        <v>1</v>
      </c>
      <c r="G11769" s="1" t="s">
        <v>36</v>
      </c>
      <c r="H11769" s="4" t="str">
        <f>HYPERLINK("https://www.ncbi.nlm.nih.gov/geo/query/acc.cgi?acc=GSM2325464","GSM2325464")</f>
        <v>GSM2325464</v>
      </c>
      <c r="I11769" t="s">
        <v>69</v>
      </c>
      <c r="J11769" t="s">
        <v>18</v>
      </c>
      <c r="K11769" t="s">
        <v>33</v>
      </c>
      <c r="L11769" t="s">
        <v>70</v>
      </c>
      <c r="N11769" t="s">
        <v>37</v>
      </c>
    </row>
    <row r="11770" spans="1:14">
      <c r="A11770" s="4" t="str">
        <f t="shared" si="1034"/>
        <v>EXP00386</v>
      </c>
      <c r="B11770" s="3" t="s">
        <v>66</v>
      </c>
      <c r="C11770" s="4" t="str">
        <f t="shared" si="1032"/>
        <v>GSE87211</v>
      </c>
      <c r="D11770" s="1" t="s">
        <v>239</v>
      </c>
      <c r="E11770" t="s">
        <v>96</v>
      </c>
      <c r="F11770" s="1">
        <v>1</v>
      </c>
      <c r="G11770" s="1" t="s">
        <v>36</v>
      </c>
      <c r="H11770" s="4" t="str">
        <f>HYPERLINK("https://www.ncbi.nlm.nih.gov/geo/query/acc.cgi?acc=GSM2325465","GSM2325465")</f>
        <v>GSM2325465</v>
      </c>
      <c r="I11770" t="s">
        <v>69</v>
      </c>
      <c r="J11770" t="s">
        <v>18</v>
      </c>
      <c r="K11770" t="s">
        <v>33</v>
      </c>
      <c r="L11770" t="s">
        <v>70</v>
      </c>
      <c r="N11770" t="s">
        <v>37</v>
      </c>
    </row>
    <row r="11771" spans="1:14">
      <c r="A11771" s="4" t="str">
        <f t="shared" si="1034"/>
        <v>EXP00386</v>
      </c>
      <c r="B11771" s="3" t="s">
        <v>66</v>
      </c>
      <c r="C11771" s="4" t="str">
        <f t="shared" si="1032"/>
        <v>GSE87211</v>
      </c>
      <c r="D11771" s="1" t="s">
        <v>239</v>
      </c>
      <c r="E11771" t="s">
        <v>96</v>
      </c>
      <c r="F11771" s="1">
        <v>1</v>
      </c>
      <c r="G11771" s="1" t="s">
        <v>36</v>
      </c>
      <c r="H11771" s="4" t="str">
        <f>HYPERLINK("https://www.ncbi.nlm.nih.gov/geo/query/acc.cgi?acc=GSM2325466","GSM2325466")</f>
        <v>GSM2325466</v>
      </c>
      <c r="I11771" t="s">
        <v>69</v>
      </c>
      <c r="J11771" t="s">
        <v>18</v>
      </c>
      <c r="K11771" t="s">
        <v>33</v>
      </c>
      <c r="L11771" t="s">
        <v>70</v>
      </c>
      <c r="N11771" t="s">
        <v>37</v>
      </c>
    </row>
    <row r="11772" spans="1:14">
      <c r="A11772" s="4" t="str">
        <f t="shared" si="1034"/>
        <v>EXP00386</v>
      </c>
      <c r="B11772" s="3" t="s">
        <v>66</v>
      </c>
      <c r="C11772" s="4" t="str">
        <f t="shared" si="1032"/>
        <v>GSE87211</v>
      </c>
      <c r="D11772" s="1" t="s">
        <v>239</v>
      </c>
      <c r="E11772" t="s">
        <v>96</v>
      </c>
      <c r="F11772" s="1">
        <v>1</v>
      </c>
      <c r="G11772" s="1" t="s">
        <v>36</v>
      </c>
      <c r="H11772" s="4" t="str">
        <f>HYPERLINK("https://www.ncbi.nlm.nih.gov/geo/query/acc.cgi?acc=GSM2325467","GSM2325467")</f>
        <v>GSM2325467</v>
      </c>
      <c r="I11772" t="s">
        <v>69</v>
      </c>
      <c r="J11772" t="s">
        <v>18</v>
      </c>
      <c r="K11772" t="s">
        <v>33</v>
      </c>
      <c r="L11772" t="s">
        <v>70</v>
      </c>
      <c r="N11772" t="s">
        <v>37</v>
      </c>
    </row>
    <row r="11773" spans="1:14">
      <c r="A11773" s="4" t="str">
        <f t="shared" si="1034"/>
        <v>EXP00386</v>
      </c>
      <c r="B11773" s="3" t="s">
        <v>66</v>
      </c>
      <c r="C11773" s="4" t="str">
        <f t="shared" si="1032"/>
        <v>GSE87211</v>
      </c>
      <c r="D11773" s="1" t="s">
        <v>239</v>
      </c>
      <c r="E11773" t="s">
        <v>96</v>
      </c>
      <c r="F11773" s="1">
        <v>1</v>
      </c>
      <c r="G11773" s="1" t="s">
        <v>36</v>
      </c>
      <c r="H11773" s="4" t="str">
        <f>HYPERLINK("https://www.ncbi.nlm.nih.gov/geo/query/acc.cgi?acc=GSM2325468","GSM2325468")</f>
        <v>GSM2325468</v>
      </c>
      <c r="I11773" t="s">
        <v>69</v>
      </c>
      <c r="J11773" t="s">
        <v>18</v>
      </c>
      <c r="K11773" t="s">
        <v>33</v>
      </c>
      <c r="L11773" t="s">
        <v>70</v>
      </c>
      <c r="N11773" t="s">
        <v>37</v>
      </c>
    </row>
    <row r="11774" spans="1:14">
      <c r="A11774" s="4" t="str">
        <f t="shared" si="1034"/>
        <v>EXP00386</v>
      </c>
      <c r="B11774" s="3" t="s">
        <v>66</v>
      </c>
      <c r="C11774" s="4" t="str">
        <f t="shared" si="1032"/>
        <v>GSE87211</v>
      </c>
      <c r="D11774" s="1" t="s">
        <v>239</v>
      </c>
      <c r="E11774" t="s">
        <v>96</v>
      </c>
      <c r="F11774" s="1">
        <v>1</v>
      </c>
      <c r="G11774" s="1" t="s">
        <v>36</v>
      </c>
      <c r="H11774" s="4" t="str">
        <f>HYPERLINK("https://www.ncbi.nlm.nih.gov/geo/query/acc.cgi?acc=GSM2325471","GSM2325471")</f>
        <v>GSM2325471</v>
      </c>
      <c r="I11774" t="s">
        <v>69</v>
      </c>
      <c r="J11774" t="s">
        <v>18</v>
      </c>
      <c r="K11774" t="s">
        <v>33</v>
      </c>
      <c r="L11774" t="s">
        <v>70</v>
      </c>
      <c r="N11774" t="s">
        <v>37</v>
      </c>
    </row>
    <row r="11775" spans="1:14">
      <c r="A11775" s="4" t="str">
        <f t="shared" si="1034"/>
        <v>EXP00386</v>
      </c>
      <c r="B11775" s="3" t="s">
        <v>66</v>
      </c>
      <c r="C11775" s="4" t="str">
        <f t="shared" si="1032"/>
        <v>GSE87211</v>
      </c>
      <c r="D11775" s="1" t="s">
        <v>239</v>
      </c>
      <c r="E11775" t="s">
        <v>96</v>
      </c>
      <c r="F11775" s="1">
        <v>1</v>
      </c>
      <c r="G11775" s="1" t="s">
        <v>36</v>
      </c>
      <c r="H11775" s="4" t="str">
        <f>HYPERLINK("https://www.ncbi.nlm.nih.gov/geo/query/acc.cgi?acc=GSM2325472","GSM2325472")</f>
        <v>GSM2325472</v>
      </c>
      <c r="I11775" t="s">
        <v>69</v>
      </c>
      <c r="J11775" t="s">
        <v>18</v>
      </c>
      <c r="K11775" t="s">
        <v>33</v>
      </c>
      <c r="L11775" t="s">
        <v>70</v>
      </c>
      <c r="N11775" t="s">
        <v>37</v>
      </c>
    </row>
    <row r="11776" spans="1:14">
      <c r="A11776" s="4" t="str">
        <f t="shared" si="1034"/>
        <v>EXP00386</v>
      </c>
      <c r="B11776" s="3" t="s">
        <v>66</v>
      </c>
      <c r="C11776" s="4" t="str">
        <f t="shared" si="1032"/>
        <v>GSE87211</v>
      </c>
      <c r="D11776" s="1" t="s">
        <v>239</v>
      </c>
      <c r="E11776" t="s">
        <v>96</v>
      </c>
      <c r="F11776" s="1">
        <v>1</v>
      </c>
      <c r="G11776" s="1" t="s">
        <v>36</v>
      </c>
      <c r="H11776" s="4" t="str">
        <f>HYPERLINK("https://www.ncbi.nlm.nih.gov/geo/query/acc.cgi?acc=GSM2325473","GSM2325473")</f>
        <v>GSM2325473</v>
      </c>
      <c r="I11776" t="s">
        <v>69</v>
      </c>
      <c r="J11776" t="s">
        <v>18</v>
      </c>
      <c r="K11776" t="s">
        <v>33</v>
      </c>
      <c r="L11776" t="s">
        <v>70</v>
      </c>
      <c r="N11776" t="s">
        <v>37</v>
      </c>
    </row>
    <row r="11777" spans="1:14">
      <c r="A11777" s="4" t="str">
        <f t="shared" si="1034"/>
        <v>EXP00386</v>
      </c>
      <c r="B11777" s="3" t="s">
        <v>66</v>
      </c>
      <c r="C11777" s="4" t="str">
        <f t="shared" si="1032"/>
        <v>GSE87211</v>
      </c>
      <c r="D11777" s="1" t="s">
        <v>239</v>
      </c>
      <c r="E11777" t="s">
        <v>96</v>
      </c>
      <c r="F11777" s="1">
        <v>1</v>
      </c>
      <c r="G11777" s="1" t="s">
        <v>36</v>
      </c>
      <c r="H11777" s="4" t="str">
        <f>HYPERLINK("https://www.ncbi.nlm.nih.gov/geo/query/acc.cgi?acc=GSM2325474","GSM2325474")</f>
        <v>GSM2325474</v>
      </c>
      <c r="I11777" t="s">
        <v>69</v>
      </c>
      <c r="J11777" t="s">
        <v>18</v>
      </c>
      <c r="K11777" t="s">
        <v>33</v>
      </c>
      <c r="L11777" t="s">
        <v>70</v>
      </c>
      <c r="N11777" t="s">
        <v>37</v>
      </c>
    </row>
    <row r="11778" spans="1:14">
      <c r="A11778" s="4" t="str">
        <f t="shared" si="1034"/>
        <v>EXP00386</v>
      </c>
      <c r="B11778" s="3" t="s">
        <v>66</v>
      </c>
      <c r="C11778" s="4" t="str">
        <f t="shared" ref="C11778:C11841" si="1035">HYPERLINK("https://www.ncbi.nlm.nih.gov/geo/query/acc.cgi?acc=GSE87211","GSE87211")</f>
        <v>GSE87211</v>
      </c>
      <c r="D11778" s="1" t="s">
        <v>239</v>
      </c>
      <c r="E11778" t="s">
        <v>96</v>
      </c>
      <c r="F11778" s="1">
        <v>1</v>
      </c>
      <c r="G11778" s="1" t="s">
        <v>36</v>
      </c>
      <c r="H11778" s="4" t="str">
        <f>HYPERLINK("https://www.ncbi.nlm.nih.gov/geo/query/acc.cgi?acc=GSM2325475","GSM2325475")</f>
        <v>GSM2325475</v>
      </c>
      <c r="I11778" t="s">
        <v>69</v>
      </c>
      <c r="J11778" t="s">
        <v>18</v>
      </c>
      <c r="K11778" t="s">
        <v>33</v>
      </c>
      <c r="L11778" t="s">
        <v>70</v>
      </c>
      <c r="N11778" t="s">
        <v>37</v>
      </c>
    </row>
    <row r="11779" spans="1:14">
      <c r="A11779" s="4" t="str">
        <f t="shared" si="1034"/>
        <v>EXP00386</v>
      </c>
      <c r="B11779" s="3" t="s">
        <v>66</v>
      </c>
      <c r="C11779" s="4" t="str">
        <f t="shared" si="1035"/>
        <v>GSE87211</v>
      </c>
      <c r="D11779" s="1" t="s">
        <v>239</v>
      </c>
      <c r="E11779" t="s">
        <v>96</v>
      </c>
      <c r="F11779" s="1">
        <v>1</v>
      </c>
      <c r="G11779" s="1" t="s">
        <v>36</v>
      </c>
      <c r="H11779" s="4" t="str">
        <f>HYPERLINK("https://www.ncbi.nlm.nih.gov/geo/query/acc.cgi?acc=GSM2325476","GSM2325476")</f>
        <v>GSM2325476</v>
      </c>
      <c r="I11779" t="s">
        <v>69</v>
      </c>
      <c r="J11779" t="s">
        <v>18</v>
      </c>
      <c r="K11779" t="s">
        <v>33</v>
      </c>
      <c r="L11779" t="s">
        <v>70</v>
      </c>
      <c r="N11779" t="s">
        <v>37</v>
      </c>
    </row>
    <row r="11780" spans="1:14">
      <c r="A11780" s="4" t="str">
        <f t="shared" si="1034"/>
        <v>EXP00386</v>
      </c>
      <c r="B11780" s="3" t="s">
        <v>66</v>
      </c>
      <c r="C11780" s="4" t="str">
        <f t="shared" si="1035"/>
        <v>GSE87211</v>
      </c>
      <c r="D11780" s="1" t="s">
        <v>239</v>
      </c>
      <c r="E11780" t="s">
        <v>96</v>
      </c>
      <c r="F11780" s="1">
        <v>1</v>
      </c>
      <c r="G11780" s="1" t="s">
        <v>36</v>
      </c>
      <c r="H11780" s="4" t="str">
        <f>HYPERLINK("https://www.ncbi.nlm.nih.gov/geo/query/acc.cgi?acc=GSM2325477","GSM2325477")</f>
        <v>GSM2325477</v>
      </c>
      <c r="I11780" t="s">
        <v>69</v>
      </c>
      <c r="J11780" t="s">
        <v>18</v>
      </c>
      <c r="K11780" t="s">
        <v>33</v>
      </c>
      <c r="L11780" t="s">
        <v>70</v>
      </c>
      <c r="N11780" t="s">
        <v>37</v>
      </c>
    </row>
    <row r="11781" spans="1:14">
      <c r="A11781" s="4" t="str">
        <f t="shared" si="1034"/>
        <v>EXP00386</v>
      </c>
      <c r="B11781" s="3" t="s">
        <v>66</v>
      </c>
      <c r="C11781" s="4" t="str">
        <f t="shared" si="1035"/>
        <v>GSE87211</v>
      </c>
      <c r="D11781" s="1" t="s">
        <v>239</v>
      </c>
      <c r="E11781" t="s">
        <v>96</v>
      </c>
      <c r="F11781" s="1">
        <v>1</v>
      </c>
      <c r="G11781" s="1" t="s">
        <v>36</v>
      </c>
      <c r="H11781" s="4" t="str">
        <f>HYPERLINK("https://www.ncbi.nlm.nih.gov/geo/query/acc.cgi?acc=GSM2325478","GSM2325478")</f>
        <v>GSM2325478</v>
      </c>
      <c r="I11781" t="s">
        <v>69</v>
      </c>
      <c r="J11781" t="s">
        <v>18</v>
      </c>
      <c r="K11781" t="s">
        <v>33</v>
      </c>
      <c r="L11781" t="s">
        <v>70</v>
      </c>
      <c r="N11781" t="s">
        <v>37</v>
      </c>
    </row>
    <row r="11782" spans="1:14">
      <c r="A11782" s="4" t="str">
        <f t="shared" si="1034"/>
        <v>EXP00386</v>
      </c>
      <c r="B11782" s="3" t="s">
        <v>66</v>
      </c>
      <c r="C11782" s="4" t="str">
        <f t="shared" si="1035"/>
        <v>GSE87211</v>
      </c>
      <c r="D11782" s="1" t="s">
        <v>239</v>
      </c>
      <c r="E11782" t="s">
        <v>96</v>
      </c>
      <c r="F11782" s="1">
        <v>1</v>
      </c>
      <c r="G11782" s="1" t="s">
        <v>36</v>
      </c>
      <c r="H11782" s="4" t="str">
        <f>HYPERLINK("https://www.ncbi.nlm.nih.gov/geo/query/acc.cgi?acc=GSM2325479","GSM2325479")</f>
        <v>GSM2325479</v>
      </c>
      <c r="I11782" t="s">
        <v>69</v>
      </c>
      <c r="J11782" t="s">
        <v>18</v>
      </c>
      <c r="K11782" t="s">
        <v>33</v>
      </c>
      <c r="L11782" t="s">
        <v>70</v>
      </c>
      <c r="N11782" t="s">
        <v>37</v>
      </c>
    </row>
    <row r="11783" spans="1:14">
      <c r="A11783" s="4" t="str">
        <f t="shared" si="1034"/>
        <v>EXP00386</v>
      </c>
      <c r="B11783" s="3" t="s">
        <v>66</v>
      </c>
      <c r="C11783" s="4" t="str">
        <f t="shared" si="1035"/>
        <v>GSE87211</v>
      </c>
      <c r="D11783" s="1" t="s">
        <v>239</v>
      </c>
      <c r="E11783" t="s">
        <v>96</v>
      </c>
      <c r="F11783" s="1">
        <v>1</v>
      </c>
      <c r="G11783" s="1" t="s">
        <v>36</v>
      </c>
      <c r="H11783" s="4" t="str">
        <f>HYPERLINK("https://www.ncbi.nlm.nih.gov/geo/query/acc.cgi?acc=GSM2325480","GSM2325480")</f>
        <v>GSM2325480</v>
      </c>
      <c r="I11783" t="s">
        <v>69</v>
      </c>
      <c r="J11783" t="s">
        <v>18</v>
      </c>
      <c r="K11783" t="s">
        <v>33</v>
      </c>
      <c r="L11783" t="s">
        <v>70</v>
      </c>
      <c r="N11783" t="s">
        <v>37</v>
      </c>
    </row>
    <row r="11784" spans="1:14">
      <c r="A11784" s="4" t="str">
        <f t="shared" si="1034"/>
        <v>EXP00386</v>
      </c>
      <c r="B11784" s="3" t="s">
        <v>66</v>
      </c>
      <c r="C11784" s="4" t="str">
        <f t="shared" si="1035"/>
        <v>GSE87211</v>
      </c>
      <c r="D11784" s="1" t="s">
        <v>239</v>
      </c>
      <c r="E11784" t="s">
        <v>96</v>
      </c>
      <c r="F11784" s="1">
        <v>1</v>
      </c>
      <c r="G11784" s="1" t="s">
        <v>36</v>
      </c>
      <c r="H11784" s="4" t="str">
        <f>HYPERLINK("https://www.ncbi.nlm.nih.gov/geo/query/acc.cgi?acc=GSM2325481","GSM2325481")</f>
        <v>GSM2325481</v>
      </c>
      <c r="I11784" t="s">
        <v>69</v>
      </c>
      <c r="J11784" t="s">
        <v>18</v>
      </c>
      <c r="K11784" t="s">
        <v>33</v>
      </c>
      <c r="L11784" t="s">
        <v>70</v>
      </c>
      <c r="N11784" t="s">
        <v>37</v>
      </c>
    </row>
    <row r="11785" spans="1:14">
      <c r="A11785" s="4" t="str">
        <f t="shared" si="1034"/>
        <v>EXP00386</v>
      </c>
      <c r="B11785" s="3" t="s">
        <v>66</v>
      </c>
      <c r="C11785" s="4" t="str">
        <f t="shared" si="1035"/>
        <v>GSE87211</v>
      </c>
      <c r="D11785" s="1" t="s">
        <v>239</v>
      </c>
      <c r="E11785" t="s">
        <v>96</v>
      </c>
      <c r="F11785" s="1">
        <v>1</v>
      </c>
      <c r="G11785" s="1" t="s">
        <v>36</v>
      </c>
      <c r="H11785" s="4" t="str">
        <f>HYPERLINK("https://www.ncbi.nlm.nih.gov/geo/query/acc.cgi?acc=GSM2325482","GSM2325482")</f>
        <v>GSM2325482</v>
      </c>
      <c r="I11785" t="s">
        <v>69</v>
      </c>
      <c r="J11785" t="s">
        <v>18</v>
      </c>
      <c r="K11785" t="s">
        <v>33</v>
      </c>
      <c r="L11785" t="s">
        <v>70</v>
      </c>
      <c r="N11785" t="s">
        <v>37</v>
      </c>
    </row>
    <row r="11786" spans="1:14">
      <c r="A11786" s="4" t="str">
        <f t="shared" si="1034"/>
        <v>EXP00386</v>
      </c>
      <c r="B11786" s="3" t="s">
        <v>66</v>
      </c>
      <c r="C11786" s="4" t="str">
        <f t="shared" si="1035"/>
        <v>GSE87211</v>
      </c>
      <c r="D11786" s="1" t="s">
        <v>239</v>
      </c>
      <c r="E11786" t="s">
        <v>96</v>
      </c>
      <c r="F11786" s="1">
        <v>1</v>
      </c>
      <c r="G11786" s="1" t="s">
        <v>36</v>
      </c>
      <c r="H11786" s="4" t="str">
        <f>HYPERLINK("https://www.ncbi.nlm.nih.gov/geo/query/acc.cgi?acc=GSM2325483","GSM2325483")</f>
        <v>GSM2325483</v>
      </c>
      <c r="I11786" t="s">
        <v>69</v>
      </c>
      <c r="J11786" t="s">
        <v>18</v>
      </c>
      <c r="K11786" t="s">
        <v>33</v>
      </c>
      <c r="L11786" t="s">
        <v>70</v>
      </c>
      <c r="N11786" t="s">
        <v>37</v>
      </c>
    </row>
    <row r="11787" spans="1:14">
      <c r="A11787" s="4" t="str">
        <f t="shared" si="1034"/>
        <v>EXP00386</v>
      </c>
      <c r="B11787" s="3" t="s">
        <v>66</v>
      </c>
      <c r="C11787" s="4" t="str">
        <f t="shared" si="1035"/>
        <v>GSE87211</v>
      </c>
      <c r="D11787" s="1" t="s">
        <v>239</v>
      </c>
      <c r="E11787" t="s">
        <v>96</v>
      </c>
      <c r="F11787" s="1">
        <v>1</v>
      </c>
      <c r="G11787" s="1" t="s">
        <v>36</v>
      </c>
      <c r="H11787" s="4" t="str">
        <f>HYPERLINK("https://www.ncbi.nlm.nih.gov/geo/query/acc.cgi?acc=GSM2325484","GSM2325484")</f>
        <v>GSM2325484</v>
      </c>
      <c r="I11787" t="s">
        <v>69</v>
      </c>
      <c r="J11787" t="s">
        <v>18</v>
      </c>
      <c r="K11787" t="s">
        <v>33</v>
      </c>
      <c r="L11787" t="s">
        <v>70</v>
      </c>
      <c r="N11787" t="s">
        <v>37</v>
      </c>
    </row>
    <row r="11788" spans="1:14">
      <c r="A11788" s="4" t="str">
        <f t="shared" si="1034"/>
        <v>EXP00386</v>
      </c>
      <c r="B11788" s="3" t="s">
        <v>66</v>
      </c>
      <c r="C11788" s="4" t="str">
        <f t="shared" si="1035"/>
        <v>GSE87211</v>
      </c>
      <c r="D11788" s="1" t="s">
        <v>239</v>
      </c>
      <c r="E11788" t="s">
        <v>96</v>
      </c>
      <c r="F11788" s="1">
        <v>1</v>
      </c>
      <c r="G11788" s="1" t="s">
        <v>36</v>
      </c>
      <c r="H11788" s="4" t="str">
        <f>HYPERLINK("https://www.ncbi.nlm.nih.gov/geo/query/acc.cgi?acc=GSM2325485","GSM2325485")</f>
        <v>GSM2325485</v>
      </c>
      <c r="I11788" t="s">
        <v>69</v>
      </c>
      <c r="J11788" t="s">
        <v>18</v>
      </c>
      <c r="K11788" t="s">
        <v>33</v>
      </c>
      <c r="L11788" t="s">
        <v>70</v>
      </c>
      <c r="N11788" t="s">
        <v>37</v>
      </c>
    </row>
    <row r="11789" spans="1:14">
      <c r="A11789" s="4" t="str">
        <f t="shared" si="1034"/>
        <v>EXP00386</v>
      </c>
      <c r="B11789" s="3" t="s">
        <v>66</v>
      </c>
      <c r="C11789" s="4" t="str">
        <f t="shared" si="1035"/>
        <v>GSE87211</v>
      </c>
      <c r="D11789" s="1" t="s">
        <v>239</v>
      </c>
      <c r="E11789" t="s">
        <v>96</v>
      </c>
      <c r="F11789" s="1">
        <v>1</v>
      </c>
      <c r="G11789" s="1" t="s">
        <v>36</v>
      </c>
      <c r="H11789" s="4" t="str">
        <f>HYPERLINK("https://www.ncbi.nlm.nih.gov/geo/query/acc.cgi?acc=GSM2325486","GSM2325486")</f>
        <v>GSM2325486</v>
      </c>
      <c r="I11789" t="s">
        <v>69</v>
      </c>
      <c r="J11789" t="s">
        <v>18</v>
      </c>
      <c r="K11789" t="s">
        <v>33</v>
      </c>
      <c r="L11789" t="s">
        <v>70</v>
      </c>
      <c r="N11789" t="s">
        <v>37</v>
      </c>
    </row>
    <row r="11790" spans="1:14">
      <c r="A11790" s="4" t="str">
        <f t="shared" si="1034"/>
        <v>EXP00386</v>
      </c>
      <c r="B11790" s="3" t="s">
        <v>66</v>
      </c>
      <c r="C11790" s="4" t="str">
        <f t="shared" si="1035"/>
        <v>GSE87211</v>
      </c>
      <c r="D11790" s="1" t="s">
        <v>239</v>
      </c>
      <c r="E11790" t="s">
        <v>96</v>
      </c>
      <c r="F11790" s="1">
        <v>1</v>
      </c>
      <c r="G11790" s="1" t="s">
        <v>36</v>
      </c>
      <c r="H11790" s="4" t="str">
        <f>HYPERLINK("https://www.ncbi.nlm.nih.gov/geo/query/acc.cgi?acc=GSM2325487","GSM2325487")</f>
        <v>GSM2325487</v>
      </c>
      <c r="I11790" t="s">
        <v>69</v>
      </c>
      <c r="J11790" t="s">
        <v>18</v>
      </c>
      <c r="K11790" t="s">
        <v>33</v>
      </c>
      <c r="L11790" t="s">
        <v>70</v>
      </c>
      <c r="N11790" t="s">
        <v>37</v>
      </c>
    </row>
    <row r="11791" spans="1:14">
      <c r="A11791" s="4" t="str">
        <f t="shared" si="1034"/>
        <v>EXP00386</v>
      </c>
      <c r="B11791" s="3" t="s">
        <v>66</v>
      </c>
      <c r="C11791" s="4" t="str">
        <f t="shared" si="1035"/>
        <v>GSE87211</v>
      </c>
      <c r="D11791" s="1" t="s">
        <v>239</v>
      </c>
      <c r="E11791" t="s">
        <v>96</v>
      </c>
      <c r="F11791" s="1">
        <v>1</v>
      </c>
      <c r="G11791" s="1" t="s">
        <v>36</v>
      </c>
      <c r="H11791" s="4" t="str">
        <f>HYPERLINK("https://www.ncbi.nlm.nih.gov/geo/query/acc.cgi?acc=GSM2325488","GSM2325488")</f>
        <v>GSM2325488</v>
      </c>
      <c r="I11791" t="s">
        <v>69</v>
      </c>
      <c r="J11791" t="s">
        <v>18</v>
      </c>
      <c r="K11791" t="s">
        <v>33</v>
      </c>
      <c r="L11791" t="s">
        <v>70</v>
      </c>
      <c r="N11791" t="s">
        <v>37</v>
      </c>
    </row>
    <row r="11792" spans="1:14">
      <c r="A11792" s="4" t="str">
        <f t="shared" si="1034"/>
        <v>EXP00386</v>
      </c>
      <c r="B11792" s="3" t="s">
        <v>66</v>
      </c>
      <c r="C11792" s="4" t="str">
        <f t="shared" si="1035"/>
        <v>GSE87211</v>
      </c>
      <c r="D11792" s="1" t="s">
        <v>239</v>
      </c>
      <c r="E11792" t="s">
        <v>96</v>
      </c>
      <c r="F11792" s="1">
        <v>1</v>
      </c>
      <c r="G11792" s="1" t="s">
        <v>36</v>
      </c>
      <c r="H11792" s="4" t="str">
        <f>HYPERLINK("https://www.ncbi.nlm.nih.gov/geo/query/acc.cgi?acc=GSM2325489","GSM2325489")</f>
        <v>GSM2325489</v>
      </c>
      <c r="I11792" t="s">
        <v>69</v>
      </c>
      <c r="J11792" t="s">
        <v>18</v>
      </c>
      <c r="K11792" t="s">
        <v>33</v>
      </c>
      <c r="L11792" t="s">
        <v>70</v>
      </c>
      <c r="N11792" t="s">
        <v>37</v>
      </c>
    </row>
    <row r="11793" spans="1:14">
      <c r="A11793" s="4" t="str">
        <f t="shared" si="1034"/>
        <v>EXP00386</v>
      </c>
      <c r="B11793" s="3" t="s">
        <v>66</v>
      </c>
      <c r="C11793" s="4" t="str">
        <f t="shared" si="1035"/>
        <v>GSE87211</v>
      </c>
      <c r="D11793" s="1" t="s">
        <v>239</v>
      </c>
      <c r="E11793" t="s">
        <v>96</v>
      </c>
      <c r="F11793" s="1">
        <v>1</v>
      </c>
      <c r="G11793" s="1" t="s">
        <v>36</v>
      </c>
      <c r="H11793" s="4" t="str">
        <f>HYPERLINK("https://www.ncbi.nlm.nih.gov/geo/query/acc.cgi?acc=GSM2325490","GSM2325490")</f>
        <v>GSM2325490</v>
      </c>
      <c r="I11793" t="s">
        <v>69</v>
      </c>
      <c r="J11793" t="s">
        <v>18</v>
      </c>
      <c r="K11793" t="s">
        <v>33</v>
      </c>
      <c r="L11793" t="s">
        <v>70</v>
      </c>
      <c r="N11793" t="s">
        <v>37</v>
      </c>
    </row>
    <row r="11794" spans="1:14">
      <c r="A11794" s="4" t="str">
        <f t="shared" si="1034"/>
        <v>EXP00386</v>
      </c>
      <c r="B11794" s="3" t="s">
        <v>66</v>
      </c>
      <c r="C11794" s="4" t="str">
        <f t="shared" si="1035"/>
        <v>GSE87211</v>
      </c>
      <c r="D11794" s="1" t="s">
        <v>239</v>
      </c>
      <c r="E11794" t="s">
        <v>96</v>
      </c>
      <c r="F11794" s="1">
        <v>1</v>
      </c>
      <c r="G11794" s="1" t="s">
        <v>36</v>
      </c>
      <c r="H11794" s="4" t="str">
        <f>HYPERLINK("https://www.ncbi.nlm.nih.gov/geo/query/acc.cgi?acc=GSM2325491","GSM2325491")</f>
        <v>GSM2325491</v>
      </c>
      <c r="I11794" t="s">
        <v>69</v>
      </c>
      <c r="J11794" t="s">
        <v>18</v>
      </c>
      <c r="K11794" t="s">
        <v>33</v>
      </c>
      <c r="L11794" t="s">
        <v>70</v>
      </c>
      <c r="N11794" t="s">
        <v>37</v>
      </c>
    </row>
    <row r="11795" spans="1:14">
      <c r="A11795" s="4" t="str">
        <f t="shared" si="1034"/>
        <v>EXP00386</v>
      </c>
      <c r="B11795" s="3" t="s">
        <v>66</v>
      </c>
      <c r="C11795" s="4" t="str">
        <f t="shared" si="1035"/>
        <v>GSE87211</v>
      </c>
      <c r="D11795" s="1" t="s">
        <v>239</v>
      </c>
      <c r="E11795" t="s">
        <v>96</v>
      </c>
      <c r="F11795" s="1">
        <v>1</v>
      </c>
      <c r="G11795" s="1" t="s">
        <v>36</v>
      </c>
      <c r="H11795" s="4" t="str">
        <f>HYPERLINK("https://www.ncbi.nlm.nih.gov/geo/query/acc.cgi?acc=GSM2325492","GSM2325492")</f>
        <v>GSM2325492</v>
      </c>
      <c r="I11795" t="s">
        <v>69</v>
      </c>
      <c r="J11795" t="s">
        <v>18</v>
      </c>
      <c r="K11795" t="s">
        <v>33</v>
      </c>
      <c r="L11795" t="s">
        <v>70</v>
      </c>
      <c r="N11795" t="s">
        <v>37</v>
      </c>
    </row>
    <row r="11796" spans="1:14">
      <c r="A11796" s="4" t="str">
        <f t="shared" si="1034"/>
        <v>EXP00386</v>
      </c>
      <c r="B11796" s="3" t="s">
        <v>66</v>
      </c>
      <c r="C11796" s="4" t="str">
        <f t="shared" si="1035"/>
        <v>GSE87211</v>
      </c>
      <c r="D11796" s="1" t="s">
        <v>239</v>
      </c>
      <c r="E11796" t="s">
        <v>96</v>
      </c>
      <c r="F11796" s="1">
        <v>1</v>
      </c>
      <c r="G11796" s="1" t="s">
        <v>36</v>
      </c>
      <c r="H11796" s="4" t="str">
        <f>HYPERLINK("https://www.ncbi.nlm.nih.gov/geo/query/acc.cgi?acc=GSM2325493","GSM2325493")</f>
        <v>GSM2325493</v>
      </c>
      <c r="I11796" t="s">
        <v>69</v>
      </c>
      <c r="J11796" t="s">
        <v>18</v>
      </c>
      <c r="K11796" t="s">
        <v>33</v>
      </c>
      <c r="L11796" t="s">
        <v>70</v>
      </c>
      <c r="N11796" t="s">
        <v>37</v>
      </c>
    </row>
    <row r="11797" spans="1:14">
      <c r="A11797" s="4" t="str">
        <f t="shared" si="1034"/>
        <v>EXP00386</v>
      </c>
      <c r="B11797" s="3" t="s">
        <v>66</v>
      </c>
      <c r="C11797" s="4" t="str">
        <f t="shared" si="1035"/>
        <v>GSE87211</v>
      </c>
      <c r="D11797" s="1" t="s">
        <v>239</v>
      </c>
      <c r="E11797" t="s">
        <v>96</v>
      </c>
      <c r="F11797" s="1">
        <v>1</v>
      </c>
      <c r="G11797" s="1" t="s">
        <v>36</v>
      </c>
      <c r="H11797" s="4" t="str">
        <f>HYPERLINK("https://www.ncbi.nlm.nih.gov/geo/query/acc.cgi?acc=GSM2325494","GSM2325494")</f>
        <v>GSM2325494</v>
      </c>
      <c r="I11797" t="s">
        <v>69</v>
      </c>
      <c r="J11797" t="s">
        <v>18</v>
      </c>
      <c r="K11797" t="s">
        <v>33</v>
      </c>
      <c r="L11797" t="s">
        <v>70</v>
      </c>
      <c r="N11797" t="s">
        <v>37</v>
      </c>
    </row>
    <row r="11798" spans="1:14">
      <c r="A11798" s="4" t="str">
        <f t="shared" si="1034"/>
        <v>EXP00386</v>
      </c>
      <c r="B11798" s="3" t="s">
        <v>66</v>
      </c>
      <c r="C11798" s="4" t="str">
        <f t="shared" si="1035"/>
        <v>GSE87211</v>
      </c>
      <c r="D11798" s="1" t="s">
        <v>239</v>
      </c>
      <c r="E11798" t="s">
        <v>96</v>
      </c>
      <c r="F11798" s="1">
        <v>1</v>
      </c>
      <c r="G11798" s="1" t="s">
        <v>36</v>
      </c>
      <c r="H11798" s="4" t="str">
        <f>HYPERLINK("https://www.ncbi.nlm.nih.gov/geo/query/acc.cgi?acc=GSM2325495","GSM2325495")</f>
        <v>GSM2325495</v>
      </c>
      <c r="I11798" t="s">
        <v>69</v>
      </c>
      <c r="J11798" t="s">
        <v>18</v>
      </c>
      <c r="K11798" t="s">
        <v>33</v>
      </c>
      <c r="L11798" t="s">
        <v>70</v>
      </c>
      <c r="N11798" t="s">
        <v>37</v>
      </c>
    </row>
    <row r="11799" spans="1:14">
      <c r="A11799" s="4" t="str">
        <f t="shared" si="1034"/>
        <v>EXP00386</v>
      </c>
      <c r="B11799" s="3" t="s">
        <v>66</v>
      </c>
      <c r="C11799" s="4" t="str">
        <f t="shared" si="1035"/>
        <v>GSE87211</v>
      </c>
      <c r="D11799" s="1" t="s">
        <v>239</v>
      </c>
      <c r="E11799" t="s">
        <v>96</v>
      </c>
      <c r="F11799" s="1">
        <v>1</v>
      </c>
      <c r="G11799" s="1" t="s">
        <v>36</v>
      </c>
      <c r="H11799" s="4" t="str">
        <f>HYPERLINK("https://www.ncbi.nlm.nih.gov/geo/query/acc.cgi?acc=GSM2325496","GSM2325496")</f>
        <v>GSM2325496</v>
      </c>
      <c r="I11799" t="s">
        <v>69</v>
      </c>
      <c r="J11799" t="s">
        <v>18</v>
      </c>
      <c r="K11799" t="s">
        <v>33</v>
      </c>
      <c r="L11799" t="s">
        <v>70</v>
      </c>
      <c r="N11799" t="s">
        <v>37</v>
      </c>
    </row>
    <row r="11800" spans="1:14">
      <c r="A11800" s="4" t="str">
        <f t="shared" si="1034"/>
        <v>EXP00386</v>
      </c>
      <c r="B11800" s="3" t="s">
        <v>66</v>
      </c>
      <c r="C11800" s="4" t="str">
        <f t="shared" si="1035"/>
        <v>GSE87211</v>
      </c>
      <c r="D11800" s="1" t="s">
        <v>239</v>
      </c>
      <c r="E11800" t="s">
        <v>96</v>
      </c>
      <c r="F11800" s="1">
        <v>1</v>
      </c>
      <c r="G11800" s="1" t="s">
        <v>36</v>
      </c>
      <c r="H11800" s="4" t="str">
        <f>HYPERLINK("https://www.ncbi.nlm.nih.gov/geo/query/acc.cgi?acc=GSM2325497","GSM2325497")</f>
        <v>GSM2325497</v>
      </c>
      <c r="I11800" t="s">
        <v>69</v>
      </c>
      <c r="J11800" t="s">
        <v>18</v>
      </c>
      <c r="K11800" t="s">
        <v>33</v>
      </c>
      <c r="L11800" t="s">
        <v>70</v>
      </c>
      <c r="N11800" t="s">
        <v>37</v>
      </c>
    </row>
    <row r="11801" spans="1:14">
      <c r="A11801" s="4" t="str">
        <f t="shared" si="1034"/>
        <v>EXP00386</v>
      </c>
      <c r="B11801" s="3" t="s">
        <v>66</v>
      </c>
      <c r="C11801" s="4" t="str">
        <f t="shared" si="1035"/>
        <v>GSE87211</v>
      </c>
      <c r="D11801" s="1" t="s">
        <v>239</v>
      </c>
      <c r="E11801" t="s">
        <v>96</v>
      </c>
      <c r="F11801" s="1">
        <v>1</v>
      </c>
      <c r="G11801" s="1" t="s">
        <v>36</v>
      </c>
      <c r="H11801" s="4" t="str">
        <f>HYPERLINK("https://www.ncbi.nlm.nih.gov/geo/query/acc.cgi?acc=GSM2325498","GSM2325498")</f>
        <v>GSM2325498</v>
      </c>
      <c r="I11801" t="s">
        <v>69</v>
      </c>
      <c r="J11801" t="s">
        <v>18</v>
      </c>
      <c r="K11801" t="s">
        <v>33</v>
      </c>
      <c r="L11801" t="s">
        <v>70</v>
      </c>
      <c r="N11801" t="s">
        <v>37</v>
      </c>
    </row>
    <row r="11802" spans="1:14">
      <c r="A11802" s="4" t="str">
        <f t="shared" si="1034"/>
        <v>EXP00386</v>
      </c>
      <c r="B11802" s="3" t="s">
        <v>66</v>
      </c>
      <c r="C11802" s="4" t="str">
        <f t="shared" si="1035"/>
        <v>GSE87211</v>
      </c>
      <c r="D11802" s="1" t="s">
        <v>239</v>
      </c>
      <c r="E11802" t="s">
        <v>96</v>
      </c>
      <c r="F11802" s="1">
        <v>1</v>
      </c>
      <c r="G11802" s="1" t="s">
        <v>36</v>
      </c>
      <c r="H11802" s="4" t="str">
        <f>HYPERLINK("https://www.ncbi.nlm.nih.gov/geo/query/acc.cgi?acc=GSM2325499","GSM2325499")</f>
        <v>GSM2325499</v>
      </c>
      <c r="I11802" t="s">
        <v>69</v>
      </c>
      <c r="J11802" t="s">
        <v>18</v>
      </c>
      <c r="K11802" t="s">
        <v>33</v>
      </c>
      <c r="L11802" t="s">
        <v>70</v>
      </c>
      <c r="N11802" t="s">
        <v>37</v>
      </c>
    </row>
    <row r="11803" spans="1:14">
      <c r="A11803" s="4" t="str">
        <f t="shared" si="1034"/>
        <v>EXP00386</v>
      </c>
      <c r="B11803" s="3" t="s">
        <v>66</v>
      </c>
      <c r="C11803" s="4" t="str">
        <f t="shared" si="1035"/>
        <v>GSE87211</v>
      </c>
      <c r="D11803" s="1" t="s">
        <v>239</v>
      </c>
      <c r="E11803" t="s">
        <v>96</v>
      </c>
      <c r="F11803" s="1">
        <v>1</v>
      </c>
      <c r="G11803" s="1" t="s">
        <v>36</v>
      </c>
      <c r="H11803" s="4" t="str">
        <f>HYPERLINK("https://www.ncbi.nlm.nih.gov/geo/query/acc.cgi?acc=GSM2325500","GSM2325500")</f>
        <v>GSM2325500</v>
      </c>
      <c r="I11803" t="s">
        <v>69</v>
      </c>
      <c r="J11803" t="s">
        <v>18</v>
      </c>
      <c r="K11803" t="s">
        <v>33</v>
      </c>
      <c r="L11803" t="s">
        <v>70</v>
      </c>
      <c r="N11803" t="s">
        <v>37</v>
      </c>
    </row>
    <row r="11804" spans="1:14">
      <c r="A11804" s="4" t="str">
        <f t="shared" si="1034"/>
        <v>EXP00386</v>
      </c>
      <c r="B11804" s="3" t="s">
        <v>66</v>
      </c>
      <c r="C11804" s="4" t="str">
        <f t="shared" si="1035"/>
        <v>GSE87211</v>
      </c>
      <c r="D11804" s="1" t="s">
        <v>239</v>
      </c>
      <c r="E11804" t="s">
        <v>96</v>
      </c>
      <c r="F11804" s="1">
        <v>1</v>
      </c>
      <c r="G11804" s="1" t="s">
        <v>36</v>
      </c>
      <c r="H11804" s="4" t="str">
        <f>HYPERLINK("https://www.ncbi.nlm.nih.gov/geo/query/acc.cgi?acc=GSM2325501","GSM2325501")</f>
        <v>GSM2325501</v>
      </c>
      <c r="I11804" t="s">
        <v>69</v>
      </c>
      <c r="J11804" t="s">
        <v>18</v>
      </c>
      <c r="K11804" t="s">
        <v>33</v>
      </c>
      <c r="L11804" t="s">
        <v>70</v>
      </c>
      <c r="N11804" t="s">
        <v>37</v>
      </c>
    </row>
    <row r="11805" spans="1:14">
      <c r="A11805" s="4" t="str">
        <f t="shared" si="1034"/>
        <v>EXP00386</v>
      </c>
      <c r="B11805" s="3" t="s">
        <v>66</v>
      </c>
      <c r="C11805" s="4" t="str">
        <f t="shared" si="1035"/>
        <v>GSE87211</v>
      </c>
      <c r="D11805" s="1" t="s">
        <v>239</v>
      </c>
      <c r="E11805" t="s">
        <v>96</v>
      </c>
      <c r="F11805" s="1">
        <v>1</v>
      </c>
      <c r="G11805" s="1" t="s">
        <v>36</v>
      </c>
      <c r="H11805" s="4" t="str">
        <f>HYPERLINK("https://www.ncbi.nlm.nih.gov/geo/query/acc.cgi?acc=GSM2325502","GSM2325502")</f>
        <v>GSM2325502</v>
      </c>
      <c r="I11805" t="s">
        <v>69</v>
      </c>
      <c r="J11805" t="s">
        <v>18</v>
      </c>
      <c r="K11805" t="s">
        <v>33</v>
      </c>
      <c r="L11805" t="s">
        <v>70</v>
      </c>
      <c r="N11805" t="s">
        <v>37</v>
      </c>
    </row>
    <row r="11806" spans="1:14">
      <c r="A11806" s="4" t="str">
        <f t="shared" si="1034"/>
        <v>EXP00386</v>
      </c>
      <c r="B11806" s="3" t="s">
        <v>66</v>
      </c>
      <c r="C11806" s="4" t="str">
        <f t="shared" si="1035"/>
        <v>GSE87211</v>
      </c>
      <c r="D11806" s="1" t="s">
        <v>239</v>
      </c>
      <c r="E11806" t="s">
        <v>96</v>
      </c>
      <c r="F11806" s="1">
        <v>1</v>
      </c>
      <c r="G11806" s="1" t="s">
        <v>36</v>
      </c>
      <c r="H11806" s="4" t="str">
        <f>HYPERLINK("https://www.ncbi.nlm.nih.gov/geo/query/acc.cgi?acc=GSM2325503","GSM2325503")</f>
        <v>GSM2325503</v>
      </c>
      <c r="I11806" t="s">
        <v>69</v>
      </c>
      <c r="J11806" t="s">
        <v>18</v>
      </c>
      <c r="K11806" t="s">
        <v>33</v>
      </c>
      <c r="L11806" t="s">
        <v>70</v>
      </c>
      <c r="N11806" t="s">
        <v>37</v>
      </c>
    </row>
    <row r="11807" spans="1:14">
      <c r="A11807" s="4" t="str">
        <f t="shared" si="1034"/>
        <v>EXP00386</v>
      </c>
      <c r="B11807" s="3" t="s">
        <v>66</v>
      </c>
      <c r="C11807" s="4" t="str">
        <f t="shared" si="1035"/>
        <v>GSE87211</v>
      </c>
      <c r="D11807" s="1" t="s">
        <v>239</v>
      </c>
      <c r="E11807" t="s">
        <v>96</v>
      </c>
      <c r="F11807" s="1">
        <v>1</v>
      </c>
      <c r="G11807" s="1" t="s">
        <v>36</v>
      </c>
      <c r="H11807" s="4" t="str">
        <f>HYPERLINK("https://www.ncbi.nlm.nih.gov/geo/query/acc.cgi?acc=GSM2325504","GSM2325504")</f>
        <v>GSM2325504</v>
      </c>
      <c r="I11807" t="s">
        <v>69</v>
      </c>
      <c r="J11807" t="s">
        <v>18</v>
      </c>
      <c r="K11807" t="s">
        <v>33</v>
      </c>
      <c r="L11807" t="s">
        <v>70</v>
      </c>
      <c r="N11807" t="s">
        <v>37</v>
      </c>
    </row>
    <row r="11808" spans="1:14">
      <c r="A11808" s="4" t="str">
        <f t="shared" si="1034"/>
        <v>EXP00386</v>
      </c>
      <c r="B11808" s="3" t="s">
        <v>66</v>
      </c>
      <c r="C11808" s="4" t="str">
        <f t="shared" si="1035"/>
        <v>GSE87211</v>
      </c>
      <c r="D11808" s="1" t="s">
        <v>239</v>
      </c>
      <c r="E11808" t="s">
        <v>96</v>
      </c>
      <c r="F11808" s="1">
        <v>1</v>
      </c>
      <c r="G11808" s="1" t="s">
        <v>36</v>
      </c>
      <c r="H11808" s="4" t="str">
        <f>HYPERLINK("https://www.ncbi.nlm.nih.gov/geo/query/acc.cgi?acc=GSM2325505","GSM2325505")</f>
        <v>GSM2325505</v>
      </c>
      <c r="I11808" t="s">
        <v>69</v>
      </c>
      <c r="J11808" t="s">
        <v>18</v>
      </c>
      <c r="K11808" t="s">
        <v>33</v>
      </c>
      <c r="L11808" t="s">
        <v>70</v>
      </c>
      <c r="N11808" t="s">
        <v>37</v>
      </c>
    </row>
    <row r="11809" spans="1:14">
      <c r="A11809" s="4" t="str">
        <f t="shared" si="1034"/>
        <v>EXP00386</v>
      </c>
      <c r="B11809" s="3" t="s">
        <v>66</v>
      </c>
      <c r="C11809" s="4" t="str">
        <f t="shared" si="1035"/>
        <v>GSE87211</v>
      </c>
      <c r="D11809" s="1" t="s">
        <v>239</v>
      </c>
      <c r="E11809" t="s">
        <v>96</v>
      </c>
      <c r="F11809" s="1">
        <v>1</v>
      </c>
      <c r="G11809" s="1" t="s">
        <v>36</v>
      </c>
      <c r="H11809" s="4" t="str">
        <f>HYPERLINK("https://www.ncbi.nlm.nih.gov/geo/query/acc.cgi?acc=GSM2325506","GSM2325506")</f>
        <v>GSM2325506</v>
      </c>
      <c r="I11809" t="s">
        <v>69</v>
      </c>
      <c r="J11809" t="s">
        <v>18</v>
      </c>
      <c r="K11809" t="s">
        <v>33</v>
      </c>
      <c r="L11809" t="s">
        <v>70</v>
      </c>
      <c r="N11809" t="s">
        <v>37</v>
      </c>
    </row>
    <row r="11810" spans="1:14">
      <c r="A11810" s="4" t="str">
        <f t="shared" si="1034"/>
        <v>EXP00386</v>
      </c>
      <c r="B11810" s="3" t="s">
        <v>66</v>
      </c>
      <c r="C11810" s="4" t="str">
        <f t="shared" si="1035"/>
        <v>GSE87211</v>
      </c>
      <c r="D11810" s="1" t="s">
        <v>239</v>
      </c>
      <c r="E11810" t="s">
        <v>96</v>
      </c>
      <c r="F11810" s="1">
        <v>1</v>
      </c>
      <c r="G11810" s="1" t="s">
        <v>36</v>
      </c>
      <c r="H11810" s="4" t="str">
        <f>HYPERLINK("https://www.ncbi.nlm.nih.gov/geo/query/acc.cgi?acc=GSM2325507","GSM2325507")</f>
        <v>GSM2325507</v>
      </c>
      <c r="I11810" t="s">
        <v>69</v>
      </c>
      <c r="J11810" t="s">
        <v>18</v>
      </c>
      <c r="K11810" t="s">
        <v>33</v>
      </c>
      <c r="L11810" t="s">
        <v>70</v>
      </c>
      <c r="N11810" t="s">
        <v>37</v>
      </c>
    </row>
    <row r="11811" spans="1:14">
      <c r="A11811" s="4" t="str">
        <f t="shared" si="1034"/>
        <v>EXP00386</v>
      </c>
      <c r="B11811" s="3" t="s">
        <v>66</v>
      </c>
      <c r="C11811" s="4" t="str">
        <f t="shared" si="1035"/>
        <v>GSE87211</v>
      </c>
      <c r="D11811" s="1" t="s">
        <v>239</v>
      </c>
      <c r="E11811" t="s">
        <v>96</v>
      </c>
      <c r="F11811" s="1">
        <v>1</v>
      </c>
      <c r="G11811" s="1" t="s">
        <v>36</v>
      </c>
      <c r="H11811" s="4" t="str">
        <f>HYPERLINK("https://www.ncbi.nlm.nih.gov/geo/query/acc.cgi?acc=GSM2325508","GSM2325508")</f>
        <v>GSM2325508</v>
      </c>
      <c r="I11811" t="s">
        <v>69</v>
      </c>
      <c r="J11811" t="s">
        <v>18</v>
      </c>
      <c r="K11811" t="s">
        <v>33</v>
      </c>
      <c r="L11811" t="s">
        <v>70</v>
      </c>
      <c r="N11811" t="s">
        <v>37</v>
      </c>
    </row>
    <row r="11812" spans="1:14">
      <c r="A11812" s="4" t="str">
        <f t="shared" si="1034"/>
        <v>EXP00386</v>
      </c>
      <c r="B11812" s="3" t="s">
        <v>66</v>
      </c>
      <c r="C11812" s="4" t="str">
        <f t="shared" si="1035"/>
        <v>GSE87211</v>
      </c>
      <c r="D11812" s="1" t="s">
        <v>239</v>
      </c>
      <c r="E11812" t="s">
        <v>96</v>
      </c>
      <c r="F11812" s="1">
        <v>1</v>
      </c>
      <c r="G11812" s="1" t="s">
        <v>36</v>
      </c>
      <c r="H11812" s="4" t="str">
        <f>HYPERLINK("https://www.ncbi.nlm.nih.gov/geo/query/acc.cgi?acc=GSM2325509","GSM2325509")</f>
        <v>GSM2325509</v>
      </c>
      <c r="I11812" t="s">
        <v>69</v>
      </c>
      <c r="J11812" t="s">
        <v>18</v>
      </c>
      <c r="K11812" t="s">
        <v>33</v>
      </c>
      <c r="L11812" t="s">
        <v>70</v>
      </c>
      <c r="N11812" t="s">
        <v>37</v>
      </c>
    </row>
    <row r="11813" spans="1:14">
      <c r="A11813" s="4" t="str">
        <f t="shared" si="1034"/>
        <v>EXP00386</v>
      </c>
      <c r="B11813" s="3" t="s">
        <v>66</v>
      </c>
      <c r="C11813" s="4" t="str">
        <f t="shared" si="1035"/>
        <v>GSE87211</v>
      </c>
      <c r="D11813" s="1" t="s">
        <v>239</v>
      </c>
      <c r="E11813" t="s">
        <v>96</v>
      </c>
      <c r="F11813" s="1">
        <v>1</v>
      </c>
      <c r="G11813" s="1" t="s">
        <v>36</v>
      </c>
      <c r="H11813" s="4" t="str">
        <f>HYPERLINK("https://www.ncbi.nlm.nih.gov/geo/query/acc.cgi?acc=GSM2325510","GSM2325510")</f>
        <v>GSM2325510</v>
      </c>
      <c r="I11813" t="s">
        <v>69</v>
      </c>
      <c r="J11813" t="s">
        <v>18</v>
      </c>
      <c r="K11813" t="s">
        <v>33</v>
      </c>
      <c r="L11813" t="s">
        <v>70</v>
      </c>
      <c r="N11813" t="s">
        <v>37</v>
      </c>
    </row>
    <row r="11814" spans="1:14">
      <c r="A11814" s="4" t="str">
        <f t="shared" si="1034"/>
        <v>EXP00386</v>
      </c>
      <c r="B11814" s="3" t="s">
        <v>66</v>
      </c>
      <c r="C11814" s="4" t="str">
        <f t="shared" si="1035"/>
        <v>GSE87211</v>
      </c>
      <c r="D11814" s="1" t="s">
        <v>239</v>
      </c>
      <c r="E11814" t="s">
        <v>96</v>
      </c>
      <c r="F11814" s="1">
        <v>1</v>
      </c>
      <c r="G11814" s="1" t="s">
        <v>36</v>
      </c>
      <c r="H11814" s="4" t="str">
        <f>HYPERLINK("https://www.ncbi.nlm.nih.gov/geo/query/acc.cgi?acc=GSM2325511","GSM2325511")</f>
        <v>GSM2325511</v>
      </c>
      <c r="I11814" t="s">
        <v>69</v>
      </c>
      <c r="J11814" t="s">
        <v>18</v>
      </c>
      <c r="K11814" t="s">
        <v>33</v>
      </c>
      <c r="L11814" t="s">
        <v>70</v>
      </c>
      <c r="N11814" t="s">
        <v>37</v>
      </c>
    </row>
    <row r="11815" spans="1:14">
      <c r="A11815" s="4" t="str">
        <f t="shared" si="1034"/>
        <v>EXP00386</v>
      </c>
      <c r="B11815" s="3" t="s">
        <v>66</v>
      </c>
      <c r="C11815" s="4" t="str">
        <f t="shared" si="1035"/>
        <v>GSE87211</v>
      </c>
      <c r="D11815" s="1" t="s">
        <v>239</v>
      </c>
      <c r="E11815" t="s">
        <v>96</v>
      </c>
      <c r="F11815" s="1">
        <v>1</v>
      </c>
      <c r="G11815" s="1" t="s">
        <v>36</v>
      </c>
      <c r="H11815" s="4" t="str">
        <f>HYPERLINK("https://www.ncbi.nlm.nih.gov/geo/query/acc.cgi?acc=GSM2325512","GSM2325512")</f>
        <v>GSM2325512</v>
      </c>
      <c r="I11815" t="s">
        <v>69</v>
      </c>
      <c r="J11815" t="s">
        <v>18</v>
      </c>
      <c r="K11815" t="s">
        <v>33</v>
      </c>
      <c r="L11815" t="s">
        <v>70</v>
      </c>
      <c r="N11815" t="s">
        <v>37</v>
      </c>
    </row>
    <row r="11816" spans="1:14">
      <c r="A11816" s="4" t="str">
        <f t="shared" ref="A11816:A11879" si="1036">HYPERLINK("http://hcmdb.i-sanger.com/experiment/details/experiment_id/EXP00386","EXP00386")</f>
        <v>EXP00386</v>
      </c>
      <c r="B11816" s="3" t="s">
        <v>66</v>
      </c>
      <c r="C11816" s="4" t="str">
        <f t="shared" si="1035"/>
        <v>GSE87211</v>
      </c>
      <c r="D11816" s="1" t="s">
        <v>239</v>
      </c>
      <c r="E11816" t="s">
        <v>96</v>
      </c>
      <c r="F11816" s="1">
        <v>1</v>
      </c>
      <c r="G11816" s="1" t="s">
        <v>36</v>
      </c>
      <c r="H11816" s="4" t="str">
        <f>HYPERLINK("https://www.ncbi.nlm.nih.gov/geo/query/acc.cgi?acc=GSM2325513","GSM2325513")</f>
        <v>GSM2325513</v>
      </c>
      <c r="I11816" t="s">
        <v>69</v>
      </c>
      <c r="J11816" t="s">
        <v>18</v>
      </c>
      <c r="K11816" t="s">
        <v>33</v>
      </c>
      <c r="L11816" t="s">
        <v>70</v>
      </c>
      <c r="N11816" t="s">
        <v>37</v>
      </c>
    </row>
    <row r="11817" spans="1:14">
      <c r="A11817" s="4" t="str">
        <f t="shared" si="1036"/>
        <v>EXP00386</v>
      </c>
      <c r="B11817" s="3" t="s">
        <v>66</v>
      </c>
      <c r="C11817" s="4" t="str">
        <f t="shared" si="1035"/>
        <v>GSE87211</v>
      </c>
      <c r="D11817" s="1" t="s">
        <v>239</v>
      </c>
      <c r="E11817" t="s">
        <v>96</v>
      </c>
      <c r="F11817" s="1">
        <v>1</v>
      </c>
      <c r="G11817" s="1" t="s">
        <v>36</v>
      </c>
      <c r="H11817" s="4" t="str">
        <f>HYPERLINK("https://www.ncbi.nlm.nih.gov/geo/query/acc.cgi?acc=GSM2325514","GSM2325514")</f>
        <v>GSM2325514</v>
      </c>
      <c r="I11817" t="s">
        <v>69</v>
      </c>
      <c r="J11817" t="s">
        <v>18</v>
      </c>
      <c r="K11817" t="s">
        <v>33</v>
      </c>
      <c r="L11817" t="s">
        <v>70</v>
      </c>
      <c r="N11817" t="s">
        <v>37</v>
      </c>
    </row>
    <row r="11818" spans="1:14">
      <c r="A11818" s="4" t="str">
        <f t="shared" si="1036"/>
        <v>EXP00386</v>
      </c>
      <c r="B11818" s="3" t="s">
        <v>66</v>
      </c>
      <c r="C11818" s="4" t="str">
        <f t="shared" si="1035"/>
        <v>GSE87211</v>
      </c>
      <c r="D11818" s="1" t="s">
        <v>239</v>
      </c>
      <c r="E11818" t="s">
        <v>96</v>
      </c>
      <c r="F11818" s="1">
        <v>1</v>
      </c>
      <c r="G11818" s="1" t="s">
        <v>36</v>
      </c>
      <c r="H11818" s="4" t="str">
        <f>HYPERLINK("https://www.ncbi.nlm.nih.gov/geo/query/acc.cgi?acc=GSM2325515","GSM2325515")</f>
        <v>GSM2325515</v>
      </c>
      <c r="I11818" t="s">
        <v>69</v>
      </c>
      <c r="J11818" t="s">
        <v>18</v>
      </c>
      <c r="K11818" t="s">
        <v>33</v>
      </c>
      <c r="L11818" t="s">
        <v>70</v>
      </c>
      <c r="N11818" t="s">
        <v>37</v>
      </c>
    </row>
    <row r="11819" spans="1:14">
      <c r="A11819" s="4" t="str">
        <f t="shared" si="1036"/>
        <v>EXP00386</v>
      </c>
      <c r="B11819" s="3" t="s">
        <v>66</v>
      </c>
      <c r="C11819" s="4" t="str">
        <f t="shared" si="1035"/>
        <v>GSE87211</v>
      </c>
      <c r="D11819" s="1" t="s">
        <v>239</v>
      </c>
      <c r="E11819" t="s">
        <v>96</v>
      </c>
      <c r="F11819" s="1">
        <v>1</v>
      </c>
      <c r="G11819" s="1" t="s">
        <v>36</v>
      </c>
      <c r="H11819" s="4" t="str">
        <f>HYPERLINK("https://www.ncbi.nlm.nih.gov/geo/query/acc.cgi?acc=GSM2325516","GSM2325516")</f>
        <v>GSM2325516</v>
      </c>
      <c r="I11819" t="s">
        <v>69</v>
      </c>
      <c r="J11819" t="s">
        <v>18</v>
      </c>
      <c r="K11819" t="s">
        <v>33</v>
      </c>
      <c r="L11819" t="s">
        <v>70</v>
      </c>
      <c r="N11819" t="s">
        <v>37</v>
      </c>
    </row>
    <row r="11820" spans="1:14">
      <c r="A11820" s="4" t="str">
        <f t="shared" si="1036"/>
        <v>EXP00386</v>
      </c>
      <c r="B11820" s="3" t="s">
        <v>66</v>
      </c>
      <c r="C11820" s="4" t="str">
        <f t="shared" si="1035"/>
        <v>GSE87211</v>
      </c>
      <c r="D11820" s="1" t="s">
        <v>239</v>
      </c>
      <c r="E11820" t="s">
        <v>96</v>
      </c>
      <c r="F11820" s="1">
        <v>1</v>
      </c>
      <c r="G11820" s="1" t="s">
        <v>36</v>
      </c>
      <c r="H11820" s="4" t="str">
        <f>HYPERLINK("https://www.ncbi.nlm.nih.gov/geo/query/acc.cgi?acc=GSM2325517","GSM2325517")</f>
        <v>GSM2325517</v>
      </c>
      <c r="I11820" t="s">
        <v>69</v>
      </c>
      <c r="J11820" t="s">
        <v>18</v>
      </c>
      <c r="K11820" t="s">
        <v>33</v>
      </c>
      <c r="L11820" t="s">
        <v>70</v>
      </c>
      <c r="N11820" t="s">
        <v>37</v>
      </c>
    </row>
    <row r="11821" spans="1:14">
      <c r="A11821" s="4" t="str">
        <f t="shared" si="1036"/>
        <v>EXP00386</v>
      </c>
      <c r="B11821" s="3" t="s">
        <v>66</v>
      </c>
      <c r="C11821" s="4" t="str">
        <f t="shared" si="1035"/>
        <v>GSE87211</v>
      </c>
      <c r="D11821" s="1" t="s">
        <v>239</v>
      </c>
      <c r="E11821" t="s">
        <v>96</v>
      </c>
      <c r="F11821" s="1">
        <v>1</v>
      </c>
      <c r="G11821" s="1" t="s">
        <v>36</v>
      </c>
      <c r="H11821" s="4" t="str">
        <f>HYPERLINK("https://www.ncbi.nlm.nih.gov/geo/query/acc.cgi?acc=GSM2325518","GSM2325518")</f>
        <v>GSM2325518</v>
      </c>
      <c r="I11821" t="s">
        <v>69</v>
      </c>
      <c r="J11821" t="s">
        <v>18</v>
      </c>
      <c r="K11821" t="s">
        <v>33</v>
      </c>
      <c r="L11821" t="s">
        <v>70</v>
      </c>
      <c r="N11821" t="s">
        <v>37</v>
      </c>
    </row>
    <row r="11822" spans="1:14">
      <c r="A11822" s="4" t="str">
        <f t="shared" si="1036"/>
        <v>EXP00386</v>
      </c>
      <c r="B11822" s="3" t="s">
        <v>66</v>
      </c>
      <c r="C11822" s="4" t="str">
        <f t="shared" si="1035"/>
        <v>GSE87211</v>
      </c>
      <c r="D11822" s="1" t="s">
        <v>239</v>
      </c>
      <c r="E11822" t="s">
        <v>96</v>
      </c>
      <c r="F11822" s="1">
        <v>1</v>
      </c>
      <c r="G11822" s="1" t="s">
        <v>36</v>
      </c>
      <c r="H11822" s="4" t="str">
        <f>HYPERLINK("https://www.ncbi.nlm.nih.gov/geo/query/acc.cgi?acc=GSM2325519","GSM2325519")</f>
        <v>GSM2325519</v>
      </c>
      <c r="I11822" t="s">
        <v>69</v>
      </c>
      <c r="J11822" t="s">
        <v>18</v>
      </c>
      <c r="K11822" t="s">
        <v>33</v>
      </c>
      <c r="L11822" t="s">
        <v>70</v>
      </c>
      <c r="N11822" t="s">
        <v>37</v>
      </c>
    </row>
    <row r="11823" spans="1:14">
      <c r="A11823" s="4" t="str">
        <f t="shared" si="1036"/>
        <v>EXP00386</v>
      </c>
      <c r="B11823" s="3" t="s">
        <v>66</v>
      </c>
      <c r="C11823" s="4" t="str">
        <f t="shared" si="1035"/>
        <v>GSE87211</v>
      </c>
      <c r="D11823" s="1" t="s">
        <v>239</v>
      </c>
      <c r="E11823" t="s">
        <v>96</v>
      </c>
      <c r="F11823" s="1">
        <v>1</v>
      </c>
      <c r="G11823" s="1" t="s">
        <v>36</v>
      </c>
      <c r="H11823" s="4" t="str">
        <f>HYPERLINK("https://www.ncbi.nlm.nih.gov/geo/query/acc.cgi?acc=GSM2325520","GSM2325520")</f>
        <v>GSM2325520</v>
      </c>
      <c r="I11823" t="s">
        <v>69</v>
      </c>
      <c r="J11823" t="s">
        <v>18</v>
      </c>
      <c r="K11823" t="s">
        <v>33</v>
      </c>
      <c r="L11823" t="s">
        <v>70</v>
      </c>
      <c r="N11823" t="s">
        <v>37</v>
      </c>
    </row>
    <row r="11824" spans="1:14">
      <c r="A11824" s="4" t="str">
        <f t="shared" si="1036"/>
        <v>EXP00386</v>
      </c>
      <c r="B11824" s="3" t="s">
        <v>66</v>
      </c>
      <c r="C11824" s="4" t="str">
        <f t="shared" si="1035"/>
        <v>GSE87211</v>
      </c>
      <c r="D11824" s="1" t="s">
        <v>239</v>
      </c>
      <c r="E11824" t="s">
        <v>96</v>
      </c>
      <c r="F11824" s="1">
        <v>1</v>
      </c>
      <c r="G11824" s="1" t="s">
        <v>36</v>
      </c>
      <c r="H11824" s="4" t="str">
        <f>HYPERLINK("https://www.ncbi.nlm.nih.gov/geo/query/acc.cgi?acc=GSM2325521","GSM2325521")</f>
        <v>GSM2325521</v>
      </c>
      <c r="I11824" t="s">
        <v>69</v>
      </c>
      <c r="J11824" t="s">
        <v>18</v>
      </c>
      <c r="K11824" t="s">
        <v>33</v>
      </c>
      <c r="L11824" t="s">
        <v>70</v>
      </c>
      <c r="N11824" t="s">
        <v>37</v>
      </c>
    </row>
    <row r="11825" spans="1:14">
      <c r="A11825" s="4" t="str">
        <f t="shared" si="1036"/>
        <v>EXP00386</v>
      </c>
      <c r="B11825" s="3" t="s">
        <v>66</v>
      </c>
      <c r="C11825" s="4" t="str">
        <f t="shared" si="1035"/>
        <v>GSE87211</v>
      </c>
      <c r="D11825" s="1" t="s">
        <v>239</v>
      </c>
      <c r="E11825" t="s">
        <v>96</v>
      </c>
      <c r="F11825" s="1">
        <v>1</v>
      </c>
      <c r="G11825" s="1" t="s">
        <v>36</v>
      </c>
      <c r="H11825" s="4" t="str">
        <f>HYPERLINK("https://www.ncbi.nlm.nih.gov/geo/query/acc.cgi?acc=GSM2325522","GSM2325522")</f>
        <v>GSM2325522</v>
      </c>
      <c r="I11825" t="s">
        <v>69</v>
      </c>
      <c r="J11825" t="s">
        <v>18</v>
      </c>
      <c r="K11825" t="s">
        <v>33</v>
      </c>
      <c r="L11825" t="s">
        <v>70</v>
      </c>
      <c r="N11825" t="s">
        <v>37</v>
      </c>
    </row>
    <row r="11826" spans="1:14">
      <c r="A11826" s="4" t="str">
        <f t="shared" si="1036"/>
        <v>EXP00386</v>
      </c>
      <c r="B11826" s="3" t="s">
        <v>66</v>
      </c>
      <c r="C11826" s="4" t="str">
        <f t="shared" si="1035"/>
        <v>GSE87211</v>
      </c>
      <c r="D11826" s="1" t="s">
        <v>239</v>
      </c>
      <c r="E11826" t="s">
        <v>96</v>
      </c>
      <c r="F11826" s="1">
        <v>1</v>
      </c>
      <c r="G11826" s="1" t="s">
        <v>36</v>
      </c>
      <c r="H11826" s="4" t="str">
        <f>HYPERLINK("https://www.ncbi.nlm.nih.gov/geo/query/acc.cgi?acc=GSM2325523","GSM2325523")</f>
        <v>GSM2325523</v>
      </c>
      <c r="I11826" t="s">
        <v>69</v>
      </c>
      <c r="J11826" t="s">
        <v>18</v>
      </c>
      <c r="K11826" t="s">
        <v>33</v>
      </c>
      <c r="L11826" t="s">
        <v>70</v>
      </c>
      <c r="N11826" t="s">
        <v>37</v>
      </c>
    </row>
    <row r="11827" spans="1:14">
      <c r="A11827" s="4" t="str">
        <f t="shared" si="1036"/>
        <v>EXP00386</v>
      </c>
      <c r="B11827" s="3" t="s">
        <v>66</v>
      </c>
      <c r="C11827" s="4" t="str">
        <f t="shared" si="1035"/>
        <v>GSE87211</v>
      </c>
      <c r="D11827" s="1" t="s">
        <v>239</v>
      </c>
      <c r="E11827" t="s">
        <v>96</v>
      </c>
      <c r="F11827" s="1">
        <v>1</v>
      </c>
      <c r="G11827" s="1" t="s">
        <v>36</v>
      </c>
      <c r="H11827" s="4" t="str">
        <f>HYPERLINK("https://www.ncbi.nlm.nih.gov/geo/query/acc.cgi?acc=GSM2325524","GSM2325524")</f>
        <v>GSM2325524</v>
      </c>
      <c r="I11827" t="s">
        <v>69</v>
      </c>
      <c r="J11827" t="s">
        <v>18</v>
      </c>
      <c r="K11827" t="s">
        <v>33</v>
      </c>
      <c r="L11827" t="s">
        <v>70</v>
      </c>
      <c r="N11827" t="s">
        <v>37</v>
      </c>
    </row>
    <row r="11828" spans="1:14">
      <c r="A11828" s="4" t="str">
        <f t="shared" si="1036"/>
        <v>EXP00386</v>
      </c>
      <c r="B11828" s="3" t="s">
        <v>66</v>
      </c>
      <c r="C11828" s="4" t="str">
        <f t="shared" si="1035"/>
        <v>GSE87211</v>
      </c>
      <c r="D11828" s="1" t="s">
        <v>239</v>
      </c>
      <c r="E11828" t="s">
        <v>96</v>
      </c>
      <c r="F11828" s="1">
        <v>1</v>
      </c>
      <c r="G11828" s="1" t="s">
        <v>36</v>
      </c>
      <c r="H11828" s="4" t="str">
        <f>HYPERLINK("https://www.ncbi.nlm.nih.gov/geo/query/acc.cgi?acc=GSM2325525","GSM2325525")</f>
        <v>GSM2325525</v>
      </c>
      <c r="I11828" t="s">
        <v>69</v>
      </c>
      <c r="J11828" t="s">
        <v>18</v>
      </c>
      <c r="K11828" t="s">
        <v>33</v>
      </c>
      <c r="L11828" t="s">
        <v>70</v>
      </c>
      <c r="N11828" t="s">
        <v>37</v>
      </c>
    </row>
    <row r="11829" spans="1:14">
      <c r="A11829" s="4" t="str">
        <f t="shared" si="1036"/>
        <v>EXP00386</v>
      </c>
      <c r="B11829" s="3" t="s">
        <v>66</v>
      </c>
      <c r="C11829" s="4" t="str">
        <f t="shared" si="1035"/>
        <v>GSE87211</v>
      </c>
      <c r="D11829" s="1" t="s">
        <v>239</v>
      </c>
      <c r="E11829" t="s">
        <v>96</v>
      </c>
      <c r="F11829" s="1">
        <v>1</v>
      </c>
      <c r="G11829" s="1" t="s">
        <v>36</v>
      </c>
      <c r="H11829" s="4" t="str">
        <f>HYPERLINK("https://www.ncbi.nlm.nih.gov/geo/query/acc.cgi?acc=GSM2325526","GSM2325526")</f>
        <v>GSM2325526</v>
      </c>
      <c r="I11829" t="s">
        <v>69</v>
      </c>
      <c r="J11829" t="s">
        <v>18</v>
      </c>
      <c r="K11829" t="s">
        <v>33</v>
      </c>
      <c r="L11829" t="s">
        <v>70</v>
      </c>
      <c r="N11829" t="s">
        <v>37</v>
      </c>
    </row>
    <row r="11830" spans="1:14">
      <c r="A11830" s="4" t="str">
        <f t="shared" si="1036"/>
        <v>EXP00386</v>
      </c>
      <c r="B11830" s="3" t="s">
        <v>66</v>
      </c>
      <c r="C11830" s="4" t="str">
        <f t="shared" si="1035"/>
        <v>GSE87211</v>
      </c>
      <c r="D11830" s="1" t="s">
        <v>239</v>
      </c>
      <c r="E11830" t="s">
        <v>96</v>
      </c>
      <c r="F11830" s="1">
        <v>1</v>
      </c>
      <c r="G11830" s="1" t="s">
        <v>36</v>
      </c>
      <c r="H11830" s="4" t="str">
        <f>HYPERLINK("https://www.ncbi.nlm.nih.gov/geo/query/acc.cgi?acc=GSM2325527","GSM2325527")</f>
        <v>GSM2325527</v>
      </c>
      <c r="I11830" t="s">
        <v>69</v>
      </c>
      <c r="J11830" t="s">
        <v>18</v>
      </c>
      <c r="K11830" t="s">
        <v>33</v>
      </c>
      <c r="L11830" t="s">
        <v>70</v>
      </c>
      <c r="N11830" t="s">
        <v>37</v>
      </c>
    </row>
    <row r="11831" spans="1:14">
      <c r="A11831" s="4" t="str">
        <f t="shared" si="1036"/>
        <v>EXP00386</v>
      </c>
      <c r="B11831" s="3" t="s">
        <v>66</v>
      </c>
      <c r="C11831" s="4" t="str">
        <f t="shared" si="1035"/>
        <v>GSE87211</v>
      </c>
      <c r="D11831" s="1" t="s">
        <v>239</v>
      </c>
      <c r="E11831" t="s">
        <v>96</v>
      </c>
      <c r="F11831" s="1">
        <v>1</v>
      </c>
      <c r="G11831" s="1" t="s">
        <v>36</v>
      </c>
      <c r="H11831" s="4" t="str">
        <f>HYPERLINK("https://www.ncbi.nlm.nih.gov/geo/query/acc.cgi?acc=GSM2325528","GSM2325528")</f>
        <v>GSM2325528</v>
      </c>
      <c r="I11831" t="s">
        <v>69</v>
      </c>
      <c r="J11831" t="s">
        <v>18</v>
      </c>
      <c r="K11831" t="s">
        <v>33</v>
      </c>
      <c r="L11831" t="s">
        <v>70</v>
      </c>
      <c r="N11831" t="s">
        <v>37</v>
      </c>
    </row>
    <row r="11832" spans="1:14">
      <c r="A11832" s="4" t="str">
        <f t="shared" si="1036"/>
        <v>EXP00386</v>
      </c>
      <c r="B11832" s="3" t="s">
        <v>66</v>
      </c>
      <c r="C11832" s="4" t="str">
        <f t="shared" si="1035"/>
        <v>GSE87211</v>
      </c>
      <c r="D11832" s="1" t="s">
        <v>239</v>
      </c>
      <c r="E11832" t="s">
        <v>96</v>
      </c>
      <c r="F11832" s="1">
        <v>1</v>
      </c>
      <c r="G11832" s="1" t="s">
        <v>36</v>
      </c>
      <c r="H11832" s="4" t="str">
        <f>HYPERLINK("https://www.ncbi.nlm.nih.gov/geo/query/acc.cgi?acc=GSM2325529","GSM2325529")</f>
        <v>GSM2325529</v>
      </c>
      <c r="I11832" t="s">
        <v>69</v>
      </c>
      <c r="J11832" t="s">
        <v>18</v>
      </c>
      <c r="K11832" t="s">
        <v>33</v>
      </c>
      <c r="L11832" t="s">
        <v>70</v>
      </c>
      <c r="N11832" t="s">
        <v>37</v>
      </c>
    </row>
    <row r="11833" spans="1:14">
      <c r="A11833" s="4" t="str">
        <f t="shared" si="1036"/>
        <v>EXP00386</v>
      </c>
      <c r="B11833" s="3" t="s">
        <v>66</v>
      </c>
      <c r="C11833" s="4" t="str">
        <f t="shared" si="1035"/>
        <v>GSE87211</v>
      </c>
      <c r="D11833" s="1" t="s">
        <v>239</v>
      </c>
      <c r="E11833" t="s">
        <v>96</v>
      </c>
      <c r="F11833" s="1">
        <v>1</v>
      </c>
      <c r="G11833" s="1" t="s">
        <v>36</v>
      </c>
      <c r="H11833" s="4" t="str">
        <f>HYPERLINK("https://www.ncbi.nlm.nih.gov/geo/query/acc.cgi?acc=GSM2325530","GSM2325530")</f>
        <v>GSM2325530</v>
      </c>
      <c r="I11833" t="s">
        <v>69</v>
      </c>
      <c r="J11833" t="s">
        <v>18</v>
      </c>
      <c r="K11833" t="s">
        <v>33</v>
      </c>
      <c r="L11833" t="s">
        <v>70</v>
      </c>
      <c r="N11833" t="s">
        <v>37</v>
      </c>
    </row>
    <row r="11834" spans="1:14">
      <c r="A11834" s="4" t="str">
        <f t="shared" si="1036"/>
        <v>EXP00386</v>
      </c>
      <c r="B11834" s="3" t="s">
        <v>66</v>
      </c>
      <c r="C11834" s="4" t="str">
        <f t="shared" si="1035"/>
        <v>GSE87211</v>
      </c>
      <c r="D11834" s="1" t="s">
        <v>239</v>
      </c>
      <c r="E11834" t="s">
        <v>96</v>
      </c>
      <c r="F11834" s="1">
        <v>1</v>
      </c>
      <c r="G11834" s="1" t="s">
        <v>36</v>
      </c>
      <c r="H11834" s="4" t="str">
        <f>HYPERLINK("https://www.ncbi.nlm.nih.gov/geo/query/acc.cgi?acc=GSM2325531","GSM2325531")</f>
        <v>GSM2325531</v>
      </c>
      <c r="I11834" t="s">
        <v>69</v>
      </c>
      <c r="J11834" t="s">
        <v>18</v>
      </c>
      <c r="K11834" t="s">
        <v>33</v>
      </c>
      <c r="L11834" t="s">
        <v>70</v>
      </c>
      <c r="N11834" t="s">
        <v>37</v>
      </c>
    </row>
    <row r="11835" spans="1:14">
      <c r="A11835" s="4" t="str">
        <f t="shared" si="1036"/>
        <v>EXP00386</v>
      </c>
      <c r="B11835" s="3" t="s">
        <v>66</v>
      </c>
      <c r="C11835" s="4" t="str">
        <f t="shared" si="1035"/>
        <v>GSE87211</v>
      </c>
      <c r="D11835" s="1" t="s">
        <v>239</v>
      </c>
      <c r="E11835" t="s">
        <v>96</v>
      </c>
      <c r="F11835" s="1">
        <v>1</v>
      </c>
      <c r="G11835" s="1" t="s">
        <v>36</v>
      </c>
      <c r="H11835" s="4" t="str">
        <f>HYPERLINK("https://www.ncbi.nlm.nih.gov/geo/query/acc.cgi?acc=GSM2325532","GSM2325532")</f>
        <v>GSM2325532</v>
      </c>
      <c r="I11835" t="s">
        <v>69</v>
      </c>
      <c r="J11835" t="s">
        <v>18</v>
      </c>
      <c r="K11835" t="s">
        <v>33</v>
      </c>
      <c r="L11835" t="s">
        <v>70</v>
      </c>
      <c r="N11835" t="s">
        <v>37</v>
      </c>
    </row>
    <row r="11836" spans="1:14">
      <c r="A11836" s="4" t="str">
        <f t="shared" si="1036"/>
        <v>EXP00386</v>
      </c>
      <c r="B11836" s="3" t="s">
        <v>66</v>
      </c>
      <c r="C11836" s="4" t="str">
        <f t="shared" si="1035"/>
        <v>GSE87211</v>
      </c>
      <c r="D11836" s="1" t="s">
        <v>239</v>
      </c>
      <c r="E11836" t="s">
        <v>96</v>
      </c>
      <c r="F11836" s="1">
        <v>1</v>
      </c>
      <c r="G11836" s="1" t="s">
        <v>36</v>
      </c>
      <c r="H11836" s="4" t="str">
        <f>HYPERLINK("https://www.ncbi.nlm.nih.gov/geo/query/acc.cgi?acc=GSM2325533","GSM2325533")</f>
        <v>GSM2325533</v>
      </c>
      <c r="I11836" t="s">
        <v>69</v>
      </c>
      <c r="J11836" t="s">
        <v>18</v>
      </c>
      <c r="K11836" t="s">
        <v>33</v>
      </c>
      <c r="L11836" t="s">
        <v>70</v>
      </c>
      <c r="N11836" t="s">
        <v>37</v>
      </c>
    </row>
    <row r="11837" spans="1:14">
      <c r="A11837" s="4" t="str">
        <f t="shared" si="1036"/>
        <v>EXP00386</v>
      </c>
      <c r="B11837" s="3" t="s">
        <v>66</v>
      </c>
      <c r="C11837" s="4" t="str">
        <f t="shared" si="1035"/>
        <v>GSE87211</v>
      </c>
      <c r="D11837" s="1" t="s">
        <v>239</v>
      </c>
      <c r="E11837" t="s">
        <v>96</v>
      </c>
      <c r="F11837" s="1">
        <v>1</v>
      </c>
      <c r="G11837" s="1" t="s">
        <v>36</v>
      </c>
      <c r="H11837" s="4" t="str">
        <f>HYPERLINK("https://www.ncbi.nlm.nih.gov/geo/query/acc.cgi?acc=GSM2325534","GSM2325534")</f>
        <v>GSM2325534</v>
      </c>
      <c r="I11837" t="s">
        <v>69</v>
      </c>
      <c r="J11837" t="s">
        <v>18</v>
      </c>
      <c r="K11837" t="s">
        <v>33</v>
      </c>
      <c r="L11837" t="s">
        <v>70</v>
      </c>
      <c r="N11837" t="s">
        <v>37</v>
      </c>
    </row>
    <row r="11838" spans="1:14">
      <c r="A11838" s="4" t="str">
        <f t="shared" si="1036"/>
        <v>EXP00386</v>
      </c>
      <c r="B11838" s="3" t="s">
        <v>66</v>
      </c>
      <c r="C11838" s="4" t="str">
        <f t="shared" si="1035"/>
        <v>GSE87211</v>
      </c>
      <c r="D11838" s="1" t="s">
        <v>239</v>
      </c>
      <c r="E11838" t="s">
        <v>96</v>
      </c>
      <c r="F11838" s="1">
        <v>1</v>
      </c>
      <c r="G11838" s="1" t="s">
        <v>36</v>
      </c>
      <c r="H11838" s="4" t="str">
        <f>HYPERLINK("https://www.ncbi.nlm.nih.gov/geo/query/acc.cgi?acc=GSM2325535","GSM2325535")</f>
        <v>GSM2325535</v>
      </c>
      <c r="I11838" t="s">
        <v>69</v>
      </c>
      <c r="J11838" t="s">
        <v>18</v>
      </c>
      <c r="K11838" t="s">
        <v>33</v>
      </c>
      <c r="L11838" t="s">
        <v>70</v>
      </c>
      <c r="N11838" t="s">
        <v>37</v>
      </c>
    </row>
    <row r="11839" spans="1:14">
      <c r="A11839" s="4" t="str">
        <f t="shared" si="1036"/>
        <v>EXP00386</v>
      </c>
      <c r="B11839" s="3" t="s">
        <v>66</v>
      </c>
      <c r="C11839" s="4" t="str">
        <f t="shared" si="1035"/>
        <v>GSE87211</v>
      </c>
      <c r="D11839" s="1" t="s">
        <v>239</v>
      </c>
      <c r="E11839" t="s">
        <v>96</v>
      </c>
      <c r="F11839" s="1">
        <v>1</v>
      </c>
      <c r="G11839" s="1" t="s">
        <v>36</v>
      </c>
      <c r="H11839" s="4" t="str">
        <f>HYPERLINK("https://www.ncbi.nlm.nih.gov/geo/query/acc.cgi?acc=GSM2325536","GSM2325536")</f>
        <v>GSM2325536</v>
      </c>
      <c r="I11839" t="s">
        <v>69</v>
      </c>
      <c r="J11839" t="s">
        <v>18</v>
      </c>
      <c r="K11839" t="s">
        <v>33</v>
      </c>
      <c r="L11839" t="s">
        <v>70</v>
      </c>
      <c r="N11839" t="s">
        <v>37</v>
      </c>
    </row>
    <row r="11840" spans="1:14">
      <c r="A11840" s="4" t="str">
        <f t="shared" si="1036"/>
        <v>EXP00386</v>
      </c>
      <c r="B11840" s="3" t="s">
        <v>66</v>
      </c>
      <c r="C11840" s="4" t="str">
        <f t="shared" si="1035"/>
        <v>GSE87211</v>
      </c>
      <c r="D11840" s="1" t="s">
        <v>239</v>
      </c>
      <c r="E11840" t="s">
        <v>96</v>
      </c>
      <c r="F11840" s="1">
        <v>1</v>
      </c>
      <c r="G11840" s="1" t="s">
        <v>36</v>
      </c>
      <c r="H11840" s="4" t="str">
        <f>HYPERLINK("https://www.ncbi.nlm.nih.gov/geo/query/acc.cgi?acc=GSM2325537","GSM2325537")</f>
        <v>GSM2325537</v>
      </c>
      <c r="I11840" t="s">
        <v>69</v>
      </c>
      <c r="J11840" t="s">
        <v>18</v>
      </c>
      <c r="K11840" t="s">
        <v>33</v>
      </c>
      <c r="L11840" t="s">
        <v>70</v>
      </c>
      <c r="N11840" t="s">
        <v>37</v>
      </c>
    </row>
    <row r="11841" spans="1:14">
      <c r="A11841" s="4" t="str">
        <f t="shared" si="1036"/>
        <v>EXP00386</v>
      </c>
      <c r="B11841" s="3" t="s">
        <v>66</v>
      </c>
      <c r="C11841" s="4" t="str">
        <f t="shared" si="1035"/>
        <v>GSE87211</v>
      </c>
      <c r="D11841" s="1" t="s">
        <v>239</v>
      </c>
      <c r="E11841" t="s">
        <v>96</v>
      </c>
      <c r="F11841" s="1">
        <v>1</v>
      </c>
      <c r="G11841" s="1" t="s">
        <v>36</v>
      </c>
      <c r="H11841" s="4" t="str">
        <f>HYPERLINK("https://www.ncbi.nlm.nih.gov/geo/query/acc.cgi?acc=GSM2325539","GSM2325539")</f>
        <v>GSM2325539</v>
      </c>
      <c r="I11841" t="s">
        <v>69</v>
      </c>
      <c r="J11841" t="s">
        <v>18</v>
      </c>
      <c r="K11841" t="s">
        <v>33</v>
      </c>
      <c r="L11841" t="s">
        <v>70</v>
      </c>
      <c r="N11841" t="s">
        <v>37</v>
      </c>
    </row>
    <row r="11842" spans="1:14">
      <c r="A11842" s="4" t="str">
        <f t="shared" si="1036"/>
        <v>EXP00386</v>
      </c>
      <c r="B11842" s="3" t="s">
        <v>66</v>
      </c>
      <c r="C11842" s="4" t="str">
        <f t="shared" ref="C11842:C11905" si="1037">HYPERLINK("https://www.ncbi.nlm.nih.gov/geo/query/acc.cgi?acc=GSE87211","GSE87211")</f>
        <v>GSE87211</v>
      </c>
      <c r="D11842" s="1" t="s">
        <v>239</v>
      </c>
      <c r="E11842" t="s">
        <v>96</v>
      </c>
      <c r="F11842" s="1">
        <v>1</v>
      </c>
      <c r="G11842" s="1" t="s">
        <v>36</v>
      </c>
      <c r="H11842" s="4" t="str">
        <f>HYPERLINK("https://www.ncbi.nlm.nih.gov/geo/query/acc.cgi?acc=GSM2325540","GSM2325540")</f>
        <v>GSM2325540</v>
      </c>
      <c r="I11842" t="s">
        <v>69</v>
      </c>
      <c r="J11842" t="s">
        <v>18</v>
      </c>
      <c r="K11842" t="s">
        <v>33</v>
      </c>
      <c r="L11842" t="s">
        <v>70</v>
      </c>
      <c r="N11842" t="s">
        <v>37</v>
      </c>
    </row>
    <row r="11843" spans="1:14">
      <c r="A11843" s="4" t="str">
        <f t="shared" si="1036"/>
        <v>EXP00386</v>
      </c>
      <c r="B11843" s="3" t="s">
        <v>66</v>
      </c>
      <c r="C11843" s="4" t="str">
        <f t="shared" si="1037"/>
        <v>GSE87211</v>
      </c>
      <c r="D11843" s="1" t="s">
        <v>239</v>
      </c>
      <c r="E11843" t="s">
        <v>96</v>
      </c>
      <c r="F11843" s="1">
        <v>1</v>
      </c>
      <c r="G11843" s="1" t="s">
        <v>36</v>
      </c>
      <c r="H11843" s="4" t="str">
        <f>HYPERLINK("https://www.ncbi.nlm.nih.gov/geo/query/acc.cgi?acc=GSM2325541","GSM2325541")</f>
        <v>GSM2325541</v>
      </c>
      <c r="I11843" t="s">
        <v>69</v>
      </c>
      <c r="J11843" t="s">
        <v>18</v>
      </c>
      <c r="K11843" t="s">
        <v>33</v>
      </c>
      <c r="L11843" t="s">
        <v>70</v>
      </c>
      <c r="N11843" t="s">
        <v>37</v>
      </c>
    </row>
    <row r="11844" spans="1:14">
      <c r="A11844" s="4" t="str">
        <f t="shared" si="1036"/>
        <v>EXP00386</v>
      </c>
      <c r="B11844" s="3" t="s">
        <v>66</v>
      </c>
      <c r="C11844" s="4" t="str">
        <f t="shared" si="1037"/>
        <v>GSE87211</v>
      </c>
      <c r="D11844" s="1" t="s">
        <v>239</v>
      </c>
      <c r="E11844" t="s">
        <v>96</v>
      </c>
      <c r="F11844" s="1">
        <v>1</v>
      </c>
      <c r="G11844" s="1" t="s">
        <v>36</v>
      </c>
      <c r="H11844" s="4" t="str">
        <f>HYPERLINK("https://www.ncbi.nlm.nih.gov/geo/query/acc.cgi?acc=GSM2325542","GSM2325542")</f>
        <v>GSM2325542</v>
      </c>
      <c r="I11844" t="s">
        <v>69</v>
      </c>
      <c r="J11844" t="s">
        <v>18</v>
      </c>
      <c r="K11844" t="s">
        <v>33</v>
      </c>
      <c r="L11844" t="s">
        <v>70</v>
      </c>
      <c r="N11844" t="s">
        <v>37</v>
      </c>
    </row>
    <row r="11845" spans="1:14">
      <c r="A11845" s="4" t="str">
        <f t="shared" si="1036"/>
        <v>EXP00386</v>
      </c>
      <c r="B11845" s="3" t="s">
        <v>66</v>
      </c>
      <c r="C11845" s="4" t="str">
        <f t="shared" si="1037"/>
        <v>GSE87211</v>
      </c>
      <c r="D11845" s="1" t="s">
        <v>239</v>
      </c>
      <c r="E11845" t="s">
        <v>96</v>
      </c>
      <c r="F11845" s="1">
        <v>1</v>
      </c>
      <c r="G11845" s="1" t="s">
        <v>36</v>
      </c>
      <c r="H11845" s="4" t="str">
        <f>HYPERLINK("https://www.ncbi.nlm.nih.gov/geo/query/acc.cgi?acc=GSM2325543","GSM2325543")</f>
        <v>GSM2325543</v>
      </c>
      <c r="I11845" t="s">
        <v>69</v>
      </c>
      <c r="J11845" t="s">
        <v>18</v>
      </c>
      <c r="K11845" t="s">
        <v>33</v>
      </c>
      <c r="L11845" t="s">
        <v>70</v>
      </c>
      <c r="N11845" t="s">
        <v>37</v>
      </c>
    </row>
    <row r="11846" spans="1:14">
      <c r="A11846" s="4" t="str">
        <f t="shared" si="1036"/>
        <v>EXP00386</v>
      </c>
      <c r="B11846" s="3" t="s">
        <v>66</v>
      </c>
      <c r="C11846" s="4" t="str">
        <f t="shared" si="1037"/>
        <v>GSE87211</v>
      </c>
      <c r="D11846" s="1" t="s">
        <v>239</v>
      </c>
      <c r="E11846" t="s">
        <v>96</v>
      </c>
      <c r="F11846" s="1">
        <v>1</v>
      </c>
      <c r="G11846" s="1" t="s">
        <v>36</v>
      </c>
      <c r="H11846" s="4" t="str">
        <f>HYPERLINK("https://www.ncbi.nlm.nih.gov/geo/query/acc.cgi?acc=GSM2325544","GSM2325544")</f>
        <v>GSM2325544</v>
      </c>
      <c r="I11846" t="s">
        <v>69</v>
      </c>
      <c r="J11846" t="s">
        <v>18</v>
      </c>
      <c r="K11846" t="s">
        <v>33</v>
      </c>
      <c r="L11846" t="s">
        <v>70</v>
      </c>
      <c r="N11846" t="s">
        <v>37</v>
      </c>
    </row>
    <row r="11847" spans="1:14">
      <c r="A11847" s="4" t="str">
        <f t="shared" si="1036"/>
        <v>EXP00386</v>
      </c>
      <c r="B11847" s="3" t="s">
        <v>66</v>
      </c>
      <c r="C11847" s="4" t="str">
        <f t="shared" si="1037"/>
        <v>GSE87211</v>
      </c>
      <c r="D11847" s="1" t="s">
        <v>239</v>
      </c>
      <c r="E11847" t="s">
        <v>96</v>
      </c>
      <c r="F11847" s="1">
        <v>1</v>
      </c>
      <c r="G11847" s="1" t="s">
        <v>36</v>
      </c>
      <c r="H11847" s="4" t="str">
        <f>HYPERLINK("https://www.ncbi.nlm.nih.gov/geo/query/acc.cgi?acc=GSM2325545","GSM2325545")</f>
        <v>GSM2325545</v>
      </c>
      <c r="I11847" t="s">
        <v>69</v>
      </c>
      <c r="J11847" t="s">
        <v>18</v>
      </c>
      <c r="K11847" t="s">
        <v>33</v>
      </c>
      <c r="L11847" t="s">
        <v>70</v>
      </c>
      <c r="N11847" t="s">
        <v>37</v>
      </c>
    </row>
    <row r="11848" spans="1:14">
      <c r="A11848" s="4" t="str">
        <f t="shared" si="1036"/>
        <v>EXP00386</v>
      </c>
      <c r="B11848" s="3" t="s">
        <v>66</v>
      </c>
      <c r="C11848" s="4" t="str">
        <f t="shared" si="1037"/>
        <v>GSE87211</v>
      </c>
      <c r="D11848" s="1" t="s">
        <v>239</v>
      </c>
      <c r="E11848" t="s">
        <v>96</v>
      </c>
      <c r="F11848" s="1">
        <v>1</v>
      </c>
      <c r="G11848" s="1" t="s">
        <v>36</v>
      </c>
      <c r="H11848" s="4" t="str">
        <f>HYPERLINK("https://www.ncbi.nlm.nih.gov/geo/query/acc.cgi?acc=GSM2325546","GSM2325546")</f>
        <v>GSM2325546</v>
      </c>
      <c r="I11848" t="s">
        <v>69</v>
      </c>
      <c r="J11848" t="s">
        <v>18</v>
      </c>
      <c r="K11848" t="s">
        <v>33</v>
      </c>
      <c r="L11848" t="s">
        <v>70</v>
      </c>
      <c r="N11848" t="s">
        <v>37</v>
      </c>
    </row>
    <row r="11849" spans="1:14">
      <c r="A11849" s="4" t="str">
        <f t="shared" si="1036"/>
        <v>EXP00386</v>
      </c>
      <c r="B11849" s="3" t="s">
        <v>66</v>
      </c>
      <c r="C11849" s="4" t="str">
        <f t="shared" si="1037"/>
        <v>GSE87211</v>
      </c>
      <c r="D11849" s="1" t="s">
        <v>239</v>
      </c>
      <c r="E11849" t="s">
        <v>96</v>
      </c>
      <c r="F11849" s="1">
        <v>1</v>
      </c>
      <c r="G11849" s="1" t="s">
        <v>36</v>
      </c>
      <c r="H11849" s="4" t="str">
        <f>HYPERLINK("https://www.ncbi.nlm.nih.gov/geo/query/acc.cgi?acc=GSM2325547","GSM2325547")</f>
        <v>GSM2325547</v>
      </c>
      <c r="I11849" t="s">
        <v>69</v>
      </c>
      <c r="J11849" t="s">
        <v>18</v>
      </c>
      <c r="K11849" t="s">
        <v>33</v>
      </c>
      <c r="L11849" t="s">
        <v>70</v>
      </c>
      <c r="N11849" t="s">
        <v>37</v>
      </c>
    </row>
    <row r="11850" spans="1:14">
      <c r="A11850" s="4" t="str">
        <f t="shared" si="1036"/>
        <v>EXP00386</v>
      </c>
      <c r="B11850" s="3" t="s">
        <v>66</v>
      </c>
      <c r="C11850" s="4" t="str">
        <f t="shared" si="1037"/>
        <v>GSE87211</v>
      </c>
      <c r="D11850" s="1" t="s">
        <v>239</v>
      </c>
      <c r="E11850" t="s">
        <v>96</v>
      </c>
      <c r="F11850" s="1">
        <v>1</v>
      </c>
      <c r="G11850" s="1" t="s">
        <v>36</v>
      </c>
      <c r="H11850" s="4" t="str">
        <f>HYPERLINK("https://www.ncbi.nlm.nih.gov/geo/query/acc.cgi?acc=GSM2325548","GSM2325548")</f>
        <v>GSM2325548</v>
      </c>
      <c r="I11850" t="s">
        <v>69</v>
      </c>
      <c r="J11850" t="s">
        <v>18</v>
      </c>
      <c r="K11850" t="s">
        <v>33</v>
      </c>
      <c r="L11850" t="s">
        <v>70</v>
      </c>
      <c r="N11850" t="s">
        <v>37</v>
      </c>
    </row>
    <row r="11851" spans="1:14">
      <c r="A11851" s="4" t="str">
        <f t="shared" si="1036"/>
        <v>EXP00386</v>
      </c>
      <c r="B11851" s="3" t="s">
        <v>66</v>
      </c>
      <c r="C11851" s="4" t="str">
        <f t="shared" si="1037"/>
        <v>GSE87211</v>
      </c>
      <c r="D11851" s="1" t="s">
        <v>239</v>
      </c>
      <c r="E11851" t="s">
        <v>96</v>
      </c>
      <c r="F11851" s="1">
        <v>1</v>
      </c>
      <c r="G11851" s="1" t="s">
        <v>36</v>
      </c>
      <c r="H11851" s="4" t="str">
        <f>HYPERLINK("https://www.ncbi.nlm.nih.gov/geo/query/acc.cgi?acc=GSM2325549","GSM2325549")</f>
        <v>GSM2325549</v>
      </c>
      <c r="I11851" t="s">
        <v>69</v>
      </c>
      <c r="J11851" t="s">
        <v>18</v>
      </c>
      <c r="K11851" t="s">
        <v>33</v>
      </c>
      <c r="L11851" t="s">
        <v>70</v>
      </c>
      <c r="N11851" t="s">
        <v>37</v>
      </c>
    </row>
    <row r="11852" spans="1:14">
      <c r="A11852" s="4" t="str">
        <f t="shared" si="1036"/>
        <v>EXP00386</v>
      </c>
      <c r="B11852" s="3" t="s">
        <v>66</v>
      </c>
      <c r="C11852" s="4" t="str">
        <f t="shared" si="1037"/>
        <v>GSE87211</v>
      </c>
      <c r="D11852" s="1" t="s">
        <v>239</v>
      </c>
      <c r="E11852" t="s">
        <v>96</v>
      </c>
      <c r="F11852" s="1">
        <v>1</v>
      </c>
      <c r="G11852" s="1" t="s">
        <v>36</v>
      </c>
      <c r="H11852" s="4" t="str">
        <f>HYPERLINK("https://www.ncbi.nlm.nih.gov/geo/query/acc.cgi?acc=GSM2325550","GSM2325550")</f>
        <v>GSM2325550</v>
      </c>
      <c r="I11852" t="s">
        <v>69</v>
      </c>
      <c r="J11852" t="s">
        <v>18</v>
      </c>
      <c r="K11852" t="s">
        <v>33</v>
      </c>
      <c r="L11852" t="s">
        <v>70</v>
      </c>
      <c r="N11852" t="s">
        <v>37</v>
      </c>
    </row>
    <row r="11853" spans="1:14">
      <c r="A11853" s="4" t="str">
        <f t="shared" si="1036"/>
        <v>EXP00386</v>
      </c>
      <c r="B11853" s="3" t="s">
        <v>66</v>
      </c>
      <c r="C11853" s="4" t="str">
        <f t="shared" si="1037"/>
        <v>GSE87211</v>
      </c>
      <c r="D11853" s="1" t="s">
        <v>239</v>
      </c>
      <c r="E11853" t="s">
        <v>96</v>
      </c>
      <c r="F11853" s="1">
        <v>1</v>
      </c>
      <c r="G11853" s="1" t="s">
        <v>36</v>
      </c>
      <c r="H11853" s="4" t="str">
        <f>HYPERLINK("https://www.ncbi.nlm.nih.gov/geo/query/acc.cgi?acc=GSM2325551","GSM2325551")</f>
        <v>GSM2325551</v>
      </c>
      <c r="I11853" t="s">
        <v>69</v>
      </c>
      <c r="J11853" t="s">
        <v>18</v>
      </c>
      <c r="K11853" t="s">
        <v>33</v>
      </c>
      <c r="L11853" t="s">
        <v>70</v>
      </c>
      <c r="N11853" t="s">
        <v>37</v>
      </c>
    </row>
    <row r="11854" spans="1:14">
      <c r="A11854" s="4" t="str">
        <f t="shared" si="1036"/>
        <v>EXP00386</v>
      </c>
      <c r="B11854" s="3" t="s">
        <v>66</v>
      </c>
      <c r="C11854" s="4" t="str">
        <f t="shared" si="1037"/>
        <v>GSE87211</v>
      </c>
      <c r="D11854" s="1" t="s">
        <v>239</v>
      </c>
      <c r="E11854" t="s">
        <v>96</v>
      </c>
      <c r="F11854" s="1">
        <v>1</v>
      </c>
      <c r="G11854" s="1" t="s">
        <v>36</v>
      </c>
      <c r="H11854" s="4" t="str">
        <f>HYPERLINK("https://www.ncbi.nlm.nih.gov/geo/query/acc.cgi?acc=GSM2325552","GSM2325552")</f>
        <v>GSM2325552</v>
      </c>
      <c r="I11854" t="s">
        <v>69</v>
      </c>
      <c r="J11854" t="s">
        <v>18</v>
      </c>
      <c r="K11854" t="s">
        <v>33</v>
      </c>
      <c r="L11854" t="s">
        <v>70</v>
      </c>
      <c r="N11854" t="s">
        <v>37</v>
      </c>
    </row>
    <row r="11855" spans="1:14">
      <c r="A11855" s="4" t="str">
        <f t="shared" si="1036"/>
        <v>EXP00386</v>
      </c>
      <c r="B11855" s="3" t="s">
        <v>66</v>
      </c>
      <c r="C11855" s="4" t="str">
        <f t="shared" si="1037"/>
        <v>GSE87211</v>
      </c>
      <c r="D11855" s="1" t="s">
        <v>239</v>
      </c>
      <c r="E11855" t="s">
        <v>96</v>
      </c>
      <c r="F11855" s="1">
        <v>1</v>
      </c>
      <c r="G11855" s="1" t="s">
        <v>36</v>
      </c>
      <c r="H11855" s="4" t="str">
        <f>HYPERLINK("https://www.ncbi.nlm.nih.gov/geo/query/acc.cgi?acc=GSM2325553","GSM2325553")</f>
        <v>GSM2325553</v>
      </c>
      <c r="I11855" t="s">
        <v>69</v>
      </c>
      <c r="J11855" t="s">
        <v>18</v>
      </c>
      <c r="K11855" t="s">
        <v>33</v>
      </c>
      <c r="L11855" t="s">
        <v>70</v>
      </c>
      <c r="N11855" t="s">
        <v>37</v>
      </c>
    </row>
    <row r="11856" spans="1:14">
      <c r="A11856" s="4" t="str">
        <f t="shared" si="1036"/>
        <v>EXP00386</v>
      </c>
      <c r="B11856" s="3" t="s">
        <v>66</v>
      </c>
      <c r="C11856" s="4" t="str">
        <f t="shared" si="1037"/>
        <v>GSE87211</v>
      </c>
      <c r="D11856" s="1" t="s">
        <v>239</v>
      </c>
      <c r="E11856" t="s">
        <v>96</v>
      </c>
      <c r="F11856" s="1">
        <v>1</v>
      </c>
      <c r="G11856" s="1" t="s">
        <v>36</v>
      </c>
      <c r="H11856" s="4" t="str">
        <f>HYPERLINK("https://www.ncbi.nlm.nih.gov/geo/query/acc.cgi?acc=GSM2325554","GSM2325554")</f>
        <v>GSM2325554</v>
      </c>
      <c r="I11856" t="s">
        <v>69</v>
      </c>
      <c r="J11856" t="s">
        <v>18</v>
      </c>
      <c r="K11856" t="s">
        <v>33</v>
      </c>
      <c r="L11856" t="s">
        <v>70</v>
      </c>
      <c r="N11856" t="s">
        <v>37</v>
      </c>
    </row>
    <row r="11857" spans="1:14">
      <c r="A11857" s="4" t="str">
        <f t="shared" si="1036"/>
        <v>EXP00386</v>
      </c>
      <c r="B11857" s="3" t="s">
        <v>66</v>
      </c>
      <c r="C11857" s="4" t="str">
        <f t="shared" si="1037"/>
        <v>GSE87211</v>
      </c>
      <c r="D11857" s="1" t="s">
        <v>239</v>
      </c>
      <c r="E11857" t="s">
        <v>96</v>
      </c>
      <c r="F11857" s="1">
        <v>1</v>
      </c>
      <c r="G11857" s="1" t="s">
        <v>36</v>
      </c>
      <c r="H11857" s="4" t="str">
        <f>HYPERLINK("https://www.ncbi.nlm.nih.gov/geo/query/acc.cgi?acc=GSM2325555","GSM2325555")</f>
        <v>GSM2325555</v>
      </c>
      <c r="I11857" t="s">
        <v>69</v>
      </c>
      <c r="J11857" t="s">
        <v>18</v>
      </c>
      <c r="K11857" t="s">
        <v>33</v>
      </c>
      <c r="L11857" t="s">
        <v>70</v>
      </c>
      <c r="N11857" t="s">
        <v>37</v>
      </c>
    </row>
    <row r="11858" spans="1:14">
      <c r="A11858" s="4" t="str">
        <f t="shared" si="1036"/>
        <v>EXP00386</v>
      </c>
      <c r="B11858" s="3" t="s">
        <v>66</v>
      </c>
      <c r="C11858" s="4" t="str">
        <f t="shared" si="1037"/>
        <v>GSE87211</v>
      </c>
      <c r="D11858" s="1" t="s">
        <v>239</v>
      </c>
      <c r="E11858" t="s">
        <v>96</v>
      </c>
      <c r="F11858" s="1">
        <v>1</v>
      </c>
      <c r="G11858" s="1" t="s">
        <v>36</v>
      </c>
      <c r="H11858" s="4" t="str">
        <f>HYPERLINK("https://www.ncbi.nlm.nih.gov/geo/query/acc.cgi?acc=GSM2325556","GSM2325556")</f>
        <v>GSM2325556</v>
      </c>
      <c r="I11858" t="s">
        <v>69</v>
      </c>
      <c r="J11858" t="s">
        <v>18</v>
      </c>
      <c r="K11858" t="s">
        <v>33</v>
      </c>
      <c r="L11858" t="s">
        <v>70</v>
      </c>
      <c r="N11858" t="s">
        <v>37</v>
      </c>
    </row>
    <row r="11859" spans="1:14">
      <c r="A11859" s="4" t="str">
        <f t="shared" si="1036"/>
        <v>EXP00386</v>
      </c>
      <c r="B11859" s="3" t="s">
        <v>66</v>
      </c>
      <c r="C11859" s="4" t="str">
        <f t="shared" si="1037"/>
        <v>GSE87211</v>
      </c>
      <c r="D11859" s="1" t="s">
        <v>239</v>
      </c>
      <c r="E11859" t="s">
        <v>96</v>
      </c>
      <c r="F11859" s="1">
        <v>1</v>
      </c>
      <c r="G11859" s="1" t="s">
        <v>36</v>
      </c>
      <c r="H11859" s="4" t="str">
        <f>HYPERLINK("https://www.ncbi.nlm.nih.gov/geo/query/acc.cgi?acc=GSM2325557","GSM2325557")</f>
        <v>GSM2325557</v>
      </c>
      <c r="I11859" t="s">
        <v>69</v>
      </c>
      <c r="J11859" t="s">
        <v>18</v>
      </c>
      <c r="K11859" t="s">
        <v>33</v>
      </c>
      <c r="L11859" t="s">
        <v>70</v>
      </c>
      <c r="N11859" t="s">
        <v>37</v>
      </c>
    </row>
    <row r="11860" spans="1:14">
      <c r="A11860" s="4" t="str">
        <f t="shared" si="1036"/>
        <v>EXP00386</v>
      </c>
      <c r="B11860" s="3" t="s">
        <v>66</v>
      </c>
      <c r="C11860" s="4" t="str">
        <f t="shared" si="1037"/>
        <v>GSE87211</v>
      </c>
      <c r="D11860" s="1" t="s">
        <v>239</v>
      </c>
      <c r="E11860" t="s">
        <v>96</v>
      </c>
      <c r="F11860" s="1">
        <v>1</v>
      </c>
      <c r="G11860" s="1" t="s">
        <v>36</v>
      </c>
      <c r="H11860" s="4" t="str">
        <f>HYPERLINK("https://www.ncbi.nlm.nih.gov/geo/query/acc.cgi?acc=GSM2325558","GSM2325558")</f>
        <v>GSM2325558</v>
      </c>
      <c r="I11860" t="s">
        <v>69</v>
      </c>
      <c r="J11860" t="s">
        <v>18</v>
      </c>
      <c r="K11860" t="s">
        <v>33</v>
      </c>
      <c r="L11860" t="s">
        <v>70</v>
      </c>
      <c r="N11860" t="s">
        <v>37</v>
      </c>
    </row>
    <row r="11861" spans="1:14">
      <c r="A11861" s="4" t="str">
        <f t="shared" si="1036"/>
        <v>EXP00386</v>
      </c>
      <c r="B11861" s="3" t="s">
        <v>66</v>
      </c>
      <c r="C11861" s="4" t="str">
        <f t="shared" si="1037"/>
        <v>GSE87211</v>
      </c>
      <c r="D11861" s="1" t="s">
        <v>239</v>
      </c>
      <c r="E11861" t="s">
        <v>96</v>
      </c>
      <c r="F11861" s="1">
        <v>1</v>
      </c>
      <c r="G11861" s="1" t="s">
        <v>36</v>
      </c>
      <c r="H11861" s="4" t="str">
        <f>HYPERLINK("https://www.ncbi.nlm.nih.gov/geo/query/acc.cgi?acc=GSM2325559","GSM2325559")</f>
        <v>GSM2325559</v>
      </c>
      <c r="I11861" t="s">
        <v>69</v>
      </c>
      <c r="J11861" t="s">
        <v>18</v>
      </c>
      <c r="K11861" t="s">
        <v>33</v>
      </c>
      <c r="L11861" t="s">
        <v>70</v>
      </c>
      <c r="N11861" t="s">
        <v>37</v>
      </c>
    </row>
    <row r="11862" spans="1:14">
      <c r="A11862" s="4" t="str">
        <f t="shared" si="1036"/>
        <v>EXP00386</v>
      </c>
      <c r="B11862" s="3" t="s">
        <v>66</v>
      </c>
      <c r="C11862" s="4" t="str">
        <f t="shared" si="1037"/>
        <v>GSE87211</v>
      </c>
      <c r="D11862" s="1" t="s">
        <v>239</v>
      </c>
      <c r="E11862" t="s">
        <v>96</v>
      </c>
      <c r="F11862" s="1">
        <v>1</v>
      </c>
      <c r="G11862" s="1" t="s">
        <v>36</v>
      </c>
      <c r="H11862" s="4" t="str">
        <f>HYPERLINK("https://www.ncbi.nlm.nih.gov/geo/query/acc.cgi?acc=GSM2325560","GSM2325560")</f>
        <v>GSM2325560</v>
      </c>
      <c r="I11862" t="s">
        <v>69</v>
      </c>
      <c r="J11862" t="s">
        <v>18</v>
      </c>
      <c r="K11862" t="s">
        <v>33</v>
      </c>
      <c r="L11862" t="s">
        <v>70</v>
      </c>
      <c r="N11862" t="s">
        <v>37</v>
      </c>
    </row>
    <row r="11863" spans="1:14">
      <c r="A11863" s="4" t="str">
        <f t="shared" si="1036"/>
        <v>EXP00386</v>
      </c>
      <c r="B11863" s="3" t="s">
        <v>66</v>
      </c>
      <c r="C11863" s="4" t="str">
        <f t="shared" si="1037"/>
        <v>GSE87211</v>
      </c>
      <c r="D11863" s="1" t="s">
        <v>239</v>
      </c>
      <c r="E11863" t="s">
        <v>96</v>
      </c>
      <c r="F11863" s="1">
        <v>1</v>
      </c>
      <c r="G11863" s="1" t="s">
        <v>36</v>
      </c>
      <c r="H11863" s="4" t="str">
        <f>HYPERLINK("https://www.ncbi.nlm.nih.gov/geo/query/acc.cgi?acc=GSM2325561","GSM2325561")</f>
        <v>GSM2325561</v>
      </c>
      <c r="I11863" t="s">
        <v>69</v>
      </c>
      <c r="J11863" t="s">
        <v>18</v>
      </c>
      <c r="K11863" t="s">
        <v>33</v>
      </c>
      <c r="L11863" t="s">
        <v>70</v>
      </c>
      <c r="N11863" t="s">
        <v>37</v>
      </c>
    </row>
    <row r="11864" spans="1:14">
      <c r="A11864" s="4" t="str">
        <f t="shared" si="1036"/>
        <v>EXP00386</v>
      </c>
      <c r="B11864" s="3" t="s">
        <v>66</v>
      </c>
      <c r="C11864" s="4" t="str">
        <f t="shared" si="1037"/>
        <v>GSE87211</v>
      </c>
      <c r="D11864" s="1" t="s">
        <v>239</v>
      </c>
      <c r="E11864" t="s">
        <v>96</v>
      </c>
      <c r="F11864" s="1">
        <v>1</v>
      </c>
      <c r="G11864" s="1" t="s">
        <v>36</v>
      </c>
      <c r="H11864" s="4" t="str">
        <f>HYPERLINK("https://www.ncbi.nlm.nih.gov/geo/query/acc.cgi?acc=GSM2325562","GSM2325562")</f>
        <v>GSM2325562</v>
      </c>
      <c r="I11864" t="s">
        <v>69</v>
      </c>
      <c r="J11864" t="s">
        <v>18</v>
      </c>
      <c r="K11864" t="s">
        <v>33</v>
      </c>
      <c r="L11864" t="s">
        <v>70</v>
      </c>
      <c r="N11864" t="s">
        <v>37</v>
      </c>
    </row>
    <row r="11865" spans="1:14">
      <c r="A11865" s="4" t="str">
        <f t="shared" si="1036"/>
        <v>EXP00386</v>
      </c>
      <c r="B11865" s="3" t="s">
        <v>66</v>
      </c>
      <c r="C11865" s="4" t="str">
        <f t="shared" si="1037"/>
        <v>GSE87211</v>
      </c>
      <c r="D11865" s="1" t="s">
        <v>239</v>
      </c>
      <c r="E11865" t="s">
        <v>96</v>
      </c>
      <c r="F11865" s="1">
        <v>1</v>
      </c>
      <c r="G11865" s="1" t="s">
        <v>36</v>
      </c>
      <c r="H11865" s="4" t="str">
        <f>HYPERLINK("https://www.ncbi.nlm.nih.gov/geo/query/acc.cgi?acc=GSM2325565","GSM2325565")</f>
        <v>GSM2325565</v>
      </c>
      <c r="I11865" t="s">
        <v>69</v>
      </c>
      <c r="J11865" t="s">
        <v>18</v>
      </c>
      <c r="K11865" t="s">
        <v>33</v>
      </c>
      <c r="L11865" t="s">
        <v>70</v>
      </c>
      <c r="N11865" t="s">
        <v>37</v>
      </c>
    </row>
    <row r="11866" spans="1:14">
      <c r="A11866" s="4" t="str">
        <f t="shared" si="1036"/>
        <v>EXP00386</v>
      </c>
      <c r="B11866" s="3" t="s">
        <v>66</v>
      </c>
      <c r="C11866" s="4" t="str">
        <f t="shared" si="1037"/>
        <v>GSE87211</v>
      </c>
      <c r="D11866" s="1" t="s">
        <v>239</v>
      </c>
      <c r="E11866" t="s">
        <v>96</v>
      </c>
      <c r="F11866" s="1">
        <v>1</v>
      </c>
      <c r="G11866" s="1" t="s">
        <v>36</v>
      </c>
      <c r="H11866" s="4" t="str">
        <f>HYPERLINK("https://www.ncbi.nlm.nih.gov/geo/query/acc.cgi?acc=GSM2325566","GSM2325566")</f>
        <v>GSM2325566</v>
      </c>
      <c r="I11866" t="s">
        <v>69</v>
      </c>
      <c r="J11866" t="s">
        <v>18</v>
      </c>
      <c r="K11866" t="s">
        <v>33</v>
      </c>
      <c r="L11866" t="s">
        <v>70</v>
      </c>
      <c r="N11866" t="s">
        <v>37</v>
      </c>
    </row>
    <row r="11867" spans="1:14">
      <c r="A11867" s="4" t="str">
        <f t="shared" si="1036"/>
        <v>EXP00386</v>
      </c>
      <c r="B11867" s="3" t="s">
        <v>66</v>
      </c>
      <c r="C11867" s="4" t="str">
        <f t="shared" si="1037"/>
        <v>GSE87211</v>
      </c>
      <c r="D11867" s="1" t="s">
        <v>239</v>
      </c>
      <c r="E11867" t="s">
        <v>96</v>
      </c>
      <c r="F11867" s="1">
        <v>1</v>
      </c>
      <c r="G11867" s="1" t="s">
        <v>36</v>
      </c>
      <c r="H11867" s="4" t="str">
        <f>HYPERLINK("https://www.ncbi.nlm.nih.gov/geo/query/acc.cgi?acc=GSM2325567","GSM2325567")</f>
        <v>GSM2325567</v>
      </c>
      <c r="I11867" t="s">
        <v>69</v>
      </c>
      <c r="J11867" t="s">
        <v>18</v>
      </c>
      <c r="K11867" t="s">
        <v>33</v>
      </c>
      <c r="L11867" t="s">
        <v>70</v>
      </c>
      <c r="N11867" t="s">
        <v>37</v>
      </c>
    </row>
    <row r="11868" spans="1:14">
      <c r="A11868" s="4" t="str">
        <f t="shared" si="1036"/>
        <v>EXP00386</v>
      </c>
      <c r="B11868" s="3" t="s">
        <v>66</v>
      </c>
      <c r="C11868" s="4" t="str">
        <f t="shared" si="1037"/>
        <v>GSE87211</v>
      </c>
      <c r="D11868" s="1" t="s">
        <v>239</v>
      </c>
      <c r="E11868" t="s">
        <v>96</v>
      </c>
      <c r="F11868" s="1">
        <v>1</v>
      </c>
      <c r="G11868" s="1" t="s">
        <v>36</v>
      </c>
      <c r="H11868" s="4" t="str">
        <f>HYPERLINK("https://www.ncbi.nlm.nih.gov/geo/query/acc.cgi?acc=GSM2325568","GSM2325568")</f>
        <v>GSM2325568</v>
      </c>
      <c r="I11868" t="s">
        <v>69</v>
      </c>
      <c r="J11868" t="s">
        <v>18</v>
      </c>
      <c r="K11868" t="s">
        <v>33</v>
      </c>
      <c r="L11868" t="s">
        <v>70</v>
      </c>
      <c r="N11868" t="s">
        <v>37</v>
      </c>
    </row>
    <row r="11869" spans="1:14">
      <c r="A11869" s="4" t="str">
        <f t="shared" si="1036"/>
        <v>EXP00386</v>
      </c>
      <c r="B11869" s="3" t="s">
        <v>66</v>
      </c>
      <c r="C11869" s="4" t="str">
        <f t="shared" si="1037"/>
        <v>GSE87211</v>
      </c>
      <c r="D11869" s="1" t="s">
        <v>239</v>
      </c>
      <c r="E11869" t="s">
        <v>96</v>
      </c>
      <c r="F11869" s="1">
        <v>1</v>
      </c>
      <c r="G11869" s="1" t="s">
        <v>36</v>
      </c>
      <c r="H11869" s="4" t="str">
        <f>HYPERLINK("https://www.ncbi.nlm.nih.gov/geo/query/acc.cgi?acc=GSM2325569","GSM2325569")</f>
        <v>GSM2325569</v>
      </c>
      <c r="I11869" t="s">
        <v>69</v>
      </c>
      <c r="J11869" t="s">
        <v>18</v>
      </c>
      <c r="K11869" t="s">
        <v>33</v>
      </c>
      <c r="L11869" t="s">
        <v>70</v>
      </c>
      <c r="N11869" t="s">
        <v>37</v>
      </c>
    </row>
    <row r="11870" spans="1:14">
      <c r="A11870" s="4" t="str">
        <f t="shared" si="1036"/>
        <v>EXP00386</v>
      </c>
      <c r="B11870" s="3" t="s">
        <v>66</v>
      </c>
      <c r="C11870" s="4" t="str">
        <f t="shared" si="1037"/>
        <v>GSE87211</v>
      </c>
      <c r="D11870" s="1" t="s">
        <v>239</v>
      </c>
      <c r="E11870" t="s">
        <v>96</v>
      </c>
      <c r="F11870" s="1">
        <v>1</v>
      </c>
      <c r="G11870" s="1" t="s">
        <v>36</v>
      </c>
      <c r="H11870" s="4" t="str">
        <f>HYPERLINK("https://www.ncbi.nlm.nih.gov/geo/query/acc.cgi?acc=GSM2325570","GSM2325570")</f>
        <v>GSM2325570</v>
      </c>
      <c r="I11870" t="s">
        <v>69</v>
      </c>
      <c r="J11870" t="s">
        <v>18</v>
      </c>
      <c r="K11870" t="s">
        <v>33</v>
      </c>
      <c r="L11870" t="s">
        <v>70</v>
      </c>
      <c r="N11870" t="s">
        <v>37</v>
      </c>
    </row>
    <row r="11871" spans="1:14">
      <c r="A11871" s="4" t="str">
        <f t="shared" si="1036"/>
        <v>EXP00386</v>
      </c>
      <c r="B11871" s="3" t="s">
        <v>66</v>
      </c>
      <c r="C11871" s="4" t="str">
        <f t="shared" si="1037"/>
        <v>GSE87211</v>
      </c>
      <c r="D11871" s="1" t="s">
        <v>239</v>
      </c>
      <c r="E11871" t="s">
        <v>96</v>
      </c>
      <c r="F11871" s="1">
        <v>1</v>
      </c>
      <c r="G11871" s="1" t="s">
        <v>36</v>
      </c>
      <c r="H11871" s="4" t="str">
        <f>HYPERLINK("https://www.ncbi.nlm.nih.gov/geo/query/acc.cgi?acc=GSM2325571","GSM2325571")</f>
        <v>GSM2325571</v>
      </c>
      <c r="I11871" t="s">
        <v>69</v>
      </c>
      <c r="J11871" t="s">
        <v>18</v>
      </c>
      <c r="K11871" t="s">
        <v>33</v>
      </c>
      <c r="L11871" t="s">
        <v>70</v>
      </c>
      <c r="N11871" t="s">
        <v>37</v>
      </c>
    </row>
    <row r="11872" spans="1:14">
      <c r="A11872" s="4" t="str">
        <f t="shared" si="1036"/>
        <v>EXP00386</v>
      </c>
      <c r="B11872" s="3" t="s">
        <v>66</v>
      </c>
      <c r="C11872" s="4" t="str">
        <f t="shared" si="1037"/>
        <v>GSE87211</v>
      </c>
      <c r="D11872" s="1" t="s">
        <v>239</v>
      </c>
      <c r="E11872" t="s">
        <v>96</v>
      </c>
      <c r="F11872" s="1">
        <v>1</v>
      </c>
      <c r="G11872" s="1" t="s">
        <v>36</v>
      </c>
      <c r="H11872" s="4" t="str">
        <f>HYPERLINK("https://www.ncbi.nlm.nih.gov/geo/query/acc.cgi?acc=GSM2325572","GSM2325572")</f>
        <v>GSM2325572</v>
      </c>
      <c r="I11872" t="s">
        <v>69</v>
      </c>
      <c r="J11872" t="s">
        <v>18</v>
      </c>
      <c r="K11872" t="s">
        <v>33</v>
      </c>
      <c r="L11872" t="s">
        <v>70</v>
      </c>
      <c r="N11872" t="s">
        <v>37</v>
      </c>
    </row>
    <row r="11873" spans="1:14">
      <c r="A11873" s="4" t="str">
        <f t="shared" si="1036"/>
        <v>EXP00386</v>
      </c>
      <c r="B11873" s="3" t="s">
        <v>66</v>
      </c>
      <c r="C11873" s="4" t="str">
        <f t="shared" si="1037"/>
        <v>GSE87211</v>
      </c>
      <c r="D11873" s="1" t="s">
        <v>239</v>
      </c>
      <c r="E11873" t="s">
        <v>96</v>
      </c>
      <c r="F11873" s="1">
        <v>1</v>
      </c>
      <c r="G11873" s="1" t="s">
        <v>36</v>
      </c>
      <c r="H11873" s="4" t="str">
        <f>HYPERLINK("https://www.ncbi.nlm.nih.gov/geo/query/acc.cgi?acc=GSM2325573","GSM2325573")</f>
        <v>GSM2325573</v>
      </c>
      <c r="I11873" t="s">
        <v>69</v>
      </c>
      <c r="J11873" t="s">
        <v>18</v>
      </c>
      <c r="K11873" t="s">
        <v>33</v>
      </c>
      <c r="L11873" t="s">
        <v>70</v>
      </c>
      <c r="N11873" t="s">
        <v>37</v>
      </c>
    </row>
    <row r="11874" spans="1:14">
      <c r="A11874" s="4" t="str">
        <f t="shared" si="1036"/>
        <v>EXP00386</v>
      </c>
      <c r="B11874" s="3" t="s">
        <v>66</v>
      </c>
      <c r="C11874" s="4" t="str">
        <f t="shared" si="1037"/>
        <v>GSE87211</v>
      </c>
      <c r="D11874" s="1" t="s">
        <v>239</v>
      </c>
      <c r="E11874" t="s">
        <v>96</v>
      </c>
      <c r="F11874" s="1">
        <v>1</v>
      </c>
      <c r="G11874" s="1" t="s">
        <v>36</v>
      </c>
      <c r="H11874" s="4" t="str">
        <f>HYPERLINK("https://www.ncbi.nlm.nih.gov/geo/query/acc.cgi?acc=GSM2325575","GSM2325575")</f>
        <v>GSM2325575</v>
      </c>
      <c r="I11874" t="s">
        <v>69</v>
      </c>
      <c r="J11874" t="s">
        <v>18</v>
      </c>
      <c r="K11874" t="s">
        <v>33</v>
      </c>
      <c r="L11874" t="s">
        <v>70</v>
      </c>
      <c r="N11874" t="s">
        <v>37</v>
      </c>
    </row>
    <row r="11875" spans="1:14">
      <c r="A11875" s="4" t="str">
        <f t="shared" si="1036"/>
        <v>EXP00386</v>
      </c>
      <c r="B11875" s="3" t="s">
        <v>66</v>
      </c>
      <c r="C11875" s="4" t="str">
        <f t="shared" si="1037"/>
        <v>GSE87211</v>
      </c>
      <c r="D11875" s="1" t="s">
        <v>239</v>
      </c>
      <c r="E11875" t="s">
        <v>96</v>
      </c>
      <c r="F11875" s="1">
        <v>1</v>
      </c>
      <c r="G11875" s="1" t="s">
        <v>36</v>
      </c>
      <c r="H11875" s="4" t="str">
        <f>HYPERLINK("https://www.ncbi.nlm.nih.gov/geo/query/acc.cgi?acc=GSM2325576","GSM2325576")</f>
        <v>GSM2325576</v>
      </c>
      <c r="I11875" t="s">
        <v>69</v>
      </c>
      <c r="J11875" t="s">
        <v>18</v>
      </c>
      <c r="K11875" t="s">
        <v>33</v>
      </c>
      <c r="L11875" t="s">
        <v>70</v>
      </c>
      <c r="N11875" t="s">
        <v>37</v>
      </c>
    </row>
    <row r="11876" spans="1:14">
      <c r="A11876" s="4" t="str">
        <f t="shared" si="1036"/>
        <v>EXP00386</v>
      </c>
      <c r="B11876" s="3" t="s">
        <v>66</v>
      </c>
      <c r="C11876" s="4" t="str">
        <f t="shared" si="1037"/>
        <v>GSE87211</v>
      </c>
      <c r="D11876" s="1" t="s">
        <v>239</v>
      </c>
      <c r="E11876" t="s">
        <v>96</v>
      </c>
      <c r="F11876" s="1">
        <v>1</v>
      </c>
      <c r="G11876" s="1" t="s">
        <v>36</v>
      </c>
      <c r="H11876" s="4" t="str">
        <f>HYPERLINK("https://www.ncbi.nlm.nih.gov/geo/query/acc.cgi?acc=GSM2325577","GSM2325577")</f>
        <v>GSM2325577</v>
      </c>
      <c r="I11876" t="s">
        <v>69</v>
      </c>
      <c r="J11876" t="s">
        <v>18</v>
      </c>
      <c r="K11876" t="s">
        <v>33</v>
      </c>
      <c r="L11876" t="s">
        <v>70</v>
      </c>
      <c r="N11876" t="s">
        <v>37</v>
      </c>
    </row>
    <row r="11877" spans="1:14">
      <c r="A11877" s="4" t="str">
        <f t="shared" si="1036"/>
        <v>EXP00386</v>
      </c>
      <c r="B11877" s="3" t="s">
        <v>66</v>
      </c>
      <c r="C11877" s="4" t="str">
        <f t="shared" si="1037"/>
        <v>GSE87211</v>
      </c>
      <c r="D11877" s="1" t="s">
        <v>239</v>
      </c>
      <c r="E11877" t="s">
        <v>96</v>
      </c>
      <c r="F11877" s="1">
        <v>1</v>
      </c>
      <c r="G11877" s="1" t="s">
        <v>36</v>
      </c>
      <c r="H11877" s="4" t="str">
        <f>HYPERLINK("https://www.ncbi.nlm.nih.gov/geo/query/acc.cgi?acc=GSM2325578","GSM2325578")</f>
        <v>GSM2325578</v>
      </c>
      <c r="I11877" t="s">
        <v>69</v>
      </c>
      <c r="J11877" t="s">
        <v>18</v>
      </c>
      <c r="K11877" t="s">
        <v>33</v>
      </c>
      <c r="L11877" t="s">
        <v>70</v>
      </c>
      <c r="N11877" t="s">
        <v>37</v>
      </c>
    </row>
    <row r="11878" spans="1:14">
      <c r="A11878" s="4" t="str">
        <f t="shared" si="1036"/>
        <v>EXP00386</v>
      </c>
      <c r="B11878" s="3" t="s">
        <v>66</v>
      </c>
      <c r="C11878" s="4" t="str">
        <f t="shared" si="1037"/>
        <v>GSE87211</v>
      </c>
      <c r="D11878" s="1" t="s">
        <v>239</v>
      </c>
      <c r="E11878" t="s">
        <v>96</v>
      </c>
      <c r="F11878" s="1">
        <v>1</v>
      </c>
      <c r="G11878" s="1" t="s">
        <v>36</v>
      </c>
      <c r="H11878" s="4" t="str">
        <f>HYPERLINK("https://www.ncbi.nlm.nih.gov/geo/query/acc.cgi?acc=GSM2325579","GSM2325579")</f>
        <v>GSM2325579</v>
      </c>
      <c r="I11878" t="s">
        <v>69</v>
      </c>
      <c r="J11878" t="s">
        <v>18</v>
      </c>
      <c r="K11878" t="s">
        <v>33</v>
      </c>
      <c r="L11878" t="s">
        <v>70</v>
      </c>
      <c r="N11878" t="s">
        <v>37</v>
      </c>
    </row>
    <row r="11879" spans="1:14">
      <c r="A11879" s="4" t="str">
        <f t="shared" si="1036"/>
        <v>EXP00386</v>
      </c>
      <c r="B11879" s="3" t="s">
        <v>66</v>
      </c>
      <c r="C11879" s="4" t="str">
        <f t="shared" si="1037"/>
        <v>GSE87211</v>
      </c>
      <c r="D11879" s="1" t="s">
        <v>239</v>
      </c>
      <c r="E11879" t="s">
        <v>96</v>
      </c>
      <c r="F11879" s="1">
        <v>1</v>
      </c>
      <c r="G11879" s="1" t="s">
        <v>36</v>
      </c>
      <c r="H11879" s="4" t="str">
        <f>HYPERLINK("https://www.ncbi.nlm.nih.gov/geo/query/acc.cgi?acc=GSM2325580","GSM2325580")</f>
        <v>GSM2325580</v>
      </c>
      <c r="I11879" t="s">
        <v>69</v>
      </c>
      <c r="J11879" t="s">
        <v>18</v>
      </c>
      <c r="K11879" t="s">
        <v>33</v>
      </c>
      <c r="L11879" t="s">
        <v>70</v>
      </c>
      <c r="N11879" t="s">
        <v>37</v>
      </c>
    </row>
    <row r="11880" spans="1:14">
      <c r="A11880" s="4" t="str">
        <f t="shared" ref="A11880:A11943" si="1038">HYPERLINK("http://hcmdb.i-sanger.com/experiment/details/experiment_id/EXP00386","EXP00386")</f>
        <v>EXP00386</v>
      </c>
      <c r="B11880" s="3" t="s">
        <v>66</v>
      </c>
      <c r="C11880" s="4" t="str">
        <f t="shared" si="1037"/>
        <v>GSE87211</v>
      </c>
      <c r="D11880" s="1" t="s">
        <v>239</v>
      </c>
      <c r="E11880" t="s">
        <v>96</v>
      </c>
      <c r="F11880" s="1">
        <v>1</v>
      </c>
      <c r="G11880" s="1" t="s">
        <v>36</v>
      </c>
      <c r="H11880" s="4" t="str">
        <f>HYPERLINK("https://www.ncbi.nlm.nih.gov/geo/query/acc.cgi?acc=GSM2325581","GSM2325581")</f>
        <v>GSM2325581</v>
      </c>
      <c r="I11880" t="s">
        <v>69</v>
      </c>
      <c r="J11880" t="s">
        <v>18</v>
      </c>
      <c r="K11880" t="s">
        <v>33</v>
      </c>
      <c r="L11880" t="s">
        <v>70</v>
      </c>
      <c r="N11880" t="s">
        <v>37</v>
      </c>
    </row>
    <row r="11881" spans="1:14">
      <c r="A11881" s="4" t="str">
        <f t="shared" si="1038"/>
        <v>EXP00386</v>
      </c>
      <c r="B11881" s="3" t="s">
        <v>66</v>
      </c>
      <c r="C11881" s="4" t="str">
        <f t="shared" si="1037"/>
        <v>GSE87211</v>
      </c>
      <c r="D11881" s="1" t="s">
        <v>239</v>
      </c>
      <c r="E11881" t="s">
        <v>96</v>
      </c>
      <c r="F11881" s="1">
        <v>1</v>
      </c>
      <c r="G11881" s="1" t="s">
        <v>36</v>
      </c>
      <c r="H11881" s="4" t="str">
        <f>HYPERLINK("https://www.ncbi.nlm.nih.gov/geo/query/acc.cgi?acc=GSM2325582","GSM2325582")</f>
        <v>GSM2325582</v>
      </c>
      <c r="I11881" t="s">
        <v>69</v>
      </c>
      <c r="J11881" t="s">
        <v>18</v>
      </c>
      <c r="K11881" t="s">
        <v>33</v>
      </c>
      <c r="L11881" t="s">
        <v>70</v>
      </c>
      <c r="N11881" t="s">
        <v>37</v>
      </c>
    </row>
    <row r="11882" spans="1:14">
      <c r="A11882" s="4" t="str">
        <f t="shared" si="1038"/>
        <v>EXP00386</v>
      </c>
      <c r="B11882" s="3" t="s">
        <v>66</v>
      </c>
      <c r="C11882" s="4" t="str">
        <f t="shared" si="1037"/>
        <v>GSE87211</v>
      </c>
      <c r="D11882" s="1" t="s">
        <v>239</v>
      </c>
      <c r="E11882" t="s">
        <v>96</v>
      </c>
      <c r="F11882" s="1">
        <v>1</v>
      </c>
      <c r="G11882" s="1" t="s">
        <v>36</v>
      </c>
      <c r="H11882" s="4" t="str">
        <f>HYPERLINK("https://www.ncbi.nlm.nih.gov/geo/query/acc.cgi?acc=GSM2325583","GSM2325583")</f>
        <v>GSM2325583</v>
      </c>
      <c r="I11882" t="s">
        <v>69</v>
      </c>
      <c r="J11882" t="s">
        <v>18</v>
      </c>
      <c r="K11882" t="s">
        <v>33</v>
      </c>
      <c r="L11882" t="s">
        <v>70</v>
      </c>
      <c r="N11882" t="s">
        <v>37</v>
      </c>
    </row>
    <row r="11883" spans="1:14">
      <c r="A11883" s="4" t="str">
        <f t="shared" si="1038"/>
        <v>EXP00386</v>
      </c>
      <c r="B11883" s="3" t="s">
        <v>66</v>
      </c>
      <c r="C11883" s="4" t="str">
        <f t="shared" si="1037"/>
        <v>GSE87211</v>
      </c>
      <c r="D11883" s="1" t="s">
        <v>239</v>
      </c>
      <c r="E11883" t="s">
        <v>96</v>
      </c>
      <c r="F11883" s="1">
        <v>1</v>
      </c>
      <c r="G11883" s="1" t="s">
        <v>36</v>
      </c>
      <c r="H11883" s="4" t="str">
        <f>HYPERLINK("https://www.ncbi.nlm.nih.gov/geo/query/acc.cgi?acc=GSM2325584","GSM2325584")</f>
        <v>GSM2325584</v>
      </c>
      <c r="I11883" t="s">
        <v>69</v>
      </c>
      <c r="J11883" t="s">
        <v>18</v>
      </c>
      <c r="K11883" t="s">
        <v>33</v>
      </c>
      <c r="L11883" t="s">
        <v>70</v>
      </c>
      <c r="N11883" t="s">
        <v>37</v>
      </c>
    </row>
    <row r="11884" spans="1:14">
      <c r="A11884" s="4" t="str">
        <f t="shared" si="1038"/>
        <v>EXP00386</v>
      </c>
      <c r="B11884" s="3" t="s">
        <v>66</v>
      </c>
      <c r="C11884" s="4" t="str">
        <f t="shared" si="1037"/>
        <v>GSE87211</v>
      </c>
      <c r="D11884" s="1" t="s">
        <v>239</v>
      </c>
      <c r="E11884" t="s">
        <v>96</v>
      </c>
      <c r="F11884" s="1">
        <v>1</v>
      </c>
      <c r="G11884" s="1" t="s">
        <v>36</v>
      </c>
      <c r="H11884" s="4" t="str">
        <f>HYPERLINK("https://www.ncbi.nlm.nih.gov/geo/query/acc.cgi?acc=GSM2325585","GSM2325585")</f>
        <v>GSM2325585</v>
      </c>
      <c r="I11884" t="s">
        <v>69</v>
      </c>
      <c r="J11884" t="s">
        <v>18</v>
      </c>
      <c r="K11884" t="s">
        <v>33</v>
      </c>
      <c r="L11884" t="s">
        <v>70</v>
      </c>
      <c r="N11884" t="s">
        <v>37</v>
      </c>
    </row>
    <row r="11885" spans="1:14">
      <c r="A11885" s="4" t="str">
        <f t="shared" si="1038"/>
        <v>EXP00386</v>
      </c>
      <c r="B11885" s="3" t="s">
        <v>66</v>
      </c>
      <c r="C11885" s="4" t="str">
        <f t="shared" si="1037"/>
        <v>GSE87211</v>
      </c>
      <c r="D11885" s="1" t="s">
        <v>239</v>
      </c>
      <c r="E11885" t="s">
        <v>96</v>
      </c>
      <c r="F11885" s="1">
        <v>1</v>
      </c>
      <c r="G11885" s="1" t="s">
        <v>36</v>
      </c>
      <c r="H11885" s="4" t="str">
        <f>HYPERLINK("https://www.ncbi.nlm.nih.gov/geo/query/acc.cgi?acc=GSM2325587","GSM2325587")</f>
        <v>GSM2325587</v>
      </c>
      <c r="I11885" t="s">
        <v>69</v>
      </c>
      <c r="J11885" t="s">
        <v>18</v>
      </c>
      <c r="K11885" t="s">
        <v>33</v>
      </c>
      <c r="L11885" t="s">
        <v>70</v>
      </c>
      <c r="N11885" t="s">
        <v>37</v>
      </c>
    </row>
    <row r="11886" spans="1:14">
      <c r="A11886" s="4" t="str">
        <f t="shared" si="1038"/>
        <v>EXP00386</v>
      </c>
      <c r="B11886" s="3" t="s">
        <v>66</v>
      </c>
      <c r="C11886" s="4" t="str">
        <f t="shared" si="1037"/>
        <v>GSE87211</v>
      </c>
      <c r="D11886" s="1" t="s">
        <v>239</v>
      </c>
      <c r="E11886" t="s">
        <v>96</v>
      </c>
      <c r="F11886" s="1">
        <v>1</v>
      </c>
      <c r="G11886" s="1" t="s">
        <v>36</v>
      </c>
      <c r="H11886" s="4" t="str">
        <f>HYPERLINK("https://www.ncbi.nlm.nih.gov/geo/query/acc.cgi?acc=GSM2325588","GSM2325588")</f>
        <v>GSM2325588</v>
      </c>
      <c r="I11886" t="s">
        <v>69</v>
      </c>
      <c r="J11886" t="s">
        <v>18</v>
      </c>
      <c r="K11886" t="s">
        <v>33</v>
      </c>
      <c r="L11886" t="s">
        <v>70</v>
      </c>
      <c r="N11886" t="s">
        <v>37</v>
      </c>
    </row>
    <row r="11887" spans="1:14">
      <c r="A11887" s="4" t="str">
        <f t="shared" si="1038"/>
        <v>EXP00386</v>
      </c>
      <c r="B11887" s="3" t="s">
        <v>66</v>
      </c>
      <c r="C11887" s="4" t="str">
        <f t="shared" si="1037"/>
        <v>GSE87211</v>
      </c>
      <c r="D11887" s="1" t="s">
        <v>239</v>
      </c>
      <c r="E11887" t="s">
        <v>96</v>
      </c>
      <c r="F11887" s="1">
        <v>1</v>
      </c>
      <c r="G11887" s="1" t="s">
        <v>36</v>
      </c>
      <c r="H11887" s="4" t="str">
        <f>HYPERLINK("https://www.ncbi.nlm.nih.gov/geo/query/acc.cgi?acc=GSM2325589","GSM2325589")</f>
        <v>GSM2325589</v>
      </c>
      <c r="I11887" t="s">
        <v>69</v>
      </c>
      <c r="J11887" t="s">
        <v>18</v>
      </c>
      <c r="K11887" t="s">
        <v>33</v>
      </c>
      <c r="L11887" t="s">
        <v>70</v>
      </c>
      <c r="N11887" t="s">
        <v>37</v>
      </c>
    </row>
    <row r="11888" spans="1:14">
      <c r="A11888" s="4" t="str">
        <f t="shared" si="1038"/>
        <v>EXP00386</v>
      </c>
      <c r="B11888" s="3" t="s">
        <v>66</v>
      </c>
      <c r="C11888" s="4" t="str">
        <f t="shared" si="1037"/>
        <v>GSE87211</v>
      </c>
      <c r="D11888" s="1" t="s">
        <v>239</v>
      </c>
      <c r="E11888" t="s">
        <v>96</v>
      </c>
      <c r="F11888" s="1">
        <v>1</v>
      </c>
      <c r="G11888" s="1" t="s">
        <v>36</v>
      </c>
      <c r="H11888" s="4" t="str">
        <f>HYPERLINK("https://www.ncbi.nlm.nih.gov/geo/query/acc.cgi?acc=GSM2325590","GSM2325590")</f>
        <v>GSM2325590</v>
      </c>
      <c r="I11888" t="s">
        <v>69</v>
      </c>
      <c r="J11888" t="s">
        <v>18</v>
      </c>
      <c r="K11888" t="s">
        <v>33</v>
      </c>
      <c r="L11888" t="s">
        <v>70</v>
      </c>
      <c r="N11888" t="s">
        <v>37</v>
      </c>
    </row>
    <row r="11889" spans="1:14">
      <c r="A11889" s="4" t="str">
        <f t="shared" si="1038"/>
        <v>EXP00386</v>
      </c>
      <c r="B11889" s="3" t="s">
        <v>66</v>
      </c>
      <c r="C11889" s="4" t="str">
        <f t="shared" si="1037"/>
        <v>GSE87211</v>
      </c>
      <c r="D11889" s="1" t="s">
        <v>239</v>
      </c>
      <c r="E11889" t="s">
        <v>96</v>
      </c>
      <c r="F11889" s="1">
        <v>1</v>
      </c>
      <c r="G11889" s="1" t="s">
        <v>36</v>
      </c>
      <c r="H11889" s="4" t="str">
        <f>HYPERLINK("https://www.ncbi.nlm.nih.gov/geo/query/acc.cgi?acc=GSM2325591","GSM2325591")</f>
        <v>GSM2325591</v>
      </c>
      <c r="I11889" t="s">
        <v>69</v>
      </c>
      <c r="J11889" t="s">
        <v>18</v>
      </c>
      <c r="K11889" t="s">
        <v>33</v>
      </c>
      <c r="L11889" t="s">
        <v>70</v>
      </c>
      <c r="N11889" t="s">
        <v>37</v>
      </c>
    </row>
    <row r="11890" spans="1:14">
      <c r="A11890" s="4" t="str">
        <f t="shared" si="1038"/>
        <v>EXP00386</v>
      </c>
      <c r="B11890" s="3" t="s">
        <v>66</v>
      </c>
      <c r="C11890" s="4" t="str">
        <f t="shared" si="1037"/>
        <v>GSE87211</v>
      </c>
      <c r="D11890" s="1" t="s">
        <v>239</v>
      </c>
      <c r="E11890" t="s">
        <v>96</v>
      </c>
      <c r="F11890" s="1">
        <v>1</v>
      </c>
      <c r="G11890" s="1" t="s">
        <v>36</v>
      </c>
      <c r="H11890" s="4" t="str">
        <f>HYPERLINK("https://www.ncbi.nlm.nih.gov/geo/query/acc.cgi?acc=GSM2325592","GSM2325592")</f>
        <v>GSM2325592</v>
      </c>
      <c r="I11890" t="s">
        <v>69</v>
      </c>
      <c r="J11890" t="s">
        <v>18</v>
      </c>
      <c r="K11890" t="s">
        <v>33</v>
      </c>
      <c r="L11890" t="s">
        <v>70</v>
      </c>
      <c r="N11890" t="s">
        <v>37</v>
      </c>
    </row>
    <row r="11891" spans="1:14">
      <c r="A11891" s="4" t="str">
        <f t="shared" si="1038"/>
        <v>EXP00386</v>
      </c>
      <c r="B11891" s="3" t="s">
        <v>66</v>
      </c>
      <c r="C11891" s="4" t="str">
        <f t="shared" si="1037"/>
        <v>GSE87211</v>
      </c>
      <c r="D11891" s="1" t="s">
        <v>239</v>
      </c>
      <c r="E11891" t="s">
        <v>96</v>
      </c>
      <c r="F11891" s="1">
        <v>1</v>
      </c>
      <c r="G11891" s="1" t="s">
        <v>36</v>
      </c>
      <c r="H11891" s="4" t="str">
        <f>HYPERLINK("https://www.ncbi.nlm.nih.gov/geo/query/acc.cgi?acc=GSM2325593","GSM2325593")</f>
        <v>GSM2325593</v>
      </c>
      <c r="I11891" t="s">
        <v>69</v>
      </c>
      <c r="J11891" t="s">
        <v>18</v>
      </c>
      <c r="K11891" t="s">
        <v>33</v>
      </c>
      <c r="L11891" t="s">
        <v>70</v>
      </c>
      <c r="N11891" t="s">
        <v>37</v>
      </c>
    </row>
    <row r="11892" spans="1:14">
      <c r="A11892" s="4" t="str">
        <f t="shared" si="1038"/>
        <v>EXP00386</v>
      </c>
      <c r="B11892" s="3" t="s">
        <v>66</v>
      </c>
      <c r="C11892" s="4" t="str">
        <f t="shared" si="1037"/>
        <v>GSE87211</v>
      </c>
      <c r="D11892" s="1" t="s">
        <v>239</v>
      </c>
      <c r="E11892" t="s">
        <v>96</v>
      </c>
      <c r="F11892" s="1">
        <v>1</v>
      </c>
      <c r="G11892" s="1" t="s">
        <v>36</v>
      </c>
      <c r="H11892" s="4" t="str">
        <f>HYPERLINK("https://www.ncbi.nlm.nih.gov/geo/query/acc.cgi?acc=GSM2325594","GSM2325594")</f>
        <v>GSM2325594</v>
      </c>
      <c r="I11892" t="s">
        <v>69</v>
      </c>
      <c r="J11892" t="s">
        <v>18</v>
      </c>
      <c r="K11892" t="s">
        <v>33</v>
      </c>
      <c r="L11892" t="s">
        <v>70</v>
      </c>
      <c r="N11892" t="s">
        <v>37</v>
      </c>
    </row>
    <row r="11893" spans="1:14">
      <c r="A11893" s="4" t="str">
        <f t="shared" si="1038"/>
        <v>EXP00386</v>
      </c>
      <c r="B11893" s="3" t="s">
        <v>66</v>
      </c>
      <c r="C11893" s="4" t="str">
        <f t="shared" si="1037"/>
        <v>GSE87211</v>
      </c>
      <c r="D11893" s="1" t="s">
        <v>239</v>
      </c>
      <c r="E11893" t="s">
        <v>96</v>
      </c>
      <c r="F11893" s="1">
        <v>1</v>
      </c>
      <c r="G11893" s="1" t="s">
        <v>36</v>
      </c>
      <c r="H11893" s="4" t="str">
        <f>HYPERLINK("https://www.ncbi.nlm.nih.gov/geo/query/acc.cgi?acc=GSM2325595","GSM2325595")</f>
        <v>GSM2325595</v>
      </c>
      <c r="I11893" t="s">
        <v>69</v>
      </c>
      <c r="J11893" t="s">
        <v>18</v>
      </c>
      <c r="K11893" t="s">
        <v>33</v>
      </c>
      <c r="L11893" t="s">
        <v>70</v>
      </c>
      <c r="N11893" t="s">
        <v>37</v>
      </c>
    </row>
    <row r="11894" spans="1:14">
      <c r="A11894" s="4" t="str">
        <f t="shared" si="1038"/>
        <v>EXP00386</v>
      </c>
      <c r="B11894" s="3" t="s">
        <v>66</v>
      </c>
      <c r="C11894" s="4" t="str">
        <f t="shared" si="1037"/>
        <v>GSE87211</v>
      </c>
      <c r="D11894" s="1" t="s">
        <v>239</v>
      </c>
      <c r="E11894" t="s">
        <v>96</v>
      </c>
      <c r="F11894" s="1">
        <v>1</v>
      </c>
      <c r="G11894" s="1" t="s">
        <v>36</v>
      </c>
      <c r="H11894" s="4" t="str">
        <f>HYPERLINK("https://www.ncbi.nlm.nih.gov/geo/query/acc.cgi?acc=GSM2325596","GSM2325596")</f>
        <v>GSM2325596</v>
      </c>
      <c r="I11894" t="s">
        <v>69</v>
      </c>
      <c r="J11894" t="s">
        <v>18</v>
      </c>
      <c r="K11894" t="s">
        <v>33</v>
      </c>
      <c r="L11894" t="s">
        <v>70</v>
      </c>
      <c r="N11894" t="s">
        <v>37</v>
      </c>
    </row>
    <row r="11895" spans="1:14">
      <c r="A11895" s="4" t="str">
        <f t="shared" si="1038"/>
        <v>EXP00386</v>
      </c>
      <c r="B11895" s="3" t="s">
        <v>66</v>
      </c>
      <c r="C11895" s="4" t="str">
        <f t="shared" si="1037"/>
        <v>GSE87211</v>
      </c>
      <c r="D11895" s="1" t="s">
        <v>239</v>
      </c>
      <c r="E11895" t="s">
        <v>96</v>
      </c>
      <c r="F11895" s="1">
        <v>1</v>
      </c>
      <c r="G11895" s="1" t="s">
        <v>36</v>
      </c>
      <c r="H11895" s="4" t="str">
        <f>HYPERLINK("https://www.ncbi.nlm.nih.gov/geo/query/acc.cgi?acc=GSM2325597","GSM2325597")</f>
        <v>GSM2325597</v>
      </c>
      <c r="I11895" t="s">
        <v>69</v>
      </c>
      <c r="J11895" t="s">
        <v>18</v>
      </c>
      <c r="K11895" t="s">
        <v>33</v>
      </c>
      <c r="L11895" t="s">
        <v>70</v>
      </c>
      <c r="N11895" t="s">
        <v>37</v>
      </c>
    </row>
    <row r="11896" spans="1:14">
      <c r="A11896" s="4" t="str">
        <f t="shared" si="1038"/>
        <v>EXP00386</v>
      </c>
      <c r="B11896" s="3" t="s">
        <v>66</v>
      </c>
      <c r="C11896" s="4" t="str">
        <f t="shared" si="1037"/>
        <v>GSE87211</v>
      </c>
      <c r="D11896" s="1" t="s">
        <v>239</v>
      </c>
      <c r="E11896" t="s">
        <v>96</v>
      </c>
      <c r="F11896" s="1">
        <v>1</v>
      </c>
      <c r="G11896" s="1" t="s">
        <v>36</v>
      </c>
      <c r="H11896" s="4" t="str">
        <f>HYPERLINK("https://www.ncbi.nlm.nih.gov/geo/query/acc.cgi?acc=GSM2325598","GSM2325598")</f>
        <v>GSM2325598</v>
      </c>
      <c r="I11896" t="s">
        <v>69</v>
      </c>
      <c r="J11896" t="s">
        <v>18</v>
      </c>
      <c r="K11896" t="s">
        <v>33</v>
      </c>
      <c r="L11896" t="s">
        <v>70</v>
      </c>
      <c r="N11896" t="s">
        <v>37</v>
      </c>
    </row>
    <row r="11897" spans="1:14">
      <c r="A11897" s="4" t="str">
        <f t="shared" si="1038"/>
        <v>EXP00386</v>
      </c>
      <c r="B11897" s="3" t="s">
        <v>66</v>
      </c>
      <c r="C11897" s="4" t="str">
        <f t="shared" si="1037"/>
        <v>GSE87211</v>
      </c>
      <c r="D11897" s="1" t="s">
        <v>239</v>
      </c>
      <c r="E11897" t="s">
        <v>96</v>
      </c>
      <c r="F11897" s="1">
        <v>1</v>
      </c>
      <c r="G11897" s="1" t="s">
        <v>36</v>
      </c>
      <c r="H11897" s="4" t="str">
        <f>HYPERLINK("https://www.ncbi.nlm.nih.gov/geo/query/acc.cgi?acc=GSM2325599","GSM2325599")</f>
        <v>GSM2325599</v>
      </c>
      <c r="I11897" t="s">
        <v>69</v>
      </c>
      <c r="J11897" t="s">
        <v>18</v>
      </c>
      <c r="K11897" t="s">
        <v>33</v>
      </c>
      <c r="L11897" t="s">
        <v>70</v>
      </c>
      <c r="N11897" t="s">
        <v>37</v>
      </c>
    </row>
    <row r="11898" spans="1:14">
      <c r="A11898" s="4" t="str">
        <f t="shared" si="1038"/>
        <v>EXP00386</v>
      </c>
      <c r="B11898" s="3" t="s">
        <v>66</v>
      </c>
      <c r="C11898" s="4" t="str">
        <f t="shared" si="1037"/>
        <v>GSE87211</v>
      </c>
      <c r="D11898" s="1" t="s">
        <v>239</v>
      </c>
      <c r="E11898" t="s">
        <v>96</v>
      </c>
      <c r="F11898" s="1">
        <v>1</v>
      </c>
      <c r="G11898" s="1" t="s">
        <v>36</v>
      </c>
      <c r="H11898" s="4" t="str">
        <f>HYPERLINK("https://www.ncbi.nlm.nih.gov/geo/query/acc.cgi?acc=GSM2325600","GSM2325600")</f>
        <v>GSM2325600</v>
      </c>
      <c r="I11898" t="s">
        <v>69</v>
      </c>
      <c r="J11898" t="s">
        <v>18</v>
      </c>
      <c r="K11898" t="s">
        <v>33</v>
      </c>
      <c r="L11898" t="s">
        <v>70</v>
      </c>
      <c r="N11898" t="s">
        <v>37</v>
      </c>
    </row>
    <row r="11899" spans="1:14">
      <c r="A11899" s="4" t="str">
        <f t="shared" si="1038"/>
        <v>EXP00386</v>
      </c>
      <c r="B11899" s="3" t="s">
        <v>66</v>
      </c>
      <c r="C11899" s="4" t="str">
        <f t="shared" si="1037"/>
        <v>GSE87211</v>
      </c>
      <c r="D11899" s="1" t="s">
        <v>239</v>
      </c>
      <c r="E11899" t="s">
        <v>96</v>
      </c>
      <c r="F11899" s="1">
        <v>2</v>
      </c>
      <c r="G11899" s="1" t="s">
        <v>28</v>
      </c>
      <c r="H11899" s="4" t="str">
        <f>HYPERLINK("https://www.ncbi.nlm.nih.gov/geo/query/acc.cgi?acc=GSM2325239","GSM2325239")</f>
        <v>GSM2325239</v>
      </c>
      <c r="I11899" t="s">
        <v>69</v>
      </c>
      <c r="J11899" t="s">
        <v>18</v>
      </c>
      <c r="K11899" t="s">
        <v>33</v>
      </c>
      <c r="L11899" t="s">
        <v>70</v>
      </c>
      <c r="N11899" t="s">
        <v>29</v>
      </c>
    </row>
    <row r="11900" spans="1:14">
      <c r="A11900" s="4" t="str">
        <f t="shared" si="1038"/>
        <v>EXP00386</v>
      </c>
      <c r="B11900" s="3" t="s">
        <v>66</v>
      </c>
      <c r="C11900" s="4" t="str">
        <f t="shared" si="1037"/>
        <v>GSE87211</v>
      </c>
      <c r="D11900" s="1" t="s">
        <v>239</v>
      </c>
      <c r="E11900" t="s">
        <v>96</v>
      </c>
      <c r="F11900" s="1">
        <v>2</v>
      </c>
      <c r="G11900" s="1" t="s">
        <v>28</v>
      </c>
      <c r="H11900" s="4" t="str">
        <f>HYPERLINK("https://www.ncbi.nlm.nih.gov/geo/query/acc.cgi?acc=GSM2325240","GSM2325240")</f>
        <v>GSM2325240</v>
      </c>
      <c r="I11900" t="s">
        <v>69</v>
      </c>
      <c r="J11900" t="s">
        <v>18</v>
      </c>
      <c r="K11900" t="s">
        <v>33</v>
      </c>
      <c r="L11900" t="s">
        <v>70</v>
      </c>
      <c r="N11900" t="s">
        <v>29</v>
      </c>
    </row>
    <row r="11901" spans="1:14">
      <c r="A11901" s="4" t="str">
        <f t="shared" si="1038"/>
        <v>EXP00386</v>
      </c>
      <c r="B11901" s="3" t="s">
        <v>66</v>
      </c>
      <c r="C11901" s="4" t="str">
        <f t="shared" si="1037"/>
        <v>GSE87211</v>
      </c>
      <c r="D11901" s="1" t="s">
        <v>239</v>
      </c>
      <c r="E11901" t="s">
        <v>96</v>
      </c>
      <c r="F11901" s="1">
        <v>2</v>
      </c>
      <c r="G11901" s="1" t="s">
        <v>28</v>
      </c>
      <c r="H11901" s="4" t="str">
        <f>HYPERLINK("https://www.ncbi.nlm.nih.gov/geo/query/acc.cgi?acc=GSM2325241","GSM2325241")</f>
        <v>GSM2325241</v>
      </c>
      <c r="I11901" t="s">
        <v>69</v>
      </c>
      <c r="J11901" t="s">
        <v>18</v>
      </c>
      <c r="K11901" t="s">
        <v>33</v>
      </c>
      <c r="L11901" t="s">
        <v>70</v>
      </c>
      <c r="N11901" t="s">
        <v>29</v>
      </c>
    </row>
    <row r="11902" spans="1:14">
      <c r="A11902" s="4" t="str">
        <f t="shared" si="1038"/>
        <v>EXP00386</v>
      </c>
      <c r="B11902" s="3" t="s">
        <v>66</v>
      </c>
      <c r="C11902" s="4" t="str">
        <f t="shared" si="1037"/>
        <v>GSE87211</v>
      </c>
      <c r="D11902" s="1" t="s">
        <v>239</v>
      </c>
      <c r="E11902" t="s">
        <v>96</v>
      </c>
      <c r="F11902" s="1">
        <v>2</v>
      </c>
      <c r="G11902" s="1" t="s">
        <v>28</v>
      </c>
      <c r="H11902" s="4" t="str">
        <f>HYPERLINK("https://www.ncbi.nlm.nih.gov/geo/query/acc.cgi?acc=GSM2325242","GSM2325242")</f>
        <v>GSM2325242</v>
      </c>
      <c r="I11902" t="s">
        <v>69</v>
      </c>
      <c r="J11902" t="s">
        <v>18</v>
      </c>
      <c r="K11902" t="s">
        <v>33</v>
      </c>
      <c r="L11902" t="s">
        <v>70</v>
      </c>
      <c r="N11902" t="s">
        <v>29</v>
      </c>
    </row>
    <row r="11903" spans="1:14">
      <c r="A11903" s="4" t="str">
        <f t="shared" si="1038"/>
        <v>EXP00386</v>
      </c>
      <c r="B11903" s="3" t="s">
        <v>66</v>
      </c>
      <c r="C11903" s="4" t="str">
        <f t="shared" si="1037"/>
        <v>GSE87211</v>
      </c>
      <c r="D11903" s="1" t="s">
        <v>239</v>
      </c>
      <c r="E11903" t="s">
        <v>96</v>
      </c>
      <c r="F11903" s="1">
        <v>2</v>
      </c>
      <c r="G11903" s="1" t="s">
        <v>28</v>
      </c>
      <c r="H11903" s="4" t="str">
        <f>HYPERLINK("https://www.ncbi.nlm.nih.gov/geo/query/acc.cgi?acc=GSM2325243","GSM2325243")</f>
        <v>GSM2325243</v>
      </c>
      <c r="I11903" t="s">
        <v>69</v>
      </c>
      <c r="J11903" t="s">
        <v>18</v>
      </c>
      <c r="K11903" t="s">
        <v>33</v>
      </c>
      <c r="L11903" t="s">
        <v>70</v>
      </c>
      <c r="N11903" t="s">
        <v>29</v>
      </c>
    </row>
    <row r="11904" spans="1:14">
      <c r="A11904" s="4" t="str">
        <f t="shared" si="1038"/>
        <v>EXP00386</v>
      </c>
      <c r="B11904" s="3" t="s">
        <v>66</v>
      </c>
      <c r="C11904" s="4" t="str">
        <f t="shared" si="1037"/>
        <v>GSE87211</v>
      </c>
      <c r="D11904" s="1" t="s">
        <v>239</v>
      </c>
      <c r="E11904" t="s">
        <v>96</v>
      </c>
      <c r="F11904" s="1">
        <v>2</v>
      </c>
      <c r="G11904" s="1" t="s">
        <v>28</v>
      </c>
      <c r="H11904" s="4" t="str">
        <f>HYPERLINK("https://www.ncbi.nlm.nih.gov/geo/query/acc.cgi?acc=GSM2325244","GSM2325244")</f>
        <v>GSM2325244</v>
      </c>
      <c r="I11904" t="s">
        <v>69</v>
      </c>
      <c r="J11904" t="s">
        <v>18</v>
      </c>
      <c r="K11904" t="s">
        <v>33</v>
      </c>
      <c r="L11904" t="s">
        <v>70</v>
      </c>
      <c r="N11904" t="s">
        <v>29</v>
      </c>
    </row>
    <row r="11905" spans="1:14">
      <c r="A11905" s="4" t="str">
        <f t="shared" si="1038"/>
        <v>EXP00386</v>
      </c>
      <c r="B11905" s="3" t="s">
        <v>66</v>
      </c>
      <c r="C11905" s="4" t="str">
        <f t="shared" si="1037"/>
        <v>GSE87211</v>
      </c>
      <c r="D11905" s="1" t="s">
        <v>239</v>
      </c>
      <c r="E11905" t="s">
        <v>96</v>
      </c>
      <c r="F11905" s="1">
        <v>2</v>
      </c>
      <c r="G11905" s="1" t="s">
        <v>28</v>
      </c>
      <c r="H11905" s="4" t="str">
        <f>HYPERLINK("https://www.ncbi.nlm.nih.gov/geo/query/acc.cgi?acc=GSM2325245","GSM2325245")</f>
        <v>GSM2325245</v>
      </c>
      <c r="I11905" t="s">
        <v>69</v>
      </c>
      <c r="J11905" t="s">
        <v>18</v>
      </c>
      <c r="K11905" t="s">
        <v>33</v>
      </c>
      <c r="L11905" t="s">
        <v>70</v>
      </c>
      <c r="N11905" t="s">
        <v>29</v>
      </c>
    </row>
    <row r="11906" spans="1:14">
      <c r="A11906" s="4" t="str">
        <f t="shared" si="1038"/>
        <v>EXP00386</v>
      </c>
      <c r="B11906" s="3" t="s">
        <v>66</v>
      </c>
      <c r="C11906" s="4" t="str">
        <f t="shared" ref="C11906:C11969" si="1039">HYPERLINK("https://www.ncbi.nlm.nih.gov/geo/query/acc.cgi?acc=GSE87211","GSE87211")</f>
        <v>GSE87211</v>
      </c>
      <c r="D11906" s="1" t="s">
        <v>239</v>
      </c>
      <c r="E11906" t="s">
        <v>96</v>
      </c>
      <c r="F11906" s="1">
        <v>2</v>
      </c>
      <c r="G11906" s="1" t="s">
        <v>28</v>
      </c>
      <c r="H11906" s="4" t="str">
        <f>HYPERLINK("https://www.ncbi.nlm.nih.gov/geo/query/acc.cgi?acc=GSM2325246","GSM2325246")</f>
        <v>GSM2325246</v>
      </c>
      <c r="I11906" t="s">
        <v>69</v>
      </c>
      <c r="J11906" t="s">
        <v>18</v>
      </c>
      <c r="K11906" t="s">
        <v>33</v>
      </c>
      <c r="L11906" t="s">
        <v>70</v>
      </c>
      <c r="N11906" t="s">
        <v>29</v>
      </c>
    </row>
    <row r="11907" spans="1:14">
      <c r="A11907" s="4" t="str">
        <f t="shared" si="1038"/>
        <v>EXP00386</v>
      </c>
      <c r="B11907" s="3" t="s">
        <v>66</v>
      </c>
      <c r="C11907" s="4" t="str">
        <f t="shared" si="1039"/>
        <v>GSE87211</v>
      </c>
      <c r="D11907" s="1" t="s">
        <v>239</v>
      </c>
      <c r="E11907" t="s">
        <v>96</v>
      </c>
      <c r="F11907" s="1">
        <v>2</v>
      </c>
      <c r="G11907" s="1" t="s">
        <v>28</v>
      </c>
      <c r="H11907" s="4" t="str">
        <f>HYPERLINK("https://www.ncbi.nlm.nih.gov/geo/query/acc.cgi?acc=GSM2325247","GSM2325247")</f>
        <v>GSM2325247</v>
      </c>
      <c r="I11907" t="s">
        <v>69</v>
      </c>
      <c r="J11907" t="s">
        <v>18</v>
      </c>
      <c r="K11907" t="s">
        <v>33</v>
      </c>
      <c r="L11907" t="s">
        <v>70</v>
      </c>
      <c r="N11907" t="s">
        <v>29</v>
      </c>
    </row>
    <row r="11908" spans="1:14">
      <c r="A11908" s="4" t="str">
        <f t="shared" si="1038"/>
        <v>EXP00386</v>
      </c>
      <c r="B11908" s="3" t="s">
        <v>66</v>
      </c>
      <c r="C11908" s="4" t="str">
        <f t="shared" si="1039"/>
        <v>GSE87211</v>
      </c>
      <c r="D11908" s="1" t="s">
        <v>239</v>
      </c>
      <c r="E11908" t="s">
        <v>96</v>
      </c>
      <c r="F11908" s="1">
        <v>2</v>
      </c>
      <c r="G11908" s="1" t="s">
        <v>28</v>
      </c>
      <c r="H11908" s="4" t="str">
        <f>HYPERLINK("https://www.ncbi.nlm.nih.gov/geo/query/acc.cgi?acc=GSM2325249","GSM2325249")</f>
        <v>GSM2325249</v>
      </c>
      <c r="I11908" t="s">
        <v>69</v>
      </c>
      <c r="J11908" t="s">
        <v>18</v>
      </c>
      <c r="K11908" t="s">
        <v>33</v>
      </c>
      <c r="L11908" t="s">
        <v>70</v>
      </c>
      <c r="N11908" t="s">
        <v>29</v>
      </c>
    </row>
    <row r="11909" spans="1:14">
      <c r="A11909" s="4" t="str">
        <f t="shared" si="1038"/>
        <v>EXP00386</v>
      </c>
      <c r="B11909" s="3" t="s">
        <v>66</v>
      </c>
      <c r="C11909" s="4" t="str">
        <f t="shared" si="1039"/>
        <v>GSE87211</v>
      </c>
      <c r="D11909" s="1" t="s">
        <v>239</v>
      </c>
      <c r="E11909" t="s">
        <v>96</v>
      </c>
      <c r="F11909" s="1">
        <v>2</v>
      </c>
      <c r="G11909" s="1" t="s">
        <v>28</v>
      </c>
      <c r="H11909" s="4" t="str">
        <f>HYPERLINK("https://www.ncbi.nlm.nih.gov/geo/query/acc.cgi?acc=GSM2325250","GSM2325250")</f>
        <v>GSM2325250</v>
      </c>
      <c r="I11909" t="s">
        <v>69</v>
      </c>
      <c r="J11909" t="s">
        <v>18</v>
      </c>
      <c r="K11909" t="s">
        <v>33</v>
      </c>
      <c r="L11909" t="s">
        <v>70</v>
      </c>
      <c r="N11909" t="s">
        <v>29</v>
      </c>
    </row>
    <row r="11910" spans="1:14">
      <c r="A11910" s="4" t="str">
        <f t="shared" si="1038"/>
        <v>EXP00386</v>
      </c>
      <c r="B11910" s="3" t="s">
        <v>66</v>
      </c>
      <c r="C11910" s="4" t="str">
        <f t="shared" si="1039"/>
        <v>GSE87211</v>
      </c>
      <c r="D11910" s="1" t="s">
        <v>239</v>
      </c>
      <c r="E11910" t="s">
        <v>96</v>
      </c>
      <c r="F11910" s="1">
        <v>2</v>
      </c>
      <c r="G11910" s="1" t="s">
        <v>28</v>
      </c>
      <c r="H11910" s="4" t="str">
        <f>HYPERLINK("https://www.ncbi.nlm.nih.gov/geo/query/acc.cgi?acc=GSM2325252","GSM2325252")</f>
        <v>GSM2325252</v>
      </c>
      <c r="I11910" t="s">
        <v>69</v>
      </c>
      <c r="J11910" t="s">
        <v>18</v>
      </c>
      <c r="K11910" t="s">
        <v>33</v>
      </c>
      <c r="L11910" t="s">
        <v>70</v>
      </c>
      <c r="N11910" t="s">
        <v>29</v>
      </c>
    </row>
    <row r="11911" spans="1:14">
      <c r="A11911" s="4" t="str">
        <f t="shared" si="1038"/>
        <v>EXP00386</v>
      </c>
      <c r="B11911" s="3" t="s">
        <v>66</v>
      </c>
      <c r="C11911" s="4" t="str">
        <f t="shared" si="1039"/>
        <v>GSE87211</v>
      </c>
      <c r="D11911" s="1" t="s">
        <v>239</v>
      </c>
      <c r="E11911" t="s">
        <v>96</v>
      </c>
      <c r="F11911" s="1">
        <v>2</v>
      </c>
      <c r="G11911" s="1" t="s">
        <v>28</v>
      </c>
      <c r="H11911" s="4" t="str">
        <f>HYPERLINK("https://www.ncbi.nlm.nih.gov/geo/query/acc.cgi?acc=GSM2325253","GSM2325253")</f>
        <v>GSM2325253</v>
      </c>
      <c r="I11911" t="s">
        <v>69</v>
      </c>
      <c r="J11911" t="s">
        <v>18</v>
      </c>
      <c r="K11911" t="s">
        <v>33</v>
      </c>
      <c r="L11911" t="s">
        <v>70</v>
      </c>
      <c r="N11911" t="s">
        <v>29</v>
      </c>
    </row>
    <row r="11912" spans="1:14">
      <c r="A11912" s="4" t="str">
        <f t="shared" si="1038"/>
        <v>EXP00386</v>
      </c>
      <c r="B11912" s="3" t="s">
        <v>66</v>
      </c>
      <c r="C11912" s="4" t="str">
        <f t="shared" si="1039"/>
        <v>GSE87211</v>
      </c>
      <c r="D11912" s="1" t="s">
        <v>239</v>
      </c>
      <c r="E11912" t="s">
        <v>96</v>
      </c>
      <c r="F11912" s="1">
        <v>2</v>
      </c>
      <c r="G11912" s="1" t="s">
        <v>28</v>
      </c>
      <c r="H11912" s="4" t="str">
        <f>HYPERLINK("https://www.ncbi.nlm.nih.gov/geo/query/acc.cgi?acc=GSM2325256","GSM2325256")</f>
        <v>GSM2325256</v>
      </c>
      <c r="I11912" t="s">
        <v>69</v>
      </c>
      <c r="J11912" t="s">
        <v>18</v>
      </c>
      <c r="K11912" t="s">
        <v>33</v>
      </c>
      <c r="L11912" t="s">
        <v>70</v>
      </c>
      <c r="N11912" t="s">
        <v>29</v>
      </c>
    </row>
    <row r="11913" spans="1:14">
      <c r="A11913" s="4" t="str">
        <f t="shared" si="1038"/>
        <v>EXP00386</v>
      </c>
      <c r="B11913" s="3" t="s">
        <v>66</v>
      </c>
      <c r="C11913" s="4" t="str">
        <f t="shared" si="1039"/>
        <v>GSE87211</v>
      </c>
      <c r="D11913" s="1" t="s">
        <v>239</v>
      </c>
      <c r="E11913" t="s">
        <v>96</v>
      </c>
      <c r="F11913" s="1">
        <v>2</v>
      </c>
      <c r="G11913" s="1" t="s">
        <v>28</v>
      </c>
      <c r="H11913" s="4" t="str">
        <f>HYPERLINK("https://www.ncbi.nlm.nih.gov/geo/query/acc.cgi?acc=GSM2325257","GSM2325257")</f>
        <v>GSM2325257</v>
      </c>
      <c r="I11913" t="s">
        <v>69</v>
      </c>
      <c r="J11913" t="s">
        <v>18</v>
      </c>
      <c r="K11913" t="s">
        <v>33</v>
      </c>
      <c r="L11913" t="s">
        <v>70</v>
      </c>
      <c r="N11913" t="s">
        <v>29</v>
      </c>
    </row>
    <row r="11914" spans="1:14">
      <c r="A11914" s="4" t="str">
        <f t="shared" si="1038"/>
        <v>EXP00386</v>
      </c>
      <c r="B11914" s="3" t="s">
        <v>66</v>
      </c>
      <c r="C11914" s="4" t="str">
        <f t="shared" si="1039"/>
        <v>GSE87211</v>
      </c>
      <c r="D11914" s="1" t="s">
        <v>239</v>
      </c>
      <c r="E11914" t="s">
        <v>96</v>
      </c>
      <c r="F11914" s="1">
        <v>2</v>
      </c>
      <c r="G11914" s="1" t="s">
        <v>28</v>
      </c>
      <c r="H11914" s="4" t="str">
        <f>HYPERLINK("https://www.ncbi.nlm.nih.gov/geo/query/acc.cgi?acc=GSM2325259","GSM2325259")</f>
        <v>GSM2325259</v>
      </c>
      <c r="I11914" t="s">
        <v>69</v>
      </c>
      <c r="J11914" t="s">
        <v>18</v>
      </c>
      <c r="K11914" t="s">
        <v>33</v>
      </c>
      <c r="L11914" t="s">
        <v>70</v>
      </c>
      <c r="N11914" t="s">
        <v>29</v>
      </c>
    </row>
    <row r="11915" spans="1:14">
      <c r="A11915" s="4" t="str">
        <f t="shared" si="1038"/>
        <v>EXP00386</v>
      </c>
      <c r="B11915" s="3" t="s">
        <v>66</v>
      </c>
      <c r="C11915" s="4" t="str">
        <f t="shared" si="1039"/>
        <v>GSE87211</v>
      </c>
      <c r="D11915" s="1" t="s">
        <v>239</v>
      </c>
      <c r="E11915" t="s">
        <v>96</v>
      </c>
      <c r="F11915" s="1">
        <v>2</v>
      </c>
      <c r="G11915" s="1" t="s">
        <v>28</v>
      </c>
      <c r="H11915" s="4" t="str">
        <f>HYPERLINK("https://www.ncbi.nlm.nih.gov/geo/query/acc.cgi?acc=GSM2325260","GSM2325260")</f>
        <v>GSM2325260</v>
      </c>
      <c r="I11915" t="s">
        <v>69</v>
      </c>
      <c r="J11915" t="s">
        <v>18</v>
      </c>
      <c r="K11915" t="s">
        <v>33</v>
      </c>
      <c r="L11915" t="s">
        <v>70</v>
      </c>
      <c r="N11915" t="s">
        <v>29</v>
      </c>
    </row>
    <row r="11916" spans="1:14">
      <c r="A11916" s="4" t="str">
        <f t="shared" si="1038"/>
        <v>EXP00386</v>
      </c>
      <c r="B11916" s="3" t="s">
        <v>66</v>
      </c>
      <c r="C11916" s="4" t="str">
        <f t="shared" si="1039"/>
        <v>GSE87211</v>
      </c>
      <c r="D11916" s="1" t="s">
        <v>239</v>
      </c>
      <c r="E11916" t="s">
        <v>96</v>
      </c>
      <c r="F11916" s="1">
        <v>2</v>
      </c>
      <c r="G11916" s="1" t="s">
        <v>28</v>
      </c>
      <c r="H11916" s="4" t="str">
        <f>HYPERLINK("https://www.ncbi.nlm.nih.gov/geo/query/acc.cgi?acc=GSM2325261","GSM2325261")</f>
        <v>GSM2325261</v>
      </c>
      <c r="I11916" t="s">
        <v>69</v>
      </c>
      <c r="J11916" t="s">
        <v>18</v>
      </c>
      <c r="K11916" t="s">
        <v>33</v>
      </c>
      <c r="L11916" t="s">
        <v>70</v>
      </c>
      <c r="N11916" t="s">
        <v>29</v>
      </c>
    </row>
    <row r="11917" spans="1:14">
      <c r="A11917" s="4" t="str">
        <f t="shared" si="1038"/>
        <v>EXP00386</v>
      </c>
      <c r="B11917" s="3" t="s">
        <v>66</v>
      </c>
      <c r="C11917" s="4" t="str">
        <f t="shared" si="1039"/>
        <v>GSE87211</v>
      </c>
      <c r="D11917" s="1" t="s">
        <v>239</v>
      </c>
      <c r="E11917" t="s">
        <v>96</v>
      </c>
      <c r="F11917" s="1">
        <v>2</v>
      </c>
      <c r="G11917" s="1" t="s">
        <v>28</v>
      </c>
      <c r="H11917" s="4" t="str">
        <f>HYPERLINK("https://www.ncbi.nlm.nih.gov/geo/query/acc.cgi?acc=GSM2325262","GSM2325262")</f>
        <v>GSM2325262</v>
      </c>
      <c r="I11917" t="s">
        <v>69</v>
      </c>
      <c r="J11917" t="s">
        <v>18</v>
      </c>
      <c r="K11917" t="s">
        <v>33</v>
      </c>
      <c r="L11917" t="s">
        <v>70</v>
      </c>
      <c r="N11917" t="s">
        <v>29</v>
      </c>
    </row>
    <row r="11918" spans="1:14">
      <c r="A11918" s="4" t="str">
        <f t="shared" si="1038"/>
        <v>EXP00386</v>
      </c>
      <c r="B11918" s="3" t="s">
        <v>66</v>
      </c>
      <c r="C11918" s="4" t="str">
        <f t="shared" si="1039"/>
        <v>GSE87211</v>
      </c>
      <c r="D11918" s="1" t="s">
        <v>239</v>
      </c>
      <c r="E11918" t="s">
        <v>96</v>
      </c>
      <c r="F11918" s="1">
        <v>2</v>
      </c>
      <c r="G11918" s="1" t="s">
        <v>28</v>
      </c>
      <c r="H11918" s="4" t="str">
        <f>HYPERLINK("https://www.ncbi.nlm.nih.gov/geo/query/acc.cgi?acc=GSM2325263","GSM2325263")</f>
        <v>GSM2325263</v>
      </c>
      <c r="I11918" t="s">
        <v>69</v>
      </c>
      <c r="J11918" t="s">
        <v>18</v>
      </c>
      <c r="K11918" t="s">
        <v>33</v>
      </c>
      <c r="L11918" t="s">
        <v>70</v>
      </c>
      <c r="N11918" t="s">
        <v>29</v>
      </c>
    </row>
    <row r="11919" spans="1:14">
      <c r="A11919" s="4" t="str">
        <f t="shared" si="1038"/>
        <v>EXP00386</v>
      </c>
      <c r="B11919" s="3" t="s">
        <v>66</v>
      </c>
      <c r="C11919" s="4" t="str">
        <f t="shared" si="1039"/>
        <v>GSE87211</v>
      </c>
      <c r="D11919" s="1" t="s">
        <v>239</v>
      </c>
      <c r="E11919" t="s">
        <v>96</v>
      </c>
      <c r="F11919" s="1">
        <v>2</v>
      </c>
      <c r="G11919" s="1" t="s">
        <v>28</v>
      </c>
      <c r="H11919" s="4" t="str">
        <f>HYPERLINK("https://www.ncbi.nlm.nih.gov/geo/query/acc.cgi?acc=GSM2325264","GSM2325264")</f>
        <v>GSM2325264</v>
      </c>
      <c r="I11919" t="s">
        <v>69</v>
      </c>
      <c r="J11919" t="s">
        <v>18</v>
      </c>
      <c r="K11919" t="s">
        <v>33</v>
      </c>
      <c r="L11919" t="s">
        <v>70</v>
      </c>
      <c r="N11919" t="s">
        <v>29</v>
      </c>
    </row>
    <row r="11920" spans="1:14">
      <c r="A11920" s="4" t="str">
        <f t="shared" si="1038"/>
        <v>EXP00386</v>
      </c>
      <c r="B11920" s="3" t="s">
        <v>66</v>
      </c>
      <c r="C11920" s="4" t="str">
        <f t="shared" si="1039"/>
        <v>GSE87211</v>
      </c>
      <c r="D11920" s="1" t="s">
        <v>239</v>
      </c>
      <c r="E11920" t="s">
        <v>96</v>
      </c>
      <c r="F11920" s="1">
        <v>2</v>
      </c>
      <c r="G11920" s="1" t="s">
        <v>28</v>
      </c>
      <c r="H11920" s="4" t="str">
        <f>HYPERLINK("https://www.ncbi.nlm.nih.gov/geo/query/acc.cgi?acc=GSM2325265","GSM2325265")</f>
        <v>GSM2325265</v>
      </c>
      <c r="I11920" t="s">
        <v>69</v>
      </c>
      <c r="J11920" t="s">
        <v>18</v>
      </c>
      <c r="K11920" t="s">
        <v>33</v>
      </c>
      <c r="L11920" t="s">
        <v>70</v>
      </c>
      <c r="N11920" t="s">
        <v>29</v>
      </c>
    </row>
    <row r="11921" spans="1:14">
      <c r="A11921" s="4" t="str">
        <f t="shared" si="1038"/>
        <v>EXP00386</v>
      </c>
      <c r="B11921" s="3" t="s">
        <v>66</v>
      </c>
      <c r="C11921" s="4" t="str">
        <f t="shared" si="1039"/>
        <v>GSE87211</v>
      </c>
      <c r="D11921" s="1" t="s">
        <v>239</v>
      </c>
      <c r="E11921" t="s">
        <v>96</v>
      </c>
      <c r="F11921" s="1">
        <v>2</v>
      </c>
      <c r="G11921" s="1" t="s">
        <v>28</v>
      </c>
      <c r="H11921" s="4" t="str">
        <f>HYPERLINK("https://www.ncbi.nlm.nih.gov/geo/query/acc.cgi?acc=GSM2325268","GSM2325268")</f>
        <v>GSM2325268</v>
      </c>
      <c r="I11921" t="s">
        <v>69</v>
      </c>
      <c r="J11921" t="s">
        <v>18</v>
      </c>
      <c r="K11921" t="s">
        <v>33</v>
      </c>
      <c r="L11921" t="s">
        <v>70</v>
      </c>
      <c r="N11921" t="s">
        <v>29</v>
      </c>
    </row>
    <row r="11922" spans="1:14">
      <c r="A11922" s="4" t="str">
        <f t="shared" si="1038"/>
        <v>EXP00386</v>
      </c>
      <c r="B11922" s="3" t="s">
        <v>66</v>
      </c>
      <c r="C11922" s="4" t="str">
        <f t="shared" si="1039"/>
        <v>GSE87211</v>
      </c>
      <c r="D11922" s="1" t="s">
        <v>239</v>
      </c>
      <c r="E11922" t="s">
        <v>96</v>
      </c>
      <c r="F11922" s="1">
        <v>2</v>
      </c>
      <c r="G11922" s="1" t="s">
        <v>28</v>
      </c>
      <c r="H11922" s="4" t="str">
        <f>HYPERLINK("https://www.ncbi.nlm.nih.gov/geo/query/acc.cgi?acc=GSM2325269","GSM2325269")</f>
        <v>GSM2325269</v>
      </c>
      <c r="I11922" t="s">
        <v>69</v>
      </c>
      <c r="J11922" t="s">
        <v>18</v>
      </c>
      <c r="K11922" t="s">
        <v>33</v>
      </c>
      <c r="L11922" t="s">
        <v>70</v>
      </c>
      <c r="N11922" t="s">
        <v>29</v>
      </c>
    </row>
    <row r="11923" spans="1:14">
      <c r="A11923" s="4" t="str">
        <f t="shared" si="1038"/>
        <v>EXP00386</v>
      </c>
      <c r="B11923" s="3" t="s">
        <v>66</v>
      </c>
      <c r="C11923" s="4" t="str">
        <f t="shared" si="1039"/>
        <v>GSE87211</v>
      </c>
      <c r="D11923" s="1" t="s">
        <v>239</v>
      </c>
      <c r="E11923" t="s">
        <v>96</v>
      </c>
      <c r="F11923" s="1">
        <v>2</v>
      </c>
      <c r="G11923" s="1" t="s">
        <v>28</v>
      </c>
      <c r="H11923" s="4" t="str">
        <f>HYPERLINK("https://www.ncbi.nlm.nih.gov/geo/query/acc.cgi?acc=GSM2325270","GSM2325270")</f>
        <v>GSM2325270</v>
      </c>
      <c r="I11923" t="s">
        <v>69</v>
      </c>
      <c r="J11923" t="s">
        <v>18</v>
      </c>
      <c r="K11923" t="s">
        <v>33</v>
      </c>
      <c r="L11923" t="s">
        <v>70</v>
      </c>
      <c r="N11923" t="s">
        <v>29</v>
      </c>
    </row>
    <row r="11924" spans="1:14">
      <c r="A11924" s="4" t="str">
        <f t="shared" si="1038"/>
        <v>EXP00386</v>
      </c>
      <c r="B11924" s="3" t="s">
        <v>66</v>
      </c>
      <c r="C11924" s="4" t="str">
        <f t="shared" si="1039"/>
        <v>GSE87211</v>
      </c>
      <c r="D11924" s="1" t="s">
        <v>239</v>
      </c>
      <c r="E11924" t="s">
        <v>96</v>
      </c>
      <c r="F11924" s="1">
        <v>2</v>
      </c>
      <c r="G11924" s="1" t="s">
        <v>28</v>
      </c>
      <c r="H11924" s="4" t="str">
        <f>HYPERLINK("https://www.ncbi.nlm.nih.gov/geo/query/acc.cgi?acc=GSM2325271","GSM2325271")</f>
        <v>GSM2325271</v>
      </c>
      <c r="I11924" t="s">
        <v>69</v>
      </c>
      <c r="J11924" t="s">
        <v>18</v>
      </c>
      <c r="K11924" t="s">
        <v>33</v>
      </c>
      <c r="L11924" t="s">
        <v>70</v>
      </c>
      <c r="N11924" t="s">
        <v>29</v>
      </c>
    </row>
    <row r="11925" spans="1:14">
      <c r="A11925" s="4" t="str">
        <f t="shared" si="1038"/>
        <v>EXP00386</v>
      </c>
      <c r="B11925" s="3" t="s">
        <v>66</v>
      </c>
      <c r="C11925" s="4" t="str">
        <f t="shared" si="1039"/>
        <v>GSE87211</v>
      </c>
      <c r="D11925" s="1" t="s">
        <v>239</v>
      </c>
      <c r="E11925" t="s">
        <v>96</v>
      </c>
      <c r="F11925" s="1">
        <v>2</v>
      </c>
      <c r="G11925" s="1" t="s">
        <v>28</v>
      </c>
      <c r="H11925" s="4" t="str">
        <f>HYPERLINK("https://www.ncbi.nlm.nih.gov/geo/query/acc.cgi?acc=GSM2325272","GSM2325272")</f>
        <v>GSM2325272</v>
      </c>
      <c r="I11925" t="s">
        <v>69</v>
      </c>
      <c r="J11925" t="s">
        <v>18</v>
      </c>
      <c r="K11925" t="s">
        <v>33</v>
      </c>
      <c r="L11925" t="s">
        <v>70</v>
      </c>
      <c r="N11925" t="s">
        <v>29</v>
      </c>
    </row>
    <row r="11926" spans="1:14">
      <c r="A11926" s="4" t="str">
        <f t="shared" si="1038"/>
        <v>EXP00386</v>
      </c>
      <c r="B11926" s="3" t="s">
        <v>66</v>
      </c>
      <c r="C11926" s="4" t="str">
        <f t="shared" si="1039"/>
        <v>GSE87211</v>
      </c>
      <c r="D11926" s="1" t="s">
        <v>239</v>
      </c>
      <c r="E11926" t="s">
        <v>96</v>
      </c>
      <c r="F11926" s="1">
        <v>2</v>
      </c>
      <c r="G11926" s="1" t="s">
        <v>28</v>
      </c>
      <c r="H11926" s="4" t="str">
        <f>HYPERLINK("https://www.ncbi.nlm.nih.gov/geo/query/acc.cgi?acc=GSM2325273","GSM2325273")</f>
        <v>GSM2325273</v>
      </c>
      <c r="I11926" t="s">
        <v>69</v>
      </c>
      <c r="J11926" t="s">
        <v>18</v>
      </c>
      <c r="K11926" t="s">
        <v>33</v>
      </c>
      <c r="L11926" t="s">
        <v>70</v>
      </c>
      <c r="N11926" t="s">
        <v>29</v>
      </c>
    </row>
    <row r="11927" spans="1:14">
      <c r="A11927" s="4" t="str">
        <f t="shared" si="1038"/>
        <v>EXP00386</v>
      </c>
      <c r="B11927" s="3" t="s">
        <v>66</v>
      </c>
      <c r="C11927" s="4" t="str">
        <f t="shared" si="1039"/>
        <v>GSE87211</v>
      </c>
      <c r="D11927" s="1" t="s">
        <v>239</v>
      </c>
      <c r="E11927" t="s">
        <v>96</v>
      </c>
      <c r="F11927" s="1">
        <v>2</v>
      </c>
      <c r="G11927" s="1" t="s">
        <v>28</v>
      </c>
      <c r="H11927" s="4" t="str">
        <f>HYPERLINK("https://www.ncbi.nlm.nih.gov/geo/query/acc.cgi?acc=GSM2325274","GSM2325274")</f>
        <v>GSM2325274</v>
      </c>
      <c r="I11927" t="s">
        <v>69</v>
      </c>
      <c r="J11927" t="s">
        <v>18</v>
      </c>
      <c r="K11927" t="s">
        <v>33</v>
      </c>
      <c r="L11927" t="s">
        <v>70</v>
      </c>
      <c r="N11927" t="s">
        <v>29</v>
      </c>
    </row>
    <row r="11928" spans="1:14">
      <c r="A11928" s="4" t="str">
        <f t="shared" si="1038"/>
        <v>EXP00386</v>
      </c>
      <c r="B11928" s="3" t="s">
        <v>66</v>
      </c>
      <c r="C11928" s="4" t="str">
        <f t="shared" si="1039"/>
        <v>GSE87211</v>
      </c>
      <c r="D11928" s="1" t="s">
        <v>239</v>
      </c>
      <c r="E11928" t="s">
        <v>96</v>
      </c>
      <c r="F11928" s="1">
        <v>2</v>
      </c>
      <c r="G11928" s="1" t="s">
        <v>28</v>
      </c>
      <c r="H11928" s="4" t="str">
        <f>HYPERLINK("https://www.ncbi.nlm.nih.gov/geo/query/acc.cgi?acc=GSM2325275","GSM2325275")</f>
        <v>GSM2325275</v>
      </c>
      <c r="I11928" t="s">
        <v>69</v>
      </c>
      <c r="J11928" t="s">
        <v>18</v>
      </c>
      <c r="K11928" t="s">
        <v>33</v>
      </c>
      <c r="L11928" t="s">
        <v>70</v>
      </c>
      <c r="N11928" t="s">
        <v>29</v>
      </c>
    </row>
    <row r="11929" spans="1:14">
      <c r="A11929" s="4" t="str">
        <f t="shared" si="1038"/>
        <v>EXP00386</v>
      </c>
      <c r="B11929" s="3" t="s">
        <v>66</v>
      </c>
      <c r="C11929" s="4" t="str">
        <f t="shared" si="1039"/>
        <v>GSE87211</v>
      </c>
      <c r="D11929" s="1" t="s">
        <v>239</v>
      </c>
      <c r="E11929" t="s">
        <v>96</v>
      </c>
      <c r="F11929" s="1">
        <v>2</v>
      </c>
      <c r="G11929" s="1" t="s">
        <v>28</v>
      </c>
      <c r="H11929" s="4" t="str">
        <f>HYPERLINK("https://www.ncbi.nlm.nih.gov/geo/query/acc.cgi?acc=GSM2325276","GSM2325276")</f>
        <v>GSM2325276</v>
      </c>
      <c r="I11929" t="s">
        <v>69</v>
      </c>
      <c r="J11929" t="s">
        <v>18</v>
      </c>
      <c r="K11929" t="s">
        <v>33</v>
      </c>
      <c r="L11929" t="s">
        <v>70</v>
      </c>
      <c r="N11929" t="s">
        <v>29</v>
      </c>
    </row>
    <row r="11930" spans="1:14">
      <c r="A11930" s="4" t="str">
        <f t="shared" si="1038"/>
        <v>EXP00386</v>
      </c>
      <c r="B11930" s="3" t="s">
        <v>66</v>
      </c>
      <c r="C11930" s="4" t="str">
        <f t="shared" si="1039"/>
        <v>GSE87211</v>
      </c>
      <c r="D11930" s="1" t="s">
        <v>239</v>
      </c>
      <c r="E11930" t="s">
        <v>96</v>
      </c>
      <c r="F11930" s="1">
        <v>2</v>
      </c>
      <c r="G11930" s="1" t="s">
        <v>28</v>
      </c>
      <c r="H11930" s="4" t="str">
        <f>HYPERLINK("https://www.ncbi.nlm.nih.gov/geo/query/acc.cgi?acc=GSM2325277","GSM2325277")</f>
        <v>GSM2325277</v>
      </c>
      <c r="I11930" t="s">
        <v>69</v>
      </c>
      <c r="J11930" t="s">
        <v>18</v>
      </c>
      <c r="K11930" t="s">
        <v>33</v>
      </c>
      <c r="L11930" t="s">
        <v>70</v>
      </c>
      <c r="N11930" t="s">
        <v>29</v>
      </c>
    </row>
    <row r="11931" spans="1:14">
      <c r="A11931" s="4" t="str">
        <f t="shared" si="1038"/>
        <v>EXP00386</v>
      </c>
      <c r="B11931" s="3" t="s">
        <v>66</v>
      </c>
      <c r="C11931" s="4" t="str">
        <f t="shared" si="1039"/>
        <v>GSE87211</v>
      </c>
      <c r="D11931" s="1" t="s">
        <v>239</v>
      </c>
      <c r="E11931" t="s">
        <v>96</v>
      </c>
      <c r="F11931" s="1">
        <v>2</v>
      </c>
      <c r="G11931" s="1" t="s">
        <v>28</v>
      </c>
      <c r="H11931" s="4" t="str">
        <f>HYPERLINK("https://www.ncbi.nlm.nih.gov/geo/query/acc.cgi?acc=GSM2325278","GSM2325278")</f>
        <v>GSM2325278</v>
      </c>
      <c r="I11931" t="s">
        <v>69</v>
      </c>
      <c r="J11931" t="s">
        <v>18</v>
      </c>
      <c r="K11931" t="s">
        <v>33</v>
      </c>
      <c r="L11931" t="s">
        <v>70</v>
      </c>
      <c r="N11931" t="s">
        <v>29</v>
      </c>
    </row>
    <row r="11932" spans="1:14">
      <c r="A11932" s="4" t="str">
        <f t="shared" si="1038"/>
        <v>EXP00386</v>
      </c>
      <c r="B11932" s="3" t="s">
        <v>66</v>
      </c>
      <c r="C11932" s="4" t="str">
        <f t="shared" si="1039"/>
        <v>GSE87211</v>
      </c>
      <c r="D11932" s="1" t="s">
        <v>239</v>
      </c>
      <c r="E11932" t="s">
        <v>96</v>
      </c>
      <c r="F11932" s="1">
        <v>2</v>
      </c>
      <c r="G11932" s="1" t="s">
        <v>28</v>
      </c>
      <c r="H11932" s="4" t="str">
        <f>HYPERLINK("https://www.ncbi.nlm.nih.gov/geo/query/acc.cgi?acc=GSM2325279","GSM2325279")</f>
        <v>GSM2325279</v>
      </c>
      <c r="I11932" t="s">
        <v>69</v>
      </c>
      <c r="J11932" t="s">
        <v>18</v>
      </c>
      <c r="K11932" t="s">
        <v>33</v>
      </c>
      <c r="L11932" t="s">
        <v>70</v>
      </c>
      <c r="N11932" t="s">
        <v>29</v>
      </c>
    </row>
    <row r="11933" spans="1:14">
      <c r="A11933" s="4" t="str">
        <f t="shared" si="1038"/>
        <v>EXP00386</v>
      </c>
      <c r="B11933" s="3" t="s">
        <v>66</v>
      </c>
      <c r="C11933" s="4" t="str">
        <f t="shared" si="1039"/>
        <v>GSE87211</v>
      </c>
      <c r="D11933" s="1" t="s">
        <v>239</v>
      </c>
      <c r="E11933" t="s">
        <v>96</v>
      </c>
      <c r="F11933" s="1">
        <v>2</v>
      </c>
      <c r="G11933" s="1" t="s">
        <v>28</v>
      </c>
      <c r="H11933" s="4" t="str">
        <f>HYPERLINK("https://www.ncbi.nlm.nih.gov/geo/query/acc.cgi?acc=GSM2325280","GSM2325280")</f>
        <v>GSM2325280</v>
      </c>
      <c r="I11933" t="s">
        <v>69</v>
      </c>
      <c r="J11933" t="s">
        <v>18</v>
      </c>
      <c r="K11933" t="s">
        <v>33</v>
      </c>
      <c r="L11933" t="s">
        <v>70</v>
      </c>
      <c r="N11933" t="s">
        <v>29</v>
      </c>
    </row>
    <row r="11934" spans="1:14">
      <c r="A11934" s="4" t="str">
        <f t="shared" si="1038"/>
        <v>EXP00386</v>
      </c>
      <c r="B11934" s="3" t="s">
        <v>66</v>
      </c>
      <c r="C11934" s="4" t="str">
        <f t="shared" si="1039"/>
        <v>GSE87211</v>
      </c>
      <c r="D11934" s="1" t="s">
        <v>239</v>
      </c>
      <c r="E11934" t="s">
        <v>96</v>
      </c>
      <c r="F11934" s="1">
        <v>2</v>
      </c>
      <c r="G11934" s="1" t="s">
        <v>28</v>
      </c>
      <c r="H11934" s="4" t="str">
        <f>HYPERLINK("https://www.ncbi.nlm.nih.gov/geo/query/acc.cgi?acc=GSM2325281","GSM2325281")</f>
        <v>GSM2325281</v>
      </c>
      <c r="I11934" t="s">
        <v>69</v>
      </c>
      <c r="J11934" t="s">
        <v>18</v>
      </c>
      <c r="K11934" t="s">
        <v>33</v>
      </c>
      <c r="L11934" t="s">
        <v>70</v>
      </c>
      <c r="N11934" t="s">
        <v>29</v>
      </c>
    </row>
    <row r="11935" spans="1:14">
      <c r="A11935" s="4" t="str">
        <f t="shared" si="1038"/>
        <v>EXP00386</v>
      </c>
      <c r="B11935" s="3" t="s">
        <v>66</v>
      </c>
      <c r="C11935" s="4" t="str">
        <f t="shared" si="1039"/>
        <v>GSE87211</v>
      </c>
      <c r="D11935" s="1" t="s">
        <v>239</v>
      </c>
      <c r="E11935" t="s">
        <v>96</v>
      </c>
      <c r="F11935" s="1">
        <v>2</v>
      </c>
      <c r="G11935" s="1" t="s">
        <v>28</v>
      </c>
      <c r="H11935" s="4" t="str">
        <f>HYPERLINK("https://www.ncbi.nlm.nih.gov/geo/query/acc.cgi?acc=GSM2325282","GSM2325282")</f>
        <v>GSM2325282</v>
      </c>
      <c r="I11935" t="s">
        <v>69</v>
      </c>
      <c r="J11935" t="s">
        <v>18</v>
      </c>
      <c r="K11935" t="s">
        <v>33</v>
      </c>
      <c r="L11935" t="s">
        <v>70</v>
      </c>
      <c r="N11935" t="s">
        <v>29</v>
      </c>
    </row>
    <row r="11936" spans="1:14">
      <c r="A11936" s="4" t="str">
        <f t="shared" si="1038"/>
        <v>EXP00386</v>
      </c>
      <c r="B11936" s="3" t="s">
        <v>66</v>
      </c>
      <c r="C11936" s="4" t="str">
        <f t="shared" si="1039"/>
        <v>GSE87211</v>
      </c>
      <c r="D11936" s="1" t="s">
        <v>239</v>
      </c>
      <c r="E11936" t="s">
        <v>96</v>
      </c>
      <c r="F11936" s="1">
        <v>2</v>
      </c>
      <c r="G11936" s="1" t="s">
        <v>28</v>
      </c>
      <c r="H11936" s="4" t="str">
        <f>HYPERLINK("https://www.ncbi.nlm.nih.gov/geo/query/acc.cgi?acc=GSM2325283","GSM2325283")</f>
        <v>GSM2325283</v>
      </c>
      <c r="I11936" t="s">
        <v>69</v>
      </c>
      <c r="J11936" t="s">
        <v>18</v>
      </c>
      <c r="K11936" t="s">
        <v>33</v>
      </c>
      <c r="L11936" t="s">
        <v>70</v>
      </c>
      <c r="N11936" t="s">
        <v>29</v>
      </c>
    </row>
    <row r="11937" spans="1:14">
      <c r="A11937" s="4" t="str">
        <f t="shared" si="1038"/>
        <v>EXP00386</v>
      </c>
      <c r="B11937" s="3" t="s">
        <v>66</v>
      </c>
      <c r="C11937" s="4" t="str">
        <f t="shared" si="1039"/>
        <v>GSE87211</v>
      </c>
      <c r="D11937" s="1" t="s">
        <v>239</v>
      </c>
      <c r="E11937" t="s">
        <v>96</v>
      </c>
      <c r="F11937" s="1">
        <v>2</v>
      </c>
      <c r="G11937" s="1" t="s">
        <v>28</v>
      </c>
      <c r="H11937" s="4" t="str">
        <f>HYPERLINK("https://www.ncbi.nlm.nih.gov/geo/query/acc.cgi?acc=GSM2325284","GSM2325284")</f>
        <v>GSM2325284</v>
      </c>
      <c r="I11937" t="s">
        <v>69</v>
      </c>
      <c r="J11937" t="s">
        <v>18</v>
      </c>
      <c r="K11937" t="s">
        <v>33</v>
      </c>
      <c r="L11937" t="s">
        <v>70</v>
      </c>
      <c r="N11937" t="s">
        <v>29</v>
      </c>
    </row>
    <row r="11938" spans="1:14">
      <c r="A11938" s="4" t="str">
        <f t="shared" si="1038"/>
        <v>EXP00386</v>
      </c>
      <c r="B11938" s="3" t="s">
        <v>66</v>
      </c>
      <c r="C11938" s="4" t="str">
        <f t="shared" si="1039"/>
        <v>GSE87211</v>
      </c>
      <c r="D11938" s="1" t="s">
        <v>239</v>
      </c>
      <c r="E11938" t="s">
        <v>96</v>
      </c>
      <c r="F11938" s="1">
        <v>2</v>
      </c>
      <c r="G11938" s="1" t="s">
        <v>28</v>
      </c>
      <c r="H11938" s="4" t="str">
        <f>HYPERLINK("https://www.ncbi.nlm.nih.gov/geo/query/acc.cgi?acc=GSM2325285","GSM2325285")</f>
        <v>GSM2325285</v>
      </c>
      <c r="I11938" t="s">
        <v>69</v>
      </c>
      <c r="J11938" t="s">
        <v>18</v>
      </c>
      <c r="K11938" t="s">
        <v>33</v>
      </c>
      <c r="L11938" t="s">
        <v>70</v>
      </c>
      <c r="N11938" t="s">
        <v>29</v>
      </c>
    </row>
    <row r="11939" spans="1:14">
      <c r="A11939" s="4" t="str">
        <f t="shared" si="1038"/>
        <v>EXP00386</v>
      </c>
      <c r="B11939" s="3" t="s">
        <v>66</v>
      </c>
      <c r="C11939" s="4" t="str">
        <f t="shared" si="1039"/>
        <v>GSE87211</v>
      </c>
      <c r="D11939" s="1" t="s">
        <v>239</v>
      </c>
      <c r="E11939" t="s">
        <v>96</v>
      </c>
      <c r="F11939" s="1">
        <v>2</v>
      </c>
      <c r="G11939" s="1" t="s">
        <v>28</v>
      </c>
      <c r="H11939" s="4" t="str">
        <f>HYPERLINK("https://www.ncbi.nlm.nih.gov/geo/query/acc.cgi?acc=GSM2325286","GSM2325286")</f>
        <v>GSM2325286</v>
      </c>
      <c r="I11939" t="s">
        <v>69</v>
      </c>
      <c r="J11939" t="s">
        <v>18</v>
      </c>
      <c r="K11939" t="s">
        <v>33</v>
      </c>
      <c r="L11939" t="s">
        <v>70</v>
      </c>
      <c r="N11939" t="s">
        <v>29</v>
      </c>
    </row>
    <row r="11940" spans="1:14">
      <c r="A11940" s="4" t="str">
        <f t="shared" si="1038"/>
        <v>EXP00386</v>
      </c>
      <c r="B11940" s="3" t="s">
        <v>66</v>
      </c>
      <c r="C11940" s="4" t="str">
        <f t="shared" si="1039"/>
        <v>GSE87211</v>
      </c>
      <c r="D11940" s="1" t="s">
        <v>239</v>
      </c>
      <c r="E11940" t="s">
        <v>96</v>
      </c>
      <c r="F11940" s="1">
        <v>2</v>
      </c>
      <c r="G11940" s="1" t="s">
        <v>28</v>
      </c>
      <c r="H11940" s="4" t="str">
        <f>HYPERLINK("https://www.ncbi.nlm.nih.gov/geo/query/acc.cgi?acc=GSM2325287","GSM2325287")</f>
        <v>GSM2325287</v>
      </c>
      <c r="I11940" t="s">
        <v>69</v>
      </c>
      <c r="J11940" t="s">
        <v>18</v>
      </c>
      <c r="K11940" t="s">
        <v>33</v>
      </c>
      <c r="L11940" t="s">
        <v>70</v>
      </c>
      <c r="N11940" t="s">
        <v>29</v>
      </c>
    </row>
    <row r="11941" spans="1:14">
      <c r="A11941" s="4" t="str">
        <f t="shared" si="1038"/>
        <v>EXP00386</v>
      </c>
      <c r="B11941" s="3" t="s">
        <v>66</v>
      </c>
      <c r="C11941" s="4" t="str">
        <f t="shared" si="1039"/>
        <v>GSE87211</v>
      </c>
      <c r="D11941" s="1" t="s">
        <v>239</v>
      </c>
      <c r="E11941" t="s">
        <v>96</v>
      </c>
      <c r="F11941" s="1">
        <v>2</v>
      </c>
      <c r="G11941" s="1" t="s">
        <v>28</v>
      </c>
      <c r="H11941" s="4" t="str">
        <f>HYPERLINK("https://www.ncbi.nlm.nih.gov/geo/query/acc.cgi?acc=GSM2325288","GSM2325288")</f>
        <v>GSM2325288</v>
      </c>
      <c r="I11941" t="s">
        <v>69</v>
      </c>
      <c r="J11941" t="s">
        <v>18</v>
      </c>
      <c r="K11941" t="s">
        <v>33</v>
      </c>
      <c r="L11941" t="s">
        <v>70</v>
      </c>
      <c r="N11941" t="s">
        <v>29</v>
      </c>
    </row>
    <row r="11942" spans="1:14">
      <c r="A11942" s="4" t="str">
        <f t="shared" si="1038"/>
        <v>EXP00386</v>
      </c>
      <c r="B11942" s="3" t="s">
        <v>66</v>
      </c>
      <c r="C11942" s="4" t="str">
        <f t="shared" si="1039"/>
        <v>GSE87211</v>
      </c>
      <c r="D11942" s="1" t="s">
        <v>239</v>
      </c>
      <c r="E11942" t="s">
        <v>96</v>
      </c>
      <c r="F11942" s="1">
        <v>2</v>
      </c>
      <c r="G11942" s="1" t="s">
        <v>28</v>
      </c>
      <c r="H11942" s="4" t="str">
        <f>HYPERLINK("https://www.ncbi.nlm.nih.gov/geo/query/acc.cgi?acc=GSM2325289","GSM2325289")</f>
        <v>GSM2325289</v>
      </c>
      <c r="I11942" t="s">
        <v>69</v>
      </c>
      <c r="J11942" t="s">
        <v>18</v>
      </c>
      <c r="K11942" t="s">
        <v>33</v>
      </c>
      <c r="L11942" t="s">
        <v>70</v>
      </c>
      <c r="N11942" t="s">
        <v>29</v>
      </c>
    </row>
    <row r="11943" spans="1:14">
      <c r="A11943" s="4" t="str">
        <f t="shared" si="1038"/>
        <v>EXP00386</v>
      </c>
      <c r="B11943" s="3" t="s">
        <v>66</v>
      </c>
      <c r="C11943" s="4" t="str">
        <f t="shared" si="1039"/>
        <v>GSE87211</v>
      </c>
      <c r="D11943" s="1" t="s">
        <v>239</v>
      </c>
      <c r="E11943" t="s">
        <v>96</v>
      </c>
      <c r="F11943" s="1">
        <v>2</v>
      </c>
      <c r="G11943" s="1" t="s">
        <v>28</v>
      </c>
      <c r="H11943" s="4" t="str">
        <f>HYPERLINK("https://www.ncbi.nlm.nih.gov/geo/query/acc.cgi?acc=GSM2325290","GSM2325290")</f>
        <v>GSM2325290</v>
      </c>
      <c r="I11943" t="s">
        <v>69</v>
      </c>
      <c r="J11943" t="s">
        <v>18</v>
      </c>
      <c r="K11943" t="s">
        <v>33</v>
      </c>
      <c r="L11943" t="s">
        <v>70</v>
      </c>
      <c r="N11943" t="s">
        <v>29</v>
      </c>
    </row>
    <row r="11944" spans="1:14">
      <c r="A11944" s="4" t="str">
        <f t="shared" ref="A11944:A12007" si="1040">HYPERLINK("http://hcmdb.i-sanger.com/experiment/details/experiment_id/EXP00386","EXP00386")</f>
        <v>EXP00386</v>
      </c>
      <c r="B11944" s="3" t="s">
        <v>66</v>
      </c>
      <c r="C11944" s="4" t="str">
        <f t="shared" si="1039"/>
        <v>GSE87211</v>
      </c>
      <c r="D11944" s="1" t="s">
        <v>239</v>
      </c>
      <c r="E11944" t="s">
        <v>96</v>
      </c>
      <c r="F11944" s="1">
        <v>2</v>
      </c>
      <c r="G11944" s="1" t="s">
        <v>28</v>
      </c>
      <c r="H11944" s="4" t="str">
        <f>HYPERLINK("https://www.ncbi.nlm.nih.gov/geo/query/acc.cgi?acc=GSM2325291","GSM2325291")</f>
        <v>GSM2325291</v>
      </c>
      <c r="I11944" t="s">
        <v>69</v>
      </c>
      <c r="J11944" t="s">
        <v>18</v>
      </c>
      <c r="K11944" t="s">
        <v>33</v>
      </c>
      <c r="L11944" t="s">
        <v>70</v>
      </c>
      <c r="N11944" t="s">
        <v>29</v>
      </c>
    </row>
    <row r="11945" spans="1:14">
      <c r="A11945" s="4" t="str">
        <f t="shared" si="1040"/>
        <v>EXP00386</v>
      </c>
      <c r="B11945" s="3" t="s">
        <v>66</v>
      </c>
      <c r="C11945" s="4" t="str">
        <f t="shared" si="1039"/>
        <v>GSE87211</v>
      </c>
      <c r="D11945" s="1" t="s">
        <v>239</v>
      </c>
      <c r="E11945" t="s">
        <v>96</v>
      </c>
      <c r="F11945" s="1">
        <v>2</v>
      </c>
      <c r="G11945" s="1" t="s">
        <v>28</v>
      </c>
      <c r="H11945" s="4" t="str">
        <f>HYPERLINK("https://www.ncbi.nlm.nih.gov/geo/query/acc.cgi?acc=GSM2325292","GSM2325292")</f>
        <v>GSM2325292</v>
      </c>
      <c r="I11945" t="s">
        <v>69</v>
      </c>
      <c r="J11945" t="s">
        <v>18</v>
      </c>
      <c r="K11945" t="s">
        <v>33</v>
      </c>
      <c r="L11945" t="s">
        <v>70</v>
      </c>
      <c r="N11945" t="s">
        <v>29</v>
      </c>
    </row>
    <row r="11946" spans="1:14">
      <c r="A11946" s="4" t="str">
        <f t="shared" si="1040"/>
        <v>EXP00386</v>
      </c>
      <c r="B11946" s="3" t="s">
        <v>66</v>
      </c>
      <c r="C11946" s="4" t="str">
        <f t="shared" si="1039"/>
        <v>GSE87211</v>
      </c>
      <c r="D11946" s="1" t="s">
        <v>239</v>
      </c>
      <c r="E11946" t="s">
        <v>96</v>
      </c>
      <c r="F11946" s="1">
        <v>2</v>
      </c>
      <c r="G11946" s="1" t="s">
        <v>28</v>
      </c>
      <c r="H11946" s="4" t="str">
        <f>HYPERLINK("https://www.ncbi.nlm.nih.gov/geo/query/acc.cgi?acc=GSM2325293","GSM2325293")</f>
        <v>GSM2325293</v>
      </c>
      <c r="I11946" t="s">
        <v>69</v>
      </c>
      <c r="J11946" t="s">
        <v>18</v>
      </c>
      <c r="K11946" t="s">
        <v>33</v>
      </c>
      <c r="L11946" t="s">
        <v>70</v>
      </c>
      <c r="N11946" t="s">
        <v>29</v>
      </c>
    </row>
    <row r="11947" spans="1:14">
      <c r="A11947" s="4" t="str">
        <f t="shared" si="1040"/>
        <v>EXP00386</v>
      </c>
      <c r="B11947" s="3" t="s">
        <v>66</v>
      </c>
      <c r="C11947" s="4" t="str">
        <f t="shared" si="1039"/>
        <v>GSE87211</v>
      </c>
      <c r="D11947" s="1" t="s">
        <v>239</v>
      </c>
      <c r="E11947" t="s">
        <v>96</v>
      </c>
      <c r="F11947" s="1">
        <v>2</v>
      </c>
      <c r="G11947" s="1" t="s">
        <v>28</v>
      </c>
      <c r="H11947" s="4" t="str">
        <f>HYPERLINK("https://www.ncbi.nlm.nih.gov/geo/query/acc.cgi?acc=GSM2325294","GSM2325294")</f>
        <v>GSM2325294</v>
      </c>
      <c r="I11947" t="s">
        <v>69</v>
      </c>
      <c r="J11947" t="s">
        <v>18</v>
      </c>
      <c r="K11947" t="s">
        <v>33</v>
      </c>
      <c r="L11947" t="s">
        <v>70</v>
      </c>
      <c r="N11947" t="s">
        <v>29</v>
      </c>
    </row>
    <row r="11948" spans="1:14">
      <c r="A11948" s="4" t="str">
        <f t="shared" si="1040"/>
        <v>EXP00386</v>
      </c>
      <c r="B11948" s="3" t="s">
        <v>66</v>
      </c>
      <c r="C11948" s="4" t="str">
        <f t="shared" si="1039"/>
        <v>GSE87211</v>
      </c>
      <c r="D11948" s="1" t="s">
        <v>239</v>
      </c>
      <c r="E11948" t="s">
        <v>96</v>
      </c>
      <c r="F11948" s="1">
        <v>2</v>
      </c>
      <c r="G11948" s="1" t="s">
        <v>28</v>
      </c>
      <c r="H11948" s="4" t="str">
        <f>HYPERLINK("https://www.ncbi.nlm.nih.gov/geo/query/acc.cgi?acc=GSM2325295","GSM2325295")</f>
        <v>GSM2325295</v>
      </c>
      <c r="I11948" t="s">
        <v>69</v>
      </c>
      <c r="J11948" t="s">
        <v>18</v>
      </c>
      <c r="K11948" t="s">
        <v>33</v>
      </c>
      <c r="L11948" t="s">
        <v>70</v>
      </c>
      <c r="N11948" t="s">
        <v>29</v>
      </c>
    </row>
    <row r="11949" spans="1:14">
      <c r="A11949" s="4" t="str">
        <f t="shared" si="1040"/>
        <v>EXP00386</v>
      </c>
      <c r="B11949" s="3" t="s">
        <v>66</v>
      </c>
      <c r="C11949" s="4" t="str">
        <f t="shared" si="1039"/>
        <v>GSE87211</v>
      </c>
      <c r="D11949" s="1" t="s">
        <v>239</v>
      </c>
      <c r="E11949" t="s">
        <v>96</v>
      </c>
      <c r="F11949" s="1">
        <v>2</v>
      </c>
      <c r="G11949" s="1" t="s">
        <v>28</v>
      </c>
      <c r="H11949" s="4" t="str">
        <f>HYPERLINK("https://www.ncbi.nlm.nih.gov/geo/query/acc.cgi?acc=GSM2325296","GSM2325296")</f>
        <v>GSM2325296</v>
      </c>
      <c r="I11949" t="s">
        <v>69</v>
      </c>
      <c r="J11949" t="s">
        <v>18</v>
      </c>
      <c r="K11949" t="s">
        <v>33</v>
      </c>
      <c r="L11949" t="s">
        <v>70</v>
      </c>
      <c r="N11949" t="s">
        <v>29</v>
      </c>
    </row>
    <row r="11950" spans="1:14">
      <c r="A11950" s="4" t="str">
        <f t="shared" si="1040"/>
        <v>EXP00386</v>
      </c>
      <c r="B11950" s="3" t="s">
        <v>66</v>
      </c>
      <c r="C11950" s="4" t="str">
        <f t="shared" si="1039"/>
        <v>GSE87211</v>
      </c>
      <c r="D11950" s="1" t="s">
        <v>239</v>
      </c>
      <c r="E11950" t="s">
        <v>96</v>
      </c>
      <c r="F11950" s="1">
        <v>2</v>
      </c>
      <c r="G11950" s="1" t="s">
        <v>28</v>
      </c>
      <c r="H11950" s="4" t="str">
        <f>HYPERLINK("https://www.ncbi.nlm.nih.gov/geo/query/acc.cgi?acc=GSM2325297","GSM2325297")</f>
        <v>GSM2325297</v>
      </c>
      <c r="I11950" t="s">
        <v>69</v>
      </c>
      <c r="J11950" t="s">
        <v>18</v>
      </c>
      <c r="K11950" t="s">
        <v>33</v>
      </c>
      <c r="L11950" t="s">
        <v>70</v>
      </c>
      <c r="N11950" t="s">
        <v>29</v>
      </c>
    </row>
    <row r="11951" spans="1:14">
      <c r="A11951" s="4" t="str">
        <f t="shared" si="1040"/>
        <v>EXP00386</v>
      </c>
      <c r="B11951" s="3" t="s">
        <v>66</v>
      </c>
      <c r="C11951" s="4" t="str">
        <f t="shared" si="1039"/>
        <v>GSE87211</v>
      </c>
      <c r="D11951" s="1" t="s">
        <v>239</v>
      </c>
      <c r="E11951" t="s">
        <v>96</v>
      </c>
      <c r="F11951" s="1">
        <v>2</v>
      </c>
      <c r="G11951" s="1" t="s">
        <v>28</v>
      </c>
      <c r="H11951" s="4" t="str">
        <f>HYPERLINK("https://www.ncbi.nlm.nih.gov/geo/query/acc.cgi?acc=GSM2325298","GSM2325298")</f>
        <v>GSM2325298</v>
      </c>
      <c r="I11951" t="s">
        <v>69</v>
      </c>
      <c r="J11951" t="s">
        <v>18</v>
      </c>
      <c r="K11951" t="s">
        <v>33</v>
      </c>
      <c r="L11951" t="s">
        <v>70</v>
      </c>
      <c r="N11951" t="s">
        <v>29</v>
      </c>
    </row>
    <row r="11952" spans="1:14">
      <c r="A11952" s="4" t="str">
        <f t="shared" si="1040"/>
        <v>EXP00386</v>
      </c>
      <c r="B11952" s="3" t="s">
        <v>66</v>
      </c>
      <c r="C11952" s="4" t="str">
        <f t="shared" si="1039"/>
        <v>GSE87211</v>
      </c>
      <c r="D11952" s="1" t="s">
        <v>239</v>
      </c>
      <c r="E11952" t="s">
        <v>96</v>
      </c>
      <c r="F11952" s="1">
        <v>2</v>
      </c>
      <c r="G11952" s="1" t="s">
        <v>28</v>
      </c>
      <c r="H11952" s="4" t="str">
        <f>HYPERLINK("https://www.ncbi.nlm.nih.gov/geo/query/acc.cgi?acc=GSM2325299","GSM2325299")</f>
        <v>GSM2325299</v>
      </c>
      <c r="I11952" t="s">
        <v>69</v>
      </c>
      <c r="J11952" t="s">
        <v>18</v>
      </c>
      <c r="K11952" t="s">
        <v>33</v>
      </c>
      <c r="L11952" t="s">
        <v>70</v>
      </c>
      <c r="N11952" t="s">
        <v>29</v>
      </c>
    </row>
    <row r="11953" spans="1:14">
      <c r="A11953" s="4" t="str">
        <f t="shared" si="1040"/>
        <v>EXP00386</v>
      </c>
      <c r="B11953" s="3" t="s">
        <v>66</v>
      </c>
      <c r="C11953" s="4" t="str">
        <f t="shared" si="1039"/>
        <v>GSE87211</v>
      </c>
      <c r="D11953" s="1" t="s">
        <v>239</v>
      </c>
      <c r="E11953" t="s">
        <v>96</v>
      </c>
      <c r="F11953" s="1">
        <v>2</v>
      </c>
      <c r="G11953" s="1" t="s">
        <v>28</v>
      </c>
      <c r="H11953" s="4" t="str">
        <f>HYPERLINK("https://www.ncbi.nlm.nih.gov/geo/query/acc.cgi?acc=GSM2325300","GSM2325300")</f>
        <v>GSM2325300</v>
      </c>
      <c r="I11953" t="s">
        <v>69</v>
      </c>
      <c r="J11953" t="s">
        <v>18</v>
      </c>
      <c r="K11953" t="s">
        <v>33</v>
      </c>
      <c r="L11953" t="s">
        <v>70</v>
      </c>
      <c r="N11953" t="s">
        <v>29</v>
      </c>
    </row>
    <row r="11954" spans="1:14">
      <c r="A11954" s="4" t="str">
        <f t="shared" si="1040"/>
        <v>EXP00386</v>
      </c>
      <c r="B11954" s="3" t="s">
        <v>66</v>
      </c>
      <c r="C11954" s="4" t="str">
        <f t="shared" si="1039"/>
        <v>GSE87211</v>
      </c>
      <c r="D11954" s="1" t="s">
        <v>239</v>
      </c>
      <c r="E11954" t="s">
        <v>96</v>
      </c>
      <c r="F11954" s="1">
        <v>2</v>
      </c>
      <c r="G11954" s="1" t="s">
        <v>28</v>
      </c>
      <c r="H11954" s="4" t="str">
        <f>HYPERLINK("https://www.ncbi.nlm.nih.gov/geo/query/acc.cgi?acc=GSM2325301","GSM2325301")</f>
        <v>GSM2325301</v>
      </c>
      <c r="I11954" t="s">
        <v>69</v>
      </c>
      <c r="J11954" t="s">
        <v>18</v>
      </c>
      <c r="K11954" t="s">
        <v>33</v>
      </c>
      <c r="L11954" t="s">
        <v>70</v>
      </c>
      <c r="N11954" t="s">
        <v>29</v>
      </c>
    </row>
    <row r="11955" spans="1:14">
      <c r="A11955" s="4" t="str">
        <f t="shared" si="1040"/>
        <v>EXP00386</v>
      </c>
      <c r="B11955" s="3" t="s">
        <v>66</v>
      </c>
      <c r="C11955" s="4" t="str">
        <f t="shared" si="1039"/>
        <v>GSE87211</v>
      </c>
      <c r="D11955" s="1" t="s">
        <v>239</v>
      </c>
      <c r="E11955" t="s">
        <v>96</v>
      </c>
      <c r="F11955" s="1">
        <v>2</v>
      </c>
      <c r="G11955" s="1" t="s">
        <v>28</v>
      </c>
      <c r="H11955" s="4" t="str">
        <f>HYPERLINK("https://www.ncbi.nlm.nih.gov/geo/query/acc.cgi?acc=GSM2325302","GSM2325302")</f>
        <v>GSM2325302</v>
      </c>
      <c r="I11955" t="s">
        <v>69</v>
      </c>
      <c r="J11955" t="s">
        <v>18</v>
      </c>
      <c r="K11955" t="s">
        <v>33</v>
      </c>
      <c r="L11955" t="s">
        <v>70</v>
      </c>
      <c r="N11955" t="s">
        <v>29</v>
      </c>
    </row>
    <row r="11956" spans="1:14">
      <c r="A11956" s="4" t="str">
        <f t="shared" si="1040"/>
        <v>EXP00386</v>
      </c>
      <c r="B11956" s="3" t="s">
        <v>66</v>
      </c>
      <c r="C11956" s="4" t="str">
        <f t="shared" si="1039"/>
        <v>GSE87211</v>
      </c>
      <c r="D11956" s="1" t="s">
        <v>239</v>
      </c>
      <c r="E11956" t="s">
        <v>96</v>
      </c>
      <c r="F11956" s="1">
        <v>2</v>
      </c>
      <c r="G11956" s="1" t="s">
        <v>28</v>
      </c>
      <c r="H11956" s="4" t="str">
        <f>HYPERLINK("https://www.ncbi.nlm.nih.gov/geo/query/acc.cgi?acc=GSM2325303","GSM2325303")</f>
        <v>GSM2325303</v>
      </c>
      <c r="I11956" t="s">
        <v>69</v>
      </c>
      <c r="J11956" t="s">
        <v>18</v>
      </c>
      <c r="K11956" t="s">
        <v>33</v>
      </c>
      <c r="L11956" t="s">
        <v>70</v>
      </c>
      <c r="N11956" t="s">
        <v>29</v>
      </c>
    </row>
    <row r="11957" spans="1:14">
      <c r="A11957" s="4" t="str">
        <f t="shared" si="1040"/>
        <v>EXP00386</v>
      </c>
      <c r="B11957" s="3" t="s">
        <v>66</v>
      </c>
      <c r="C11957" s="4" t="str">
        <f t="shared" si="1039"/>
        <v>GSE87211</v>
      </c>
      <c r="D11957" s="1" t="s">
        <v>239</v>
      </c>
      <c r="E11957" t="s">
        <v>96</v>
      </c>
      <c r="F11957" s="1">
        <v>2</v>
      </c>
      <c r="G11957" s="1" t="s">
        <v>28</v>
      </c>
      <c r="H11957" s="4" t="str">
        <f>HYPERLINK("https://www.ncbi.nlm.nih.gov/geo/query/acc.cgi?acc=GSM2325304","GSM2325304")</f>
        <v>GSM2325304</v>
      </c>
      <c r="I11957" t="s">
        <v>69</v>
      </c>
      <c r="J11957" t="s">
        <v>18</v>
      </c>
      <c r="K11957" t="s">
        <v>33</v>
      </c>
      <c r="L11957" t="s">
        <v>70</v>
      </c>
      <c r="N11957" t="s">
        <v>29</v>
      </c>
    </row>
    <row r="11958" spans="1:14">
      <c r="A11958" s="4" t="str">
        <f t="shared" si="1040"/>
        <v>EXP00386</v>
      </c>
      <c r="B11958" s="3" t="s">
        <v>66</v>
      </c>
      <c r="C11958" s="4" t="str">
        <f t="shared" si="1039"/>
        <v>GSE87211</v>
      </c>
      <c r="D11958" s="1" t="s">
        <v>239</v>
      </c>
      <c r="E11958" t="s">
        <v>96</v>
      </c>
      <c r="F11958" s="1">
        <v>2</v>
      </c>
      <c r="G11958" s="1" t="s">
        <v>28</v>
      </c>
      <c r="H11958" s="4" t="str">
        <f>HYPERLINK("https://www.ncbi.nlm.nih.gov/geo/query/acc.cgi?acc=GSM2325305","GSM2325305")</f>
        <v>GSM2325305</v>
      </c>
      <c r="I11958" t="s">
        <v>69</v>
      </c>
      <c r="J11958" t="s">
        <v>18</v>
      </c>
      <c r="K11958" t="s">
        <v>33</v>
      </c>
      <c r="L11958" t="s">
        <v>70</v>
      </c>
      <c r="N11958" t="s">
        <v>29</v>
      </c>
    </row>
    <row r="11959" spans="1:14">
      <c r="A11959" s="4" t="str">
        <f t="shared" si="1040"/>
        <v>EXP00386</v>
      </c>
      <c r="B11959" s="3" t="s">
        <v>66</v>
      </c>
      <c r="C11959" s="4" t="str">
        <f t="shared" si="1039"/>
        <v>GSE87211</v>
      </c>
      <c r="D11959" s="1" t="s">
        <v>239</v>
      </c>
      <c r="E11959" t="s">
        <v>96</v>
      </c>
      <c r="F11959" s="1">
        <v>2</v>
      </c>
      <c r="G11959" s="1" t="s">
        <v>28</v>
      </c>
      <c r="H11959" s="4" t="str">
        <f>HYPERLINK("https://www.ncbi.nlm.nih.gov/geo/query/acc.cgi?acc=GSM2325306","GSM2325306")</f>
        <v>GSM2325306</v>
      </c>
      <c r="I11959" t="s">
        <v>69</v>
      </c>
      <c r="J11959" t="s">
        <v>18</v>
      </c>
      <c r="K11959" t="s">
        <v>33</v>
      </c>
      <c r="L11959" t="s">
        <v>70</v>
      </c>
      <c r="N11959" t="s">
        <v>29</v>
      </c>
    </row>
    <row r="11960" spans="1:14">
      <c r="A11960" s="4" t="str">
        <f t="shared" si="1040"/>
        <v>EXP00386</v>
      </c>
      <c r="B11960" s="3" t="s">
        <v>66</v>
      </c>
      <c r="C11960" s="4" t="str">
        <f t="shared" si="1039"/>
        <v>GSE87211</v>
      </c>
      <c r="D11960" s="1" t="s">
        <v>239</v>
      </c>
      <c r="E11960" t="s">
        <v>96</v>
      </c>
      <c r="F11960" s="1">
        <v>2</v>
      </c>
      <c r="G11960" s="1" t="s">
        <v>28</v>
      </c>
      <c r="H11960" s="4" t="str">
        <f>HYPERLINK("https://www.ncbi.nlm.nih.gov/geo/query/acc.cgi?acc=GSM2325307","GSM2325307")</f>
        <v>GSM2325307</v>
      </c>
      <c r="I11960" t="s">
        <v>69</v>
      </c>
      <c r="J11960" t="s">
        <v>18</v>
      </c>
      <c r="K11960" t="s">
        <v>33</v>
      </c>
      <c r="L11960" t="s">
        <v>70</v>
      </c>
      <c r="N11960" t="s">
        <v>29</v>
      </c>
    </row>
    <row r="11961" spans="1:14">
      <c r="A11961" s="4" t="str">
        <f t="shared" si="1040"/>
        <v>EXP00386</v>
      </c>
      <c r="B11961" s="3" t="s">
        <v>66</v>
      </c>
      <c r="C11961" s="4" t="str">
        <f t="shared" si="1039"/>
        <v>GSE87211</v>
      </c>
      <c r="D11961" s="1" t="s">
        <v>239</v>
      </c>
      <c r="E11961" t="s">
        <v>96</v>
      </c>
      <c r="F11961" s="1">
        <v>2</v>
      </c>
      <c r="G11961" s="1" t="s">
        <v>28</v>
      </c>
      <c r="H11961" s="4" t="str">
        <f>HYPERLINK("https://www.ncbi.nlm.nih.gov/geo/query/acc.cgi?acc=GSM2325308","GSM2325308")</f>
        <v>GSM2325308</v>
      </c>
      <c r="I11961" t="s">
        <v>69</v>
      </c>
      <c r="J11961" t="s">
        <v>18</v>
      </c>
      <c r="K11961" t="s">
        <v>33</v>
      </c>
      <c r="L11961" t="s">
        <v>70</v>
      </c>
      <c r="N11961" t="s">
        <v>29</v>
      </c>
    </row>
    <row r="11962" spans="1:14">
      <c r="A11962" s="4" t="str">
        <f t="shared" si="1040"/>
        <v>EXP00386</v>
      </c>
      <c r="B11962" s="3" t="s">
        <v>66</v>
      </c>
      <c r="C11962" s="4" t="str">
        <f t="shared" si="1039"/>
        <v>GSE87211</v>
      </c>
      <c r="D11962" s="1" t="s">
        <v>239</v>
      </c>
      <c r="E11962" t="s">
        <v>96</v>
      </c>
      <c r="F11962" s="1">
        <v>2</v>
      </c>
      <c r="G11962" s="1" t="s">
        <v>28</v>
      </c>
      <c r="H11962" s="4" t="str">
        <f>HYPERLINK("https://www.ncbi.nlm.nih.gov/geo/query/acc.cgi?acc=GSM2325309","GSM2325309")</f>
        <v>GSM2325309</v>
      </c>
      <c r="I11962" t="s">
        <v>69</v>
      </c>
      <c r="J11962" t="s">
        <v>18</v>
      </c>
      <c r="K11962" t="s">
        <v>33</v>
      </c>
      <c r="L11962" t="s">
        <v>70</v>
      </c>
      <c r="N11962" t="s">
        <v>29</v>
      </c>
    </row>
    <row r="11963" spans="1:14">
      <c r="A11963" s="4" t="str">
        <f t="shared" si="1040"/>
        <v>EXP00386</v>
      </c>
      <c r="B11963" s="3" t="s">
        <v>66</v>
      </c>
      <c r="C11963" s="4" t="str">
        <f t="shared" si="1039"/>
        <v>GSE87211</v>
      </c>
      <c r="D11963" s="1" t="s">
        <v>239</v>
      </c>
      <c r="E11963" t="s">
        <v>96</v>
      </c>
      <c r="F11963" s="1">
        <v>2</v>
      </c>
      <c r="G11963" s="1" t="s">
        <v>28</v>
      </c>
      <c r="H11963" s="4" t="str">
        <f>HYPERLINK("https://www.ncbi.nlm.nih.gov/geo/query/acc.cgi?acc=GSM2325310","GSM2325310")</f>
        <v>GSM2325310</v>
      </c>
      <c r="I11963" t="s">
        <v>69</v>
      </c>
      <c r="J11963" t="s">
        <v>18</v>
      </c>
      <c r="K11963" t="s">
        <v>33</v>
      </c>
      <c r="L11963" t="s">
        <v>70</v>
      </c>
      <c r="N11963" t="s">
        <v>29</v>
      </c>
    </row>
    <row r="11964" spans="1:14">
      <c r="A11964" s="4" t="str">
        <f t="shared" si="1040"/>
        <v>EXP00386</v>
      </c>
      <c r="B11964" s="3" t="s">
        <v>66</v>
      </c>
      <c r="C11964" s="4" t="str">
        <f t="shared" si="1039"/>
        <v>GSE87211</v>
      </c>
      <c r="D11964" s="1" t="s">
        <v>239</v>
      </c>
      <c r="E11964" t="s">
        <v>96</v>
      </c>
      <c r="F11964" s="1">
        <v>2</v>
      </c>
      <c r="G11964" s="1" t="s">
        <v>28</v>
      </c>
      <c r="H11964" s="4" t="str">
        <f>HYPERLINK("https://www.ncbi.nlm.nih.gov/geo/query/acc.cgi?acc=GSM2325311","GSM2325311")</f>
        <v>GSM2325311</v>
      </c>
      <c r="I11964" t="s">
        <v>69</v>
      </c>
      <c r="J11964" t="s">
        <v>18</v>
      </c>
      <c r="K11964" t="s">
        <v>33</v>
      </c>
      <c r="L11964" t="s">
        <v>70</v>
      </c>
      <c r="N11964" t="s">
        <v>29</v>
      </c>
    </row>
    <row r="11965" spans="1:14">
      <c r="A11965" s="4" t="str">
        <f t="shared" si="1040"/>
        <v>EXP00386</v>
      </c>
      <c r="B11965" s="3" t="s">
        <v>66</v>
      </c>
      <c r="C11965" s="4" t="str">
        <f t="shared" si="1039"/>
        <v>GSE87211</v>
      </c>
      <c r="D11965" s="1" t="s">
        <v>239</v>
      </c>
      <c r="E11965" t="s">
        <v>96</v>
      </c>
      <c r="F11965" s="1">
        <v>2</v>
      </c>
      <c r="G11965" s="1" t="s">
        <v>28</v>
      </c>
      <c r="H11965" s="4" t="str">
        <f>HYPERLINK("https://www.ncbi.nlm.nih.gov/geo/query/acc.cgi?acc=GSM2325312","GSM2325312")</f>
        <v>GSM2325312</v>
      </c>
      <c r="I11965" t="s">
        <v>69</v>
      </c>
      <c r="J11965" t="s">
        <v>18</v>
      </c>
      <c r="K11965" t="s">
        <v>33</v>
      </c>
      <c r="L11965" t="s">
        <v>70</v>
      </c>
      <c r="N11965" t="s">
        <v>29</v>
      </c>
    </row>
    <row r="11966" spans="1:14">
      <c r="A11966" s="4" t="str">
        <f t="shared" si="1040"/>
        <v>EXP00386</v>
      </c>
      <c r="B11966" s="3" t="s">
        <v>66</v>
      </c>
      <c r="C11966" s="4" t="str">
        <f t="shared" si="1039"/>
        <v>GSE87211</v>
      </c>
      <c r="D11966" s="1" t="s">
        <v>239</v>
      </c>
      <c r="E11966" t="s">
        <v>96</v>
      </c>
      <c r="F11966" s="1">
        <v>2</v>
      </c>
      <c r="G11966" s="1" t="s">
        <v>28</v>
      </c>
      <c r="H11966" s="4" t="str">
        <f>HYPERLINK("https://www.ncbi.nlm.nih.gov/geo/query/acc.cgi?acc=GSM2325313","GSM2325313")</f>
        <v>GSM2325313</v>
      </c>
      <c r="I11966" t="s">
        <v>69</v>
      </c>
      <c r="J11966" t="s">
        <v>18</v>
      </c>
      <c r="K11966" t="s">
        <v>33</v>
      </c>
      <c r="L11966" t="s">
        <v>70</v>
      </c>
      <c r="N11966" t="s">
        <v>29</v>
      </c>
    </row>
    <row r="11967" spans="1:14">
      <c r="A11967" s="4" t="str">
        <f t="shared" si="1040"/>
        <v>EXP00386</v>
      </c>
      <c r="B11967" s="3" t="s">
        <v>66</v>
      </c>
      <c r="C11967" s="4" t="str">
        <f t="shared" si="1039"/>
        <v>GSE87211</v>
      </c>
      <c r="D11967" s="1" t="s">
        <v>239</v>
      </c>
      <c r="E11967" t="s">
        <v>96</v>
      </c>
      <c r="F11967" s="1">
        <v>2</v>
      </c>
      <c r="G11967" s="1" t="s">
        <v>28</v>
      </c>
      <c r="H11967" s="4" t="str">
        <f>HYPERLINK("https://www.ncbi.nlm.nih.gov/geo/query/acc.cgi?acc=GSM2325314","GSM2325314")</f>
        <v>GSM2325314</v>
      </c>
      <c r="I11967" t="s">
        <v>69</v>
      </c>
      <c r="J11967" t="s">
        <v>18</v>
      </c>
      <c r="K11967" t="s">
        <v>33</v>
      </c>
      <c r="L11967" t="s">
        <v>70</v>
      </c>
      <c r="N11967" t="s">
        <v>29</v>
      </c>
    </row>
    <row r="11968" spans="1:14">
      <c r="A11968" s="4" t="str">
        <f t="shared" si="1040"/>
        <v>EXP00386</v>
      </c>
      <c r="B11968" s="3" t="s">
        <v>66</v>
      </c>
      <c r="C11968" s="4" t="str">
        <f t="shared" si="1039"/>
        <v>GSE87211</v>
      </c>
      <c r="D11968" s="1" t="s">
        <v>239</v>
      </c>
      <c r="E11968" t="s">
        <v>96</v>
      </c>
      <c r="F11968" s="1">
        <v>2</v>
      </c>
      <c r="G11968" s="1" t="s">
        <v>28</v>
      </c>
      <c r="H11968" s="4" t="str">
        <f>HYPERLINK("https://www.ncbi.nlm.nih.gov/geo/query/acc.cgi?acc=GSM2325315","GSM2325315")</f>
        <v>GSM2325315</v>
      </c>
      <c r="I11968" t="s">
        <v>69</v>
      </c>
      <c r="J11968" t="s">
        <v>18</v>
      </c>
      <c r="K11968" t="s">
        <v>33</v>
      </c>
      <c r="L11968" t="s">
        <v>70</v>
      </c>
      <c r="N11968" t="s">
        <v>29</v>
      </c>
    </row>
    <row r="11969" spans="1:14">
      <c r="A11969" s="4" t="str">
        <f t="shared" si="1040"/>
        <v>EXP00386</v>
      </c>
      <c r="B11969" s="3" t="s">
        <v>66</v>
      </c>
      <c r="C11969" s="4" t="str">
        <f t="shared" si="1039"/>
        <v>GSE87211</v>
      </c>
      <c r="D11969" s="1" t="s">
        <v>239</v>
      </c>
      <c r="E11969" t="s">
        <v>96</v>
      </c>
      <c r="F11969" s="1">
        <v>2</v>
      </c>
      <c r="G11969" s="1" t="s">
        <v>28</v>
      </c>
      <c r="H11969" s="4" t="str">
        <f>HYPERLINK("https://www.ncbi.nlm.nih.gov/geo/query/acc.cgi?acc=GSM2325316","GSM2325316")</f>
        <v>GSM2325316</v>
      </c>
      <c r="I11969" t="s">
        <v>69</v>
      </c>
      <c r="J11969" t="s">
        <v>18</v>
      </c>
      <c r="K11969" t="s">
        <v>33</v>
      </c>
      <c r="L11969" t="s">
        <v>70</v>
      </c>
      <c r="N11969" t="s">
        <v>29</v>
      </c>
    </row>
    <row r="11970" spans="1:14">
      <c r="A11970" s="4" t="str">
        <f t="shared" si="1040"/>
        <v>EXP00386</v>
      </c>
      <c r="B11970" s="3" t="s">
        <v>66</v>
      </c>
      <c r="C11970" s="4" t="str">
        <f t="shared" ref="C11970:C12033" si="1041">HYPERLINK("https://www.ncbi.nlm.nih.gov/geo/query/acc.cgi?acc=GSE87211","GSE87211")</f>
        <v>GSE87211</v>
      </c>
      <c r="D11970" s="1" t="s">
        <v>239</v>
      </c>
      <c r="E11970" t="s">
        <v>96</v>
      </c>
      <c r="F11970" s="1">
        <v>2</v>
      </c>
      <c r="G11970" s="1" t="s">
        <v>28</v>
      </c>
      <c r="H11970" s="4" t="str">
        <f>HYPERLINK("https://www.ncbi.nlm.nih.gov/geo/query/acc.cgi?acc=GSM2325317","GSM2325317")</f>
        <v>GSM2325317</v>
      </c>
      <c r="I11970" t="s">
        <v>69</v>
      </c>
      <c r="J11970" t="s">
        <v>18</v>
      </c>
      <c r="K11970" t="s">
        <v>33</v>
      </c>
      <c r="L11970" t="s">
        <v>70</v>
      </c>
      <c r="N11970" t="s">
        <v>29</v>
      </c>
    </row>
    <row r="11971" spans="1:14">
      <c r="A11971" s="4" t="str">
        <f t="shared" si="1040"/>
        <v>EXP00386</v>
      </c>
      <c r="B11971" s="3" t="s">
        <v>66</v>
      </c>
      <c r="C11971" s="4" t="str">
        <f t="shared" si="1041"/>
        <v>GSE87211</v>
      </c>
      <c r="D11971" s="1" t="s">
        <v>239</v>
      </c>
      <c r="E11971" t="s">
        <v>96</v>
      </c>
      <c r="F11971" s="1">
        <v>2</v>
      </c>
      <c r="G11971" s="1" t="s">
        <v>28</v>
      </c>
      <c r="H11971" s="4" t="str">
        <f>HYPERLINK("https://www.ncbi.nlm.nih.gov/geo/query/acc.cgi?acc=GSM2325318","GSM2325318")</f>
        <v>GSM2325318</v>
      </c>
      <c r="I11971" t="s">
        <v>69</v>
      </c>
      <c r="J11971" t="s">
        <v>18</v>
      </c>
      <c r="K11971" t="s">
        <v>33</v>
      </c>
      <c r="L11971" t="s">
        <v>70</v>
      </c>
      <c r="N11971" t="s">
        <v>29</v>
      </c>
    </row>
    <row r="11972" spans="1:14">
      <c r="A11972" s="4" t="str">
        <f t="shared" si="1040"/>
        <v>EXP00386</v>
      </c>
      <c r="B11972" s="3" t="s">
        <v>66</v>
      </c>
      <c r="C11972" s="4" t="str">
        <f t="shared" si="1041"/>
        <v>GSE87211</v>
      </c>
      <c r="D11972" s="1" t="s">
        <v>239</v>
      </c>
      <c r="E11972" t="s">
        <v>96</v>
      </c>
      <c r="F11972" s="1">
        <v>2</v>
      </c>
      <c r="G11972" s="1" t="s">
        <v>28</v>
      </c>
      <c r="H11972" s="4" t="str">
        <f>HYPERLINK("https://www.ncbi.nlm.nih.gov/geo/query/acc.cgi?acc=GSM2325319","GSM2325319")</f>
        <v>GSM2325319</v>
      </c>
      <c r="I11972" t="s">
        <v>69</v>
      </c>
      <c r="J11972" t="s">
        <v>18</v>
      </c>
      <c r="K11972" t="s">
        <v>33</v>
      </c>
      <c r="L11972" t="s">
        <v>70</v>
      </c>
      <c r="N11972" t="s">
        <v>29</v>
      </c>
    </row>
    <row r="11973" spans="1:14">
      <c r="A11973" s="4" t="str">
        <f t="shared" si="1040"/>
        <v>EXP00386</v>
      </c>
      <c r="B11973" s="3" t="s">
        <v>66</v>
      </c>
      <c r="C11973" s="4" t="str">
        <f t="shared" si="1041"/>
        <v>GSE87211</v>
      </c>
      <c r="D11973" s="1" t="s">
        <v>239</v>
      </c>
      <c r="E11973" t="s">
        <v>96</v>
      </c>
      <c r="F11973" s="1">
        <v>2</v>
      </c>
      <c r="G11973" s="1" t="s">
        <v>28</v>
      </c>
      <c r="H11973" s="4" t="str">
        <f>HYPERLINK("https://www.ncbi.nlm.nih.gov/geo/query/acc.cgi?acc=GSM2325320","GSM2325320")</f>
        <v>GSM2325320</v>
      </c>
      <c r="I11973" t="s">
        <v>69</v>
      </c>
      <c r="J11973" t="s">
        <v>18</v>
      </c>
      <c r="K11973" t="s">
        <v>33</v>
      </c>
      <c r="L11973" t="s">
        <v>70</v>
      </c>
      <c r="N11973" t="s">
        <v>29</v>
      </c>
    </row>
    <row r="11974" spans="1:14">
      <c r="A11974" s="4" t="str">
        <f t="shared" si="1040"/>
        <v>EXP00386</v>
      </c>
      <c r="B11974" s="3" t="s">
        <v>66</v>
      </c>
      <c r="C11974" s="4" t="str">
        <f t="shared" si="1041"/>
        <v>GSE87211</v>
      </c>
      <c r="D11974" s="1" t="s">
        <v>239</v>
      </c>
      <c r="E11974" t="s">
        <v>96</v>
      </c>
      <c r="F11974" s="1">
        <v>2</v>
      </c>
      <c r="G11974" s="1" t="s">
        <v>28</v>
      </c>
      <c r="H11974" s="4" t="str">
        <f>HYPERLINK("https://www.ncbi.nlm.nih.gov/geo/query/acc.cgi?acc=GSM2325321","GSM2325321")</f>
        <v>GSM2325321</v>
      </c>
      <c r="I11974" t="s">
        <v>69</v>
      </c>
      <c r="J11974" t="s">
        <v>18</v>
      </c>
      <c r="K11974" t="s">
        <v>33</v>
      </c>
      <c r="L11974" t="s">
        <v>70</v>
      </c>
      <c r="N11974" t="s">
        <v>29</v>
      </c>
    </row>
    <row r="11975" spans="1:14">
      <c r="A11975" s="4" t="str">
        <f t="shared" si="1040"/>
        <v>EXP00386</v>
      </c>
      <c r="B11975" s="3" t="s">
        <v>66</v>
      </c>
      <c r="C11975" s="4" t="str">
        <f t="shared" si="1041"/>
        <v>GSE87211</v>
      </c>
      <c r="D11975" s="1" t="s">
        <v>239</v>
      </c>
      <c r="E11975" t="s">
        <v>96</v>
      </c>
      <c r="F11975" s="1">
        <v>2</v>
      </c>
      <c r="G11975" s="1" t="s">
        <v>28</v>
      </c>
      <c r="H11975" s="4" t="str">
        <f>HYPERLINK("https://www.ncbi.nlm.nih.gov/geo/query/acc.cgi?acc=GSM2325322","GSM2325322")</f>
        <v>GSM2325322</v>
      </c>
      <c r="I11975" t="s">
        <v>69</v>
      </c>
      <c r="J11975" t="s">
        <v>18</v>
      </c>
      <c r="K11975" t="s">
        <v>33</v>
      </c>
      <c r="L11975" t="s">
        <v>70</v>
      </c>
      <c r="N11975" t="s">
        <v>29</v>
      </c>
    </row>
    <row r="11976" spans="1:14">
      <c r="A11976" s="4" t="str">
        <f t="shared" si="1040"/>
        <v>EXP00386</v>
      </c>
      <c r="B11976" s="3" t="s">
        <v>66</v>
      </c>
      <c r="C11976" s="4" t="str">
        <f t="shared" si="1041"/>
        <v>GSE87211</v>
      </c>
      <c r="D11976" s="1" t="s">
        <v>239</v>
      </c>
      <c r="E11976" t="s">
        <v>96</v>
      </c>
      <c r="F11976" s="1">
        <v>2</v>
      </c>
      <c r="G11976" s="1" t="s">
        <v>28</v>
      </c>
      <c r="H11976" s="4" t="str">
        <f>HYPERLINK("https://www.ncbi.nlm.nih.gov/geo/query/acc.cgi?acc=GSM2325323","GSM2325323")</f>
        <v>GSM2325323</v>
      </c>
      <c r="I11976" t="s">
        <v>69</v>
      </c>
      <c r="J11976" t="s">
        <v>18</v>
      </c>
      <c r="K11976" t="s">
        <v>33</v>
      </c>
      <c r="L11976" t="s">
        <v>70</v>
      </c>
      <c r="N11976" t="s">
        <v>29</v>
      </c>
    </row>
    <row r="11977" spans="1:14">
      <c r="A11977" s="4" t="str">
        <f t="shared" si="1040"/>
        <v>EXP00386</v>
      </c>
      <c r="B11977" s="3" t="s">
        <v>66</v>
      </c>
      <c r="C11977" s="4" t="str">
        <f t="shared" si="1041"/>
        <v>GSE87211</v>
      </c>
      <c r="D11977" s="1" t="s">
        <v>239</v>
      </c>
      <c r="E11977" t="s">
        <v>96</v>
      </c>
      <c r="F11977" s="1">
        <v>2</v>
      </c>
      <c r="G11977" s="1" t="s">
        <v>28</v>
      </c>
      <c r="H11977" s="4" t="str">
        <f>HYPERLINK("https://www.ncbi.nlm.nih.gov/geo/query/acc.cgi?acc=GSM2325324","GSM2325324")</f>
        <v>GSM2325324</v>
      </c>
      <c r="I11977" t="s">
        <v>69</v>
      </c>
      <c r="J11977" t="s">
        <v>18</v>
      </c>
      <c r="K11977" t="s">
        <v>33</v>
      </c>
      <c r="L11977" t="s">
        <v>70</v>
      </c>
      <c r="N11977" t="s">
        <v>29</v>
      </c>
    </row>
    <row r="11978" spans="1:14">
      <c r="A11978" s="4" t="str">
        <f t="shared" si="1040"/>
        <v>EXP00386</v>
      </c>
      <c r="B11978" s="3" t="s">
        <v>66</v>
      </c>
      <c r="C11978" s="4" t="str">
        <f t="shared" si="1041"/>
        <v>GSE87211</v>
      </c>
      <c r="D11978" s="1" t="s">
        <v>239</v>
      </c>
      <c r="E11978" t="s">
        <v>96</v>
      </c>
      <c r="F11978" s="1">
        <v>2</v>
      </c>
      <c r="G11978" s="1" t="s">
        <v>28</v>
      </c>
      <c r="H11978" s="4" t="str">
        <f>HYPERLINK("https://www.ncbi.nlm.nih.gov/geo/query/acc.cgi?acc=GSM2325325","GSM2325325")</f>
        <v>GSM2325325</v>
      </c>
      <c r="I11978" t="s">
        <v>69</v>
      </c>
      <c r="J11978" t="s">
        <v>18</v>
      </c>
      <c r="K11978" t="s">
        <v>33</v>
      </c>
      <c r="L11978" t="s">
        <v>70</v>
      </c>
      <c r="N11978" t="s">
        <v>29</v>
      </c>
    </row>
    <row r="11979" spans="1:14">
      <c r="A11979" s="4" t="str">
        <f t="shared" si="1040"/>
        <v>EXP00386</v>
      </c>
      <c r="B11979" s="3" t="s">
        <v>66</v>
      </c>
      <c r="C11979" s="4" t="str">
        <f t="shared" si="1041"/>
        <v>GSE87211</v>
      </c>
      <c r="D11979" s="1" t="s">
        <v>239</v>
      </c>
      <c r="E11979" t="s">
        <v>96</v>
      </c>
      <c r="F11979" s="1">
        <v>2</v>
      </c>
      <c r="G11979" s="1" t="s">
        <v>28</v>
      </c>
      <c r="H11979" s="4" t="str">
        <f>HYPERLINK("https://www.ncbi.nlm.nih.gov/geo/query/acc.cgi?acc=GSM2325326","GSM2325326")</f>
        <v>GSM2325326</v>
      </c>
      <c r="I11979" t="s">
        <v>69</v>
      </c>
      <c r="J11979" t="s">
        <v>18</v>
      </c>
      <c r="K11979" t="s">
        <v>33</v>
      </c>
      <c r="L11979" t="s">
        <v>70</v>
      </c>
      <c r="N11979" t="s">
        <v>29</v>
      </c>
    </row>
    <row r="11980" spans="1:14">
      <c r="A11980" s="4" t="str">
        <f t="shared" si="1040"/>
        <v>EXP00386</v>
      </c>
      <c r="B11980" s="3" t="s">
        <v>66</v>
      </c>
      <c r="C11980" s="4" t="str">
        <f t="shared" si="1041"/>
        <v>GSE87211</v>
      </c>
      <c r="D11980" s="1" t="s">
        <v>239</v>
      </c>
      <c r="E11980" t="s">
        <v>96</v>
      </c>
      <c r="F11980" s="1">
        <v>2</v>
      </c>
      <c r="G11980" s="1" t="s">
        <v>28</v>
      </c>
      <c r="H11980" s="4" t="str">
        <f>HYPERLINK("https://www.ncbi.nlm.nih.gov/geo/query/acc.cgi?acc=GSM2325327","GSM2325327")</f>
        <v>GSM2325327</v>
      </c>
      <c r="I11980" t="s">
        <v>69</v>
      </c>
      <c r="J11980" t="s">
        <v>18</v>
      </c>
      <c r="K11980" t="s">
        <v>33</v>
      </c>
      <c r="L11980" t="s">
        <v>70</v>
      </c>
      <c r="N11980" t="s">
        <v>29</v>
      </c>
    </row>
    <row r="11981" spans="1:14">
      <c r="A11981" s="4" t="str">
        <f t="shared" si="1040"/>
        <v>EXP00386</v>
      </c>
      <c r="B11981" s="3" t="s">
        <v>66</v>
      </c>
      <c r="C11981" s="4" t="str">
        <f t="shared" si="1041"/>
        <v>GSE87211</v>
      </c>
      <c r="D11981" s="1" t="s">
        <v>239</v>
      </c>
      <c r="E11981" t="s">
        <v>96</v>
      </c>
      <c r="F11981" s="1">
        <v>2</v>
      </c>
      <c r="G11981" s="1" t="s">
        <v>28</v>
      </c>
      <c r="H11981" s="4" t="str">
        <f>HYPERLINK("https://www.ncbi.nlm.nih.gov/geo/query/acc.cgi?acc=GSM2325328","GSM2325328")</f>
        <v>GSM2325328</v>
      </c>
      <c r="I11981" t="s">
        <v>69</v>
      </c>
      <c r="J11981" t="s">
        <v>18</v>
      </c>
      <c r="K11981" t="s">
        <v>33</v>
      </c>
      <c r="L11981" t="s">
        <v>70</v>
      </c>
      <c r="N11981" t="s">
        <v>29</v>
      </c>
    </row>
    <row r="11982" spans="1:14">
      <c r="A11982" s="4" t="str">
        <f t="shared" si="1040"/>
        <v>EXP00386</v>
      </c>
      <c r="B11982" s="3" t="s">
        <v>66</v>
      </c>
      <c r="C11982" s="4" t="str">
        <f t="shared" si="1041"/>
        <v>GSE87211</v>
      </c>
      <c r="D11982" s="1" t="s">
        <v>239</v>
      </c>
      <c r="E11982" t="s">
        <v>96</v>
      </c>
      <c r="F11982" s="1">
        <v>2</v>
      </c>
      <c r="G11982" s="1" t="s">
        <v>28</v>
      </c>
      <c r="H11982" s="4" t="str">
        <f>HYPERLINK("https://www.ncbi.nlm.nih.gov/geo/query/acc.cgi?acc=GSM2325329","GSM2325329")</f>
        <v>GSM2325329</v>
      </c>
      <c r="I11982" t="s">
        <v>69</v>
      </c>
      <c r="J11982" t="s">
        <v>18</v>
      </c>
      <c r="K11982" t="s">
        <v>33</v>
      </c>
      <c r="L11982" t="s">
        <v>70</v>
      </c>
      <c r="N11982" t="s">
        <v>29</v>
      </c>
    </row>
    <row r="11983" spans="1:14">
      <c r="A11983" s="4" t="str">
        <f t="shared" si="1040"/>
        <v>EXP00386</v>
      </c>
      <c r="B11983" s="3" t="s">
        <v>66</v>
      </c>
      <c r="C11983" s="4" t="str">
        <f t="shared" si="1041"/>
        <v>GSE87211</v>
      </c>
      <c r="D11983" s="1" t="s">
        <v>239</v>
      </c>
      <c r="E11983" t="s">
        <v>96</v>
      </c>
      <c r="F11983" s="1">
        <v>2</v>
      </c>
      <c r="G11983" s="1" t="s">
        <v>28</v>
      </c>
      <c r="H11983" s="4" t="str">
        <f>HYPERLINK("https://www.ncbi.nlm.nih.gov/geo/query/acc.cgi?acc=GSM2325330","GSM2325330")</f>
        <v>GSM2325330</v>
      </c>
      <c r="I11983" t="s">
        <v>69</v>
      </c>
      <c r="J11983" t="s">
        <v>18</v>
      </c>
      <c r="K11983" t="s">
        <v>33</v>
      </c>
      <c r="L11983" t="s">
        <v>70</v>
      </c>
      <c r="N11983" t="s">
        <v>29</v>
      </c>
    </row>
    <row r="11984" spans="1:14">
      <c r="A11984" s="4" t="str">
        <f t="shared" si="1040"/>
        <v>EXP00386</v>
      </c>
      <c r="B11984" s="3" t="s">
        <v>66</v>
      </c>
      <c r="C11984" s="4" t="str">
        <f t="shared" si="1041"/>
        <v>GSE87211</v>
      </c>
      <c r="D11984" s="1" t="s">
        <v>239</v>
      </c>
      <c r="E11984" t="s">
        <v>96</v>
      </c>
      <c r="F11984" s="1">
        <v>2</v>
      </c>
      <c r="G11984" s="1" t="s">
        <v>28</v>
      </c>
      <c r="H11984" s="4" t="str">
        <f>HYPERLINK("https://www.ncbi.nlm.nih.gov/geo/query/acc.cgi?acc=GSM2325331","GSM2325331")</f>
        <v>GSM2325331</v>
      </c>
      <c r="I11984" t="s">
        <v>69</v>
      </c>
      <c r="J11984" t="s">
        <v>18</v>
      </c>
      <c r="K11984" t="s">
        <v>33</v>
      </c>
      <c r="L11984" t="s">
        <v>70</v>
      </c>
      <c r="N11984" t="s">
        <v>29</v>
      </c>
    </row>
    <row r="11985" spans="1:14">
      <c r="A11985" s="4" t="str">
        <f t="shared" si="1040"/>
        <v>EXP00386</v>
      </c>
      <c r="B11985" s="3" t="s">
        <v>66</v>
      </c>
      <c r="C11985" s="4" t="str">
        <f t="shared" si="1041"/>
        <v>GSE87211</v>
      </c>
      <c r="D11985" s="1" t="s">
        <v>239</v>
      </c>
      <c r="E11985" t="s">
        <v>96</v>
      </c>
      <c r="F11985" s="1">
        <v>2</v>
      </c>
      <c r="G11985" s="1" t="s">
        <v>28</v>
      </c>
      <c r="H11985" s="4" t="str">
        <f>HYPERLINK("https://www.ncbi.nlm.nih.gov/geo/query/acc.cgi?acc=GSM2325332","GSM2325332")</f>
        <v>GSM2325332</v>
      </c>
      <c r="I11985" t="s">
        <v>69</v>
      </c>
      <c r="J11985" t="s">
        <v>18</v>
      </c>
      <c r="K11985" t="s">
        <v>33</v>
      </c>
      <c r="L11985" t="s">
        <v>70</v>
      </c>
      <c r="N11985" t="s">
        <v>29</v>
      </c>
    </row>
    <row r="11986" spans="1:14">
      <c r="A11986" s="4" t="str">
        <f t="shared" si="1040"/>
        <v>EXP00386</v>
      </c>
      <c r="B11986" s="3" t="s">
        <v>66</v>
      </c>
      <c r="C11986" s="4" t="str">
        <f t="shared" si="1041"/>
        <v>GSE87211</v>
      </c>
      <c r="D11986" s="1" t="s">
        <v>239</v>
      </c>
      <c r="E11986" t="s">
        <v>96</v>
      </c>
      <c r="F11986" s="1">
        <v>2</v>
      </c>
      <c r="G11986" s="1" t="s">
        <v>28</v>
      </c>
      <c r="H11986" s="4" t="str">
        <f>HYPERLINK("https://www.ncbi.nlm.nih.gov/geo/query/acc.cgi?acc=GSM2325333","GSM2325333")</f>
        <v>GSM2325333</v>
      </c>
      <c r="I11986" t="s">
        <v>69</v>
      </c>
      <c r="J11986" t="s">
        <v>18</v>
      </c>
      <c r="K11986" t="s">
        <v>33</v>
      </c>
      <c r="L11986" t="s">
        <v>70</v>
      </c>
      <c r="N11986" t="s">
        <v>29</v>
      </c>
    </row>
    <row r="11987" spans="1:14">
      <c r="A11987" s="4" t="str">
        <f t="shared" si="1040"/>
        <v>EXP00386</v>
      </c>
      <c r="B11987" s="3" t="s">
        <v>66</v>
      </c>
      <c r="C11987" s="4" t="str">
        <f t="shared" si="1041"/>
        <v>GSE87211</v>
      </c>
      <c r="D11987" s="1" t="s">
        <v>239</v>
      </c>
      <c r="E11987" t="s">
        <v>96</v>
      </c>
      <c r="F11987" s="1">
        <v>2</v>
      </c>
      <c r="G11987" s="1" t="s">
        <v>28</v>
      </c>
      <c r="H11987" s="4" t="str">
        <f>HYPERLINK("https://www.ncbi.nlm.nih.gov/geo/query/acc.cgi?acc=GSM2325334","GSM2325334")</f>
        <v>GSM2325334</v>
      </c>
      <c r="I11987" t="s">
        <v>69</v>
      </c>
      <c r="J11987" t="s">
        <v>18</v>
      </c>
      <c r="K11987" t="s">
        <v>33</v>
      </c>
      <c r="L11987" t="s">
        <v>70</v>
      </c>
      <c r="N11987" t="s">
        <v>29</v>
      </c>
    </row>
    <row r="11988" spans="1:14">
      <c r="A11988" s="4" t="str">
        <f t="shared" si="1040"/>
        <v>EXP00386</v>
      </c>
      <c r="B11988" s="3" t="s">
        <v>66</v>
      </c>
      <c r="C11988" s="4" t="str">
        <f t="shared" si="1041"/>
        <v>GSE87211</v>
      </c>
      <c r="D11988" s="1" t="s">
        <v>239</v>
      </c>
      <c r="E11988" t="s">
        <v>96</v>
      </c>
      <c r="F11988" s="1">
        <v>2</v>
      </c>
      <c r="G11988" s="1" t="s">
        <v>28</v>
      </c>
      <c r="H11988" s="4" t="str">
        <f>HYPERLINK("https://www.ncbi.nlm.nih.gov/geo/query/acc.cgi?acc=GSM2325336","GSM2325336")</f>
        <v>GSM2325336</v>
      </c>
      <c r="I11988" t="s">
        <v>69</v>
      </c>
      <c r="J11988" t="s">
        <v>18</v>
      </c>
      <c r="K11988" t="s">
        <v>33</v>
      </c>
      <c r="L11988" t="s">
        <v>70</v>
      </c>
      <c r="N11988" t="s">
        <v>29</v>
      </c>
    </row>
    <row r="11989" spans="1:14">
      <c r="A11989" s="4" t="str">
        <f t="shared" si="1040"/>
        <v>EXP00386</v>
      </c>
      <c r="B11989" s="3" t="s">
        <v>66</v>
      </c>
      <c r="C11989" s="4" t="str">
        <f t="shared" si="1041"/>
        <v>GSE87211</v>
      </c>
      <c r="D11989" s="1" t="s">
        <v>239</v>
      </c>
      <c r="E11989" t="s">
        <v>96</v>
      </c>
      <c r="F11989" s="1">
        <v>2</v>
      </c>
      <c r="G11989" s="1" t="s">
        <v>28</v>
      </c>
      <c r="H11989" s="4" t="str">
        <f>HYPERLINK("https://www.ncbi.nlm.nih.gov/geo/query/acc.cgi?acc=GSM2325337","GSM2325337")</f>
        <v>GSM2325337</v>
      </c>
      <c r="I11989" t="s">
        <v>69</v>
      </c>
      <c r="J11989" t="s">
        <v>18</v>
      </c>
      <c r="K11989" t="s">
        <v>33</v>
      </c>
      <c r="L11989" t="s">
        <v>70</v>
      </c>
      <c r="N11989" t="s">
        <v>29</v>
      </c>
    </row>
    <row r="11990" spans="1:14">
      <c r="A11990" s="4" t="str">
        <f t="shared" si="1040"/>
        <v>EXP00386</v>
      </c>
      <c r="B11990" s="3" t="s">
        <v>66</v>
      </c>
      <c r="C11990" s="4" t="str">
        <f t="shared" si="1041"/>
        <v>GSE87211</v>
      </c>
      <c r="D11990" s="1" t="s">
        <v>239</v>
      </c>
      <c r="E11990" t="s">
        <v>96</v>
      </c>
      <c r="F11990" s="1">
        <v>2</v>
      </c>
      <c r="G11990" s="1" t="s">
        <v>28</v>
      </c>
      <c r="H11990" s="4" t="str">
        <f>HYPERLINK("https://www.ncbi.nlm.nih.gov/geo/query/acc.cgi?acc=GSM2325338","GSM2325338")</f>
        <v>GSM2325338</v>
      </c>
      <c r="I11990" t="s">
        <v>69</v>
      </c>
      <c r="J11990" t="s">
        <v>18</v>
      </c>
      <c r="K11990" t="s">
        <v>33</v>
      </c>
      <c r="L11990" t="s">
        <v>70</v>
      </c>
      <c r="N11990" t="s">
        <v>29</v>
      </c>
    </row>
    <row r="11991" spans="1:14">
      <c r="A11991" s="4" t="str">
        <f t="shared" si="1040"/>
        <v>EXP00386</v>
      </c>
      <c r="B11991" s="3" t="s">
        <v>66</v>
      </c>
      <c r="C11991" s="4" t="str">
        <f t="shared" si="1041"/>
        <v>GSE87211</v>
      </c>
      <c r="D11991" s="1" t="s">
        <v>239</v>
      </c>
      <c r="E11991" t="s">
        <v>96</v>
      </c>
      <c r="F11991" s="1">
        <v>2</v>
      </c>
      <c r="G11991" s="1" t="s">
        <v>28</v>
      </c>
      <c r="H11991" s="4" t="str">
        <f>HYPERLINK("https://www.ncbi.nlm.nih.gov/geo/query/acc.cgi?acc=GSM2325339","GSM2325339")</f>
        <v>GSM2325339</v>
      </c>
      <c r="I11991" t="s">
        <v>69</v>
      </c>
      <c r="J11991" t="s">
        <v>18</v>
      </c>
      <c r="K11991" t="s">
        <v>33</v>
      </c>
      <c r="L11991" t="s">
        <v>70</v>
      </c>
      <c r="N11991" t="s">
        <v>29</v>
      </c>
    </row>
    <row r="11992" spans="1:14">
      <c r="A11992" s="4" t="str">
        <f t="shared" si="1040"/>
        <v>EXP00386</v>
      </c>
      <c r="B11992" s="3" t="s">
        <v>66</v>
      </c>
      <c r="C11992" s="4" t="str">
        <f t="shared" si="1041"/>
        <v>GSE87211</v>
      </c>
      <c r="D11992" s="1" t="s">
        <v>239</v>
      </c>
      <c r="E11992" t="s">
        <v>96</v>
      </c>
      <c r="F11992" s="1">
        <v>2</v>
      </c>
      <c r="G11992" s="1" t="s">
        <v>28</v>
      </c>
      <c r="H11992" s="4" t="str">
        <f>HYPERLINK("https://www.ncbi.nlm.nih.gov/geo/query/acc.cgi?acc=GSM2325340","GSM2325340")</f>
        <v>GSM2325340</v>
      </c>
      <c r="I11992" t="s">
        <v>69</v>
      </c>
      <c r="J11992" t="s">
        <v>18</v>
      </c>
      <c r="K11992" t="s">
        <v>33</v>
      </c>
      <c r="L11992" t="s">
        <v>70</v>
      </c>
      <c r="N11992" t="s">
        <v>29</v>
      </c>
    </row>
    <row r="11993" spans="1:14">
      <c r="A11993" s="4" t="str">
        <f t="shared" si="1040"/>
        <v>EXP00386</v>
      </c>
      <c r="B11993" s="3" t="s">
        <v>66</v>
      </c>
      <c r="C11993" s="4" t="str">
        <f t="shared" si="1041"/>
        <v>GSE87211</v>
      </c>
      <c r="D11993" s="1" t="s">
        <v>239</v>
      </c>
      <c r="E11993" t="s">
        <v>96</v>
      </c>
      <c r="F11993" s="1">
        <v>2</v>
      </c>
      <c r="G11993" s="1" t="s">
        <v>28</v>
      </c>
      <c r="H11993" s="4" t="str">
        <f>HYPERLINK("https://www.ncbi.nlm.nih.gov/geo/query/acc.cgi?acc=GSM2325341","GSM2325341")</f>
        <v>GSM2325341</v>
      </c>
      <c r="I11993" t="s">
        <v>69</v>
      </c>
      <c r="J11993" t="s">
        <v>18</v>
      </c>
      <c r="K11993" t="s">
        <v>33</v>
      </c>
      <c r="L11993" t="s">
        <v>70</v>
      </c>
      <c r="N11993" t="s">
        <v>29</v>
      </c>
    </row>
    <row r="11994" spans="1:14">
      <c r="A11994" s="4" t="str">
        <f t="shared" si="1040"/>
        <v>EXP00386</v>
      </c>
      <c r="B11994" s="3" t="s">
        <v>66</v>
      </c>
      <c r="C11994" s="4" t="str">
        <f t="shared" si="1041"/>
        <v>GSE87211</v>
      </c>
      <c r="D11994" s="1" t="s">
        <v>239</v>
      </c>
      <c r="E11994" t="s">
        <v>96</v>
      </c>
      <c r="F11994" s="1">
        <v>2</v>
      </c>
      <c r="G11994" s="1" t="s">
        <v>28</v>
      </c>
      <c r="H11994" s="4" t="str">
        <f>HYPERLINK("https://www.ncbi.nlm.nih.gov/geo/query/acc.cgi?acc=GSM2325342","GSM2325342")</f>
        <v>GSM2325342</v>
      </c>
      <c r="I11994" t="s">
        <v>69</v>
      </c>
      <c r="J11994" t="s">
        <v>18</v>
      </c>
      <c r="K11994" t="s">
        <v>33</v>
      </c>
      <c r="L11994" t="s">
        <v>70</v>
      </c>
      <c r="N11994" t="s">
        <v>29</v>
      </c>
    </row>
    <row r="11995" spans="1:14">
      <c r="A11995" s="4" t="str">
        <f t="shared" si="1040"/>
        <v>EXP00386</v>
      </c>
      <c r="B11995" s="3" t="s">
        <v>66</v>
      </c>
      <c r="C11995" s="4" t="str">
        <f t="shared" si="1041"/>
        <v>GSE87211</v>
      </c>
      <c r="D11995" s="1" t="s">
        <v>239</v>
      </c>
      <c r="E11995" t="s">
        <v>96</v>
      </c>
      <c r="F11995" s="1">
        <v>2</v>
      </c>
      <c r="G11995" s="1" t="s">
        <v>28</v>
      </c>
      <c r="H11995" s="4" t="str">
        <f>HYPERLINK("https://www.ncbi.nlm.nih.gov/geo/query/acc.cgi?acc=GSM2325343","GSM2325343")</f>
        <v>GSM2325343</v>
      </c>
      <c r="I11995" t="s">
        <v>69</v>
      </c>
      <c r="J11995" t="s">
        <v>18</v>
      </c>
      <c r="K11995" t="s">
        <v>33</v>
      </c>
      <c r="L11995" t="s">
        <v>70</v>
      </c>
      <c r="N11995" t="s">
        <v>29</v>
      </c>
    </row>
    <row r="11996" spans="1:14">
      <c r="A11996" s="4" t="str">
        <f t="shared" si="1040"/>
        <v>EXP00386</v>
      </c>
      <c r="B11996" s="3" t="s">
        <v>66</v>
      </c>
      <c r="C11996" s="4" t="str">
        <f t="shared" si="1041"/>
        <v>GSE87211</v>
      </c>
      <c r="D11996" s="1" t="s">
        <v>239</v>
      </c>
      <c r="E11996" t="s">
        <v>96</v>
      </c>
      <c r="F11996" s="1">
        <v>2</v>
      </c>
      <c r="G11996" s="1" t="s">
        <v>28</v>
      </c>
      <c r="H11996" s="4" t="str">
        <f>HYPERLINK("https://www.ncbi.nlm.nih.gov/geo/query/acc.cgi?acc=GSM2325344","GSM2325344")</f>
        <v>GSM2325344</v>
      </c>
      <c r="I11996" t="s">
        <v>69</v>
      </c>
      <c r="J11996" t="s">
        <v>18</v>
      </c>
      <c r="K11996" t="s">
        <v>33</v>
      </c>
      <c r="L11996" t="s">
        <v>70</v>
      </c>
      <c r="N11996" t="s">
        <v>29</v>
      </c>
    </row>
    <row r="11997" spans="1:14">
      <c r="A11997" s="4" t="str">
        <f t="shared" si="1040"/>
        <v>EXP00386</v>
      </c>
      <c r="B11997" s="3" t="s">
        <v>66</v>
      </c>
      <c r="C11997" s="4" t="str">
        <f t="shared" si="1041"/>
        <v>GSE87211</v>
      </c>
      <c r="D11997" s="1" t="s">
        <v>239</v>
      </c>
      <c r="E11997" t="s">
        <v>96</v>
      </c>
      <c r="F11997" s="1">
        <v>2</v>
      </c>
      <c r="G11997" s="1" t="s">
        <v>28</v>
      </c>
      <c r="H11997" s="4" t="str">
        <f>HYPERLINK("https://www.ncbi.nlm.nih.gov/geo/query/acc.cgi?acc=GSM2325345","GSM2325345")</f>
        <v>GSM2325345</v>
      </c>
      <c r="I11997" t="s">
        <v>69</v>
      </c>
      <c r="J11997" t="s">
        <v>18</v>
      </c>
      <c r="K11997" t="s">
        <v>33</v>
      </c>
      <c r="L11997" t="s">
        <v>70</v>
      </c>
      <c r="N11997" t="s">
        <v>29</v>
      </c>
    </row>
    <row r="11998" spans="1:14">
      <c r="A11998" s="4" t="str">
        <f t="shared" si="1040"/>
        <v>EXP00386</v>
      </c>
      <c r="B11998" s="3" t="s">
        <v>66</v>
      </c>
      <c r="C11998" s="4" t="str">
        <f t="shared" si="1041"/>
        <v>GSE87211</v>
      </c>
      <c r="D11998" s="1" t="s">
        <v>239</v>
      </c>
      <c r="E11998" t="s">
        <v>96</v>
      </c>
      <c r="F11998" s="1">
        <v>2</v>
      </c>
      <c r="G11998" s="1" t="s">
        <v>28</v>
      </c>
      <c r="H11998" s="4" t="str">
        <f>HYPERLINK("https://www.ncbi.nlm.nih.gov/geo/query/acc.cgi?acc=GSM2325346","GSM2325346")</f>
        <v>GSM2325346</v>
      </c>
      <c r="I11998" t="s">
        <v>69</v>
      </c>
      <c r="J11998" t="s">
        <v>18</v>
      </c>
      <c r="K11998" t="s">
        <v>33</v>
      </c>
      <c r="L11998" t="s">
        <v>70</v>
      </c>
      <c r="N11998" t="s">
        <v>29</v>
      </c>
    </row>
    <row r="11999" spans="1:14">
      <c r="A11999" s="4" t="str">
        <f t="shared" si="1040"/>
        <v>EXP00386</v>
      </c>
      <c r="B11999" s="3" t="s">
        <v>66</v>
      </c>
      <c r="C11999" s="4" t="str">
        <f t="shared" si="1041"/>
        <v>GSE87211</v>
      </c>
      <c r="D11999" s="1" t="s">
        <v>239</v>
      </c>
      <c r="E11999" t="s">
        <v>96</v>
      </c>
      <c r="F11999" s="1">
        <v>2</v>
      </c>
      <c r="G11999" s="1" t="s">
        <v>28</v>
      </c>
      <c r="H11999" s="4" t="str">
        <f>HYPERLINK("https://www.ncbi.nlm.nih.gov/geo/query/acc.cgi?acc=GSM2325347","GSM2325347")</f>
        <v>GSM2325347</v>
      </c>
      <c r="I11999" t="s">
        <v>69</v>
      </c>
      <c r="J11999" t="s">
        <v>18</v>
      </c>
      <c r="K11999" t="s">
        <v>33</v>
      </c>
      <c r="L11999" t="s">
        <v>70</v>
      </c>
      <c r="N11999" t="s">
        <v>29</v>
      </c>
    </row>
    <row r="12000" spans="1:14">
      <c r="A12000" s="4" t="str">
        <f t="shared" si="1040"/>
        <v>EXP00386</v>
      </c>
      <c r="B12000" s="3" t="s">
        <v>66</v>
      </c>
      <c r="C12000" s="4" t="str">
        <f t="shared" si="1041"/>
        <v>GSE87211</v>
      </c>
      <c r="D12000" s="1" t="s">
        <v>239</v>
      </c>
      <c r="E12000" t="s">
        <v>96</v>
      </c>
      <c r="F12000" s="1">
        <v>2</v>
      </c>
      <c r="G12000" s="1" t="s">
        <v>28</v>
      </c>
      <c r="H12000" s="4" t="str">
        <f>HYPERLINK("https://www.ncbi.nlm.nih.gov/geo/query/acc.cgi?acc=GSM2325348","GSM2325348")</f>
        <v>GSM2325348</v>
      </c>
      <c r="I12000" t="s">
        <v>69</v>
      </c>
      <c r="J12000" t="s">
        <v>18</v>
      </c>
      <c r="K12000" t="s">
        <v>33</v>
      </c>
      <c r="L12000" t="s">
        <v>70</v>
      </c>
      <c r="N12000" t="s">
        <v>29</v>
      </c>
    </row>
    <row r="12001" spans="1:14">
      <c r="A12001" s="4" t="str">
        <f t="shared" si="1040"/>
        <v>EXP00386</v>
      </c>
      <c r="B12001" s="3" t="s">
        <v>66</v>
      </c>
      <c r="C12001" s="4" t="str">
        <f t="shared" si="1041"/>
        <v>GSE87211</v>
      </c>
      <c r="D12001" s="1" t="s">
        <v>239</v>
      </c>
      <c r="E12001" t="s">
        <v>96</v>
      </c>
      <c r="F12001" s="1">
        <v>2</v>
      </c>
      <c r="G12001" s="1" t="s">
        <v>28</v>
      </c>
      <c r="H12001" s="4" t="str">
        <f>HYPERLINK("https://www.ncbi.nlm.nih.gov/geo/query/acc.cgi?acc=GSM2325349","GSM2325349")</f>
        <v>GSM2325349</v>
      </c>
      <c r="I12001" t="s">
        <v>69</v>
      </c>
      <c r="J12001" t="s">
        <v>18</v>
      </c>
      <c r="K12001" t="s">
        <v>33</v>
      </c>
      <c r="L12001" t="s">
        <v>70</v>
      </c>
      <c r="N12001" t="s">
        <v>29</v>
      </c>
    </row>
    <row r="12002" spans="1:14">
      <c r="A12002" s="4" t="str">
        <f t="shared" si="1040"/>
        <v>EXP00386</v>
      </c>
      <c r="B12002" s="3" t="s">
        <v>66</v>
      </c>
      <c r="C12002" s="4" t="str">
        <f t="shared" si="1041"/>
        <v>GSE87211</v>
      </c>
      <c r="D12002" s="1" t="s">
        <v>239</v>
      </c>
      <c r="E12002" t="s">
        <v>96</v>
      </c>
      <c r="F12002" s="1">
        <v>2</v>
      </c>
      <c r="G12002" s="1" t="s">
        <v>28</v>
      </c>
      <c r="H12002" s="4" t="str">
        <f>HYPERLINK("https://www.ncbi.nlm.nih.gov/geo/query/acc.cgi?acc=GSM2325350","GSM2325350")</f>
        <v>GSM2325350</v>
      </c>
      <c r="I12002" t="s">
        <v>69</v>
      </c>
      <c r="J12002" t="s">
        <v>18</v>
      </c>
      <c r="K12002" t="s">
        <v>33</v>
      </c>
      <c r="L12002" t="s">
        <v>70</v>
      </c>
      <c r="N12002" t="s">
        <v>29</v>
      </c>
    </row>
    <row r="12003" spans="1:14">
      <c r="A12003" s="4" t="str">
        <f t="shared" si="1040"/>
        <v>EXP00386</v>
      </c>
      <c r="B12003" s="3" t="s">
        <v>66</v>
      </c>
      <c r="C12003" s="4" t="str">
        <f t="shared" si="1041"/>
        <v>GSE87211</v>
      </c>
      <c r="D12003" s="1" t="s">
        <v>239</v>
      </c>
      <c r="E12003" t="s">
        <v>96</v>
      </c>
      <c r="F12003" s="1">
        <v>2</v>
      </c>
      <c r="G12003" s="1" t="s">
        <v>28</v>
      </c>
      <c r="H12003" s="4" t="str">
        <f>HYPERLINK("https://www.ncbi.nlm.nih.gov/geo/query/acc.cgi?acc=GSM2325351","GSM2325351")</f>
        <v>GSM2325351</v>
      </c>
      <c r="I12003" t="s">
        <v>69</v>
      </c>
      <c r="J12003" t="s">
        <v>18</v>
      </c>
      <c r="K12003" t="s">
        <v>33</v>
      </c>
      <c r="L12003" t="s">
        <v>70</v>
      </c>
      <c r="N12003" t="s">
        <v>29</v>
      </c>
    </row>
    <row r="12004" spans="1:14">
      <c r="A12004" s="4" t="str">
        <f t="shared" si="1040"/>
        <v>EXP00386</v>
      </c>
      <c r="B12004" s="3" t="s">
        <v>66</v>
      </c>
      <c r="C12004" s="4" t="str">
        <f t="shared" si="1041"/>
        <v>GSE87211</v>
      </c>
      <c r="D12004" s="1" t="s">
        <v>239</v>
      </c>
      <c r="E12004" t="s">
        <v>96</v>
      </c>
      <c r="F12004" s="1">
        <v>2</v>
      </c>
      <c r="G12004" s="1" t="s">
        <v>28</v>
      </c>
      <c r="H12004" s="4" t="str">
        <f>HYPERLINK("https://www.ncbi.nlm.nih.gov/geo/query/acc.cgi?acc=GSM2325352","GSM2325352")</f>
        <v>GSM2325352</v>
      </c>
      <c r="I12004" t="s">
        <v>69</v>
      </c>
      <c r="J12004" t="s">
        <v>18</v>
      </c>
      <c r="K12004" t="s">
        <v>33</v>
      </c>
      <c r="L12004" t="s">
        <v>70</v>
      </c>
      <c r="N12004" t="s">
        <v>29</v>
      </c>
    </row>
    <row r="12005" spans="1:14">
      <c r="A12005" s="4" t="str">
        <f t="shared" si="1040"/>
        <v>EXP00386</v>
      </c>
      <c r="B12005" s="3" t="s">
        <v>66</v>
      </c>
      <c r="C12005" s="4" t="str">
        <f t="shared" si="1041"/>
        <v>GSE87211</v>
      </c>
      <c r="D12005" s="1" t="s">
        <v>239</v>
      </c>
      <c r="E12005" t="s">
        <v>96</v>
      </c>
      <c r="F12005" s="1">
        <v>2</v>
      </c>
      <c r="G12005" s="1" t="s">
        <v>28</v>
      </c>
      <c r="H12005" s="4" t="str">
        <f>HYPERLINK("https://www.ncbi.nlm.nih.gov/geo/query/acc.cgi?acc=GSM2325353","GSM2325353")</f>
        <v>GSM2325353</v>
      </c>
      <c r="I12005" t="s">
        <v>69</v>
      </c>
      <c r="J12005" t="s">
        <v>18</v>
      </c>
      <c r="K12005" t="s">
        <v>33</v>
      </c>
      <c r="L12005" t="s">
        <v>70</v>
      </c>
      <c r="N12005" t="s">
        <v>29</v>
      </c>
    </row>
    <row r="12006" spans="1:14">
      <c r="A12006" s="4" t="str">
        <f t="shared" si="1040"/>
        <v>EXP00386</v>
      </c>
      <c r="B12006" s="3" t="s">
        <v>66</v>
      </c>
      <c r="C12006" s="4" t="str">
        <f t="shared" si="1041"/>
        <v>GSE87211</v>
      </c>
      <c r="D12006" s="1" t="s">
        <v>239</v>
      </c>
      <c r="E12006" t="s">
        <v>96</v>
      </c>
      <c r="F12006" s="1">
        <v>2</v>
      </c>
      <c r="G12006" s="1" t="s">
        <v>28</v>
      </c>
      <c r="H12006" s="4" t="str">
        <f>HYPERLINK("https://www.ncbi.nlm.nih.gov/geo/query/acc.cgi?acc=GSM2325354","GSM2325354")</f>
        <v>GSM2325354</v>
      </c>
      <c r="I12006" t="s">
        <v>69</v>
      </c>
      <c r="J12006" t="s">
        <v>18</v>
      </c>
      <c r="K12006" t="s">
        <v>33</v>
      </c>
      <c r="L12006" t="s">
        <v>70</v>
      </c>
      <c r="N12006" t="s">
        <v>29</v>
      </c>
    </row>
    <row r="12007" spans="1:14">
      <c r="A12007" s="4" t="str">
        <f t="shared" si="1040"/>
        <v>EXP00386</v>
      </c>
      <c r="B12007" s="3" t="s">
        <v>66</v>
      </c>
      <c r="C12007" s="4" t="str">
        <f t="shared" si="1041"/>
        <v>GSE87211</v>
      </c>
      <c r="D12007" s="1" t="s">
        <v>239</v>
      </c>
      <c r="E12007" t="s">
        <v>96</v>
      </c>
      <c r="F12007" s="1">
        <v>2</v>
      </c>
      <c r="G12007" s="1" t="s">
        <v>28</v>
      </c>
      <c r="H12007" s="4" t="str">
        <f>HYPERLINK("https://www.ncbi.nlm.nih.gov/geo/query/acc.cgi?acc=GSM2325355","GSM2325355")</f>
        <v>GSM2325355</v>
      </c>
      <c r="I12007" t="s">
        <v>69</v>
      </c>
      <c r="J12007" t="s">
        <v>18</v>
      </c>
      <c r="K12007" t="s">
        <v>33</v>
      </c>
      <c r="L12007" t="s">
        <v>70</v>
      </c>
      <c r="N12007" t="s">
        <v>29</v>
      </c>
    </row>
    <row r="12008" spans="1:14">
      <c r="A12008" s="4" t="str">
        <f t="shared" ref="A12008:A12071" si="1042">HYPERLINK("http://hcmdb.i-sanger.com/experiment/details/experiment_id/EXP00386","EXP00386")</f>
        <v>EXP00386</v>
      </c>
      <c r="B12008" s="3" t="s">
        <v>66</v>
      </c>
      <c r="C12008" s="4" t="str">
        <f t="shared" si="1041"/>
        <v>GSE87211</v>
      </c>
      <c r="D12008" s="1" t="s">
        <v>239</v>
      </c>
      <c r="E12008" t="s">
        <v>96</v>
      </c>
      <c r="F12008" s="1">
        <v>2</v>
      </c>
      <c r="G12008" s="1" t="s">
        <v>28</v>
      </c>
      <c r="H12008" s="4" t="str">
        <f>HYPERLINK("https://www.ncbi.nlm.nih.gov/geo/query/acc.cgi?acc=GSM2325356","GSM2325356")</f>
        <v>GSM2325356</v>
      </c>
      <c r="I12008" t="s">
        <v>69</v>
      </c>
      <c r="J12008" t="s">
        <v>18</v>
      </c>
      <c r="K12008" t="s">
        <v>33</v>
      </c>
      <c r="L12008" t="s">
        <v>70</v>
      </c>
      <c r="N12008" t="s">
        <v>29</v>
      </c>
    </row>
    <row r="12009" spans="1:14">
      <c r="A12009" s="4" t="str">
        <f t="shared" si="1042"/>
        <v>EXP00386</v>
      </c>
      <c r="B12009" s="3" t="s">
        <v>66</v>
      </c>
      <c r="C12009" s="4" t="str">
        <f t="shared" si="1041"/>
        <v>GSE87211</v>
      </c>
      <c r="D12009" s="1" t="s">
        <v>239</v>
      </c>
      <c r="E12009" t="s">
        <v>96</v>
      </c>
      <c r="F12009" s="1">
        <v>2</v>
      </c>
      <c r="G12009" s="1" t="s">
        <v>28</v>
      </c>
      <c r="H12009" s="4" t="str">
        <f>HYPERLINK("https://www.ncbi.nlm.nih.gov/geo/query/acc.cgi?acc=GSM2325357","GSM2325357")</f>
        <v>GSM2325357</v>
      </c>
      <c r="I12009" t="s">
        <v>69</v>
      </c>
      <c r="J12009" t="s">
        <v>18</v>
      </c>
      <c r="K12009" t="s">
        <v>33</v>
      </c>
      <c r="L12009" t="s">
        <v>70</v>
      </c>
      <c r="N12009" t="s">
        <v>29</v>
      </c>
    </row>
    <row r="12010" spans="1:14">
      <c r="A12010" s="4" t="str">
        <f t="shared" si="1042"/>
        <v>EXP00386</v>
      </c>
      <c r="B12010" s="3" t="s">
        <v>66</v>
      </c>
      <c r="C12010" s="4" t="str">
        <f t="shared" si="1041"/>
        <v>GSE87211</v>
      </c>
      <c r="D12010" s="1" t="s">
        <v>239</v>
      </c>
      <c r="E12010" t="s">
        <v>96</v>
      </c>
      <c r="F12010" s="1">
        <v>2</v>
      </c>
      <c r="G12010" s="1" t="s">
        <v>28</v>
      </c>
      <c r="H12010" s="4" t="str">
        <f>HYPERLINK("https://www.ncbi.nlm.nih.gov/geo/query/acc.cgi?acc=GSM2325358","GSM2325358")</f>
        <v>GSM2325358</v>
      </c>
      <c r="I12010" t="s">
        <v>69</v>
      </c>
      <c r="J12010" t="s">
        <v>18</v>
      </c>
      <c r="K12010" t="s">
        <v>33</v>
      </c>
      <c r="L12010" t="s">
        <v>70</v>
      </c>
      <c r="N12010" t="s">
        <v>29</v>
      </c>
    </row>
    <row r="12011" spans="1:14">
      <c r="A12011" s="4" t="str">
        <f t="shared" si="1042"/>
        <v>EXP00386</v>
      </c>
      <c r="B12011" s="3" t="s">
        <v>66</v>
      </c>
      <c r="C12011" s="4" t="str">
        <f t="shared" si="1041"/>
        <v>GSE87211</v>
      </c>
      <c r="D12011" s="1" t="s">
        <v>239</v>
      </c>
      <c r="E12011" t="s">
        <v>96</v>
      </c>
      <c r="F12011" s="1">
        <v>2</v>
      </c>
      <c r="G12011" s="1" t="s">
        <v>28</v>
      </c>
      <c r="H12011" s="4" t="str">
        <f>HYPERLINK("https://www.ncbi.nlm.nih.gov/geo/query/acc.cgi?acc=GSM2325359","GSM2325359")</f>
        <v>GSM2325359</v>
      </c>
      <c r="I12011" t="s">
        <v>69</v>
      </c>
      <c r="J12011" t="s">
        <v>18</v>
      </c>
      <c r="K12011" t="s">
        <v>33</v>
      </c>
      <c r="L12011" t="s">
        <v>70</v>
      </c>
      <c r="N12011" t="s">
        <v>29</v>
      </c>
    </row>
    <row r="12012" spans="1:14">
      <c r="A12012" s="4" t="str">
        <f t="shared" si="1042"/>
        <v>EXP00386</v>
      </c>
      <c r="B12012" s="3" t="s">
        <v>66</v>
      </c>
      <c r="C12012" s="4" t="str">
        <f t="shared" si="1041"/>
        <v>GSE87211</v>
      </c>
      <c r="D12012" s="1" t="s">
        <v>239</v>
      </c>
      <c r="E12012" t="s">
        <v>96</v>
      </c>
      <c r="F12012" s="1">
        <v>2</v>
      </c>
      <c r="G12012" s="1" t="s">
        <v>28</v>
      </c>
      <c r="H12012" s="4" t="str">
        <f>HYPERLINK("https://www.ncbi.nlm.nih.gov/geo/query/acc.cgi?acc=GSM2325362","GSM2325362")</f>
        <v>GSM2325362</v>
      </c>
      <c r="I12012" t="s">
        <v>69</v>
      </c>
      <c r="J12012" t="s">
        <v>18</v>
      </c>
      <c r="K12012" t="s">
        <v>33</v>
      </c>
      <c r="L12012" t="s">
        <v>70</v>
      </c>
      <c r="N12012" t="s">
        <v>29</v>
      </c>
    </row>
    <row r="12013" spans="1:14">
      <c r="A12013" s="4" t="str">
        <f t="shared" si="1042"/>
        <v>EXP00386</v>
      </c>
      <c r="B12013" s="3" t="s">
        <v>66</v>
      </c>
      <c r="C12013" s="4" t="str">
        <f t="shared" si="1041"/>
        <v>GSE87211</v>
      </c>
      <c r="D12013" s="1" t="s">
        <v>239</v>
      </c>
      <c r="E12013" t="s">
        <v>96</v>
      </c>
      <c r="F12013" s="1">
        <v>2</v>
      </c>
      <c r="G12013" s="1" t="s">
        <v>28</v>
      </c>
      <c r="H12013" s="4" t="str">
        <f>HYPERLINK("https://www.ncbi.nlm.nih.gov/geo/query/acc.cgi?acc=GSM2325363","GSM2325363")</f>
        <v>GSM2325363</v>
      </c>
      <c r="I12013" t="s">
        <v>69</v>
      </c>
      <c r="J12013" t="s">
        <v>18</v>
      </c>
      <c r="K12013" t="s">
        <v>33</v>
      </c>
      <c r="L12013" t="s">
        <v>70</v>
      </c>
      <c r="N12013" t="s">
        <v>29</v>
      </c>
    </row>
    <row r="12014" spans="1:14">
      <c r="A12014" s="4" t="str">
        <f t="shared" si="1042"/>
        <v>EXP00386</v>
      </c>
      <c r="B12014" s="3" t="s">
        <v>66</v>
      </c>
      <c r="C12014" s="4" t="str">
        <f t="shared" si="1041"/>
        <v>GSE87211</v>
      </c>
      <c r="D12014" s="1" t="s">
        <v>239</v>
      </c>
      <c r="E12014" t="s">
        <v>96</v>
      </c>
      <c r="F12014" s="1">
        <v>2</v>
      </c>
      <c r="G12014" s="1" t="s">
        <v>28</v>
      </c>
      <c r="H12014" s="4" t="str">
        <f>HYPERLINK("https://www.ncbi.nlm.nih.gov/geo/query/acc.cgi?acc=GSM2325364","GSM2325364")</f>
        <v>GSM2325364</v>
      </c>
      <c r="I12014" t="s">
        <v>69</v>
      </c>
      <c r="J12014" t="s">
        <v>18</v>
      </c>
      <c r="K12014" t="s">
        <v>33</v>
      </c>
      <c r="L12014" t="s">
        <v>70</v>
      </c>
      <c r="N12014" t="s">
        <v>29</v>
      </c>
    </row>
    <row r="12015" spans="1:14">
      <c r="A12015" s="4" t="str">
        <f t="shared" si="1042"/>
        <v>EXP00386</v>
      </c>
      <c r="B12015" s="3" t="s">
        <v>66</v>
      </c>
      <c r="C12015" s="4" t="str">
        <f t="shared" si="1041"/>
        <v>GSE87211</v>
      </c>
      <c r="D12015" s="1" t="s">
        <v>239</v>
      </c>
      <c r="E12015" t="s">
        <v>96</v>
      </c>
      <c r="F12015" s="1">
        <v>2</v>
      </c>
      <c r="G12015" s="1" t="s">
        <v>28</v>
      </c>
      <c r="H12015" s="4" t="str">
        <f>HYPERLINK("https://www.ncbi.nlm.nih.gov/geo/query/acc.cgi?acc=GSM2325365","GSM2325365")</f>
        <v>GSM2325365</v>
      </c>
      <c r="I12015" t="s">
        <v>69</v>
      </c>
      <c r="J12015" t="s">
        <v>18</v>
      </c>
      <c r="K12015" t="s">
        <v>33</v>
      </c>
      <c r="L12015" t="s">
        <v>70</v>
      </c>
      <c r="N12015" t="s">
        <v>29</v>
      </c>
    </row>
    <row r="12016" spans="1:14">
      <c r="A12016" s="4" t="str">
        <f t="shared" si="1042"/>
        <v>EXP00386</v>
      </c>
      <c r="B12016" s="3" t="s">
        <v>66</v>
      </c>
      <c r="C12016" s="4" t="str">
        <f t="shared" si="1041"/>
        <v>GSE87211</v>
      </c>
      <c r="D12016" s="1" t="s">
        <v>239</v>
      </c>
      <c r="E12016" t="s">
        <v>96</v>
      </c>
      <c r="F12016" s="1">
        <v>2</v>
      </c>
      <c r="G12016" s="1" t="s">
        <v>28</v>
      </c>
      <c r="H12016" s="4" t="str">
        <f>HYPERLINK("https://www.ncbi.nlm.nih.gov/geo/query/acc.cgi?acc=GSM2325366","GSM2325366")</f>
        <v>GSM2325366</v>
      </c>
      <c r="I12016" t="s">
        <v>69</v>
      </c>
      <c r="J12016" t="s">
        <v>18</v>
      </c>
      <c r="K12016" t="s">
        <v>33</v>
      </c>
      <c r="L12016" t="s">
        <v>70</v>
      </c>
      <c r="N12016" t="s">
        <v>29</v>
      </c>
    </row>
    <row r="12017" spans="1:14">
      <c r="A12017" s="4" t="str">
        <f t="shared" si="1042"/>
        <v>EXP00386</v>
      </c>
      <c r="B12017" s="3" t="s">
        <v>66</v>
      </c>
      <c r="C12017" s="4" t="str">
        <f t="shared" si="1041"/>
        <v>GSE87211</v>
      </c>
      <c r="D12017" s="1" t="s">
        <v>239</v>
      </c>
      <c r="E12017" t="s">
        <v>96</v>
      </c>
      <c r="F12017" s="1">
        <v>2</v>
      </c>
      <c r="G12017" s="1" t="s">
        <v>28</v>
      </c>
      <c r="H12017" s="4" t="str">
        <f>HYPERLINK("https://www.ncbi.nlm.nih.gov/geo/query/acc.cgi?acc=GSM2325367","GSM2325367")</f>
        <v>GSM2325367</v>
      </c>
      <c r="I12017" t="s">
        <v>69</v>
      </c>
      <c r="J12017" t="s">
        <v>18</v>
      </c>
      <c r="K12017" t="s">
        <v>33</v>
      </c>
      <c r="L12017" t="s">
        <v>70</v>
      </c>
      <c r="N12017" t="s">
        <v>29</v>
      </c>
    </row>
    <row r="12018" spans="1:14">
      <c r="A12018" s="4" t="str">
        <f t="shared" si="1042"/>
        <v>EXP00386</v>
      </c>
      <c r="B12018" s="3" t="s">
        <v>66</v>
      </c>
      <c r="C12018" s="4" t="str">
        <f t="shared" si="1041"/>
        <v>GSE87211</v>
      </c>
      <c r="D12018" s="1" t="s">
        <v>239</v>
      </c>
      <c r="E12018" t="s">
        <v>96</v>
      </c>
      <c r="F12018" s="1">
        <v>2</v>
      </c>
      <c r="G12018" s="1" t="s">
        <v>28</v>
      </c>
      <c r="H12018" s="4" t="str">
        <f>HYPERLINK("https://www.ncbi.nlm.nih.gov/geo/query/acc.cgi?acc=GSM2325368","GSM2325368")</f>
        <v>GSM2325368</v>
      </c>
      <c r="I12018" t="s">
        <v>69</v>
      </c>
      <c r="J12018" t="s">
        <v>18</v>
      </c>
      <c r="K12018" t="s">
        <v>33</v>
      </c>
      <c r="L12018" t="s">
        <v>70</v>
      </c>
      <c r="N12018" t="s">
        <v>29</v>
      </c>
    </row>
    <row r="12019" spans="1:14">
      <c r="A12019" s="4" t="str">
        <f t="shared" si="1042"/>
        <v>EXP00386</v>
      </c>
      <c r="B12019" s="3" t="s">
        <v>66</v>
      </c>
      <c r="C12019" s="4" t="str">
        <f t="shared" si="1041"/>
        <v>GSE87211</v>
      </c>
      <c r="D12019" s="1" t="s">
        <v>239</v>
      </c>
      <c r="E12019" t="s">
        <v>96</v>
      </c>
      <c r="F12019" s="1">
        <v>2</v>
      </c>
      <c r="G12019" s="1" t="s">
        <v>28</v>
      </c>
      <c r="H12019" s="4" t="str">
        <f>HYPERLINK("https://www.ncbi.nlm.nih.gov/geo/query/acc.cgi?acc=GSM2325369","GSM2325369")</f>
        <v>GSM2325369</v>
      </c>
      <c r="I12019" t="s">
        <v>69</v>
      </c>
      <c r="J12019" t="s">
        <v>18</v>
      </c>
      <c r="K12019" t="s">
        <v>33</v>
      </c>
      <c r="L12019" t="s">
        <v>70</v>
      </c>
      <c r="N12019" t="s">
        <v>29</v>
      </c>
    </row>
    <row r="12020" spans="1:14">
      <c r="A12020" s="4" t="str">
        <f t="shared" si="1042"/>
        <v>EXP00386</v>
      </c>
      <c r="B12020" s="3" t="s">
        <v>66</v>
      </c>
      <c r="C12020" s="4" t="str">
        <f t="shared" si="1041"/>
        <v>GSE87211</v>
      </c>
      <c r="D12020" s="1" t="s">
        <v>239</v>
      </c>
      <c r="E12020" t="s">
        <v>96</v>
      </c>
      <c r="F12020" s="1">
        <v>2</v>
      </c>
      <c r="G12020" s="1" t="s">
        <v>28</v>
      </c>
      <c r="H12020" s="4" t="str">
        <f>HYPERLINK("https://www.ncbi.nlm.nih.gov/geo/query/acc.cgi?acc=GSM2325370","GSM2325370")</f>
        <v>GSM2325370</v>
      </c>
      <c r="I12020" t="s">
        <v>69</v>
      </c>
      <c r="J12020" t="s">
        <v>18</v>
      </c>
      <c r="K12020" t="s">
        <v>33</v>
      </c>
      <c r="L12020" t="s">
        <v>70</v>
      </c>
      <c r="N12020" t="s">
        <v>29</v>
      </c>
    </row>
    <row r="12021" spans="1:14">
      <c r="A12021" s="4" t="str">
        <f t="shared" si="1042"/>
        <v>EXP00386</v>
      </c>
      <c r="B12021" s="3" t="s">
        <v>66</v>
      </c>
      <c r="C12021" s="4" t="str">
        <f t="shared" si="1041"/>
        <v>GSE87211</v>
      </c>
      <c r="D12021" s="1" t="s">
        <v>239</v>
      </c>
      <c r="E12021" t="s">
        <v>96</v>
      </c>
      <c r="F12021" s="1">
        <v>2</v>
      </c>
      <c r="G12021" s="1" t="s">
        <v>28</v>
      </c>
      <c r="H12021" s="4" t="str">
        <f>HYPERLINK("https://www.ncbi.nlm.nih.gov/geo/query/acc.cgi?acc=GSM2325372","GSM2325372")</f>
        <v>GSM2325372</v>
      </c>
      <c r="I12021" t="s">
        <v>69</v>
      </c>
      <c r="J12021" t="s">
        <v>18</v>
      </c>
      <c r="K12021" t="s">
        <v>33</v>
      </c>
      <c r="L12021" t="s">
        <v>70</v>
      </c>
      <c r="N12021" t="s">
        <v>29</v>
      </c>
    </row>
    <row r="12022" spans="1:14">
      <c r="A12022" s="4" t="str">
        <f t="shared" si="1042"/>
        <v>EXP00386</v>
      </c>
      <c r="B12022" s="3" t="s">
        <v>66</v>
      </c>
      <c r="C12022" s="4" t="str">
        <f t="shared" si="1041"/>
        <v>GSE87211</v>
      </c>
      <c r="D12022" s="1" t="s">
        <v>239</v>
      </c>
      <c r="E12022" t="s">
        <v>96</v>
      </c>
      <c r="F12022" s="1">
        <v>2</v>
      </c>
      <c r="G12022" s="1" t="s">
        <v>28</v>
      </c>
      <c r="H12022" s="4" t="str">
        <f>HYPERLINK("https://www.ncbi.nlm.nih.gov/geo/query/acc.cgi?acc=GSM2325373","GSM2325373")</f>
        <v>GSM2325373</v>
      </c>
      <c r="I12022" t="s">
        <v>69</v>
      </c>
      <c r="J12022" t="s">
        <v>18</v>
      </c>
      <c r="K12022" t="s">
        <v>33</v>
      </c>
      <c r="L12022" t="s">
        <v>70</v>
      </c>
      <c r="N12022" t="s">
        <v>29</v>
      </c>
    </row>
    <row r="12023" spans="1:14">
      <c r="A12023" s="4" t="str">
        <f t="shared" si="1042"/>
        <v>EXP00386</v>
      </c>
      <c r="B12023" s="3" t="s">
        <v>66</v>
      </c>
      <c r="C12023" s="4" t="str">
        <f t="shared" si="1041"/>
        <v>GSE87211</v>
      </c>
      <c r="D12023" s="1" t="s">
        <v>239</v>
      </c>
      <c r="E12023" t="s">
        <v>96</v>
      </c>
      <c r="F12023" s="1">
        <v>2</v>
      </c>
      <c r="G12023" s="1" t="s">
        <v>28</v>
      </c>
      <c r="H12023" s="4" t="str">
        <f>HYPERLINK("https://www.ncbi.nlm.nih.gov/geo/query/acc.cgi?acc=GSM2325374","GSM2325374")</f>
        <v>GSM2325374</v>
      </c>
      <c r="I12023" t="s">
        <v>69</v>
      </c>
      <c r="J12023" t="s">
        <v>18</v>
      </c>
      <c r="K12023" t="s">
        <v>33</v>
      </c>
      <c r="L12023" t="s">
        <v>70</v>
      </c>
      <c r="N12023" t="s">
        <v>29</v>
      </c>
    </row>
    <row r="12024" spans="1:14">
      <c r="A12024" s="4" t="str">
        <f t="shared" si="1042"/>
        <v>EXP00386</v>
      </c>
      <c r="B12024" s="3" t="s">
        <v>66</v>
      </c>
      <c r="C12024" s="4" t="str">
        <f t="shared" si="1041"/>
        <v>GSE87211</v>
      </c>
      <c r="D12024" s="1" t="s">
        <v>239</v>
      </c>
      <c r="E12024" t="s">
        <v>96</v>
      </c>
      <c r="F12024" s="1">
        <v>2</v>
      </c>
      <c r="G12024" s="1" t="s">
        <v>28</v>
      </c>
      <c r="H12024" s="4" t="str">
        <f>HYPERLINK("https://www.ncbi.nlm.nih.gov/geo/query/acc.cgi?acc=GSM2325375","GSM2325375")</f>
        <v>GSM2325375</v>
      </c>
      <c r="I12024" t="s">
        <v>69</v>
      </c>
      <c r="J12024" t="s">
        <v>18</v>
      </c>
      <c r="K12024" t="s">
        <v>33</v>
      </c>
      <c r="L12024" t="s">
        <v>70</v>
      </c>
      <c r="N12024" t="s">
        <v>29</v>
      </c>
    </row>
    <row r="12025" spans="1:14">
      <c r="A12025" s="4" t="str">
        <f t="shared" si="1042"/>
        <v>EXP00386</v>
      </c>
      <c r="B12025" s="3" t="s">
        <v>66</v>
      </c>
      <c r="C12025" s="4" t="str">
        <f t="shared" si="1041"/>
        <v>GSE87211</v>
      </c>
      <c r="D12025" s="1" t="s">
        <v>239</v>
      </c>
      <c r="E12025" t="s">
        <v>96</v>
      </c>
      <c r="F12025" s="1">
        <v>2</v>
      </c>
      <c r="G12025" s="1" t="s">
        <v>28</v>
      </c>
      <c r="H12025" s="4" t="str">
        <f>HYPERLINK("https://www.ncbi.nlm.nih.gov/geo/query/acc.cgi?acc=GSM2325376","GSM2325376")</f>
        <v>GSM2325376</v>
      </c>
      <c r="I12025" t="s">
        <v>69</v>
      </c>
      <c r="J12025" t="s">
        <v>18</v>
      </c>
      <c r="K12025" t="s">
        <v>33</v>
      </c>
      <c r="L12025" t="s">
        <v>70</v>
      </c>
      <c r="N12025" t="s">
        <v>29</v>
      </c>
    </row>
    <row r="12026" spans="1:14">
      <c r="A12026" s="4" t="str">
        <f t="shared" si="1042"/>
        <v>EXP00386</v>
      </c>
      <c r="B12026" s="3" t="s">
        <v>66</v>
      </c>
      <c r="C12026" s="4" t="str">
        <f t="shared" si="1041"/>
        <v>GSE87211</v>
      </c>
      <c r="D12026" s="1" t="s">
        <v>239</v>
      </c>
      <c r="E12026" t="s">
        <v>96</v>
      </c>
      <c r="F12026" s="1">
        <v>2</v>
      </c>
      <c r="G12026" s="1" t="s">
        <v>28</v>
      </c>
      <c r="H12026" s="4" t="str">
        <f>HYPERLINK("https://www.ncbi.nlm.nih.gov/geo/query/acc.cgi?acc=GSM2325377","GSM2325377")</f>
        <v>GSM2325377</v>
      </c>
      <c r="I12026" t="s">
        <v>69</v>
      </c>
      <c r="J12026" t="s">
        <v>18</v>
      </c>
      <c r="K12026" t="s">
        <v>33</v>
      </c>
      <c r="L12026" t="s">
        <v>70</v>
      </c>
      <c r="N12026" t="s">
        <v>29</v>
      </c>
    </row>
    <row r="12027" spans="1:14">
      <c r="A12027" s="4" t="str">
        <f t="shared" si="1042"/>
        <v>EXP00386</v>
      </c>
      <c r="B12027" s="3" t="s">
        <v>66</v>
      </c>
      <c r="C12027" s="4" t="str">
        <f t="shared" si="1041"/>
        <v>GSE87211</v>
      </c>
      <c r="D12027" s="1" t="s">
        <v>239</v>
      </c>
      <c r="E12027" t="s">
        <v>96</v>
      </c>
      <c r="F12027" s="1">
        <v>2</v>
      </c>
      <c r="G12027" s="1" t="s">
        <v>28</v>
      </c>
      <c r="H12027" s="4" t="str">
        <f>HYPERLINK("https://www.ncbi.nlm.nih.gov/geo/query/acc.cgi?acc=GSM2325378","GSM2325378")</f>
        <v>GSM2325378</v>
      </c>
      <c r="I12027" t="s">
        <v>69</v>
      </c>
      <c r="J12027" t="s">
        <v>18</v>
      </c>
      <c r="K12027" t="s">
        <v>33</v>
      </c>
      <c r="L12027" t="s">
        <v>70</v>
      </c>
      <c r="N12027" t="s">
        <v>29</v>
      </c>
    </row>
    <row r="12028" spans="1:14">
      <c r="A12028" s="4" t="str">
        <f t="shared" si="1042"/>
        <v>EXP00386</v>
      </c>
      <c r="B12028" s="3" t="s">
        <v>66</v>
      </c>
      <c r="C12028" s="4" t="str">
        <f t="shared" si="1041"/>
        <v>GSE87211</v>
      </c>
      <c r="D12028" s="1" t="s">
        <v>239</v>
      </c>
      <c r="E12028" t="s">
        <v>96</v>
      </c>
      <c r="F12028" s="1">
        <v>2</v>
      </c>
      <c r="G12028" s="1" t="s">
        <v>28</v>
      </c>
      <c r="H12028" s="4" t="str">
        <f>HYPERLINK("https://www.ncbi.nlm.nih.gov/geo/query/acc.cgi?acc=GSM2325379","GSM2325379")</f>
        <v>GSM2325379</v>
      </c>
      <c r="I12028" t="s">
        <v>69</v>
      </c>
      <c r="J12028" t="s">
        <v>18</v>
      </c>
      <c r="K12028" t="s">
        <v>33</v>
      </c>
      <c r="L12028" t="s">
        <v>70</v>
      </c>
      <c r="N12028" t="s">
        <v>29</v>
      </c>
    </row>
    <row r="12029" spans="1:14">
      <c r="A12029" s="4" t="str">
        <f t="shared" si="1042"/>
        <v>EXP00386</v>
      </c>
      <c r="B12029" s="3" t="s">
        <v>66</v>
      </c>
      <c r="C12029" s="4" t="str">
        <f t="shared" si="1041"/>
        <v>GSE87211</v>
      </c>
      <c r="D12029" s="1" t="s">
        <v>239</v>
      </c>
      <c r="E12029" t="s">
        <v>96</v>
      </c>
      <c r="F12029" s="1">
        <v>2</v>
      </c>
      <c r="G12029" s="1" t="s">
        <v>28</v>
      </c>
      <c r="H12029" s="4" t="str">
        <f>HYPERLINK("https://www.ncbi.nlm.nih.gov/geo/query/acc.cgi?acc=GSM2325380","GSM2325380")</f>
        <v>GSM2325380</v>
      </c>
      <c r="I12029" t="s">
        <v>69</v>
      </c>
      <c r="J12029" t="s">
        <v>18</v>
      </c>
      <c r="K12029" t="s">
        <v>33</v>
      </c>
      <c r="L12029" t="s">
        <v>70</v>
      </c>
      <c r="N12029" t="s">
        <v>29</v>
      </c>
    </row>
    <row r="12030" spans="1:14">
      <c r="A12030" s="4" t="str">
        <f t="shared" si="1042"/>
        <v>EXP00386</v>
      </c>
      <c r="B12030" s="3" t="s">
        <v>66</v>
      </c>
      <c r="C12030" s="4" t="str">
        <f t="shared" si="1041"/>
        <v>GSE87211</v>
      </c>
      <c r="D12030" s="1" t="s">
        <v>239</v>
      </c>
      <c r="E12030" t="s">
        <v>96</v>
      </c>
      <c r="F12030" s="1">
        <v>2</v>
      </c>
      <c r="G12030" s="1" t="s">
        <v>28</v>
      </c>
      <c r="H12030" s="4" t="str">
        <f>HYPERLINK("https://www.ncbi.nlm.nih.gov/geo/query/acc.cgi?acc=GSM2325381","GSM2325381")</f>
        <v>GSM2325381</v>
      </c>
      <c r="I12030" t="s">
        <v>69</v>
      </c>
      <c r="J12030" t="s">
        <v>18</v>
      </c>
      <c r="K12030" t="s">
        <v>33</v>
      </c>
      <c r="L12030" t="s">
        <v>70</v>
      </c>
      <c r="N12030" t="s">
        <v>29</v>
      </c>
    </row>
    <row r="12031" spans="1:14">
      <c r="A12031" s="4" t="str">
        <f t="shared" si="1042"/>
        <v>EXP00386</v>
      </c>
      <c r="B12031" s="3" t="s">
        <v>66</v>
      </c>
      <c r="C12031" s="4" t="str">
        <f t="shared" si="1041"/>
        <v>GSE87211</v>
      </c>
      <c r="D12031" s="1" t="s">
        <v>239</v>
      </c>
      <c r="E12031" t="s">
        <v>96</v>
      </c>
      <c r="F12031" s="1">
        <v>2</v>
      </c>
      <c r="G12031" s="1" t="s">
        <v>28</v>
      </c>
      <c r="H12031" s="4" t="str">
        <f>HYPERLINK("https://www.ncbi.nlm.nih.gov/geo/query/acc.cgi?acc=GSM2325382","GSM2325382")</f>
        <v>GSM2325382</v>
      </c>
      <c r="I12031" t="s">
        <v>69</v>
      </c>
      <c r="J12031" t="s">
        <v>18</v>
      </c>
      <c r="K12031" t="s">
        <v>33</v>
      </c>
      <c r="L12031" t="s">
        <v>70</v>
      </c>
      <c r="N12031" t="s">
        <v>29</v>
      </c>
    </row>
    <row r="12032" spans="1:14">
      <c r="A12032" s="4" t="str">
        <f t="shared" si="1042"/>
        <v>EXP00386</v>
      </c>
      <c r="B12032" s="3" t="s">
        <v>66</v>
      </c>
      <c r="C12032" s="4" t="str">
        <f t="shared" si="1041"/>
        <v>GSE87211</v>
      </c>
      <c r="D12032" s="1" t="s">
        <v>239</v>
      </c>
      <c r="E12032" t="s">
        <v>96</v>
      </c>
      <c r="F12032" s="1">
        <v>2</v>
      </c>
      <c r="G12032" s="1" t="s">
        <v>28</v>
      </c>
      <c r="H12032" s="4" t="str">
        <f>HYPERLINK("https://www.ncbi.nlm.nih.gov/geo/query/acc.cgi?acc=GSM2325384","GSM2325384")</f>
        <v>GSM2325384</v>
      </c>
      <c r="I12032" t="s">
        <v>69</v>
      </c>
      <c r="J12032" t="s">
        <v>18</v>
      </c>
      <c r="K12032" t="s">
        <v>33</v>
      </c>
      <c r="L12032" t="s">
        <v>70</v>
      </c>
      <c r="N12032" t="s">
        <v>29</v>
      </c>
    </row>
    <row r="12033" spans="1:14">
      <c r="A12033" s="4" t="str">
        <f t="shared" si="1042"/>
        <v>EXP00386</v>
      </c>
      <c r="B12033" s="3" t="s">
        <v>66</v>
      </c>
      <c r="C12033" s="4" t="str">
        <f t="shared" si="1041"/>
        <v>GSE87211</v>
      </c>
      <c r="D12033" s="1" t="s">
        <v>239</v>
      </c>
      <c r="E12033" t="s">
        <v>96</v>
      </c>
      <c r="F12033" s="1">
        <v>2</v>
      </c>
      <c r="G12033" s="1" t="s">
        <v>28</v>
      </c>
      <c r="H12033" s="4" t="str">
        <f>HYPERLINK("https://www.ncbi.nlm.nih.gov/geo/query/acc.cgi?acc=GSM2325385","GSM2325385")</f>
        <v>GSM2325385</v>
      </c>
      <c r="I12033" t="s">
        <v>69</v>
      </c>
      <c r="J12033" t="s">
        <v>18</v>
      </c>
      <c r="K12033" t="s">
        <v>33</v>
      </c>
      <c r="L12033" t="s">
        <v>70</v>
      </c>
      <c r="N12033" t="s">
        <v>29</v>
      </c>
    </row>
    <row r="12034" spans="1:14">
      <c r="A12034" s="4" t="str">
        <f t="shared" si="1042"/>
        <v>EXP00386</v>
      </c>
      <c r="B12034" s="3" t="s">
        <v>66</v>
      </c>
      <c r="C12034" s="4" t="str">
        <f t="shared" ref="C12034:C12084" si="1043">HYPERLINK("https://www.ncbi.nlm.nih.gov/geo/query/acc.cgi?acc=GSE87211","GSE87211")</f>
        <v>GSE87211</v>
      </c>
      <c r="D12034" s="1" t="s">
        <v>239</v>
      </c>
      <c r="E12034" t="s">
        <v>96</v>
      </c>
      <c r="F12034" s="1">
        <v>2</v>
      </c>
      <c r="G12034" s="1" t="s">
        <v>28</v>
      </c>
      <c r="H12034" s="4" t="str">
        <f>HYPERLINK("https://www.ncbi.nlm.nih.gov/geo/query/acc.cgi?acc=GSM2325386","GSM2325386")</f>
        <v>GSM2325386</v>
      </c>
      <c r="I12034" t="s">
        <v>69</v>
      </c>
      <c r="J12034" t="s">
        <v>18</v>
      </c>
      <c r="K12034" t="s">
        <v>33</v>
      </c>
      <c r="L12034" t="s">
        <v>70</v>
      </c>
      <c r="N12034" t="s">
        <v>29</v>
      </c>
    </row>
    <row r="12035" spans="1:14">
      <c r="A12035" s="4" t="str">
        <f t="shared" si="1042"/>
        <v>EXP00386</v>
      </c>
      <c r="B12035" s="3" t="s">
        <v>66</v>
      </c>
      <c r="C12035" s="4" t="str">
        <f t="shared" si="1043"/>
        <v>GSE87211</v>
      </c>
      <c r="D12035" s="1" t="s">
        <v>239</v>
      </c>
      <c r="E12035" t="s">
        <v>96</v>
      </c>
      <c r="F12035" s="1">
        <v>2</v>
      </c>
      <c r="G12035" s="1" t="s">
        <v>28</v>
      </c>
      <c r="H12035" s="4" t="str">
        <f>HYPERLINK("https://www.ncbi.nlm.nih.gov/geo/query/acc.cgi?acc=GSM2325387","GSM2325387")</f>
        <v>GSM2325387</v>
      </c>
      <c r="I12035" t="s">
        <v>69</v>
      </c>
      <c r="J12035" t="s">
        <v>18</v>
      </c>
      <c r="K12035" t="s">
        <v>33</v>
      </c>
      <c r="L12035" t="s">
        <v>70</v>
      </c>
      <c r="N12035" t="s">
        <v>29</v>
      </c>
    </row>
    <row r="12036" spans="1:14">
      <c r="A12036" s="4" t="str">
        <f t="shared" si="1042"/>
        <v>EXP00386</v>
      </c>
      <c r="B12036" s="3" t="s">
        <v>66</v>
      </c>
      <c r="C12036" s="4" t="str">
        <f t="shared" si="1043"/>
        <v>GSE87211</v>
      </c>
      <c r="D12036" s="1" t="s">
        <v>239</v>
      </c>
      <c r="E12036" t="s">
        <v>96</v>
      </c>
      <c r="F12036" s="1">
        <v>2</v>
      </c>
      <c r="G12036" s="1" t="s">
        <v>28</v>
      </c>
      <c r="H12036" s="4" t="str">
        <f>HYPERLINK("https://www.ncbi.nlm.nih.gov/geo/query/acc.cgi?acc=GSM2325388","GSM2325388")</f>
        <v>GSM2325388</v>
      </c>
      <c r="I12036" t="s">
        <v>69</v>
      </c>
      <c r="J12036" t="s">
        <v>18</v>
      </c>
      <c r="K12036" t="s">
        <v>33</v>
      </c>
      <c r="L12036" t="s">
        <v>70</v>
      </c>
      <c r="N12036" t="s">
        <v>29</v>
      </c>
    </row>
    <row r="12037" spans="1:14">
      <c r="A12037" s="4" t="str">
        <f t="shared" si="1042"/>
        <v>EXP00386</v>
      </c>
      <c r="B12037" s="3" t="s">
        <v>66</v>
      </c>
      <c r="C12037" s="4" t="str">
        <f t="shared" si="1043"/>
        <v>GSE87211</v>
      </c>
      <c r="D12037" s="1" t="s">
        <v>239</v>
      </c>
      <c r="E12037" t="s">
        <v>96</v>
      </c>
      <c r="F12037" s="1">
        <v>2</v>
      </c>
      <c r="G12037" s="1" t="s">
        <v>28</v>
      </c>
      <c r="H12037" s="4" t="str">
        <f>HYPERLINK("https://www.ncbi.nlm.nih.gov/geo/query/acc.cgi?acc=GSM2325389","GSM2325389")</f>
        <v>GSM2325389</v>
      </c>
      <c r="I12037" t="s">
        <v>69</v>
      </c>
      <c r="J12037" t="s">
        <v>18</v>
      </c>
      <c r="K12037" t="s">
        <v>33</v>
      </c>
      <c r="L12037" t="s">
        <v>70</v>
      </c>
      <c r="N12037" t="s">
        <v>29</v>
      </c>
    </row>
    <row r="12038" spans="1:14">
      <c r="A12038" s="4" t="str">
        <f t="shared" si="1042"/>
        <v>EXP00386</v>
      </c>
      <c r="B12038" s="3" t="s">
        <v>66</v>
      </c>
      <c r="C12038" s="4" t="str">
        <f t="shared" si="1043"/>
        <v>GSE87211</v>
      </c>
      <c r="D12038" s="1" t="s">
        <v>239</v>
      </c>
      <c r="E12038" t="s">
        <v>96</v>
      </c>
      <c r="F12038" s="1">
        <v>2</v>
      </c>
      <c r="G12038" s="1" t="s">
        <v>28</v>
      </c>
      <c r="H12038" s="4" t="str">
        <f>HYPERLINK("https://www.ncbi.nlm.nih.gov/geo/query/acc.cgi?acc=GSM2325390","GSM2325390")</f>
        <v>GSM2325390</v>
      </c>
      <c r="I12038" t="s">
        <v>69</v>
      </c>
      <c r="J12038" t="s">
        <v>18</v>
      </c>
      <c r="K12038" t="s">
        <v>33</v>
      </c>
      <c r="L12038" t="s">
        <v>70</v>
      </c>
      <c r="N12038" t="s">
        <v>29</v>
      </c>
    </row>
    <row r="12039" spans="1:14">
      <c r="A12039" s="4" t="str">
        <f t="shared" si="1042"/>
        <v>EXP00386</v>
      </c>
      <c r="B12039" s="3" t="s">
        <v>66</v>
      </c>
      <c r="C12039" s="4" t="str">
        <f t="shared" si="1043"/>
        <v>GSE87211</v>
      </c>
      <c r="D12039" s="1" t="s">
        <v>239</v>
      </c>
      <c r="E12039" t="s">
        <v>96</v>
      </c>
      <c r="F12039" s="1">
        <v>2</v>
      </c>
      <c r="G12039" s="1" t="s">
        <v>28</v>
      </c>
      <c r="H12039" s="4" t="str">
        <f>HYPERLINK("https://www.ncbi.nlm.nih.gov/geo/query/acc.cgi?acc=GSM2325391","GSM2325391")</f>
        <v>GSM2325391</v>
      </c>
      <c r="I12039" t="s">
        <v>69</v>
      </c>
      <c r="J12039" t="s">
        <v>18</v>
      </c>
      <c r="K12039" t="s">
        <v>33</v>
      </c>
      <c r="L12039" t="s">
        <v>70</v>
      </c>
      <c r="N12039" t="s">
        <v>29</v>
      </c>
    </row>
    <row r="12040" spans="1:14">
      <c r="A12040" s="4" t="str">
        <f t="shared" si="1042"/>
        <v>EXP00386</v>
      </c>
      <c r="B12040" s="3" t="s">
        <v>66</v>
      </c>
      <c r="C12040" s="4" t="str">
        <f t="shared" si="1043"/>
        <v>GSE87211</v>
      </c>
      <c r="D12040" s="1" t="s">
        <v>239</v>
      </c>
      <c r="E12040" t="s">
        <v>96</v>
      </c>
      <c r="F12040" s="1">
        <v>2</v>
      </c>
      <c r="G12040" s="1" t="s">
        <v>28</v>
      </c>
      <c r="H12040" s="4" t="str">
        <f>HYPERLINK("https://www.ncbi.nlm.nih.gov/geo/query/acc.cgi?acc=GSM2325392","GSM2325392")</f>
        <v>GSM2325392</v>
      </c>
      <c r="I12040" t="s">
        <v>69</v>
      </c>
      <c r="J12040" t="s">
        <v>18</v>
      </c>
      <c r="K12040" t="s">
        <v>33</v>
      </c>
      <c r="L12040" t="s">
        <v>70</v>
      </c>
      <c r="N12040" t="s">
        <v>29</v>
      </c>
    </row>
    <row r="12041" spans="1:14">
      <c r="A12041" s="4" t="str">
        <f t="shared" si="1042"/>
        <v>EXP00386</v>
      </c>
      <c r="B12041" s="3" t="s">
        <v>66</v>
      </c>
      <c r="C12041" s="4" t="str">
        <f t="shared" si="1043"/>
        <v>GSE87211</v>
      </c>
      <c r="D12041" s="1" t="s">
        <v>239</v>
      </c>
      <c r="E12041" t="s">
        <v>96</v>
      </c>
      <c r="F12041" s="1">
        <v>2</v>
      </c>
      <c r="G12041" s="1" t="s">
        <v>28</v>
      </c>
      <c r="H12041" s="4" t="str">
        <f>HYPERLINK("https://www.ncbi.nlm.nih.gov/geo/query/acc.cgi?acc=GSM2325393","GSM2325393")</f>
        <v>GSM2325393</v>
      </c>
      <c r="I12041" t="s">
        <v>69</v>
      </c>
      <c r="J12041" t="s">
        <v>18</v>
      </c>
      <c r="K12041" t="s">
        <v>33</v>
      </c>
      <c r="L12041" t="s">
        <v>70</v>
      </c>
      <c r="N12041" t="s">
        <v>29</v>
      </c>
    </row>
    <row r="12042" spans="1:14">
      <c r="A12042" s="4" t="str">
        <f t="shared" si="1042"/>
        <v>EXP00386</v>
      </c>
      <c r="B12042" s="3" t="s">
        <v>66</v>
      </c>
      <c r="C12042" s="4" t="str">
        <f t="shared" si="1043"/>
        <v>GSE87211</v>
      </c>
      <c r="D12042" s="1" t="s">
        <v>239</v>
      </c>
      <c r="E12042" t="s">
        <v>96</v>
      </c>
      <c r="F12042" s="1">
        <v>2</v>
      </c>
      <c r="G12042" s="1" t="s">
        <v>28</v>
      </c>
      <c r="H12042" s="4" t="str">
        <f>HYPERLINK("https://www.ncbi.nlm.nih.gov/geo/query/acc.cgi?acc=GSM2325394","GSM2325394")</f>
        <v>GSM2325394</v>
      </c>
      <c r="I12042" t="s">
        <v>69</v>
      </c>
      <c r="J12042" t="s">
        <v>18</v>
      </c>
      <c r="K12042" t="s">
        <v>33</v>
      </c>
      <c r="L12042" t="s">
        <v>70</v>
      </c>
      <c r="N12042" t="s">
        <v>29</v>
      </c>
    </row>
    <row r="12043" spans="1:14">
      <c r="A12043" s="4" t="str">
        <f t="shared" si="1042"/>
        <v>EXP00386</v>
      </c>
      <c r="B12043" s="3" t="s">
        <v>66</v>
      </c>
      <c r="C12043" s="4" t="str">
        <f t="shared" si="1043"/>
        <v>GSE87211</v>
      </c>
      <c r="D12043" s="1" t="s">
        <v>239</v>
      </c>
      <c r="E12043" t="s">
        <v>96</v>
      </c>
      <c r="F12043" s="1">
        <v>2</v>
      </c>
      <c r="G12043" s="1" t="s">
        <v>28</v>
      </c>
      <c r="H12043" s="4" t="str">
        <f>HYPERLINK("https://www.ncbi.nlm.nih.gov/geo/query/acc.cgi?acc=GSM2325395","GSM2325395")</f>
        <v>GSM2325395</v>
      </c>
      <c r="I12043" t="s">
        <v>69</v>
      </c>
      <c r="J12043" t="s">
        <v>18</v>
      </c>
      <c r="K12043" t="s">
        <v>33</v>
      </c>
      <c r="L12043" t="s">
        <v>70</v>
      </c>
      <c r="N12043" t="s">
        <v>29</v>
      </c>
    </row>
    <row r="12044" spans="1:14">
      <c r="A12044" s="4" t="str">
        <f t="shared" si="1042"/>
        <v>EXP00386</v>
      </c>
      <c r="B12044" s="3" t="s">
        <v>66</v>
      </c>
      <c r="C12044" s="4" t="str">
        <f t="shared" si="1043"/>
        <v>GSE87211</v>
      </c>
      <c r="D12044" s="1" t="s">
        <v>239</v>
      </c>
      <c r="E12044" t="s">
        <v>96</v>
      </c>
      <c r="F12044" s="1">
        <v>2</v>
      </c>
      <c r="G12044" s="1" t="s">
        <v>28</v>
      </c>
      <c r="H12044" s="4" t="str">
        <f>HYPERLINK("https://www.ncbi.nlm.nih.gov/geo/query/acc.cgi?acc=GSM2325396","GSM2325396")</f>
        <v>GSM2325396</v>
      </c>
      <c r="I12044" t="s">
        <v>69</v>
      </c>
      <c r="J12044" t="s">
        <v>18</v>
      </c>
      <c r="K12044" t="s">
        <v>33</v>
      </c>
      <c r="L12044" t="s">
        <v>70</v>
      </c>
      <c r="N12044" t="s">
        <v>29</v>
      </c>
    </row>
    <row r="12045" spans="1:14">
      <c r="A12045" s="4" t="str">
        <f t="shared" si="1042"/>
        <v>EXP00386</v>
      </c>
      <c r="B12045" s="3" t="s">
        <v>66</v>
      </c>
      <c r="C12045" s="4" t="str">
        <f t="shared" si="1043"/>
        <v>GSE87211</v>
      </c>
      <c r="D12045" s="1" t="s">
        <v>239</v>
      </c>
      <c r="E12045" t="s">
        <v>96</v>
      </c>
      <c r="F12045" s="1">
        <v>2</v>
      </c>
      <c r="G12045" s="1" t="s">
        <v>28</v>
      </c>
      <c r="H12045" s="4" t="str">
        <f>HYPERLINK("https://www.ncbi.nlm.nih.gov/geo/query/acc.cgi?acc=GSM2325397","GSM2325397")</f>
        <v>GSM2325397</v>
      </c>
      <c r="I12045" t="s">
        <v>69</v>
      </c>
      <c r="J12045" t="s">
        <v>18</v>
      </c>
      <c r="K12045" t="s">
        <v>33</v>
      </c>
      <c r="L12045" t="s">
        <v>70</v>
      </c>
      <c r="N12045" t="s">
        <v>29</v>
      </c>
    </row>
    <row r="12046" spans="1:14">
      <c r="A12046" s="4" t="str">
        <f t="shared" si="1042"/>
        <v>EXP00386</v>
      </c>
      <c r="B12046" s="3" t="s">
        <v>66</v>
      </c>
      <c r="C12046" s="4" t="str">
        <f t="shared" si="1043"/>
        <v>GSE87211</v>
      </c>
      <c r="D12046" s="1" t="s">
        <v>239</v>
      </c>
      <c r="E12046" t="s">
        <v>96</v>
      </c>
      <c r="F12046" s="1">
        <v>2</v>
      </c>
      <c r="G12046" s="1" t="s">
        <v>28</v>
      </c>
      <c r="H12046" s="4" t="str">
        <f>HYPERLINK("https://www.ncbi.nlm.nih.gov/geo/query/acc.cgi?acc=GSM2325398","GSM2325398")</f>
        <v>GSM2325398</v>
      </c>
      <c r="I12046" t="s">
        <v>69</v>
      </c>
      <c r="J12046" t="s">
        <v>18</v>
      </c>
      <c r="K12046" t="s">
        <v>33</v>
      </c>
      <c r="L12046" t="s">
        <v>70</v>
      </c>
      <c r="N12046" t="s">
        <v>29</v>
      </c>
    </row>
    <row r="12047" spans="1:14">
      <c r="A12047" s="4" t="str">
        <f t="shared" si="1042"/>
        <v>EXP00386</v>
      </c>
      <c r="B12047" s="3" t="s">
        <v>66</v>
      </c>
      <c r="C12047" s="4" t="str">
        <f t="shared" si="1043"/>
        <v>GSE87211</v>
      </c>
      <c r="D12047" s="1" t="s">
        <v>239</v>
      </c>
      <c r="E12047" t="s">
        <v>96</v>
      </c>
      <c r="F12047" s="1">
        <v>2</v>
      </c>
      <c r="G12047" s="1" t="s">
        <v>28</v>
      </c>
      <c r="H12047" s="4" t="str">
        <f>HYPERLINK("https://www.ncbi.nlm.nih.gov/geo/query/acc.cgi?acc=GSM2325399","GSM2325399")</f>
        <v>GSM2325399</v>
      </c>
      <c r="I12047" t="s">
        <v>69</v>
      </c>
      <c r="J12047" t="s">
        <v>18</v>
      </c>
      <c r="K12047" t="s">
        <v>33</v>
      </c>
      <c r="L12047" t="s">
        <v>70</v>
      </c>
      <c r="N12047" t="s">
        <v>29</v>
      </c>
    </row>
    <row r="12048" spans="1:14">
      <c r="A12048" s="4" t="str">
        <f t="shared" si="1042"/>
        <v>EXP00386</v>
      </c>
      <c r="B12048" s="3" t="s">
        <v>66</v>
      </c>
      <c r="C12048" s="4" t="str">
        <f t="shared" si="1043"/>
        <v>GSE87211</v>
      </c>
      <c r="D12048" s="1" t="s">
        <v>239</v>
      </c>
      <c r="E12048" t="s">
        <v>96</v>
      </c>
      <c r="F12048" s="1">
        <v>2</v>
      </c>
      <c r="G12048" s="1" t="s">
        <v>28</v>
      </c>
      <c r="H12048" s="4" t="str">
        <f>HYPERLINK("https://www.ncbi.nlm.nih.gov/geo/query/acc.cgi?acc=GSM2325400","GSM2325400")</f>
        <v>GSM2325400</v>
      </c>
      <c r="I12048" t="s">
        <v>69</v>
      </c>
      <c r="J12048" t="s">
        <v>18</v>
      </c>
      <c r="K12048" t="s">
        <v>33</v>
      </c>
      <c r="L12048" t="s">
        <v>70</v>
      </c>
      <c r="N12048" t="s">
        <v>29</v>
      </c>
    </row>
    <row r="12049" spans="1:14">
      <c r="A12049" s="4" t="str">
        <f t="shared" si="1042"/>
        <v>EXP00386</v>
      </c>
      <c r="B12049" s="3" t="s">
        <v>66</v>
      </c>
      <c r="C12049" s="4" t="str">
        <f t="shared" si="1043"/>
        <v>GSE87211</v>
      </c>
      <c r="D12049" s="1" t="s">
        <v>239</v>
      </c>
      <c r="E12049" t="s">
        <v>96</v>
      </c>
      <c r="F12049" s="1">
        <v>2</v>
      </c>
      <c r="G12049" s="1" t="s">
        <v>28</v>
      </c>
      <c r="H12049" s="4" t="str">
        <f>HYPERLINK("https://www.ncbi.nlm.nih.gov/geo/query/acc.cgi?acc=GSM2325401","GSM2325401")</f>
        <v>GSM2325401</v>
      </c>
      <c r="I12049" t="s">
        <v>69</v>
      </c>
      <c r="J12049" t="s">
        <v>18</v>
      </c>
      <c r="K12049" t="s">
        <v>33</v>
      </c>
      <c r="L12049" t="s">
        <v>70</v>
      </c>
      <c r="N12049" t="s">
        <v>29</v>
      </c>
    </row>
    <row r="12050" spans="1:14">
      <c r="A12050" s="4" t="str">
        <f t="shared" si="1042"/>
        <v>EXP00386</v>
      </c>
      <c r="B12050" s="3" t="s">
        <v>66</v>
      </c>
      <c r="C12050" s="4" t="str">
        <f t="shared" si="1043"/>
        <v>GSE87211</v>
      </c>
      <c r="D12050" s="1" t="s">
        <v>239</v>
      </c>
      <c r="E12050" t="s">
        <v>96</v>
      </c>
      <c r="F12050" s="1">
        <v>2</v>
      </c>
      <c r="G12050" s="1" t="s">
        <v>28</v>
      </c>
      <c r="H12050" s="4" t="str">
        <f>HYPERLINK("https://www.ncbi.nlm.nih.gov/geo/query/acc.cgi?acc=GSM2325402","GSM2325402")</f>
        <v>GSM2325402</v>
      </c>
      <c r="I12050" t="s">
        <v>69</v>
      </c>
      <c r="J12050" t="s">
        <v>18</v>
      </c>
      <c r="K12050" t="s">
        <v>33</v>
      </c>
      <c r="L12050" t="s">
        <v>70</v>
      </c>
      <c r="N12050" t="s">
        <v>29</v>
      </c>
    </row>
    <row r="12051" spans="1:14">
      <c r="A12051" s="4" t="str">
        <f t="shared" si="1042"/>
        <v>EXP00386</v>
      </c>
      <c r="B12051" s="3" t="s">
        <v>66</v>
      </c>
      <c r="C12051" s="4" t="str">
        <f t="shared" si="1043"/>
        <v>GSE87211</v>
      </c>
      <c r="D12051" s="1" t="s">
        <v>239</v>
      </c>
      <c r="E12051" t="s">
        <v>96</v>
      </c>
      <c r="F12051" s="1">
        <v>2</v>
      </c>
      <c r="G12051" s="1" t="s">
        <v>28</v>
      </c>
      <c r="H12051" s="4" t="str">
        <f>HYPERLINK("https://www.ncbi.nlm.nih.gov/geo/query/acc.cgi?acc=GSM2325403","GSM2325403")</f>
        <v>GSM2325403</v>
      </c>
      <c r="I12051" t="s">
        <v>69</v>
      </c>
      <c r="J12051" t="s">
        <v>18</v>
      </c>
      <c r="K12051" t="s">
        <v>33</v>
      </c>
      <c r="L12051" t="s">
        <v>70</v>
      </c>
      <c r="N12051" t="s">
        <v>29</v>
      </c>
    </row>
    <row r="12052" spans="1:14">
      <c r="A12052" s="4" t="str">
        <f t="shared" si="1042"/>
        <v>EXP00386</v>
      </c>
      <c r="B12052" s="3" t="s">
        <v>66</v>
      </c>
      <c r="C12052" s="4" t="str">
        <f t="shared" si="1043"/>
        <v>GSE87211</v>
      </c>
      <c r="D12052" s="1" t="s">
        <v>239</v>
      </c>
      <c r="E12052" t="s">
        <v>96</v>
      </c>
      <c r="F12052" s="1">
        <v>2</v>
      </c>
      <c r="G12052" s="1" t="s">
        <v>28</v>
      </c>
      <c r="H12052" s="4" t="str">
        <f>HYPERLINK("https://www.ncbi.nlm.nih.gov/geo/query/acc.cgi?acc=GSM2325404","GSM2325404")</f>
        <v>GSM2325404</v>
      </c>
      <c r="I12052" t="s">
        <v>69</v>
      </c>
      <c r="J12052" t="s">
        <v>18</v>
      </c>
      <c r="K12052" t="s">
        <v>33</v>
      </c>
      <c r="L12052" t="s">
        <v>70</v>
      </c>
      <c r="N12052" t="s">
        <v>29</v>
      </c>
    </row>
    <row r="12053" spans="1:14">
      <c r="A12053" s="4" t="str">
        <f t="shared" si="1042"/>
        <v>EXP00386</v>
      </c>
      <c r="B12053" s="3" t="s">
        <v>66</v>
      </c>
      <c r="C12053" s="4" t="str">
        <f t="shared" si="1043"/>
        <v>GSE87211</v>
      </c>
      <c r="D12053" s="1" t="s">
        <v>239</v>
      </c>
      <c r="E12053" t="s">
        <v>96</v>
      </c>
      <c r="F12053" s="1">
        <v>2</v>
      </c>
      <c r="G12053" s="1" t="s">
        <v>28</v>
      </c>
      <c r="H12053" s="4" t="str">
        <f>HYPERLINK("https://www.ncbi.nlm.nih.gov/geo/query/acc.cgi?acc=GSM2325405","GSM2325405")</f>
        <v>GSM2325405</v>
      </c>
      <c r="I12053" t="s">
        <v>69</v>
      </c>
      <c r="J12053" t="s">
        <v>18</v>
      </c>
      <c r="K12053" t="s">
        <v>33</v>
      </c>
      <c r="L12053" t="s">
        <v>70</v>
      </c>
      <c r="N12053" t="s">
        <v>29</v>
      </c>
    </row>
    <row r="12054" spans="1:14">
      <c r="A12054" s="4" t="str">
        <f t="shared" si="1042"/>
        <v>EXP00386</v>
      </c>
      <c r="B12054" s="3" t="s">
        <v>66</v>
      </c>
      <c r="C12054" s="4" t="str">
        <f t="shared" si="1043"/>
        <v>GSE87211</v>
      </c>
      <c r="D12054" s="1" t="s">
        <v>239</v>
      </c>
      <c r="E12054" t="s">
        <v>96</v>
      </c>
      <c r="F12054" s="1">
        <v>2</v>
      </c>
      <c r="G12054" s="1" t="s">
        <v>28</v>
      </c>
      <c r="H12054" s="4" t="str">
        <f>HYPERLINK("https://www.ncbi.nlm.nih.gov/geo/query/acc.cgi?acc=GSM2325406","GSM2325406")</f>
        <v>GSM2325406</v>
      </c>
      <c r="I12054" t="s">
        <v>69</v>
      </c>
      <c r="J12054" t="s">
        <v>18</v>
      </c>
      <c r="K12054" t="s">
        <v>33</v>
      </c>
      <c r="L12054" t="s">
        <v>70</v>
      </c>
      <c r="N12054" t="s">
        <v>29</v>
      </c>
    </row>
    <row r="12055" spans="1:14">
      <c r="A12055" s="4" t="str">
        <f t="shared" si="1042"/>
        <v>EXP00386</v>
      </c>
      <c r="B12055" s="3" t="s">
        <v>66</v>
      </c>
      <c r="C12055" s="4" t="str">
        <f t="shared" si="1043"/>
        <v>GSE87211</v>
      </c>
      <c r="D12055" s="1" t="s">
        <v>239</v>
      </c>
      <c r="E12055" t="s">
        <v>96</v>
      </c>
      <c r="F12055" s="1">
        <v>2</v>
      </c>
      <c r="G12055" s="1" t="s">
        <v>28</v>
      </c>
      <c r="H12055" s="4" t="str">
        <f>HYPERLINK("https://www.ncbi.nlm.nih.gov/geo/query/acc.cgi?acc=GSM2325407","GSM2325407")</f>
        <v>GSM2325407</v>
      </c>
      <c r="I12055" t="s">
        <v>69</v>
      </c>
      <c r="J12055" t="s">
        <v>18</v>
      </c>
      <c r="K12055" t="s">
        <v>33</v>
      </c>
      <c r="L12055" t="s">
        <v>70</v>
      </c>
      <c r="N12055" t="s">
        <v>29</v>
      </c>
    </row>
    <row r="12056" spans="1:14">
      <c r="A12056" s="4" t="str">
        <f t="shared" si="1042"/>
        <v>EXP00386</v>
      </c>
      <c r="B12056" s="3" t="s">
        <v>66</v>
      </c>
      <c r="C12056" s="4" t="str">
        <f t="shared" si="1043"/>
        <v>GSE87211</v>
      </c>
      <c r="D12056" s="1" t="s">
        <v>239</v>
      </c>
      <c r="E12056" t="s">
        <v>96</v>
      </c>
      <c r="F12056" s="1">
        <v>2</v>
      </c>
      <c r="G12056" s="1" t="s">
        <v>28</v>
      </c>
      <c r="H12056" s="4" t="str">
        <f>HYPERLINK("https://www.ncbi.nlm.nih.gov/geo/query/acc.cgi?acc=GSM2325408","GSM2325408")</f>
        <v>GSM2325408</v>
      </c>
      <c r="I12056" t="s">
        <v>69</v>
      </c>
      <c r="J12056" t="s">
        <v>18</v>
      </c>
      <c r="K12056" t="s">
        <v>33</v>
      </c>
      <c r="L12056" t="s">
        <v>70</v>
      </c>
      <c r="N12056" t="s">
        <v>29</v>
      </c>
    </row>
    <row r="12057" spans="1:14">
      <c r="A12057" s="4" t="str">
        <f t="shared" si="1042"/>
        <v>EXP00386</v>
      </c>
      <c r="B12057" s="3" t="s">
        <v>66</v>
      </c>
      <c r="C12057" s="4" t="str">
        <f t="shared" si="1043"/>
        <v>GSE87211</v>
      </c>
      <c r="D12057" s="1" t="s">
        <v>239</v>
      </c>
      <c r="E12057" t="s">
        <v>96</v>
      </c>
      <c r="F12057" s="1">
        <v>2</v>
      </c>
      <c r="G12057" s="1" t="s">
        <v>28</v>
      </c>
      <c r="H12057" s="4" t="str">
        <f>HYPERLINK("https://www.ncbi.nlm.nih.gov/geo/query/acc.cgi?acc=GSM2325409","GSM2325409")</f>
        <v>GSM2325409</v>
      </c>
      <c r="I12057" t="s">
        <v>69</v>
      </c>
      <c r="J12057" t="s">
        <v>18</v>
      </c>
      <c r="K12057" t="s">
        <v>33</v>
      </c>
      <c r="L12057" t="s">
        <v>70</v>
      </c>
      <c r="N12057" t="s">
        <v>29</v>
      </c>
    </row>
    <row r="12058" spans="1:14">
      <c r="A12058" s="4" t="str">
        <f t="shared" si="1042"/>
        <v>EXP00386</v>
      </c>
      <c r="B12058" s="3" t="s">
        <v>66</v>
      </c>
      <c r="C12058" s="4" t="str">
        <f t="shared" si="1043"/>
        <v>GSE87211</v>
      </c>
      <c r="D12058" s="1" t="s">
        <v>239</v>
      </c>
      <c r="E12058" t="s">
        <v>96</v>
      </c>
      <c r="F12058" s="1">
        <v>2</v>
      </c>
      <c r="G12058" s="1" t="s">
        <v>28</v>
      </c>
      <c r="H12058" s="4" t="str">
        <f>HYPERLINK("https://www.ncbi.nlm.nih.gov/geo/query/acc.cgi?acc=GSM2325410","GSM2325410")</f>
        <v>GSM2325410</v>
      </c>
      <c r="I12058" t="s">
        <v>69</v>
      </c>
      <c r="J12058" t="s">
        <v>18</v>
      </c>
      <c r="K12058" t="s">
        <v>33</v>
      </c>
      <c r="L12058" t="s">
        <v>70</v>
      </c>
      <c r="N12058" t="s">
        <v>29</v>
      </c>
    </row>
    <row r="12059" spans="1:14">
      <c r="A12059" s="4" t="str">
        <f t="shared" si="1042"/>
        <v>EXP00386</v>
      </c>
      <c r="B12059" s="3" t="s">
        <v>66</v>
      </c>
      <c r="C12059" s="4" t="str">
        <f t="shared" si="1043"/>
        <v>GSE87211</v>
      </c>
      <c r="D12059" s="1" t="s">
        <v>239</v>
      </c>
      <c r="E12059" t="s">
        <v>96</v>
      </c>
      <c r="F12059" s="1">
        <v>2</v>
      </c>
      <c r="G12059" s="1" t="s">
        <v>28</v>
      </c>
      <c r="H12059" s="4" t="str">
        <f>HYPERLINK("https://www.ncbi.nlm.nih.gov/geo/query/acc.cgi?acc=GSM2325411","GSM2325411")</f>
        <v>GSM2325411</v>
      </c>
      <c r="I12059" t="s">
        <v>69</v>
      </c>
      <c r="J12059" t="s">
        <v>18</v>
      </c>
      <c r="K12059" t="s">
        <v>33</v>
      </c>
      <c r="L12059" t="s">
        <v>70</v>
      </c>
      <c r="N12059" t="s">
        <v>29</v>
      </c>
    </row>
    <row r="12060" spans="1:14">
      <c r="A12060" s="4" t="str">
        <f t="shared" si="1042"/>
        <v>EXP00386</v>
      </c>
      <c r="B12060" s="3" t="s">
        <v>66</v>
      </c>
      <c r="C12060" s="4" t="str">
        <f t="shared" si="1043"/>
        <v>GSE87211</v>
      </c>
      <c r="D12060" s="1" t="s">
        <v>239</v>
      </c>
      <c r="E12060" t="s">
        <v>96</v>
      </c>
      <c r="F12060" s="1">
        <v>2</v>
      </c>
      <c r="G12060" s="1" t="s">
        <v>28</v>
      </c>
      <c r="H12060" s="4" t="str">
        <f>HYPERLINK("https://www.ncbi.nlm.nih.gov/geo/query/acc.cgi?acc=GSM2325412","GSM2325412")</f>
        <v>GSM2325412</v>
      </c>
      <c r="I12060" t="s">
        <v>69</v>
      </c>
      <c r="J12060" t="s">
        <v>18</v>
      </c>
      <c r="K12060" t="s">
        <v>33</v>
      </c>
      <c r="L12060" t="s">
        <v>70</v>
      </c>
      <c r="N12060" t="s">
        <v>29</v>
      </c>
    </row>
    <row r="12061" spans="1:14">
      <c r="A12061" s="4" t="str">
        <f t="shared" si="1042"/>
        <v>EXP00386</v>
      </c>
      <c r="B12061" s="3" t="s">
        <v>66</v>
      </c>
      <c r="C12061" s="4" t="str">
        <f t="shared" si="1043"/>
        <v>GSE87211</v>
      </c>
      <c r="D12061" s="1" t="s">
        <v>239</v>
      </c>
      <c r="E12061" t="s">
        <v>96</v>
      </c>
      <c r="F12061" s="1">
        <v>2</v>
      </c>
      <c r="G12061" s="1" t="s">
        <v>28</v>
      </c>
      <c r="H12061" s="4" t="str">
        <f>HYPERLINK("https://www.ncbi.nlm.nih.gov/geo/query/acc.cgi?acc=GSM2325413","GSM2325413")</f>
        <v>GSM2325413</v>
      </c>
      <c r="I12061" t="s">
        <v>69</v>
      </c>
      <c r="J12061" t="s">
        <v>18</v>
      </c>
      <c r="K12061" t="s">
        <v>33</v>
      </c>
      <c r="L12061" t="s">
        <v>70</v>
      </c>
      <c r="N12061" t="s">
        <v>29</v>
      </c>
    </row>
    <row r="12062" spans="1:14">
      <c r="A12062" s="4" t="str">
        <f t="shared" si="1042"/>
        <v>EXP00386</v>
      </c>
      <c r="B12062" s="3" t="s">
        <v>66</v>
      </c>
      <c r="C12062" s="4" t="str">
        <f t="shared" si="1043"/>
        <v>GSE87211</v>
      </c>
      <c r="D12062" s="1" t="s">
        <v>239</v>
      </c>
      <c r="E12062" t="s">
        <v>96</v>
      </c>
      <c r="F12062" s="1">
        <v>2</v>
      </c>
      <c r="G12062" s="1" t="s">
        <v>28</v>
      </c>
      <c r="H12062" s="4" t="str">
        <f>HYPERLINK("https://www.ncbi.nlm.nih.gov/geo/query/acc.cgi?acc=GSM2325414","GSM2325414")</f>
        <v>GSM2325414</v>
      </c>
      <c r="I12062" t="s">
        <v>69</v>
      </c>
      <c r="J12062" t="s">
        <v>18</v>
      </c>
      <c r="K12062" t="s">
        <v>33</v>
      </c>
      <c r="L12062" t="s">
        <v>70</v>
      </c>
      <c r="N12062" t="s">
        <v>29</v>
      </c>
    </row>
    <row r="12063" spans="1:14">
      <c r="A12063" s="4" t="str">
        <f t="shared" si="1042"/>
        <v>EXP00386</v>
      </c>
      <c r="B12063" s="3" t="s">
        <v>66</v>
      </c>
      <c r="C12063" s="4" t="str">
        <f t="shared" si="1043"/>
        <v>GSE87211</v>
      </c>
      <c r="D12063" s="1" t="s">
        <v>239</v>
      </c>
      <c r="E12063" t="s">
        <v>96</v>
      </c>
      <c r="F12063" s="1">
        <v>2</v>
      </c>
      <c r="G12063" s="1" t="s">
        <v>28</v>
      </c>
      <c r="H12063" s="4" t="str">
        <f>HYPERLINK("https://www.ncbi.nlm.nih.gov/geo/query/acc.cgi?acc=GSM2325415","GSM2325415")</f>
        <v>GSM2325415</v>
      </c>
      <c r="I12063" t="s">
        <v>69</v>
      </c>
      <c r="J12063" t="s">
        <v>18</v>
      </c>
      <c r="K12063" t="s">
        <v>33</v>
      </c>
      <c r="L12063" t="s">
        <v>70</v>
      </c>
      <c r="N12063" t="s">
        <v>29</v>
      </c>
    </row>
    <row r="12064" spans="1:14">
      <c r="A12064" s="4" t="str">
        <f t="shared" si="1042"/>
        <v>EXP00386</v>
      </c>
      <c r="B12064" s="3" t="s">
        <v>66</v>
      </c>
      <c r="C12064" s="4" t="str">
        <f t="shared" si="1043"/>
        <v>GSE87211</v>
      </c>
      <c r="D12064" s="1" t="s">
        <v>239</v>
      </c>
      <c r="E12064" t="s">
        <v>96</v>
      </c>
      <c r="F12064" s="1">
        <v>2</v>
      </c>
      <c r="G12064" s="1" t="s">
        <v>28</v>
      </c>
      <c r="H12064" s="4" t="str">
        <f>HYPERLINK("https://www.ncbi.nlm.nih.gov/geo/query/acc.cgi?acc=GSM2325416","GSM2325416")</f>
        <v>GSM2325416</v>
      </c>
      <c r="I12064" t="s">
        <v>69</v>
      </c>
      <c r="J12064" t="s">
        <v>18</v>
      </c>
      <c r="K12064" t="s">
        <v>33</v>
      </c>
      <c r="L12064" t="s">
        <v>70</v>
      </c>
      <c r="N12064" t="s">
        <v>29</v>
      </c>
    </row>
    <row r="12065" spans="1:14">
      <c r="A12065" s="4" t="str">
        <f t="shared" si="1042"/>
        <v>EXP00386</v>
      </c>
      <c r="B12065" s="3" t="s">
        <v>66</v>
      </c>
      <c r="C12065" s="4" t="str">
        <f t="shared" si="1043"/>
        <v>GSE87211</v>
      </c>
      <c r="D12065" s="1" t="s">
        <v>239</v>
      </c>
      <c r="E12065" t="s">
        <v>96</v>
      </c>
      <c r="F12065" s="1">
        <v>2</v>
      </c>
      <c r="G12065" s="1" t="s">
        <v>28</v>
      </c>
      <c r="H12065" s="4" t="str">
        <f>HYPERLINK("https://www.ncbi.nlm.nih.gov/geo/query/acc.cgi?acc=GSM2325417","GSM2325417")</f>
        <v>GSM2325417</v>
      </c>
      <c r="I12065" t="s">
        <v>69</v>
      </c>
      <c r="J12065" t="s">
        <v>18</v>
      </c>
      <c r="K12065" t="s">
        <v>33</v>
      </c>
      <c r="L12065" t="s">
        <v>70</v>
      </c>
      <c r="N12065" t="s">
        <v>29</v>
      </c>
    </row>
    <row r="12066" spans="1:14">
      <c r="A12066" s="4" t="str">
        <f t="shared" si="1042"/>
        <v>EXP00386</v>
      </c>
      <c r="B12066" s="3" t="s">
        <v>66</v>
      </c>
      <c r="C12066" s="4" t="str">
        <f t="shared" si="1043"/>
        <v>GSE87211</v>
      </c>
      <c r="D12066" s="1" t="s">
        <v>239</v>
      </c>
      <c r="E12066" t="s">
        <v>96</v>
      </c>
      <c r="F12066" s="1">
        <v>2</v>
      </c>
      <c r="G12066" s="1" t="s">
        <v>28</v>
      </c>
      <c r="H12066" s="4" t="str">
        <f>HYPERLINK("https://www.ncbi.nlm.nih.gov/geo/query/acc.cgi?acc=GSM2325418","GSM2325418")</f>
        <v>GSM2325418</v>
      </c>
      <c r="I12066" t="s">
        <v>69</v>
      </c>
      <c r="J12066" t="s">
        <v>18</v>
      </c>
      <c r="K12066" t="s">
        <v>33</v>
      </c>
      <c r="L12066" t="s">
        <v>70</v>
      </c>
      <c r="N12066" t="s">
        <v>29</v>
      </c>
    </row>
    <row r="12067" spans="1:14">
      <c r="A12067" s="4" t="str">
        <f t="shared" si="1042"/>
        <v>EXP00386</v>
      </c>
      <c r="B12067" s="3" t="s">
        <v>66</v>
      </c>
      <c r="C12067" s="4" t="str">
        <f t="shared" si="1043"/>
        <v>GSE87211</v>
      </c>
      <c r="D12067" s="1" t="s">
        <v>239</v>
      </c>
      <c r="E12067" t="s">
        <v>96</v>
      </c>
      <c r="F12067" s="1">
        <v>2</v>
      </c>
      <c r="G12067" s="1" t="s">
        <v>28</v>
      </c>
      <c r="H12067" s="4" t="str">
        <f>HYPERLINK("https://www.ncbi.nlm.nih.gov/geo/query/acc.cgi?acc=GSM2325419","GSM2325419")</f>
        <v>GSM2325419</v>
      </c>
      <c r="I12067" t="s">
        <v>69</v>
      </c>
      <c r="J12067" t="s">
        <v>18</v>
      </c>
      <c r="K12067" t="s">
        <v>33</v>
      </c>
      <c r="L12067" t="s">
        <v>70</v>
      </c>
      <c r="N12067" t="s">
        <v>29</v>
      </c>
    </row>
    <row r="12068" spans="1:14">
      <c r="A12068" s="4" t="str">
        <f t="shared" si="1042"/>
        <v>EXP00386</v>
      </c>
      <c r="B12068" s="3" t="s">
        <v>66</v>
      </c>
      <c r="C12068" s="4" t="str">
        <f t="shared" si="1043"/>
        <v>GSE87211</v>
      </c>
      <c r="D12068" s="1" t="s">
        <v>239</v>
      </c>
      <c r="E12068" t="s">
        <v>96</v>
      </c>
      <c r="F12068" s="1">
        <v>2</v>
      </c>
      <c r="G12068" s="1" t="s">
        <v>28</v>
      </c>
      <c r="H12068" s="4" t="str">
        <f>HYPERLINK("https://www.ncbi.nlm.nih.gov/geo/query/acc.cgi?acc=GSM2325420","GSM2325420")</f>
        <v>GSM2325420</v>
      </c>
      <c r="I12068" t="s">
        <v>69</v>
      </c>
      <c r="J12068" t="s">
        <v>18</v>
      </c>
      <c r="K12068" t="s">
        <v>33</v>
      </c>
      <c r="L12068" t="s">
        <v>70</v>
      </c>
      <c r="N12068" t="s">
        <v>29</v>
      </c>
    </row>
    <row r="12069" spans="1:14">
      <c r="A12069" s="4" t="str">
        <f t="shared" si="1042"/>
        <v>EXP00386</v>
      </c>
      <c r="B12069" s="3" t="s">
        <v>66</v>
      </c>
      <c r="C12069" s="4" t="str">
        <f t="shared" si="1043"/>
        <v>GSE87211</v>
      </c>
      <c r="D12069" s="1" t="s">
        <v>239</v>
      </c>
      <c r="E12069" t="s">
        <v>96</v>
      </c>
      <c r="F12069" s="1">
        <v>2</v>
      </c>
      <c r="G12069" s="1" t="s">
        <v>28</v>
      </c>
      <c r="H12069" s="4" t="str">
        <f>HYPERLINK("https://www.ncbi.nlm.nih.gov/geo/query/acc.cgi?acc=GSM2325421","GSM2325421")</f>
        <v>GSM2325421</v>
      </c>
      <c r="I12069" t="s">
        <v>69</v>
      </c>
      <c r="J12069" t="s">
        <v>18</v>
      </c>
      <c r="K12069" t="s">
        <v>33</v>
      </c>
      <c r="L12069" t="s">
        <v>70</v>
      </c>
      <c r="N12069" t="s">
        <v>29</v>
      </c>
    </row>
    <row r="12070" spans="1:14">
      <c r="A12070" s="4" t="str">
        <f t="shared" si="1042"/>
        <v>EXP00386</v>
      </c>
      <c r="B12070" s="3" t="s">
        <v>66</v>
      </c>
      <c r="C12070" s="4" t="str">
        <f t="shared" si="1043"/>
        <v>GSE87211</v>
      </c>
      <c r="D12070" s="1" t="s">
        <v>239</v>
      </c>
      <c r="E12070" t="s">
        <v>96</v>
      </c>
      <c r="F12070" s="1">
        <v>2</v>
      </c>
      <c r="G12070" s="1" t="s">
        <v>28</v>
      </c>
      <c r="H12070" s="4" t="str">
        <f>HYPERLINK("https://www.ncbi.nlm.nih.gov/geo/query/acc.cgi?acc=GSM2325422","GSM2325422")</f>
        <v>GSM2325422</v>
      </c>
      <c r="I12070" t="s">
        <v>69</v>
      </c>
      <c r="J12070" t="s">
        <v>18</v>
      </c>
      <c r="K12070" t="s">
        <v>33</v>
      </c>
      <c r="L12070" t="s">
        <v>70</v>
      </c>
      <c r="N12070" t="s">
        <v>29</v>
      </c>
    </row>
    <row r="12071" spans="1:14">
      <c r="A12071" s="4" t="str">
        <f t="shared" si="1042"/>
        <v>EXP00386</v>
      </c>
      <c r="B12071" s="3" t="s">
        <v>66</v>
      </c>
      <c r="C12071" s="4" t="str">
        <f t="shared" si="1043"/>
        <v>GSE87211</v>
      </c>
      <c r="D12071" s="1" t="s">
        <v>239</v>
      </c>
      <c r="E12071" t="s">
        <v>96</v>
      </c>
      <c r="F12071" s="1">
        <v>2</v>
      </c>
      <c r="G12071" s="1" t="s">
        <v>28</v>
      </c>
      <c r="H12071" s="4" t="str">
        <f>HYPERLINK("https://www.ncbi.nlm.nih.gov/geo/query/acc.cgi?acc=GSM2325423","GSM2325423")</f>
        <v>GSM2325423</v>
      </c>
      <c r="I12071" t="s">
        <v>69</v>
      </c>
      <c r="J12071" t="s">
        <v>18</v>
      </c>
      <c r="K12071" t="s">
        <v>33</v>
      </c>
      <c r="L12071" t="s">
        <v>70</v>
      </c>
      <c r="N12071" t="s">
        <v>29</v>
      </c>
    </row>
    <row r="12072" spans="1:14">
      <c r="A12072" s="4" t="str">
        <f t="shared" ref="A12072:A12084" si="1044">HYPERLINK("http://hcmdb.i-sanger.com/experiment/details/experiment_id/EXP00386","EXP00386")</f>
        <v>EXP00386</v>
      </c>
      <c r="B12072" s="3" t="s">
        <v>66</v>
      </c>
      <c r="C12072" s="4" t="str">
        <f t="shared" si="1043"/>
        <v>GSE87211</v>
      </c>
      <c r="D12072" s="1" t="s">
        <v>239</v>
      </c>
      <c r="E12072" t="s">
        <v>96</v>
      </c>
      <c r="F12072" s="1">
        <v>2</v>
      </c>
      <c r="G12072" s="1" t="s">
        <v>28</v>
      </c>
      <c r="H12072" s="4" t="str">
        <f>HYPERLINK("https://www.ncbi.nlm.nih.gov/geo/query/acc.cgi?acc=GSM2325424","GSM2325424")</f>
        <v>GSM2325424</v>
      </c>
      <c r="I12072" t="s">
        <v>69</v>
      </c>
      <c r="J12072" t="s">
        <v>18</v>
      </c>
      <c r="K12072" t="s">
        <v>33</v>
      </c>
      <c r="L12072" t="s">
        <v>70</v>
      </c>
      <c r="N12072" t="s">
        <v>29</v>
      </c>
    </row>
    <row r="12073" spans="1:14">
      <c r="A12073" s="4" t="str">
        <f t="shared" si="1044"/>
        <v>EXP00386</v>
      </c>
      <c r="B12073" s="3" t="s">
        <v>66</v>
      </c>
      <c r="C12073" s="4" t="str">
        <f t="shared" si="1043"/>
        <v>GSE87211</v>
      </c>
      <c r="D12073" s="1" t="s">
        <v>239</v>
      </c>
      <c r="E12073" t="s">
        <v>96</v>
      </c>
      <c r="F12073" s="1">
        <v>2</v>
      </c>
      <c r="G12073" s="1" t="s">
        <v>28</v>
      </c>
      <c r="H12073" s="4" t="str">
        <f>HYPERLINK("https://www.ncbi.nlm.nih.gov/geo/query/acc.cgi?acc=GSM2325425","GSM2325425")</f>
        <v>GSM2325425</v>
      </c>
      <c r="I12073" t="s">
        <v>69</v>
      </c>
      <c r="J12073" t="s">
        <v>18</v>
      </c>
      <c r="K12073" t="s">
        <v>33</v>
      </c>
      <c r="L12073" t="s">
        <v>70</v>
      </c>
      <c r="N12073" t="s">
        <v>29</v>
      </c>
    </row>
    <row r="12074" spans="1:14">
      <c r="A12074" s="4" t="str">
        <f t="shared" si="1044"/>
        <v>EXP00386</v>
      </c>
      <c r="B12074" s="3" t="s">
        <v>66</v>
      </c>
      <c r="C12074" s="4" t="str">
        <f t="shared" si="1043"/>
        <v>GSE87211</v>
      </c>
      <c r="D12074" s="1" t="s">
        <v>239</v>
      </c>
      <c r="E12074" t="s">
        <v>96</v>
      </c>
      <c r="F12074" s="1">
        <v>2</v>
      </c>
      <c r="G12074" s="1" t="s">
        <v>28</v>
      </c>
      <c r="H12074" s="4" t="str">
        <f>HYPERLINK("https://www.ncbi.nlm.nih.gov/geo/query/acc.cgi?acc=GSM2325426","GSM2325426")</f>
        <v>GSM2325426</v>
      </c>
      <c r="I12074" t="s">
        <v>69</v>
      </c>
      <c r="J12074" t="s">
        <v>18</v>
      </c>
      <c r="K12074" t="s">
        <v>33</v>
      </c>
      <c r="L12074" t="s">
        <v>70</v>
      </c>
      <c r="N12074" t="s">
        <v>29</v>
      </c>
    </row>
    <row r="12075" spans="1:14">
      <c r="A12075" s="4" t="str">
        <f t="shared" si="1044"/>
        <v>EXP00386</v>
      </c>
      <c r="B12075" s="3" t="s">
        <v>66</v>
      </c>
      <c r="C12075" s="4" t="str">
        <f t="shared" si="1043"/>
        <v>GSE87211</v>
      </c>
      <c r="D12075" s="1" t="s">
        <v>239</v>
      </c>
      <c r="E12075" t="s">
        <v>96</v>
      </c>
      <c r="F12075" s="1">
        <v>2</v>
      </c>
      <c r="G12075" s="1" t="s">
        <v>28</v>
      </c>
      <c r="H12075" s="4" t="str">
        <f>HYPERLINK("https://www.ncbi.nlm.nih.gov/geo/query/acc.cgi?acc=GSM2325428","GSM2325428")</f>
        <v>GSM2325428</v>
      </c>
      <c r="I12075" t="s">
        <v>69</v>
      </c>
      <c r="J12075" t="s">
        <v>18</v>
      </c>
      <c r="K12075" t="s">
        <v>33</v>
      </c>
      <c r="L12075" t="s">
        <v>70</v>
      </c>
      <c r="N12075" t="s">
        <v>29</v>
      </c>
    </row>
    <row r="12076" spans="1:14">
      <c r="A12076" s="4" t="str">
        <f t="shared" si="1044"/>
        <v>EXP00386</v>
      </c>
      <c r="B12076" s="3" t="s">
        <v>66</v>
      </c>
      <c r="C12076" s="4" t="str">
        <f t="shared" si="1043"/>
        <v>GSE87211</v>
      </c>
      <c r="D12076" s="1" t="s">
        <v>239</v>
      </c>
      <c r="E12076" t="s">
        <v>96</v>
      </c>
      <c r="F12076" s="1">
        <v>2</v>
      </c>
      <c r="G12076" s="1" t="s">
        <v>28</v>
      </c>
      <c r="H12076" s="4" t="str">
        <f>HYPERLINK("https://www.ncbi.nlm.nih.gov/geo/query/acc.cgi?acc=GSM2325429","GSM2325429")</f>
        <v>GSM2325429</v>
      </c>
      <c r="I12076" t="s">
        <v>69</v>
      </c>
      <c r="J12076" t="s">
        <v>18</v>
      </c>
      <c r="K12076" t="s">
        <v>33</v>
      </c>
      <c r="L12076" t="s">
        <v>70</v>
      </c>
      <c r="N12076" t="s">
        <v>29</v>
      </c>
    </row>
    <row r="12077" spans="1:14">
      <c r="A12077" s="4" t="str">
        <f t="shared" si="1044"/>
        <v>EXP00386</v>
      </c>
      <c r="B12077" s="3" t="s">
        <v>66</v>
      </c>
      <c r="C12077" s="4" t="str">
        <f t="shared" si="1043"/>
        <v>GSE87211</v>
      </c>
      <c r="D12077" s="1" t="s">
        <v>239</v>
      </c>
      <c r="E12077" t="s">
        <v>96</v>
      </c>
      <c r="F12077" s="1">
        <v>2</v>
      </c>
      <c r="G12077" s="1" t="s">
        <v>28</v>
      </c>
      <c r="H12077" s="4" t="str">
        <f>HYPERLINK("https://www.ncbi.nlm.nih.gov/geo/query/acc.cgi?acc=GSM2325430","GSM2325430")</f>
        <v>GSM2325430</v>
      </c>
      <c r="I12077" t="s">
        <v>69</v>
      </c>
      <c r="J12077" t="s">
        <v>18</v>
      </c>
      <c r="K12077" t="s">
        <v>33</v>
      </c>
      <c r="L12077" t="s">
        <v>70</v>
      </c>
      <c r="N12077" t="s">
        <v>29</v>
      </c>
    </row>
    <row r="12078" spans="1:14">
      <c r="A12078" s="4" t="str">
        <f t="shared" si="1044"/>
        <v>EXP00386</v>
      </c>
      <c r="B12078" s="3" t="s">
        <v>66</v>
      </c>
      <c r="C12078" s="4" t="str">
        <f t="shared" si="1043"/>
        <v>GSE87211</v>
      </c>
      <c r="D12078" s="1" t="s">
        <v>239</v>
      </c>
      <c r="E12078" t="s">
        <v>96</v>
      </c>
      <c r="F12078" s="1">
        <v>2</v>
      </c>
      <c r="G12078" s="1" t="s">
        <v>28</v>
      </c>
      <c r="H12078" s="4" t="str">
        <f>HYPERLINK("https://www.ncbi.nlm.nih.gov/geo/query/acc.cgi?acc=GSM2325431","GSM2325431")</f>
        <v>GSM2325431</v>
      </c>
      <c r="I12078" t="s">
        <v>69</v>
      </c>
      <c r="J12078" t="s">
        <v>18</v>
      </c>
      <c r="K12078" t="s">
        <v>33</v>
      </c>
      <c r="L12078" t="s">
        <v>70</v>
      </c>
      <c r="N12078" t="s">
        <v>29</v>
      </c>
    </row>
    <row r="12079" spans="1:14">
      <c r="A12079" s="4" t="str">
        <f t="shared" si="1044"/>
        <v>EXP00386</v>
      </c>
      <c r="B12079" s="3" t="s">
        <v>66</v>
      </c>
      <c r="C12079" s="4" t="str">
        <f t="shared" si="1043"/>
        <v>GSE87211</v>
      </c>
      <c r="D12079" s="1" t="s">
        <v>239</v>
      </c>
      <c r="E12079" t="s">
        <v>96</v>
      </c>
      <c r="F12079" s="1">
        <v>2</v>
      </c>
      <c r="G12079" s="1" t="s">
        <v>28</v>
      </c>
      <c r="H12079" s="4" t="str">
        <f>HYPERLINK("https://www.ncbi.nlm.nih.gov/geo/query/acc.cgi?acc=GSM2325432","GSM2325432")</f>
        <v>GSM2325432</v>
      </c>
      <c r="I12079" t="s">
        <v>69</v>
      </c>
      <c r="J12079" t="s">
        <v>18</v>
      </c>
      <c r="K12079" t="s">
        <v>33</v>
      </c>
      <c r="L12079" t="s">
        <v>70</v>
      </c>
      <c r="N12079" t="s">
        <v>29</v>
      </c>
    </row>
    <row r="12080" spans="1:14">
      <c r="A12080" s="4" t="str">
        <f t="shared" si="1044"/>
        <v>EXP00386</v>
      </c>
      <c r="B12080" s="3" t="s">
        <v>66</v>
      </c>
      <c r="C12080" s="4" t="str">
        <f t="shared" si="1043"/>
        <v>GSE87211</v>
      </c>
      <c r="D12080" s="1" t="s">
        <v>239</v>
      </c>
      <c r="E12080" t="s">
        <v>96</v>
      </c>
      <c r="F12080" s="1">
        <v>2</v>
      </c>
      <c r="G12080" s="1" t="s">
        <v>28</v>
      </c>
      <c r="H12080" s="4" t="str">
        <f>HYPERLINK("https://www.ncbi.nlm.nih.gov/geo/query/acc.cgi?acc=GSM2325433","GSM2325433")</f>
        <v>GSM2325433</v>
      </c>
      <c r="I12080" t="s">
        <v>69</v>
      </c>
      <c r="J12080" t="s">
        <v>18</v>
      </c>
      <c r="K12080" t="s">
        <v>33</v>
      </c>
      <c r="L12080" t="s">
        <v>70</v>
      </c>
      <c r="N12080" t="s">
        <v>29</v>
      </c>
    </row>
    <row r="12081" spans="1:14">
      <c r="A12081" s="4" t="str">
        <f t="shared" si="1044"/>
        <v>EXP00386</v>
      </c>
      <c r="B12081" s="3" t="s">
        <v>66</v>
      </c>
      <c r="C12081" s="4" t="str">
        <f t="shared" si="1043"/>
        <v>GSE87211</v>
      </c>
      <c r="D12081" s="1" t="s">
        <v>239</v>
      </c>
      <c r="E12081" t="s">
        <v>96</v>
      </c>
      <c r="F12081" s="1">
        <v>2</v>
      </c>
      <c r="G12081" s="1" t="s">
        <v>28</v>
      </c>
      <c r="H12081" s="4" t="str">
        <f>HYPERLINK("https://www.ncbi.nlm.nih.gov/geo/query/acc.cgi?acc=GSM2325434","GSM2325434")</f>
        <v>GSM2325434</v>
      </c>
      <c r="I12081" t="s">
        <v>69</v>
      </c>
      <c r="J12081" t="s">
        <v>18</v>
      </c>
      <c r="K12081" t="s">
        <v>33</v>
      </c>
      <c r="L12081" t="s">
        <v>70</v>
      </c>
      <c r="N12081" t="s">
        <v>29</v>
      </c>
    </row>
    <row r="12082" spans="1:14">
      <c r="A12082" s="4" t="str">
        <f t="shared" si="1044"/>
        <v>EXP00386</v>
      </c>
      <c r="B12082" s="3" t="s">
        <v>66</v>
      </c>
      <c r="C12082" s="4" t="str">
        <f t="shared" si="1043"/>
        <v>GSE87211</v>
      </c>
      <c r="D12082" s="1" t="s">
        <v>239</v>
      </c>
      <c r="E12082" t="s">
        <v>96</v>
      </c>
      <c r="F12082" s="1">
        <v>2</v>
      </c>
      <c r="G12082" s="1" t="s">
        <v>28</v>
      </c>
      <c r="H12082" s="4" t="str">
        <f>HYPERLINK("https://www.ncbi.nlm.nih.gov/geo/query/acc.cgi?acc=GSM2325437","GSM2325437")</f>
        <v>GSM2325437</v>
      </c>
      <c r="I12082" t="s">
        <v>69</v>
      </c>
      <c r="J12082" t="s">
        <v>18</v>
      </c>
      <c r="K12082" t="s">
        <v>33</v>
      </c>
      <c r="L12082" t="s">
        <v>70</v>
      </c>
      <c r="N12082" t="s">
        <v>29</v>
      </c>
    </row>
    <row r="12083" spans="1:14">
      <c r="A12083" s="4" t="str">
        <f t="shared" si="1044"/>
        <v>EXP00386</v>
      </c>
      <c r="B12083" s="3" t="s">
        <v>66</v>
      </c>
      <c r="C12083" s="4" t="str">
        <f t="shared" si="1043"/>
        <v>GSE87211</v>
      </c>
      <c r="D12083" s="1" t="s">
        <v>239</v>
      </c>
      <c r="E12083" t="s">
        <v>96</v>
      </c>
      <c r="F12083" s="1">
        <v>2</v>
      </c>
      <c r="G12083" s="1" t="s">
        <v>28</v>
      </c>
      <c r="H12083" s="4" t="str">
        <f>HYPERLINK("https://www.ncbi.nlm.nih.gov/geo/query/acc.cgi?acc=GSM2325438","GSM2325438")</f>
        <v>GSM2325438</v>
      </c>
      <c r="I12083" t="s">
        <v>69</v>
      </c>
      <c r="J12083" t="s">
        <v>18</v>
      </c>
      <c r="K12083" t="s">
        <v>33</v>
      </c>
      <c r="L12083" t="s">
        <v>70</v>
      </c>
      <c r="N12083" t="s">
        <v>29</v>
      </c>
    </row>
    <row r="12084" spans="1:14">
      <c r="A12084" s="4" t="str">
        <f t="shared" si="1044"/>
        <v>EXP00386</v>
      </c>
      <c r="B12084" s="3" t="s">
        <v>66</v>
      </c>
      <c r="C12084" s="4" t="str">
        <f t="shared" si="1043"/>
        <v>GSE87211</v>
      </c>
      <c r="D12084" s="1" t="s">
        <v>239</v>
      </c>
      <c r="E12084" t="s">
        <v>96</v>
      </c>
      <c r="F12084" s="1">
        <v>2</v>
      </c>
      <c r="G12084" s="1" t="s">
        <v>28</v>
      </c>
      <c r="H12084" s="4" t="str">
        <f>HYPERLINK("https://www.ncbi.nlm.nih.gov/geo/query/acc.cgi?acc=GSM2325439","GSM2325439")</f>
        <v>GSM2325439</v>
      </c>
      <c r="I12084" t="s">
        <v>69</v>
      </c>
      <c r="J12084" t="s">
        <v>18</v>
      </c>
      <c r="K12084" t="s">
        <v>33</v>
      </c>
      <c r="L12084" t="s">
        <v>70</v>
      </c>
      <c r="N12084" t="s">
        <v>29</v>
      </c>
    </row>
    <row r="12085" spans="1:14">
      <c r="A12085" s="4" t="str">
        <f t="shared" ref="A12085:A12116" si="1045">HYPERLINK("http://hcmdb.i-sanger.com/experiment/details/experiment_id/EXP00387","EXP00387")</f>
        <v>EXP00387</v>
      </c>
      <c r="B12085" s="4" t="str">
        <f t="shared" ref="B12085:B12116" si="1046">HYPERLINK("https://www.ncbi.nlm.nih.gov/pubmed/20143136","20143136")</f>
        <v>20143136</v>
      </c>
      <c r="C12085" s="4" t="str">
        <f t="shared" ref="C12085:C12116" si="1047">HYPERLINK("https://www.ncbi.nlm.nih.gov/geo/query/acc.cgi?acc=GSE9348","GSE9348")</f>
        <v>GSE9348</v>
      </c>
      <c r="D12085" s="1" t="s">
        <v>45</v>
      </c>
      <c r="E12085" t="s">
        <v>68</v>
      </c>
      <c r="F12085" s="1">
        <v>1</v>
      </c>
      <c r="G12085" s="1" t="s">
        <v>31</v>
      </c>
      <c r="H12085" s="4" t="str">
        <f>HYPERLINK("https://www.ncbi.nlm.nih.gov/geo/query/acc.cgi?acc=GSM237915","GSM237915")</f>
        <v>GSM237915</v>
      </c>
      <c r="I12085" t="s">
        <v>69</v>
      </c>
      <c r="J12085" t="s">
        <v>18</v>
      </c>
      <c r="K12085" t="s">
        <v>19</v>
      </c>
      <c r="L12085" t="s">
        <v>70</v>
      </c>
      <c r="M12085" t="s">
        <v>51</v>
      </c>
      <c r="N12085" t="s">
        <v>29</v>
      </c>
    </row>
    <row r="12086" spans="1:14">
      <c r="A12086" s="4" t="str">
        <f t="shared" si="1045"/>
        <v>EXP00387</v>
      </c>
      <c r="B12086" s="4" t="str">
        <f t="shared" si="1046"/>
        <v>20143136</v>
      </c>
      <c r="C12086" s="4" t="str">
        <f t="shared" si="1047"/>
        <v>GSE9348</v>
      </c>
      <c r="D12086" s="1" t="s">
        <v>45</v>
      </c>
      <c r="E12086" t="s">
        <v>68</v>
      </c>
      <c r="F12086" s="1">
        <v>1</v>
      </c>
      <c r="G12086" s="1" t="s">
        <v>31</v>
      </c>
      <c r="H12086" s="4" t="str">
        <f>HYPERLINK("https://www.ncbi.nlm.nih.gov/geo/query/acc.cgi?acc=GSM237919","GSM237919")</f>
        <v>GSM237919</v>
      </c>
      <c r="I12086" t="s">
        <v>69</v>
      </c>
      <c r="J12086" t="s">
        <v>18</v>
      </c>
      <c r="K12086" t="s">
        <v>19</v>
      </c>
      <c r="L12086" t="s">
        <v>70</v>
      </c>
      <c r="M12086" t="s">
        <v>51</v>
      </c>
      <c r="N12086" t="s">
        <v>29</v>
      </c>
    </row>
    <row r="12087" spans="1:14">
      <c r="A12087" s="4" t="str">
        <f t="shared" si="1045"/>
        <v>EXP00387</v>
      </c>
      <c r="B12087" s="4" t="str">
        <f t="shared" si="1046"/>
        <v>20143136</v>
      </c>
      <c r="C12087" s="4" t="str">
        <f t="shared" si="1047"/>
        <v>GSE9348</v>
      </c>
      <c r="D12087" s="1" t="s">
        <v>45</v>
      </c>
      <c r="E12087" t="s">
        <v>68</v>
      </c>
      <c r="F12087" s="1">
        <v>1</v>
      </c>
      <c r="G12087" s="1" t="s">
        <v>31</v>
      </c>
      <c r="H12087" s="4" t="str">
        <f>HYPERLINK("https://www.ncbi.nlm.nih.gov/geo/query/acc.cgi?acc=GSM237923","GSM237923")</f>
        <v>GSM237923</v>
      </c>
      <c r="I12087" t="s">
        <v>69</v>
      </c>
      <c r="J12087" t="s">
        <v>18</v>
      </c>
      <c r="K12087" t="s">
        <v>19</v>
      </c>
      <c r="L12087" t="s">
        <v>70</v>
      </c>
      <c r="M12087" t="s">
        <v>51</v>
      </c>
      <c r="N12087" t="s">
        <v>29</v>
      </c>
    </row>
    <row r="12088" spans="1:14">
      <c r="A12088" s="4" t="str">
        <f t="shared" si="1045"/>
        <v>EXP00387</v>
      </c>
      <c r="B12088" s="4" t="str">
        <f t="shared" si="1046"/>
        <v>20143136</v>
      </c>
      <c r="C12088" s="4" t="str">
        <f t="shared" si="1047"/>
        <v>GSE9348</v>
      </c>
      <c r="D12088" s="1" t="s">
        <v>45</v>
      </c>
      <c r="E12088" t="s">
        <v>68</v>
      </c>
      <c r="F12088" s="1">
        <v>1</v>
      </c>
      <c r="G12088" s="1" t="s">
        <v>31</v>
      </c>
      <c r="H12088" s="4" t="str">
        <f>HYPERLINK("https://www.ncbi.nlm.nih.gov/geo/query/acc.cgi?acc=GSM237934","GSM237934")</f>
        <v>GSM237934</v>
      </c>
      <c r="I12088" t="s">
        <v>69</v>
      </c>
      <c r="J12088" t="s">
        <v>18</v>
      </c>
      <c r="K12088" t="s">
        <v>19</v>
      </c>
      <c r="L12088" t="s">
        <v>70</v>
      </c>
      <c r="M12088" t="s">
        <v>51</v>
      </c>
      <c r="N12088" t="s">
        <v>29</v>
      </c>
    </row>
    <row r="12089" spans="1:14">
      <c r="A12089" s="4" t="str">
        <f t="shared" si="1045"/>
        <v>EXP00387</v>
      </c>
      <c r="B12089" s="4" t="str">
        <f t="shared" si="1046"/>
        <v>20143136</v>
      </c>
      <c r="C12089" s="4" t="str">
        <f t="shared" si="1047"/>
        <v>GSE9348</v>
      </c>
      <c r="D12089" s="1" t="s">
        <v>45</v>
      </c>
      <c r="E12089" t="s">
        <v>68</v>
      </c>
      <c r="F12089" s="1">
        <v>1</v>
      </c>
      <c r="G12089" s="1" t="s">
        <v>31</v>
      </c>
      <c r="H12089" s="4" t="str">
        <f>HYPERLINK("https://www.ncbi.nlm.nih.gov/geo/query/acc.cgi?acc=GSM237941","GSM237941")</f>
        <v>GSM237941</v>
      </c>
      <c r="I12089" t="s">
        <v>69</v>
      </c>
      <c r="J12089" t="s">
        <v>18</v>
      </c>
      <c r="K12089" t="s">
        <v>19</v>
      </c>
      <c r="L12089" t="s">
        <v>70</v>
      </c>
      <c r="M12089" t="s">
        <v>51</v>
      </c>
      <c r="N12089" t="s">
        <v>29</v>
      </c>
    </row>
    <row r="12090" spans="1:14">
      <c r="A12090" s="4" t="str">
        <f t="shared" si="1045"/>
        <v>EXP00387</v>
      </c>
      <c r="B12090" s="4" t="str">
        <f t="shared" si="1046"/>
        <v>20143136</v>
      </c>
      <c r="C12090" s="4" t="str">
        <f t="shared" si="1047"/>
        <v>GSE9348</v>
      </c>
      <c r="D12090" s="1" t="s">
        <v>45</v>
      </c>
      <c r="E12090" t="s">
        <v>68</v>
      </c>
      <c r="F12090" s="1">
        <v>1</v>
      </c>
      <c r="G12090" s="1" t="s">
        <v>31</v>
      </c>
      <c r="H12090" s="4" t="str">
        <f>HYPERLINK("https://www.ncbi.nlm.nih.gov/geo/query/acc.cgi?acc=GSM237944","GSM237944")</f>
        <v>GSM237944</v>
      </c>
      <c r="I12090" t="s">
        <v>69</v>
      </c>
      <c r="J12090" t="s">
        <v>18</v>
      </c>
      <c r="K12090" t="s">
        <v>19</v>
      </c>
      <c r="L12090" t="s">
        <v>70</v>
      </c>
      <c r="M12090" t="s">
        <v>51</v>
      </c>
      <c r="N12090" t="s">
        <v>29</v>
      </c>
    </row>
    <row r="12091" spans="1:14">
      <c r="A12091" s="4" t="str">
        <f t="shared" si="1045"/>
        <v>EXP00387</v>
      </c>
      <c r="B12091" s="4" t="str">
        <f t="shared" si="1046"/>
        <v>20143136</v>
      </c>
      <c r="C12091" s="4" t="str">
        <f t="shared" si="1047"/>
        <v>GSE9348</v>
      </c>
      <c r="D12091" s="1" t="s">
        <v>45</v>
      </c>
      <c r="E12091" t="s">
        <v>68</v>
      </c>
      <c r="F12091" s="1">
        <v>1</v>
      </c>
      <c r="G12091" s="1" t="s">
        <v>31</v>
      </c>
      <c r="H12091" s="4" t="str">
        <f>HYPERLINK("https://www.ncbi.nlm.nih.gov/geo/query/acc.cgi?acc=GSM237945","GSM237945")</f>
        <v>GSM237945</v>
      </c>
      <c r="I12091" t="s">
        <v>69</v>
      </c>
      <c r="J12091" t="s">
        <v>18</v>
      </c>
      <c r="K12091" t="s">
        <v>19</v>
      </c>
      <c r="L12091" t="s">
        <v>70</v>
      </c>
      <c r="M12091" t="s">
        <v>51</v>
      </c>
      <c r="N12091" t="s">
        <v>29</v>
      </c>
    </row>
    <row r="12092" spans="1:14">
      <c r="A12092" s="4" t="str">
        <f t="shared" si="1045"/>
        <v>EXP00387</v>
      </c>
      <c r="B12092" s="4" t="str">
        <f t="shared" si="1046"/>
        <v>20143136</v>
      </c>
      <c r="C12092" s="4" t="str">
        <f t="shared" si="1047"/>
        <v>GSE9348</v>
      </c>
      <c r="D12092" s="1" t="s">
        <v>45</v>
      </c>
      <c r="E12092" t="s">
        <v>68</v>
      </c>
      <c r="F12092" s="1">
        <v>1</v>
      </c>
      <c r="G12092" s="1" t="s">
        <v>31</v>
      </c>
      <c r="H12092" s="4" t="str">
        <f>HYPERLINK("https://www.ncbi.nlm.nih.gov/geo/query/acc.cgi?acc=GSM237952","GSM237952")</f>
        <v>GSM237952</v>
      </c>
      <c r="I12092" t="s">
        <v>69</v>
      </c>
      <c r="J12092" t="s">
        <v>18</v>
      </c>
      <c r="K12092" t="s">
        <v>19</v>
      </c>
      <c r="L12092" t="s">
        <v>70</v>
      </c>
      <c r="M12092" t="s">
        <v>51</v>
      </c>
      <c r="N12092" t="s">
        <v>29</v>
      </c>
    </row>
    <row r="12093" spans="1:14">
      <c r="A12093" s="4" t="str">
        <f t="shared" si="1045"/>
        <v>EXP00387</v>
      </c>
      <c r="B12093" s="4" t="str">
        <f t="shared" si="1046"/>
        <v>20143136</v>
      </c>
      <c r="C12093" s="4" t="str">
        <f t="shared" si="1047"/>
        <v>GSE9348</v>
      </c>
      <c r="D12093" s="1" t="s">
        <v>45</v>
      </c>
      <c r="E12093" t="s">
        <v>68</v>
      </c>
      <c r="F12093" s="1">
        <v>1</v>
      </c>
      <c r="G12093" s="1" t="s">
        <v>31</v>
      </c>
      <c r="H12093" s="4" t="str">
        <f>HYPERLINK("https://www.ncbi.nlm.nih.gov/geo/query/acc.cgi?acc=GSM237955","GSM237955")</f>
        <v>GSM237955</v>
      </c>
      <c r="I12093" t="s">
        <v>69</v>
      </c>
      <c r="J12093" t="s">
        <v>18</v>
      </c>
      <c r="K12093" t="s">
        <v>19</v>
      </c>
      <c r="L12093" t="s">
        <v>70</v>
      </c>
      <c r="M12093" t="s">
        <v>51</v>
      </c>
      <c r="N12093" t="s">
        <v>29</v>
      </c>
    </row>
    <row r="12094" spans="1:14">
      <c r="A12094" s="4" t="str">
        <f t="shared" si="1045"/>
        <v>EXP00387</v>
      </c>
      <c r="B12094" s="4" t="str">
        <f t="shared" si="1046"/>
        <v>20143136</v>
      </c>
      <c r="C12094" s="4" t="str">
        <f t="shared" si="1047"/>
        <v>GSE9348</v>
      </c>
      <c r="D12094" s="1" t="s">
        <v>45</v>
      </c>
      <c r="E12094" t="s">
        <v>68</v>
      </c>
      <c r="F12094" s="1">
        <v>1</v>
      </c>
      <c r="G12094" s="1" t="s">
        <v>31</v>
      </c>
      <c r="H12094" s="4" t="str">
        <f>HYPERLINK("https://www.ncbi.nlm.nih.gov/geo/query/acc.cgi?acc=GSM237961","GSM237961")</f>
        <v>GSM237961</v>
      </c>
      <c r="I12094" t="s">
        <v>69</v>
      </c>
      <c r="J12094" t="s">
        <v>18</v>
      </c>
      <c r="K12094" t="s">
        <v>19</v>
      </c>
      <c r="L12094" t="s">
        <v>70</v>
      </c>
      <c r="M12094" t="s">
        <v>51</v>
      </c>
      <c r="N12094" t="s">
        <v>29</v>
      </c>
    </row>
    <row r="12095" spans="1:14">
      <c r="A12095" s="4" t="str">
        <f t="shared" si="1045"/>
        <v>EXP00387</v>
      </c>
      <c r="B12095" s="4" t="str">
        <f t="shared" si="1046"/>
        <v>20143136</v>
      </c>
      <c r="C12095" s="4" t="str">
        <f t="shared" si="1047"/>
        <v>GSE9348</v>
      </c>
      <c r="D12095" s="1" t="s">
        <v>45</v>
      </c>
      <c r="E12095" t="s">
        <v>68</v>
      </c>
      <c r="F12095" s="1">
        <v>1</v>
      </c>
      <c r="G12095" s="1" t="s">
        <v>31</v>
      </c>
      <c r="H12095" s="4" t="str">
        <f>HYPERLINK("https://www.ncbi.nlm.nih.gov/geo/query/acc.cgi?acc=GSM237971","GSM237971")</f>
        <v>GSM237971</v>
      </c>
      <c r="I12095" t="s">
        <v>69</v>
      </c>
      <c r="J12095" t="s">
        <v>18</v>
      </c>
      <c r="K12095" t="s">
        <v>19</v>
      </c>
      <c r="L12095" t="s">
        <v>70</v>
      </c>
      <c r="M12095" t="s">
        <v>51</v>
      </c>
      <c r="N12095" t="s">
        <v>29</v>
      </c>
    </row>
    <row r="12096" spans="1:14">
      <c r="A12096" s="4" t="str">
        <f t="shared" si="1045"/>
        <v>EXP00387</v>
      </c>
      <c r="B12096" s="4" t="str">
        <f t="shared" si="1046"/>
        <v>20143136</v>
      </c>
      <c r="C12096" s="4" t="str">
        <f t="shared" si="1047"/>
        <v>GSE9348</v>
      </c>
      <c r="D12096" s="1" t="s">
        <v>45</v>
      </c>
      <c r="E12096" t="s">
        <v>68</v>
      </c>
      <c r="F12096" s="1">
        <v>1</v>
      </c>
      <c r="G12096" s="1" t="s">
        <v>31</v>
      </c>
      <c r="H12096" s="4" t="str">
        <f>HYPERLINK("https://www.ncbi.nlm.nih.gov/geo/query/acc.cgi?acc=GSM237975","GSM237975")</f>
        <v>GSM237975</v>
      </c>
      <c r="I12096" t="s">
        <v>69</v>
      </c>
      <c r="J12096" t="s">
        <v>18</v>
      </c>
      <c r="K12096" t="s">
        <v>19</v>
      </c>
      <c r="L12096" t="s">
        <v>70</v>
      </c>
      <c r="M12096" t="s">
        <v>51</v>
      </c>
      <c r="N12096" t="s">
        <v>29</v>
      </c>
    </row>
    <row r="12097" spans="1:14">
      <c r="A12097" s="4" t="str">
        <f t="shared" si="1045"/>
        <v>EXP00387</v>
      </c>
      <c r="B12097" s="4" t="str">
        <f t="shared" si="1046"/>
        <v>20143136</v>
      </c>
      <c r="C12097" s="4" t="str">
        <f t="shared" si="1047"/>
        <v>GSE9348</v>
      </c>
      <c r="D12097" s="1" t="s">
        <v>45</v>
      </c>
      <c r="E12097" t="s">
        <v>68</v>
      </c>
      <c r="F12097" s="1">
        <v>1</v>
      </c>
      <c r="G12097" s="1" t="s">
        <v>31</v>
      </c>
      <c r="H12097" s="4" t="str">
        <f>HYPERLINK("https://www.ncbi.nlm.nih.gov/geo/query/acc.cgi?acc=GSM237976","GSM237976")</f>
        <v>GSM237976</v>
      </c>
      <c r="I12097" t="s">
        <v>69</v>
      </c>
      <c r="J12097" t="s">
        <v>18</v>
      </c>
      <c r="K12097" t="s">
        <v>19</v>
      </c>
      <c r="L12097" t="s">
        <v>70</v>
      </c>
      <c r="M12097" t="s">
        <v>51</v>
      </c>
      <c r="N12097" t="s">
        <v>29</v>
      </c>
    </row>
    <row r="12098" spans="1:14">
      <c r="A12098" s="4" t="str">
        <f t="shared" si="1045"/>
        <v>EXP00387</v>
      </c>
      <c r="B12098" s="4" t="str">
        <f t="shared" si="1046"/>
        <v>20143136</v>
      </c>
      <c r="C12098" s="4" t="str">
        <f t="shared" si="1047"/>
        <v>GSE9348</v>
      </c>
      <c r="D12098" s="1" t="s">
        <v>45</v>
      </c>
      <c r="E12098" t="s">
        <v>68</v>
      </c>
      <c r="F12098" s="1">
        <v>1</v>
      </c>
      <c r="G12098" s="1" t="s">
        <v>31</v>
      </c>
      <c r="H12098" s="4" t="str">
        <f>HYPERLINK("https://www.ncbi.nlm.nih.gov/geo/query/acc.cgi?acc=GSM237979","GSM237979")</f>
        <v>GSM237979</v>
      </c>
      <c r="I12098" t="s">
        <v>69</v>
      </c>
      <c r="J12098" t="s">
        <v>18</v>
      </c>
      <c r="K12098" t="s">
        <v>19</v>
      </c>
      <c r="L12098" t="s">
        <v>70</v>
      </c>
      <c r="M12098" t="s">
        <v>51</v>
      </c>
      <c r="N12098" t="s">
        <v>29</v>
      </c>
    </row>
    <row r="12099" spans="1:14">
      <c r="A12099" s="4" t="str">
        <f t="shared" si="1045"/>
        <v>EXP00387</v>
      </c>
      <c r="B12099" s="4" t="str">
        <f t="shared" si="1046"/>
        <v>20143136</v>
      </c>
      <c r="C12099" s="4" t="str">
        <f t="shared" si="1047"/>
        <v>GSE9348</v>
      </c>
      <c r="D12099" s="1" t="s">
        <v>45</v>
      </c>
      <c r="E12099" t="s">
        <v>68</v>
      </c>
      <c r="F12099" s="1">
        <v>1</v>
      </c>
      <c r="G12099" s="1" t="s">
        <v>31</v>
      </c>
      <c r="H12099" s="4" t="str">
        <f>HYPERLINK("https://www.ncbi.nlm.nih.gov/geo/query/acc.cgi?acc=GSM237980","GSM237980")</f>
        <v>GSM237980</v>
      </c>
      <c r="I12099" t="s">
        <v>69</v>
      </c>
      <c r="J12099" t="s">
        <v>18</v>
      </c>
      <c r="K12099" t="s">
        <v>19</v>
      </c>
      <c r="L12099" t="s">
        <v>70</v>
      </c>
      <c r="M12099" t="s">
        <v>51</v>
      </c>
      <c r="N12099" t="s">
        <v>29</v>
      </c>
    </row>
    <row r="12100" spans="1:14">
      <c r="A12100" s="4" t="str">
        <f t="shared" si="1045"/>
        <v>EXP00387</v>
      </c>
      <c r="B12100" s="4" t="str">
        <f t="shared" si="1046"/>
        <v>20143136</v>
      </c>
      <c r="C12100" s="4" t="str">
        <f t="shared" si="1047"/>
        <v>GSE9348</v>
      </c>
      <c r="D12100" s="1" t="s">
        <v>45</v>
      </c>
      <c r="E12100" t="s">
        <v>68</v>
      </c>
      <c r="F12100" s="1">
        <v>1</v>
      </c>
      <c r="G12100" s="1" t="s">
        <v>31</v>
      </c>
      <c r="H12100" s="4" t="str">
        <f>HYPERLINK("https://www.ncbi.nlm.nih.gov/geo/query/acc.cgi?acc=GSM237981","GSM237981")</f>
        <v>GSM237981</v>
      </c>
      <c r="I12100" t="s">
        <v>69</v>
      </c>
      <c r="J12100" t="s">
        <v>18</v>
      </c>
      <c r="K12100" t="s">
        <v>19</v>
      </c>
      <c r="L12100" t="s">
        <v>70</v>
      </c>
      <c r="M12100" t="s">
        <v>51</v>
      </c>
      <c r="N12100" t="s">
        <v>29</v>
      </c>
    </row>
    <row r="12101" spans="1:14">
      <c r="A12101" s="4" t="str">
        <f t="shared" si="1045"/>
        <v>EXP00387</v>
      </c>
      <c r="B12101" s="4" t="str">
        <f t="shared" si="1046"/>
        <v>20143136</v>
      </c>
      <c r="C12101" s="4" t="str">
        <f t="shared" si="1047"/>
        <v>GSE9348</v>
      </c>
      <c r="D12101" s="1" t="s">
        <v>45</v>
      </c>
      <c r="E12101" t="s">
        <v>68</v>
      </c>
      <c r="F12101" s="1">
        <v>1</v>
      </c>
      <c r="G12101" s="1" t="s">
        <v>31</v>
      </c>
      <c r="H12101" s="4" t="str">
        <f>HYPERLINK("https://www.ncbi.nlm.nih.gov/geo/query/acc.cgi?acc=GSM237982","GSM237982")</f>
        <v>GSM237982</v>
      </c>
      <c r="I12101" t="s">
        <v>69</v>
      </c>
      <c r="J12101" t="s">
        <v>18</v>
      </c>
      <c r="K12101" t="s">
        <v>19</v>
      </c>
      <c r="L12101" t="s">
        <v>70</v>
      </c>
      <c r="M12101" t="s">
        <v>51</v>
      </c>
      <c r="N12101" t="s">
        <v>29</v>
      </c>
    </row>
    <row r="12102" spans="1:14">
      <c r="A12102" s="4" t="str">
        <f t="shared" si="1045"/>
        <v>EXP00387</v>
      </c>
      <c r="B12102" s="4" t="str">
        <f t="shared" si="1046"/>
        <v>20143136</v>
      </c>
      <c r="C12102" s="4" t="str">
        <f t="shared" si="1047"/>
        <v>GSE9348</v>
      </c>
      <c r="D12102" s="1" t="s">
        <v>45</v>
      </c>
      <c r="E12102" t="s">
        <v>68</v>
      </c>
      <c r="F12102" s="1">
        <v>1</v>
      </c>
      <c r="G12102" s="1" t="s">
        <v>31</v>
      </c>
      <c r="H12102" s="4" t="str">
        <f>HYPERLINK("https://www.ncbi.nlm.nih.gov/geo/query/acc.cgi?acc=GSM237983","GSM237983")</f>
        <v>GSM237983</v>
      </c>
      <c r="I12102" t="s">
        <v>69</v>
      </c>
      <c r="J12102" t="s">
        <v>18</v>
      </c>
      <c r="K12102" t="s">
        <v>19</v>
      </c>
      <c r="L12102" t="s">
        <v>70</v>
      </c>
      <c r="M12102" t="s">
        <v>51</v>
      </c>
      <c r="N12102" t="s">
        <v>29</v>
      </c>
    </row>
    <row r="12103" spans="1:14">
      <c r="A12103" s="4" t="str">
        <f t="shared" si="1045"/>
        <v>EXP00387</v>
      </c>
      <c r="B12103" s="4" t="str">
        <f t="shared" si="1046"/>
        <v>20143136</v>
      </c>
      <c r="C12103" s="4" t="str">
        <f t="shared" si="1047"/>
        <v>GSE9348</v>
      </c>
      <c r="D12103" s="1" t="s">
        <v>45</v>
      </c>
      <c r="E12103" t="s">
        <v>68</v>
      </c>
      <c r="F12103" s="1">
        <v>2</v>
      </c>
      <c r="G12103" s="1" t="s">
        <v>32</v>
      </c>
      <c r="H12103" s="4" t="str">
        <f>HYPERLINK("https://www.ncbi.nlm.nih.gov/geo/query/acc.cgi?acc=GSM237914","GSM237914")</f>
        <v>GSM237914</v>
      </c>
      <c r="I12103" t="s">
        <v>69</v>
      </c>
      <c r="J12103" t="s">
        <v>18</v>
      </c>
      <c r="K12103" t="s">
        <v>33</v>
      </c>
      <c r="L12103" t="s">
        <v>70</v>
      </c>
      <c r="N12103" t="s">
        <v>29</v>
      </c>
    </row>
    <row r="12104" spans="1:14">
      <c r="A12104" s="4" t="str">
        <f t="shared" si="1045"/>
        <v>EXP00387</v>
      </c>
      <c r="B12104" s="4" t="str">
        <f t="shared" si="1046"/>
        <v>20143136</v>
      </c>
      <c r="C12104" s="4" t="str">
        <f t="shared" si="1047"/>
        <v>GSE9348</v>
      </c>
      <c r="D12104" s="1" t="s">
        <v>45</v>
      </c>
      <c r="E12104" t="s">
        <v>68</v>
      </c>
      <c r="F12104" s="1">
        <v>2</v>
      </c>
      <c r="G12104" s="1" t="s">
        <v>32</v>
      </c>
      <c r="H12104" s="4" t="str">
        <f>HYPERLINK("https://www.ncbi.nlm.nih.gov/geo/query/acc.cgi?acc=GSM237916","GSM237916")</f>
        <v>GSM237916</v>
      </c>
      <c r="I12104" t="s">
        <v>69</v>
      </c>
      <c r="J12104" t="s">
        <v>18</v>
      </c>
      <c r="K12104" t="s">
        <v>33</v>
      </c>
      <c r="L12104" t="s">
        <v>70</v>
      </c>
      <c r="N12104" t="s">
        <v>29</v>
      </c>
    </row>
    <row r="12105" spans="1:14">
      <c r="A12105" s="4" t="str">
        <f t="shared" si="1045"/>
        <v>EXP00387</v>
      </c>
      <c r="B12105" s="4" t="str">
        <f t="shared" si="1046"/>
        <v>20143136</v>
      </c>
      <c r="C12105" s="4" t="str">
        <f t="shared" si="1047"/>
        <v>GSE9348</v>
      </c>
      <c r="D12105" s="1" t="s">
        <v>45</v>
      </c>
      <c r="E12105" t="s">
        <v>68</v>
      </c>
      <c r="F12105" s="1">
        <v>2</v>
      </c>
      <c r="G12105" s="1" t="s">
        <v>32</v>
      </c>
      <c r="H12105" s="4" t="str">
        <f>HYPERLINK("https://www.ncbi.nlm.nih.gov/geo/query/acc.cgi?acc=GSM237917","GSM237917")</f>
        <v>GSM237917</v>
      </c>
      <c r="I12105" t="s">
        <v>69</v>
      </c>
      <c r="J12105" t="s">
        <v>18</v>
      </c>
      <c r="K12105" t="s">
        <v>33</v>
      </c>
      <c r="L12105" t="s">
        <v>70</v>
      </c>
      <c r="N12105" t="s">
        <v>29</v>
      </c>
    </row>
    <row r="12106" spans="1:14">
      <c r="A12106" s="4" t="str">
        <f t="shared" si="1045"/>
        <v>EXP00387</v>
      </c>
      <c r="B12106" s="4" t="str">
        <f t="shared" si="1046"/>
        <v>20143136</v>
      </c>
      <c r="C12106" s="4" t="str">
        <f t="shared" si="1047"/>
        <v>GSE9348</v>
      </c>
      <c r="D12106" s="1" t="s">
        <v>45</v>
      </c>
      <c r="E12106" t="s">
        <v>68</v>
      </c>
      <c r="F12106" s="1">
        <v>2</v>
      </c>
      <c r="G12106" s="1" t="s">
        <v>32</v>
      </c>
      <c r="H12106" s="4" t="str">
        <f>HYPERLINK("https://www.ncbi.nlm.nih.gov/geo/query/acc.cgi?acc=GSM237918","GSM237918")</f>
        <v>GSM237918</v>
      </c>
      <c r="I12106" t="s">
        <v>69</v>
      </c>
      <c r="J12106" t="s">
        <v>18</v>
      </c>
      <c r="K12106" t="s">
        <v>33</v>
      </c>
      <c r="L12106" t="s">
        <v>70</v>
      </c>
      <c r="N12106" t="s">
        <v>29</v>
      </c>
    </row>
    <row r="12107" spans="1:14">
      <c r="A12107" s="4" t="str">
        <f t="shared" si="1045"/>
        <v>EXP00387</v>
      </c>
      <c r="B12107" s="4" t="str">
        <f t="shared" si="1046"/>
        <v>20143136</v>
      </c>
      <c r="C12107" s="4" t="str">
        <f t="shared" si="1047"/>
        <v>GSE9348</v>
      </c>
      <c r="D12107" s="1" t="s">
        <v>45</v>
      </c>
      <c r="E12107" t="s">
        <v>68</v>
      </c>
      <c r="F12107" s="1">
        <v>2</v>
      </c>
      <c r="G12107" s="1" t="s">
        <v>32</v>
      </c>
      <c r="H12107" s="4" t="str">
        <f>HYPERLINK("https://www.ncbi.nlm.nih.gov/geo/query/acc.cgi?acc=GSM237920","GSM237920")</f>
        <v>GSM237920</v>
      </c>
      <c r="I12107" t="s">
        <v>69</v>
      </c>
      <c r="J12107" t="s">
        <v>18</v>
      </c>
      <c r="K12107" t="s">
        <v>33</v>
      </c>
      <c r="L12107" t="s">
        <v>70</v>
      </c>
      <c r="N12107" t="s">
        <v>29</v>
      </c>
    </row>
    <row r="12108" spans="1:14">
      <c r="A12108" s="4" t="str">
        <f t="shared" si="1045"/>
        <v>EXP00387</v>
      </c>
      <c r="B12108" s="4" t="str">
        <f t="shared" si="1046"/>
        <v>20143136</v>
      </c>
      <c r="C12108" s="4" t="str">
        <f t="shared" si="1047"/>
        <v>GSE9348</v>
      </c>
      <c r="D12108" s="1" t="s">
        <v>45</v>
      </c>
      <c r="E12108" t="s">
        <v>68</v>
      </c>
      <c r="F12108" s="1">
        <v>2</v>
      </c>
      <c r="G12108" s="1" t="s">
        <v>32</v>
      </c>
      <c r="H12108" s="4" t="str">
        <f>HYPERLINK("https://www.ncbi.nlm.nih.gov/geo/query/acc.cgi?acc=GSM237921","GSM237921")</f>
        <v>GSM237921</v>
      </c>
      <c r="I12108" t="s">
        <v>69</v>
      </c>
      <c r="J12108" t="s">
        <v>18</v>
      </c>
      <c r="K12108" t="s">
        <v>33</v>
      </c>
      <c r="L12108" t="s">
        <v>70</v>
      </c>
      <c r="N12108" t="s">
        <v>29</v>
      </c>
    </row>
    <row r="12109" spans="1:14">
      <c r="A12109" s="4" t="str">
        <f t="shared" si="1045"/>
        <v>EXP00387</v>
      </c>
      <c r="B12109" s="4" t="str">
        <f t="shared" si="1046"/>
        <v>20143136</v>
      </c>
      <c r="C12109" s="4" t="str">
        <f t="shared" si="1047"/>
        <v>GSE9348</v>
      </c>
      <c r="D12109" s="1" t="s">
        <v>45</v>
      </c>
      <c r="E12109" t="s">
        <v>68</v>
      </c>
      <c r="F12109" s="1">
        <v>2</v>
      </c>
      <c r="G12109" s="1" t="s">
        <v>32</v>
      </c>
      <c r="H12109" s="4" t="str">
        <f>HYPERLINK("https://www.ncbi.nlm.nih.gov/geo/query/acc.cgi?acc=GSM237922","GSM237922")</f>
        <v>GSM237922</v>
      </c>
      <c r="I12109" t="s">
        <v>69</v>
      </c>
      <c r="J12109" t="s">
        <v>18</v>
      </c>
      <c r="K12109" t="s">
        <v>33</v>
      </c>
      <c r="L12109" t="s">
        <v>70</v>
      </c>
      <c r="N12109" t="s">
        <v>29</v>
      </c>
    </row>
    <row r="12110" spans="1:14">
      <c r="A12110" s="4" t="str">
        <f t="shared" si="1045"/>
        <v>EXP00387</v>
      </c>
      <c r="B12110" s="4" t="str">
        <f t="shared" si="1046"/>
        <v>20143136</v>
      </c>
      <c r="C12110" s="4" t="str">
        <f t="shared" si="1047"/>
        <v>GSE9348</v>
      </c>
      <c r="D12110" s="1" t="s">
        <v>45</v>
      </c>
      <c r="E12110" t="s">
        <v>68</v>
      </c>
      <c r="F12110" s="1">
        <v>2</v>
      </c>
      <c r="G12110" s="1" t="s">
        <v>32</v>
      </c>
      <c r="H12110" s="4" t="str">
        <f>HYPERLINK("https://www.ncbi.nlm.nih.gov/geo/query/acc.cgi?acc=GSM237924","GSM237924")</f>
        <v>GSM237924</v>
      </c>
      <c r="I12110" t="s">
        <v>69</v>
      </c>
      <c r="J12110" t="s">
        <v>18</v>
      </c>
      <c r="K12110" t="s">
        <v>33</v>
      </c>
      <c r="L12110" t="s">
        <v>70</v>
      </c>
      <c r="N12110" t="s">
        <v>29</v>
      </c>
    </row>
    <row r="12111" spans="1:14">
      <c r="A12111" s="4" t="str">
        <f t="shared" si="1045"/>
        <v>EXP00387</v>
      </c>
      <c r="B12111" s="4" t="str">
        <f t="shared" si="1046"/>
        <v>20143136</v>
      </c>
      <c r="C12111" s="4" t="str">
        <f t="shared" si="1047"/>
        <v>GSE9348</v>
      </c>
      <c r="D12111" s="1" t="s">
        <v>45</v>
      </c>
      <c r="E12111" t="s">
        <v>68</v>
      </c>
      <c r="F12111" s="1">
        <v>2</v>
      </c>
      <c r="G12111" s="1" t="s">
        <v>32</v>
      </c>
      <c r="H12111" s="4" t="str">
        <f>HYPERLINK("https://www.ncbi.nlm.nih.gov/geo/query/acc.cgi?acc=GSM237925","GSM237925")</f>
        <v>GSM237925</v>
      </c>
      <c r="I12111" t="s">
        <v>69</v>
      </c>
      <c r="J12111" t="s">
        <v>18</v>
      </c>
      <c r="K12111" t="s">
        <v>33</v>
      </c>
      <c r="L12111" t="s">
        <v>70</v>
      </c>
      <c r="N12111" t="s">
        <v>29</v>
      </c>
    </row>
    <row r="12112" spans="1:14">
      <c r="A12112" s="4" t="str">
        <f t="shared" si="1045"/>
        <v>EXP00387</v>
      </c>
      <c r="B12112" s="4" t="str">
        <f t="shared" si="1046"/>
        <v>20143136</v>
      </c>
      <c r="C12112" s="4" t="str">
        <f t="shared" si="1047"/>
        <v>GSE9348</v>
      </c>
      <c r="D12112" s="1" t="s">
        <v>45</v>
      </c>
      <c r="E12112" t="s">
        <v>68</v>
      </c>
      <c r="F12112" s="1">
        <v>2</v>
      </c>
      <c r="G12112" s="1" t="s">
        <v>32</v>
      </c>
      <c r="H12112" s="4" t="str">
        <f>HYPERLINK("https://www.ncbi.nlm.nih.gov/geo/query/acc.cgi?acc=GSM237926","GSM237926")</f>
        <v>GSM237926</v>
      </c>
      <c r="I12112" t="s">
        <v>69</v>
      </c>
      <c r="J12112" t="s">
        <v>18</v>
      </c>
      <c r="K12112" t="s">
        <v>33</v>
      </c>
      <c r="L12112" t="s">
        <v>70</v>
      </c>
      <c r="N12112" t="s">
        <v>29</v>
      </c>
    </row>
    <row r="12113" spans="1:14">
      <c r="A12113" s="4" t="str">
        <f t="shared" si="1045"/>
        <v>EXP00387</v>
      </c>
      <c r="B12113" s="4" t="str">
        <f t="shared" si="1046"/>
        <v>20143136</v>
      </c>
      <c r="C12113" s="4" t="str">
        <f t="shared" si="1047"/>
        <v>GSE9348</v>
      </c>
      <c r="D12113" s="1" t="s">
        <v>45</v>
      </c>
      <c r="E12113" t="s">
        <v>68</v>
      </c>
      <c r="F12113" s="1">
        <v>2</v>
      </c>
      <c r="G12113" s="1" t="s">
        <v>32</v>
      </c>
      <c r="H12113" s="4" t="str">
        <f>HYPERLINK("https://www.ncbi.nlm.nih.gov/geo/query/acc.cgi?acc=GSM237927","GSM237927")</f>
        <v>GSM237927</v>
      </c>
      <c r="I12113" t="s">
        <v>69</v>
      </c>
      <c r="J12113" t="s">
        <v>18</v>
      </c>
      <c r="K12113" t="s">
        <v>33</v>
      </c>
      <c r="L12113" t="s">
        <v>70</v>
      </c>
      <c r="N12113" t="s">
        <v>29</v>
      </c>
    </row>
    <row r="12114" spans="1:14">
      <c r="A12114" s="4" t="str">
        <f t="shared" si="1045"/>
        <v>EXP00387</v>
      </c>
      <c r="B12114" s="4" t="str">
        <f t="shared" si="1046"/>
        <v>20143136</v>
      </c>
      <c r="C12114" s="4" t="str">
        <f t="shared" si="1047"/>
        <v>GSE9348</v>
      </c>
      <c r="D12114" s="1" t="s">
        <v>45</v>
      </c>
      <c r="E12114" t="s">
        <v>68</v>
      </c>
      <c r="F12114" s="1">
        <v>2</v>
      </c>
      <c r="G12114" s="1" t="s">
        <v>32</v>
      </c>
      <c r="H12114" s="4" t="str">
        <f>HYPERLINK("https://www.ncbi.nlm.nih.gov/geo/query/acc.cgi?acc=GSM237928","GSM237928")</f>
        <v>GSM237928</v>
      </c>
      <c r="I12114" t="s">
        <v>69</v>
      </c>
      <c r="J12114" t="s">
        <v>18</v>
      </c>
      <c r="K12114" t="s">
        <v>33</v>
      </c>
      <c r="L12114" t="s">
        <v>70</v>
      </c>
      <c r="N12114" t="s">
        <v>29</v>
      </c>
    </row>
    <row r="12115" spans="1:14">
      <c r="A12115" s="4" t="str">
        <f t="shared" si="1045"/>
        <v>EXP00387</v>
      </c>
      <c r="B12115" s="4" t="str">
        <f t="shared" si="1046"/>
        <v>20143136</v>
      </c>
      <c r="C12115" s="4" t="str">
        <f t="shared" si="1047"/>
        <v>GSE9348</v>
      </c>
      <c r="D12115" s="1" t="s">
        <v>45</v>
      </c>
      <c r="E12115" t="s">
        <v>68</v>
      </c>
      <c r="F12115" s="1">
        <v>2</v>
      </c>
      <c r="G12115" s="1" t="s">
        <v>32</v>
      </c>
      <c r="H12115" s="4" t="str">
        <f>HYPERLINK("https://www.ncbi.nlm.nih.gov/geo/query/acc.cgi?acc=GSM237929","GSM237929")</f>
        <v>GSM237929</v>
      </c>
      <c r="I12115" t="s">
        <v>69</v>
      </c>
      <c r="J12115" t="s">
        <v>18</v>
      </c>
      <c r="K12115" t="s">
        <v>33</v>
      </c>
      <c r="L12115" t="s">
        <v>70</v>
      </c>
      <c r="N12115" t="s">
        <v>29</v>
      </c>
    </row>
    <row r="12116" spans="1:14">
      <c r="A12116" s="4" t="str">
        <f t="shared" si="1045"/>
        <v>EXP00387</v>
      </c>
      <c r="B12116" s="4" t="str">
        <f t="shared" si="1046"/>
        <v>20143136</v>
      </c>
      <c r="C12116" s="4" t="str">
        <f t="shared" si="1047"/>
        <v>GSE9348</v>
      </c>
      <c r="D12116" s="1" t="s">
        <v>45</v>
      </c>
      <c r="E12116" t="s">
        <v>68</v>
      </c>
      <c r="F12116" s="1">
        <v>2</v>
      </c>
      <c r="G12116" s="1" t="s">
        <v>32</v>
      </c>
      <c r="H12116" s="4" t="str">
        <f>HYPERLINK("https://www.ncbi.nlm.nih.gov/geo/query/acc.cgi?acc=GSM237930","GSM237930")</f>
        <v>GSM237930</v>
      </c>
      <c r="I12116" t="s">
        <v>69</v>
      </c>
      <c r="J12116" t="s">
        <v>18</v>
      </c>
      <c r="K12116" t="s">
        <v>33</v>
      </c>
      <c r="L12116" t="s">
        <v>70</v>
      </c>
      <c r="N12116" t="s">
        <v>29</v>
      </c>
    </row>
    <row r="12117" spans="1:14">
      <c r="A12117" s="4" t="str">
        <f t="shared" ref="A12117:A12148" si="1048">HYPERLINK("http://hcmdb.i-sanger.com/experiment/details/experiment_id/EXP00387","EXP00387")</f>
        <v>EXP00387</v>
      </c>
      <c r="B12117" s="4" t="str">
        <f t="shared" ref="B12117:B12148" si="1049">HYPERLINK("https://www.ncbi.nlm.nih.gov/pubmed/20143136","20143136")</f>
        <v>20143136</v>
      </c>
      <c r="C12117" s="4" t="str">
        <f t="shared" ref="C12117:C12148" si="1050">HYPERLINK("https://www.ncbi.nlm.nih.gov/geo/query/acc.cgi?acc=GSE9348","GSE9348")</f>
        <v>GSE9348</v>
      </c>
      <c r="D12117" s="1" t="s">
        <v>45</v>
      </c>
      <c r="E12117" t="s">
        <v>68</v>
      </c>
      <c r="F12117" s="1">
        <v>2</v>
      </c>
      <c r="G12117" s="1" t="s">
        <v>32</v>
      </c>
      <c r="H12117" s="4" t="str">
        <f>HYPERLINK("https://www.ncbi.nlm.nih.gov/geo/query/acc.cgi?acc=GSM237931","GSM237931")</f>
        <v>GSM237931</v>
      </c>
      <c r="I12117" t="s">
        <v>69</v>
      </c>
      <c r="J12117" t="s">
        <v>18</v>
      </c>
      <c r="K12117" t="s">
        <v>33</v>
      </c>
      <c r="L12117" t="s">
        <v>70</v>
      </c>
      <c r="N12117" t="s">
        <v>29</v>
      </c>
    </row>
    <row r="12118" spans="1:14">
      <c r="A12118" s="4" t="str">
        <f t="shared" si="1048"/>
        <v>EXP00387</v>
      </c>
      <c r="B12118" s="4" t="str">
        <f t="shared" si="1049"/>
        <v>20143136</v>
      </c>
      <c r="C12118" s="4" t="str">
        <f t="shared" si="1050"/>
        <v>GSE9348</v>
      </c>
      <c r="D12118" s="1" t="s">
        <v>45</v>
      </c>
      <c r="E12118" t="s">
        <v>68</v>
      </c>
      <c r="F12118" s="1">
        <v>2</v>
      </c>
      <c r="G12118" s="1" t="s">
        <v>32</v>
      </c>
      <c r="H12118" s="4" t="str">
        <f>HYPERLINK("https://www.ncbi.nlm.nih.gov/geo/query/acc.cgi?acc=GSM237932","GSM237932")</f>
        <v>GSM237932</v>
      </c>
      <c r="I12118" t="s">
        <v>69</v>
      </c>
      <c r="J12118" t="s">
        <v>18</v>
      </c>
      <c r="K12118" t="s">
        <v>33</v>
      </c>
      <c r="L12118" t="s">
        <v>70</v>
      </c>
      <c r="N12118" t="s">
        <v>29</v>
      </c>
    </row>
    <row r="12119" spans="1:14">
      <c r="A12119" s="4" t="str">
        <f t="shared" si="1048"/>
        <v>EXP00387</v>
      </c>
      <c r="B12119" s="4" t="str">
        <f t="shared" si="1049"/>
        <v>20143136</v>
      </c>
      <c r="C12119" s="4" t="str">
        <f t="shared" si="1050"/>
        <v>GSE9348</v>
      </c>
      <c r="D12119" s="1" t="s">
        <v>45</v>
      </c>
      <c r="E12119" t="s">
        <v>68</v>
      </c>
      <c r="F12119" s="1">
        <v>2</v>
      </c>
      <c r="G12119" s="1" t="s">
        <v>32</v>
      </c>
      <c r="H12119" s="4" t="str">
        <f>HYPERLINK("https://www.ncbi.nlm.nih.gov/geo/query/acc.cgi?acc=GSM237933","GSM237933")</f>
        <v>GSM237933</v>
      </c>
      <c r="I12119" t="s">
        <v>69</v>
      </c>
      <c r="J12119" t="s">
        <v>18</v>
      </c>
      <c r="K12119" t="s">
        <v>33</v>
      </c>
      <c r="L12119" t="s">
        <v>70</v>
      </c>
      <c r="N12119" t="s">
        <v>29</v>
      </c>
    </row>
    <row r="12120" spans="1:14">
      <c r="A12120" s="4" t="str">
        <f t="shared" si="1048"/>
        <v>EXP00387</v>
      </c>
      <c r="B12120" s="4" t="str">
        <f t="shared" si="1049"/>
        <v>20143136</v>
      </c>
      <c r="C12120" s="4" t="str">
        <f t="shared" si="1050"/>
        <v>GSE9348</v>
      </c>
      <c r="D12120" s="1" t="s">
        <v>45</v>
      </c>
      <c r="E12120" t="s">
        <v>68</v>
      </c>
      <c r="F12120" s="1">
        <v>2</v>
      </c>
      <c r="G12120" s="1" t="s">
        <v>32</v>
      </c>
      <c r="H12120" s="4" t="str">
        <f>HYPERLINK("https://www.ncbi.nlm.nih.gov/geo/query/acc.cgi?acc=GSM237935","GSM237935")</f>
        <v>GSM237935</v>
      </c>
      <c r="I12120" t="s">
        <v>69</v>
      </c>
      <c r="J12120" t="s">
        <v>18</v>
      </c>
      <c r="K12120" t="s">
        <v>33</v>
      </c>
      <c r="L12120" t="s">
        <v>70</v>
      </c>
      <c r="N12120" t="s">
        <v>29</v>
      </c>
    </row>
    <row r="12121" spans="1:14">
      <c r="A12121" s="4" t="str">
        <f t="shared" si="1048"/>
        <v>EXP00387</v>
      </c>
      <c r="B12121" s="4" t="str">
        <f t="shared" si="1049"/>
        <v>20143136</v>
      </c>
      <c r="C12121" s="4" t="str">
        <f t="shared" si="1050"/>
        <v>GSE9348</v>
      </c>
      <c r="D12121" s="1" t="s">
        <v>45</v>
      </c>
      <c r="E12121" t="s">
        <v>68</v>
      </c>
      <c r="F12121" s="1">
        <v>2</v>
      </c>
      <c r="G12121" s="1" t="s">
        <v>32</v>
      </c>
      <c r="H12121" s="4" t="str">
        <f>HYPERLINK("https://www.ncbi.nlm.nih.gov/geo/query/acc.cgi?acc=GSM237936","GSM237936")</f>
        <v>GSM237936</v>
      </c>
      <c r="I12121" t="s">
        <v>69</v>
      </c>
      <c r="J12121" t="s">
        <v>18</v>
      </c>
      <c r="K12121" t="s">
        <v>33</v>
      </c>
      <c r="L12121" t="s">
        <v>70</v>
      </c>
      <c r="N12121" t="s">
        <v>29</v>
      </c>
    </row>
    <row r="12122" spans="1:14">
      <c r="A12122" s="4" t="str">
        <f t="shared" si="1048"/>
        <v>EXP00387</v>
      </c>
      <c r="B12122" s="4" t="str">
        <f t="shared" si="1049"/>
        <v>20143136</v>
      </c>
      <c r="C12122" s="4" t="str">
        <f t="shared" si="1050"/>
        <v>GSE9348</v>
      </c>
      <c r="D12122" s="1" t="s">
        <v>45</v>
      </c>
      <c r="E12122" t="s">
        <v>68</v>
      </c>
      <c r="F12122" s="1">
        <v>2</v>
      </c>
      <c r="G12122" s="1" t="s">
        <v>32</v>
      </c>
      <c r="H12122" s="4" t="str">
        <f>HYPERLINK("https://www.ncbi.nlm.nih.gov/geo/query/acc.cgi?acc=GSM237937","GSM237937")</f>
        <v>GSM237937</v>
      </c>
      <c r="I12122" t="s">
        <v>69</v>
      </c>
      <c r="J12122" t="s">
        <v>18</v>
      </c>
      <c r="K12122" t="s">
        <v>33</v>
      </c>
      <c r="L12122" t="s">
        <v>70</v>
      </c>
      <c r="N12122" t="s">
        <v>29</v>
      </c>
    </row>
    <row r="12123" spans="1:14">
      <c r="A12123" s="4" t="str">
        <f t="shared" si="1048"/>
        <v>EXP00387</v>
      </c>
      <c r="B12123" s="4" t="str">
        <f t="shared" si="1049"/>
        <v>20143136</v>
      </c>
      <c r="C12123" s="4" t="str">
        <f t="shared" si="1050"/>
        <v>GSE9348</v>
      </c>
      <c r="D12123" s="1" t="s">
        <v>45</v>
      </c>
      <c r="E12123" t="s">
        <v>68</v>
      </c>
      <c r="F12123" s="1">
        <v>2</v>
      </c>
      <c r="G12123" s="1" t="s">
        <v>32</v>
      </c>
      <c r="H12123" s="4" t="str">
        <f>HYPERLINK("https://www.ncbi.nlm.nih.gov/geo/query/acc.cgi?acc=GSM237938","GSM237938")</f>
        <v>GSM237938</v>
      </c>
      <c r="I12123" t="s">
        <v>69</v>
      </c>
      <c r="J12123" t="s">
        <v>18</v>
      </c>
      <c r="K12123" t="s">
        <v>33</v>
      </c>
      <c r="L12123" t="s">
        <v>70</v>
      </c>
      <c r="N12123" t="s">
        <v>29</v>
      </c>
    </row>
    <row r="12124" spans="1:14">
      <c r="A12124" s="4" t="str">
        <f t="shared" si="1048"/>
        <v>EXP00387</v>
      </c>
      <c r="B12124" s="4" t="str">
        <f t="shared" si="1049"/>
        <v>20143136</v>
      </c>
      <c r="C12124" s="4" t="str">
        <f t="shared" si="1050"/>
        <v>GSE9348</v>
      </c>
      <c r="D12124" s="1" t="s">
        <v>45</v>
      </c>
      <c r="E12124" t="s">
        <v>68</v>
      </c>
      <c r="F12124" s="1">
        <v>2</v>
      </c>
      <c r="G12124" s="1" t="s">
        <v>32</v>
      </c>
      <c r="H12124" s="4" t="str">
        <f>HYPERLINK("https://www.ncbi.nlm.nih.gov/geo/query/acc.cgi?acc=GSM237939","GSM237939")</f>
        <v>GSM237939</v>
      </c>
      <c r="I12124" t="s">
        <v>69</v>
      </c>
      <c r="J12124" t="s">
        <v>18</v>
      </c>
      <c r="K12124" t="s">
        <v>33</v>
      </c>
      <c r="L12124" t="s">
        <v>70</v>
      </c>
      <c r="N12124" t="s">
        <v>29</v>
      </c>
    </row>
    <row r="12125" spans="1:14">
      <c r="A12125" s="4" t="str">
        <f t="shared" si="1048"/>
        <v>EXP00387</v>
      </c>
      <c r="B12125" s="4" t="str">
        <f t="shared" si="1049"/>
        <v>20143136</v>
      </c>
      <c r="C12125" s="4" t="str">
        <f t="shared" si="1050"/>
        <v>GSE9348</v>
      </c>
      <c r="D12125" s="1" t="s">
        <v>45</v>
      </c>
      <c r="E12125" t="s">
        <v>68</v>
      </c>
      <c r="F12125" s="1">
        <v>2</v>
      </c>
      <c r="G12125" s="1" t="s">
        <v>32</v>
      </c>
      <c r="H12125" s="4" t="str">
        <f>HYPERLINK("https://www.ncbi.nlm.nih.gov/geo/query/acc.cgi?acc=GSM237940","GSM237940")</f>
        <v>GSM237940</v>
      </c>
      <c r="I12125" t="s">
        <v>69</v>
      </c>
      <c r="J12125" t="s">
        <v>18</v>
      </c>
      <c r="K12125" t="s">
        <v>33</v>
      </c>
      <c r="L12125" t="s">
        <v>70</v>
      </c>
      <c r="N12125" t="s">
        <v>29</v>
      </c>
    </row>
    <row r="12126" spans="1:14">
      <c r="A12126" s="4" t="str">
        <f t="shared" si="1048"/>
        <v>EXP00387</v>
      </c>
      <c r="B12126" s="4" t="str">
        <f t="shared" si="1049"/>
        <v>20143136</v>
      </c>
      <c r="C12126" s="4" t="str">
        <f t="shared" si="1050"/>
        <v>GSE9348</v>
      </c>
      <c r="D12126" s="1" t="s">
        <v>45</v>
      </c>
      <c r="E12126" t="s">
        <v>68</v>
      </c>
      <c r="F12126" s="1">
        <v>2</v>
      </c>
      <c r="G12126" s="1" t="s">
        <v>32</v>
      </c>
      <c r="H12126" s="4" t="str">
        <f>HYPERLINK("https://www.ncbi.nlm.nih.gov/geo/query/acc.cgi?acc=GSM237942","GSM237942")</f>
        <v>GSM237942</v>
      </c>
      <c r="I12126" t="s">
        <v>69</v>
      </c>
      <c r="J12126" t="s">
        <v>18</v>
      </c>
      <c r="K12126" t="s">
        <v>33</v>
      </c>
      <c r="L12126" t="s">
        <v>70</v>
      </c>
      <c r="N12126" t="s">
        <v>29</v>
      </c>
    </row>
    <row r="12127" spans="1:14">
      <c r="A12127" s="4" t="str">
        <f t="shared" si="1048"/>
        <v>EXP00387</v>
      </c>
      <c r="B12127" s="4" t="str">
        <f t="shared" si="1049"/>
        <v>20143136</v>
      </c>
      <c r="C12127" s="4" t="str">
        <f t="shared" si="1050"/>
        <v>GSE9348</v>
      </c>
      <c r="D12127" s="1" t="s">
        <v>45</v>
      </c>
      <c r="E12127" t="s">
        <v>68</v>
      </c>
      <c r="F12127" s="1">
        <v>2</v>
      </c>
      <c r="G12127" s="1" t="s">
        <v>32</v>
      </c>
      <c r="H12127" s="4" t="str">
        <f>HYPERLINK("https://www.ncbi.nlm.nih.gov/geo/query/acc.cgi?acc=GSM237943","GSM237943")</f>
        <v>GSM237943</v>
      </c>
      <c r="I12127" t="s">
        <v>69</v>
      </c>
      <c r="J12127" t="s">
        <v>18</v>
      </c>
      <c r="K12127" t="s">
        <v>33</v>
      </c>
      <c r="L12127" t="s">
        <v>70</v>
      </c>
      <c r="N12127" t="s">
        <v>29</v>
      </c>
    </row>
    <row r="12128" spans="1:14">
      <c r="A12128" s="4" t="str">
        <f t="shared" si="1048"/>
        <v>EXP00387</v>
      </c>
      <c r="B12128" s="4" t="str">
        <f t="shared" si="1049"/>
        <v>20143136</v>
      </c>
      <c r="C12128" s="4" t="str">
        <f t="shared" si="1050"/>
        <v>GSE9348</v>
      </c>
      <c r="D12128" s="1" t="s">
        <v>45</v>
      </c>
      <c r="E12128" t="s">
        <v>68</v>
      </c>
      <c r="F12128" s="1">
        <v>2</v>
      </c>
      <c r="G12128" s="1" t="s">
        <v>32</v>
      </c>
      <c r="H12128" s="4" t="str">
        <f>HYPERLINK("https://www.ncbi.nlm.nih.gov/geo/query/acc.cgi?acc=GSM237946","GSM237946")</f>
        <v>GSM237946</v>
      </c>
      <c r="I12128" t="s">
        <v>69</v>
      </c>
      <c r="J12128" t="s">
        <v>18</v>
      </c>
      <c r="K12128" t="s">
        <v>33</v>
      </c>
      <c r="L12128" t="s">
        <v>70</v>
      </c>
      <c r="N12128" t="s">
        <v>29</v>
      </c>
    </row>
    <row r="12129" spans="1:14">
      <c r="A12129" s="4" t="str">
        <f t="shared" si="1048"/>
        <v>EXP00387</v>
      </c>
      <c r="B12129" s="4" t="str">
        <f t="shared" si="1049"/>
        <v>20143136</v>
      </c>
      <c r="C12129" s="4" t="str">
        <f t="shared" si="1050"/>
        <v>GSE9348</v>
      </c>
      <c r="D12129" s="1" t="s">
        <v>45</v>
      </c>
      <c r="E12129" t="s">
        <v>68</v>
      </c>
      <c r="F12129" s="1">
        <v>2</v>
      </c>
      <c r="G12129" s="1" t="s">
        <v>32</v>
      </c>
      <c r="H12129" s="4" t="str">
        <f>HYPERLINK("https://www.ncbi.nlm.nih.gov/geo/query/acc.cgi?acc=GSM237947","GSM237947")</f>
        <v>GSM237947</v>
      </c>
      <c r="I12129" t="s">
        <v>69</v>
      </c>
      <c r="J12129" t="s">
        <v>18</v>
      </c>
      <c r="K12129" t="s">
        <v>33</v>
      </c>
      <c r="L12129" t="s">
        <v>70</v>
      </c>
      <c r="N12129" t="s">
        <v>29</v>
      </c>
    </row>
    <row r="12130" spans="1:14">
      <c r="A12130" s="4" t="str">
        <f t="shared" si="1048"/>
        <v>EXP00387</v>
      </c>
      <c r="B12130" s="4" t="str">
        <f t="shared" si="1049"/>
        <v>20143136</v>
      </c>
      <c r="C12130" s="4" t="str">
        <f t="shared" si="1050"/>
        <v>GSE9348</v>
      </c>
      <c r="D12130" s="1" t="s">
        <v>45</v>
      </c>
      <c r="E12130" t="s">
        <v>68</v>
      </c>
      <c r="F12130" s="1">
        <v>2</v>
      </c>
      <c r="G12130" s="1" t="s">
        <v>32</v>
      </c>
      <c r="H12130" s="4" t="str">
        <f>HYPERLINK("https://www.ncbi.nlm.nih.gov/geo/query/acc.cgi?acc=GSM237948","GSM237948")</f>
        <v>GSM237948</v>
      </c>
      <c r="I12130" t="s">
        <v>69</v>
      </c>
      <c r="J12130" t="s">
        <v>18</v>
      </c>
      <c r="K12130" t="s">
        <v>33</v>
      </c>
      <c r="L12130" t="s">
        <v>70</v>
      </c>
      <c r="N12130" t="s">
        <v>29</v>
      </c>
    </row>
    <row r="12131" spans="1:14">
      <c r="A12131" s="4" t="str">
        <f t="shared" si="1048"/>
        <v>EXP00387</v>
      </c>
      <c r="B12131" s="4" t="str">
        <f t="shared" si="1049"/>
        <v>20143136</v>
      </c>
      <c r="C12131" s="4" t="str">
        <f t="shared" si="1050"/>
        <v>GSE9348</v>
      </c>
      <c r="D12131" s="1" t="s">
        <v>45</v>
      </c>
      <c r="E12131" t="s">
        <v>68</v>
      </c>
      <c r="F12131" s="1">
        <v>2</v>
      </c>
      <c r="G12131" s="1" t="s">
        <v>32</v>
      </c>
      <c r="H12131" s="4" t="str">
        <f>HYPERLINK("https://www.ncbi.nlm.nih.gov/geo/query/acc.cgi?acc=GSM237949","GSM237949")</f>
        <v>GSM237949</v>
      </c>
      <c r="I12131" t="s">
        <v>69</v>
      </c>
      <c r="J12131" t="s">
        <v>18</v>
      </c>
      <c r="K12131" t="s">
        <v>33</v>
      </c>
      <c r="L12131" t="s">
        <v>70</v>
      </c>
      <c r="N12131" t="s">
        <v>29</v>
      </c>
    </row>
    <row r="12132" spans="1:14">
      <c r="A12132" s="4" t="str">
        <f t="shared" si="1048"/>
        <v>EXP00387</v>
      </c>
      <c r="B12132" s="4" t="str">
        <f t="shared" si="1049"/>
        <v>20143136</v>
      </c>
      <c r="C12132" s="4" t="str">
        <f t="shared" si="1050"/>
        <v>GSE9348</v>
      </c>
      <c r="D12132" s="1" t="s">
        <v>45</v>
      </c>
      <c r="E12132" t="s">
        <v>68</v>
      </c>
      <c r="F12132" s="1">
        <v>2</v>
      </c>
      <c r="G12132" s="1" t="s">
        <v>32</v>
      </c>
      <c r="H12132" s="4" t="str">
        <f>HYPERLINK("https://www.ncbi.nlm.nih.gov/geo/query/acc.cgi?acc=GSM237950","GSM237950")</f>
        <v>GSM237950</v>
      </c>
      <c r="I12132" t="s">
        <v>69</v>
      </c>
      <c r="J12132" t="s">
        <v>18</v>
      </c>
      <c r="K12132" t="s">
        <v>33</v>
      </c>
      <c r="L12132" t="s">
        <v>70</v>
      </c>
      <c r="N12132" t="s">
        <v>29</v>
      </c>
    </row>
    <row r="12133" spans="1:14">
      <c r="A12133" s="4" t="str">
        <f t="shared" si="1048"/>
        <v>EXP00387</v>
      </c>
      <c r="B12133" s="4" t="str">
        <f t="shared" si="1049"/>
        <v>20143136</v>
      </c>
      <c r="C12133" s="4" t="str">
        <f t="shared" si="1050"/>
        <v>GSE9348</v>
      </c>
      <c r="D12133" s="1" t="s">
        <v>45</v>
      </c>
      <c r="E12133" t="s">
        <v>68</v>
      </c>
      <c r="F12133" s="1">
        <v>2</v>
      </c>
      <c r="G12133" s="1" t="s">
        <v>32</v>
      </c>
      <c r="H12133" s="4" t="str">
        <f>HYPERLINK("https://www.ncbi.nlm.nih.gov/geo/query/acc.cgi?acc=GSM237951","GSM237951")</f>
        <v>GSM237951</v>
      </c>
      <c r="I12133" t="s">
        <v>69</v>
      </c>
      <c r="J12133" t="s">
        <v>18</v>
      </c>
      <c r="K12133" t="s">
        <v>33</v>
      </c>
      <c r="L12133" t="s">
        <v>70</v>
      </c>
      <c r="N12133" t="s">
        <v>29</v>
      </c>
    </row>
    <row r="12134" spans="1:14">
      <c r="A12134" s="4" t="str">
        <f t="shared" si="1048"/>
        <v>EXP00387</v>
      </c>
      <c r="B12134" s="4" t="str">
        <f t="shared" si="1049"/>
        <v>20143136</v>
      </c>
      <c r="C12134" s="4" t="str">
        <f t="shared" si="1050"/>
        <v>GSE9348</v>
      </c>
      <c r="D12134" s="1" t="s">
        <v>45</v>
      </c>
      <c r="E12134" t="s">
        <v>68</v>
      </c>
      <c r="F12134" s="1">
        <v>2</v>
      </c>
      <c r="G12134" s="1" t="s">
        <v>32</v>
      </c>
      <c r="H12134" s="4" t="str">
        <f>HYPERLINK("https://www.ncbi.nlm.nih.gov/geo/query/acc.cgi?acc=GSM237953","GSM237953")</f>
        <v>GSM237953</v>
      </c>
      <c r="I12134" t="s">
        <v>69</v>
      </c>
      <c r="J12134" t="s">
        <v>18</v>
      </c>
      <c r="K12134" t="s">
        <v>33</v>
      </c>
      <c r="L12134" t="s">
        <v>70</v>
      </c>
      <c r="N12134" t="s">
        <v>29</v>
      </c>
    </row>
    <row r="12135" spans="1:14">
      <c r="A12135" s="4" t="str">
        <f t="shared" si="1048"/>
        <v>EXP00387</v>
      </c>
      <c r="B12135" s="4" t="str">
        <f t="shared" si="1049"/>
        <v>20143136</v>
      </c>
      <c r="C12135" s="4" t="str">
        <f t="shared" si="1050"/>
        <v>GSE9348</v>
      </c>
      <c r="D12135" s="1" t="s">
        <v>45</v>
      </c>
      <c r="E12135" t="s">
        <v>68</v>
      </c>
      <c r="F12135" s="1">
        <v>2</v>
      </c>
      <c r="G12135" s="1" t="s">
        <v>32</v>
      </c>
      <c r="H12135" s="4" t="str">
        <f>HYPERLINK("https://www.ncbi.nlm.nih.gov/geo/query/acc.cgi?acc=GSM237954","GSM237954")</f>
        <v>GSM237954</v>
      </c>
      <c r="I12135" t="s">
        <v>69</v>
      </c>
      <c r="J12135" t="s">
        <v>18</v>
      </c>
      <c r="K12135" t="s">
        <v>33</v>
      </c>
      <c r="L12135" t="s">
        <v>70</v>
      </c>
      <c r="N12135" t="s">
        <v>29</v>
      </c>
    </row>
    <row r="12136" spans="1:14">
      <c r="A12136" s="4" t="str">
        <f t="shared" si="1048"/>
        <v>EXP00387</v>
      </c>
      <c r="B12136" s="4" t="str">
        <f t="shared" si="1049"/>
        <v>20143136</v>
      </c>
      <c r="C12136" s="4" t="str">
        <f t="shared" si="1050"/>
        <v>GSE9348</v>
      </c>
      <c r="D12136" s="1" t="s">
        <v>45</v>
      </c>
      <c r="E12136" t="s">
        <v>68</v>
      </c>
      <c r="F12136" s="1">
        <v>2</v>
      </c>
      <c r="G12136" s="1" t="s">
        <v>32</v>
      </c>
      <c r="H12136" s="4" t="str">
        <f>HYPERLINK("https://www.ncbi.nlm.nih.gov/geo/query/acc.cgi?acc=GSM237956","GSM237956")</f>
        <v>GSM237956</v>
      </c>
      <c r="I12136" t="s">
        <v>69</v>
      </c>
      <c r="J12136" t="s">
        <v>18</v>
      </c>
      <c r="K12136" t="s">
        <v>33</v>
      </c>
      <c r="L12136" t="s">
        <v>70</v>
      </c>
      <c r="N12136" t="s">
        <v>29</v>
      </c>
    </row>
    <row r="12137" spans="1:14">
      <c r="A12137" s="4" t="str">
        <f t="shared" si="1048"/>
        <v>EXP00387</v>
      </c>
      <c r="B12137" s="4" t="str">
        <f t="shared" si="1049"/>
        <v>20143136</v>
      </c>
      <c r="C12137" s="4" t="str">
        <f t="shared" si="1050"/>
        <v>GSE9348</v>
      </c>
      <c r="D12137" s="1" t="s">
        <v>45</v>
      </c>
      <c r="E12137" t="s">
        <v>68</v>
      </c>
      <c r="F12137" s="1">
        <v>2</v>
      </c>
      <c r="G12137" s="1" t="s">
        <v>32</v>
      </c>
      <c r="H12137" s="4" t="str">
        <f>HYPERLINK("https://www.ncbi.nlm.nih.gov/geo/query/acc.cgi?acc=GSM237957","GSM237957")</f>
        <v>GSM237957</v>
      </c>
      <c r="I12137" t="s">
        <v>69</v>
      </c>
      <c r="J12137" t="s">
        <v>18</v>
      </c>
      <c r="K12137" t="s">
        <v>33</v>
      </c>
      <c r="L12137" t="s">
        <v>70</v>
      </c>
      <c r="N12137" t="s">
        <v>29</v>
      </c>
    </row>
    <row r="12138" spans="1:14">
      <c r="A12138" s="4" t="str">
        <f t="shared" si="1048"/>
        <v>EXP00387</v>
      </c>
      <c r="B12138" s="4" t="str">
        <f t="shared" si="1049"/>
        <v>20143136</v>
      </c>
      <c r="C12138" s="4" t="str">
        <f t="shared" si="1050"/>
        <v>GSE9348</v>
      </c>
      <c r="D12138" s="1" t="s">
        <v>45</v>
      </c>
      <c r="E12138" t="s">
        <v>68</v>
      </c>
      <c r="F12138" s="1">
        <v>2</v>
      </c>
      <c r="G12138" s="1" t="s">
        <v>32</v>
      </c>
      <c r="H12138" s="4" t="str">
        <f>HYPERLINK("https://www.ncbi.nlm.nih.gov/geo/query/acc.cgi?acc=GSM237958","GSM237958")</f>
        <v>GSM237958</v>
      </c>
      <c r="I12138" t="s">
        <v>69</v>
      </c>
      <c r="J12138" t="s">
        <v>18</v>
      </c>
      <c r="K12138" t="s">
        <v>33</v>
      </c>
      <c r="L12138" t="s">
        <v>70</v>
      </c>
      <c r="N12138" t="s">
        <v>29</v>
      </c>
    </row>
    <row r="12139" spans="1:14">
      <c r="A12139" s="4" t="str">
        <f t="shared" si="1048"/>
        <v>EXP00387</v>
      </c>
      <c r="B12139" s="4" t="str">
        <f t="shared" si="1049"/>
        <v>20143136</v>
      </c>
      <c r="C12139" s="4" t="str">
        <f t="shared" si="1050"/>
        <v>GSE9348</v>
      </c>
      <c r="D12139" s="1" t="s">
        <v>45</v>
      </c>
      <c r="E12139" t="s">
        <v>68</v>
      </c>
      <c r="F12139" s="1">
        <v>2</v>
      </c>
      <c r="G12139" s="1" t="s">
        <v>32</v>
      </c>
      <c r="H12139" s="4" t="str">
        <f>HYPERLINK("https://www.ncbi.nlm.nih.gov/geo/query/acc.cgi?acc=GSM237959","GSM237959")</f>
        <v>GSM237959</v>
      </c>
      <c r="I12139" t="s">
        <v>69</v>
      </c>
      <c r="J12139" t="s">
        <v>18</v>
      </c>
      <c r="K12139" t="s">
        <v>33</v>
      </c>
      <c r="L12139" t="s">
        <v>70</v>
      </c>
      <c r="N12139" t="s">
        <v>29</v>
      </c>
    </row>
    <row r="12140" spans="1:14">
      <c r="A12140" s="4" t="str">
        <f t="shared" si="1048"/>
        <v>EXP00387</v>
      </c>
      <c r="B12140" s="4" t="str">
        <f t="shared" si="1049"/>
        <v>20143136</v>
      </c>
      <c r="C12140" s="4" t="str">
        <f t="shared" si="1050"/>
        <v>GSE9348</v>
      </c>
      <c r="D12140" s="1" t="s">
        <v>45</v>
      </c>
      <c r="E12140" t="s">
        <v>68</v>
      </c>
      <c r="F12140" s="1">
        <v>2</v>
      </c>
      <c r="G12140" s="1" t="s">
        <v>32</v>
      </c>
      <c r="H12140" s="4" t="str">
        <f>HYPERLINK("https://www.ncbi.nlm.nih.gov/geo/query/acc.cgi?acc=GSM237960","GSM237960")</f>
        <v>GSM237960</v>
      </c>
      <c r="I12140" t="s">
        <v>69</v>
      </c>
      <c r="J12140" t="s">
        <v>18</v>
      </c>
      <c r="K12140" t="s">
        <v>33</v>
      </c>
      <c r="L12140" t="s">
        <v>70</v>
      </c>
      <c r="N12140" t="s">
        <v>29</v>
      </c>
    </row>
    <row r="12141" spans="1:14">
      <c r="A12141" s="4" t="str">
        <f t="shared" si="1048"/>
        <v>EXP00387</v>
      </c>
      <c r="B12141" s="4" t="str">
        <f t="shared" si="1049"/>
        <v>20143136</v>
      </c>
      <c r="C12141" s="4" t="str">
        <f t="shared" si="1050"/>
        <v>GSE9348</v>
      </c>
      <c r="D12141" s="1" t="s">
        <v>45</v>
      </c>
      <c r="E12141" t="s">
        <v>68</v>
      </c>
      <c r="F12141" s="1">
        <v>2</v>
      </c>
      <c r="G12141" s="1" t="s">
        <v>32</v>
      </c>
      <c r="H12141" s="4" t="str">
        <f>HYPERLINK("https://www.ncbi.nlm.nih.gov/geo/query/acc.cgi?acc=GSM237962","GSM237962")</f>
        <v>GSM237962</v>
      </c>
      <c r="I12141" t="s">
        <v>69</v>
      </c>
      <c r="J12141" t="s">
        <v>18</v>
      </c>
      <c r="K12141" t="s">
        <v>33</v>
      </c>
      <c r="L12141" t="s">
        <v>70</v>
      </c>
      <c r="N12141" t="s">
        <v>29</v>
      </c>
    </row>
    <row r="12142" spans="1:14">
      <c r="A12142" s="4" t="str">
        <f t="shared" si="1048"/>
        <v>EXP00387</v>
      </c>
      <c r="B12142" s="4" t="str">
        <f t="shared" si="1049"/>
        <v>20143136</v>
      </c>
      <c r="C12142" s="4" t="str">
        <f t="shared" si="1050"/>
        <v>GSE9348</v>
      </c>
      <c r="D12142" s="1" t="s">
        <v>45</v>
      </c>
      <c r="E12142" t="s">
        <v>68</v>
      </c>
      <c r="F12142" s="1">
        <v>2</v>
      </c>
      <c r="G12142" s="1" t="s">
        <v>32</v>
      </c>
      <c r="H12142" s="4" t="str">
        <f>HYPERLINK("https://www.ncbi.nlm.nih.gov/geo/query/acc.cgi?acc=GSM237963","GSM237963")</f>
        <v>GSM237963</v>
      </c>
      <c r="I12142" t="s">
        <v>69</v>
      </c>
      <c r="J12142" t="s">
        <v>18</v>
      </c>
      <c r="K12142" t="s">
        <v>33</v>
      </c>
      <c r="L12142" t="s">
        <v>70</v>
      </c>
      <c r="N12142" t="s">
        <v>29</v>
      </c>
    </row>
    <row r="12143" spans="1:14">
      <c r="A12143" s="4" t="str">
        <f t="shared" si="1048"/>
        <v>EXP00387</v>
      </c>
      <c r="B12143" s="4" t="str">
        <f t="shared" si="1049"/>
        <v>20143136</v>
      </c>
      <c r="C12143" s="4" t="str">
        <f t="shared" si="1050"/>
        <v>GSE9348</v>
      </c>
      <c r="D12143" s="1" t="s">
        <v>45</v>
      </c>
      <c r="E12143" t="s">
        <v>68</v>
      </c>
      <c r="F12143" s="1">
        <v>2</v>
      </c>
      <c r="G12143" s="1" t="s">
        <v>32</v>
      </c>
      <c r="H12143" s="4" t="str">
        <f>HYPERLINK("https://www.ncbi.nlm.nih.gov/geo/query/acc.cgi?acc=GSM237964","GSM237964")</f>
        <v>GSM237964</v>
      </c>
      <c r="I12143" t="s">
        <v>69</v>
      </c>
      <c r="J12143" t="s">
        <v>18</v>
      </c>
      <c r="K12143" t="s">
        <v>33</v>
      </c>
      <c r="L12143" t="s">
        <v>70</v>
      </c>
      <c r="N12143" t="s">
        <v>29</v>
      </c>
    </row>
    <row r="12144" spans="1:14">
      <c r="A12144" s="4" t="str">
        <f t="shared" si="1048"/>
        <v>EXP00387</v>
      </c>
      <c r="B12144" s="4" t="str">
        <f t="shared" si="1049"/>
        <v>20143136</v>
      </c>
      <c r="C12144" s="4" t="str">
        <f t="shared" si="1050"/>
        <v>GSE9348</v>
      </c>
      <c r="D12144" s="1" t="s">
        <v>45</v>
      </c>
      <c r="E12144" t="s">
        <v>68</v>
      </c>
      <c r="F12144" s="1">
        <v>2</v>
      </c>
      <c r="G12144" s="1" t="s">
        <v>32</v>
      </c>
      <c r="H12144" s="4" t="str">
        <f>HYPERLINK("https://www.ncbi.nlm.nih.gov/geo/query/acc.cgi?acc=GSM237965","GSM237965")</f>
        <v>GSM237965</v>
      </c>
      <c r="I12144" t="s">
        <v>69</v>
      </c>
      <c r="J12144" t="s">
        <v>18</v>
      </c>
      <c r="K12144" t="s">
        <v>33</v>
      </c>
      <c r="L12144" t="s">
        <v>70</v>
      </c>
      <c r="N12144" t="s">
        <v>29</v>
      </c>
    </row>
    <row r="12145" spans="1:14">
      <c r="A12145" s="4" t="str">
        <f t="shared" si="1048"/>
        <v>EXP00387</v>
      </c>
      <c r="B12145" s="4" t="str">
        <f t="shared" si="1049"/>
        <v>20143136</v>
      </c>
      <c r="C12145" s="4" t="str">
        <f t="shared" si="1050"/>
        <v>GSE9348</v>
      </c>
      <c r="D12145" s="1" t="s">
        <v>45</v>
      </c>
      <c r="E12145" t="s">
        <v>68</v>
      </c>
      <c r="F12145" s="1">
        <v>2</v>
      </c>
      <c r="G12145" s="1" t="s">
        <v>32</v>
      </c>
      <c r="H12145" s="4" t="str">
        <f>HYPERLINK("https://www.ncbi.nlm.nih.gov/geo/query/acc.cgi?acc=GSM237966","GSM237966")</f>
        <v>GSM237966</v>
      </c>
      <c r="I12145" t="s">
        <v>69</v>
      </c>
      <c r="J12145" t="s">
        <v>18</v>
      </c>
      <c r="K12145" t="s">
        <v>33</v>
      </c>
      <c r="L12145" t="s">
        <v>70</v>
      </c>
      <c r="N12145" t="s">
        <v>29</v>
      </c>
    </row>
    <row r="12146" spans="1:14">
      <c r="A12146" s="4" t="str">
        <f t="shared" si="1048"/>
        <v>EXP00387</v>
      </c>
      <c r="B12146" s="4" t="str">
        <f t="shared" si="1049"/>
        <v>20143136</v>
      </c>
      <c r="C12146" s="4" t="str">
        <f t="shared" si="1050"/>
        <v>GSE9348</v>
      </c>
      <c r="D12146" s="1" t="s">
        <v>45</v>
      </c>
      <c r="E12146" t="s">
        <v>68</v>
      </c>
      <c r="F12146" s="1">
        <v>2</v>
      </c>
      <c r="G12146" s="1" t="s">
        <v>32</v>
      </c>
      <c r="H12146" s="4" t="str">
        <f>HYPERLINK("https://www.ncbi.nlm.nih.gov/geo/query/acc.cgi?acc=GSM237967","GSM237967")</f>
        <v>GSM237967</v>
      </c>
      <c r="I12146" t="s">
        <v>69</v>
      </c>
      <c r="J12146" t="s">
        <v>18</v>
      </c>
      <c r="K12146" t="s">
        <v>33</v>
      </c>
      <c r="L12146" t="s">
        <v>70</v>
      </c>
      <c r="N12146" t="s">
        <v>29</v>
      </c>
    </row>
    <row r="12147" spans="1:14">
      <c r="A12147" s="4" t="str">
        <f t="shared" si="1048"/>
        <v>EXP00387</v>
      </c>
      <c r="B12147" s="4" t="str">
        <f t="shared" si="1049"/>
        <v>20143136</v>
      </c>
      <c r="C12147" s="4" t="str">
        <f t="shared" si="1050"/>
        <v>GSE9348</v>
      </c>
      <c r="D12147" s="1" t="s">
        <v>45</v>
      </c>
      <c r="E12147" t="s">
        <v>68</v>
      </c>
      <c r="F12147" s="1">
        <v>2</v>
      </c>
      <c r="G12147" s="1" t="s">
        <v>32</v>
      </c>
      <c r="H12147" s="4" t="str">
        <f>HYPERLINK("https://www.ncbi.nlm.nih.gov/geo/query/acc.cgi?acc=GSM237968","GSM237968")</f>
        <v>GSM237968</v>
      </c>
      <c r="I12147" t="s">
        <v>69</v>
      </c>
      <c r="J12147" t="s">
        <v>18</v>
      </c>
      <c r="K12147" t="s">
        <v>33</v>
      </c>
      <c r="L12147" t="s">
        <v>70</v>
      </c>
      <c r="N12147" t="s">
        <v>29</v>
      </c>
    </row>
    <row r="12148" spans="1:14">
      <c r="A12148" s="4" t="str">
        <f t="shared" si="1048"/>
        <v>EXP00387</v>
      </c>
      <c r="B12148" s="4" t="str">
        <f t="shared" si="1049"/>
        <v>20143136</v>
      </c>
      <c r="C12148" s="4" t="str">
        <f t="shared" si="1050"/>
        <v>GSE9348</v>
      </c>
      <c r="D12148" s="1" t="s">
        <v>45</v>
      </c>
      <c r="E12148" t="s">
        <v>68</v>
      </c>
      <c r="F12148" s="1">
        <v>2</v>
      </c>
      <c r="G12148" s="1" t="s">
        <v>32</v>
      </c>
      <c r="H12148" s="4" t="str">
        <f>HYPERLINK("https://www.ncbi.nlm.nih.gov/geo/query/acc.cgi?acc=GSM237969","GSM237969")</f>
        <v>GSM237969</v>
      </c>
      <c r="I12148" t="s">
        <v>69</v>
      </c>
      <c r="J12148" t="s">
        <v>18</v>
      </c>
      <c r="K12148" t="s">
        <v>33</v>
      </c>
      <c r="L12148" t="s">
        <v>70</v>
      </c>
      <c r="N12148" t="s">
        <v>29</v>
      </c>
    </row>
    <row r="12149" spans="1:14">
      <c r="A12149" s="4" t="str">
        <f t="shared" ref="A12149:A12154" si="1051">HYPERLINK("http://hcmdb.i-sanger.com/experiment/details/experiment_id/EXP00387","EXP00387")</f>
        <v>EXP00387</v>
      </c>
      <c r="B12149" s="4" t="str">
        <f t="shared" ref="B12149:B12154" si="1052">HYPERLINK("https://www.ncbi.nlm.nih.gov/pubmed/20143136","20143136")</f>
        <v>20143136</v>
      </c>
      <c r="C12149" s="4" t="str">
        <f t="shared" ref="C12149:C12154" si="1053">HYPERLINK("https://www.ncbi.nlm.nih.gov/geo/query/acc.cgi?acc=GSE9348","GSE9348")</f>
        <v>GSE9348</v>
      </c>
      <c r="D12149" s="1" t="s">
        <v>45</v>
      </c>
      <c r="E12149" t="s">
        <v>68</v>
      </c>
      <c r="F12149" s="1">
        <v>2</v>
      </c>
      <c r="G12149" s="1" t="s">
        <v>32</v>
      </c>
      <c r="H12149" s="4" t="str">
        <f>HYPERLINK("https://www.ncbi.nlm.nih.gov/geo/query/acc.cgi?acc=GSM237970","GSM237970")</f>
        <v>GSM237970</v>
      </c>
      <c r="I12149" t="s">
        <v>69</v>
      </c>
      <c r="J12149" t="s">
        <v>18</v>
      </c>
      <c r="K12149" t="s">
        <v>33</v>
      </c>
      <c r="L12149" t="s">
        <v>70</v>
      </c>
      <c r="N12149" t="s">
        <v>29</v>
      </c>
    </row>
    <row r="12150" spans="1:14">
      <c r="A12150" s="4" t="str">
        <f t="shared" si="1051"/>
        <v>EXP00387</v>
      </c>
      <c r="B12150" s="4" t="str">
        <f t="shared" si="1052"/>
        <v>20143136</v>
      </c>
      <c r="C12150" s="4" t="str">
        <f t="shared" si="1053"/>
        <v>GSE9348</v>
      </c>
      <c r="D12150" s="1" t="s">
        <v>45</v>
      </c>
      <c r="E12150" t="s">
        <v>68</v>
      </c>
      <c r="F12150" s="1">
        <v>2</v>
      </c>
      <c r="G12150" s="1" t="s">
        <v>32</v>
      </c>
      <c r="H12150" s="4" t="str">
        <f>HYPERLINK("https://www.ncbi.nlm.nih.gov/geo/query/acc.cgi?acc=GSM237972","GSM237972")</f>
        <v>GSM237972</v>
      </c>
      <c r="I12150" t="s">
        <v>69</v>
      </c>
      <c r="J12150" t="s">
        <v>18</v>
      </c>
      <c r="K12150" t="s">
        <v>33</v>
      </c>
      <c r="L12150" t="s">
        <v>70</v>
      </c>
      <c r="N12150" t="s">
        <v>29</v>
      </c>
    </row>
    <row r="12151" spans="1:14">
      <c r="A12151" s="4" t="str">
        <f t="shared" si="1051"/>
        <v>EXP00387</v>
      </c>
      <c r="B12151" s="4" t="str">
        <f t="shared" si="1052"/>
        <v>20143136</v>
      </c>
      <c r="C12151" s="4" t="str">
        <f t="shared" si="1053"/>
        <v>GSE9348</v>
      </c>
      <c r="D12151" s="1" t="s">
        <v>45</v>
      </c>
      <c r="E12151" t="s">
        <v>68</v>
      </c>
      <c r="F12151" s="1">
        <v>2</v>
      </c>
      <c r="G12151" s="1" t="s">
        <v>32</v>
      </c>
      <c r="H12151" s="4" t="str">
        <f>HYPERLINK("https://www.ncbi.nlm.nih.gov/geo/query/acc.cgi?acc=GSM237973","GSM237973")</f>
        <v>GSM237973</v>
      </c>
      <c r="I12151" t="s">
        <v>69</v>
      </c>
      <c r="J12151" t="s">
        <v>18</v>
      </c>
      <c r="K12151" t="s">
        <v>33</v>
      </c>
      <c r="L12151" t="s">
        <v>70</v>
      </c>
      <c r="N12151" t="s">
        <v>29</v>
      </c>
    </row>
    <row r="12152" spans="1:14">
      <c r="A12152" s="4" t="str">
        <f t="shared" si="1051"/>
        <v>EXP00387</v>
      </c>
      <c r="B12152" s="4" t="str">
        <f t="shared" si="1052"/>
        <v>20143136</v>
      </c>
      <c r="C12152" s="4" t="str">
        <f t="shared" si="1053"/>
        <v>GSE9348</v>
      </c>
      <c r="D12152" s="1" t="s">
        <v>45</v>
      </c>
      <c r="E12152" t="s">
        <v>68</v>
      </c>
      <c r="F12152" s="1">
        <v>2</v>
      </c>
      <c r="G12152" s="1" t="s">
        <v>32</v>
      </c>
      <c r="H12152" s="4" t="str">
        <f>HYPERLINK("https://www.ncbi.nlm.nih.gov/geo/query/acc.cgi?acc=GSM237974","GSM237974")</f>
        <v>GSM237974</v>
      </c>
      <c r="I12152" t="s">
        <v>69</v>
      </c>
      <c r="J12152" t="s">
        <v>18</v>
      </c>
      <c r="K12152" t="s">
        <v>33</v>
      </c>
      <c r="L12152" t="s">
        <v>70</v>
      </c>
      <c r="N12152" t="s">
        <v>29</v>
      </c>
    </row>
    <row r="12153" spans="1:14">
      <c r="A12153" s="4" t="str">
        <f t="shared" si="1051"/>
        <v>EXP00387</v>
      </c>
      <c r="B12153" s="4" t="str">
        <f t="shared" si="1052"/>
        <v>20143136</v>
      </c>
      <c r="C12153" s="4" t="str">
        <f t="shared" si="1053"/>
        <v>GSE9348</v>
      </c>
      <c r="D12153" s="1" t="s">
        <v>45</v>
      </c>
      <c r="E12153" t="s">
        <v>68</v>
      </c>
      <c r="F12153" s="1">
        <v>2</v>
      </c>
      <c r="G12153" s="1" t="s">
        <v>32</v>
      </c>
      <c r="H12153" s="4" t="str">
        <f>HYPERLINK("https://www.ncbi.nlm.nih.gov/geo/query/acc.cgi?acc=GSM237977","GSM237977")</f>
        <v>GSM237977</v>
      </c>
      <c r="I12153" t="s">
        <v>69</v>
      </c>
      <c r="J12153" t="s">
        <v>18</v>
      </c>
      <c r="K12153" t="s">
        <v>33</v>
      </c>
      <c r="L12153" t="s">
        <v>70</v>
      </c>
      <c r="N12153" t="s">
        <v>29</v>
      </c>
    </row>
    <row r="12154" spans="1:14">
      <c r="A12154" s="4" t="str">
        <f t="shared" si="1051"/>
        <v>EXP00387</v>
      </c>
      <c r="B12154" s="4" t="str">
        <f t="shared" si="1052"/>
        <v>20143136</v>
      </c>
      <c r="C12154" s="4" t="str">
        <f t="shared" si="1053"/>
        <v>GSE9348</v>
      </c>
      <c r="D12154" s="1" t="s">
        <v>45</v>
      </c>
      <c r="E12154" t="s">
        <v>68</v>
      </c>
      <c r="F12154" s="1">
        <v>2</v>
      </c>
      <c r="G12154" s="1" t="s">
        <v>32</v>
      </c>
      <c r="H12154" s="4" t="str">
        <f>HYPERLINK("https://www.ncbi.nlm.nih.gov/geo/query/acc.cgi?acc=GSM237978","GSM237978")</f>
        <v>GSM237978</v>
      </c>
      <c r="I12154" t="s">
        <v>69</v>
      </c>
      <c r="J12154" t="s">
        <v>18</v>
      </c>
      <c r="K12154" t="s">
        <v>33</v>
      </c>
      <c r="L12154" t="s">
        <v>70</v>
      </c>
      <c r="N12154" t="s">
        <v>29</v>
      </c>
    </row>
    <row r="12155" spans="1:14">
      <c r="A12155" s="4" t="str">
        <f t="shared" ref="A12155:A12176" si="1054">HYPERLINK("http://hcmdb.i-sanger.com/experiment/details/experiment_id/EXP00388","EXP00388")</f>
        <v>EXP00388</v>
      </c>
      <c r="B12155" s="4" t="str">
        <f t="shared" ref="B12155:B12176" si="1055">HYPERLINK("https://www.ncbi.nlm.nih.gov/pubmed/18544165","18544165")</f>
        <v>18544165</v>
      </c>
      <c r="C12155" s="4" t="str">
        <f t="shared" ref="C12155:C12176" si="1056">HYPERLINK("https://www.ncbi.nlm.nih.gov/geo/query/acc.cgi?acc=GSE9349","GSE9349")</f>
        <v>GSE9349</v>
      </c>
      <c r="D12155" s="1" t="s">
        <v>489</v>
      </c>
      <c r="E12155" t="s">
        <v>490</v>
      </c>
      <c r="F12155" s="1">
        <v>1</v>
      </c>
      <c r="G12155" s="1" t="s">
        <v>31</v>
      </c>
      <c r="H12155" s="4" t="str">
        <f>HYPERLINK("https://www.ncbi.nlm.nih.gov/geo/query/acc.cgi?acc=GSM238007","GSM238007")</f>
        <v>GSM238007</v>
      </c>
      <c r="I12155" t="s">
        <v>91</v>
      </c>
      <c r="J12155" t="s">
        <v>92</v>
      </c>
      <c r="K12155" t="s">
        <v>19</v>
      </c>
      <c r="L12155" t="s">
        <v>491</v>
      </c>
      <c r="M12155" t="s">
        <v>51</v>
      </c>
      <c r="N12155" t="s">
        <v>29</v>
      </c>
    </row>
    <row r="12156" spans="1:14">
      <c r="A12156" s="4" t="str">
        <f t="shared" si="1054"/>
        <v>EXP00388</v>
      </c>
      <c r="B12156" s="4" t="str">
        <f t="shared" si="1055"/>
        <v>18544165</v>
      </c>
      <c r="C12156" s="4" t="str">
        <f t="shared" si="1056"/>
        <v>GSE9349</v>
      </c>
      <c r="D12156" s="1" t="s">
        <v>489</v>
      </c>
      <c r="E12156" t="s">
        <v>490</v>
      </c>
      <c r="F12156" s="1">
        <v>1</v>
      </c>
      <c r="G12156" s="1" t="s">
        <v>31</v>
      </c>
      <c r="H12156" s="4" t="str">
        <f>HYPERLINK("https://www.ncbi.nlm.nih.gov/geo/query/acc.cgi?acc=GSM238008","GSM238008")</f>
        <v>GSM238008</v>
      </c>
      <c r="I12156" t="s">
        <v>91</v>
      </c>
      <c r="J12156" t="s">
        <v>92</v>
      </c>
      <c r="K12156" t="s">
        <v>19</v>
      </c>
      <c r="L12156" t="s">
        <v>491</v>
      </c>
      <c r="M12156" t="s">
        <v>51</v>
      </c>
      <c r="N12156" t="s">
        <v>29</v>
      </c>
    </row>
    <row r="12157" spans="1:14">
      <c r="A12157" s="4" t="str">
        <f t="shared" si="1054"/>
        <v>EXP00388</v>
      </c>
      <c r="B12157" s="4" t="str">
        <f t="shared" si="1055"/>
        <v>18544165</v>
      </c>
      <c r="C12157" s="4" t="str">
        <f t="shared" si="1056"/>
        <v>GSE9349</v>
      </c>
      <c r="D12157" s="1" t="s">
        <v>489</v>
      </c>
      <c r="E12157" t="s">
        <v>490</v>
      </c>
      <c r="F12157" s="1">
        <v>1</v>
      </c>
      <c r="G12157" s="1" t="s">
        <v>31</v>
      </c>
      <c r="H12157" s="4" t="str">
        <f>HYPERLINK("https://www.ncbi.nlm.nih.gov/geo/query/acc.cgi?acc=GSM238009","GSM238009")</f>
        <v>GSM238009</v>
      </c>
      <c r="I12157" t="s">
        <v>91</v>
      </c>
      <c r="J12157" t="s">
        <v>92</v>
      </c>
      <c r="K12157" t="s">
        <v>19</v>
      </c>
      <c r="L12157" t="s">
        <v>491</v>
      </c>
      <c r="M12157" t="s">
        <v>51</v>
      </c>
      <c r="N12157" t="s">
        <v>29</v>
      </c>
    </row>
    <row r="12158" spans="1:14">
      <c r="A12158" s="4" t="str">
        <f t="shared" si="1054"/>
        <v>EXP00388</v>
      </c>
      <c r="B12158" s="4" t="str">
        <f t="shared" si="1055"/>
        <v>18544165</v>
      </c>
      <c r="C12158" s="4" t="str">
        <f t="shared" si="1056"/>
        <v>GSE9349</v>
      </c>
      <c r="D12158" s="1" t="s">
        <v>489</v>
      </c>
      <c r="E12158" t="s">
        <v>490</v>
      </c>
      <c r="F12158" s="1">
        <v>1</v>
      </c>
      <c r="G12158" s="1" t="s">
        <v>31</v>
      </c>
      <c r="H12158" s="4" t="str">
        <f>HYPERLINK("https://www.ncbi.nlm.nih.gov/geo/query/acc.cgi?acc=GSM238010","GSM238010")</f>
        <v>GSM238010</v>
      </c>
      <c r="I12158" t="s">
        <v>91</v>
      </c>
      <c r="J12158" t="s">
        <v>92</v>
      </c>
      <c r="K12158" t="s">
        <v>19</v>
      </c>
      <c r="L12158" t="s">
        <v>491</v>
      </c>
      <c r="M12158" t="s">
        <v>51</v>
      </c>
      <c r="N12158" t="s">
        <v>29</v>
      </c>
    </row>
    <row r="12159" spans="1:14">
      <c r="A12159" s="4" t="str">
        <f t="shared" si="1054"/>
        <v>EXP00388</v>
      </c>
      <c r="B12159" s="4" t="str">
        <f t="shared" si="1055"/>
        <v>18544165</v>
      </c>
      <c r="C12159" s="4" t="str">
        <f t="shared" si="1056"/>
        <v>GSE9349</v>
      </c>
      <c r="D12159" s="1" t="s">
        <v>489</v>
      </c>
      <c r="E12159" t="s">
        <v>490</v>
      </c>
      <c r="F12159" s="1">
        <v>1</v>
      </c>
      <c r="G12159" s="1" t="s">
        <v>31</v>
      </c>
      <c r="H12159" s="4" t="str">
        <f>HYPERLINK("https://www.ncbi.nlm.nih.gov/geo/query/acc.cgi?acc=GSM238011","GSM238011")</f>
        <v>GSM238011</v>
      </c>
      <c r="I12159" t="s">
        <v>91</v>
      </c>
      <c r="J12159" t="s">
        <v>92</v>
      </c>
      <c r="K12159" t="s">
        <v>19</v>
      </c>
      <c r="L12159" t="s">
        <v>94</v>
      </c>
      <c r="M12159" t="s">
        <v>51</v>
      </c>
      <c r="N12159" t="s">
        <v>29</v>
      </c>
    </row>
    <row r="12160" spans="1:14">
      <c r="A12160" s="4" t="str">
        <f t="shared" si="1054"/>
        <v>EXP00388</v>
      </c>
      <c r="B12160" s="4" t="str">
        <f t="shared" si="1055"/>
        <v>18544165</v>
      </c>
      <c r="C12160" s="4" t="str">
        <f t="shared" si="1056"/>
        <v>GSE9349</v>
      </c>
      <c r="D12160" s="1" t="s">
        <v>489</v>
      </c>
      <c r="E12160" t="s">
        <v>490</v>
      </c>
      <c r="F12160" s="1">
        <v>1</v>
      </c>
      <c r="G12160" s="1" t="s">
        <v>31</v>
      </c>
      <c r="H12160" s="4" t="str">
        <f>HYPERLINK("https://www.ncbi.nlm.nih.gov/geo/query/acc.cgi?acc=GSM238012","GSM238012")</f>
        <v>GSM238012</v>
      </c>
      <c r="I12160" t="s">
        <v>91</v>
      </c>
      <c r="J12160" t="s">
        <v>92</v>
      </c>
      <c r="K12160" t="s">
        <v>19</v>
      </c>
      <c r="L12160" t="s">
        <v>94</v>
      </c>
      <c r="M12160" t="s">
        <v>51</v>
      </c>
      <c r="N12160" t="s">
        <v>29</v>
      </c>
    </row>
    <row r="12161" spans="1:14">
      <c r="A12161" s="4" t="str">
        <f t="shared" si="1054"/>
        <v>EXP00388</v>
      </c>
      <c r="B12161" s="4" t="str">
        <f t="shared" si="1055"/>
        <v>18544165</v>
      </c>
      <c r="C12161" s="4" t="str">
        <f t="shared" si="1056"/>
        <v>GSE9349</v>
      </c>
      <c r="D12161" s="1" t="s">
        <v>489</v>
      </c>
      <c r="E12161" t="s">
        <v>490</v>
      </c>
      <c r="F12161" s="1">
        <v>1</v>
      </c>
      <c r="G12161" s="1" t="s">
        <v>31</v>
      </c>
      <c r="H12161" s="4" t="str">
        <f>HYPERLINK("https://www.ncbi.nlm.nih.gov/geo/query/acc.cgi?acc=GSM238013","GSM238013")</f>
        <v>GSM238013</v>
      </c>
      <c r="I12161" t="s">
        <v>91</v>
      </c>
      <c r="J12161" t="s">
        <v>92</v>
      </c>
      <c r="K12161" t="s">
        <v>19</v>
      </c>
      <c r="L12161" t="s">
        <v>94</v>
      </c>
      <c r="M12161" t="s">
        <v>51</v>
      </c>
      <c r="N12161" t="s">
        <v>29</v>
      </c>
    </row>
    <row r="12162" spans="1:14">
      <c r="A12162" s="4" t="str">
        <f t="shared" si="1054"/>
        <v>EXP00388</v>
      </c>
      <c r="B12162" s="4" t="str">
        <f t="shared" si="1055"/>
        <v>18544165</v>
      </c>
      <c r="C12162" s="4" t="str">
        <f t="shared" si="1056"/>
        <v>GSE9349</v>
      </c>
      <c r="D12162" s="1" t="s">
        <v>489</v>
      </c>
      <c r="E12162" t="s">
        <v>490</v>
      </c>
      <c r="F12162" s="1">
        <v>1</v>
      </c>
      <c r="G12162" s="1" t="s">
        <v>31</v>
      </c>
      <c r="H12162" s="4" t="str">
        <f>HYPERLINK("https://www.ncbi.nlm.nih.gov/geo/query/acc.cgi?acc=GSM238014","GSM238014")</f>
        <v>GSM238014</v>
      </c>
      <c r="I12162" t="s">
        <v>91</v>
      </c>
      <c r="J12162" t="s">
        <v>92</v>
      </c>
      <c r="K12162" t="s">
        <v>19</v>
      </c>
      <c r="L12162" t="s">
        <v>147</v>
      </c>
      <c r="M12162" t="s">
        <v>51</v>
      </c>
      <c r="N12162" t="s">
        <v>29</v>
      </c>
    </row>
    <row r="12163" spans="1:14">
      <c r="A12163" s="4" t="str">
        <f t="shared" si="1054"/>
        <v>EXP00388</v>
      </c>
      <c r="B12163" s="4" t="str">
        <f t="shared" si="1055"/>
        <v>18544165</v>
      </c>
      <c r="C12163" s="4" t="str">
        <f t="shared" si="1056"/>
        <v>GSE9349</v>
      </c>
      <c r="D12163" s="1" t="s">
        <v>489</v>
      </c>
      <c r="E12163" t="s">
        <v>490</v>
      </c>
      <c r="F12163" s="1">
        <v>1</v>
      </c>
      <c r="G12163" s="1" t="s">
        <v>31</v>
      </c>
      <c r="H12163" s="4" t="str">
        <f>HYPERLINK("https://www.ncbi.nlm.nih.gov/geo/query/acc.cgi?acc=GSM238015","GSM238015")</f>
        <v>GSM238015</v>
      </c>
      <c r="I12163" t="s">
        <v>91</v>
      </c>
      <c r="J12163" t="s">
        <v>92</v>
      </c>
      <c r="K12163" t="s">
        <v>19</v>
      </c>
      <c r="L12163" t="s">
        <v>147</v>
      </c>
      <c r="M12163" t="s">
        <v>51</v>
      </c>
      <c r="N12163" t="s">
        <v>29</v>
      </c>
    </row>
    <row r="12164" spans="1:14">
      <c r="A12164" s="4" t="str">
        <f t="shared" si="1054"/>
        <v>EXP00388</v>
      </c>
      <c r="B12164" s="4" t="str">
        <f t="shared" si="1055"/>
        <v>18544165</v>
      </c>
      <c r="C12164" s="4" t="str">
        <f t="shared" si="1056"/>
        <v>GSE9349</v>
      </c>
      <c r="D12164" s="1" t="s">
        <v>489</v>
      </c>
      <c r="E12164" t="s">
        <v>490</v>
      </c>
      <c r="F12164" s="1">
        <v>1</v>
      </c>
      <c r="G12164" s="1" t="s">
        <v>31</v>
      </c>
      <c r="H12164" s="4" t="str">
        <f>HYPERLINK("https://www.ncbi.nlm.nih.gov/geo/query/acc.cgi?acc=GSM238016","GSM238016")</f>
        <v>GSM238016</v>
      </c>
      <c r="I12164" t="s">
        <v>91</v>
      </c>
      <c r="J12164" t="s">
        <v>92</v>
      </c>
      <c r="K12164" t="s">
        <v>19</v>
      </c>
      <c r="L12164" t="s">
        <v>147</v>
      </c>
      <c r="M12164" t="s">
        <v>51</v>
      </c>
      <c r="N12164" t="s">
        <v>29</v>
      </c>
    </row>
    <row r="12165" spans="1:14">
      <c r="A12165" s="4" t="str">
        <f t="shared" si="1054"/>
        <v>EXP00388</v>
      </c>
      <c r="B12165" s="4" t="str">
        <f t="shared" si="1055"/>
        <v>18544165</v>
      </c>
      <c r="C12165" s="4" t="str">
        <f t="shared" si="1056"/>
        <v>GSE9349</v>
      </c>
      <c r="D12165" s="1" t="s">
        <v>489</v>
      </c>
      <c r="E12165" t="s">
        <v>490</v>
      </c>
      <c r="F12165" s="1">
        <v>1</v>
      </c>
      <c r="G12165" s="1" t="s">
        <v>31</v>
      </c>
      <c r="H12165" s="4" t="str">
        <f>HYPERLINK("https://www.ncbi.nlm.nih.gov/geo/query/acc.cgi?acc=GSM238017","GSM238017")</f>
        <v>GSM238017</v>
      </c>
      <c r="I12165" t="s">
        <v>91</v>
      </c>
      <c r="J12165" t="s">
        <v>92</v>
      </c>
      <c r="K12165" t="s">
        <v>19</v>
      </c>
      <c r="L12165" t="s">
        <v>147</v>
      </c>
      <c r="M12165" t="s">
        <v>51</v>
      </c>
      <c r="N12165" t="s">
        <v>29</v>
      </c>
    </row>
    <row r="12166" spans="1:14">
      <c r="A12166" s="4" t="str">
        <f t="shared" si="1054"/>
        <v>EXP00388</v>
      </c>
      <c r="B12166" s="4" t="str">
        <f t="shared" si="1055"/>
        <v>18544165</v>
      </c>
      <c r="C12166" s="4" t="str">
        <f t="shared" si="1056"/>
        <v>GSE9349</v>
      </c>
      <c r="D12166" s="1" t="s">
        <v>489</v>
      </c>
      <c r="E12166" t="s">
        <v>490</v>
      </c>
      <c r="F12166" s="1">
        <v>2</v>
      </c>
      <c r="G12166" s="1" t="s">
        <v>32</v>
      </c>
      <c r="H12166" s="4" t="str">
        <f>HYPERLINK("https://www.ncbi.nlm.nih.gov/geo/query/acc.cgi?acc=GSM237996","GSM237996")</f>
        <v>GSM237996</v>
      </c>
      <c r="I12166" t="s">
        <v>91</v>
      </c>
      <c r="J12166" t="s">
        <v>92</v>
      </c>
      <c r="K12166" t="s">
        <v>33</v>
      </c>
      <c r="L12166" t="s">
        <v>491</v>
      </c>
      <c r="N12166" t="s">
        <v>29</v>
      </c>
    </row>
    <row r="12167" spans="1:14">
      <c r="A12167" s="4" t="str">
        <f t="shared" si="1054"/>
        <v>EXP00388</v>
      </c>
      <c r="B12167" s="4" t="str">
        <f t="shared" si="1055"/>
        <v>18544165</v>
      </c>
      <c r="C12167" s="4" t="str">
        <f t="shared" si="1056"/>
        <v>GSE9349</v>
      </c>
      <c r="D12167" s="1" t="s">
        <v>489</v>
      </c>
      <c r="E12167" t="s">
        <v>490</v>
      </c>
      <c r="F12167" s="1">
        <v>2</v>
      </c>
      <c r="G12167" s="1" t="s">
        <v>32</v>
      </c>
      <c r="H12167" s="4" t="str">
        <f>HYPERLINK("https://www.ncbi.nlm.nih.gov/geo/query/acc.cgi?acc=GSM237997","GSM237997")</f>
        <v>GSM237997</v>
      </c>
      <c r="I12167" t="s">
        <v>91</v>
      </c>
      <c r="J12167" t="s">
        <v>92</v>
      </c>
      <c r="K12167" t="s">
        <v>33</v>
      </c>
      <c r="L12167" t="s">
        <v>491</v>
      </c>
      <c r="N12167" t="s">
        <v>29</v>
      </c>
    </row>
    <row r="12168" spans="1:14">
      <c r="A12168" s="4" t="str">
        <f t="shared" si="1054"/>
        <v>EXP00388</v>
      </c>
      <c r="B12168" s="4" t="str">
        <f t="shared" si="1055"/>
        <v>18544165</v>
      </c>
      <c r="C12168" s="4" t="str">
        <f t="shared" si="1056"/>
        <v>GSE9349</v>
      </c>
      <c r="D12168" s="1" t="s">
        <v>489</v>
      </c>
      <c r="E12168" t="s">
        <v>490</v>
      </c>
      <c r="F12168" s="1">
        <v>2</v>
      </c>
      <c r="G12168" s="1" t="s">
        <v>32</v>
      </c>
      <c r="H12168" s="4" t="str">
        <f>HYPERLINK("https://www.ncbi.nlm.nih.gov/geo/query/acc.cgi?acc=GSM237998","GSM237998")</f>
        <v>GSM237998</v>
      </c>
      <c r="I12168" t="s">
        <v>91</v>
      </c>
      <c r="J12168" t="s">
        <v>92</v>
      </c>
      <c r="K12168" t="s">
        <v>33</v>
      </c>
      <c r="L12168" t="s">
        <v>491</v>
      </c>
      <c r="N12168" t="s">
        <v>29</v>
      </c>
    </row>
    <row r="12169" spans="1:14">
      <c r="A12169" s="4" t="str">
        <f t="shared" si="1054"/>
        <v>EXP00388</v>
      </c>
      <c r="B12169" s="4" t="str">
        <f t="shared" si="1055"/>
        <v>18544165</v>
      </c>
      <c r="C12169" s="4" t="str">
        <f t="shared" si="1056"/>
        <v>GSE9349</v>
      </c>
      <c r="D12169" s="1" t="s">
        <v>489</v>
      </c>
      <c r="E12169" t="s">
        <v>490</v>
      </c>
      <c r="F12169" s="1">
        <v>2</v>
      </c>
      <c r="G12169" s="1" t="s">
        <v>32</v>
      </c>
      <c r="H12169" s="4" t="str">
        <f>HYPERLINK("https://www.ncbi.nlm.nih.gov/geo/query/acc.cgi?acc=GSM237999","GSM237999")</f>
        <v>GSM237999</v>
      </c>
      <c r="I12169" t="s">
        <v>91</v>
      </c>
      <c r="J12169" t="s">
        <v>92</v>
      </c>
      <c r="K12169" t="s">
        <v>33</v>
      </c>
      <c r="L12169" t="s">
        <v>94</v>
      </c>
      <c r="N12169" t="s">
        <v>29</v>
      </c>
    </row>
    <row r="12170" spans="1:14">
      <c r="A12170" s="4" t="str">
        <f t="shared" si="1054"/>
        <v>EXP00388</v>
      </c>
      <c r="B12170" s="4" t="str">
        <f t="shared" si="1055"/>
        <v>18544165</v>
      </c>
      <c r="C12170" s="4" t="str">
        <f t="shared" si="1056"/>
        <v>GSE9349</v>
      </c>
      <c r="D12170" s="1" t="s">
        <v>489</v>
      </c>
      <c r="E12170" t="s">
        <v>490</v>
      </c>
      <c r="F12170" s="1">
        <v>2</v>
      </c>
      <c r="G12170" s="1" t="s">
        <v>32</v>
      </c>
      <c r="H12170" s="4" t="str">
        <f>HYPERLINK("https://www.ncbi.nlm.nih.gov/geo/query/acc.cgi?acc=GSM238000","GSM238000")</f>
        <v>GSM238000</v>
      </c>
      <c r="I12170" t="s">
        <v>91</v>
      </c>
      <c r="J12170" t="s">
        <v>92</v>
      </c>
      <c r="K12170" t="s">
        <v>33</v>
      </c>
      <c r="L12170" t="s">
        <v>94</v>
      </c>
      <c r="N12170" t="s">
        <v>29</v>
      </c>
    </row>
    <row r="12171" spans="1:14">
      <c r="A12171" s="4" t="str">
        <f t="shared" si="1054"/>
        <v>EXP00388</v>
      </c>
      <c r="B12171" s="4" t="str">
        <f t="shared" si="1055"/>
        <v>18544165</v>
      </c>
      <c r="C12171" s="4" t="str">
        <f t="shared" si="1056"/>
        <v>GSE9349</v>
      </c>
      <c r="D12171" s="1" t="s">
        <v>489</v>
      </c>
      <c r="E12171" t="s">
        <v>490</v>
      </c>
      <c r="F12171" s="1">
        <v>2</v>
      </c>
      <c r="G12171" s="1" t="s">
        <v>32</v>
      </c>
      <c r="H12171" s="4" t="str">
        <f>HYPERLINK("https://www.ncbi.nlm.nih.gov/geo/query/acc.cgi?acc=GSM238001","GSM238001")</f>
        <v>GSM238001</v>
      </c>
      <c r="I12171" t="s">
        <v>91</v>
      </c>
      <c r="J12171" t="s">
        <v>92</v>
      </c>
      <c r="K12171" t="s">
        <v>33</v>
      </c>
      <c r="L12171" t="s">
        <v>94</v>
      </c>
      <c r="N12171" t="s">
        <v>29</v>
      </c>
    </row>
    <row r="12172" spans="1:14">
      <c r="A12172" s="4" t="str">
        <f t="shared" si="1054"/>
        <v>EXP00388</v>
      </c>
      <c r="B12172" s="4" t="str">
        <f t="shared" si="1055"/>
        <v>18544165</v>
      </c>
      <c r="C12172" s="4" t="str">
        <f t="shared" si="1056"/>
        <v>GSE9349</v>
      </c>
      <c r="D12172" s="1" t="s">
        <v>489</v>
      </c>
      <c r="E12172" t="s">
        <v>490</v>
      </c>
      <c r="F12172" s="1">
        <v>2</v>
      </c>
      <c r="G12172" s="1" t="s">
        <v>32</v>
      </c>
      <c r="H12172" s="4" t="str">
        <f>HYPERLINK("https://www.ncbi.nlm.nih.gov/geo/query/acc.cgi?acc=GSM238002","GSM238002")</f>
        <v>GSM238002</v>
      </c>
      <c r="I12172" t="s">
        <v>91</v>
      </c>
      <c r="J12172" t="s">
        <v>92</v>
      </c>
      <c r="K12172" t="s">
        <v>33</v>
      </c>
      <c r="L12172" t="s">
        <v>94</v>
      </c>
      <c r="N12172" t="s">
        <v>29</v>
      </c>
    </row>
    <row r="12173" spans="1:14">
      <c r="A12173" s="4" t="str">
        <f t="shared" si="1054"/>
        <v>EXP00388</v>
      </c>
      <c r="B12173" s="4" t="str">
        <f t="shared" si="1055"/>
        <v>18544165</v>
      </c>
      <c r="C12173" s="4" t="str">
        <f t="shared" si="1056"/>
        <v>GSE9349</v>
      </c>
      <c r="D12173" s="1" t="s">
        <v>489</v>
      </c>
      <c r="E12173" t="s">
        <v>490</v>
      </c>
      <c r="F12173" s="1">
        <v>2</v>
      </c>
      <c r="G12173" s="1" t="s">
        <v>32</v>
      </c>
      <c r="H12173" s="4" t="str">
        <f>HYPERLINK("https://www.ncbi.nlm.nih.gov/geo/query/acc.cgi?acc=GSM238003","GSM238003")</f>
        <v>GSM238003</v>
      </c>
      <c r="I12173" t="s">
        <v>91</v>
      </c>
      <c r="J12173" t="s">
        <v>92</v>
      </c>
      <c r="K12173" t="s">
        <v>33</v>
      </c>
      <c r="L12173" t="s">
        <v>147</v>
      </c>
      <c r="N12173" t="s">
        <v>29</v>
      </c>
    </row>
    <row r="12174" spans="1:14">
      <c r="A12174" s="4" t="str">
        <f t="shared" si="1054"/>
        <v>EXP00388</v>
      </c>
      <c r="B12174" s="4" t="str">
        <f t="shared" si="1055"/>
        <v>18544165</v>
      </c>
      <c r="C12174" s="4" t="str">
        <f t="shared" si="1056"/>
        <v>GSE9349</v>
      </c>
      <c r="D12174" s="1" t="s">
        <v>489</v>
      </c>
      <c r="E12174" t="s">
        <v>490</v>
      </c>
      <c r="F12174" s="1">
        <v>2</v>
      </c>
      <c r="G12174" s="1" t="s">
        <v>32</v>
      </c>
      <c r="H12174" s="4" t="str">
        <f>HYPERLINK("https://www.ncbi.nlm.nih.gov/geo/query/acc.cgi?acc=GSM238004","GSM238004")</f>
        <v>GSM238004</v>
      </c>
      <c r="I12174" t="s">
        <v>91</v>
      </c>
      <c r="J12174" t="s">
        <v>92</v>
      </c>
      <c r="K12174" t="s">
        <v>33</v>
      </c>
      <c r="L12174" t="s">
        <v>147</v>
      </c>
      <c r="N12174" t="s">
        <v>29</v>
      </c>
    </row>
    <row r="12175" spans="1:14">
      <c r="A12175" s="4" t="str">
        <f t="shared" si="1054"/>
        <v>EXP00388</v>
      </c>
      <c r="B12175" s="4" t="str">
        <f t="shared" si="1055"/>
        <v>18544165</v>
      </c>
      <c r="C12175" s="4" t="str">
        <f t="shared" si="1056"/>
        <v>GSE9349</v>
      </c>
      <c r="D12175" s="1" t="s">
        <v>489</v>
      </c>
      <c r="E12175" t="s">
        <v>490</v>
      </c>
      <c r="F12175" s="1">
        <v>2</v>
      </c>
      <c r="G12175" s="1" t="s">
        <v>32</v>
      </c>
      <c r="H12175" s="4" t="str">
        <f>HYPERLINK("https://www.ncbi.nlm.nih.gov/geo/query/acc.cgi?acc=GSM238005","GSM238005")</f>
        <v>GSM238005</v>
      </c>
      <c r="I12175" t="s">
        <v>91</v>
      </c>
      <c r="J12175" t="s">
        <v>92</v>
      </c>
      <c r="K12175" t="s">
        <v>33</v>
      </c>
      <c r="L12175" t="s">
        <v>147</v>
      </c>
      <c r="N12175" t="s">
        <v>29</v>
      </c>
    </row>
    <row r="12176" spans="1:14">
      <c r="A12176" s="4" t="str">
        <f t="shared" si="1054"/>
        <v>EXP00388</v>
      </c>
      <c r="B12176" s="4" t="str">
        <f t="shared" si="1055"/>
        <v>18544165</v>
      </c>
      <c r="C12176" s="4" t="str">
        <f t="shared" si="1056"/>
        <v>GSE9349</v>
      </c>
      <c r="D12176" s="1" t="s">
        <v>489</v>
      </c>
      <c r="E12176" t="s">
        <v>490</v>
      </c>
      <c r="F12176" s="1">
        <v>2</v>
      </c>
      <c r="G12176" s="1" t="s">
        <v>32</v>
      </c>
      <c r="H12176" s="4" t="str">
        <f>HYPERLINK("https://www.ncbi.nlm.nih.gov/geo/query/acc.cgi?acc=GSM238006","GSM238006")</f>
        <v>GSM238006</v>
      </c>
      <c r="I12176" t="s">
        <v>91</v>
      </c>
      <c r="J12176" t="s">
        <v>92</v>
      </c>
      <c r="K12176" t="s">
        <v>33</v>
      </c>
      <c r="L12176" t="s">
        <v>147</v>
      </c>
      <c r="N12176" t="s">
        <v>29</v>
      </c>
    </row>
    <row r="12177" spans="1:14">
      <c r="A12177" s="4" t="str">
        <f t="shared" ref="A12177:A12208" si="1057">HYPERLINK("http://hcmdb.i-sanger.com/experiment/details/experiment_id/EXP00389","EXP00389")</f>
        <v>EXP00389</v>
      </c>
      <c r="B12177" s="4" t="str">
        <f t="shared" ref="B12177:B12208" si="1058">HYPERLINK("https://www.ncbi.nlm.nih.gov/pubmed/18347175","18347175")</f>
        <v>18347175</v>
      </c>
      <c r="C12177" s="4" t="str">
        <f t="shared" ref="C12177:C12208" si="1059">HYPERLINK("https://www.ncbi.nlm.nih.gov/geo/query/acc.cgi?acc=GSE9893","GSE9893")</f>
        <v>GSE9893</v>
      </c>
      <c r="D12177" s="1" t="s">
        <v>492</v>
      </c>
      <c r="E12177" t="s">
        <v>30</v>
      </c>
      <c r="F12177" s="1">
        <v>1</v>
      </c>
      <c r="G12177" s="1" t="s">
        <v>31</v>
      </c>
      <c r="H12177" s="4" t="str">
        <f>HYPERLINK("https://www.ncbi.nlm.nih.gov/geo/query/acc.cgi?acc=GSM249296","GSM249296")</f>
        <v>GSM249296</v>
      </c>
      <c r="I12177" t="s">
        <v>17</v>
      </c>
      <c r="J12177" t="s">
        <v>18</v>
      </c>
      <c r="K12177" t="s">
        <v>19</v>
      </c>
      <c r="L12177" t="s">
        <v>20</v>
      </c>
      <c r="M12177" t="s">
        <v>51</v>
      </c>
      <c r="N12177" t="s">
        <v>29</v>
      </c>
    </row>
    <row r="12178" spans="1:14">
      <c r="A12178" s="4" t="str">
        <f t="shared" si="1057"/>
        <v>EXP00389</v>
      </c>
      <c r="B12178" s="4" t="str">
        <f t="shared" si="1058"/>
        <v>18347175</v>
      </c>
      <c r="C12178" s="4" t="str">
        <f t="shared" si="1059"/>
        <v>GSE9893</v>
      </c>
      <c r="D12178" s="1" t="s">
        <v>492</v>
      </c>
      <c r="E12178" t="s">
        <v>30</v>
      </c>
      <c r="F12178" s="1">
        <v>1</v>
      </c>
      <c r="G12178" s="1" t="s">
        <v>31</v>
      </c>
      <c r="H12178" s="4" t="str">
        <f>HYPERLINK("https://www.ncbi.nlm.nih.gov/geo/query/acc.cgi?acc=GSM249527","GSM249527")</f>
        <v>GSM249527</v>
      </c>
      <c r="I12178" t="s">
        <v>17</v>
      </c>
      <c r="J12178" t="s">
        <v>18</v>
      </c>
      <c r="K12178" t="s">
        <v>19</v>
      </c>
      <c r="L12178" t="s">
        <v>20</v>
      </c>
      <c r="M12178" t="s">
        <v>51</v>
      </c>
      <c r="N12178" t="s">
        <v>29</v>
      </c>
    </row>
    <row r="12179" spans="1:14">
      <c r="A12179" s="4" t="str">
        <f t="shared" si="1057"/>
        <v>EXP00389</v>
      </c>
      <c r="B12179" s="4" t="str">
        <f t="shared" si="1058"/>
        <v>18347175</v>
      </c>
      <c r="C12179" s="4" t="str">
        <f t="shared" si="1059"/>
        <v>GSE9893</v>
      </c>
      <c r="D12179" s="1" t="s">
        <v>492</v>
      </c>
      <c r="E12179" t="s">
        <v>30</v>
      </c>
      <c r="F12179" s="1">
        <v>1</v>
      </c>
      <c r="G12179" s="1" t="s">
        <v>31</v>
      </c>
      <c r="H12179" s="4" t="str">
        <f>HYPERLINK("https://www.ncbi.nlm.nih.gov/geo/query/acc.cgi?acc=GSM249529","GSM249529")</f>
        <v>GSM249529</v>
      </c>
      <c r="I12179" t="s">
        <v>17</v>
      </c>
      <c r="J12179" t="s">
        <v>18</v>
      </c>
      <c r="K12179" t="s">
        <v>19</v>
      </c>
      <c r="L12179" t="s">
        <v>20</v>
      </c>
      <c r="M12179" t="s">
        <v>51</v>
      </c>
      <c r="N12179" t="s">
        <v>29</v>
      </c>
    </row>
    <row r="12180" spans="1:14">
      <c r="A12180" s="4" t="str">
        <f t="shared" si="1057"/>
        <v>EXP00389</v>
      </c>
      <c r="B12180" s="4" t="str">
        <f t="shared" si="1058"/>
        <v>18347175</v>
      </c>
      <c r="C12180" s="4" t="str">
        <f t="shared" si="1059"/>
        <v>GSE9893</v>
      </c>
      <c r="D12180" s="1" t="s">
        <v>492</v>
      </c>
      <c r="E12180" t="s">
        <v>30</v>
      </c>
      <c r="F12180" s="1">
        <v>1</v>
      </c>
      <c r="G12180" s="1" t="s">
        <v>31</v>
      </c>
      <c r="H12180" s="4" t="str">
        <f>HYPERLINK("https://www.ncbi.nlm.nih.gov/geo/query/acc.cgi?acc=GSM249531","GSM249531")</f>
        <v>GSM249531</v>
      </c>
      <c r="I12180" t="s">
        <v>17</v>
      </c>
      <c r="J12180" t="s">
        <v>18</v>
      </c>
      <c r="K12180" t="s">
        <v>19</v>
      </c>
      <c r="L12180" t="s">
        <v>20</v>
      </c>
      <c r="M12180" t="s">
        <v>51</v>
      </c>
      <c r="N12180" t="s">
        <v>29</v>
      </c>
    </row>
    <row r="12181" spans="1:14">
      <c r="A12181" s="4" t="str">
        <f t="shared" si="1057"/>
        <v>EXP00389</v>
      </c>
      <c r="B12181" s="4" t="str">
        <f t="shared" si="1058"/>
        <v>18347175</v>
      </c>
      <c r="C12181" s="4" t="str">
        <f t="shared" si="1059"/>
        <v>GSE9893</v>
      </c>
      <c r="D12181" s="1" t="s">
        <v>492</v>
      </c>
      <c r="E12181" t="s">
        <v>30</v>
      </c>
      <c r="F12181" s="1">
        <v>1</v>
      </c>
      <c r="G12181" s="1" t="s">
        <v>31</v>
      </c>
      <c r="H12181" s="4" t="str">
        <f>HYPERLINK("https://www.ncbi.nlm.nih.gov/geo/query/acc.cgi?acc=GSM249532","GSM249532")</f>
        <v>GSM249532</v>
      </c>
      <c r="I12181" t="s">
        <v>17</v>
      </c>
      <c r="J12181" t="s">
        <v>18</v>
      </c>
      <c r="K12181" t="s">
        <v>19</v>
      </c>
      <c r="L12181" t="s">
        <v>20</v>
      </c>
      <c r="M12181" t="s">
        <v>51</v>
      </c>
      <c r="N12181" t="s">
        <v>29</v>
      </c>
    </row>
    <row r="12182" spans="1:14">
      <c r="A12182" s="4" t="str">
        <f t="shared" si="1057"/>
        <v>EXP00389</v>
      </c>
      <c r="B12182" s="4" t="str">
        <f t="shared" si="1058"/>
        <v>18347175</v>
      </c>
      <c r="C12182" s="4" t="str">
        <f t="shared" si="1059"/>
        <v>GSE9893</v>
      </c>
      <c r="D12182" s="1" t="s">
        <v>492</v>
      </c>
      <c r="E12182" t="s">
        <v>30</v>
      </c>
      <c r="F12182" s="1">
        <v>1</v>
      </c>
      <c r="G12182" s="1" t="s">
        <v>31</v>
      </c>
      <c r="H12182" s="4" t="str">
        <f>HYPERLINK("https://www.ncbi.nlm.nih.gov/geo/query/acc.cgi?acc=GSM249536","GSM249536")</f>
        <v>GSM249536</v>
      </c>
      <c r="I12182" t="s">
        <v>17</v>
      </c>
      <c r="J12182" t="s">
        <v>18</v>
      </c>
      <c r="K12182" t="s">
        <v>19</v>
      </c>
      <c r="L12182" t="s">
        <v>20</v>
      </c>
      <c r="M12182" t="s">
        <v>51</v>
      </c>
      <c r="N12182" t="s">
        <v>29</v>
      </c>
    </row>
    <row r="12183" spans="1:14">
      <c r="A12183" s="4" t="str">
        <f t="shared" si="1057"/>
        <v>EXP00389</v>
      </c>
      <c r="B12183" s="4" t="str">
        <f t="shared" si="1058"/>
        <v>18347175</v>
      </c>
      <c r="C12183" s="4" t="str">
        <f t="shared" si="1059"/>
        <v>GSE9893</v>
      </c>
      <c r="D12183" s="1" t="s">
        <v>492</v>
      </c>
      <c r="E12183" t="s">
        <v>30</v>
      </c>
      <c r="F12183" s="1">
        <v>1</v>
      </c>
      <c r="G12183" s="1" t="s">
        <v>31</v>
      </c>
      <c r="H12183" s="4" t="str">
        <f>HYPERLINK("https://www.ncbi.nlm.nih.gov/geo/query/acc.cgi?acc=GSM249537","GSM249537")</f>
        <v>GSM249537</v>
      </c>
      <c r="I12183" t="s">
        <v>17</v>
      </c>
      <c r="J12183" t="s">
        <v>18</v>
      </c>
      <c r="K12183" t="s">
        <v>19</v>
      </c>
      <c r="L12183" t="s">
        <v>20</v>
      </c>
      <c r="M12183" t="s">
        <v>51</v>
      </c>
      <c r="N12183" t="s">
        <v>29</v>
      </c>
    </row>
    <row r="12184" spans="1:14">
      <c r="A12184" s="4" t="str">
        <f t="shared" si="1057"/>
        <v>EXP00389</v>
      </c>
      <c r="B12184" s="4" t="str">
        <f t="shared" si="1058"/>
        <v>18347175</v>
      </c>
      <c r="C12184" s="4" t="str">
        <f t="shared" si="1059"/>
        <v>GSE9893</v>
      </c>
      <c r="D12184" s="1" t="s">
        <v>492</v>
      </c>
      <c r="E12184" t="s">
        <v>30</v>
      </c>
      <c r="F12184" s="1">
        <v>1</v>
      </c>
      <c r="G12184" s="1" t="s">
        <v>31</v>
      </c>
      <c r="H12184" s="4" t="str">
        <f>HYPERLINK("https://www.ncbi.nlm.nih.gov/geo/query/acc.cgi?acc=GSM249538","GSM249538")</f>
        <v>GSM249538</v>
      </c>
      <c r="I12184" t="s">
        <v>17</v>
      </c>
      <c r="J12184" t="s">
        <v>18</v>
      </c>
      <c r="K12184" t="s">
        <v>19</v>
      </c>
      <c r="L12184" t="s">
        <v>20</v>
      </c>
      <c r="M12184" t="s">
        <v>51</v>
      </c>
      <c r="N12184" t="s">
        <v>29</v>
      </c>
    </row>
    <row r="12185" spans="1:14">
      <c r="A12185" s="4" t="str">
        <f t="shared" si="1057"/>
        <v>EXP00389</v>
      </c>
      <c r="B12185" s="4" t="str">
        <f t="shared" si="1058"/>
        <v>18347175</v>
      </c>
      <c r="C12185" s="4" t="str">
        <f t="shared" si="1059"/>
        <v>GSE9893</v>
      </c>
      <c r="D12185" s="1" t="s">
        <v>492</v>
      </c>
      <c r="E12185" t="s">
        <v>30</v>
      </c>
      <c r="F12185" s="1">
        <v>1</v>
      </c>
      <c r="G12185" s="1" t="s">
        <v>31</v>
      </c>
      <c r="H12185" s="4" t="str">
        <f>HYPERLINK("https://www.ncbi.nlm.nih.gov/geo/query/acc.cgi?acc=GSM249540","GSM249540")</f>
        <v>GSM249540</v>
      </c>
      <c r="I12185" t="s">
        <v>17</v>
      </c>
      <c r="J12185" t="s">
        <v>18</v>
      </c>
      <c r="K12185" t="s">
        <v>19</v>
      </c>
      <c r="L12185" t="s">
        <v>20</v>
      </c>
      <c r="M12185" t="s">
        <v>51</v>
      </c>
      <c r="N12185" t="s">
        <v>29</v>
      </c>
    </row>
    <row r="12186" spans="1:14">
      <c r="A12186" s="4" t="str">
        <f t="shared" si="1057"/>
        <v>EXP00389</v>
      </c>
      <c r="B12186" s="4" t="str">
        <f t="shared" si="1058"/>
        <v>18347175</v>
      </c>
      <c r="C12186" s="4" t="str">
        <f t="shared" si="1059"/>
        <v>GSE9893</v>
      </c>
      <c r="D12186" s="1" t="s">
        <v>492</v>
      </c>
      <c r="E12186" t="s">
        <v>30</v>
      </c>
      <c r="F12186" s="1">
        <v>1</v>
      </c>
      <c r="G12186" s="1" t="s">
        <v>31</v>
      </c>
      <c r="H12186" s="4" t="str">
        <f>HYPERLINK("https://www.ncbi.nlm.nih.gov/geo/query/acc.cgi?acc=GSM249541","GSM249541")</f>
        <v>GSM249541</v>
      </c>
      <c r="I12186" t="s">
        <v>17</v>
      </c>
      <c r="J12186" t="s">
        <v>18</v>
      </c>
      <c r="K12186" t="s">
        <v>19</v>
      </c>
      <c r="L12186" t="s">
        <v>20</v>
      </c>
      <c r="M12186" t="s">
        <v>51</v>
      </c>
      <c r="N12186" t="s">
        <v>29</v>
      </c>
    </row>
    <row r="12187" spans="1:14">
      <c r="A12187" s="4" t="str">
        <f t="shared" si="1057"/>
        <v>EXP00389</v>
      </c>
      <c r="B12187" s="4" t="str">
        <f t="shared" si="1058"/>
        <v>18347175</v>
      </c>
      <c r="C12187" s="4" t="str">
        <f t="shared" si="1059"/>
        <v>GSE9893</v>
      </c>
      <c r="D12187" s="1" t="s">
        <v>492</v>
      </c>
      <c r="E12187" t="s">
        <v>30</v>
      </c>
      <c r="F12187" s="1">
        <v>1</v>
      </c>
      <c r="G12187" s="1" t="s">
        <v>31</v>
      </c>
      <c r="H12187" s="4" t="str">
        <f>HYPERLINK("https://www.ncbi.nlm.nih.gov/geo/query/acc.cgi?acc=GSM249542","GSM249542")</f>
        <v>GSM249542</v>
      </c>
      <c r="I12187" t="s">
        <v>17</v>
      </c>
      <c r="J12187" t="s">
        <v>18</v>
      </c>
      <c r="K12187" t="s">
        <v>19</v>
      </c>
      <c r="L12187" t="s">
        <v>20</v>
      </c>
      <c r="M12187" t="s">
        <v>51</v>
      </c>
      <c r="N12187" t="s">
        <v>29</v>
      </c>
    </row>
    <row r="12188" spans="1:14">
      <c r="A12188" s="4" t="str">
        <f t="shared" si="1057"/>
        <v>EXP00389</v>
      </c>
      <c r="B12188" s="4" t="str">
        <f t="shared" si="1058"/>
        <v>18347175</v>
      </c>
      <c r="C12188" s="4" t="str">
        <f t="shared" si="1059"/>
        <v>GSE9893</v>
      </c>
      <c r="D12188" s="1" t="s">
        <v>492</v>
      </c>
      <c r="E12188" t="s">
        <v>30</v>
      </c>
      <c r="F12188" s="1">
        <v>1</v>
      </c>
      <c r="G12188" s="1" t="s">
        <v>31</v>
      </c>
      <c r="H12188" s="4" t="str">
        <f>HYPERLINK("https://www.ncbi.nlm.nih.gov/geo/query/acc.cgi?acc=GSM249543","GSM249543")</f>
        <v>GSM249543</v>
      </c>
      <c r="I12188" t="s">
        <v>17</v>
      </c>
      <c r="J12188" t="s">
        <v>18</v>
      </c>
      <c r="K12188" t="s">
        <v>19</v>
      </c>
      <c r="L12188" t="s">
        <v>20</v>
      </c>
      <c r="M12188" t="s">
        <v>51</v>
      </c>
      <c r="N12188" t="s">
        <v>29</v>
      </c>
    </row>
    <row r="12189" spans="1:14">
      <c r="A12189" s="4" t="str">
        <f t="shared" si="1057"/>
        <v>EXP00389</v>
      </c>
      <c r="B12189" s="4" t="str">
        <f t="shared" si="1058"/>
        <v>18347175</v>
      </c>
      <c r="C12189" s="4" t="str">
        <f t="shared" si="1059"/>
        <v>GSE9893</v>
      </c>
      <c r="D12189" s="1" t="s">
        <v>492</v>
      </c>
      <c r="E12189" t="s">
        <v>30</v>
      </c>
      <c r="F12189" s="1">
        <v>1</v>
      </c>
      <c r="G12189" s="1" t="s">
        <v>31</v>
      </c>
      <c r="H12189" s="4" t="str">
        <f>HYPERLINK("https://www.ncbi.nlm.nih.gov/geo/query/acc.cgi?acc=GSM249545","GSM249545")</f>
        <v>GSM249545</v>
      </c>
      <c r="I12189" t="s">
        <v>17</v>
      </c>
      <c r="J12189" t="s">
        <v>18</v>
      </c>
      <c r="K12189" t="s">
        <v>19</v>
      </c>
      <c r="L12189" t="s">
        <v>20</v>
      </c>
      <c r="M12189" t="s">
        <v>51</v>
      </c>
      <c r="N12189" t="s">
        <v>29</v>
      </c>
    </row>
    <row r="12190" spans="1:14">
      <c r="A12190" s="4" t="str">
        <f t="shared" si="1057"/>
        <v>EXP00389</v>
      </c>
      <c r="B12190" s="4" t="str">
        <f t="shared" si="1058"/>
        <v>18347175</v>
      </c>
      <c r="C12190" s="4" t="str">
        <f t="shared" si="1059"/>
        <v>GSE9893</v>
      </c>
      <c r="D12190" s="1" t="s">
        <v>492</v>
      </c>
      <c r="E12190" t="s">
        <v>30</v>
      </c>
      <c r="F12190" s="1">
        <v>1</v>
      </c>
      <c r="G12190" s="1" t="s">
        <v>31</v>
      </c>
      <c r="H12190" s="4" t="str">
        <f>HYPERLINK("https://www.ncbi.nlm.nih.gov/geo/query/acc.cgi?acc=GSM249546","GSM249546")</f>
        <v>GSM249546</v>
      </c>
      <c r="I12190" t="s">
        <v>17</v>
      </c>
      <c r="J12190" t="s">
        <v>18</v>
      </c>
      <c r="K12190" t="s">
        <v>19</v>
      </c>
      <c r="L12190" t="s">
        <v>20</v>
      </c>
      <c r="M12190" t="s">
        <v>51</v>
      </c>
      <c r="N12190" t="s">
        <v>29</v>
      </c>
    </row>
    <row r="12191" spans="1:14">
      <c r="A12191" s="4" t="str">
        <f t="shared" si="1057"/>
        <v>EXP00389</v>
      </c>
      <c r="B12191" s="4" t="str">
        <f t="shared" si="1058"/>
        <v>18347175</v>
      </c>
      <c r="C12191" s="4" t="str">
        <f t="shared" si="1059"/>
        <v>GSE9893</v>
      </c>
      <c r="D12191" s="1" t="s">
        <v>492</v>
      </c>
      <c r="E12191" t="s">
        <v>30</v>
      </c>
      <c r="F12191" s="1">
        <v>1</v>
      </c>
      <c r="G12191" s="1" t="s">
        <v>31</v>
      </c>
      <c r="H12191" s="4" t="str">
        <f>HYPERLINK("https://www.ncbi.nlm.nih.gov/geo/query/acc.cgi?acc=GSM249547","GSM249547")</f>
        <v>GSM249547</v>
      </c>
      <c r="I12191" t="s">
        <v>17</v>
      </c>
      <c r="J12191" t="s">
        <v>18</v>
      </c>
      <c r="K12191" t="s">
        <v>19</v>
      </c>
      <c r="L12191" t="s">
        <v>20</v>
      </c>
      <c r="M12191" t="s">
        <v>51</v>
      </c>
      <c r="N12191" t="s">
        <v>29</v>
      </c>
    </row>
    <row r="12192" spans="1:14">
      <c r="A12192" s="4" t="str">
        <f t="shared" si="1057"/>
        <v>EXP00389</v>
      </c>
      <c r="B12192" s="4" t="str">
        <f t="shared" si="1058"/>
        <v>18347175</v>
      </c>
      <c r="C12192" s="4" t="str">
        <f t="shared" si="1059"/>
        <v>GSE9893</v>
      </c>
      <c r="D12192" s="1" t="s">
        <v>492</v>
      </c>
      <c r="E12192" t="s">
        <v>30</v>
      </c>
      <c r="F12192" s="1">
        <v>1</v>
      </c>
      <c r="G12192" s="1" t="s">
        <v>31</v>
      </c>
      <c r="H12192" s="4" t="str">
        <f>HYPERLINK("https://www.ncbi.nlm.nih.gov/geo/query/acc.cgi?acc=GSM249548","GSM249548")</f>
        <v>GSM249548</v>
      </c>
      <c r="I12192" t="s">
        <v>17</v>
      </c>
      <c r="J12192" t="s">
        <v>18</v>
      </c>
      <c r="K12192" t="s">
        <v>19</v>
      </c>
      <c r="L12192" t="s">
        <v>20</v>
      </c>
      <c r="M12192" t="s">
        <v>51</v>
      </c>
      <c r="N12192" t="s">
        <v>29</v>
      </c>
    </row>
    <row r="12193" spans="1:14">
      <c r="A12193" s="4" t="str">
        <f t="shared" si="1057"/>
        <v>EXP00389</v>
      </c>
      <c r="B12193" s="4" t="str">
        <f t="shared" si="1058"/>
        <v>18347175</v>
      </c>
      <c r="C12193" s="4" t="str">
        <f t="shared" si="1059"/>
        <v>GSE9893</v>
      </c>
      <c r="D12193" s="1" t="s">
        <v>492</v>
      </c>
      <c r="E12193" t="s">
        <v>30</v>
      </c>
      <c r="F12193" s="1">
        <v>1</v>
      </c>
      <c r="G12193" s="1" t="s">
        <v>31</v>
      </c>
      <c r="H12193" s="4" t="str">
        <f>HYPERLINK("https://www.ncbi.nlm.nih.gov/geo/query/acc.cgi?acc=GSM249549","GSM249549")</f>
        <v>GSM249549</v>
      </c>
      <c r="I12193" t="s">
        <v>17</v>
      </c>
      <c r="J12193" t="s">
        <v>18</v>
      </c>
      <c r="K12193" t="s">
        <v>19</v>
      </c>
      <c r="L12193" t="s">
        <v>20</v>
      </c>
      <c r="M12193" t="s">
        <v>51</v>
      </c>
      <c r="N12193" t="s">
        <v>29</v>
      </c>
    </row>
    <row r="12194" spans="1:14">
      <c r="A12194" s="4" t="str">
        <f t="shared" si="1057"/>
        <v>EXP00389</v>
      </c>
      <c r="B12194" s="4" t="str">
        <f t="shared" si="1058"/>
        <v>18347175</v>
      </c>
      <c r="C12194" s="4" t="str">
        <f t="shared" si="1059"/>
        <v>GSE9893</v>
      </c>
      <c r="D12194" s="1" t="s">
        <v>492</v>
      </c>
      <c r="E12194" t="s">
        <v>30</v>
      </c>
      <c r="F12194" s="1">
        <v>1</v>
      </c>
      <c r="G12194" s="1" t="s">
        <v>31</v>
      </c>
      <c r="H12194" s="4" t="str">
        <f>HYPERLINK("https://www.ncbi.nlm.nih.gov/geo/query/acc.cgi?acc=GSM249551","GSM249551")</f>
        <v>GSM249551</v>
      </c>
      <c r="I12194" t="s">
        <v>17</v>
      </c>
      <c r="J12194" t="s">
        <v>18</v>
      </c>
      <c r="K12194" t="s">
        <v>19</v>
      </c>
      <c r="L12194" t="s">
        <v>20</v>
      </c>
      <c r="M12194" t="s">
        <v>51</v>
      </c>
      <c r="N12194" t="s">
        <v>29</v>
      </c>
    </row>
    <row r="12195" spans="1:14">
      <c r="A12195" s="4" t="str">
        <f t="shared" si="1057"/>
        <v>EXP00389</v>
      </c>
      <c r="B12195" s="4" t="str">
        <f t="shared" si="1058"/>
        <v>18347175</v>
      </c>
      <c r="C12195" s="4" t="str">
        <f t="shared" si="1059"/>
        <v>GSE9893</v>
      </c>
      <c r="D12195" s="1" t="s">
        <v>492</v>
      </c>
      <c r="E12195" t="s">
        <v>30</v>
      </c>
      <c r="F12195" s="1">
        <v>1</v>
      </c>
      <c r="G12195" s="1" t="s">
        <v>31</v>
      </c>
      <c r="H12195" s="4" t="str">
        <f>HYPERLINK("https://www.ncbi.nlm.nih.gov/geo/query/acc.cgi?acc=GSM249555","GSM249555")</f>
        <v>GSM249555</v>
      </c>
      <c r="I12195" t="s">
        <v>17</v>
      </c>
      <c r="J12195" t="s">
        <v>18</v>
      </c>
      <c r="K12195" t="s">
        <v>19</v>
      </c>
      <c r="L12195" t="s">
        <v>20</v>
      </c>
      <c r="M12195" t="s">
        <v>51</v>
      </c>
      <c r="N12195" t="s">
        <v>29</v>
      </c>
    </row>
    <row r="12196" spans="1:14">
      <c r="A12196" s="4" t="str">
        <f t="shared" si="1057"/>
        <v>EXP00389</v>
      </c>
      <c r="B12196" s="4" t="str">
        <f t="shared" si="1058"/>
        <v>18347175</v>
      </c>
      <c r="C12196" s="4" t="str">
        <f t="shared" si="1059"/>
        <v>GSE9893</v>
      </c>
      <c r="D12196" s="1" t="s">
        <v>492</v>
      </c>
      <c r="E12196" t="s">
        <v>30</v>
      </c>
      <c r="F12196" s="1">
        <v>1</v>
      </c>
      <c r="G12196" s="1" t="s">
        <v>31</v>
      </c>
      <c r="H12196" s="4" t="str">
        <f>HYPERLINK("https://www.ncbi.nlm.nih.gov/geo/query/acc.cgi?acc=GSM249557","GSM249557")</f>
        <v>GSM249557</v>
      </c>
      <c r="I12196" t="s">
        <v>17</v>
      </c>
      <c r="J12196" t="s">
        <v>18</v>
      </c>
      <c r="K12196" t="s">
        <v>19</v>
      </c>
      <c r="L12196" t="s">
        <v>20</v>
      </c>
      <c r="M12196" t="s">
        <v>51</v>
      </c>
      <c r="N12196" t="s">
        <v>29</v>
      </c>
    </row>
    <row r="12197" spans="1:14">
      <c r="A12197" s="4" t="str">
        <f t="shared" si="1057"/>
        <v>EXP00389</v>
      </c>
      <c r="B12197" s="4" t="str">
        <f t="shared" si="1058"/>
        <v>18347175</v>
      </c>
      <c r="C12197" s="4" t="str">
        <f t="shared" si="1059"/>
        <v>GSE9893</v>
      </c>
      <c r="D12197" s="1" t="s">
        <v>492</v>
      </c>
      <c r="E12197" t="s">
        <v>30</v>
      </c>
      <c r="F12197" s="1">
        <v>1</v>
      </c>
      <c r="G12197" s="1" t="s">
        <v>31</v>
      </c>
      <c r="H12197" s="4" t="str">
        <f>HYPERLINK("https://www.ncbi.nlm.nih.gov/geo/query/acc.cgi?acc=GSM249558","GSM249558")</f>
        <v>GSM249558</v>
      </c>
      <c r="I12197" t="s">
        <v>17</v>
      </c>
      <c r="J12197" t="s">
        <v>18</v>
      </c>
      <c r="K12197" t="s">
        <v>19</v>
      </c>
      <c r="L12197" t="s">
        <v>20</v>
      </c>
      <c r="M12197" t="s">
        <v>51</v>
      </c>
      <c r="N12197" t="s">
        <v>29</v>
      </c>
    </row>
    <row r="12198" spans="1:14">
      <c r="A12198" s="4" t="str">
        <f t="shared" si="1057"/>
        <v>EXP00389</v>
      </c>
      <c r="B12198" s="4" t="str">
        <f t="shared" si="1058"/>
        <v>18347175</v>
      </c>
      <c r="C12198" s="4" t="str">
        <f t="shared" si="1059"/>
        <v>GSE9893</v>
      </c>
      <c r="D12198" s="1" t="s">
        <v>492</v>
      </c>
      <c r="E12198" t="s">
        <v>30</v>
      </c>
      <c r="F12198" s="1">
        <v>1</v>
      </c>
      <c r="G12198" s="1" t="s">
        <v>31</v>
      </c>
      <c r="H12198" s="4" t="str">
        <f>HYPERLINK("https://www.ncbi.nlm.nih.gov/geo/query/acc.cgi?acc=GSM249559","GSM249559")</f>
        <v>GSM249559</v>
      </c>
      <c r="I12198" t="s">
        <v>17</v>
      </c>
      <c r="J12198" t="s">
        <v>18</v>
      </c>
      <c r="K12198" t="s">
        <v>19</v>
      </c>
      <c r="L12198" t="s">
        <v>20</v>
      </c>
      <c r="M12198" t="s">
        <v>51</v>
      </c>
      <c r="N12198" t="s">
        <v>29</v>
      </c>
    </row>
    <row r="12199" spans="1:14">
      <c r="A12199" s="4" t="str">
        <f t="shared" si="1057"/>
        <v>EXP00389</v>
      </c>
      <c r="B12199" s="4" t="str">
        <f t="shared" si="1058"/>
        <v>18347175</v>
      </c>
      <c r="C12199" s="4" t="str">
        <f t="shared" si="1059"/>
        <v>GSE9893</v>
      </c>
      <c r="D12199" s="1" t="s">
        <v>492</v>
      </c>
      <c r="E12199" t="s">
        <v>30</v>
      </c>
      <c r="F12199" s="1">
        <v>1</v>
      </c>
      <c r="G12199" s="1" t="s">
        <v>31</v>
      </c>
      <c r="H12199" s="4" t="str">
        <f>HYPERLINK("https://www.ncbi.nlm.nih.gov/geo/query/acc.cgi?acc=GSM249560","GSM249560")</f>
        <v>GSM249560</v>
      </c>
      <c r="I12199" t="s">
        <v>17</v>
      </c>
      <c r="J12199" t="s">
        <v>18</v>
      </c>
      <c r="K12199" t="s">
        <v>19</v>
      </c>
      <c r="L12199" t="s">
        <v>20</v>
      </c>
      <c r="M12199" t="s">
        <v>51</v>
      </c>
      <c r="N12199" t="s">
        <v>29</v>
      </c>
    </row>
    <row r="12200" spans="1:14">
      <c r="A12200" s="4" t="str">
        <f t="shared" si="1057"/>
        <v>EXP00389</v>
      </c>
      <c r="B12200" s="4" t="str">
        <f t="shared" si="1058"/>
        <v>18347175</v>
      </c>
      <c r="C12200" s="4" t="str">
        <f t="shared" si="1059"/>
        <v>GSE9893</v>
      </c>
      <c r="D12200" s="1" t="s">
        <v>492</v>
      </c>
      <c r="E12200" t="s">
        <v>30</v>
      </c>
      <c r="F12200" s="1">
        <v>1</v>
      </c>
      <c r="G12200" s="1" t="s">
        <v>31</v>
      </c>
      <c r="H12200" s="4" t="str">
        <f>HYPERLINK("https://www.ncbi.nlm.nih.gov/geo/query/acc.cgi?acc=GSM249563","GSM249563")</f>
        <v>GSM249563</v>
      </c>
      <c r="I12200" t="s">
        <v>17</v>
      </c>
      <c r="J12200" t="s">
        <v>18</v>
      </c>
      <c r="K12200" t="s">
        <v>19</v>
      </c>
      <c r="L12200" t="s">
        <v>20</v>
      </c>
      <c r="M12200" t="s">
        <v>51</v>
      </c>
      <c r="N12200" t="s">
        <v>29</v>
      </c>
    </row>
    <row r="12201" spans="1:14">
      <c r="A12201" s="4" t="str">
        <f t="shared" si="1057"/>
        <v>EXP00389</v>
      </c>
      <c r="B12201" s="4" t="str">
        <f t="shared" si="1058"/>
        <v>18347175</v>
      </c>
      <c r="C12201" s="4" t="str">
        <f t="shared" si="1059"/>
        <v>GSE9893</v>
      </c>
      <c r="D12201" s="1" t="s">
        <v>492</v>
      </c>
      <c r="E12201" t="s">
        <v>30</v>
      </c>
      <c r="F12201" s="1">
        <v>1</v>
      </c>
      <c r="G12201" s="1" t="s">
        <v>31</v>
      </c>
      <c r="H12201" s="4" t="str">
        <f>HYPERLINK("https://www.ncbi.nlm.nih.gov/geo/query/acc.cgi?acc=GSM249564","GSM249564")</f>
        <v>GSM249564</v>
      </c>
      <c r="I12201" t="s">
        <v>17</v>
      </c>
      <c r="J12201" t="s">
        <v>18</v>
      </c>
      <c r="K12201" t="s">
        <v>19</v>
      </c>
      <c r="L12201" t="s">
        <v>20</v>
      </c>
      <c r="M12201" t="s">
        <v>51</v>
      </c>
      <c r="N12201" t="s">
        <v>29</v>
      </c>
    </row>
    <row r="12202" spans="1:14">
      <c r="A12202" s="4" t="str">
        <f t="shared" si="1057"/>
        <v>EXP00389</v>
      </c>
      <c r="B12202" s="4" t="str">
        <f t="shared" si="1058"/>
        <v>18347175</v>
      </c>
      <c r="C12202" s="4" t="str">
        <f t="shared" si="1059"/>
        <v>GSE9893</v>
      </c>
      <c r="D12202" s="1" t="s">
        <v>492</v>
      </c>
      <c r="E12202" t="s">
        <v>30</v>
      </c>
      <c r="F12202" s="1">
        <v>1</v>
      </c>
      <c r="G12202" s="1" t="s">
        <v>31</v>
      </c>
      <c r="H12202" s="4" t="str">
        <f>HYPERLINK("https://www.ncbi.nlm.nih.gov/geo/query/acc.cgi?acc=GSM249566","GSM249566")</f>
        <v>GSM249566</v>
      </c>
      <c r="I12202" t="s">
        <v>17</v>
      </c>
      <c r="J12202" t="s">
        <v>18</v>
      </c>
      <c r="K12202" t="s">
        <v>19</v>
      </c>
      <c r="L12202" t="s">
        <v>20</v>
      </c>
      <c r="M12202" t="s">
        <v>51</v>
      </c>
      <c r="N12202" t="s">
        <v>29</v>
      </c>
    </row>
    <row r="12203" spans="1:14">
      <c r="A12203" s="4" t="str">
        <f t="shared" si="1057"/>
        <v>EXP00389</v>
      </c>
      <c r="B12203" s="4" t="str">
        <f t="shared" si="1058"/>
        <v>18347175</v>
      </c>
      <c r="C12203" s="4" t="str">
        <f t="shared" si="1059"/>
        <v>GSE9893</v>
      </c>
      <c r="D12203" s="1" t="s">
        <v>492</v>
      </c>
      <c r="E12203" t="s">
        <v>30</v>
      </c>
      <c r="F12203" s="1">
        <v>1</v>
      </c>
      <c r="G12203" s="1" t="s">
        <v>31</v>
      </c>
      <c r="H12203" s="4" t="str">
        <f>HYPERLINK("https://www.ncbi.nlm.nih.gov/geo/query/acc.cgi?acc=GSM249596","GSM249596")</f>
        <v>GSM249596</v>
      </c>
      <c r="I12203" t="s">
        <v>17</v>
      </c>
      <c r="J12203" t="s">
        <v>18</v>
      </c>
      <c r="K12203" t="s">
        <v>19</v>
      </c>
      <c r="L12203" t="s">
        <v>20</v>
      </c>
      <c r="M12203" t="s">
        <v>51</v>
      </c>
      <c r="N12203" t="s">
        <v>29</v>
      </c>
    </row>
    <row r="12204" spans="1:14">
      <c r="A12204" s="4" t="str">
        <f t="shared" si="1057"/>
        <v>EXP00389</v>
      </c>
      <c r="B12204" s="4" t="str">
        <f t="shared" si="1058"/>
        <v>18347175</v>
      </c>
      <c r="C12204" s="4" t="str">
        <f t="shared" si="1059"/>
        <v>GSE9893</v>
      </c>
      <c r="D12204" s="1" t="s">
        <v>492</v>
      </c>
      <c r="E12204" t="s">
        <v>30</v>
      </c>
      <c r="F12204" s="1">
        <v>1</v>
      </c>
      <c r="G12204" s="1" t="s">
        <v>31</v>
      </c>
      <c r="H12204" s="4" t="str">
        <f>HYPERLINK("https://www.ncbi.nlm.nih.gov/geo/query/acc.cgi?acc=GSM249597","GSM249597")</f>
        <v>GSM249597</v>
      </c>
      <c r="I12204" t="s">
        <v>17</v>
      </c>
      <c r="J12204" t="s">
        <v>18</v>
      </c>
      <c r="K12204" t="s">
        <v>19</v>
      </c>
      <c r="L12204" t="s">
        <v>20</v>
      </c>
      <c r="M12204" t="s">
        <v>51</v>
      </c>
      <c r="N12204" t="s">
        <v>29</v>
      </c>
    </row>
    <row r="12205" spans="1:14">
      <c r="A12205" s="4" t="str">
        <f t="shared" si="1057"/>
        <v>EXP00389</v>
      </c>
      <c r="B12205" s="4" t="str">
        <f t="shared" si="1058"/>
        <v>18347175</v>
      </c>
      <c r="C12205" s="4" t="str">
        <f t="shared" si="1059"/>
        <v>GSE9893</v>
      </c>
      <c r="D12205" s="1" t="s">
        <v>492</v>
      </c>
      <c r="E12205" t="s">
        <v>30</v>
      </c>
      <c r="F12205" s="1">
        <v>1</v>
      </c>
      <c r="G12205" s="1" t="s">
        <v>31</v>
      </c>
      <c r="H12205" s="4" t="str">
        <f>HYPERLINK("https://www.ncbi.nlm.nih.gov/geo/query/acc.cgi?acc=GSM249598","GSM249598")</f>
        <v>GSM249598</v>
      </c>
      <c r="I12205" t="s">
        <v>17</v>
      </c>
      <c r="J12205" t="s">
        <v>18</v>
      </c>
      <c r="K12205" t="s">
        <v>19</v>
      </c>
      <c r="L12205" t="s">
        <v>20</v>
      </c>
      <c r="M12205" t="s">
        <v>51</v>
      </c>
      <c r="N12205" t="s">
        <v>29</v>
      </c>
    </row>
    <row r="12206" spans="1:14">
      <c r="A12206" s="4" t="str">
        <f t="shared" si="1057"/>
        <v>EXP00389</v>
      </c>
      <c r="B12206" s="4" t="str">
        <f t="shared" si="1058"/>
        <v>18347175</v>
      </c>
      <c r="C12206" s="4" t="str">
        <f t="shared" si="1059"/>
        <v>GSE9893</v>
      </c>
      <c r="D12206" s="1" t="s">
        <v>492</v>
      </c>
      <c r="E12206" t="s">
        <v>30</v>
      </c>
      <c r="F12206" s="1">
        <v>1</v>
      </c>
      <c r="G12206" s="1" t="s">
        <v>31</v>
      </c>
      <c r="H12206" s="4" t="str">
        <f>HYPERLINK("https://www.ncbi.nlm.nih.gov/geo/query/acc.cgi?acc=GSM249599","GSM249599")</f>
        <v>GSM249599</v>
      </c>
      <c r="I12206" t="s">
        <v>17</v>
      </c>
      <c r="J12206" t="s">
        <v>18</v>
      </c>
      <c r="K12206" t="s">
        <v>19</v>
      </c>
      <c r="L12206" t="s">
        <v>20</v>
      </c>
      <c r="M12206" t="s">
        <v>51</v>
      </c>
      <c r="N12206" t="s">
        <v>29</v>
      </c>
    </row>
    <row r="12207" spans="1:14">
      <c r="A12207" s="4" t="str">
        <f t="shared" si="1057"/>
        <v>EXP00389</v>
      </c>
      <c r="B12207" s="4" t="str">
        <f t="shared" si="1058"/>
        <v>18347175</v>
      </c>
      <c r="C12207" s="4" t="str">
        <f t="shared" si="1059"/>
        <v>GSE9893</v>
      </c>
      <c r="D12207" s="1" t="s">
        <v>492</v>
      </c>
      <c r="E12207" t="s">
        <v>30</v>
      </c>
      <c r="F12207" s="1">
        <v>1</v>
      </c>
      <c r="G12207" s="1" t="s">
        <v>31</v>
      </c>
      <c r="H12207" s="4" t="str">
        <f>HYPERLINK("https://www.ncbi.nlm.nih.gov/geo/query/acc.cgi?acc=GSM249600","GSM249600")</f>
        <v>GSM249600</v>
      </c>
      <c r="I12207" t="s">
        <v>17</v>
      </c>
      <c r="J12207" t="s">
        <v>18</v>
      </c>
      <c r="K12207" t="s">
        <v>19</v>
      </c>
      <c r="L12207" t="s">
        <v>20</v>
      </c>
      <c r="M12207" t="s">
        <v>51</v>
      </c>
      <c r="N12207" t="s">
        <v>29</v>
      </c>
    </row>
    <row r="12208" spans="1:14">
      <c r="A12208" s="4" t="str">
        <f t="shared" si="1057"/>
        <v>EXP00389</v>
      </c>
      <c r="B12208" s="4" t="str">
        <f t="shared" si="1058"/>
        <v>18347175</v>
      </c>
      <c r="C12208" s="4" t="str">
        <f t="shared" si="1059"/>
        <v>GSE9893</v>
      </c>
      <c r="D12208" s="1" t="s">
        <v>492</v>
      </c>
      <c r="E12208" t="s">
        <v>30</v>
      </c>
      <c r="F12208" s="1">
        <v>1</v>
      </c>
      <c r="G12208" s="1" t="s">
        <v>31</v>
      </c>
      <c r="H12208" s="4" t="str">
        <f>HYPERLINK("https://www.ncbi.nlm.nih.gov/geo/query/acc.cgi?acc=GSM249601","GSM249601")</f>
        <v>GSM249601</v>
      </c>
      <c r="I12208" t="s">
        <v>17</v>
      </c>
      <c r="J12208" t="s">
        <v>18</v>
      </c>
      <c r="K12208" t="s">
        <v>19</v>
      </c>
      <c r="L12208" t="s">
        <v>20</v>
      </c>
      <c r="M12208" t="s">
        <v>51</v>
      </c>
      <c r="N12208" t="s">
        <v>29</v>
      </c>
    </row>
    <row r="12209" spans="1:14">
      <c r="A12209" s="4" t="str">
        <f t="shared" ref="A12209:A12240" si="1060">HYPERLINK("http://hcmdb.i-sanger.com/experiment/details/experiment_id/EXP00389","EXP00389")</f>
        <v>EXP00389</v>
      </c>
      <c r="B12209" s="4" t="str">
        <f t="shared" ref="B12209:B12240" si="1061">HYPERLINK("https://www.ncbi.nlm.nih.gov/pubmed/18347175","18347175")</f>
        <v>18347175</v>
      </c>
      <c r="C12209" s="4" t="str">
        <f t="shared" ref="C12209:C12240" si="1062">HYPERLINK("https://www.ncbi.nlm.nih.gov/geo/query/acc.cgi?acc=GSE9893","GSE9893")</f>
        <v>GSE9893</v>
      </c>
      <c r="D12209" s="1" t="s">
        <v>492</v>
      </c>
      <c r="E12209" t="s">
        <v>30</v>
      </c>
      <c r="F12209" s="1">
        <v>1</v>
      </c>
      <c r="G12209" s="1" t="s">
        <v>31</v>
      </c>
      <c r="H12209" s="4" t="str">
        <f>HYPERLINK("https://www.ncbi.nlm.nih.gov/geo/query/acc.cgi?acc=GSM249602","GSM249602")</f>
        <v>GSM249602</v>
      </c>
      <c r="I12209" t="s">
        <v>17</v>
      </c>
      <c r="J12209" t="s">
        <v>18</v>
      </c>
      <c r="K12209" t="s">
        <v>19</v>
      </c>
      <c r="L12209" t="s">
        <v>20</v>
      </c>
      <c r="M12209" t="s">
        <v>51</v>
      </c>
      <c r="N12209" t="s">
        <v>29</v>
      </c>
    </row>
    <row r="12210" spans="1:14">
      <c r="A12210" s="4" t="str">
        <f t="shared" si="1060"/>
        <v>EXP00389</v>
      </c>
      <c r="B12210" s="4" t="str">
        <f t="shared" si="1061"/>
        <v>18347175</v>
      </c>
      <c r="C12210" s="4" t="str">
        <f t="shared" si="1062"/>
        <v>GSE9893</v>
      </c>
      <c r="D12210" s="1" t="s">
        <v>492</v>
      </c>
      <c r="E12210" t="s">
        <v>30</v>
      </c>
      <c r="F12210" s="1">
        <v>1</v>
      </c>
      <c r="G12210" s="1" t="s">
        <v>31</v>
      </c>
      <c r="H12210" s="4" t="str">
        <f>HYPERLINK("https://www.ncbi.nlm.nih.gov/geo/query/acc.cgi?acc=GSM249603","GSM249603")</f>
        <v>GSM249603</v>
      </c>
      <c r="I12210" t="s">
        <v>17</v>
      </c>
      <c r="J12210" t="s">
        <v>18</v>
      </c>
      <c r="K12210" t="s">
        <v>19</v>
      </c>
      <c r="L12210" t="s">
        <v>20</v>
      </c>
      <c r="M12210" t="s">
        <v>51</v>
      </c>
      <c r="N12210" t="s">
        <v>29</v>
      </c>
    </row>
    <row r="12211" spans="1:14">
      <c r="A12211" s="4" t="str">
        <f t="shared" si="1060"/>
        <v>EXP00389</v>
      </c>
      <c r="B12211" s="4" t="str">
        <f t="shared" si="1061"/>
        <v>18347175</v>
      </c>
      <c r="C12211" s="4" t="str">
        <f t="shared" si="1062"/>
        <v>GSE9893</v>
      </c>
      <c r="D12211" s="1" t="s">
        <v>492</v>
      </c>
      <c r="E12211" t="s">
        <v>30</v>
      </c>
      <c r="F12211" s="1">
        <v>1</v>
      </c>
      <c r="G12211" s="1" t="s">
        <v>31</v>
      </c>
      <c r="H12211" s="4" t="str">
        <f>HYPERLINK("https://www.ncbi.nlm.nih.gov/geo/query/acc.cgi?acc=GSM249612","GSM249612")</f>
        <v>GSM249612</v>
      </c>
      <c r="I12211" t="s">
        <v>17</v>
      </c>
      <c r="J12211" t="s">
        <v>18</v>
      </c>
      <c r="K12211" t="s">
        <v>19</v>
      </c>
      <c r="L12211" t="s">
        <v>20</v>
      </c>
      <c r="M12211" t="s">
        <v>51</v>
      </c>
      <c r="N12211" t="s">
        <v>29</v>
      </c>
    </row>
    <row r="12212" spans="1:14">
      <c r="A12212" s="4" t="str">
        <f t="shared" si="1060"/>
        <v>EXP00389</v>
      </c>
      <c r="B12212" s="4" t="str">
        <f t="shared" si="1061"/>
        <v>18347175</v>
      </c>
      <c r="C12212" s="4" t="str">
        <f t="shared" si="1062"/>
        <v>GSE9893</v>
      </c>
      <c r="D12212" s="1" t="s">
        <v>492</v>
      </c>
      <c r="E12212" t="s">
        <v>30</v>
      </c>
      <c r="F12212" s="1">
        <v>1</v>
      </c>
      <c r="G12212" s="1" t="s">
        <v>31</v>
      </c>
      <c r="H12212" s="4" t="str">
        <f>HYPERLINK("https://www.ncbi.nlm.nih.gov/geo/query/acc.cgi?acc=GSM249615","GSM249615")</f>
        <v>GSM249615</v>
      </c>
      <c r="I12212" t="s">
        <v>17</v>
      </c>
      <c r="J12212" t="s">
        <v>18</v>
      </c>
      <c r="K12212" t="s">
        <v>19</v>
      </c>
      <c r="L12212" t="s">
        <v>20</v>
      </c>
      <c r="M12212" t="s">
        <v>51</v>
      </c>
      <c r="N12212" t="s">
        <v>29</v>
      </c>
    </row>
    <row r="12213" spans="1:14">
      <c r="A12213" s="4" t="str">
        <f t="shared" si="1060"/>
        <v>EXP00389</v>
      </c>
      <c r="B12213" s="4" t="str">
        <f t="shared" si="1061"/>
        <v>18347175</v>
      </c>
      <c r="C12213" s="4" t="str">
        <f t="shared" si="1062"/>
        <v>GSE9893</v>
      </c>
      <c r="D12213" s="1" t="s">
        <v>492</v>
      </c>
      <c r="E12213" t="s">
        <v>30</v>
      </c>
      <c r="F12213" s="1">
        <v>1</v>
      </c>
      <c r="G12213" s="1" t="s">
        <v>31</v>
      </c>
      <c r="H12213" s="4" t="str">
        <f>HYPERLINK("https://www.ncbi.nlm.nih.gov/geo/query/acc.cgi?acc=GSM249616","GSM249616")</f>
        <v>GSM249616</v>
      </c>
      <c r="I12213" t="s">
        <v>17</v>
      </c>
      <c r="J12213" t="s">
        <v>18</v>
      </c>
      <c r="K12213" t="s">
        <v>19</v>
      </c>
      <c r="L12213" t="s">
        <v>20</v>
      </c>
      <c r="M12213" t="s">
        <v>51</v>
      </c>
      <c r="N12213" t="s">
        <v>29</v>
      </c>
    </row>
    <row r="12214" spans="1:14">
      <c r="A12214" s="4" t="str">
        <f t="shared" si="1060"/>
        <v>EXP00389</v>
      </c>
      <c r="B12214" s="4" t="str">
        <f t="shared" si="1061"/>
        <v>18347175</v>
      </c>
      <c r="C12214" s="4" t="str">
        <f t="shared" si="1062"/>
        <v>GSE9893</v>
      </c>
      <c r="D12214" s="1" t="s">
        <v>492</v>
      </c>
      <c r="E12214" t="s">
        <v>30</v>
      </c>
      <c r="F12214" s="1">
        <v>1</v>
      </c>
      <c r="G12214" s="1" t="s">
        <v>31</v>
      </c>
      <c r="H12214" s="4" t="str">
        <f>HYPERLINK("https://www.ncbi.nlm.nih.gov/geo/query/acc.cgi?acc=GSM249624","GSM249624")</f>
        <v>GSM249624</v>
      </c>
      <c r="I12214" t="s">
        <v>17</v>
      </c>
      <c r="J12214" t="s">
        <v>18</v>
      </c>
      <c r="K12214" t="s">
        <v>19</v>
      </c>
      <c r="L12214" t="s">
        <v>20</v>
      </c>
      <c r="M12214" t="s">
        <v>51</v>
      </c>
      <c r="N12214" t="s">
        <v>29</v>
      </c>
    </row>
    <row r="12215" spans="1:14">
      <c r="A12215" s="4" t="str">
        <f t="shared" si="1060"/>
        <v>EXP00389</v>
      </c>
      <c r="B12215" s="4" t="str">
        <f t="shared" si="1061"/>
        <v>18347175</v>
      </c>
      <c r="C12215" s="4" t="str">
        <f t="shared" si="1062"/>
        <v>GSE9893</v>
      </c>
      <c r="D12215" s="1" t="s">
        <v>492</v>
      </c>
      <c r="E12215" t="s">
        <v>30</v>
      </c>
      <c r="F12215" s="1">
        <v>1</v>
      </c>
      <c r="G12215" s="1" t="s">
        <v>31</v>
      </c>
      <c r="H12215" s="4" t="str">
        <f>HYPERLINK("https://www.ncbi.nlm.nih.gov/geo/query/acc.cgi?acc=GSM249627","GSM249627")</f>
        <v>GSM249627</v>
      </c>
      <c r="I12215" t="s">
        <v>17</v>
      </c>
      <c r="J12215" t="s">
        <v>18</v>
      </c>
      <c r="K12215" t="s">
        <v>19</v>
      </c>
      <c r="L12215" t="s">
        <v>20</v>
      </c>
      <c r="M12215" t="s">
        <v>51</v>
      </c>
      <c r="N12215" t="s">
        <v>29</v>
      </c>
    </row>
    <row r="12216" spans="1:14">
      <c r="A12216" s="4" t="str">
        <f t="shared" si="1060"/>
        <v>EXP00389</v>
      </c>
      <c r="B12216" s="4" t="str">
        <f t="shared" si="1061"/>
        <v>18347175</v>
      </c>
      <c r="C12216" s="4" t="str">
        <f t="shared" si="1062"/>
        <v>GSE9893</v>
      </c>
      <c r="D12216" s="1" t="s">
        <v>492</v>
      </c>
      <c r="E12216" t="s">
        <v>30</v>
      </c>
      <c r="F12216" s="1">
        <v>1</v>
      </c>
      <c r="G12216" s="1" t="s">
        <v>31</v>
      </c>
      <c r="H12216" s="4" t="str">
        <f>HYPERLINK("https://www.ncbi.nlm.nih.gov/geo/query/acc.cgi?acc=GSM249634","GSM249634")</f>
        <v>GSM249634</v>
      </c>
      <c r="I12216" t="s">
        <v>17</v>
      </c>
      <c r="J12216" t="s">
        <v>18</v>
      </c>
      <c r="K12216" t="s">
        <v>19</v>
      </c>
      <c r="L12216" t="s">
        <v>20</v>
      </c>
      <c r="M12216" t="s">
        <v>51</v>
      </c>
      <c r="N12216" t="s">
        <v>29</v>
      </c>
    </row>
    <row r="12217" spans="1:14">
      <c r="A12217" s="4" t="str">
        <f t="shared" si="1060"/>
        <v>EXP00389</v>
      </c>
      <c r="B12217" s="4" t="str">
        <f t="shared" si="1061"/>
        <v>18347175</v>
      </c>
      <c r="C12217" s="4" t="str">
        <f t="shared" si="1062"/>
        <v>GSE9893</v>
      </c>
      <c r="D12217" s="1" t="s">
        <v>492</v>
      </c>
      <c r="E12217" t="s">
        <v>30</v>
      </c>
      <c r="F12217" s="1">
        <v>1</v>
      </c>
      <c r="G12217" s="1" t="s">
        <v>31</v>
      </c>
      <c r="H12217" s="4" t="str">
        <f>HYPERLINK("https://www.ncbi.nlm.nih.gov/geo/query/acc.cgi?acc=GSM249635","GSM249635")</f>
        <v>GSM249635</v>
      </c>
      <c r="I12217" t="s">
        <v>17</v>
      </c>
      <c r="J12217" t="s">
        <v>18</v>
      </c>
      <c r="K12217" t="s">
        <v>19</v>
      </c>
      <c r="L12217" t="s">
        <v>20</v>
      </c>
      <c r="M12217" t="s">
        <v>51</v>
      </c>
      <c r="N12217" t="s">
        <v>29</v>
      </c>
    </row>
    <row r="12218" spans="1:14">
      <c r="A12218" s="4" t="str">
        <f t="shared" si="1060"/>
        <v>EXP00389</v>
      </c>
      <c r="B12218" s="4" t="str">
        <f t="shared" si="1061"/>
        <v>18347175</v>
      </c>
      <c r="C12218" s="4" t="str">
        <f t="shared" si="1062"/>
        <v>GSE9893</v>
      </c>
      <c r="D12218" s="1" t="s">
        <v>492</v>
      </c>
      <c r="E12218" t="s">
        <v>30</v>
      </c>
      <c r="F12218" s="1">
        <v>1</v>
      </c>
      <c r="G12218" s="1" t="s">
        <v>31</v>
      </c>
      <c r="H12218" s="4" t="str">
        <f>HYPERLINK("https://www.ncbi.nlm.nih.gov/geo/query/acc.cgi?acc=GSM249636","GSM249636")</f>
        <v>GSM249636</v>
      </c>
      <c r="I12218" t="s">
        <v>17</v>
      </c>
      <c r="J12218" t="s">
        <v>18</v>
      </c>
      <c r="K12218" t="s">
        <v>19</v>
      </c>
      <c r="L12218" t="s">
        <v>20</v>
      </c>
      <c r="M12218" t="s">
        <v>51</v>
      </c>
      <c r="N12218" t="s">
        <v>29</v>
      </c>
    </row>
    <row r="12219" spans="1:14">
      <c r="A12219" s="4" t="str">
        <f t="shared" si="1060"/>
        <v>EXP00389</v>
      </c>
      <c r="B12219" s="4" t="str">
        <f t="shared" si="1061"/>
        <v>18347175</v>
      </c>
      <c r="C12219" s="4" t="str">
        <f t="shared" si="1062"/>
        <v>GSE9893</v>
      </c>
      <c r="D12219" s="1" t="s">
        <v>492</v>
      </c>
      <c r="E12219" t="s">
        <v>30</v>
      </c>
      <c r="F12219" s="1">
        <v>1</v>
      </c>
      <c r="G12219" s="1" t="s">
        <v>31</v>
      </c>
      <c r="H12219" s="4" t="str">
        <f>HYPERLINK("https://www.ncbi.nlm.nih.gov/geo/query/acc.cgi?acc=GSM249637","GSM249637")</f>
        <v>GSM249637</v>
      </c>
      <c r="I12219" t="s">
        <v>17</v>
      </c>
      <c r="J12219" t="s">
        <v>18</v>
      </c>
      <c r="K12219" t="s">
        <v>19</v>
      </c>
      <c r="L12219" t="s">
        <v>20</v>
      </c>
      <c r="M12219" t="s">
        <v>51</v>
      </c>
      <c r="N12219" t="s">
        <v>29</v>
      </c>
    </row>
    <row r="12220" spans="1:14">
      <c r="A12220" s="4" t="str">
        <f t="shared" si="1060"/>
        <v>EXP00389</v>
      </c>
      <c r="B12220" s="4" t="str">
        <f t="shared" si="1061"/>
        <v>18347175</v>
      </c>
      <c r="C12220" s="4" t="str">
        <f t="shared" si="1062"/>
        <v>GSE9893</v>
      </c>
      <c r="D12220" s="1" t="s">
        <v>492</v>
      </c>
      <c r="E12220" t="s">
        <v>30</v>
      </c>
      <c r="F12220" s="1">
        <v>1</v>
      </c>
      <c r="G12220" s="1" t="s">
        <v>31</v>
      </c>
      <c r="H12220" s="4" t="str">
        <f>HYPERLINK("https://www.ncbi.nlm.nih.gov/geo/query/acc.cgi?acc=GSM249647","GSM249647")</f>
        <v>GSM249647</v>
      </c>
      <c r="I12220" t="s">
        <v>17</v>
      </c>
      <c r="J12220" t="s">
        <v>18</v>
      </c>
      <c r="K12220" t="s">
        <v>19</v>
      </c>
      <c r="L12220" t="s">
        <v>20</v>
      </c>
      <c r="M12220" t="s">
        <v>51</v>
      </c>
      <c r="N12220" t="s">
        <v>29</v>
      </c>
    </row>
    <row r="12221" spans="1:14">
      <c r="A12221" s="4" t="str">
        <f t="shared" si="1060"/>
        <v>EXP00389</v>
      </c>
      <c r="B12221" s="4" t="str">
        <f t="shared" si="1061"/>
        <v>18347175</v>
      </c>
      <c r="C12221" s="4" t="str">
        <f t="shared" si="1062"/>
        <v>GSE9893</v>
      </c>
      <c r="D12221" s="1" t="s">
        <v>492</v>
      </c>
      <c r="E12221" t="s">
        <v>30</v>
      </c>
      <c r="F12221" s="1">
        <v>1</v>
      </c>
      <c r="G12221" s="1" t="s">
        <v>31</v>
      </c>
      <c r="H12221" s="4" t="str">
        <f>HYPERLINK("https://www.ncbi.nlm.nih.gov/geo/query/acc.cgi?acc=GSM249655","GSM249655")</f>
        <v>GSM249655</v>
      </c>
      <c r="I12221" t="s">
        <v>17</v>
      </c>
      <c r="J12221" t="s">
        <v>18</v>
      </c>
      <c r="K12221" t="s">
        <v>19</v>
      </c>
      <c r="L12221" t="s">
        <v>20</v>
      </c>
      <c r="M12221" t="s">
        <v>51</v>
      </c>
      <c r="N12221" t="s">
        <v>29</v>
      </c>
    </row>
    <row r="12222" spans="1:14">
      <c r="A12222" s="4" t="str">
        <f t="shared" si="1060"/>
        <v>EXP00389</v>
      </c>
      <c r="B12222" s="4" t="str">
        <f t="shared" si="1061"/>
        <v>18347175</v>
      </c>
      <c r="C12222" s="4" t="str">
        <f t="shared" si="1062"/>
        <v>GSE9893</v>
      </c>
      <c r="D12222" s="1" t="s">
        <v>492</v>
      </c>
      <c r="E12222" t="s">
        <v>30</v>
      </c>
      <c r="F12222" s="1">
        <v>1</v>
      </c>
      <c r="G12222" s="1" t="s">
        <v>31</v>
      </c>
      <c r="H12222" s="4" t="str">
        <f>HYPERLINK("https://www.ncbi.nlm.nih.gov/geo/query/acc.cgi?acc=GSM249666","GSM249666")</f>
        <v>GSM249666</v>
      </c>
      <c r="I12222" t="s">
        <v>17</v>
      </c>
      <c r="J12222" t="s">
        <v>18</v>
      </c>
      <c r="K12222" t="s">
        <v>19</v>
      </c>
      <c r="L12222" t="s">
        <v>20</v>
      </c>
      <c r="M12222" t="s">
        <v>51</v>
      </c>
      <c r="N12222" t="s">
        <v>29</v>
      </c>
    </row>
    <row r="12223" spans="1:14">
      <c r="A12223" s="4" t="str">
        <f t="shared" si="1060"/>
        <v>EXP00389</v>
      </c>
      <c r="B12223" s="4" t="str">
        <f t="shared" si="1061"/>
        <v>18347175</v>
      </c>
      <c r="C12223" s="4" t="str">
        <f t="shared" si="1062"/>
        <v>GSE9893</v>
      </c>
      <c r="D12223" s="1" t="s">
        <v>492</v>
      </c>
      <c r="E12223" t="s">
        <v>30</v>
      </c>
      <c r="F12223" s="1">
        <v>1</v>
      </c>
      <c r="G12223" s="1" t="s">
        <v>31</v>
      </c>
      <c r="H12223" s="4" t="str">
        <f>HYPERLINK("https://www.ncbi.nlm.nih.gov/geo/query/acc.cgi?acc=GSM249697","GSM249697")</f>
        <v>GSM249697</v>
      </c>
      <c r="I12223" t="s">
        <v>17</v>
      </c>
      <c r="J12223" t="s">
        <v>18</v>
      </c>
      <c r="K12223" t="s">
        <v>19</v>
      </c>
      <c r="L12223" t="s">
        <v>20</v>
      </c>
      <c r="M12223" t="s">
        <v>51</v>
      </c>
      <c r="N12223" t="s">
        <v>29</v>
      </c>
    </row>
    <row r="12224" spans="1:14">
      <c r="A12224" s="4" t="str">
        <f t="shared" si="1060"/>
        <v>EXP00389</v>
      </c>
      <c r="B12224" s="4" t="str">
        <f t="shared" si="1061"/>
        <v>18347175</v>
      </c>
      <c r="C12224" s="4" t="str">
        <f t="shared" si="1062"/>
        <v>GSE9893</v>
      </c>
      <c r="D12224" s="1" t="s">
        <v>492</v>
      </c>
      <c r="E12224" t="s">
        <v>30</v>
      </c>
      <c r="F12224" s="1">
        <v>1</v>
      </c>
      <c r="G12224" s="1" t="s">
        <v>31</v>
      </c>
      <c r="H12224" s="4" t="str">
        <f>HYPERLINK("https://www.ncbi.nlm.nih.gov/geo/query/acc.cgi?acc=GSM250002","GSM250002")</f>
        <v>GSM250002</v>
      </c>
      <c r="I12224" t="s">
        <v>17</v>
      </c>
      <c r="J12224" t="s">
        <v>18</v>
      </c>
      <c r="K12224" t="s">
        <v>19</v>
      </c>
      <c r="L12224" t="s">
        <v>20</v>
      </c>
      <c r="M12224" t="s">
        <v>51</v>
      </c>
      <c r="N12224" t="s">
        <v>29</v>
      </c>
    </row>
    <row r="12225" spans="1:14">
      <c r="A12225" s="4" t="str">
        <f t="shared" si="1060"/>
        <v>EXP00389</v>
      </c>
      <c r="B12225" s="4" t="str">
        <f t="shared" si="1061"/>
        <v>18347175</v>
      </c>
      <c r="C12225" s="4" t="str">
        <f t="shared" si="1062"/>
        <v>GSE9893</v>
      </c>
      <c r="D12225" s="1" t="s">
        <v>492</v>
      </c>
      <c r="E12225" t="s">
        <v>30</v>
      </c>
      <c r="F12225" s="1">
        <v>2</v>
      </c>
      <c r="G12225" s="1" t="s">
        <v>32</v>
      </c>
      <c r="H12225" s="4" t="str">
        <f>HYPERLINK("https://www.ncbi.nlm.nih.gov/geo/query/acc.cgi?acc=GSM249524","GSM249524")</f>
        <v>GSM249524</v>
      </c>
      <c r="I12225" t="s">
        <v>17</v>
      </c>
      <c r="J12225" t="s">
        <v>18</v>
      </c>
      <c r="K12225" t="s">
        <v>33</v>
      </c>
      <c r="L12225" t="s">
        <v>20</v>
      </c>
      <c r="N12225" t="s">
        <v>29</v>
      </c>
    </row>
    <row r="12226" spans="1:14">
      <c r="A12226" s="4" t="str">
        <f t="shared" si="1060"/>
        <v>EXP00389</v>
      </c>
      <c r="B12226" s="4" t="str">
        <f t="shared" si="1061"/>
        <v>18347175</v>
      </c>
      <c r="C12226" s="4" t="str">
        <f t="shared" si="1062"/>
        <v>GSE9893</v>
      </c>
      <c r="D12226" s="1" t="s">
        <v>492</v>
      </c>
      <c r="E12226" t="s">
        <v>30</v>
      </c>
      <c r="F12226" s="1">
        <v>2</v>
      </c>
      <c r="G12226" s="1" t="s">
        <v>32</v>
      </c>
      <c r="H12226" s="4" t="str">
        <f>HYPERLINK("https://www.ncbi.nlm.nih.gov/geo/query/acc.cgi?acc=GSM249530","GSM249530")</f>
        <v>GSM249530</v>
      </c>
      <c r="I12226" t="s">
        <v>17</v>
      </c>
      <c r="J12226" t="s">
        <v>18</v>
      </c>
      <c r="K12226" t="s">
        <v>33</v>
      </c>
      <c r="L12226" t="s">
        <v>20</v>
      </c>
      <c r="N12226" t="s">
        <v>29</v>
      </c>
    </row>
    <row r="12227" spans="1:14">
      <c r="A12227" s="4" t="str">
        <f t="shared" si="1060"/>
        <v>EXP00389</v>
      </c>
      <c r="B12227" s="4" t="str">
        <f t="shared" si="1061"/>
        <v>18347175</v>
      </c>
      <c r="C12227" s="4" t="str">
        <f t="shared" si="1062"/>
        <v>GSE9893</v>
      </c>
      <c r="D12227" s="1" t="s">
        <v>492</v>
      </c>
      <c r="E12227" t="s">
        <v>30</v>
      </c>
      <c r="F12227" s="1">
        <v>2</v>
      </c>
      <c r="G12227" s="1" t="s">
        <v>32</v>
      </c>
      <c r="H12227" s="4" t="str">
        <f>HYPERLINK("https://www.ncbi.nlm.nih.gov/geo/query/acc.cgi?acc=GSM249533","GSM249533")</f>
        <v>GSM249533</v>
      </c>
      <c r="I12227" t="s">
        <v>17</v>
      </c>
      <c r="J12227" t="s">
        <v>18</v>
      </c>
      <c r="K12227" t="s">
        <v>33</v>
      </c>
      <c r="L12227" t="s">
        <v>20</v>
      </c>
      <c r="N12227" t="s">
        <v>29</v>
      </c>
    </row>
    <row r="12228" spans="1:14">
      <c r="A12228" s="4" t="str">
        <f t="shared" si="1060"/>
        <v>EXP00389</v>
      </c>
      <c r="B12228" s="4" t="str">
        <f t="shared" si="1061"/>
        <v>18347175</v>
      </c>
      <c r="C12228" s="4" t="str">
        <f t="shared" si="1062"/>
        <v>GSE9893</v>
      </c>
      <c r="D12228" s="1" t="s">
        <v>492</v>
      </c>
      <c r="E12228" t="s">
        <v>30</v>
      </c>
      <c r="F12228" s="1">
        <v>2</v>
      </c>
      <c r="G12228" s="1" t="s">
        <v>32</v>
      </c>
      <c r="H12228" s="4" t="str">
        <f>HYPERLINK("https://www.ncbi.nlm.nih.gov/geo/query/acc.cgi?acc=GSM249534","GSM249534")</f>
        <v>GSM249534</v>
      </c>
      <c r="I12228" t="s">
        <v>17</v>
      </c>
      <c r="J12228" t="s">
        <v>18</v>
      </c>
      <c r="K12228" t="s">
        <v>33</v>
      </c>
      <c r="L12228" t="s">
        <v>20</v>
      </c>
      <c r="N12228" t="s">
        <v>29</v>
      </c>
    </row>
    <row r="12229" spans="1:14">
      <c r="A12229" s="4" t="str">
        <f t="shared" si="1060"/>
        <v>EXP00389</v>
      </c>
      <c r="B12229" s="4" t="str">
        <f t="shared" si="1061"/>
        <v>18347175</v>
      </c>
      <c r="C12229" s="4" t="str">
        <f t="shared" si="1062"/>
        <v>GSE9893</v>
      </c>
      <c r="D12229" s="1" t="s">
        <v>492</v>
      </c>
      <c r="E12229" t="s">
        <v>30</v>
      </c>
      <c r="F12229" s="1">
        <v>2</v>
      </c>
      <c r="G12229" s="1" t="s">
        <v>32</v>
      </c>
      <c r="H12229" s="4" t="str">
        <f>HYPERLINK("https://www.ncbi.nlm.nih.gov/geo/query/acc.cgi?acc=GSM249535","GSM249535")</f>
        <v>GSM249535</v>
      </c>
      <c r="I12229" t="s">
        <v>17</v>
      </c>
      <c r="J12229" t="s">
        <v>18</v>
      </c>
      <c r="K12229" t="s">
        <v>33</v>
      </c>
      <c r="L12229" t="s">
        <v>20</v>
      </c>
      <c r="N12229" t="s">
        <v>29</v>
      </c>
    </row>
    <row r="12230" spans="1:14">
      <c r="A12230" s="4" t="str">
        <f t="shared" si="1060"/>
        <v>EXP00389</v>
      </c>
      <c r="B12230" s="4" t="str">
        <f t="shared" si="1061"/>
        <v>18347175</v>
      </c>
      <c r="C12230" s="4" t="str">
        <f t="shared" si="1062"/>
        <v>GSE9893</v>
      </c>
      <c r="D12230" s="1" t="s">
        <v>492</v>
      </c>
      <c r="E12230" t="s">
        <v>30</v>
      </c>
      <c r="F12230" s="1">
        <v>2</v>
      </c>
      <c r="G12230" s="1" t="s">
        <v>32</v>
      </c>
      <c r="H12230" s="4" t="str">
        <f>HYPERLINK("https://www.ncbi.nlm.nih.gov/geo/query/acc.cgi?acc=GSM249539","GSM249539")</f>
        <v>GSM249539</v>
      </c>
      <c r="I12230" t="s">
        <v>17</v>
      </c>
      <c r="J12230" t="s">
        <v>18</v>
      </c>
      <c r="K12230" t="s">
        <v>33</v>
      </c>
      <c r="L12230" t="s">
        <v>20</v>
      </c>
      <c r="N12230" t="s">
        <v>29</v>
      </c>
    </row>
    <row r="12231" spans="1:14">
      <c r="A12231" s="4" t="str">
        <f t="shared" si="1060"/>
        <v>EXP00389</v>
      </c>
      <c r="B12231" s="4" t="str">
        <f t="shared" si="1061"/>
        <v>18347175</v>
      </c>
      <c r="C12231" s="4" t="str">
        <f t="shared" si="1062"/>
        <v>GSE9893</v>
      </c>
      <c r="D12231" s="1" t="s">
        <v>492</v>
      </c>
      <c r="E12231" t="s">
        <v>30</v>
      </c>
      <c r="F12231" s="1">
        <v>2</v>
      </c>
      <c r="G12231" s="1" t="s">
        <v>32</v>
      </c>
      <c r="H12231" s="4" t="str">
        <f>HYPERLINK("https://www.ncbi.nlm.nih.gov/geo/query/acc.cgi?acc=GSM249544","GSM249544")</f>
        <v>GSM249544</v>
      </c>
      <c r="I12231" t="s">
        <v>17</v>
      </c>
      <c r="J12231" t="s">
        <v>18</v>
      </c>
      <c r="K12231" t="s">
        <v>33</v>
      </c>
      <c r="L12231" t="s">
        <v>20</v>
      </c>
      <c r="N12231" t="s">
        <v>29</v>
      </c>
    </row>
    <row r="12232" spans="1:14">
      <c r="A12232" s="4" t="str">
        <f t="shared" si="1060"/>
        <v>EXP00389</v>
      </c>
      <c r="B12232" s="4" t="str">
        <f t="shared" si="1061"/>
        <v>18347175</v>
      </c>
      <c r="C12232" s="4" t="str">
        <f t="shared" si="1062"/>
        <v>GSE9893</v>
      </c>
      <c r="D12232" s="1" t="s">
        <v>492</v>
      </c>
      <c r="E12232" t="s">
        <v>30</v>
      </c>
      <c r="F12232" s="1">
        <v>2</v>
      </c>
      <c r="G12232" s="1" t="s">
        <v>32</v>
      </c>
      <c r="H12232" s="4" t="str">
        <f>HYPERLINK("https://www.ncbi.nlm.nih.gov/geo/query/acc.cgi?acc=GSM249552","GSM249552")</f>
        <v>GSM249552</v>
      </c>
      <c r="I12232" t="s">
        <v>17</v>
      </c>
      <c r="J12232" t="s">
        <v>18</v>
      </c>
      <c r="K12232" t="s">
        <v>33</v>
      </c>
      <c r="L12232" t="s">
        <v>20</v>
      </c>
      <c r="N12232" t="s">
        <v>29</v>
      </c>
    </row>
    <row r="12233" spans="1:14">
      <c r="A12233" s="4" t="str">
        <f t="shared" si="1060"/>
        <v>EXP00389</v>
      </c>
      <c r="B12233" s="4" t="str">
        <f t="shared" si="1061"/>
        <v>18347175</v>
      </c>
      <c r="C12233" s="4" t="str">
        <f t="shared" si="1062"/>
        <v>GSE9893</v>
      </c>
      <c r="D12233" s="1" t="s">
        <v>492</v>
      </c>
      <c r="E12233" t="s">
        <v>30</v>
      </c>
      <c r="F12233" s="1">
        <v>2</v>
      </c>
      <c r="G12233" s="1" t="s">
        <v>32</v>
      </c>
      <c r="H12233" s="4" t="str">
        <f>HYPERLINK("https://www.ncbi.nlm.nih.gov/geo/query/acc.cgi?acc=GSM249553","GSM249553")</f>
        <v>GSM249553</v>
      </c>
      <c r="I12233" t="s">
        <v>17</v>
      </c>
      <c r="J12233" t="s">
        <v>18</v>
      </c>
      <c r="K12233" t="s">
        <v>33</v>
      </c>
      <c r="L12233" t="s">
        <v>20</v>
      </c>
      <c r="N12233" t="s">
        <v>29</v>
      </c>
    </row>
    <row r="12234" spans="1:14">
      <c r="A12234" s="4" t="str">
        <f t="shared" si="1060"/>
        <v>EXP00389</v>
      </c>
      <c r="B12234" s="4" t="str">
        <f t="shared" si="1061"/>
        <v>18347175</v>
      </c>
      <c r="C12234" s="4" t="str">
        <f t="shared" si="1062"/>
        <v>GSE9893</v>
      </c>
      <c r="D12234" s="1" t="s">
        <v>492</v>
      </c>
      <c r="E12234" t="s">
        <v>30</v>
      </c>
      <c r="F12234" s="1">
        <v>2</v>
      </c>
      <c r="G12234" s="1" t="s">
        <v>32</v>
      </c>
      <c r="H12234" s="4" t="str">
        <f>HYPERLINK("https://www.ncbi.nlm.nih.gov/geo/query/acc.cgi?acc=GSM249556","GSM249556")</f>
        <v>GSM249556</v>
      </c>
      <c r="I12234" t="s">
        <v>17</v>
      </c>
      <c r="J12234" t="s">
        <v>18</v>
      </c>
      <c r="K12234" t="s">
        <v>33</v>
      </c>
      <c r="L12234" t="s">
        <v>20</v>
      </c>
      <c r="N12234" t="s">
        <v>29</v>
      </c>
    </row>
    <row r="12235" spans="1:14">
      <c r="A12235" s="4" t="str">
        <f t="shared" si="1060"/>
        <v>EXP00389</v>
      </c>
      <c r="B12235" s="4" t="str">
        <f t="shared" si="1061"/>
        <v>18347175</v>
      </c>
      <c r="C12235" s="4" t="str">
        <f t="shared" si="1062"/>
        <v>GSE9893</v>
      </c>
      <c r="D12235" s="1" t="s">
        <v>492</v>
      </c>
      <c r="E12235" t="s">
        <v>30</v>
      </c>
      <c r="F12235" s="1">
        <v>2</v>
      </c>
      <c r="G12235" s="1" t="s">
        <v>32</v>
      </c>
      <c r="H12235" s="4" t="str">
        <f>HYPERLINK("https://www.ncbi.nlm.nih.gov/geo/query/acc.cgi?acc=GSM249561","GSM249561")</f>
        <v>GSM249561</v>
      </c>
      <c r="I12235" t="s">
        <v>17</v>
      </c>
      <c r="J12235" t="s">
        <v>18</v>
      </c>
      <c r="K12235" t="s">
        <v>33</v>
      </c>
      <c r="L12235" t="s">
        <v>20</v>
      </c>
      <c r="N12235" t="s">
        <v>29</v>
      </c>
    </row>
    <row r="12236" spans="1:14">
      <c r="A12236" s="4" t="str">
        <f t="shared" si="1060"/>
        <v>EXP00389</v>
      </c>
      <c r="B12236" s="4" t="str">
        <f t="shared" si="1061"/>
        <v>18347175</v>
      </c>
      <c r="C12236" s="4" t="str">
        <f t="shared" si="1062"/>
        <v>GSE9893</v>
      </c>
      <c r="D12236" s="1" t="s">
        <v>492</v>
      </c>
      <c r="E12236" t="s">
        <v>30</v>
      </c>
      <c r="F12236" s="1">
        <v>2</v>
      </c>
      <c r="G12236" s="1" t="s">
        <v>32</v>
      </c>
      <c r="H12236" s="4" t="str">
        <f>HYPERLINK("https://www.ncbi.nlm.nih.gov/geo/query/acc.cgi?acc=GSM249565","GSM249565")</f>
        <v>GSM249565</v>
      </c>
      <c r="I12236" t="s">
        <v>17</v>
      </c>
      <c r="J12236" t="s">
        <v>18</v>
      </c>
      <c r="K12236" t="s">
        <v>33</v>
      </c>
      <c r="L12236" t="s">
        <v>20</v>
      </c>
      <c r="N12236" t="s">
        <v>29</v>
      </c>
    </row>
    <row r="12237" spans="1:14">
      <c r="A12237" s="4" t="str">
        <f t="shared" si="1060"/>
        <v>EXP00389</v>
      </c>
      <c r="B12237" s="4" t="str">
        <f t="shared" si="1061"/>
        <v>18347175</v>
      </c>
      <c r="C12237" s="4" t="str">
        <f t="shared" si="1062"/>
        <v>GSE9893</v>
      </c>
      <c r="D12237" s="1" t="s">
        <v>492</v>
      </c>
      <c r="E12237" t="s">
        <v>30</v>
      </c>
      <c r="F12237" s="1">
        <v>2</v>
      </c>
      <c r="G12237" s="1" t="s">
        <v>32</v>
      </c>
      <c r="H12237" s="4" t="str">
        <f>HYPERLINK("https://www.ncbi.nlm.nih.gov/geo/query/acc.cgi?acc=GSM249567","GSM249567")</f>
        <v>GSM249567</v>
      </c>
      <c r="I12237" t="s">
        <v>17</v>
      </c>
      <c r="J12237" t="s">
        <v>18</v>
      </c>
      <c r="K12237" t="s">
        <v>33</v>
      </c>
      <c r="L12237" t="s">
        <v>20</v>
      </c>
      <c r="N12237" t="s">
        <v>29</v>
      </c>
    </row>
    <row r="12238" spans="1:14">
      <c r="A12238" s="4" t="str">
        <f t="shared" si="1060"/>
        <v>EXP00389</v>
      </c>
      <c r="B12238" s="4" t="str">
        <f t="shared" si="1061"/>
        <v>18347175</v>
      </c>
      <c r="C12238" s="4" t="str">
        <f t="shared" si="1062"/>
        <v>GSE9893</v>
      </c>
      <c r="D12238" s="1" t="s">
        <v>492</v>
      </c>
      <c r="E12238" t="s">
        <v>30</v>
      </c>
      <c r="F12238" s="1">
        <v>2</v>
      </c>
      <c r="G12238" s="1" t="s">
        <v>32</v>
      </c>
      <c r="H12238" s="4" t="str">
        <f>HYPERLINK("https://www.ncbi.nlm.nih.gov/geo/query/acc.cgi?acc=GSM249595","GSM249595")</f>
        <v>GSM249595</v>
      </c>
      <c r="I12238" t="s">
        <v>17</v>
      </c>
      <c r="J12238" t="s">
        <v>18</v>
      </c>
      <c r="K12238" t="s">
        <v>33</v>
      </c>
      <c r="L12238" t="s">
        <v>20</v>
      </c>
      <c r="N12238" t="s">
        <v>29</v>
      </c>
    </row>
    <row r="12239" spans="1:14">
      <c r="A12239" s="4" t="str">
        <f t="shared" si="1060"/>
        <v>EXP00389</v>
      </c>
      <c r="B12239" s="4" t="str">
        <f t="shared" si="1061"/>
        <v>18347175</v>
      </c>
      <c r="C12239" s="4" t="str">
        <f t="shared" si="1062"/>
        <v>GSE9893</v>
      </c>
      <c r="D12239" s="1" t="s">
        <v>492</v>
      </c>
      <c r="E12239" t="s">
        <v>30</v>
      </c>
      <c r="F12239" s="1">
        <v>2</v>
      </c>
      <c r="G12239" s="1" t="s">
        <v>32</v>
      </c>
      <c r="H12239" s="4" t="str">
        <f>HYPERLINK("https://www.ncbi.nlm.nih.gov/geo/query/acc.cgi?acc=GSM249604","GSM249604")</f>
        <v>GSM249604</v>
      </c>
      <c r="I12239" t="s">
        <v>17</v>
      </c>
      <c r="J12239" t="s">
        <v>18</v>
      </c>
      <c r="K12239" t="s">
        <v>33</v>
      </c>
      <c r="L12239" t="s">
        <v>20</v>
      </c>
      <c r="N12239" t="s">
        <v>29</v>
      </c>
    </row>
    <row r="12240" spans="1:14">
      <c r="A12240" s="4" t="str">
        <f t="shared" si="1060"/>
        <v>EXP00389</v>
      </c>
      <c r="B12240" s="4" t="str">
        <f t="shared" si="1061"/>
        <v>18347175</v>
      </c>
      <c r="C12240" s="4" t="str">
        <f t="shared" si="1062"/>
        <v>GSE9893</v>
      </c>
      <c r="D12240" s="1" t="s">
        <v>492</v>
      </c>
      <c r="E12240" t="s">
        <v>30</v>
      </c>
      <c r="F12240" s="1">
        <v>2</v>
      </c>
      <c r="G12240" s="1" t="s">
        <v>32</v>
      </c>
      <c r="H12240" s="4" t="str">
        <f>HYPERLINK("https://www.ncbi.nlm.nih.gov/geo/query/acc.cgi?acc=GSM249605","GSM249605")</f>
        <v>GSM249605</v>
      </c>
      <c r="I12240" t="s">
        <v>17</v>
      </c>
      <c r="J12240" t="s">
        <v>18</v>
      </c>
      <c r="K12240" t="s">
        <v>33</v>
      </c>
      <c r="L12240" t="s">
        <v>20</v>
      </c>
      <c r="N12240" t="s">
        <v>29</v>
      </c>
    </row>
    <row r="12241" spans="1:14">
      <c r="A12241" s="4" t="str">
        <f t="shared" ref="A12241:A12272" si="1063">HYPERLINK("http://hcmdb.i-sanger.com/experiment/details/experiment_id/EXP00389","EXP00389")</f>
        <v>EXP00389</v>
      </c>
      <c r="B12241" s="4" t="str">
        <f t="shared" ref="B12241:B12272" si="1064">HYPERLINK("https://www.ncbi.nlm.nih.gov/pubmed/18347175","18347175")</f>
        <v>18347175</v>
      </c>
      <c r="C12241" s="4" t="str">
        <f t="shared" ref="C12241:C12272" si="1065">HYPERLINK("https://www.ncbi.nlm.nih.gov/geo/query/acc.cgi?acc=GSE9893","GSE9893")</f>
        <v>GSE9893</v>
      </c>
      <c r="D12241" s="1" t="s">
        <v>492</v>
      </c>
      <c r="E12241" t="s">
        <v>30</v>
      </c>
      <c r="F12241" s="1">
        <v>2</v>
      </c>
      <c r="G12241" s="1" t="s">
        <v>32</v>
      </c>
      <c r="H12241" s="4" t="str">
        <f>HYPERLINK("https://www.ncbi.nlm.nih.gov/geo/query/acc.cgi?acc=GSM249606","GSM249606")</f>
        <v>GSM249606</v>
      </c>
      <c r="I12241" t="s">
        <v>17</v>
      </c>
      <c r="J12241" t="s">
        <v>18</v>
      </c>
      <c r="K12241" t="s">
        <v>33</v>
      </c>
      <c r="L12241" t="s">
        <v>20</v>
      </c>
      <c r="N12241" t="s">
        <v>29</v>
      </c>
    </row>
    <row r="12242" spans="1:14">
      <c r="A12242" s="4" t="str">
        <f t="shared" si="1063"/>
        <v>EXP00389</v>
      </c>
      <c r="B12242" s="4" t="str">
        <f t="shared" si="1064"/>
        <v>18347175</v>
      </c>
      <c r="C12242" s="4" t="str">
        <f t="shared" si="1065"/>
        <v>GSE9893</v>
      </c>
      <c r="D12242" s="1" t="s">
        <v>492</v>
      </c>
      <c r="E12242" t="s">
        <v>30</v>
      </c>
      <c r="F12242" s="1">
        <v>2</v>
      </c>
      <c r="G12242" s="1" t="s">
        <v>32</v>
      </c>
      <c r="H12242" s="4" t="str">
        <f>HYPERLINK("https://www.ncbi.nlm.nih.gov/geo/query/acc.cgi?acc=GSM249607","GSM249607")</f>
        <v>GSM249607</v>
      </c>
      <c r="I12242" t="s">
        <v>17</v>
      </c>
      <c r="J12242" t="s">
        <v>18</v>
      </c>
      <c r="K12242" t="s">
        <v>33</v>
      </c>
      <c r="L12242" t="s">
        <v>20</v>
      </c>
      <c r="N12242" t="s">
        <v>29</v>
      </c>
    </row>
    <row r="12243" spans="1:14">
      <c r="A12243" s="4" t="str">
        <f t="shared" si="1063"/>
        <v>EXP00389</v>
      </c>
      <c r="B12243" s="4" t="str">
        <f t="shared" si="1064"/>
        <v>18347175</v>
      </c>
      <c r="C12243" s="4" t="str">
        <f t="shared" si="1065"/>
        <v>GSE9893</v>
      </c>
      <c r="D12243" s="1" t="s">
        <v>492</v>
      </c>
      <c r="E12243" t="s">
        <v>30</v>
      </c>
      <c r="F12243" s="1">
        <v>2</v>
      </c>
      <c r="G12243" s="1" t="s">
        <v>32</v>
      </c>
      <c r="H12243" s="4" t="str">
        <f>HYPERLINK("https://www.ncbi.nlm.nih.gov/geo/query/acc.cgi?acc=GSM249608","GSM249608")</f>
        <v>GSM249608</v>
      </c>
      <c r="I12243" t="s">
        <v>17</v>
      </c>
      <c r="J12243" t="s">
        <v>18</v>
      </c>
      <c r="K12243" t="s">
        <v>33</v>
      </c>
      <c r="L12243" t="s">
        <v>20</v>
      </c>
      <c r="N12243" t="s">
        <v>29</v>
      </c>
    </row>
    <row r="12244" spans="1:14">
      <c r="A12244" s="4" t="str">
        <f t="shared" si="1063"/>
        <v>EXP00389</v>
      </c>
      <c r="B12244" s="4" t="str">
        <f t="shared" si="1064"/>
        <v>18347175</v>
      </c>
      <c r="C12244" s="4" t="str">
        <f t="shared" si="1065"/>
        <v>GSE9893</v>
      </c>
      <c r="D12244" s="1" t="s">
        <v>492</v>
      </c>
      <c r="E12244" t="s">
        <v>30</v>
      </c>
      <c r="F12244" s="1">
        <v>2</v>
      </c>
      <c r="G12244" s="1" t="s">
        <v>32</v>
      </c>
      <c r="H12244" s="4" t="str">
        <f>HYPERLINK("https://www.ncbi.nlm.nih.gov/geo/query/acc.cgi?acc=GSM249609","GSM249609")</f>
        <v>GSM249609</v>
      </c>
      <c r="I12244" t="s">
        <v>17</v>
      </c>
      <c r="J12244" t="s">
        <v>18</v>
      </c>
      <c r="K12244" t="s">
        <v>33</v>
      </c>
      <c r="L12244" t="s">
        <v>20</v>
      </c>
      <c r="N12244" t="s">
        <v>29</v>
      </c>
    </row>
    <row r="12245" spans="1:14">
      <c r="A12245" s="4" t="str">
        <f t="shared" si="1063"/>
        <v>EXP00389</v>
      </c>
      <c r="B12245" s="4" t="str">
        <f t="shared" si="1064"/>
        <v>18347175</v>
      </c>
      <c r="C12245" s="4" t="str">
        <f t="shared" si="1065"/>
        <v>GSE9893</v>
      </c>
      <c r="D12245" s="1" t="s">
        <v>492</v>
      </c>
      <c r="E12245" t="s">
        <v>30</v>
      </c>
      <c r="F12245" s="1">
        <v>2</v>
      </c>
      <c r="G12245" s="1" t="s">
        <v>32</v>
      </c>
      <c r="H12245" s="4" t="str">
        <f>HYPERLINK("https://www.ncbi.nlm.nih.gov/geo/query/acc.cgi?acc=GSM249610","GSM249610")</f>
        <v>GSM249610</v>
      </c>
      <c r="I12245" t="s">
        <v>17</v>
      </c>
      <c r="J12245" t="s">
        <v>18</v>
      </c>
      <c r="K12245" t="s">
        <v>33</v>
      </c>
      <c r="L12245" t="s">
        <v>20</v>
      </c>
      <c r="N12245" t="s">
        <v>29</v>
      </c>
    </row>
    <row r="12246" spans="1:14">
      <c r="A12246" s="4" t="str">
        <f t="shared" si="1063"/>
        <v>EXP00389</v>
      </c>
      <c r="B12246" s="4" t="str">
        <f t="shared" si="1064"/>
        <v>18347175</v>
      </c>
      <c r="C12246" s="4" t="str">
        <f t="shared" si="1065"/>
        <v>GSE9893</v>
      </c>
      <c r="D12246" s="1" t="s">
        <v>492</v>
      </c>
      <c r="E12246" t="s">
        <v>30</v>
      </c>
      <c r="F12246" s="1">
        <v>2</v>
      </c>
      <c r="G12246" s="1" t="s">
        <v>32</v>
      </c>
      <c r="H12246" s="4" t="str">
        <f>HYPERLINK("https://www.ncbi.nlm.nih.gov/geo/query/acc.cgi?acc=GSM249611","GSM249611")</f>
        <v>GSM249611</v>
      </c>
      <c r="I12246" t="s">
        <v>17</v>
      </c>
      <c r="J12246" t="s">
        <v>18</v>
      </c>
      <c r="K12246" t="s">
        <v>33</v>
      </c>
      <c r="L12246" t="s">
        <v>20</v>
      </c>
      <c r="N12246" t="s">
        <v>29</v>
      </c>
    </row>
    <row r="12247" spans="1:14">
      <c r="A12247" s="4" t="str">
        <f t="shared" si="1063"/>
        <v>EXP00389</v>
      </c>
      <c r="B12247" s="4" t="str">
        <f t="shared" si="1064"/>
        <v>18347175</v>
      </c>
      <c r="C12247" s="4" t="str">
        <f t="shared" si="1065"/>
        <v>GSE9893</v>
      </c>
      <c r="D12247" s="1" t="s">
        <v>492</v>
      </c>
      <c r="E12247" t="s">
        <v>30</v>
      </c>
      <c r="F12247" s="1">
        <v>2</v>
      </c>
      <c r="G12247" s="1" t="s">
        <v>32</v>
      </c>
      <c r="H12247" s="4" t="str">
        <f>HYPERLINK("https://www.ncbi.nlm.nih.gov/geo/query/acc.cgi?acc=GSM249613","GSM249613")</f>
        <v>GSM249613</v>
      </c>
      <c r="I12247" t="s">
        <v>17</v>
      </c>
      <c r="J12247" t="s">
        <v>18</v>
      </c>
      <c r="K12247" t="s">
        <v>33</v>
      </c>
      <c r="L12247" t="s">
        <v>20</v>
      </c>
      <c r="N12247" t="s">
        <v>29</v>
      </c>
    </row>
    <row r="12248" spans="1:14">
      <c r="A12248" s="4" t="str">
        <f t="shared" si="1063"/>
        <v>EXP00389</v>
      </c>
      <c r="B12248" s="4" t="str">
        <f t="shared" si="1064"/>
        <v>18347175</v>
      </c>
      <c r="C12248" s="4" t="str">
        <f t="shared" si="1065"/>
        <v>GSE9893</v>
      </c>
      <c r="D12248" s="1" t="s">
        <v>492</v>
      </c>
      <c r="E12248" t="s">
        <v>30</v>
      </c>
      <c r="F12248" s="1">
        <v>2</v>
      </c>
      <c r="G12248" s="1" t="s">
        <v>32</v>
      </c>
      <c r="H12248" s="4" t="str">
        <f>HYPERLINK("https://www.ncbi.nlm.nih.gov/geo/query/acc.cgi?acc=GSM249614","GSM249614")</f>
        <v>GSM249614</v>
      </c>
      <c r="I12248" t="s">
        <v>17</v>
      </c>
      <c r="J12248" t="s">
        <v>18</v>
      </c>
      <c r="K12248" t="s">
        <v>33</v>
      </c>
      <c r="L12248" t="s">
        <v>20</v>
      </c>
      <c r="N12248" t="s">
        <v>29</v>
      </c>
    </row>
    <row r="12249" spans="1:14">
      <c r="A12249" s="4" t="str">
        <f t="shared" si="1063"/>
        <v>EXP00389</v>
      </c>
      <c r="B12249" s="4" t="str">
        <f t="shared" si="1064"/>
        <v>18347175</v>
      </c>
      <c r="C12249" s="4" t="str">
        <f t="shared" si="1065"/>
        <v>GSE9893</v>
      </c>
      <c r="D12249" s="1" t="s">
        <v>492</v>
      </c>
      <c r="E12249" t="s">
        <v>30</v>
      </c>
      <c r="F12249" s="1">
        <v>2</v>
      </c>
      <c r="G12249" s="1" t="s">
        <v>32</v>
      </c>
      <c r="H12249" s="4" t="str">
        <f>HYPERLINK("https://www.ncbi.nlm.nih.gov/geo/query/acc.cgi?acc=GSM249617","GSM249617")</f>
        <v>GSM249617</v>
      </c>
      <c r="I12249" t="s">
        <v>17</v>
      </c>
      <c r="J12249" t="s">
        <v>18</v>
      </c>
      <c r="K12249" t="s">
        <v>33</v>
      </c>
      <c r="L12249" t="s">
        <v>20</v>
      </c>
      <c r="N12249" t="s">
        <v>29</v>
      </c>
    </row>
    <row r="12250" spans="1:14">
      <c r="A12250" s="4" t="str">
        <f t="shared" si="1063"/>
        <v>EXP00389</v>
      </c>
      <c r="B12250" s="4" t="str">
        <f t="shared" si="1064"/>
        <v>18347175</v>
      </c>
      <c r="C12250" s="4" t="str">
        <f t="shared" si="1065"/>
        <v>GSE9893</v>
      </c>
      <c r="D12250" s="1" t="s">
        <v>492</v>
      </c>
      <c r="E12250" t="s">
        <v>30</v>
      </c>
      <c r="F12250" s="1">
        <v>2</v>
      </c>
      <c r="G12250" s="1" t="s">
        <v>32</v>
      </c>
      <c r="H12250" s="4" t="str">
        <f>HYPERLINK("https://www.ncbi.nlm.nih.gov/geo/query/acc.cgi?acc=GSM249618","GSM249618")</f>
        <v>GSM249618</v>
      </c>
      <c r="I12250" t="s">
        <v>17</v>
      </c>
      <c r="J12250" t="s">
        <v>18</v>
      </c>
      <c r="K12250" t="s">
        <v>33</v>
      </c>
      <c r="L12250" t="s">
        <v>20</v>
      </c>
      <c r="N12250" t="s">
        <v>29</v>
      </c>
    </row>
    <row r="12251" spans="1:14">
      <c r="A12251" s="4" t="str">
        <f t="shared" si="1063"/>
        <v>EXP00389</v>
      </c>
      <c r="B12251" s="4" t="str">
        <f t="shared" si="1064"/>
        <v>18347175</v>
      </c>
      <c r="C12251" s="4" t="str">
        <f t="shared" si="1065"/>
        <v>GSE9893</v>
      </c>
      <c r="D12251" s="1" t="s">
        <v>492</v>
      </c>
      <c r="E12251" t="s">
        <v>30</v>
      </c>
      <c r="F12251" s="1">
        <v>2</v>
      </c>
      <c r="G12251" s="1" t="s">
        <v>32</v>
      </c>
      <c r="H12251" s="4" t="str">
        <f>HYPERLINK("https://www.ncbi.nlm.nih.gov/geo/query/acc.cgi?acc=GSM249619","GSM249619")</f>
        <v>GSM249619</v>
      </c>
      <c r="I12251" t="s">
        <v>17</v>
      </c>
      <c r="J12251" t="s">
        <v>18</v>
      </c>
      <c r="K12251" t="s">
        <v>33</v>
      </c>
      <c r="L12251" t="s">
        <v>20</v>
      </c>
      <c r="N12251" t="s">
        <v>29</v>
      </c>
    </row>
    <row r="12252" spans="1:14">
      <c r="A12252" s="4" t="str">
        <f t="shared" si="1063"/>
        <v>EXP00389</v>
      </c>
      <c r="B12252" s="4" t="str">
        <f t="shared" si="1064"/>
        <v>18347175</v>
      </c>
      <c r="C12252" s="4" t="str">
        <f t="shared" si="1065"/>
        <v>GSE9893</v>
      </c>
      <c r="D12252" s="1" t="s">
        <v>492</v>
      </c>
      <c r="E12252" t="s">
        <v>30</v>
      </c>
      <c r="F12252" s="1">
        <v>2</v>
      </c>
      <c r="G12252" s="1" t="s">
        <v>32</v>
      </c>
      <c r="H12252" s="4" t="str">
        <f>HYPERLINK("https://www.ncbi.nlm.nih.gov/geo/query/acc.cgi?acc=GSM249620","GSM249620")</f>
        <v>GSM249620</v>
      </c>
      <c r="I12252" t="s">
        <v>17</v>
      </c>
      <c r="J12252" t="s">
        <v>18</v>
      </c>
      <c r="K12252" t="s">
        <v>33</v>
      </c>
      <c r="L12252" t="s">
        <v>20</v>
      </c>
      <c r="N12252" t="s">
        <v>29</v>
      </c>
    </row>
    <row r="12253" spans="1:14">
      <c r="A12253" s="4" t="str">
        <f t="shared" si="1063"/>
        <v>EXP00389</v>
      </c>
      <c r="B12253" s="4" t="str">
        <f t="shared" si="1064"/>
        <v>18347175</v>
      </c>
      <c r="C12253" s="4" t="str">
        <f t="shared" si="1065"/>
        <v>GSE9893</v>
      </c>
      <c r="D12253" s="1" t="s">
        <v>492</v>
      </c>
      <c r="E12253" t="s">
        <v>30</v>
      </c>
      <c r="F12253" s="1">
        <v>2</v>
      </c>
      <c r="G12253" s="1" t="s">
        <v>32</v>
      </c>
      <c r="H12253" s="4" t="str">
        <f>HYPERLINK("https://www.ncbi.nlm.nih.gov/geo/query/acc.cgi?acc=GSM249622","GSM249622")</f>
        <v>GSM249622</v>
      </c>
      <c r="I12253" t="s">
        <v>17</v>
      </c>
      <c r="J12253" t="s">
        <v>18</v>
      </c>
      <c r="K12253" t="s">
        <v>33</v>
      </c>
      <c r="L12253" t="s">
        <v>20</v>
      </c>
      <c r="N12253" t="s">
        <v>29</v>
      </c>
    </row>
    <row r="12254" spans="1:14">
      <c r="A12254" s="4" t="str">
        <f t="shared" si="1063"/>
        <v>EXP00389</v>
      </c>
      <c r="B12254" s="4" t="str">
        <f t="shared" si="1064"/>
        <v>18347175</v>
      </c>
      <c r="C12254" s="4" t="str">
        <f t="shared" si="1065"/>
        <v>GSE9893</v>
      </c>
      <c r="D12254" s="1" t="s">
        <v>492</v>
      </c>
      <c r="E12254" t="s">
        <v>30</v>
      </c>
      <c r="F12254" s="1">
        <v>2</v>
      </c>
      <c r="G12254" s="1" t="s">
        <v>32</v>
      </c>
      <c r="H12254" s="4" t="str">
        <f>HYPERLINK("https://www.ncbi.nlm.nih.gov/geo/query/acc.cgi?acc=GSM249623","GSM249623")</f>
        <v>GSM249623</v>
      </c>
      <c r="I12254" t="s">
        <v>17</v>
      </c>
      <c r="J12254" t="s">
        <v>18</v>
      </c>
      <c r="K12254" t="s">
        <v>33</v>
      </c>
      <c r="L12254" t="s">
        <v>20</v>
      </c>
      <c r="N12254" t="s">
        <v>29</v>
      </c>
    </row>
    <row r="12255" spans="1:14">
      <c r="A12255" s="4" t="str">
        <f t="shared" si="1063"/>
        <v>EXP00389</v>
      </c>
      <c r="B12255" s="4" t="str">
        <f t="shared" si="1064"/>
        <v>18347175</v>
      </c>
      <c r="C12255" s="4" t="str">
        <f t="shared" si="1065"/>
        <v>GSE9893</v>
      </c>
      <c r="D12255" s="1" t="s">
        <v>492</v>
      </c>
      <c r="E12255" t="s">
        <v>30</v>
      </c>
      <c r="F12255" s="1">
        <v>2</v>
      </c>
      <c r="G12255" s="1" t="s">
        <v>32</v>
      </c>
      <c r="H12255" s="4" t="str">
        <f>HYPERLINK("https://www.ncbi.nlm.nih.gov/geo/query/acc.cgi?acc=GSM249625","GSM249625")</f>
        <v>GSM249625</v>
      </c>
      <c r="I12255" t="s">
        <v>17</v>
      </c>
      <c r="J12255" t="s">
        <v>18</v>
      </c>
      <c r="K12255" t="s">
        <v>33</v>
      </c>
      <c r="L12255" t="s">
        <v>20</v>
      </c>
      <c r="N12255" t="s">
        <v>29</v>
      </c>
    </row>
    <row r="12256" spans="1:14">
      <c r="A12256" s="4" t="str">
        <f t="shared" si="1063"/>
        <v>EXP00389</v>
      </c>
      <c r="B12256" s="4" t="str">
        <f t="shared" si="1064"/>
        <v>18347175</v>
      </c>
      <c r="C12256" s="4" t="str">
        <f t="shared" si="1065"/>
        <v>GSE9893</v>
      </c>
      <c r="D12256" s="1" t="s">
        <v>492</v>
      </c>
      <c r="E12256" t="s">
        <v>30</v>
      </c>
      <c r="F12256" s="1">
        <v>2</v>
      </c>
      <c r="G12256" s="1" t="s">
        <v>32</v>
      </c>
      <c r="H12256" s="4" t="str">
        <f>HYPERLINK("https://www.ncbi.nlm.nih.gov/geo/query/acc.cgi?acc=GSM249628","GSM249628")</f>
        <v>GSM249628</v>
      </c>
      <c r="I12256" t="s">
        <v>17</v>
      </c>
      <c r="J12256" t="s">
        <v>18</v>
      </c>
      <c r="K12256" t="s">
        <v>33</v>
      </c>
      <c r="L12256" t="s">
        <v>20</v>
      </c>
      <c r="N12256" t="s">
        <v>29</v>
      </c>
    </row>
    <row r="12257" spans="1:14">
      <c r="A12257" s="4" t="str">
        <f t="shared" si="1063"/>
        <v>EXP00389</v>
      </c>
      <c r="B12257" s="4" t="str">
        <f t="shared" si="1064"/>
        <v>18347175</v>
      </c>
      <c r="C12257" s="4" t="str">
        <f t="shared" si="1065"/>
        <v>GSE9893</v>
      </c>
      <c r="D12257" s="1" t="s">
        <v>492</v>
      </c>
      <c r="E12257" t="s">
        <v>30</v>
      </c>
      <c r="F12257" s="1">
        <v>2</v>
      </c>
      <c r="G12257" s="1" t="s">
        <v>32</v>
      </c>
      <c r="H12257" s="4" t="str">
        <f>HYPERLINK("https://www.ncbi.nlm.nih.gov/geo/query/acc.cgi?acc=GSM249629","GSM249629")</f>
        <v>GSM249629</v>
      </c>
      <c r="I12257" t="s">
        <v>17</v>
      </c>
      <c r="J12257" t="s">
        <v>18</v>
      </c>
      <c r="K12257" t="s">
        <v>33</v>
      </c>
      <c r="L12257" t="s">
        <v>20</v>
      </c>
      <c r="N12257" t="s">
        <v>29</v>
      </c>
    </row>
    <row r="12258" spans="1:14">
      <c r="A12258" s="4" t="str">
        <f t="shared" si="1063"/>
        <v>EXP00389</v>
      </c>
      <c r="B12258" s="4" t="str">
        <f t="shared" si="1064"/>
        <v>18347175</v>
      </c>
      <c r="C12258" s="4" t="str">
        <f t="shared" si="1065"/>
        <v>GSE9893</v>
      </c>
      <c r="D12258" s="1" t="s">
        <v>492</v>
      </c>
      <c r="E12258" t="s">
        <v>30</v>
      </c>
      <c r="F12258" s="1">
        <v>2</v>
      </c>
      <c r="G12258" s="1" t="s">
        <v>32</v>
      </c>
      <c r="H12258" s="4" t="str">
        <f>HYPERLINK("https://www.ncbi.nlm.nih.gov/geo/query/acc.cgi?acc=GSM249630","GSM249630")</f>
        <v>GSM249630</v>
      </c>
      <c r="I12258" t="s">
        <v>17</v>
      </c>
      <c r="J12258" t="s">
        <v>18</v>
      </c>
      <c r="K12258" t="s">
        <v>33</v>
      </c>
      <c r="L12258" t="s">
        <v>20</v>
      </c>
      <c r="N12258" t="s">
        <v>29</v>
      </c>
    </row>
    <row r="12259" spans="1:14">
      <c r="A12259" s="4" t="str">
        <f t="shared" si="1063"/>
        <v>EXP00389</v>
      </c>
      <c r="B12259" s="4" t="str">
        <f t="shared" si="1064"/>
        <v>18347175</v>
      </c>
      <c r="C12259" s="4" t="str">
        <f t="shared" si="1065"/>
        <v>GSE9893</v>
      </c>
      <c r="D12259" s="1" t="s">
        <v>492</v>
      </c>
      <c r="E12259" t="s">
        <v>30</v>
      </c>
      <c r="F12259" s="1">
        <v>2</v>
      </c>
      <c r="G12259" s="1" t="s">
        <v>32</v>
      </c>
      <c r="H12259" s="4" t="str">
        <f>HYPERLINK("https://www.ncbi.nlm.nih.gov/geo/query/acc.cgi?acc=GSM249631","GSM249631")</f>
        <v>GSM249631</v>
      </c>
      <c r="I12259" t="s">
        <v>17</v>
      </c>
      <c r="J12259" t="s">
        <v>18</v>
      </c>
      <c r="K12259" t="s">
        <v>33</v>
      </c>
      <c r="L12259" t="s">
        <v>20</v>
      </c>
      <c r="N12259" t="s">
        <v>29</v>
      </c>
    </row>
    <row r="12260" spans="1:14">
      <c r="A12260" s="4" t="str">
        <f t="shared" si="1063"/>
        <v>EXP00389</v>
      </c>
      <c r="B12260" s="4" t="str">
        <f t="shared" si="1064"/>
        <v>18347175</v>
      </c>
      <c r="C12260" s="4" t="str">
        <f t="shared" si="1065"/>
        <v>GSE9893</v>
      </c>
      <c r="D12260" s="1" t="s">
        <v>492</v>
      </c>
      <c r="E12260" t="s">
        <v>30</v>
      </c>
      <c r="F12260" s="1">
        <v>2</v>
      </c>
      <c r="G12260" s="1" t="s">
        <v>32</v>
      </c>
      <c r="H12260" s="4" t="str">
        <f>HYPERLINK("https://www.ncbi.nlm.nih.gov/geo/query/acc.cgi?acc=GSM249632","GSM249632")</f>
        <v>GSM249632</v>
      </c>
      <c r="I12260" t="s">
        <v>17</v>
      </c>
      <c r="J12260" t="s">
        <v>18</v>
      </c>
      <c r="K12260" t="s">
        <v>33</v>
      </c>
      <c r="L12260" t="s">
        <v>20</v>
      </c>
      <c r="N12260" t="s">
        <v>29</v>
      </c>
    </row>
    <row r="12261" spans="1:14">
      <c r="A12261" s="4" t="str">
        <f t="shared" si="1063"/>
        <v>EXP00389</v>
      </c>
      <c r="B12261" s="4" t="str">
        <f t="shared" si="1064"/>
        <v>18347175</v>
      </c>
      <c r="C12261" s="4" t="str">
        <f t="shared" si="1065"/>
        <v>GSE9893</v>
      </c>
      <c r="D12261" s="1" t="s">
        <v>492</v>
      </c>
      <c r="E12261" t="s">
        <v>30</v>
      </c>
      <c r="F12261" s="1">
        <v>2</v>
      </c>
      <c r="G12261" s="1" t="s">
        <v>32</v>
      </c>
      <c r="H12261" s="4" t="str">
        <f>HYPERLINK("https://www.ncbi.nlm.nih.gov/geo/query/acc.cgi?acc=GSM249633","GSM249633")</f>
        <v>GSM249633</v>
      </c>
      <c r="I12261" t="s">
        <v>17</v>
      </c>
      <c r="J12261" t="s">
        <v>18</v>
      </c>
      <c r="K12261" t="s">
        <v>33</v>
      </c>
      <c r="L12261" t="s">
        <v>20</v>
      </c>
      <c r="N12261" t="s">
        <v>29</v>
      </c>
    </row>
    <row r="12262" spans="1:14">
      <c r="A12262" s="4" t="str">
        <f t="shared" si="1063"/>
        <v>EXP00389</v>
      </c>
      <c r="B12262" s="4" t="str">
        <f t="shared" si="1064"/>
        <v>18347175</v>
      </c>
      <c r="C12262" s="4" t="str">
        <f t="shared" si="1065"/>
        <v>GSE9893</v>
      </c>
      <c r="D12262" s="1" t="s">
        <v>492</v>
      </c>
      <c r="E12262" t="s">
        <v>30</v>
      </c>
      <c r="F12262" s="1">
        <v>2</v>
      </c>
      <c r="G12262" s="1" t="s">
        <v>32</v>
      </c>
      <c r="H12262" s="4" t="str">
        <f>HYPERLINK("https://www.ncbi.nlm.nih.gov/geo/query/acc.cgi?acc=GSM249638","GSM249638")</f>
        <v>GSM249638</v>
      </c>
      <c r="I12262" t="s">
        <v>17</v>
      </c>
      <c r="J12262" t="s">
        <v>18</v>
      </c>
      <c r="K12262" t="s">
        <v>33</v>
      </c>
      <c r="L12262" t="s">
        <v>20</v>
      </c>
      <c r="N12262" t="s">
        <v>29</v>
      </c>
    </row>
    <row r="12263" spans="1:14">
      <c r="A12263" s="4" t="str">
        <f t="shared" si="1063"/>
        <v>EXP00389</v>
      </c>
      <c r="B12263" s="4" t="str">
        <f t="shared" si="1064"/>
        <v>18347175</v>
      </c>
      <c r="C12263" s="4" t="str">
        <f t="shared" si="1065"/>
        <v>GSE9893</v>
      </c>
      <c r="D12263" s="1" t="s">
        <v>492</v>
      </c>
      <c r="E12263" t="s">
        <v>30</v>
      </c>
      <c r="F12263" s="1">
        <v>2</v>
      </c>
      <c r="G12263" s="1" t="s">
        <v>32</v>
      </c>
      <c r="H12263" s="4" t="str">
        <f>HYPERLINK("https://www.ncbi.nlm.nih.gov/geo/query/acc.cgi?acc=GSM249639","GSM249639")</f>
        <v>GSM249639</v>
      </c>
      <c r="I12263" t="s">
        <v>17</v>
      </c>
      <c r="J12263" t="s">
        <v>18</v>
      </c>
      <c r="K12263" t="s">
        <v>33</v>
      </c>
      <c r="L12263" t="s">
        <v>20</v>
      </c>
      <c r="N12263" t="s">
        <v>29</v>
      </c>
    </row>
    <row r="12264" spans="1:14">
      <c r="A12264" s="4" t="str">
        <f t="shared" si="1063"/>
        <v>EXP00389</v>
      </c>
      <c r="B12264" s="4" t="str">
        <f t="shared" si="1064"/>
        <v>18347175</v>
      </c>
      <c r="C12264" s="4" t="str">
        <f t="shared" si="1065"/>
        <v>GSE9893</v>
      </c>
      <c r="D12264" s="1" t="s">
        <v>492</v>
      </c>
      <c r="E12264" t="s">
        <v>30</v>
      </c>
      <c r="F12264" s="1">
        <v>2</v>
      </c>
      <c r="G12264" s="1" t="s">
        <v>32</v>
      </c>
      <c r="H12264" s="4" t="str">
        <f>HYPERLINK("https://www.ncbi.nlm.nih.gov/geo/query/acc.cgi?acc=GSM249640","GSM249640")</f>
        <v>GSM249640</v>
      </c>
      <c r="I12264" t="s">
        <v>17</v>
      </c>
      <c r="J12264" t="s">
        <v>18</v>
      </c>
      <c r="K12264" t="s">
        <v>33</v>
      </c>
      <c r="L12264" t="s">
        <v>20</v>
      </c>
      <c r="N12264" t="s">
        <v>29</v>
      </c>
    </row>
    <row r="12265" spans="1:14">
      <c r="A12265" s="4" t="str">
        <f t="shared" si="1063"/>
        <v>EXP00389</v>
      </c>
      <c r="B12265" s="4" t="str">
        <f t="shared" si="1064"/>
        <v>18347175</v>
      </c>
      <c r="C12265" s="4" t="str">
        <f t="shared" si="1065"/>
        <v>GSE9893</v>
      </c>
      <c r="D12265" s="1" t="s">
        <v>492</v>
      </c>
      <c r="E12265" t="s">
        <v>30</v>
      </c>
      <c r="F12265" s="1">
        <v>2</v>
      </c>
      <c r="G12265" s="1" t="s">
        <v>32</v>
      </c>
      <c r="H12265" s="4" t="str">
        <f>HYPERLINK("https://www.ncbi.nlm.nih.gov/geo/query/acc.cgi?acc=GSM249641","GSM249641")</f>
        <v>GSM249641</v>
      </c>
      <c r="I12265" t="s">
        <v>17</v>
      </c>
      <c r="J12265" t="s">
        <v>18</v>
      </c>
      <c r="K12265" t="s">
        <v>33</v>
      </c>
      <c r="L12265" t="s">
        <v>20</v>
      </c>
      <c r="N12265" t="s">
        <v>29</v>
      </c>
    </row>
    <row r="12266" spans="1:14">
      <c r="A12266" s="4" t="str">
        <f t="shared" si="1063"/>
        <v>EXP00389</v>
      </c>
      <c r="B12266" s="4" t="str">
        <f t="shared" si="1064"/>
        <v>18347175</v>
      </c>
      <c r="C12266" s="4" t="str">
        <f t="shared" si="1065"/>
        <v>GSE9893</v>
      </c>
      <c r="D12266" s="1" t="s">
        <v>492</v>
      </c>
      <c r="E12266" t="s">
        <v>30</v>
      </c>
      <c r="F12266" s="1">
        <v>2</v>
      </c>
      <c r="G12266" s="1" t="s">
        <v>32</v>
      </c>
      <c r="H12266" s="4" t="str">
        <f>HYPERLINK("https://www.ncbi.nlm.nih.gov/geo/query/acc.cgi?acc=GSM249642","GSM249642")</f>
        <v>GSM249642</v>
      </c>
      <c r="I12266" t="s">
        <v>17</v>
      </c>
      <c r="J12266" t="s">
        <v>18</v>
      </c>
      <c r="K12266" t="s">
        <v>33</v>
      </c>
      <c r="L12266" t="s">
        <v>20</v>
      </c>
      <c r="N12266" t="s">
        <v>29</v>
      </c>
    </row>
    <row r="12267" spans="1:14">
      <c r="A12267" s="4" t="str">
        <f t="shared" si="1063"/>
        <v>EXP00389</v>
      </c>
      <c r="B12267" s="4" t="str">
        <f t="shared" si="1064"/>
        <v>18347175</v>
      </c>
      <c r="C12267" s="4" t="str">
        <f t="shared" si="1065"/>
        <v>GSE9893</v>
      </c>
      <c r="D12267" s="1" t="s">
        <v>492</v>
      </c>
      <c r="E12267" t="s">
        <v>30</v>
      </c>
      <c r="F12267" s="1">
        <v>2</v>
      </c>
      <c r="G12267" s="1" t="s">
        <v>32</v>
      </c>
      <c r="H12267" s="4" t="str">
        <f>HYPERLINK("https://www.ncbi.nlm.nih.gov/geo/query/acc.cgi?acc=GSM249643","GSM249643")</f>
        <v>GSM249643</v>
      </c>
      <c r="I12267" t="s">
        <v>17</v>
      </c>
      <c r="J12267" t="s">
        <v>18</v>
      </c>
      <c r="K12267" t="s">
        <v>33</v>
      </c>
      <c r="L12267" t="s">
        <v>20</v>
      </c>
      <c r="N12267" t="s">
        <v>29</v>
      </c>
    </row>
    <row r="12268" spans="1:14">
      <c r="A12268" s="4" t="str">
        <f t="shared" si="1063"/>
        <v>EXP00389</v>
      </c>
      <c r="B12268" s="4" t="str">
        <f t="shared" si="1064"/>
        <v>18347175</v>
      </c>
      <c r="C12268" s="4" t="str">
        <f t="shared" si="1065"/>
        <v>GSE9893</v>
      </c>
      <c r="D12268" s="1" t="s">
        <v>492</v>
      </c>
      <c r="E12268" t="s">
        <v>30</v>
      </c>
      <c r="F12268" s="1">
        <v>2</v>
      </c>
      <c r="G12268" s="1" t="s">
        <v>32</v>
      </c>
      <c r="H12268" s="4" t="str">
        <f>HYPERLINK("https://www.ncbi.nlm.nih.gov/geo/query/acc.cgi?acc=GSM249644","GSM249644")</f>
        <v>GSM249644</v>
      </c>
      <c r="I12268" t="s">
        <v>17</v>
      </c>
      <c r="J12268" t="s">
        <v>18</v>
      </c>
      <c r="K12268" t="s">
        <v>33</v>
      </c>
      <c r="L12268" t="s">
        <v>20</v>
      </c>
      <c r="N12268" t="s">
        <v>29</v>
      </c>
    </row>
    <row r="12269" spans="1:14">
      <c r="A12269" s="4" t="str">
        <f t="shared" si="1063"/>
        <v>EXP00389</v>
      </c>
      <c r="B12269" s="4" t="str">
        <f t="shared" si="1064"/>
        <v>18347175</v>
      </c>
      <c r="C12269" s="4" t="str">
        <f t="shared" si="1065"/>
        <v>GSE9893</v>
      </c>
      <c r="D12269" s="1" t="s">
        <v>492</v>
      </c>
      <c r="E12269" t="s">
        <v>30</v>
      </c>
      <c r="F12269" s="1">
        <v>2</v>
      </c>
      <c r="G12269" s="1" t="s">
        <v>32</v>
      </c>
      <c r="H12269" s="4" t="str">
        <f>HYPERLINK("https://www.ncbi.nlm.nih.gov/geo/query/acc.cgi?acc=GSM249646","GSM249646")</f>
        <v>GSM249646</v>
      </c>
      <c r="I12269" t="s">
        <v>17</v>
      </c>
      <c r="J12269" t="s">
        <v>18</v>
      </c>
      <c r="K12269" t="s">
        <v>33</v>
      </c>
      <c r="L12269" t="s">
        <v>20</v>
      </c>
      <c r="N12269" t="s">
        <v>29</v>
      </c>
    </row>
    <row r="12270" spans="1:14">
      <c r="A12270" s="4" t="str">
        <f t="shared" si="1063"/>
        <v>EXP00389</v>
      </c>
      <c r="B12270" s="4" t="str">
        <f t="shared" si="1064"/>
        <v>18347175</v>
      </c>
      <c r="C12270" s="4" t="str">
        <f t="shared" si="1065"/>
        <v>GSE9893</v>
      </c>
      <c r="D12270" s="1" t="s">
        <v>492</v>
      </c>
      <c r="E12270" t="s">
        <v>30</v>
      </c>
      <c r="F12270" s="1">
        <v>2</v>
      </c>
      <c r="G12270" s="1" t="s">
        <v>32</v>
      </c>
      <c r="H12270" s="4" t="str">
        <f>HYPERLINK("https://www.ncbi.nlm.nih.gov/geo/query/acc.cgi?acc=GSM249648","GSM249648")</f>
        <v>GSM249648</v>
      </c>
      <c r="I12270" t="s">
        <v>17</v>
      </c>
      <c r="J12270" t="s">
        <v>18</v>
      </c>
      <c r="K12270" t="s">
        <v>33</v>
      </c>
      <c r="L12270" t="s">
        <v>20</v>
      </c>
      <c r="N12270" t="s">
        <v>29</v>
      </c>
    </row>
    <row r="12271" spans="1:14">
      <c r="A12271" s="4" t="str">
        <f t="shared" si="1063"/>
        <v>EXP00389</v>
      </c>
      <c r="B12271" s="4" t="str">
        <f t="shared" si="1064"/>
        <v>18347175</v>
      </c>
      <c r="C12271" s="4" t="str">
        <f t="shared" si="1065"/>
        <v>GSE9893</v>
      </c>
      <c r="D12271" s="1" t="s">
        <v>492</v>
      </c>
      <c r="E12271" t="s">
        <v>30</v>
      </c>
      <c r="F12271" s="1">
        <v>2</v>
      </c>
      <c r="G12271" s="1" t="s">
        <v>32</v>
      </c>
      <c r="H12271" s="4" t="str">
        <f>HYPERLINK("https://www.ncbi.nlm.nih.gov/geo/query/acc.cgi?acc=GSM249649","GSM249649")</f>
        <v>GSM249649</v>
      </c>
      <c r="I12271" t="s">
        <v>17</v>
      </c>
      <c r="J12271" t="s">
        <v>18</v>
      </c>
      <c r="K12271" t="s">
        <v>33</v>
      </c>
      <c r="L12271" t="s">
        <v>20</v>
      </c>
      <c r="N12271" t="s">
        <v>29</v>
      </c>
    </row>
    <row r="12272" spans="1:14">
      <c r="A12272" s="4" t="str">
        <f t="shared" si="1063"/>
        <v>EXP00389</v>
      </c>
      <c r="B12272" s="4" t="str">
        <f t="shared" si="1064"/>
        <v>18347175</v>
      </c>
      <c r="C12272" s="4" t="str">
        <f t="shared" si="1065"/>
        <v>GSE9893</v>
      </c>
      <c r="D12272" s="1" t="s">
        <v>492</v>
      </c>
      <c r="E12272" t="s">
        <v>30</v>
      </c>
      <c r="F12272" s="1">
        <v>2</v>
      </c>
      <c r="G12272" s="1" t="s">
        <v>32</v>
      </c>
      <c r="H12272" s="4" t="str">
        <f>HYPERLINK("https://www.ncbi.nlm.nih.gov/geo/query/acc.cgi?acc=GSM249650","GSM249650")</f>
        <v>GSM249650</v>
      </c>
      <c r="I12272" t="s">
        <v>17</v>
      </c>
      <c r="J12272" t="s">
        <v>18</v>
      </c>
      <c r="K12272" t="s">
        <v>33</v>
      </c>
      <c r="L12272" t="s">
        <v>20</v>
      </c>
      <c r="N12272" t="s">
        <v>29</v>
      </c>
    </row>
    <row r="12273" spans="1:14">
      <c r="A12273" s="4" t="str">
        <f t="shared" ref="A12273:A12304" si="1066">HYPERLINK("http://hcmdb.i-sanger.com/experiment/details/experiment_id/EXP00389","EXP00389")</f>
        <v>EXP00389</v>
      </c>
      <c r="B12273" s="4" t="str">
        <f t="shared" ref="B12273:B12304" si="1067">HYPERLINK("https://www.ncbi.nlm.nih.gov/pubmed/18347175","18347175")</f>
        <v>18347175</v>
      </c>
      <c r="C12273" s="4" t="str">
        <f t="shared" ref="C12273:C12304" si="1068">HYPERLINK("https://www.ncbi.nlm.nih.gov/geo/query/acc.cgi?acc=GSE9893","GSE9893")</f>
        <v>GSE9893</v>
      </c>
      <c r="D12273" s="1" t="s">
        <v>492</v>
      </c>
      <c r="E12273" t="s">
        <v>30</v>
      </c>
      <c r="F12273" s="1">
        <v>2</v>
      </c>
      <c r="G12273" s="1" t="s">
        <v>32</v>
      </c>
      <c r="H12273" s="4" t="str">
        <f>HYPERLINK("https://www.ncbi.nlm.nih.gov/geo/query/acc.cgi?acc=GSM249651","GSM249651")</f>
        <v>GSM249651</v>
      </c>
      <c r="I12273" t="s">
        <v>17</v>
      </c>
      <c r="J12273" t="s">
        <v>18</v>
      </c>
      <c r="K12273" t="s">
        <v>33</v>
      </c>
      <c r="L12273" t="s">
        <v>20</v>
      </c>
      <c r="N12273" t="s">
        <v>29</v>
      </c>
    </row>
    <row r="12274" spans="1:14">
      <c r="A12274" s="4" t="str">
        <f t="shared" si="1066"/>
        <v>EXP00389</v>
      </c>
      <c r="B12274" s="4" t="str">
        <f t="shared" si="1067"/>
        <v>18347175</v>
      </c>
      <c r="C12274" s="4" t="str">
        <f t="shared" si="1068"/>
        <v>GSE9893</v>
      </c>
      <c r="D12274" s="1" t="s">
        <v>492</v>
      </c>
      <c r="E12274" t="s">
        <v>30</v>
      </c>
      <c r="F12274" s="1">
        <v>2</v>
      </c>
      <c r="G12274" s="1" t="s">
        <v>32</v>
      </c>
      <c r="H12274" s="4" t="str">
        <f>HYPERLINK("https://www.ncbi.nlm.nih.gov/geo/query/acc.cgi?acc=GSM249652","GSM249652")</f>
        <v>GSM249652</v>
      </c>
      <c r="I12274" t="s">
        <v>17</v>
      </c>
      <c r="J12274" t="s">
        <v>18</v>
      </c>
      <c r="K12274" t="s">
        <v>33</v>
      </c>
      <c r="L12274" t="s">
        <v>20</v>
      </c>
      <c r="N12274" t="s">
        <v>29</v>
      </c>
    </row>
    <row r="12275" spans="1:14">
      <c r="A12275" s="4" t="str">
        <f t="shared" si="1066"/>
        <v>EXP00389</v>
      </c>
      <c r="B12275" s="4" t="str">
        <f t="shared" si="1067"/>
        <v>18347175</v>
      </c>
      <c r="C12275" s="4" t="str">
        <f t="shared" si="1068"/>
        <v>GSE9893</v>
      </c>
      <c r="D12275" s="1" t="s">
        <v>492</v>
      </c>
      <c r="E12275" t="s">
        <v>30</v>
      </c>
      <c r="F12275" s="1">
        <v>2</v>
      </c>
      <c r="G12275" s="1" t="s">
        <v>32</v>
      </c>
      <c r="H12275" s="4" t="str">
        <f>HYPERLINK("https://www.ncbi.nlm.nih.gov/geo/query/acc.cgi?acc=GSM249653","GSM249653")</f>
        <v>GSM249653</v>
      </c>
      <c r="I12275" t="s">
        <v>17</v>
      </c>
      <c r="J12275" t="s">
        <v>18</v>
      </c>
      <c r="K12275" t="s">
        <v>33</v>
      </c>
      <c r="L12275" t="s">
        <v>20</v>
      </c>
      <c r="N12275" t="s">
        <v>29</v>
      </c>
    </row>
    <row r="12276" spans="1:14">
      <c r="A12276" s="4" t="str">
        <f t="shared" si="1066"/>
        <v>EXP00389</v>
      </c>
      <c r="B12276" s="4" t="str">
        <f t="shared" si="1067"/>
        <v>18347175</v>
      </c>
      <c r="C12276" s="4" t="str">
        <f t="shared" si="1068"/>
        <v>GSE9893</v>
      </c>
      <c r="D12276" s="1" t="s">
        <v>492</v>
      </c>
      <c r="E12276" t="s">
        <v>30</v>
      </c>
      <c r="F12276" s="1">
        <v>2</v>
      </c>
      <c r="G12276" s="1" t="s">
        <v>32</v>
      </c>
      <c r="H12276" s="4" t="str">
        <f>HYPERLINK("https://www.ncbi.nlm.nih.gov/geo/query/acc.cgi?acc=GSM249654","GSM249654")</f>
        <v>GSM249654</v>
      </c>
      <c r="I12276" t="s">
        <v>17</v>
      </c>
      <c r="J12276" t="s">
        <v>18</v>
      </c>
      <c r="K12276" t="s">
        <v>33</v>
      </c>
      <c r="L12276" t="s">
        <v>20</v>
      </c>
      <c r="N12276" t="s">
        <v>29</v>
      </c>
    </row>
    <row r="12277" spans="1:14">
      <c r="A12277" s="4" t="str">
        <f t="shared" si="1066"/>
        <v>EXP00389</v>
      </c>
      <c r="B12277" s="4" t="str">
        <f t="shared" si="1067"/>
        <v>18347175</v>
      </c>
      <c r="C12277" s="4" t="str">
        <f t="shared" si="1068"/>
        <v>GSE9893</v>
      </c>
      <c r="D12277" s="1" t="s">
        <v>492</v>
      </c>
      <c r="E12277" t="s">
        <v>30</v>
      </c>
      <c r="F12277" s="1">
        <v>2</v>
      </c>
      <c r="G12277" s="1" t="s">
        <v>32</v>
      </c>
      <c r="H12277" s="4" t="str">
        <f>HYPERLINK("https://www.ncbi.nlm.nih.gov/geo/query/acc.cgi?acc=GSM249657","GSM249657")</f>
        <v>GSM249657</v>
      </c>
      <c r="I12277" t="s">
        <v>17</v>
      </c>
      <c r="J12277" t="s">
        <v>18</v>
      </c>
      <c r="K12277" t="s">
        <v>33</v>
      </c>
      <c r="L12277" t="s">
        <v>20</v>
      </c>
      <c r="N12277" t="s">
        <v>29</v>
      </c>
    </row>
    <row r="12278" spans="1:14">
      <c r="A12278" s="4" t="str">
        <f t="shared" si="1066"/>
        <v>EXP00389</v>
      </c>
      <c r="B12278" s="4" t="str">
        <f t="shared" si="1067"/>
        <v>18347175</v>
      </c>
      <c r="C12278" s="4" t="str">
        <f t="shared" si="1068"/>
        <v>GSE9893</v>
      </c>
      <c r="D12278" s="1" t="s">
        <v>492</v>
      </c>
      <c r="E12278" t="s">
        <v>30</v>
      </c>
      <c r="F12278" s="1">
        <v>2</v>
      </c>
      <c r="G12278" s="1" t="s">
        <v>32</v>
      </c>
      <c r="H12278" s="4" t="str">
        <f>HYPERLINK("https://www.ncbi.nlm.nih.gov/geo/query/acc.cgi?acc=GSM249658","GSM249658")</f>
        <v>GSM249658</v>
      </c>
      <c r="I12278" t="s">
        <v>17</v>
      </c>
      <c r="J12278" t="s">
        <v>18</v>
      </c>
      <c r="K12278" t="s">
        <v>33</v>
      </c>
      <c r="L12278" t="s">
        <v>20</v>
      </c>
      <c r="N12278" t="s">
        <v>29</v>
      </c>
    </row>
    <row r="12279" spans="1:14">
      <c r="A12279" s="4" t="str">
        <f t="shared" si="1066"/>
        <v>EXP00389</v>
      </c>
      <c r="B12279" s="4" t="str">
        <f t="shared" si="1067"/>
        <v>18347175</v>
      </c>
      <c r="C12279" s="4" t="str">
        <f t="shared" si="1068"/>
        <v>GSE9893</v>
      </c>
      <c r="D12279" s="1" t="s">
        <v>492</v>
      </c>
      <c r="E12279" t="s">
        <v>30</v>
      </c>
      <c r="F12279" s="1">
        <v>2</v>
      </c>
      <c r="G12279" s="1" t="s">
        <v>32</v>
      </c>
      <c r="H12279" s="4" t="str">
        <f>HYPERLINK("https://www.ncbi.nlm.nih.gov/geo/query/acc.cgi?acc=GSM249659","GSM249659")</f>
        <v>GSM249659</v>
      </c>
      <c r="I12279" t="s">
        <v>17</v>
      </c>
      <c r="J12279" t="s">
        <v>18</v>
      </c>
      <c r="K12279" t="s">
        <v>33</v>
      </c>
      <c r="L12279" t="s">
        <v>20</v>
      </c>
      <c r="N12279" t="s">
        <v>29</v>
      </c>
    </row>
    <row r="12280" spans="1:14">
      <c r="A12280" s="4" t="str">
        <f t="shared" si="1066"/>
        <v>EXP00389</v>
      </c>
      <c r="B12280" s="4" t="str">
        <f t="shared" si="1067"/>
        <v>18347175</v>
      </c>
      <c r="C12280" s="4" t="str">
        <f t="shared" si="1068"/>
        <v>GSE9893</v>
      </c>
      <c r="D12280" s="1" t="s">
        <v>492</v>
      </c>
      <c r="E12280" t="s">
        <v>30</v>
      </c>
      <c r="F12280" s="1">
        <v>2</v>
      </c>
      <c r="G12280" s="1" t="s">
        <v>32</v>
      </c>
      <c r="H12280" s="4" t="str">
        <f>HYPERLINK("https://www.ncbi.nlm.nih.gov/geo/query/acc.cgi?acc=GSM249663","GSM249663")</f>
        <v>GSM249663</v>
      </c>
      <c r="I12280" t="s">
        <v>17</v>
      </c>
      <c r="J12280" t="s">
        <v>18</v>
      </c>
      <c r="K12280" t="s">
        <v>33</v>
      </c>
      <c r="L12280" t="s">
        <v>20</v>
      </c>
      <c r="N12280" t="s">
        <v>29</v>
      </c>
    </row>
    <row r="12281" spans="1:14">
      <c r="A12281" s="4" t="str">
        <f t="shared" si="1066"/>
        <v>EXP00389</v>
      </c>
      <c r="B12281" s="4" t="str">
        <f t="shared" si="1067"/>
        <v>18347175</v>
      </c>
      <c r="C12281" s="4" t="str">
        <f t="shared" si="1068"/>
        <v>GSE9893</v>
      </c>
      <c r="D12281" s="1" t="s">
        <v>492</v>
      </c>
      <c r="E12281" t="s">
        <v>30</v>
      </c>
      <c r="F12281" s="1">
        <v>2</v>
      </c>
      <c r="G12281" s="1" t="s">
        <v>32</v>
      </c>
      <c r="H12281" s="4" t="str">
        <f>HYPERLINK("https://www.ncbi.nlm.nih.gov/geo/query/acc.cgi?acc=GSM249664","GSM249664")</f>
        <v>GSM249664</v>
      </c>
      <c r="I12281" t="s">
        <v>17</v>
      </c>
      <c r="J12281" t="s">
        <v>18</v>
      </c>
      <c r="K12281" t="s">
        <v>33</v>
      </c>
      <c r="L12281" t="s">
        <v>20</v>
      </c>
      <c r="N12281" t="s">
        <v>29</v>
      </c>
    </row>
    <row r="12282" spans="1:14">
      <c r="A12282" s="4" t="str">
        <f t="shared" si="1066"/>
        <v>EXP00389</v>
      </c>
      <c r="B12282" s="4" t="str">
        <f t="shared" si="1067"/>
        <v>18347175</v>
      </c>
      <c r="C12282" s="4" t="str">
        <f t="shared" si="1068"/>
        <v>GSE9893</v>
      </c>
      <c r="D12282" s="1" t="s">
        <v>492</v>
      </c>
      <c r="E12282" t="s">
        <v>30</v>
      </c>
      <c r="F12282" s="1">
        <v>2</v>
      </c>
      <c r="G12282" s="1" t="s">
        <v>32</v>
      </c>
      <c r="H12282" s="4" t="str">
        <f>HYPERLINK("https://www.ncbi.nlm.nih.gov/geo/query/acc.cgi?acc=GSM249665","GSM249665")</f>
        <v>GSM249665</v>
      </c>
      <c r="I12282" t="s">
        <v>17</v>
      </c>
      <c r="J12282" t="s">
        <v>18</v>
      </c>
      <c r="K12282" t="s">
        <v>33</v>
      </c>
      <c r="L12282" t="s">
        <v>20</v>
      </c>
      <c r="N12282" t="s">
        <v>29</v>
      </c>
    </row>
    <row r="12283" spans="1:14">
      <c r="A12283" s="4" t="str">
        <f t="shared" si="1066"/>
        <v>EXP00389</v>
      </c>
      <c r="B12283" s="4" t="str">
        <f t="shared" si="1067"/>
        <v>18347175</v>
      </c>
      <c r="C12283" s="4" t="str">
        <f t="shared" si="1068"/>
        <v>GSE9893</v>
      </c>
      <c r="D12283" s="1" t="s">
        <v>492</v>
      </c>
      <c r="E12283" t="s">
        <v>30</v>
      </c>
      <c r="F12283" s="1">
        <v>2</v>
      </c>
      <c r="G12283" s="1" t="s">
        <v>32</v>
      </c>
      <c r="H12283" s="4" t="str">
        <f>HYPERLINK("https://www.ncbi.nlm.nih.gov/geo/query/acc.cgi?acc=GSM249667","GSM249667")</f>
        <v>GSM249667</v>
      </c>
      <c r="I12283" t="s">
        <v>17</v>
      </c>
      <c r="J12283" t="s">
        <v>18</v>
      </c>
      <c r="K12283" t="s">
        <v>33</v>
      </c>
      <c r="L12283" t="s">
        <v>20</v>
      </c>
      <c r="N12283" t="s">
        <v>29</v>
      </c>
    </row>
    <row r="12284" spans="1:14">
      <c r="A12284" s="4" t="str">
        <f t="shared" si="1066"/>
        <v>EXP00389</v>
      </c>
      <c r="B12284" s="4" t="str">
        <f t="shared" si="1067"/>
        <v>18347175</v>
      </c>
      <c r="C12284" s="4" t="str">
        <f t="shared" si="1068"/>
        <v>GSE9893</v>
      </c>
      <c r="D12284" s="1" t="s">
        <v>492</v>
      </c>
      <c r="E12284" t="s">
        <v>30</v>
      </c>
      <c r="F12284" s="1">
        <v>2</v>
      </c>
      <c r="G12284" s="1" t="s">
        <v>32</v>
      </c>
      <c r="H12284" s="4" t="str">
        <f>HYPERLINK("https://www.ncbi.nlm.nih.gov/geo/query/acc.cgi?acc=GSM249668","GSM249668")</f>
        <v>GSM249668</v>
      </c>
      <c r="I12284" t="s">
        <v>17</v>
      </c>
      <c r="J12284" t="s">
        <v>18</v>
      </c>
      <c r="K12284" t="s">
        <v>33</v>
      </c>
      <c r="L12284" t="s">
        <v>20</v>
      </c>
      <c r="N12284" t="s">
        <v>29</v>
      </c>
    </row>
    <row r="12285" spans="1:14">
      <c r="A12285" s="4" t="str">
        <f t="shared" si="1066"/>
        <v>EXP00389</v>
      </c>
      <c r="B12285" s="4" t="str">
        <f t="shared" si="1067"/>
        <v>18347175</v>
      </c>
      <c r="C12285" s="4" t="str">
        <f t="shared" si="1068"/>
        <v>GSE9893</v>
      </c>
      <c r="D12285" s="1" t="s">
        <v>492</v>
      </c>
      <c r="E12285" t="s">
        <v>30</v>
      </c>
      <c r="F12285" s="1">
        <v>2</v>
      </c>
      <c r="G12285" s="1" t="s">
        <v>32</v>
      </c>
      <c r="H12285" s="4" t="str">
        <f>HYPERLINK("https://www.ncbi.nlm.nih.gov/geo/query/acc.cgi?acc=GSM249669","GSM249669")</f>
        <v>GSM249669</v>
      </c>
      <c r="I12285" t="s">
        <v>17</v>
      </c>
      <c r="J12285" t="s">
        <v>18</v>
      </c>
      <c r="K12285" t="s">
        <v>33</v>
      </c>
      <c r="L12285" t="s">
        <v>20</v>
      </c>
      <c r="N12285" t="s">
        <v>29</v>
      </c>
    </row>
    <row r="12286" spans="1:14">
      <c r="A12286" s="4" t="str">
        <f t="shared" si="1066"/>
        <v>EXP00389</v>
      </c>
      <c r="B12286" s="4" t="str">
        <f t="shared" si="1067"/>
        <v>18347175</v>
      </c>
      <c r="C12286" s="4" t="str">
        <f t="shared" si="1068"/>
        <v>GSE9893</v>
      </c>
      <c r="D12286" s="1" t="s">
        <v>492</v>
      </c>
      <c r="E12286" t="s">
        <v>30</v>
      </c>
      <c r="F12286" s="1">
        <v>2</v>
      </c>
      <c r="G12286" s="1" t="s">
        <v>32</v>
      </c>
      <c r="H12286" s="4" t="str">
        <f>HYPERLINK("https://www.ncbi.nlm.nih.gov/geo/query/acc.cgi?acc=GSM249670","GSM249670")</f>
        <v>GSM249670</v>
      </c>
      <c r="I12286" t="s">
        <v>17</v>
      </c>
      <c r="J12286" t="s">
        <v>18</v>
      </c>
      <c r="K12286" t="s">
        <v>33</v>
      </c>
      <c r="L12286" t="s">
        <v>20</v>
      </c>
      <c r="N12286" t="s">
        <v>29</v>
      </c>
    </row>
    <row r="12287" spans="1:14">
      <c r="A12287" s="4" t="str">
        <f t="shared" si="1066"/>
        <v>EXP00389</v>
      </c>
      <c r="B12287" s="4" t="str">
        <f t="shared" si="1067"/>
        <v>18347175</v>
      </c>
      <c r="C12287" s="4" t="str">
        <f t="shared" si="1068"/>
        <v>GSE9893</v>
      </c>
      <c r="D12287" s="1" t="s">
        <v>492</v>
      </c>
      <c r="E12287" t="s">
        <v>30</v>
      </c>
      <c r="F12287" s="1">
        <v>2</v>
      </c>
      <c r="G12287" s="1" t="s">
        <v>32</v>
      </c>
      <c r="H12287" s="4" t="str">
        <f>HYPERLINK("https://www.ncbi.nlm.nih.gov/geo/query/acc.cgi?acc=GSM249681","GSM249681")</f>
        <v>GSM249681</v>
      </c>
      <c r="I12287" t="s">
        <v>17</v>
      </c>
      <c r="J12287" t="s">
        <v>18</v>
      </c>
      <c r="K12287" t="s">
        <v>33</v>
      </c>
      <c r="L12287" t="s">
        <v>20</v>
      </c>
      <c r="N12287" t="s">
        <v>29</v>
      </c>
    </row>
    <row r="12288" spans="1:14">
      <c r="A12288" s="4" t="str">
        <f t="shared" si="1066"/>
        <v>EXP00389</v>
      </c>
      <c r="B12288" s="4" t="str">
        <f t="shared" si="1067"/>
        <v>18347175</v>
      </c>
      <c r="C12288" s="4" t="str">
        <f t="shared" si="1068"/>
        <v>GSE9893</v>
      </c>
      <c r="D12288" s="1" t="s">
        <v>492</v>
      </c>
      <c r="E12288" t="s">
        <v>30</v>
      </c>
      <c r="F12288" s="1">
        <v>2</v>
      </c>
      <c r="G12288" s="1" t="s">
        <v>32</v>
      </c>
      <c r="H12288" s="4" t="str">
        <f>HYPERLINK("https://www.ncbi.nlm.nih.gov/geo/query/acc.cgi?acc=GSM249682","GSM249682")</f>
        <v>GSM249682</v>
      </c>
      <c r="I12288" t="s">
        <v>17</v>
      </c>
      <c r="J12288" t="s">
        <v>18</v>
      </c>
      <c r="K12288" t="s">
        <v>33</v>
      </c>
      <c r="L12288" t="s">
        <v>20</v>
      </c>
      <c r="N12288" t="s">
        <v>29</v>
      </c>
    </row>
    <row r="12289" spans="1:14">
      <c r="A12289" s="4" t="str">
        <f t="shared" si="1066"/>
        <v>EXP00389</v>
      </c>
      <c r="B12289" s="4" t="str">
        <f t="shared" si="1067"/>
        <v>18347175</v>
      </c>
      <c r="C12289" s="4" t="str">
        <f t="shared" si="1068"/>
        <v>GSE9893</v>
      </c>
      <c r="D12289" s="1" t="s">
        <v>492</v>
      </c>
      <c r="E12289" t="s">
        <v>30</v>
      </c>
      <c r="F12289" s="1">
        <v>2</v>
      </c>
      <c r="G12289" s="1" t="s">
        <v>32</v>
      </c>
      <c r="H12289" s="4" t="str">
        <f>HYPERLINK("https://www.ncbi.nlm.nih.gov/geo/query/acc.cgi?acc=GSM249683","GSM249683")</f>
        <v>GSM249683</v>
      </c>
      <c r="I12289" t="s">
        <v>17</v>
      </c>
      <c r="J12289" t="s">
        <v>18</v>
      </c>
      <c r="K12289" t="s">
        <v>33</v>
      </c>
      <c r="L12289" t="s">
        <v>20</v>
      </c>
      <c r="N12289" t="s">
        <v>29</v>
      </c>
    </row>
    <row r="12290" spans="1:14">
      <c r="A12290" s="4" t="str">
        <f t="shared" si="1066"/>
        <v>EXP00389</v>
      </c>
      <c r="B12290" s="4" t="str">
        <f t="shared" si="1067"/>
        <v>18347175</v>
      </c>
      <c r="C12290" s="4" t="str">
        <f t="shared" si="1068"/>
        <v>GSE9893</v>
      </c>
      <c r="D12290" s="1" t="s">
        <v>492</v>
      </c>
      <c r="E12290" t="s">
        <v>30</v>
      </c>
      <c r="F12290" s="1">
        <v>2</v>
      </c>
      <c r="G12290" s="1" t="s">
        <v>32</v>
      </c>
      <c r="H12290" s="4" t="str">
        <f>HYPERLINK("https://www.ncbi.nlm.nih.gov/geo/query/acc.cgi?acc=GSM249684","GSM249684")</f>
        <v>GSM249684</v>
      </c>
      <c r="I12290" t="s">
        <v>17</v>
      </c>
      <c r="J12290" t="s">
        <v>18</v>
      </c>
      <c r="K12290" t="s">
        <v>33</v>
      </c>
      <c r="L12290" t="s">
        <v>20</v>
      </c>
      <c r="N12290" t="s">
        <v>29</v>
      </c>
    </row>
    <row r="12291" spans="1:14">
      <c r="A12291" s="4" t="str">
        <f t="shared" si="1066"/>
        <v>EXP00389</v>
      </c>
      <c r="B12291" s="4" t="str">
        <f t="shared" si="1067"/>
        <v>18347175</v>
      </c>
      <c r="C12291" s="4" t="str">
        <f t="shared" si="1068"/>
        <v>GSE9893</v>
      </c>
      <c r="D12291" s="1" t="s">
        <v>492</v>
      </c>
      <c r="E12291" t="s">
        <v>30</v>
      </c>
      <c r="F12291" s="1">
        <v>2</v>
      </c>
      <c r="G12291" s="1" t="s">
        <v>32</v>
      </c>
      <c r="H12291" s="4" t="str">
        <f>HYPERLINK("https://www.ncbi.nlm.nih.gov/geo/query/acc.cgi?acc=GSM249685","GSM249685")</f>
        <v>GSM249685</v>
      </c>
      <c r="I12291" t="s">
        <v>17</v>
      </c>
      <c r="J12291" t="s">
        <v>18</v>
      </c>
      <c r="K12291" t="s">
        <v>33</v>
      </c>
      <c r="L12291" t="s">
        <v>20</v>
      </c>
      <c r="N12291" t="s">
        <v>29</v>
      </c>
    </row>
    <row r="12292" spans="1:14">
      <c r="A12292" s="4" t="str">
        <f t="shared" si="1066"/>
        <v>EXP00389</v>
      </c>
      <c r="B12292" s="4" t="str">
        <f t="shared" si="1067"/>
        <v>18347175</v>
      </c>
      <c r="C12292" s="4" t="str">
        <f t="shared" si="1068"/>
        <v>GSE9893</v>
      </c>
      <c r="D12292" s="1" t="s">
        <v>492</v>
      </c>
      <c r="E12292" t="s">
        <v>30</v>
      </c>
      <c r="F12292" s="1">
        <v>2</v>
      </c>
      <c r="G12292" s="1" t="s">
        <v>32</v>
      </c>
      <c r="H12292" s="4" t="str">
        <f>HYPERLINK("https://www.ncbi.nlm.nih.gov/geo/query/acc.cgi?acc=GSM249686","GSM249686")</f>
        <v>GSM249686</v>
      </c>
      <c r="I12292" t="s">
        <v>17</v>
      </c>
      <c r="J12292" t="s">
        <v>18</v>
      </c>
      <c r="K12292" t="s">
        <v>33</v>
      </c>
      <c r="L12292" t="s">
        <v>20</v>
      </c>
      <c r="N12292" t="s">
        <v>29</v>
      </c>
    </row>
    <row r="12293" spans="1:14">
      <c r="A12293" s="4" t="str">
        <f t="shared" si="1066"/>
        <v>EXP00389</v>
      </c>
      <c r="B12293" s="4" t="str">
        <f t="shared" si="1067"/>
        <v>18347175</v>
      </c>
      <c r="C12293" s="4" t="str">
        <f t="shared" si="1068"/>
        <v>GSE9893</v>
      </c>
      <c r="D12293" s="1" t="s">
        <v>492</v>
      </c>
      <c r="E12293" t="s">
        <v>30</v>
      </c>
      <c r="F12293" s="1">
        <v>2</v>
      </c>
      <c r="G12293" s="1" t="s">
        <v>32</v>
      </c>
      <c r="H12293" s="4" t="str">
        <f>HYPERLINK("https://www.ncbi.nlm.nih.gov/geo/query/acc.cgi?acc=GSM249687","GSM249687")</f>
        <v>GSM249687</v>
      </c>
      <c r="I12293" t="s">
        <v>17</v>
      </c>
      <c r="J12293" t="s">
        <v>18</v>
      </c>
      <c r="K12293" t="s">
        <v>33</v>
      </c>
      <c r="L12293" t="s">
        <v>20</v>
      </c>
      <c r="N12293" t="s">
        <v>29</v>
      </c>
    </row>
    <row r="12294" spans="1:14">
      <c r="A12294" s="4" t="str">
        <f t="shared" si="1066"/>
        <v>EXP00389</v>
      </c>
      <c r="B12294" s="4" t="str">
        <f t="shared" si="1067"/>
        <v>18347175</v>
      </c>
      <c r="C12294" s="4" t="str">
        <f t="shared" si="1068"/>
        <v>GSE9893</v>
      </c>
      <c r="D12294" s="1" t="s">
        <v>492</v>
      </c>
      <c r="E12294" t="s">
        <v>30</v>
      </c>
      <c r="F12294" s="1">
        <v>2</v>
      </c>
      <c r="G12294" s="1" t="s">
        <v>32</v>
      </c>
      <c r="H12294" s="4" t="str">
        <f>HYPERLINK("https://www.ncbi.nlm.nih.gov/geo/query/acc.cgi?acc=GSM249688","GSM249688")</f>
        <v>GSM249688</v>
      </c>
      <c r="I12294" t="s">
        <v>17</v>
      </c>
      <c r="J12294" t="s">
        <v>18</v>
      </c>
      <c r="K12294" t="s">
        <v>33</v>
      </c>
      <c r="L12294" t="s">
        <v>20</v>
      </c>
      <c r="N12294" t="s">
        <v>29</v>
      </c>
    </row>
    <row r="12295" spans="1:14">
      <c r="A12295" s="4" t="str">
        <f t="shared" si="1066"/>
        <v>EXP00389</v>
      </c>
      <c r="B12295" s="4" t="str">
        <f t="shared" si="1067"/>
        <v>18347175</v>
      </c>
      <c r="C12295" s="4" t="str">
        <f t="shared" si="1068"/>
        <v>GSE9893</v>
      </c>
      <c r="D12295" s="1" t="s">
        <v>492</v>
      </c>
      <c r="E12295" t="s">
        <v>30</v>
      </c>
      <c r="F12295" s="1">
        <v>2</v>
      </c>
      <c r="G12295" s="1" t="s">
        <v>32</v>
      </c>
      <c r="H12295" s="4" t="str">
        <f>HYPERLINK("https://www.ncbi.nlm.nih.gov/geo/query/acc.cgi?acc=GSM249689","GSM249689")</f>
        <v>GSM249689</v>
      </c>
      <c r="I12295" t="s">
        <v>17</v>
      </c>
      <c r="J12295" t="s">
        <v>18</v>
      </c>
      <c r="K12295" t="s">
        <v>33</v>
      </c>
      <c r="L12295" t="s">
        <v>20</v>
      </c>
      <c r="N12295" t="s">
        <v>29</v>
      </c>
    </row>
    <row r="12296" spans="1:14">
      <c r="A12296" s="4" t="str">
        <f t="shared" si="1066"/>
        <v>EXP00389</v>
      </c>
      <c r="B12296" s="4" t="str">
        <f t="shared" si="1067"/>
        <v>18347175</v>
      </c>
      <c r="C12296" s="4" t="str">
        <f t="shared" si="1068"/>
        <v>GSE9893</v>
      </c>
      <c r="D12296" s="1" t="s">
        <v>492</v>
      </c>
      <c r="E12296" t="s">
        <v>30</v>
      </c>
      <c r="F12296" s="1">
        <v>2</v>
      </c>
      <c r="G12296" s="1" t="s">
        <v>32</v>
      </c>
      <c r="H12296" s="4" t="str">
        <f>HYPERLINK("https://www.ncbi.nlm.nih.gov/geo/query/acc.cgi?acc=GSM249690","GSM249690")</f>
        <v>GSM249690</v>
      </c>
      <c r="I12296" t="s">
        <v>17</v>
      </c>
      <c r="J12296" t="s">
        <v>18</v>
      </c>
      <c r="K12296" t="s">
        <v>33</v>
      </c>
      <c r="L12296" t="s">
        <v>20</v>
      </c>
      <c r="N12296" t="s">
        <v>29</v>
      </c>
    </row>
    <row r="12297" spans="1:14">
      <c r="A12297" s="4" t="str">
        <f t="shared" si="1066"/>
        <v>EXP00389</v>
      </c>
      <c r="B12297" s="4" t="str">
        <f t="shared" si="1067"/>
        <v>18347175</v>
      </c>
      <c r="C12297" s="4" t="str">
        <f t="shared" si="1068"/>
        <v>GSE9893</v>
      </c>
      <c r="D12297" s="1" t="s">
        <v>492</v>
      </c>
      <c r="E12297" t="s">
        <v>30</v>
      </c>
      <c r="F12297" s="1">
        <v>2</v>
      </c>
      <c r="G12297" s="1" t="s">
        <v>32</v>
      </c>
      <c r="H12297" s="4" t="str">
        <f>HYPERLINK("https://www.ncbi.nlm.nih.gov/geo/query/acc.cgi?acc=GSM249691","GSM249691")</f>
        <v>GSM249691</v>
      </c>
      <c r="I12297" t="s">
        <v>17</v>
      </c>
      <c r="J12297" t="s">
        <v>18</v>
      </c>
      <c r="K12297" t="s">
        <v>33</v>
      </c>
      <c r="L12297" t="s">
        <v>20</v>
      </c>
      <c r="N12297" t="s">
        <v>29</v>
      </c>
    </row>
    <row r="12298" spans="1:14">
      <c r="A12298" s="4" t="str">
        <f t="shared" si="1066"/>
        <v>EXP00389</v>
      </c>
      <c r="B12298" s="4" t="str">
        <f t="shared" si="1067"/>
        <v>18347175</v>
      </c>
      <c r="C12298" s="4" t="str">
        <f t="shared" si="1068"/>
        <v>GSE9893</v>
      </c>
      <c r="D12298" s="1" t="s">
        <v>492</v>
      </c>
      <c r="E12298" t="s">
        <v>30</v>
      </c>
      <c r="F12298" s="1">
        <v>2</v>
      </c>
      <c r="G12298" s="1" t="s">
        <v>32</v>
      </c>
      <c r="H12298" s="4" t="str">
        <f>HYPERLINK("https://www.ncbi.nlm.nih.gov/geo/query/acc.cgi?acc=GSM249692","GSM249692")</f>
        <v>GSM249692</v>
      </c>
      <c r="I12298" t="s">
        <v>17</v>
      </c>
      <c r="J12298" t="s">
        <v>18</v>
      </c>
      <c r="K12298" t="s">
        <v>33</v>
      </c>
      <c r="L12298" t="s">
        <v>20</v>
      </c>
      <c r="N12298" t="s">
        <v>29</v>
      </c>
    </row>
    <row r="12299" spans="1:14">
      <c r="A12299" s="4" t="str">
        <f t="shared" si="1066"/>
        <v>EXP00389</v>
      </c>
      <c r="B12299" s="4" t="str">
        <f t="shared" si="1067"/>
        <v>18347175</v>
      </c>
      <c r="C12299" s="4" t="str">
        <f t="shared" si="1068"/>
        <v>GSE9893</v>
      </c>
      <c r="D12299" s="1" t="s">
        <v>492</v>
      </c>
      <c r="E12299" t="s">
        <v>30</v>
      </c>
      <c r="F12299" s="1">
        <v>2</v>
      </c>
      <c r="G12299" s="1" t="s">
        <v>32</v>
      </c>
      <c r="H12299" s="4" t="str">
        <f>HYPERLINK("https://www.ncbi.nlm.nih.gov/geo/query/acc.cgi?acc=GSM249693","GSM249693")</f>
        <v>GSM249693</v>
      </c>
      <c r="I12299" t="s">
        <v>17</v>
      </c>
      <c r="J12299" t="s">
        <v>18</v>
      </c>
      <c r="K12299" t="s">
        <v>33</v>
      </c>
      <c r="L12299" t="s">
        <v>20</v>
      </c>
      <c r="N12299" t="s">
        <v>29</v>
      </c>
    </row>
    <row r="12300" spans="1:14">
      <c r="A12300" s="4" t="str">
        <f t="shared" si="1066"/>
        <v>EXP00389</v>
      </c>
      <c r="B12300" s="4" t="str">
        <f t="shared" si="1067"/>
        <v>18347175</v>
      </c>
      <c r="C12300" s="4" t="str">
        <f t="shared" si="1068"/>
        <v>GSE9893</v>
      </c>
      <c r="D12300" s="1" t="s">
        <v>492</v>
      </c>
      <c r="E12300" t="s">
        <v>30</v>
      </c>
      <c r="F12300" s="1">
        <v>2</v>
      </c>
      <c r="G12300" s="1" t="s">
        <v>32</v>
      </c>
      <c r="H12300" s="4" t="str">
        <f>HYPERLINK("https://www.ncbi.nlm.nih.gov/geo/query/acc.cgi?acc=GSM249694","GSM249694")</f>
        <v>GSM249694</v>
      </c>
      <c r="I12300" t="s">
        <v>17</v>
      </c>
      <c r="J12300" t="s">
        <v>18</v>
      </c>
      <c r="K12300" t="s">
        <v>33</v>
      </c>
      <c r="L12300" t="s">
        <v>20</v>
      </c>
      <c r="N12300" t="s">
        <v>29</v>
      </c>
    </row>
    <row r="12301" spans="1:14">
      <c r="A12301" s="4" t="str">
        <f t="shared" si="1066"/>
        <v>EXP00389</v>
      </c>
      <c r="B12301" s="4" t="str">
        <f t="shared" si="1067"/>
        <v>18347175</v>
      </c>
      <c r="C12301" s="4" t="str">
        <f t="shared" si="1068"/>
        <v>GSE9893</v>
      </c>
      <c r="D12301" s="1" t="s">
        <v>492</v>
      </c>
      <c r="E12301" t="s">
        <v>30</v>
      </c>
      <c r="F12301" s="1">
        <v>2</v>
      </c>
      <c r="G12301" s="1" t="s">
        <v>32</v>
      </c>
      <c r="H12301" s="4" t="str">
        <f>HYPERLINK("https://www.ncbi.nlm.nih.gov/geo/query/acc.cgi?acc=GSM249695","GSM249695")</f>
        <v>GSM249695</v>
      </c>
      <c r="I12301" t="s">
        <v>17</v>
      </c>
      <c r="J12301" t="s">
        <v>18</v>
      </c>
      <c r="K12301" t="s">
        <v>33</v>
      </c>
      <c r="L12301" t="s">
        <v>20</v>
      </c>
      <c r="N12301" t="s">
        <v>29</v>
      </c>
    </row>
    <row r="12302" spans="1:14">
      <c r="A12302" s="4" t="str">
        <f t="shared" si="1066"/>
        <v>EXP00389</v>
      </c>
      <c r="B12302" s="4" t="str">
        <f t="shared" si="1067"/>
        <v>18347175</v>
      </c>
      <c r="C12302" s="4" t="str">
        <f t="shared" si="1068"/>
        <v>GSE9893</v>
      </c>
      <c r="D12302" s="1" t="s">
        <v>492</v>
      </c>
      <c r="E12302" t="s">
        <v>30</v>
      </c>
      <c r="F12302" s="1">
        <v>2</v>
      </c>
      <c r="G12302" s="1" t="s">
        <v>32</v>
      </c>
      <c r="H12302" s="4" t="str">
        <f>HYPERLINK("https://www.ncbi.nlm.nih.gov/geo/query/acc.cgi?acc=GSM249696","GSM249696")</f>
        <v>GSM249696</v>
      </c>
      <c r="I12302" t="s">
        <v>17</v>
      </c>
      <c r="J12302" t="s">
        <v>18</v>
      </c>
      <c r="K12302" t="s">
        <v>33</v>
      </c>
      <c r="L12302" t="s">
        <v>20</v>
      </c>
      <c r="N12302" t="s">
        <v>29</v>
      </c>
    </row>
    <row r="12303" spans="1:14">
      <c r="A12303" s="4" t="str">
        <f t="shared" si="1066"/>
        <v>EXP00389</v>
      </c>
      <c r="B12303" s="4" t="str">
        <f t="shared" si="1067"/>
        <v>18347175</v>
      </c>
      <c r="C12303" s="4" t="str">
        <f t="shared" si="1068"/>
        <v>GSE9893</v>
      </c>
      <c r="D12303" s="1" t="s">
        <v>492</v>
      </c>
      <c r="E12303" t="s">
        <v>30</v>
      </c>
      <c r="F12303" s="1">
        <v>2</v>
      </c>
      <c r="G12303" s="1" t="s">
        <v>32</v>
      </c>
      <c r="H12303" s="4" t="str">
        <f>HYPERLINK("https://www.ncbi.nlm.nih.gov/geo/query/acc.cgi?acc=GSM249698","GSM249698")</f>
        <v>GSM249698</v>
      </c>
      <c r="I12303" t="s">
        <v>17</v>
      </c>
      <c r="J12303" t="s">
        <v>18</v>
      </c>
      <c r="K12303" t="s">
        <v>33</v>
      </c>
      <c r="L12303" t="s">
        <v>20</v>
      </c>
      <c r="N12303" t="s">
        <v>29</v>
      </c>
    </row>
    <row r="12304" spans="1:14">
      <c r="A12304" s="4" t="str">
        <f t="shared" si="1066"/>
        <v>EXP00389</v>
      </c>
      <c r="B12304" s="4" t="str">
        <f t="shared" si="1067"/>
        <v>18347175</v>
      </c>
      <c r="C12304" s="4" t="str">
        <f t="shared" si="1068"/>
        <v>GSE9893</v>
      </c>
      <c r="D12304" s="1" t="s">
        <v>492</v>
      </c>
      <c r="E12304" t="s">
        <v>30</v>
      </c>
      <c r="F12304" s="1">
        <v>2</v>
      </c>
      <c r="G12304" s="1" t="s">
        <v>32</v>
      </c>
      <c r="H12304" s="4" t="str">
        <f>HYPERLINK("https://www.ncbi.nlm.nih.gov/geo/query/acc.cgi?acc=GSM249699","GSM249699")</f>
        <v>GSM249699</v>
      </c>
      <c r="I12304" t="s">
        <v>17</v>
      </c>
      <c r="J12304" t="s">
        <v>18</v>
      </c>
      <c r="K12304" t="s">
        <v>33</v>
      </c>
      <c r="L12304" t="s">
        <v>20</v>
      </c>
      <c r="N12304" t="s">
        <v>29</v>
      </c>
    </row>
    <row r="12305" spans="1:14">
      <c r="A12305" s="4" t="str">
        <f t="shared" ref="A12305:A12331" si="1069">HYPERLINK("http://hcmdb.i-sanger.com/experiment/details/experiment_id/EXP00389","EXP00389")</f>
        <v>EXP00389</v>
      </c>
      <c r="B12305" s="4" t="str">
        <f t="shared" ref="B12305:B12331" si="1070">HYPERLINK("https://www.ncbi.nlm.nih.gov/pubmed/18347175","18347175")</f>
        <v>18347175</v>
      </c>
      <c r="C12305" s="4" t="str">
        <f t="shared" ref="C12305:C12331" si="1071">HYPERLINK("https://www.ncbi.nlm.nih.gov/geo/query/acc.cgi?acc=GSE9893","GSE9893")</f>
        <v>GSE9893</v>
      </c>
      <c r="D12305" s="1" t="s">
        <v>492</v>
      </c>
      <c r="E12305" t="s">
        <v>30</v>
      </c>
      <c r="F12305" s="1">
        <v>2</v>
      </c>
      <c r="G12305" s="1" t="s">
        <v>32</v>
      </c>
      <c r="H12305" s="4" t="str">
        <f>HYPERLINK("https://www.ncbi.nlm.nih.gov/geo/query/acc.cgi?acc=GSM249700","GSM249700")</f>
        <v>GSM249700</v>
      </c>
      <c r="I12305" t="s">
        <v>17</v>
      </c>
      <c r="J12305" t="s">
        <v>18</v>
      </c>
      <c r="K12305" t="s">
        <v>33</v>
      </c>
      <c r="L12305" t="s">
        <v>20</v>
      </c>
      <c r="N12305" t="s">
        <v>29</v>
      </c>
    </row>
    <row r="12306" spans="1:14">
      <c r="A12306" s="4" t="str">
        <f t="shared" si="1069"/>
        <v>EXP00389</v>
      </c>
      <c r="B12306" s="4" t="str">
        <f t="shared" si="1070"/>
        <v>18347175</v>
      </c>
      <c r="C12306" s="4" t="str">
        <f t="shared" si="1071"/>
        <v>GSE9893</v>
      </c>
      <c r="D12306" s="1" t="s">
        <v>492</v>
      </c>
      <c r="E12306" t="s">
        <v>30</v>
      </c>
      <c r="F12306" s="1">
        <v>2</v>
      </c>
      <c r="G12306" s="1" t="s">
        <v>32</v>
      </c>
      <c r="H12306" s="4" t="str">
        <f>HYPERLINK("https://www.ncbi.nlm.nih.gov/geo/query/acc.cgi?acc=GSM249701","GSM249701")</f>
        <v>GSM249701</v>
      </c>
      <c r="I12306" t="s">
        <v>17</v>
      </c>
      <c r="J12306" t="s">
        <v>18</v>
      </c>
      <c r="K12306" t="s">
        <v>33</v>
      </c>
      <c r="L12306" t="s">
        <v>20</v>
      </c>
      <c r="N12306" t="s">
        <v>29</v>
      </c>
    </row>
    <row r="12307" spans="1:14">
      <c r="A12307" s="4" t="str">
        <f t="shared" si="1069"/>
        <v>EXP00389</v>
      </c>
      <c r="B12307" s="4" t="str">
        <f t="shared" si="1070"/>
        <v>18347175</v>
      </c>
      <c r="C12307" s="4" t="str">
        <f t="shared" si="1071"/>
        <v>GSE9893</v>
      </c>
      <c r="D12307" s="1" t="s">
        <v>492</v>
      </c>
      <c r="E12307" t="s">
        <v>30</v>
      </c>
      <c r="F12307" s="1">
        <v>2</v>
      </c>
      <c r="G12307" s="1" t="s">
        <v>32</v>
      </c>
      <c r="H12307" s="4" t="str">
        <f>HYPERLINK("https://www.ncbi.nlm.nih.gov/geo/query/acc.cgi?acc=GSM249702","GSM249702")</f>
        <v>GSM249702</v>
      </c>
      <c r="I12307" t="s">
        <v>17</v>
      </c>
      <c r="J12307" t="s">
        <v>18</v>
      </c>
      <c r="K12307" t="s">
        <v>33</v>
      </c>
      <c r="L12307" t="s">
        <v>20</v>
      </c>
      <c r="N12307" t="s">
        <v>29</v>
      </c>
    </row>
    <row r="12308" spans="1:14">
      <c r="A12308" s="4" t="str">
        <f t="shared" si="1069"/>
        <v>EXP00389</v>
      </c>
      <c r="B12308" s="4" t="str">
        <f t="shared" si="1070"/>
        <v>18347175</v>
      </c>
      <c r="C12308" s="4" t="str">
        <f t="shared" si="1071"/>
        <v>GSE9893</v>
      </c>
      <c r="D12308" s="1" t="s">
        <v>492</v>
      </c>
      <c r="E12308" t="s">
        <v>30</v>
      </c>
      <c r="F12308" s="1">
        <v>2</v>
      </c>
      <c r="G12308" s="1" t="s">
        <v>32</v>
      </c>
      <c r="H12308" s="4" t="str">
        <f>HYPERLINK("https://www.ncbi.nlm.nih.gov/geo/query/acc.cgi?acc=GSM249704","GSM249704")</f>
        <v>GSM249704</v>
      </c>
      <c r="I12308" t="s">
        <v>17</v>
      </c>
      <c r="J12308" t="s">
        <v>18</v>
      </c>
      <c r="K12308" t="s">
        <v>33</v>
      </c>
      <c r="L12308" t="s">
        <v>20</v>
      </c>
      <c r="N12308" t="s">
        <v>29</v>
      </c>
    </row>
    <row r="12309" spans="1:14">
      <c r="A12309" s="4" t="str">
        <f t="shared" si="1069"/>
        <v>EXP00389</v>
      </c>
      <c r="B12309" s="4" t="str">
        <f t="shared" si="1070"/>
        <v>18347175</v>
      </c>
      <c r="C12309" s="4" t="str">
        <f t="shared" si="1071"/>
        <v>GSE9893</v>
      </c>
      <c r="D12309" s="1" t="s">
        <v>492</v>
      </c>
      <c r="E12309" t="s">
        <v>30</v>
      </c>
      <c r="F12309" s="1">
        <v>2</v>
      </c>
      <c r="G12309" s="1" t="s">
        <v>32</v>
      </c>
      <c r="H12309" s="4" t="str">
        <f>HYPERLINK("https://www.ncbi.nlm.nih.gov/geo/query/acc.cgi?acc=GSM249705","GSM249705")</f>
        <v>GSM249705</v>
      </c>
      <c r="I12309" t="s">
        <v>17</v>
      </c>
      <c r="J12309" t="s">
        <v>18</v>
      </c>
      <c r="K12309" t="s">
        <v>33</v>
      </c>
      <c r="L12309" t="s">
        <v>20</v>
      </c>
      <c r="N12309" t="s">
        <v>29</v>
      </c>
    </row>
    <row r="12310" spans="1:14">
      <c r="A12310" s="4" t="str">
        <f t="shared" si="1069"/>
        <v>EXP00389</v>
      </c>
      <c r="B12310" s="4" t="str">
        <f t="shared" si="1070"/>
        <v>18347175</v>
      </c>
      <c r="C12310" s="4" t="str">
        <f t="shared" si="1071"/>
        <v>GSE9893</v>
      </c>
      <c r="D12310" s="1" t="s">
        <v>492</v>
      </c>
      <c r="E12310" t="s">
        <v>30</v>
      </c>
      <c r="F12310" s="1">
        <v>2</v>
      </c>
      <c r="G12310" s="1" t="s">
        <v>32</v>
      </c>
      <c r="H12310" s="4" t="str">
        <f>HYPERLINK("https://www.ncbi.nlm.nih.gov/geo/query/acc.cgi?acc=GSM249706","GSM249706")</f>
        <v>GSM249706</v>
      </c>
      <c r="I12310" t="s">
        <v>17</v>
      </c>
      <c r="J12310" t="s">
        <v>18</v>
      </c>
      <c r="K12310" t="s">
        <v>33</v>
      </c>
      <c r="L12310" t="s">
        <v>20</v>
      </c>
      <c r="N12310" t="s">
        <v>29</v>
      </c>
    </row>
    <row r="12311" spans="1:14">
      <c r="A12311" s="4" t="str">
        <f t="shared" si="1069"/>
        <v>EXP00389</v>
      </c>
      <c r="B12311" s="4" t="str">
        <f t="shared" si="1070"/>
        <v>18347175</v>
      </c>
      <c r="C12311" s="4" t="str">
        <f t="shared" si="1071"/>
        <v>GSE9893</v>
      </c>
      <c r="D12311" s="1" t="s">
        <v>492</v>
      </c>
      <c r="E12311" t="s">
        <v>30</v>
      </c>
      <c r="F12311" s="1">
        <v>2</v>
      </c>
      <c r="G12311" s="1" t="s">
        <v>32</v>
      </c>
      <c r="H12311" s="4" t="str">
        <f>HYPERLINK("https://www.ncbi.nlm.nih.gov/geo/query/acc.cgi?acc=GSM249707","GSM249707")</f>
        <v>GSM249707</v>
      </c>
      <c r="I12311" t="s">
        <v>17</v>
      </c>
      <c r="J12311" t="s">
        <v>18</v>
      </c>
      <c r="K12311" t="s">
        <v>33</v>
      </c>
      <c r="L12311" t="s">
        <v>20</v>
      </c>
      <c r="N12311" t="s">
        <v>29</v>
      </c>
    </row>
    <row r="12312" spans="1:14">
      <c r="A12312" s="4" t="str">
        <f t="shared" si="1069"/>
        <v>EXP00389</v>
      </c>
      <c r="B12312" s="4" t="str">
        <f t="shared" si="1070"/>
        <v>18347175</v>
      </c>
      <c r="C12312" s="4" t="str">
        <f t="shared" si="1071"/>
        <v>GSE9893</v>
      </c>
      <c r="D12312" s="1" t="s">
        <v>492</v>
      </c>
      <c r="E12312" t="s">
        <v>30</v>
      </c>
      <c r="F12312" s="1">
        <v>2</v>
      </c>
      <c r="G12312" s="1" t="s">
        <v>32</v>
      </c>
      <c r="H12312" s="4" t="str">
        <f>HYPERLINK("https://www.ncbi.nlm.nih.gov/geo/query/acc.cgi?acc=GSM249708","GSM249708")</f>
        <v>GSM249708</v>
      </c>
      <c r="I12312" t="s">
        <v>17</v>
      </c>
      <c r="J12312" t="s">
        <v>18</v>
      </c>
      <c r="K12312" t="s">
        <v>33</v>
      </c>
      <c r="L12312" t="s">
        <v>20</v>
      </c>
      <c r="N12312" t="s">
        <v>29</v>
      </c>
    </row>
    <row r="12313" spans="1:14">
      <c r="A12313" s="4" t="str">
        <f t="shared" si="1069"/>
        <v>EXP00389</v>
      </c>
      <c r="B12313" s="4" t="str">
        <f t="shared" si="1070"/>
        <v>18347175</v>
      </c>
      <c r="C12313" s="4" t="str">
        <f t="shared" si="1071"/>
        <v>GSE9893</v>
      </c>
      <c r="D12313" s="1" t="s">
        <v>492</v>
      </c>
      <c r="E12313" t="s">
        <v>30</v>
      </c>
      <c r="F12313" s="1">
        <v>2</v>
      </c>
      <c r="G12313" s="1" t="s">
        <v>32</v>
      </c>
      <c r="H12313" s="4" t="str">
        <f>HYPERLINK("https://www.ncbi.nlm.nih.gov/geo/query/acc.cgi?acc=GSM249709","GSM249709")</f>
        <v>GSM249709</v>
      </c>
      <c r="I12313" t="s">
        <v>17</v>
      </c>
      <c r="J12313" t="s">
        <v>18</v>
      </c>
      <c r="K12313" t="s">
        <v>33</v>
      </c>
      <c r="L12313" t="s">
        <v>20</v>
      </c>
      <c r="N12313" t="s">
        <v>29</v>
      </c>
    </row>
    <row r="12314" spans="1:14">
      <c r="A12314" s="4" t="str">
        <f t="shared" si="1069"/>
        <v>EXP00389</v>
      </c>
      <c r="B12314" s="4" t="str">
        <f t="shared" si="1070"/>
        <v>18347175</v>
      </c>
      <c r="C12314" s="4" t="str">
        <f t="shared" si="1071"/>
        <v>GSE9893</v>
      </c>
      <c r="D12314" s="1" t="s">
        <v>492</v>
      </c>
      <c r="E12314" t="s">
        <v>30</v>
      </c>
      <c r="F12314" s="1">
        <v>2</v>
      </c>
      <c r="G12314" s="1" t="s">
        <v>32</v>
      </c>
      <c r="H12314" s="4" t="str">
        <f>HYPERLINK("https://www.ncbi.nlm.nih.gov/geo/query/acc.cgi?acc=GSM249710","GSM249710")</f>
        <v>GSM249710</v>
      </c>
      <c r="I12314" t="s">
        <v>17</v>
      </c>
      <c r="J12314" t="s">
        <v>18</v>
      </c>
      <c r="K12314" t="s">
        <v>33</v>
      </c>
      <c r="L12314" t="s">
        <v>20</v>
      </c>
      <c r="N12314" t="s">
        <v>29</v>
      </c>
    </row>
    <row r="12315" spans="1:14">
      <c r="A12315" s="4" t="str">
        <f t="shared" si="1069"/>
        <v>EXP00389</v>
      </c>
      <c r="B12315" s="4" t="str">
        <f t="shared" si="1070"/>
        <v>18347175</v>
      </c>
      <c r="C12315" s="4" t="str">
        <f t="shared" si="1071"/>
        <v>GSE9893</v>
      </c>
      <c r="D12315" s="1" t="s">
        <v>492</v>
      </c>
      <c r="E12315" t="s">
        <v>30</v>
      </c>
      <c r="F12315" s="1">
        <v>2</v>
      </c>
      <c r="G12315" s="1" t="s">
        <v>32</v>
      </c>
      <c r="H12315" s="4" t="str">
        <f>HYPERLINK("https://www.ncbi.nlm.nih.gov/geo/query/acc.cgi?acc=GSM249711","GSM249711")</f>
        <v>GSM249711</v>
      </c>
      <c r="I12315" t="s">
        <v>17</v>
      </c>
      <c r="J12315" t="s">
        <v>18</v>
      </c>
      <c r="K12315" t="s">
        <v>33</v>
      </c>
      <c r="L12315" t="s">
        <v>20</v>
      </c>
      <c r="N12315" t="s">
        <v>29</v>
      </c>
    </row>
    <row r="12316" spans="1:14">
      <c r="A12316" s="4" t="str">
        <f t="shared" si="1069"/>
        <v>EXP00389</v>
      </c>
      <c r="B12316" s="4" t="str">
        <f t="shared" si="1070"/>
        <v>18347175</v>
      </c>
      <c r="C12316" s="4" t="str">
        <f t="shared" si="1071"/>
        <v>GSE9893</v>
      </c>
      <c r="D12316" s="1" t="s">
        <v>492</v>
      </c>
      <c r="E12316" t="s">
        <v>30</v>
      </c>
      <c r="F12316" s="1">
        <v>2</v>
      </c>
      <c r="G12316" s="1" t="s">
        <v>32</v>
      </c>
      <c r="H12316" s="4" t="str">
        <f>HYPERLINK("https://www.ncbi.nlm.nih.gov/geo/query/acc.cgi?acc=GSM249713","GSM249713")</f>
        <v>GSM249713</v>
      </c>
      <c r="I12316" t="s">
        <v>17</v>
      </c>
      <c r="J12316" t="s">
        <v>18</v>
      </c>
      <c r="K12316" t="s">
        <v>33</v>
      </c>
      <c r="L12316" t="s">
        <v>20</v>
      </c>
      <c r="N12316" t="s">
        <v>29</v>
      </c>
    </row>
    <row r="12317" spans="1:14">
      <c r="A12317" s="4" t="str">
        <f t="shared" si="1069"/>
        <v>EXP00389</v>
      </c>
      <c r="B12317" s="4" t="str">
        <f t="shared" si="1070"/>
        <v>18347175</v>
      </c>
      <c r="C12317" s="4" t="str">
        <f t="shared" si="1071"/>
        <v>GSE9893</v>
      </c>
      <c r="D12317" s="1" t="s">
        <v>492</v>
      </c>
      <c r="E12317" t="s">
        <v>30</v>
      </c>
      <c r="F12317" s="1">
        <v>2</v>
      </c>
      <c r="G12317" s="1" t="s">
        <v>32</v>
      </c>
      <c r="H12317" s="4" t="str">
        <f>HYPERLINK("https://www.ncbi.nlm.nih.gov/geo/query/acc.cgi?acc=GSM249772","GSM249772")</f>
        <v>GSM249772</v>
      </c>
      <c r="I12317" t="s">
        <v>17</v>
      </c>
      <c r="J12317" t="s">
        <v>18</v>
      </c>
      <c r="K12317" t="s">
        <v>33</v>
      </c>
      <c r="L12317" t="s">
        <v>20</v>
      </c>
      <c r="N12317" t="s">
        <v>29</v>
      </c>
    </row>
    <row r="12318" spans="1:14">
      <c r="A12318" s="4" t="str">
        <f t="shared" si="1069"/>
        <v>EXP00389</v>
      </c>
      <c r="B12318" s="4" t="str">
        <f t="shared" si="1070"/>
        <v>18347175</v>
      </c>
      <c r="C12318" s="4" t="str">
        <f t="shared" si="1071"/>
        <v>GSE9893</v>
      </c>
      <c r="D12318" s="1" t="s">
        <v>492</v>
      </c>
      <c r="E12318" t="s">
        <v>30</v>
      </c>
      <c r="F12318" s="1">
        <v>2</v>
      </c>
      <c r="G12318" s="1" t="s">
        <v>32</v>
      </c>
      <c r="H12318" s="4" t="str">
        <f>HYPERLINK("https://www.ncbi.nlm.nih.gov/geo/query/acc.cgi?acc=GSM249952","GSM249952")</f>
        <v>GSM249952</v>
      </c>
      <c r="I12318" t="s">
        <v>17</v>
      </c>
      <c r="J12318" t="s">
        <v>18</v>
      </c>
      <c r="K12318" t="s">
        <v>33</v>
      </c>
      <c r="L12318" t="s">
        <v>20</v>
      </c>
      <c r="N12318" t="s">
        <v>29</v>
      </c>
    </row>
    <row r="12319" spans="1:14">
      <c r="A12319" s="4" t="str">
        <f t="shared" si="1069"/>
        <v>EXP00389</v>
      </c>
      <c r="B12319" s="4" t="str">
        <f t="shared" si="1070"/>
        <v>18347175</v>
      </c>
      <c r="C12319" s="4" t="str">
        <f t="shared" si="1071"/>
        <v>GSE9893</v>
      </c>
      <c r="D12319" s="1" t="s">
        <v>492</v>
      </c>
      <c r="E12319" t="s">
        <v>30</v>
      </c>
      <c r="F12319" s="1">
        <v>2</v>
      </c>
      <c r="G12319" s="1" t="s">
        <v>32</v>
      </c>
      <c r="H12319" s="4" t="str">
        <f>HYPERLINK("https://www.ncbi.nlm.nih.gov/geo/query/acc.cgi?acc=GSM250004","GSM250004")</f>
        <v>GSM250004</v>
      </c>
      <c r="I12319" t="s">
        <v>17</v>
      </c>
      <c r="J12319" t="s">
        <v>18</v>
      </c>
      <c r="K12319" t="s">
        <v>33</v>
      </c>
      <c r="L12319" t="s">
        <v>20</v>
      </c>
      <c r="N12319" t="s">
        <v>29</v>
      </c>
    </row>
    <row r="12320" spans="1:14">
      <c r="A12320" s="4" t="str">
        <f t="shared" si="1069"/>
        <v>EXP00389</v>
      </c>
      <c r="B12320" s="4" t="str">
        <f t="shared" si="1070"/>
        <v>18347175</v>
      </c>
      <c r="C12320" s="4" t="str">
        <f t="shared" si="1071"/>
        <v>GSE9893</v>
      </c>
      <c r="D12320" s="1" t="s">
        <v>492</v>
      </c>
      <c r="E12320" t="s">
        <v>30</v>
      </c>
      <c r="F12320" s="1">
        <v>2</v>
      </c>
      <c r="G12320" s="1" t="s">
        <v>32</v>
      </c>
      <c r="H12320" s="4" t="str">
        <f>HYPERLINK("https://www.ncbi.nlm.nih.gov/geo/query/acc.cgi?acc=GSM250006","GSM250006")</f>
        <v>GSM250006</v>
      </c>
      <c r="I12320" t="s">
        <v>17</v>
      </c>
      <c r="J12320" t="s">
        <v>18</v>
      </c>
      <c r="K12320" t="s">
        <v>33</v>
      </c>
      <c r="L12320" t="s">
        <v>20</v>
      </c>
      <c r="N12320" t="s">
        <v>29</v>
      </c>
    </row>
    <row r="12321" spans="1:14">
      <c r="A12321" s="4" t="str">
        <f t="shared" si="1069"/>
        <v>EXP00389</v>
      </c>
      <c r="B12321" s="4" t="str">
        <f t="shared" si="1070"/>
        <v>18347175</v>
      </c>
      <c r="C12321" s="4" t="str">
        <f t="shared" si="1071"/>
        <v>GSE9893</v>
      </c>
      <c r="D12321" s="1" t="s">
        <v>492</v>
      </c>
      <c r="E12321" t="s">
        <v>30</v>
      </c>
      <c r="F12321" s="1">
        <v>2</v>
      </c>
      <c r="G12321" s="1" t="s">
        <v>32</v>
      </c>
      <c r="H12321" s="4" t="str">
        <f>HYPERLINK("https://www.ncbi.nlm.nih.gov/geo/query/acc.cgi?acc=GSM250007","GSM250007")</f>
        <v>GSM250007</v>
      </c>
      <c r="I12321" t="s">
        <v>17</v>
      </c>
      <c r="J12321" t="s">
        <v>18</v>
      </c>
      <c r="K12321" t="s">
        <v>33</v>
      </c>
      <c r="L12321" t="s">
        <v>20</v>
      </c>
      <c r="N12321" t="s">
        <v>29</v>
      </c>
    </row>
    <row r="12322" spans="1:14">
      <c r="A12322" s="4" t="str">
        <f t="shared" si="1069"/>
        <v>EXP00389</v>
      </c>
      <c r="B12322" s="4" t="str">
        <f t="shared" si="1070"/>
        <v>18347175</v>
      </c>
      <c r="C12322" s="4" t="str">
        <f t="shared" si="1071"/>
        <v>GSE9893</v>
      </c>
      <c r="D12322" s="1" t="s">
        <v>492</v>
      </c>
      <c r="E12322" t="s">
        <v>30</v>
      </c>
      <c r="F12322" s="1">
        <v>2</v>
      </c>
      <c r="G12322" s="1" t="s">
        <v>32</v>
      </c>
      <c r="H12322" s="4" t="str">
        <f>HYPERLINK("https://www.ncbi.nlm.nih.gov/geo/query/acc.cgi?acc=GSM250009","GSM250009")</f>
        <v>GSM250009</v>
      </c>
      <c r="I12322" t="s">
        <v>17</v>
      </c>
      <c r="J12322" t="s">
        <v>18</v>
      </c>
      <c r="K12322" t="s">
        <v>33</v>
      </c>
      <c r="L12322" t="s">
        <v>20</v>
      </c>
      <c r="N12322" t="s">
        <v>29</v>
      </c>
    </row>
    <row r="12323" spans="1:14">
      <c r="A12323" s="4" t="str">
        <f t="shared" si="1069"/>
        <v>EXP00389</v>
      </c>
      <c r="B12323" s="4" t="str">
        <f t="shared" si="1070"/>
        <v>18347175</v>
      </c>
      <c r="C12323" s="4" t="str">
        <f t="shared" si="1071"/>
        <v>GSE9893</v>
      </c>
      <c r="D12323" s="1" t="s">
        <v>492</v>
      </c>
      <c r="E12323" t="s">
        <v>30</v>
      </c>
      <c r="F12323" s="1">
        <v>2</v>
      </c>
      <c r="G12323" s="1" t="s">
        <v>32</v>
      </c>
      <c r="H12323" s="4" t="str">
        <f>HYPERLINK("https://www.ncbi.nlm.nih.gov/geo/query/acc.cgi?acc=GSM250010","GSM250010")</f>
        <v>GSM250010</v>
      </c>
      <c r="I12323" t="s">
        <v>17</v>
      </c>
      <c r="J12323" t="s">
        <v>18</v>
      </c>
      <c r="K12323" t="s">
        <v>33</v>
      </c>
      <c r="L12323" t="s">
        <v>20</v>
      </c>
      <c r="N12323" t="s">
        <v>29</v>
      </c>
    </row>
    <row r="12324" spans="1:14">
      <c r="A12324" s="4" t="str">
        <f t="shared" si="1069"/>
        <v>EXP00389</v>
      </c>
      <c r="B12324" s="4" t="str">
        <f t="shared" si="1070"/>
        <v>18347175</v>
      </c>
      <c r="C12324" s="4" t="str">
        <f t="shared" si="1071"/>
        <v>GSE9893</v>
      </c>
      <c r="D12324" s="1" t="s">
        <v>492</v>
      </c>
      <c r="E12324" t="s">
        <v>30</v>
      </c>
      <c r="F12324" s="1">
        <v>2</v>
      </c>
      <c r="G12324" s="1" t="s">
        <v>32</v>
      </c>
      <c r="H12324" s="4" t="str">
        <f>HYPERLINK("https://www.ncbi.nlm.nih.gov/geo/query/acc.cgi?acc=GSM250011","GSM250011")</f>
        <v>GSM250011</v>
      </c>
      <c r="I12324" t="s">
        <v>17</v>
      </c>
      <c r="J12324" t="s">
        <v>18</v>
      </c>
      <c r="K12324" t="s">
        <v>33</v>
      </c>
      <c r="L12324" t="s">
        <v>20</v>
      </c>
      <c r="N12324" t="s">
        <v>29</v>
      </c>
    </row>
    <row r="12325" spans="1:14">
      <c r="A12325" s="4" t="str">
        <f t="shared" si="1069"/>
        <v>EXP00389</v>
      </c>
      <c r="B12325" s="4" t="str">
        <f t="shared" si="1070"/>
        <v>18347175</v>
      </c>
      <c r="C12325" s="4" t="str">
        <f t="shared" si="1071"/>
        <v>GSE9893</v>
      </c>
      <c r="D12325" s="1" t="s">
        <v>492</v>
      </c>
      <c r="E12325" t="s">
        <v>30</v>
      </c>
      <c r="F12325" s="1">
        <v>2</v>
      </c>
      <c r="G12325" s="1" t="s">
        <v>32</v>
      </c>
      <c r="H12325" s="4" t="str">
        <f>HYPERLINK("https://www.ncbi.nlm.nih.gov/geo/query/acc.cgi?acc=GSM250012","GSM250012")</f>
        <v>GSM250012</v>
      </c>
      <c r="I12325" t="s">
        <v>17</v>
      </c>
      <c r="J12325" t="s">
        <v>18</v>
      </c>
      <c r="K12325" t="s">
        <v>33</v>
      </c>
      <c r="L12325" t="s">
        <v>20</v>
      </c>
      <c r="N12325" t="s">
        <v>29</v>
      </c>
    </row>
    <row r="12326" spans="1:14">
      <c r="A12326" s="4" t="str">
        <f t="shared" si="1069"/>
        <v>EXP00389</v>
      </c>
      <c r="B12326" s="4" t="str">
        <f t="shared" si="1070"/>
        <v>18347175</v>
      </c>
      <c r="C12326" s="4" t="str">
        <f t="shared" si="1071"/>
        <v>GSE9893</v>
      </c>
      <c r="D12326" s="1" t="s">
        <v>492</v>
      </c>
      <c r="E12326" t="s">
        <v>30</v>
      </c>
      <c r="F12326" s="1">
        <v>2</v>
      </c>
      <c r="G12326" s="1" t="s">
        <v>32</v>
      </c>
      <c r="H12326" s="4" t="str">
        <f>HYPERLINK("https://www.ncbi.nlm.nih.gov/geo/query/acc.cgi?acc=GSM250013","GSM250013")</f>
        <v>GSM250013</v>
      </c>
      <c r="I12326" t="s">
        <v>17</v>
      </c>
      <c r="J12326" t="s">
        <v>18</v>
      </c>
      <c r="K12326" t="s">
        <v>33</v>
      </c>
      <c r="L12326" t="s">
        <v>20</v>
      </c>
      <c r="N12326" t="s">
        <v>29</v>
      </c>
    </row>
    <row r="12327" spans="1:14">
      <c r="A12327" s="4" t="str">
        <f t="shared" si="1069"/>
        <v>EXP00389</v>
      </c>
      <c r="B12327" s="4" t="str">
        <f t="shared" si="1070"/>
        <v>18347175</v>
      </c>
      <c r="C12327" s="4" t="str">
        <f t="shared" si="1071"/>
        <v>GSE9893</v>
      </c>
      <c r="D12327" s="1" t="s">
        <v>492</v>
      </c>
      <c r="E12327" t="s">
        <v>30</v>
      </c>
      <c r="F12327" s="1">
        <v>2</v>
      </c>
      <c r="G12327" s="1" t="s">
        <v>32</v>
      </c>
      <c r="H12327" s="4" t="str">
        <f>HYPERLINK("https://www.ncbi.nlm.nih.gov/geo/query/acc.cgi?acc=GSM250014","GSM250014")</f>
        <v>GSM250014</v>
      </c>
      <c r="I12327" t="s">
        <v>17</v>
      </c>
      <c r="J12327" t="s">
        <v>18</v>
      </c>
      <c r="K12327" t="s">
        <v>33</v>
      </c>
      <c r="L12327" t="s">
        <v>20</v>
      </c>
      <c r="N12327" t="s">
        <v>29</v>
      </c>
    </row>
    <row r="12328" spans="1:14">
      <c r="A12328" s="4" t="str">
        <f t="shared" si="1069"/>
        <v>EXP00389</v>
      </c>
      <c r="B12328" s="4" t="str">
        <f t="shared" si="1070"/>
        <v>18347175</v>
      </c>
      <c r="C12328" s="4" t="str">
        <f t="shared" si="1071"/>
        <v>GSE9893</v>
      </c>
      <c r="D12328" s="1" t="s">
        <v>492</v>
      </c>
      <c r="E12328" t="s">
        <v>30</v>
      </c>
      <c r="F12328" s="1">
        <v>2</v>
      </c>
      <c r="G12328" s="1" t="s">
        <v>32</v>
      </c>
      <c r="H12328" s="4" t="str">
        <f>HYPERLINK("https://www.ncbi.nlm.nih.gov/geo/query/acc.cgi?acc=GSM250015","GSM250015")</f>
        <v>GSM250015</v>
      </c>
      <c r="I12328" t="s">
        <v>17</v>
      </c>
      <c r="J12328" t="s">
        <v>18</v>
      </c>
      <c r="K12328" t="s">
        <v>33</v>
      </c>
      <c r="L12328" t="s">
        <v>20</v>
      </c>
      <c r="N12328" t="s">
        <v>29</v>
      </c>
    </row>
    <row r="12329" spans="1:14">
      <c r="A12329" s="4" t="str">
        <f t="shared" si="1069"/>
        <v>EXP00389</v>
      </c>
      <c r="B12329" s="4" t="str">
        <f t="shared" si="1070"/>
        <v>18347175</v>
      </c>
      <c r="C12329" s="4" t="str">
        <f t="shared" si="1071"/>
        <v>GSE9893</v>
      </c>
      <c r="D12329" s="1" t="s">
        <v>492</v>
      </c>
      <c r="E12329" t="s">
        <v>30</v>
      </c>
      <c r="F12329" s="1">
        <v>2</v>
      </c>
      <c r="G12329" s="1" t="s">
        <v>32</v>
      </c>
      <c r="H12329" s="4" t="str">
        <f>HYPERLINK("https://www.ncbi.nlm.nih.gov/geo/query/acc.cgi?acc=GSM250016","GSM250016")</f>
        <v>GSM250016</v>
      </c>
      <c r="I12329" t="s">
        <v>17</v>
      </c>
      <c r="J12329" t="s">
        <v>18</v>
      </c>
      <c r="K12329" t="s">
        <v>33</v>
      </c>
      <c r="L12329" t="s">
        <v>20</v>
      </c>
      <c r="N12329" t="s">
        <v>29</v>
      </c>
    </row>
    <row r="12330" spans="1:14">
      <c r="A12330" s="4" t="str">
        <f t="shared" si="1069"/>
        <v>EXP00389</v>
      </c>
      <c r="B12330" s="4" t="str">
        <f t="shared" si="1070"/>
        <v>18347175</v>
      </c>
      <c r="C12330" s="4" t="str">
        <f t="shared" si="1071"/>
        <v>GSE9893</v>
      </c>
      <c r="D12330" s="1" t="s">
        <v>492</v>
      </c>
      <c r="E12330" t="s">
        <v>30</v>
      </c>
      <c r="F12330" s="1">
        <v>2</v>
      </c>
      <c r="G12330" s="1" t="s">
        <v>32</v>
      </c>
      <c r="H12330" s="4" t="str">
        <f>HYPERLINK("https://www.ncbi.nlm.nih.gov/geo/query/acc.cgi?acc=GSM250017","GSM250017")</f>
        <v>GSM250017</v>
      </c>
      <c r="I12330" t="s">
        <v>17</v>
      </c>
      <c r="J12330" t="s">
        <v>18</v>
      </c>
      <c r="K12330" t="s">
        <v>33</v>
      </c>
      <c r="L12330" t="s">
        <v>20</v>
      </c>
      <c r="N12330" t="s">
        <v>29</v>
      </c>
    </row>
    <row r="12331" spans="1:14">
      <c r="A12331" s="4" t="str">
        <f t="shared" si="1069"/>
        <v>EXP00389</v>
      </c>
      <c r="B12331" s="4" t="str">
        <f t="shared" si="1070"/>
        <v>18347175</v>
      </c>
      <c r="C12331" s="4" t="str">
        <f t="shared" si="1071"/>
        <v>GSE9893</v>
      </c>
      <c r="D12331" s="1" t="s">
        <v>492</v>
      </c>
      <c r="E12331" t="s">
        <v>30</v>
      </c>
      <c r="F12331" s="1">
        <v>2</v>
      </c>
      <c r="G12331" s="1" t="s">
        <v>32</v>
      </c>
      <c r="H12331" s="4" t="str">
        <f>HYPERLINK("https://www.ncbi.nlm.nih.gov/geo/query/acc.cgi?acc=GSM250018","GSM250018")</f>
        <v>GSM250018</v>
      </c>
      <c r="I12331" t="s">
        <v>17</v>
      </c>
      <c r="J12331" t="s">
        <v>18</v>
      </c>
      <c r="K12331" t="s">
        <v>33</v>
      </c>
      <c r="L12331" t="s">
        <v>20</v>
      </c>
      <c r="N12331" t="s">
        <v>29</v>
      </c>
    </row>
    <row r="12332" spans="1:14">
      <c r="A12332" s="4" t="str">
        <f t="shared" ref="A12332:A12354" si="1072">HYPERLINK("http://hcmdb.i-sanger.com/experiment/details/experiment_id/EXP00390","EXP00390")</f>
        <v>EXP00390</v>
      </c>
      <c r="B12332" s="3" t="s">
        <v>66</v>
      </c>
      <c r="C12332" s="4" t="str">
        <f t="shared" ref="C12332:C12363" si="1073">HYPERLINK("https://portal.gdc.cancer.gov/projects/TCGA-ACC","TCGA-ACC")</f>
        <v>TCGA-ACC</v>
      </c>
      <c r="D12332" s="1" t="s">
        <v>493</v>
      </c>
      <c r="E12332" t="s">
        <v>494</v>
      </c>
      <c r="F12332" s="1">
        <v>1</v>
      </c>
      <c r="G12332" s="1" t="s">
        <v>495</v>
      </c>
      <c r="H12332" s="4" t="str">
        <f>HYPERLINK("https://portal.gdc.cancer.gov/cases/33c02ece-911b-4f45-b410-9df07e9b189e","TCGA-OR-A5KX-01A")</f>
        <v>TCGA-OR-A5KX-01A</v>
      </c>
      <c r="I12332" t="s">
        <v>59</v>
      </c>
      <c r="J12332" t="s">
        <v>496</v>
      </c>
      <c r="K12332" t="s">
        <v>19</v>
      </c>
      <c r="L12332" t="s">
        <v>34</v>
      </c>
      <c r="M12332" t="s">
        <v>50</v>
      </c>
      <c r="N12332" t="s">
        <v>29</v>
      </c>
    </row>
    <row r="12333" spans="1:14">
      <c r="A12333" s="4" t="str">
        <f t="shared" si="1072"/>
        <v>EXP00390</v>
      </c>
      <c r="B12333" s="3" t="s">
        <v>66</v>
      </c>
      <c r="C12333" s="4" t="str">
        <f t="shared" si="1073"/>
        <v>TCGA-ACC</v>
      </c>
      <c r="D12333" s="1" t="s">
        <v>493</v>
      </c>
      <c r="E12333" t="s">
        <v>494</v>
      </c>
      <c r="F12333" s="1">
        <v>1</v>
      </c>
      <c r="G12333" s="1" t="s">
        <v>495</v>
      </c>
      <c r="H12333" s="4" t="str">
        <f>HYPERLINK("https://portal.gdc.cancer.gov/cases/99f86b57-3894-45c5-bfbe-c757c69a3050","TCGA-OR-A5KZ-01A")</f>
        <v>TCGA-OR-A5KZ-01A</v>
      </c>
      <c r="I12333" t="s">
        <v>59</v>
      </c>
      <c r="J12333" t="s">
        <v>496</v>
      </c>
      <c r="K12333" t="s">
        <v>19</v>
      </c>
      <c r="L12333" t="s">
        <v>34</v>
      </c>
      <c r="M12333" t="s">
        <v>50</v>
      </c>
      <c r="N12333" t="s">
        <v>29</v>
      </c>
    </row>
    <row r="12334" spans="1:14">
      <c r="A12334" s="4" t="str">
        <f t="shared" si="1072"/>
        <v>EXP00390</v>
      </c>
      <c r="B12334" s="3" t="s">
        <v>66</v>
      </c>
      <c r="C12334" s="4" t="str">
        <f t="shared" si="1073"/>
        <v>TCGA-ACC</v>
      </c>
      <c r="D12334" s="1" t="s">
        <v>493</v>
      </c>
      <c r="E12334" t="s">
        <v>494</v>
      </c>
      <c r="F12334" s="1">
        <v>2</v>
      </c>
      <c r="G12334" s="1" t="s">
        <v>497</v>
      </c>
      <c r="H12334" s="4" t="str">
        <f>HYPERLINK("https://portal.gdc.cancer.gov/cases/fb54458d-c373-46c2-841e-82663e13efaa","TCGA-OR-A5JM-01A")</f>
        <v>TCGA-OR-A5JM-01A</v>
      </c>
      <c r="I12334" t="s">
        <v>59</v>
      </c>
      <c r="J12334" t="s">
        <v>496</v>
      </c>
      <c r="K12334" t="s">
        <v>19</v>
      </c>
      <c r="L12334" t="s">
        <v>34</v>
      </c>
      <c r="M12334" t="s">
        <v>44</v>
      </c>
      <c r="N12334" t="s">
        <v>29</v>
      </c>
    </row>
    <row r="12335" spans="1:14">
      <c r="A12335" s="4" t="str">
        <f t="shared" si="1072"/>
        <v>EXP00390</v>
      </c>
      <c r="B12335" s="3" t="s">
        <v>66</v>
      </c>
      <c r="C12335" s="4" t="str">
        <f t="shared" si="1073"/>
        <v>TCGA-ACC</v>
      </c>
      <c r="D12335" s="1" t="s">
        <v>493</v>
      </c>
      <c r="E12335" t="s">
        <v>494</v>
      </c>
      <c r="F12335" s="1">
        <v>2</v>
      </c>
      <c r="G12335" s="1" t="s">
        <v>497</v>
      </c>
      <c r="H12335" s="4" t="str">
        <f>HYPERLINK("https://portal.gdc.cancer.gov/cases/28153e3e-8515-4852-aaa0-247f86399f27","TCGA-OR-A5K6-01A")</f>
        <v>TCGA-OR-A5K6-01A</v>
      </c>
      <c r="I12335" t="s">
        <v>59</v>
      </c>
      <c r="J12335" t="s">
        <v>496</v>
      </c>
      <c r="K12335" t="s">
        <v>19</v>
      </c>
      <c r="L12335" t="s">
        <v>34</v>
      </c>
      <c r="M12335" t="s">
        <v>44</v>
      </c>
      <c r="N12335" t="s">
        <v>29</v>
      </c>
    </row>
    <row r="12336" spans="1:14">
      <c r="A12336" s="4" t="str">
        <f t="shared" si="1072"/>
        <v>EXP00390</v>
      </c>
      <c r="B12336" s="3" t="s">
        <v>66</v>
      </c>
      <c r="C12336" s="4" t="str">
        <f t="shared" si="1073"/>
        <v>TCGA-ACC</v>
      </c>
      <c r="D12336" s="1" t="s">
        <v>493</v>
      </c>
      <c r="E12336" t="s">
        <v>494</v>
      </c>
      <c r="F12336" s="1">
        <v>2</v>
      </c>
      <c r="G12336" s="1" t="s">
        <v>497</v>
      </c>
      <c r="H12336" s="4" t="str">
        <f>HYPERLINK("https://portal.gdc.cancer.gov/cases/fb504e55-1859-48ee-aec7-a3fcb082785e","TCGA-OR-A5LB-01A")</f>
        <v>TCGA-OR-A5LB-01A</v>
      </c>
      <c r="I12336" t="s">
        <v>59</v>
      </c>
      <c r="J12336" t="s">
        <v>496</v>
      </c>
      <c r="K12336" t="s">
        <v>19</v>
      </c>
      <c r="L12336" t="s">
        <v>34</v>
      </c>
      <c r="M12336" t="s">
        <v>44</v>
      </c>
      <c r="N12336" t="s">
        <v>29</v>
      </c>
    </row>
    <row r="12337" spans="1:14">
      <c r="A12337" s="4" t="str">
        <f t="shared" si="1072"/>
        <v>EXP00390</v>
      </c>
      <c r="B12337" s="3" t="s">
        <v>66</v>
      </c>
      <c r="C12337" s="4" t="str">
        <f t="shared" si="1073"/>
        <v>TCGA-ACC</v>
      </c>
      <c r="D12337" s="1" t="s">
        <v>493</v>
      </c>
      <c r="E12337" t="s">
        <v>494</v>
      </c>
      <c r="F12337" s="1">
        <v>2</v>
      </c>
      <c r="G12337" s="1" t="s">
        <v>497</v>
      </c>
      <c r="H12337" s="4" t="str">
        <f>HYPERLINK("https://portal.gdc.cancer.gov/cases/0304b12d-7640-4150-a581-2eea2b1f2ad5","TCGA-OR-A5LL-01A")</f>
        <v>TCGA-OR-A5LL-01A</v>
      </c>
      <c r="I12337" t="s">
        <v>59</v>
      </c>
      <c r="J12337" t="s">
        <v>496</v>
      </c>
      <c r="K12337" t="s">
        <v>19</v>
      </c>
      <c r="L12337" t="s">
        <v>34</v>
      </c>
      <c r="M12337" t="s">
        <v>44</v>
      </c>
      <c r="N12337" t="s">
        <v>29</v>
      </c>
    </row>
    <row r="12338" spans="1:14">
      <c r="A12338" s="4" t="str">
        <f t="shared" si="1072"/>
        <v>EXP00390</v>
      </c>
      <c r="B12338" s="3" t="s">
        <v>66</v>
      </c>
      <c r="C12338" s="4" t="str">
        <f t="shared" si="1073"/>
        <v>TCGA-ACC</v>
      </c>
      <c r="D12338" s="1" t="s">
        <v>493</v>
      </c>
      <c r="E12338" t="s">
        <v>494</v>
      </c>
      <c r="F12338" s="1">
        <v>3</v>
      </c>
      <c r="G12338" s="1" t="s">
        <v>498</v>
      </c>
      <c r="H12338" s="4" t="str">
        <f>HYPERLINK("https://portal.gdc.cancer.gov/cases/dfd687bc-6e69-42f7-af94-d17fc150d1a1","TCGA-OR-A5J3-01A")</f>
        <v>TCGA-OR-A5J3-01A</v>
      </c>
      <c r="I12338" t="s">
        <v>59</v>
      </c>
      <c r="J12338" t="s">
        <v>496</v>
      </c>
      <c r="K12338" t="s">
        <v>19</v>
      </c>
      <c r="L12338" t="s">
        <v>34</v>
      </c>
      <c r="M12338" t="s">
        <v>499</v>
      </c>
      <c r="N12338" t="s">
        <v>29</v>
      </c>
    </row>
    <row r="12339" spans="1:14">
      <c r="A12339" s="4" t="str">
        <f t="shared" si="1072"/>
        <v>EXP00390</v>
      </c>
      <c r="B12339" s="3" t="s">
        <v>66</v>
      </c>
      <c r="C12339" s="4" t="str">
        <f t="shared" si="1073"/>
        <v>TCGA-ACC</v>
      </c>
      <c r="D12339" s="1" t="s">
        <v>493</v>
      </c>
      <c r="E12339" t="s">
        <v>494</v>
      </c>
      <c r="F12339" s="1">
        <v>3</v>
      </c>
      <c r="G12339" s="1" t="s">
        <v>498</v>
      </c>
      <c r="H12339" s="4" t="str">
        <f>HYPERLINK("https://portal.gdc.cancer.gov/cases/075dbfd0-9cf4-4877-884f-ae858902c79e","TCGA-OR-A5J7-01A")</f>
        <v>TCGA-OR-A5J7-01A</v>
      </c>
      <c r="I12339" t="s">
        <v>59</v>
      </c>
      <c r="J12339" t="s">
        <v>496</v>
      </c>
      <c r="K12339" t="s">
        <v>19</v>
      </c>
      <c r="L12339" t="s">
        <v>34</v>
      </c>
      <c r="M12339" t="s">
        <v>499</v>
      </c>
      <c r="N12339" t="s">
        <v>29</v>
      </c>
    </row>
    <row r="12340" spans="1:14">
      <c r="A12340" s="4" t="str">
        <f t="shared" si="1072"/>
        <v>EXP00390</v>
      </c>
      <c r="B12340" s="3" t="s">
        <v>66</v>
      </c>
      <c r="C12340" s="4" t="str">
        <f t="shared" si="1073"/>
        <v>TCGA-ACC</v>
      </c>
      <c r="D12340" s="1" t="s">
        <v>493</v>
      </c>
      <c r="E12340" t="s">
        <v>494</v>
      </c>
      <c r="F12340" s="1">
        <v>3</v>
      </c>
      <c r="G12340" s="1" t="s">
        <v>498</v>
      </c>
      <c r="H12340" s="4" t="str">
        <f>HYPERLINK("https://portal.gdc.cancer.gov/cases/344f7ea4-2bd4-4f2d-89f2-9fc7f572a3d6","TCGA-OR-A5JY-01A")</f>
        <v>TCGA-OR-A5JY-01A</v>
      </c>
      <c r="I12340" t="s">
        <v>59</v>
      </c>
      <c r="J12340" t="s">
        <v>496</v>
      </c>
      <c r="K12340" t="s">
        <v>19</v>
      </c>
      <c r="L12340" t="s">
        <v>34</v>
      </c>
      <c r="M12340" t="s">
        <v>499</v>
      </c>
      <c r="N12340" t="s">
        <v>29</v>
      </c>
    </row>
    <row r="12341" spans="1:14">
      <c r="A12341" s="4" t="str">
        <f t="shared" si="1072"/>
        <v>EXP00390</v>
      </c>
      <c r="B12341" s="3" t="s">
        <v>66</v>
      </c>
      <c r="C12341" s="4" t="str">
        <f t="shared" si="1073"/>
        <v>TCGA-ACC</v>
      </c>
      <c r="D12341" s="1" t="s">
        <v>493</v>
      </c>
      <c r="E12341" t="s">
        <v>494</v>
      </c>
      <c r="F12341" s="1">
        <v>3</v>
      </c>
      <c r="G12341" s="1" t="s">
        <v>498</v>
      </c>
      <c r="H12341" s="4" t="str">
        <f>HYPERLINK("https://portal.gdc.cancer.gov/cases/cf332daa-f335-4af1-81de-cbfdafb0f764","TCGA-OR-A5K5-01A")</f>
        <v>TCGA-OR-A5K5-01A</v>
      </c>
      <c r="I12341" t="s">
        <v>59</v>
      </c>
      <c r="J12341" t="s">
        <v>496</v>
      </c>
      <c r="K12341" t="s">
        <v>19</v>
      </c>
      <c r="L12341" t="s">
        <v>34</v>
      </c>
      <c r="M12341" t="s">
        <v>499</v>
      </c>
      <c r="N12341" t="s">
        <v>29</v>
      </c>
    </row>
    <row r="12342" spans="1:14">
      <c r="A12342" s="4" t="str">
        <f t="shared" si="1072"/>
        <v>EXP00390</v>
      </c>
      <c r="B12342" s="3" t="s">
        <v>66</v>
      </c>
      <c r="C12342" s="4" t="str">
        <f t="shared" si="1073"/>
        <v>TCGA-ACC</v>
      </c>
      <c r="D12342" s="1" t="s">
        <v>493</v>
      </c>
      <c r="E12342" t="s">
        <v>494</v>
      </c>
      <c r="F12342" s="1">
        <v>3</v>
      </c>
      <c r="G12342" s="1" t="s">
        <v>498</v>
      </c>
      <c r="H12342" s="4" t="str">
        <f>HYPERLINK("https://portal.gdc.cancer.gov/cases/d890cbf7-41d8-4992-99c2-24c60c77b156","TCGA-OR-A5K9-01A")</f>
        <v>TCGA-OR-A5K9-01A</v>
      </c>
      <c r="I12342" t="s">
        <v>59</v>
      </c>
      <c r="J12342" t="s">
        <v>496</v>
      </c>
      <c r="K12342" t="s">
        <v>19</v>
      </c>
      <c r="L12342" t="s">
        <v>34</v>
      </c>
      <c r="M12342" t="s">
        <v>499</v>
      </c>
      <c r="N12342" t="s">
        <v>29</v>
      </c>
    </row>
    <row r="12343" spans="1:14">
      <c r="A12343" s="4" t="str">
        <f t="shared" si="1072"/>
        <v>EXP00390</v>
      </c>
      <c r="B12343" s="3" t="s">
        <v>66</v>
      </c>
      <c r="C12343" s="4" t="str">
        <f t="shared" si="1073"/>
        <v>TCGA-ACC</v>
      </c>
      <c r="D12343" s="1" t="s">
        <v>493</v>
      </c>
      <c r="E12343" t="s">
        <v>494</v>
      </c>
      <c r="F12343" s="1">
        <v>3</v>
      </c>
      <c r="G12343" s="1" t="s">
        <v>498</v>
      </c>
      <c r="H12343" s="4" t="str">
        <f>HYPERLINK("https://portal.gdc.cancer.gov/cases/888a7158-2319-4563-849b-573705c72ab7","TCGA-P6-A5OF-01A")</f>
        <v>TCGA-P6-A5OF-01A</v>
      </c>
      <c r="I12343" t="s">
        <v>59</v>
      </c>
      <c r="J12343" t="s">
        <v>496</v>
      </c>
      <c r="K12343" t="s">
        <v>19</v>
      </c>
      <c r="L12343" t="s">
        <v>34</v>
      </c>
      <c r="M12343" t="s">
        <v>499</v>
      </c>
      <c r="N12343" t="s">
        <v>29</v>
      </c>
    </row>
    <row r="12344" spans="1:14">
      <c r="A12344" s="4" t="str">
        <f t="shared" si="1072"/>
        <v>EXP00390</v>
      </c>
      <c r="B12344" s="3" t="s">
        <v>66</v>
      </c>
      <c r="C12344" s="4" t="str">
        <f t="shared" si="1073"/>
        <v>TCGA-ACC</v>
      </c>
      <c r="D12344" s="1" t="s">
        <v>493</v>
      </c>
      <c r="E12344" t="s">
        <v>494</v>
      </c>
      <c r="F12344" s="1">
        <v>4</v>
      </c>
      <c r="G12344" s="1" t="s">
        <v>500</v>
      </c>
      <c r="H12344" s="4" t="str">
        <f>HYPERLINK("https://portal.gdc.cancer.gov/cases/a53e9117-0a49-40d8-af40-7867370b671a","TCGA-OR-A5J9-01A")</f>
        <v>TCGA-OR-A5J9-01A</v>
      </c>
      <c r="I12344" t="s">
        <v>59</v>
      </c>
      <c r="J12344" t="s">
        <v>496</v>
      </c>
      <c r="K12344" t="s">
        <v>19</v>
      </c>
      <c r="L12344" t="s">
        <v>34</v>
      </c>
      <c r="M12344" t="s">
        <v>41</v>
      </c>
      <c r="N12344" t="s">
        <v>29</v>
      </c>
    </row>
    <row r="12345" spans="1:14">
      <c r="A12345" s="4" t="str">
        <f t="shared" si="1072"/>
        <v>EXP00390</v>
      </c>
      <c r="B12345" s="3" t="s">
        <v>66</v>
      </c>
      <c r="C12345" s="4" t="str">
        <f t="shared" si="1073"/>
        <v>TCGA-ACC</v>
      </c>
      <c r="D12345" s="1" t="s">
        <v>493</v>
      </c>
      <c r="E12345" t="s">
        <v>494</v>
      </c>
      <c r="F12345" s="1">
        <v>4</v>
      </c>
      <c r="G12345" s="1" t="s">
        <v>500</v>
      </c>
      <c r="H12345" s="4" t="str">
        <f>HYPERLINK("https://portal.gdc.cancer.gov/cases/82940e94-ac74-4a9b-9da5-9e4b7d4d45c0","TCGA-OR-A5JS-01A")</f>
        <v>TCGA-OR-A5JS-01A</v>
      </c>
      <c r="I12345" t="s">
        <v>59</v>
      </c>
      <c r="J12345" t="s">
        <v>496</v>
      </c>
      <c r="K12345" t="s">
        <v>19</v>
      </c>
      <c r="L12345" t="s">
        <v>34</v>
      </c>
      <c r="M12345" t="s">
        <v>41</v>
      </c>
      <c r="N12345" t="s">
        <v>29</v>
      </c>
    </row>
    <row r="12346" spans="1:14">
      <c r="A12346" s="4" t="str">
        <f t="shared" si="1072"/>
        <v>EXP00390</v>
      </c>
      <c r="B12346" s="3" t="s">
        <v>66</v>
      </c>
      <c r="C12346" s="4" t="str">
        <f t="shared" si="1073"/>
        <v>TCGA-ACC</v>
      </c>
      <c r="D12346" s="1" t="s">
        <v>493</v>
      </c>
      <c r="E12346" t="s">
        <v>494</v>
      </c>
      <c r="F12346" s="1">
        <v>4</v>
      </c>
      <c r="G12346" s="1" t="s">
        <v>500</v>
      </c>
      <c r="H12346" s="4" t="str">
        <f>HYPERLINK("https://portal.gdc.cancer.gov/cases/edc62c30-cacc-457d-96ba-d05ed35432a3","TCGA-OR-A5K0-01A")</f>
        <v>TCGA-OR-A5K0-01A</v>
      </c>
      <c r="I12346" t="s">
        <v>59</v>
      </c>
      <c r="J12346" t="s">
        <v>496</v>
      </c>
      <c r="K12346" t="s">
        <v>19</v>
      </c>
      <c r="L12346" t="s">
        <v>34</v>
      </c>
      <c r="M12346" t="s">
        <v>41</v>
      </c>
      <c r="N12346" t="s">
        <v>29</v>
      </c>
    </row>
    <row r="12347" spans="1:14">
      <c r="A12347" s="4" t="str">
        <f t="shared" si="1072"/>
        <v>EXP00390</v>
      </c>
      <c r="B12347" s="3" t="s">
        <v>66</v>
      </c>
      <c r="C12347" s="4" t="str">
        <f t="shared" si="1073"/>
        <v>TCGA-ACC</v>
      </c>
      <c r="D12347" s="1" t="s">
        <v>493</v>
      </c>
      <c r="E12347" t="s">
        <v>494</v>
      </c>
      <c r="F12347" s="1">
        <v>4</v>
      </c>
      <c r="G12347" s="1" t="s">
        <v>500</v>
      </c>
      <c r="H12347" s="4" t="str">
        <f>HYPERLINK("https://portal.gdc.cancer.gov/cases/6d980941-219e-40a0-9b41-e84c3fb0bd1a","TCGA-OR-A5K2-01A")</f>
        <v>TCGA-OR-A5K2-01A</v>
      </c>
      <c r="I12347" t="s">
        <v>59</v>
      </c>
      <c r="J12347" t="s">
        <v>496</v>
      </c>
      <c r="K12347" t="s">
        <v>19</v>
      </c>
      <c r="L12347" t="s">
        <v>34</v>
      </c>
      <c r="M12347" t="s">
        <v>41</v>
      </c>
      <c r="N12347" t="s">
        <v>29</v>
      </c>
    </row>
    <row r="12348" spans="1:14">
      <c r="A12348" s="4" t="str">
        <f t="shared" si="1072"/>
        <v>EXP00390</v>
      </c>
      <c r="B12348" s="3" t="s">
        <v>66</v>
      </c>
      <c r="C12348" s="4" t="str">
        <f t="shared" si="1073"/>
        <v>TCGA-ACC</v>
      </c>
      <c r="D12348" s="1" t="s">
        <v>493</v>
      </c>
      <c r="E12348" t="s">
        <v>494</v>
      </c>
      <c r="F12348" s="1">
        <v>4</v>
      </c>
      <c r="G12348" s="1" t="s">
        <v>500</v>
      </c>
      <c r="H12348" s="4" t="str">
        <f>HYPERLINK("https://portal.gdc.cancer.gov/cases/202f7a77-9e5a-4f12-8ffe-78ae5527a746","TCGA-OR-A5KV-01A")</f>
        <v>TCGA-OR-A5KV-01A</v>
      </c>
      <c r="I12348" t="s">
        <v>59</v>
      </c>
      <c r="J12348" t="s">
        <v>496</v>
      </c>
      <c r="K12348" t="s">
        <v>19</v>
      </c>
      <c r="L12348" t="s">
        <v>34</v>
      </c>
      <c r="M12348" t="s">
        <v>41</v>
      </c>
      <c r="N12348" t="s">
        <v>29</v>
      </c>
    </row>
    <row r="12349" spans="1:14">
      <c r="A12349" s="4" t="str">
        <f t="shared" si="1072"/>
        <v>EXP00390</v>
      </c>
      <c r="B12349" s="3" t="s">
        <v>66</v>
      </c>
      <c r="C12349" s="4" t="str">
        <f t="shared" si="1073"/>
        <v>TCGA-ACC</v>
      </c>
      <c r="D12349" s="1" t="s">
        <v>493</v>
      </c>
      <c r="E12349" t="s">
        <v>494</v>
      </c>
      <c r="F12349" s="1">
        <v>4</v>
      </c>
      <c r="G12349" s="1" t="s">
        <v>500</v>
      </c>
      <c r="H12349" s="4" t="str">
        <f>HYPERLINK("https://portal.gdc.cancer.gov/cases/d885b720-e813-4828-a731-b3cdcbd20687","TCGA-OR-A5LD-01A")</f>
        <v>TCGA-OR-A5LD-01A</v>
      </c>
      <c r="I12349" t="s">
        <v>59</v>
      </c>
      <c r="J12349" t="s">
        <v>496</v>
      </c>
      <c r="K12349" t="s">
        <v>19</v>
      </c>
      <c r="L12349" t="s">
        <v>34</v>
      </c>
      <c r="M12349" t="s">
        <v>41</v>
      </c>
      <c r="N12349" t="s">
        <v>29</v>
      </c>
    </row>
    <row r="12350" spans="1:14">
      <c r="A12350" s="4" t="str">
        <f t="shared" si="1072"/>
        <v>EXP00390</v>
      </c>
      <c r="B12350" s="3" t="s">
        <v>66</v>
      </c>
      <c r="C12350" s="4" t="str">
        <f t="shared" si="1073"/>
        <v>TCGA-ACC</v>
      </c>
      <c r="D12350" s="1" t="s">
        <v>493</v>
      </c>
      <c r="E12350" t="s">
        <v>494</v>
      </c>
      <c r="F12350" s="1">
        <v>4</v>
      </c>
      <c r="G12350" s="1" t="s">
        <v>500</v>
      </c>
      <c r="H12350" s="4" t="str">
        <f>HYPERLINK("https://portal.gdc.cancer.gov/cases/fad4b7e6-510c-4968-83df-3140ed5a0549","TCGA-OR-A5LG-01A")</f>
        <v>TCGA-OR-A5LG-01A</v>
      </c>
      <c r="I12350" t="s">
        <v>59</v>
      </c>
      <c r="J12350" t="s">
        <v>496</v>
      </c>
      <c r="K12350" t="s">
        <v>19</v>
      </c>
      <c r="L12350" t="s">
        <v>34</v>
      </c>
      <c r="M12350" t="s">
        <v>41</v>
      </c>
      <c r="N12350" t="s">
        <v>29</v>
      </c>
    </row>
    <row r="12351" spans="1:14">
      <c r="A12351" s="4" t="str">
        <f t="shared" si="1072"/>
        <v>EXP00390</v>
      </c>
      <c r="B12351" s="3" t="s">
        <v>66</v>
      </c>
      <c r="C12351" s="4" t="str">
        <f t="shared" si="1073"/>
        <v>TCGA-ACC</v>
      </c>
      <c r="D12351" s="1" t="s">
        <v>493</v>
      </c>
      <c r="E12351" t="s">
        <v>494</v>
      </c>
      <c r="F12351" s="1">
        <v>4</v>
      </c>
      <c r="G12351" s="1" t="s">
        <v>500</v>
      </c>
      <c r="H12351" s="4" t="str">
        <f>HYPERLINK("https://portal.gdc.cancer.gov/cases/fc83ab27-929e-4ad4-ba18-abb0694f1e43","TCGA-OR-A5LJ-01A")</f>
        <v>TCGA-OR-A5LJ-01A</v>
      </c>
      <c r="I12351" t="s">
        <v>59</v>
      </c>
      <c r="J12351" t="s">
        <v>496</v>
      </c>
      <c r="K12351" t="s">
        <v>19</v>
      </c>
      <c r="L12351" t="s">
        <v>34</v>
      </c>
      <c r="M12351" t="s">
        <v>41</v>
      </c>
      <c r="N12351" t="s">
        <v>29</v>
      </c>
    </row>
    <row r="12352" spans="1:14">
      <c r="A12352" s="4" t="str">
        <f t="shared" si="1072"/>
        <v>EXP00390</v>
      </c>
      <c r="B12352" s="3" t="s">
        <v>66</v>
      </c>
      <c r="C12352" s="4" t="str">
        <f t="shared" si="1073"/>
        <v>TCGA-ACC</v>
      </c>
      <c r="D12352" s="1" t="s">
        <v>493</v>
      </c>
      <c r="E12352" t="s">
        <v>494</v>
      </c>
      <c r="F12352" s="1">
        <v>4</v>
      </c>
      <c r="G12352" s="1" t="s">
        <v>500</v>
      </c>
      <c r="H12352" s="4" t="str">
        <f>HYPERLINK("https://portal.gdc.cancer.gov/cases/1d5602a7-72e7-4dc6-b2db-2f778fcbf475","TCGA-OR-A5LO-01A")</f>
        <v>TCGA-OR-A5LO-01A</v>
      </c>
      <c r="I12352" t="s">
        <v>59</v>
      </c>
      <c r="J12352" t="s">
        <v>496</v>
      </c>
      <c r="K12352" t="s">
        <v>19</v>
      </c>
      <c r="L12352" t="s">
        <v>34</v>
      </c>
      <c r="M12352" t="s">
        <v>41</v>
      </c>
      <c r="N12352" t="s">
        <v>29</v>
      </c>
    </row>
    <row r="12353" spans="1:14">
      <c r="A12353" s="4" t="str">
        <f t="shared" si="1072"/>
        <v>EXP00390</v>
      </c>
      <c r="B12353" s="3" t="s">
        <v>66</v>
      </c>
      <c r="C12353" s="4" t="str">
        <f t="shared" si="1073"/>
        <v>TCGA-ACC</v>
      </c>
      <c r="D12353" s="1" t="s">
        <v>493</v>
      </c>
      <c r="E12353" t="s">
        <v>494</v>
      </c>
      <c r="F12353" s="1">
        <v>4</v>
      </c>
      <c r="G12353" s="1" t="s">
        <v>500</v>
      </c>
      <c r="H12353" s="4" t="str">
        <f>HYPERLINK("https://portal.gdc.cancer.gov/cases/a5be4e42-cb6c-4e67-8547-45dbd058bb95","TCGA-OU-A5PI-01A")</f>
        <v>TCGA-OU-A5PI-01A</v>
      </c>
      <c r="I12353" t="s">
        <v>59</v>
      </c>
      <c r="J12353" t="s">
        <v>496</v>
      </c>
      <c r="K12353" t="s">
        <v>19</v>
      </c>
      <c r="L12353" t="s">
        <v>34</v>
      </c>
      <c r="M12353" t="s">
        <v>41</v>
      </c>
      <c r="N12353" t="s">
        <v>29</v>
      </c>
    </row>
    <row r="12354" spans="1:14">
      <c r="A12354" s="4" t="str">
        <f t="shared" si="1072"/>
        <v>EXP00390</v>
      </c>
      <c r="B12354" s="3" t="s">
        <v>66</v>
      </c>
      <c r="C12354" s="4" t="str">
        <f t="shared" si="1073"/>
        <v>TCGA-ACC</v>
      </c>
      <c r="D12354" s="1" t="s">
        <v>493</v>
      </c>
      <c r="E12354" t="s">
        <v>494</v>
      </c>
      <c r="F12354" s="1">
        <v>4</v>
      </c>
      <c r="G12354" s="1" t="s">
        <v>500</v>
      </c>
      <c r="H12354" s="4" t="str">
        <f>HYPERLINK("https://portal.gdc.cancer.gov/cases/9a8ea017-0152-48b2-accb-d040deb1c6b6","TCGA-PK-A5HB-01A")</f>
        <v>TCGA-PK-A5HB-01A</v>
      </c>
      <c r="I12354" t="s">
        <v>59</v>
      </c>
      <c r="J12354" t="s">
        <v>496</v>
      </c>
      <c r="K12354" t="s">
        <v>19</v>
      </c>
      <c r="L12354" t="s">
        <v>34</v>
      </c>
      <c r="M12354" t="s">
        <v>41</v>
      </c>
      <c r="N12354" t="s">
        <v>29</v>
      </c>
    </row>
    <row r="12355" spans="1:14">
      <c r="A12355" s="4" t="str">
        <f t="shared" ref="A12355:A12386" si="1074">HYPERLINK("http://hcmdb.i-sanger.com/experiment/details/experiment_id/EXP00391","EXP00391")</f>
        <v>EXP00391</v>
      </c>
      <c r="B12355" s="3" t="s">
        <v>66</v>
      </c>
      <c r="C12355" s="4" t="str">
        <f t="shared" si="1073"/>
        <v>TCGA-ACC</v>
      </c>
      <c r="D12355" s="1" t="s">
        <v>493</v>
      </c>
      <c r="E12355" t="s">
        <v>501</v>
      </c>
      <c r="F12355" s="1">
        <v>1</v>
      </c>
      <c r="G12355" s="1" t="s">
        <v>31</v>
      </c>
      <c r="H12355" s="4" t="str">
        <f>HYPERLINK("https://portal.gdc.cancer.gov/cases/b3164f7b-c826-4e08-9ee6-8ff96d29b913","TCGA-OR-A5J1-01A")</f>
        <v>TCGA-OR-A5J1-01A</v>
      </c>
      <c r="I12355" t="s">
        <v>59</v>
      </c>
      <c r="J12355" t="s">
        <v>496</v>
      </c>
      <c r="K12355" t="s">
        <v>19</v>
      </c>
      <c r="L12355" t="s">
        <v>34</v>
      </c>
      <c r="M12355" t="s">
        <v>502</v>
      </c>
      <c r="N12355" t="s">
        <v>29</v>
      </c>
    </row>
    <row r="12356" spans="1:14">
      <c r="A12356" s="4" t="str">
        <f t="shared" si="1074"/>
        <v>EXP00391</v>
      </c>
      <c r="B12356" s="3" t="s">
        <v>66</v>
      </c>
      <c r="C12356" s="4" t="str">
        <f t="shared" si="1073"/>
        <v>TCGA-ACC</v>
      </c>
      <c r="D12356" s="1" t="s">
        <v>493</v>
      </c>
      <c r="E12356" t="s">
        <v>501</v>
      </c>
      <c r="F12356" s="1">
        <v>1</v>
      </c>
      <c r="G12356" s="1" t="s">
        <v>31</v>
      </c>
      <c r="H12356" s="4" t="str">
        <f>HYPERLINK("https://portal.gdc.cancer.gov/cases/8e7c2e31-d085-4b75-a970-162526dd07a0","TCGA-OR-A5J2-01A")</f>
        <v>TCGA-OR-A5J2-01A</v>
      </c>
      <c r="I12356" t="s">
        <v>59</v>
      </c>
      <c r="J12356" t="s">
        <v>496</v>
      </c>
      <c r="K12356" t="s">
        <v>19</v>
      </c>
      <c r="L12356" t="s">
        <v>34</v>
      </c>
      <c r="M12356" t="s">
        <v>213</v>
      </c>
      <c r="N12356" t="s">
        <v>29</v>
      </c>
    </row>
    <row r="12357" spans="1:14">
      <c r="A12357" s="4" t="str">
        <f t="shared" si="1074"/>
        <v>EXP00391</v>
      </c>
      <c r="B12357" s="3" t="s">
        <v>66</v>
      </c>
      <c r="C12357" s="4" t="str">
        <f t="shared" si="1073"/>
        <v>TCGA-ACC</v>
      </c>
      <c r="D12357" s="1" t="s">
        <v>493</v>
      </c>
      <c r="E12357" t="s">
        <v>501</v>
      </c>
      <c r="F12357" s="1">
        <v>1</v>
      </c>
      <c r="G12357" s="1" t="s">
        <v>31</v>
      </c>
      <c r="H12357" s="4" t="str">
        <f>HYPERLINK("https://portal.gdc.cancer.gov/cases/dfd687bc-6e69-42f7-af94-d17fc150d1a1","TCGA-OR-A5J3-01A")</f>
        <v>TCGA-OR-A5J3-01A</v>
      </c>
      <c r="I12357" t="s">
        <v>59</v>
      </c>
      <c r="J12357" t="s">
        <v>496</v>
      </c>
      <c r="K12357" t="s">
        <v>19</v>
      </c>
      <c r="L12357" t="s">
        <v>34</v>
      </c>
      <c r="M12357" t="s">
        <v>499</v>
      </c>
      <c r="N12357" t="s">
        <v>29</v>
      </c>
    </row>
    <row r="12358" spans="1:14">
      <c r="A12358" s="4" t="str">
        <f t="shared" si="1074"/>
        <v>EXP00391</v>
      </c>
      <c r="B12358" s="3" t="s">
        <v>66</v>
      </c>
      <c r="C12358" s="4" t="str">
        <f t="shared" si="1073"/>
        <v>TCGA-ACC</v>
      </c>
      <c r="D12358" s="1" t="s">
        <v>493</v>
      </c>
      <c r="E12358" t="s">
        <v>501</v>
      </c>
      <c r="F12358" s="1">
        <v>1</v>
      </c>
      <c r="G12358" s="1" t="s">
        <v>31</v>
      </c>
      <c r="H12358" s="4" t="str">
        <f>HYPERLINK("https://portal.gdc.cancer.gov/cases/075dbfd0-9cf4-4877-884f-ae858902c79e","TCGA-OR-A5J7-01A")</f>
        <v>TCGA-OR-A5J7-01A</v>
      </c>
      <c r="I12358" t="s">
        <v>59</v>
      </c>
      <c r="J12358" t="s">
        <v>496</v>
      </c>
      <c r="K12358" t="s">
        <v>19</v>
      </c>
      <c r="L12358" t="s">
        <v>34</v>
      </c>
      <c r="M12358" t="s">
        <v>499</v>
      </c>
      <c r="N12358" t="s">
        <v>29</v>
      </c>
    </row>
    <row r="12359" spans="1:14">
      <c r="A12359" s="4" t="str">
        <f t="shared" si="1074"/>
        <v>EXP00391</v>
      </c>
      <c r="B12359" s="3" t="s">
        <v>66</v>
      </c>
      <c r="C12359" s="4" t="str">
        <f t="shared" si="1073"/>
        <v>TCGA-ACC</v>
      </c>
      <c r="D12359" s="1" t="s">
        <v>493</v>
      </c>
      <c r="E12359" t="s">
        <v>501</v>
      </c>
      <c r="F12359" s="1">
        <v>1</v>
      </c>
      <c r="G12359" s="1" t="s">
        <v>31</v>
      </c>
      <c r="H12359" s="4" t="str">
        <f>HYPERLINK("https://portal.gdc.cancer.gov/cases/a53e9117-0a49-40d8-af40-7867370b671a","TCGA-OR-A5J9-01A")</f>
        <v>TCGA-OR-A5J9-01A</v>
      </c>
      <c r="I12359" t="s">
        <v>59</v>
      </c>
      <c r="J12359" t="s">
        <v>496</v>
      </c>
      <c r="K12359" t="s">
        <v>19</v>
      </c>
      <c r="L12359" t="s">
        <v>34</v>
      </c>
      <c r="M12359" t="s">
        <v>41</v>
      </c>
      <c r="N12359" t="s">
        <v>29</v>
      </c>
    </row>
    <row r="12360" spans="1:14">
      <c r="A12360" s="4" t="str">
        <f t="shared" si="1074"/>
        <v>EXP00391</v>
      </c>
      <c r="B12360" s="3" t="s">
        <v>66</v>
      </c>
      <c r="C12360" s="4" t="str">
        <f t="shared" si="1073"/>
        <v>TCGA-ACC</v>
      </c>
      <c r="D12360" s="1" t="s">
        <v>493</v>
      </c>
      <c r="E12360" t="s">
        <v>501</v>
      </c>
      <c r="F12360" s="1">
        <v>1</v>
      </c>
      <c r="G12360" s="1" t="s">
        <v>31</v>
      </c>
      <c r="H12360" s="4" t="str">
        <f>HYPERLINK("https://portal.gdc.cancer.gov/cases/fb54458d-c373-46c2-841e-82663e13efaa","TCGA-OR-A5JM-01A")</f>
        <v>TCGA-OR-A5JM-01A</v>
      </c>
      <c r="I12360" t="s">
        <v>59</v>
      </c>
      <c r="J12360" t="s">
        <v>496</v>
      </c>
      <c r="K12360" t="s">
        <v>19</v>
      </c>
      <c r="L12360" t="s">
        <v>34</v>
      </c>
      <c r="M12360" t="s">
        <v>44</v>
      </c>
      <c r="N12360" t="s">
        <v>29</v>
      </c>
    </row>
    <row r="12361" spans="1:14">
      <c r="A12361" s="4" t="str">
        <f t="shared" si="1074"/>
        <v>EXP00391</v>
      </c>
      <c r="B12361" s="3" t="s">
        <v>66</v>
      </c>
      <c r="C12361" s="4" t="str">
        <f t="shared" si="1073"/>
        <v>TCGA-ACC</v>
      </c>
      <c r="D12361" s="1" t="s">
        <v>493</v>
      </c>
      <c r="E12361" t="s">
        <v>501</v>
      </c>
      <c r="F12361" s="1">
        <v>1</v>
      </c>
      <c r="G12361" s="1" t="s">
        <v>31</v>
      </c>
      <c r="H12361" s="4" t="str">
        <f>HYPERLINK("https://portal.gdc.cancer.gov/cases/82940e94-ac74-4a9b-9da5-9e4b7d4d45c0","TCGA-OR-A5JS-01A")</f>
        <v>TCGA-OR-A5JS-01A</v>
      </c>
      <c r="I12361" t="s">
        <v>59</v>
      </c>
      <c r="J12361" t="s">
        <v>496</v>
      </c>
      <c r="K12361" t="s">
        <v>19</v>
      </c>
      <c r="L12361" t="s">
        <v>34</v>
      </c>
      <c r="M12361" t="s">
        <v>41</v>
      </c>
      <c r="N12361" t="s">
        <v>29</v>
      </c>
    </row>
    <row r="12362" spans="1:14">
      <c r="A12362" s="4" t="str">
        <f t="shared" si="1074"/>
        <v>EXP00391</v>
      </c>
      <c r="B12362" s="3" t="s">
        <v>66</v>
      </c>
      <c r="C12362" s="4" t="str">
        <f t="shared" si="1073"/>
        <v>TCGA-ACC</v>
      </c>
      <c r="D12362" s="1" t="s">
        <v>493</v>
      </c>
      <c r="E12362" t="s">
        <v>501</v>
      </c>
      <c r="F12362" s="1">
        <v>1</v>
      </c>
      <c r="G12362" s="1" t="s">
        <v>31</v>
      </c>
      <c r="H12362" s="4" t="str">
        <f>HYPERLINK("https://portal.gdc.cancer.gov/cases/344f7ea4-2bd4-4f2d-89f2-9fc7f572a3d6","TCGA-OR-A5JY-01A")</f>
        <v>TCGA-OR-A5JY-01A</v>
      </c>
      <c r="I12362" t="s">
        <v>59</v>
      </c>
      <c r="J12362" t="s">
        <v>496</v>
      </c>
      <c r="K12362" t="s">
        <v>19</v>
      </c>
      <c r="L12362" t="s">
        <v>34</v>
      </c>
      <c r="M12362" t="s">
        <v>499</v>
      </c>
      <c r="N12362" t="s">
        <v>29</v>
      </c>
    </row>
    <row r="12363" spans="1:14">
      <c r="A12363" s="4" t="str">
        <f t="shared" si="1074"/>
        <v>EXP00391</v>
      </c>
      <c r="B12363" s="3" t="s">
        <v>66</v>
      </c>
      <c r="C12363" s="4" t="str">
        <f t="shared" si="1073"/>
        <v>TCGA-ACC</v>
      </c>
      <c r="D12363" s="1" t="s">
        <v>493</v>
      </c>
      <c r="E12363" t="s">
        <v>501</v>
      </c>
      <c r="F12363" s="1">
        <v>1</v>
      </c>
      <c r="G12363" s="1" t="s">
        <v>31</v>
      </c>
      <c r="H12363" s="4" t="str">
        <f>HYPERLINK("https://portal.gdc.cancer.gov/cases/edc62c30-cacc-457d-96ba-d05ed35432a3","TCGA-OR-A5K0-01A")</f>
        <v>TCGA-OR-A5K0-01A</v>
      </c>
      <c r="I12363" t="s">
        <v>59</v>
      </c>
      <c r="J12363" t="s">
        <v>496</v>
      </c>
      <c r="K12363" t="s">
        <v>19</v>
      </c>
      <c r="L12363" t="s">
        <v>34</v>
      </c>
      <c r="M12363" t="s">
        <v>41</v>
      </c>
      <c r="N12363" t="s">
        <v>29</v>
      </c>
    </row>
    <row r="12364" spans="1:14">
      <c r="A12364" s="4" t="str">
        <f t="shared" si="1074"/>
        <v>EXP00391</v>
      </c>
      <c r="B12364" s="3" t="s">
        <v>66</v>
      </c>
      <c r="C12364" s="4" t="str">
        <f t="shared" ref="C12364:C12395" si="1075">HYPERLINK("https://portal.gdc.cancer.gov/projects/TCGA-ACC","TCGA-ACC")</f>
        <v>TCGA-ACC</v>
      </c>
      <c r="D12364" s="1" t="s">
        <v>493</v>
      </c>
      <c r="E12364" t="s">
        <v>501</v>
      </c>
      <c r="F12364" s="1">
        <v>1</v>
      </c>
      <c r="G12364" s="1" t="s">
        <v>31</v>
      </c>
      <c r="H12364" s="4" t="str">
        <f>HYPERLINK("https://portal.gdc.cancer.gov/cases/6d980941-219e-40a0-9b41-e84c3fb0bd1a","TCGA-OR-A5K2-01A")</f>
        <v>TCGA-OR-A5K2-01A</v>
      </c>
      <c r="I12364" t="s">
        <v>59</v>
      </c>
      <c r="J12364" t="s">
        <v>496</v>
      </c>
      <c r="K12364" t="s">
        <v>19</v>
      </c>
      <c r="L12364" t="s">
        <v>34</v>
      </c>
      <c r="M12364" t="s">
        <v>41</v>
      </c>
      <c r="N12364" t="s">
        <v>29</v>
      </c>
    </row>
    <row r="12365" spans="1:14">
      <c r="A12365" s="4" t="str">
        <f t="shared" si="1074"/>
        <v>EXP00391</v>
      </c>
      <c r="B12365" s="3" t="s">
        <v>66</v>
      </c>
      <c r="C12365" s="4" t="str">
        <f t="shared" si="1075"/>
        <v>TCGA-ACC</v>
      </c>
      <c r="D12365" s="1" t="s">
        <v>493</v>
      </c>
      <c r="E12365" t="s">
        <v>501</v>
      </c>
      <c r="F12365" s="1">
        <v>1</v>
      </c>
      <c r="G12365" s="1" t="s">
        <v>31</v>
      </c>
      <c r="H12365" s="4" t="str">
        <f>HYPERLINK("https://portal.gdc.cancer.gov/cases/cf332daa-f335-4af1-81de-cbfdafb0f764","TCGA-OR-A5K5-01A")</f>
        <v>TCGA-OR-A5K5-01A</v>
      </c>
      <c r="I12365" t="s">
        <v>59</v>
      </c>
      <c r="J12365" t="s">
        <v>496</v>
      </c>
      <c r="K12365" t="s">
        <v>19</v>
      </c>
      <c r="L12365" t="s">
        <v>34</v>
      </c>
      <c r="M12365" t="s">
        <v>499</v>
      </c>
      <c r="N12365" t="s">
        <v>29</v>
      </c>
    </row>
    <row r="12366" spans="1:14">
      <c r="A12366" s="4" t="str">
        <f t="shared" si="1074"/>
        <v>EXP00391</v>
      </c>
      <c r="B12366" s="3" t="s">
        <v>66</v>
      </c>
      <c r="C12366" s="4" t="str">
        <f t="shared" si="1075"/>
        <v>TCGA-ACC</v>
      </c>
      <c r="D12366" s="1" t="s">
        <v>493</v>
      </c>
      <c r="E12366" t="s">
        <v>501</v>
      </c>
      <c r="F12366" s="1">
        <v>1</v>
      </c>
      <c r="G12366" s="1" t="s">
        <v>31</v>
      </c>
      <c r="H12366" s="4" t="str">
        <f>HYPERLINK("https://portal.gdc.cancer.gov/cases/28153e3e-8515-4852-aaa0-247f86399f27","TCGA-OR-A5K6-01A")</f>
        <v>TCGA-OR-A5K6-01A</v>
      </c>
      <c r="I12366" t="s">
        <v>59</v>
      </c>
      <c r="J12366" t="s">
        <v>496</v>
      </c>
      <c r="K12366" t="s">
        <v>19</v>
      </c>
      <c r="L12366" t="s">
        <v>34</v>
      </c>
      <c r="M12366" t="s">
        <v>44</v>
      </c>
      <c r="N12366" t="s">
        <v>29</v>
      </c>
    </row>
    <row r="12367" spans="1:14">
      <c r="A12367" s="4" t="str">
        <f t="shared" si="1074"/>
        <v>EXP00391</v>
      </c>
      <c r="B12367" s="3" t="s">
        <v>66</v>
      </c>
      <c r="C12367" s="4" t="str">
        <f t="shared" si="1075"/>
        <v>TCGA-ACC</v>
      </c>
      <c r="D12367" s="1" t="s">
        <v>493</v>
      </c>
      <c r="E12367" t="s">
        <v>501</v>
      </c>
      <c r="F12367" s="1">
        <v>1</v>
      </c>
      <c r="G12367" s="1" t="s">
        <v>31</v>
      </c>
      <c r="H12367" s="4" t="str">
        <f>HYPERLINK("https://portal.gdc.cancer.gov/cases/d890cbf7-41d8-4992-99c2-24c60c77b156","TCGA-OR-A5K9-01A")</f>
        <v>TCGA-OR-A5K9-01A</v>
      </c>
      <c r="I12367" t="s">
        <v>59</v>
      </c>
      <c r="J12367" t="s">
        <v>496</v>
      </c>
      <c r="K12367" t="s">
        <v>19</v>
      </c>
      <c r="L12367" t="s">
        <v>34</v>
      </c>
      <c r="M12367" t="s">
        <v>499</v>
      </c>
      <c r="N12367" t="s">
        <v>29</v>
      </c>
    </row>
    <row r="12368" spans="1:14">
      <c r="A12368" s="4" t="str">
        <f t="shared" si="1074"/>
        <v>EXP00391</v>
      </c>
      <c r="B12368" s="3" t="s">
        <v>66</v>
      </c>
      <c r="C12368" s="4" t="str">
        <f t="shared" si="1075"/>
        <v>TCGA-ACC</v>
      </c>
      <c r="D12368" s="1" t="s">
        <v>493</v>
      </c>
      <c r="E12368" t="s">
        <v>501</v>
      </c>
      <c r="F12368" s="1">
        <v>1</v>
      </c>
      <c r="G12368" s="1" t="s">
        <v>31</v>
      </c>
      <c r="H12368" s="4" t="str">
        <f>HYPERLINK("https://portal.gdc.cancer.gov/cases/de7f06aa-9638-4389-ac8e-711adfa0f2a5","TCGA-OR-A5KT-01A")</f>
        <v>TCGA-OR-A5KT-01A</v>
      </c>
      <c r="I12368" t="s">
        <v>59</v>
      </c>
      <c r="J12368" t="s">
        <v>496</v>
      </c>
      <c r="K12368" t="s">
        <v>19</v>
      </c>
      <c r="L12368" t="s">
        <v>34</v>
      </c>
      <c r="M12368" t="s">
        <v>47</v>
      </c>
      <c r="N12368" t="s">
        <v>29</v>
      </c>
    </row>
    <row r="12369" spans="1:14">
      <c r="A12369" s="4" t="str">
        <f t="shared" si="1074"/>
        <v>EXP00391</v>
      </c>
      <c r="B12369" s="3" t="s">
        <v>66</v>
      </c>
      <c r="C12369" s="4" t="str">
        <f t="shared" si="1075"/>
        <v>TCGA-ACC</v>
      </c>
      <c r="D12369" s="1" t="s">
        <v>493</v>
      </c>
      <c r="E12369" t="s">
        <v>501</v>
      </c>
      <c r="F12369" s="1">
        <v>1</v>
      </c>
      <c r="G12369" s="1" t="s">
        <v>31</v>
      </c>
      <c r="H12369" s="4" t="str">
        <f>HYPERLINK("https://portal.gdc.cancer.gov/cases/202f7a77-9e5a-4f12-8ffe-78ae5527a746","TCGA-OR-A5KV-01A")</f>
        <v>TCGA-OR-A5KV-01A</v>
      </c>
      <c r="I12369" t="s">
        <v>59</v>
      </c>
      <c r="J12369" t="s">
        <v>496</v>
      </c>
      <c r="K12369" t="s">
        <v>19</v>
      </c>
      <c r="L12369" t="s">
        <v>34</v>
      </c>
      <c r="M12369" t="s">
        <v>41</v>
      </c>
      <c r="N12369" t="s">
        <v>29</v>
      </c>
    </row>
    <row r="12370" spans="1:14">
      <c r="A12370" s="4" t="str">
        <f t="shared" si="1074"/>
        <v>EXP00391</v>
      </c>
      <c r="B12370" s="3" t="s">
        <v>66</v>
      </c>
      <c r="C12370" s="4" t="str">
        <f t="shared" si="1075"/>
        <v>TCGA-ACC</v>
      </c>
      <c r="D12370" s="1" t="s">
        <v>493</v>
      </c>
      <c r="E12370" t="s">
        <v>501</v>
      </c>
      <c r="F12370" s="1">
        <v>1</v>
      </c>
      <c r="G12370" s="1" t="s">
        <v>31</v>
      </c>
      <c r="H12370" s="4" t="str">
        <f>HYPERLINK("https://portal.gdc.cancer.gov/cases/33c02ece-911b-4f45-b410-9df07e9b189e","TCGA-OR-A5KX-01A")</f>
        <v>TCGA-OR-A5KX-01A</v>
      </c>
      <c r="I12370" t="s">
        <v>59</v>
      </c>
      <c r="J12370" t="s">
        <v>496</v>
      </c>
      <c r="K12370" t="s">
        <v>19</v>
      </c>
      <c r="L12370" t="s">
        <v>34</v>
      </c>
      <c r="M12370" t="s">
        <v>50</v>
      </c>
      <c r="N12370" t="s">
        <v>29</v>
      </c>
    </row>
    <row r="12371" spans="1:14">
      <c r="A12371" s="4" t="str">
        <f t="shared" si="1074"/>
        <v>EXP00391</v>
      </c>
      <c r="B12371" s="3" t="s">
        <v>66</v>
      </c>
      <c r="C12371" s="4" t="str">
        <f t="shared" si="1075"/>
        <v>TCGA-ACC</v>
      </c>
      <c r="D12371" s="1" t="s">
        <v>493</v>
      </c>
      <c r="E12371" t="s">
        <v>501</v>
      </c>
      <c r="F12371" s="1">
        <v>1</v>
      </c>
      <c r="G12371" s="1" t="s">
        <v>31</v>
      </c>
      <c r="H12371" s="4" t="str">
        <f>HYPERLINK("https://portal.gdc.cancer.gov/cases/99f86b57-3894-45c5-bfbe-c757c69a3050","TCGA-OR-A5KZ-01A")</f>
        <v>TCGA-OR-A5KZ-01A</v>
      </c>
      <c r="I12371" t="s">
        <v>59</v>
      </c>
      <c r="J12371" t="s">
        <v>496</v>
      </c>
      <c r="K12371" t="s">
        <v>19</v>
      </c>
      <c r="L12371" t="s">
        <v>34</v>
      </c>
      <c r="M12371" t="s">
        <v>50</v>
      </c>
      <c r="N12371" t="s">
        <v>29</v>
      </c>
    </row>
    <row r="12372" spans="1:14">
      <c r="A12372" s="4" t="str">
        <f t="shared" si="1074"/>
        <v>EXP00391</v>
      </c>
      <c r="B12372" s="3" t="s">
        <v>66</v>
      </c>
      <c r="C12372" s="4" t="str">
        <f t="shared" si="1075"/>
        <v>TCGA-ACC</v>
      </c>
      <c r="D12372" s="1" t="s">
        <v>493</v>
      </c>
      <c r="E12372" t="s">
        <v>501</v>
      </c>
      <c r="F12372" s="1">
        <v>1</v>
      </c>
      <c r="G12372" s="1" t="s">
        <v>31</v>
      </c>
      <c r="H12372" s="4" t="str">
        <f>HYPERLINK("https://portal.gdc.cancer.gov/cases/fb504e55-1859-48ee-aec7-a3fcb082785e","TCGA-OR-A5LB-01A")</f>
        <v>TCGA-OR-A5LB-01A</v>
      </c>
      <c r="I12372" t="s">
        <v>59</v>
      </c>
      <c r="J12372" t="s">
        <v>496</v>
      </c>
      <c r="K12372" t="s">
        <v>19</v>
      </c>
      <c r="L12372" t="s">
        <v>34</v>
      </c>
      <c r="M12372" t="s">
        <v>44</v>
      </c>
      <c r="N12372" t="s">
        <v>29</v>
      </c>
    </row>
    <row r="12373" spans="1:14">
      <c r="A12373" s="4" t="str">
        <f t="shared" si="1074"/>
        <v>EXP00391</v>
      </c>
      <c r="B12373" s="3" t="s">
        <v>66</v>
      </c>
      <c r="C12373" s="4" t="str">
        <f t="shared" si="1075"/>
        <v>TCGA-ACC</v>
      </c>
      <c r="D12373" s="1" t="s">
        <v>493</v>
      </c>
      <c r="E12373" t="s">
        <v>501</v>
      </c>
      <c r="F12373" s="1">
        <v>1</v>
      </c>
      <c r="G12373" s="1" t="s">
        <v>31</v>
      </c>
      <c r="H12373" s="4" t="str">
        <f>HYPERLINK("https://portal.gdc.cancer.gov/cases/f8954241-e541-406f-a09d-c3c987473732","TCGA-OR-A5LC-01A")</f>
        <v>TCGA-OR-A5LC-01A</v>
      </c>
      <c r="I12373" t="s">
        <v>59</v>
      </c>
      <c r="J12373" t="s">
        <v>496</v>
      </c>
      <c r="K12373" t="s">
        <v>19</v>
      </c>
      <c r="L12373" t="s">
        <v>34</v>
      </c>
      <c r="M12373" t="s">
        <v>135</v>
      </c>
      <c r="N12373" t="s">
        <v>29</v>
      </c>
    </row>
    <row r="12374" spans="1:14">
      <c r="A12374" s="4" t="str">
        <f t="shared" si="1074"/>
        <v>EXP00391</v>
      </c>
      <c r="B12374" s="3" t="s">
        <v>66</v>
      </c>
      <c r="C12374" s="4" t="str">
        <f t="shared" si="1075"/>
        <v>TCGA-ACC</v>
      </c>
      <c r="D12374" s="1" t="s">
        <v>493</v>
      </c>
      <c r="E12374" t="s">
        <v>501</v>
      </c>
      <c r="F12374" s="1">
        <v>1</v>
      </c>
      <c r="G12374" s="1" t="s">
        <v>31</v>
      </c>
      <c r="H12374" s="4" t="str">
        <f>HYPERLINK("https://portal.gdc.cancer.gov/cases/d885b720-e813-4828-a731-b3cdcbd20687","TCGA-OR-A5LD-01A")</f>
        <v>TCGA-OR-A5LD-01A</v>
      </c>
      <c r="I12374" t="s">
        <v>59</v>
      </c>
      <c r="J12374" t="s">
        <v>496</v>
      </c>
      <c r="K12374" t="s">
        <v>19</v>
      </c>
      <c r="L12374" t="s">
        <v>34</v>
      </c>
      <c r="M12374" t="s">
        <v>41</v>
      </c>
      <c r="N12374" t="s">
        <v>29</v>
      </c>
    </row>
    <row r="12375" spans="1:14">
      <c r="A12375" s="4" t="str">
        <f t="shared" si="1074"/>
        <v>EXP00391</v>
      </c>
      <c r="B12375" s="3" t="s">
        <v>66</v>
      </c>
      <c r="C12375" s="4" t="str">
        <f t="shared" si="1075"/>
        <v>TCGA-ACC</v>
      </c>
      <c r="D12375" s="1" t="s">
        <v>493</v>
      </c>
      <c r="E12375" t="s">
        <v>501</v>
      </c>
      <c r="F12375" s="1">
        <v>1</v>
      </c>
      <c r="G12375" s="1" t="s">
        <v>31</v>
      </c>
      <c r="H12375" s="4" t="str">
        <f>HYPERLINK("https://portal.gdc.cancer.gov/cases/fad4b7e6-510c-4968-83df-3140ed5a0549","TCGA-OR-A5LG-01A")</f>
        <v>TCGA-OR-A5LG-01A</v>
      </c>
      <c r="I12375" t="s">
        <v>59</v>
      </c>
      <c r="J12375" t="s">
        <v>496</v>
      </c>
      <c r="K12375" t="s">
        <v>19</v>
      </c>
      <c r="L12375" t="s">
        <v>34</v>
      </c>
      <c r="M12375" t="s">
        <v>41</v>
      </c>
      <c r="N12375" t="s">
        <v>29</v>
      </c>
    </row>
    <row r="12376" spans="1:14">
      <c r="A12376" s="4" t="str">
        <f t="shared" si="1074"/>
        <v>EXP00391</v>
      </c>
      <c r="B12376" s="3" t="s">
        <v>66</v>
      </c>
      <c r="C12376" s="4" t="str">
        <f t="shared" si="1075"/>
        <v>TCGA-ACC</v>
      </c>
      <c r="D12376" s="1" t="s">
        <v>493</v>
      </c>
      <c r="E12376" t="s">
        <v>501</v>
      </c>
      <c r="F12376" s="1">
        <v>1</v>
      </c>
      <c r="G12376" s="1" t="s">
        <v>31</v>
      </c>
      <c r="H12376" s="4" t="str">
        <f>HYPERLINK("https://portal.gdc.cancer.gov/cases/fc83ab27-929e-4ad4-ba18-abb0694f1e43","TCGA-OR-A5LJ-01A")</f>
        <v>TCGA-OR-A5LJ-01A</v>
      </c>
      <c r="I12376" t="s">
        <v>59</v>
      </c>
      <c r="J12376" t="s">
        <v>496</v>
      </c>
      <c r="K12376" t="s">
        <v>19</v>
      </c>
      <c r="L12376" t="s">
        <v>34</v>
      </c>
      <c r="M12376" t="s">
        <v>41</v>
      </c>
      <c r="N12376" t="s">
        <v>29</v>
      </c>
    </row>
    <row r="12377" spans="1:14">
      <c r="A12377" s="4" t="str">
        <f t="shared" si="1074"/>
        <v>EXP00391</v>
      </c>
      <c r="B12377" s="3" t="s">
        <v>66</v>
      </c>
      <c r="C12377" s="4" t="str">
        <f t="shared" si="1075"/>
        <v>TCGA-ACC</v>
      </c>
      <c r="D12377" s="1" t="s">
        <v>493</v>
      </c>
      <c r="E12377" t="s">
        <v>501</v>
      </c>
      <c r="F12377" s="1">
        <v>1</v>
      </c>
      <c r="G12377" s="1" t="s">
        <v>31</v>
      </c>
      <c r="H12377" s="4" t="str">
        <f>HYPERLINK("https://portal.gdc.cancer.gov/cases/0304b12d-7640-4150-a581-2eea2b1f2ad5","TCGA-OR-A5LL-01A")</f>
        <v>TCGA-OR-A5LL-01A</v>
      </c>
      <c r="I12377" t="s">
        <v>59</v>
      </c>
      <c r="J12377" t="s">
        <v>496</v>
      </c>
      <c r="K12377" t="s">
        <v>19</v>
      </c>
      <c r="L12377" t="s">
        <v>34</v>
      </c>
      <c r="M12377" t="s">
        <v>44</v>
      </c>
      <c r="N12377" t="s">
        <v>29</v>
      </c>
    </row>
    <row r="12378" spans="1:14">
      <c r="A12378" s="4" t="str">
        <f t="shared" si="1074"/>
        <v>EXP00391</v>
      </c>
      <c r="B12378" s="3" t="s">
        <v>66</v>
      </c>
      <c r="C12378" s="4" t="str">
        <f t="shared" si="1075"/>
        <v>TCGA-ACC</v>
      </c>
      <c r="D12378" s="1" t="s">
        <v>493</v>
      </c>
      <c r="E12378" t="s">
        <v>501</v>
      </c>
      <c r="F12378" s="1">
        <v>1</v>
      </c>
      <c r="G12378" s="1" t="s">
        <v>31</v>
      </c>
      <c r="H12378" s="4" t="str">
        <f>HYPERLINK("https://portal.gdc.cancer.gov/cases/1d5602a7-72e7-4dc6-b2db-2f778fcbf475","TCGA-OR-A5LO-01A")</f>
        <v>TCGA-OR-A5LO-01A</v>
      </c>
      <c r="I12378" t="s">
        <v>59</v>
      </c>
      <c r="J12378" t="s">
        <v>496</v>
      </c>
      <c r="K12378" t="s">
        <v>19</v>
      </c>
      <c r="L12378" t="s">
        <v>34</v>
      </c>
      <c r="M12378" t="s">
        <v>41</v>
      </c>
      <c r="N12378" t="s">
        <v>29</v>
      </c>
    </row>
    <row r="12379" spans="1:14">
      <c r="A12379" s="4" t="str">
        <f t="shared" si="1074"/>
        <v>EXP00391</v>
      </c>
      <c r="B12379" s="3" t="s">
        <v>66</v>
      </c>
      <c r="C12379" s="4" t="str">
        <f t="shared" si="1075"/>
        <v>TCGA-ACC</v>
      </c>
      <c r="D12379" s="1" t="s">
        <v>493</v>
      </c>
      <c r="E12379" t="s">
        <v>501</v>
      </c>
      <c r="F12379" s="1">
        <v>1</v>
      </c>
      <c r="G12379" s="1" t="s">
        <v>31</v>
      </c>
      <c r="H12379" s="4" t="str">
        <f>HYPERLINK("https://portal.gdc.cancer.gov/cases/a5be4e42-cb6c-4e67-8547-45dbd058bb95","TCGA-OU-A5PI-01A")</f>
        <v>TCGA-OU-A5PI-01A</v>
      </c>
      <c r="I12379" t="s">
        <v>59</v>
      </c>
      <c r="J12379" t="s">
        <v>496</v>
      </c>
      <c r="K12379" t="s">
        <v>19</v>
      </c>
      <c r="L12379" t="s">
        <v>34</v>
      </c>
      <c r="M12379" t="s">
        <v>41</v>
      </c>
      <c r="N12379" t="s">
        <v>29</v>
      </c>
    </row>
    <row r="12380" spans="1:14">
      <c r="A12380" s="4" t="str">
        <f t="shared" si="1074"/>
        <v>EXP00391</v>
      </c>
      <c r="B12380" s="3" t="s">
        <v>66</v>
      </c>
      <c r="C12380" s="4" t="str">
        <f t="shared" si="1075"/>
        <v>TCGA-ACC</v>
      </c>
      <c r="D12380" s="1" t="s">
        <v>493</v>
      </c>
      <c r="E12380" t="s">
        <v>501</v>
      </c>
      <c r="F12380" s="1">
        <v>1</v>
      </c>
      <c r="G12380" s="1" t="s">
        <v>31</v>
      </c>
      <c r="H12380" s="4" t="str">
        <f>HYPERLINK("https://portal.gdc.cancer.gov/cases/888a7158-2319-4563-849b-573705c72ab7","TCGA-P6-A5OF-01A")</f>
        <v>TCGA-P6-A5OF-01A</v>
      </c>
      <c r="I12380" t="s">
        <v>59</v>
      </c>
      <c r="J12380" t="s">
        <v>496</v>
      </c>
      <c r="K12380" t="s">
        <v>19</v>
      </c>
      <c r="L12380" t="s">
        <v>34</v>
      </c>
      <c r="M12380" t="s">
        <v>499</v>
      </c>
      <c r="N12380" t="s">
        <v>29</v>
      </c>
    </row>
    <row r="12381" spans="1:14">
      <c r="A12381" s="4" t="str">
        <f t="shared" si="1074"/>
        <v>EXP00391</v>
      </c>
      <c r="B12381" s="3" t="s">
        <v>66</v>
      </c>
      <c r="C12381" s="4" t="str">
        <f t="shared" si="1075"/>
        <v>TCGA-ACC</v>
      </c>
      <c r="D12381" s="1" t="s">
        <v>493</v>
      </c>
      <c r="E12381" t="s">
        <v>501</v>
      </c>
      <c r="F12381" s="1">
        <v>1</v>
      </c>
      <c r="G12381" s="1" t="s">
        <v>31</v>
      </c>
      <c r="H12381" s="4" t="str">
        <f>HYPERLINK("https://portal.gdc.cancer.gov/cases/0824b246-9fa2-4a8b-ad4c-1ffc7731bf7d","TCGA-P6-A5OG-01A")</f>
        <v>TCGA-P6-A5OG-01A</v>
      </c>
      <c r="I12381" t="s">
        <v>59</v>
      </c>
      <c r="J12381" t="s">
        <v>496</v>
      </c>
      <c r="K12381" t="s">
        <v>19</v>
      </c>
      <c r="L12381" t="s">
        <v>34</v>
      </c>
      <c r="M12381" t="s">
        <v>503</v>
      </c>
      <c r="N12381" t="s">
        <v>29</v>
      </c>
    </row>
    <row r="12382" spans="1:14">
      <c r="A12382" s="4" t="str">
        <f t="shared" si="1074"/>
        <v>EXP00391</v>
      </c>
      <c r="B12382" s="3" t="s">
        <v>66</v>
      </c>
      <c r="C12382" s="4" t="str">
        <f t="shared" si="1075"/>
        <v>TCGA-ACC</v>
      </c>
      <c r="D12382" s="1" t="s">
        <v>493</v>
      </c>
      <c r="E12382" t="s">
        <v>501</v>
      </c>
      <c r="F12382" s="1">
        <v>1</v>
      </c>
      <c r="G12382" s="1" t="s">
        <v>31</v>
      </c>
      <c r="H12382" s="4" t="str">
        <f>HYPERLINK("https://portal.gdc.cancer.gov/cases/9a8ea017-0152-48b2-accb-d040deb1c6b6","TCGA-PK-A5HB-01A")</f>
        <v>TCGA-PK-A5HB-01A</v>
      </c>
      <c r="I12382" t="s">
        <v>59</v>
      </c>
      <c r="J12382" t="s">
        <v>496</v>
      </c>
      <c r="K12382" t="s">
        <v>19</v>
      </c>
      <c r="L12382" t="s">
        <v>34</v>
      </c>
      <c r="M12382" t="s">
        <v>41</v>
      </c>
      <c r="N12382" t="s">
        <v>29</v>
      </c>
    </row>
    <row r="12383" spans="1:14">
      <c r="A12383" s="4" t="str">
        <f t="shared" si="1074"/>
        <v>EXP00391</v>
      </c>
      <c r="B12383" s="3" t="s">
        <v>66</v>
      </c>
      <c r="C12383" s="4" t="str">
        <f t="shared" si="1075"/>
        <v>TCGA-ACC</v>
      </c>
      <c r="D12383" s="1" t="s">
        <v>493</v>
      </c>
      <c r="E12383" t="s">
        <v>501</v>
      </c>
      <c r="F12383" s="1">
        <v>2</v>
      </c>
      <c r="G12383" s="1" t="s">
        <v>32</v>
      </c>
      <c r="H12383" s="4" t="str">
        <f>HYPERLINK("https://portal.gdc.cancer.gov/cases/802dbd0d-ef07-4c91-ab8d-1dd39532e947","TCGA-OR-A5J5-01A")</f>
        <v>TCGA-OR-A5J5-01A</v>
      </c>
      <c r="I12383" t="s">
        <v>59</v>
      </c>
      <c r="J12383" t="s">
        <v>496</v>
      </c>
      <c r="K12383" t="s">
        <v>33</v>
      </c>
      <c r="L12383" t="s">
        <v>34</v>
      </c>
      <c r="N12383" t="s">
        <v>29</v>
      </c>
    </row>
    <row r="12384" spans="1:14">
      <c r="A12384" s="4" t="str">
        <f t="shared" si="1074"/>
        <v>EXP00391</v>
      </c>
      <c r="B12384" s="3" t="s">
        <v>66</v>
      </c>
      <c r="C12384" s="4" t="str">
        <f t="shared" si="1075"/>
        <v>TCGA-ACC</v>
      </c>
      <c r="D12384" s="1" t="s">
        <v>493</v>
      </c>
      <c r="E12384" t="s">
        <v>501</v>
      </c>
      <c r="F12384" s="1">
        <v>2</v>
      </c>
      <c r="G12384" s="1" t="s">
        <v>32</v>
      </c>
      <c r="H12384" s="4" t="str">
        <f>HYPERLINK("https://portal.gdc.cancer.gov/cases/c8898b42-b704-45a0-9829-144b98f416e0","TCGA-OR-A5J6-01A")</f>
        <v>TCGA-OR-A5J6-01A</v>
      </c>
      <c r="I12384" t="s">
        <v>59</v>
      </c>
      <c r="J12384" t="s">
        <v>496</v>
      </c>
      <c r="K12384" t="s">
        <v>33</v>
      </c>
      <c r="L12384" t="s">
        <v>34</v>
      </c>
      <c r="N12384" t="s">
        <v>29</v>
      </c>
    </row>
    <row r="12385" spans="1:14">
      <c r="A12385" s="4" t="str">
        <f t="shared" si="1074"/>
        <v>EXP00391</v>
      </c>
      <c r="B12385" s="3" t="s">
        <v>66</v>
      </c>
      <c r="C12385" s="4" t="str">
        <f t="shared" si="1075"/>
        <v>TCGA-ACC</v>
      </c>
      <c r="D12385" s="1" t="s">
        <v>493</v>
      </c>
      <c r="E12385" t="s">
        <v>501</v>
      </c>
      <c r="F12385" s="1">
        <v>2</v>
      </c>
      <c r="G12385" s="1" t="s">
        <v>32</v>
      </c>
      <c r="H12385" s="4" t="str">
        <f>HYPERLINK("https://portal.gdc.cancer.gov/cases/08e0d412-d4d8-4d13-b792-a4dd0bd9ec2b","TCGA-OR-A5J8-01A")</f>
        <v>TCGA-OR-A5J8-01A</v>
      </c>
      <c r="I12385" t="s">
        <v>59</v>
      </c>
      <c r="J12385" t="s">
        <v>496</v>
      </c>
      <c r="K12385" t="s">
        <v>33</v>
      </c>
      <c r="L12385" t="s">
        <v>34</v>
      </c>
      <c r="N12385" t="s">
        <v>29</v>
      </c>
    </row>
    <row r="12386" spans="1:14">
      <c r="A12386" s="4" t="str">
        <f t="shared" si="1074"/>
        <v>EXP00391</v>
      </c>
      <c r="B12386" s="3" t="s">
        <v>66</v>
      </c>
      <c r="C12386" s="4" t="str">
        <f t="shared" si="1075"/>
        <v>TCGA-ACC</v>
      </c>
      <c r="D12386" s="1" t="s">
        <v>493</v>
      </c>
      <c r="E12386" t="s">
        <v>501</v>
      </c>
      <c r="F12386" s="1">
        <v>2</v>
      </c>
      <c r="G12386" s="1" t="s">
        <v>32</v>
      </c>
      <c r="H12386" s="4" t="str">
        <f>HYPERLINK("https://portal.gdc.cancer.gov/cases/48402d61-3a6b-4603-bfa0-b1a38a47d34d","TCGA-OR-A5JA-01A")</f>
        <v>TCGA-OR-A5JA-01A</v>
      </c>
      <c r="I12386" t="s">
        <v>59</v>
      </c>
      <c r="J12386" t="s">
        <v>496</v>
      </c>
      <c r="K12386" t="s">
        <v>33</v>
      </c>
      <c r="L12386" t="s">
        <v>34</v>
      </c>
      <c r="N12386" t="s">
        <v>29</v>
      </c>
    </row>
    <row r="12387" spans="1:14">
      <c r="A12387" s="4" t="str">
        <f t="shared" ref="A12387:A12418" si="1076">HYPERLINK("http://hcmdb.i-sanger.com/experiment/details/experiment_id/EXP00391","EXP00391")</f>
        <v>EXP00391</v>
      </c>
      <c r="B12387" s="3" t="s">
        <v>66</v>
      </c>
      <c r="C12387" s="4" t="str">
        <f t="shared" si="1075"/>
        <v>TCGA-ACC</v>
      </c>
      <c r="D12387" s="1" t="s">
        <v>493</v>
      </c>
      <c r="E12387" t="s">
        <v>501</v>
      </c>
      <c r="F12387" s="1">
        <v>2</v>
      </c>
      <c r="G12387" s="1" t="s">
        <v>32</v>
      </c>
      <c r="H12387" s="4" t="str">
        <f>HYPERLINK("https://portal.gdc.cancer.gov/cases/d63f2f1e-1970-445f-907b-23cf4d9efd83","TCGA-OR-A5JB-01A")</f>
        <v>TCGA-OR-A5JB-01A</v>
      </c>
      <c r="I12387" t="s">
        <v>59</v>
      </c>
      <c r="J12387" t="s">
        <v>496</v>
      </c>
      <c r="K12387" t="s">
        <v>33</v>
      </c>
      <c r="L12387" t="s">
        <v>34</v>
      </c>
      <c r="N12387" t="s">
        <v>29</v>
      </c>
    </row>
    <row r="12388" spans="1:14">
      <c r="A12388" s="4" t="str">
        <f t="shared" si="1076"/>
        <v>EXP00391</v>
      </c>
      <c r="B12388" s="3" t="s">
        <v>66</v>
      </c>
      <c r="C12388" s="4" t="str">
        <f t="shared" si="1075"/>
        <v>TCGA-ACC</v>
      </c>
      <c r="D12388" s="1" t="s">
        <v>493</v>
      </c>
      <c r="E12388" t="s">
        <v>501</v>
      </c>
      <c r="F12388" s="1">
        <v>2</v>
      </c>
      <c r="G12388" s="1" t="s">
        <v>32</v>
      </c>
      <c r="H12388" s="4" t="str">
        <f>HYPERLINK("https://portal.gdc.cancer.gov/cases/bdfcd747-f6a2-42e2-bc9b-483112205fa8","TCGA-OR-A5JC-01A")</f>
        <v>TCGA-OR-A5JC-01A</v>
      </c>
      <c r="I12388" t="s">
        <v>59</v>
      </c>
      <c r="J12388" t="s">
        <v>496</v>
      </c>
      <c r="K12388" t="s">
        <v>33</v>
      </c>
      <c r="L12388" t="s">
        <v>34</v>
      </c>
      <c r="N12388" t="s">
        <v>29</v>
      </c>
    </row>
    <row r="12389" spans="1:14">
      <c r="A12389" s="4" t="str">
        <f t="shared" si="1076"/>
        <v>EXP00391</v>
      </c>
      <c r="B12389" s="3" t="s">
        <v>66</v>
      </c>
      <c r="C12389" s="4" t="str">
        <f t="shared" si="1075"/>
        <v>TCGA-ACC</v>
      </c>
      <c r="D12389" s="1" t="s">
        <v>493</v>
      </c>
      <c r="E12389" t="s">
        <v>501</v>
      </c>
      <c r="F12389" s="1">
        <v>2</v>
      </c>
      <c r="G12389" s="1" t="s">
        <v>32</v>
      </c>
      <c r="H12389" s="4" t="str">
        <f>HYPERLINK("https://portal.gdc.cancer.gov/cases/240dca72-76e0-4d57-978d-1242e6e7ed68","TCGA-OR-A5JD-01A")</f>
        <v>TCGA-OR-A5JD-01A</v>
      </c>
      <c r="I12389" t="s">
        <v>59</v>
      </c>
      <c r="J12389" t="s">
        <v>496</v>
      </c>
      <c r="K12389" t="s">
        <v>33</v>
      </c>
      <c r="L12389" t="s">
        <v>34</v>
      </c>
      <c r="N12389" t="s">
        <v>29</v>
      </c>
    </row>
    <row r="12390" spans="1:14">
      <c r="A12390" s="4" t="str">
        <f t="shared" si="1076"/>
        <v>EXP00391</v>
      </c>
      <c r="B12390" s="3" t="s">
        <v>66</v>
      </c>
      <c r="C12390" s="4" t="str">
        <f t="shared" si="1075"/>
        <v>TCGA-ACC</v>
      </c>
      <c r="D12390" s="1" t="s">
        <v>493</v>
      </c>
      <c r="E12390" t="s">
        <v>501</v>
      </c>
      <c r="F12390" s="1">
        <v>2</v>
      </c>
      <c r="G12390" s="1" t="s">
        <v>32</v>
      </c>
      <c r="H12390" s="4" t="str">
        <f>HYPERLINK("https://portal.gdc.cancer.gov/cases/bafe2638-4adc-4957-9d62-d7eebe5dd2f9","TCGA-OR-A5JE-01A")</f>
        <v>TCGA-OR-A5JE-01A</v>
      </c>
      <c r="I12390" t="s">
        <v>59</v>
      </c>
      <c r="J12390" t="s">
        <v>496</v>
      </c>
      <c r="K12390" t="s">
        <v>33</v>
      </c>
      <c r="L12390" t="s">
        <v>34</v>
      </c>
      <c r="N12390" t="s">
        <v>29</v>
      </c>
    </row>
    <row r="12391" spans="1:14">
      <c r="A12391" s="4" t="str">
        <f t="shared" si="1076"/>
        <v>EXP00391</v>
      </c>
      <c r="B12391" s="3" t="s">
        <v>66</v>
      </c>
      <c r="C12391" s="4" t="str">
        <f t="shared" si="1075"/>
        <v>TCGA-ACC</v>
      </c>
      <c r="D12391" s="1" t="s">
        <v>493</v>
      </c>
      <c r="E12391" t="s">
        <v>501</v>
      </c>
      <c r="F12391" s="1">
        <v>2</v>
      </c>
      <c r="G12391" s="1" t="s">
        <v>32</v>
      </c>
      <c r="H12391" s="4" t="str">
        <f>HYPERLINK("https://portal.gdc.cancer.gov/cases/dafb9844-1a5c-4af8-b382-59c751942bb8","TCGA-OR-A5JF-01A")</f>
        <v>TCGA-OR-A5JF-01A</v>
      </c>
      <c r="I12391" t="s">
        <v>59</v>
      </c>
      <c r="J12391" t="s">
        <v>496</v>
      </c>
      <c r="K12391" t="s">
        <v>33</v>
      </c>
      <c r="L12391" t="s">
        <v>34</v>
      </c>
      <c r="N12391" t="s">
        <v>29</v>
      </c>
    </row>
    <row r="12392" spans="1:14">
      <c r="A12392" s="4" t="str">
        <f t="shared" si="1076"/>
        <v>EXP00391</v>
      </c>
      <c r="B12392" s="3" t="s">
        <v>66</v>
      </c>
      <c r="C12392" s="4" t="str">
        <f t="shared" si="1075"/>
        <v>TCGA-ACC</v>
      </c>
      <c r="D12392" s="1" t="s">
        <v>493</v>
      </c>
      <c r="E12392" t="s">
        <v>501</v>
      </c>
      <c r="F12392" s="1">
        <v>2</v>
      </c>
      <c r="G12392" s="1" t="s">
        <v>32</v>
      </c>
      <c r="H12392" s="4" t="str">
        <f>HYPERLINK("https://portal.gdc.cancer.gov/cases/71892706-f8b6-44e6-8de4-6cbb43f612e0","TCGA-OR-A5JG-01A")</f>
        <v>TCGA-OR-A5JG-01A</v>
      </c>
      <c r="I12392" t="s">
        <v>59</v>
      </c>
      <c r="J12392" t="s">
        <v>496</v>
      </c>
      <c r="K12392" t="s">
        <v>33</v>
      </c>
      <c r="L12392" t="s">
        <v>34</v>
      </c>
      <c r="N12392" t="s">
        <v>29</v>
      </c>
    </row>
    <row r="12393" spans="1:14">
      <c r="A12393" s="4" t="str">
        <f t="shared" si="1076"/>
        <v>EXP00391</v>
      </c>
      <c r="B12393" s="3" t="s">
        <v>66</v>
      </c>
      <c r="C12393" s="4" t="str">
        <f t="shared" si="1075"/>
        <v>TCGA-ACC</v>
      </c>
      <c r="D12393" s="1" t="s">
        <v>493</v>
      </c>
      <c r="E12393" t="s">
        <v>501</v>
      </c>
      <c r="F12393" s="1">
        <v>2</v>
      </c>
      <c r="G12393" s="1" t="s">
        <v>32</v>
      </c>
      <c r="H12393" s="4" t="str">
        <f>HYPERLINK("https://portal.gdc.cancer.gov/cases/b7adb786-1f81-43ca-ac72-7243966cd439","TCGA-OR-A5JI-01A")</f>
        <v>TCGA-OR-A5JI-01A</v>
      </c>
      <c r="I12393" t="s">
        <v>59</v>
      </c>
      <c r="J12393" t="s">
        <v>496</v>
      </c>
      <c r="K12393" t="s">
        <v>33</v>
      </c>
      <c r="L12393" t="s">
        <v>34</v>
      </c>
      <c r="N12393" t="s">
        <v>29</v>
      </c>
    </row>
    <row r="12394" spans="1:14">
      <c r="A12394" s="4" t="str">
        <f t="shared" si="1076"/>
        <v>EXP00391</v>
      </c>
      <c r="B12394" s="3" t="s">
        <v>66</v>
      </c>
      <c r="C12394" s="4" t="str">
        <f t="shared" si="1075"/>
        <v>TCGA-ACC</v>
      </c>
      <c r="D12394" s="1" t="s">
        <v>493</v>
      </c>
      <c r="E12394" t="s">
        <v>501</v>
      </c>
      <c r="F12394" s="1">
        <v>2</v>
      </c>
      <c r="G12394" s="1" t="s">
        <v>32</v>
      </c>
      <c r="H12394" s="4" t="str">
        <f>HYPERLINK("https://portal.gdc.cancer.gov/cases/9ec86c06-e7a9-4ea6-b36d-6f832909054b","TCGA-OR-A5JJ-01A")</f>
        <v>TCGA-OR-A5JJ-01A</v>
      </c>
      <c r="I12394" t="s">
        <v>59</v>
      </c>
      <c r="J12394" t="s">
        <v>496</v>
      </c>
      <c r="K12394" t="s">
        <v>33</v>
      </c>
      <c r="L12394" t="s">
        <v>34</v>
      </c>
      <c r="N12394" t="s">
        <v>29</v>
      </c>
    </row>
    <row r="12395" spans="1:14">
      <c r="A12395" s="4" t="str">
        <f t="shared" si="1076"/>
        <v>EXP00391</v>
      </c>
      <c r="B12395" s="3" t="s">
        <v>66</v>
      </c>
      <c r="C12395" s="4" t="str">
        <f t="shared" si="1075"/>
        <v>TCGA-ACC</v>
      </c>
      <c r="D12395" s="1" t="s">
        <v>493</v>
      </c>
      <c r="E12395" t="s">
        <v>501</v>
      </c>
      <c r="F12395" s="1">
        <v>2</v>
      </c>
      <c r="G12395" s="1" t="s">
        <v>32</v>
      </c>
      <c r="H12395" s="4" t="str">
        <f>HYPERLINK("https://portal.gdc.cancer.gov/cases/a477b55d-a591-482f-a554-d8ef7298c23d","TCGA-OR-A5JK-01A")</f>
        <v>TCGA-OR-A5JK-01A</v>
      </c>
      <c r="I12395" t="s">
        <v>59</v>
      </c>
      <c r="J12395" t="s">
        <v>496</v>
      </c>
      <c r="K12395" t="s">
        <v>33</v>
      </c>
      <c r="L12395" t="s">
        <v>34</v>
      </c>
      <c r="N12395" t="s">
        <v>29</v>
      </c>
    </row>
    <row r="12396" spans="1:14">
      <c r="A12396" s="4" t="str">
        <f t="shared" si="1076"/>
        <v>EXP00391</v>
      </c>
      <c r="B12396" s="3" t="s">
        <v>66</v>
      </c>
      <c r="C12396" s="4" t="str">
        <f t="shared" ref="C12396:C12427" si="1077">HYPERLINK("https://portal.gdc.cancer.gov/projects/TCGA-ACC","TCGA-ACC")</f>
        <v>TCGA-ACC</v>
      </c>
      <c r="D12396" s="1" t="s">
        <v>493</v>
      </c>
      <c r="E12396" t="s">
        <v>501</v>
      </c>
      <c r="F12396" s="1">
        <v>2</v>
      </c>
      <c r="G12396" s="1" t="s">
        <v>32</v>
      </c>
      <c r="H12396" s="4" t="str">
        <f>HYPERLINK("https://portal.gdc.cancer.gov/cases/0acc28bc-d348-41df-8f49-bc0332eb9be4","TCGA-OR-A5JL-01A")</f>
        <v>TCGA-OR-A5JL-01A</v>
      </c>
      <c r="I12396" t="s">
        <v>59</v>
      </c>
      <c r="J12396" t="s">
        <v>496</v>
      </c>
      <c r="K12396" t="s">
        <v>33</v>
      </c>
      <c r="L12396" t="s">
        <v>34</v>
      </c>
      <c r="N12396" t="s">
        <v>29</v>
      </c>
    </row>
    <row r="12397" spans="1:14">
      <c r="A12397" s="4" t="str">
        <f t="shared" si="1076"/>
        <v>EXP00391</v>
      </c>
      <c r="B12397" s="3" t="s">
        <v>66</v>
      </c>
      <c r="C12397" s="4" t="str">
        <f t="shared" si="1077"/>
        <v>TCGA-ACC</v>
      </c>
      <c r="D12397" s="1" t="s">
        <v>493</v>
      </c>
      <c r="E12397" t="s">
        <v>501</v>
      </c>
      <c r="F12397" s="1">
        <v>2</v>
      </c>
      <c r="G12397" s="1" t="s">
        <v>32</v>
      </c>
      <c r="H12397" s="4" t="str">
        <f>HYPERLINK("https://portal.gdc.cancer.gov/cases/4fbbbe43-3c0e-4475-bcf8-3745bd7195eb","TCGA-OR-A5JO-01A")</f>
        <v>TCGA-OR-A5JO-01A</v>
      </c>
      <c r="I12397" t="s">
        <v>59</v>
      </c>
      <c r="J12397" t="s">
        <v>496</v>
      </c>
      <c r="K12397" t="s">
        <v>33</v>
      </c>
      <c r="L12397" t="s">
        <v>34</v>
      </c>
      <c r="N12397" t="s">
        <v>29</v>
      </c>
    </row>
    <row r="12398" spans="1:14">
      <c r="A12398" s="4" t="str">
        <f t="shared" si="1076"/>
        <v>EXP00391</v>
      </c>
      <c r="B12398" s="3" t="s">
        <v>66</v>
      </c>
      <c r="C12398" s="4" t="str">
        <f t="shared" si="1077"/>
        <v>TCGA-ACC</v>
      </c>
      <c r="D12398" s="1" t="s">
        <v>493</v>
      </c>
      <c r="E12398" t="s">
        <v>501</v>
      </c>
      <c r="F12398" s="1">
        <v>2</v>
      </c>
      <c r="G12398" s="1" t="s">
        <v>32</v>
      </c>
      <c r="H12398" s="4" t="str">
        <f>HYPERLINK("https://portal.gdc.cancer.gov/cases/0b73cbba-5520-4610-b649-912d76114033","TCGA-OR-A5JP-01A")</f>
        <v>TCGA-OR-A5JP-01A</v>
      </c>
      <c r="I12398" t="s">
        <v>59</v>
      </c>
      <c r="J12398" t="s">
        <v>496</v>
      </c>
      <c r="K12398" t="s">
        <v>33</v>
      </c>
      <c r="L12398" t="s">
        <v>34</v>
      </c>
      <c r="N12398" t="s">
        <v>29</v>
      </c>
    </row>
    <row r="12399" spans="1:14">
      <c r="A12399" s="4" t="str">
        <f t="shared" si="1076"/>
        <v>EXP00391</v>
      </c>
      <c r="B12399" s="3" t="s">
        <v>66</v>
      </c>
      <c r="C12399" s="4" t="str">
        <f t="shared" si="1077"/>
        <v>TCGA-ACC</v>
      </c>
      <c r="D12399" s="1" t="s">
        <v>493</v>
      </c>
      <c r="E12399" t="s">
        <v>501</v>
      </c>
      <c r="F12399" s="1">
        <v>2</v>
      </c>
      <c r="G12399" s="1" t="s">
        <v>32</v>
      </c>
      <c r="H12399" s="4" t="str">
        <f>HYPERLINK("https://portal.gdc.cancer.gov/cases/199560cb-15e5-4276-865a-7d44d47c856c","TCGA-OR-A5JQ-01A")</f>
        <v>TCGA-OR-A5JQ-01A</v>
      </c>
      <c r="I12399" t="s">
        <v>59</v>
      </c>
      <c r="J12399" t="s">
        <v>496</v>
      </c>
      <c r="K12399" t="s">
        <v>33</v>
      </c>
      <c r="L12399" t="s">
        <v>34</v>
      </c>
      <c r="N12399" t="s">
        <v>29</v>
      </c>
    </row>
    <row r="12400" spans="1:14">
      <c r="A12400" s="4" t="str">
        <f t="shared" si="1076"/>
        <v>EXP00391</v>
      </c>
      <c r="B12400" s="3" t="s">
        <v>66</v>
      </c>
      <c r="C12400" s="4" t="str">
        <f t="shared" si="1077"/>
        <v>TCGA-ACC</v>
      </c>
      <c r="D12400" s="1" t="s">
        <v>493</v>
      </c>
      <c r="E12400" t="s">
        <v>501</v>
      </c>
      <c r="F12400" s="1">
        <v>2</v>
      </c>
      <c r="G12400" s="1" t="s">
        <v>32</v>
      </c>
      <c r="H12400" s="4" t="str">
        <f>HYPERLINK("https://portal.gdc.cancer.gov/cases/a19104d6-b6a6-4878-af2c-783679070a05","TCGA-OR-A5JR-01A")</f>
        <v>TCGA-OR-A5JR-01A</v>
      </c>
      <c r="I12400" t="s">
        <v>59</v>
      </c>
      <c r="J12400" t="s">
        <v>496</v>
      </c>
      <c r="K12400" t="s">
        <v>33</v>
      </c>
      <c r="L12400" t="s">
        <v>34</v>
      </c>
      <c r="N12400" t="s">
        <v>29</v>
      </c>
    </row>
    <row r="12401" spans="1:14">
      <c r="A12401" s="4" t="str">
        <f t="shared" si="1076"/>
        <v>EXP00391</v>
      </c>
      <c r="B12401" s="3" t="s">
        <v>66</v>
      </c>
      <c r="C12401" s="4" t="str">
        <f t="shared" si="1077"/>
        <v>TCGA-ACC</v>
      </c>
      <c r="D12401" s="1" t="s">
        <v>493</v>
      </c>
      <c r="E12401" t="s">
        <v>501</v>
      </c>
      <c r="F12401" s="1">
        <v>2</v>
      </c>
      <c r="G12401" s="1" t="s">
        <v>32</v>
      </c>
      <c r="H12401" s="4" t="str">
        <f>HYPERLINK("https://portal.gdc.cancer.gov/cases/c0e1a036-be4c-4fb5-bb50-e2431be60ed4","TCGA-OR-A5JT-01A")</f>
        <v>TCGA-OR-A5JT-01A</v>
      </c>
      <c r="I12401" t="s">
        <v>59</v>
      </c>
      <c r="J12401" t="s">
        <v>496</v>
      </c>
      <c r="K12401" t="s">
        <v>33</v>
      </c>
      <c r="L12401" t="s">
        <v>34</v>
      </c>
      <c r="N12401" t="s">
        <v>29</v>
      </c>
    </row>
    <row r="12402" spans="1:14">
      <c r="A12402" s="4" t="str">
        <f t="shared" si="1076"/>
        <v>EXP00391</v>
      </c>
      <c r="B12402" s="3" t="s">
        <v>66</v>
      </c>
      <c r="C12402" s="4" t="str">
        <f t="shared" si="1077"/>
        <v>TCGA-ACC</v>
      </c>
      <c r="D12402" s="1" t="s">
        <v>493</v>
      </c>
      <c r="E12402" t="s">
        <v>501</v>
      </c>
      <c r="F12402" s="1">
        <v>2</v>
      </c>
      <c r="G12402" s="1" t="s">
        <v>32</v>
      </c>
      <c r="H12402" s="4" t="str">
        <f>HYPERLINK("https://portal.gdc.cancer.gov/cases/388b8788-a635-4bc9-9b73-d204b2256747","TCGA-OR-A5JV-01A")</f>
        <v>TCGA-OR-A5JV-01A</v>
      </c>
      <c r="I12402" t="s">
        <v>59</v>
      </c>
      <c r="J12402" t="s">
        <v>496</v>
      </c>
      <c r="K12402" t="s">
        <v>33</v>
      </c>
      <c r="L12402" t="s">
        <v>34</v>
      </c>
      <c r="N12402" t="s">
        <v>29</v>
      </c>
    </row>
    <row r="12403" spans="1:14">
      <c r="A12403" s="4" t="str">
        <f t="shared" si="1076"/>
        <v>EXP00391</v>
      </c>
      <c r="B12403" s="3" t="s">
        <v>66</v>
      </c>
      <c r="C12403" s="4" t="str">
        <f t="shared" si="1077"/>
        <v>TCGA-ACC</v>
      </c>
      <c r="D12403" s="1" t="s">
        <v>493</v>
      </c>
      <c r="E12403" t="s">
        <v>501</v>
      </c>
      <c r="F12403" s="1">
        <v>2</v>
      </c>
      <c r="G12403" s="1" t="s">
        <v>32</v>
      </c>
      <c r="H12403" s="4" t="str">
        <f>HYPERLINK("https://portal.gdc.cancer.gov/cases/63b7b596-cb55-41dc-b862-a6c3a058dfe2","TCGA-OR-A5JW-01A")</f>
        <v>TCGA-OR-A5JW-01A</v>
      </c>
      <c r="I12403" t="s">
        <v>59</v>
      </c>
      <c r="J12403" t="s">
        <v>496</v>
      </c>
      <c r="K12403" t="s">
        <v>33</v>
      </c>
      <c r="L12403" t="s">
        <v>34</v>
      </c>
      <c r="N12403" t="s">
        <v>29</v>
      </c>
    </row>
    <row r="12404" spans="1:14">
      <c r="A12404" s="4" t="str">
        <f t="shared" si="1076"/>
        <v>EXP00391</v>
      </c>
      <c r="B12404" s="3" t="s">
        <v>66</v>
      </c>
      <c r="C12404" s="4" t="str">
        <f t="shared" si="1077"/>
        <v>TCGA-ACC</v>
      </c>
      <c r="D12404" s="1" t="s">
        <v>493</v>
      </c>
      <c r="E12404" t="s">
        <v>501</v>
      </c>
      <c r="F12404" s="1">
        <v>2</v>
      </c>
      <c r="G12404" s="1" t="s">
        <v>32</v>
      </c>
      <c r="H12404" s="4" t="str">
        <f>HYPERLINK("https://portal.gdc.cancer.gov/cases/42f69b2b-f3aa-4f4e-ac3a-149e14789927","TCGA-OR-A5JX-01A")</f>
        <v>TCGA-OR-A5JX-01A</v>
      </c>
      <c r="I12404" t="s">
        <v>59</v>
      </c>
      <c r="J12404" t="s">
        <v>496</v>
      </c>
      <c r="K12404" t="s">
        <v>33</v>
      </c>
      <c r="L12404" t="s">
        <v>34</v>
      </c>
      <c r="N12404" t="s">
        <v>29</v>
      </c>
    </row>
    <row r="12405" spans="1:14">
      <c r="A12405" s="4" t="str">
        <f t="shared" si="1076"/>
        <v>EXP00391</v>
      </c>
      <c r="B12405" s="3" t="s">
        <v>66</v>
      </c>
      <c r="C12405" s="4" t="str">
        <f t="shared" si="1077"/>
        <v>TCGA-ACC</v>
      </c>
      <c r="D12405" s="1" t="s">
        <v>493</v>
      </c>
      <c r="E12405" t="s">
        <v>501</v>
      </c>
      <c r="F12405" s="1">
        <v>2</v>
      </c>
      <c r="G12405" s="1" t="s">
        <v>32</v>
      </c>
      <c r="H12405" s="4" t="str">
        <f>HYPERLINK("https://portal.gdc.cancer.gov/cases/94cdac79-2b4e-483a-8f17-3e0c9be589d0","TCGA-OR-A5JZ-01A")</f>
        <v>TCGA-OR-A5JZ-01A</v>
      </c>
      <c r="I12405" t="s">
        <v>59</v>
      </c>
      <c r="J12405" t="s">
        <v>496</v>
      </c>
      <c r="K12405" t="s">
        <v>33</v>
      </c>
      <c r="L12405" t="s">
        <v>34</v>
      </c>
      <c r="N12405" t="s">
        <v>29</v>
      </c>
    </row>
    <row r="12406" spans="1:14">
      <c r="A12406" s="4" t="str">
        <f t="shared" si="1076"/>
        <v>EXP00391</v>
      </c>
      <c r="B12406" s="3" t="s">
        <v>66</v>
      </c>
      <c r="C12406" s="4" t="str">
        <f t="shared" si="1077"/>
        <v>TCGA-ACC</v>
      </c>
      <c r="D12406" s="1" t="s">
        <v>493</v>
      </c>
      <c r="E12406" t="s">
        <v>501</v>
      </c>
      <c r="F12406" s="1">
        <v>2</v>
      </c>
      <c r="G12406" s="1" t="s">
        <v>32</v>
      </c>
      <c r="H12406" s="4" t="str">
        <f>HYPERLINK("https://portal.gdc.cancer.gov/cases/f8e77bb6-e521-4a6a-9cb4-4b58ee38ca7f","TCGA-OR-A5K1-01A")</f>
        <v>TCGA-OR-A5K1-01A</v>
      </c>
      <c r="I12406" t="s">
        <v>59</v>
      </c>
      <c r="J12406" t="s">
        <v>496</v>
      </c>
      <c r="K12406" t="s">
        <v>33</v>
      </c>
      <c r="L12406" t="s">
        <v>34</v>
      </c>
      <c r="N12406" t="s">
        <v>29</v>
      </c>
    </row>
    <row r="12407" spans="1:14">
      <c r="A12407" s="4" t="str">
        <f t="shared" si="1076"/>
        <v>EXP00391</v>
      </c>
      <c r="B12407" s="3" t="s">
        <v>66</v>
      </c>
      <c r="C12407" s="4" t="str">
        <f t="shared" si="1077"/>
        <v>TCGA-ACC</v>
      </c>
      <c r="D12407" s="1" t="s">
        <v>493</v>
      </c>
      <c r="E12407" t="s">
        <v>501</v>
      </c>
      <c r="F12407" s="1">
        <v>2</v>
      </c>
      <c r="G12407" s="1" t="s">
        <v>32</v>
      </c>
      <c r="H12407" s="4" t="str">
        <f>HYPERLINK("https://portal.gdc.cancer.gov/cases/c72b973b-4719-46ab-ac99-05d14088d3bc","TCGA-OR-A5K3-01A")</f>
        <v>TCGA-OR-A5K3-01A</v>
      </c>
      <c r="I12407" t="s">
        <v>59</v>
      </c>
      <c r="J12407" t="s">
        <v>496</v>
      </c>
      <c r="K12407" t="s">
        <v>33</v>
      </c>
      <c r="L12407" t="s">
        <v>34</v>
      </c>
      <c r="N12407" t="s">
        <v>29</v>
      </c>
    </row>
    <row r="12408" spans="1:14">
      <c r="A12408" s="4" t="str">
        <f t="shared" si="1076"/>
        <v>EXP00391</v>
      </c>
      <c r="B12408" s="3" t="s">
        <v>66</v>
      </c>
      <c r="C12408" s="4" t="str">
        <f t="shared" si="1077"/>
        <v>TCGA-ACC</v>
      </c>
      <c r="D12408" s="1" t="s">
        <v>493</v>
      </c>
      <c r="E12408" t="s">
        <v>501</v>
      </c>
      <c r="F12408" s="1">
        <v>2</v>
      </c>
      <c r="G12408" s="1" t="s">
        <v>32</v>
      </c>
      <c r="H12408" s="4" t="str">
        <f>HYPERLINK("https://portal.gdc.cancer.gov/cases/70f1569e-f8f5-4f1d-bf18-d0586b29077d","TCGA-OR-A5K4-01A")</f>
        <v>TCGA-OR-A5K4-01A</v>
      </c>
      <c r="I12408" t="s">
        <v>59</v>
      </c>
      <c r="J12408" t="s">
        <v>496</v>
      </c>
      <c r="K12408" t="s">
        <v>33</v>
      </c>
      <c r="L12408" t="s">
        <v>34</v>
      </c>
      <c r="N12408" t="s">
        <v>29</v>
      </c>
    </row>
    <row r="12409" spans="1:14">
      <c r="A12409" s="4" t="str">
        <f t="shared" si="1076"/>
        <v>EXP00391</v>
      </c>
      <c r="B12409" s="3" t="s">
        <v>66</v>
      </c>
      <c r="C12409" s="4" t="str">
        <f t="shared" si="1077"/>
        <v>TCGA-ACC</v>
      </c>
      <c r="D12409" s="1" t="s">
        <v>493</v>
      </c>
      <c r="E12409" t="s">
        <v>501</v>
      </c>
      <c r="F12409" s="1">
        <v>2</v>
      </c>
      <c r="G12409" s="1" t="s">
        <v>32</v>
      </c>
      <c r="H12409" s="4" t="str">
        <f>HYPERLINK("https://portal.gdc.cancer.gov/cases/1ae9cd13-73ef-4b1a-a734-4c465c73bc8e","TCGA-OR-A5K8-01A")</f>
        <v>TCGA-OR-A5K8-01A</v>
      </c>
      <c r="I12409" t="s">
        <v>59</v>
      </c>
      <c r="J12409" t="s">
        <v>496</v>
      </c>
      <c r="K12409" t="s">
        <v>33</v>
      </c>
      <c r="L12409" t="s">
        <v>34</v>
      </c>
      <c r="N12409" t="s">
        <v>29</v>
      </c>
    </row>
    <row r="12410" spans="1:14">
      <c r="A12410" s="4" t="str">
        <f t="shared" si="1076"/>
        <v>EXP00391</v>
      </c>
      <c r="B12410" s="3" t="s">
        <v>66</v>
      </c>
      <c r="C12410" s="4" t="str">
        <f t="shared" si="1077"/>
        <v>TCGA-ACC</v>
      </c>
      <c r="D12410" s="1" t="s">
        <v>493</v>
      </c>
      <c r="E12410" t="s">
        <v>501</v>
      </c>
      <c r="F12410" s="1">
        <v>2</v>
      </c>
      <c r="G12410" s="1" t="s">
        <v>32</v>
      </c>
      <c r="H12410" s="4" t="str">
        <f>HYPERLINK("https://portal.gdc.cancer.gov/cases/b4b41a43-ee45-4aa3-abf0-100db752a6ac","TCGA-OR-A5KO-01A")</f>
        <v>TCGA-OR-A5KO-01A</v>
      </c>
      <c r="I12410" t="s">
        <v>59</v>
      </c>
      <c r="J12410" t="s">
        <v>496</v>
      </c>
      <c r="K12410" t="s">
        <v>33</v>
      </c>
      <c r="L12410" t="s">
        <v>34</v>
      </c>
      <c r="N12410" t="s">
        <v>29</v>
      </c>
    </row>
    <row r="12411" spans="1:14">
      <c r="A12411" s="4" t="str">
        <f t="shared" si="1076"/>
        <v>EXP00391</v>
      </c>
      <c r="B12411" s="3" t="s">
        <v>66</v>
      </c>
      <c r="C12411" s="4" t="str">
        <f t="shared" si="1077"/>
        <v>TCGA-ACC</v>
      </c>
      <c r="D12411" s="1" t="s">
        <v>493</v>
      </c>
      <c r="E12411" t="s">
        <v>501</v>
      </c>
      <c r="F12411" s="1">
        <v>2</v>
      </c>
      <c r="G12411" s="1" t="s">
        <v>32</v>
      </c>
      <c r="H12411" s="4" t="str">
        <f>HYPERLINK("https://portal.gdc.cancer.gov/cases/424a497a-48b9-4507-b234-c4fd08c8acad","TCGA-OR-A5KU-01A")</f>
        <v>TCGA-OR-A5KU-01A</v>
      </c>
      <c r="I12411" t="s">
        <v>59</v>
      </c>
      <c r="J12411" t="s">
        <v>496</v>
      </c>
      <c r="K12411" t="s">
        <v>33</v>
      </c>
      <c r="L12411" t="s">
        <v>34</v>
      </c>
      <c r="N12411" t="s">
        <v>29</v>
      </c>
    </row>
    <row r="12412" spans="1:14">
      <c r="A12412" s="4" t="str">
        <f t="shared" si="1076"/>
        <v>EXP00391</v>
      </c>
      <c r="B12412" s="3" t="s">
        <v>66</v>
      </c>
      <c r="C12412" s="4" t="str">
        <f t="shared" si="1077"/>
        <v>TCGA-ACC</v>
      </c>
      <c r="D12412" s="1" t="s">
        <v>493</v>
      </c>
      <c r="E12412" t="s">
        <v>501</v>
      </c>
      <c r="F12412" s="1">
        <v>2</v>
      </c>
      <c r="G12412" s="1" t="s">
        <v>32</v>
      </c>
      <c r="H12412" s="4" t="str">
        <f>HYPERLINK("https://portal.gdc.cancer.gov/cases/69f4f19c-08c8-4001-92a8-fed155c3b4fe","TCGA-OR-A5KW-01A")</f>
        <v>TCGA-OR-A5KW-01A</v>
      </c>
      <c r="I12412" t="s">
        <v>59</v>
      </c>
      <c r="J12412" t="s">
        <v>496</v>
      </c>
      <c r="K12412" t="s">
        <v>33</v>
      </c>
      <c r="L12412" t="s">
        <v>34</v>
      </c>
      <c r="N12412" t="s">
        <v>29</v>
      </c>
    </row>
    <row r="12413" spans="1:14">
      <c r="A12413" s="4" t="str">
        <f t="shared" si="1076"/>
        <v>EXP00391</v>
      </c>
      <c r="B12413" s="3" t="s">
        <v>66</v>
      </c>
      <c r="C12413" s="4" t="str">
        <f t="shared" si="1077"/>
        <v>TCGA-ACC</v>
      </c>
      <c r="D12413" s="1" t="s">
        <v>493</v>
      </c>
      <c r="E12413" t="s">
        <v>501</v>
      </c>
      <c r="F12413" s="1">
        <v>2</v>
      </c>
      <c r="G12413" s="1" t="s">
        <v>32</v>
      </c>
      <c r="H12413" s="4" t="str">
        <f>HYPERLINK("https://portal.gdc.cancer.gov/cases/5f461197-15ed-43cf-9331-9e0efc4622a4","TCGA-OR-A5KY-01A")</f>
        <v>TCGA-OR-A5KY-01A</v>
      </c>
      <c r="I12413" t="s">
        <v>59</v>
      </c>
      <c r="J12413" t="s">
        <v>496</v>
      </c>
      <c r="K12413" t="s">
        <v>33</v>
      </c>
      <c r="L12413" t="s">
        <v>34</v>
      </c>
      <c r="N12413" t="s">
        <v>29</v>
      </c>
    </row>
    <row r="12414" spans="1:14">
      <c r="A12414" s="4" t="str">
        <f t="shared" si="1076"/>
        <v>EXP00391</v>
      </c>
      <c r="B12414" s="3" t="s">
        <v>66</v>
      </c>
      <c r="C12414" s="4" t="str">
        <f t="shared" si="1077"/>
        <v>TCGA-ACC</v>
      </c>
      <c r="D12414" s="1" t="s">
        <v>493</v>
      </c>
      <c r="E12414" t="s">
        <v>501</v>
      </c>
      <c r="F12414" s="1">
        <v>2</v>
      </c>
      <c r="G12414" s="1" t="s">
        <v>32</v>
      </c>
      <c r="H12414" s="4" t="str">
        <f>HYPERLINK("https://portal.gdc.cancer.gov/cases/a9a57127-94d3-425f-a4c5-5cbcf24a9a35","TCGA-OR-A5L3-01A")</f>
        <v>TCGA-OR-A5L3-01A</v>
      </c>
      <c r="I12414" t="s">
        <v>59</v>
      </c>
      <c r="J12414" t="s">
        <v>496</v>
      </c>
      <c r="K12414" t="s">
        <v>33</v>
      </c>
      <c r="L12414" t="s">
        <v>34</v>
      </c>
      <c r="N12414" t="s">
        <v>29</v>
      </c>
    </row>
    <row r="12415" spans="1:14">
      <c r="A12415" s="4" t="str">
        <f t="shared" si="1076"/>
        <v>EXP00391</v>
      </c>
      <c r="B12415" s="3" t="s">
        <v>66</v>
      </c>
      <c r="C12415" s="4" t="str">
        <f t="shared" si="1077"/>
        <v>TCGA-ACC</v>
      </c>
      <c r="D12415" s="1" t="s">
        <v>493</v>
      </c>
      <c r="E12415" t="s">
        <v>501</v>
      </c>
      <c r="F12415" s="1">
        <v>2</v>
      </c>
      <c r="G12415" s="1" t="s">
        <v>32</v>
      </c>
      <c r="H12415" s="4" t="str">
        <f>HYPERLINK("https://portal.gdc.cancer.gov/cases/905368c2-ba60-4dda-b32d-a51a203b5e4d","TCGA-OR-A5L4-01A")</f>
        <v>TCGA-OR-A5L4-01A</v>
      </c>
      <c r="I12415" t="s">
        <v>59</v>
      </c>
      <c r="J12415" t="s">
        <v>496</v>
      </c>
      <c r="K12415" t="s">
        <v>33</v>
      </c>
      <c r="L12415" t="s">
        <v>34</v>
      </c>
      <c r="N12415" t="s">
        <v>29</v>
      </c>
    </row>
    <row r="12416" spans="1:14">
      <c r="A12416" s="4" t="str">
        <f t="shared" si="1076"/>
        <v>EXP00391</v>
      </c>
      <c r="B12416" s="3" t="s">
        <v>66</v>
      </c>
      <c r="C12416" s="4" t="str">
        <f t="shared" si="1077"/>
        <v>TCGA-ACC</v>
      </c>
      <c r="D12416" s="1" t="s">
        <v>493</v>
      </c>
      <c r="E12416" t="s">
        <v>501</v>
      </c>
      <c r="F12416" s="1">
        <v>2</v>
      </c>
      <c r="G12416" s="1" t="s">
        <v>32</v>
      </c>
      <c r="H12416" s="4" t="str">
        <f>HYPERLINK("https://portal.gdc.cancer.gov/cases/2f04e760-8a64-49f2-a1d6-3d390604745c","TCGA-OR-A5L5-01A")</f>
        <v>TCGA-OR-A5L5-01A</v>
      </c>
      <c r="I12416" t="s">
        <v>59</v>
      </c>
      <c r="J12416" t="s">
        <v>496</v>
      </c>
      <c r="K12416" t="s">
        <v>33</v>
      </c>
      <c r="L12416" t="s">
        <v>34</v>
      </c>
      <c r="N12416" t="s">
        <v>29</v>
      </c>
    </row>
    <row r="12417" spans="1:14">
      <c r="A12417" s="4" t="str">
        <f t="shared" si="1076"/>
        <v>EXP00391</v>
      </c>
      <c r="B12417" s="3" t="s">
        <v>66</v>
      </c>
      <c r="C12417" s="4" t="str">
        <f t="shared" si="1077"/>
        <v>TCGA-ACC</v>
      </c>
      <c r="D12417" s="1" t="s">
        <v>493</v>
      </c>
      <c r="E12417" t="s">
        <v>501</v>
      </c>
      <c r="F12417" s="1">
        <v>2</v>
      </c>
      <c r="G12417" s="1" t="s">
        <v>32</v>
      </c>
      <c r="H12417" s="4" t="str">
        <f>HYPERLINK("https://portal.gdc.cancer.gov/cases/f13a3d5e-7f8e-4acb-ad46-f6380a9443e8","TCGA-OR-A5L6-01A")</f>
        <v>TCGA-OR-A5L6-01A</v>
      </c>
      <c r="I12417" t="s">
        <v>59</v>
      </c>
      <c r="J12417" t="s">
        <v>496</v>
      </c>
      <c r="K12417" t="s">
        <v>33</v>
      </c>
      <c r="L12417" t="s">
        <v>34</v>
      </c>
      <c r="N12417" t="s">
        <v>29</v>
      </c>
    </row>
    <row r="12418" spans="1:14">
      <c r="A12418" s="4" t="str">
        <f t="shared" si="1076"/>
        <v>EXP00391</v>
      </c>
      <c r="B12418" s="3" t="s">
        <v>66</v>
      </c>
      <c r="C12418" s="4" t="str">
        <f t="shared" si="1077"/>
        <v>TCGA-ACC</v>
      </c>
      <c r="D12418" s="1" t="s">
        <v>493</v>
      </c>
      <c r="E12418" t="s">
        <v>501</v>
      </c>
      <c r="F12418" s="1">
        <v>2</v>
      </c>
      <c r="G12418" s="1" t="s">
        <v>32</v>
      </c>
      <c r="H12418" s="4" t="str">
        <f>HYPERLINK("https://portal.gdc.cancer.gov/cases/5e086192-ab74-4aa3-bf6b-b34ab19995db","TCGA-OR-A5L8-01A")</f>
        <v>TCGA-OR-A5L8-01A</v>
      </c>
      <c r="I12418" t="s">
        <v>59</v>
      </c>
      <c r="J12418" t="s">
        <v>496</v>
      </c>
      <c r="K12418" t="s">
        <v>33</v>
      </c>
      <c r="L12418" t="s">
        <v>34</v>
      </c>
      <c r="N12418" t="s">
        <v>29</v>
      </c>
    </row>
    <row r="12419" spans="1:14">
      <c r="A12419" s="4" t="str">
        <f t="shared" ref="A12419:A12433" si="1078">HYPERLINK("http://hcmdb.i-sanger.com/experiment/details/experiment_id/EXP00391","EXP00391")</f>
        <v>EXP00391</v>
      </c>
      <c r="B12419" s="3" t="s">
        <v>66</v>
      </c>
      <c r="C12419" s="4" t="str">
        <f t="shared" si="1077"/>
        <v>TCGA-ACC</v>
      </c>
      <c r="D12419" s="1" t="s">
        <v>493</v>
      </c>
      <c r="E12419" t="s">
        <v>501</v>
      </c>
      <c r="F12419" s="1">
        <v>2</v>
      </c>
      <c r="G12419" s="1" t="s">
        <v>32</v>
      </c>
      <c r="H12419" s="4" t="str">
        <f>HYPERLINK("https://portal.gdc.cancer.gov/cases/c6312de5-dd56-4025-80d1-dbdd8568d047","TCGA-OR-A5L9-01A")</f>
        <v>TCGA-OR-A5L9-01A</v>
      </c>
      <c r="I12419" t="s">
        <v>59</v>
      </c>
      <c r="J12419" t="s">
        <v>496</v>
      </c>
      <c r="K12419" t="s">
        <v>33</v>
      </c>
      <c r="L12419" t="s">
        <v>34</v>
      </c>
      <c r="N12419" t="s">
        <v>29</v>
      </c>
    </row>
    <row r="12420" spans="1:14">
      <c r="A12420" s="4" t="str">
        <f t="shared" si="1078"/>
        <v>EXP00391</v>
      </c>
      <c r="B12420" s="3" t="s">
        <v>66</v>
      </c>
      <c r="C12420" s="4" t="str">
        <f t="shared" si="1077"/>
        <v>TCGA-ACC</v>
      </c>
      <c r="D12420" s="1" t="s">
        <v>493</v>
      </c>
      <c r="E12420" t="s">
        <v>501</v>
      </c>
      <c r="F12420" s="1">
        <v>2</v>
      </c>
      <c r="G12420" s="1" t="s">
        <v>32</v>
      </c>
      <c r="H12420" s="4" t="str">
        <f>HYPERLINK("https://portal.gdc.cancer.gov/cases/e93ca89f-ca48-43ca-bf1c-adc7491c0fe5","TCGA-OR-A5LA-01A")</f>
        <v>TCGA-OR-A5LA-01A</v>
      </c>
      <c r="I12420" t="s">
        <v>59</v>
      </c>
      <c r="J12420" t="s">
        <v>496</v>
      </c>
      <c r="K12420" t="s">
        <v>33</v>
      </c>
      <c r="L12420" t="s">
        <v>34</v>
      </c>
      <c r="N12420" t="s">
        <v>29</v>
      </c>
    </row>
    <row r="12421" spans="1:14">
      <c r="A12421" s="4" t="str">
        <f t="shared" si="1078"/>
        <v>EXP00391</v>
      </c>
      <c r="B12421" s="3" t="s">
        <v>66</v>
      </c>
      <c r="C12421" s="4" t="str">
        <f t="shared" si="1077"/>
        <v>TCGA-ACC</v>
      </c>
      <c r="D12421" s="1" t="s">
        <v>493</v>
      </c>
      <c r="E12421" t="s">
        <v>501</v>
      </c>
      <c r="F12421" s="1">
        <v>2</v>
      </c>
      <c r="G12421" s="1" t="s">
        <v>32</v>
      </c>
      <c r="H12421" s="4" t="str">
        <f>HYPERLINK("https://portal.gdc.cancer.gov/cases/c4dd9501-c193-45fb-8535-a9d901520bdd","TCGA-OR-A5LE-01A")</f>
        <v>TCGA-OR-A5LE-01A</v>
      </c>
      <c r="I12421" t="s">
        <v>59</v>
      </c>
      <c r="J12421" t="s">
        <v>496</v>
      </c>
      <c r="K12421" t="s">
        <v>33</v>
      </c>
      <c r="L12421" t="s">
        <v>34</v>
      </c>
      <c r="N12421" t="s">
        <v>29</v>
      </c>
    </row>
    <row r="12422" spans="1:14">
      <c r="A12422" s="4" t="str">
        <f t="shared" si="1078"/>
        <v>EXP00391</v>
      </c>
      <c r="B12422" s="3" t="s">
        <v>66</v>
      </c>
      <c r="C12422" s="4" t="str">
        <f t="shared" si="1077"/>
        <v>TCGA-ACC</v>
      </c>
      <c r="D12422" s="1" t="s">
        <v>493</v>
      </c>
      <c r="E12422" t="s">
        <v>501</v>
      </c>
      <c r="F12422" s="1">
        <v>2</v>
      </c>
      <c r="G12422" s="1" t="s">
        <v>32</v>
      </c>
      <c r="H12422" s="4" t="str">
        <f>HYPERLINK("https://portal.gdc.cancer.gov/cases/cf327482-199b-4604-ac19-c8b68d91c5d9","TCGA-OR-A5LH-01A")</f>
        <v>TCGA-OR-A5LH-01A</v>
      </c>
      <c r="I12422" t="s">
        <v>59</v>
      </c>
      <c r="J12422" t="s">
        <v>496</v>
      </c>
      <c r="K12422" t="s">
        <v>33</v>
      </c>
      <c r="L12422" t="s">
        <v>34</v>
      </c>
      <c r="N12422" t="s">
        <v>29</v>
      </c>
    </row>
    <row r="12423" spans="1:14">
      <c r="A12423" s="4" t="str">
        <f t="shared" si="1078"/>
        <v>EXP00391</v>
      </c>
      <c r="B12423" s="3" t="s">
        <v>66</v>
      </c>
      <c r="C12423" s="4" t="str">
        <f t="shared" si="1077"/>
        <v>TCGA-ACC</v>
      </c>
      <c r="D12423" s="1" t="s">
        <v>493</v>
      </c>
      <c r="E12423" t="s">
        <v>501</v>
      </c>
      <c r="F12423" s="1">
        <v>2</v>
      </c>
      <c r="G12423" s="1" t="s">
        <v>32</v>
      </c>
      <c r="H12423" s="4" t="str">
        <f>HYPERLINK("https://portal.gdc.cancer.gov/cases/9c87dcee-d422-4df1-82e1-3fa201473e31","TCGA-OR-A5LK-01A")</f>
        <v>TCGA-OR-A5LK-01A</v>
      </c>
      <c r="I12423" t="s">
        <v>59</v>
      </c>
      <c r="J12423" t="s">
        <v>496</v>
      </c>
      <c r="K12423" t="s">
        <v>33</v>
      </c>
      <c r="L12423" t="s">
        <v>34</v>
      </c>
      <c r="N12423" t="s">
        <v>29</v>
      </c>
    </row>
    <row r="12424" spans="1:14">
      <c r="A12424" s="4" t="str">
        <f t="shared" si="1078"/>
        <v>EXP00391</v>
      </c>
      <c r="B12424" s="3" t="s">
        <v>66</v>
      </c>
      <c r="C12424" s="4" t="str">
        <f t="shared" si="1077"/>
        <v>TCGA-ACC</v>
      </c>
      <c r="D12424" s="1" t="s">
        <v>493</v>
      </c>
      <c r="E12424" t="s">
        <v>501</v>
      </c>
      <c r="F12424" s="1">
        <v>2</v>
      </c>
      <c r="G12424" s="1" t="s">
        <v>32</v>
      </c>
      <c r="H12424" s="4" t="str">
        <f>HYPERLINK("https://portal.gdc.cancer.gov/cases/e612ef6e-f3f2-44be-ab15-8e4095687cd6","TCGA-OR-A5LM-01A")</f>
        <v>TCGA-OR-A5LM-01A</v>
      </c>
      <c r="I12424" t="s">
        <v>59</v>
      </c>
      <c r="J12424" t="s">
        <v>496</v>
      </c>
      <c r="K12424" t="s">
        <v>33</v>
      </c>
      <c r="L12424" t="s">
        <v>34</v>
      </c>
      <c r="N12424" t="s">
        <v>29</v>
      </c>
    </row>
    <row r="12425" spans="1:14">
      <c r="A12425" s="4" t="str">
        <f t="shared" si="1078"/>
        <v>EXP00391</v>
      </c>
      <c r="B12425" s="3" t="s">
        <v>66</v>
      </c>
      <c r="C12425" s="4" t="str">
        <f t="shared" si="1077"/>
        <v>TCGA-ACC</v>
      </c>
      <c r="D12425" s="1" t="s">
        <v>493</v>
      </c>
      <c r="E12425" t="s">
        <v>501</v>
      </c>
      <c r="F12425" s="1">
        <v>2</v>
      </c>
      <c r="G12425" s="1" t="s">
        <v>32</v>
      </c>
      <c r="H12425" s="4" t="str">
        <f>HYPERLINK("https://portal.gdc.cancer.gov/cases/56cdbba2-327e-4acd-a1eb-0f313a77834f","TCGA-OR-A5LN-01A")</f>
        <v>TCGA-OR-A5LN-01A</v>
      </c>
      <c r="I12425" t="s">
        <v>59</v>
      </c>
      <c r="J12425" t="s">
        <v>496</v>
      </c>
      <c r="K12425" t="s">
        <v>33</v>
      </c>
      <c r="L12425" t="s">
        <v>34</v>
      </c>
      <c r="N12425" t="s">
        <v>29</v>
      </c>
    </row>
    <row r="12426" spans="1:14">
      <c r="A12426" s="4" t="str">
        <f t="shared" si="1078"/>
        <v>EXP00391</v>
      </c>
      <c r="B12426" s="3" t="s">
        <v>66</v>
      </c>
      <c r="C12426" s="4" t="str">
        <f t="shared" si="1077"/>
        <v>TCGA-ACC</v>
      </c>
      <c r="D12426" s="1" t="s">
        <v>493</v>
      </c>
      <c r="E12426" t="s">
        <v>501</v>
      </c>
      <c r="F12426" s="1">
        <v>2</v>
      </c>
      <c r="G12426" s="1" t="s">
        <v>32</v>
      </c>
      <c r="H12426" s="4" t="str">
        <f>HYPERLINK("https://portal.gdc.cancer.gov/cases/dfef51c8-6050-4ebb-b25c-e74919397244","TCGA-OR-A5LP-01A")</f>
        <v>TCGA-OR-A5LP-01A</v>
      </c>
      <c r="I12426" t="s">
        <v>59</v>
      </c>
      <c r="J12426" t="s">
        <v>496</v>
      </c>
      <c r="K12426" t="s">
        <v>33</v>
      </c>
      <c r="L12426" t="s">
        <v>34</v>
      </c>
      <c r="N12426" t="s">
        <v>29</v>
      </c>
    </row>
    <row r="12427" spans="1:14">
      <c r="A12427" s="4" t="str">
        <f t="shared" si="1078"/>
        <v>EXP00391</v>
      </c>
      <c r="B12427" s="3" t="s">
        <v>66</v>
      </c>
      <c r="C12427" s="4" t="str">
        <f t="shared" si="1077"/>
        <v>TCGA-ACC</v>
      </c>
      <c r="D12427" s="1" t="s">
        <v>493</v>
      </c>
      <c r="E12427" t="s">
        <v>501</v>
      </c>
      <c r="F12427" s="1">
        <v>2</v>
      </c>
      <c r="G12427" s="1" t="s">
        <v>32</v>
      </c>
      <c r="H12427" s="4" t="str">
        <f>HYPERLINK("https://portal.gdc.cancer.gov/cases/723eb689-7b4f-4758-bcdf-426b12508935","TCGA-OR-A5LR-01A")</f>
        <v>TCGA-OR-A5LR-01A</v>
      </c>
      <c r="I12427" t="s">
        <v>59</v>
      </c>
      <c r="J12427" t="s">
        <v>496</v>
      </c>
      <c r="K12427" t="s">
        <v>33</v>
      </c>
      <c r="L12427" t="s">
        <v>34</v>
      </c>
      <c r="N12427" t="s">
        <v>29</v>
      </c>
    </row>
    <row r="12428" spans="1:14">
      <c r="A12428" s="4" t="str">
        <f t="shared" si="1078"/>
        <v>EXP00391</v>
      </c>
      <c r="B12428" s="3" t="s">
        <v>66</v>
      </c>
      <c r="C12428" s="4" t="str">
        <f t="shared" ref="C12428:C12433" si="1079">HYPERLINK("https://portal.gdc.cancer.gov/projects/TCGA-ACC","TCGA-ACC")</f>
        <v>TCGA-ACC</v>
      </c>
      <c r="D12428" s="1" t="s">
        <v>493</v>
      </c>
      <c r="E12428" t="s">
        <v>501</v>
      </c>
      <c r="F12428" s="1">
        <v>2</v>
      </c>
      <c r="G12428" s="1" t="s">
        <v>32</v>
      </c>
      <c r="H12428" s="4" t="str">
        <f>HYPERLINK("https://portal.gdc.cancer.gov/cases/f63946ec-ddcb-469a-8f5e-74366b7f419b","TCGA-OR-A5LS-01A")</f>
        <v>TCGA-OR-A5LS-01A</v>
      </c>
      <c r="I12428" t="s">
        <v>59</v>
      </c>
      <c r="J12428" t="s">
        <v>496</v>
      </c>
      <c r="K12428" t="s">
        <v>33</v>
      </c>
      <c r="L12428" t="s">
        <v>34</v>
      </c>
      <c r="N12428" t="s">
        <v>29</v>
      </c>
    </row>
    <row r="12429" spans="1:14">
      <c r="A12429" s="4" t="str">
        <f t="shared" si="1078"/>
        <v>EXP00391</v>
      </c>
      <c r="B12429" s="3" t="s">
        <v>66</v>
      </c>
      <c r="C12429" s="4" t="str">
        <f t="shared" si="1079"/>
        <v>TCGA-ACC</v>
      </c>
      <c r="D12429" s="1" t="s">
        <v>493</v>
      </c>
      <c r="E12429" t="s">
        <v>501</v>
      </c>
      <c r="F12429" s="1">
        <v>2</v>
      </c>
      <c r="G12429" s="1" t="s">
        <v>32</v>
      </c>
      <c r="H12429" s="4" t="str">
        <f>HYPERLINK("https://portal.gdc.cancer.gov/cases/15fb07ae-101c-4553-891d-539cee89a5e9","TCGA-OR-A5LT-01A")</f>
        <v>TCGA-OR-A5LT-01A</v>
      </c>
      <c r="I12429" t="s">
        <v>59</v>
      </c>
      <c r="J12429" t="s">
        <v>496</v>
      </c>
      <c r="K12429" t="s">
        <v>33</v>
      </c>
      <c r="L12429" t="s">
        <v>34</v>
      </c>
      <c r="N12429" t="s">
        <v>29</v>
      </c>
    </row>
    <row r="12430" spans="1:14">
      <c r="A12430" s="4" t="str">
        <f t="shared" si="1078"/>
        <v>EXP00391</v>
      </c>
      <c r="B12430" s="3" t="s">
        <v>66</v>
      </c>
      <c r="C12430" s="4" t="str">
        <f t="shared" si="1079"/>
        <v>TCGA-ACC</v>
      </c>
      <c r="D12430" s="1" t="s">
        <v>493</v>
      </c>
      <c r="E12430" t="s">
        <v>501</v>
      </c>
      <c r="F12430" s="1">
        <v>2</v>
      </c>
      <c r="G12430" s="1" t="s">
        <v>32</v>
      </c>
      <c r="H12430" s="4" t="str">
        <f>HYPERLINK("https://portal.gdc.cancer.gov/cases/8b3649e3-16e2-4044-8ab8-f4d28a87e513","TCGA-PA-A5YG-01A")</f>
        <v>TCGA-PA-A5YG-01A</v>
      </c>
      <c r="I12430" t="s">
        <v>59</v>
      </c>
      <c r="J12430" t="s">
        <v>496</v>
      </c>
      <c r="K12430" t="s">
        <v>33</v>
      </c>
      <c r="L12430" t="s">
        <v>34</v>
      </c>
      <c r="N12430" t="s">
        <v>29</v>
      </c>
    </row>
    <row r="12431" spans="1:14">
      <c r="A12431" s="4" t="str">
        <f t="shared" si="1078"/>
        <v>EXP00391</v>
      </c>
      <c r="B12431" s="3" t="s">
        <v>66</v>
      </c>
      <c r="C12431" s="4" t="str">
        <f t="shared" si="1079"/>
        <v>TCGA-ACC</v>
      </c>
      <c r="D12431" s="1" t="s">
        <v>493</v>
      </c>
      <c r="E12431" t="s">
        <v>501</v>
      </c>
      <c r="F12431" s="1">
        <v>2</v>
      </c>
      <c r="G12431" s="1" t="s">
        <v>32</v>
      </c>
      <c r="H12431" s="4" t="str">
        <f>HYPERLINK("https://portal.gdc.cancer.gov/cases/42ef34cc-ffb4-432c-82bb-7aa56639ff51","TCGA-PK-A5H8-01A")</f>
        <v>TCGA-PK-A5H8-01A</v>
      </c>
      <c r="I12431" t="s">
        <v>59</v>
      </c>
      <c r="J12431" t="s">
        <v>496</v>
      </c>
      <c r="K12431" t="s">
        <v>33</v>
      </c>
      <c r="L12431" t="s">
        <v>34</v>
      </c>
      <c r="N12431" t="s">
        <v>29</v>
      </c>
    </row>
    <row r="12432" spans="1:14">
      <c r="A12432" s="4" t="str">
        <f t="shared" si="1078"/>
        <v>EXP00391</v>
      </c>
      <c r="B12432" s="3" t="s">
        <v>66</v>
      </c>
      <c r="C12432" s="4" t="str">
        <f t="shared" si="1079"/>
        <v>TCGA-ACC</v>
      </c>
      <c r="D12432" s="1" t="s">
        <v>493</v>
      </c>
      <c r="E12432" t="s">
        <v>501</v>
      </c>
      <c r="F12432" s="1">
        <v>2</v>
      </c>
      <c r="G12432" s="1" t="s">
        <v>32</v>
      </c>
      <c r="H12432" s="4" t="str">
        <f>HYPERLINK("https://portal.gdc.cancer.gov/cases/83e7b9f8-04a4-440f-aafc-7a8e9ddff284","TCGA-PK-A5H9-01A")</f>
        <v>TCGA-PK-A5H9-01A</v>
      </c>
      <c r="I12432" t="s">
        <v>59</v>
      </c>
      <c r="J12432" t="s">
        <v>496</v>
      </c>
      <c r="K12432" t="s">
        <v>33</v>
      </c>
      <c r="L12432" t="s">
        <v>34</v>
      </c>
      <c r="N12432" t="s">
        <v>29</v>
      </c>
    </row>
    <row r="12433" spans="1:14">
      <c r="A12433" s="4" t="str">
        <f t="shared" si="1078"/>
        <v>EXP00391</v>
      </c>
      <c r="B12433" s="3" t="s">
        <v>66</v>
      </c>
      <c r="C12433" s="4" t="str">
        <f t="shared" si="1079"/>
        <v>TCGA-ACC</v>
      </c>
      <c r="D12433" s="1" t="s">
        <v>493</v>
      </c>
      <c r="E12433" t="s">
        <v>501</v>
      </c>
      <c r="F12433" s="1">
        <v>2</v>
      </c>
      <c r="G12433" s="1" t="s">
        <v>32</v>
      </c>
      <c r="H12433" s="4" t="str">
        <f>HYPERLINK("https://portal.gdc.cancer.gov/cases/5eb5ee1f-ecff-4427-b717-b91380c043ae","TCGA-PK-A5HA-01A")</f>
        <v>TCGA-PK-A5HA-01A</v>
      </c>
      <c r="I12433" t="s">
        <v>59</v>
      </c>
      <c r="J12433" t="s">
        <v>496</v>
      </c>
      <c r="K12433" t="s">
        <v>33</v>
      </c>
      <c r="L12433" t="s">
        <v>34</v>
      </c>
      <c r="N12433" t="s">
        <v>29</v>
      </c>
    </row>
    <row r="12434" spans="1:14">
      <c r="A12434" s="4" t="str">
        <f t="shared" ref="A12434:A12444" si="1080">HYPERLINK("http://hcmdb.i-sanger.com/experiment/details/experiment_id/EXP00392","EXP00392")</f>
        <v>EXP00392</v>
      </c>
      <c r="B12434" s="3" t="s">
        <v>66</v>
      </c>
      <c r="C12434" s="4" t="str">
        <f t="shared" ref="C12434:C12497" si="1081">HYPERLINK("https://portal.gdc.cancer.gov/projects/TCGA-BLCA","TCGA-BLCA")</f>
        <v>TCGA-BLCA</v>
      </c>
      <c r="D12434" s="1" t="s">
        <v>493</v>
      </c>
      <c r="E12434" t="s">
        <v>504</v>
      </c>
      <c r="F12434" s="1">
        <v>1</v>
      </c>
      <c r="G12434" s="1" t="s">
        <v>505</v>
      </c>
      <c r="H12434" s="4" t="str">
        <f>HYPERLINK("https://portal.gdc.cancer.gov/cases/3b464065-b2e9-4fb2-a7da-09e963fd43b3","TCGA-2F-A9KW-01A")</f>
        <v>TCGA-2F-A9KW-01A</v>
      </c>
      <c r="I12434" t="s">
        <v>506</v>
      </c>
      <c r="J12434" t="s">
        <v>507</v>
      </c>
      <c r="K12434" t="s">
        <v>19</v>
      </c>
      <c r="L12434" t="s">
        <v>508</v>
      </c>
      <c r="M12434" t="s">
        <v>50</v>
      </c>
      <c r="N12434" t="s">
        <v>29</v>
      </c>
    </row>
    <row r="12435" spans="1:14">
      <c r="A12435" s="4" t="str">
        <f t="shared" si="1080"/>
        <v>EXP00392</v>
      </c>
      <c r="B12435" s="3" t="s">
        <v>66</v>
      </c>
      <c r="C12435" s="4" t="str">
        <f t="shared" si="1081"/>
        <v>TCGA-BLCA</v>
      </c>
      <c r="D12435" s="1" t="s">
        <v>493</v>
      </c>
      <c r="E12435" t="s">
        <v>504</v>
      </c>
      <c r="F12435" s="1">
        <v>1</v>
      </c>
      <c r="G12435" s="1" t="s">
        <v>505</v>
      </c>
      <c r="H12435" s="4" t="str">
        <f>HYPERLINK("https://portal.gdc.cancer.gov/cases/32e79b35-a33a-4ca0-bfb7-7ea7e4e26568","TCGA-4Z-AA82-01A")</f>
        <v>TCGA-4Z-AA82-01A</v>
      </c>
      <c r="I12435" t="s">
        <v>506</v>
      </c>
      <c r="J12435" t="s">
        <v>507</v>
      </c>
      <c r="K12435" t="s">
        <v>19</v>
      </c>
      <c r="L12435" t="s">
        <v>508</v>
      </c>
      <c r="M12435" t="s">
        <v>50</v>
      </c>
      <c r="N12435" t="s">
        <v>29</v>
      </c>
    </row>
    <row r="12436" spans="1:14">
      <c r="A12436" s="4" t="str">
        <f t="shared" si="1080"/>
        <v>EXP00392</v>
      </c>
      <c r="B12436" s="3" t="s">
        <v>66</v>
      </c>
      <c r="C12436" s="4" t="str">
        <f t="shared" si="1081"/>
        <v>TCGA-BLCA</v>
      </c>
      <c r="D12436" s="1" t="s">
        <v>493</v>
      </c>
      <c r="E12436" t="s">
        <v>504</v>
      </c>
      <c r="F12436" s="1">
        <v>1</v>
      </c>
      <c r="G12436" s="1" t="s">
        <v>505</v>
      </c>
      <c r="H12436" s="4" t="str">
        <f>HYPERLINK("https://portal.gdc.cancer.gov/cases/cbe6c328-f7e1-44b2-b4e5-b495f46a7fb7","TCGA-DK-AA6L-01A")</f>
        <v>TCGA-DK-AA6L-01A</v>
      </c>
      <c r="I12436" t="s">
        <v>506</v>
      </c>
      <c r="J12436" t="s">
        <v>507</v>
      </c>
      <c r="K12436" t="s">
        <v>19</v>
      </c>
      <c r="L12436" t="s">
        <v>508</v>
      </c>
      <c r="M12436" t="s">
        <v>50</v>
      </c>
      <c r="N12436" t="s">
        <v>29</v>
      </c>
    </row>
    <row r="12437" spans="1:14">
      <c r="A12437" s="4" t="str">
        <f t="shared" si="1080"/>
        <v>EXP00392</v>
      </c>
      <c r="B12437" s="3" t="s">
        <v>66</v>
      </c>
      <c r="C12437" s="4" t="str">
        <f t="shared" si="1081"/>
        <v>TCGA-BLCA</v>
      </c>
      <c r="D12437" s="1" t="s">
        <v>493</v>
      </c>
      <c r="E12437" t="s">
        <v>504</v>
      </c>
      <c r="F12437" s="1">
        <v>1</v>
      </c>
      <c r="G12437" s="1" t="s">
        <v>505</v>
      </c>
      <c r="H12437" s="4" t="str">
        <f>HYPERLINK("https://portal.gdc.cancer.gov/cases/4e702ca1-c0e0-4b9c-b9c7-7d7946818561","TCGA-DK-AA6P-01A")</f>
        <v>TCGA-DK-AA6P-01A</v>
      </c>
      <c r="I12437" t="s">
        <v>506</v>
      </c>
      <c r="J12437" t="s">
        <v>507</v>
      </c>
      <c r="K12437" t="s">
        <v>19</v>
      </c>
      <c r="L12437" t="s">
        <v>508</v>
      </c>
      <c r="M12437" t="s">
        <v>50</v>
      </c>
      <c r="N12437" t="s">
        <v>29</v>
      </c>
    </row>
    <row r="12438" spans="1:14">
      <c r="A12438" s="4" t="str">
        <f t="shared" si="1080"/>
        <v>EXP00392</v>
      </c>
      <c r="B12438" s="3" t="s">
        <v>66</v>
      </c>
      <c r="C12438" s="4" t="str">
        <f t="shared" si="1081"/>
        <v>TCGA-BLCA</v>
      </c>
      <c r="D12438" s="1" t="s">
        <v>493</v>
      </c>
      <c r="E12438" t="s">
        <v>504</v>
      </c>
      <c r="F12438" s="1">
        <v>1</v>
      </c>
      <c r="G12438" s="1" t="s">
        <v>505</v>
      </c>
      <c r="H12438" s="4" t="str">
        <f>HYPERLINK("https://portal.gdc.cancer.gov/cases/cea28eac-4442-4436-b737-536e45b89989","TCGA-DK-AA75-01A")</f>
        <v>TCGA-DK-AA75-01A</v>
      </c>
      <c r="I12438" t="s">
        <v>506</v>
      </c>
      <c r="J12438" t="s">
        <v>507</v>
      </c>
      <c r="K12438" t="s">
        <v>19</v>
      </c>
      <c r="L12438" t="s">
        <v>508</v>
      </c>
      <c r="M12438" t="s">
        <v>50</v>
      </c>
      <c r="N12438" t="s">
        <v>29</v>
      </c>
    </row>
    <row r="12439" spans="1:14">
      <c r="A12439" s="4" t="str">
        <f t="shared" si="1080"/>
        <v>EXP00392</v>
      </c>
      <c r="B12439" s="3" t="s">
        <v>66</v>
      </c>
      <c r="C12439" s="4" t="str">
        <f t="shared" si="1081"/>
        <v>TCGA-BLCA</v>
      </c>
      <c r="D12439" s="1" t="s">
        <v>493</v>
      </c>
      <c r="E12439" t="s">
        <v>504</v>
      </c>
      <c r="F12439" s="1">
        <v>1</v>
      </c>
      <c r="G12439" s="1" t="s">
        <v>505</v>
      </c>
      <c r="H12439" s="4" t="str">
        <f>HYPERLINK("https://portal.gdc.cancer.gov/cases/1c28f311-e0b0-4292-b29a-c6757665a4a4","TCGA-E5-A4U1-01A")</f>
        <v>TCGA-E5-A4U1-01A</v>
      </c>
      <c r="I12439" t="s">
        <v>506</v>
      </c>
      <c r="J12439" t="s">
        <v>507</v>
      </c>
      <c r="K12439" t="s">
        <v>19</v>
      </c>
      <c r="L12439" t="s">
        <v>508</v>
      </c>
      <c r="M12439" t="s">
        <v>50</v>
      </c>
      <c r="N12439" t="s">
        <v>29</v>
      </c>
    </row>
    <row r="12440" spans="1:14">
      <c r="A12440" s="4" t="str">
        <f t="shared" si="1080"/>
        <v>EXP00392</v>
      </c>
      <c r="B12440" s="3" t="s">
        <v>66</v>
      </c>
      <c r="C12440" s="4" t="str">
        <f t="shared" si="1081"/>
        <v>TCGA-BLCA</v>
      </c>
      <c r="D12440" s="1" t="s">
        <v>493</v>
      </c>
      <c r="E12440" t="s">
        <v>504</v>
      </c>
      <c r="F12440" s="1">
        <v>1</v>
      </c>
      <c r="G12440" s="1" t="s">
        <v>505</v>
      </c>
      <c r="H12440" s="4" t="str">
        <f>HYPERLINK("https://portal.gdc.cancer.gov/cases/ac187cd1-a5ef-47da-88b2-1d4df27e0e76","TCGA-FD-A5BZ-01A")</f>
        <v>TCGA-FD-A5BZ-01A</v>
      </c>
      <c r="I12440" t="s">
        <v>506</v>
      </c>
      <c r="J12440" t="s">
        <v>507</v>
      </c>
      <c r="K12440" t="s">
        <v>19</v>
      </c>
      <c r="L12440" t="s">
        <v>508</v>
      </c>
      <c r="M12440" t="s">
        <v>50</v>
      </c>
      <c r="N12440" t="s">
        <v>29</v>
      </c>
    </row>
    <row r="12441" spans="1:14">
      <c r="A12441" s="4" t="str">
        <f t="shared" si="1080"/>
        <v>EXP00392</v>
      </c>
      <c r="B12441" s="3" t="s">
        <v>66</v>
      </c>
      <c r="C12441" s="4" t="str">
        <f t="shared" si="1081"/>
        <v>TCGA-BLCA</v>
      </c>
      <c r="D12441" s="1" t="s">
        <v>493</v>
      </c>
      <c r="E12441" t="s">
        <v>504</v>
      </c>
      <c r="F12441" s="1">
        <v>1</v>
      </c>
      <c r="G12441" s="1" t="s">
        <v>505</v>
      </c>
      <c r="H12441" s="4" t="str">
        <f>HYPERLINK("https://portal.gdc.cancer.gov/cases/03f588d6-832e-47d8-a9c4-af6640a1a635","TCGA-XF-A9SK-01A")</f>
        <v>TCGA-XF-A9SK-01A</v>
      </c>
      <c r="I12441" t="s">
        <v>506</v>
      </c>
      <c r="J12441" t="s">
        <v>507</v>
      </c>
      <c r="K12441" t="s">
        <v>19</v>
      </c>
      <c r="L12441" t="s">
        <v>508</v>
      </c>
      <c r="M12441" t="s">
        <v>50</v>
      </c>
      <c r="N12441" t="s">
        <v>29</v>
      </c>
    </row>
    <row r="12442" spans="1:14">
      <c r="A12442" s="4" t="str">
        <f t="shared" si="1080"/>
        <v>EXP00392</v>
      </c>
      <c r="B12442" s="3" t="s">
        <v>66</v>
      </c>
      <c r="C12442" s="4" t="str">
        <f t="shared" si="1081"/>
        <v>TCGA-BLCA</v>
      </c>
      <c r="D12442" s="1" t="s">
        <v>493</v>
      </c>
      <c r="E12442" t="s">
        <v>504</v>
      </c>
      <c r="F12442" s="1">
        <v>1</v>
      </c>
      <c r="G12442" s="1" t="s">
        <v>505</v>
      </c>
      <c r="H12442" s="4" t="str">
        <f>HYPERLINK("https://portal.gdc.cancer.gov/cases/585dfb25-5013-4ae1-a26b-5fed08e6cdb3","TCGA-ZF-AA4U-01A")</f>
        <v>TCGA-ZF-AA4U-01A</v>
      </c>
      <c r="I12442" t="s">
        <v>506</v>
      </c>
      <c r="J12442" t="s">
        <v>507</v>
      </c>
      <c r="K12442" t="s">
        <v>19</v>
      </c>
      <c r="L12442" t="s">
        <v>508</v>
      </c>
      <c r="M12442" t="s">
        <v>50</v>
      </c>
      <c r="N12442" t="s">
        <v>29</v>
      </c>
    </row>
    <row r="12443" spans="1:14">
      <c r="A12443" s="4" t="str">
        <f t="shared" si="1080"/>
        <v>EXP00392</v>
      </c>
      <c r="B12443" s="3" t="s">
        <v>66</v>
      </c>
      <c r="C12443" s="4" t="str">
        <f t="shared" si="1081"/>
        <v>TCGA-BLCA</v>
      </c>
      <c r="D12443" s="1" t="s">
        <v>493</v>
      </c>
      <c r="E12443" t="s">
        <v>504</v>
      </c>
      <c r="F12443" s="1">
        <v>2</v>
      </c>
      <c r="G12443" s="1" t="s">
        <v>509</v>
      </c>
      <c r="H12443" s="4" t="str">
        <f>HYPERLINK("https://portal.gdc.cancer.gov/cases/40551d53-388b-4067-9341-76e94d023703","TCGA-DK-A3X2-01A")</f>
        <v>TCGA-DK-A3X2-01A</v>
      </c>
      <c r="I12443" t="s">
        <v>506</v>
      </c>
      <c r="J12443" t="s">
        <v>507</v>
      </c>
      <c r="K12443" t="s">
        <v>19</v>
      </c>
      <c r="L12443" t="s">
        <v>508</v>
      </c>
      <c r="M12443" t="s">
        <v>510</v>
      </c>
      <c r="N12443" t="s">
        <v>29</v>
      </c>
    </row>
    <row r="12444" spans="1:14">
      <c r="A12444" s="4" t="str">
        <f t="shared" si="1080"/>
        <v>EXP00392</v>
      </c>
      <c r="B12444" s="3" t="s">
        <v>66</v>
      </c>
      <c r="C12444" s="4" t="str">
        <f t="shared" si="1081"/>
        <v>TCGA-BLCA</v>
      </c>
      <c r="D12444" s="1" t="s">
        <v>493</v>
      </c>
      <c r="E12444" t="s">
        <v>504</v>
      </c>
      <c r="F12444" s="1">
        <v>2</v>
      </c>
      <c r="G12444" s="1" t="s">
        <v>509</v>
      </c>
      <c r="H12444" s="4" t="str">
        <f>HYPERLINK("https://portal.gdc.cancer.gov/cases/42bcf1a7-2f3a-4ed8-a41d-cdd67e65b928","TCGA-XF-A9SU-01A")</f>
        <v>TCGA-XF-A9SU-01A</v>
      </c>
      <c r="I12444" t="s">
        <v>506</v>
      </c>
      <c r="J12444" t="s">
        <v>507</v>
      </c>
      <c r="K12444" t="s">
        <v>19</v>
      </c>
      <c r="L12444" t="s">
        <v>508</v>
      </c>
      <c r="M12444" t="s">
        <v>510</v>
      </c>
      <c r="N12444" t="s">
        <v>29</v>
      </c>
    </row>
    <row r="12445" spans="1:14">
      <c r="A12445" s="4" t="str">
        <f t="shared" ref="A12445:A12455" si="1082">HYPERLINK("http://hcmdb.i-sanger.com/experiment/details/experiment_id/EXP00393","EXP00393")</f>
        <v>EXP00393</v>
      </c>
      <c r="B12445" s="3" t="s">
        <v>66</v>
      </c>
      <c r="C12445" s="4" t="str">
        <f t="shared" si="1081"/>
        <v>TCGA-BLCA</v>
      </c>
      <c r="D12445" s="1" t="s">
        <v>493</v>
      </c>
      <c r="E12445" t="s">
        <v>504</v>
      </c>
      <c r="F12445" s="1">
        <v>1</v>
      </c>
      <c r="G12445" s="1" t="s">
        <v>505</v>
      </c>
      <c r="H12445" s="4" t="str">
        <f>HYPERLINK("https://portal.gdc.cancer.gov/cases/3b464065-b2e9-4fb2-a7da-09e963fd43b3","TCGA-2F-A9KW-01A")</f>
        <v>TCGA-2F-A9KW-01A</v>
      </c>
      <c r="I12445" t="s">
        <v>506</v>
      </c>
      <c r="J12445" t="s">
        <v>507</v>
      </c>
      <c r="K12445" t="s">
        <v>19</v>
      </c>
      <c r="L12445" t="s">
        <v>508</v>
      </c>
      <c r="M12445" t="s">
        <v>50</v>
      </c>
      <c r="N12445" t="s">
        <v>29</v>
      </c>
    </row>
    <row r="12446" spans="1:14">
      <c r="A12446" s="4" t="str">
        <f t="shared" si="1082"/>
        <v>EXP00393</v>
      </c>
      <c r="B12446" s="3" t="s">
        <v>66</v>
      </c>
      <c r="C12446" s="4" t="str">
        <f t="shared" si="1081"/>
        <v>TCGA-BLCA</v>
      </c>
      <c r="D12446" s="1" t="s">
        <v>493</v>
      </c>
      <c r="E12446" t="s">
        <v>504</v>
      </c>
      <c r="F12446" s="1">
        <v>1</v>
      </c>
      <c r="G12446" s="1" t="s">
        <v>505</v>
      </c>
      <c r="H12446" s="4" t="str">
        <f>HYPERLINK("https://portal.gdc.cancer.gov/cases/32e79b35-a33a-4ca0-bfb7-7ea7e4e26568","TCGA-4Z-AA82-01A")</f>
        <v>TCGA-4Z-AA82-01A</v>
      </c>
      <c r="I12446" t="s">
        <v>506</v>
      </c>
      <c r="J12446" t="s">
        <v>507</v>
      </c>
      <c r="K12446" t="s">
        <v>19</v>
      </c>
      <c r="L12446" t="s">
        <v>508</v>
      </c>
      <c r="M12446" t="s">
        <v>50</v>
      </c>
      <c r="N12446" t="s">
        <v>29</v>
      </c>
    </row>
    <row r="12447" spans="1:14">
      <c r="A12447" s="4" t="str">
        <f t="shared" si="1082"/>
        <v>EXP00393</v>
      </c>
      <c r="B12447" s="3" t="s">
        <v>66</v>
      </c>
      <c r="C12447" s="4" t="str">
        <f t="shared" si="1081"/>
        <v>TCGA-BLCA</v>
      </c>
      <c r="D12447" s="1" t="s">
        <v>493</v>
      </c>
      <c r="E12447" t="s">
        <v>504</v>
      </c>
      <c r="F12447" s="1">
        <v>1</v>
      </c>
      <c r="G12447" s="1" t="s">
        <v>505</v>
      </c>
      <c r="H12447" s="4" t="str">
        <f>HYPERLINK("https://portal.gdc.cancer.gov/cases/cbe6c328-f7e1-44b2-b4e5-b495f46a7fb7","TCGA-DK-AA6L-01A")</f>
        <v>TCGA-DK-AA6L-01A</v>
      </c>
      <c r="I12447" t="s">
        <v>506</v>
      </c>
      <c r="J12447" t="s">
        <v>507</v>
      </c>
      <c r="K12447" t="s">
        <v>19</v>
      </c>
      <c r="L12447" t="s">
        <v>508</v>
      </c>
      <c r="M12447" t="s">
        <v>50</v>
      </c>
      <c r="N12447" t="s">
        <v>29</v>
      </c>
    </row>
    <row r="12448" spans="1:14">
      <c r="A12448" s="4" t="str">
        <f t="shared" si="1082"/>
        <v>EXP00393</v>
      </c>
      <c r="B12448" s="3" t="s">
        <v>66</v>
      </c>
      <c r="C12448" s="4" t="str">
        <f t="shared" si="1081"/>
        <v>TCGA-BLCA</v>
      </c>
      <c r="D12448" s="1" t="s">
        <v>493</v>
      </c>
      <c r="E12448" t="s">
        <v>504</v>
      </c>
      <c r="F12448" s="1">
        <v>1</v>
      </c>
      <c r="G12448" s="1" t="s">
        <v>505</v>
      </c>
      <c r="H12448" s="4" t="str">
        <f>HYPERLINK("https://portal.gdc.cancer.gov/cases/4e702ca1-c0e0-4b9c-b9c7-7d7946818561","TCGA-DK-AA6P-01A")</f>
        <v>TCGA-DK-AA6P-01A</v>
      </c>
      <c r="I12448" t="s">
        <v>506</v>
      </c>
      <c r="J12448" t="s">
        <v>507</v>
      </c>
      <c r="K12448" t="s">
        <v>19</v>
      </c>
      <c r="L12448" t="s">
        <v>508</v>
      </c>
      <c r="M12448" t="s">
        <v>50</v>
      </c>
      <c r="N12448" t="s">
        <v>29</v>
      </c>
    </row>
    <row r="12449" spans="1:14">
      <c r="A12449" s="4" t="str">
        <f t="shared" si="1082"/>
        <v>EXP00393</v>
      </c>
      <c r="B12449" s="3" t="s">
        <v>66</v>
      </c>
      <c r="C12449" s="4" t="str">
        <f t="shared" si="1081"/>
        <v>TCGA-BLCA</v>
      </c>
      <c r="D12449" s="1" t="s">
        <v>493</v>
      </c>
      <c r="E12449" t="s">
        <v>504</v>
      </c>
      <c r="F12449" s="1">
        <v>1</v>
      </c>
      <c r="G12449" s="1" t="s">
        <v>505</v>
      </c>
      <c r="H12449" s="4" t="str">
        <f>HYPERLINK("https://portal.gdc.cancer.gov/cases/cea28eac-4442-4436-b737-536e45b89989","TCGA-DK-AA75-01A")</f>
        <v>TCGA-DK-AA75-01A</v>
      </c>
      <c r="I12449" t="s">
        <v>506</v>
      </c>
      <c r="J12449" t="s">
        <v>507</v>
      </c>
      <c r="K12449" t="s">
        <v>19</v>
      </c>
      <c r="L12449" t="s">
        <v>508</v>
      </c>
      <c r="M12449" t="s">
        <v>50</v>
      </c>
      <c r="N12449" t="s">
        <v>29</v>
      </c>
    </row>
    <row r="12450" spans="1:14">
      <c r="A12450" s="4" t="str">
        <f t="shared" si="1082"/>
        <v>EXP00393</v>
      </c>
      <c r="B12450" s="3" t="s">
        <v>66</v>
      </c>
      <c r="C12450" s="4" t="str">
        <f t="shared" si="1081"/>
        <v>TCGA-BLCA</v>
      </c>
      <c r="D12450" s="1" t="s">
        <v>493</v>
      </c>
      <c r="E12450" t="s">
        <v>504</v>
      </c>
      <c r="F12450" s="1">
        <v>1</v>
      </c>
      <c r="G12450" s="1" t="s">
        <v>505</v>
      </c>
      <c r="H12450" s="4" t="str">
        <f>HYPERLINK("https://portal.gdc.cancer.gov/cases/1c28f311-e0b0-4292-b29a-c6757665a4a4","TCGA-E5-A4U1-01A")</f>
        <v>TCGA-E5-A4U1-01A</v>
      </c>
      <c r="I12450" t="s">
        <v>506</v>
      </c>
      <c r="J12450" t="s">
        <v>507</v>
      </c>
      <c r="K12450" t="s">
        <v>19</v>
      </c>
      <c r="L12450" t="s">
        <v>508</v>
      </c>
      <c r="M12450" t="s">
        <v>50</v>
      </c>
      <c r="N12450" t="s">
        <v>29</v>
      </c>
    </row>
    <row r="12451" spans="1:14">
      <c r="A12451" s="4" t="str">
        <f t="shared" si="1082"/>
        <v>EXP00393</v>
      </c>
      <c r="B12451" s="3" t="s">
        <v>66</v>
      </c>
      <c r="C12451" s="4" t="str">
        <f t="shared" si="1081"/>
        <v>TCGA-BLCA</v>
      </c>
      <c r="D12451" s="1" t="s">
        <v>493</v>
      </c>
      <c r="E12451" t="s">
        <v>504</v>
      </c>
      <c r="F12451" s="1">
        <v>1</v>
      </c>
      <c r="G12451" s="1" t="s">
        <v>505</v>
      </c>
      <c r="H12451" s="4" t="str">
        <f>HYPERLINK("https://portal.gdc.cancer.gov/cases/ac187cd1-a5ef-47da-88b2-1d4df27e0e76","TCGA-FD-A5BZ-01A")</f>
        <v>TCGA-FD-A5BZ-01A</v>
      </c>
      <c r="I12451" t="s">
        <v>506</v>
      </c>
      <c r="J12451" t="s">
        <v>507</v>
      </c>
      <c r="K12451" t="s">
        <v>19</v>
      </c>
      <c r="L12451" t="s">
        <v>508</v>
      </c>
      <c r="M12451" t="s">
        <v>50</v>
      </c>
      <c r="N12451" t="s">
        <v>29</v>
      </c>
    </row>
    <row r="12452" spans="1:14">
      <c r="A12452" s="4" t="str">
        <f t="shared" si="1082"/>
        <v>EXP00393</v>
      </c>
      <c r="B12452" s="3" t="s">
        <v>66</v>
      </c>
      <c r="C12452" s="4" t="str">
        <f t="shared" si="1081"/>
        <v>TCGA-BLCA</v>
      </c>
      <c r="D12452" s="1" t="s">
        <v>493</v>
      </c>
      <c r="E12452" t="s">
        <v>504</v>
      </c>
      <c r="F12452" s="1">
        <v>1</v>
      </c>
      <c r="G12452" s="1" t="s">
        <v>505</v>
      </c>
      <c r="H12452" s="4" t="str">
        <f>HYPERLINK("https://portal.gdc.cancer.gov/cases/03f588d6-832e-47d8-a9c4-af6640a1a635","TCGA-XF-A9SK-01A")</f>
        <v>TCGA-XF-A9SK-01A</v>
      </c>
      <c r="I12452" t="s">
        <v>506</v>
      </c>
      <c r="J12452" t="s">
        <v>507</v>
      </c>
      <c r="K12452" t="s">
        <v>19</v>
      </c>
      <c r="L12452" t="s">
        <v>508</v>
      </c>
      <c r="M12452" t="s">
        <v>50</v>
      </c>
      <c r="N12452" t="s">
        <v>29</v>
      </c>
    </row>
    <row r="12453" spans="1:14">
      <c r="A12453" s="4" t="str">
        <f t="shared" si="1082"/>
        <v>EXP00393</v>
      </c>
      <c r="B12453" s="3" t="s">
        <v>66</v>
      </c>
      <c r="C12453" s="4" t="str">
        <f t="shared" si="1081"/>
        <v>TCGA-BLCA</v>
      </c>
      <c r="D12453" s="1" t="s">
        <v>493</v>
      </c>
      <c r="E12453" t="s">
        <v>504</v>
      </c>
      <c r="F12453" s="1">
        <v>1</v>
      </c>
      <c r="G12453" s="1" t="s">
        <v>505</v>
      </c>
      <c r="H12453" s="4" t="str">
        <f>HYPERLINK("https://portal.gdc.cancer.gov/cases/585dfb25-5013-4ae1-a26b-5fed08e6cdb3","TCGA-ZF-AA4U-01A")</f>
        <v>TCGA-ZF-AA4U-01A</v>
      </c>
      <c r="I12453" t="s">
        <v>506</v>
      </c>
      <c r="J12453" t="s">
        <v>507</v>
      </c>
      <c r="K12453" t="s">
        <v>19</v>
      </c>
      <c r="L12453" t="s">
        <v>508</v>
      </c>
      <c r="M12453" t="s">
        <v>50</v>
      </c>
      <c r="N12453" t="s">
        <v>29</v>
      </c>
    </row>
    <row r="12454" spans="1:14">
      <c r="A12454" s="4" t="str">
        <f t="shared" si="1082"/>
        <v>EXP00393</v>
      </c>
      <c r="B12454" s="3" t="s">
        <v>66</v>
      </c>
      <c r="C12454" s="4" t="str">
        <f t="shared" si="1081"/>
        <v>TCGA-BLCA</v>
      </c>
      <c r="D12454" s="1" t="s">
        <v>493</v>
      </c>
      <c r="E12454" t="s">
        <v>504</v>
      </c>
      <c r="F12454" s="1">
        <v>2</v>
      </c>
      <c r="G12454" s="1" t="s">
        <v>511</v>
      </c>
      <c r="H12454" s="4" t="str">
        <f>HYPERLINK("https://portal.gdc.cancer.gov/cases/f6d916b0-8e4c-49cb-a0d4-883908f3284f","TCGA-2F-A9KR-01A")</f>
        <v>TCGA-2F-A9KR-01A</v>
      </c>
      <c r="I12454" t="s">
        <v>506</v>
      </c>
      <c r="J12454" t="s">
        <v>507</v>
      </c>
      <c r="K12454" t="s">
        <v>19</v>
      </c>
      <c r="L12454" t="s">
        <v>508</v>
      </c>
      <c r="M12454" t="s">
        <v>512</v>
      </c>
      <c r="N12454" t="s">
        <v>29</v>
      </c>
    </row>
    <row r="12455" spans="1:14">
      <c r="A12455" s="4" t="str">
        <f t="shared" si="1082"/>
        <v>EXP00393</v>
      </c>
      <c r="B12455" s="3" t="s">
        <v>66</v>
      </c>
      <c r="C12455" s="4" t="str">
        <f t="shared" si="1081"/>
        <v>TCGA-BLCA</v>
      </c>
      <c r="D12455" s="1" t="s">
        <v>493</v>
      </c>
      <c r="E12455" t="s">
        <v>504</v>
      </c>
      <c r="F12455" s="1">
        <v>2</v>
      </c>
      <c r="G12455" s="1" t="s">
        <v>511</v>
      </c>
      <c r="H12455" s="4" t="str">
        <f>HYPERLINK("https://portal.gdc.cancer.gov/cases/d63c186d-add6-492e-8250-e83f46d39d00","TCGA-DK-A3WX-01A")</f>
        <v>TCGA-DK-A3WX-01A</v>
      </c>
      <c r="I12455" t="s">
        <v>506</v>
      </c>
      <c r="J12455" t="s">
        <v>507</v>
      </c>
      <c r="K12455" t="s">
        <v>19</v>
      </c>
      <c r="L12455" t="s">
        <v>508</v>
      </c>
      <c r="M12455" t="s">
        <v>512</v>
      </c>
      <c r="N12455" t="s">
        <v>29</v>
      </c>
    </row>
    <row r="12456" spans="1:14">
      <c r="A12456" s="4" t="str">
        <f t="shared" ref="A12456:A12468" si="1083">HYPERLINK("http://hcmdb.i-sanger.com/experiment/details/experiment_id/EXP00394","EXP00394")</f>
        <v>EXP00394</v>
      </c>
      <c r="B12456" s="3" t="s">
        <v>66</v>
      </c>
      <c r="C12456" s="4" t="str">
        <f t="shared" si="1081"/>
        <v>TCGA-BLCA</v>
      </c>
      <c r="D12456" s="1" t="s">
        <v>493</v>
      </c>
      <c r="E12456" t="s">
        <v>504</v>
      </c>
      <c r="F12456" s="1">
        <v>1</v>
      </c>
      <c r="G12456" s="1" t="s">
        <v>505</v>
      </c>
      <c r="H12456" s="4" t="str">
        <f>HYPERLINK("https://portal.gdc.cancer.gov/cases/3b464065-b2e9-4fb2-a7da-09e963fd43b3","TCGA-2F-A9KW-01A")</f>
        <v>TCGA-2F-A9KW-01A</v>
      </c>
      <c r="I12456" t="s">
        <v>506</v>
      </c>
      <c r="J12456" t="s">
        <v>507</v>
      </c>
      <c r="K12456" t="s">
        <v>19</v>
      </c>
      <c r="L12456" t="s">
        <v>508</v>
      </c>
      <c r="M12456" t="s">
        <v>50</v>
      </c>
      <c r="N12456" t="s">
        <v>29</v>
      </c>
    </row>
    <row r="12457" spans="1:14">
      <c r="A12457" s="4" t="str">
        <f t="shared" si="1083"/>
        <v>EXP00394</v>
      </c>
      <c r="B12457" s="3" t="s">
        <v>66</v>
      </c>
      <c r="C12457" s="4" t="str">
        <f t="shared" si="1081"/>
        <v>TCGA-BLCA</v>
      </c>
      <c r="D12457" s="1" t="s">
        <v>493</v>
      </c>
      <c r="E12457" t="s">
        <v>504</v>
      </c>
      <c r="F12457" s="1">
        <v>1</v>
      </c>
      <c r="G12457" s="1" t="s">
        <v>505</v>
      </c>
      <c r="H12457" s="4" t="str">
        <f>HYPERLINK("https://portal.gdc.cancer.gov/cases/32e79b35-a33a-4ca0-bfb7-7ea7e4e26568","TCGA-4Z-AA82-01A")</f>
        <v>TCGA-4Z-AA82-01A</v>
      </c>
      <c r="I12457" t="s">
        <v>506</v>
      </c>
      <c r="J12457" t="s">
        <v>507</v>
      </c>
      <c r="K12457" t="s">
        <v>19</v>
      </c>
      <c r="L12457" t="s">
        <v>508</v>
      </c>
      <c r="M12457" t="s">
        <v>50</v>
      </c>
      <c r="N12457" t="s">
        <v>29</v>
      </c>
    </row>
    <row r="12458" spans="1:14">
      <c r="A12458" s="4" t="str">
        <f t="shared" si="1083"/>
        <v>EXP00394</v>
      </c>
      <c r="B12458" s="3" t="s">
        <v>66</v>
      </c>
      <c r="C12458" s="4" t="str">
        <f t="shared" si="1081"/>
        <v>TCGA-BLCA</v>
      </c>
      <c r="D12458" s="1" t="s">
        <v>493</v>
      </c>
      <c r="E12458" t="s">
        <v>504</v>
      </c>
      <c r="F12458" s="1">
        <v>1</v>
      </c>
      <c r="G12458" s="1" t="s">
        <v>505</v>
      </c>
      <c r="H12458" s="4" t="str">
        <f>HYPERLINK("https://portal.gdc.cancer.gov/cases/cbe6c328-f7e1-44b2-b4e5-b495f46a7fb7","TCGA-DK-AA6L-01A")</f>
        <v>TCGA-DK-AA6L-01A</v>
      </c>
      <c r="I12458" t="s">
        <v>506</v>
      </c>
      <c r="J12458" t="s">
        <v>507</v>
      </c>
      <c r="K12458" t="s">
        <v>19</v>
      </c>
      <c r="L12458" t="s">
        <v>508</v>
      </c>
      <c r="M12458" t="s">
        <v>50</v>
      </c>
      <c r="N12458" t="s">
        <v>29</v>
      </c>
    </row>
    <row r="12459" spans="1:14">
      <c r="A12459" s="4" t="str">
        <f t="shared" si="1083"/>
        <v>EXP00394</v>
      </c>
      <c r="B12459" s="3" t="s">
        <v>66</v>
      </c>
      <c r="C12459" s="4" t="str">
        <f t="shared" si="1081"/>
        <v>TCGA-BLCA</v>
      </c>
      <c r="D12459" s="1" t="s">
        <v>493</v>
      </c>
      <c r="E12459" t="s">
        <v>504</v>
      </c>
      <c r="F12459" s="1">
        <v>1</v>
      </c>
      <c r="G12459" s="1" t="s">
        <v>505</v>
      </c>
      <c r="H12459" s="4" t="str">
        <f>HYPERLINK("https://portal.gdc.cancer.gov/cases/4e702ca1-c0e0-4b9c-b9c7-7d7946818561","TCGA-DK-AA6P-01A")</f>
        <v>TCGA-DK-AA6P-01A</v>
      </c>
      <c r="I12459" t="s">
        <v>506</v>
      </c>
      <c r="J12459" t="s">
        <v>507</v>
      </c>
      <c r="K12459" t="s">
        <v>19</v>
      </c>
      <c r="L12459" t="s">
        <v>508</v>
      </c>
      <c r="M12459" t="s">
        <v>50</v>
      </c>
      <c r="N12459" t="s">
        <v>29</v>
      </c>
    </row>
    <row r="12460" spans="1:14">
      <c r="A12460" s="4" t="str">
        <f t="shared" si="1083"/>
        <v>EXP00394</v>
      </c>
      <c r="B12460" s="3" t="s">
        <v>66</v>
      </c>
      <c r="C12460" s="4" t="str">
        <f t="shared" si="1081"/>
        <v>TCGA-BLCA</v>
      </c>
      <c r="D12460" s="1" t="s">
        <v>493</v>
      </c>
      <c r="E12460" t="s">
        <v>504</v>
      </c>
      <c r="F12460" s="1">
        <v>1</v>
      </c>
      <c r="G12460" s="1" t="s">
        <v>505</v>
      </c>
      <c r="H12460" s="4" t="str">
        <f>HYPERLINK("https://portal.gdc.cancer.gov/cases/cea28eac-4442-4436-b737-536e45b89989","TCGA-DK-AA75-01A")</f>
        <v>TCGA-DK-AA75-01A</v>
      </c>
      <c r="I12460" t="s">
        <v>506</v>
      </c>
      <c r="J12460" t="s">
        <v>507</v>
      </c>
      <c r="K12460" t="s">
        <v>19</v>
      </c>
      <c r="L12460" t="s">
        <v>508</v>
      </c>
      <c r="M12460" t="s">
        <v>50</v>
      </c>
      <c r="N12460" t="s">
        <v>29</v>
      </c>
    </row>
    <row r="12461" spans="1:14">
      <c r="A12461" s="4" t="str">
        <f t="shared" si="1083"/>
        <v>EXP00394</v>
      </c>
      <c r="B12461" s="3" t="s">
        <v>66</v>
      </c>
      <c r="C12461" s="4" t="str">
        <f t="shared" si="1081"/>
        <v>TCGA-BLCA</v>
      </c>
      <c r="D12461" s="1" t="s">
        <v>493</v>
      </c>
      <c r="E12461" t="s">
        <v>504</v>
      </c>
      <c r="F12461" s="1">
        <v>1</v>
      </c>
      <c r="G12461" s="1" t="s">
        <v>505</v>
      </c>
      <c r="H12461" s="4" t="str">
        <f>HYPERLINK("https://portal.gdc.cancer.gov/cases/1c28f311-e0b0-4292-b29a-c6757665a4a4","TCGA-E5-A4U1-01A")</f>
        <v>TCGA-E5-A4U1-01A</v>
      </c>
      <c r="I12461" t="s">
        <v>506</v>
      </c>
      <c r="J12461" t="s">
        <v>507</v>
      </c>
      <c r="K12461" t="s">
        <v>19</v>
      </c>
      <c r="L12461" t="s">
        <v>508</v>
      </c>
      <c r="M12461" t="s">
        <v>50</v>
      </c>
      <c r="N12461" t="s">
        <v>29</v>
      </c>
    </row>
    <row r="12462" spans="1:14">
      <c r="A12462" s="4" t="str">
        <f t="shared" si="1083"/>
        <v>EXP00394</v>
      </c>
      <c r="B12462" s="3" t="s">
        <v>66</v>
      </c>
      <c r="C12462" s="4" t="str">
        <f t="shared" si="1081"/>
        <v>TCGA-BLCA</v>
      </c>
      <c r="D12462" s="1" t="s">
        <v>493</v>
      </c>
      <c r="E12462" t="s">
        <v>504</v>
      </c>
      <c r="F12462" s="1">
        <v>1</v>
      </c>
      <c r="G12462" s="1" t="s">
        <v>505</v>
      </c>
      <c r="H12462" s="4" t="str">
        <f>HYPERLINK("https://portal.gdc.cancer.gov/cases/ac187cd1-a5ef-47da-88b2-1d4df27e0e76","TCGA-FD-A5BZ-01A")</f>
        <v>TCGA-FD-A5BZ-01A</v>
      </c>
      <c r="I12462" t="s">
        <v>506</v>
      </c>
      <c r="J12462" t="s">
        <v>507</v>
      </c>
      <c r="K12462" t="s">
        <v>19</v>
      </c>
      <c r="L12462" t="s">
        <v>508</v>
      </c>
      <c r="M12462" t="s">
        <v>50</v>
      </c>
      <c r="N12462" t="s">
        <v>29</v>
      </c>
    </row>
    <row r="12463" spans="1:14">
      <c r="A12463" s="4" t="str">
        <f t="shared" si="1083"/>
        <v>EXP00394</v>
      </c>
      <c r="B12463" s="3" t="s">
        <v>66</v>
      </c>
      <c r="C12463" s="4" t="str">
        <f t="shared" si="1081"/>
        <v>TCGA-BLCA</v>
      </c>
      <c r="D12463" s="1" t="s">
        <v>493</v>
      </c>
      <c r="E12463" t="s">
        <v>504</v>
      </c>
      <c r="F12463" s="1">
        <v>1</v>
      </c>
      <c r="G12463" s="1" t="s">
        <v>505</v>
      </c>
      <c r="H12463" s="4" t="str">
        <f>HYPERLINK("https://portal.gdc.cancer.gov/cases/03f588d6-832e-47d8-a9c4-af6640a1a635","TCGA-XF-A9SK-01A")</f>
        <v>TCGA-XF-A9SK-01A</v>
      </c>
      <c r="I12463" t="s">
        <v>506</v>
      </c>
      <c r="J12463" t="s">
        <v>507</v>
      </c>
      <c r="K12463" t="s">
        <v>19</v>
      </c>
      <c r="L12463" t="s">
        <v>508</v>
      </c>
      <c r="M12463" t="s">
        <v>50</v>
      </c>
      <c r="N12463" t="s">
        <v>29</v>
      </c>
    </row>
    <row r="12464" spans="1:14">
      <c r="A12464" s="4" t="str">
        <f t="shared" si="1083"/>
        <v>EXP00394</v>
      </c>
      <c r="B12464" s="3" t="s">
        <v>66</v>
      </c>
      <c r="C12464" s="4" t="str">
        <f t="shared" si="1081"/>
        <v>TCGA-BLCA</v>
      </c>
      <c r="D12464" s="1" t="s">
        <v>493</v>
      </c>
      <c r="E12464" t="s">
        <v>504</v>
      </c>
      <c r="F12464" s="1">
        <v>1</v>
      </c>
      <c r="G12464" s="1" t="s">
        <v>505</v>
      </c>
      <c r="H12464" s="4" t="str">
        <f>HYPERLINK("https://portal.gdc.cancer.gov/cases/585dfb25-5013-4ae1-a26b-5fed08e6cdb3","TCGA-ZF-AA4U-01A")</f>
        <v>TCGA-ZF-AA4U-01A</v>
      </c>
      <c r="I12464" t="s">
        <v>506</v>
      </c>
      <c r="J12464" t="s">
        <v>507</v>
      </c>
      <c r="K12464" t="s">
        <v>19</v>
      </c>
      <c r="L12464" t="s">
        <v>508</v>
      </c>
      <c r="M12464" t="s">
        <v>50</v>
      </c>
      <c r="N12464" t="s">
        <v>29</v>
      </c>
    </row>
    <row r="12465" spans="1:14">
      <c r="A12465" s="4" t="str">
        <f t="shared" si="1083"/>
        <v>EXP00394</v>
      </c>
      <c r="B12465" s="3" t="s">
        <v>66</v>
      </c>
      <c r="C12465" s="4" t="str">
        <f t="shared" si="1081"/>
        <v>TCGA-BLCA</v>
      </c>
      <c r="D12465" s="1" t="s">
        <v>493</v>
      </c>
      <c r="E12465" t="s">
        <v>504</v>
      </c>
      <c r="F12465" s="1">
        <v>2</v>
      </c>
      <c r="G12465" s="1" t="s">
        <v>513</v>
      </c>
      <c r="H12465" s="4" t="str">
        <f>HYPERLINK("https://portal.gdc.cancer.gov/cases/60419f8c-92c2-4e8f-b2fa-a767d30c9d59","TCGA-DK-AA6Q-01A")</f>
        <v>TCGA-DK-AA6Q-01A</v>
      </c>
      <c r="I12465" t="s">
        <v>506</v>
      </c>
      <c r="J12465" t="s">
        <v>507</v>
      </c>
      <c r="K12465" t="s">
        <v>19</v>
      </c>
      <c r="L12465" t="s">
        <v>508</v>
      </c>
      <c r="M12465" t="s">
        <v>44</v>
      </c>
      <c r="N12465" t="s">
        <v>29</v>
      </c>
    </row>
    <row r="12466" spans="1:14">
      <c r="A12466" s="4" t="str">
        <f t="shared" si="1083"/>
        <v>EXP00394</v>
      </c>
      <c r="B12466" s="3" t="s">
        <v>66</v>
      </c>
      <c r="C12466" s="4" t="str">
        <f t="shared" si="1081"/>
        <v>TCGA-BLCA</v>
      </c>
      <c r="D12466" s="1" t="s">
        <v>493</v>
      </c>
      <c r="E12466" t="s">
        <v>504</v>
      </c>
      <c r="F12466" s="1">
        <v>2</v>
      </c>
      <c r="G12466" s="1" t="s">
        <v>513</v>
      </c>
      <c r="H12466" s="4" t="str">
        <f>HYPERLINK("https://portal.gdc.cancer.gov/cases/aa14ffb4-a715-4636-8251-73d019dddd8c","TCGA-K4-A83P-01A")</f>
        <v>TCGA-K4-A83P-01A</v>
      </c>
      <c r="I12466" t="s">
        <v>506</v>
      </c>
      <c r="J12466" t="s">
        <v>507</v>
      </c>
      <c r="K12466" t="s">
        <v>19</v>
      </c>
      <c r="L12466" t="s">
        <v>508</v>
      </c>
      <c r="M12466" t="s">
        <v>44</v>
      </c>
      <c r="N12466" t="s">
        <v>29</v>
      </c>
    </row>
    <row r="12467" spans="1:14">
      <c r="A12467" s="4" t="str">
        <f t="shared" si="1083"/>
        <v>EXP00394</v>
      </c>
      <c r="B12467" s="3" t="s">
        <v>66</v>
      </c>
      <c r="C12467" s="4" t="str">
        <f t="shared" si="1081"/>
        <v>TCGA-BLCA</v>
      </c>
      <c r="D12467" s="1" t="s">
        <v>493</v>
      </c>
      <c r="E12467" t="s">
        <v>504</v>
      </c>
      <c r="F12467" s="1">
        <v>2</v>
      </c>
      <c r="G12467" s="1" t="s">
        <v>513</v>
      </c>
      <c r="H12467" s="4" t="str">
        <f>HYPERLINK("https://portal.gdc.cancer.gov/cases/b9b61cf9-8711-4c3a-8511-659070cfe36b","TCGA-XF-A8HG-01A")</f>
        <v>TCGA-XF-A8HG-01A</v>
      </c>
      <c r="I12467" t="s">
        <v>506</v>
      </c>
      <c r="J12467" t="s">
        <v>507</v>
      </c>
      <c r="K12467" t="s">
        <v>19</v>
      </c>
      <c r="L12467" t="s">
        <v>508</v>
      </c>
      <c r="M12467" t="s">
        <v>44</v>
      </c>
      <c r="N12467" t="s">
        <v>29</v>
      </c>
    </row>
    <row r="12468" spans="1:14">
      <c r="A12468" s="4" t="str">
        <f t="shared" si="1083"/>
        <v>EXP00394</v>
      </c>
      <c r="B12468" s="3" t="s">
        <v>66</v>
      </c>
      <c r="C12468" s="4" t="str">
        <f t="shared" si="1081"/>
        <v>TCGA-BLCA</v>
      </c>
      <c r="D12468" s="1" t="s">
        <v>493</v>
      </c>
      <c r="E12468" t="s">
        <v>504</v>
      </c>
      <c r="F12468" s="1">
        <v>2</v>
      </c>
      <c r="G12468" s="1" t="s">
        <v>513</v>
      </c>
      <c r="H12468" s="4" t="str">
        <f>HYPERLINK("https://portal.gdc.cancer.gov/cases/eb30ae33-2076-475d-aac9-804a8f1119a0","TCGA-ZF-AA56-01A")</f>
        <v>TCGA-ZF-AA56-01A</v>
      </c>
      <c r="I12468" t="s">
        <v>506</v>
      </c>
      <c r="J12468" t="s">
        <v>507</v>
      </c>
      <c r="K12468" t="s">
        <v>19</v>
      </c>
      <c r="L12468" t="s">
        <v>508</v>
      </c>
      <c r="M12468" t="s">
        <v>44</v>
      </c>
      <c r="N12468" t="s">
        <v>29</v>
      </c>
    </row>
    <row r="12469" spans="1:14">
      <c r="A12469" s="4" t="str">
        <f t="shared" ref="A12469:A12479" si="1084">HYPERLINK("http://hcmdb.i-sanger.com/experiment/details/experiment_id/EXP00395","EXP00395")</f>
        <v>EXP00395</v>
      </c>
      <c r="B12469" s="3" t="s">
        <v>66</v>
      </c>
      <c r="C12469" s="4" t="str">
        <f t="shared" si="1081"/>
        <v>TCGA-BLCA</v>
      </c>
      <c r="D12469" s="1" t="s">
        <v>493</v>
      </c>
      <c r="E12469" t="s">
        <v>504</v>
      </c>
      <c r="F12469" s="1">
        <v>1</v>
      </c>
      <c r="G12469" s="1" t="s">
        <v>505</v>
      </c>
      <c r="H12469" s="4" t="str">
        <f>HYPERLINK("https://portal.gdc.cancer.gov/cases/3b464065-b2e9-4fb2-a7da-09e963fd43b3","TCGA-2F-A9KW-01A")</f>
        <v>TCGA-2F-A9KW-01A</v>
      </c>
      <c r="I12469" t="s">
        <v>506</v>
      </c>
      <c r="J12469" t="s">
        <v>507</v>
      </c>
      <c r="K12469" t="s">
        <v>19</v>
      </c>
      <c r="L12469" t="s">
        <v>508</v>
      </c>
      <c r="M12469" t="s">
        <v>50</v>
      </c>
      <c r="N12469" t="s">
        <v>29</v>
      </c>
    </row>
    <row r="12470" spans="1:14">
      <c r="A12470" s="4" t="str">
        <f t="shared" si="1084"/>
        <v>EXP00395</v>
      </c>
      <c r="B12470" s="3" t="s">
        <v>66</v>
      </c>
      <c r="C12470" s="4" t="str">
        <f t="shared" si="1081"/>
        <v>TCGA-BLCA</v>
      </c>
      <c r="D12470" s="1" t="s">
        <v>493</v>
      </c>
      <c r="E12470" t="s">
        <v>504</v>
      </c>
      <c r="F12470" s="1">
        <v>1</v>
      </c>
      <c r="G12470" s="1" t="s">
        <v>505</v>
      </c>
      <c r="H12470" s="4" t="str">
        <f>HYPERLINK("https://portal.gdc.cancer.gov/cases/32e79b35-a33a-4ca0-bfb7-7ea7e4e26568","TCGA-4Z-AA82-01A")</f>
        <v>TCGA-4Z-AA82-01A</v>
      </c>
      <c r="I12470" t="s">
        <v>506</v>
      </c>
      <c r="J12470" t="s">
        <v>507</v>
      </c>
      <c r="K12470" t="s">
        <v>19</v>
      </c>
      <c r="L12470" t="s">
        <v>508</v>
      </c>
      <c r="M12470" t="s">
        <v>50</v>
      </c>
      <c r="N12470" t="s">
        <v>29</v>
      </c>
    </row>
    <row r="12471" spans="1:14">
      <c r="A12471" s="4" t="str">
        <f t="shared" si="1084"/>
        <v>EXP00395</v>
      </c>
      <c r="B12471" s="3" t="s">
        <v>66</v>
      </c>
      <c r="C12471" s="4" t="str">
        <f t="shared" si="1081"/>
        <v>TCGA-BLCA</v>
      </c>
      <c r="D12471" s="1" t="s">
        <v>493</v>
      </c>
      <c r="E12471" t="s">
        <v>504</v>
      </c>
      <c r="F12471" s="1">
        <v>1</v>
      </c>
      <c r="G12471" s="1" t="s">
        <v>505</v>
      </c>
      <c r="H12471" s="4" t="str">
        <f>HYPERLINK("https://portal.gdc.cancer.gov/cases/cbe6c328-f7e1-44b2-b4e5-b495f46a7fb7","TCGA-DK-AA6L-01A")</f>
        <v>TCGA-DK-AA6L-01A</v>
      </c>
      <c r="I12471" t="s">
        <v>506</v>
      </c>
      <c r="J12471" t="s">
        <v>507</v>
      </c>
      <c r="K12471" t="s">
        <v>19</v>
      </c>
      <c r="L12471" t="s">
        <v>508</v>
      </c>
      <c r="M12471" t="s">
        <v>50</v>
      </c>
      <c r="N12471" t="s">
        <v>29</v>
      </c>
    </row>
    <row r="12472" spans="1:14">
      <c r="A12472" s="4" t="str">
        <f t="shared" si="1084"/>
        <v>EXP00395</v>
      </c>
      <c r="B12472" s="3" t="s">
        <v>66</v>
      </c>
      <c r="C12472" s="4" t="str">
        <f t="shared" si="1081"/>
        <v>TCGA-BLCA</v>
      </c>
      <c r="D12472" s="1" t="s">
        <v>493</v>
      </c>
      <c r="E12472" t="s">
        <v>504</v>
      </c>
      <c r="F12472" s="1">
        <v>1</v>
      </c>
      <c r="G12472" s="1" t="s">
        <v>505</v>
      </c>
      <c r="H12472" s="4" t="str">
        <f>HYPERLINK("https://portal.gdc.cancer.gov/cases/4e702ca1-c0e0-4b9c-b9c7-7d7946818561","TCGA-DK-AA6P-01A")</f>
        <v>TCGA-DK-AA6P-01A</v>
      </c>
      <c r="I12472" t="s">
        <v>506</v>
      </c>
      <c r="J12472" t="s">
        <v>507</v>
      </c>
      <c r="K12472" t="s">
        <v>19</v>
      </c>
      <c r="L12472" t="s">
        <v>508</v>
      </c>
      <c r="M12472" t="s">
        <v>50</v>
      </c>
      <c r="N12472" t="s">
        <v>29</v>
      </c>
    </row>
    <row r="12473" spans="1:14">
      <c r="A12473" s="4" t="str">
        <f t="shared" si="1084"/>
        <v>EXP00395</v>
      </c>
      <c r="B12473" s="3" t="s">
        <v>66</v>
      </c>
      <c r="C12473" s="4" t="str">
        <f t="shared" si="1081"/>
        <v>TCGA-BLCA</v>
      </c>
      <c r="D12473" s="1" t="s">
        <v>493</v>
      </c>
      <c r="E12473" t="s">
        <v>504</v>
      </c>
      <c r="F12473" s="1">
        <v>1</v>
      </c>
      <c r="G12473" s="1" t="s">
        <v>505</v>
      </c>
      <c r="H12473" s="4" t="str">
        <f>HYPERLINK("https://portal.gdc.cancer.gov/cases/cea28eac-4442-4436-b737-536e45b89989","TCGA-DK-AA75-01A")</f>
        <v>TCGA-DK-AA75-01A</v>
      </c>
      <c r="I12473" t="s">
        <v>506</v>
      </c>
      <c r="J12473" t="s">
        <v>507</v>
      </c>
      <c r="K12473" t="s">
        <v>19</v>
      </c>
      <c r="L12473" t="s">
        <v>508</v>
      </c>
      <c r="M12473" t="s">
        <v>50</v>
      </c>
      <c r="N12473" t="s">
        <v>29</v>
      </c>
    </row>
    <row r="12474" spans="1:14">
      <c r="A12474" s="4" t="str">
        <f t="shared" si="1084"/>
        <v>EXP00395</v>
      </c>
      <c r="B12474" s="3" t="s">
        <v>66</v>
      </c>
      <c r="C12474" s="4" t="str">
        <f t="shared" si="1081"/>
        <v>TCGA-BLCA</v>
      </c>
      <c r="D12474" s="1" t="s">
        <v>493</v>
      </c>
      <c r="E12474" t="s">
        <v>504</v>
      </c>
      <c r="F12474" s="1">
        <v>1</v>
      </c>
      <c r="G12474" s="1" t="s">
        <v>505</v>
      </c>
      <c r="H12474" s="4" t="str">
        <f>HYPERLINK("https://portal.gdc.cancer.gov/cases/1c28f311-e0b0-4292-b29a-c6757665a4a4","TCGA-E5-A4U1-01A")</f>
        <v>TCGA-E5-A4U1-01A</v>
      </c>
      <c r="I12474" t="s">
        <v>506</v>
      </c>
      <c r="J12474" t="s">
        <v>507</v>
      </c>
      <c r="K12474" t="s">
        <v>19</v>
      </c>
      <c r="L12474" t="s">
        <v>508</v>
      </c>
      <c r="M12474" t="s">
        <v>50</v>
      </c>
      <c r="N12474" t="s">
        <v>29</v>
      </c>
    </row>
    <row r="12475" spans="1:14">
      <c r="A12475" s="4" t="str">
        <f t="shared" si="1084"/>
        <v>EXP00395</v>
      </c>
      <c r="B12475" s="3" t="s">
        <v>66</v>
      </c>
      <c r="C12475" s="4" t="str">
        <f t="shared" si="1081"/>
        <v>TCGA-BLCA</v>
      </c>
      <c r="D12475" s="1" t="s">
        <v>493</v>
      </c>
      <c r="E12475" t="s">
        <v>504</v>
      </c>
      <c r="F12475" s="1">
        <v>1</v>
      </c>
      <c r="G12475" s="1" t="s">
        <v>505</v>
      </c>
      <c r="H12475" s="4" t="str">
        <f>HYPERLINK("https://portal.gdc.cancer.gov/cases/ac187cd1-a5ef-47da-88b2-1d4df27e0e76","TCGA-FD-A5BZ-01A")</f>
        <v>TCGA-FD-A5BZ-01A</v>
      </c>
      <c r="I12475" t="s">
        <v>506</v>
      </c>
      <c r="J12475" t="s">
        <v>507</v>
      </c>
      <c r="K12475" t="s">
        <v>19</v>
      </c>
      <c r="L12475" t="s">
        <v>508</v>
      </c>
      <c r="M12475" t="s">
        <v>50</v>
      </c>
      <c r="N12475" t="s">
        <v>29</v>
      </c>
    </row>
    <row r="12476" spans="1:14">
      <c r="A12476" s="4" t="str">
        <f t="shared" si="1084"/>
        <v>EXP00395</v>
      </c>
      <c r="B12476" s="3" t="s">
        <v>66</v>
      </c>
      <c r="C12476" s="4" t="str">
        <f t="shared" si="1081"/>
        <v>TCGA-BLCA</v>
      </c>
      <c r="D12476" s="1" t="s">
        <v>493</v>
      </c>
      <c r="E12476" t="s">
        <v>504</v>
      </c>
      <c r="F12476" s="1">
        <v>1</v>
      </c>
      <c r="G12476" s="1" t="s">
        <v>505</v>
      </c>
      <c r="H12476" s="4" t="str">
        <f>HYPERLINK("https://portal.gdc.cancer.gov/cases/03f588d6-832e-47d8-a9c4-af6640a1a635","TCGA-XF-A9SK-01A")</f>
        <v>TCGA-XF-A9SK-01A</v>
      </c>
      <c r="I12476" t="s">
        <v>506</v>
      </c>
      <c r="J12476" t="s">
        <v>507</v>
      </c>
      <c r="K12476" t="s">
        <v>19</v>
      </c>
      <c r="L12476" t="s">
        <v>508</v>
      </c>
      <c r="M12476" t="s">
        <v>50</v>
      </c>
      <c r="N12476" t="s">
        <v>29</v>
      </c>
    </row>
    <row r="12477" spans="1:14">
      <c r="A12477" s="4" t="str">
        <f t="shared" si="1084"/>
        <v>EXP00395</v>
      </c>
      <c r="B12477" s="3" t="s">
        <v>66</v>
      </c>
      <c r="C12477" s="4" t="str">
        <f t="shared" si="1081"/>
        <v>TCGA-BLCA</v>
      </c>
      <c r="D12477" s="1" t="s">
        <v>493</v>
      </c>
      <c r="E12477" t="s">
        <v>504</v>
      </c>
      <c r="F12477" s="1">
        <v>1</v>
      </c>
      <c r="G12477" s="1" t="s">
        <v>505</v>
      </c>
      <c r="H12477" s="4" t="str">
        <f>HYPERLINK("https://portal.gdc.cancer.gov/cases/585dfb25-5013-4ae1-a26b-5fed08e6cdb3","TCGA-ZF-AA4U-01A")</f>
        <v>TCGA-ZF-AA4U-01A</v>
      </c>
      <c r="I12477" t="s">
        <v>506</v>
      </c>
      <c r="J12477" t="s">
        <v>507</v>
      </c>
      <c r="K12477" t="s">
        <v>19</v>
      </c>
      <c r="L12477" t="s">
        <v>508</v>
      </c>
      <c r="M12477" t="s">
        <v>50</v>
      </c>
      <c r="N12477" t="s">
        <v>29</v>
      </c>
    </row>
    <row r="12478" spans="1:14">
      <c r="A12478" s="4" t="str">
        <f t="shared" si="1084"/>
        <v>EXP00395</v>
      </c>
      <c r="B12478" s="3" t="s">
        <v>66</v>
      </c>
      <c r="C12478" s="4" t="str">
        <f t="shared" si="1081"/>
        <v>TCGA-BLCA</v>
      </c>
      <c r="D12478" s="1" t="s">
        <v>493</v>
      </c>
      <c r="E12478" t="s">
        <v>504</v>
      </c>
      <c r="F12478" s="1">
        <v>2</v>
      </c>
      <c r="G12478" s="1" t="s">
        <v>514</v>
      </c>
      <c r="H12478" s="4" t="str">
        <f>HYPERLINK("https://portal.gdc.cancer.gov/cases/dc321b92-7275-48c9-adeb-7670db3195ef","TCGA-XF-A9SZ-01A")</f>
        <v>TCGA-XF-A9SZ-01A</v>
      </c>
      <c r="I12478" t="s">
        <v>506</v>
      </c>
      <c r="J12478" t="s">
        <v>507</v>
      </c>
      <c r="K12478" t="s">
        <v>19</v>
      </c>
      <c r="L12478" t="s">
        <v>508</v>
      </c>
      <c r="M12478" t="s">
        <v>499</v>
      </c>
      <c r="N12478" t="s">
        <v>29</v>
      </c>
    </row>
    <row r="12479" spans="1:14">
      <c r="A12479" s="4" t="str">
        <f t="shared" si="1084"/>
        <v>EXP00395</v>
      </c>
      <c r="B12479" s="3" t="s">
        <v>66</v>
      </c>
      <c r="C12479" s="4" t="str">
        <f t="shared" si="1081"/>
        <v>TCGA-BLCA</v>
      </c>
      <c r="D12479" s="1" t="s">
        <v>493</v>
      </c>
      <c r="E12479" t="s">
        <v>504</v>
      </c>
      <c r="F12479" s="1">
        <v>2</v>
      </c>
      <c r="G12479" s="1" t="s">
        <v>514</v>
      </c>
      <c r="H12479" s="4" t="str">
        <f>HYPERLINK("https://portal.gdc.cancer.gov/cases/c8388ac0-975d-4f1e-8324-8cabdc75738d","TCGA-XF-AAME-01A")</f>
        <v>TCGA-XF-AAME-01A</v>
      </c>
      <c r="I12479" t="s">
        <v>506</v>
      </c>
      <c r="J12479" t="s">
        <v>507</v>
      </c>
      <c r="K12479" t="s">
        <v>19</v>
      </c>
      <c r="L12479" t="s">
        <v>508</v>
      </c>
      <c r="M12479" t="s">
        <v>499</v>
      </c>
      <c r="N12479" t="s">
        <v>29</v>
      </c>
    </row>
    <row r="12480" spans="1:14">
      <c r="A12480" s="4" t="str">
        <f t="shared" ref="A12480:A12498" si="1085">HYPERLINK("http://hcmdb.i-sanger.com/experiment/details/experiment_id/EXP00396","EXP00396")</f>
        <v>EXP00396</v>
      </c>
      <c r="B12480" s="3" t="s">
        <v>66</v>
      </c>
      <c r="C12480" s="4" t="str">
        <f t="shared" si="1081"/>
        <v>TCGA-BLCA</v>
      </c>
      <c r="D12480" s="1" t="s">
        <v>493</v>
      </c>
      <c r="E12480" t="s">
        <v>504</v>
      </c>
      <c r="F12480" s="1">
        <v>1</v>
      </c>
      <c r="G12480" s="1" t="s">
        <v>505</v>
      </c>
      <c r="H12480" s="4" t="str">
        <f>HYPERLINK("https://portal.gdc.cancer.gov/cases/3b464065-b2e9-4fb2-a7da-09e963fd43b3","TCGA-2F-A9KW-01A")</f>
        <v>TCGA-2F-A9KW-01A</v>
      </c>
      <c r="I12480" t="s">
        <v>506</v>
      </c>
      <c r="J12480" t="s">
        <v>507</v>
      </c>
      <c r="K12480" t="s">
        <v>19</v>
      </c>
      <c r="L12480" t="s">
        <v>508</v>
      </c>
      <c r="M12480" t="s">
        <v>50</v>
      </c>
      <c r="N12480" t="s">
        <v>29</v>
      </c>
    </row>
    <row r="12481" spans="1:14">
      <c r="A12481" s="4" t="str">
        <f t="shared" si="1085"/>
        <v>EXP00396</v>
      </c>
      <c r="B12481" s="3" t="s">
        <v>66</v>
      </c>
      <c r="C12481" s="4" t="str">
        <f t="shared" si="1081"/>
        <v>TCGA-BLCA</v>
      </c>
      <c r="D12481" s="1" t="s">
        <v>493</v>
      </c>
      <c r="E12481" t="s">
        <v>504</v>
      </c>
      <c r="F12481" s="1">
        <v>1</v>
      </c>
      <c r="G12481" s="1" t="s">
        <v>505</v>
      </c>
      <c r="H12481" s="4" t="str">
        <f>HYPERLINK("https://portal.gdc.cancer.gov/cases/32e79b35-a33a-4ca0-bfb7-7ea7e4e26568","TCGA-4Z-AA82-01A")</f>
        <v>TCGA-4Z-AA82-01A</v>
      </c>
      <c r="I12481" t="s">
        <v>506</v>
      </c>
      <c r="J12481" t="s">
        <v>507</v>
      </c>
      <c r="K12481" t="s">
        <v>19</v>
      </c>
      <c r="L12481" t="s">
        <v>508</v>
      </c>
      <c r="M12481" t="s">
        <v>50</v>
      </c>
      <c r="N12481" t="s">
        <v>29</v>
      </c>
    </row>
    <row r="12482" spans="1:14">
      <c r="A12482" s="4" t="str">
        <f t="shared" si="1085"/>
        <v>EXP00396</v>
      </c>
      <c r="B12482" s="3" t="s">
        <v>66</v>
      </c>
      <c r="C12482" s="4" t="str">
        <f t="shared" si="1081"/>
        <v>TCGA-BLCA</v>
      </c>
      <c r="D12482" s="1" t="s">
        <v>493</v>
      </c>
      <c r="E12482" t="s">
        <v>504</v>
      </c>
      <c r="F12482" s="1">
        <v>1</v>
      </c>
      <c r="G12482" s="1" t="s">
        <v>505</v>
      </c>
      <c r="H12482" s="4" t="str">
        <f>HYPERLINK("https://portal.gdc.cancer.gov/cases/cbe6c328-f7e1-44b2-b4e5-b495f46a7fb7","TCGA-DK-AA6L-01A")</f>
        <v>TCGA-DK-AA6L-01A</v>
      </c>
      <c r="I12482" t="s">
        <v>506</v>
      </c>
      <c r="J12482" t="s">
        <v>507</v>
      </c>
      <c r="K12482" t="s">
        <v>19</v>
      </c>
      <c r="L12482" t="s">
        <v>508</v>
      </c>
      <c r="M12482" t="s">
        <v>50</v>
      </c>
      <c r="N12482" t="s">
        <v>29</v>
      </c>
    </row>
    <row r="12483" spans="1:14">
      <c r="A12483" s="4" t="str">
        <f t="shared" si="1085"/>
        <v>EXP00396</v>
      </c>
      <c r="B12483" s="3" t="s">
        <v>66</v>
      </c>
      <c r="C12483" s="4" t="str">
        <f t="shared" si="1081"/>
        <v>TCGA-BLCA</v>
      </c>
      <c r="D12483" s="1" t="s">
        <v>493</v>
      </c>
      <c r="E12483" t="s">
        <v>504</v>
      </c>
      <c r="F12483" s="1">
        <v>1</v>
      </c>
      <c r="G12483" s="1" t="s">
        <v>505</v>
      </c>
      <c r="H12483" s="4" t="str">
        <f>HYPERLINK("https://portal.gdc.cancer.gov/cases/4e702ca1-c0e0-4b9c-b9c7-7d7946818561","TCGA-DK-AA6P-01A")</f>
        <v>TCGA-DK-AA6P-01A</v>
      </c>
      <c r="I12483" t="s">
        <v>506</v>
      </c>
      <c r="J12483" t="s">
        <v>507</v>
      </c>
      <c r="K12483" t="s">
        <v>19</v>
      </c>
      <c r="L12483" t="s">
        <v>508</v>
      </c>
      <c r="M12483" t="s">
        <v>50</v>
      </c>
      <c r="N12483" t="s">
        <v>29</v>
      </c>
    </row>
    <row r="12484" spans="1:14">
      <c r="A12484" s="4" t="str">
        <f t="shared" si="1085"/>
        <v>EXP00396</v>
      </c>
      <c r="B12484" s="3" t="s">
        <v>66</v>
      </c>
      <c r="C12484" s="4" t="str">
        <f t="shared" si="1081"/>
        <v>TCGA-BLCA</v>
      </c>
      <c r="D12484" s="1" t="s">
        <v>493</v>
      </c>
      <c r="E12484" t="s">
        <v>504</v>
      </c>
      <c r="F12484" s="1">
        <v>1</v>
      </c>
      <c r="G12484" s="1" t="s">
        <v>505</v>
      </c>
      <c r="H12484" s="4" t="str">
        <f>HYPERLINK("https://portal.gdc.cancer.gov/cases/cea28eac-4442-4436-b737-536e45b89989","TCGA-DK-AA75-01A")</f>
        <v>TCGA-DK-AA75-01A</v>
      </c>
      <c r="I12484" t="s">
        <v>506</v>
      </c>
      <c r="J12484" t="s">
        <v>507</v>
      </c>
      <c r="K12484" t="s">
        <v>19</v>
      </c>
      <c r="L12484" t="s">
        <v>508</v>
      </c>
      <c r="M12484" t="s">
        <v>50</v>
      </c>
      <c r="N12484" t="s">
        <v>29</v>
      </c>
    </row>
    <row r="12485" spans="1:14">
      <c r="A12485" s="4" t="str">
        <f t="shared" si="1085"/>
        <v>EXP00396</v>
      </c>
      <c r="B12485" s="3" t="s">
        <v>66</v>
      </c>
      <c r="C12485" s="4" t="str">
        <f t="shared" si="1081"/>
        <v>TCGA-BLCA</v>
      </c>
      <c r="D12485" s="1" t="s">
        <v>493</v>
      </c>
      <c r="E12485" t="s">
        <v>504</v>
      </c>
      <c r="F12485" s="1">
        <v>1</v>
      </c>
      <c r="G12485" s="1" t="s">
        <v>505</v>
      </c>
      <c r="H12485" s="4" t="str">
        <f>HYPERLINK("https://portal.gdc.cancer.gov/cases/1c28f311-e0b0-4292-b29a-c6757665a4a4","TCGA-E5-A4U1-01A")</f>
        <v>TCGA-E5-A4U1-01A</v>
      </c>
      <c r="I12485" t="s">
        <v>506</v>
      </c>
      <c r="J12485" t="s">
        <v>507</v>
      </c>
      <c r="K12485" t="s">
        <v>19</v>
      </c>
      <c r="L12485" t="s">
        <v>508</v>
      </c>
      <c r="M12485" t="s">
        <v>50</v>
      </c>
      <c r="N12485" t="s">
        <v>29</v>
      </c>
    </row>
    <row r="12486" spans="1:14">
      <c r="A12486" s="4" t="str">
        <f t="shared" si="1085"/>
        <v>EXP00396</v>
      </c>
      <c r="B12486" s="3" t="s">
        <v>66</v>
      </c>
      <c r="C12486" s="4" t="str">
        <f t="shared" si="1081"/>
        <v>TCGA-BLCA</v>
      </c>
      <c r="D12486" s="1" t="s">
        <v>493</v>
      </c>
      <c r="E12486" t="s">
        <v>504</v>
      </c>
      <c r="F12486" s="1">
        <v>1</v>
      </c>
      <c r="G12486" s="1" t="s">
        <v>505</v>
      </c>
      <c r="H12486" s="4" t="str">
        <f>HYPERLINK("https://portal.gdc.cancer.gov/cases/ac187cd1-a5ef-47da-88b2-1d4df27e0e76","TCGA-FD-A5BZ-01A")</f>
        <v>TCGA-FD-A5BZ-01A</v>
      </c>
      <c r="I12486" t="s">
        <v>506</v>
      </c>
      <c r="J12486" t="s">
        <v>507</v>
      </c>
      <c r="K12486" t="s">
        <v>19</v>
      </c>
      <c r="L12486" t="s">
        <v>508</v>
      </c>
      <c r="M12486" t="s">
        <v>50</v>
      </c>
      <c r="N12486" t="s">
        <v>29</v>
      </c>
    </row>
    <row r="12487" spans="1:14">
      <c r="A12487" s="4" t="str">
        <f t="shared" si="1085"/>
        <v>EXP00396</v>
      </c>
      <c r="B12487" s="3" t="s">
        <v>66</v>
      </c>
      <c r="C12487" s="4" t="str">
        <f t="shared" si="1081"/>
        <v>TCGA-BLCA</v>
      </c>
      <c r="D12487" s="1" t="s">
        <v>493</v>
      </c>
      <c r="E12487" t="s">
        <v>504</v>
      </c>
      <c r="F12487" s="1">
        <v>1</v>
      </c>
      <c r="G12487" s="1" t="s">
        <v>505</v>
      </c>
      <c r="H12487" s="4" t="str">
        <f>HYPERLINK("https://portal.gdc.cancer.gov/cases/03f588d6-832e-47d8-a9c4-af6640a1a635","TCGA-XF-A9SK-01A")</f>
        <v>TCGA-XF-A9SK-01A</v>
      </c>
      <c r="I12487" t="s">
        <v>506</v>
      </c>
      <c r="J12487" t="s">
        <v>507</v>
      </c>
      <c r="K12487" t="s">
        <v>19</v>
      </c>
      <c r="L12487" t="s">
        <v>508</v>
      </c>
      <c r="M12487" t="s">
        <v>50</v>
      </c>
      <c r="N12487" t="s">
        <v>29</v>
      </c>
    </row>
    <row r="12488" spans="1:14">
      <c r="A12488" s="4" t="str">
        <f t="shared" si="1085"/>
        <v>EXP00396</v>
      </c>
      <c r="B12488" s="3" t="s">
        <v>66</v>
      </c>
      <c r="C12488" s="4" t="str">
        <f t="shared" si="1081"/>
        <v>TCGA-BLCA</v>
      </c>
      <c r="D12488" s="1" t="s">
        <v>493</v>
      </c>
      <c r="E12488" t="s">
        <v>504</v>
      </c>
      <c r="F12488" s="1">
        <v>1</v>
      </c>
      <c r="G12488" s="1" t="s">
        <v>505</v>
      </c>
      <c r="H12488" s="4" t="str">
        <f>HYPERLINK("https://portal.gdc.cancer.gov/cases/585dfb25-5013-4ae1-a26b-5fed08e6cdb3","TCGA-ZF-AA4U-01A")</f>
        <v>TCGA-ZF-AA4U-01A</v>
      </c>
      <c r="I12488" t="s">
        <v>506</v>
      </c>
      <c r="J12488" t="s">
        <v>507</v>
      </c>
      <c r="K12488" t="s">
        <v>19</v>
      </c>
      <c r="L12488" t="s">
        <v>508</v>
      </c>
      <c r="M12488" t="s">
        <v>50</v>
      </c>
      <c r="N12488" t="s">
        <v>29</v>
      </c>
    </row>
    <row r="12489" spans="1:14">
      <c r="A12489" s="4" t="str">
        <f t="shared" si="1085"/>
        <v>EXP00396</v>
      </c>
      <c r="B12489" s="3" t="s">
        <v>66</v>
      </c>
      <c r="C12489" s="4" t="str">
        <f t="shared" si="1081"/>
        <v>TCGA-BLCA</v>
      </c>
      <c r="D12489" s="1" t="s">
        <v>493</v>
      </c>
      <c r="E12489" t="s">
        <v>504</v>
      </c>
      <c r="F12489" s="1">
        <v>2</v>
      </c>
      <c r="G12489" s="1" t="s">
        <v>515</v>
      </c>
      <c r="H12489" s="4" t="str">
        <f>HYPERLINK("https://portal.gdc.cancer.gov/cases/0fb043d3-d86b-4cd8-8c01-9e2b3e965bb0","TCGA-FD-A3SN-01A")</f>
        <v>TCGA-FD-A3SN-01A</v>
      </c>
      <c r="I12489" t="s">
        <v>506</v>
      </c>
      <c r="J12489" t="s">
        <v>507</v>
      </c>
      <c r="K12489" t="s">
        <v>19</v>
      </c>
      <c r="L12489" t="s">
        <v>508</v>
      </c>
      <c r="M12489" t="s">
        <v>41</v>
      </c>
      <c r="N12489" t="s">
        <v>29</v>
      </c>
    </row>
    <row r="12490" spans="1:14">
      <c r="A12490" s="4" t="str">
        <f t="shared" si="1085"/>
        <v>EXP00396</v>
      </c>
      <c r="B12490" s="3" t="s">
        <v>66</v>
      </c>
      <c r="C12490" s="4" t="str">
        <f t="shared" si="1081"/>
        <v>TCGA-BLCA</v>
      </c>
      <c r="D12490" s="1" t="s">
        <v>493</v>
      </c>
      <c r="E12490" t="s">
        <v>504</v>
      </c>
      <c r="F12490" s="1">
        <v>2</v>
      </c>
      <c r="G12490" s="1" t="s">
        <v>515</v>
      </c>
      <c r="H12490" s="4" t="str">
        <f>HYPERLINK("https://portal.gdc.cancer.gov/cases/f632bc31-3aa0-4783-b10b-818ecb26d40b","TCGA-GU-A763-01A")</f>
        <v>TCGA-GU-A763-01A</v>
      </c>
      <c r="I12490" t="s">
        <v>506</v>
      </c>
      <c r="J12490" t="s">
        <v>507</v>
      </c>
      <c r="K12490" t="s">
        <v>19</v>
      </c>
      <c r="L12490" t="s">
        <v>508</v>
      </c>
      <c r="M12490" t="s">
        <v>41</v>
      </c>
      <c r="N12490" t="s">
        <v>29</v>
      </c>
    </row>
    <row r="12491" spans="1:14">
      <c r="A12491" s="4" t="str">
        <f t="shared" si="1085"/>
        <v>EXP00396</v>
      </c>
      <c r="B12491" s="3" t="s">
        <v>66</v>
      </c>
      <c r="C12491" s="4" t="str">
        <f t="shared" si="1081"/>
        <v>TCGA-BLCA</v>
      </c>
      <c r="D12491" s="1" t="s">
        <v>493</v>
      </c>
      <c r="E12491" t="s">
        <v>504</v>
      </c>
      <c r="F12491" s="1">
        <v>2</v>
      </c>
      <c r="G12491" s="1" t="s">
        <v>515</v>
      </c>
      <c r="H12491" s="4" t="str">
        <f>HYPERLINK("https://portal.gdc.cancer.gov/cases/79f23a0e-5aae-4618-8191-7dd7c0552408","TCGA-GV-A3QG-01A")</f>
        <v>TCGA-GV-A3QG-01A</v>
      </c>
      <c r="I12491" t="s">
        <v>506</v>
      </c>
      <c r="J12491" t="s">
        <v>507</v>
      </c>
      <c r="K12491" t="s">
        <v>19</v>
      </c>
      <c r="L12491" t="s">
        <v>508</v>
      </c>
      <c r="M12491" t="s">
        <v>41</v>
      </c>
      <c r="N12491" t="s">
        <v>29</v>
      </c>
    </row>
    <row r="12492" spans="1:14">
      <c r="A12492" s="4" t="str">
        <f t="shared" si="1085"/>
        <v>EXP00396</v>
      </c>
      <c r="B12492" s="3" t="s">
        <v>66</v>
      </c>
      <c r="C12492" s="4" t="str">
        <f t="shared" si="1081"/>
        <v>TCGA-BLCA</v>
      </c>
      <c r="D12492" s="1" t="s">
        <v>493</v>
      </c>
      <c r="E12492" t="s">
        <v>504</v>
      </c>
      <c r="F12492" s="1">
        <v>2</v>
      </c>
      <c r="G12492" s="1" t="s">
        <v>515</v>
      </c>
      <c r="H12492" s="4" t="str">
        <f>HYPERLINK("https://portal.gdc.cancer.gov/cases/eeca58fe-b5cb-4d13-a93f-a5a2ca00b6e2","TCGA-K4-A5RH-01A")</f>
        <v>TCGA-K4-A5RH-01A</v>
      </c>
      <c r="I12492" t="s">
        <v>506</v>
      </c>
      <c r="J12492" t="s">
        <v>507</v>
      </c>
      <c r="K12492" t="s">
        <v>19</v>
      </c>
      <c r="L12492" t="s">
        <v>508</v>
      </c>
      <c r="M12492" t="s">
        <v>41</v>
      </c>
      <c r="N12492" t="s">
        <v>29</v>
      </c>
    </row>
    <row r="12493" spans="1:14">
      <c r="A12493" s="4" t="str">
        <f t="shared" si="1085"/>
        <v>EXP00396</v>
      </c>
      <c r="B12493" s="3" t="s">
        <v>66</v>
      </c>
      <c r="C12493" s="4" t="str">
        <f t="shared" si="1081"/>
        <v>TCGA-BLCA</v>
      </c>
      <c r="D12493" s="1" t="s">
        <v>493</v>
      </c>
      <c r="E12493" t="s">
        <v>504</v>
      </c>
      <c r="F12493" s="1">
        <v>2</v>
      </c>
      <c r="G12493" s="1" t="s">
        <v>515</v>
      </c>
      <c r="H12493" s="4" t="str">
        <f>HYPERLINK("https://portal.gdc.cancer.gov/cases/cdfd86db-15e2-4d38-a717-2207e8de2d8f","TCGA-XF-A9SV-01A")</f>
        <v>TCGA-XF-A9SV-01A</v>
      </c>
      <c r="I12493" t="s">
        <v>506</v>
      </c>
      <c r="J12493" t="s">
        <v>507</v>
      </c>
      <c r="K12493" t="s">
        <v>19</v>
      </c>
      <c r="L12493" t="s">
        <v>508</v>
      </c>
      <c r="M12493" t="s">
        <v>41</v>
      </c>
      <c r="N12493" t="s">
        <v>29</v>
      </c>
    </row>
    <row r="12494" spans="1:14">
      <c r="A12494" s="4" t="str">
        <f t="shared" si="1085"/>
        <v>EXP00396</v>
      </c>
      <c r="B12494" s="3" t="s">
        <v>66</v>
      </c>
      <c r="C12494" s="4" t="str">
        <f t="shared" si="1081"/>
        <v>TCGA-BLCA</v>
      </c>
      <c r="D12494" s="1" t="s">
        <v>493</v>
      </c>
      <c r="E12494" t="s">
        <v>504</v>
      </c>
      <c r="F12494" s="1">
        <v>2</v>
      </c>
      <c r="G12494" s="1" t="s">
        <v>515</v>
      </c>
      <c r="H12494" s="4" t="str">
        <f>HYPERLINK("https://portal.gdc.cancer.gov/cases/a648d9bf-cf37-41fc-9515-e8f5ac85fcd4","TCGA-XF-A9SX-01A")</f>
        <v>TCGA-XF-A9SX-01A</v>
      </c>
      <c r="I12494" t="s">
        <v>506</v>
      </c>
      <c r="J12494" t="s">
        <v>507</v>
      </c>
      <c r="K12494" t="s">
        <v>19</v>
      </c>
      <c r="L12494" t="s">
        <v>508</v>
      </c>
      <c r="M12494" t="s">
        <v>41</v>
      </c>
      <c r="N12494" t="s">
        <v>29</v>
      </c>
    </row>
    <row r="12495" spans="1:14">
      <c r="A12495" s="4" t="str">
        <f t="shared" si="1085"/>
        <v>EXP00396</v>
      </c>
      <c r="B12495" s="3" t="s">
        <v>66</v>
      </c>
      <c r="C12495" s="4" t="str">
        <f t="shared" si="1081"/>
        <v>TCGA-BLCA</v>
      </c>
      <c r="D12495" s="1" t="s">
        <v>493</v>
      </c>
      <c r="E12495" t="s">
        <v>504</v>
      </c>
      <c r="F12495" s="1">
        <v>2</v>
      </c>
      <c r="G12495" s="1" t="s">
        <v>515</v>
      </c>
      <c r="H12495" s="4" t="str">
        <f>HYPERLINK("https://portal.gdc.cancer.gov/cases/f9a03eaa-a228-429c-99c5-8e877379db0f","TCGA-XF-A9T4-01A")</f>
        <v>TCGA-XF-A9T4-01A</v>
      </c>
      <c r="I12495" t="s">
        <v>506</v>
      </c>
      <c r="J12495" t="s">
        <v>507</v>
      </c>
      <c r="K12495" t="s">
        <v>19</v>
      </c>
      <c r="L12495" t="s">
        <v>508</v>
      </c>
      <c r="M12495" t="s">
        <v>41</v>
      </c>
      <c r="N12495" t="s">
        <v>29</v>
      </c>
    </row>
    <row r="12496" spans="1:14">
      <c r="A12496" s="4" t="str">
        <f t="shared" si="1085"/>
        <v>EXP00396</v>
      </c>
      <c r="B12496" s="3" t="s">
        <v>66</v>
      </c>
      <c r="C12496" s="4" t="str">
        <f t="shared" si="1081"/>
        <v>TCGA-BLCA</v>
      </c>
      <c r="D12496" s="1" t="s">
        <v>493</v>
      </c>
      <c r="E12496" t="s">
        <v>504</v>
      </c>
      <c r="F12496" s="1">
        <v>2</v>
      </c>
      <c r="G12496" s="1" t="s">
        <v>515</v>
      </c>
      <c r="H12496" s="4" t="str">
        <f>HYPERLINK("https://portal.gdc.cancer.gov/cases/9d2b19eb-bd61-490e-982b-fadf2c4aadf7","TCGA-XF-AAMY-01A")</f>
        <v>TCGA-XF-AAMY-01A</v>
      </c>
      <c r="I12496" t="s">
        <v>506</v>
      </c>
      <c r="J12496" t="s">
        <v>507</v>
      </c>
      <c r="K12496" t="s">
        <v>19</v>
      </c>
      <c r="L12496" t="s">
        <v>508</v>
      </c>
      <c r="M12496" t="s">
        <v>41</v>
      </c>
      <c r="N12496" t="s">
        <v>29</v>
      </c>
    </row>
    <row r="12497" spans="1:14">
      <c r="A12497" s="4" t="str">
        <f t="shared" si="1085"/>
        <v>EXP00396</v>
      </c>
      <c r="B12497" s="3" t="s">
        <v>66</v>
      </c>
      <c r="C12497" s="4" t="str">
        <f t="shared" si="1081"/>
        <v>TCGA-BLCA</v>
      </c>
      <c r="D12497" s="1" t="s">
        <v>493</v>
      </c>
      <c r="E12497" t="s">
        <v>504</v>
      </c>
      <c r="F12497" s="1">
        <v>2</v>
      </c>
      <c r="G12497" s="1" t="s">
        <v>515</v>
      </c>
      <c r="H12497" s="4" t="str">
        <f>HYPERLINK("https://portal.gdc.cancer.gov/cases/73db40ce-2ba7-4a56-aef2-b78d2c744be1","TCGA-ZF-A9RN-01A")</f>
        <v>TCGA-ZF-A9RN-01A</v>
      </c>
      <c r="I12497" t="s">
        <v>506</v>
      </c>
      <c r="J12497" t="s">
        <v>507</v>
      </c>
      <c r="K12497" t="s">
        <v>19</v>
      </c>
      <c r="L12497" t="s">
        <v>508</v>
      </c>
      <c r="M12497" t="s">
        <v>41</v>
      </c>
      <c r="N12497" t="s">
        <v>29</v>
      </c>
    </row>
    <row r="12498" spans="1:14">
      <c r="A12498" s="4" t="str">
        <f t="shared" si="1085"/>
        <v>EXP00396</v>
      </c>
      <c r="B12498" s="3" t="s">
        <v>66</v>
      </c>
      <c r="C12498" s="4" t="str">
        <f t="shared" ref="C12498:C12561" si="1086">HYPERLINK("https://portal.gdc.cancer.gov/projects/TCGA-BLCA","TCGA-BLCA")</f>
        <v>TCGA-BLCA</v>
      </c>
      <c r="D12498" s="1" t="s">
        <v>493</v>
      </c>
      <c r="E12498" t="s">
        <v>504</v>
      </c>
      <c r="F12498" s="1">
        <v>2</v>
      </c>
      <c r="G12498" s="1" t="s">
        <v>515</v>
      </c>
      <c r="H12498" s="4" t="str">
        <f>HYPERLINK("https://portal.gdc.cancer.gov/cases/1859a4c5-78bc-4b1a-a26e-3d2b4cb221c2","TCGA-ZF-AA4T-01A")</f>
        <v>TCGA-ZF-AA4T-01A</v>
      </c>
      <c r="I12498" t="s">
        <v>506</v>
      </c>
      <c r="J12498" t="s">
        <v>507</v>
      </c>
      <c r="K12498" t="s">
        <v>19</v>
      </c>
      <c r="L12498" t="s">
        <v>508</v>
      </c>
      <c r="M12498" t="s">
        <v>41</v>
      </c>
      <c r="N12498" t="s">
        <v>29</v>
      </c>
    </row>
    <row r="12499" spans="1:14">
      <c r="A12499" s="4" t="str">
        <f t="shared" ref="A12499:A12502" si="1087">HYPERLINK("http://hcmdb.i-sanger.com/experiment/details/experiment_id/EXP00397","EXP00397")</f>
        <v>EXP00397</v>
      </c>
      <c r="B12499" s="3" t="s">
        <v>66</v>
      </c>
      <c r="C12499" s="4" t="str">
        <f t="shared" si="1086"/>
        <v>TCGA-BLCA</v>
      </c>
      <c r="D12499" s="1" t="s">
        <v>493</v>
      </c>
      <c r="E12499" t="s">
        <v>504</v>
      </c>
      <c r="F12499" s="1">
        <v>1</v>
      </c>
      <c r="G12499" s="1" t="s">
        <v>509</v>
      </c>
      <c r="H12499" s="4" t="str">
        <f>HYPERLINK("https://portal.gdc.cancer.gov/cases/40551d53-388b-4067-9341-76e94d023703","TCGA-DK-A3X2-01A")</f>
        <v>TCGA-DK-A3X2-01A</v>
      </c>
      <c r="I12499" t="s">
        <v>506</v>
      </c>
      <c r="J12499" t="s">
        <v>507</v>
      </c>
      <c r="K12499" t="s">
        <v>19</v>
      </c>
      <c r="L12499" t="s">
        <v>508</v>
      </c>
      <c r="M12499" t="s">
        <v>510</v>
      </c>
      <c r="N12499" t="s">
        <v>29</v>
      </c>
    </row>
    <row r="12500" spans="1:14">
      <c r="A12500" s="4" t="str">
        <f t="shared" si="1087"/>
        <v>EXP00397</v>
      </c>
      <c r="B12500" s="3" t="s">
        <v>66</v>
      </c>
      <c r="C12500" s="4" t="str">
        <f t="shared" si="1086"/>
        <v>TCGA-BLCA</v>
      </c>
      <c r="D12500" s="1" t="s">
        <v>493</v>
      </c>
      <c r="E12500" t="s">
        <v>504</v>
      </c>
      <c r="F12500" s="1">
        <v>1</v>
      </c>
      <c r="G12500" s="1" t="s">
        <v>509</v>
      </c>
      <c r="H12500" s="4" t="str">
        <f>HYPERLINK("https://portal.gdc.cancer.gov/cases/42bcf1a7-2f3a-4ed8-a41d-cdd67e65b928","TCGA-XF-A9SU-01A")</f>
        <v>TCGA-XF-A9SU-01A</v>
      </c>
      <c r="I12500" t="s">
        <v>506</v>
      </c>
      <c r="J12500" t="s">
        <v>507</v>
      </c>
      <c r="K12500" t="s">
        <v>19</v>
      </c>
      <c r="L12500" t="s">
        <v>508</v>
      </c>
      <c r="M12500" t="s">
        <v>510</v>
      </c>
      <c r="N12500" t="s">
        <v>29</v>
      </c>
    </row>
    <row r="12501" spans="1:14">
      <c r="A12501" s="4" t="str">
        <f t="shared" si="1087"/>
        <v>EXP00397</v>
      </c>
      <c r="B12501" s="3" t="s">
        <v>66</v>
      </c>
      <c r="C12501" s="4" t="str">
        <f t="shared" si="1086"/>
        <v>TCGA-BLCA</v>
      </c>
      <c r="D12501" s="1" t="s">
        <v>493</v>
      </c>
      <c r="E12501" t="s">
        <v>504</v>
      </c>
      <c r="F12501" s="1">
        <v>2</v>
      </c>
      <c r="G12501" s="1" t="s">
        <v>511</v>
      </c>
      <c r="H12501" s="4" t="str">
        <f>HYPERLINK("https://portal.gdc.cancer.gov/cases/f6d916b0-8e4c-49cb-a0d4-883908f3284f","TCGA-2F-A9KR-01A")</f>
        <v>TCGA-2F-A9KR-01A</v>
      </c>
      <c r="I12501" t="s">
        <v>506</v>
      </c>
      <c r="J12501" t="s">
        <v>507</v>
      </c>
      <c r="K12501" t="s">
        <v>19</v>
      </c>
      <c r="L12501" t="s">
        <v>508</v>
      </c>
      <c r="M12501" t="s">
        <v>512</v>
      </c>
      <c r="N12501" t="s">
        <v>29</v>
      </c>
    </row>
    <row r="12502" spans="1:14">
      <c r="A12502" s="4" t="str">
        <f t="shared" si="1087"/>
        <v>EXP00397</v>
      </c>
      <c r="B12502" s="3" t="s">
        <v>66</v>
      </c>
      <c r="C12502" s="4" t="str">
        <f t="shared" si="1086"/>
        <v>TCGA-BLCA</v>
      </c>
      <c r="D12502" s="1" t="s">
        <v>493</v>
      </c>
      <c r="E12502" t="s">
        <v>504</v>
      </c>
      <c r="F12502" s="1">
        <v>2</v>
      </c>
      <c r="G12502" s="1" t="s">
        <v>511</v>
      </c>
      <c r="H12502" s="4" t="str">
        <f>HYPERLINK("https://portal.gdc.cancer.gov/cases/d63c186d-add6-492e-8250-e83f46d39d00","TCGA-DK-A3WX-01A")</f>
        <v>TCGA-DK-A3WX-01A</v>
      </c>
      <c r="I12502" t="s">
        <v>506</v>
      </c>
      <c r="J12502" t="s">
        <v>507</v>
      </c>
      <c r="K12502" t="s">
        <v>19</v>
      </c>
      <c r="L12502" t="s">
        <v>508</v>
      </c>
      <c r="M12502" t="s">
        <v>512</v>
      </c>
      <c r="N12502" t="s">
        <v>29</v>
      </c>
    </row>
    <row r="12503" spans="1:14">
      <c r="A12503" s="4" t="str">
        <f t="shared" ref="A12503:A12508" si="1088">HYPERLINK("http://hcmdb.i-sanger.com/experiment/details/experiment_id/EXP00398","EXP00398")</f>
        <v>EXP00398</v>
      </c>
      <c r="B12503" s="3" t="s">
        <v>66</v>
      </c>
      <c r="C12503" s="4" t="str">
        <f t="shared" si="1086"/>
        <v>TCGA-BLCA</v>
      </c>
      <c r="D12503" s="1" t="s">
        <v>493</v>
      </c>
      <c r="E12503" t="s">
        <v>504</v>
      </c>
      <c r="F12503" s="1">
        <v>1</v>
      </c>
      <c r="G12503" s="1" t="s">
        <v>509</v>
      </c>
      <c r="H12503" s="4" t="str">
        <f>HYPERLINK("https://portal.gdc.cancer.gov/cases/40551d53-388b-4067-9341-76e94d023703","TCGA-DK-A3X2-01A")</f>
        <v>TCGA-DK-A3X2-01A</v>
      </c>
      <c r="I12503" t="s">
        <v>506</v>
      </c>
      <c r="J12503" t="s">
        <v>507</v>
      </c>
      <c r="K12503" t="s">
        <v>19</v>
      </c>
      <c r="L12503" t="s">
        <v>508</v>
      </c>
      <c r="M12503" t="s">
        <v>510</v>
      </c>
      <c r="N12503" t="s">
        <v>29</v>
      </c>
    </row>
    <row r="12504" spans="1:14">
      <c r="A12504" s="4" t="str">
        <f t="shared" si="1088"/>
        <v>EXP00398</v>
      </c>
      <c r="B12504" s="3" t="s">
        <v>66</v>
      </c>
      <c r="C12504" s="4" t="str">
        <f t="shared" si="1086"/>
        <v>TCGA-BLCA</v>
      </c>
      <c r="D12504" s="1" t="s">
        <v>493</v>
      </c>
      <c r="E12504" t="s">
        <v>504</v>
      </c>
      <c r="F12504" s="1">
        <v>1</v>
      </c>
      <c r="G12504" s="1" t="s">
        <v>509</v>
      </c>
      <c r="H12504" s="4" t="str">
        <f>HYPERLINK("https://portal.gdc.cancer.gov/cases/42bcf1a7-2f3a-4ed8-a41d-cdd67e65b928","TCGA-XF-A9SU-01A")</f>
        <v>TCGA-XF-A9SU-01A</v>
      </c>
      <c r="I12504" t="s">
        <v>506</v>
      </c>
      <c r="J12504" t="s">
        <v>507</v>
      </c>
      <c r="K12504" t="s">
        <v>19</v>
      </c>
      <c r="L12504" t="s">
        <v>508</v>
      </c>
      <c r="M12504" t="s">
        <v>510</v>
      </c>
      <c r="N12504" t="s">
        <v>29</v>
      </c>
    </row>
    <row r="12505" spans="1:14">
      <c r="A12505" s="4" t="str">
        <f t="shared" si="1088"/>
        <v>EXP00398</v>
      </c>
      <c r="B12505" s="3" t="s">
        <v>66</v>
      </c>
      <c r="C12505" s="4" t="str">
        <f t="shared" si="1086"/>
        <v>TCGA-BLCA</v>
      </c>
      <c r="D12505" s="1" t="s">
        <v>493</v>
      </c>
      <c r="E12505" t="s">
        <v>504</v>
      </c>
      <c r="F12505" s="1">
        <v>2</v>
      </c>
      <c r="G12505" s="1" t="s">
        <v>513</v>
      </c>
      <c r="H12505" s="4" t="str">
        <f>HYPERLINK("https://portal.gdc.cancer.gov/cases/60419f8c-92c2-4e8f-b2fa-a767d30c9d59","TCGA-DK-AA6Q-01A")</f>
        <v>TCGA-DK-AA6Q-01A</v>
      </c>
      <c r="I12505" t="s">
        <v>506</v>
      </c>
      <c r="J12505" t="s">
        <v>507</v>
      </c>
      <c r="K12505" t="s">
        <v>19</v>
      </c>
      <c r="L12505" t="s">
        <v>508</v>
      </c>
      <c r="M12505" t="s">
        <v>44</v>
      </c>
      <c r="N12505" t="s">
        <v>29</v>
      </c>
    </row>
    <row r="12506" spans="1:14">
      <c r="A12506" s="4" t="str">
        <f t="shared" si="1088"/>
        <v>EXP00398</v>
      </c>
      <c r="B12506" s="3" t="s">
        <v>66</v>
      </c>
      <c r="C12506" s="4" t="str">
        <f t="shared" si="1086"/>
        <v>TCGA-BLCA</v>
      </c>
      <c r="D12506" s="1" t="s">
        <v>493</v>
      </c>
      <c r="E12506" t="s">
        <v>504</v>
      </c>
      <c r="F12506" s="1">
        <v>2</v>
      </c>
      <c r="G12506" s="1" t="s">
        <v>513</v>
      </c>
      <c r="H12506" s="4" t="str">
        <f>HYPERLINK("https://portal.gdc.cancer.gov/cases/aa14ffb4-a715-4636-8251-73d019dddd8c","TCGA-K4-A83P-01A")</f>
        <v>TCGA-K4-A83P-01A</v>
      </c>
      <c r="I12506" t="s">
        <v>506</v>
      </c>
      <c r="J12506" t="s">
        <v>507</v>
      </c>
      <c r="K12506" t="s">
        <v>19</v>
      </c>
      <c r="L12506" t="s">
        <v>508</v>
      </c>
      <c r="M12506" t="s">
        <v>44</v>
      </c>
      <c r="N12506" t="s">
        <v>29</v>
      </c>
    </row>
    <row r="12507" spans="1:14">
      <c r="A12507" s="4" t="str">
        <f t="shared" si="1088"/>
        <v>EXP00398</v>
      </c>
      <c r="B12507" s="3" t="s">
        <v>66</v>
      </c>
      <c r="C12507" s="4" t="str">
        <f t="shared" si="1086"/>
        <v>TCGA-BLCA</v>
      </c>
      <c r="D12507" s="1" t="s">
        <v>493</v>
      </c>
      <c r="E12507" t="s">
        <v>504</v>
      </c>
      <c r="F12507" s="1">
        <v>2</v>
      </c>
      <c r="G12507" s="1" t="s">
        <v>513</v>
      </c>
      <c r="H12507" s="4" t="str">
        <f>HYPERLINK("https://portal.gdc.cancer.gov/cases/b9b61cf9-8711-4c3a-8511-659070cfe36b","TCGA-XF-A8HG-01A")</f>
        <v>TCGA-XF-A8HG-01A</v>
      </c>
      <c r="I12507" t="s">
        <v>506</v>
      </c>
      <c r="J12507" t="s">
        <v>507</v>
      </c>
      <c r="K12507" t="s">
        <v>19</v>
      </c>
      <c r="L12507" t="s">
        <v>508</v>
      </c>
      <c r="M12507" t="s">
        <v>44</v>
      </c>
      <c r="N12507" t="s">
        <v>29</v>
      </c>
    </row>
    <row r="12508" spans="1:14">
      <c r="A12508" s="4" t="str">
        <f t="shared" si="1088"/>
        <v>EXP00398</v>
      </c>
      <c r="B12508" s="3" t="s">
        <v>66</v>
      </c>
      <c r="C12508" s="4" t="str">
        <f t="shared" si="1086"/>
        <v>TCGA-BLCA</v>
      </c>
      <c r="D12508" s="1" t="s">
        <v>493</v>
      </c>
      <c r="E12508" t="s">
        <v>504</v>
      </c>
      <c r="F12508" s="1">
        <v>2</v>
      </c>
      <c r="G12508" s="1" t="s">
        <v>513</v>
      </c>
      <c r="H12508" s="4" t="str">
        <f>HYPERLINK("https://portal.gdc.cancer.gov/cases/eb30ae33-2076-475d-aac9-804a8f1119a0","TCGA-ZF-AA56-01A")</f>
        <v>TCGA-ZF-AA56-01A</v>
      </c>
      <c r="I12508" t="s">
        <v>506</v>
      </c>
      <c r="J12508" t="s">
        <v>507</v>
      </c>
      <c r="K12508" t="s">
        <v>19</v>
      </c>
      <c r="L12508" t="s">
        <v>508</v>
      </c>
      <c r="M12508" t="s">
        <v>44</v>
      </c>
      <c r="N12508" t="s">
        <v>29</v>
      </c>
    </row>
    <row r="12509" spans="1:14">
      <c r="A12509" s="4" t="str">
        <f t="shared" ref="A12509:A12512" si="1089">HYPERLINK("http://hcmdb.i-sanger.com/experiment/details/experiment_id/EXP00399","EXP00399")</f>
        <v>EXP00399</v>
      </c>
      <c r="B12509" s="3" t="s">
        <v>66</v>
      </c>
      <c r="C12509" s="4" t="str">
        <f t="shared" si="1086"/>
        <v>TCGA-BLCA</v>
      </c>
      <c r="D12509" s="1" t="s">
        <v>493</v>
      </c>
      <c r="E12509" t="s">
        <v>504</v>
      </c>
      <c r="F12509" s="1">
        <v>1</v>
      </c>
      <c r="G12509" s="1" t="s">
        <v>509</v>
      </c>
      <c r="H12509" s="4" t="str">
        <f>HYPERLINK("https://portal.gdc.cancer.gov/cases/40551d53-388b-4067-9341-76e94d023703","TCGA-DK-A3X2-01A")</f>
        <v>TCGA-DK-A3X2-01A</v>
      </c>
      <c r="I12509" t="s">
        <v>506</v>
      </c>
      <c r="J12509" t="s">
        <v>507</v>
      </c>
      <c r="K12509" t="s">
        <v>19</v>
      </c>
      <c r="L12509" t="s">
        <v>508</v>
      </c>
      <c r="M12509" t="s">
        <v>510</v>
      </c>
      <c r="N12509" t="s">
        <v>29</v>
      </c>
    </row>
    <row r="12510" spans="1:14">
      <c r="A12510" s="4" t="str">
        <f t="shared" si="1089"/>
        <v>EXP00399</v>
      </c>
      <c r="B12510" s="3" t="s">
        <v>66</v>
      </c>
      <c r="C12510" s="4" t="str">
        <f t="shared" si="1086"/>
        <v>TCGA-BLCA</v>
      </c>
      <c r="D12510" s="1" t="s">
        <v>493</v>
      </c>
      <c r="E12510" t="s">
        <v>504</v>
      </c>
      <c r="F12510" s="1">
        <v>1</v>
      </c>
      <c r="G12510" s="1" t="s">
        <v>509</v>
      </c>
      <c r="H12510" s="4" t="str">
        <f>HYPERLINK("https://portal.gdc.cancer.gov/cases/42bcf1a7-2f3a-4ed8-a41d-cdd67e65b928","TCGA-XF-A9SU-01A")</f>
        <v>TCGA-XF-A9SU-01A</v>
      </c>
      <c r="I12510" t="s">
        <v>506</v>
      </c>
      <c r="J12510" t="s">
        <v>507</v>
      </c>
      <c r="K12510" t="s">
        <v>19</v>
      </c>
      <c r="L12510" t="s">
        <v>508</v>
      </c>
      <c r="M12510" t="s">
        <v>510</v>
      </c>
      <c r="N12510" t="s">
        <v>29</v>
      </c>
    </row>
    <row r="12511" spans="1:14">
      <c r="A12511" s="4" t="str">
        <f t="shared" si="1089"/>
        <v>EXP00399</v>
      </c>
      <c r="B12511" s="3" t="s">
        <v>66</v>
      </c>
      <c r="C12511" s="4" t="str">
        <f t="shared" si="1086"/>
        <v>TCGA-BLCA</v>
      </c>
      <c r="D12511" s="1" t="s">
        <v>493</v>
      </c>
      <c r="E12511" t="s">
        <v>504</v>
      </c>
      <c r="F12511" s="1">
        <v>2</v>
      </c>
      <c r="G12511" s="1" t="s">
        <v>514</v>
      </c>
      <c r="H12511" s="4" t="str">
        <f>HYPERLINK("https://portal.gdc.cancer.gov/cases/dc321b92-7275-48c9-adeb-7670db3195ef","TCGA-XF-A9SZ-01A")</f>
        <v>TCGA-XF-A9SZ-01A</v>
      </c>
      <c r="I12511" t="s">
        <v>506</v>
      </c>
      <c r="J12511" t="s">
        <v>507</v>
      </c>
      <c r="K12511" t="s">
        <v>19</v>
      </c>
      <c r="L12511" t="s">
        <v>508</v>
      </c>
      <c r="M12511" t="s">
        <v>499</v>
      </c>
      <c r="N12511" t="s">
        <v>29</v>
      </c>
    </row>
    <row r="12512" spans="1:14">
      <c r="A12512" s="4" t="str">
        <f t="shared" si="1089"/>
        <v>EXP00399</v>
      </c>
      <c r="B12512" s="3" t="s">
        <v>66</v>
      </c>
      <c r="C12512" s="4" t="str">
        <f t="shared" si="1086"/>
        <v>TCGA-BLCA</v>
      </c>
      <c r="D12512" s="1" t="s">
        <v>493</v>
      </c>
      <c r="E12512" t="s">
        <v>504</v>
      </c>
      <c r="F12512" s="1">
        <v>2</v>
      </c>
      <c r="G12512" s="1" t="s">
        <v>514</v>
      </c>
      <c r="H12512" s="4" t="str">
        <f>HYPERLINK("https://portal.gdc.cancer.gov/cases/c8388ac0-975d-4f1e-8324-8cabdc75738d","TCGA-XF-AAME-01A")</f>
        <v>TCGA-XF-AAME-01A</v>
      </c>
      <c r="I12512" t="s">
        <v>506</v>
      </c>
      <c r="J12512" t="s">
        <v>507</v>
      </c>
      <c r="K12512" t="s">
        <v>19</v>
      </c>
      <c r="L12512" t="s">
        <v>508</v>
      </c>
      <c r="M12512" t="s">
        <v>499</v>
      </c>
      <c r="N12512" t="s">
        <v>29</v>
      </c>
    </row>
    <row r="12513" spans="1:14">
      <c r="A12513" s="4" t="str">
        <f t="shared" ref="A12513:A12524" si="1090">HYPERLINK("http://hcmdb.i-sanger.com/experiment/details/experiment_id/EXP00400","EXP00400")</f>
        <v>EXP00400</v>
      </c>
      <c r="B12513" s="3" t="s">
        <v>66</v>
      </c>
      <c r="C12513" s="4" t="str">
        <f t="shared" si="1086"/>
        <v>TCGA-BLCA</v>
      </c>
      <c r="D12513" s="1" t="s">
        <v>493</v>
      </c>
      <c r="E12513" t="s">
        <v>504</v>
      </c>
      <c r="F12513" s="1">
        <v>1</v>
      </c>
      <c r="G12513" s="1" t="s">
        <v>509</v>
      </c>
      <c r="H12513" s="4" t="str">
        <f>HYPERLINK("https://portal.gdc.cancer.gov/cases/40551d53-388b-4067-9341-76e94d023703","TCGA-DK-A3X2-01A")</f>
        <v>TCGA-DK-A3X2-01A</v>
      </c>
      <c r="I12513" t="s">
        <v>506</v>
      </c>
      <c r="J12513" t="s">
        <v>507</v>
      </c>
      <c r="K12513" t="s">
        <v>19</v>
      </c>
      <c r="L12513" t="s">
        <v>508</v>
      </c>
      <c r="M12513" t="s">
        <v>510</v>
      </c>
      <c r="N12513" t="s">
        <v>29</v>
      </c>
    </row>
    <row r="12514" spans="1:14">
      <c r="A12514" s="4" t="str">
        <f t="shared" si="1090"/>
        <v>EXP00400</v>
      </c>
      <c r="B12514" s="3" t="s">
        <v>66</v>
      </c>
      <c r="C12514" s="4" t="str">
        <f t="shared" si="1086"/>
        <v>TCGA-BLCA</v>
      </c>
      <c r="D12514" s="1" t="s">
        <v>493</v>
      </c>
      <c r="E12514" t="s">
        <v>504</v>
      </c>
      <c r="F12514" s="1">
        <v>1</v>
      </c>
      <c r="G12514" s="1" t="s">
        <v>509</v>
      </c>
      <c r="H12514" s="4" t="str">
        <f>HYPERLINK("https://portal.gdc.cancer.gov/cases/42bcf1a7-2f3a-4ed8-a41d-cdd67e65b928","TCGA-XF-A9SU-01A")</f>
        <v>TCGA-XF-A9SU-01A</v>
      </c>
      <c r="I12514" t="s">
        <v>506</v>
      </c>
      <c r="J12514" t="s">
        <v>507</v>
      </c>
      <c r="K12514" t="s">
        <v>19</v>
      </c>
      <c r="L12514" t="s">
        <v>508</v>
      </c>
      <c r="M12514" t="s">
        <v>510</v>
      </c>
      <c r="N12514" t="s">
        <v>29</v>
      </c>
    </row>
    <row r="12515" spans="1:14">
      <c r="A12515" s="4" t="str">
        <f t="shared" si="1090"/>
        <v>EXP00400</v>
      </c>
      <c r="B12515" s="3" t="s">
        <v>66</v>
      </c>
      <c r="C12515" s="4" t="str">
        <f t="shared" si="1086"/>
        <v>TCGA-BLCA</v>
      </c>
      <c r="D12515" s="1" t="s">
        <v>493</v>
      </c>
      <c r="E12515" t="s">
        <v>504</v>
      </c>
      <c r="F12515" s="1">
        <v>2</v>
      </c>
      <c r="G12515" s="1" t="s">
        <v>515</v>
      </c>
      <c r="H12515" s="4" t="str">
        <f>HYPERLINK("https://portal.gdc.cancer.gov/cases/0fb043d3-d86b-4cd8-8c01-9e2b3e965bb0","TCGA-FD-A3SN-01A")</f>
        <v>TCGA-FD-A3SN-01A</v>
      </c>
      <c r="I12515" t="s">
        <v>506</v>
      </c>
      <c r="J12515" t="s">
        <v>507</v>
      </c>
      <c r="K12515" t="s">
        <v>19</v>
      </c>
      <c r="L12515" t="s">
        <v>508</v>
      </c>
      <c r="M12515" t="s">
        <v>41</v>
      </c>
      <c r="N12515" t="s">
        <v>29</v>
      </c>
    </row>
    <row r="12516" spans="1:14">
      <c r="A12516" s="4" t="str">
        <f t="shared" si="1090"/>
        <v>EXP00400</v>
      </c>
      <c r="B12516" s="3" t="s">
        <v>66</v>
      </c>
      <c r="C12516" s="4" t="str">
        <f t="shared" si="1086"/>
        <v>TCGA-BLCA</v>
      </c>
      <c r="D12516" s="1" t="s">
        <v>493</v>
      </c>
      <c r="E12516" t="s">
        <v>504</v>
      </c>
      <c r="F12516" s="1">
        <v>2</v>
      </c>
      <c r="G12516" s="1" t="s">
        <v>515</v>
      </c>
      <c r="H12516" s="4" t="str">
        <f>HYPERLINK("https://portal.gdc.cancer.gov/cases/f632bc31-3aa0-4783-b10b-818ecb26d40b","TCGA-GU-A763-01A")</f>
        <v>TCGA-GU-A763-01A</v>
      </c>
      <c r="I12516" t="s">
        <v>506</v>
      </c>
      <c r="J12516" t="s">
        <v>507</v>
      </c>
      <c r="K12516" t="s">
        <v>19</v>
      </c>
      <c r="L12516" t="s">
        <v>508</v>
      </c>
      <c r="M12516" t="s">
        <v>41</v>
      </c>
      <c r="N12516" t="s">
        <v>29</v>
      </c>
    </row>
    <row r="12517" spans="1:14">
      <c r="A12517" s="4" t="str">
        <f t="shared" si="1090"/>
        <v>EXP00400</v>
      </c>
      <c r="B12517" s="3" t="s">
        <v>66</v>
      </c>
      <c r="C12517" s="4" t="str">
        <f t="shared" si="1086"/>
        <v>TCGA-BLCA</v>
      </c>
      <c r="D12517" s="1" t="s">
        <v>493</v>
      </c>
      <c r="E12517" t="s">
        <v>504</v>
      </c>
      <c r="F12517" s="1">
        <v>2</v>
      </c>
      <c r="G12517" s="1" t="s">
        <v>515</v>
      </c>
      <c r="H12517" s="4" t="str">
        <f>HYPERLINK("https://portal.gdc.cancer.gov/cases/79f23a0e-5aae-4618-8191-7dd7c0552408","TCGA-GV-A3QG-01A")</f>
        <v>TCGA-GV-A3QG-01A</v>
      </c>
      <c r="I12517" t="s">
        <v>506</v>
      </c>
      <c r="J12517" t="s">
        <v>507</v>
      </c>
      <c r="K12517" t="s">
        <v>19</v>
      </c>
      <c r="L12517" t="s">
        <v>508</v>
      </c>
      <c r="M12517" t="s">
        <v>41</v>
      </c>
      <c r="N12517" t="s">
        <v>29</v>
      </c>
    </row>
    <row r="12518" spans="1:14">
      <c r="A12518" s="4" t="str">
        <f t="shared" si="1090"/>
        <v>EXP00400</v>
      </c>
      <c r="B12518" s="3" t="s">
        <v>66</v>
      </c>
      <c r="C12518" s="4" t="str">
        <f t="shared" si="1086"/>
        <v>TCGA-BLCA</v>
      </c>
      <c r="D12518" s="1" t="s">
        <v>493</v>
      </c>
      <c r="E12518" t="s">
        <v>504</v>
      </c>
      <c r="F12518" s="1">
        <v>2</v>
      </c>
      <c r="G12518" s="1" t="s">
        <v>515</v>
      </c>
      <c r="H12518" s="4" t="str">
        <f>HYPERLINK("https://portal.gdc.cancer.gov/cases/eeca58fe-b5cb-4d13-a93f-a5a2ca00b6e2","TCGA-K4-A5RH-01A")</f>
        <v>TCGA-K4-A5RH-01A</v>
      </c>
      <c r="I12518" t="s">
        <v>506</v>
      </c>
      <c r="J12518" t="s">
        <v>507</v>
      </c>
      <c r="K12518" t="s">
        <v>19</v>
      </c>
      <c r="L12518" t="s">
        <v>508</v>
      </c>
      <c r="M12518" t="s">
        <v>41</v>
      </c>
      <c r="N12518" t="s">
        <v>29</v>
      </c>
    </row>
    <row r="12519" spans="1:14">
      <c r="A12519" s="4" t="str">
        <f t="shared" si="1090"/>
        <v>EXP00400</v>
      </c>
      <c r="B12519" s="3" t="s">
        <v>66</v>
      </c>
      <c r="C12519" s="4" t="str">
        <f t="shared" si="1086"/>
        <v>TCGA-BLCA</v>
      </c>
      <c r="D12519" s="1" t="s">
        <v>493</v>
      </c>
      <c r="E12519" t="s">
        <v>504</v>
      </c>
      <c r="F12519" s="1">
        <v>2</v>
      </c>
      <c r="G12519" s="1" t="s">
        <v>515</v>
      </c>
      <c r="H12519" s="4" t="str">
        <f>HYPERLINK("https://portal.gdc.cancer.gov/cases/cdfd86db-15e2-4d38-a717-2207e8de2d8f","TCGA-XF-A9SV-01A")</f>
        <v>TCGA-XF-A9SV-01A</v>
      </c>
      <c r="I12519" t="s">
        <v>506</v>
      </c>
      <c r="J12519" t="s">
        <v>507</v>
      </c>
      <c r="K12519" t="s">
        <v>19</v>
      </c>
      <c r="L12519" t="s">
        <v>508</v>
      </c>
      <c r="M12519" t="s">
        <v>41</v>
      </c>
      <c r="N12519" t="s">
        <v>29</v>
      </c>
    </row>
    <row r="12520" spans="1:14">
      <c r="A12520" s="4" t="str">
        <f t="shared" si="1090"/>
        <v>EXP00400</v>
      </c>
      <c r="B12520" s="3" t="s">
        <v>66</v>
      </c>
      <c r="C12520" s="4" t="str">
        <f t="shared" si="1086"/>
        <v>TCGA-BLCA</v>
      </c>
      <c r="D12520" s="1" t="s">
        <v>493</v>
      </c>
      <c r="E12520" t="s">
        <v>504</v>
      </c>
      <c r="F12520" s="1">
        <v>2</v>
      </c>
      <c r="G12520" s="1" t="s">
        <v>515</v>
      </c>
      <c r="H12520" s="4" t="str">
        <f>HYPERLINK("https://portal.gdc.cancer.gov/cases/a648d9bf-cf37-41fc-9515-e8f5ac85fcd4","TCGA-XF-A9SX-01A")</f>
        <v>TCGA-XF-A9SX-01A</v>
      </c>
      <c r="I12520" t="s">
        <v>506</v>
      </c>
      <c r="J12520" t="s">
        <v>507</v>
      </c>
      <c r="K12520" t="s">
        <v>19</v>
      </c>
      <c r="L12520" t="s">
        <v>508</v>
      </c>
      <c r="M12520" t="s">
        <v>41</v>
      </c>
      <c r="N12520" t="s">
        <v>29</v>
      </c>
    </row>
    <row r="12521" spans="1:14">
      <c r="A12521" s="4" t="str">
        <f t="shared" si="1090"/>
        <v>EXP00400</v>
      </c>
      <c r="B12521" s="3" t="s">
        <v>66</v>
      </c>
      <c r="C12521" s="4" t="str">
        <f t="shared" si="1086"/>
        <v>TCGA-BLCA</v>
      </c>
      <c r="D12521" s="1" t="s">
        <v>493</v>
      </c>
      <c r="E12521" t="s">
        <v>504</v>
      </c>
      <c r="F12521" s="1">
        <v>2</v>
      </c>
      <c r="G12521" s="1" t="s">
        <v>515</v>
      </c>
      <c r="H12521" s="4" t="str">
        <f>HYPERLINK("https://portal.gdc.cancer.gov/cases/f9a03eaa-a228-429c-99c5-8e877379db0f","TCGA-XF-A9T4-01A")</f>
        <v>TCGA-XF-A9T4-01A</v>
      </c>
      <c r="I12521" t="s">
        <v>506</v>
      </c>
      <c r="J12521" t="s">
        <v>507</v>
      </c>
      <c r="K12521" t="s">
        <v>19</v>
      </c>
      <c r="L12521" t="s">
        <v>508</v>
      </c>
      <c r="M12521" t="s">
        <v>41</v>
      </c>
      <c r="N12521" t="s">
        <v>29</v>
      </c>
    </row>
    <row r="12522" spans="1:14">
      <c r="A12522" s="4" t="str">
        <f t="shared" si="1090"/>
        <v>EXP00400</v>
      </c>
      <c r="B12522" s="3" t="s">
        <v>66</v>
      </c>
      <c r="C12522" s="4" t="str">
        <f t="shared" si="1086"/>
        <v>TCGA-BLCA</v>
      </c>
      <c r="D12522" s="1" t="s">
        <v>493</v>
      </c>
      <c r="E12522" t="s">
        <v>504</v>
      </c>
      <c r="F12522" s="1">
        <v>2</v>
      </c>
      <c r="G12522" s="1" t="s">
        <v>515</v>
      </c>
      <c r="H12522" s="4" t="str">
        <f>HYPERLINK("https://portal.gdc.cancer.gov/cases/9d2b19eb-bd61-490e-982b-fadf2c4aadf7","TCGA-XF-AAMY-01A")</f>
        <v>TCGA-XF-AAMY-01A</v>
      </c>
      <c r="I12522" t="s">
        <v>506</v>
      </c>
      <c r="J12522" t="s">
        <v>507</v>
      </c>
      <c r="K12522" t="s">
        <v>19</v>
      </c>
      <c r="L12522" t="s">
        <v>508</v>
      </c>
      <c r="M12522" t="s">
        <v>41</v>
      </c>
      <c r="N12522" t="s">
        <v>29</v>
      </c>
    </row>
    <row r="12523" spans="1:14">
      <c r="A12523" s="4" t="str">
        <f t="shared" si="1090"/>
        <v>EXP00400</v>
      </c>
      <c r="B12523" s="3" t="s">
        <v>66</v>
      </c>
      <c r="C12523" s="4" t="str">
        <f t="shared" si="1086"/>
        <v>TCGA-BLCA</v>
      </c>
      <c r="D12523" s="1" t="s">
        <v>493</v>
      </c>
      <c r="E12523" t="s">
        <v>504</v>
      </c>
      <c r="F12523" s="1">
        <v>2</v>
      </c>
      <c r="G12523" s="1" t="s">
        <v>515</v>
      </c>
      <c r="H12523" s="4" t="str">
        <f>HYPERLINK("https://portal.gdc.cancer.gov/cases/73db40ce-2ba7-4a56-aef2-b78d2c744be1","TCGA-ZF-A9RN-01A")</f>
        <v>TCGA-ZF-A9RN-01A</v>
      </c>
      <c r="I12523" t="s">
        <v>506</v>
      </c>
      <c r="J12523" t="s">
        <v>507</v>
      </c>
      <c r="K12523" t="s">
        <v>19</v>
      </c>
      <c r="L12523" t="s">
        <v>508</v>
      </c>
      <c r="M12523" t="s">
        <v>41</v>
      </c>
      <c r="N12523" t="s">
        <v>29</v>
      </c>
    </row>
    <row r="12524" spans="1:14">
      <c r="A12524" s="4" t="str">
        <f t="shared" si="1090"/>
        <v>EXP00400</v>
      </c>
      <c r="B12524" s="3" t="s">
        <v>66</v>
      </c>
      <c r="C12524" s="4" t="str">
        <f t="shared" si="1086"/>
        <v>TCGA-BLCA</v>
      </c>
      <c r="D12524" s="1" t="s">
        <v>493</v>
      </c>
      <c r="E12524" t="s">
        <v>504</v>
      </c>
      <c r="F12524" s="1">
        <v>2</v>
      </c>
      <c r="G12524" s="1" t="s">
        <v>515</v>
      </c>
      <c r="H12524" s="4" t="str">
        <f>HYPERLINK("https://portal.gdc.cancer.gov/cases/1859a4c5-78bc-4b1a-a26e-3d2b4cb221c2","TCGA-ZF-AA4T-01A")</f>
        <v>TCGA-ZF-AA4T-01A</v>
      </c>
      <c r="I12524" t="s">
        <v>506</v>
      </c>
      <c r="J12524" t="s">
        <v>507</v>
      </c>
      <c r="K12524" t="s">
        <v>19</v>
      </c>
      <c r="L12524" t="s">
        <v>508</v>
      </c>
      <c r="M12524" t="s">
        <v>41</v>
      </c>
      <c r="N12524" t="s">
        <v>29</v>
      </c>
    </row>
    <row r="12525" spans="1:14">
      <c r="A12525" s="4" t="str">
        <f t="shared" ref="A12525:A12530" si="1091">HYPERLINK("http://hcmdb.i-sanger.com/experiment/details/experiment_id/EXP00401","EXP00401")</f>
        <v>EXP00401</v>
      </c>
      <c r="B12525" s="3" t="s">
        <v>66</v>
      </c>
      <c r="C12525" s="4" t="str">
        <f t="shared" si="1086"/>
        <v>TCGA-BLCA</v>
      </c>
      <c r="D12525" s="1" t="s">
        <v>493</v>
      </c>
      <c r="E12525" t="s">
        <v>504</v>
      </c>
      <c r="F12525" s="1">
        <v>1</v>
      </c>
      <c r="G12525" s="1" t="s">
        <v>511</v>
      </c>
      <c r="H12525" s="4" t="str">
        <f>HYPERLINK("https://portal.gdc.cancer.gov/cases/f6d916b0-8e4c-49cb-a0d4-883908f3284f","TCGA-2F-A9KR-01A")</f>
        <v>TCGA-2F-A9KR-01A</v>
      </c>
      <c r="I12525" t="s">
        <v>506</v>
      </c>
      <c r="J12525" t="s">
        <v>507</v>
      </c>
      <c r="K12525" t="s">
        <v>19</v>
      </c>
      <c r="L12525" t="s">
        <v>508</v>
      </c>
      <c r="M12525" t="s">
        <v>512</v>
      </c>
      <c r="N12525" t="s">
        <v>29</v>
      </c>
    </row>
    <row r="12526" spans="1:14">
      <c r="A12526" s="4" t="str">
        <f t="shared" si="1091"/>
        <v>EXP00401</v>
      </c>
      <c r="B12526" s="3" t="s">
        <v>66</v>
      </c>
      <c r="C12526" s="4" t="str">
        <f t="shared" si="1086"/>
        <v>TCGA-BLCA</v>
      </c>
      <c r="D12526" s="1" t="s">
        <v>493</v>
      </c>
      <c r="E12526" t="s">
        <v>504</v>
      </c>
      <c r="F12526" s="1">
        <v>1</v>
      </c>
      <c r="G12526" s="1" t="s">
        <v>511</v>
      </c>
      <c r="H12526" s="4" t="str">
        <f>HYPERLINK("https://portal.gdc.cancer.gov/cases/d63c186d-add6-492e-8250-e83f46d39d00","TCGA-DK-A3WX-01A")</f>
        <v>TCGA-DK-A3WX-01A</v>
      </c>
      <c r="I12526" t="s">
        <v>506</v>
      </c>
      <c r="J12526" t="s">
        <v>507</v>
      </c>
      <c r="K12526" t="s">
        <v>19</v>
      </c>
      <c r="L12526" t="s">
        <v>508</v>
      </c>
      <c r="M12526" t="s">
        <v>512</v>
      </c>
      <c r="N12526" t="s">
        <v>29</v>
      </c>
    </row>
    <row r="12527" spans="1:14">
      <c r="A12527" s="4" t="str">
        <f t="shared" si="1091"/>
        <v>EXP00401</v>
      </c>
      <c r="B12527" s="3" t="s">
        <v>66</v>
      </c>
      <c r="C12527" s="4" t="str">
        <f t="shared" si="1086"/>
        <v>TCGA-BLCA</v>
      </c>
      <c r="D12527" s="1" t="s">
        <v>493</v>
      </c>
      <c r="E12527" t="s">
        <v>504</v>
      </c>
      <c r="F12527" s="1">
        <v>2</v>
      </c>
      <c r="G12527" s="1" t="s">
        <v>513</v>
      </c>
      <c r="H12527" s="4" t="str">
        <f>HYPERLINK("https://portal.gdc.cancer.gov/cases/60419f8c-92c2-4e8f-b2fa-a767d30c9d59","TCGA-DK-AA6Q-01A")</f>
        <v>TCGA-DK-AA6Q-01A</v>
      </c>
      <c r="I12527" t="s">
        <v>506</v>
      </c>
      <c r="J12527" t="s">
        <v>507</v>
      </c>
      <c r="K12527" t="s">
        <v>19</v>
      </c>
      <c r="L12527" t="s">
        <v>508</v>
      </c>
      <c r="M12527" t="s">
        <v>44</v>
      </c>
      <c r="N12527" t="s">
        <v>29</v>
      </c>
    </row>
    <row r="12528" spans="1:14">
      <c r="A12528" s="4" t="str">
        <f t="shared" si="1091"/>
        <v>EXP00401</v>
      </c>
      <c r="B12528" s="3" t="s">
        <v>66</v>
      </c>
      <c r="C12528" s="4" t="str">
        <f t="shared" si="1086"/>
        <v>TCGA-BLCA</v>
      </c>
      <c r="D12528" s="1" t="s">
        <v>493</v>
      </c>
      <c r="E12528" t="s">
        <v>504</v>
      </c>
      <c r="F12528" s="1">
        <v>2</v>
      </c>
      <c r="G12528" s="1" t="s">
        <v>513</v>
      </c>
      <c r="H12528" s="4" t="str">
        <f>HYPERLINK("https://portal.gdc.cancer.gov/cases/aa14ffb4-a715-4636-8251-73d019dddd8c","TCGA-K4-A83P-01A")</f>
        <v>TCGA-K4-A83P-01A</v>
      </c>
      <c r="I12528" t="s">
        <v>506</v>
      </c>
      <c r="J12528" t="s">
        <v>507</v>
      </c>
      <c r="K12528" t="s">
        <v>19</v>
      </c>
      <c r="L12528" t="s">
        <v>508</v>
      </c>
      <c r="M12528" t="s">
        <v>44</v>
      </c>
      <c r="N12528" t="s">
        <v>29</v>
      </c>
    </row>
    <row r="12529" spans="1:14">
      <c r="A12529" s="4" t="str">
        <f t="shared" si="1091"/>
        <v>EXP00401</v>
      </c>
      <c r="B12529" s="3" t="s">
        <v>66</v>
      </c>
      <c r="C12529" s="4" t="str">
        <f t="shared" si="1086"/>
        <v>TCGA-BLCA</v>
      </c>
      <c r="D12529" s="1" t="s">
        <v>493</v>
      </c>
      <c r="E12529" t="s">
        <v>504</v>
      </c>
      <c r="F12529" s="1">
        <v>2</v>
      </c>
      <c r="G12529" s="1" t="s">
        <v>513</v>
      </c>
      <c r="H12529" s="4" t="str">
        <f>HYPERLINK("https://portal.gdc.cancer.gov/cases/b9b61cf9-8711-4c3a-8511-659070cfe36b","TCGA-XF-A8HG-01A")</f>
        <v>TCGA-XF-A8HG-01A</v>
      </c>
      <c r="I12529" t="s">
        <v>506</v>
      </c>
      <c r="J12529" t="s">
        <v>507</v>
      </c>
      <c r="K12529" t="s">
        <v>19</v>
      </c>
      <c r="L12529" t="s">
        <v>508</v>
      </c>
      <c r="M12529" t="s">
        <v>44</v>
      </c>
      <c r="N12529" t="s">
        <v>29</v>
      </c>
    </row>
    <row r="12530" spans="1:14">
      <c r="A12530" s="4" t="str">
        <f t="shared" si="1091"/>
        <v>EXP00401</v>
      </c>
      <c r="B12530" s="3" t="s">
        <v>66</v>
      </c>
      <c r="C12530" s="4" t="str">
        <f t="shared" si="1086"/>
        <v>TCGA-BLCA</v>
      </c>
      <c r="D12530" s="1" t="s">
        <v>493</v>
      </c>
      <c r="E12530" t="s">
        <v>504</v>
      </c>
      <c r="F12530" s="1">
        <v>2</v>
      </c>
      <c r="G12530" s="1" t="s">
        <v>513</v>
      </c>
      <c r="H12530" s="4" t="str">
        <f>HYPERLINK("https://portal.gdc.cancer.gov/cases/eb30ae33-2076-475d-aac9-804a8f1119a0","TCGA-ZF-AA56-01A")</f>
        <v>TCGA-ZF-AA56-01A</v>
      </c>
      <c r="I12530" t="s">
        <v>506</v>
      </c>
      <c r="J12530" t="s">
        <v>507</v>
      </c>
      <c r="K12530" t="s">
        <v>19</v>
      </c>
      <c r="L12530" t="s">
        <v>508</v>
      </c>
      <c r="M12530" t="s">
        <v>44</v>
      </c>
      <c r="N12530" t="s">
        <v>29</v>
      </c>
    </row>
    <row r="12531" spans="1:14">
      <c r="A12531" s="4" t="str">
        <f t="shared" ref="A12531:A12534" si="1092">HYPERLINK("http://hcmdb.i-sanger.com/experiment/details/experiment_id/EXP00402","EXP00402")</f>
        <v>EXP00402</v>
      </c>
      <c r="B12531" s="3" t="s">
        <v>66</v>
      </c>
      <c r="C12531" s="4" t="str">
        <f t="shared" si="1086"/>
        <v>TCGA-BLCA</v>
      </c>
      <c r="D12531" s="1" t="s">
        <v>493</v>
      </c>
      <c r="E12531" t="s">
        <v>504</v>
      </c>
      <c r="F12531" s="1">
        <v>1</v>
      </c>
      <c r="G12531" s="1" t="s">
        <v>511</v>
      </c>
      <c r="H12531" s="4" t="str">
        <f>HYPERLINK("https://portal.gdc.cancer.gov/cases/f6d916b0-8e4c-49cb-a0d4-883908f3284f","TCGA-2F-A9KR-01A")</f>
        <v>TCGA-2F-A9KR-01A</v>
      </c>
      <c r="I12531" t="s">
        <v>506</v>
      </c>
      <c r="J12531" t="s">
        <v>507</v>
      </c>
      <c r="K12531" t="s">
        <v>19</v>
      </c>
      <c r="L12531" t="s">
        <v>508</v>
      </c>
      <c r="M12531" t="s">
        <v>512</v>
      </c>
      <c r="N12531" t="s">
        <v>29</v>
      </c>
    </row>
    <row r="12532" spans="1:14">
      <c r="A12532" s="4" t="str">
        <f t="shared" si="1092"/>
        <v>EXP00402</v>
      </c>
      <c r="B12532" s="3" t="s">
        <v>66</v>
      </c>
      <c r="C12532" s="4" t="str">
        <f t="shared" si="1086"/>
        <v>TCGA-BLCA</v>
      </c>
      <c r="D12532" s="1" t="s">
        <v>493</v>
      </c>
      <c r="E12532" t="s">
        <v>504</v>
      </c>
      <c r="F12532" s="1">
        <v>1</v>
      </c>
      <c r="G12532" s="1" t="s">
        <v>511</v>
      </c>
      <c r="H12532" s="4" t="str">
        <f>HYPERLINK("https://portal.gdc.cancer.gov/cases/d63c186d-add6-492e-8250-e83f46d39d00","TCGA-DK-A3WX-01A")</f>
        <v>TCGA-DK-A3WX-01A</v>
      </c>
      <c r="I12532" t="s">
        <v>506</v>
      </c>
      <c r="J12532" t="s">
        <v>507</v>
      </c>
      <c r="K12532" t="s">
        <v>19</v>
      </c>
      <c r="L12532" t="s">
        <v>508</v>
      </c>
      <c r="M12532" t="s">
        <v>512</v>
      </c>
      <c r="N12532" t="s">
        <v>29</v>
      </c>
    </row>
    <row r="12533" spans="1:14">
      <c r="A12533" s="4" t="str">
        <f t="shared" si="1092"/>
        <v>EXP00402</v>
      </c>
      <c r="B12533" s="3" t="s">
        <v>66</v>
      </c>
      <c r="C12533" s="4" t="str">
        <f t="shared" si="1086"/>
        <v>TCGA-BLCA</v>
      </c>
      <c r="D12533" s="1" t="s">
        <v>493</v>
      </c>
      <c r="E12533" t="s">
        <v>504</v>
      </c>
      <c r="F12533" s="1">
        <v>2</v>
      </c>
      <c r="G12533" s="1" t="s">
        <v>514</v>
      </c>
      <c r="H12533" s="4" t="str">
        <f>HYPERLINK("https://portal.gdc.cancer.gov/cases/dc321b92-7275-48c9-adeb-7670db3195ef","TCGA-XF-A9SZ-01A")</f>
        <v>TCGA-XF-A9SZ-01A</v>
      </c>
      <c r="I12533" t="s">
        <v>506</v>
      </c>
      <c r="J12533" t="s">
        <v>507</v>
      </c>
      <c r="K12533" t="s">
        <v>19</v>
      </c>
      <c r="L12533" t="s">
        <v>508</v>
      </c>
      <c r="M12533" t="s">
        <v>499</v>
      </c>
      <c r="N12533" t="s">
        <v>29</v>
      </c>
    </row>
    <row r="12534" spans="1:14">
      <c r="A12534" s="4" t="str">
        <f t="shared" si="1092"/>
        <v>EXP00402</v>
      </c>
      <c r="B12534" s="3" t="s">
        <v>66</v>
      </c>
      <c r="C12534" s="4" t="str">
        <f t="shared" si="1086"/>
        <v>TCGA-BLCA</v>
      </c>
      <c r="D12534" s="1" t="s">
        <v>493</v>
      </c>
      <c r="E12534" t="s">
        <v>504</v>
      </c>
      <c r="F12534" s="1">
        <v>2</v>
      </c>
      <c r="G12534" s="1" t="s">
        <v>514</v>
      </c>
      <c r="H12534" s="4" t="str">
        <f>HYPERLINK("https://portal.gdc.cancer.gov/cases/c8388ac0-975d-4f1e-8324-8cabdc75738d","TCGA-XF-AAME-01A")</f>
        <v>TCGA-XF-AAME-01A</v>
      </c>
      <c r="I12534" t="s">
        <v>506</v>
      </c>
      <c r="J12534" t="s">
        <v>507</v>
      </c>
      <c r="K12534" t="s">
        <v>19</v>
      </c>
      <c r="L12534" t="s">
        <v>508</v>
      </c>
      <c r="M12534" t="s">
        <v>499</v>
      </c>
      <c r="N12534" t="s">
        <v>29</v>
      </c>
    </row>
    <row r="12535" spans="1:14">
      <c r="A12535" s="4" t="str">
        <f t="shared" ref="A12535:A12546" si="1093">HYPERLINK("http://hcmdb.i-sanger.com/experiment/details/experiment_id/EXP00403","EXP00403")</f>
        <v>EXP00403</v>
      </c>
      <c r="B12535" s="3" t="s">
        <v>66</v>
      </c>
      <c r="C12535" s="4" t="str">
        <f t="shared" si="1086"/>
        <v>TCGA-BLCA</v>
      </c>
      <c r="D12535" s="1" t="s">
        <v>493</v>
      </c>
      <c r="E12535" t="s">
        <v>504</v>
      </c>
      <c r="F12535" s="1">
        <v>1</v>
      </c>
      <c r="G12535" s="1" t="s">
        <v>511</v>
      </c>
      <c r="H12535" s="4" t="str">
        <f>HYPERLINK("https://portal.gdc.cancer.gov/cases/f6d916b0-8e4c-49cb-a0d4-883908f3284f","TCGA-2F-A9KR-01A")</f>
        <v>TCGA-2F-A9KR-01A</v>
      </c>
      <c r="I12535" t="s">
        <v>506</v>
      </c>
      <c r="J12535" t="s">
        <v>507</v>
      </c>
      <c r="K12535" t="s">
        <v>19</v>
      </c>
      <c r="L12535" t="s">
        <v>508</v>
      </c>
      <c r="M12535" t="s">
        <v>512</v>
      </c>
      <c r="N12535" t="s">
        <v>29</v>
      </c>
    </row>
    <row r="12536" spans="1:14">
      <c r="A12536" s="4" t="str">
        <f t="shared" si="1093"/>
        <v>EXP00403</v>
      </c>
      <c r="B12536" s="3" t="s">
        <v>66</v>
      </c>
      <c r="C12536" s="4" t="str">
        <f t="shared" si="1086"/>
        <v>TCGA-BLCA</v>
      </c>
      <c r="D12536" s="1" t="s">
        <v>493</v>
      </c>
      <c r="E12536" t="s">
        <v>504</v>
      </c>
      <c r="F12536" s="1">
        <v>1</v>
      </c>
      <c r="G12536" s="1" t="s">
        <v>511</v>
      </c>
      <c r="H12536" s="4" t="str">
        <f>HYPERLINK("https://portal.gdc.cancer.gov/cases/d63c186d-add6-492e-8250-e83f46d39d00","TCGA-DK-A3WX-01A")</f>
        <v>TCGA-DK-A3WX-01A</v>
      </c>
      <c r="I12536" t="s">
        <v>506</v>
      </c>
      <c r="J12536" t="s">
        <v>507</v>
      </c>
      <c r="K12536" t="s">
        <v>19</v>
      </c>
      <c r="L12536" t="s">
        <v>508</v>
      </c>
      <c r="M12536" t="s">
        <v>512</v>
      </c>
      <c r="N12536" t="s">
        <v>29</v>
      </c>
    </row>
    <row r="12537" spans="1:14">
      <c r="A12537" s="4" t="str">
        <f t="shared" si="1093"/>
        <v>EXP00403</v>
      </c>
      <c r="B12537" s="3" t="s">
        <v>66</v>
      </c>
      <c r="C12537" s="4" t="str">
        <f t="shared" si="1086"/>
        <v>TCGA-BLCA</v>
      </c>
      <c r="D12537" s="1" t="s">
        <v>493</v>
      </c>
      <c r="E12537" t="s">
        <v>504</v>
      </c>
      <c r="F12537" s="1">
        <v>2</v>
      </c>
      <c r="G12537" s="1" t="s">
        <v>515</v>
      </c>
      <c r="H12537" s="4" t="str">
        <f>HYPERLINK("https://portal.gdc.cancer.gov/cases/0fb043d3-d86b-4cd8-8c01-9e2b3e965bb0","TCGA-FD-A3SN-01A")</f>
        <v>TCGA-FD-A3SN-01A</v>
      </c>
      <c r="I12537" t="s">
        <v>506</v>
      </c>
      <c r="J12537" t="s">
        <v>507</v>
      </c>
      <c r="K12537" t="s">
        <v>19</v>
      </c>
      <c r="L12537" t="s">
        <v>508</v>
      </c>
      <c r="M12537" t="s">
        <v>41</v>
      </c>
      <c r="N12537" t="s">
        <v>29</v>
      </c>
    </row>
    <row r="12538" spans="1:14">
      <c r="A12538" s="4" t="str">
        <f t="shared" si="1093"/>
        <v>EXP00403</v>
      </c>
      <c r="B12538" s="3" t="s">
        <v>66</v>
      </c>
      <c r="C12538" s="4" t="str">
        <f t="shared" si="1086"/>
        <v>TCGA-BLCA</v>
      </c>
      <c r="D12538" s="1" t="s">
        <v>493</v>
      </c>
      <c r="E12538" t="s">
        <v>504</v>
      </c>
      <c r="F12538" s="1">
        <v>2</v>
      </c>
      <c r="G12538" s="1" t="s">
        <v>515</v>
      </c>
      <c r="H12538" s="4" t="str">
        <f>HYPERLINK("https://portal.gdc.cancer.gov/cases/f632bc31-3aa0-4783-b10b-818ecb26d40b","TCGA-GU-A763-01A")</f>
        <v>TCGA-GU-A763-01A</v>
      </c>
      <c r="I12538" t="s">
        <v>506</v>
      </c>
      <c r="J12538" t="s">
        <v>507</v>
      </c>
      <c r="K12538" t="s">
        <v>19</v>
      </c>
      <c r="L12538" t="s">
        <v>508</v>
      </c>
      <c r="M12538" t="s">
        <v>41</v>
      </c>
      <c r="N12538" t="s">
        <v>29</v>
      </c>
    </row>
    <row r="12539" spans="1:14">
      <c r="A12539" s="4" t="str">
        <f t="shared" si="1093"/>
        <v>EXP00403</v>
      </c>
      <c r="B12539" s="3" t="s">
        <v>66</v>
      </c>
      <c r="C12539" s="4" t="str">
        <f t="shared" si="1086"/>
        <v>TCGA-BLCA</v>
      </c>
      <c r="D12539" s="1" t="s">
        <v>493</v>
      </c>
      <c r="E12539" t="s">
        <v>504</v>
      </c>
      <c r="F12539" s="1">
        <v>2</v>
      </c>
      <c r="G12539" s="1" t="s">
        <v>515</v>
      </c>
      <c r="H12539" s="4" t="str">
        <f>HYPERLINK("https://portal.gdc.cancer.gov/cases/79f23a0e-5aae-4618-8191-7dd7c0552408","TCGA-GV-A3QG-01A")</f>
        <v>TCGA-GV-A3QG-01A</v>
      </c>
      <c r="I12539" t="s">
        <v>506</v>
      </c>
      <c r="J12539" t="s">
        <v>507</v>
      </c>
      <c r="K12539" t="s">
        <v>19</v>
      </c>
      <c r="L12539" t="s">
        <v>508</v>
      </c>
      <c r="M12539" t="s">
        <v>41</v>
      </c>
      <c r="N12539" t="s">
        <v>29</v>
      </c>
    </row>
    <row r="12540" spans="1:14">
      <c r="A12540" s="4" t="str">
        <f t="shared" si="1093"/>
        <v>EXP00403</v>
      </c>
      <c r="B12540" s="3" t="s">
        <v>66</v>
      </c>
      <c r="C12540" s="4" t="str">
        <f t="shared" si="1086"/>
        <v>TCGA-BLCA</v>
      </c>
      <c r="D12540" s="1" t="s">
        <v>493</v>
      </c>
      <c r="E12540" t="s">
        <v>504</v>
      </c>
      <c r="F12540" s="1">
        <v>2</v>
      </c>
      <c r="G12540" s="1" t="s">
        <v>515</v>
      </c>
      <c r="H12540" s="4" t="str">
        <f>HYPERLINK("https://portal.gdc.cancer.gov/cases/eeca58fe-b5cb-4d13-a93f-a5a2ca00b6e2","TCGA-K4-A5RH-01A")</f>
        <v>TCGA-K4-A5RH-01A</v>
      </c>
      <c r="I12540" t="s">
        <v>506</v>
      </c>
      <c r="J12540" t="s">
        <v>507</v>
      </c>
      <c r="K12540" t="s">
        <v>19</v>
      </c>
      <c r="L12540" t="s">
        <v>508</v>
      </c>
      <c r="M12540" t="s">
        <v>41</v>
      </c>
      <c r="N12540" t="s">
        <v>29</v>
      </c>
    </row>
    <row r="12541" spans="1:14">
      <c r="A12541" s="4" t="str">
        <f t="shared" si="1093"/>
        <v>EXP00403</v>
      </c>
      <c r="B12541" s="3" t="s">
        <v>66</v>
      </c>
      <c r="C12541" s="4" t="str">
        <f t="shared" si="1086"/>
        <v>TCGA-BLCA</v>
      </c>
      <c r="D12541" s="1" t="s">
        <v>493</v>
      </c>
      <c r="E12541" t="s">
        <v>504</v>
      </c>
      <c r="F12541" s="1">
        <v>2</v>
      </c>
      <c r="G12541" s="1" t="s">
        <v>515</v>
      </c>
      <c r="H12541" s="4" t="str">
        <f>HYPERLINK("https://portal.gdc.cancer.gov/cases/cdfd86db-15e2-4d38-a717-2207e8de2d8f","TCGA-XF-A9SV-01A")</f>
        <v>TCGA-XF-A9SV-01A</v>
      </c>
      <c r="I12541" t="s">
        <v>506</v>
      </c>
      <c r="J12541" t="s">
        <v>507</v>
      </c>
      <c r="K12541" t="s">
        <v>19</v>
      </c>
      <c r="L12541" t="s">
        <v>508</v>
      </c>
      <c r="M12541" t="s">
        <v>41</v>
      </c>
      <c r="N12541" t="s">
        <v>29</v>
      </c>
    </row>
    <row r="12542" spans="1:14">
      <c r="A12542" s="4" t="str">
        <f t="shared" si="1093"/>
        <v>EXP00403</v>
      </c>
      <c r="B12542" s="3" t="s">
        <v>66</v>
      </c>
      <c r="C12542" s="4" t="str">
        <f t="shared" si="1086"/>
        <v>TCGA-BLCA</v>
      </c>
      <c r="D12542" s="1" t="s">
        <v>493</v>
      </c>
      <c r="E12542" t="s">
        <v>504</v>
      </c>
      <c r="F12542" s="1">
        <v>2</v>
      </c>
      <c r="G12542" s="1" t="s">
        <v>515</v>
      </c>
      <c r="H12542" s="4" t="str">
        <f>HYPERLINK("https://portal.gdc.cancer.gov/cases/a648d9bf-cf37-41fc-9515-e8f5ac85fcd4","TCGA-XF-A9SX-01A")</f>
        <v>TCGA-XF-A9SX-01A</v>
      </c>
      <c r="I12542" t="s">
        <v>506</v>
      </c>
      <c r="J12542" t="s">
        <v>507</v>
      </c>
      <c r="K12542" t="s">
        <v>19</v>
      </c>
      <c r="L12542" t="s">
        <v>508</v>
      </c>
      <c r="M12542" t="s">
        <v>41</v>
      </c>
      <c r="N12542" t="s">
        <v>29</v>
      </c>
    </row>
    <row r="12543" spans="1:14">
      <c r="A12543" s="4" t="str">
        <f t="shared" si="1093"/>
        <v>EXP00403</v>
      </c>
      <c r="B12543" s="3" t="s">
        <v>66</v>
      </c>
      <c r="C12543" s="4" t="str">
        <f t="shared" si="1086"/>
        <v>TCGA-BLCA</v>
      </c>
      <c r="D12543" s="1" t="s">
        <v>493</v>
      </c>
      <c r="E12543" t="s">
        <v>504</v>
      </c>
      <c r="F12543" s="1">
        <v>2</v>
      </c>
      <c r="G12543" s="1" t="s">
        <v>515</v>
      </c>
      <c r="H12543" s="4" t="str">
        <f>HYPERLINK("https://portal.gdc.cancer.gov/cases/f9a03eaa-a228-429c-99c5-8e877379db0f","TCGA-XF-A9T4-01A")</f>
        <v>TCGA-XF-A9T4-01A</v>
      </c>
      <c r="I12543" t="s">
        <v>506</v>
      </c>
      <c r="J12543" t="s">
        <v>507</v>
      </c>
      <c r="K12543" t="s">
        <v>19</v>
      </c>
      <c r="L12543" t="s">
        <v>508</v>
      </c>
      <c r="M12543" t="s">
        <v>41</v>
      </c>
      <c r="N12543" t="s">
        <v>29</v>
      </c>
    </row>
    <row r="12544" spans="1:14">
      <c r="A12544" s="4" t="str">
        <f t="shared" si="1093"/>
        <v>EXP00403</v>
      </c>
      <c r="B12544" s="3" t="s">
        <v>66</v>
      </c>
      <c r="C12544" s="4" t="str">
        <f t="shared" si="1086"/>
        <v>TCGA-BLCA</v>
      </c>
      <c r="D12544" s="1" t="s">
        <v>493</v>
      </c>
      <c r="E12544" t="s">
        <v>504</v>
      </c>
      <c r="F12544" s="1">
        <v>2</v>
      </c>
      <c r="G12544" s="1" t="s">
        <v>515</v>
      </c>
      <c r="H12544" s="4" t="str">
        <f>HYPERLINK("https://portal.gdc.cancer.gov/cases/9d2b19eb-bd61-490e-982b-fadf2c4aadf7","TCGA-XF-AAMY-01A")</f>
        <v>TCGA-XF-AAMY-01A</v>
      </c>
      <c r="I12544" t="s">
        <v>506</v>
      </c>
      <c r="J12544" t="s">
        <v>507</v>
      </c>
      <c r="K12544" t="s">
        <v>19</v>
      </c>
      <c r="L12544" t="s">
        <v>508</v>
      </c>
      <c r="M12544" t="s">
        <v>41</v>
      </c>
      <c r="N12544" t="s">
        <v>29</v>
      </c>
    </row>
    <row r="12545" spans="1:14">
      <c r="A12545" s="4" t="str">
        <f t="shared" si="1093"/>
        <v>EXP00403</v>
      </c>
      <c r="B12545" s="3" t="s">
        <v>66</v>
      </c>
      <c r="C12545" s="4" t="str">
        <f t="shared" si="1086"/>
        <v>TCGA-BLCA</v>
      </c>
      <c r="D12545" s="1" t="s">
        <v>493</v>
      </c>
      <c r="E12545" t="s">
        <v>504</v>
      </c>
      <c r="F12545" s="1">
        <v>2</v>
      </c>
      <c r="G12545" s="1" t="s">
        <v>515</v>
      </c>
      <c r="H12545" s="4" t="str">
        <f>HYPERLINK("https://portal.gdc.cancer.gov/cases/73db40ce-2ba7-4a56-aef2-b78d2c744be1","TCGA-ZF-A9RN-01A")</f>
        <v>TCGA-ZF-A9RN-01A</v>
      </c>
      <c r="I12545" t="s">
        <v>506</v>
      </c>
      <c r="J12545" t="s">
        <v>507</v>
      </c>
      <c r="K12545" t="s">
        <v>19</v>
      </c>
      <c r="L12545" t="s">
        <v>508</v>
      </c>
      <c r="M12545" t="s">
        <v>41</v>
      </c>
      <c r="N12545" t="s">
        <v>29</v>
      </c>
    </row>
    <row r="12546" spans="1:14">
      <c r="A12546" s="4" t="str">
        <f t="shared" si="1093"/>
        <v>EXP00403</v>
      </c>
      <c r="B12546" s="3" t="s">
        <v>66</v>
      </c>
      <c r="C12546" s="4" t="str">
        <f t="shared" si="1086"/>
        <v>TCGA-BLCA</v>
      </c>
      <c r="D12546" s="1" t="s">
        <v>493</v>
      </c>
      <c r="E12546" t="s">
        <v>504</v>
      </c>
      <c r="F12546" s="1">
        <v>2</v>
      </c>
      <c r="G12546" s="1" t="s">
        <v>515</v>
      </c>
      <c r="H12546" s="4" t="str">
        <f>HYPERLINK("https://portal.gdc.cancer.gov/cases/1859a4c5-78bc-4b1a-a26e-3d2b4cb221c2","TCGA-ZF-AA4T-01A")</f>
        <v>TCGA-ZF-AA4T-01A</v>
      </c>
      <c r="I12546" t="s">
        <v>506</v>
      </c>
      <c r="J12546" t="s">
        <v>507</v>
      </c>
      <c r="K12546" t="s">
        <v>19</v>
      </c>
      <c r="L12546" t="s">
        <v>508</v>
      </c>
      <c r="M12546" t="s">
        <v>41</v>
      </c>
      <c r="N12546" t="s">
        <v>29</v>
      </c>
    </row>
    <row r="12547" spans="1:14">
      <c r="A12547" s="4" t="str">
        <f t="shared" ref="A12547:A12552" si="1094">HYPERLINK("http://hcmdb.i-sanger.com/experiment/details/experiment_id/EXP00404","EXP00404")</f>
        <v>EXP00404</v>
      </c>
      <c r="B12547" s="3" t="s">
        <v>66</v>
      </c>
      <c r="C12547" s="4" t="str">
        <f t="shared" si="1086"/>
        <v>TCGA-BLCA</v>
      </c>
      <c r="D12547" s="1" t="s">
        <v>493</v>
      </c>
      <c r="E12547" t="s">
        <v>504</v>
      </c>
      <c r="F12547" s="1">
        <v>1</v>
      </c>
      <c r="G12547" s="1" t="s">
        <v>513</v>
      </c>
      <c r="H12547" s="4" t="str">
        <f>HYPERLINK("https://portal.gdc.cancer.gov/cases/60419f8c-92c2-4e8f-b2fa-a767d30c9d59","TCGA-DK-AA6Q-01A")</f>
        <v>TCGA-DK-AA6Q-01A</v>
      </c>
      <c r="I12547" t="s">
        <v>506</v>
      </c>
      <c r="J12547" t="s">
        <v>507</v>
      </c>
      <c r="K12547" t="s">
        <v>19</v>
      </c>
      <c r="L12547" t="s">
        <v>508</v>
      </c>
      <c r="M12547" t="s">
        <v>44</v>
      </c>
      <c r="N12547" t="s">
        <v>29</v>
      </c>
    </row>
    <row r="12548" spans="1:14">
      <c r="A12548" s="4" t="str">
        <f t="shared" si="1094"/>
        <v>EXP00404</v>
      </c>
      <c r="B12548" s="3" t="s">
        <v>66</v>
      </c>
      <c r="C12548" s="4" t="str">
        <f t="shared" si="1086"/>
        <v>TCGA-BLCA</v>
      </c>
      <c r="D12548" s="1" t="s">
        <v>493</v>
      </c>
      <c r="E12548" t="s">
        <v>504</v>
      </c>
      <c r="F12548" s="1">
        <v>1</v>
      </c>
      <c r="G12548" s="1" t="s">
        <v>513</v>
      </c>
      <c r="H12548" s="4" t="str">
        <f>HYPERLINK("https://portal.gdc.cancer.gov/cases/aa14ffb4-a715-4636-8251-73d019dddd8c","TCGA-K4-A83P-01A")</f>
        <v>TCGA-K4-A83P-01A</v>
      </c>
      <c r="I12548" t="s">
        <v>506</v>
      </c>
      <c r="J12548" t="s">
        <v>507</v>
      </c>
      <c r="K12548" t="s">
        <v>19</v>
      </c>
      <c r="L12548" t="s">
        <v>508</v>
      </c>
      <c r="M12548" t="s">
        <v>44</v>
      </c>
      <c r="N12548" t="s">
        <v>29</v>
      </c>
    </row>
    <row r="12549" spans="1:14">
      <c r="A12549" s="4" t="str">
        <f t="shared" si="1094"/>
        <v>EXP00404</v>
      </c>
      <c r="B12549" s="3" t="s">
        <v>66</v>
      </c>
      <c r="C12549" s="4" t="str">
        <f t="shared" si="1086"/>
        <v>TCGA-BLCA</v>
      </c>
      <c r="D12549" s="1" t="s">
        <v>493</v>
      </c>
      <c r="E12549" t="s">
        <v>504</v>
      </c>
      <c r="F12549" s="1">
        <v>1</v>
      </c>
      <c r="G12549" s="1" t="s">
        <v>513</v>
      </c>
      <c r="H12549" s="4" t="str">
        <f>HYPERLINK("https://portal.gdc.cancer.gov/cases/b9b61cf9-8711-4c3a-8511-659070cfe36b","TCGA-XF-A8HG-01A")</f>
        <v>TCGA-XF-A8HG-01A</v>
      </c>
      <c r="I12549" t="s">
        <v>506</v>
      </c>
      <c r="J12549" t="s">
        <v>507</v>
      </c>
      <c r="K12549" t="s">
        <v>19</v>
      </c>
      <c r="L12549" t="s">
        <v>508</v>
      </c>
      <c r="M12549" t="s">
        <v>44</v>
      </c>
      <c r="N12549" t="s">
        <v>29</v>
      </c>
    </row>
    <row r="12550" spans="1:14">
      <c r="A12550" s="4" t="str">
        <f t="shared" si="1094"/>
        <v>EXP00404</v>
      </c>
      <c r="B12550" s="3" t="s">
        <v>66</v>
      </c>
      <c r="C12550" s="4" t="str">
        <f t="shared" si="1086"/>
        <v>TCGA-BLCA</v>
      </c>
      <c r="D12550" s="1" t="s">
        <v>493</v>
      </c>
      <c r="E12550" t="s">
        <v>504</v>
      </c>
      <c r="F12550" s="1">
        <v>1</v>
      </c>
      <c r="G12550" s="1" t="s">
        <v>513</v>
      </c>
      <c r="H12550" s="4" t="str">
        <f>HYPERLINK("https://portal.gdc.cancer.gov/cases/eb30ae33-2076-475d-aac9-804a8f1119a0","TCGA-ZF-AA56-01A")</f>
        <v>TCGA-ZF-AA56-01A</v>
      </c>
      <c r="I12550" t="s">
        <v>506</v>
      </c>
      <c r="J12550" t="s">
        <v>507</v>
      </c>
      <c r="K12550" t="s">
        <v>19</v>
      </c>
      <c r="L12550" t="s">
        <v>508</v>
      </c>
      <c r="M12550" t="s">
        <v>44</v>
      </c>
      <c r="N12550" t="s">
        <v>29</v>
      </c>
    </row>
    <row r="12551" spans="1:14">
      <c r="A12551" s="4" t="str">
        <f t="shared" si="1094"/>
        <v>EXP00404</v>
      </c>
      <c r="B12551" s="3" t="s">
        <v>66</v>
      </c>
      <c r="C12551" s="4" t="str">
        <f t="shared" si="1086"/>
        <v>TCGA-BLCA</v>
      </c>
      <c r="D12551" s="1" t="s">
        <v>493</v>
      </c>
      <c r="E12551" t="s">
        <v>504</v>
      </c>
      <c r="F12551" s="1">
        <v>2</v>
      </c>
      <c r="G12551" s="1" t="s">
        <v>514</v>
      </c>
      <c r="H12551" s="4" t="str">
        <f>HYPERLINK("https://portal.gdc.cancer.gov/cases/dc321b92-7275-48c9-adeb-7670db3195ef","TCGA-XF-A9SZ-01A")</f>
        <v>TCGA-XF-A9SZ-01A</v>
      </c>
      <c r="I12551" t="s">
        <v>506</v>
      </c>
      <c r="J12551" t="s">
        <v>507</v>
      </c>
      <c r="K12551" t="s">
        <v>19</v>
      </c>
      <c r="L12551" t="s">
        <v>508</v>
      </c>
      <c r="M12551" t="s">
        <v>499</v>
      </c>
      <c r="N12551" t="s">
        <v>29</v>
      </c>
    </row>
    <row r="12552" spans="1:14">
      <c r="A12552" s="4" t="str">
        <f t="shared" si="1094"/>
        <v>EXP00404</v>
      </c>
      <c r="B12552" s="3" t="s">
        <v>66</v>
      </c>
      <c r="C12552" s="4" t="str">
        <f t="shared" si="1086"/>
        <v>TCGA-BLCA</v>
      </c>
      <c r="D12552" s="1" t="s">
        <v>493</v>
      </c>
      <c r="E12552" t="s">
        <v>504</v>
      </c>
      <c r="F12552" s="1">
        <v>2</v>
      </c>
      <c r="G12552" s="1" t="s">
        <v>514</v>
      </c>
      <c r="H12552" s="4" t="str">
        <f>HYPERLINK("https://portal.gdc.cancer.gov/cases/c8388ac0-975d-4f1e-8324-8cabdc75738d","TCGA-XF-AAME-01A")</f>
        <v>TCGA-XF-AAME-01A</v>
      </c>
      <c r="I12552" t="s">
        <v>506</v>
      </c>
      <c r="J12552" t="s">
        <v>507</v>
      </c>
      <c r="K12552" t="s">
        <v>19</v>
      </c>
      <c r="L12552" t="s">
        <v>508</v>
      </c>
      <c r="M12552" t="s">
        <v>499</v>
      </c>
      <c r="N12552" t="s">
        <v>29</v>
      </c>
    </row>
    <row r="12553" spans="1:14">
      <c r="A12553" s="4" t="str">
        <f t="shared" ref="A12553:A12566" si="1095">HYPERLINK("http://hcmdb.i-sanger.com/experiment/details/experiment_id/EXP00405","EXP00405")</f>
        <v>EXP00405</v>
      </c>
      <c r="B12553" s="3" t="s">
        <v>66</v>
      </c>
      <c r="C12553" s="4" t="str">
        <f t="shared" si="1086"/>
        <v>TCGA-BLCA</v>
      </c>
      <c r="D12553" s="1" t="s">
        <v>493</v>
      </c>
      <c r="E12553" t="s">
        <v>504</v>
      </c>
      <c r="F12553" s="1">
        <v>1</v>
      </c>
      <c r="G12553" s="1" t="s">
        <v>513</v>
      </c>
      <c r="H12553" s="4" t="str">
        <f>HYPERLINK("https://portal.gdc.cancer.gov/cases/60419f8c-92c2-4e8f-b2fa-a767d30c9d59","TCGA-DK-AA6Q-01A")</f>
        <v>TCGA-DK-AA6Q-01A</v>
      </c>
      <c r="I12553" t="s">
        <v>506</v>
      </c>
      <c r="J12553" t="s">
        <v>507</v>
      </c>
      <c r="K12553" t="s">
        <v>19</v>
      </c>
      <c r="L12553" t="s">
        <v>508</v>
      </c>
      <c r="M12553" t="s">
        <v>44</v>
      </c>
      <c r="N12553" t="s">
        <v>29</v>
      </c>
    </row>
    <row r="12554" spans="1:14">
      <c r="A12554" s="4" t="str">
        <f t="shared" si="1095"/>
        <v>EXP00405</v>
      </c>
      <c r="B12554" s="3" t="s">
        <v>66</v>
      </c>
      <c r="C12554" s="4" t="str">
        <f t="shared" si="1086"/>
        <v>TCGA-BLCA</v>
      </c>
      <c r="D12554" s="1" t="s">
        <v>493</v>
      </c>
      <c r="E12554" t="s">
        <v>504</v>
      </c>
      <c r="F12554" s="1">
        <v>1</v>
      </c>
      <c r="G12554" s="1" t="s">
        <v>513</v>
      </c>
      <c r="H12554" s="4" t="str">
        <f>HYPERLINK("https://portal.gdc.cancer.gov/cases/aa14ffb4-a715-4636-8251-73d019dddd8c","TCGA-K4-A83P-01A")</f>
        <v>TCGA-K4-A83P-01A</v>
      </c>
      <c r="I12554" t="s">
        <v>506</v>
      </c>
      <c r="J12554" t="s">
        <v>507</v>
      </c>
      <c r="K12554" t="s">
        <v>19</v>
      </c>
      <c r="L12554" t="s">
        <v>508</v>
      </c>
      <c r="M12554" t="s">
        <v>44</v>
      </c>
      <c r="N12554" t="s">
        <v>29</v>
      </c>
    </row>
    <row r="12555" spans="1:14">
      <c r="A12555" s="4" t="str">
        <f t="shared" si="1095"/>
        <v>EXP00405</v>
      </c>
      <c r="B12555" s="3" t="s">
        <v>66</v>
      </c>
      <c r="C12555" s="4" t="str">
        <f t="shared" si="1086"/>
        <v>TCGA-BLCA</v>
      </c>
      <c r="D12555" s="1" t="s">
        <v>493</v>
      </c>
      <c r="E12555" t="s">
        <v>504</v>
      </c>
      <c r="F12555" s="1">
        <v>1</v>
      </c>
      <c r="G12555" s="1" t="s">
        <v>513</v>
      </c>
      <c r="H12555" s="4" t="str">
        <f>HYPERLINK("https://portal.gdc.cancer.gov/cases/b9b61cf9-8711-4c3a-8511-659070cfe36b","TCGA-XF-A8HG-01A")</f>
        <v>TCGA-XF-A8HG-01A</v>
      </c>
      <c r="I12555" t="s">
        <v>506</v>
      </c>
      <c r="J12555" t="s">
        <v>507</v>
      </c>
      <c r="K12555" t="s">
        <v>19</v>
      </c>
      <c r="L12555" t="s">
        <v>508</v>
      </c>
      <c r="M12555" t="s">
        <v>44</v>
      </c>
      <c r="N12555" t="s">
        <v>29</v>
      </c>
    </row>
    <row r="12556" spans="1:14">
      <c r="A12556" s="4" t="str">
        <f t="shared" si="1095"/>
        <v>EXP00405</v>
      </c>
      <c r="B12556" s="3" t="s">
        <v>66</v>
      </c>
      <c r="C12556" s="4" t="str">
        <f t="shared" si="1086"/>
        <v>TCGA-BLCA</v>
      </c>
      <c r="D12556" s="1" t="s">
        <v>493</v>
      </c>
      <c r="E12556" t="s">
        <v>504</v>
      </c>
      <c r="F12556" s="1">
        <v>1</v>
      </c>
      <c r="G12556" s="1" t="s">
        <v>513</v>
      </c>
      <c r="H12556" s="4" t="str">
        <f>HYPERLINK("https://portal.gdc.cancer.gov/cases/eb30ae33-2076-475d-aac9-804a8f1119a0","TCGA-ZF-AA56-01A")</f>
        <v>TCGA-ZF-AA56-01A</v>
      </c>
      <c r="I12556" t="s">
        <v>506</v>
      </c>
      <c r="J12556" t="s">
        <v>507</v>
      </c>
      <c r="K12556" t="s">
        <v>19</v>
      </c>
      <c r="L12556" t="s">
        <v>508</v>
      </c>
      <c r="M12556" t="s">
        <v>44</v>
      </c>
      <c r="N12556" t="s">
        <v>29</v>
      </c>
    </row>
    <row r="12557" spans="1:14">
      <c r="A12557" s="4" t="str">
        <f t="shared" si="1095"/>
        <v>EXP00405</v>
      </c>
      <c r="B12557" s="3" t="s">
        <v>66</v>
      </c>
      <c r="C12557" s="4" t="str">
        <f t="shared" si="1086"/>
        <v>TCGA-BLCA</v>
      </c>
      <c r="D12557" s="1" t="s">
        <v>493</v>
      </c>
      <c r="E12557" t="s">
        <v>504</v>
      </c>
      <c r="F12557" s="1">
        <v>2</v>
      </c>
      <c r="G12557" s="1" t="s">
        <v>515</v>
      </c>
      <c r="H12557" s="4" t="str">
        <f>HYPERLINK("https://portal.gdc.cancer.gov/cases/0fb043d3-d86b-4cd8-8c01-9e2b3e965bb0","TCGA-FD-A3SN-01A")</f>
        <v>TCGA-FD-A3SN-01A</v>
      </c>
      <c r="I12557" t="s">
        <v>506</v>
      </c>
      <c r="J12557" t="s">
        <v>507</v>
      </c>
      <c r="K12557" t="s">
        <v>19</v>
      </c>
      <c r="L12557" t="s">
        <v>508</v>
      </c>
      <c r="M12557" t="s">
        <v>41</v>
      </c>
      <c r="N12557" t="s">
        <v>29</v>
      </c>
    </row>
    <row r="12558" spans="1:14">
      <c r="A12558" s="4" t="str">
        <f t="shared" si="1095"/>
        <v>EXP00405</v>
      </c>
      <c r="B12558" s="3" t="s">
        <v>66</v>
      </c>
      <c r="C12558" s="4" t="str">
        <f t="shared" si="1086"/>
        <v>TCGA-BLCA</v>
      </c>
      <c r="D12558" s="1" t="s">
        <v>493</v>
      </c>
      <c r="E12558" t="s">
        <v>504</v>
      </c>
      <c r="F12558" s="1">
        <v>2</v>
      </c>
      <c r="G12558" s="1" t="s">
        <v>515</v>
      </c>
      <c r="H12558" s="4" t="str">
        <f>HYPERLINK("https://portal.gdc.cancer.gov/cases/f632bc31-3aa0-4783-b10b-818ecb26d40b","TCGA-GU-A763-01A")</f>
        <v>TCGA-GU-A763-01A</v>
      </c>
      <c r="I12558" t="s">
        <v>506</v>
      </c>
      <c r="J12558" t="s">
        <v>507</v>
      </c>
      <c r="K12558" t="s">
        <v>19</v>
      </c>
      <c r="L12558" t="s">
        <v>508</v>
      </c>
      <c r="M12558" t="s">
        <v>41</v>
      </c>
      <c r="N12558" t="s">
        <v>29</v>
      </c>
    </row>
    <row r="12559" spans="1:14">
      <c r="A12559" s="4" t="str">
        <f t="shared" si="1095"/>
        <v>EXP00405</v>
      </c>
      <c r="B12559" s="3" t="s">
        <v>66</v>
      </c>
      <c r="C12559" s="4" t="str">
        <f t="shared" si="1086"/>
        <v>TCGA-BLCA</v>
      </c>
      <c r="D12559" s="1" t="s">
        <v>493</v>
      </c>
      <c r="E12559" t="s">
        <v>504</v>
      </c>
      <c r="F12559" s="1">
        <v>2</v>
      </c>
      <c r="G12559" s="1" t="s">
        <v>515</v>
      </c>
      <c r="H12559" s="4" t="str">
        <f>HYPERLINK("https://portal.gdc.cancer.gov/cases/79f23a0e-5aae-4618-8191-7dd7c0552408","TCGA-GV-A3QG-01A")</f>
        <v>TCGA-GV-A3QG-01A</v>
      </c>
      <c r="I12559" t="s">
        <v>506</v>
      </c>
      <c r="J12559" t="s">
        <v>507</v>
      </c>
      <c r="K12559" t="s">
        <v>19</v>
      </c>
      <c r="L12559" t="s">
        <v>508</v>
      </c>
      <c r="M12559" t="s">
        <v>41</v>
      </c>
      <c r="N12559" t="s">
        <v>29</v>
      </c>
    </row>
    <row r="12560" spans="1:14">
      <c r="A12560" s="4" t="str">
        <f t="shared" si="1095"/>
        <v>EXP00405</v>
      </c>
      <c r="B12560" s="3" t="s">
        <v>66</v>
      </c>
      <c r="C12560" s="4" t="str">
        <f t="shared" si="1086"/>
        <v>TCGA-BLCA</v>
      </c>
      <c r="D12560" s="1" t="s">
        <v>493</v>
      </c>
      <c r="E12560" t="s">
        <v>504</v>
      </c>
      <c r="F12560" s="1">
        <v>2</v>
      </c>
      <c r="G12560" s="1" t="s">
        <v>515</v>
      </c>
      <c r="H12560" s="4" t="str">
        <f>HYPERLINK("https://portal.gdc.cancer.gov/cases/eeca58fe-b5cb-4d13-a93f-a5a2ca00b6e2","TCGA-K4-A5RH-01A")</f>
        <v>TCGA-K4-A5RH-01A</v>
      </c>
      <c r="I12560" t="s">
        <v>506</v>
      </c>
      <c r="J12560" t="s">
        <v>507</v>
      </c>
      <c r="K12560" t="s">
        <v>19</v>
      </c>
      <c r="L12560" t="s">
        <v>508</v>
      </c>
      <c r="M12560" t="s">
        <v>41</v>
      </c>
      <c r="N12560" t="s">
        <v>29</v>
      </c>
    </row>
    <row r="12561" spans="1:14">
      <c r="A12561" s="4" t="str">
        <f t="shared" si="1095"/>
        <v>EXP00405</v>
      </c>
      <c r="B12561" s="3" t="s">
        <v>66</v>
      </c>
      <c r="C12561" s="4" t="str">
        <f t="shared" si="1086"/>
        <v>TCGA-BLCA</v>
      </c>
      <c r="D12561" s="1" t="s">
        <v>493</v>
      </c>
      <c r="E12561" t="s">
        <v>504</v>
      </c>
      <c r="F12561" s="1">
        <v>2</v>
      </c>
      <c r="G12561" s="1" t="s">
        <v>515</v>
      </c>
      <c r="H12561" s="4" t="str">
        <f>HYPERLINK("https://portal.gdc.cancer.gov/cases/cdfd86db-15e2-4d38-a717-2207e8de2d8f","TCGA-XF-A9SV-01A")</f>
        <v>TCGA-XF-A9SV-01A</v>
      </c>
      <c r="I12561" t="s">
        <v>506</v>
      </c>
      <c r="J12561" t="s">
        <v>507</v>
      </c>
      <c r="K12561" t="s">
        <v>19</v>
      </c>
      <c r="L12561" t="s">
        <v>508</v>
      </c>
      <c r="M12561" t="s">
        <v>41</v>
      </c>
      <c r="N12561" t="s">
        <v>29</v>
      </c>
    </row>
    <row r="12562" spans="1:14">
      <c r="A12562" s="4" t="str">
        <f t="shared" si="1095"/>
        <v>EXP00405</v>
      </c>
      <c r="B12562" s="3" t="s">
        <v>66</v>
      </c>
      <c r="C12562" s="4" t="str">
        <f t="shared" ref="C12562:C12625" si="1096">HYPERLINK("https://portal.gdc.cancer.gov/projects/TCGA-BLCA","TCGA-BLCA")</f>
        <v>TCGA-BLCA</v>
      </c>
      <c r="D12562" s="1" t="s">
        <v>493</v>
      </c>
      <c r="E12562" t="s">
        <v>504</v>
      </c>
      <c r="F12562" s="1">
        <v>2</v>
      </c>
      <c r="G12562" s="1" t="s">
        <v>515</v>
      </c>
      <c r="H12562" s="4" t="str">
        <f>HYPERLINK("https://portal.gdc.cancer.gov/cases/a648d9bf-cf37-41fc-9515-e8f5ac85fcd4","TCGA-XF-A9SX-01A")</f>
        <v>TCGA-XF-A9SX-01A</v>
      </c>
      <c r="I12562" t="s">
        <v>506</v>
      </c>
      <c r="J12562" t="s">
        <v>507</v>
      </c>
      <c r="K12562" t="s">
        <v>19</v>
      </c>
      <c r="L12562" t="s">
        <v>508</v>
      </c>
      <c r="M12562" t="s">
        <v>41</v>
      </c>
      <c r="N12562" t="s">
        <v>29</v>
      </c>
    </row>
    <row r="12563" spans="1:14">
      <c r="A12563" s="4" t="str">
        <f t="shared" si="1095"/>
        <v>EXP00405</v>
      </c>
      <c r="B12563" s="3" t="s">
        <v>66</v>
      </c>
      <c r="C12563" s="4" t="str">
        <f t="shared" si="1096"/>
        <v>TCGA-BLCA</v>
      </c>
      <c r="D12563" s="1" t="s">
        <v>493</v>
      </c>
      <c r="E12563" t="s">
        <v>504</v>
      </c>
      <c r="F12563" s="1">
        <v>2</v>
      </c>
      <c r="G12563" s="1" t="s">
        <v>515</v>
      </c>
      <c r="H12563" s="4" t="str">
        <f>HYPERLINK("https://portal.gdc.cancer.gov/cases/f9a03eaa-a228-429c-99c5-8e877379db0f","TCGA-XF-A9T4-01A")</f>
        <v>TCGA-XF-A9T4-01A</v>
      </c>
      <c r="I12563" t="s">
        <v>506</v>
      </c>
      <c r="J12563" t="s">
        <v>507</v>
      </c>
      <c r="K12563" t="s">
        <v>19</v>
      </c>
      <c r="L12563" t="s">
        <v>508</v>
      </c>
      <c r="M12563" t="s">
        <v>41</v>
      </c>
      <c r="N12563" t="s">
        <v>29</v>
      </c>
    </row>
    <row r="12564" spans="1:14">
      <c r="A12564" s="4" t="str">
        <f t="shared" si="1095"/>
        <v>EXP00405</v>
      </c>
      <c r="B12564" s="3" t="s">
        <v>66</v>
      </c>
      <c r="C12564" s="4" t="str">
        <f t="shared" si="1096"/>
        <v>TCGA-BLCA</v>
      </c>
      <c r="D12564" s="1" t="s">
        <v>493</v>
      </c>
      <c r="E12564" t="s">
        <v>504</v>
      </c>
      <c r="F12564" s="1">
        <v>2</v>
      </c>
      <c r="G12564" s="1" t="s">
        <v>515</v>
      </c>
      <c r="H12564" s="4" t="str">
        <f>HYPERLINK("https://portal.gdc.cancer.gov/cases/9d2b19eb-bd61-490e-982b-fadf2c4aadf7","TCGA-XF-AAMY-01A")</f>
        <v>TCGA-XF-AAMY-01A</v>
      </c>
      <c r="I12564" t="s">
        <v>506</v>
      </c>
      <c r="J12564" t="s">
        <v>507</v>
      </c>
      <c r="K12564" t="s">
        <v>19</v>
      </c>
      <c r="L12564" t="s">
        <v>508</v>
      </c>
      <c r="M12564" t="s">
        <v>41</v>
      </c>
      <c r="N12564" t="s">
        <v>29</v>
      </c>
    </row>
    <row r="12565" spans="1:14">
      <c r="A12565" s="4" t="str">
        <f t="shared" si="1095"/>
        <v>EXP00405</v>
      </c>
      <c r="B12565" s="3" t="s">
        <v>66</v>
      </c>
      <c r="C12565" s="4" t="str">
        <f t="shared" si="1096"/>
        <v>TCGA-BLCA</v>
      </c>
      <c r="D12565" s="1" t="s">
        <v>493</v>
      </c>
      <c r="E12565" t="s">
        <v>504</v>
      </c>
      <c r="F12565" s="1">
        <v>2</v>
      </c>
      <c r="G12565" s="1" t="s">
        <v>515</v>
      </c>
      <c r="H12565" s="4" t="str">
        <f>HYPERLINK("https://portal.gdc.cancer.gov/cases/73db40ce-2ba7-4a56-aef2-b78d2c744be1","TCGA-ZF-A9RN-01A")</f>
        <v>TCGA-ZF-A9RN-01A</v>
      </c>
      <c r="I12565" t="s">
        <v>506</v>
      </c>
      <c r="J12565" t="s">
        <v>507</v>
      </c>
      <c r="K12565" t="s">
        <v>19</v>
      </c>
      <c r="L12565" t="s">
        <v>508</v>
      </c>
      <c r="M12565" t="s">
        <v>41</v>
      </c>
      <c r="N12565" t="s">
        <v>29</v>
      </c>
    </row>
    <row r="12566" spans="1:14">
      <c r="A12566" s="4" t="str">
        <f t="shared" si="1095"/>
        <v>EXP00405</v>
      </c>
      <c r="B12566" s="3" t="s">
        <v>66</v>
      </c>
      <c r="C12566" s="4" t="str">
        <f t="shared" si="1096"/>
        <v>TCGA-BLCA</v>
      </c>
      <c r="D12566" s="1" t="s">
        <v>493</v>
      </c>
      <c r="E12566" t="s">
        <v>504</v>
      </c>
      <c r="F12566" s="1">
        <v>2</v>
      </c>
      <c r="G12566" s="1" t="s">
        <v>515</v>
      </c>
      <c r="H12566" s="4" t="str">
        <f>HYPERLINK("https://portal.gdc.cancer.gov/cases/1859a4c5-78bc-4b1a-a26e-3d2b4cb221c2","TCGA-ZF-AA4T-01A")</f>
        <v>TCGA-ZF-AA4T-01A</v>
      </c>
      <c r="I12566" t="s">
        <v>506</v>
      </c>
      <c r="J12566" t="s">
        <v>507</v>
      </c>
      <c r="K12566" t="s">
        <v>19</v>
      </c>
      <c r="L12566" t="s">
        <v>508</v>
      </c>
      <c r="M12566" t="s">
        <v>41</v>
      </c>
      <c r="N12566" t="s">
        <v>29</v>
      </c>
    </row>
    <row r="12567" spans="1:14">
      <c r="A12567" s="4" t="str">
        <f t="shared" ref="A12567:A12578" si="1097">HYPERLINK("http://hcmdb.i-sanger.com/experiment/details/experiment_id/EXP00406","EXP00406")</f>
        <v>EXP00406</v>
      </c>
      <c r="B12567" s="3" t="s">
        <v>66</v>
      </c>
      <c r="C12567" s="4" t="str">
        <f t="shared" si="1096"/>
        <v>TCGA-BLCA</v>
      </c>
      <c r="D12567" s="1" t="s">
        <v>493</v>
      </c>
      <c r="E12567" t="s">
        <v>504</v>
      </c>
      <c r="F12567" s="1">
        <v>1</v>
      </c>
      <c r="G12567" s="1" t="s">
        <v>514</v>
      </c>
      <c r="H12567" s="4" t="str">
        <f>HYPERLINK("https://portal.gdc.cancer.gov/cases/dc321b92-7275-48c9-adeb-7670db3195ef","TCGA-XF-A9SZ-01A")</f>
        <v>TCGA-XF-A9SZ-01A</v>
      </c>
      <c r="I12567" t="s">
        <v>506</v>
      </c>
      <c r="J12567" t="s">
        <v>507</v>
      </c>
      <c r="K12567" t="s">
        <v>19</v>
      </c>
      <c r="L12567" t="s">
        <v>508</v>
      </c>
      <c r="M12567" t="s">
        <v>499</v>
      </c>
      <c r="N12567" t="s">
        <v>29</v>
      </c>
    </row>
    <row r="12568" spans="1:14">
      <c r="A12568" s="4" t="str">
        <f t="shared" si="1097"/>
        <v>EXP00406</v>
      </c>
      <c r="B12568" s="3" t="s">
        <v>66</v>
      </c>
      <c r="C12568" s="4" t="str">
        <f t="shared" si="1096"/>
        <v>TCGA-BLCA</v>
      </c>
      <c r="D12568" s="1" t="s">
        <v>493</v>
      </c>
      <c r="E12568" t="s">
        <v>504</v>
      </c>
      <c r="F12568" s="1">
        <v>1</v>
      </c>
      <c r="G12568" s="1" t="s">
        <v>514</v>
      </c>
      <c r="H12568" s="4" t="str">
        <f>HYPERLINK("https://portal.gdc.cancer.gov/cases/c8388ac0-975d-4f1e-8324-8cabdc75738d","TCGA-XF-AAME-01A")</f>
        <v>TCGA-XF-AAME-01A</v>
      </c>
      <c r="I12568" t="s">
        <v>506</v>
      </c>
      <c r="J12568" t="s">
        <v>507</v>
      </c>
      <c r="K12568" t="s">
        <v>19</v>
      </c>
      <c r="L12568" t="s">
        <v>508</v>
      </c>
      <c r="M12568" t="s">
        <v>499</v>
      </c>
      <c r="N12568" t="s">
        <v>29</v>
      </c>
    </row>
    <row r="12569" spans="1:14">
      <c r="A12569" s="4" t="str">
        <f t="shared" si="1097"/>
        <v>EXP00406</v>
      </c>
      <c r="B12569" s="3" t="s">
        <v>66</v>
      </c>
      <c r="C12569" s="4" t="str">
        <f t="shared" si="1096"/>
        <v>TCGA-BLCA</v>
      </c>
      <c r="D12569" s="1" t="s">
        <v>493</v>
      </c>
      <c r="E12569" t="s">
        <v>504</v>
      </c>
      <c r="F12569" s="1">
        <v>2</v>
      </c>
      <c r="G12569" s="1" t="s">
        <v>515</v>
      </c>
      <c r="H12569" s="4" t="str">
        <f>HYPERLINK("https://portal.gdc.cancer.gov/cases/0fb043d3-d86b-4cd8-8c01-9e2b3e965bb0","TCGA-FD-A3SN-01A")</f>
        <v>TCGA-FD-A3SN-01A</v>
      </c>
      <c r="I12569" t="s">
        <v>506</v>
      </c>
      <c r="J12569" t="s">
        <v>507</v>
      </c>
      <c r="K12569" t="s">
        <v>19</v>
      </c>
      <c r="L12569" t="s">
        <v>508</v>
      </c>
      <c r="M12569" t="s">
        <v>41</v>
      </c>
      <c r="N12569" t="s">
        <v>29</v>
      </c>
    </row>
    <row r="12570" spans="1:14">
      <c r="A12570" s="4" t="str">
        <f t="shared" si="1097"/>
        <v>EXP00406</v>
      </c>
      <c r="B12570" s="3" t="s">
        <v>66</v>
      </c>
      <c r="C12570" s="4" t="str">
        <f t="shared" si="1096"/>
        <v>TCGA-BLCA</v>
      </c>
      <c r="D12570" s="1" t="s">
        <v>493</v>
      </c>
      <c r="E12570" t="s">
        <v>504</v>
      </c>
      <c r="F12570" s="1">
        <v>2</v>
      </c>
      <c r="G12570" s="1" t="s">
        <v>515</v>
      </c>
      <c r="H12570" s="4" t="str">
        <f>HYPERLINK("https://portal.gdc.cancer.gov/cases/f632bc31-3aa0-4783-b10b-818ecb26d40b","TCGA-GU-A763-01A")</f>
        <v>TCGA-GU-A763-01A</v>
      </c>
      <c r="I12570" t="s">
        <v>506</v>
      </c>
      <c r="J12570" t="s">
        <v>507</v>
      </c>
      <c r="K12570" t="s">
        <v>19</v>
      </c>
      <c r="L12570" t="s">
        <v>508</v>
      </c>
      <c r="M12570" t="s">
        <v>41</v>
      </c>
      <c r="N12570" t="s">
        <v>29</v>
      </c>
    </row>
    <row r="12571" spans="1:14">
      <c r="A12571" s="4" t="str">
        <f t="shared" si="1097"/>
        <v>EXP00406</v>
      </c>
      <c r="B12571" s="3" t="s">
        <v>66</v>
      </c>
      <c r="C12571" s="4" t="str">
        <f t="shared" si="1096"/>
        <v>TCGA-BLCA</v>
      </c>
      <c r="D12571" s="1" t="s">
        <v>493</v>
      </c>
      <c r="E12571" t="s">
        <v>504</v>
      </c>
      <c r="F12571" s="1">
        <v>2</v>
      </c>
      <c r="G12571" s="1" t="s">
        <v>515</v>
      </c>
      <c r="H12571" s="4" t="str">
        <f>HYPERLINK("https://portal.gdc.cancer.gov/cases/79f23a0e-5aae-4618-8191-7dd7c0552408","TCGA-GV-A3QG-01A")</f>
        <v>TCGA-GV-A3QG-01A</v>
      </c>
      <c r="I12571" t="s">
        <v>506</v>
      </c>
      <c r="J12571" t="s">
        <v>507</v>
      </c>
      <c r="K12571" t="s">
        <v>19</v>
      </c>
      <c r="L12571" t="s">
        <v>508</v>
      </c>
      <c r="M12571" t="s">
        <v>41</v>
      </c>
      <c r="N12571" t="s">
        <v>29</v>
      </c>
    </row>
    <row r="12572" spans="1:14">
      <c r="A12572" s="4" t="str">
        <f t="shared" si="1097"/>
        <v>EXP00406</v>
      </c>
      <c r="B12572" s="3" t="s">
        <v>66</v>
      </c>
      <c r="C12572" s="4" t="str">
        <f t="shared" si="1096"/>
        <v>TCGA-BLCA</v>
      </c>
      <c r="D12572" s="1" t="s">
        <v>493</v>
      </c>
      <c r="E12572" t="s">
        <v>504</v>
      </c>
      <c r="F12572" s="1">
        <v>2</v>
      </c>
      <c r="G12572" s="1" t="s">
        <v>515</v>
      </c>
      <c r="H12572" s="4" t="str">
        <f>HYPERLINK("https://portal.gdc.cancer.gov/cases/eeca58fe-b5cb-4d13-a93f-a5a2ca00b6e2","TCGA-K4-A5RH-01A")</f>
        <v>TCGA-K4-A5RH-01A</v>
      </c>
      <c r="I12572" t="s">
        <v>506</v>
      </c>
      <c r="J12572" t="s">
        <v>507</v>
      </c>
      <c r="K12572" t="s">
        <v>19</v>
      </c>
      <c r="L12572" t="s">
        <v>508</v>
      </c>
      <c r="M12572" t="s">
        <v>41</v>
      </c>
      <c r="N12572" t="s">
        <v>29</v>
      </c>
    </row>
    <row r="12573" spans="1:14">
      <c r="A12573" s="4" t="str">
        <f t="shared" si="1097"/>
        <v>EXP00406</v>
      </c>
      <c r="B12573" s="3" t="s">
        <v>66</v>
      </c>
      <c r="C12573" s="4" t="str">
        <f t="shared" si="1096"/>
        <v>TCGA-BLCA</v>
      </c>
      <c r="D12573" s="1" t="s">
        <v>493</v>
      </c>
      <c r="E12573" t="s">
        <v>504</v>
      </c>
      <c r="F12573" s="1">
        <v>2</v>
      </c>
      <c r="G12573" s="1" t="s">
        <v>515</v>
      </c>
      <c r="H12573" s="4" t="str">
        <f>HYPERLINK("https://portal.gdc.cancer.gov/cases/cdfd86db-15e2-4d38-a717-2207e8de2d8f","TCGA-XF-A9SV-01A")</f>
        <v>TCGA-XF-A9SV-01A</v>
      </c>
      <c r="I12573" t="s">
        <v>506</v>
      </c>
      <c r="J12573" t="s">
        <v>507</v>
      </c>
      <c r="K12573" t="s">
        <v>19</v>
      </c>
      <c r="L12573" t="s">
        <v>508</v>
      </c>
      <c r="M12573" t="s">
        <v>41</v>
      </c>
      <c r="N12573" t="s">
        <v>29</v>
      </c>
    </row>
    <row r="12574" spans="1:14">
      <c r="A12574" s="4" t="str">
        <f t="shared" si="1097"/>
        <v>EXP00406</v>
      </c>
      <c r="B12574" s="3" t="s">
        <v>66</v>
      </c>
      <c r="C12574" s="4" t="str">
        <f t="shared" si="1096"/>
        <v>TCGA-BLCA</v>
      </c>
      <c r="D12574" s="1" t="s">
        <v>493</v>
      </c>
      <c r="E12574" t="s">
        <v>504</v>
      </c>
      <c r="F12574" s="1">
        <v>2</v>
      </c>
      <c r="G12574" s="1" t="s">
        <v>515</v>
      </c>
      <c r="H12574" s="4" t="str">
        <f>HYPERLINK("https://portal.gdc.cancer.gov/cases/a648d9bf-cf37-41fc-9515-e8f5ac85fcd4","TCGA-XF-A9SX-01A")</f>
        <v>TCGA-XF-A9SX-01A</v>
      </c>
      <c r="I12574" t="s">
        <v>506</v>
      </c>
      <c r="J12574" t="s">
        <v>507</v>
      </c>
      <c r="K12574" t="s">
        <v>19</v>
      </c>
      <c r="L12574" t="s">
        <v>508</v>
      </c>
      <c r="M12574" t="s">
        <v>41</v>
      </c>
      <c r="N12574" t="s">
        <v>29</v>
      </c>
    </row>
    <row r="12575" spans="1:14">
      <c r="A12575" s="4" t="str">
        <f t="shared" si="1097"/>
        <v>EXP00406</v>
      </c>
      <c r="B12575" s="3" t="s">
        <v>66</v>
      </c>
      <c r="C12575" s="4" t="str">
        <f t="shared" si="1096"/>
        <v>TCGA-BLCA</v>
      </c>
      <c r="D12575" s="1" t="s">
        <v>493</v>
      </c>
      <c r="E12575" t="s">
        <v>504</v>
      </c>
      <c r="F12575" s="1">
        <v>2</v>
      </c>
      <c r="G12575" s="1" t="s">
        <v>515</v>
      </c>
      <c r="H12575" s="4" t="str">
        <f>HYPERLINK("https://portal.gdc.cancer.gov/cases/f9a03eaa-a228-429c-99c5-8e877379db0f","TCGA-XF-A9T4-01A")</f>
        <v>TCGA-XF-A9T4-01A</v>
      </c>
      <c r="I12575" t="s">
        <v>506</v>
      </c>
      <c r="J12575" t="s">
        <v>507</v>
      </c>
      <c r="K12575" t="s">
        <v>19</v>
      </c>
      <c r="L12575" t="s">
        <v>508</v>
      </c>
      <c r="M12575" t="s">
        <v>41</v>
      </c>
      <c r="N12575" t="s">
        <v>29</v>
      </c>
    </row>
    <row r="12576" spans="1:14">
      <c r="A12576" s="4" t="str">
        <f t="shared" si="1097"/>
        <v>EXP00406</v>
      </c>
      <c r="B12576" s="3" t="s">
        <v>66</v>
      </c>
      <c r="C12576" s="4" t="str">
        <f t="shared" si="1096"/>
        <v>TCGA-BLCA</v>
      </c>
      <c r="D12576" s="1" t="s">
        <v>493</v>
      </c>
      <c r="E12576" t="s">
        <v>504</v>
      </c>
      <c r="F12576" s="1">
        <v>2</v>
      </c>
      <c r="G12576" s="1" t="s">
        <v>515</v>
      </c>
      <c r="H12576" s="4" t="str">
        <f>HYPERLINK("https://portal.gdc.cancer.gov/cases/9d2b19eb-bd61-490e-982b-fadf2c4aadf7","TCGA-XF-AAMY-01A")</f>
        <v>TCGA-XF-AAMY-01A</v>
      </c>
      <c r="I12576" t="s">
        <v>506</v>
      </c>
      <c r="J12576" t="s">
        <v>507</v>
      </c>
      <c r="K12576" t="s">
        <v>19</v>
      </c>
      <c r="L12576" t="s">
        <v>508</v>
      </c>
      <c r="M12576" t="s">
        <v>41</v>
      </c>
      <c r="N12576" t="s">
        <v>29</v>
      </c>
    </row>
    <row r="12577" spans="1:14">
      <c r="A12577" s="4" t="str">
        <f t="shared" si="1097"/>
        <v>EXP00406</v>
      </c>
      <c r="B12577" s="3" t="s">
        <v>66</v>
      </c>
      <c r="C12577" s="4" t="str">
        <f t="shared" si="1096"/>
        <v>TCGA-BLCA</v>
      </c>
      <c r="D12577" s="1" t="s">
        <v>493</v>
      </c>
      <c r="E12577" t="s">
        <v>504</v>
      </c>
      <c r="F12577" s="1">
        <v>2</v>
      </c>
      <c r="G12577" s="1" t="s">
        <v>515</v>
      </c>
      <c r="H12577" s="4" t="str">
        <f>HYPERLINK("https://portal.gdc.cancer.gov/cases/73db40ce-2ba7-4a56-aef2-b78d2c744be1","TCGA-ZF-A9RN-01A")</f>
        <v>TCGA-ZF-A9RN-01A</v>
      </c>
      <c r="I12577" t="s">
        <v>506</v>
      </c>
      <c r="J12577" t="s">
        <v>507</v>
      </c>
      <c r="K12577" t="s">
        <v>19</v>
      </c>
      <c r="L12577" t="s">
        <v>508</v>
      </c>
      <c r="M12577" t="s">
        <v>41</v>
      </c>
      <c r="N12577" t="s">
        <v>29</v>
      </c>
    </row>
    <row r="12578" spans="1:14">
      <c r="A12578" s="4" t="str">
        <f t="shared" si="1097"/>
        <v>EXP00406</v>
      </c>
      <c r="B12578" s="3" t="s">
        <v>66</v>
      </c>
      <c r="C12578" s="4" t="str">
        <f t="shared" si="1096"/>
        <v>TCGA-BLCA</v>
      </c>
      <c r="D12578" s="1" t="s">
        <v>493</v>
      </c>
      <c r="E12578" t="s">
        <v>504</v>
      </c>
      <c r="F12578" s="1">
        <v>2</v>
      </c>
      <c r="G12578" s="1" t="s">
        <v>515</v>
      </c>
      <c r="H12578" s="4" t="str">
        <f>HYPERLINK("https://portal.gdc.cancer.gov/cases/1859a4c5-78bc-4b1a-a26e-3d2b4cb221c2","TCGA-ZF-AA4T-01A")</f>
        <v>TCGA-ZF-AA4T-01A</v>
      </c>
      <c r="I12578" t="s">
        <v>506</v>
      </c>
      <c r="J12578" t="s">
        <v>507</v>
      </c>
      <c r="K12578" t="s">
        <v>19</v>
      </c>
      <c r="L12578" t="s">
        <v>508</v>
      </c>
      <c r="M12578" t="s">
        <v>41</v>
      </c>
      <c r="N12578" t="s">
        <v>29</v>
      </c>
    </row>
    <row r="12579" spans="1:14">
      <c r="A12579" s="4" t="str">
        <f t="shared" ref="A12579:A12642" si="1098">HYPERLINK("http://hcmdb.i-sanger.com/experiment/details/experiment_id/EXP00407","EXP00407")</f>
        <v>EXP00407</v>
      </c>
      <c r="B12579" s="3" t="s">
        <v>66</v>
      </c>
      <c r="C12579" s="4" t="str">
        <f t="shared" si="1096"/>
        <v>TCGA-BLCA</v>
      </c>
      <c r="D12579" s="1" t="s">
        <v>493</v>
      </c>
      <c r="E12579" t="s">
        <v>516</v>
      </c>
      <c r="F12579" s="1">
        <v>1</v>
      </c>
      <c r="G12579" s="1" t="s">
        <v>31</v>
      </c>
      <c r="H12579" s="4" t="str">
        <f>HYPERLINK("https://portal.gdc.cancer.gov/cases/dd3a6357-9087-44b2-9956-f981e0de6f1c","TCGA-2F-A9KO-01A")</f>
        <v>TCGA-2F-A9KO-01A</v>
      </c>
      <c r="I12579" t="s">
        <v>506</v>
      </c>
      <c r="J12579" t="s">
        <v>507</v>
      </c>
      <c r="K12579" t="s">
        <v>19</v>
      </c>
      <c r="L12579" t="s">
        <v>508</v>
      </c>
      <c r="M12579" t="s">
        <v>517</v>
      </c>
      <c r="N12579" t="s">
        <v>29</v>
      </c>
    </row>
    <row r="12580" spans="1:14">
      <c r="A12580" s="4" t="str">
        <f t="shared" si="1098"/>
        <v>EXP00407</v>
      </c>
      <c r="B12580" s="3" t="s">
        <v>66</v>
      </c>
      <c r="C12580" s="4" t="str">
        <f t="shared" si="1096"/>
        <v>TCGA-BLCA</v>
      </c>
      <c r="D12580" s="1" t="s">
        <v>493</v>
      </c>
      <c r="E12580" t="s">
        <v>516</v>
      </c>
      <c r="F12580" s="1">
        <v>1</v>
      </c>
      <c r="G12580" s="1" t="s">
        <v>31</v>
      </c>
      <c r="H12580" s="4" t="str">
        <f>HYPERLINK("https://portal.gdc.cancer.gov/cases/65d1eaec-28db-4a41-a4db-1a710fcb24ad","TCGA-2F-A9KP-01A")</f>
        <v>TCGA-2F-A9KP-01A</v>
      </c>
      <c r="I12580" t="s">
        <v>506</v>
      </c>
      <c r="J12580" t="s">
        <v>507</v>
      </c>
      <c r="K12580" t="s">
        <v>19</v>
      </c>
      <c r="L12580" t="s">
        <v>508</v>
      </c>
      <c r="M12580" t="s">
        <v>518</v>
      </c>
      <c r="N12580" t="s">
        <v>29</v>
      </c>
    </row>
    <row r="12581" spans="1:14">
      <c r="A12581" s="4" t="str">
        <f t="shared" si="1098"/>
        <v>EXP00407</v>
      </c>
      <c r="B12581" s="3" t="s">
        <v>66</v>
      </c>
      <c r="C12581" s="4" t="str">
        <f t="shared" si="1096"/>
        <v>TCGA-BLCA</v>
      </c>
      <c r="D12581" s="1" t="s">
        <v>493</v>
      </c>
      <c r="E12581" t="s">
        <v>516</v>
      </c>
      <c r="F12581" s="1">
        <v>1</v>
      </c>
      <c r="G12581" s="1" t="s">
        <v>31</v>
      </c>
      <c r="H12581" s="4" t="str">
        <f>HYPERLINK("https://portal.gdc.cancer.gov/cases/f6d916b0-8e4c-49cb-a0d4-883908f3284f","TCGA-2F-A9KR-01A")</f>
        <v>TCGA-2F-A9KR-01A</v>
      </c>
      <c r="I12581" t="s">
        <v>506</v>
      </c>
      <c r="J12581" t="s">
        <v>507</v>
      </c>
      <c r="K12581" t="s">
        <v>19</v>
      </c>
      <c r="L12581" t="s">
        <v>508</v>
      </c>
      <c r="M12581" t="s">
        <v>512</v>
      </c>
      <c r="N12581" t="s">
        <v>29</v>
      </c>
    </row>
    <row r="12582" spans="1:14">
      <c r="A12582" s="4" t="str">
        <f t="shared" si="1098"/>
        <v>EXP00407</v>
      </c>
      <c r="B12582" s="3" t="s">
        <v>66</v>
      </c>
      <c r="C12582" s="4" t="str">
        <f t="shared" si="1096"/>
        <v>TCGA-BLCA</v>
      </c>
      <c r="D12582" s="1" t="s">
        <v>493</v>
      </c>
      <c r="E12582" t="s">
        <v>516</v>
      </c>
      <c r="F12582" s="1">
        <v>1</v>
      </c>
      <c r="G12582" s="1" t="s">
        <v>31</v>
      </c>
      <c r="H12582" s="4" t="str">
        <f>HYPERLINK("https://portal.gdc.cancer.gov/cases/3b464065-b2e9-4fb2-a7da-09e963fd43b3","TCGA-2F-A9KW-01A")</f>
        <v>TCGA-2F-A9KW-01A</v>
      </c>
      <c r="I12582" t="s">
        <v>506</v>
      </c>
      <c r="J12582" t="s">
        <v>507</v>
      </c>
      <c r="K12582" t="s">
        <v>19</v>
      </c>
      <c r="L12582" t="s">
        <v>508</v>
      </c>
      <c r="M12582" t="s">
        <v>50</v>
      </c>
      <c r="N12582" t="s">
        <v>29</v>
      </c>
    </row>
    <row r="12583" spans="1:14">
      <c r="A12583" s="4" t="str">
        <f t="shared" si="1098"/>
        <v>EXP00407</v>
      </c>
      <c r="B12583" s="3" t="s">
        <v>66</v>
      </c>
      <c r="C12583" s="4" t="str">
        <f t="shared" si="1096"/>
        <v>TCGA-BLCA</v>
      </c>
      <c r="D12583" s="1" t="s">
        <v>493</v>
      </c>
      <c r="E12583" t="s">
        <v>516</v>
      </c>
      <c r="F12583" s="1">
        <v>1</v>
      </c>
      <c r="G12583" s="1" t="s">
        <v>31</v>
      </c>
      <c r="H12583" s="4" t="str">
        <f>HYPERLINK("https://portal.gdc.cancer.gov/cases/32e79b35-a33a-4ca0-bfb7-7ea7e4e26568","TCGA-4Z-AA82-01A")</f>
        <v>TCGA-4Z-AA82-01A</v>
      </c>
      <c r="I12583" t="s">
        <v>506</v>
      </c>
      <c r="J12583" t="s">
        <v>507</v>
      </c>
      <c r="K12583" t="s">
        <v>19</v>
      </c>
      <c r="L12583" t="s">
        <v>508</v>
      </c>
      <c r="M12583" t="s">
        <v>50</v>
      </c>
      <c r="N12583" t="s">
        <v>29</v>
      </c>
    </row>
    <row r="12584" spans="1:14">
      <c r="A12584" s="4" t="str">
        <f t="shared" si="1098"/>
        <v>EXP00407</v>
      </c>
      <c r="B12584" s="3" t="s">
        <v>66</v>
      </c>
      <c r="C12584" s="4" t="str">
        <f t="shared" si="1096"/>
        <v>TCGA-BLCA</v>
      </c>
      <c r="D12584" s="1" t="s">
        <v>493</v>
      </c>
      <c r="E12584" t="s">
        <v>516</v>
      </c>
      <c r="F12584" s="1">
        <v>1</v>
      </c>
      <c r="G12584" s="1" t="s">
        <v>31</v>
      </c>
      <c r="H12584" s="4" t="str">
        <f>HYPERLINK("https://portal.gdc.cancer.gov/cases/d63c186d-add6-492e-8250-e83f46d39d00","TCGA-DK-A3WX-01A")</f>
        <v>TCGA-DK-A3WX-01A</v>
      </c>
      <c r="I12584" t="s">
        <v>506</v>
      </c>
      <c r="J12584" t="s">
        <v>507</v>
      </c>
      <c r="K12584" t="s">
        <v>19</v>
      </c>
      <c r="L12584" t="s">
        <v>508</v>
      </c>
      <c r="M12584" t="s">
        <v>512</v>
      </c>
      <c r="N12584" t="s">
        <v>29</v>
      </c>
    </row>
    <row r="12585" spans="1:14">
      <c r="A12585" s="4" t="str">
        <f t="shared" si="1098"/>
        <v>EXP00407</v>
      </c>
      <c r="B12585" s="3" t="s">
        <v>66</v>
      </c>
      <c r="C12585" s="4" t="str">
        <f t="shared" si="1096"/>
        <v>TCGA-BLCA</v>
      </c>
      <c r="D12585" s="1" t="s">
        <v>493</v>
      </c>
      <c r="E12585" t="s">
        <v>516</v>
      </c>
      <c r="F12585" s="1">
        <v>1</v>
      </c>
      <c r="G12585" s="1" t="s">
        <v>31</v>
      </c>
      <c r="H12585" s="4" t="str">
        <f>HYPERLINK("https://portal.gdc.cancer.gov/cases/40551d53-388b-4067-9341-76e94d023703","TCGA-DK-A3X2-01A")</f>
        <v>TCGA-DK-A3X2-01A</v>
      </c>
      <c r="I12585" t="s">
        <v>506</v>
      </c>
      <c r="J12585" t="s">
        <v>507</v>
      </c>
      <c r="K12585" t="s">
        <v>19</v>
      </c>
      <c r="L12585" t="s">
        <v>508</v>
      </c>
      <c r="M12585" t="s">
        <v>510</v>
      </c>
      <c r="N12585" t="s">
        <v>29</v>
      </c>
    </row>
    <row r="12586" spans="1:14">
      <c r="A12586" s="4" t="str">
        <f t="shared" si="1098"/>
        <v>EXP00407</v>
      </c>
      <c r="B12586" s="3" t="s">
        <v>66</v>
      </c>
      <c r="C12586" s="4" t="str">
        <f t="shared" si="1096"/>
        <v>TCGA-BLCA</v>
      </c>
      <c r="D12586" s="1" t="s">
        <v>493</v>
      </c>
      <c r="E12586" t="s">
        <v>516</v>
      </c>
      <c r="F12586" s="1">
        <v>1</v>
      </c>
      <c r="G12586" s="1" t="s">
        <v>31</v>
      </c>
      <c r="H12586" s="4" t="str">
        <f>HYPERLINK("https://portal.gdc.cancer.gov/cases/10c825d7-4e21-43e7-ac95-dda75fbdaf74","TCGA-DK-A6B2-01A")</f>
        <v>TCGA-DK-A6B2-01A</v>
      </c>
      <c r="I12586" t="s">
        <v>506</v>
      </c>
      <c r="J12586" t="s">
        <v>507</v>
      </c>
      <c r="K12586" t="s">
        <v>19</v>
      </c>
      <c r="L12586" t="s">
        <v>508</v>
      </c>
      <c r="M12586" t="s">
        <v>519</v>
      </c>
      <c r="N12586" t="s">
        <v>29</v>
      </c>
    </row>
    <row r="12587" spans="1:14">
      <c r="A12587" s="4" t="str">
        <f t="shared" si="1098"/>
        <v>EXP00407</v>
      </c>
      <c r="B12587" s="3" t="s">
        <v>66</v>
      </c>
      <c r="C12587" s="4" t="str">
        <f t="shared" si="1096"/>
        <v>TCGA-BLCA</v>
      </c>
      <c r="D12587" s="1" t="s">
        <v>493</v>
      </c>
      <c r="E12587" t="s">
        <v>516</v>
      </c>
      <c r="F12587" s="1">
        <v>1</v>
      </c>
      <c r="G12587" s="1" t="s">
        <v>31</v>
      </c>
      <c r="H12587" s="4" t="str">
        <f>HYPERLINK("https://portal.gdc.cancer.gov/cases/cbe6c328-f7e1-44b2-b4e5-b495f46a7fb7","TCGA-DK-AA6L-01A")</f>
        <v>TCGA-DK-AA6L-01A</v>
      </c>
      <c r="I12587" t="s">
        <v>506</v>
      </c>
      <c r="J12587" t="s">
        <v>507</v>
      </c>
      <c r="K12587" t="s">
        <v>19</v>
      </c>
      <c r="L12587" t="s">
        <v>508</v>
      </c>
      <c r="M12587" t="s">
        <v>50</v>
      </c>
      <c r="N12587" t="s">
        <v>29</v>
      </c>
    </row>
    <row r="12588" spans="1:14">
      <c r="A12588" s="4" t="str">
        <f t="shared" si="1098"/>
        <v>EXP00407</v>
      </c>
      <c r="B12588" s="3" t="s">
        <v>66</v>
      </c>
      <c r="C12588" s="4" t="str">
        <f t="shared" si="1096"/>
        <v>TCGA-BLCA</v>
      </c>
      <c r="D12588" s="1" t="s">
        <v>493</v>
      </c>
      <c r="E12588" t="s">
        <v>516</v>
      </c>
      <c r="F12588" s="1">
        <v>1</v>
      </c>
      <c r="G12588" s="1" t="s">
        <v>31</v>
      </c>
      <c r="H12588" s="4" t="str">
        <f>HYPERLINK("https://portal.gdc.cancer.gov/cases/4e702ca1-c0e0-4b9c-b9c7-7d7946818561","TCGA-DK-AA6P-01A")</f>
        <v>TCGA-DK-AA6P-01A</v>
      </c>
      <c r="I12588" t="s">
        <v>506</v>
      </c>
      <c r="J12588" t="s">
        <v>507</v>
      </c>
      <c r="K12588" t="s">
        <v>19</v>
      </c>
      <c r="L12588" t="s">
        <v>508</v>
      </c>
      <c r="M12588" t="s">
        <v>50</v>
      </c>
      <c r="N12588" t="s">
        <v>29</v>
      </c>
    </row>
    <row r="12589" spans="1:14">
      <c r="A12589" s="4" t="str">
        <f t="shared" si="1098"/>
        <v>EXP00407</v>
      </c>
      <c r="B12589" s="3" t="s">
        <v>66</v>
      </c>
      <c r="C12589" s="4" t="str">
        <f t="shared" si="1096"/>
        <v>TCGA-BLCA</v>
      </c>
      <c r="D12589" s="1" t="s">
        <v>493</v>
      </c>
      <c r="E12589" t="s">
        <v>516</v>
      </c>
      <c r="F12589" s="1">
        <v>1</v>
      </c>
      <c r="G12589" s="1" t="s">
        <v>31</v>
      </c>
      <c r="H12589" s="4" t="str">
        <f>HYPERLINK("https://portal.gdc.cancer.gov/cases/60419f8c-92c2-4e8f-b2fa-a767d30c9d59","TCGA-DK-AA6Q-01A")</f>
        <v>TCGA-DK-AA6Q-01A</v>
      </c>
      <c r="I12589" t="s">
        <v>506</v>
      </c>
      <c r="J12589" t="s">
        <v>507</v>
      </c>
      <c r="K12589" t="s">
        <v>19</v>
      </c>
      <c r="L12589" t="s">
        <v>508</v>
      </c>
      <c r="M12589" t="s">
        <v>44</v>
      </c>
      <c r="N12589" t="s">
        <v>29</v>
      </c>
    </row>
    <row r="12590" spans="1:14">
      <c r="A12590" s="4" t="str">
        <f t="shared" si="1098"/>
        <v>EXP00407</v>
      </c>
      <c r="B12590" s="3" t="s">
        <v>66</v>
      </c>
      <c r="C12590" s="4" t="str">
        <f t="shared" si="1096"/>
        <v>TCGA-BLCA</v>
      </c>
      <c r="D12590" s="1" t="s">
        <v>493</v>
      </c>
      <c r="E12590" t="s">
        <v>516</v>
      </c>
      <c r="F12590" s="1">
        <v>1</v>
      </c>
      <c r="G12590" s="1" t="s">
        <v>31</v>
      </c>
      <c r="H12590" s="4" t="str">
        <f>HYPERLINK("https://portal.gdc.cancer.gov/cases/cea28eac-4442-4436-b737-536e45b89989","TCGA-DK-AA75-01A")</f>
        <v>TCGA-DK-AA75-01A</v>
      </c>
      <c r="I12590" t="s">
        <v>506</v>
      </c>
      <c r="J12590" t="s">
        <v>507</v>
      </c>
      <c r="K12590" t="s">
        <v>19</v>
      </c>
      <c r="L12590" t="s">
        <v>508</v>
      </c>
      <c r="M12590" t="s">
        <v>50</v>
      </c>
      <c r="N12590" t="s">
        <v>29</v>
      </c>
    </row>
    <row r="12591" spans="1:14">
      <c r="A12591" s="4" t="str">
        <f t="shared" si="1098"/>
        <v>EXP00407</v>
      </c>
      <c r="B12591" s="3" t="s">
        <v>66</v>
      </c>
      <c r="C12591" s="4" t="str">
        <f t="shared" si="1096"/>
        <v>TCGA-BLCA</v>
      </c>
      <c r="D12591" s="1" t="s">
        <v>493</v>
      </c>
      <c r="E12591" t="s">
        <v>516</v>
      </c>
      <c r="F12591" s="1">
        <v>1</v>
      </c>
      <c r="G12591" s="1" t="s">
        <v>31</v>
      </c>
      <c r="H12591" s="4" t="str">
        <f>HYPERLINK("https://portal.gdc.cancer.gov/cases/1c28f311-e0b0-4292-b29a-c6757665a4a4","TCGA-E5-A4U1-01A")</f>
        <v>TCGA-E5-A4U1-01A</v>
      </c>
      <c r="I12591" t="s">
        <v>506</v>
      </c>
      <c r="J12591" t="s">
        <v>507</v>
      </c>
      <c r="K12591" t="s">
        <v>19</v>
      </c>
      <c r="L12591" t="s">
        <v>508</v>
      </c>
      <c r="M12591" t="s">
        <v>50</v>
      </c>
      <c r="N12591" t="s">
        <v>29</v>
      </c>
    </row>
    <row r="12592" spans="1:14">
      <c r="A12592" s="4" t="str">
        <f t="shared" si="1098"/>
        <v>EXP00407</v>
      </c>
      <c r="B12592" s="3" t="s">
        <v>66</v>
      </c>
      <c r="C12592" s="4" t="str">
        <f t="shared" si="1096"/>
        <v>TCGA-BLCA</v>
      </c>
      <c r="D12592" s="1" t="s">
        <v>493</v>
      </c>
      <c r="E12592" t="s">
        <v>516</v>
      </c>
      <c r="F12592" s="1">
        <v>1</v>
      </c>
      <c r="G12592" s="1" t="s">
        <v>31</v>
      </c>
      <c r="H12592" s="4" t="str">
        <f>HYPERLINK("https://portal.gdc.cancer.gov/cases/6d8d8169-0c1a-4cdb-be6f-9761c981a369","TCGA-FD-A3SJ-01A")</f>
        <v>TCGA-FD-A3SJ-01A</v>
      </c>
      <c r="I12592" t="s">
        <v>506</v>
      </c>
      <c r="J12592" t="s">
        <v>507</v>
      </c>
      <c r="K12592" t="s">
        <v>19</v>
      </c>
      <c r="L12592" t="s">
        <v>508</v>
      </c>
      <c r="M12592" t="s">
        <v>520</v>
      </c>
      <c r="N12592" t="s">
        <v>29</v>
      </c>
    </row>
    <row r="12593" spans="1:14">
      <c r="A12593" s="4" t="str">
        <f t="shared" si="1098"/>
        <v>EXP00407</v>
      </c>
      <c r="B12593" s="3" t="s">
        <v>66</v>
      </c>
      <c r="C12593" s="4" t="str">
        <f t="shared" si="1096"/>
        <v>TCGA-BLCA</v>
      </c>
      <c r="D12593" s="1" t="s">
        <v>493</v>
      </c>
      <c r="E12593" t="s">
        <v>516</v>
      </c>
      <c r="F12593" s="1">
        <v>1</v>
      </c>
      <c r="G12593" s="1" t="s">
        <v>31</v>
      </c>
      <c r="H12593" s="4" t="str">
        <f>HYPERLINK("https://portal.gdc.cancer.gov/cases/0fb043d3-d86b-4cd8-8c01-9e2b3e965bb0","TCGA-FD-A3SN-01A")</f>
        <v>TCGA-FD-A3SN-01A</v>
      </c>
      <c r="I12593" t="s">
        <v>506</v>
      </c>
      <c r="J12593" t="s">
        <v>507</v>
      </c>
      <c r="K12593" t="s">
        <v>19</v>
      </c>
      <c r="L12593" t="s">
        <v>508</v>
      </c>
      <c r="M12593" t="s">
        <v>41</v>
      </c>
      <c r="N12593" t="s">
        <v>29</v>
      </c>
    </row>
    <row r="12594" spans="1:14">
      <c r="A12594" s="4" t="str">
        <f t="shared" si="1098"/>
        <v>EXP00407</v>
      </c>
      <c r="B12594" s="3" t="s">
        <v>66</v>
      </c>
      <c r="C12594" s="4" t="str">
        <f t="shared" si="1096"/>
        <v>TCGA-BLCA</v>
      </c>
      <c r="D12594" s="1" t="s">
        <v>493</v>
      </c>
      <c r="E12594" t="s">
        <v>516</v>
      </c>
      <c r="F12594" s="1">
        <v>1</v>
      </c>
      <c r="G12594" s="1" t="s">
        <v>31</v>
      </c>
      <c r="H12594" s="4" t="str">
        <f>HYPERLINK("https://portal.gdc.cancer.gov/cases/ac187cd1-a5ef-47da-88b2-1d4df27e0e76","TCGA-FD-A5BZ-01A")</f>
        <v>TCGA-FD-A5BZ-01A</v>
      </c>
      <c r="I12594" t="s">
        <v>506</v>
      </c>
      <c r="J12594" t="s">
        <v>507</v>
      </c>
      <c r="K12594" t="s">
        <v>19</v>
      </c>
      <c r="L12594" t="s">
        <v>508</v>
      </c>
      <c r="M12594" t="s">
        <v>50</v>
      </c>
      <c r="N12594" t="s">
        <v>29</v>
      </c>
    </row>
    <row r="12595" spans="1:14">
      <c r="A12595" s="4" t="str">
        <f t="shared" si="1098"/>
        <v>EXP00407</v>
      </c>
      <c r="B12595" s="3" t="s">
        <v>66</v>
      </c>
      <c r="C12595" s="4" t="str">
        <f t="shared" si="1096"/>
        <v>TCGA-BLCA</v>
      </c>
      <c r="D12595" s="1" t="s">
        <v>493</v>
      </c>
      <c r="E12595" t="s">
        <v>516</v>
      </c>
      <c r="F12595" s="1">
        <v>1</v>
      </c>
      <c r="G12595" s="1" t="s">
        <v>31</v>
      </c>
      <c r="H12595" s="4" t="str">
        <f>HYPERLINK("https://portal.gdc.cancer.gov/cases/f632bc31-3aa0-4783-b10b-818ecb26d40b","TCGA-GU-A763-01A")</f>
        <v>TCGA-GU-A763-01A</v>
      </c>
      <c r="I12595" t="s">
        <v>506</v>
      </c>
      <c r="J12595" t="s">
        <v>507</v>
      </c>
      <c r="K12595" t="s">
        <v>19</v>
      </c>
      <c r="L12595" t="s">
        <v>508</v>
      </c>
      <c r="M12595" t="s">
        <v>41</v>
      </c>
      <c r="N12595" t="s">
        <v>29</v>
      </c>
    </row>
    <row r="12596" spans="1:14">
      <c r="A12596" s="4" t="str">
        <f t="shared" si="1098"/>
        <v>EXP00407</v>
      </c>
      <c r="B12596" s="3" t="s">
        <v>66</v>
      </c>
      <c r="C12596" s="4" t="str">
        <f t="shared" si="1096"/>
        <v>TCGA-BLCA</v>
      </c>
      <c r="D12596" s="1" t="s">
        <v>493</v>
      </c>
      <c r="E12596" t="s">
        <v>516</v>
      </c>
      <c r="F12596" s="1">
        <v>1</v>
      </c>
      <c r="G12596" s="1" t="s">
        <v>31</v>
      </c>
      <c r="H12596" s="4" t="str">
        <f>HYPERLINK("https://portal.gdc.cancer.gov/cases/79f23a0e-5aae-4618-8191-7dd7c0552408","TCGA-GV-A3QG-01A")</f>
        <v>TCGA-GV-A3QG-01A</v>
      </c>
      <c r="I12596" t="s">
        <v>506</v>
      </c>
      <c r="J12596" t="s">
        <v>507</v>
      </c>
      <c r="K12596" t="s">
        <v>19</v>
      </c>
      <c r="L12596" t="s">
        <v>508</v>
      </c>
      <c r="M12596" t="s">
        <v>41</v>
      </c>
      <c r="N12596" t="s">
        <v>29</v>
      </c>
    </row>
    <row r="12597" spans="1:14">
      <c r="A12597" s="4" t="str">
        <f t="shared" si="1098"/>
        <v>EXP00407</v>
      </c>
      <c r="B12597" s="3" t="s">
        <v>66</v>
      </c>
      <c r="C12597" s="4" t="str">
        <f t="shared" si="1096"/>
        <v>TCGA-BLCA</v>
      </c>
      <c r="D12597" s="1" t="s">
        <v>493</v>
      </c>
      <c r="E12597" t="s">
        <v>516</v>
      </c>
      <c r="F12597" s="1">
        <v>1</v>
      </c>
      <c r="G12597" s="1" t="s">
        <v>31</v>
      </c>
      <c r="H12597" s="4" t="str">
        <f>HYPERLINK("https://portal.gdc.cancer.gov/cases/001944e5-af34-4061-9c09-bb9ea346f6fd","TCGA-HQ-A5ND-01A")</f>
        <v>TCGA-HQ-A5ND-01A</v>
      </c>
      <c r="I12597" t="s">
        <v>506</v>
      </c>
      <c r="J12597" t="s">
        <v>507</v>
      </c>
      <c r="K12597" t="s">
        <v>19</v>
      </c>
      <c r="L12597" t="s">
        <v>508</v>
      </c>
      <c r="M12597" t="s">
        <v>24</v>
      </c>
      <c r="N12597" t="s">
        <v>29</v>
      </c>
    </row>
    <row r="12598" spans="1:14">
      <c r="A12598" s="4" t="str">
        <f t="shared" si="1098"/>
        <v>EXP00407</v>
      </c>
      <c r="B12598" s="3" t="s">
        <v>66</v>
      </c>
      <c r="C12598" s="4" t="str">
        <f t="shared" si="1096"/>
        <v>TCGA-BLCA</v>
      </c>
      <c r="D12598" s="1" t="s">
        <v>493</v>
      </c>
      <c r="E12598" t="s">
        <v>516</v>
      </c>
      <c r="F12598" s="1">
        <v>1</v>
      </c>
      <c r="G12598" s="1" t="s">
        <v>31</v>
      </c>
      <c r="H12598" s="4" t="str">
        <f>HYPERLINK("https://portal.gdc.cancer.gov/cases/eeca58fe-b5cb-4d13-a93f-a5a2ca00b6e2","TCGA-K4-A5RH-01A")</f>
        <v>TCGA-K4-A5RH-01A</v>
      </c>
      <c r="I12598" t="s">
        <v>506</v>
      </c>
      <c r="J12598" t="s">
        <v>507</v>
      </c>
      <c r="K12598" t="s">
        <v>19</v>
      </c>
      <c r="L12598" t="s">
        <v>508</v>
      </c>
      <c r="M12598" t="s">
        <v>41</v>
      </c>
      <c r="N12598" t="s">
        <v>29</v>
      </c>
    </row>
    <row r="12599" spans="1:14">
      <c r="A12599" s="4" t="str">
        <f t="shared" si="1098"/>
        <v>EXP00407</v>
      </c>
      <c r="B12599" s="3" t="s">
        <v>66</v>
      </c>
      <c r="C12599" s="4" t="str">
        <f t="shared" si="1096"/>
        <v>TCGA-BLCA</v>
      </c>
      <c r="D12599" s="1" t="s">
        <v>493</v>
      </c>
      <c r="E12599" t="s">
        <v>516</v>
      </c>
      <c r="F12599" s="1">
        <v>1</v>
      </c>
      <c r="G12599" s="1" t="s">
        <v>31</v>
      </c>
      <c r="H12599" s="4" t="str">
        <f>HYPERLINK("https://portal.gdc.cancer.gov/cases/aa14ffb4-a715-4636-8251-73d019dddd8c","TCGA-K4-A83P-01A")</f>
        <v>TCGA-K4-A83P-01A</v>
      </c>
      <c r="I12599" t="s">
        <v>506</v>
      </c>
      <c r="J12599" t="s">
        <v>507</v>
      </c>
      <c r="K12599" t="s">
        <v>19</v>
      </c>
      <c r="L12599" t="s">
        <v>508</v>
      </c>
      <c r="M12599" t="s">
        <v>44</v>
      </c>
      <c r="N12599" t="s">
        <v>29</v>
      </c>
    </row>
    <row r="12600" spans="1:14">
      <c r="A12600" s="4" t="str">
        <f t="shared" si="1098"/>
        <v>EXP00407</v>
      </c>
      <c r="B12600" s="3" t="s">
        <v>66</v>
      </c>
      <c r="C12600" s="4" t="str">
        <f t="shared" si="1096"/>
        <v>TCGA-BLCA</v>
      </c>
      <c r="D12600" s="1" t="s">
        <v>493</v>
      </c>
      <c r="E12600" t="s">
        <v>516</v>
      </c>
      <c r="F12600" s="1">
        <v>1</v>
      </c>
      <c r="G12600" s="1" t="s">
        <v>31</v>
      </c>
      <c r="H12600" s="4" t="str">
        <f>HYPERLINK("https://portal.gdc.cancer.gov/cases/b9b61cf9-8711-4c3a-8511-659070cfe36b","TCGA-XF-A8HG-01A")</f>
        <v>TCGA-XF-A8HG-01A</v>
      </c>
      <c r="I12600" t="s">
        <v>506</v>
      </c>
      <c r="J12600" t="s">
        <v>507</v>
      </c>
      <c r="K12600" t="s">
        <v>19</v>
      </c>
      <c r="L12600" t="s">
        <v>508</v>
      </c>
      <c r="M12600" t="s">
        <v>44</v>
      </c>
      <c r="N12600" t="s">
        <v>29</v>
      </c>
    </row>
    <row r="12601" spans="1:14">
      <c r="A12601" s="4" t="str">
        <f t="shared" si="1098"/>
        <v>EXP00407</v>
      </c>
      <c r="B12601" s="3" t="s">
        <v>66</v>
      </c>
      <c r="C12601" s="4" t="str">
        <f t="shared" si="1096"/>
        <v>TCGA-BLCA</v>
      </c>
      <c r="D12601" s="1" t="s">
        <v>493</v>
      </c>
      <c r="E12601" t="s">
        <v>516</v>
      </c>
      <c r="F12601" s="1">
        <v>1</v>
      </c>
      <c r="G12601" s="1" t="s">
        <v>31</v>
      </c>
      <c r="H12601" s="4" t="str">
        <f>HYPERLINK("https://portal.gdc.cancer.gov/cases/eed3908f-f1bd-4254-bca8-bc1a7427e95c","TCGA-XF-A8HI-01A")</f>
        <v>TCGA-XF-A8HI-01A</v>
      </c>
      <c r="I12601" t="s">
        <v>506</v>
      </c>
      <c r="J12601" t="s">
        <v>507</v>
      </c>
      <c r="K12601" t="s">
        <v>19</v>
      </c>
      <c r="L12601" t="s">
        <v>508</v>
      </c>
      <c r="M12601" t="s">
        <v>135</v>
      </c>
      <c r="N12601" t="s">
        <v>29</v>
      </c>
    </row>
    <row r="12602" spans="1:14">
      <c r="A12602" s="4" t="str">
        <f t="shared" si="1098"/>
        <v>EXP00407</v>
      </c>
      <c r="B12602" s="3" t="s">
        <v>66</v>
      </c>
      <c r="C12602" s="4" t="str">
        <f t="shared" si="1096"/>
        <v>TCGA-BLCA</v>
      </c>
      <c r="D12602" s="1" t="s">
        <v>493</v>
      </c>
      <c r="E12602" t="s">
        <v>516</v>
      </c>
      <c r="F12602" s="1">
        <v>1</v>
      </c>
      <c r="G12602" s="1" t="s">
        <v>31</v>
      </c>
      <c r="H12602" s="4" t="str">
        <f>HYPERLINK("https://portal.gdc.cancer.gov/cases/03f588d6-832e-47d8-a9c4-af6640a1a635","TCGA-XF-A9SK-01A")</f>
        <v>TCGA-XF-A9SK-01A</v>
      </c>
      <c r="I12602" t="s">
        <v>506</v>
      </c>
      <c r="J12602" t="s">
        <v>507</v>
      </c>
      <c r="K12602" t="s">
        <v>19</v>
      </c>
      <c r="L12602" t="s">
        <v>508</v>
      </c>
      <c r="M12602" t="s">
        <v>50</v>
      </c>
      <c r="N12602" t="s">
        <v>29</v>
      </c>
    </row>
    <row r="12603" spans="1:14">
      <c r="A12603" s="4" t="str">
        <f t="shared" si="1098"/>
        <v>EXP00407</v>
      </c>
      <c r="B12603" s="3" t="s">
        <v>66</v>
      </c>
      <c r="C12603" s="4" t="str">
        <f t="shared" si="1096"/>
        <v>TCGA-BLCA</v>
      </c>
      <c r="D12603" s="1" t="s">
        <v>493</v>
      </c>
      <c r="E12603" t="s">
        <v>516</v>
      </c>
      <c r="F12603" s="1">
        <v>1</v>
      </c>
      <c r="G12603" s="1" t="s">
        <v>31</v>
      </c>
      <c r="H12603" s="4" t="str">
        <f>HYPERLINK("https://portal.gdc.cancer.gov/cases/42bcf1a7-2f3a-4ed8-a41d-cdd67e65b928","TCGA-XF-A9SU-01A")</f>
        <v>TCGA-XF-A9SU-01A</v>
      </c>
      <c r="I12603" t="s">
        <v>506</v>
      </c>
      <c r="J12603" t="s">
        <v>507</v>
      </c>
      <c r="K12603" t="s">
        <v>19</v>
      </c>
      <c r="L12603" t="s">
        <v>508</v>
      </c>
      <c r="M12603" t="s">
        <v>510</v>
      </c>
      <c r="N12603" t="s">
        <v>29</v>
      </c>
    </row>
    <row r="12604" spans="1:14">
      <c r="A12604" s="4" t="str">
        <f t="shared" si="1098"/>
        <v>EXP00407</v>
      </c>
      <c r="B12604" s="3" t="s">
        <v>66</v>
      </c>
      <c r="C12604" s="4" t="str">
        <f t="shared" si="1096"/>
        <v>TCGA-BLCA</v>
      </c>
      <c r="D12604" s="1" t="s">
        <v>493</v>
      </c>
      <c r="E12604" t="s">
        <v>516</v>
      </c>
      <c r="F12604" s="1">
        <v>1</v>
      </c>
      <c r="G12604" s="1" t="s">
        <v>31</v>
      </c>
      <c r="H12604" s="4" t="str">
        <f>HYPERLINK("https://portal.gdc.cancer.gov/cases/cdfd86db-15e2-4d38-a717-2207e8de2d8f","TCGA-XF-A9SV-01A")</f>
        <v>TCGA-XF-A9SV-01A</v>
      </c>
      <c r="I12604" t="s">
        <v>506</v>
      </c>
      <c r="J12604" t="s">
        <v>507</v>
      </c>
      <c r="K12604" t="s">
        <v>19</v>
      </c>
      <c r="L12604" t="s">
        <v>508</v>
      </c>
      <c r="M12604" t="s">
        <v>41</v>
      </c>
      <c r="N12604" t="s">
        <v>29</v>
      </c>
    </row>
    <row r="12605" spans="1:14">
      <c r="A12605" s="4" t="str">
        <f t="shared" si="1098"/>
        <v>EXP00407</v>
      </c>
      <c r="B12605" s="3" t="s">
        <v>66</v>
      </c>
      <c r="C12605" s="4" t="str">
        <f t="shared" si="1096"/>
        <v>TCGA-BLCA</v>
      </c>
      <c r="D12605" s="1" t="s">
        <v>493</v>
      </c>
      <c r="E12605" t="s">
        <v>516</v>
      </c>
      <c r="F12605" s="1">
        <v>1</v>
      </c>
      <c r="G12605" s="1" t="s">
        <v>31</v>
      </c>
      <c r="H12605" s="4" t="str">
        <f>HYPERLINK("https://portal.gdc.cancer.gov/cases/a648d9bf-cf37-41fc-9515-e8f5ac85fcd4","TCGA-XF-A9SX-01A")</f>
        <v>TCGA-XF-A9SX-01A</v>
      </c>
      <c r="I12605" t="s">
        <v>506</v>
      </c>
      <c r="J12605" t="s">
        <v>507</v>
      </c>
      <c r="K12605" t="s">
        <v>19</v>
      </c>
      <c r="L12605" t="s">
        <v>508</v>
      </c>
      <c r="M12605" t="s">
        <v>41</v>
      </c>
      <c r="N12605" t="s">
        <v>29</v>
      </c>
    </row>
    <row r="12606" spans="1:14">
      <c r="A12606" s="4" t="str">
        <f t="shared" si="1098"/>
        <v>EXP00407</v>
      </c>
      <c r="B12606" s="3" t="s">
        <v>66</v>
      </c>
      <c r="C12606" s="4" t="str">
        <f t="shared" si="1096"/>
        <v>TCGA-BLCA</v>
      </c>
      <c r="D12606" s="1" t="s">
        <v>493</v>
      </c>
      <c r="E12606" t="s">
        <v>516</v>
      </c>
      <c r="F12606" s="1">
        <v>1</v>
      </c>
      <c r="G12606" s="1" t="s">
        <v>31</v>
      </c>
      <c r="H12606" s="4" t="str">
        <f>HYPERLINK("https://portal.gdc.cancer.gov/cases/dc321b92-7275-48c9-adeb-7670db3195ef","TCGA-XF-A9SZ-01A")</f>
        <v>TCGA-XF-A9SZ-01A</v>
      </c>
      <c r="I12606" t="s">
        <v>506</v>
      </c>
      <c r="J12606" t="s">
        <v>507</v>
      </c>
      <c r="K12606" t="s">
        <v>19</v>
      </c>
      <c r="L12606" t="s">
        <v>508</v>
      </c>
      <c r="M12606" t="s">
        <v>499</v>
      </c>
      <c r="N12606" t="s">
        <v>29</v>
      </c>
    </row>
    <row r="12607" spans="1:14">
      <c r="A12607" s="4" t="str">
        <f t="shared" si="1098"/>
        <v>EXP00407</v>
      </c>
      <c r="B12607" s="3" t="s">
        <v>66</v>
      </c>
      <c r="C12607" s="4" t="str">
        <f t="shared" si="1096"/>
        <v>TCGA-BLCA</v>
      </c>
      <c r="D12607" s="1" t="s">
        <v>493</v>
      </c>
      <c r="E12607" t="s">
        <v>516</v>
      </c>
      <c r="F12607" s="1">
        <v>1</v>
      </c>
      <c r="G12607" s="1" t="s">
        <v>31</v>
      </c>
      <c r="H12607" s="4" t="str">
        <f>HYPERLINK("https://portal.gdc.cancer.gov/cases/f9a03eaa-a228-429c-99c5-8e877379db0f","TCGA-XF-A9T4-01A")</f>
        <v>TCGA-XF-A9T4-01A</v>
      </c>
      <c r="I12607" t="s">
        <v>506</v>
      </c>
      <c r="J12607" t="s">
        <v>507</v>
      </c>
      <c r="K12607" t="s">
        <v>19</v>
      </c>
      <c r="L12607" t="s">
        <v>508</v>
      </c>
      <c r="M12607" t="s">
        <v>41</v>
      </c>
      <c r="N12607" t="s">
        <v>29</v>
      </c>
    </row>
    <row r="12608" spans="1:14">
      <c r="A12608" s="4" t="str">
        <f t="shared" si="1098"/>
        <v>EXP00407</v>
      </c>
      <c r="B12608" s="3" t="s">
        <v>66</v>
      </c>
      <c r="C12608" s="4" t="str">
        <f t="shared" si="1096"/>
        <v>TCGA-BLCA</v>
      </c>
      <c r="D12608" s="1" t="s">
        <v>493</v>
      </c>
      <c r="E12608" t="s">
        <v>516</v>
      </c>
      <c r="F12608" s="1">
        <v>1</v>
      </c>
      <c r="G12608" s="1" t="s">
        <v>31</v>
      </c>
      <c r="H12608" s="4" t="str">
        <f>HYPERLINK("https://portal.gdc.cancer.gov/cases/c8388ac0-975d-4f1e-8324-8cabdc75738d","TCGA-XF-AAME-01A")</f>
        <v>TCGA-XF-AAME-01A</v>
      </c>
      <c r="I12608" t="s">
        <v>506</v>
      </c>
      <c r="J12608" t="s">
        <v>507</v>
      </c>
      <c r="K12608" t="s">
        <v>19</v>
      </c>
      <c r="L12608" t="s">
        <v>508</v>
      </c>
      <c r="M12608" t="s">
        <v>499</v>
      </c>
      <c r="N12608" t="s">
        <v>29</v>
      </c>
    </row>
    <row r="12609" spans="1:14">
      <c r="A12609" s="4" t="str">
        <f t="shared" si="1098"/>
        <v>EXP00407</v>
      </c>
      <c r="B12609" s="3" t="s">
        <v>66</v>
      </c>
      <c r="C12609" s="4" t="str">
        <f t="shared" si="1096"/>
        <v>TCGA-BLCA</v>
      </c>
      <c r="D12609" s="1" t="s">
        <v>493</v>
      </c>
      <c r="E12609" t="s">
        <v>516</v>
      </c>
      <c r="F12609" s="1">
        <v>1</v>
      </c>
      <c r="G12609" s="1" t="s">
        <v>31</v>
      </c>
      <c r="H12609" s="4" t="str">
        <f>HYPERLINK("https://portal.gdc.cancer.gov/cases/9d2b19eb-bd61-490e-982b-fadf2c4aadf7","TCGA-XF-AAMY-01A")</f>
        <v>TCGA-XF-AAMY-01A</v>
      </c>
      <c r="I12609" t="s">
        <v>506</v>
      </c>
      <c r="J12609" t="s">
        <v>507</v>
      </c>
      <c r="K12609" t="s">
        <v>19</v>
      </c>
      <c r="L12609" t="s">
        <v>508</v>
      </c>
      <c r="M12609" t="s">
        <v>41</v>
      </c>
      <c r="N12609" t="s">
        <v>29</v>
      </c>
    </row>
    <row r="12610" spans="1:14">
      <c r="A12610" s="4" t="str">
        <f t="shared" si="1098"/>
        <v>EXP00407</v>
      </c>
      <c r="B12610" s="3" t="s">
        <v>66</v>
      </c>
      <c r="C12610" s="4" t="str">
        <f t="shared" si="1096"/>
        <v>TCGA-BLCA</v>
      </c>
      <c r="D12610" s="1" t="s">
        <v>493</v>
      </c>
      <c r="E12610" t="s">
        <v>516</v>
      </c>
      <c r="F12610" s="1">
        <v>1</v>
      </c>
      <c r="G12610" s="1" t="s">
        <v>31</v>
      </c>
      <c r="H12610" s="4" t="str">
        <f>HYPERLINK("https://portal.gdc.cancer.gov/cases/ebad8bc9-f196-4f53-bfea-de38488eb4e1","TCGA-ZF-A9R9-01A")</f>
        <v>TCGA-ZF-A9R9-01A</v>
      </c>
      <c r="I12610" t="s">
        <v>506</v>
      </c>
      <c r="J12610" t="s">
        <v>507</v>
      </c>
      <c r="K12610" t="s">
        <v>19</v>
      </c>
      <c r="L12610" t="s">
        <v>508</v>
      </c>
      <c r="M12610" t="s">
        <v>521</v>
      </c>
      <c r="N12610" t="s">
        <v>29</v>
      </c>
    </row>
    <row r="12611" spans="1:14">
      <c r="A12611" s="4" t="str">
        <f t="shared" si="1098"/>
        <v>EXP00407</v>
      </c>
      <c r="B12611" s="3" t="s">
        <v>66</v>
      </c>
      <c r="C12611" s="4" t="str">
        <f t="shared" si="1096"/>
        <v>TCGA-BLCA</v>
      </c>
      <c r="D12611" s="1" t="s">
        <v>493</v>
      </c>
      <c r="E12611" t="s">
        <v>516</v>
      </c>
      <c r="F12611" s="1">
        <v>1</v>
      </c>
      <c r="G12611" s="1" t="s">
        <v>31</v>
      </c>
      <c r="H12611" s="4" t="str">
        <f>HYPERLINK("https://portal.gdc.cancer.gov/cases/73db40ce-2ba7-4a56-aef2-b78d2c744be1","TCGA-ZF-A9RN-01A")</f>
        <v>TCGA-ZF-A9RN-01A</v>
      </c>
      <c r="I12611" t="s">
        <v>506</v>
      </c>
      <c r="J12611" t="s">
        <v>507</v>
      </c>
      <c r="K12611" t="s">
        <v>19</v>
      </c>
      <c r="L12611" t="s">
        <v>508</v>
      </c>
      <c r="M12611" t="s">
        <v>41</v>
      </c>
      <c r="N12611" t="s">
        <v>29</v>
      </c>
    </row>
    <row r="12612" spans="1:14">
      <c r="A12612" s="4" t="str">
        <f t="shared" si="1098"/>
        <v>EXP00407</v>
      </c>
      <c r="B12612" s="3" t="s">
        <v>66</v>
      </c>
      <c r="C12612" s="4" t="str">
        <f t="shared" si="1096"/>
        <v>TCGA-BLCA</v>
      </c>
      <c r="D12612" s="1" t="s">
        <v>493</v>
      </c>
      <c r="E12612" t="s">
        <v>516</v>
      </c>
      <c r="F12612" s="1">
        <v>1</v>
      </c>
      <c r="G12612" s="1" t="s">
        <v>31</v>
      </c>
      <c r="H12612" s="4" t="str">
        <f>HYPERLINK("https://portal.gdc.cancer.gov/cases/1859a4c5-78bc-4b1a-a26e-3d2b4cb221c2","TCGA-ZF-AA4T-01A")</f>
        <v>TCGA-ZF-AA4T-01A</v>
      </c>
      <c r="I12612" t="s">
        <v>506</v>
      </c>
      <c r="J12612" t="s">
        <v>507</v>
      </c>
      <c r="K12612" t="s">
        <v>19</v>
      </c>
      <c r="L12612" t="s">
        <v>508</v>
      </c>
      <c r="M12612" t="s">
        <v>41</v>
      </c>
      <c r="N12612" t="s">
        <v>29</v>
      </c>
    </row>
    <row r="12613" spans="1:14">
      <c r="A12613" s="4" t="str">
        <f t="shared" si="1098"/>
        <v>EXP00407</v>
      </c>
      <c r="B12613" s="3" t="s">
        <v>66</v>
      </c>
      <c r="C12613" s="4" t="str">
        <f t="shared" si="1096"/>
        <v>TCGA-BLCA</v>
      </c>
      <c r="D12613" s="1" t="s">
        <v>493</v>
      </c>
      <c r="E12613" t="s">
        <v>516</v>
      </c>
      <c r="F12613" s="1">
        <v>1</v>
      </c>
      <c r="G12613" s="1" t="s">
        <v>31</v>
      </c>
      <c r="H12613" s="4" t="str">
        <f>HYPERLINK("https://portal.gdc.cancer.gov/cases/585dfb25-5013-4ae1-a26b-5fed08e6cdb3","TCGA-ZF-AA4U-01A")</f>
        <v>TCGA-ZF-AA4U-01A</v>
      </c>
      <c r="I12613" t="s">
        <v>506</v>
      </c>
      <c r="J12613" t="s">
        <v>507</v>
      </c>
      <c r="K12613" t="s">
        <v>19</v>
      </c>
      <c r="L12613" t="s">
        <v>508</v>
      </c>
      <c r="M12613" t="s">
        <v>50</v>
      </c>
      <c r="N12613" t="s">
        <v>29</v>
      </c>
    </row>
    <row r="12614" spans="1:14">
      <c r="A12614" s="4" t="str">
        <f t="shared" si="1098"/>
        <v>EXP00407</v>
      </c>
      <c r="B12614" s="3" t="s">
        <v>66</v>
      </c>
      <c r="C12614" s="4" t="str">
        <f t="shared" si="1096"/>
        <v>TCGA-BLCA</v>
      </c>
      <c r="D12614" s="1" t="s">
        <v>493</v>
      </c>
      <c r="E12614" t="s">
        <v>516</v>
      </c>
      <c r="F12614" s="1">
        <v>1</v>
      </c>
      <c r="G12614" s="1" t="s">
        <v>31</v>
      </c>
      <c r="H12614" s="4" t="str">
        <f>HYPERLINK("https://portal.gdc.cancer.gov/cases/eb30ae33-2076-475d-aac9-804a8f1119a0","TCGA-ZF-AA56-01A")</f>
        <v>TCGA-ZF-AA56-01A</v>
      </c>
      <c r="I12614" t="s">
        <v>506</v>
      </c>
      <c r="J12614" t="s">
        <v>507</v>
      </c>
      <c r="K12614" t="s">
        <v>19</v>
      </c>
      <c r="L12614" t="s">
        <v>508</v>
      </c>
      <c r="M12614" t="s">
        <v>44</v>
      </c>
      <c r="N12614" t="s">
        <v>29</v>
      </c>
    </row>
    <row r="12615" spans="1:14">
      <c r="A12615" s="4" t="str">
        <f t="shared" si="1098"/>
        <v>EXP00407</v>
      </c>
      <c r="B12615" s="3" t="s">
        <v>66</v>
      </c>
      <c r="C12615" s="4" t="str">
        <f t="shared" si="1096"/>
        <v>TCGA-BLCA</v>
      </c>
      <c r="D12615" s="1" t="s">
        <v>493</v>
      </c>
      <c r="E12615" t="s">
        <v>516</v>
      </c>
      <c r="F12615" s="1">
        <v>2</v>
      </c>
      <c r="G12615" s="1" t="s">
        <v>32</v>
      </c>
      <c r="H12615" s="4" t="str">
        <f>HYPERLINK("https://portal.gdc.cancer.gov/cases/25eaf3f9-c364-423c-aaae-925e7b393afc","TCGA-2F-A9KQ-01A")</f>
        <v>TCGA-2F-A9KQ-01A</v>
      </c>
      <c r="I12615" t="s">
        <v>506</v>
      </c>
      <c r="J12615" t="s">
        <v>507</v>
      </c>
      <c r="K12615" t="s">
        <v>33</v>
      </c>
      <c r="L12615" t="s">
        <v>508</v>
      </c>
      <c r="N12615" t="s">
        <v>29</v>
      </c>
    </row>
    <row r="12616" spans="1:14">
      <c r="A12616" s="4" t="str">
        <f t="shared" si="1098"/>
        <v>EXP00407</v>
      </c>
      <c r="B12616" s="3" t="s">
        <v>66</v>
      </c>
      <c r="C12616" s="4" t="str">
        <f t="shared" si="1096"/>
        <v>TCGA-BLCA</v>
      </c>
      <c r="D12616" s="1" t="s">
        <v>493</v>
      </c>
      <c r="E12616" t="s">
        <v>516</v>
      </c>
      <c r="F12616" s="1">
        <v>2</v>
      </c>
      <c r="G12616" s="1" t="s">
        <v>32</v>
      </c>
      <c r="H12616" s="4" t="str">
        <f>HYPERLINK("https://portal.gdc.cancer.gov/cases/bc6c516b-591e-4950-b6b0-decafa666f4e","TCGA-2F-A9KT-01A")</f>
        <v>TCGA-2F-A9KT-01A</v>
      </c>
      <c r="I12616" t="s">
        <v>506</v>
      </c>
      <c r="J12616" t="s">
        <v>507</v>
      </c>
      <c r="K12616" t="s">
        <v>33</v>
      </c>
      <c r="L12616" t="s">
        <v>508</v>
      </c>
      <c r="N12616" t="s">
        <v>29</v>
      </c>
    </row>
    <row r="12617" spans="1:14">
      <c r="A12617" s="4" t="str">
        <f t="shared" si="1098"/>
        <v>EXP00407</v>
      </c>
      <c r="B12617" s="3" t="s">
        <v>66</v>
      </c>
      <c r="C12617" s="4" t="str">
        <f t="shared" si="1096"/>
        <v>TCGA-BLCA</v>
      </c>
      <c r="D12617" s="1" t="s">
        <v>493</v>
      </c>
      <c r="E12617" t="s">
        <v>516</v>
      </c>
      <c r="F12617" s="1">
        <v>2</v>
      </c>
      <c r="G12617" s="1" t="s">
        <v>32</v>
      </c>
      <c r="H12617" s="4" t="str">
        <f>HYPERLINK("https://portal.gdc.cancer.gov/cases/1ecfdf16-f5e9-4a08-8834-37f4b474179d","TCGA-4Z-AA7M-01A")</f>
        <v>TCGA-4Z-AA7M-01A</v>
      </c>
      <c r="I12617" t="s">
        <v>506</v>
      </c>
      <c r="J12617" t="s">
        <v>507</v>
      </c>
      <c r="K12617" t="s">
        <v>33</v>
      </c>
      <c r="L12617" t="s">
        <v>508</v>
      </c>
      <c r="N12617" t="s">
        <v>29</v>
      </c>
    </row>
    <row r="12618" spans="1:14">
      <c r="A12618" s="4" t="str">
        <f t="shared" si="1098"/>
        <v>EXP00407</v>
      </c>
      <c r="B12618" s="3" t="s">
        <v>66</v>
      </c>
      <c r="C12618" s="4" t="str">
        <f t="shared" si="1096"/>
        <v>TCGA-BLCA</v>
      </c>
      <c r="D12618" s="1" t="s">
        <v>493</v>
      </c>
      <c r="E12618" t="s">
        <v>516</v>
      </c>
      <c r="F12618" s="1">
        <v>2</v>
      </c>
      <c r="G12618" s="1" t="s">
        <v>32</v>
      </c>
      <c r="H12618" s="4" t="str">
        <f>HYPERLINK("https://portal.gdc.cancer.gov/cases/7934bd8c-0822-44a3-88a4-a3135a448f2b","TCGA-4Z-AA7N-01A")</f>
        <v>TCGA-4Z-AA7N-01A</v>
      </c>
      <c r="I12618" t="s">
        <v>506</v>
      </c>
      <c r="J12618" t="s">
        <v>507</v>
      </c>
      <c r="K12618" t="s">
        <v>33</v>
      </c>
      <c r="L12618" t="s">
        <v>508</v>
      </c>
      <c r="N12618" t="s">
        <v>29</v>
      </c>
    </row>
    <row r="12619" spans="1:14">
      <c r="A12619" s="4" t="str">
        <f t="shared" si="1098"/>
        <v>EXP00407</v>
      </c>
      <c r="B12619" s="3" t="s">
        <v>66</v>
      </c>
      <c r="C12619" s="4" t="str">
        <f t="shared" si="1096"/>
        <v>TCGA-BLCA</v>
      </c>
      <c r="D12619" s="1" t="s">
        <v>493</v>
      </c>
      <c r="E12619" t="s">
        <v>516</v>
      </c>
      <c r="F12619" s="1">
        <v>2</v>
      </c>
      <c r="G12619" s="1" t="s">
        <v>32</v>
      </c>
      <c r="H12619" s="4" t="str">
        <f>HYPERLINK("https://portal.gdc.cancer.gov/cases/835084d6-9f1e-408b-a58c-9d60493bbc6a","TCGA-4Z-AA7O-01A")</f>
        <v>TCGA-4Z-AA7O-01A</v>
      </c>
      <c r="I12619" t="s">
        <v>506</v>
      </c>
      <c r="J12619" t="s">
        <v>507</v>
      </c>
      <c r="K12619" t="s">
        <v>33</v>
      </c>
      <c r="L12619" t="s">
        <v>508</v>
      </c>
      <c r="N12619" t="s">
        <v>29</v>
      </c>
    </row>
    <row r="12620" spans="1:14">
      <c r="A12620" s="4" t="str">
        <f t="shared" si="1098"/>
        <v>EXP00407</v>
      </c>
      <c r="B12620" s="3" t="s">
        <v>66</v>
      </c>
      <c r="C12620" s="4" t="str">
        <f t="shared" si="1096"/>
        <v>TCGA-BLCA</v>
      </c>
      <c r="D12620" s="1" t="s">
        <v>493</v>
      </c>
      <c r="E12620" t="s">
        <v>516</v>
      </c>
      <c r="F12620" s="1">
        <v>2</v>
      </c>
      <c r="G12620" s="1" t="s">
        <v>32</v>
      </c>
      <c r="H12620" s="4" t="str">
        <f>HYPERLINK("https://portal.gdc.cancer.gov/cases/ffafcbfd-0eb3-4e14-acd0-4407b641a4a5","TCGA-4Z-AA7Q-01A")</f>
        <v>TCGA-4Z-AA7Q-01A</v>
      </c>
      <c r="I12620" t="s">
        <v>506</v>
      </c>
      <c r="J12620" t="s">
        <v>507</v>
      </c>
      <c r="K12620" t="s">
        <v>33</v>
      </c>
      <c r="L12620" t="s">
        <v>508</v>
      </c>
      <c r="N12620" t="s">
        <v>29</v>
      </c>
    </row>
    <row r="12621" spans="1:14">
      <c r="A12621" s="4" t="str">
        <f t="shared" si="1098"/>
        <v>EXP00407</v>
      </c>
      <c r="B12621" s="3" t="s">
        <v>66</v>
      </c>
      <c r="C12621" s="4" t="str">
        <f t="shared" si="1096"/>
        <v>TCGA-BLCA</v>
      </c>
      <c r="D12621" s="1" t="s">
        <v>493</v>
      </c>
      <c r="E12621" t="s">
        <v>516</v>
      </c>
      <c r="F12621" s="1">
        <v>2</v>
      </c>
      <c r="G12621" s="1" t="s">
        <v>32</v>
      </c>
      <c r="H12621" s="4" t="str">
        <f>HYPERLINK("https://portal.gdc.cancer.gov/cases/72fe54b5-c1c8-468a-954a-09992429512a","TCGA-4Z-AA7R-01A")</f>
        <v>TCGA-4Z-AA7R-01A</v>
      </c>
      <c r="I12621" t="s">
        <v>506</v>
      </c>
      <c r="J12621" t="s">
        <v>507</v>
      </c>
      <c r="K12621" t="s">
        <v>33</v>
      </c>
      <c r="L12621" t="s">
        <v>508</v>
      </c>
      <c r="N12621" t="s">
        <v>29</v>
      </c>
    </row>
    <row r="12622" spans="1:14">
      <c r="A12622" s="4" t="str">
        <f t="shared" si="1098"/>
        <v>EXP00407</v>
      </c>
      <c r="B12622" s="3" t="s">
        <v>66</v>
      </c>
      <c r="C12622" s="4" t="str">
        <f t="shared" si="1096"/>
        <v>TCGA-BLCA</v>
      </c>
      <c r="D12622" s="1" t="s">
        <v>493</v>
      </c>
      <c r="E12622" t="s">
        <v>516</v>
      </c>
      <c r="F12622" s="1">
        <v>2</v>
      </c>
      <c r="G12622" s="1" t="s">
        <v>32</v>
      </c>
      <c r="H12622" s="4" t="str">
        <f>HYPERLINK("https://portal.gdc.cancer.gov/cases/f001cc02-8119-4726-b41c-14ac1e6a4216","TCGA-4Z-AA7S-01A")</f>
        <v>TCGA-4Z-AA7S-01A</v>
      </c>
      <c r="I12622" t="s">
        <v>506</v>
      </c>
      <c r="J12622" t="s">
        <v>507</v>
      </c>
      <c r="K12622" t="s">
        <v>33</v>
      </c>
      <c r="L12622" t="s">
        <v>508</v>
      </c>
      <c r="N12622" t="s">
        <v>29</v>
      </c>
    </row>
    <row r="12623" spans="1:14">
      <c r="A12623" s="4" t="str">
        <f t="shared" si="1098"/>
        <v>EXP00407</v>
      </c>
      <c r="B12623" s="3" t="s">
        <v>66</v>
      </c>
      <c r="C12623" s="4" t="str">
        <f t="shared" si="1096"/>
        <v>TCGA-BLCA</v>
      </c>
      <c r="D12623" s="1" t="s">
        <v>493</v>
      </c>
      <c r="E12623" t="s">
        <v>516</v>
      </c>
      <c r="F12623" s="1">
        <v>2</v>
      </c>
      <c r="G12623" s="1" t="s">
        <v>32</v>
      </c>
      <c r="H12623" s="4" t="str">
        <f>HYPERLINK("https://portal.gdc.cancer.gov/cases/821b99bc-7e14-45b9-898d-6e8e149bc8a7","TCGA-4Z-AA7W-01A")</f>
        <v>TCGA-4Z-AA7W-01A</v>
      </c>
      <c r="I12623" t="s">
        <v>506</v>
      </c>
      <c r="J12623" t="s">
        <v>507</v>
      </c>
      <c r="K12623" t="s">
        <v>33</v>
      </c>
      <c r="L12623" t="s">
        <v>508</v>
      </c>
      <c r="N12623" t="s">
        <v>29</v>
      </c>
    </row>
    <row r="12624" spans="1:14">
      <c r="A12624" s="4" t="str">
        <f t="shared" si="1098"/>
        <v>EXP00407</v>
      </c>
      <c r="B12624" s="3" t="s">
        <v>66</v>
      </c>
      <c r="C12624" s="4" t="str">
        <f t="shared" si="1096"/>
        <v>TCGA-BLCA</v>
      </c>
      <c r="D12624" s="1" t="s">
        <v>493</v>
      </c>
      <c r="E12624" t="s">
        <v>516</v>
      </c>
      <c r="F12624" s="1">
        <v>2</v>
      </c>
      <c r="G12624" s="1" t="s">
        <v>32</v>
      </c>
      <c r="H12624" s="4" t="str">
        <f>HYPERLINK("https://portal.gdc.cancer.gov/cases/49ea6676-ae27-4ca0-a7b3-48423d606d48","TCGA-4Z-AA7Y-01A")</f>
        <v>TCGA-4Z-AA7Y-01A</v>
      </c>
      <c r="I12624" t="s">
        <v>506</v>
      </c>
      <c r="J12624" t="s">
        <v>507</v>
      </c>
      <c r="K12624" t="s">
        <v>33</v>
      </c>
      <c r="L12624" t="s">
        <v>508</v>
      </c>
      <c r="N12624" t="s">
        <v>29</v>
      </c>
    </row>
    <row r="12625" spans="1:14">
      <c r="A12625" s="4" t="str">
        <f t="shared" si="1098"/>
        <v>EXP00407</v>
      </c>
      <c r="B12625" s="3" t="s">
        <v>66</v>
      </c>
      <c r="C12625" s="4" t="str">
        <f t="shared" si="1096"/>
        <v>TCGA-BLCA</v>
      </c>
      <c r="D12625" s="1" t="s">
        <v>493</v>
      </c>
      <c r="E12625" t="s">
        <v>516</v>
      </c>
      <c r="F12625" s="1">
        <v>2</v>
      </c>
      <c r="G12625" s="1" t="s">
        <v>32</v>
      </c>
      <c r="H12625" s="4" t="str">
        <f>HYPERLINK("https://portal.gdc.cancer.gov/cases/5df620fa-44d9-4361-91d0-f242e3e5e595","TCGA-4Z-AA80-01A")</f>
        <v>TCGA-4Z-AA80-01A</v>
      </c>
      <c r="I12625" t="s">
        <v>506</v>
      </c>
      <c r="J12625" t="s">
        <v>507</v>
      </c>
      <c r="K12625" t="s">
        <v>33</v>
      </c>
      <c r="L12625" t="s">
        <v>508</v>
      </c>
      <c r="N12625" t="s">
        <v>29</v>
      </c>
    </row>
    <row r="12626" spans="1:14">
      <c r="A12626" s="4" t="str">
        <f t="shared" si="1098"/>
        <v>EXP00407</v>
      </c>
      <c r="B12626" s="3" t="s">
        <v>66</v>
      </c>
      <c r="C12626" s="4" t="str">
        <f t="shared" ref="C12626:C12689" si="1099">HYPERLINK("https://portal.gdc.cancer.gov/projects/TCGA-BLCA","TCGA-BLCA")</f>
        <v>TCGA-BLCA</v>
      </c>
      <c r="D12626" s="1" t="s">
        <v>493</v>
      </c>
      <c r="E12626" t="s">
        <v>516</v>
      </c>
      <c r="F12626" s="1">
        <v>2</v>
      </c>
      <c r="G12626" s="1" t="s">
        <v>32</v>
      </c>
      <c r="H12626" s="4" t="str">
        <f>HYPERLINK("https://portal.gdc.cancer.gov/cases/35c7bb8a-7b5c-488d-9d3a-725b24d14478","TCGA-4Z-AA81-01A")</f>
        <v>TCGA-4Z-AA81-01A</v>
      </c>
      <c r="I12626" t="s">
        <v>506</v>
      </c>
      <c r="J12626" t="s">
        <v>507</v>
      </c>
      <c r="K12626" t="s">
        <v>33</v>
      </c>
      <c r="L12626" t="s">
        <v>508</v>
      </c>
      <c r="N12626" t="s">
        <v>29</v>
      </c>
    </row>
    <row r="12627" spans="1:14">
      <c r="A12627" s="4" t="str">
        <f t="shared" si="1098"/>
        <v>EXP00407</v>
      </c>
      <c r="B12627" s="3" t="s">
        <v>66</v>
      </c>
      <c r="C12627" s="4" t="str">
        <f t="shared" si="1099"/>
        <v>TCGA-BLCA</v>
      </c>
      <c r="D12627" s="1" t="s">
        <v>493</v>
      </c>
      <c r="E12627" t="s">
        <v>516</v>
      </c>
      <c r="F12627" s="1">
        <v>2</v>
      </c>
      <c r="G12627" s="1" t="s">
        <v>32</v>
      </c>
      <c r="H12627" s="4" t="str">
        <f>HYPERLINK("https://portal.gdc.cancer.gov/cases/7976dbb0-57b0-463e-a766-126e23825743","TCGA-4Z-AA83-01A")</f>
        <v>TCGA-4Z-AA83-01A</v>
      </c>
      <c r="I12627" t="s">
        <v>506</v>
      </c>
      <c r="J12627" t="s">
        <v>507</v>
      </c>
      <c r="K12627" t="s">
        <v>33</v>
      </c>
      <c r="L12627" t="s">
        <v>508</v>
      </c>
      <c r="N12627" t="s">
        <v>29</v>
      </c>
    </row>
    <row r="12628" spans="1:14">
      <c r="A12628" s="4" t="str">
        <f t="shared" si="1098"/>
        <v>EXP00407</v>
      </c>
      <c r="B12628" s="3" t="s">
        <v>66</v>
      </c>
      <c r="C12628" s="4" t="str">
        <f t="shared" si="1099"/>
        <v>TCGA-BLCA</v>
      </c>
      <c r="D12628" s="1" t="s">
        <v>493</v>
      </c>
      <c r="E12628" t="s">
        <v>516</v>
      </c>
      <c r="F12628" s="1">
        <v>2</v>
      </c>
      <c r="G12628" s="1" t="s">
        <v>32</v>
      </c>
      <c r="H12628" s="4" t="str">
        <f>HYPERLINK("https://portal.gdc.cancer.gov/cases/8b091ac3-d03a-4dd2-bdde-f7f5c6987155","TCGA-4Z-AA84-01A")</f>
        <v>TCGA-4Z-AA84-01A</v>
      </c>
      <c r="I12628" t="s">
        <v>506</v>
      </c>
      <c r="J12628" t="s">
        <v>507</v>
      </c>
      <c r="K12628" t="s">
        <v>33</v>
      </c>
      <c r="L12628" t="s">
        <v>508</v>
      </c>
      <c r="N12628" t="s">
        <v>29</v>
      </c>
    </row>
    <row r="12629" spans="1:14">
      <c r="A12629" s="4" t="str">
        <f t="shared" si="1098"/>
        <v>EXP00407</v>
      </c>
      <c r="B12629" s="3" t="s">
        <v>66</v>
      </c>
      <c r="C12629" s="4" t="str">
        <f t="shared" si="1099"/>
        <v>TCGA-BLCA</v>
      </c>
      <c r="D12629" s="1" t="s">
        <v>493</v>
      </c>
      <c r="E12629" t="s">
        <v>516</v>
      </c>
      <c r="F12629" s="1">
        <v>2</v>
      </c>
      <c r="G12629" s="1" t="s">
        <v>32</v>
      </c>
      <c r="H12629" s="4" t="str">
        <f>HYPERLINK("https://portal.gdc.cancer.gov/cases/939b73d8-39fd-410e-aeae-53080ea99618","TCGA-4Z-AA86-01A")</f>
        <v>TCGA-4Z-AA86-01A</v>
      </c>
      <c r="I12629" t="s">
        <v>506</v>
      </c>
      <c r="J12629" t="s">
        <v>507</v>
      </c>
      <c r="K12629" t="s">
        <v>33</v>
      </c>
      <c r="L12629" t="s">
        <v>508</v>
      </c>
      <c r="N12629" t="s">
        <v>29</v>
      </c>
    </row>
    <row r="12630" spans="1:14">
      <c r="A12630" s="4" t="str">
        <f t="shared" si="1098"/>
        <v>EXP00407</v>
      </c>
      <c r="B12630" s="3" t="s">
        <v>66</v>
      </c>
      <c r="C12630" s="4" t="str">
        <f t="shared" si="1099"/>
        <v>TCGA-BLCA</v>
      </c>
      <c r="D12630" s="1" t="s">
        <v>493</v>
      </c>
      <c r="E12630" t="s">
        <v>516</v>
      </c>
      <c r="F12630" s="1">
        <v>2</v>
      </c>
      <c r="G12630" s="1" t="s">
        <v>32</v>
      </c>
      <c r="H12630" s="4" t="str">
        <f>HYPERLINK("https://portal.gdc.cancer.gov/cases/45b4b153-e4aa-4080-b0dc-ee81a966978a","TCGA-4Z-AA87-01A")</f>
        <v>TCGA-4Z-AA87-01A</v>
      </c>
      <c r="I12630" t="s">
        <v>506</v>
      </c>
      <c r="J12630" t="s">
        <v>507</v>
      </c>
      <c r="K12630" t="s">
        <v>33</v>
      </c>
      <c r="L12630" t="s">
        <v>508</v>
      </c>
      <c r="N12630" t="s">
        <v>29</v>
      </c>
    </row>
    <row r="12631" spans="1:14">
      <c r="A12631" s="4" t="str">
        <f t="shared" si="1098"/>
        <v>EXP00407</v>
      </c>
      <c r="B12631" s="3" t="s">
        <v>66</v>
      </c>
      <c r="C12631" s="4" t="str">
        <f t="shared" si="1099"/>
        <v>TCGA-BLCA</v>
      </c>
      <c r="D12631" s="1" t="s">
        <v>493</v>
      </c>
      <c r="E12631" t="s">
        <v>516</v>
      </c>
      <c r="F12631" s="1">
        <v>2</v>
      </c>
      <c r="G12631" s="1" t="s">
        <v>32</v>
      </c>
      <c r="H12631" s="4" t="str">
        <f>HYPERLINK("https://portal.gdc.cancer.gov/cases/604c0d60-6ba9-4d2f-98db-e310c58bc8ca","TCGA-4Z-AA89-01A")</f>
        <v>TCGA-4Z-AA89-01A</v>
      </c>
      <c r="I12631" t="s">
        <v>506</v>
      </c>
      <c r="J12631" t="s">
        <v>507</v>
      </c>
      <c r="K12631" t="s">
        <v>33</v>
      </c>
      <c r="L12631" t="s">
        <v>508</v>
      </c>
      <c r="N12631" t="s">
        <v>29</v>
      </c>
    </row>
    <row r="12632" spans="1:14">
      <c r="A12632" s="4" t="str">
        <f t="shared" si="1098"/>
        <v>EXP00407</v>
      </c>
      <c r="B12632" s="3" t="s">
        <v>66</v>
      </c>
      <c r="C12632" s="4" t="str">
        <f t="shared" si="1099"/>
        <v>TCGA-BLCA</v>
      </c>
      <c r="D12632" s="1" t="s">
        <v>493</v>
      </c>
      <c r="E12632" t="s">
        <v>516</v>
      </c>
      <c r="F12632" s="1">
        <v>2</v>
      </c>
      <c r="G12632" s="1" t="s">
        <v>32</v>
      </c>
      <c r="H12632" s="4" t="str">
        <f>HYPERLINK("https://portal.gdc.cancer.gov/cases/4fece3d0-649c-4771-b9c4-a3397cea0feb","TCGA-5N-A9KI-01A")</f>
        <v>TCGA-5N-A9KI-01A</v>
      </c>
      <c r="I12632" t="s">
        <v>506</v>
      </c>
      <c r="J12632" t="s">
        <v>507</v>
      </c>
      <c r="K12632" t="s">
        <v>33</v>
      </c>
      <c r="L12632" t="s">
        <v>508</v>
      </c>
      <c r="N12632" t="s">
        <v>29</v>
      </c>
    </row>
    <row r="12633" spans="1:14">
      <c r="A12633" s="4" t="str">
        <f t="shared" si="1098"/>
        <v>EXP00407</v>
      </c>
      <c r="B12633" s="3" t="s">
        <v>66</v>
      </c>
      <c r="C12633" s="4" t="str">
        <f t="shared" si="1099"/>
        <v>TCGA-BLCA</v>
      </c>
      <c r="D12633" s="1" t="s">
        <v>493</v>
      </c>
      <c r="E12633" t="s">
        <v>516</v>
      </c>
      <c r="F12633" s="1">
        <v>2</v>
      </c>
      <c r="G12633" s="1" t="s">
        <v>32</v>
      </c>
      <c r="H12633" s="4" t="str">
        <f>HYPERLINK("https://portal.gdc.cancer.gov/cases/9743e684-25dd-4dd9-9b84-6ae9518d1818","TCGA-5N-A9KM-01A")</f>
        <v>TCGA-5N-A9KM-01A</v>
      </c>
      <c r="I12633" t="s">
        <v>506</v>
      </c>
      <c r="J12633" t="s">
        <v>507</v>
      </c>
      <c r="K12633" t="s">
        <v>33</v>
      </c>
      <c r="L12633" t="s">
        <v>508</v>
      </c>
      <c r="N12633" t="s">
        <v>29</v>
      </c>
    </row>
    <row r="12634" spans="1:14">
      <c r="A12634" s="4" t="str">
        <f t="shared" si="1098"/>
        <v>EXP00407</v>
      </c>
      <c r="B12634" s="3" t="s">
        <v>66</v>
      </c>
      <c r="C12634" s="4" t="str">
        <f t="shared" si="1099"/>
        <v>TCGA-BLCA</v>
      </c>
      <c r="D12634" s="1" t="s">
        <v>493</v>
      </c>
      <c r="E12634" t="s">
        <v>516</v>
      </c>
      <c r="F12634" s="1">
        <v>2</v>
      </c>
      <c r="G12634" s="1" t="s">
        <v>32</v>
      </c>
      <c r="H12634" s="4" t="str">
        <f>HYPERLINK("https://portal.gdc.cancer.gov/cases/a6003b1c-56a9-430a-a5e2-b70af3f81bdb","TCGA-BL-A0C8-01A")</f>
        <v>TCGA-BL-A0C8-01A</v>
      </c>
      <c r="I12634" t="s">
        <v>506</v>
      </c>
      <c r="J12634" t="s">
        <v>507</v>
      </c>
      <c r="K12634" t="s">
        <v>33</v>
      </c>
      <c r="L12634" t="s">
        <v>508</v>
      </c>
      <c r="N12634" t="s">
        <v>29</v>
      </c>
    </row>
    <row r="12635" spans="1:14">
      <c r="A12635" s="4" t="str">
        <f t="shared" si="1098"/>
        <v>EXP00407</v>
      </c>
      <c r="B12635" s="3" t="s">
        <v>66</v>
      </c>
      <c r="C12635" s="4" t="str">
        <f t="shared" si="1099"/>
        <v>TCGA-BLCA</v>
      </c>
      <c r="D12635" s="1" t="s">
        <v>493</v>
      </c>
      <c r="E12635" t="s">
        <v>516</v>
      </c>
      <c r="F12635" s="1">
        <v>2</v>
      </c>
      <c r="G12635" s="1" t="s">
        <v>32</v>
      </c>
      <c r="H12635" s="4" t="str">
        <f>HYPERLINK("https://portal.gdc.cancer.gov/cases/a6003b1c-56a9-430a-a5e2-b70af3f81bdb","TCGA-BL-A0C8-01B")</f>
        <v>TCGA-BL-A0C8-01B</v>
      </c>
      <c r="I12635" t="s">
        <v>506</v>
      </c>
      <c r="J12635" t="s">
        <v>507</v>
      </c>
      <c r="K12635" t="s">
        <v>33</v>
      </c>
      <c r="L12635" t="s">
        <v>508</v>
      </c>
      <c r="N12635" t="s">
        <v>29</v>
      </c>
    </row>
    <row r="12636" spans="1:14">
      <c r="A12636" s="4" t="str">
        <f t="shared" si="1098"/>
        <v>EXP00407</v>
      </c>
      <c r="B12636" s="3" t="s">
        <v>66</v>
      </c>
      <c r="C12636" s="4" t="str">
        <f t="shared" si="1099"/>
        <v>TCGA-BLCA</v>
      </c>
      <c r="D12636" s="1" t="s">
        <v>493</v>
      </c>
      <c r="E12636" t="s">
        <v>516</v>
      </c>
      <c r="F12636" s="1">
        <v>2</v>
      </c>
      <c r="G12636" s="1" t="s">
        <v>32</v>
      </c>
      <c r="H12636" s="4" t="str">
        <f>HYPERLINK("https://portal.gdc.cancer.gov/cases/ebc094a6-cdc9-4c02-b8ec-a181b25a364d","TCGA-BL-A13I-01A")</f>
        <v>TCGA-BL-A13I-01A</v>
      </c>
      <c r="I12636" t="s">
        <v>506</v>
      </c>
      <c r="J12636" t="s">
        <v>507</v>
      </c>
      <c r="K12636" t="s">
        <v>33</v>
      </c>
      <c r="L12636" t="s">
        <v>508</v>
      </c>
      <c r="N12636" t="s">
        <v>29</v>
      </c>
    </row>
    <row r="12637" spans="1:14">
      <c r="A12637" s="4" t="str">
        <f t="shared" si="1098"/>
        <v>EXP00407</v>
      </c>
      <c r="B12637" s="3" t="s">
        <v>66</v>
      </c>
      <c r="C12637" s="4" t="str">
        <f t="shared" si="1099"/>
        <v>TCGA-BLCA</v>
      </c>
      <c r="D12637" s="1" t="s">
        <v>493</v>
      </c>
      <c r="E12637" t="s">
        <v>516</v>
      </c>
      <c r="F12637" s="1">
        <v>2</v>
      </c>
      <c r="G12637" s="1" t="s">
        <v>32</v>
      </c>
      <c r="H12637" s="4" t="str">
        <f>HYPERLINK("https://portal.gdc.cancer.gov/cases/ebc094a6-cdc9-4c02-b8ec-a181b25a364d","TCGA-BL-A13I-01B")</f>
        <v>TCGA-BL-A13I-01B</v>
      </c>
      <c r="I12637" t="s">
        <v>506</v>
      </c>
      <c r="J12637" t="s">
        <v>507</v>
      </c>
      <c r="K12637" t="s">
        <v>33</v>
      </c>
      <c r="L12637" t="s">
        <v>508</v>
      </c>
      <c r="N12637" t="s">
        <v>29</v>
      </c>
    </row>
    <row r="12638" spans="1:14">
      <c r="A12638" s="4" t="str">
        <f t="shared" si="1098"/>
        <v>EXP00407</v>
      </c>
      <c r="B12638" s="3" t="s">
        <v>66</v>
      </c>
      <c r="C12638" s="4" t="str">
        <f t="shared" si="1099"/>
        <v>TCGA-BLCA</v>
      </c>
      <c r="D12638" s="1" t="s">
        <v>493</v>
      </c>
      <c r="E12638" t="s">
        <v>516</v>
      </c>
      <c r="F12638" s="1">
        <v>2</v>
      </c>
      <c r="G12638" s="1" t="s">
        <v>32</v>
      </c>
      <c r="H12638" s="4" t="str">
        <f>HYPERLINK("https://portal.gdc.cancer.gov/cases/556fcbc8-172a-4af1-8822-ae036e8d68e8","TCGA-BL-A13J-01A")</f>
        <v>TCGA-BL-A13J-01A</v>
      </c>
      <c r="I12638" t="s">
        <v>506</v>
      </c>
      <c r="J12638" t="s">
        <v>507</v>
      </c>
      <c r="K12638" t="s">
        <v>33</v>
      </c>
      <c r="L12638" t="s">
        <v>508</v>
      </c>
      <c r="N12638" t="s">
        <v>29</v>
      </c>
    </row>
    <row r="12639" spans="1:14">
      <c r="A12639" s="4" t="str">
        <f t="shared" si="1098"/>
        <v>EXP00407</v>
      </c>
      <c r="B12639" s="3" t="s">
        <v>66</v>
      </c>
      <c r="C12639" s="4" t="str">
        <f t="shared" si="1099"/>
        <v>TCGA-BLCA</v>
      </c>
      <c r="D12639" s="1" t="s">
        <v>493</v>
      </c>
      <c r="E12639" t="s">
        <v>516</v>
      </c>
      <c r="F12639" s="1">
        <v>2</v>
      </c>
      <c r="G12639" s="1" t="s">
        <v>32</v>
      </c>
      <c r="H12639" s="4" t="str">
        <f>HYPERLINK("https://portal.gdc.cancer.gov/cases/556fcbc8-172a-4af1-8822-ae036e8d68e8","TCGA-BL-A13J-01B")</f>
        <v>TCGA-BL-A13J-01B</v>
      </c>
      <c r="I12639" t="s">
        <v>506</v>
      </c>
      <c r="J12639" t="s">
        <v>507</v>
      </c>
      <c r="K12639" t="s">
        <v>33</v>
      </c>
      <c r="L12639" t="s">
        <v>508</v>
      </c>
      <c r="N12639" t="s">
        <v>29</v>
      </c>
    </row>
    <row r="12640" spans="1:14">
      <c r="A12640" s="4" t="str">
        <f t="shared" si="1098"/>
        <v>EXP00407</v>
      </c>
      <c r="B12640" s="3" t="s">
        <v>66</v>
      </c>
      <c r="C12640" s="4" t="str">
        <f t="shared" si="1099"/>
        <v>TCGA-BLCA</v>
      </c>
      <c r="D12640" s="1" t="s">
        <v>493</v>
      </c>
      <c r="E12640" t="s">
        <v>516</v>
      </c>
      <c r="F12640" s="1">
        <v>2</v>
      </c>
      <c r="G12640" s="1" t="s">
        <v>32</v>
      </c>
      <c r="H12640" s="4" t="str">
        <f>HYPERLINK("https://portal.gdc.cancer.gov/cases/0f4fb205-b13c-4a85-97b3-779429e6ccdd","TCGA-BL-A3JM-01A")</f>
        <v>TCGA-BL-A3JM-01A</v>
      </c>
      <c r="I12640" t="s">
        <v>506</v>
      </c>
      <c r="J12640" t="s">
        <v>507</v>
      </c>
      <c r="K12640" t="s">
        <v>33</v>
      </c>
      <c r="L12640" t="s">
        <v>508</v>
      </c>
      <c r="N12640" t="s">
        <v>29</v>
      </c>
    </row>
    <row r="12641" spans="1:14">
      <c r="A12641" s="4" t="str">
        <f t="shared" si="1098"/>
        <v>EXP00407</v>
      </c>
      <c r="B12641" s="3" t="s">
        <v>66</v>
      </c>
      <c r="C12641" s="4" t="str">
        <f t="shared" si="1099"/>
        <v>TCGA-BLCA</v>
      </c>
      <c r="D12641" s="1" t="s">
        <v>493</v>
      </c>
      <c r="E12641" t="s">
        <v>516</v>
      </c>
      <c r="F12641" s="1">
        <v>2</v>
      </c>
      <c r="G12641" s="1" t="s">
        <v>32</v>
      </c>
      <c r="H12641" s="4" t="str">
        <f>HYPERLINK("https://portal.gdc.cancer.gov/cases/68bc786e-07c7-4964-bc88-5e2a8633626a","TCGA-BT-A0S7-01A")</f>
        <v>TCGA-BT-A0S7-01A</v>
      </c>
      <c r="I12641" t="s">
        <v>506</v>
      </c>
      <c r="J12641" t="s">
        <v>507</v>
      </c>
      <c r="K12641" t="s">
        <v>33</v>
      </c>
      <c r="L12641" t="s">
        <v>508</v>
      </c>
      <c r="N12641" t="s">
        <v>29</v>
      </c>
    </row>
    <row r="12642" spans="1:14">
      <c r="A12642" s="4" t="str">
        <f t="shared" si="1098"/>
        <v>EXP00407</v>
      </c>
      <c r="B12642" s="3" t="s">
        <v>66</v>
      </c>
      <c r="C12642" s="4" t="str">
        <f t="shared" si="1099"/>
        <v>TCGA-BLCA</v>
      </c>
      <c r="D12642" s="1" t="s">
        <v>493</v>
      </c>
      <c r="E12642" t="s">
        <v>516</v>
      </c>
      <c r="F12642" s="1">
        <v>2</v>
      </c>
      <c r="G12642" s="1" t="s">
        <v>32</v>
      </c>
      <c r="H12642" s="4" t="str">
        <f>HYPERLINK("https://portal.gdc.cancer.gov/cases/22473ad4-df39-4716-b558-3c1409d5fa0e","TCGA-BT-A0YX-01A")</f>
        <v>TCGA-BT-A0YX-01A</v>
      </c>
      <c r="I12642" t="s">
        <v>506</v>
      </c>
      <c r="J12642" t="s">
        <v>507</v>
      </c>
      <c r="K12642" t="s">
        <v>33</v>
      </c>
      <c r="L12642" t="s">
        <v>508</v>
      </c>
      <c r="N12642" t="s">
        <v>29</v>
      </c>
    </row>
    <row r="12643" spans="1:14">
      <c r="A12643" s="4" t="str">
        <f t="shared" ref="A12643:A12706" si="1100">HYPERLINK("http://hcmdb.i-sanger.com/experiment/details/experiment_id/EXP00407","EXP00407")</f>
        <v>EXP00407</v>
      </c>
      <c r="B12643" s="3" t="s">
        <v>66</v>
      </c>
      <c r="C12643" s="4" t="str">
        <f t="shared" si="1099"/>
        <v>TCGA-BLCA</v>
      </c>
      <c r="D12643" s="1" t="s">
        <v>493</v>
      </c>
      <c r="E12643" t="s">
        <v>516</v>
      </c>
      <c r="F12643" s="1">
        <v>2</v>
      </c>
      <c r="G12643" s="1" t="s">
        <v>32</v>
      </c>
      <c r="H12643" s="4" t="str">
        <f>HYPERLINK("https://portal.gdc.cancer.gov/cases/74b1e72d-fdd0-4d84-8858-3bb32d58ff7e","TCGA-BT-A20J-01A")</f>
        <v>TCGA-BT-A20J-01A</v>
      </c>
      <c r="I12643" t="s">
        <v>506</v>
      </c>
      <c r="J12643" t="s">
        <v>507</v>
      </c>
      <c r="K12643" t="s">
        <v>33</v>
      </c>
      <c r="L12643" t="s">
        <v>508</v>
      </c>
      <c r="N12643" t="s">
        <v>29</v>
      </c>
    </row>
    <row r="12644" spans="1:14">
      <c r="A12644" s="4" t="str">
        <f t="shared" si="1100"/>
        <v>EXP00407</v>
      </c>
      <c r="B12644" s="3" t="s">
        <v>66</v>
      </c>
      <c r="C12644" s="4" t="str">
        <f t="shared" si="1099"/>
        <v>TCGA-BLCA</v>
      </c>
      <c r="D12644" s="1" t="s">
        <v>493</v>
      </c>
      <c r="E12644" t="s">
        <v>516</v>
      </c>
      <c r="F12644" s="1">
        <v>2</v>
      </c>
      <c r="G12644" s="1" t="s">
        <v>32</v>
      </c>
      <c r="H12644" s="4" t="str">
        <f>HYPERLINK("https://portal.gdc.cancer.gov/cases/ebedab7c-dd7c-448e-8324-78c86f13be8b","TCGA-BT-A20N-01A")</f>
        <v>TCGA-BT-A20N-01A</v>
      </c>
      <c r="I12644" t="s">
        <v>506</v>
      </c>
      <c r="J12644" t="s">
        <v>507</v>
      </c>
      <c r="K12644" t="s">
        <v>33</v>
      </c>
      <c r="L12644" t="s">
        <v>508</v>
      </c>
      <c r="N12644" t="s">
        <v>29</v>
      </c>
    </row>
    <row r="12645" spans="1:14">
      <c r="A12645" s="4" t="str">
        <f t="shared" si="1100"/>
        <v>EXP00407</v>
      </c>
      <c r="B12645" s="3" t="s">
        <v>66</v>
      </c>
      <c r="C12645" s="4" t="str">
        <f t="shared" si="1099"/>
        <v>TCGA-BLCA</v>
      </c>
      <c r="D12645" s="1" t="s">
        <v>493</v>
      </c>
      <c r="E12645" t="s">
        <v>516</v>
      </c>
      <c r="F12645" s="1">
        <v>2</v>
      </c>
      <c r="G12645" s="1" t="s">
        <v>32</v>
      </c>
      <c r="H12645" s="4" t="str">
        <f>HYPERLINK("https://portal.gdc.cancer.gov/cases/c0e7fbe7-b9cb-4e65-941b-cd7d581c54ec","TCGA-BT-A20O-01A")</f>
        <v>TCGA-BT-A20O-01A</v>
      </c>
      <c r="I12645" t="s">
        <v>506</v>
      </c>
      <c r="J12645" t="s">
        <v>507</v>
      </c>
      <c r="K12645" t="s">
        <v>33</v>
      </c>
      <c r="L12645" t="s">
        <v>508</v>
      </c>
      <c r="N12645" t="s">
        <v>29</v>
      </c>
    </row>
    <row r="12646" spans="1:14">
      <c r="A12646" s="4" t="str">
        <f t="shared" si="1100"/>
        <v>EXP00407</v>
      </c>
      <c r="B12646" s="3" t="s">
        <v>66</v>
      </c>
      <c r="C12646" s="4" t="str">
        <f t="shared" si="1099"/>
        <v>TCGA-BLCA</v>
      </c>
      <c r="D12646" s="1" t="s">
        <v>493</v>
      </c>
      <c r="E12646" t="s">
        <v>516</v>
      </c>
      <c r="F12646" s="1">
        <v>2</v>
      </c>
      <c r="G12646" s="1" t="s">
        <v>32</v>
      </c>
      <c r="H12646" s="4" t="str">
        <f>HYPERLINK("https://portal.gdc.cancer.gov/cases/f48937ed-e294-41f0-8872-7010391167a9","TCGA-BT-A20P-01A")</f>
        <v>TCGA-BT-A20P-01A</v>
      </c>
      <c r="I12646" t="s">
        <v>506</v>
      </c>
      <c r="J12646" t="s">
        <v>507</v>
      </c>
      <c r="K12646" t="s">
        <v>33</v>
      </c>
      <c r="L12646" t="s">
        <v>508</v>
      </c>
      <c r="N12646" t="s">
        <v>29</v>
      </c>
    </row>
    <row r="12647" spans="1:14">
      <c r="A12647" s="4" t="str">
        <f t="shared" si="1100"/>
        <v>EXP00407</v>
      </c>
      <c r="B12647" s="3" t="s">
        <v>66</v>
      </c>
      <c r="C12647" s="4" t="str">
        <f t="shared" si="1099"/>
        <v>TCGA-BLCA</v>
      </c>
      <c r="D12647" s="1" t="s">
        <v>493</v>
      </c>
      <c r="E12647" t="s">
        <v>516</v>
      </c>
      <c r="F12647" s="1">
        <v>2</v>
      </c>
      <c r="G12647" s="1" t="s">
        <v>32</v>
      </c>
      <c r="H12647" s="4" t="str">
        <f>HYPERLINK("https://portal.gdc.cancer.gov/cases/419deaac-ea45-4bdd-9fa0-b5cd8429b44f","TCGA-BT-A20Q-01A")</f>
        <v>TCGA-BT-A20Q-01A</v>
      </c>
      <c r="I12647" t="s">
        <v>506</v>
      </c>
      <c r="J12647" t="s">
        <v>507</v>
      </c>
      <c r="K12647" t="s">
        <v>33</v>
      </c>
      <c r="L12647" t="s">
        <v>508</v>
      </c>
      <c r="N12647" t="s">
        <v>29</v>
      </c>
    </row>
    <row r="12648" spans="1:14">
      <c r="A12648" s="4" t="str">
        <f t="shared" si="1100"/>
        <v>EXP00407</v>
      </c>
      <c r="B12648" s="3" t="s">
        <v>66</v>
      </c>
      <c r="C12648" s="4" t="str">
        <f t="shared" si="1099"/>
        <v>TCGA-BLCA</v>
      </c>
      <c r="D12648" s="1" t="s">
        <v>493</v>
      </c>
      <c r="E12648" t="s">
        <v>516</v>
      </c>
      <c r="F12648" s="1">
        <v>2</v>
      </c>
      <c r="G12648" s="1" t="s">
        <v>32</v>
      </c>
      <c r="H12648" s="4" t="str">
        <f>HYPERLINK("https://portal.gdc.cancer.gov/cases/f8780a4b-7f55-41d1-bf92-8513955d150e","TCGA-BT-A20R-01A")</f>
        <v>TCGA-BT-A20R-01A</v>
      </c>
      <c r="I12648" t="s">
        <v>506</v>
      </c>
      <c r="J12648" t="s">
        <v>507</v>
      </c>
      <c r="K12648" t="s">
        <v>33</v>
      </c>
      <c r="L12648" t="s">
        <v>508</v>
      </c>
      <c r="N12648" t="s">
        <v>29</v>
      </c>
    </row>
    <row r="12649" spans="1:14">
      <c r="A12649" s="4" t="str">
        <f t="shared" si="1100"/>
        <v>EXP00407</v>
      </c>
      <c r="B12649" s="3" t="s">
        <v>66</v>
      </c>
      <c r="C12649" s="4" t="str">
        <f t="shared" si="1099"/>
        <v>TCGA-BLCA</v>
      </c>
      <c r="D12649" s="1" t="s">
        <v>493</v>
      </c>
      <c r="E12649" t="s">
        <v>516</v>
      </c>
      <c r="F12649" s="1">
        <v>2</v>
      </c>
      <c r="G12649" s="1" t="s">
        <v>32</v>
      </c>
      <c r="H12649" s="4" t="str">
        <f>HYPERLINK("https://portal.gdc.cancer.gov/cases/096b4f32-10c1-4737-a0dd-cae04c54ee33","TCGA-BT-A20T-01A")</f>
        <v>TCGA-BT-A20T-01A</v>
      </c>
      <c r="I12649" t="s">
        <v>506</v>
      </c>
      <c r="J12649" t="s">
        <v>507</v>
      </c>
      <c r="K12649" t="s">
        <v>33</v>
      </c>
      <c r="L12649" t="s">
        <v>508</v>
      </c>
      <c r="N12649" t="s">
        <v>29</v>
      </c>
    </row>
    <row r="12650" spans="1:14">
      <c r="A12650" s="4" t="str">
        <f t="shared" si="1100"/>
        <v>EXP00407</v>
      </c>
      <c r="B12650" s="3" t="s">
        <v>66</v>
      </c>
      <c r="C12650" s="4" t="str">
        <f t="shared" si="1099"/>
        <v>TCGA-BLCA</v>
      </c>
      <c r="D12650" s="1" t="s">
        <v>493</v>
      </c>
      <c r="E12650" t="s">
        <v>516</v>
      </c>
      <c r="F12650" s="1">
        <v>2</v>
      </c>
      <c r="G12650" s="1" t="s">
        <v>32</v>
      </c>
      <c r="H12650" s="4" t="str">
        <f>HYPERLINK("https://portal.gdc.cancer.gov/cases/83b41d35-69b1-4218-be1a-8821d8a6899c","TCGA-BT-A20U-01A")</f>
        <v>TCGA-BT-A20U-01A</v>
      </c>
      <c r="I12650" t="s">
        <v>506</v>
      </c>
      <c r="J12650" t="s">
        <v>507</v>
      </c>
      <c r="K12650" t="s">
        <v>33</v>
      </c>
      <c r="L12650" t="s">
        <v>508</v>
      </c>
      <c r="N12650" t="s">
        <v>29</v>
      </c>
    </row>
    <row r="12651" spans="1:14">
      <c r="A12651" s="4" t="str">
        <f t="shared" si="1100"/>
        <v>EXP00407</v>
      </c>
      <c r="B12651" s="3" t="s">
        <v>66</v>
      </c>
      <c r="C12651" s="4" t="str">
        <f t="shared" si="1099"/>
        <v>TCGA-BLCA</v>
      </c>
      <c r="D12651" s="1" t="s">
        <v>493</v>
      </c>
      <c r="E12651" t="s">
        <v>516</v>
      </c>
      <c r="F12651" s="1">
        <v>2</v>
      </c>
      <c r="G12651" s="1" t="s">
        <v>32</v>
      </c>
      <c r="H12651" s="4" t="str">
        <f>HYPERLINK("https://portal.gdc.cancer.gov/cases/24f21425-b001-4986-aedf-5b4dd851c6ad","TCGA-BT-A20V-01A")</f>
        <v>TCGA-BT-A20V-01A</v>
      </c>
      <c r="I12651" t="s">
        <v>506</v>
      </c>
      <c r="J12651" t="s">
        <v>507</v>
      </c>
      <c r="K12651" t="s">
        <v>33</v>
      </c>
      <c r="L12651" t="s">
        <v>508</v>
      </c>
      <c r="N12651" t="s">
        <v>29</v>
      </c>
    </row>
    <row r="12652" spans="1:14">
      <c r="A12652" s="4" t="str">
        <f t="shared" si="1100"/>
        <v>EXP00407</v>
      </c>
      <c r="B12652" s="3" t="s">
        <v>66</v>
      </c>
      <c r="C12652" s="4" t="str">
        <f t="shared" si="1099"/>
        <v>TCGA-BLCA</v>
      </c>
      <c r="D12652" s="1" t="s">
        <v>493</v>
      </c>
      <c r="E12652" t="s">
        <v>516</v>
      </c>
      <c r="F12652" s="1">
        <v>2</v>
      </c>
      <c r="G12652" s="1" t="s">
        <v>32</v>
      </c>
      <c r="H12652" s="4" t="str">
        <f>HYPERLINK("https://portal.gdc.cancer.gov/cases/4dc5cffe-ed8c-47ab-b5fc-f9615b5414f7","TCGA-BT-A20W-01A")</f>
        <v>TCGA-BT-A20W-01A</v>
      </c>
      <c r="I12652" t="s">
        <v>506</v>
      </c>
      <c r="J12652" t="s">
        <v>507</v>
      </c>
      <c r="K12652" t="s">
        <v>33</v>
      </c>
      <c r="L12652" t="s">
        <v>508</v>
      </c>
      <c r="N12652" t="s">
        <v>29</v>
      </c>
    </row>
    <row r="12653" spans="1:14">
      <c r="A12653" s="4" t="str">
        <f t="shared" si="1100"/>
        <v>EXP00407</v>
      </c>
      <c r="B12653" s="3" t="s">
        <v>66</v>
      </c>
      <c r="C12653" s="4" t="str">
        <f t="shared" si="1099"/>
        <v>TCGA-BLCA</v>
      </c>
      <c r="D12653" s="1" t="s">
        <v>493</v>
      </c>
      <c r="E12653" t="s">
        <v>516</v>
      </c>
      <c r="F12653" s="1">
        <v>2</v>
      </c>
      <c r="G12653" s="1" t="s">
        <v>32</v>
      </c>
      <c r="H12653" s="4" t="str">
        <f>HYPERLINK("https://portal.gdc.cancer.gov/cases/be8b3f36-aaa1-4302-b28e-de1996faceaf","TCGA-BT-A20X-01A")</f>
        <v>TCGA-BT-A20X-01A</v>
      </c>
      <c r="I12653" t="s">
        <v>506</v>
      </c>
      <c r="J12653" t="s">
        <v>507</v>
      </c>
      <c r="K12653" t="s">
        <v>33</v>
      </c>
      <c r="L12653" t="s">
        <v>508</v>
      </c>
      <c r="N12653" t="s">
        <v>29</v>
      </c>
    </row>
    <row r="12654" spans="1:14">
      <c r="A12654" s="4" t="str">
        <f t="shared" si="1100"/>
        <v>EXP00407</v>
      </c>
      <c r="B12654" s="3" t="s">
        <v>66</v>
      </c>
      <c r="C12654" s="4" t="str">
        <f t="shared" si="1099"/>
        <v>TCGA-BLCA</v>
      </c>
      <c r="D12654" s="1" t="s">
        <v>493</v>
      </c>
      <c r="E12654" t="s">
        <v>516</v>
      </c>
      <c r="F12654" s="1">
        <v>2</v>
      </c>
      <c r="G12654" s="1" t="s">
        <v>32</v>
      </c>
      <c r="H12654" s="4" t="str">
        <f>HYPERLINK("https://portal.gdc.cancer.gov/cases/797a71ee-372d-41e5-aeee-5ab3c4661110","TCGA-BT-A2LA-01A")</f>
        <v>TCGA-BT-A2LA-01A</v>
      </c>
      <c r="I12654" t="s">
        <v>506</v>
      </c>
      <c r="J12654" t="s">
        <v>507</v>
      </c>
      <c r="K12654" t="s">
        <v>33</v>
      </c>
      <c r="L12654" t="s">
        <v>508</v>
      </c>
      <c r="N12654" t="s">
        <v>29</v>
      </c>
    </row>
    <row r="12655" spans="1:14">
      <c r="A12655" s="4" t="str">
        <f t="shared" si="1100"/>
        <v>EXP00407</v>
      </c>
      <c r="B12655" s="3" t="s">
        <v>66</v>
      </c>
      <c r="C12655" s="4" t="str">
        <f t="shared" si="1099"/>
        <v>TCGA-BLCA</v>
      </c>
      <c r="D12655" s="1" t="s">
        <v>493</v>
      </c>
      <c r="E12655" t="s">
        <v>516</v>
      </c>
      <c r="F12655" s="1">
        <v>2</v>
      </c>
      <c r="G12655" s="1" t="s">
        <v>32</v>
      </c>
      <c r="H12655" s="4" t="str">
        <f>HYPERLINK("https://portal.gdc.cancer.gov/cases/d17a5ab1-3789-4652-aff5-d8f4f2291f9c","TCGA-BT-A2LB-01A")</f>
        <v>TCGA-BT-A2LB-01A</v>
      </c>
      <c r="I12655" t="s">
        <v>506</v>
      </c>
      <c r="J12655" t="s">
        <v>507</v>
      </c>
      <c r="K12655" t="s">
        <v>33</v>
      </c>
      <c r="L12655" t="s">
        <v>508</v>
      </c>
      <c r="N12655" t="s">
        <v>29</v>
      </c>
    </row>
    <row r="12656" spans="1:14">
      <c r="A12656" s="4" t="str">
        <f t="shared" si="1100"/>
        <v>EXP00407</v>
      </c>
      <c r="B12656" s="3" t="s">
        <v>66</v>
      </c>
      <c r="C12656" s="4" t="str">
        <f t="shared" si="1099"/>
        <v>TCGA-BLCA</v>
      </c>
      <c r="D12656" s="1" t="s">
        <v>493</v>
      </c>
      <c r="E12656" t="s">
        <v>516</v>
      </c>
      <c r="F12656" s="1">
        <v>2</v>
      </c>
      <c r="G12656" s="1" t="s">
        <v>32</v>
      </c>
      <c r="H12656" s="4" t="str">
        <f>HYPERLINK("https://portal.gdc.cancer.gov/cases/9dd97821-7afd-4982-8b1d-f14f845b79f7","TCGA-BT-A2LD-01A")</f>
        <v>TCGA-BT-A2LD-01A</v>
      </c>
      <c r="I12656" t="s">
        <v>506</v>
      </c>
      <c r="J12656" t="s">
        <v>507</v>
      </c>
      <c r="K12656" t="s">
        <v>33</v>
      </c>
      <c r="L12656" t="s">
        <v>508</v>
      </c>
      <c r="N12656" t="s">
        <v>29</v>
      </c>
    </row>
    <row r="12657" spans="1:14">
      <c r="A12657" s="4" t="str">
        <f t="shared" si="1100"/>
        <v>EXP00407</v>
      </c>
      <c r="B12657" s="3" t="s">
        <v>66</v>
      </c>
      <c r="C12657" s="4" t="str">
        <f t="shared" si="1099"/>
        <v>TCGA-BLCA</v>
      </c>
      <c r="D12657" s="1" t="s">
        <v>493</v>
      </c>
      <c r="E12657" t="s">
        <v>516</v>
      </c>
      <c r="F12657" s="1">
        <v>2</v>
      </c>
      <c r="G12657" s="1" t="s">
        <v>32</v>
      </c>
      <c r="H12657" s="4" t="str">
        <f>HYPERLINK("https://portal.gdc.cancer.gov/cases/932bcdd4-5145-49e8-9a95-8a546396f572","TCGA-BT-A3PH-01A")</f>
        <v>TCGA-BT-A3PH-01A</v>
      </c>
      <c r="I12657" t="s">
        <v>506</v>
      </c>
      <c r="J12657" t="s">
        <v>507</v>
      </c>
      <c r="K12657" t="s">
        <v>33</v>
      </c>
      <c r="L12657" t="s">
        <v>508</v>
      </c>
      <c r="N12657" t="s">
        <v>29</v>
      </c>
    </row>
    <row r="12658" spans="1:14">
      <c r="A12658" s="4" t="str">
        <f t="shared" si="1100"/>
        <v>EXP00407</v>
      </c>
      <c r="B12658" s="3" t="s">
        <v>66</v>
      </c>
      <c r="C12658" s="4" t="str">
        <f t="shared" si="1099"/>
        <v>TCGA-BLCA</v>
      </c>
      <c r="D12658" s="1" t="s">
        <v>493</v>
      </c>
      <c r="E12658" t="s">
        <v>516</v>
      </c>
      <c r="F12658" s="1">
        <v>2</v>
      </c>
      <c r="G12658" s="1" t="s">
        <v>32</v>
      </c>
      <c r="H12658" s="4" t="str">
        <f>HYPERLINK("https://portal.gdc.cancer.gov/cases/cb664eef-be6f-44ef-aa90-6f6da0e6440a","TCGA-BT-A3PJ-01A")</f>
        <v>TCGA-BT-A3PJ-01A</v>
      </c>
      <c r="I12658" t="s">
        <v>506</v>
      </c>
      <c r="J12658" t="s">
        <v>507</v>
      </c>
      <c r="K12658" t="s">
        <v>33</v>
      </c>
      <c r="L12658" t="s">
        <v>508</v>
      </c>
      <c r="N12658" t="s">
        <v>29</v>
      </c>
    </row>
    <row r="12659" spans="1:14">
      <c r="A12659" s="4" t="str">
        <f t="shared" si="1100"/>
        <v>EXP00407</v>
      </c>
      <c r="B12659" s="3" t="s">
        <v>66</v>
      </c>
      <c r="C12659" s="4" t="str">
        <f t="shared" si="1099"/>
        <v>TCGA-BLCA</v>
      </c>
      <c r="D12659" s="1" t="s">
        <v>493</v>
      </c>
      <c r="E12659" t="s">
        <v>516</v>
      </c>
      <c r="F12659" s="1">
        <v>2</v>
      </c>
      <c r="G12659" s="1" t="s">
        <v>32</v>
      </c>
      <c r="H12659" s="4" t="str">
        <f>HYPERLINK("https://portal.gdc.cancer.gov/cases/73041fcf-f3b6-4851-b34d-1d62a1fcf6fe","TCGA-BT-A3PK-01A")</f>
        <v>TCGA-BT-A3PK-01A</v>
      </c>
      <c r="I12659" t="s">
        <v>506</v>
      </c>
      <c r="J12659" t="s">
        <v>507</v>
      </c>
      <c r="K12659" t="s">
        <v>33</v>
      </c>
      <c r="L12659" t="s">
        <v>508</v>
      </c>
      <c r="N12659" t="s">
        <v>29</v>
      </c>
    </row>
    <row r="12660" spans="1:14">
      <c r="A12660" s="4" t="str">
        <f t="shared" si="1100"/>
        <v>EXP00407</v>
      </c>
      <c r="B12660" s="3" t="s">
        <v>66</v>
      </c>
      <c r="C12660" s="4" t="str">
        <f t="shared" si="1099"/>
        <v>TCGA-BLCA</v>
      </c>
      <c r="D12660" s="1" t="s">
        <v>493</v>
      </c>
      <c r="E12660" t="s">
        <v>516</v>
      </c>
      <c r="F12660" s="1">
        <v>2</v>
      </c>
      <c r="G12660" s="1" t="s">
        <v>32</v>
      </c>
      <c r="H12660" s="4" t="str">
        <f>HYPERLINK("https://portal.gdc.cancer.gov/cases/b9808ef9-e917-45f9-9e0f-b86f7834b5ff","TCGA-BT-A42C-01A")</f>
        <v>TCGA-BT-A42C-01A</v>
      </c>
      <c r="I12660" t="s">
        <v>506</v>
      </c>
      <c r="J12660" t="s">
        <v>507</v>
      </c>
      <c r="K12660" t="s">
        <v>33</v>
      </c>
      <c r="L12660" t="s">
        <v>508</v>
      </c>
      <c r="N12660" t="s">
        <v>29</v>
      </c>
    </row>
    <row r="12661" spans="1:14">
      <c r="A12661" s="4" t="str">
        <f t="shared" si="1100"/>
        <v>EXP00407</v>
      </c>
      <c r="B12661" s="3" t="s">
        <v>66</v>
      </c>
      <c r="C12661" s="4" t="str">
        <f t="shared" si="1099"/>
        <v>TCGA-BLCA</v>
      </c>
      <c r="D12661" s="1" t="s">
        <v>493</v>
      </c>
      <c r="E12661" t="s">
        <v>516</v>
      </c>
      <c r="F12661" s="1">
        <v>2</v>
      </c>
      <c r="G12661" s="1" t="s">
        <v>32</v>
      </c>
      <c r="H12661" s="4" t="str">
        <f>HYPERLINK("https://portal.gdc.cancer.gov/cases/8d434cfb-2414-4d93-bf79-7b957bf040db","TCGA-BT-A42E-01A")</f>
        <v>TCGA-BT-A42E-01A</v>
      </c>
      <c r="I12661" t="s">
        <v>506</v>
      </c>
      <c r="J12661" t="s">
        <v>507</v>
      </c>
      <c r="K12661" t="s">
        <v>33</v>
      </c>
      <c r="L12661" t="s">
        <v>508</v>
      </c>
      <c r="N12661" t="s">
        <v>29</v>
      </c>
    </row>
    <row r="12662" spans="1:14">
      <c r="A12662" s="4" t="str">
        <f t="shared" si="1100"/>
        <v>EXP00407</v>
      </c>
      <c r="B12662" s="3" t="s">
        <v>66</v>
      </c>
      <c r="C12662" s="4" t="str">
        <f t="shared" si="1099"/>
        <v>TCGA-BLCA</v>
      </c>
      <c r="D12662" s="1" t="s">
        <v>493</v>
      </c>
      <c r="E12662" t="s">
        <v>516</v>
      </c>
      <c r="F12662" s="1">
        <v>2</v>
      </c>
      <c r="G12662" s="1" t="s">
        <v>32</v>
      </c>
      <c r="H12662" s="4" t="str">
        <f>HYPERLINK("https://portal.gdc.cancer.gov/cases/da98be9d-7acf-43ce-aa24-38d1d2604506","TCGA-BT-A42F-01A")</f>
        <v>TCGA-BT-A42F-01A</v>
      </c>
      <c r="I12662" t="s">
        <v>506</v>
      </c>
      <c r="J12662" t="s">
        <v>507</v>
      </c>
      <c r="K12662" t="s">
        <v>33</v>
      </c>
      <c r="L12662" t="s">
        <v>508</v>
      </c>
      <c r="N12662" t="s">
        <v>29</v>
      </c>
    </row>
    <row r="12663" spans="1:14">
      <c r="A12663" s="4" t="str">
        <f t="shared" si="1100"/>
        <v>EXP00407</v>
      </c>
      <c r="B12663" s="3" t="s">
        <v>66</v>
      </c>
      <c r="C12663" s="4" t="str">
        <f t="shared" si="1099"/>
        <v>TCGA-BLCA</v>
      </c>
      <c r="D12663" s="1" t="s">
        <v>493</v>
      </c>
      <c r="E12663" t="s">
        <v>516</v>
      </c>
      <c r="F12663" s="1">
        <v>2</v>
      </c>
      <c r="G12663" s="1" t="s">
        <v>32</v>
      </c>
      <c r="H12663" s="4" t="str">
        <f>HYPERLINK("https://portal.gdc.cancer.gov/cases/05935f1d-77c2-46ca-b87a-7a84bce38afd","TCGA-C4-A0EZ-01A")</f>
        <v>TCGA-C4-A0EZ-01A</v>
      </c>
      <c r="I12663" t="s">
        <v>506</v>
      </c>
      <c r="J12663" t="s">
        <v>507</v>
      </c>
      <c r="K12663" t="s">
        <v>33</v>
      </c>
      <c r="L12663" t="s">
        <v>508</v>
      </c>
      <c r="N12663" t="s">
        <v>29</v>
      </c>
    </row>
    <row r="12664" spans="1:14">
      <c r="A12664" s="4" t="str">
        <f t="shared" si="1100"/>
        <v>EXP00407</v>
      </c>
      <c r="B12664" s="3" t="s">
        <v>66</v>
      </c>
      <c r="C12664" s="4" t="str">
        <f t="shared" si="1099"/>
        <v>TCGA-BLCA</v>
      </c>
      <c r="D12664" s="1" t="s">
        <v>493</v>
      </c>
      <c r="E12664" t="s">
        <v>516</v>
      </c>
      <c r="F12664" s="1">
        <v>2</v>
      </c>
      <c r="G12664" s="1" t="s">
        <v>32</v>
      </c>
      <c r="H12664" s="4" t="str">
        <f>HYPERLINK("https://portal.gdc.cancer.gov/cases/40398c03-a9cc-476b-9ee9-aecf161be43f","TCGA-C4-A0F0-01A")</f>
        <v>TCGA-C4-A0F0-01A</v>
      </c>
      <c r="I12664" t="s">
        <v>506</v>
      </c>
      <c r="J12664" t="s">
        <v>507</v>
      </c>
      <c r="K12664" t="s">
        <v>33</v>
      </c>
      <c r="L12664" t="s">
        <v>508</v>
      </c>
      <c r="N12664" t="s">
        <v>29</v>
      </c>
    </row>
    <row r="12665" spans="1:14">
      <c r="A12665" s="4" t="str">
        <f t="shared" si="1100"/>
        <v>EXP00407</v>
      </c>
      <c r="B12665" s="3" t="s">
        <v>66</v>
      </c>
      <c r="C12665" s="4" t="str">
        <f t="shared" si="1099"/>
        <v>TCGA-BLCA</v>
      </c>
      <c r="D12665" s="1" t="s">
        <v>493</v>
      </c>
      <c r="E12665" t="s">
        <v>516</v>
      </c>
      <c r="F12665" s="1">
        <v>2</v>
      </c>
      <c r="G12665" s="1" t="s">
        <v>32</v>
      </c>
      <c r="H12665" s="4" t="str">
        <f>HYPERLINK("https://portal.gdc.cancer.gov/cases/ab20d2d5-ea10-4aba-b495-fbe7b18bb394","TCGA-C4-A0F1-01A")</f>
        <v>TCGA-C4-A0F1-01A</v>
      </c>
      <c r="I12665" t="s">
        <v>506</v>
      </c>
      <c r="J12665" t="s">
        <v>507</v>
      </c>
      <c r="K12665" t="s">
        <v>33</v>
      </c>
      <c r="L12665" t="s">
        <v>508</v>
      </c>
      <c r="N12665" t="s">
        <v>29</v>
      </c>
    </row>
    <row r="12666" spans="1:14">
      <c r="A12666" s="4" t="str">
        <f t="shared" si="1100"/>
        <v>EXP00407</v>
      </c>
      <c r="B12666" s="3" t="s">
        <v>66</v>
      </c>
      <c r="C12666" s="4" t="str">
        <f t="shared" si="1099"/>
        <v>TCGA-BLCA</v>
      </c>
      <c r="D12666" s="1" t="s">
        <v>493</v>
      </c>
      <c r="E12666" t="s">
        <v>516</v>
      </c>
      <c r="F12666" s="1">
        <v>2</v>
      </c>
      <c r="G12666" s="1" t="s">
        <v>32</v>
      </c>
      <c r="H12666" s="4" t="str">
        <f>HYPERLINK("https://portal.gdc.cancer.gov/cases/4ff9b4f2-6d04-4fed-8796-155902a8bf28","TCGA-C4-A0F6-01A")</f>
        <v>TCGA-C4-A0F6-01A</v>
      </c>
      <c r="I12666" t="s">
        <v>506</v>
      </c>
      <c r="J12666" t="s">
        <v>507</v>
      </c>
      <c r="K12666" t="s">
        <v>33</v>
      </c>
      <c r="L12666" t="s">
        <v>508</v>
      </c>
      <c r="N12666" t="s">
        <v>29</v>
      </c>
    </row>
    <row r="12667" spans="1:14">
      <c r="A12667" s="4" t="str">
        <f t="shared" si="1100"/>
        <v>EXP00407</v>
      </c>
      <c r="B12667" s="3" t="s">
        <v>66</v>
      </c>
      <c r="C12667" s="4" t="str">
        <f t="shared" si="1099"/>
        <v>TCGA-BLCA</v>
      </c>
      <c r="D12667" s="1" t="s">
        <v>493</v>
      </c>
      <c r="E12667" t="s">
        <v>516</v>
      </c>
      <c r="F12667" s="1">
        <v>2</v>
      </c>
      <c r="G12667" s="1" t="s">
        <v>32</v>
      </c>
      <c r="H12667" s="4" t="str">
        <f>HYPERLINK("https://portal.gdc.cancer.gov/cases/ca554128-da9d-4f37-9560-ca083509e01d","TCGA-C4-A0F7-01A")</f>
        <v>TCGA-C4-A0F7-01A</v>
      </c>
      <c r="I12667" t="s">
        <v>506</v>
      </c>
      <c r="J12667" t="s">
        <v>507</v>
      </c>
      <c r="K12667" t="s">
        <v>33</v>
      </c>
      <c r="L12667" t="s">
        <v>508</v>
      </c>
      <c r="N12667" t="s">
        <v>29</v>
      </c>
    </row>
    <row r="12668" spans="1:14">
      <c r="A12668" s="4" t="str">
        <f t="shared" si="1100"/>
        <v>EXP00407</v>
      </c>
      <c r="B12668" s="3" t="s">
        <v>66</v>
      </c>
      <c r="C12668" s="4" t="str">
        <f t="shared" si="1099"/>
        <v>TCGA-BLCA</v>
      </c>
      <c r="D12668" s="1" t="s">
        <v>493</v>
      </c>
      <c r="E12668" t="s">
        <v>516</v>
      </c>
      <c r="F12668" s="1">
        <v>2</v>
      </c>
      <c r="G12668" s="1" t="s">
        <v>32</v>
      </c>
      <c r="H12668" s="4" t="str">
        <f>HYPERLINK("https://portal.gdc.cancer.gov/cases/39ea19e1-4959-4f1b-9934-54bdaf766842","TCGA-CF-A1HR-01A")</f>
        <v>TCGA-CF-A1HR-01A</v>
      </c>
      <c r="I12668" t="s">
        <v>506</v>
      </c>
      <c r="J12668" t="s">
        <v>507</v>
      </c>
      <c r="K12668" t="s">
        <v>33</v>
      </c>
      <c r="L12668" t="s">
        <v>508</v>
      </c>
      <c r="N12668" t="s">
        <v>29</v>
      </c>
    </row>
    <row r="12669" spans="1:14">
      <c r="A12669" s="4" t="str">
        <f t="shared" si="1100"/>
        <v>EXP00407</v>
      </c>
      <c r="B12669" s="3" t="s">
        <v>66</v>
      </c>
      <c r="C12669" s="4" t="str">
        <f t="shared" si="1099"/>
        <v>TCGA-BLCA</v>
      </c>
      <c r="D12669" s="1" t="s">
        <v>493</v>
      </c>
      <c r="E12669" t="s">
        <v>516</v>
      </c>
      <c r="F12669" s="1">
        <v>2</v>
      </c>
      <c r="G12669" s="1" t="s">
        <v>32</v>
      </c>
      <c r="H12669" s="4" t="str">
        <f>HYPERLINK("https://portal.gdc.cancer.gov/cases/a73c0842-39c5-4c2c-aa6a-f31341a4f36e","TCGA-CF-A1HS-01A")</f>
        <v>TCGA-CF-A1HS-01A</v>
      </c>
      <c r="I12669" t="s">
        <v>506</v>
      </c>
      <c r="J12669" t="s">
        <v>507</v>
      </c>
      <c r="K12669" t="s">
        <v>33</v>
      </c>
      <c r="L12669" t="s">
        <v>508</v>
      </c>
      <c r="N12669" t="s">
        <v>29</v>
      </c>
    </row>
    <row r="12670" spans="1:14">
      <c r="A12670" s="4" t="str">
        <f t="shared" si="1100"/>
        <v>EXP00407</v>
      </c>
      <c r="B12670" s="3" t="s">
        <v>66</v>
      </c>
      <c r="C12670" s="4" t="str">
        <f t="shared" si="1099"/>
        <v>TCGA-BLCA</v>
      </c>
      <c r="D12670" s="1" t="s">
        <v>493</v>
      </c>
      <c r="E12670" t="s">
        <v>516</v>
      </c>
      <c r="F12670" s="1">
        <v>2</v>
      </c>
      <c r="G12670" s="1" t="s">
        <v>32</v>
      </c>
      <c r="H12670" s="4" t="str">
        <f>HYPERLINK("https://portal.gdc.cancer.gov/cases/7fee9d6f-c0ea-43c2-89c2-66d965a077a8","TCGA-CF-A27C-01A")</f>
        <v>TCGA-CF-A27C-01A</v>
      </c>
      <c r="I12670" t="s">
        <v>506</v>
      </c>
      <c r="J12670" t="s">
        <v>507</v>
      </c>
      <c r="K12670" t="s">
        <v>33</v>
      </c>
      <c r="L12670" t="s">
        <v>508</v>
      </c>
      <c r="N12670" t="s">
        <v>29</v>
      </c>
    </row>
    <row r="12671" spans="1:14">
      <c r="A12671" s="4" t="str">
        <f t="shared" si="1100"/>
        <v>EXP00407</v>
      </c>
      <c r="B12671" s="3" t="s">
        <v>66</v>
      </c>
      <c r="C12671" s="4" t="str">
        <f t="shared" si="1099"/>
        <v>TCGA-BLCA</v>
      </c>
      <c r="D12671" s="1" t="s">
        <v>493</v>
      </c>
      <c r="E12671" t="s">
        <v>516</v>
      </c>
      <c r="F12671" s="1">
        <v>2</v>
      </c>
      <c r="G12671" s="1" t="s">
        <v>32</v>
      </c>
      <c r="H12671" s="4" t="str">
        <f>HYPERLINK("https://portal.gdc.cancer.gov/cases/1e308b12-0590-4dae-94d0-a539fcf25df7","TCGA-CF-A3MF-01A")</f>
        <v>TCGA-CF-A3MF-01A</v>
      </c>
      <c r="I12671" t="s">
        <v>506</v>
      </c>
      <c r="J12671" t="s">
        <v>507</v>
      </c>
      <c r="K12671" t="s">
        <v>33</v>
      </c>
      <c r="L12671" t="s">
        <v>508</v>
      </c>
      <c r="N12671" t="s">
        <v>29</v>
      </c>
    </row>
    <row r="12672" spans="1:14">
      <c r="A12672" s="4" t="str">
        <f t="shared" si="1100"/>
        <v>EXP00407</v>
      </c>
      <c r="B12672" s="3" t="s">
        <v>66</v>
      </c>
      <c r="C12672" s="4" t="str">
        <f t="shared" si="1099"/>
        <v>TCGA-BLCA</v>
      </c>
      <c r="D12672" s="1" t="s">
        <v>493</v>
      </c>
      <c r="E12672" t="s">
        <v>516</v>
      </c>
      <c r="F12672" s="1">
        <v>2</v>
      </c>
      <c r="G12672" s="1" t="s">
        <v>32</v>
      </c>
      <c r="H12672" s="4" t="str">
        <f>HYPERLINK("https://portal.gdc.cancer.gov/cases/39efa06a-ffe5-40b3-8f8a-a2d7071bc9e3","TCGA-CF-A3MG-01A")</f>
        <v>TCGA-CF-A3MG-01A</v>
      </c>
      <c r="I12672" t="s">
        <v>506</v>
      </c>
      <c r="J12672" t="s">
        <v>507</v>
      </c>
      <c r="K12672" t="s">
        <v>33</v>
      </c>
      <c r="L12672" t="s">
        <v>508</v>
      </c>
      <c r="N12672" t="s">
        <v>29</v>
      </c>
    </row>
    <row r="12673" spans="1:14">
      <c r="A12673" s="4" t="str">
        <f t="shared" si="1100"/>
        <v>EXP00407</v>
      </c>
      <c r="B12673" s="3" t="s">
        <v>66</v>
      </c>
      <c r="C12673" s="4" t="str">
        <f t="shared" si="1099"/>
        <v>TCGA-BLCA</v>
      </c>
      <c r="D12673" s="1" t="s">
        <v>493</v>
      </c>
      <c r="E12673" t="s">
        <v>516</v>
      </c>
      <c r="F12673" s="1">
        <v>2</v>
      </c>
      <c r="G12673" s="1" t="s">
        <v>32</v>
      </c>
      <c r="H12673" s="4" t="str">
        <f>HYPERLINK("https://portal.gdc.cancer.gov/cases/b8a8d2fc-421b-4393-8d5a-946cf72cb496","TCGA-CF-A3MH-01A")</f>
        <v>TCGA-CF-A3MH-01A</v>
      </c>
      <c r="I12673" t="s">
        <v>506</v>
      </c>
      <c r="J12673" t="s">
        <v>507</v>
      </c>
      <c r="K12673" t="s">
        <v>33</v>
      </c>
      <c r="L12673" t="s">
        <v>508</v>
      </c>
      <c r="N12673" t="s">
        <v>29</v>
      </c>
    </row>
    <row r="12674" spans="1:14">
      <c r="A12674" s="4" t="str">
        <f t="shared" si="1100"/>
        <v>EXP00407</v>
      </c>
      <c r="B12674" s="3" t="s">
        <v>66</v>
      </c>
      <c r="C12674" s="4" t="str">
        <f t="shared" si="1099"/>
        <v>TCGA-BLCA</v>
      </c>
      <c r="D12674" s="1" t="s">
        <v>493</v>
      </c>
      <c r="E12674" t="s">
        <v>516</v>
      </c>
      <c r="F12674" s="1">
        <v>2</v>
      </c>
      <c r="G12674" s="1" t="s">
        <v>32</v>
      </c>
      <c r="H12674" s="4" t="str">
        <f>HYPERLINK("https://portal.gdc.cancer.gov/cases/f1ebf96b-8df9-4e59-acef-7ad433e40214","TCGA-CF-A3MI-01A")</f>
        <v>TCGA-CF-A3MI-01A</v>
      </c>
      <c r="I12674" t="s">
        <v>506</v>
      </c>
      <c r="J12674" t="s">
        <v>507</v>
      </c>
      <c r="K12674" t="s">
        <v>33</v>
      </c>
      <c r="L12674" t="s">
        <v>508</v>
      </c>
      <c r="N12674" t="s">
        <v>29</v>
      </c>
    </row>
    <row r="12675" spans="1:14">
      <c r="A12675" s="4" t="str">
        <f t="shared" si="1100"/>
        <v>EXP00407</v>
      </c>
      <c r="B12675" s="3" t="s">
        <v>66</v>
      </c>
      <c r="C12675" s="4" t="str">
        <f t="shared" si="1099"/>
        <v>TCGA-BLCA</v>
      </c>
      <c r="D12675" s="1" t="s">
        <v>493</v>
      </c>
      <c r="E12675" t="s">
        <v>516</v>
      </c>
      <c r="F12675" s="1">
        <v>2</v>
      </c>
      <c r="G12675" s="1" t="s">
        <v>32</v>
      </c>
      <c r="H12675" s="4" t="str">
        <f>HYPERLINK("https://portal.gdc.cancer.gov/cases/d2df20d4-6704-41e6-b33d-616225bd737c","TCGA-CF-A47S-01A")</f>
        <v>TCGA-CF-A47S-01A</v>
      </c>
      <c r="I12675" t="s">
        <v>506</v>
      </c>
      <c r="J12675" t="s">
        <v>507</v>
      </c>
      <c r="K12675" t="s">
        <v>33</v>
      </c>
      <c r="L12675" t="s">
        <v>508</v>
      </c>
      <c r="N12675" t="s">
        <v>29</v>
      </c>
    </row>
    <row r="12676" spans="1:14">
      <c r="A12676" s="4" t="str">
        <f t="shared" si="1100"/>
        <v>EXP00407</v>
      </c>
      <c r="B12676" s="3" t="s">
        <v>66</v>
      </c>
      <c r="C12676" s="4" t="str">
        <f t="shared" si="1099"/>
        <v>TCGA-BLCA</v>
      </c>
      <c r="D12676" s="1" t="s">
        <v>493</v>
      </c>
      <c r="E12676" t="s">
        <v>516</v>
      </c>
      <c r="F12676" s="1">
        <v>2</v>
      </c>
      <c r="G12676" s="1" t="s">
        <v>32</v>
      </c>
      <c r="H12676" s="4" t="str">
        <f>HYPERLINK("https://portal.gdc.cancer.gov/cases/0db0f02f-94f5-492f-8840-5254792f6879","TCGA-CF-A47T-01A")</f>
        <v>TCGA-CF-A47T-01A</v>
      </c>
      <c r="I12676" t="s">
        <v>506</v>
      </c>
      <c r="J12676" t="s">
        <v>507</v>
      </c>
      <c r="K12676" t="s">
        <v>33</v>
      </c>
      <c r="L12676" t="s">
        <v>508</v>
      </c>
      <c r="N12676" t="s">
        <v>29</v>
      </c>
    </row>
    <row r="12677" spans="1:14">
      <c r="A12677" s="4" t="str">
        <f t="shared" si="1100"/>
        <v>EXP00407</v>
      </c>
      <c r="B12677" s="3" t="s">
        <v>66</v>
      </c>
      <c r="C12677" s="4" t="str">
        <f t="shared" si="1099"/>
        <v>TCGA-BLCA</v>
      </c>
      <c r="D12677" s="1" t="s">
        <v>493</v>
      </c>
      <c r="E12677" t="s">
        <v>516</v>
      </c>
      <c r="F12677" s="1">
        <v>2</v>
      </c>
      <c r="G12677" s="1" t="s">
        <v>32</v>
      </c>
      <c r="H12677" s="4" t="str">
        <f>HYPERLINK("https://portal.gdc.cancer.gov/cases/e5086eab-c920-4e3e-a965-90f3f495363a","TCGA-CF-A47V-01A")</f>
        <v>TCGA-CF-A47V-01A</v>
      </c>
      <c r="I12677" t="s">
        <v>506</v>
      </c>
      <c r="J12677" t="s">
        <v>507</v>
      </c>
      <c r="K12677" t="s">
        <v>33</v>
      </c>
      <c r="L12677" t="s">
        <v>508</v>
      </c>
      <c r="N12677" t="s">
        <v>29</v>
      </c>
    </row>
    <row r="12678" spans="1:14">
      <c r="A12678" s="4" t="str">
        <f t="shared" si="1100"/>
        <v>EXP00407</v>
      </c>
      <c r="B12678" s="3" t="s">
        <v>66</v>
      </c>
      <c r="C12678" s="4" t="str">
        <f t="shared" si="1099"/>
        <v>TCGA-BLCA</v>
      </c>
      <c r="D12678" s="1" t="s">
        <v>493</v>
      </c>
      <c r="E12678" t="s">
        <v>516</v>
      </c>
      <c r="F12678" s="1">
        <v>2</v>
      </c>
      <c r="G12678" s="1" t="s">
        <v>32</v>
      </c>
      <c r="H12678" s="4" t="str">
        <f>HYPERLINK("https://portal.gdc.cancer.gov/cases/122fc134-8915-47db-96c9-ab1853c3cd18","TCGA-CF-A47W-01A")</f>
        <v>TCGA-CF-A47W-01A</v>
      </c>
      <c r="I12678" t="s">
        <v>506</v>
      </c>
      <c r="J12678" t="s">
        <v>507</v>
      </c>
      <c r="K12678" t="s">
        <v>33</v>
      </c>
      <c r="L12678" t="s">
        <v>508</v>
      </c>
      <c r="N12678" t="s">
        <v>29</v>
      </c>
    </row>
    <row r="12679" spans="1:14">
      <c r="A12679" s="4" t="str">
        <f t="shared" si="1100"/>
        <v>EXP00407</v>
      </c>
      <c r="B12679" s="3" t="s">
        <v>66</v>
      </c>
      <c r="C12679" s="4" t="str">
        <f t="shared" si="1099"/>
        <v>TCGA-BLCA</v>
      </c>
      <c r="D12679" s="1" t="s">
        <v>493</v>
      </c>
      <c r="E12679" t="s">
        <v>516</v>
      </c>
      <c r="F12679" s="1">
        <v>2</v>
      </c>
      <c r="G12679" s="1" t="s">
        <v>32</v>
      </c>
      <c r="H12679" s="4" t="str">
        <f>HYPERLINK("https://portal.gdc.cancer.gov/cases/82d5f37f-5a1b-49d8-b990-ac222b4e1c1d","TCGA-CF-A47X-01A")</f>
        <v>TCGA-CF-A47X-01A</v>
      </c>
      <c r="I12679" t="s">
        <v>506</v>
      </c>
      <c r="J12679" t="s">
        <v>507</v>
      </c>
      <c r="K12679" t="s">
        <v>33</v>
      </c>
      <c r="L12679" t="s">
        <v>508</v>
      </c>
      <c r="N12679" t="s">
        <v>29</v>
      </c>
    </row>
    <row r="12680" spans="1:14">
      <c r="A12680" s="4" t="str">
        <f t="shared" si="1100"/>
        <v>EXP00407</v>
      </c>
      <c r="B12680" s="3" t="s">
        <v>66</v>
      </c>
      <c r="C12680" s="4" t="str">
        <f t="shared" si="1099"/>
        <v>TCGA-BLCA</v>
      </c>
      <c r="D12680" s="1" t="s">
        <v>493</v>
      </c>
      <c r="E12680" t="s">
        <v>516</v>
      </c>
      <c r="F12680" s="1">
        <v>2</v>
      </c>
      <c r="G12680" s="1" t="s">
        <v>32</v>
      </c>
      <c r="H12680" s="4" t="str">
        <f>HYPERLINK("https://portal.gdc.cancer.gov/cases/9bcff619-f75a-4aa4-9e09-2e9aa7b59225","TCGA-CF-A47Y-01A")</f>
        <v>TCGA-CF-A47Y-01A</v>
      </c>
      <c r="I12680" t="s">
        <v>506</v>
      </c>
      <c r="J12680" t="s">
        <v>507</v>
      </c>
      <c r="K12680" t="s">
        <v>33</v>
      </c>
      <c r="L12680" t="s">
        <v>508</v>
      </c>
      <c r="N12680" t="s">
        <v>29</v>
      </c>
    </row>
    <row r="12681" spans="1:14">
      <c r="A12681" s="4" t="str">
        <f t="shared" si="1100"/>
        <v>EXP00407</v>
      </c>
      <c r="B12681" s="3" t="s">
        <v>66</v>
      </c>
      <c r="C12681" s="4" t="str">
        <f t="shared" si="1099"/>
        <v>TCGA-BLCA</v>
      </c>
      <c r="D12681" s="1" t="s">
        <v>493</v>
      </c>
      <c r="E12681" t="s">
        <v>516</v>
      </c>
      <c r="F12681" s="1">
        <v>2</v>
      </c>
      <c r="G12681" s="1" t="s">
        <v>32</v>
      </c>
      <c r="H12681" s="4" t="str">
        <f>HYPERLINK("https://portal.gdc.cancer.gov/cases/4cc25adb-6db4-46aa-9fc9-c2c6339fb6d3","TCGA-CF-A5U8-01A")</f>
        <v>TCGA-CF-A5U8-01A</v>
      </c>
      <c r="I12681" t="s">
        <v>506</v>
      </c>
      <c r="J12681" t="s">
        <v>507</v>
      </c>
      <c r="K12681" t="s">
        <v>33</v>
      </c>
      <c r="L12681" t="s">
        <v>508</v>
      </c>
      <c r="N12681" t="s">
        <v>29</v>
      </c>
    </row>
    <row r="12682" spans="1:14">
      <c r="A12682" s="4" t="str">
        <f t="shared" si="1100"/>
        <v>EXP00407</v>
      </c>
      <c r="B12682" s="3" t="s">
        <v>66</v>
      </c>
      <c r="C12682" s="4" t="str">
        <f t="shared" si="1099"/>
        <v>TCGA-BLCA</v>
      </c>
      <c r="D12682" s="1" t="s">
        <v>493</v>
      </c>
      <c r="E12682" t="s">
        <v>516</v>
      </c>
      <c r="F12682" s="1">
        <v>2</v>
      </c>
      <c r="G12682" s="1" t="s">
        <v>32</v>
      </c>
      <c r="H12682" s="4" t="str">
        <f>HYPERLINK("https://portal.gdc.cancer.gov/cases/b52c870c-bfb8-4e68-86c0-64d57e5c9ae3","TCGA-CF-A5UA-01A")</f>
        <v>TCGA-CF-A5UA-01A</v>
      </c>
      <c r="I12682" t="s">
        <v>506</v>
      </c>
      <c r="J12682" t="s">
        <v>507</v>
      </c>
      <c r="K12682" t="s">
        <v>33</v>
      </c>
      <c r="L12682" t="s">
        <v>508</v>
      </c>
      <c r="N12682" t="s">
        <v>29</v>
      </c>
    </row>
    <row r="12683" spans="1:14">
      <c r="A12683" s="4" t="str">
        <f t="shared" si="1100"/>
        <v>EXP00407</v>
      </c>
      <c r="B12683" s="3" t="s">
        <v>66</v>
      </c>
      <c r="C12683" s="4" t="str">
        <f t="shared" si="1099"/>
        <v>TCGA-BLCA</v>
      </c>
      <c r="D12683" s="1" t="s">
        <v>493</v>
      </c>
      <c r="E12683" t="s">
        <v>516</v>
      </c>
      <c r="F12683" s="1">
        <v>2</v>
      </c>
      <c r="G12683" s="1" t="s">
        <v>32</v>
      </c>
      <c r="H12683" s="4" t="str">
        <f>HYPERLINK("https://portal.gdc.cancer.gov/cases/25ac9acd-328b-4fae-a448-4f3957b1b212","TCGA-CF-A7I0-01A")</f>
        <v>TCGA-CF-A7I0-01A</v>
      </c>
      <c r="I12683" t="s">
        <v>506</v>
      </c>
      <c r="J12683" t="s">
        <v>507</v>
      </c>
      <c r="K12683" t="s">
        <v>33</v>
      </c>
      <c r="L12683" t="s">
        <v>508</v>
      </c>
      <c r="N12683" t="s">
        <v>29</v>
      </c>
    </row>
    <row r="12684" spans="1:14">
      <c r="A12684" s="4" t="str">
        <f t="shared" si="1100"/>
        <v>EXP00407</v>
      </c>
      <c r="B12684" s="3" t="s">
        <v>66</v>
      </c>
      <c r="C12684" s="4" t="str">
        <f t="shared" si="1099"/>
        <v>TCGA-BLCA</v>
      </c>
      <c r="D12684" s="1" t="s">
        <v>493</v>
      </c>
      <c r="E12684" t="s">
        <v>516</v>
      </c>
      <c r="F12684" s="1">
        <v>2</v>
      </c>
      <c r="G12684" s="1" t="s">
        <v>32</v>
      </c>
      <c r="H12684" s="4" t="str">
        <f>HYPERLINK("https://portal.gdc.cancer.gov/cases/43f9b602-683a-4fa1-b044-8fc5794b1453","TCGA-CF-A8HX-01A")</f>
        <v>TCGA-CF-A8HX-01A</v>
      </c>
      <c r="I12684" t="s">
        <v>506</v>
      </c>
      <c r="J12684" t="s">
        <v>507</v>
      </c>
      <c r="K12684" t="s">
        <v>33</v>
      </c>
      <c r="L12684" t="s">
        <v>508</v>
      </c>
      <c r="N12684" t="s">
        <v>29</v>
      </c>
    </row>
    <row r="12685" spans="1:14">
      <c r="A12685" s="4" t="str">
        <f t="shared" si="1100"/>
        <v>EXP00407</v>
      </c>
      <c r="B12685" s="3" t="s">
        <v>66</v>
      </c>
      <c r="C12685" s="4" t="str">
        <f t="shared" si="1099"/>
        <v>TCGA-BLCA</v>
      </c>
      <c r="D12685" s="1" t="s">
        <v>493</v>
      </c>
      <c r="E12685" t="s">
        <v>516</v>
      </c>
      <c r="F12685" s="1">
        <v>2</v>
      </c>
      <c r="G12685" s="1" t="s">
        <v>32</v>
      </c>
      <c r="H12685" s="4" t="str">
        <f>HYPERLINK("https://portal.gdc.cancer.gov/cases/6a3e87d7-e360-44c5-9764-4b630df383e6","TCGA-CF-A8HY-01A")</f>
        <v>TCGA-CF-A8HY-01A</v>
      </c>
      <c r="I12685" t="s">
        <v>506</v>
      </c>
      <c r="J12685" t="s">
        <v>507</v>
      </c>
      <c r="K12685" t="s">
        <v>33</v>
      </c>
      <c r="L12685" t="s">
        <v>508</v>
      </c>
      <c r="N12685" t="s">
        <v>29</v>
      </c>
    </row>
    <row r="12686" spans="1:14">
      <c r="A12686" s="4" t="str">
        <f t="shared" si="1100"/>
        <v>EXP00407</v>
      </c>
      <c r="B12686" s="3" t="s">
        <v>66</v>
      </c>
      <c r="C12686" s="4" t="str">
        <f t="shared" si="1099"/>
        <v>TCGA-BLCA</v>
      </c>
      <c r="D12686" s="1" t="s">
        <v>493</v>
      </c>
      <c r="E12686" t="s">
        <v>516</v>
      </c>
      <c r="F12686" s="1">
        <v>2</v>
      </c>
      <c r="G12686" s="1" t="s">
        <v>32</v>
      </c>
      <c r="H12686" s="4" t="str">
        <f>HYPERLINK("https://portal.gdc.cancer.gov/cases/736e8cdf-e2d7-4141-86a9-45c34178a1c8","TCGA-CF-A9FF-01A")</f>
        <v>TCGA-CF-A9FF-01A</v>
      </c>
      <c r="I12686" t="s">
        <v>506</v>
      </c>
      <c r="J12686" t="s">
        <v>507</v>
      </c>
      <c r="K12686" t="s">
        <v>33</v>
      </c>
      <c r="L12686" t="s">
        <v>508</v>
      </c>
      <c r="N12686" t="s">
        <v>29</v>
      </c>
    </row>
    <row r="12687" spans="1:14">
      <c r="A12687" s="4" t="str">
        <f t="shared" si="1100"/>
        <v>EXP00407</v>
      </c>
      <c r="B12687" s="3" t="s">
        <v>66</v>
      </c>
      <c r="C12687" s="4" t="str">
        <f t="shared" si="1099"/>
        <v>TCGA-BLCA</v>
      </c>
      <c r="D12687" s="1" t="s">
        <v>493</v>
      </c>
      <c r="E12687" t="s">
        <v>516</v>
      </c>
      <c r="F12687" s="1">
        <v>2</v>
      </c>
      <c r="G12687" s="1" t="s">
        <v>32</v>
      </c>
      <c r="H12687" s="4" t="str">
        <f>HYPERLINK("https://portal.gdc.cancer.gov/cases/83a369ae-003b-432b-a7b2-c630805b43c1","TCGA-CF-A9FH-01A")</f>
        <v>TCGA-CF-A9FH-01A</v>
      </c>
      <c r="I12687" t="s">
        <v>506</v>
      </c>
      <c r="J12687" t="s">
        <v>507</v>
      </c>
      <c r="K12687" t="s">
        <v>33</v>
      </c>
      <c r="L12687" t="s">
        <v>508</v>
      </c>
      <c r="N12687" t="s">
        <v>29</v>
      </c>
    </row>
    <row r="12688" spans="1:14">
      <c r="A12688" s="4" t="str">
        <f t="shared" si="1100"/>
        <v>EXP00407</v>
      </c>
      <c r="B12688" s="3" t="s">
        <v>66</v>
      </c>
      <c r="C12688" s="4" t="str">
        <f t="shared" si="1099"/>
        <v>TCGA-BLCA</v>
      </c>
      <c r="D12688" s="1" t="s">
        <v>493</v>
      </c>
      <c r="E12688" t="s">
        <v>516</v>
      </c>
      <c r="F12688" s="1">
        <v>2</v>
      </c>
      <c r="G12688" s="1" t="s">
        <v>32</v>
      </c>
      <c r="H12688" s="4" t="str">
        <f>HYPERLINK("https://portal.gdc.cancer.gov/cases/96292f0e-5d09-4c44-8dfc-73ebde6bf137","TCGA-CF-A9FL-01A")</f>
        <v>TCGA-CF-A9FL-01A</v>
      </c>
      <c r="I12688" t="s">
        <v>506</v>
      </c>
      <c r="J12688" t="s">
        <v>507</v>
      </c>
      <c r="K12688" t="s">
        <v>33</v>
      </c>
      <c r="L12688" t="s">
        <v>508</v>
      </c>
      <c r="N12688" t="s">
        <v>29</v>
      </c>
    </row>
    <row r="12689" spans="1:14">
      <c r="A12689" s="4" t="str">
        <f t="shared" si="1100"/>
        <v>EXP00407</v>
      </c>
      <c r="B12689" s="3" t="s">
        <v>66</v>
      </c>
      <c r="C12689" s="4" t="str">
        <f t="shared" si="1099"/>
        <v>TCGA-BLCA</v>
      </c>
      <c r="D12689" s="1" t="s">
        <v>493</v>
      </c>
      <c r="E12689" t="s">
        <v>516</v>
      </c>
      <c r="F12689" s="1">
        <v>2</v>
      </c>
      <c r="G12689" s="1" t="s">
        <v>32</v>
      </c>
      <c r="H12689" s="4" t="str">
        <f>HYPERLINK("https://portal.gdc.cancer.gov/cases/aad167ab-4772-4616-afb3-265e00d4a3f0","TCGA-CF-A9FM-01A")</f>
        <v>TCGA-CF-A9FM-01A</v>
      </c>
      <c r="I12689" t="s">
        <v>506</v>
      </c>
      <c r="J12689" t="s">
        <v>507</v>
      </c>
      <c r="K12689" t="s">
        <v>33</v>
      </c>
      <c r="L12689" t="s">
        <v>508</v>
      </c>
      <c r="N12689" t="s">
        <v>29</v>
      </c>
    </row>
    <row r="12690" spans="1:14">
      <c r="A12690" s="4" t="str">
        <f t="shared" si="1100"/>
        <v>EXP00407</v>
      </c>
      <c r="B12690" s="3" t="s">
        <v>66</v>
      </c>
      <c r="C12690" s="4" t="str">
        <f t="shared" ref="C12690:C12753" si="1101">HYPERLINK("https://portal.gdc.cancer.gov/projects/TCGA-BLCA","TCGA-BLCA")</f>
        <v>TCGA-BLCA</v>
      </c>
      <c r="D12690" s="1" t="s">
        <v>493</v>
      </c>
      <c r="E12690" t="s">
        <v>516</v>
      </c>
      <c r="F12690" s="1">
        <v>2</v>
      </c>
      <c r="G12690" s="1" t="s">
        <v>32</v>
      </c>
      <c r="H12690" s="4" t="str">
        <f>HYPERLINK("https://portal.gdc.cancer.gov/cases/679a6869-2ce9-4472-8db1-8869e2c1a440","TCGA-CU-A0YN-01A")</f>
        <v>TCGA-CU-A0YN-01A</v>
      </c>
      <c r="I12690" t="s">
        <v>506</v>
      </c>
      <c r="J12690" t="s">
        <v>507</v>
      </c>
      <c r="K12690" t="s">
        <v>33</v>
      </c>
      <c r="L12690" t="s">
        <v>508</v>
      </c>
      <c r="N12690" t="s">
        <v>29</v>
      </c>
    </row>
    <row r="12691" spans="1:14">
      <c r="A12691" s="4" t="str">
        <f t="shared" si="1100"/>
        <v>EXP00407</v>
      </c>
      <c r="B12691" s="3" t="s">
        <v>66</v>
      </c>
      <c r="C12691" s="4" t="str">
        <f t="shared" si="1101"/>
        <v>TCGA-BLCA</v>
      </c>
      <c r="D12691" s="1" t="s">
        <v>493</v>
      </c>
      <c r="E12691" t="s">
        <v>516</v>
      </c>
      <c r="F12691" s="1">
        <v>2</v>
      </c>
      <c r="G12691" s="1" t="s">
        <v>32</v>
      </c>
      <c r="H12691" s="4" t="str">
        <f>HYPERLINK("https://portal.gdc.cancer.gov/cases/4a9ef220-922c-49cf-bbed-d173b214ed31","TCGA-CU-A0YO-01A")</f>
        <v>TCGA-CU-A0YO-01A</v>
      </c>
      <c r="I12691" t="s">
        <v>506</v>
      </c>
      <c r="J12691" t="s">
        <v>507</v>
      </c>
      <c r="K12691" t="s">
        <v>33</v>
      </c>
      <c r="L12691" t="s">
        <v>508</v>
      </c>
      <c r="N12691" t="s">
        <v>29</v>
      </c>
    </row>
    <row r="12692" spans="1:14">
      <c r="A12692" s="4" t="str">
        <f t="shared" si="1100"/>
        <v>EXP00407</v>
      </c>
      <c r="B12692" s="3" t="s">
        <v>66</v>
      </c>
      <c r="C12692" s="4" t="str">
        <f t="shared" si="1101"/>
        <v>TCGA-BLCA</v>
      </c>
      <c r="D12692" s="1" t="s">
        <v>493</v>
      </c>
      <c r="E12692" t="s">
        <v>516</v>
      </c>
      <c r="F12692" s="1">
        <v>2</v>
      </c>
      <c r="G12692" s="1" t="s">
        <v>32</v>
      </c>
      <c r="H12692" s="4" t="str">
        <f>HYPERLINK("https://portal.gdc.cancer.gov/cases/811b3950-36e7-485f-bc48-aca1eee2ddef","TCGA-CU-A0YR-01A")</f>
        <v>TCGA-CU-A0YR-01A</v>
      </c>
      <c r="I12692" t="s">
        <v>506</v>
      </c>
      <c r="J12692" t="s">
        <v>507</v>
      </c>
      <c r="K12692" t="s">
        <v>33</v>
      </c>
      <c r="L12692" t="s">
        <v>508</v>
      </c>
      <c r="N12692" t="s">
        <v>29</v>
      </c>
    </row>
    <row r="12693" spans="1:14">
      <c r="A12693" s="4" t="str">
        <f t="shared" si="1100"/>
        <v>EXP00407</v>
      </c>
      <c r="B12693" s="3" t="s">
        <v>66</v>
      </c>
      <c r="C12693" s="4" t="str">
        <f t="shared" si="1101"/>
        <v>TCGA-BLCA</v>
      </c>
      <c r="D12693" s="1" t="s">
        <v>493</v>
      </c>
      <c r="E12693" t="s">
        <v>516</v>
      </c>
      <c r="F12693" s="1">
        <v>2</v>
      </c>
      <c r="G12693" s="1" t="s">
        <v>32</v>
      </c>
      <c r="H12693" s="4" t="str">
        <f>HYPERLINK("https://portal.gdc.cancer.gov/cases/a75584bc-bef7-48f6-b4b3-c1472a3af768","TCGA-CU-A3KJ-01A")</f>
        <v>TCGA-CU-A3KJ-01A</v>
      </c>
      <c r="I12693" t="s">
        <v>506</v>
      </c>
      <c r="J12693" t="s">
        <v>507</v>
      </c>
      <c r="K12693" t="s">
        <v>33</v>
      </c>
      <c r="L12693" t="s">
        <v>508</v>
      </c>
      <c r="N12693" t="s">
        <v>29</v>
      </c>
    </row>
    <row r="12694" spans="1:14">
      <c r="A12694" s="4" t="str">
        <f t="shared" si="1100"/>
        <v>EXP00407</v>
      </c>
      <c r="B12694" s="3" t="s">
        <v>66</v>
      </c>
      <c r="C12694" s="4" t="str">
        <f t="shared" si="1101"/>
        <v>TCGA-BLCA</v>
      </c>
      <c r="D12694" s="1" t="s">
        <v>493</v>
      </c>
      <c r="E12694" t="s">
        <v>516</v>
      </c>
      <c r="F12694" s="1">
        <v>2</v>
      </c>
      <c r="G12694" s="1" t="s">
        <v>32</v>
      </c>
      <c r="H12694" s="4" t="str">
        <f>HYPERLINK("https://portal.gdc.cancer.gov/cases/ae6d853b-a7f0-4465-b7bf-5a45006ab3b3","TCGA-CU-A3QU-01A")</f>
        <v>TCGA-CU-A3QU-01A</v>
      </c>
      <c r="I12694" t="s">
        <v>506</v>
      </c>
      <c r="J12694" t="s">
        <v>507</v>
      </c>
      <c r="K12694" t="s">
        <v>33</v>
      </c>
      <c r="L12694" t="s">
        <v>508</v>
      </c>
      <c r="N12694" t="s">
        <v>29</v>
      </c>
    </row>
    <row r="12695" spans="1:14">
      <c r="A12695" s="4" t="str">
        <f t="shared" si="1100"/>
        <v>EXP00407</v>
      </c>
      <c r="B12695" s="3" t="s">
        <v>66</v>
      </c>
      <c r="C12695" s="4" t="str">
        <f t="shared" si="1101"/>
        <v>TCGA-BLCA</v>
      </c>
      <c r="D12695" s="1" t="s">
        <v>493</v>
      </c>
      <c r="E12695" t="s">
        <v>516</v>
      </c>
      <c r="F12695" s="1">
        <v>2</v>
      </c>
      <c r="G12695" s="1" t="s">
        <v>32</v>
      </c>
      <c r="H12695" s="4" t="str">
        <f>HYPERLINK("https://portal.gdc.cancer.gov/cases/087a7f70-2fa8-4a16-b130-4df10a70c662","TCGA-CU-A3YL-01A")</f>
        <v>TCGA-CU-A3YL-01A</v>
      </c>
      <c r="I12695" t="s">
        <v>506</v>
      </c>
      <c r="J12695" t="s">
        <v>507</v>
      </c>
      <c r="K12695" t="s">
        <v>33</v>
      </c>
      <c r="L12695" t="s">
        <v>508</v>
      </c>
      <c r="N12695" t="s">
        <v>29</v>
      </c>
    </row>
    <row r="12696" spans="1:14">
      <c r="A12696" s="4" t="str">
        <f t="shared" si="1100"/>
        <v>EXP00407</v>
      </c>
      <c r="B12696" s="3" t="s">
        <v>66</v>
      </c>
      <c r="C12696" s="4" t="str">
        <f t="shared" si="1101"/>
        <v>TCGA-BLCA</v>
      </c>
      <c r="D12696" s="1" t="s">
        <v>493</v>
      </c>
      <c r="E12696" t="s">
        <v>516</v>
      </c>
      <c r="F12696" s="1">
        <v>2</v>
      </c>
      <c r="G12696" s="1" t="s">
        <v>32</v>
      </c>
      <c r="H12696" s="4" t="str">
        <f>HYPERLINK("https://portal.gdc.cancer.gov/cases/7a7fcdd3-cce9-47cf-a26f-cc6ff34ecd9a","TCGA-CU-A5W6-01A")</f>
        <v>TCGA-CU-A5W6-01A</v>
      </c>
      <c r="I12696" t="s">
        <v>506</v>
      </c>
      <c r="J12696" t="s">
        <v>507</v>
      </c>
      <c r="K12696" t="s">
        <v>33</v>
      </c>
      <c r="L12696" t="s">
        <v>508</v>
      </c>
      <c r="N12696" t="s">
        <v>29</v>
      </c>
    </row>
    <row r="12697" spans="1:14">
      <c r="A12697" s="4" t="str">
        <f t="shared" si="1100"/>
        <v>EXP00407</v>
      </c>
      <c r="B12697" s="3" t="s">
        <v>66</v>
      </c>
      <c r="C12697" s="4" t="str">
        <f t="shared" si="1101"/>
        <v>TCGA-BLCA</v>
      </c>
      <c r="D12697" s="1" t="s">
        <v>493</v>
      </c>
      <c r="E12697" t="s">
        <v>516</v>
      </c>
      <c r="F12697" s="1">
        <v>2</v>
      </c>
      <c r="G12697" s="1" t="s">
        <v>32</v>
      </c>
      <c r="H12697" s="4" t="str">
        <f>HYPERLINK("https://portal.gdc.cancer.gov/cases/ae080e88-82da-480c-bd13-ae214da0463c","TCGA-CU-A72E-01A")</f>
        <v>TCGA-CU-A72E-01A</v>
      </c>
      <c r="I12697" t="s">
        <v>506</v>
      </c>
      <c r="J12697" t="s">
        <v>507</v>
      </c>
      <c r="K12697" t="s">
        <v>33</v>
      </c>
      <c r="L12697" t="s">
        <v>508</v>
      </c>
      <c r="N12697" t="s">
        <v>29</v>
      </c>
    </row>
    <row r="12698" spans="1:14">
      <c r="A12698" s="4" t="str">
        <f t="shared" si="1100"/>
        <v>EXP00407</v>
      </c>
      <c r="B12698" s="3" t="s">
        <v>66</v>
      </c>
      <c r="C12698" s="4" t="str">
        <f t="shared" si="1101"/>
        <v>TCGA-BLCA</v>
      </c>
      <c r="D12698" s="1" t="s">
        <v>493</v>
      </c>
      <c r="E12698" t="s">
        <v>516</v>
      </c>
      <c r="F12698" s="1">
        <v>2</v>
      </c>
      <c r="G12698" s="1" t="s">
        <v>32</v>
      </c>
      <c r="H12698" s="4" t="str">
        <f>HYPERLINK("https://portal.gdc.cancer.gov/cases/c5b20ccc-523d-491c-8536-008e05c57212","TCGA-DK-A1A3-01A")</f>
        <v>TCGA-DK-A1A3-01A</v>
      </c>
      <c r="I12698" t="s">
        <v>506</v>
      </c>
      <c r="J12698" t="s">
        <v>507</v>
      </c>
      <c r="K12698" t="s">
        <v>33</v>
      </c>
      <c r="L12698" t="s">
        <v>508</v>
      </c>
      <c r="N12698" t="s">
        <v>29</v>
      </c>
    </row>
    <row r="12699" spans="1:14">
      <c r="A12699" s="4" t="str">
        <f t="shared" si="1100"/>
        <v>EXP00407</v>
      </c>
      <c r="B12699" s="3" t="s">
        <v>66</v>
      </c>
      <c r="C12699" s="4" t="str">
        <f t="shared" si="1101"/>
        <v>TCGA-BLCA</v>
      </c>
      <c r="D12699" s="1" t="s">
        <v>493</v>
      </c>
      <c r="E12699" t="s">
        <v>516</v>
      </c>
      <c r="F12699" s="1">
        <v>2</v>
      </c>
      <c r="G12699" s="1" t="s">
        <v>32</v>
      </c>
      <c r="H12699" s="4" t="str">
        <f>HYPERLINK("https://portal.gdc.cancer.gov/cases/904a8757-e0c5-41ef-b583-c8f170caaac1","TCGA-DK-A1A5-01A")</f>
        <v>TCGA-DK-A1A5-01A</v>
      </c>
      <c r="I12699" t="s">
        <v>506</v>
      </c>
      <c r="J12699" t="s">
        <v>507</v>
      </c>
      <c r="K12699" t="s">
        <v>33</v>
      </c>
      <c r="L12699" t="s">
        <v>508</v>
      </c>
      <c r="N12699" t="s">
        <v>29</v>
      </c>
    </row>
    <row r="12700" spans="1:14">
      <c r="A12700" s="4" t="str">
        <f t="shared" si="1100"/>
        <v>EXP00407</v>
      </c>
      <c r="B12700" s="3" t="s">
        <v>66</v>
      </c>
      <c r="C12700" s="4" t="str">
        <f t="shared" si="1101"/>
        <v>TCGA-BLCA</v>
      </c>
      <c r="D12700" s="1" t="s">
        <v>493</v>
      </c>
      <c r="E12700" t="s">
        <v>516</v>
      </c>
      <c r="F12700" s="1">
        <v>2</v>
      </c>
      <c r="G12700" s="1" t="s">
        <v>32</v>
      </c>
      <c r="H12700" s="4" t="str">
        <f>HYPERLINK("https://portal.gdc.cancer.gov/cases/9c274536-3ca1-4f0e-93a8-1688074d862f","TCGA-DK-A1A6-01A")</f>
        <v>TCGA-DK-A1A6-01A</v>
      </c>
      <c r="I12700" t="s">
        <v>506</v>
      </c>
      <c r="J12700" t="s">
        <v>507</v>
      </c>
      <c r="K12700" t="s">
        <v>33</v>
      </c>
      <c r="L12700" t="s">
        <v>508</v>
      </c>
      <c r="N12700" t="s">
        <v>29</v>
      </c>
    </row>
    <row r="12701" spans="1:14">
      <c r="A12701" s="4" t="str">
        <f t="shared" si="1100"/>
        <v>EXP00407</v>
      </c>
      <c r="B12701" s="3" t="s">
        <v>66</v>
      </c>
      <c r="C12701" s="4" t="str">
        <f t="shared" si="1101"/>
        <v>TCGA-BLCA</v>
      </c>
      <c r="D12701" s="1" t="s">
        <v>493</v>
      </c>
      <c r="E12701" t="s">
        <v>516</v>
      </c>
      <c r="F12701" s="1">
        <v>2</v>
      </c>
      <c r="G12701" s="1" t="s">
        <v>32</v>
      </c>
      <c r="H12701" s="4" t="str">
        <f>HYPERLINK("https://portal.gdc.cancer.gov/cases/3ed614e7-f356-4d87-985b-d3bbbae3bb40","TCGA-DK-A1A7-01A")</f>
        <v>TCGA-DK-A1A7-01A</v>
      </c>
      <c r="I12701" t="s">
        <v>506</v>
      </c>
      <c r="J12701" t="s">
        <v>507</v>
      </c>
      <c r="K12701" t="s">
        <v>33</v>
      </c>
      <c r="L12701" t="s">
        <v>508</v>
      </c>
      <c r="N12701" t="s">
        <v>29</v>
      </c>
    </row>
    <row r="12702" spans="1:14">
      <c r="A12702" s="4" t="str">
        <f t="shared" si="1100"/>
        <v>EXP00407</v>
      </c>
      <c r="B12702" s="3" t="s">
        <v>66</v>
      </c>
      <c r="C12702" s="4" t="str">
        <f t="shared" si="1101"/>
        <v>TCGA-BLCA</v>
      </c>
      <c r="D12702" s="1" t="s">
        <v>493</v>
      </c>
      <c r="E12702" t="s">
        <v>516</v>
      </c>
      <c r="F12702" s="1">
        <v>2</v>
      </c>
      <c r="G12702" s="1" t="s">
        <v>32</v>
      </c>
      <c r="H12702" s="4" t="str">
        <f>HYPERLINK("https://portal.gdc.cancer.gov/cases/56d8a1b8-1268-4362-a7f1-77b76fbf1b59","TCGA-DK-A1AA-01A")</f>
        <v>TCGA-DK-A1AA-01A</v>
      </c>
      <c r="I12702" t="s">
        <v>506</v>
      </c>
      <c r="J12702" t="s">
        <v>507</v>
      </c>
      <c r="K12702" t="s">
        <v>33</v>
      </c>
      <c r="L12702" t="s">
        <v>508</v>
      </c>
      <c r="N12702" t="s">
        <v>29</v>
      </c>
    </row>
    <row r="12703" spans="1:14">
      <c r="A12703" s="4" t="str">
        <f t="shared" si="1100"/>
        <v>EXP00407</v>
      </c>
      <c r="B12703" s="3" t="s">
        <v>66</v>
      </c>
      <c r="C12703" s="4" t="str">
        <f t="shared" si="1101"/>
        <v>TCGA-BLCA</v>
      </c>
      <c r="D12703" s="1" t="s">
        <v>493</v>
      </c>
      <c r="E12703" t="s">
        <v>516</v>
      </c>
      <c r="F12703" s="1">
        <v>2</v>
      </c>
      <c r="G12703" s="1" t="s">
        <v>32</v>
      </c>
      <c r="H12703" s="4" t="str">
        <f>HYPERLINK("https://portal.gdc.cancer.gov/cases/f027d254-ec01-4882-a8a7-964ae90b7d49","TCGA-DK-A1AB-01A")</f>
        <v>TCGA-DK-A1AB-01A</v>
      </c>
      <c r="I12703" t="s">
        <v>506</v>
      </c>
      <c r="J12703" t="s">
        <v>507</v>
      </c>
      <c r="K12703" t="s">
        <v>33</v>
      </c>
      <c r="L12703" t="s">
        <v>508</v>
      </c>
      <c r="N12703" t="s">
        <v>29</v>
      </c>
    </row>
    <row r="12704" spans="1:14">
      <c r="A12704" s="4" t="str">
        <f t="shared" si="1100"/>
        <v>EXP00407</v>
      </c>
      <c r="B12704" s="3" t="s">
        <v>66</v>
      </c>
      <c r="C12704" s="4" t="str">
        <f t="shared" si="1101"/>
        <v>TCGA-BLCA</v>
      </c>
      <c r="D12704" s="1" t="s">
        <v>493</v>
      </c>
      <c r="E12704" t="s">
        <v>516</v>
      </c>
      <c r="F12704" s="1">
        <v>2</v>
      </c>
      <c r="G12704" s="1" t="s">
        <v>32</v>
      </c>
      <c r="H12704" s="4" t="str">
        <f>HYPERLINK("https://portal.gdc.cancer.gov/cases/36c14e9d-1863-4c55-bbbb-f8c9dd418932","TCGA-DK-A1AC-01A")</f>
        <v>TCGA-DK-A1AC-01A</v>
      </c>
      <c r="I12704" t="s">
        <v>506</v>
      </c>
      <c r="J12704" t="s">
        <v>507</v>
      </c>
      <c r="K12704" t="s">
        <v>33</v>
      </c>
      <c r="L12704" t="s">
        <v>508</v>
      </c>
      <c r="N12704" t="s">
        <v>29</v>
      </c>
    </row>
    <row r="12705" spans="1:14">
      <c r="A12705" s="4" t="str">
        <f t="shared" si="1100"/>
        <v>EXP00407</v>
      </c>
      <c r="B12705" s="3" t="s">
        <v>66</v>
      </c>
      <c r="C12705" s="4" t="str">
        <f t="shared" si="1101"/>
        <v>TCGA-BLCA</v>
      </c>
      <c r="D12705" s="1" t="s">
        <v>493</v>
      </c>
      <c r="E12705" t="s">
        <v>516</v>
      </c>
      <c r="F12705" s="1">
        <v>2</v>
      </c>
      <c r="G12705" s="1" t="s">
        <v>32</v>
      </c>
      <c r="H12705" s="4" t="str">
        <f>HYPERLINK("https://portal.gdc.cancer.gov/cases/88a521ce-a5e9-4c6f-83d4-ec36a62fedb6","TCGA-DK-A1AD-01A")</f>
        <v>TCGA-DK-A1AD-01A</v>
      </c>
      <c r="I12705" t="s">
        <v>506</v>
      </c>
      <c r="J12705" t="s">
        <v>507</v>
      </c>
      <c r="K12705" t="s">
        <v>33</v>
      </c>
      <c r="L12705" t="s">
        <v>508</v>
      </c>
      <c r="N12705" t="s">
        <v>29</v>
      </c>
    </row>
    <row r="12706" spans="1:14">
      <c r="A12706" s="4" t="str">
        <f t="shared" si="1100"/>
        <v>EXP00407</v>
      </c>
      <c r="B12706" s="3" t="s">
        <v>66</v>
      </c>
      <c r="C12706" s="4" t="str">
        <f t="shared" si="1101"/>
        <v>TCGA-BLCA</v>
      </c>
      <c r="D12706" s="1" t="s">
        <v>493</v>
      </c>
      <c r="E12706" t="s">
        <v>516</v>
      </c>
      <c r="F12706" s="1">
        <v>2</v>
      </c>
      <c r="G12706" s="1" t="s">
        <v>32</v>
      </c>
      <c r="H12706" s="4" t="str">
        <f>HYPERLINK("https://portal.gdc.cancer.gov/cases/493a4ff2-37a5-4b79-928d-83dbfe534556","TCGA-DK-A1AE-01A")</f>
        <v>TCGA-DK-A1AE-01A</v>
      </c>
      <c r="I12706" t="s">
        <v>506</v>
      </c>
      <c r="J12706" t="s">
        <v>507</v>
      </c>
      <c r="K12706" t="s">
        <v>33</v>
      </c>
      <c r="L12706" t="s">
        <v>508</v>
      </c>
      <c r="N12706" t="s">
        <v>29</v>
      </c>
    </row>
    <row r="12707" spans="1:14">
      <c r="A12707" s="4" t="str">
        <f t="shared" ref="A12707:A12770" si="1102">HYPERLINK("http://hcmdb.i-sanger.com/experiment/details/experiment_id/EXP00407","EXP00407")</f>
        <v>EXP00407</v>
      </c>
      <c r="B12707" s="3" t="s">
        <v>66</v>
      </c>
      <c r="C12707" s="4" t="str">
        <f t="shared" si="1101"/>
        <v>TCGA-BLCA</v>
      </c>
      <c r="D12707" s="1" t="s">
        <v>493</v>
      </c>
      <c r="E12707" t="s">
        <v>516</v>
      </c>
      <c r="F12707" s="1">
        <v>2</v>
      </c>
      <c r="G12707" s="1" t="s">
        <v>32</v>
      </c>
      <c r="H12707" s="4" t="str">
        <f>HYPERLINK("https://portal.gdc.cancer.gov/cases/f3104468-bf17-434b-8a7e-bc3b253121ea","TCGA-DK-A1AF-01A")</f>
        <v>TCGA-DK-A1AF-01A</v>
      </c>
      <c r="I12707" t="s">
        <v>506</v>
      </c>
      <c r="J12707" t="s">
        <v>507</v>
      </c>
      <c r="K12707" t="s">
        <v>33</v>
      </c>
      <c r="L12707" t="s">
        <v>508</v>
      </c>
      <c r="N12707" t="s">
        <v>29</v>
      </c>
    </row>
    <row r="12708" spans="1:14">
      <c r="A12708" s="4" t="str">
        <f t="shared" si="1102"/>
        <v>EXP00407</v>
      </c>
      <c r="B12708" s="3" t="s">
        <v>66</v>
      </c>
      <c r="C12708" s="4" t="str">
        <f t="shared" si="1101"/>
        <v>TCGA-BLCA</v>
      </c>
      <c r="D12708" s="1" t="s">
        <v>493</v>
      </c>
      <c r="E12708" t="s">
        <v>516</v>
      </c>
      <c r="F12708" s="1">
        <v>2</v>
      </c>
      <c r="G12708" s="1" t="s">
        <v>32</v>
      </c>
      <c r="H12708" s="4" t="str">
        <f>HYPERLINK("https://portal.gdc.cancer.gov/cases/f8c0a69c-df53-4a0a-a30e-4424c0ce3dd5","TCGA-DK-A1AG-01A")</f>
        <v>TCGA-DK-A1AG-01A</v>
      </c>
      <c r="I12708" t="s">
        <v>506</v>
      </c>
      <c r="J12708" t="s">
        <v>507</v>
      </c>
      <c r="K12708" t="s">
        <v>33</v>
      </c>
      <c r="L12708" t="s">
        <v>508</v>
      </c>
      <c r="N12708" t="s">
        <v>29</v>
      </c>
    </row>
    <row r="12709" spans="1:14">
      <c r="A12709" s="4" t="str">
        <f t="shared" si="1102"/>
        <v>EXP00407</v>
      </c>
      <c r="B12709" s="3" t="s">
        <v>66</v>
      </c>
      <c r="C12709" s="4" t="str">
        <f t="shared" si="1101"/>
        <v>TCGA-BLCA</v>
      </c>
      <c r="D12709" s="1" t="s">
        <v>493</v>
      </c>
      <c r="E12709" t="s">
        <v>516</v>
      </c>
      <c r="F12709" s="1">
        <v>2</v>
      </c>
      <c r="G12709" s="1" t="s">
        <v>32</v>
      </c>
      <c r="H12709" s="4" t="str">
        <f>HYPERLINK("https://portal.gdc.cancer.gov/cases/c728fac9-5452-4759-a4ed-a366e0f757cb","TCGA-DK-A2HX-01A")</f>
        <v>TCGA-DK-A2HX-01A</v>
      </c>
      <c r="I12709" t="s">
        <v>506</v>
      </c>
      <c r="J12709" t="s">
        <v>507</v>
      </c>
      <c r="K12709" t="s">
        <v>33</v>
      </c>
      <c r="L12709" t="s">
        <v>508</v>
      </c>
      <c r="N12709" t="s">
        <v>29</v>
      </c>
    </row>
    <row r="12710" spans="1:14">
      <c r="A12710" s="4" t="str">
        <f t="shared" si="1102"/>
        <v>EXP00407</v>
      </c>
      <c r="B12710" s="3" t="s">
        <v>66</v>
      </c>
      <c r="C12710" s="4" t="str">
        <f t="shared" si="1101"/>
        <v>TCGA-BLCA</v>
      </c>
      <c r="D12710" s="1" t="s">
        <v>493</v>
      </c>
      <c r="E12710" t="s">
        <v>516</v>
      </c>
      <c r="F12710" s="1">
        <v>2</v>
      </c>
      <c r="G12710" s="1" t="s">
        <v>32</v>
      </c>
      <c r="H12710" s="4" t="str">
        <f>HYPERLINK("https://portal.gdc.cancer.gov/cases/036b9681-ab58-4734-a8fd-e0d5d078bf5a","TCGA-DK-A2I1-01A")</f>
        <v>TCGA-DK-A2I1-01A</v>
      </c>
      <c r="I12710" t="s">
        <v>506</v>
      </c>
      <c r="J12710" t="s">
        <v>507</v>
      </c>
      <c r="K12710" t="s">
        <v>33</v>
      </c>
      <c r="L12710" t="s">
        <v>508</v>
      </c>
      <c r="N12710" t="s">
        <v>29</v>
      </c>
    </row>
    <row r="12711" spans="1:14">
      <c r="A12711" s="4" t="str">
        <f t="shared" si="1102"/>
        <v>EXP00407</v>
      </c>
      <c r="B12711" s="3" t="s">
        <v>66</v>
      </c>
      <c r="C12711" s="4" t="str">
        <f t="shared" si="1101"/>
        <v>TCGA-BLCA</v>
      </c>
      <c r="D12711" s="1" t="s">
        <v>493</v>
      </c>
      <c r="E12711" t="s">
        <v>516</v>
      </c>
      <c r="F12711" s="1">
        <v>2</v>
      </c>
      <c r="G12711" s="1" t="s">
        <v>32</v>
      </c>
      <c r="H12711" s="4" t="str">
        <f>HYPERLINK("https://portal.gdc.cancer.gov/cases/234086dd-5a74-4ff1-94ab-bad43ee69d5c","TCGA-DK-A2I2-01A")</f>
        <v>TCGA-DK-A2I2-01A</v>
      </c>
      <c r="I12711" t="s">
        <v>506</v>
      </c>
      <c r="J12711" t="s">
        <v>507</v>
      </c>
      <c r="K12711" t="s">
        <v>33</v>
      </c>
      <c r="L12711" t="s">
        <v>508</v>
      </c>
      <c r="N12711" t="s">
        <v>29</v>
      </c>
    </row>
    <row r="12712" spans="1:14">
      <c r="A12712" s="4" t="str">
        <f t="shared" si="1102"/>
        <v>EXP00407</v>
      </c>
      <c r="B12712" s="3" t="s">
        <v>66</v>
      </c>
      <c r="C12712" s="4" t="str">
        <f t="shared" si="1101"/>
        <v>TCGA-BLCA</v>
      </c>
      <c r="D12712" s="1" t="s">
        <v>493</v>
      </c>
      <c r="E12712" t="s">
        <v>516</v>
      </c>
      <c r="F12712" s="1">
        <v>2</v>
      </c>
      <c r="G12712" s="1" t="s">
        <v>32</v>
      </c>
      <c r="H12712" s="4" t="str">
        <f>HYPERLINK("https://portal.gdc.cancer.gov/cases/5c4aebeb-fb6f-4d66-b24a-89ef20de971e","TCGA-DK-A2I4-01A")</f>
        <v>TCGA-DK-A2I4-01A</v>
      </c>
      <c r="I12712" t="s">
        <v>506</v>
      </c>
      <c r="J12712" t="s">
        <v>507</v>
      </c>
      <c r="K12712" t="s">
        <v>33</v>
      </c>
      <c r="L12712" t="s">
        <v>508</v>
      </c>
      <c r="N12712" t="s">
        <v>29</v>
      </c>
    </row>
    <row r="12713" spans="1:14">
      <c r="A12713" s="4" t="str">
        <f t="shared" si="1102"/>
        <v>EXP00407</v>
      </c>
      <c r="B12713" s="3" t="s">
        <v>66</v>
      </c>
      <c r="C12713" s="4" t="str">
        <f t="shared" si="1101"/>
        <v>TCGA-BLCA</v>
      </c>
      <c r="D12713" s="1" t="s">
        <v>493</v>
      </c>
      <c r="E12713" t="s">
        <v>516</v>
      </c>
      <c r="F12713" s="1">
        <v>2</v>
      </c>
      <c r="G12713" s="1" t="s">
        <v>32</v>
      </c>
      <c r="H12713" s="4" t="str">
        <f>HYPERLINK("https://portal.gdc.cancer.gov/cases/de810af0-4c18-4e8f-9836-f8abc425e3eb","TCGA-DK-A2I6-01A")</f>
        <v>TCGA-DK-A2I6-01A</v>
      </c>
      <c r="I12713" t="s">
        <v>506</v>
      </c>
      <c r="J12713" t="s">
        <v>507</v>
      </c>
      <c r="K12713" t="s">
        <v>33</v>
      </c>
      <c r="L12713" t="s">
        <v>508</v>
      </c>
      <c r="N12713" t="s">
        <v>29</v>
      </c>
    </row>
    <row r="12714" spans="1:14">
      <c r="A12714" s="4" t="str">
        <f t="shared" si="1102"/>
        <v>EXP00407</v>
      </c>
      <c r="B12714" s="3" t="s">
        <v>66</v>
      </c>
      <c r="C12714" s="4" t="str">
        <f t="shared" si="1101"/>
        <v>TCGA-BLCA</v>
      </c>
      <c r="D12714" s="1" t="s">
        <v>493</v>
      </c>
      <c r="E12714" t="s">
        <v>516</v>
      </c>
      <c r="F12714" s="1">
        <v>2</v>
      </c>
      <c r="G12714" s="1" t="s">
        <v>32</v>
      </c>
      <c r="H12714" s="4" t="str">
        <f>HYPERLINK("https://portal.gdc.cancer.gov/cases/3f0a0748-9acc-4d0b-ba18-7c08bd183f86","TCGA-DK-A3IK-01A")</f>
        <v>TCGA-DK-A3IK-01A</v>
      </c>
      <c r="I12714" t="s">
        <v>506</v>
      </c>
      <c r="J12714" t="s">
        <v>507</v>
      </c>
      <c r="K12714" t="s">
        <v>33</v>
      </c>
      <c r="L12714" t="s">
        <v>508</v>
      </c>
      <c r="N12714" t="s">
        <v>29</v>
      </c>
    </row>
    <row r="12715" spans="1:14">
      <c r="A12715" s="4" t="str">
        <f t="shared" si="1102"/>
        <v>EXP00407</v>
      </c>
      <c r="B12715" s="3" t="s">
        <v>66</v>
      </c>
      <c r="C12715" s="4" t="str">
        <f t="shared" si="1101"/>
        <v>TCGA-BLCA</v>
      </c>
      <c r="D12715" s="1" t="s">
        <v>493</v>
      </c>
      <c r="E12715" t="s">
        <v>516</v>
      </c>
      <c r="F12715" s="1">
        <v>2</v>
      </c>
      <c r="G12715" s="1" t="s">
        <v>32</v>
      </c>
      <c r="H12715" s="4" t="str">
        <f>HYPERLINK("https://portal.gdc.cancer.gov/cases/178b28cd-99c3-48dc-8d09-1ef71b4cee80","TCGA-DK-A3IL-01A")</f>
        <v>TCGA-DK-A3IL-01A</v>
      </c>
      <c r="I12715" t="s">
        <v>506</v>
      </c>
      <c r="J12715" t="s">
        <v>507</v>
      </c>
      <c r="K12715" t="s">
        <v>33</v>
      </c>
      <c r="L12715" t="s">
        <v>508</v>
      </c>
      <c r="N12715" t="s">
        <v>29</v>
      </c>
    </row>
    <row r="12716" spans="1:14">
      <c r="A12716" s="4" t="str">
        <f t="shared" si="1102"/>
        <v>EXP00407</v>
      </c>
      <c r="B12716" s="3" t="s">
        <v>66</v>
      </c>
      <c r="C12716" s="4" t="str">
        <f t="shared" si="1101"/>
        <v>TCGA-BLCA</v>
      </c>
      <c r="D12716" s="1" t="s">
        <v>493</v>
      </c>
      <c r="E12716" t="s">
        <v>516</v>
      </c>
      <c r="F12716" s="1">
        <v>2</v>
      </c>
      <c r="G12716" s="1" t="s">
        <v>32</v>
      </c>
      <c r="H12716" s="4" t="str">
        <f>HYPERLINK("https://portal.gdc.cancer.gov/cases/41b59716-116f-4942-8b63-409870a87e26","TCGA-DK-A3IM-01A")</f>
        <v>TCGA-DK-A3IM-01A</v>
      </c>
      <c r="I12716" t="s">
        <v>506</v>
      </c>
      <c r="J12716" t="s">
        <v>507</v>
      </c>
      <c r="K12716" t="s">
        <v>33</v>
      </c>
      <c r="L12716" t="s">
        <v>508</v>
      </c>
      <c r="N12716" t="s">
        <v>29</v>
      </c>
    </row>
    <row r="12717" spans="1:14">
      <c r="A12717" s="4" t="str">
        <f t="shared" si="1102"/>
        <v>EXP00407</v>
      </c>
      <c r="B12717" s="3" t="s">
        <v>66</v>
      </c>
      <c r="C12717" s="4" t="str">
        <f t="shared" si="1101"/>
        <v>TCGA-BLCA</v>
      </c>
      <c r="D12717" s="1" t="s">
        <v>493</v>
      </c>
      <c r="E12717" t="s">
        <v>516</v>
      </c>
      <c r="F12717" s="1">
        <v>2</v>
      </c>
      <c r="G12717" s="1" t="s">
        <v>32</v>
      </c>
      <c r="H12717" s="4" t="str">
        <f>HYPERLINK("https://portal.gdc.cancer.gov/cases/fc0032db-b6d8-4da3-bd1b-beec4196abf0","TCGA-DK-A3IN-01A")</f>
        <v>TCGA-DK-A3IN-01A</v>
      </c>
      <c r="I12717" t="s">
        <v>506</v>
      </c>
      <c r="J12717" t="s">
        <v>507</v>
      </c>
      <c r="K12717" t="s">
        <v>33</v>
      </c>
      <c r="L12717" t="s">
        <v>508</v>
      </c>
      <c r="N12717" t="s">
        <v>29</v>
      </c>
    </row>
    <row r="12718" spans="1:14">
      <c r="A12718" s="4" t="str">
        <f t="shared" si="1102"/>
        <v>EXP00407</v>
      </c>
      <c r="B12718" s="3" t="s">
        <v>66</v>
      </c>
      <c r="C12718" s="4" t="str">
        <f t="shared" si="1101"/>
        <v>TCGA-BLCA</v>
      </c>
      <c r="D12718" s="1" t="s">
        <v>493</v>
      </c>
      <c r="E12718" t="s">
        <v>516</v>
      </c>
      <c r="F12718" s="1">
        <v>2</v>
      </c>
      <c r="G12718" s="1" t="s">
        <v>32</v>
      </c>
      <c r="H12718" s="4" t="str">
        <f>HYPERLINK("https://portal.gdc.cancer.gov/cases/e44f60ec-66c4-45a2-a003-0a1faf1d6e03","TCGA-DK-A3IQ-01A")</f>
        <v>TCGA-DK-A3IQ-01A</v>
      </c>
      <c r="I12718" t="s">
        <v>506</v>
      </c>
      <c r="J12718" t="s">
        <v>507</v>
      </c>
      <c r="K12718" t="s">
        <v>33</v>
      </c>
      <c r="L12718" t="s">
        <v>508</v>
      </c>
      <c r="N12718" t="s">
        <v>29</v>
      </c>
    </row>
    <row r="12719" spans="1:14">
      <c r="A12719" s="4" t="str">
        <f t="shared" si="1102"/>
        <v>EXP00407</v>
      </c>
      <c r="B12719" s="3" t="s">
        <v>66</v>
      </c>
      <c r="C12719" s="4" t="str">
        <f t="shared" si="1101"/>
        <v>TCGA-BLCA</v>
      </c>
      <c r="D12719" s="1" t="s">
        <v>493</v>
      </c>
      <c r="E12719" t="s">
        <v>516</v>
      </c>
      <c r="F12719" s="1">
        <v>2</v>
      </c>
      <c r="G12719" s="1" t="s">
        <v>32</v>
      </c>
      <c r="H12719" s="4" t="str">
        <f>HYPERLINK("https://portal.gdc.cancer.gov/cases/9f75cc89-cc3f-4ae9-973d-da37c6417bfc","TCGA-DK-A3IS-01A")</f>
        <v>TCGA-DK-A3IS-01A</v>
      </c>
      <c r="I12719" t="s">
        <v>506</v>
      </c>
      <c r="J12719" t="s">
        <v>507</v>
      </c>
      <c r="K12719" t="s">
        <v>33</v>
      </c>
      <c r="L12719" t="s">
        <v>508</v>
      </c>
      <c r="N12719" t="s">
        <v>29</v>
      </c>
    </row>
    <row r="12720" spans="1:14">
      <c r="A12720" s="4" t="str">
        <f t="shared" si="1102"/>
        <v>EXP00407</v>
      </c>
      <c r="B12720" s="3" t="s">
        <v>66</v>
      </c>
      <c r="C12720" s="4" t="str">
        <f t="shared" si="1101"/>
        <v>TCGA-BLCA</v>
      </c>
      <c r="D12720" s="1" t="s">
        <v>493</v>
      </c>
      <c r="E12720" t="s">
        <v>516</v>
      </c>
      <c r="F12720" s="1">
        <v>2</v>
      </c>
      <c r="G12720" s="1" t="s">
        <v>32</v>
      </c>
      <c r="H12720" s="4" t="str">
        <f>HYPERLINK("https://portal.gdc.cancer.gov/cases/58520c66-7688-435a-b09f-653b18768c41","TCGA-DK-A3IT-01A")</f>
        <v>TCGA-DK-A3IT-01A</v>
      </c>
      <c r="I12720" t="s">
        <v>506</v>
      </c>
      <c r="J12720" t="s">
        <v>507</v>
      </c>
      <c r="K12720" t="s">
        <v>33</v>
      </c>
      <c r="L12720" t="s">
        <v>508</v>
      </c>
      <c r="N12720" t="s">
        <v>29</v>
      </c>
    </row>
    <row r="12721" spans="1:14">
      <c r="A12721" s="4" t="str">
        <f t="shared" si="1102"/>
        <v>EXP00407</v>
      </c>
      <c r="B12721" s="3" t="s">
        <v>66</v>
      </c>
      <c r="C12721" s="4" t="str">
        <f t="shared" si="1101"/>
        <v>TCGA-BLCA</v>
      </c>
      <c r="D12721" s="1" t="s">
        <v>493</v>
      </c>
      <c r="E12721" t="s">
        <v>516</v>
      </c>
      <c r="F12721" s="1">
        <v>2</v>
      </c>
      <c r="G12721" s="1" t="s">
        <v>32</v>
      </c>
      <c r="H12721" s="4" t="str">
        <f>HYPERLINK("https://portal.gdc.cancer.gov/cases/f093f043-efd4-4cba-a87f-8cbb5c1acd9e","TCGA-DK-A3IU-01A")</f>
        <v>TCGA-DK-A3IU-01A</v>
      </c>
      <c r="I12721" t="s">
        <v>506</v>
      </c>
      <c r="J12721" t="s">
        <v>507</v>
      </c>
      <c r="K12721" t="s">
        <v>33</v>
      </c>
      <c r="L12721" t="s">
        <v>508</v>
      </c>
      <c r="N12721" t="s">
        <v>29</v>
      </c>
    </row>
    <row r="12722" spans="1:14">
      <c r="A12722" s="4" t="str">
        <f t="shared" si="1102"/>
        <v>EXP00407</v>
      </c>
      <c r="B12722" s="3" t="s">
        <v>66</v>
      </c>
      <c r="C12722" s="4" t="str">
        <f t="shared" si="1101"/>
        <v>TCGA-BLCA</v>
      </c>
      <c r="D12722" s="1" t="s">
        <v>493</v>
      </c>
      <c r="E12722" t="s">
        <v>516</v>
      </c>
      <c r="F12722" s="1">
        <v>2</v>
      </c>
      <c r="G12722" s="1" t="s">
        <v>32</v>
      </c>
      <c r="H12722" s="4" t="str">
        <f>HYPERLINK("https://portal.gdc.cancer.gov/cases/f953dc5d-58bf-4936-b9fe-74b45e8c00e5","TCGA-DK-A3IV-01A")</f>
        <v>TCGA-DK-A3IV-01A</v>
      </c>
      <c r="I12722" t="s">
        <v>506</v>
      </c>
      <c r="J12722" t="s">
        <v>507</v>
      </c>
      <c r="K12722" t="s">
        <v>33</v>
      </c>
      <c r="L12722" t="s">
        <v>508</v>
      </c>
      <c r="N12722" t="s">
        <v>29</v>
      </c>
    </row>
    <row r="12723" spans="1:14">
      <c r="A12723" s="4" t="str">
        <f t="shared" si="1102"/>
        <v>EXP00407</v>
      </c>
      <c r="B12723" s="3" t="s">
        <v>66</v>
      </c>
      <c r="C12723" s="4" t="str">
        <f t="shared" si="1101"/>
        <v>TCGA-BLCA</v>
      </c>
      <c r="D12723" s="1" t="s">
        <v>493</v>
      </c>
      <c r="E12723" t="s">
        <v>516</v>
      </c>
      <c r="F12723" s="1">
        <v>2</v>
      </c>
      <c r="G12723" s="1" t="s">
        <v>32</v>
      </c>
      <c r="H12723" s="4" t="str">
        <f>HYPERLINK("https://portal.gdc.cancer.gov/cases/2ab0fb7b-ad2a-403d-9411-712974ccd878","TCGA-DK-A3WW-01A")</f>
        <v>TCGA-DK-A3WW-01A</v>
      </c>
      <c r="I12723" t="s">
        <v>506</v>
      </c>
      <c r="J12723" t="s">
        <v>507</v>
      </c>
      <c r="K12723" t="s">
        <v>33</v>
      </c>
      <c r="L12723" t="s">
        <v>508</v>
      </c>
      <c r="N12723" t="s">
        <v>29</v>
      </c>
    </row>
    <row r="12724" spans="1:14">
      <c r="A12724" s="4" t="str">
        <f t="shared" si="1102"/>
        <v>EXP00407</v>
      </c>
      <c r="B12724" s="3" t="s">
        <v>66</v>
      </c>
      <c r="C12724" s="4" t="str">
        <f t="shared" si="1101"/>
        <v>TCGA-BLCA</v>
      </c>
      <c r="D12724" s="1" t="s">
        <v>493</v>
      </c>
      <c r="E12724" t="s">
        <v>516</v>
      </c>
      <c r="F12724" s="1">
        <v>2</v>
      </c>
      <c r="G12724" s="1" t="s">
        <v>32</v>
      </c>
      <c r="H12724" s="4" t="str">
        <f>HYPERLINK("https://portal.gdc.cancer.gov/cases/9bb5d187-033e-4e86-a76e-e1a6d20488f7","TCGA-DK-A3WY-01A")</f>
        <v>TCGA-DK-A3WY-01A</v>
      </c>
      <c r="I12724" t="s">
        <v>506</v>
      </c>
      <c r="J12724" t="s">
        <v>507</v>
      </c>
      <c r="K12724" t="s">
        <v>33</v>
      </c>
      <c r="L12724" t="s">
        <v>508</v>
      </c>
      <c r="N12724" t="s">
        <v>29</v>
      </c>
    </row>
    <row r="12725" spans="1:14">
      <c r="A12725" s="4" t="str">
        <f t="shared" si="1102"/>
        <v>EXP00407</v>
      </c>
      <c r="B12725" s="3" t="s">
        <v>66</v>
      </c>
      <c r="C12725" s="4" t="str">
        <f t="shared" si="1101"/>
        <v>TCGA-BLCA</v>
      </c>
      <c r="D12725" s="1" t="s">
        <v>493</v>
      </c>
      <c r="E12725" t="s">
        <v>516</v>
      </c>
      <c r="F12725" s="1">
        <v>2</v>
      </c>
      <c r="G12725" s="1" t="s">
        <v>32</v>
      </c>
      <c r="H12725" s="4" t="str">
        <f>HYPERLINK("https://portal.gdc.cancer.gov/cases/6bddafde-7004-49b6-80cf-8081cd4b7d44","TCGA-DK-A3X1-01A")</f>
        <v>TCGA-DK-A3X1-01A</v>
      </c>
      <c r="I12725" t="s">
        <v>506</v>
      </c>
      <c r="J12725" t="s">
        <v>507</v>
      </c>
      <c r="K12725" t="s">
        <v>33</v>
      </c>
      <c r="L12725" t="s">
        <v>508</v>
      </c>
      <c r="N12725" t="s">
        <v>29</v>
      </c>
    </row>
    <row r="12726" spans="1:14">
      <c r="A12726" s="4" t="str">
        <f t="shared" si="1102"/>
        <v>EXP00407</v>
      </c>
      <c r="B12726" s="3" t="s">
        <v>66</v>
      </c>
      <c r="C12726" s="4" t="str">
        <f t="shared" si="1101"/>
        <v>TCGA-BLCA</v>
      </c>
      <c r="D12726" s="1" t="s">
        <v>493</v>
      </c>
      <c r="E12726" t="s">
        <v>516</v>
      </c>
      <c r="F12726" s="1">
        <v>2</v>
      </c>
      <c r="G12726" s="1" t="s">
        <v>32</v>
      </c>
      <c r="H12726" s="4" t="str">
        <f>HYPERLINK("https://portal.gdc.cancer.gov/cases/b41df0b0-572e-4ddb-9f1d-1b69dd1ad290","TCGA-DK-A6AV-01A")</f>
        <v>TCGA-DK-A6AV-01A</v>
      </c>
      <c r="I12726" t="s">
        <v>506</v>
      </c>
      <c r="J12726" t="s">
        <v>507</v>
      </c>
      <c r="K12726" t="s">
        <v>33</v>
      </c>
      <c r="L12726" t="s">
        <v>508</v>
      </c>
      <c r="N12726" t="s">
        <v>29</v>
      </c>
    </row>
    <row r="12727" spans="1:14">
      <c r="A12727" s="4" t="str">
        <f t="shared" si="1102"/>
        <v>EXP00407</v>
      </c>
      <c r="B12727" s="3" t="s">
        <v>66</v>
      </c>
      <c r="C12727" s="4" t="str">
        <f t="shared" si="1101"/>
        <v>TCGA-BLCA</v>
      </c>
      <c r="D12727" s="1" t="s">
        <v>493</v>
      </c>
      <c r="E12727" t="s">
        <v>516</v>
      </c>
      <c r="F12727" s="1">
        <v>2</v>
      </c>
      <c r="G12727" s="1" t="s">
        <v>32</v>
      </c>
      <c r="H12727" s="4" t="str">
        <f>HYPERLINK("https://portal.gdc.cancer.gov/cases/01c815ba-7bda-4f7e-865c-0c5776febf2c","TCGA-DK-A6AW-01A")</f>
        <v>TCGA-DK-A6AW-01A</v>
      </c>
      <c r="I12727" t="s">
        <v>506</v>
      </c>
      <c r="J12727" t="s">
        <v>507</v>
      </c>
      <c r="K12727" t="s">
        <v>33</v>
      </c>
      <c r="L12727" t="s">
        <v>508</v>
      </c>
      <c r="N12727" t="s">
        <v>29</v>
      </c>
    </row>
    <row r="12728" spans="1:14">
      <c r="A12728" s="4" t="str">
        <f t="shared" si="1102"/>
        <v>EXP00407</v>
      </c>
      <c r="B12728" s="3" t="s">
        <v>66</v>
      </c>
      <c r="C12728" s="4" t="str">
        <f t="shared" si="1101"/>
        <v>TCGA-BLCA</v>
      </c>
      <c r="D12728" s="1" t="s">
        <v>493</v>
      </c>
      <c r="E12728" t="s">
        <v>516</v>
      </c>
      <c r="F12728" s="1">
        <v>2</v>
      </c>
      <c r="G12728" s="1" t="s">
        <v>32</v>
      </c>
      <c r="H12728" s="4" t="str">
        <f>HYPERLINK("https://portal.gdc.cancer.gov/cases/73bc18a4-3600-409e-a2b5-e09e2b3f040d","TCGA-DK-A6B0-01A")</f>
        <v>TCGA-DK-A6B0-01A</v>
      </c>
      <c r="I12728" t="s">
        <v>506</v>
      </c>
      <c r="J12728" t="s">
        <v>507</v>
      </c>
      <c r="K12728" t="s">
        <v>33</v>
      </c>
      <c r="L12728" t="s">
        <v>508</v>
      </c>
      <c r="N12728" t="s">
        <v>29</v>
      </c>
    </row>
    <row r="12729" spans="1:14">
      <c r="A12729" s="4" t="str">
        <f t="shared" si="1102"/>
        <v>EXP00407</v>
      </c>
      <c r="B12729" s="3" t="s">
        <v>66</v>
      </c>
      <c r="C12729" s="4" t="str">
        <f t="shared" si="1101"/>
        <v>TCGA-BLCA</v>
      </c>
      <c r="D12729" s="1" t="s">
        <v>493</v>
      </c>
      <c r="E12729" t="s">
        <v>516</v>
      </c>
      <c r="F12729" s="1">
        <v>2</v>
      </c>
      <c r="G12729" s="1" t="s">
        <v>32</v>
      </c>
      <c r="H12729" s="4" t="str">
        <f>HYPERLINK("https://portal.gdc.cancer.gov/cases/0d2cd56c-09c6-467d-b3aa-1f7fe0cc60e1","TCGA-DK-A6B1-01A")</f>
        <v>TCGA-DK-A6B1-01A</v>
      </c>
      <c r="I12729" t="s">
        <v>506</v>
      </c>
      <c r="J12729" t="s">
        <v>507</v>
      </c>
      <c r="K12729" t="s">
        <v>33</v>
      </c>
      <c r="L12729" t="s">
        <v>508</v>
      </c>
      <c r="N12729" t="s">
        <v>29</v>
      </c>
    </row>
    <row r="12730" spans="1:14">
      <c r="A12730" s="4" t="str">
        <f t="shared" si="1102"/>
        <v>EXP00407</v>
      </c>
      <c r="B12730" s="3" t="s">
        <v>66</v>
      </c>
      <c r="C12730" s="4" t="str">
        <f t="shared" si="1101"/>
        <v>TCGA-BLCA</v>
      </c>
      <c r="D12730" s="1" t="s">
        <v>493</v>
      </c>
      <c r="E12730" t="s">
        <v>516</v>
      </c>
      <c r="F12730" s="1">
        <v>2</v>
      </c>
      <c r="G12730" s="1" t="s">
        <v>32</v>
      </c>
      <c r="H12730" s="4" t="str">
        <f>HYPERLINK("https://portal.gdc.cancer.gov/cases/d5e8d936-40ae-4fd3-b40e-cac54763d71f","TCGA-DK-A6B5-01A")</f>
        <v>TCGA-DK-A6B5-01A</v>
      </c>
      <c r="I12730" t="s">
        <v>506</v>
      </c>
      <c r="J12730" t="s">
        <v>507</v>
      </c>
      <c r="K12730" t="s">
        <v>33</v>
      </c>
      <c r="L12730" t="s">
        <v>508</v>
      </c>
      <c r="N12730" t="s">
        <v>29</v>
      </c>
    </row>
    <row r="12731" spans="1:14">
      <c r="A12731" s="4" t="str">
        <f t="shared" si="1102"/>
        <v>EXP00407</v>
      </c>
      <c r="B12731" s="3" t="s">
        <v>66</v>
      </c>
      <c r="C12731" s="4" t="str">
        <f t="shared" si="1101"/>
        <v>TCGA-BLCA</v>
      </c>
      <c r="D12731" s="1" t="s">
        <v>493</v>
      </c>
      <c r="E12731" t="s">
        <v>516</v>
      </c>
      <c r="F12731" s="1">
        <v>2</v>
      </c>
      <c r="G12731" s="1" t="s">
        <v>32</v>
      </c>
      <c r="H12731" s="4" t="str">
        <f>HYPERLINK("https://portal.gdc.cancer.gov/cases/ab6580e4-5de9-4361-b06a-1d20e5571890","TCGA-DK-A6B6-01A")</f>
        <v>TCGA-DK-A6B6-01A</v>
      </c>
      <c r="I12731" t="s">
        <v>506</v>
      </c>
      <c r="J12731" t="s">
        <v>507</v>
      </c>
      <c r="K12731" t="s">
        <v>33</v>
      </c>
      <c r="L12731" t="s">
        <v>508</v>
      </c>
      <c r="N12731" t="s">
        <v>29</v>
      </c>
    </row>
    <row r="12732" spans="1:14">
      <c r="A12732" s="4" t="str">
        <f t="shared" si="1102"/>
        <v>EXP00407</v>
      </c>
      <c r="B12732" s="3" t="s">
        <v>66</v>
      </c>
      <c r="C12732" s="4" t="str">
        <f t="shared" si="1101"/>
        <v>TCGA-BLCA</v>
      </c>
      <c r="D12732" s="1" t="s">
        <v>493</v>
      </c>
      <c r="E12732" t="s">
        <v>516</v>
      </c>
      <c r="F12732" s="1">
        <v>2</v>
      </c>
      <c r="G12732" s="1" t="s">
        <v>32</v>
      </c>
      <c r="H12732" s="4" t="str">
        <f>HYPERLINK("https://portal.gdc.cancer.gov/cases/d8b07fdd-5580-4bcc-9619-b5e0c9f0aa3d","TCGA-DK-AA6M-01A")</f>
        <v>TCGA-DK-AA6M-01A</v>
      </c>
      <c r="I12732" t="s">
        <v>506</v>
      </c>
      <c r="J12732" t="s">
        <v>507</v>
      </c>
      <c r="K12732" t="s">
        <v>33</v>
      </c>
      <c r="L12732" t="s">
        <v>508</v>
      </c>
      <c r="N12732" t="s">
        <v>29</v>
      </c>
    </row>
    <row r="12733" spans="1:14">
      <c r="A12733" s="4" t="str">
        <f t="shared" si="1102"/>
        <v>EXP00407</v>
      </c>
      <c r="B12733" s="3" t="s">
        <v>66</v>
      </c>
      <c r="C12733" s="4" t="str">
        <f t="shared" si="1101"/>
        <v>TCGA-BLCA</v>
      </c>
      <c r="D12733" s="1" t="s">
        <v>493</v>
      </c>
      <c r="E12733" t="s">
        <v>516</v>
      </c>
      <c r="F12733" s="1">
        <v>2</v>
      </c>
      <c r="G12733" s="1" t="s">
        <v>32</v>
      </c>
      <c r="H12733" s="4" t="str">
        <f>HYPERLINK("https://portal.gdc.cancer.gov/cases/5db4b168-a6ba-482c-b067-2274eba96aad","TCGA-DK-AA6R-01A")</f>
        <v>TCGA-DK-AA6R-01A</v>
      </c>
      <c r="I12733" t="s">
        <v>506</v>
      </c>
      <c r="J12733" t="s">
        <v>507</v>
      </c>
      <c r="K12733" t="s">
        <v>33</v>
      </c>
      <c r="L12733" t="s">
        <v>508</v>
      </c>
      <c r="N12733" t="s">
        <v>29</v>
      </c>
    </row>
    <row r="12734" spans="1:14">
      <c r="A12734" s="4" t="str">
        <f t="shared" si="1102"/>
        <v>EXP00407</v>
      </c>
      <c r="B12734" s="3" t="s">
        <v>66</v>
      </c>
      <c r="C12734" s="4" t="str">
        <f t="shared" si="1101"/>
        <v>TCGA-BLCA</v>
      </c>
      <c r="D12734" s="1" t="s">
        <v>493</v>
      </c>
      <c r="E12734" t="s">
        <v>516</v>
      </c>
      <c r="F12734" s="1">
        <v>2</v>
      </c>
      <c r="G12734" s="1" t="s">
        <v>32</v>
      </c>
      <c r="H12734" s="4" t="str">
        <f>HYPERLINK("https://portal.gdc.cancer.gov/cases/f9b55748-605a-4313-bb19-dcf5476590c2","TCGA-DK-AA6T-01A")</f>
        <v>TCGA-DK-AA6T-01A</v>
      </c>
      <c r="I12734" t="s">
        <v>506</v>
      </c>
      <c r="J12734" t="s">
        <v>507</v>
      </c>
      <c r="K12734" t="s">
        <v>33</v>
      </c>
      <c r="L12734" t="s">
        <v>508</v>
      </c>
      <c r="N12734" t="s">
        <v>29</v>
      </c>
    </row>
    <row r="12735" spans="1:14">
      <c r="A12735" s="4" t="str">
        <f t="shared" si="1102"/>
        <v>EXP00407</v>
      </c>
      <c r="B12735" s="3" t="s">
        <v>66</v>
      </c>
      <c r="C12735" s="4" t="str">
        <f t="shared" si="1101"/>
        <v>TCGA-BLCA</v>
      </c>
      <c r="D12735" s="1" t="s">
        <v>493</v>
      </c>
      <c r="E12735" t="s">
        <v>516</v>
      </c>
      <c r="F12735" s="1">
        <v>2</v>
      </c>
      <c r="G12735" s="1" t="s">
        <v>32</v>
      </c>
      <c r="H12735" s="4" t="str">
        <f>HYPERLINK("https://portal.gdc.cancer.gov/cases/104c8e20-1b29-4d77-9633-359a35be48fb","TCGA-DK-AA6U-01A")</f>
        <v>TCGA-DK-AA6U-01A</v>
      </c>
      <c r="I12735" t="s">
        <v>506</v>
      </c>
      <c r="J12735" t="s">
        <v>507</v>
      </c>
      <c r="K12735" t="s">
        <v>33</v>
      </c>
      <c r="L12735" t="s">
        <v>508</v>
      </c>
      <c r="N12735" t="s">
        <v>29</v>
      </c>
    </row>
    <row r="12736" spans="1:14">
      <c r="A12736" s="4" t="str">
        <f t="shared" si="1102"/>
        <v>EXP00407</v>
      </c>
      <c r="B12736" s="3" t="s">
        <v>66</v>
      </c>
      <c r="C12736" s="4" t="str">
        <f t="shared" si="1101"/>
        <v>TCGA-BLCA</v>
      </c>
      <c r="D12736" s="1" t="s">
        <v>493</v>
      </c>
      <c r="E12736" t="s">
        <v>516</v>
      </c>
      <c r="F12736" s="1">
        <v>2</v>
      </c>
      <c r="G12736" s="1" t="s">
        <v>32</v>
      </c>
      <c r="H12736" s="4" t="str">
        <f>HYPERLINK("https://portal.gdc.cancer.gov/cases/63fa8434-4a6f-4c32-9c5d-89dcc913900b","TCGA-DK-AA6W-01A")</f>
        <v>TCGA-DK-AA6W-01A</v>
      </c>
      <c r="I12736" t="s">
        <v>506</v>
      </c>
      <c r="J12736" t="s">
        <v>507</v>
      </c>
      <c r="K12736" t="s">
        <v>33</v>
      </c>
      <c r="L12736" t="s">
        <v>508</v>
      </c>
      <c r="N12736" t="s">
        <v>29</v>
      </c>
    </row>
    <row r="12737" spans="1:14">
      <c r="A12737" s="4" t="str">
        <f t="shared" si="1102"/>
        <v>EXP00407</v>
      </c>
      <c r="B12737" s="3" t="s">
        <v>66</v>
      </c>
      <c r="C12737" s="4" t="str">
        <f t="shared" si="1101"/>
        <v>TCGA-BLCA</v>
      </c>
      <c r="D12737" s="1" t="s">
        <v>493</v>
      </c>
      <c r="E12737" t="s">
        <v>516</v>
      </c>
      <c r="F12737" s="1">
        <v>2</v>
      </c>
      <c r="G12737" s="1" t="s">
        <v>32</v>
      </c>
      <c r="H12737" s="4" t="str">
        <f>HYPERLINK("https://portal.gdc.cancer.gov/cases/071b350d-8745-4795-8194-a8c6491f0931","TCGA-DK-AA6X-01A")</f>
        <v>TCGA-DK-AA6X-01A</v>
      </c>
      <c r="I12737" t="s">
        <v>506</v>
      </c>
      <c r="J12737" t="s">
        <v>507</v>
      </c>
      <c r="K12737" t="s">
        <v>33</v>
      </c>
      <c r="L12737" t="s">
        <v>508</v>
      </c>
      <c r="N12737" t="s">
        <v>29</v>
      </c>
    </row>
    <row r="12738" spans="1:14">
      <c r="A12738" s="4" t="str">
        <f t="shared" si="1102"/>
        <v>EXP00407</v>
      </c>
      <c r="B12738" s="3" t="s">
        <v>66</v>
      </c>
      <c r="C12738" s="4" t="str">
        <f t="shared" si="1101"/>
        <v>TCGA-BLCA</v>
      </c>
      <c r="D12738" s="1" t="s">
        <v>493</v>
      </c>
      <c r="E12738" t="s">
        <v>516</v>
      </c>
      <c r="F12738" s="1">
        <v>2</v>
      </c>
      <c r="G12738" s="1" t="s">
        <v>32</v>
      </c>
      <c r="H12738" s="4" t="str">
        <f>HYPERLINK("https://portal.gdc.cancer.gov/cases/22dbea93-3e1b-4e1b-ba40-55f08b99e73b","TCGA-DK-AA71-01A")</f>
        <v>TCGA-DK-AA71-01A</v>
      </c>
      <c r="I12738" t="s">
        <v>506</v>
      </c>
      <c r="J12738" t="s">
        <v>507</v>
      </c>
      <c r="K12738" t="s">
        <v>33</v>
      </c>
      <c r="L12738" t="s">
        <v>508</v>
      </c>
      <c r="N12738" t="s">
        <v>29</v>
      </c>
    </row>
    <row r="12739" spans="1:14">
      <c r="A12739" s="4" t="str">
        <f t="shared" si="1102"/>
        <v>EXP00407</v>
      </c>
      <c r="B12739" s="3" t="s">
        <v>66</v>
      </c>
      <c r="C12739" s="4" t="str">
        <f t="shared" si="1101"/>
        <v>TCGA-BLCA</v>
      </c>
      <c r="D12739" s="1" t="s">
        <v>493</v>
      </c>
      <c r="E12739" t="s">
        <v>516</v>
      </c>
      <c r="F12739" s="1">
        <v>2</v>
      </c>
      <c r="G12739" s="1" t="s">
        <v>32</v>
      </c>
      <c r="H12739" s="4" t="str">
        <f>HYPERLINK("https://portal.gdc.cancer.gov/cases/0198d8e5-a14b-44ee-b1c4-d248994845ad","TCGA-DK-AA74-01A")</f>
        <v>TCGA-DK-AA74-01A</v>
      </c>
      <c r="I12739" t="s">
        <v>506</v>
      </c>
      <c r="J12739" t="s">
        <v>507</v>
      </c>
      <c r="K12739" t="s">
        <v>33</v>
      </c>
      <c r="L12739" t="s">
        <v>508</v>
      </c>
      <c r="N12739" t="s">
        <v>29</v>
      </c>
    </row>
    <row r="12740" spans="1:14">
      <c r="A12740" s="4" t="str">
        <f t="shared" si="1102"/>
        <v>EXP00407</v>
      </c>
      <c r="B12740" s="3" t="s">
        <v>66</v>
      </c>
      <c r="C12740" s="4" t="str">
        <f t="shared" si="1101"/>
        <v>TCGA-BLCA</v>
      </c>
      <c r="D12740" s="1" t="s">
        <v>493</v>
      </c>
      <c r="E12740" t="s">
        <v>516</v>
      </c>
      <c r="F12740" s="1">
        <v>2</v>
      </c>
      <c r="G12740" s="1" t="s">
        <v>32</v>
      </c>
      <c r="H12740" s="4" t="str">
        <f>HYPERLINK("https://portal.gdc.cancer.gov/cases/d37b0460-efa4-4cf5-8082-f27ff2cf2f28","TCGA-DK-AA76-01A")</f>
        <v>TCGA-DK-AA76-01A</v>
      </c>
      <c r="I12740" t="s">
        <v>506</v>
      </c>
      <c r="J12740" t="s">
        <v>507</v>
      </c>
      <c r="K12740" t="s">
        <v>33</v>
      </c>
      <c r="L12740" t="s">
        <v>508</v>
      </c>
      <c r="N12740" t="s">
        <v>29</v>
      </c>
    </row>
    <row r="12741" spans="1:14">
      <c r="A12741" s="4" t="str">
        <f t="shared" si="1102"/>
        <v>EXP00407</v>
      </c>
      <c r="B12741" s="3" t="s">
        <v>66</v>
      </c>
      <c r="C12741" s="4" t="str">
        <f t="shared" si="1101"/>
        <v>TCGA-BLCA</v>
      </c>
      <c r="D12741" s="1" t="s">
        <v>493</v>
      </c>
      <c r="E12741" t="s">
        <v>516</v>
      </c>
      <c r="F12741" s="1">
        <v>2</v>
      </c>
      <c r="G12741" s="1" t="s">
        <v>32</v>
      </c>
      <c r="H12741" s="4" t="str">
        <f>HYPERLINK("https://portal.gdc.cancer.gov/cases/eb4f8c76-08d9-4ba4-846e-969fded63a87","TCGA-DK-AA77-01A")</f>
        <v>TCGA-DK-AA77-01A</v>
      </c>
      <c r="I12741" t="s">
        <v>506</v>
      </c>
      <c r="J12741" t="s">
        <v>507</v>
      </c>
      <c r="K12741" t="s">
        <v>33</v>
      </c>
      <c r="L12741" t="s">
        <v>508</v>
      </c>
      <c r="N12741" t="s">
        <v>29</v>
      </c>
    </row>
    <row r="12742" spans="1:14">
      <c r="A12742" s="4" t="str">
        <f t="shared" si="1102"/>
        <v>EXP00407</v>
      </c>
      <c r="B12742" s="3" t="s">
        <v>66</v>
      </c>
      <c r="C12742" s="4" t="str">
        <f t="shared" si="1101"/>
        <v>TCGA-BLCA</v>
      </c>
      <c r="D12742" s="1" t="s">
        <v>493</v>
      </c>
      <c r="E12742" t="s">
        <v>516</v>
      </c>
      <c r="F12742" s="1">
        <v>2</v>
      </c>
      <c r="G12742" s="1" t="s">
        <v>32</v>
      </c>
      <c r="H12742" s="4" t="str">
        <f>HYPERLINK("https://portal.gdc.cancer.gov/cases/4107ae6f-502c-4bdc-bf14-e4b3711cba38","TCGA-E5-A2PC-01A")</f>
        <v>TCGA-E5-A2PC-01A</v>
      </c>
      <c r="I12742" t="s">
        <v>506</v>
      </c>
      <c r="J12742" t="s">
        <v>507</v>
      </c>
      <c r="K12742" t="s">
        <v>33</v>
      </c>
      <c r="L12742" t="s">
        <v>508</v>
      </c>
      <c r="N12742" t="s">
        <v>29</v>
      </c>
    </row>
    <row r="12743" spans="1:14">
      <c r="A12743" s="4" t="str">
        <f t="shared" si="1102"/>
        <v>EXP00407</v>
      </c>
      <c r="B12743" s="3" t="s">
        <v>66</v>
      </c>
      <c r="C12743" s="4" t="str">
        <f t="shared" si="1101"/>
        <v>TCGA-BLCA</v>
      </c>
      <c r="D12743" s="1" t="s">
        <v>493</v>
      </c>
      <c r="E12743" t="s">
        <v>516</v>
      </c>
      <c r="F12743" s="1">
        <v>2</v>
      </c>
      <c r="G12743" s="1" t="s">
        <v>32</v>
      </c>
      <c r="H12743" s="4" t="str">
        <f>HYPERLINK("https://portal.gdc.cancer.gov/cases/ca6403dd-3bd5-4023-8ea1-9957ec44dba5","TCGA-E5-A4TZ-01A")</f>
        <v>TCGA-E5-A4TZ-01A</v>
      </c>
      <c r="I12743" t="s">
        <v>506</v>
      </c>
      <c r="J12743" t="s">
        <v>507</v>
      </c>
      <c r="K12743" t="s">
        <v>33</v>
      </c>
      <c r="L12743" t="s">
        <v>508</v>
      </c>
      <c r="N12743" t="s">
        <v>29</v>
      </c>
    </row>
    <row r="12744" spans="1:14">
      <c r="A12744" s="4" t="str">
        <f t="shared" si="1102"/>
        <v>EXP00407</v>
      </c>
      <c r="B12744" s="3" t="s">
        <v>66</v>
      </c>
      <c r="C12744" s="4" t="str">
        <f t="shared" si="1101"/>
        <v>TCGA-BLCA</v>
      </c>
      <c r="D12744" s="1" t="s">
        <v>493</v>
      </c>
      <c r="E12744" t="s">
        <v>516</v>
      </c>
      <c r="F12744" s="1">
        <v>2</v>
      </c>
      <c r="G12744" s="1" t="s">
        <v>32</v>
      </c>
      <c r="H12744" s="4" t="str">
        <f>HYPERLINK("https://portal.gdc.cancer.gov/cases/c871ea6b-fbd2-4e6f-ab29-f43f6e3ddcbb","TCGA-E7-A3X6-01A")</f>
        <v>TCGA-E7-A3X6-01A</v>
      </c>
      <c r="I12744" t="s">
        <v>506</v>
      </c>
      <c r="J12744" t="s">
        <v>507</v>
      </c>
      <c r="K12744" t="s">
        <v>33</v>
      </c>
      <c r="L12744" t="s">
        <v>508</v>
      </c>
      <c r="N12744" t="s">
        <v>29</v>
      </c>
    </row>
    <row r="12745" spans="1:14">
      <c r="A12745" s="4" t="str">
        <f t="shared" si="1102"/>
        <v>EXP00407</v>
      </c>
      <c r="B12745" s="3" t="s">
        <v>66</v>
      </c>
      <c r="C12745" s="4" t="str">
        <f t="shared" si="1101"/>
        <v>TCGA-BLCA</v>
      </c>
      <c r="D12745" s="1" t="s">
        <v>493</v>
      </c>
      <c r="E12745" t="s">
        <v>516</v>
      </c>
      <c r="F12745" s="1">
        <v>2</v>
      </c>
      <c r="G12745" s="1" t="s">
        <v>32</v>
      </c>
      <c r="H12745" s="4" t="str">
        <f>HYPERLINK("https://portal.gdc.cancer.gov/cases/f7c891eb-3b09-4e01-bb8a-53d570518cbe","TCGA-E7-A3Y1-01A")</f>
        <v>TCGA-E7-A3Y1-01A</v>
      </c>
      <c r="I12745" t="s">
        <v>506</v>
      </c>
      <c r="J12745" t="s">
        <v>507</v>
      </c>
      <c r="K12745" t="s">
        <v>33</v>
      </c>
      <c r="L12745" t="s">
        <v>508</v>
      </c>
      <c r="N12745" t="s">
        <v>29</v>
      </c>
    </row>
    <row r="12746" spans="1:14">
      <c r="A12746" s="4" t="str">
        <f t="shared" si="1102"/>
        <v>EXP00407</v>
      </c>
      <c r="B12746" s="3" t="s">
        <v>66</v>
      </c>
      <c r="C12746" s="4" t="str">
        <f t="shared" si="1101"/>
        <v>TCGA-BLCA</v>
      </c>
      <c r="D12746" s="1" t="s">
        <v>493</v>
      </c>
      <c r="E12746" t="s">
        <v>516</v>
      </c>
      <c r="F12746" s="1">
        <v>2</v>
      </c>
      <c r="G12746" s="1" t="s">
        <v>32</v>
      </c>
      <c r="H12746" s="4" t="str">
        <f>HYPERLINK("https://portal.gdc.cancer.gov/cases/faf4c71c-c4f3-4513-8c44-9114a5d3729a","TCGA-E7-A4IJ-01A")</f>
        <v>TCGA-E7-A4IJ-01A</v>
      </c>
      <c r="I12746" t="s">
        <v>506</v>
      </c>
      <c r="J12746" t="s">
        <v>507</v>
      </c>
      <c r="K12746" t="s">
        <v>33</v>
      </c>
      <c r="L12746" t="s">
        <v>508</v>
      </c>
      <c r="N12746" t="s">
        <v>29</v>
      </c>
    </row>
    <row r="12747" spans="1:14">
      <c r="A12747" s="4" t="str">
        <f t="shared" si="1102"/>
        <v>EXP00407</v>
      </c>
      <c r="B12747" s="3" t="s">
        <v>66</v>
      </c>
      <c r="C12747" s="4" t="str">
        <f t="shared" si="1101"/>
        <v>TCGA-BLCA</v>
      </c>
      <c r="D12747" s="1" t="s">
        <v>493</v>
      </c>
      <c r="E12747" t="s">
        <v>516</v>
      </c>
      <c r="F12747" s="1">
        <v>2</v>
      </c>
      <c r="G12747" s="1" t="s">
        <v>32</v>
      </c>
      <c r="H12747" s="4" t="str">
        <f>HYPERLINK("https://portal.gdc.cancer.gov/cases/92495a89-9974-4f75-99e0-28bd11114460","TCGA-E7-A4XJ-01A")</f>
        <v>TCGA-E7-A4XJ-01A</v>
      </c>
      <c r="I12747" t="s">
        <v>506</v>
      </c>
      <c r="J12747" t="s">
        <v>507</v>
      </c>
      <c r="K12747" t="s">
        <v>33</v>
      </c>
      <c r="L12747" t="s">
        <v>508</v>
      </c>
      <c r="N12747" t="s">
        <v>29</v>
      </c>
    </row>
    <row r="12748" spans="1:14">
      <c r="A12748" s="4" t="str">
        <f t="shared" si="1102"/>
        <v>EXP00407</v>
      </c>
      <c r="B12748" s="3" t="s">
        <v>66</v>
      </c>
      <c r="C12748" s="4" t="str">
        <f t="shared" si="1101"/>
        <v>TCGA-BLCA</v>
      </c>
      <c r="D12748" s="1" t="s">
        <v>493</v>
      </c>
      <c r="E12748" t="s">
        <v>516</v>
      </c>
      <c r="F12748" s="1">
        <v>2</v>
      </c>
      <c r="G12748" s="1" t="s">
        <v>32</v>
      </c>
      <c r="H12748" s="4" t="str">
        <f>HYPERLINK("https://portal.gdc.cancer.gov/cases/74216d58-9e34-4a2b-b4af-886c4a3dc079","TCGA-E7-A519-01A")</f>
        <v>TCGA-E7-A519-01A</v>
      </c>
      <c r="I12748" t="s">
        <v>506</v>
      </c>
      <c r="J12748" t="s">
        <v>507</v>
      </c>
      <c r="K12748" t="s">
        <v>33</v>
      </c>
      <c r="L12748" t="s">
        <v>508</v>
      </c>
      <c r="N12748" t="s">
        <v>29</v>
      </c>
    </row>
    <row r="12749" spans="1:14">
      <c r="A12749" s="4" t="str">
        <f t="shared" si="1102"/>
        <v>EXP00407</v>
      </c>
      <c r="B12749" s="3" t="s">
        <v>66</v>
      </c>
      <c r="C12749" s="4" t="str">
        <f t="shared" si="1101"/>
        <v>TCGA-BLCA</v>
      </c>
      <c r="D12749" s="1" t="s">
        <v>493</v>
      </c>
      <c r="E12749" t="s">
        <v>516</v>
      </c>
      <c r="F12749" s="1">
        <v>2</v>
      </c>
      <c r="G12749" s="1" t="s">
        <v>32</v>
      </c>
      <c r="H12749" s="4" t="str">
        <f>HYPERLINK("https://portal.gdc.cancer.gov/cases/d51abc3a-a652-4b13-9a41-ce52be87218b","TCGA-E7-A541-01A")</f>
        <v>TCGA-E7-A541-01A</v>
      </c>
      <c r="I12749" t="s">
        <v>506</v>
      </c>
      <c r="J12749" t="s">
        <v>507</v>
      </c>
      <c r="K12749" t="s">
        <v>33</v>
      </c>
      <c r="L12749" t="s">
        <v>508</v>
      </c>
      <c r="N12749" t="s">
        <v>29</v>
      </c>
    </row>
    <row r="12750" spans="1:14">
      <c r="A12750" s="4" t="str">
        <f t="shared" si="1102"/>
        <v>EXP00407</v>
      </c>
      <c r="B12750" s="3" t="s">
        <v>66</v>
      </c>
      <c r="C12750" s="4" t="str">
        <f t="shared" si="1101"/>
        <v>TCGA-BLCA</v>
      </c>
      <c r="D12750" s="1" t="s">
        <v>493</v>
      </c>
      <c r="E12750" t="s">
        <v>516</v>
      </c>
      <c r="F12750" s="1">
        <v>2</v>
      </c>
      <c r="G12750" s="1" t="s">
        <v>32</v>
      </c>
      <c r="H12750" s="4" t="str">
        <f>HYPERLINK("https://portal.gdc.cancer.gov/cases/514dcd02-0b33-40ef-8ef1-05272045fc39","TCGA-E7-A5KE-01A")</f>
        <v>TCGA-E7-A5KE-01A</v>
      </c>
      <c r="I12750" t="s">
        <v>506</v>
      </c>
      <c r="J12750" t="s">
        <v>507</v>
      </c>
      <c r="K12750" t="s">
        <v>33</v>
      </c>
      <c r="L12750" t="s">
        <v>508</v>
      </c>
      <c r="N12750" t="s">
        <v>29</v>
      </c>
    </row>
    <row r="12751" spans="1:14">
      <c r="A12751" s="4" t="str">
        <f t="shared" si="1102"/>
        <v>EXP00407</v>
      </c>
      <c r="B12751" s="3" t="s">
        <v>66</v>
      </c>
      <c r="C12751" s="4" t="str">
        <f t="shared" si="1101"/>
        <v>TCGA-BLCA</v>
      </c>
      <c r="D12751" s="1" t="s">
        <v>493</v>
      </c>
      <c r="E12751" t="s">
        <v>516</v>
      </c>
      <c r="F12751" s="1">
        <v>2</v>
      </c>
      <c r="G12751" s="1" t="s">
        <v>32</v>
      </c>
      <c r="H12751" s="4" t="str">
        <f>HYPERLINK("https://portal.gdc.cancer.gov/cases/5d06cc19-8b10-4ed1-b6d4-8e044f1f8a8c","TCGA-E7-A5KF-01A")</f>
        <v>TCGA-E7-A5KF-01A</v>
      </c>
      <c r="I12751" t="s">
        <v>506</v>
      </c>
      <c r="J12751" t="s">
        <v>507</v>
      </c>
      <c r="K12751" t="s">
        <v>33</v>
      </c>
      <c r="L12751" t="s">
        <v>508</v>
      </c>
      <c r="N12751" t="s">
        <v>29</v>
      </c>
    </row>
    <row r="12752" spans="1:14">
      <c r="A12752" s="4" t="str">
        <f t="shared" si="1102"/>
        <v>EXP00407</v>
      </c>
      <c r="B12752" s="3" t="s">
        <v>66</v>
      </c>
      <c r="C12752" s="4" t="str">
        <f t="shared" si="1101"/>
        <v>TCGA-BLCA</v>
      </c>
      <c r="D12752" s="1" t="s">
        <v>493</v>
      </c>
      <c r="E12752" t="s">
        <v>516</v>
      </c>
      <c r="F12752" s="1">
        <v>2</v>
      </c>
      <c r="G12752" s="1" t="s">
        <v>32</v>
      </c>
      <c r="H12752" s="4" t="str">
        <f>HYPERLINK("https://portal.gdc.cancer.gov/cases/d492383f-5449-4845-bfb3-b2cb4eb49c4e","TCGA-E7-A677-01A")</f>
        <v>TCGA-E7-A677-01A</v>
      </c>
      <c r="I12752" t="s">
        <v>506</v>
      </c>
      <c r="J12752" t="s">
        <v>507</v>
      </c>
      <c r="K12752" t="s">
        <v>33</v>
      </c>
      <c r="L12752" t="s">
        <v>508</v>
      </c>
      <c r="N12752" t="s">
        <v>29</v>
      </c>
    </row>
    <row r="12753" spans="1:14">
      <c r="A12753" s="4" t="str">
        <f t="shared" si="1102"/>
        <v>EXP00407</v>
      </c>
      <c r="B12753" s="3" t="s">
        <v>66</v>
      </c>
      <c r="C12753" s="4" t="str">
        <f t="shared" si="1101"/>
        <v>TCGA-BLCA</v>
      </c>
      <c r="D12753" s="1" t="s">
        <v>493</v>
      </c>
      <c r="E12753" t="s">
        <v>516</v>
      </c>
      <c r="F12753" s="1">
        <v>2</v>
      </c>
      <c r="G12753" s="1" t="s">
        <v>32</v>
      </c>
      <c r="H12753" s="4" t="str">
        <f>HYPERLINK("https://portal.gdc.cancer.gov/cases/29c52372-d3a7-4188-b468-67c3451c4f20","TCGA-E7-A678-01A")</f>
        <v>TCGA-E7-A678-01A</v>
      </c>
      <c r="I12753" t="s">
        <v>506</v>
      </c>
      <c r="J12753" t="s">
        <v>507</v>
      </c>
      <c r="K12753" t="s">
        <v>33</v>
      </c>
      <c r="L12753" t="s">
        <v>508</v>
      </c>
      <c r="N12753" t="s">
        <v>29</v>
      </c>
    </row>
    <row r="12754" spans="1:14">
      <c r="A12754" s="4" t="str">
        <f t="shared" si="1102"/>
        <v>EXP00407</v>
      </c>
      <c r="B12754" s="3" t="s">
        <v>66</v>
      </c>
      <c r="C12754" s="4" t="str">
        <f t="shared" ref="C12754:C12817" si="1103">HYPERLINK("https://portal.gdc.cancer.gov/projects/TCGA-BLCA","TCGA-BLCA")</f>
        <v>TCGA-BLCA</v>
      </c>
      <c r="D12754" s="1" t="s">
        <v>493</v>
      </c>
      <c r="E12754" t="s">
        <v>516</v>
      </c>
      <c r="F12754" s="1">
        <v>2</v>
      </c>
      <c r="G12754" s="1" t="s">
        <v>32</v>
      </c>
      <c r="H12754" s="4" t="str">
        <f>HYPERLINK("https://portal.gdc.cancer.gov/cases/92d27fec-30c2-4496-965d-df509d869eaa","TCGA-E7-A6MD-01A")</f>
        <v>TCGA-E7-A6MD-01A</v>
      </c>
      <c r="I12754" t="s">
        <v>506</v>
      </c>
      <c r="J12754" t="s">
        <v>507</v>
      </c>
      <c r="K12754" t="s">
        <v>33</v>
      </c>
      <c r="L12754" t="s">
        <v>508</v>
      </c>
      <c r="N12754" t="s">
        <v>29</v>
      </c>
    </row>
    <row r="12755" spans="1:14">
      <c r="A12755" s="4" t="str">
        <f t="shared" si="1102"/>
        <v>EXP00407</v>
      </c>
      <c r="B12755" s="3" t="s">
        <v>66</v>
      </c>
      <c r="C12755" s="4" t="str">
        <f t="shared" si="1103"/>
        <v>TCGA-BLCA</v>
      </c>
      <c r="D12755" s="1" t="s">
        <v>493</v>
      </c>
      <c r="E12755" t="s">
        <v>516</v>
      </c>
      <c r="F12755" s="1">
        <v>2</v>
      </c>
      <c r="G12755" s="1" t="s">
        <v>32</v>
      </c>
      <c r="H12755" s="4" t="str">
        <f>HYPERLINK("https://portal.gdc.cancer.gov/cases/9f00847c-bd1f-4cd0-99f9-d51d638c0795","TCGA-E7-A6ME-01A")</f>
        <v>TCGA-E7-A6ME-01A</v>
      </c>
      <c r="I12755" t="s">
        <v>506</v>
      </c>
      <c r="J12755" t="s">
        <v>507</v>
      </c>
      <c r="K12755" t="s">
        <v>33</v>
      </c>
      <c r="L12755" t="s">
        <v>508</v>
      </c>
      <c r="N12755" t="s">
        <v>29</v>
      </c>
    </row>
    <row r="12756" spans="1:14">
      <c r="A12756" s="4" t="str">
        <f t="shared" si="1102"/>
        <v>EXP00407</v>
      </c>
      <c r="B12756" s="3" t="s">
        <v>66</v>
      </c>
      <c r="C12756" s="4" t="str">
        <f t="shared" si="1103"/>
        <v>TCGA-BLCA</v>
      </c>
      <c r="D12756" s="1" t="s">
        <v>493</v>
      </c>
      <c r="E12756" t="s">
        <v>516</v>
      </c>
      <c r="F12756" s="1">
        <v>2</v>
      </c>
      <c r="G12756" s="1" t="s">
        <v>32</v>
      </c>
      <c r="H12756" s="4" t="str">
        <f>HYPERLINK("https://portal.gdc.cancer.gov/cases/faf3c230-c661-4d6e-9b73-2b679bc6deff","TCGA-E7-A6MF-01A")</f>
        <v>TCGA-E7-A6MF-01A</v>
      </c>
      <c r="I12756" t="s">
        <v>506</v>
      </c>
      <c r="J12756" t="s">
        <v>507</v>
      </c>
      <c r="K12756" t="s">
        <v>33</v>
      </c>
      <c r="L12756" t="s">
        <v>508</v>
      </c>
      <c r="N12756" t="s">
        <v>29</v>
      </c>
    </row>
    <row r="12757" spans="1:14">
      <c r="A12757" s="4" t="str">
        <f t="shared" si="1102"/>
        <v>EXP00407</v>
      </c>
      <c r="B12757" s="3" t="s">
        <v>66</v>
      </c>
      <c r="C12757" s="4" t="str">
        <f t="shared" si="1103"/>
        <v>TCGA-BLCA</v>
      </c>
      <c r="D12757" s="1" t="s">
        <v>493</v>
      </c>
      <c r="E12757" t="s">
        <v>516</v>
      </c>
      <c r="F12757" s="1">
        <v>2</v>
      </c>
      <c r="G12757" s="1" t="s">
        <v>32</v>
      </c>
      <c r="H12757" s="4" t="str">
        <f>HYPERLINK("https://portal.gdc.cancer.gov/cases/6f30b069-c8f5-424c-9fb5-f7dba508cb8b","TCGA-E7-A7DU-01A")</f>
        <v>TCGA-E7-A7DU-01A</v>
      </c>
      <c r="I12757" t="s">
        <v>506</v>
      </c>
      <c r="J12757" t="s">
        <v>507</v>
      </c>
      <c r="K12757" t="s">
        <v>33</v>
      </c>
      <c r="L12757" t="s">
        <v>508</v>
      </c>
      <c r="N12757" t="s">
        <v>29</v>
      </c>
    </row>
    <row r="12758" spans="1:14">
      <c r="A12758" s="4" t="str">
        <f t="shared" si="1102"/>
        <v>EXP00407</v>
      </c>
      <c r="B12758" s="3" t="s">
        <v>66</v>
      </c>
      <c r="C12758" s="4" t="str">
        <f t="shared" si="1103"/>
        <v>TCGA-BLCA</v>
      </c>
      <c r="D12758" s="1" t="s">
        <v>493</v>
      </c>
      <c r="E12758" t="s">
        <v>516</v>
      </c>
      <c r="F12758" s="1">
        <v>2</v>
      </c>
      <c r="G12758" s="1" t="s">
        <v>32</v>
      </c>
      <c r="H12758" s="4" t="str">
        <f>HYPERLINK("https://portal.gdc.cancer.gov/cases/3effd691-570c-478a-8903-3771a1b43f2e","TCGA-E7-A7DV-01A")</f>
        <v>TCGA-E7-A7DV-01A</v>
      </c>
      <c r="I12758" t="s">
        <v>506</v>
      </c>
      <c r="J12758" t="s">
        <v>507</v>
      </c>
      <c r="K12758" t="s">
        <v>33</v>
      </c>
      <c r="L12758" t="s">
        <v>508</v>
      </c>
      <c r="N12758" t="s">
        <v>29</v>
      </c>
    </row>
    <row r="12759" spans="1:14">
      <c r="A12759" s="4" t="str">
        <f t="shared" si="1102"/>
        <v>EXP00407</v>
      </c>
      <c r="B12759" s="3" t="s">
        <v>66</v>
      </c>
      <c r="C12759" s="4" t="str">
        <f t="shared" si="1103"/>
        <v>TCGA-BLCA</v>
      </c>
      <c r="D12759" s="1" t="s">
        <v>493</v>
      </c>
      <c r="E12759" t="s">
        <v>516</v>
      </c>
      <c r="F12759" s="1">
        <v>2</v>
      </c>
      <c r="G12759" s="1" t="s">
        <v>32</v>
      </c>
      <c r="H12759" s="4" t="str">
        <f>HYPERLINK("https://portal.gdc.cancer.gov/cases/045fe498-6a07-41ff-9956-dc0fb0483e7f","TCGA-E7-A7PW-01A")</f>
        <v>TCGA-E7-A7PW-01A</v>
      </c>
      <c r="I12759" t="s">
        <v>506</v>
      </c>
      <c r="J12759" t="s">
        <v>507</v>
      </c>
      <c r="K12759" t="s">
        <v>33</v>
      </c>
      <c r="L12759" t="s">
        <v>508</v>
      </c>
      <c r="N12759" t="s">
        <v>29</v>
      </c>
    </row>
    <row r="12760" spans="1:14">
      <c r="A12760" s="4" t="str">
        <f t="shared" si="1102"/>
        <v>EXP00407</v>
      </c>
      <c r="B12760" s="3" t="s">
        <v>66</v>
      </c>
      <c r="C12760" s="4" t="str">
        <f t="shared" si="1103"/>
        <v>TCGA-BLCA</v>
      </c>
      <c r="D12760" s="1" t="s">
        <v>493</v>
      </c>
      <c r="E12760" t="s">
        <v>516</v>
      </c>
      <c r="F12760" s="1">
        <v>2</v>
      </c>
      <c r="G12760" s="1" t="s">
        <v>32</v>
      </c>
      <c r="H12760" s="4" t="str">
        <f>HYPERLINK("https://portal.gdc.cancer.gov/cases/286cf147-b7f7-4a05-8e41-7fbd3717ad71","TCGA-E7-A7XN-01A")</f>
        <v>TCGA-E7-A7XN-01A</v>
      </c>
      <c r="I12760" t="s">
        <v>506</v>
      </c>
      <c r="J12760" t="s">
        <v>507</v>
      </c>
      <c r="K12760" t="s">
        <v>33</v>
      </c>
      <c r="L12760" t="s">
        <v>508</v>
      </c>
      <c r="N12760" t="s">
        <v>29</v>
      </c>
    </row>
    <row r="12761" spans="1:14">
      <c r="A12761" s="4" t="str">
        <f t="shared" si="1102"/>
        <v>EXP00407</v>
      </c>
      <c r="B12761" s="3" t="s">
        <v>66</v>
      </c>
      <c r="C12761" s="4" t="str">
        <f t="shared" si="1103"/>
        <v>TCGA-BLCA</v>
      </c>
      <c r="D12761" s="1" t="s">
        <v>493</v>
      </c>
      <c r="E12761" t="s">
        <v>516</v>
      </c>
      <c r="F12761" s="1">
        <v>2</v>
      </c>
      <c r="G12761" s="1" t="s">
        <v>32</v>
      </c>
      <c r="H12761" s="4" t="str">
        <f>HYPERLINK("https://portal.gdc.cancer.gov/cases/c8adce3d-4914-4851-9952-846b0c9c32de","TCGA-E7-A85H-01A")</f>
        <v>TCGA-E7-A85H-01A</v>
      </c>
      <c r="I12761" t="s">
        <v>506</v>
      </c>
      <c r="J12761" t="s">
        <v>507</v>
      </c>
      <c r="K12761" t="s">
        <v>33</v>
      </c>
      <c r="L12761" t="s">
        <v>508</v>
      </c>
      <c r="N12761" t="s">
        <v>29</v>
      </c>
    </row>
    <row r="12762" spans="1:14">
      <c r="A12762" s="4" t="str">
        <f t="shared" si="1102"/>
        <v>EXP00407</v>
      </c>
      <c r="B12762" s="3" t="s">
        <v>66</v>
      </c>
      <c r="C12762" s="4" t="str">
        <f t="shared" si="1103"/>
        <v>TCGA-BLCA</v>
      </c>
      <c r="D12762" s="1" t="s">
        <v>493</v>
      </c>
      <c r="E12762" t="s">
        <v>516</v>
      </c>
      <c r="F12762" s="1">
        <v>2</v>
      </c>
      <c r="G12762" s="1" t="s">
        <v>32</v>
      </c>
      <c r="H12762" s="4" t="str">
        <f>HYPERLINK("https://portal.gdc.cancer.gov/cases/1e15cb17-cf22-4f06-a3d9-e528e77d1876","TCGA-E7-A8O7-01A")</f>
        <v>TCGA-E7-A8O7-01A</v>
      </c>
      <c r="I12762" t="s">
        <v>506</v>
      </c>
      <c r="J12762" t="s">
        <v>507</v>
      </c>
      <c r="K12762" t="s">
        <v>33</v>
      </c>
      <c r="L12762" t="s">
        <v>508</v>
      </c>
      <c r="N12762" t="s">
        <v>29</v>
      </c>
    </row>
    <row r="12763" spans="1:14">
      <c r="A12763" s="4" t="str">
        <f t="shared" si="1102"/>
        <v>EXP00407</v>
      </c>
      <c r="B12763" s="3" t="s">
        <v>66</v>
      </c>
      <c r="C12763" s="4" t="str">
        <f t="shared" si="1103"/>
        <v>TCGA-BLCA</v>
      </c>
      <c r="D12763" s="1" t="s">
        <v>493</v>
      </c>
      <c r="E12763" t="s">
        <v>516</v>
      </c>
      <c r="F12763" s="1">
        <v>2</v>
      </c>
      <c r="G12763" s="1" t="s">
        <v>32</v>
      </c>
      <c r="H12763" s="4" t="str">
        <f>HYPERLINK("https://portal.gdc.cancer.gov/cases/854e5236-f2d6-4681-be62-0bead955c926","TCGA-E7-A8O8-01A")</f>
        <v>TCGA-E7-A8O8-01A</v>
      </c>
      <c r="I12763" t="s">
        <v>506</v>
      </c>
      <c r="J12763" t="s">
        <v>507</v>
      </c>
      <c r="K12763" t="s">
        <v>33</v>
      </c>
      <c r="L12763" t="s">
        <v>508</v>
      </c>
      <c r="N12763" t="s">
        <v>29</v>
      </c>
    </row>
    <row r="12764" spans="1:14">
      <c r="A12764" s="4" t="str">
        <f t="shared" si="1102"/>
        <v>EXP00407</v>
      </c>
      <c r="B12764" s="3" t="s">
        <v>66</v>
      </c>
      <c r="C12764" s="4" t="str">
        <f t="shared" si="1103"/>
        <v>TCGA-BLCA</v>
      </c>
      <c r="D12764" s="1" t="s">
        <v>493</v>
      </c>
      <c r="E12764" t="s">
        <v>516</v>
      </c>
      <c r="F12764" s="1">
        <v>2</v>
      </c>
      <c r="G12764" s="1" t="s">
        <v>32</v>
      </c>
      <c r="H12764" s="4" t="str">
        <f>HYPERLINK("https://portal.gdc.cancer.gov/cases/18e6bdb0-b62d-4367-86e9-befbbf5e458c","TCGA-E7-A97P-01A")</f>
        <v>TCGA-E7-A97P-01A</v>
      </c>
      <c r="I12764" t="s">
        <v>506</v>
      </c>
      <c r="J12764" t="s">
        <v>507</v>
      </c>
      <c r="K12764" t="s">
        <v>33</v>
      </c>
      <c r="L12764" t="s">
        <v>508</v>
      </c>
      <c r="N12764" t="s">
        <v>29</v>
      </c>
    </row>
    <row r="12765" spans="1:14">
      <c r="A12765" s="4" t="str">
        <f t="shared" si="1102"/>
        <v>EXP00407</v>
      </c>
      <c r="B12765" s="3" t="s">
        <v>66</v>
      </c>
      <c r="C12765" s="4" t="str">
        <f t="shared" si="1103"/>
        <v>TCGA-BLCA</v>
      </c>
      <c r="D12765" s="1" t="s">
        <v>493</v>
      </c>
      <c r="E12765" t="s">
        <v>516</v>
      </c>
      <c r="F12765" s="1">
        <v>2</v>
      </c>
      <c r="G12765" s="1" t="s">
        <v>32</v>
      </c>
      <c r="H12765" s="4" t="str">
        <f>HYPERLINK("https://portal.gdc.cancer.gov/cases/ada19f65-5256-4c79-b3b9-7b9da69be437","TCGA-E7-A97Q-01A")</f>
        <v>TCGA-E7-A97Q-01A</v>
      </c>
      <c r="I12765" t="s">
        <v>506</v>
      </c>
      <c r="J12765" t="s">
        <v>507</v>
      </c>
      <c r="K12765" t="s">
        <v>33</v>
      </c>
      <c r="L12765" t="s">
        <v>508</v>
      </c>
      <c r="N12765" t="s">
        <v>29</v>
      </c>
    </row>
    <row r="12766" spans="1:14">
      <c r="A12766" s="4" t="str">
        <f t="shared" si="1102"/>
        <v>EXP00407</v>
      </c>
      <c r="B12766" s="3" t="s">
        <v>66</v>
      </c>
      <c r="C12766" s="4" t="str">
        <f t="shared" si="1103"/>
        <v>TCGA-BLCA</v>
      </c>
      <c r="D12766" s="1" t="s">
        <v>493</v>
      </c>
      <c r="E12766" t="s">
        <v>516</v>
      </c>
      <c r="F12766" s="1">
        <v>2</v>
      </c>
      <c r="G12766" s="1" t="s">
        <v>32</v>
      </c>
      <c r="H12766" s="4" t="str">
        <f>HYPERLINK("https://portal.gdc.cancer.gov/cases/4b5d873b-bfda-482e-92a0-bf84c0f9032a","TCGA-FD-A3B3-01A")</f>
        <v>TCGA-FD-A3B3-01A</v>
      </c>
      <c r="I12766" t="s">
        <v>506</v>
      </c>
      <c r="J12766" t="s">
        <v>507</v>
      </c>
      <c r="K12766" t="s">
        <v>33</v>
      </c>
      <c r="L12766" t="s">
        <v>508</v>
      </c>
      <c r="N12766" t="s">
        <v>29</v>
      </c>
    </row>
    <row r="12767" spans="1:14">
      <c r="A12767" s="4" t="str">
        <f t="shared" si="1102"/>
        <v>EXP00407</v>
      </c>
      <c r="B12767" s="3" t="s">
        <v>66</v>
      </c>
      <c r="C12767" s="4" t="str">
        <f t="shared" si="1103"/>
        <v>TCGA-BLCA</v>
      </c>
      <c r="D12767" s="1" t="s">
        <v>493</v>
      </c>
      <c r="E12767" t="s">
        <v>516</v>
      </c>
      <c r="F12767" s="1">
        <v>2</v>
      </c>
      <c r="G12767" s="1" t="s">
        <v>32</v>
      </c>
      <c r="H12767" s="4" t="str">
        <f>HYPERLINK("https://portal.gdc.cancer.gov/cases/899f8d52-4c3a-4371-90eb-1f106001eddc","TCGA-FD-A3B4-01A")</f>
        <v>TCGA-FD-A3B4-01A</v>
      </c>
      <c r="I12767" t="s">
        <v>506</v>
      </c>
      <c r="J12767" t="s">
        <v>507</v>
      </c>
      <c r="K12767" t="s">
        <v>33</v>
      </c>
      <c r="L12767" t="s">
        <v>508</v>
      </c>
      <c r="N12767" t="s">
        <v>29</v>
      </c>
    </row>
    <row r="12768" spans="1:14">
      <c r="A12768" s="4" t="str">
        <f t="shared" si="1102"/>
        <v>EXP00407</v>
      </c>
      <c r="B12768" s="3" t="s">
        <v>66</v>
      </c>
      <c r="C12768" s="4" t="str">
        <f t="shared" si="1103"/>
        <v>TCGA-BLCA</v>
      </c>
      <c r="D12768" s="1" t="s">
        <v>493</v>
      </c>
      <c r="E12768" t="s">
        <v>516</v>
      </c>
      <c r="F12768" s="1">
        <v>2</v>
      </c>
      <c r="G12768" s="1" t="s">
        <v>32</v>
      </c>
      <c r="H12768" s="4" t="str">
        <f>HYPERLINK("https://portal.gdc.cancer.gov/cases/462d5a6b-9f39-4aae-a35b-d06a7811d053","TCGA-FD-A3B5-01A")</f>
        <v>TCGA-FD-A3B5-01A</v>
      </c>
      <c r="I12768" t="s">
        <v>506</v>
      </c>
      <c r="J12768" t="s">
        <v>507</v>
      </c>
      <c r="K12768" t="s">
        <v>33</v>
      </c>
      <c r="L12768" t="s">
        <v>508</v>
      </c>
      <c r="N12768" t="s">
        <v>29</v>
      </c>
    </row>
    <row r="12769" spans="1:14">
      <c r="A12769" s="4" t="str">
        <f t="shared" si="1102"/>
        <v>EXP00407</v>
      </c>
      <c r="B12769" s="3" t="s">
        <v>66</v>
      </c>
      <c r="C12769" s="4" t="str">
        <f t="shared" si="1103"/>
        <v>TCGA-BLCA</v>
      </c>
      <c r="D12769" s="1" t="s">
        <v>493</v>
      </c>
      <c r="E12769" t="s">
        <v>516</v>
      </c>
      <c r="F12769" s="1">
        <v>2</v>
      </c>
      <c r="G12769" s="1" t="s">
        <v>32</v>
      </c>
      <c r="H12769" s="4" t="str">
        <f>HYPERLINK("https://portal.gdc.cancer.gov/cases/36054200-3fa4-4541-a25c-47282e4ef88d","TCGA-FD-A3B6-01A")</f>
        <v>TCGA-FD-A3B6-01A</v>
      </c>
      <c r="I12769" t="s">
        <v>506</v>
      </c>
      <c r="J12769" t="s">
        <v>507</v>
      </c>
      <c r="K12769" t="s">
        <v>33</v>
      </c>
      <c r="L12769" t="s">
        <v>508</v>
      </c>
      <c r="N12769" t="s">
        <v>29</v>
      </c>
    </row>
    <row r="12770" spans="1:14">
      <c r="A12770" s="4" t="str">
        <f t="shared" si="1102"/>
        <v>EXP00407</v>
      </c>
      <c r="B12770" s="3" t="s">
        <v>66</v>
      </c>
      <c r="C12770" s="4" t="str">
        <f t="shared" si="1103"/>
        <v>TCGA-BLCA</v>
      </c>
      <c r="D12770" s="1" t="s">
        <v>493</v>
      </c>
      <c r="E12770" t="s">
        <v>516</v>
      </c>
      <c r="F12770" s="1">
        <v>2</v>
      </c>
      <c r="G12770" s="1" t="s">
        <v>32</v>
      </c>
      <c r="H12770" s="4" t="str">
        <f>HYPERLINK("https://portal.gdc.cancer.gov/cases/ef5dd4b3-b77a-444a-b5b0-c999a5a3d129","TCGA-FD-A3B7-01A")</f>
        <v>TCGA-FD-A3B7-01A</v>
      </c>
      <c r="I12770" t="s">
        <v>506</v>
      </c>
      <c r="J12770" t="s">
        <v>507</v>
      </c>
      <c r="K12770" t="s">
        <v>33</v>
      </c>
      <c r="L12770" t="s">
        <v>508</v>
      </c>
      <c r="N12770" t="s">
        <v>29</v>
      </c>
    </row>
    <row r="12771" spans="1:14">
      <c r="A12771" s="4" t="str">
        <f t="shared" ref="A12771:A12834" si="1104">HYPERLINK("http://hcmdb.i-sanger.com/experiment/details/experiment_id/EXP00407","EXP00407")</f>
        <v>EXP00407</v>
      </c>
      <c r="B12771" s="3" t="s">
        <v>66</v>
      </c>
      <c r="C12771" s="4" t="str">
        <f t="shared" si="1103"/>
        <v>TCGA-BLCA</v>
      </c>
      <c r="D12771" s="1" t="s">
        <v>493</v>
      </c>
      <c r="E12771" t="s">
        <v>516</v>
      </c>
      <c r="F12771" s="1">
        <v>2</v>
      </c>
      <c r="G12771" s="1" t="s">
        <v>32</v>
      </c>
      <c r="H12771" s="4" t="str">
        <f>HYPERLINK("https://portal.gdc.cancer.gov/cases/537ca5d1-5b26-496f-b7b4-05fea7b46353","TCGA-FD-A3B8-01A")</f>
        <v>TCGA-FD-A3B8-01A</v>
      </c>
      <c r="I12771" t="s">
        <v>506</v>
      </c>
      <c r="J12771" t="s">
        <v>507</v>
      </c>
      <c r="K12771" t="s">
        <v>33</v>
      </c>
      <c r="L12771" t="s">
        <v>508</v>
      </c>
      <c r="N12771" t="s">
        <v>29</v>
      </c>
    </row>
    <row r="12772" spans="1:14">
      <c r="A12772" s="4" t="str">
        <f t="shared" si="1104"/>
        <v>EXP00407</v>
      </c>
      <c r="B12772" s="3" t="s">
        <v>66</v>
      </c>
      <c r="C12772" s="4" t="str">
        <f t="shared" si="1103"/>
        <v>TCGA-BLCA</v>
      </c>
      <c r="D12772" s="1" t="s">
        <v>493</v>
      </c>
      <c r="E12772" t="s">
        <v>516</v>
      </c>
      <c r="F12772" s="1">
        <v>2</v>
      </c>
      <c r="G12772" s="1" t="s">
        <v>32</v>
      </c>
      <c r="H12772" s="4" t="str">
        <f>HYPERLINK("https://portal.gdc.cancer.gov/cases/a658becf-3934-49f2-9e74-291dca61d4bb","TCGA-FD-A3N5-01A")</f>
        <v>TCGA-FD-A3N5-01A</v>
      </c>
      <c r="I12772" t="s">
        <v>506</v>
      </c>
      <c r="J12772" t="s">
        <v>507</v>
      </c>
      <c r="K12772" t="s">
        <v>33</v>
      </c>
      <c r="L12772" t="s">
        <v>508</v>
      </c>
      <c r="N12772" t="s">
        <v>29</v>
      </c>
    </row>
    <row r="12773" spans="1:14">
      <c r="A12773" s="4" t="str">
        <f t="shared" si="1104"/>
        <v>EXP00407</v>
      </c>
      <c r="B12773" s="3" t="s">
        <v>66</v>
      </c>
      <c r="C12773" s="4" t="str">
        <f t="shared" si="1103"/>
        <v>TCGA-BLCA</v>
      </c>
      <c r="D12773" s="1" t="s">
        <v>493</v>
      </c>
      <c r="E12773" t="s">
        <v>516</v>
      </c>
      <c r="F12773" s="1">
        <v>2</v>
      </c>
      <c r="G12773" s="1" t="s">
        <v>32</v>
      </c>
      <c r="H12773" s="4" t="str">
        <f>HYPERLINK("https://portal.gdc.cancer.gov/cases/8c1dd7f7-b74a-4fa2-b6a7-86f0348d2567","TCGA-FD-A3N6-01A")</f>
        <v>TCGA-FD-A3N6-01A</v>
      </c>
      <c r="I12773" t="s">
        <v>506</v>
      </c>
      <c r="J12773" t="s">
        <v>507</v>
      </c>
      <c r="K12773" t="s">
        <v>33</v>
      </c>
      <c r="L12773" t="s">
        <v>508</v>
      </c>
      <c r="N12773" t="s">
        <v>29</v>
      </c>
    </row>
    <row r="12774" spans="1:14">
      <c r="A12774" s="4" t="str">
        <f t="shared" si="1104"/>
        <v>EXP00407</v>
      </c>
      <c r="B12774" s="3" t="s">
        <v>66</v>
      </c>
      <c r="C12774" s="4" t="str">
        <f t="shared" si="1103"/>
        <v>TCGA-BLCA</v>
      </c>
      <c r="D12774" s="1" t="s">
        <v>493</v>
      </c>
      <c r="E12774" t="s">
        <v>516</v>
      </c>
      <c r="F12774" s="1">
        <v>2</v>
      </c>
      <c r="G12774" s="1" t="s">
        <v>32</v>
      </c>
      <c r="H12774" s="4" t="str">
        <f>HYPERLINK("https://portal.gdc.cancer.gov/cases/14917461-dae4-44cb-909d-42ac45aef450","TCGA-FD-A3NA-01A")</f>
        <v>TCGA-FD-A3NA-01A</v>
      </c>
      <c r="I12774" t="s">
        <v>506</v>
      </c>
      <c r="J12774" t="s">
        <v>507</v>
      </c>
      <c r="K12774" t="s">
        <v>33</v>
      </c>
      <c r="L12774" t="s">
        <v>508</v>
      </c>
      <c r="N12774" t="s">
        <v>29</v>
      </c>
    </row>
    <row r="12775" spans="1:14">
      <c r="A12775" s="4" t="str">
        <f t="shared" si="1104"/>
        <v>EXP00407</v>
      </c>
      <c r="B12775" s="3" t="s">
        <v>66</v>
      </c>
      <c r="C12775" s="4" t="str">
        <f t="shared" si="1103"/>
        <v>TCGA-BLCA</v>
      </c>
      <c r="D12775" s="1" t="s">
        <v>493</v>
      </c>
      <c r="E12775" t="s">
        <v>516</v>
      </c>
      <c r="F12775" s="1">
        <v>2</v>
      </c>
      <c r="G12775" s="1" t="s">
        <v>32</v>
      </c>
      <c r="H12775" s="4" t="str">
        <f>HYPERLINK("https://portal.gdc.cancer.gov/cases/4570b6e2-d430-41ca-aab1-ce4d14c36463","TCGA-FD-A3SL-01A")</f>
        <v>TCGA-FD-A3SL-01A</v>
      </c>
      <c r="I12775" t="s">
        <v>506</v>
      </c>
      <c r="J12775" t="s">
        <v>507</v>
      </c>
      <c r="K12775" t="s">
        <v>33</v>
      </c>
      <c r="L12775" t="s">
        <v>508</v>
      </c>
      <c r="N12775" t="s">
        <v>29</v>
      </c>
    </row>
    <row r="12776" spans="1:14">
      <c r="A12776" s="4" t="str">
        <f t="shared" si="1104"/>
        <v>EXP00407</v>
      </c>
      <c r="B12776" s="3" t="s">
        <v>66</v>
      </c>
      <c r="C12776" s="4" t="str">
        <f t="shared" si="1103"/>
        <v>TCGA-BLCA</v>
      </c>
      <c r="D12776" s="1" t="s">
        <v>493</v>
      </c>
      <c r="E12776" t="s">
        <v>516</v>
      </c>
      <c r="F12776" s="1">
        <v>2</v>
      </c>
      <c r="G12776" s="1" t="s">
        <v>32</v>
      </c>
      <c r="H12776" s="4" t="str">
        <f>HYPERLINK("https://portal.gdc.cancer.gov/cases/474582f2-8dec-4fbc-803f-4fd9ba2e0957","TCGA-FD-A3SM-01A")</f>
        <v>TCGA-FD-A3SM-01A</v>
      </c>
      <c r="I12776" t="s">
        <v>506</v>
      </c>
      <c r="J12776" t="s">
        <v>507</v>
      </c>
      <c r="K12776" t="s">
        <v>33</v>
      </c>
      <c r="L12776" t="s">
        <v>508</v>
      </c>
      <c r="N12776" t="s">
        <v>29</v>
      </c>
    </row>
    <row r="12777" spans="1:14">
      <c r="A12777" s="4" t="str">
        <f t="shared" si="1104"/>
        <v>EXP00407</v>
      </c>
      <c r="B12777" s="3" t="s">
        <v>66</v>
      </c>
      <c r="C12777" s="4" t="str">
        <f t="shared" si="1103"/>
        <v>TCGA-BLCA</v>
      </c>
      <c r="D12777" s="1" t="s">
        <v>493</v>
      </c>
      <c r="E12777" t="s">
        <v>516</v>
      </c>
      <c r="F12777" s="1">
        <v>2</v>
      </c>
      <c r="G12777" s="1" t="s">
        <v>32</v>
      </c>
      <c r="H12777" s="4" t="str">
        <f>HYPERLINK("https://portal.gdc.cancer.gov/cases/94809fbf-4895-42c0-a7c6-f39ee1a41f1a","TCGA-FD-A3SO-01A")</f>
        <v>TCGA-FD-A3SO-01A</v>
      </c>
      <c r="I12777" t="s">
        <v>506</v>
      </c>
      <c r="J12777" t="s">
        <v>507</v>
      </c>
      <c r="K12777" t="s">
        <v>33</v>
      </c>
      <c r="L12777" t="s">
        <v>508</v>
      </c>
      <c r="N12777" t="s">
        <v>29</v>
      </c>
    </row>
    <row r="12778" spans="1:14">
      <c r="A12778" s="4" t="str">
        <f t="shared" si="1104"/>
        <v>EXP00407</v>
      </c>
      <c r="B12778" s="3" t="s">
        <v>66</v>
      </c>
      <c r="C12778" s="4" t="str">
        <f t="shared" si="1103"/>
        <v>TCGA-BLCA</v>
      </c>
      <c r="D12778" s="1" t="s">
        <v>493</v>
      </c>
      <c r="E12778" t="s">
        <v>516</v>
      </c>
      <c r="F12778" s="1">
        <v>2</v>
      </c>
      <c r="G12778" s="1" t="s">
        <v>32</v>
      </c>
      <c r="H12778" s="4" t="str">
        <f>HYPERLINK("https://portal.gdc.cancer.gov/cases/5f99dcff-d809-4c87-8024-c9b30bd565e9","TCGA-FD-A3SP-01A")</f>
        <v>TCGA-FD-A3SP-01A</v>
      </c>
      <c r="I12778" t="s">
        <v>506</v>
      </c>
      <c r="J12778" t="s">
        <v>507</v>
      </c>
      <c r="K12778" t="s">
        <v>33</v>
      </c>
      <c r="L12778" t="s">
        <v>508</v>
      </c>
      <c r="N12778" t="s">
        <v>29</v>
      </c>
    </row>
    <row r="12779" spans="1:14">
      <c r="A12779" s="4" t="str">
        <f t="shared" si="1104"/>
        <v>EXP00407</v>
      </c>
      <c r="B12779" s="3" t="s">
        <v>66</v>
      </c>
      <c r="C12779" s="4" t="str">
        <f t="shared" si="1103"/>
        <v>TCGA-BLCA</v>
      </c>
      <c r="D12779" s="1" t="s">
        <v>493</v>
      </c>
      <c r="E12779" t="s">
        <v>516</v>
      </c>
      <c r="F12779" s="1">
        <v>2</v>
      </c>
      <c r="G12779" s="1" t="s">
        <v>32</v>
      </c>
      <c r="H12779" s="4" t="str">
        <f>HYPERLINK("https://portal.gdc.cancer.gov/cases/3071cb51-dcf5-41f7-b047-afc2dcbf0aaf","TCGA-FD-A3SQ-01A")</f>
        <v>TCGA-FD-A3SQ-01A</v>
      </c>
      <c r="I12779" t="s">
        <v>506</v>
      </c>
      <c r="J12779" t="s">
        <v>507</v>
      </c>
      <c r="K12779" t="s">
        <v>33</v>
      </c>
      <c r="L12779" t="s">
        <v>508</v>
      </c>
      <c r="N12779" t="s">
        <v>29</v>
      </c>
    </row>
    <row r="12780" spans="1:14">
      <c r="A12780" s="4" t="str">
        <f t="shared" si="1104"/>
        <v>EXP00407</v>
      </c>
      <c r="B12780" s="3" t="s">
        <v>66</v>
      </c>
      <c r="C12780" s="4" t="str">
        <f t="shared" si="1103"/>
        <v>TCGA-BLCA</v>
      </c>
      <c r="D12780" s="1" t="s">
        <v>493</v>
      </c>
      <c r="E12780" t="s">
        <v>516</v>
      </c>
      <c r="F12780" s="1">
        <v>2</v>
      </c>
      <c r="G12780" s="1" t="s">
        <v>32</v>
      </c>
      <c r="H12780" s="4" t="str">
        <f>HYPERLINK("https://portal.gdc.cancer.gov/cases/72d6e9aa-4a99-4fc9-a67b-4631e95fb043","TCGA-FD-A3SR-01A")</f>
        <v>TCGA-FD-A3SR-01A</v>
      </c>
      <c r="I12780" t="s">
        <v>506</v>
      </c>
      <c r="J12780" t="s">
        <v>507</v>
      </c>
      <c r="K12780" t="s">
        <v>33</v>
      </c>
      <c r="L12780" t="s">
        <v>508</v>
      </c>
      <c r="N12780" t="s">
        <v>29</v>
      </c>
    </row>
    <row r="12781" spans="1:14">
      <c r="A12781" s="4" t="str">
        <f t="shared" si="1104"/>
        <v>EXP00407</v>
      </c>
      <c r="B12781" s="3" t="s">
        <v>66</v>
      </c>
      <c r="C12781" s="4" t="str">
        <f t="shared" si="1103"/>
        <v>TCGA-BLCA</v>
      </c>
      <c r="D12781" s="1" t="s">
        <v>493</v>
      </c>
      <c r="E12781" t="s">
        <v>516</v>
      </c>
      <c r="F12781" s="1">
        <v>2</v>
      </c>
      <c r="G12781" s="1" t="s">
        <v>32</v>
      </c>
      <c r="H12781" s="4" t="str">
        <f>HYPERLINK("https://portal.gdc.cancer.gov/cases/7b98b829-fdc7-4719-bee9-c83f6154019c","TCGA-FD-A3SS-01A")</f>
        <v>TCGA-FD-A3SS-01A</v>
      </c>
      <c r="I12781" t="s">
        <v>506</v>
      </c>
      <c r="J12781" t="s">
        <v>507</v>
      </c>
      <c r="K12781" t="s">
        <v>33</v>
      </c>
      <c r="L12781" t="s">
        <v>508</v>
      </c>
      <c r="N12781" t="s">
        <v>29</v>
      </c>
    </row>
    <row r="12782" spans="1:14">
      <c r="A12782" s="4" t="str">
        <f t="shared" si="1104"/>
        <v>EXP00407</v>
      </c>
      <c r="B12782" s="3" t="s">
        <v>66</v>
      </c>
      <c r="C12782" s="4" t="str">
        <f t="shared" si="1103"/>
        <v>TCGA-BLCA</v>
      </c>
      <c r="D12782" s="1" t="s">
        <v>493</v>
      </c>
      <c r="E12782" t="s">
        <v>516</v>
      </c>
      <c r="F12782" s="1">
        <v>2</v>
      </c>
      <c r="G12782" s="1" t="s">
        <v>32</v>
      </c>
      <c r="H12782" s="4" t="str">
        <f>HYPERLINK("https://portal.gdc.cancer.gov/cases/3cccffea-bd7d-4548-bb38-fe5eda630de6","TCGA-FD-A43N-01A")</f>
        <v>TCGA-FD-A43N-01A</v>
      </c>
      <c r="I12782" t="s">
        <v>506</v>
      </c>
      <c r="J12782" t="s">
        <v>507</v>
      </c>
      <c r="K12782" t="s">
        <v>33</v>
      </c>
      <c r="L12782" t="s">
        <v>508</v>
      </c>
      <c r="N12782" t="s">
        <v>29</v>
      </c>
    </row>
    <row r="12783" spans="1:14">
      <c r="A12783" s="4" t="str">
        <f t="shared" si="1104"/>
        <v>EXP00407</v>
      </c>
      <c r="B12783" s="3" t="s">
        <v>66</v>
      </c>
      <c r="C12783" s="4" t="str">
        <f t="shared" si="1103"/>
        <v>TCGA-BLCA</v>
      </c>
      <c r="D12783" s="1" t="s">
        <v>493</v>
      </c>
      <c r="E12783" t="s">
        <v>516</v>
      </c>
      <c r="F12783" s="1">
        <v>2</v>
      </c>
      <c r="G12783" s="1" t="s">
        <v>32</v>
      </c>
      <c r="H12783" s="4" t="str">
        <f>HYPERLINK("https://portal.gdc.cancer.gov/cases/41e8c196-ef93-47c6-ad06-0031f23d4347","TCGA-FD-A43P-01A")</f>
        <v>TCGA-FD-A43P-01A</v>
      </c>
      <c r="I12783" t="s">
        <v>506</v>
      </c>
      <c r="J12783" t="s">
        <v>507</v>
      </c>
      <c r="K12783" t="s">
        <v>33</v>
      </c>
      <c r="L12783" t="s">
        <v>508</v>
      </c>
      <c r="N12783" t="s">
        <v>29</v>
      </c>
    </row>
    <row r="12784" spans="1:14">
      <c r="A12784" s="4" t="str">
        <f t="shared" si="1104"/>
        <v>EXP00407</v>
      </c>
      <c r="B12784" s="3" t="s">
        <v>66</v>
      </c>
      <c r="C12784" s="4" t="str">
        <f t="shared" si="1103"/>
        <v>TCGA-BLCA</v>
      </c>
      <c r="D12784" s="1" t="s">
        <v>493</v>
      </c>
      <c r="E12784" t="s">
        <v>516</v>
      </c>
      <c r="F12784" s="1">
        <v>2</v>
      </c>
      <c r="G12784" s="1" t="s">
        <v>32</v>
      </c>
      <c r="H12784" s="4" t="str">
        <f>HYPERLINK("https://portal.gdc.cancer.gov/cases/77236911-d9e0-4b85-829a-a98f1e4b92d2","TCGA-FD-A43S-01A")</f>
        <v>TCGA-FD-A43S-01A</v>
      </c>
      <c r="I12784" t="s">
        <v>506</v>
      </c>
      <c r="J12784" t="s">
        <v>507</v>
      </c>
      <c r="K12784" t="s">
        <v>33</v>
      </c>
      <c r="L12784" t="s">
        <v>508</v>
      </c>
      <c r="N12784" t="s">
        <v>29</v>
      </c>
    </row>
    <row r="12785" spans="1:14">
      <c r="A12785" s="4" t="str">
        <f t="shared" si="1104"/>
        <v>EXP00407</v>
      </c>
      <c r="B12785" s="3" t="s">
        <v>66</v>
      </c>
      <c r="C12785" s="4" t="str">
        <f t="shared" si="1103"/>
        <v>TCGA-BLCA</v>
      </c>
      <c r="D12785" s="1" t="s">
        <v>493</v>
      </c>
      <c r="E12785" t="s">
        <v>516</v>
      </c>
      <c r="F12785" s="1">
        <v>2</v>
      </c>
      <c r="G12785" s="1" t="s">
        <v>32</v>
      </c>
      <c r="H12785" s="4" t="str">
        <f>HYPERLINK("https://portal.gdc.cancer.gov/cases/140b83db-badd-4b8d-b0f5-0f8c8060a228","TCGA-FD-A43U-01A")</f>
        <v>TCGA-FD-A43U-01A</v>
      </c>
      <c r="I12785" t="s">
        <v>506</v>
      </c>
      <c r="J12785" t="s">
        <v>507</v>
      </c>
      <c r="K12785" t="s">
        <v>33</v>
      </c>
      <c r="L12785" t="s">
        <v>508</v>
      </c>
      <c r="N12785" t="s">
        <v>29</v>
      </c>
    </row>
    <row r="12786" spans="1:14">
      <c r="A12786" s="4" t="str">
        <f t="shared" si="1104"/>
        <v>EXP00407</v>
      </c>
      <c r="B12786" s="3" t="s">
        <v>66</v>
      </c>
      <c r="C12786" s="4" t="str">
        <f t="shared" si="1103"/>
        <v>TCGA-BLCA</v>
      </c>
      <c r="D12786" s="1" t="s">
        <v>493</v>
      </c>
      <c r="E12786" t="s">
        <v>516</v>
      </c>
      <c r="F12786" s="1">
        <v>2</v>
      </c>
      <c r="G12786" s="1" t="s">
        <v>32</v>
      </c>
      <c r="H12786" s="4" t="str">
        <f>HYPERLINK("https://portal.gdc.cancer.gov/cases/4ff4d9fe-eab8-4ab3-9ae4-9f15b2581a8f","TCGA-FD-A43X-01A")</f>
        <v>TCGA-FD-A43X-01A</v>
      </c>
      <c r="I12786" t="s">
        <v>506</v>
      </c>
      <c r="J12786" t="s">
        <v>507</v>
      </c>
      <c r="K12786" t="s">
        <v>33</v>
      </c>
      <c r="L12786" t="s">
        <v>508</v>
      </c>
      <c r="N12786" t="s">
        <v>29</v>
      </c>
    </row>
    <row r="12787" spans="1:14">
      <c r="A12787" s="4" t="str">
        <f t="shared" si="1104"/>
        <v>EXP00407</v>
      </c>
      <c r="B12787" s="3" t="s">
        <v>66</v>
      </c>
      <c r="C12787" s="4" t="str">
        <f t="shared" si="1103"/>
        <v>TCGA-BLCA</v>
      </c>
      <c r="D12787" s="1" t="s">
        <v>493</v>
      </c>
      <c r="E12787" t="s">
        <v>516</v>
      </c>
      <c r="F12787" s="1">
        <v>2</v>
      </c>
      <c r="G12787" s="1" t="s">
        <v>32</v>
      </c>
      <c r="H12787" s="4" t="str">
        <f>HYPERLINK("https://portal.gdc.cancer.gov/cases/d349fae0-dd40-4292-908c-ac86a9938240","TCGA-FD-A43Y-01A")</f>
        <v>TCGA-FD-A43Y-01A</v>
      </c>
      <c r="I12787" t="s">
        <v>506</v>
      </c>
      <c r="J12787" t="s">
        <v>507</v>
      </c>
      <c r="K12787" t="s">
        <v>33</v>
      </c>
      <c r="L12787" t="s">
        <v>508</v>
      </c>
      <c r="N12787" t="s">
        <v>29</v>
      </c>
    </row>
    <row r="12788" spans="1:14">
      <c r="A12788" s="4" t="str">
        <f t="shared" si="1104"/>
        <v>EXP00407</v>
      </c>
      <c r="B12788" s="3" t="s">
        <v>66</v>
      </c>
      <c r="C12788" s="4" t="str">
        <f t="shared" si="1103"/>
        <v>TCGA-BLCA</v>
      </c>
      <c r="D12788" s="1" t="s">
        <v>493</v>
      </c>
      <c r="E12788" t="s">
        <v>516</v>
      </c>
      <c r="F12788" s="1">
        <v>2</v>
      </c>
      <c r="G12788" s="1" t="s">
        <v>32</v>
      </c>
      <c r="H12788" s="4" t="str">
        <f>HYPERLINK("https://portal.gdc.cancer.gov/cases/dfdaebd6-e0ab-49d1-9ae9-3a57b3c318b5","TCGA-FD-A5BR-01A")</f>
        <v>TCGA-FD-A5BR-01A</v>
      </c>
      <c r="I12788" t="s">
        <v>506</v>
      </c>
      <c r="J12788" t="s">
        <v>507</v>
      </c>
      <c r="K12788" t="s">
        <v>33</v>
      </c>
      <c r="L12788" t="s">
        <v>508</v>
      </c>
      <c r="N12788" t="s">
        <v>29</v>
      </c>
    </row>
    <row r="12789" spans="1:14">
      <c r="A12789" s="4" t="str">
        <f t="shared" si="1104"/>
        <v>EXP00407</v>
      </c>
      <c r="B12789" s="3" t="s">
        <v>66</v>
      </c>
      <c r="C12789" s="4" t="str">
        <f t="shared" si="1103"/>
        <v>TCGA-BLCA</v>
      </c>
      <c r="D12789" s="1" t="s">
        <v>493</v>
      </c>
      <c r="E12789" t="s">
        <v>516</v>
      </c>
      <c r="F12789" s="1">
        <v>2</v>
      </c>
      <c r="G12789" s="1" t="s">
        <v>32</v>
      </c>
      <c r="H12789" s="4" t="str">
        <f>HYPERLINK("https://portal.gdc.cancer.gov/cases/b581e799-93d1-4f1c-bcb7-7e7ae86a869e","TCGA-FD-A5BS-01A")</f>
        <v>TCGA-FD-A5BS-01A</v>
      </c>
      <c r="I12789" t="s">
        <v>506</v>
      </c>
      <c r="J12789" t="s">
        <v>507</v>
      </c>
      <c r="K12789" t="s">
        <v>33</v>
      </c>
      <c r="L12789" t="s">
        <v>508</v>
      </c>
      <c r="N12789" t="s">
        <v>29</v>
      </c>
    </row>
    <row r="12790" spans="1:14">
      <c r="A12790" s="4" t="str">
        <f t="shared" si="1104"/>
        <v>EXP00407</v>
      </c>
      <c r="B12790" s="3" t="s">
        <v>66</v>
      </c>
      <c r="C12790" s="4" t="str">
        <f t="shared" si="1103"/>
        <v>TCGA-BLCA</v>
      </c>
      <c r="D12790" s="1" t="s">
        <v>493</v>
      </c>
      <c r="E12790" t="s">
        <v>516</v>
      </c>
      <c r="F12790" s="1">
        <v>2</v>
      </c>
      <c r="G12790" s="1" t="s">
        <v>32</v>
      </c>
      <c r="H12790" s="4" t="str">
        <f>HYPERLINK("https://portal.gdc.cancer.gov/cases/cc2350ca-9220-400d-8b76-cc36d26f68d6","TCGA-FD-A5BT-01A")</f>
        <v>TCGA-FD-A5BT-01A</v>
      </c>
      <c r="I12790" t="s">
        <v>506</v>
      </c>
      <c r="J12790" t="s">
        <v>507</v>
      </c>
      <c r="K12790" t="s">
        <v>33</v>
      </c>
      <c r="L12790" t="s">
        <v>508</v>
      </c>
      <c r="N12790" t="s">
        <v>29</v>
      </c>
    </row>
    <row r="12791" spans="1:14">
      <c r="A12791" s="4" t="str">
        <f t="shared" si="1104"/>
        <v>EXP00407</v>
      </c>
      <c r="B12791" s="3" t="s">
        <v>66</v>
      </c>
      <c r="C12791" s="4" t="str">
        <f t="shared" si="1103"/>
        <v>TCGA-BLCA</v>
      </c>
      <c r="D12791" s="1" t="s">
        <v>493</v>
      </c>
      <c r="E12791" t="s">
        <v>516</v>
      </c>
      <c r="F12791" s="1">
        <v>2</v>
      </c>
      <c r="G12791" s="1" t="s">
        <v>32</v>
      </c>
      <c r="H12791" s="4" t="str">
        <f>HYPERLINK("https://portal.gdc.cancer.gov/cases/980c7214-f708-4499-818d-f3de87dc6de7","TCGA-FD-A5BU-01A")</f>
        <v>TCGA-FD-A5BU-01A</v>
      </c>
      <c r="I12791" t="s">
        <v>506</v>
      </c>
      <c r="J12791" t="s">
        <v>507</v>
      </c>
      <c r="K12791" t="s">
        <v>33</v>
      </c>
      <c r="L12791" t="s">
        <v>508</v>
      </c>
      <c r="N12791" t="s">
        <v>29</v>
      </c>
    </row>
    <row r="12792" spans="1:14">
      <c r="A12792" s="4" t="str">
        <f t="shared" si="1104"/>
        <v>EXP00407</v>
      </c>
      <c r="B12792" s="3" t="s">
        <v>66</v>
      </c>
      <c r="C12792" s="4" t="str">
        <f t="shared" si="1103"/>
        <v>TCGA-BLCA</v>
      </c>
      <c r="D12792" s="1" t="s">
        <v>493</v>
      </c>
      <c r="E12792" t="s">
        <v>516</v>
      </c>
      <c r="F12792" s="1">
        <v>2</v>
      </c>
      <c r="G12792" s="1" t="s">
        <v>32</v>
      </c>
      <c r="H12792" s="4" t="str">
        <f>HYPERLINK("https://portal.gdc.cancer.gov/cases/4fa31971-15e2-4c9b-b49a-b3b7096262e4","TCGA-FD-A5BV-01A")</f>
        <v>TCGA-FD-A5BV-01A</v>
      </c>
      <c r="I12792" t="s">
        <v>506</v>
      </c>
      <c r="J12792" t="s">
        <v>507</v>
      </c>
      <c r="K12792" t="s">
        <v>33</v>
      </c>
      <c r="L12792" t="s">
        <v>508</v>
      </c>
      <c r="N12792" t="s">
        <v>29</v>
      </c>
    </row>
    <row r="12793" spans="1:14">
      <c r="A12793" s="4" t="str">
        <f t="shared" si="1104"/>
        <v>EXP00407</v>
      </c>
      <c r="B12793" s="3" t="s">
        <v>66</v>
      </c>
      <c r="C12793" s="4" t="str">
        <f t="shared" si="1103"/>
        <v>TCGA-BLCA</v>
      </c>
      <c r="D12793" s="1" t="s">
        <v>493</v>
      </c>
      <c r="E12793" t="s">
        <v>516</v>
      </c>
      <c r="F12793" s="1">
        <v>2</v>
      </c>
      <c r="G12793" s="1" t="s">
        <v>32</v>
      </c>
      <c r="H12793" s="4" t="str">
        <f>HYPERLINK("https://portal.gdc.cancer.gov/cases/6bd85ae2-9d27-4285-a280-4469dd2a8b0a","TCGA-FD-A5BX-01A")</f>
        <v>TCGA-FD-A5BX-01A</v>
      </c>
      <c r="I12793" t="s">
        <v>506</v>
      </c>
      <c r="J12793" t="s">
        <v>507</v>
      </c>
      <c r="K12793" t="s">
        <v>33</v>
      </c>
      <c r="L12793" t="s">
        <v>508</v>
      </c>
      <c r="N12793" t="s">
        <v>29</v>
      </c>
    </row>
    <row r="12794" spans="1:14">
      <c r="A12794" s="4" t="str">
        <f t="shared" si="1104"/>
        <v>EXP00407</v>
      </c>
      <c r="B12794" s="3" t="s">
        <v>66</v>
      </c>
      <c r="C12794" s="4" t="str">
        <f t="shared" si="1103"/>
        <v>TCGA-BLCA</v>
      </c>
      <c r="D12794" s="1" t="s">
        <v>493</v>
      </c>
      <c r="E12794" t="s">
        <v>516</v>
      </c>
      <c r="F12794" s="1">
        <v>2</v>
      </c>
      <c r="G12794" s="1" t="s">
        <v>32</v>
      </c>
      <c r="H12794" s="4" t="str">
        <f>HYPERLINK("https://portal.gdc.cancer.gov/cases/8da76432-3004-47e5-a474-bd94bd4c0b33","TCGA-FD-A5BY-01A")</f>
        <v>TCGA-FD-A5BY-01A</v>
      </c>
      <c r="I12794" t="s">
        <v>506</v>
      </c>
      <c r="J12794" t="s">
        <v>507</v>
      </c>
      <c r="K12794" t="s">
        <v>33</v>
      </c>
      <c r="L12794" t="s">
        <v>508</v>
      </c>
      <c r="N12794" t="s">
        <v>29</v>
      </c>
    </row>
    <row r="12795" spans="1:14">
      <c r="A12795" s="4" t="str">
        <f t="shared" si="1104"/>
        <v>EXP00407</v>
      </c>
      <c r="B12795" s="3" t="s">
        <v>66</v>
      </c>
      <c r="C12795" s="4" t="str">
        <f t="shared" si="1103"/>
        <v>TCGA-BLCA</v>
      </c>
      <c r="D12795" s="1" t="s">
        <v>493</v>
      </c>
      <c r="E12795" t="s">
        <v>516</v>
      </c>
      <c r="F12795" s="1">
        <v>2</v>
      </c>
      <c r="G12795" s="1" t="s">
        <v>32</v>
      </c>
      <c r="H12795" s="4" t="str">
        <f>HYPERLINK("https://portal.gdc.cancer.gov/cases/0628e443-3d7f-4a38-9d2a-ebc7f4f7e11d","TCGA-FD-A5C0-01A")</f>
        <v>TCGA-FD-A5C0-01A</v>
      </c>
      <c r="I12795" t="s">
        <v>506</v>
      </c>
      <c r="J12795" t="s">
        <v>507</v>
      </c>
      <c r="K12795" t="s">
        <v>33</v>
      </c>
      <c r="L12795" t="s">
        <v>508</v>
      </c>
      <c r="N12795" t="s">
        <v>29</v>
      </c>
    </row>
    <row r="12796" spans="1:14">
      <c r="A12796" s="4" t="str">
        <f t="shared" si="1104"/>
        <v>EXP00407</v>
      </c>
      <c r="B12796" s="3" t="s">
        <v>66</v>
      </c>
      <c r="C12796" s="4" t="str">
        <f t="shared" si="1103"/>
        <v>TCGA-BLCA</v>
      </c>
      <c r="D12796" s="1" t="s">
        <v>493</v>
      </c>
      <c r="E12796" t="s">
        <v>516</v>
      </c>
      <c r="F12796" s="1">
        <v>2</v>
      </c>
      <c r="G12796" s="1" t="s">
        <v>32</v>
      </c>
      <c r="H12796" s="4" t="str">
        <f>HYPERLINK("https://portal.gdc.cancer.gov/cases/070c66fa-ef48-46cb-af4f-357d2c641118","TCGA-FD-A5C1-01A")</f>
        <v>TCGA-FD-A5C1-01A</v>
      </c>
      <c r="I12796" t="s">
        <v>506</v>
      </c>
      <c r="J12796" t="s">
        <v>507</v>
      </c>
      <c r="K12796" t="s">
        <v>33</v>
      </c>
      <c r="L12796" t="s">
        <v>508</v>
      </c>
      <c r="N12796" t="s">
        <v>29</v>
      </c>
    </row>
    <row r="12797" spans="1:14">
      <c r="A12797" s="4" t="str">
        <f t="shared" si="1104"/>
        <v>EXP00407</v>
      </c>
      <c r="B12797" s="3" t="s">
        <v>66</v>
      </c>
      <c r="C12797" s="4" t="str">
        <f t="shared" si="1103"/>
        <v>TCGA-BLCA</v>
      </c>
      <c r="D12797" s="1" t="s">
        <v>493</v>
      </c>
      <c r="E12797" t="s">
        <v>516</v>
      </c>
      <c r="F12797" s="1">
        <v>2</v>
      </c>
      <c r="G12797" s="1" t="s">
        <v>32</v>
      </c>
      <c r="H12797" s="4" t="str">
        <f>HYPERLINK("https://portal.gdc.cancer.gov/cases/b7439edc-b7ab-407e-810a-c60864a915bf","TCGA-FD-A62N-01A")</f>
        <v>TCGA-FD-A62N-01A</v>
      </c>
      <c r="I12797" t="s">
        <v>506</v>
      </c>
      <c r="J12797" t="s">
        <v>507</v>
      </c>
      <c r="K12797" t="s">
        <v>33</v>
      </c>
      <c r="L12797" t="s">
        <v>508</v>
      </c>
      <c r="N12797" t="s">
        <v>29</v>
      </c>
    </row>
    <row r="12798" spans="1:14">
      <c r="A12798" s="4" t="str">
        <f t="shared" si="1104"/>
        <v>EXP00407</v>
      </c>
      <c r="B12798" s="3" t="s">
        <v>66</v>
      </c>
      <c r="C12798" s="4" t="str">
        <f t="shared" si="1103"/>
        <v>TCGA-BLCA</v>
      </c>
      <c r="D12798" s="1" t="s">
        <v>493</v>
      </c>
      <c r="E12798" t="s">
        <v>516</v>
      </c>
      <c r="F12798" s="1">
        <v>2</v>
      </c>
      <c r="G12798" s="1" t="s">
        <v>32</v>
      </c>
      <c r="H12798" s="4" t="str">
        <f>HYPERLINK("https://portal.gdc.cancer.gov/cases/472502eb-ad99-4a1a-8445-1a11dc02a6d9","TCGA-FD-A62O-01A")</f>
        <v>TCGA-FD-A62O-01A</v>
      </c>
      <c r="I12798" t="s">
        <v>506</v>
      </c>
      <c r="J12798" t="s">
        <v>507</v>
      </c>
      <c r="K12798" t="s">
        <v>33</v>
      </c>
      <c r="L12798" t="s">
        <v>508</v>
      </c>
      <c r="N12798" t="s">
        <v>29</v>
      </c>
    </row>
    <row r="12799" spans="1:14">
      <c r="A12799" s="4" t="str">
        <f t="shared" si="1104"/>
        <v>EXP00407</v>
      </c>
      <c r="B12799" s="3" t="s">
        <v>66</v>
      </c>
      <c r="C12799" s="4" t="str">
        <f t="shared" si="1103"/>
        <v>TCGA-BLCA</v>
      </c>
      <c r="D12799" s="1" t="s">
        <v>493</v>
      </c>
      <c r="E12799" t="s">
        <v>516</v>
      </c>
      <c r="F12799" s="1">
        <v>2</v>
      </c>
      <c r="G12799" s="1" t="s">
        <v>32</v>
      </c>
      <c r="H12799" s="4" t="str">
        <f>HYPERLINK("https://portal.gdc.cancer.gov/cases/741311b6-cb15-498f-932d-ca282e1db10d","TCGA-FD-A62P-01A")</f>
        <v>TCGA-FD-A62P-01A</v>
      </c>
      <c r="I12799" t="s">
        <v>506</v>
      </c>
      <c r="J12799" t="s">
        <v>507</v>
      </c>
      <c r="K12799" t="s">
        <v>33</v>
      </c>
      <c r="L12799" t="s">
        <v>508</v>
      </c>
      <c r="N12799" t="s">
        <v>29</v>
      </c>
    </row>
    <row r="12800" spans="1:14">
      <c r="A12800" s="4" t="str">
        <f t="shared" si="1104"/>
        <v>EXP00407</v>
      </c>
      <c r="B12800" s="3" t="s">
        <v>66</v>
      </c>
      <c r="C12800" s="4" t="str">
        <f t="shared" si="1103"/>
        <v>TCGA-BLCA</v>
      </c>
      <c r="D12800" s="1" t="s">
        <v>493</v>
      </c>
      <c r="E12800" t="s">
        <v>516</v>
      </c>
      <c r="F12800" s="1">
        <v>2</v>
      </c>
      <c r="G12800" s="1" t="s">
        <v>32</v>
      </c>
      <c r="H12800" s="4" t="str">
        <f>HYPERLINK("https://portal.gdc.cancer.gov/cases/05a1402e-5a79-4d54-9430-065844ed1505","TCGA-FD-A62S-01A")</f>
        <v>TCGA-FD-A62S-01A</v>
      </c>
      <c r="I12800" t="s">
        <v>506</v>
      </c>
      <c r="J12800" t="s">
        <v>507</v>
      </c>
      <c r="K12800" t="s">
        <v>33</v>
      </c>
      <c r="L12800" t="s">
        <v>508</v>
      </c>
      <c r="N12800" t="s">
        <v>29</v>
      </c>
    </row>
    <row r="12801" spans="1:14">
      <c r="A12801" s="4" t="str">
        <f t="shared" si="1104"/>
        <v>EXP00407</v>
      </c>
      <c r="B12801" s="3" t="s">
        <v>66</v>
      </c>
      <c r="C12801" s="4" t="str">
        <f t="shared" si="1103"/>
        <v>TCGA-BLCA</v>
      </c>
      <c r="D12801" s="1" t="s">
        <v>493</v>
      </c>
      <c r="E12801" t="s">
        <v>516</v>
      </c>
      <c r="F12801" s="1">
        <v>2</v>
      </c>
      <c r="G12801" s="1" t="s">
        <v>32</v>
      </c>
      <c r="H12801" s="4" t="str">
        <f>HYPERLINK("https://portal.gdc.cancer.gov/cases/fcda9873-3a93-40b2-913d-4df1e6a27efb","TCGA-FD-A6TA-01A")</f>
        <v>TCGA-FD-A6TA-01A</v>
      </c>
      <c r="I12801" t="s">
        <v>506</v>
      </c>
      <c r="J12801" t="s">
        <v>507</v>
      </c>
      <c r="K12801" t="s">
        <v>33</v>
      </c>
      <c r="L12801" t="s">
        <v>508</v>
      </c>
      <c r="N12801" t="s">
        <v>29</v>
      </c>
    </row>
    <row r="12802" spans="1:14">
      <c r="A12802" s="4" t="str">
        <f t="shared" si="1104"/>
        <v>EXP00407</v>
      </c>
      <c r="B12802" s="3" t="s">
        <v>66</v>
      </c>
      <c r="C12802" s="4" t="str">
        <f t="shared" si="1103"/>
        <v>TCGA-BLCA</v>
      </c>
      <c r="D12802" s="1" t="s">
        <v>493</v>
      </c>
      <c r="E12802" t="s">
        <v>516</v>
      </c>
      <c r="F12802" s="1">
        <v>2</v>
      </c>
      <c r="G12802" s="1" t="s">
        <v>32</v>
      </c>
      <c r="H12802" s="4" t="str">
        <f>HYPERLINK("https://portal.gdc.cancer.gov/cases/389d1e21-5b97-4231-a3d7-71fecb918beb","TCGA-FD-A6TB-01A")</f>
        <v>TCGA-FD-A6TB-01A</v>
      </c>
      <c r="I12802" t="s">
        <v>506</v>
      </c>
      <c r="J12802" t="s">
        <v>507</v>
      </c>
      <c r="K12802" t="s">
        <v>33</v>
      </c>
      <c r="L12802" t="s">
        <v>508</v>
      </c>
      <c r="N12802" t="s">
        <v>29</v>
      </c>
    </row>
    <row r="12803" spans="1:14">
      <c r="A12803" s="4" t="str">
        <f t="shared" si="1104"/>
        <v>EXP00407</v>
      </c>
      <c r="B12803" s="3" t="s">
        <v>66</v>
      </c>
      <c r="C12803" s="4" t="str">
        <f t="shared" si="1103"/>
        <v>TCGA-BLCA</v>
      </c>
      <c r="D12803" s="1" t="s">
        <v>493</v>
      </c>
      <c r="E12803" t="s">
        <v>516</v>
      </c>
      <c r="F12803" s="1">
        <v>2</v>
      </c>
      <c r="G12803" s="1" t="s">
        <v>32</v>
      </c>
      <c r="H12803" s="4" t="str">
        <f>HYPERLINK("https://portal.gdc.cancer.gov/cases/00d8e96f-f231-4475-9e9f-c1f8aec28e4e","TCGA-FD-A6TC-01A")</f>
        <v>TCGA-FD-A6TC-01A</v>
      </c>
      <c r="I12803" t="s">
        <v>506</v>
      </c>
      <c r="J12803" t="s">
        <v>507</v>
      </c>
      <c r="K12803" t="s">
        <v>33</v>
      </c>
      <c r="L12803" t="s">
        <v>508</v>
      </c>
      <c r="N12803" t="s">
        <v>29</v>
      </c>
    </row>
    <row r="12804" spans="1:14">
      <c r="A12804" s="4" t="str">
        <f t="shared" si="1104"/>
        <v>EXP00407</v>
      </c>
      <c r="B12804" s="3" t="s">
        <v>66</v>
      </c>
      <c r="C12804" s="4" t="str">
        <f t="shared" si="1103"/>
        <v>TCGA-BLCA</v>
      </c>
      <c r="D12804" s="1" t="s">
        <v>493</v>
      </c>
      <c r="E12804" t="s">
        <v>516</v>
      </c>
      <c r="F12804" s="1">
        <v>2</v>
      </c>
      <c r="G12804" s="1" t="s">
        <v>32</v>
      </c>
      <c r="H12804" s="4" t="str">
        <f>HYPERLINK("https://portal.gdc.cancer.gov/cases/c80e71b3-7c6c-4e16-8446-6dfda780bc18","TCGA-FD-A6TD-01A")</f>
        <v>TCGA-FD-A6TD-01A</v>
      </c>
      <c r="I12804" t="s">
        <v>506</v>
      </c>
      <c r="J12804" t="s">
        <v>507</v>
      </c>
      <c r="K12804" t="s">
        <v>33</v>
      </c>
      <c r="L12804" t="s">
        <v>508</v>
      </c>
      <c r="N12804" t="s">
        <v>29</v>
      </c>
    </row>
    <row r="12805" spans="1:14">
      <c r="A12805" s="4" t="str">
        <f t="shared" si="1104"/>
        <v>EXP00407</v>
      </c>
      <c r="B12805" s="3" t="s">
        <v>66</v>
      </c>
      <c r="C12805" s="4" t="str">
        <f t="shared" si="1103"/>
        <v>TCGA-BLCA</v>
      </c>
      <c r="D12805" s="1" t="s">
        <v>493</v>
      </c>
      <c r="E12805" t="s">
        <v>516</v>
      </c>
      <c r="F12805" s="1">
        <v>2</v>
      </c>
      <c r="G12805" s="1" t="s">
        <v>32</v>
      </c>
      <c r="H12805" s="4" t="str">
        <f>HYPERLINK("https://portal.gdc.cancer.gov/cases/5c771ee8-2aea-498d-ba8c-cdbaebfd57ac","TCGA-FD-A6TE-01A")</f>
        <v>TCGA-FD-A6TE-01A</v>
      </c>
      <c r="I12805" t="s">
        <v>506</v>
      </c>
      <c r="J12805" t="s">
        <v>507</v>
      </c>
      <c r="K12805" t="s">
        <v>33</v>
      </c>
      <c r="L12805" t="s">
        <v>508</v>
      </c>
      <c r="N12805" t="s">
        <v>29</v>
      </c>
    </row>
    <row r="12806" spans="1:14">
      <c r="A12806" s="4" t="str">
        <f t="shared" si="1104"/>
        <v>EXP00407</v>
      </c>
      <c r="B12806" s="3" t="s">
        <v>66</v>
      </c>
      <c r="C12806" s="4" t="str">
        <f t="shared" si="1103"/>
        <v>TCGA-BLCA</v>
      </c>
      <c r="D12806" s="1" t="s">
        <v>493</v>
      </c>
      <c r="E12806" t="s">
        <v>516</v>
      </c>
      <c r="F12806" s="1">
        <v>2</v>
      </c>
      <c r="G12806" s="1" t="s">
        <v>32</v>
      </c>
      <c r="H12806" s="4" t="str">
        <f>HYPERLINK("https://portal.gdc.cancer.gov/cases/6134f549-6876-4c07-8e58-49ec87eaf4c0","TCGA-FD-A6TF-01A")</f>
        <v>TCGA-FD-A6TF-01A</v>
      </c>
      <c r="I12806" t="s">
        <v>506</v>
      </c>
      <c r="J12806" t="s">
        <v>507</v>
      </c>
      <c r="K12806" t="s">
        <v>33</v>
      </c>
      <c r="L12806" t="s">
        <v>508</v>
      </c>
      <c r="N12806" t="s">
        <v>29</v>
      </c>
    </row>
    <row r="12807" spans="1:14">
      <c r="A12807" s="4" t="str">
        <f t="shared" si="1104"/>
        <v>EXP00407</v>
      </c>
      <c r="B12807" s="3" t="s">
        <v>66</v>
      </c>
      <c r="C12807" s="4" t="str">
        <f t="shared" si="1103"/>
        <v>TCGA-BLCA</v>
      </c>
      <c r="D12807" s="1" t="s">
        <v>493</v>
      </c>
      <c r="E12807" t="s">
        <v>516</v>
      </c>
      <c r="F12807" s="1">
        <v>2</v>
      </c>
      <c r="G12807" s="1" t="s">
        <v>32</v>
      </c>
      <c r="H12807" s="4" t="str">
        <f>HYPERLINK("https://portal.gdc.cancer.gov/cases/0c890030-9bdb-4247-a3d5-a004f992f99c","TCGA-FD-A6TG-01A")</f>
        <v>TCGA-FD-A6TG-01A</v>
      </c>
      <c r="I12807" t="s">
        <v>506</v>
      </c>
      <c r="J12807" t="s">
        <v>507</v>
      </c>
      <c r="K12807" t="s">
        <v>33</v>
      </c>
      <c r="L12807" t="s">
        <v>508</v>
      </c>
      <c r="N12807" t="s">
        <v>29</v>
      </c>
    </row>
    <row r="12808" spans="1:14">
      <c r="A12808" s="4" t="str">
        <f t="shared" si="1104"/>
        <v>EXP00407</v>
      </c>
      <c r="B12808" s="3" t="s">
        <v>66</v>
      </c>
      <c r="C12808" s="4" t="str">
        <f t="shared" si="1103"/>
        <v>TCGA-BLCA</v>
      </c>
      <c r="D12808" s="1" t="s">
        <v>493</v>
      </c>
      <c r="E12808" t="s">
        <v>516</v>
      </c>
      <c r="F12808" s="1">
        <v>2</v>
      </c>
      <c r="G12808" s="1" t="s">
        <v>32</v>
      </c>
      <c r="H12808" s="4" t="str">
        <f>HYPERLINK("https://portal.gdc.cancer.gov/cases/08d13748-0946-49a1-8eb3-5afd1deebc84","TCGA-FD-A6TH-01A")</f>
        <v>TCGA-FD-A6TH-01A</v>
      </c>
      <c r="I12808" t="s">
        <v>506</v>
      </c>
      <c r="J12808" t="s">
        <v>507</v>
      </c>
      <c r="K12808" t="s">
        <v>33</v>
      </c>
      <c r="L12808" t="s">
        <v>508</v>
      </c>
      <c r="N12808" t="s">
        <v>29</v>
      </c>
    </row>
    <row r="12809" spans="1:14">
      <c r="A12809" s="4" t="str">
        <f t="shared" si="1104"/>
        <v>EXP00407</v>
      </c>
      <c r="B12809" s="3" t="s">
        <v>66</v>
      </c>
      <c r="C12809" s="4" t="str">
        <f t="shared" si="1103"/>
        <v>TCGA-BLCA</v>
      </c>
      <c r="D12809" s="1" t="s">
        <v>493</v>
      </c>
      <c r="E12809" t="s">
        <v>516</v>
      </c>
      <c r="F12809" s="1">
        <v>2</v>
      </c>
      <c r="G12809" s="1" t="s">
        <v>32</v>
      </c>
      <c r="H12809" s="4" t="str">
        <f>HYPERLINK("https://portal.gdc.cancer.gov/cases/0f956645-35aa-4a68-98d3-ea589459be00","TCGA-FD-A6TI-01A")</f>
        <v>TCGA-FD-A6TI-01A</v>
      </c>
      <c r="I12809" t="s">
        <v>506</v>
      </c>
      <c r="J12809" t="s">
        <v>507</v>
      </c>
      <c r="K12809" t="s">
        <v>33</v>
      </c>
      <c r="L12809" t="s">
        <v>508</v>
      </c>
      <c r="N12809" t="s">
        <v>29</v>
      </c>
    </row>
    <row r="12810" spans="1:14">
      <c r="A12810" s="4" t="str">
        <f t="shared" si="1104"/>
        <v>EXP00407</v>
      </c>
      <c r="B12810" s="3" t="s">
        <v>66</v>
      </c>
      <c r="C12810" s="4" t="str">
        <f t="shared" si="1103"/>
        <v>TCGA-BLCA</v>
      </c>
      <c r="D12810" s="1" t="s">
        <v>493</v>
      </c>
      <c r="E12810" t="s">
        <v>516</v>
      </c>
      <c r="F12810" s="1">
        <v>2</v>
      </c>
      <c r="G12810" s="1" t="s">
        <v>32</v>
      </c>
      <c r="H12810" s="4" t="str">
        <f>HYPERLINK("https://portal.gdc.cancer.gov/cases/65295450-36cd-45a7-a4a6-2d52ee11378f","TCGA-FD-A6TK-01A")</f>
        <v>TCGA-FD-A6TK-01A</v>
      </c>
      <c r="I12810" t="s">
        <v>506</v>
      </c>
      <c r="J12810" t="s">
        <v>507</v>
      </c>
      <c r="K12810" t="s">
        <v>33</v>
      </c>
      <c r="L12810" t="s">
        <v>508</v>
      </c>
      <c r="N12810" t="s">
        <v>29</v>
      </c>
    </row>
    <row r="12811" spans="1:14">
      <c r="A12811" s="4" t="str">
        <f t="shared" si="1104"/>
        <v>EXP00407</v>
      </c>
      <c r="B12811" s="3" t="s">
        <v>66</v>
      </c>
      <c r="C12811" s="4" t="str">
        <f t="shared" si="1103"/>
        <v>TCGA-BLCA</v>
      </c>
      <c r="D12811" s="1" t="s">
        <v>493</v>
      </c>
      <c r="E12811" t="s">
        <v>516</v>
      </c>
      <c r="F12811" s="1">
        <v>2</v>
      </c>
      <c r="G12811" s="1" t="s">
        <v>32</v>
      </c>
      <c r="H12811" s="4" t="str">
        <f>HYPERLINK("https://portal.gdc.cancer.gov/cases/6b2d63f2-f390-4601-9640-f769f6e91bf4","TCGA-FJ-A3Z7-01A")</f>
        <v>TCGA-FJ-A3Z7-01A</v>
      </c>
      <c r="I12811" t="s">
        <v>506</v>
      </c>
      <c r="J12811" t="s">
        <v>507</v>
      </c>
      <c r="K12811" t="s">
        <v>33</v>
      </c>
      <c r="L12811" t="s">
        <v>508</v>
      </c>
      <c r="N12811" t="s">
        <v>29</v>
      </c>
    </row>
    <row r="12812" spans="1:14">
      <c r="A12812" s="4" t="str">
        <f t="shared" si="1104"/>
        <v>EXP00407</v>
      </c>
      <c r="B12812" s="3" t="s">
        <v>66</v>
      </c>
      <c r="C12812" s="4" t="str">
        <f t="shared" si="1103"/>
        <v>TCGA-BLCA</v>
      </c>
      <c r="D12812" s="1" t="s">
        <v>493</v>
      </c>
      <c r="E12812" t="s">
        <v>516</v>
      </c>
      <c r="F12812" s="1">
        <v>2</v>
      </c>
      <c r="G12812" s="1" t="s">
        <v>32</v>
      </c>
      <c r="H12812" s="4" t="str">
        <f>HYPERLINK("https://portal.gdc.cancer.gov/cases/72ff655f-bb08-40ed-b4c3-e9497d4da108","TCGA-FJ-A3Z9-01A")</f>
        <v>TCGA-FJ-A3Z9-01A</v>
      </c>
      <c r="I12812" t="s">
        <v>506</v>
      </c>
      <c r="J12812" t="s">
        <v>507</v>
      </c>
      <c r="K12812" t="s">
        <v>33</v>
      </c>
      <c r="L12812" t="s">
        <v>508</v>
      </c>
      <c r="N12812" t="s">
        <v>29</v>
      </c>
    </row>
    <row r="12813" spans="1:14">
      <c r="A12813" s="4" t="str">
        <f t="shared" si="1104"/>
        <v>EXP00407</v>
      </c>
      <c r="B12813" s="3" t="s">
        <v>66</v>
      </c>
      <c r="C12813" s="4" t="str">
        <f t="shared" si="1103"/>
        <v>TCGA-BLCA</v>
      </c>
      <c r="D12813" s="1" t="s">
        <v>493</v>
      </c>
      <c r="E12813" t="s">
        <v>516</v>
      </c>
      <c r="F12813" s="1">
        <v>2</v>
      </c>
      <c r="G12813" s="1" t="s">
        <v>32</v>
      </c>
      <c r="H12813" s="4" t="str">
        <f>HYPERLINK("https://portal.gdc.cancer.gov/cases/917961e2-78ad-4182-9cdb-5efb09808111","TCGA-FJ-A3ZE-01A")</f>
        <v>TCGA-FJ-A3ZE-01A</v>
      </c>
      <c r="I12813" t="s">
        <v>506</v>
      </c>
      <c r="J12813" t="s">
        <v>507</v>
      </c>
      <c r="K12813" t="s">
        <v>33</v>
      </c>
      <c r="L12813" t="s">
        <v>508</v>
      </c>
      <c r="N12813" t="s">
        <v>29</v>
      </c>
    </row>
    <row r="12814" spans="1:14">
      <c r="A12814" s="4" t="str">
        <f t="shared" si="1104"/>
        <v>EXP00407</v>
      </c>
      <c r="B12814" s="3" t="s">
        <v>66</v>
      </c>
      <c r="C12814" s="4" t="str">
        <f t="shared" si="1103"/>
        <v>TCGA-BLCA</v>
      </c>
      <c r="D12814" s="1" t="s">
        <v>493</v>
      </c>
      <c r="E12814" t="s">
        <v>516</v>
      </c>
      <c r="F12814" s="1">
        <v>2</v>
      </c>
      <c r="G12814" s="1" t="s">
        <v>32</v>
      </c>
      <c r="H12814" s="4" t="str">
        <f>HYPERLINK("https://portal.gdc.cancer.gov/cases/fae38579-5fe2-4d81-9729-39fde866d18c","TCGA-FJ-A3ZF-01A")</f>
        <v>TCGA-FJ-A3ZF-01A</v>
      </c>
      <c r="I12814" t="s">
        <v>506</v>
      </c>
      <c r="J12814" t="s">
        <v>507</v>
      </c>
      <c r="K12814" t="s">
        <v>33</v>
      </c>
      <c r="L12814" t="s">
        <v>508</v>
      </c>
      <c r="N12814" t="s">
        <v>29</v>
      </c>
    </row>
    <row r="12815" spans="1:14">
      <c r="A12815" s="4" t="str">
        <f t="shared" si="1104"/>
        <v>EXP00407</v>
      </c>
      <c r="B12815" s="3" t="s">
        <v>66</v>
      </c>
      <c r="C12815" s="4" t="str">
        <f t="shared" si="1103"/>
        <v>TCGA-BLCA</v>
      </c>
      <c r="D12815" s="1" t="s">
        <v>493</v>
      </c>
      <c r="E12815" t="s">
        <v>516</v>
      </c>
      <c r="F12815" s="1">
        <v>2</v>
      </c>
      <c r="G12815" s="1" t="s">
        <v>32</v>
      </c>
      <c r="H12815" s="4" t="str">
        <f>HYPERLINK("https://portal.gdc.cancer.gov/cases/bb38805e-2ccc-4169-ba01-34b98adf5bd0","TCGA-FJ-A871-01A")</f>
        <v>TCGA-FJ-A871-01A</v>
      </c>
      <c r="I12815" t="s">
        <v>506</v>
      </c>
      <c r="J12815" t="s">
        <v>507</v>
      </c>
      <c r="K12815" t="s">
        <v>33</v>
      </c>
      <c r="L12815" t="s">
        <v>508</v>
      </c>
      <c r="N12815" t="s">
        <v>29</v>
      </c>
    </row>
    <row r="12816" spans="1:14">
      <c r="A12816" s="4" t="str">
        <f t="shared" si="1104"/>
        <v>EXP00407</v>
      </c>
      <c r="B12816" s="3" t="s">
        <v>66</v>
      </c>
      <c r="C12816" s="4" t="str">
        <f t="shared" si="1103"/>
        <v>TCGA-BLCA</v>
      </c>
      <c r="D12816" s="1" t="s">
        <v>493</v>
      </c>
      <c r="E12816" t="s">
        <v>516</v>
      </c>
      <c r="F12816" s="1">
        <v>2</v>
      </c>
      <c r="G12816" s="1" t="s">
        <v>32</v>
      </c>
      <c r="H12816" s="4" t="str">
        <f>HYPERLINK("https://portal.gdc.cancer.gov/cases/cce62116-3dcd-400d-ada0-9839ca02466e","TCGA-FT-A3EE-01A")</f>
        <v>TCGA-FT-A3EE-01A</v>
      </c>
      <c r="I12816" t="s">
        <v>506</v>
      </c>
      <c r="J12816" t="s">
        <v>507</v>
      </c>
      <c r="K12816" t="s">
        <v>33</v>
      </c>
      <c r="L12816" t="s">
        <v>508</v>
      </c>
      <c r="N12816" t="s">
        <v>29</v>
      </c>
    </row>
    <row r="12817" spans="1:14">
      <c r="A12817" s="4" t="str">
        <f t="shared" si="1104"/>
        <v>EXP00407</v>
      </c>
      <c r="B12817" s="3" t="s">
        <v>66</v>
      </c>
      <c r="C12817" s="4" t="str">
        <f t="shared" si="1103"/>
        <v>TCGA-BLCA</v>
      </c>
      <c r="D12817" s="1" t="s">
        <v>493</v>
      </c>
      <c r="E12817" t="s">
        <v>516</v>
      </c>
      <c r="F12817" s="1">
        <v>2</v>
      </c>
      <c r="G12817" s="1" t="s">
        <v>32</v>
      </c>
      <c r="H12817" s="4" t="str">
        <f>HYPERLINK("https://portal.gdc.cancer.gov/cases/7c698a35-7694-47f0-b681-f08840b95c02","TCGA-FT-A61P-01A")</f>
        <v>TCGA-FT-A61P-01A</v>
      </c>
      <c r="I12817" t="s">
        <v>506</v>
      </c>
      <c r="J12817" t="s">
        <v>507</v>
      </c>
      <c r="K12817" t="s">
        <v>33</v>
      </c>
      <c r="L12817" t="s">
        <v>508</v>
      </c>
      <c r="N12817" t="s">
        <v>29</v>
      </c>
    </row>
    <row r="12818" spans="1:14">
      <c r="A12818" s="4" t="str">
        <f t="shared" si="1104"/>
        <v>EXP00407</v>
      </c>
      <c r="B12818" s="3" t="s">
        <v>66</v>
      </c>
      <c r="C12818" s="4" t="str">
        <f t="shared" ref="C12818:C12881" si="1105">HYPERLINK("https://portal.gdc.cancer.gov/projects/TCGA-BLCA","TCGA-BLCA")</f>
        <v>TCGA-BLCA</v>
      </c>
      <c r="D12818" s="1" t="s">
        <v>493</v>
      </c>
      <c r="E12818" t="s">
        <v>516</v>
      </c>
      <c r="F12818" s="1">
        <v>2</v>
      </c>
      <c r="G12818" s="1" t="s">
        <v>32</v>
      </c>
      <c r="H12818" s="4" t="str">
        <f>HYPERLINK("https://portal.gdc.cancer.gov/cases/28e25ffb-8b0c-4839-a735-ed7b78e3213a","TCGA-G2-A2EC-01A")</f>
        <v>TCGA-G2-A2EC-01A</v>
      </c>
      <c r="I12818" t="s">
        <v>506</v>
      </c>
      <c r="J12818" t="s">
        <v>507</v>
      </c>
      <c r="K12818" t="s">
        <v>33</v>
      </c>
      <c r="L12818" t="s">
        <v>508</v>
      </c>
      <c r="N12818" t="s">
        <v>29</v>
      </c>
    </row>
    <row r="12819" spans="1:14">
      <c r="A12819" s="4" t="str">
        <f t="shared" si="1104"/>
        <v>EXP00407</v>
      </c>
      <c r="B12819" s="3" t="s">
        <v>66</v>
      </c>
      <c r="C12819" s="4" t="str">
        <f t="shared" si="1105"/>
        <v>TCGA-BLCA</v>
      </c>
      <c r="D12819" s="1" t="s">
        <v>493</v>
      </c>
      <c r="E12819" t="s">
        <v>516</v>
      </c>
      <c r="F12819" s="1">
        <v>2</v>
      </c>
      <c r="G12819" s="1" t="s">
        <v>32</v>
      </c>
      <c r="H12819" s="4" t="str">
        <f>HYPERLINK("https://portal.gdc.cancer.gov/cases/2a142731-119c-495d-ad30-eb0b48bacb46","TCGA-G2-A2EF-01A")</f>
        <v>TCGA-G2-A2EF-01A</v>
      </c>
      <c r="I12819" t="s">
        <v>506</v>
      </c>
      <c r="J12819" t="s">
        <v>507</v>
      </c>
      <c r="K12819" t="s">
        <v>33</v>
      </c>
      <c r="L12819" t="s">
        <v>508</v>
      </c>
      <c r="N12819" t="s">
        <v>29</v>
      </c>
    </row>
    <row r="12820" spans="1:14">
      <c r="A12820" s="4" t="str">
        <f t="shared" si="1104"/>
        <v>EXP00407</v>
      </c>
      <c r="B12820" s="3" t="s">
        <v>66</v>
      </c>
      <c r="C12820" s="4" t="str">
        <f t="shared" si="1105"/>
        <v>TCGA-BLCA</v>
      </c>
      <c r="D12820" s="1" t="s">
        <v>493</v>
      </c>
      <c r="E12820" t="s">
        <v>516</v>
      </c>
      <c r="F12820" s="1">
        <v>2</v>
      </c>
      <c r="G12820" s="1" t="s">
        <v>32</v>
      </c>
      <c r="H12820" s="4" t="str">
        <f>HYPERLINK("https://portal.gdc.cancer.gov/cases/c6227d39-d9e8-4e28-9e70-d7f720ab25e4","TCGA-G2-A2EJ-01A")</f>
        <v>TCGA-G2-A2EJ-01A</v>
      </c>
      <c r="I12820" t="s">
        <v>506</v>
      </c>
      <c r="J12820" t="s">
        <v>507</v>
      </c>
      <c r="K12820" t="s">
        <v>33</v>
      </c>
      <c r="L12820" t="s">
        <v>508</v>
      </c>
      <c r="N12820" t="s">
        <v>29</v>
      </c>
    </row>
    <row r="12821" spans="1:14">
      <c r="A12821" s="4" t="str">
        <f t="shared" si="1104"/>
        <v>EXP00407</v>
      </c>
      <c r="B12821" s="3" t="s">
        <v>66</v>
      </c>
      <c r="C12821" s="4" t="str">
        <f t="shared" si="1105"/>
        <v>TCGA-BLCA</v>
      </c>
      <c r="D12821" s="1" t="s">
        <v>493</v>
      </c>
      <c r="E12821" t="s">
        <v>516</v>
      </c>
      <c r="F12821" s="1">
        <v>2</v>
      </c>
      <c r="G12821" s="1" t="s">
        <v>32</v>
      </c>
      <c r="H12821" s="4" t="str">
        <f>HYPERLINK("https://portal.gdc.cancer.gov/cases/5da1cb68-c438-4ddc-999f-90aed0c4bd7a","TCGA-G2-A2EK-01A")</f>
        <v>TCGA-G2-A2EK-01A</v>
      </c>
      <c r="I12821" t="s">
        <v>506</v>
      </c>
      <c r="J12821" t="s">
        <v>507</v>
      </c>
      <c r="K12821" t="s">
        <v>33</v>
      </c>
      <c r="L12821" t="s">
        <v>508</v>
      </c>
      <c r="N12821" t="s">
        <v>29</v>
      </c>
    </row>
    <row r="12822" spans="1:14">
      <c r="A12822" s="4" t="str">
        <f t="shared" si="1104"/>
        <v>EXP00407</v>
      </c>
      <c r="B12822" s="3" t="s">
        <v>66</v>
      </c>
      <c r="C12822" s="4" t="str">
        <f t="shared" si="1105"/>
        <v>TCGA-BLCA</v>
      </c>
      <c r="D12822" s="1" t="s">
        <v>493</v>
      </c>
      <c r="E12822" t="s">
        <v>516</v>
      </c>
      <c r="F12822" s="1">
        <v>2</v>
      </c>
      <c r="G12822" s="1" t="s">
        <v>32</v>
      </c>
      <c r="H12822" s="4" t="str">
        <f>HYPERLINK("https://portal.gdc.cancer.gov/cases/30c7445e-d0c4-4a0f-96a4-27e4259ee10b","TCGA-G2-A2EL-01A")</f>
        <v>TCGA-G2-A2EL-01A</v>
      </c>
      <c r="I12822" t="s">
        <v>506</v>
      </c>
      <c r="J12822" t="s">
        <v>507</v>
      </c>
      <c r="K12822" t="s">
        <v>33</v>
      </c>
      <c r="L12822" t="s">
        <v>508</v>
      </c>
      <c r="N12822" t="s">
        <v>29</v>
      </c>
    </row>
    <row r="12823" spans="1:14">
      <c r="A12823" s="4" t="str">
        <f t="shared" si="1104"/>
        <v>EXP00407</v>
      </c>
      <c r="B12823" s="3" t="s">
        <v>66</v>
      </c>
      <c r="C12823" s="4" t="str">
        <f t="shared" si="1105"/>
        <v>TCGA-BLCA</v>
      </c>
      <c r="D12823" s="1" t="s">
        <v>493</v>
      </c>
      <c r="E12823" t="s">
        <v>516</v>
      </c>
      <c r="F12823" s="1">
        <v>2</v>
      </c>
      <c r="G12823" s="1" t="s">
        <v>32</v>
      </c>
      <c r="H12823" s="4" t="str">
        <f>HYPERLINK("https://portal.gdc.cancer.gov/cases/98b9ad62-76ed-43e3-91bc-b8f065d79673","TCGA-G2-A2EO-01A")</f>
        <v>TCGA-G2-A2EO-01A</v>
      </c>
      <c r="I12823" t="s">
        <v>506</v>
      </c>
      <c r="J12823" t="s">
        <v>507</v>
      </c>
      <c r="K12823" t="s">
        <v>33</v>
      </c>
      <c r="L12823" t="s">
        <v>508</v>
      </c>
      <c r="N12823" t="s">
        <v>29</v>
      </c>
    </row>
    <row r="12824" spans="1:14">
      <c r="A12824" s="4" t="str">
        <f t="shared" si="1104"/>
        <v>EXP00407</v>
      </c>
      <c r="B12824" s="3" t="s">
        <v>66</v>
      </c>
      <c r="C12824" s="4" t="str">
        <f t="shared" si="1105"/>
        <v>TCGA-BLCA</v>
      </c>
      <c r="D12824" s="1" t="s">
        <v>493</v>
      </c>
      <c r="E12824" t="s">
        <v>516</v>
      </c>
      <c r="F12824" s="1">
        <v>2</v>
      </c>
      <c r="G12824" s="1" t="s">
        <v>32</v>
      </c>
      <c r="H12824" s="4" t="str">
        <f>HYPERLINK("https://portal.gdc.cancer.gov/cases/72d8eae8-9efb-45b2-acbd-82c6b5732e38","TCGA-G2-A2ES-01A")</f>
        <v>TCGA-G2-A2ES-01A</v>
      </c>
      <c r="I12824" t="s">
        <v>506</v>
      </c>
      <c r="J12824" t="s">
        <v>507</v>
      </c>
      <c r="K12824" t="s">
        <v>33</v>
      </c>
      <c r="L12824" t="s">
        <v>508</v>
      </c>
      <c r="N12824" t="s">
        <v>29</v>
      </c>
    </row>
    <row r="12825" spans="1:14">
      <c r="A12825" s="4" t="str">
        <f t="shared" si="1104"/>
        <v>EXP00407</v>
      </c>
      <c r="B12825" s="3" t="s">
        <v>66</v>
      </c>
      <c r="C12825" s="4" t="str">
        <f t="shared" si="1105"/>
        <v>TCGA-BLCA</v>
      </c>
      <c r="D12825" s="1" t="s">
        <v>493</v>
      </c>
      <c r="E12825" t="s">
        <v>516</v>
      </c>
      <c r="F12825" s="1">
        <v>2</v>
      </c>
      <c r="G12825" s="1" t="s">
        <v>32</v>
      </c>
      <c r="H12825" s="4" t="str">
        <f>HYPERLINK("https://portal.gdc.cancer.gov/cases/af53d51e-0b5c-437f-a1c0-ec5f55c49364","TCGA-G2-A3IB-01A")</f>
        <v>TCGA-G2-A3IB-01A</v>
      </c>
      <c r="I12825" t="s">
        <v>506</v>
      </c>
      <c r="J12825" t="s">
        <v>507</v>
      </c>
      <c r="K12825" t="s">
        <v>33</v>
      </c>
      <c r="L12825" t="s">
        <v>508</v>
      </c>
      <c r="N12825" t="s">
        <v>29</v>
      </c>
    </row>
    <row r="12826" spans="1:14">
      <c r="A12826" s="4" t="str">
        <f t="shared" si="1104"/>
        <v>EXP00407</v>
      </c>
      <c r="B12826" s="3" t="s">
        <v>66</v>
      </c>
      <c r="C12826" s="4" t="str">
        <f t="shared" si="1105"/>
        <v>TCGA-BLCA</v>
      </c>
      <c r="D12826" s="1" t="s">
        <v>493</v>
      </c>
      <c r="E12826" t="s">
        <v>516</v>
      </c>
      <c r="F12826" s="1">
        <v>2</v>
      </c>
      <c r="G12826" s="1" t="s">
        <v>32</v>
      </c>
      <c r="H12826" s="4" t="str">
        <f>HYPERLINK("https://portal.gdc.cancer.gov/cases/c65ba2b8-e867-42e8-bbd0-c2cdf5130cfb","TCGA-G2-A3IE-01A")</f>
        <v>TCGA-G2-A3IE-01A</v>
      </c>
      <c r="I12826" t="s">
        <v>506</v>
      </c>
      <c r="J12826" t="s">
        <v>507</v>
      </c>
      <c r="K12826" t="s">
        <v>33</v>
      </c>
      <c r="L12826" t="s">
        <v>508</v>
      </c>
      <c r="N12826" t="s">
        <v>29</v>
      </c>
    </row>
    <row r="12827" spans="1:14">
      <c r="A12827" s="4" t="str">
        <f t="shared" si="1104"/>
        <v>EXP00407</v>
      </c>
      <c r="B12827" s="3" t="s">
        <v>66</v>
      </c>
      <c r="C12827" s="4" t="str">
        <f t="shared" si="1105"/>
        <v>TCGA-BLCA</v>
      </c>
      <c r="D12827" s="1" t="s">
        <v>493</v>
      </c>
      <c r="E12827" t="s">
        <v>516</v>
      </c>
      <c r="F12827" s="1">
        <v>2</v>
      </c>
      <c r="G12827" s="1" t="s">
        <v>32</v>
      </c>
      <c r="H12827" s="4" t="str">
        <f>HYPERLINK("https://portal.gdc.cancer.gov/cases/cd50c69f-0f45-4c57-b61a-8c6b41ab4f7e","TCGA-G2-A3VY-01A")</f>
        <v>TCGA-G2-A3VY-01A</v>
      </c>
      <c r="I12827" t="s">
        <v>506</v>
      </c>
      <c r="J12827" t="s">
        <v>507</v>
      </c>
      <c r="K12827" t="s">
        <v>33</v>
      </c>
      <c r="L12827" t="s">
        <v>508</v>
      </c>
      <c r="N12827" t="s">
        <v>29</v>
      </c>
    </row>
    <row r="12828" spans="1:14">
      <c r="A12828" s="4" t="str">
        <f t="shared" si="1104"/>
        <v>EXP00407</v>
      </c>
      <c r="B12828" s="3" t="s">
        <v>66</v>
      </c>
      <c r="C12828" s="4" t="str">
        <f t="shared" si="1105"/>
        <v>TCGA-BLCA</v>
      </c>
      <c r="D12828" s="1" t="s">
        <v>493</v>
      </c>
      <c r="E12828" t="s">
        <v>516</v>
      </c>
      <c r="F12828" s="1">
        <v>2</v>
      </c>
      <c r="G12828" s="1" t="s">
        <v>32</v>
      </c>
      <c r="H12828" s="4" t="str">
        <f>HYPERLINK("https://portal.gdc.cancer.gov/cases/22424a05-0546-44c2-8ab7-abb8e49c3363","TCGA-G2-AA3B-01A")</f>
        <v>TCGA-G2-AA3B-01A</v>
      </c>
      <c r="I12828" t="s">
        <v>506</v>
      </c>
      <c r="J12828" t="s">
        <v>507</v>
      </c>
      <c r="K12828" t="s">
        <v>33</v>
      </c>
      <c r="L12828" t="s">
        <v>508</v>
      </c>
      <c r="N12828" t="s">
        <v>29</v>
      </c>
    </row>
    <row r="12829" spans="1:14">
      <c r="A12829" s="4" t="str">
        <f t="shared" si="1104"/>
        <v>EXP00407</v>
      </c>
      <c r="B12829" s="3" t="s">
        <v>66</v>
      </c>
      <c r="C12829" s="4" t="str">
        <f t="shared" si="1105"/>
        <v>TCGA-BLCA</v>
      </c>
      <c r="D12829" s="1" t="s">
        <v>493</v>
      </c>
      <c r="E12829" t="s">
        <v>516</v>
      </c>
      <c r="F12829" s="1">
        <v>2</v>
      </c>
      <c r="G12829" s="1" t="s">
        <v>32</v>
      </c>
      <c r="H12829" s="4" t="str">
        <f>HYPERLINK("https://portal.gdc.cancer.gov/cases/e1540865-69c2-4b60-a78e-97d0ce2957dc","TCGA-G2-AA3D-01A")</f>
        <v>TCGA-G2-AA3D-01A</v>
      </c>
      <c r="I12829" t="s">
        <v>506</v>
      </c>
      <c r="J12829" t="s">
        <v>507</v>
      </c>
      <c r="K12829" t="s">
        <v>33</v>
      </c>
      <c r="L12829" t="s">
        <v>508</v>
      </c>
      <c r="N12829" t="s">
        <v>29</v>
      </c>
    </row>
    <row r="12830" spans="1:14">
      <c r="A12830" s="4" t="str">
        <f t="shared" si="1104"/>
        <v>EXP00407</v>
      </c>
      <c r="B12830" s="3" t="s">
        <v>66</v>
      </c>
      <c r="C12830" s="4" t="str">
        <f t="shared" si="1105"/>
        <v>TCGA-BLCA</v>
      </c>
      <c r="D12830" s="1" t="s">
        <v>493</v>
      </c>
      <c r="E12830" t="s">
        <v>516</v>
      </c>
      <c r="F12830" s="1">
        <v>2</v>
      </c>
      <c r="G12830" s="1" t="s">
        <v>32</v>
      </c>
      <c r="H12830" s="4" t="str">
        <f>HYPERLINK("https://portal.gdc.cancer.gov/cases/9883c38f-87bf-4421-bfc0-1b1001f8159c","TCGA-G2-AA3F-01A")</f>
        <v>TCGA-G2-AA3F-01A</v>
      </c>
      <c r="I12830" t="s">
        <v>506</v>
      </c>
      <c r="J12830" t="s">
        <v>507</v>
      </c>
      <c r="K12830" t="s">
        <v>33</v>
      </c>
      <c r="L12830" t="s">
        <v>508</v>
      </c>
      <c r="N12830" t="s">
        <v>29</v>
      </c>
    </row>
    <row r="12831" spans="1:14">
      <c r="A12831" s="4" t="str">
        <f t="shared" si="1104"/>
        <v>EXP00407</v>
      </c>
      <c r="B12831" s="3" t="s">
        <v>66</v>
      </c>
      <c r="C12831" s="4" t="str">
        <f t="shared" si="1105"/>
        <v>TCGA-BLCA</v>
      </c>
      <c r="D12831" s="1" t="s">
        <v>493</v>
      </c>
      <c r="E12831" t="s">
        <v>516</v>
      </c>
      <c r="F12831" s="1">
        <v>2</v>
      </c>
      <c r="G12831" s="1" t="s">
        <v>32</v>
      </c>
      <c r="H12831" s="4" t="str">
        <f>HYPERLINK("https://portal.gdc.cancer.gov/cases/7840aea9-40c4-473e-be33-8fa0b9f332c9","TCGA-GC-A3BM-01A")</f>
        <v>TCGA-GC-A3BM-01A</v>
      </c>
      <c r="I12831" t="s">
        <v>506</v>
      </c>
      <c r="J12831" t="s">
        <v>507</v>
      </c>
      <c r="K12831" t="s">
        <v>33</v>
      </c>
      <c r="L12831" t="s">
        <v>508</v>
      </c>
      <c r="N12831" t="s">
        <v>29</v>
      </c>
    </row>
    <row r="12832" spans="1:14">
      <c r="A12832" s="4" t="str">
        <f t="shared" si="1104"/>
        <v>EXP00407</v>
      </c>
      <c r="B12832" s="3" t="s">
        <v>66</v>
      </c>
      <c r="C12832" s="4" t="str">
        <f t="shared" si="1105"/>
        <v>TCGA-BLCA</v>
      </c>
      <c r="D12832" s="1" t="s">
        <v>493</v>
      </c>
      <c r="E12832" t="s">
        <v>516</v>
      </c>
      <c r="F12832" s="1">
        <v>2</v>
      </c>
      <c r="G12832" s="1" t="s">
        <v>32</v>
      </c>
      <c r="H12832" s="4" t="str">
        <f>HYPERLINK("https://portal.gdc.cancer.gov/cases/74cbb078-9aae-422a-a7af-dd29ebca949e","TCGA-GC-A3I6-01A")</f>
        <v>TCGA-GC-A3I6-01A</v>
      </c>
      <c r="I12832" t="s">
        <v>506</v>
      </c>
      <c r="J12832" t="s">
        <v>507</v>
      </c>
      <c r="K12832" t="s">
        <v>33</v>
      </c>
      <c r="L12832" t="s">
        <v>508</v>
      </c>
      <c r="N12832" t="s">
        <v>29</v>
      </c>
    </row>
    <row r="12833" spans="1:14">
      <c r="A12833" s="4" t="str">
        <f t="shared" si="1104"/>
        <v>EXP00407</v>
      </c>
      <c r="B12833" s="3" t="s">
        <v>66</v>
      </c>
      <c r="C12833" s="4" t="str">
        <f t="shared" si="1105"/>
        <v>TCGA-BLCA</v>
      </c>
      <c r="D12833" s="1" t="s">
        <v>493</v>
      </c>
      <c r="E12833" t="s">
        <v>516</v>
      </c>
      <c r="F12833" s="1">
        <v>2</v>
      </c>
      <c r="G12833" s="1" t="s">
        <v>32</v>
      </c>
      <c r="H12833" s="4" t="str">
        <f>HYPERLINK("https://portal.gdc.cancer.gov/cases/1ff60fd9-3ca3-43be-92a8-8dba2cd4d4df","TCGA-GC-A3OO-01A")</f>
        <v>TCGA-GC-A3OO-01A</v>
      </c>
      <c r="I12833" t="s">
        <v>506</v>
      </c>
      <c r="J12833" t="s">
        <v>507</v>
      </c>
      <c r="K12833" t="s">
        <v>33</v>
      </c>
      <c r="L12833" t="s">
        <v>508</v>
      </c>
      <c r="N12833" t="s">
        <v>29</v>
      </c>
    </row>
    <row r="12834" spans="1:14">
      <c r="A12834" s="4" t="str">
        <f t="shared" si="1104"/>
        <v>EXP00407</v>
      </c>
      <c r="B12834" s="3" t="s">
        <v>66</v>
      </c>
      <c r="C12834" s="4" t="str">
        <f t="shared" si="1105"/>
        <v>TCGA-BLCA</v>
      </c>
      <c r="D12834" s="1" t="s">
        <v>493</v>
      </c>
      <c r="E12834" t="s">
        <v>516</v>
      </c>
      <c r="F12834" s="1">
        <v>2</v>
      </c>
      <c r="G12834" s="1" t="s">
        <v>32</v>
      </c>
      <c r="H12834" s="4" t="str">
        <f>HYPERLINK("https://portal.gdc.cancer.gov/cases/a0bcf1b1-4dd4-4d7f-b63e-b49296671451","TCGA-GC-A3RB-01A")</f>
        <v>TCGA-GC-A3RB-01A</v>
      </c>
      <c r="I12834" t="s">
        <v>506</v>
      </c>
      <c r="J12834" t="s">
        <v>507</v>
      </c>
      <c r="K12834" t="s">
        <v>33</v>
      </c>
      <c r="L12834" t="s">
        <v>508</v>
      </c>
      <c r="N12834" t="s">
        <v>29</v>
      </c>
    </row>
    <row r="12835" spans="1:14">
      <c r="A12835" s="4" t="str">
        <f t="shared" ref="A12835:A12898" si="1106">HYPERLINK("http://hcmdb.i-sanger.com/experiment/details/experiment_id/EXP00407","EXP00407")</f>
        <v>EXP00407</v>
      </c>
      <c r="B12835" s="3" t="s">
        <v>66</v>
      </c>
      <c r="C12835" s="4" t="str">
        <f t="shared" si="1105"/>
        <v>TCGA-BLCA</v>
      </c>
      <c r="D12835" s="1" t="s">
        <v>493</v>
      </c>
      <c r="E12835" t="s">
        <v>516</v>
      </c>
      <c r="F12835" s="1">
        <v>2</v>
      </c>
      <c r="G12835" s="1" t="s">
        <v>32</v>
      </c>
      <c r="H12835" s="4" t="str">
        <f>HYPERLINK("https://portal.gdc.cancer.gov/cases/bd7f2c90-863e-4380-ad31-8755bcb2f975","TCGA-GC-A3RC-01A")</f>
        <v>TCGA-GC-A3RC-01A</v>
      </c>
      <c r="I12835" t="s">
        <v>506</v>
      </c>
      <c r="J12835" t="s">
        <v>507</v>
      </c>
      <c r="K12835" t="s">
        <v>33</v>
      </c>
      <c r="L12835" t="s">
        <v>508</v>
      </c>
      <c r="N12835" t="s">
        <v>29</v>
      </c>
    </row>
    <row r="12836" spans="1:14">
      <c r="A12836" s="4" t="str">
        <f t="shared" si="1106"/>
        <v>EXP00407</v>
      </c>
      <c r="B12836" s="3" t="s">
        <v>66</v>
      </c>
      <c r="C12836" s="4" t="str">
        <f t="shared" si="1105"/>
        <v>TCGA-BLCA</v>
      </c>
      <c r="D12836" s="1" t="s">
        <v>493</v>
      </c>
      <c r="E12836" t="s">
        <v>516</v>
      </c>
      <c r="F12836" s="1">
        <v>2</v>
      </c>
      <c r="G12836" s="1" t="s">
        <v>32</v>
      </c>
      <c r="H12836" s="4" t="str">
        <f>HYPERLINK("https://portal.gdc.cancer.gov/cases/6a2155b3-915c-41b1-b730-32e55e0c1fbd","TCGA-GC-A3RD-01A")</f>
        <v>TCGA-GC-A3RD-01A</v>
      </c>
      <c r="I12836" t="s">
        <v>506</v>
      </c>
      <c r="J12836" t="s">
        <v>507</v>
      </c>
      <c r="K12836" t="s">
        <v>33</v>
      </c>
      <c r="L12836" t="s">
        <v>508</v>
      </c>
      <c r="N12836" t="s">
        <v>29</v>
      </c>
    </row>
    <row r="12837" spans="1:14">
      <c r="A12837" s="4" t="str">
        <f t="shared" si="1106"/>
        <v>EXP00407</v>
      </c>
      <c r="B12837" s="3" t="s">
        <v>66</v>
      </c>
      <c r="C12837" s="4" t="str">
        <f t="shared" si="1105"/>
        <v>TCGA-BLCA</v>
      </c>
      <c r="D12837" s="1" t="s">
        <v>493</v>
      </c>
      <c r="E12837" t="s">
        <v>516</v>
      </c>
      <c r="F12837" s="1">
        <v>2</v>
      </c>
      <c r="G12837" s="1" t="s">
        <v>32</v>
      </c>
      <c r="H12837" s="4" t="str">
        <f>HYPERLINK("https://portal.gdc.cancer.gov/cases/db52c68a-ed44-4ec4-9381-d75f9bcbc29a","TCGA-GC-A3WC-01A")</f>
        <v>TCGA-GC-A3WC-01A</v>
      </c>
      <c r="I12837" t="s">
        <v>506</v>
      </c>
      <c r="J12837" t="s">
        <v>507</v>
      </c>
      <c r="K12837" t="s">
        <v>33</v>
      </c>
      <c r="L12837" t="s">
        <v>508</v>
      </c>
      <c r="N12837" t="s">
        <v>29</v>
      </c>
    </row>
    <row r="12838" spans="1:14">
      <c r="A12838" s="4" t="str">
        <f t="shared" si="1106"/>
        <v>EXP00407</v>
      </c>
      <c r="B12838" s="3" t="s">
        <v>66</v>
      </c>
      <c r="C12838" s="4" t="str">
        <f t="shared" si="1105"/>
        <v>TCGA-BLCA</v>
      </c>
      <c r="D12838" s="1" t="s">
        <v>493</v>
      </c>
      <c r="E12838" t="s">
        <v>516</v>
      </c>
      <c r="F12838" s="1">
        <v>2</v>
      </c>
      <c r="G12838" s="1" t="s">
        <v>32</v>
      </c>
      <c r="H12838" s="4" t="str">
        <f>HYPERLINK("https://portal.gdc.cancer.gov/cases/4d323b18-ce5a-4516-862d-7ed1fdf1f008","TCGA-GC-A3YS-01A")</f>
        <v>TCGA-GC-A3YS-01A</v>
      </c>
      <c r="I12838" t="s">
        <v>506</v>
      </c>
      <c r="J12838" t="s">
        <v>507</v>
      </c>
      <c r="K12838" t="s">
        <v>33</v>
      </c>
      <c r="L12838" t="s">
        <v>508</v>
      </c>
      <c r="N12838" t="s">
        <v>29</v>
      </c>
    </row>
    <row r="12839" spans="1:14">
      <c r="A12839" s="4" t="str">
        <f t="shared" si="1106"/>
        <v>EXP00407</v>
      </c>
      <c r="B12839" s="3" t="s">
        <v>66</v>
      </c>
      <c r="C12839" s="4" t="str">
        <f t="shared" si="1105"/>
        <v>TCGA-BLCA</v>
      </c>
      <c r="D12839" s="1" t="s">
        <v>493</v>
      </c>
      <c r="E12839" t="s">
        <v>516</v>
      </c>
      <c r="F12839" s="1">
        <v>2</v>
      </c>
      <c r="G12839" s="1" t="s">
        <v>32</v>
      </c>
      <c r="H12839" s="4" t="str">
        <f>HYPERLINK("https://portal.gdc.cancer.gov/cases/a9e17a7d-7ff4-44e3-b8c9-b0d2f46b6cd5","TCGA-GC-A4ZW-01A")</f>
        <v>TCGA-GC-A4ZW-01A</v>
      </c>
      <c r="I12839" t="s">
        <v>506</v>
      </c>
      <c r="J12839" t="s">
        <v>507</v>
      </c>
      <c r="K12839" t="s">
        <v>33</v>
      </c>
      <c r="L12839" t="s">
        <v>508</v>
      </c>
      <c r="N12839" t="s">
        <v>29</v>
      </c>
    </row>
    <row r="12840" spans="1:14">
      <c r="A12840" s="4" t="str">
        <f t="shared" si="1106"/>
        <v>EXP00407</v>
      </c>
      <c r="B12840" s="3" t="s">
        <v>66</v>
      </c>
      <c r="C12840" s="4" t="str">
        <f t="shared" si="1105"/>
        <v>TCGA-BLCA</v>
      </c>
      <c r="D12840" s="1" t="s">
        <v>493</v>
      </c>
      <c r="E12840" t="s">
        <v>516</v>
      </c>
      <c r="F12840" s="1">
        <v>2</v>
      </c>
      <c r="G12840" s="1" t="s">
        <v>32</v>
      </c>
      <c r="H12840" s="4" t="str">
        <f>HYPERLINK("https://portal.gdc.cancer.gov/cases/54c04bcc-ebd5-461e-bbd5-b4d791b00c95","TCGA-GC-A6I1-01A")</f>
        <v>TCGA-GC-A6I1-01A</v>
      </c>
      <c r="I12840" t="s">
        <v>506</v>
      </c>
      <c r="J12840" t="s">
        <v>507</v>
      </c>
      <c r="K12840" t="s">
        <v>33</v>
      </c>
      <c r="L12840" t="s">
        <v>508</v>
      </c>
      <c r="N12840" t="s">
        <v>29</v>
      </c>
    </row>
    <row r="12841" spans="1:14">
      <c r="A12841" s="4" t="str">
        <f t="shared" si="1106"/>
        <v>EXP00407</v>
      </c>
      <c r="B12841" s="3" t="s">
        <v>66</v>
      </c>
      <c r="C12841" s="4" t="str">
        <f t="shared" si="1105"/>
        <v>TCGA-BLCA</v>
      </c>
      <c r="D12841" s="1" t="s">
        <v>493</v>
      </c>
      <c r="E12841" t="s">
        <v>516</v>
      </c>
      <c r="F12841" s="1">
        <v>2</v>
      </c>
      <c r="G12841" s="1" t="s">
        <v>32</v>
      </c>
      <c r="H12841" s="4" t="str">
        <f>HYPERLINK("https://portal.gdc.cancer.gov/cases/acf6bdf3-6349-49dc-b99a-4eda648eeac5","TCGA-GC-A6I3-01A")</f>
        <v>TCGA-GC-A6I3-01A</v>
      </c>
      <c r="I12841" t="s">
        <v>506</v>
      </c>
      <c r="J12841" t="s">
        <v>507</v>
      </c>
      <c r="K12841" t="s">
        <v>33</v>
      </c>
      <c r="L12841" t="s">
        <v>508</v>
      </c>
      <c r="N12841" t="s">
        <v>29</v>
      </c>
    </row>
    <row r="12842" spans="1:14">
      <c r="A12842" s="4" t="str">
        <f t="shared" si="1106"/>
        <v>EXP00407</v>
      </c>
      <c r="B12842" s="3" t="s">
        <v>66</v>
      </c>
      <c r="C12842" s="4" t="str">
        <f t="shared" si="1105"/>
        <v>TCGA-BLCA</v>
      </c>
      <c r="D12842" s="1" t="s">
        <v>493</v>
      </c>
      <c r="E12842" t="s">
        <v>516</v>
      </c>
      <c r="F12842" s="1">
        <v>2</v>
      </c>
      <c r="G12842" s="1" t="s">
        <v>32</v>
      </c>
      <c r="H12842" s="4" t="str">
        <f>HYPERLINK("https://portal.gdc.cancer.gov/cases/5d54c742-5a8e-4c40-8d62-95e75e210ab8","TCGA-GD-A2C5-01A")</f>
        <v>TCGA-GD-A2C5-01A</v>
      </c>
      <c r="I12842" t="s">
        <v>506</v>
      </c>
      <c r="J12842" t="s">
        <v>507</v>
      </c>
      <c r="K12842" t="s">
        <v>33</v>
      </c>
      <c r="L12842" t="s">
        <v>508</v>
      </c>
      <c r="N12842" t="s">
        <v>29</v>
      </c>
    </row>
    <row r="12843" spans="1:14">
      <c r="A12843" s="4" t="str">
        <f t="shared" si="1106"/>
        <v>EXP00407</v>
      </c>
      <c r="B12843" s="3" t="s">
        <v>66</v>
      </c>
      <c r="C12843" s="4" t="str">
        <f t="shared" si="1105"/>
        <v>TCGA-BLCA</v>
      </c>
      <c r="D12843" s="1" t="s">
        <v>493</v>
      </c>
      <c r="E12843" t="s">
        <v>516</v>
      </c>
      <c r="F12843" s="1">
        <v>2</v>
      </c>
      <c r="G12843" s="1" t="s">
        <v>32</v>
      </c>
      <c r="H12843" s="4" t="str">
        <f>HYPERLINK("https://portal.gdc.cancer.gov/cases/31da07bb-6752-49a3-a7ea-5427c04a9458","TCGA-GD-A3OP-01A")</f>
        <v>TCGA-GD-A3OP-01A</v>
      </c>
      <c r="I12843" t="s">
        <v>506</v>
      </c>
      <c r="J12843" t="s">
        <v>507</v>
      </c>
      <c r="K12843" t="s">
        <v>33</v>
      </c>
      <c r="L12843" t="s">
        <v>508</v>
      </c>
      <c r="N12843" t="s">
        <v>29</v>
      </c>
    </row>
    <row r="12844" spans="1:14">
      <c r="A12844" s="4" t="str">
        <f t="shared" si="1106"/>
        <v>EXP00407</v>
      </c>
      <c r="B12844" s="3" t="s">
        <v>66</v>
      </c>
      <c r="C12844" s="4" t="str">
        <f t="shared" si="1105"/>
        <v>TCGA-BLCA</v>
      </c>
      <c r="D12844" s="1" t="s">
        <v>493</v>
      </c>
      <c r="E12844" t="s">
        <v>516</v>
      </c>
      <c r="F12844" s="1">
        <v>2</v>
      </c>
      <c r="G12844" s="1" t="s">
        <v>32</v>
      </c>
      <c r="H12844" s="4" t="str">
        <f>HYPERLINK("https://portal.gdc.cancer.gov/cases/2e85c30c-c4c4-4096-9eef-4eb2c7d991a3","TCGA-GD-A3OQ-01A")</f>
        <v>TCGA-GD-A3OQ-01A</v>
      </c>
      <c r="I12844" t="s">
        <v>506</v>
      </c>
      <c r="J12844" t="s">
        <v>507</v>
      </c>
      <c r="K12844" t="s">
        <v>33</v>
      </c>
      <c r="L12844" t="s">
        <v>508</v>
      </c>
      <c r="N12844" t="s">
        <v>29</v>
      </c>
    </row>
    <row r="12845" spans="1:14">
      <c r="A12845" s="4" t="str">
        <f t="shared" si="1106"/>
        <v>EXP00407</v>
      </c>
      <c r="B12845" s="3" t="s">
        <v>66</v>
      </c>
      <c r="C12845" s="4" t="str">
        <f t="shared" si="1105"/>
        <v>TCGA-BLCA</v>
      </c>
      <c r="D12845" s="1" t="s">
        <v>493</v>
      </c>
      <c r="E12845" t="s">
        <v>516</v>
      </c>
      <c r="F12845" s="1">
        <v>2</v>
      </c>
      <c r="G12845" s="1" t="s">
        <v>32</v>
      </c>
      <c r="H12845" s="4" t="str">
        <f>HYPERLINK("https://portal.gdc.cancer.gov/cases/2a41b7d4-132f-4fb6-87b5-487c445379c7","TCGA-GD-A3OS-01A")</f>
        <v>TCGA-GD-A3OS-01A</v>
      </c>
      <c r="I12845" t="s">
        <v>506</v>
      </c>
      <c r="J12845" t="s">
        <v>507</v>
      </c>
      <c r="K12845" t="s">
        <v>33</v>
      </c>
      <c r="L12845" t="s">
        <v>508</v>
      </c>
      <c r="N12845" t="s">
        <v>29</v>
      </c>
    </row>
    <row r="12846" spans="1:14">
      <c r="A12846" s="4" t="str">
        <f t="shared" si="1106"/>
        <v>EXP00407</v>
      </c>
      <c r="B12846" s="3" t="s">
        <v>66</v>
      </c>
      <c r="C12846" s="4" t="str">
        <f t="shared" si="1105"/>
        <v>TCGA-BLCA</v>
      </c>
      <c r="D12846" s="1" t="s">
        <v>493</v>
      </c>
      <c r="E12846" t="s">
        <v>516</v>
      </c>
      <c r="F12846" s="1">
        <v>2</v>
      </c>
      <c r="G12846" s="1" t="s">
        <v>32</v>
      </c>
      <c r="H12846" s="4" t="str">
        <f>HYPERLINK("https://portal.gdc.cancer.gov/cases/aadcf26b-c398-489f-a86a-e8db1b5db456","TCGA-GD-A6C6-01A")</f>
        <v>TCGA-GD-A6C6-01A</v>
      </c>
      <c r="I12846" t="s">
        <v>506</v>
      </c>
      <c r="J12846" t="s">
        <v>507</v>
      </c>
      <c r="K12846" t="s">
        <v>33</v>
      </c>
      <c r="L12846" t="s">
        <v>508</v>
      </c>
      <c r="N12846" t="s">
        <v>29</v>
      </c>
    </row>
    <row r="12847" spans="1:14">
      <c r="A12847" s="4" t="str">
        <f t="shared" si="1106"/>
        <v>EXP00407</v>
      </c>
      <c r="B12847" s="3" t="s">
        <v>66</v>
      </c>
      <c r="C12847" s="4" t="str">
        <f t="shared" si="1105"/>
        <v>TCGA-BLCA</v>
      </c>
      <c r="D12847" s="1" t="s">
        <v>493</v>
      </c>
      <c r="E12847" t="s">
        <v>516</v>
      </c>
      <c r="F12847" s="1">
        <v>2</v>
      </c>
      <c r="G12847" s="1" t="s">
        <v>32</v>
      </c>
      <c r="H12847" s="4" t="str">
        <f>HYPERLINK("https://portal.gdc.cancer.gov/cases/6c1ffaf7-fdae-4ab0-8dd1-6738937357ba","TCGA-GD-A76B-01A")</f>
        <v>TCGA-GD-A76B-01A</v>
      </c>
      <c r="I12847" t="s">
        <v>506</v>
      </c>
      <c r="J12847" t="s">
        <v>507</v>
      </c>
      <c r="K12847" t="s">
        <v>33</v>
      </c>
      <c r="L12847" t="s">
        <v>508</v>
      </c>
      <c r="N12847" t="s">
        <v>29</v>
      </c>
    </row>
    <row r="12848" spans="1:14">
      <c r="A12848" s="4" t="str">
        <f t="shared" si="1106"/>
        <v>EXP00407</v>
      </c>
      <c r="B12848" s="3" t="s">
        <v>66</v>
      </c>
      <c r="C12848" s="4" t="str">
        <f t="shared" si="1105"/>
        <v>TCGA-BLCA</v>
      </c>
      <c r="D12848" s="1" t="s">
        <v>493</v>
      </c>
      <c r="E12848" t="s">
        <v>516</v>
      </c>
      <c r="F12848" s="1">
        <v>2</v>
      </c>
      <c r="G12848" s="1" t="s">
        <v>32</v>
      </c>
      <c r="H12848" s="4" t="str">
        <f>HYPERLINK("https://portal.gdc.cancer.gov/cases/ff5b9238-38a7-42b4-9d44-3b8ec9913f6d","TCGA-GU-A42P-01A")</f>
        <v>TCGA-GU-A42P-01A</v>
      </c>
      <c r="I12848" t="s">
        <v>506</v>
      </c>
      <c r="J12848" t="s">
        <v>507</v>
      </c>
      <c r="K12848" t="s">
        <v>33</v>
      </c>
      <c r="L12848" t="s">
        <v>508</v>
      </c>
      <c r="N12848" t="s">
        <v>29</v>
      </c>
    </row>
    <row r="12849" spans="1:14">
      <c r="A12849" s="4" t="str">
        <f t="shared" si="1106"/>
        <v>EXP00407</v>
      </c>
      <c r="B12849" s="3" t="s">
        <v>66</v>
      </c>
      <c r="C12849" s="4" t="str">
        <f t="shared" si="1105"/>
        <v>TCGA-BLCA</v>
      </c>
      <c r="D12849" s="1" t="s">
        <v>493</v>
      </c>
      <c r="E12849" t="s">
        <v>516</v>
      </c>
      <c r="F12849" s="1">
        <v>2</v>
      </c>
      <c r="G12849" s="1" t="s">
        <v>32</v>
      </c>
      <c r="H12849" s="4" t="str">
        <f>HYPERLINK("https://portal.gdc.cancer.gov/cases/9c46846e-7f66-4936-af97-50a7b8189d84","TCGA-GU-A42Q-01A")</f>
        <v>TCGA-GU-A42Q-01A</v>
      </c>
      <c r="I12849" t="s">
        <v>506</v>
      </c>
      <c r="J12849" t="s">
        <v>507</v>
      </c>
      <c r="K12849" t="s">
        <v>33</v>
      </c>
      <c r="L12849" t="s">
        <v>508</v>
      </c>
      <c r="N12849" t="s">
        <v>29</v>
      </c>
    </row>
    <row r="12850" spans="1:14">
      <c r="A12850" s="4" t="str">
        <f t="shared" si="1106"/>
        <v>EXP00407</v>
      </c>
      <c r="B12850" s="3" t="s">
        <v>66</v>
      </c>
      <c r="C12850" s="4" t="str">
        <f t="shared" si="1105"/>
        <v>TCGA-BLCA</v>
      </c>
      <c r="D12850" s="1" t="s">
        <v>493</v>
      </c>
      <c r="E12850" t="s">
        <v>516</v>
      </c>
      <c r="F12850" s="1">
        <v>2</v>
      </c>
      <c r="G12850" s="1" t="s">
        <v>32</v>
      </c>
      <c r="H12850" s="4" t="str">
        <f>HYPERLINK("https://portal.gdc.cancer.gov/cases/0691b8c5-6244-407c-8601-fa1bda01ff2a","TCGA-GU-A42R-01A")</f>
        <v>TCGA-GU-A42R-01A</v>
      </c>
      <c r="I12850" t="s">
        <v>506</v>
      </c>
      <c r="J12850" t="s">
        <v>507</v>
      </c>
      <c r="K12850" t="s">
        <v>33</v>
      </c>
      <c r="L12850" t="s">
        <v>508</v>
      </c>
      <c r="N12850" t="s">
        <v>29</v>
      </c>
    </row>
    <row r="12851" spans="1:14">
      <c r="A12851" s="4" t="str">
        <f t="shared" si="1106"/>
        <v>EXP00407</v>
      </c>
      <c r="B12851" s="3" t="s">
        <v>66</v>
      </c>
      <c r="C12851" s="4" t="str">
        <f t="shared" si="1105"/>
        <v>TCGA-BLCA</v>
      </c>
      <c r="D12851" s="1" t="s">
        <v>493</v>
      </c>
      <c r="E12851" t="s">
        <v>516</v>
      </c>
      <c r="F12851" s="1">
        <v>2</v>
      </c>
      <c r="G12851" s="1" t="s">
        <v>32</v>
      </c>
      <c r="H12851" s="4" t="str">
        <f>HYPERLINK("https://portal.gdc.cancer.gov/cases/6a1eee8d-cf62-47e9-9322-c18633cb3ee9","TCGA-GU-A762-01A")</f>
        <v>TCGA-GU-A762-01A</v>
      </c>
      <c r="I12851" t="s">
        <v>506</v>
      </c>
      <c r="J12851" t="s">
        <v>507</v>
      </c>
      <c r="K12851" t="s">
        <v>33</v>
      </c>
      <c r="L12851" t="s">
        <v>508</v>
      </c>
      <c r="N12851" t="s">
        <v>29</v>
      </c>
    </row>
    <row r="12852" spans="1:14">
      <c r="A12852" s="4" t="str">
        <f t="shared" si="1106"/>
        <v>EXP00407</v>
      </c>
      <c r="B12852" s="3" t="s">
        <v>66</v>
      </c>
      <c r="C12852" s="4" t="str">
        <f t="shared" si="1105"/>
        <v>TCGA-BLCA</v>
      </c>
      <c r="D12852" s="1" t="s">
        <v>493</v>
      </c>
      <c r="E12852" t="s">
        <v>516</v>
      </c>
      <c r="F12852" s="1">
        <v>2</v>
      </c>
      <c r="G12852" s="1" t="s">
        <v>32</v>
      </c>
      <c r="H12852" s="4" t="str">
        <f>HYPERLINK("https://portal.gdc.cancer.gov/cases/20ebeff1-e5a7-423a-be93-e7ebb82438ac","TCGA-GU-A764-01A")</f>
        <v>TCGA-GU-A764-01A</v>
      </c>
      <c r="I12852" t="s">
        <v>506</v>
      </c>
      <c r="J12852" t="s">
        <v>507</v>
      </c>
      <c r="K12852" t="s">
        <v>33</v>
      </c>
      <c r="L12852" t="s">
        <v>508</v>
      </c>
      <c r="N12852" t="s">
        <v>29</v>
      </c>
    </row>
    <row r="12853" spans="1:14">
      <c r="A12853" s="4" t="str">
        <f t="shared" si="1106"/>
        <v>EXP00407</v>
      </c>
      <c r="B12853" s="3" t="s">
        <v>66</v>
      </c>
      <c r="C12853" s="4" t="str">
        <f t="shared" si="1105"/>
        <v>TCGA-BLCA</v>
      </c>
      <c r="D12853" s="1" t="s">
        <v>493</v>
      </c>
      <c r="E12853" t="s">
        <v>516</v>
      </c>
      <c r="F12853" s="1">
        <v>2</v>
      </c>
      <c r="G12853" s="1" t="s">
        <v>32</v>
      </c>
      <c r="H12853" s="4" t="str">
        <f>HYPERLINK("https://portal.gdc.cancer.gov/cases/e7680a8e-1c0e-426b-abd8-d0d8e7d0e5aa","TCGA-GU-A766-01A")</f>
        <v>TCGA-GU-A766-01A</v>
      </c>
      <c r="I12853" t="s">
        <v>506</v>
      </c>
      <c r="J12853" t="s">
        <v>507</v>
      </c>
      <c r="K12853" t="s">
        <v>33</v>
      </c>
      <c r="L12853" t="s">
        <v>508</v>
      </c>
      <c r="N12853" t="s">
        <v>29</v>
      </c>
    </row>
    <row r="12854" spans="1:14">
      <c r="A12854" s="4" t="str">
        <f t="shared" si="1106"/>
        <v>EXP00407</v>
      </c>
      <c r="B12854" s="3" t="s">
        <v>66</v>
      </c>
      <c r="C12854" s="4" t="str">
        <f t="shared" si="1105"/>
        <v>TCGA-BLCA</v>
      </c>
      <c r="D12854" s="1" t="s">
        <v>493</v>
      </c>
      <c r="E12854" t="s">
        <v>516</v>
      </c>
      <c r="F12854" s="1">
        <v>2</v>
      </c>
      <c r="G12854" s="1" t="s">
        <v>32</v>
      </c>
      <c r="H12854" s="4" t="str">
        <f>HYPERLINK("https://portal.gdc.cancer.gov/cases/bfaba069-0914-46b4-927d-b5ea3a4a341f","TCGA-GU-A767-01A")</f>
        <v>TCGA-GU-A767-01A</v>
      </c>
      <c r="I12854" t="s">
        <v>506</v>
      </c>
      <c r="J12854" t="s">
        <v>507</v>
      </c>
      <c r="K12854" t="s">
        <v>33</v>
      </c>
      <c r="L12854" t="s">
        <v>508</v>
      </c>
      <c r="N12854" t="s">
        <v>29</v>
      </c>
    </row>
    <row r="12855" spans="1:14">
      <c r="A12855" s="4" t="str">
        <f t="shared" si="1106"/>
        <v>EXP00407</v>
      </c>
      <c r="B12855" s="3" t="s">
        <v>66</v>
      </c>
      <c r="C12855" s="4" t="str">
        <f t="shared" si="1105"/>
        <v>TCGA-BLCA</v>
      </c>
      <c r="D12855" s="1" t="s">
        <v>493</v>
      </c>
      <c r="E12855" t="s">
        <v>516</v>
      </c>
      <c r="F12855" s="1">
        <v>2</v>
      </c>
      <c r="G12855" s="1" t="s">
        <v>32</v>
      </c>
      <c r="H12855" s="4" t="str">
        <f>HYPERLINK("https://portal.gdc.cancer.gov/cases/cd20b968-b348-44eb-9cdb-f557af8fb468","TCGA-GU-AATO-01A")</f>
        <v>TCGA-GU-AATO-01A</v>
      </c>
      <c r="I12855" t="s">
        <v>506</v>
      </c>
      <c r="J12855" t="s">
        <v>507</v>
      </c>
      <c r="K12855" t="s">
        <v>33</v>
      </c>
      <c r="L12855" t="s">
        <v>508</v>
      </c>
      <c r="N12855" t="s">
        <v>29</v>
      </c>
    </row>
    <row r="12856" spans="1:14">
      <c r="A12856" s="4" t="str">
        <f t="shared" si="1106"/>
        <v>EXP00407</v>
      </c>
      <c r="B12856" s="3" t="s">
        <v>66</v>
      </c>
      <c r="C12856" s="4" t="str">
        <f t="shared" si="1105"/>
        <v>TCGA-BLCA</v>
      </c>
      <c r="D12856" s="1" t="s">
        <v>493</v>
      </c>
      <c r="E12856" t="s">
        <v>516</v>
      </c>
      <c r="F12856" s="1">
        <v>2</v>
      </c>
      <c r="G12856" s="1" t="s">
        <v>32</v>
      </c>
      <c r="H12856" s="4" t="str">
        <f>HYPERLINK("https://portal.gdc.cancer.gov/cases/3b16881a-88c2-4048-b78f-e3e183503f70","TCGA-GU-AATP-01A")</f>
        <v>TCGA-GU-AATP-01A</v>
      </c>
      <c r="I12856" t="s">
        <v>506</v>
      </c>
      <c r="J12856" t="s">
        <v>507</v>
      </c>
      <c r="K12856" t="s">
        <v>33</v>
      </c>
      <c r="L12856" t="s">
        <v>508</v>
      </c>
      <c r="N12856" t="s">
        <v>29</v>
      </c>
    </row>
    <row r="12857" spans="1:14">
      <c r="A12857" s="4" t="str">
        <f t="shared" si="1106"/>
        <v>EXP00407</v>
      </c>
      <c r="B12857" s="3" t="s">
        <v>66</v>
      </c>
      <c r="C12857" s="4" t="str">
        <f t="shared" si="1105"/>
        <v>TCGA-BLCA</v>
      </c>
      <c r="D12857" s="1" t="s">
        <v>493</v>
      </c>
      <c r="E12857" t="s">
        <v>516</v>
      </c>
      <c r="F12857" s="1">
        <v>2</v>
      </c>
      <c r="G12857" s="1" t="s">
        <v>32</v>
      </c>
      <c r="H12857" s="4" t="str">
        <f>HYPERLINK("https://portal.gdc.cancer.gov/cases/aff1533b-486e-40b5-a35a-cfaac5823706","TCGA-GU-AATQ-01A")</f>
        <v>TCGA-GU-AATQ-01A</v>
      </c>
      <c r="I12857" t="s">
        <v>506</v>
      </c>
      <c r="J12857" t="s">
        <v>507</v>
      </c>
      <c r="K12857" t="s">
        <v>33</v>
      </c>
      <c r="L12857" t="s">
        <v>508</v>
      </c>
      <c r="N12857" t="s">
        <v>29</v>
      </c>
    </row>
    <row r="12858" spans="1:14">
      <c r="A12858" s="4" t="str">
        <f t="shared" si="1106"/>
        <v>EXP00407</v>
      </c>
      <c r="B12858" s="3" t="s">
        <v>66</v>
      </c>
      <c r="C12858" s="4" t="str">
        <f t="shared" si="1105"/>
        <v>TCGA-BLCA</v>
      </c>
      <c r="D12858" s="1" t="s">
        <v>493</v>
      </c>
      <c r="E12858" t="s">
        <v>516</v>
      </c>
      <c r="F12858" s="1">
        <v>2</v>
      </c>
      <c r="G12858" s="1" t="s">
        <v>32</v>
      </c>
      <c r="H12858" s="4" t="str">
        <f>HYPERLINK("https://portal.gdc.cancer.gov/cases/01ee41ef-1894-4408-9e96-a22a1f068190","TCGA-GV-A3JV-01A")</f>
        <v>TCGA-GV-A3JV-01A</v>
      </c>
      <c r="I12858" t="s">
        <v>506</v>
      </c>
      <c r="J12858" t="s">
        <v>507</v>
      </c>
      <c r="K12858" t="s">
        <v>33</v>
      </c>
      <c r="L12858" t="s">
        <v>508</v>
      </c>
      <c r="N12858" t="s">
        <v>29</v>
      </c>
    </row>
    <row r="12859" spans="1:14">
      <c r="A12859" s="4" t="str">
        <f t="shared" si="1106"/>
        <v>EXP00407</v>
      </c>
      <c r="B12859" s="3" t="s">
        <v>66</v>
      </c>
      <c r="C12859" s="4" t="str">
        <f t="shared" si="1105"/>
        <v>TCGA-BLCA</v>
      </c>
      <c r="D12859" s="1" t="s">
        <v>493</v>
      </c>
      <c r="E12859" t="s">
        <v>516</v>
      </c>
      <c r="F12859" s="1">
        <v>2</v>
      </c>
      <c r="G12859" s="1" t="s">
        <v>32</v>
      </c>
      <c r="H12859" s="4" t="str">
        <f>HYPERLINK("https://portal.gdc.cancer.gov/cases/3d644eaf-82fc-4bc7-93b7-3e600e8c6511","TCGA-GV-A3JW-01A")</f>
        <v>TCGA-GV-A3JW-01A</v>
      </c>
      <c r="I12859" t="s">
        <v>506</v>
      </c>
      <c r="J12859" t="s">
        <v>507</v>
      </c>
      <c r="K12859" t="s">
        <v>33</v>
      </c>
      <c r="L12859" t="s">
        <v>508</v>
      </c>
      <c r="N12859" t="s">
        <v>29</v>
      </c>
    </row>
    <row r="12860" spans="1:14">
      <c r="A12860" s="4" t="str">
        <f t="shared" si="1106"/>
        <v>EXP00407</v>
      </c>
      <c r="B12860" s="3" t="s">
        <v>66</v>
      </c>
      <c r="C12860" s="4" t="str">
        <f t="shared" si="1105"/>
        <v>TCGA-BLCA</v>
      </c>
      <c r="D12860" s="1" t="s">
        <v>493</v>
      </c>
      <c r="E12860" t="s">
        <v>516</v>
      </c>
      <c r="F12860" s="1">
        <v>2</v>
      </c>
      <c r="G12860" s="1" t="s">
        <v>32</v>
      </c>
      <c r="H12860" s="4" t="str">
        <f>HYPERLINK("https://portal.gdc.cancer.gov/cases/d9dcbb57-f6c2-4465-8a60-afe876e113ca","TCGA-GV-A3JX-01A")</f>
        <v>TCGA-GV-A3JX-01A</v>
      </c>
      <c r="I12860" t="s">
        <v>506</v>
      </c>
      <c r="J12860" t="s">
        <v>507</v>
      </c>
      <c r="K12860" t="s">
        <v>33</v>
      </c>
      <c r="L12860" t="s">
        <v>508</v>
      </c>
      <c r="N12860" t="s">
        <v>29</v>
      </c>
    </row>
    <row r="12861" spans="1:14">
      <c r="A12861" s="4" t="str">
        <f t="shared" si="1106"/>
        <v>EXP00407</v>
      </c>
      <c r="B12861" s="3" t="s">
        <v>66</v>
      </c>
      <c r="C12861" s="4" t="str">
        <f t="shared" si="1105"/>
        <v>TCGA-BLCA</v>
      </c>
      <c r="D12861" s="1" t="s">
        <v>493</v>
      </c>
      <c r="E12861" t="s">
        <v>516</v>
      </c>
      <c r="F12861" s="1">
        <v>2</v>
      </c>
      <c r="G12861" s="1" t="s">
        <v>32</v>
      </c>
      <c r="H12861" s="4" t="str">
        <f>HYPERLINK("https://portal.gdc.cancer.gov/cases/9cc92795-7a24-4875-87f0-3efccbfcc970","TCGA-GV-A3JZ-01A")</f>
        <v>TCGA-GV-A3JZ-01A</v>
      </c>
      <c r="I12861" t="s">
        <v>506</v>
      </c>
      <c r="J12861" t="s">
        <v>507</v>
      </c>
      <c r="K12861" t="s">
        <v>33</v>
      </c>
      <c r="L12861" t="s">
        <v>508</v>
      </c>
      <c r="N12861" t="s">
        <v>29</v>
      </c>
    </row>
    <row r="12862" spans="1:14">
      <c r="A12862" s="4" t="str">
        <f t="shared" si="1106"/>
        <v>EXP00407</v>
      </c>
      <c r="B12862" s="3" t="s">
        <v>66</v>
      </c>
      <c r="C12862" s="4" t="str">
        <f t="shared" si="1105"/>
        <v>TCGA-BLCA</v>
      </c>
      <c r="D12862" s="1" t="s">
        <v>493</v>
      </c>
      <c r="E12862" t="s">
        <v>516</v>
      </c>
      <c r="F12862" s="1">
        <v>2</v>
      </c>
      <c r="G12862" s="1" t="s">
        <v>32</v>
      </c>
      <c r="H12862" s="4" t="str">
        <f>HYPERLINK("https://portal.gdc.cancer.gov/cases/47990d5e-a0e1-4752-86f5-4f5b84e219df","TCGA-GV-A3QF-01A")</f>
        <v>TCGA-GV-A3QF-01A</v>
      </c>
      <c r="I12862" t="s">
        <v>506</v>
      </c>
      <c r="J12862" t="s">
        <v>507</v>
      </c>
      <c r="K12862" t="s">
        <v>33</v>
      </c>
      <c r="L12862" t="s">
        <v>508</v>
      </c>
      <c r="N12862" t="s">
        <v>29</v>
      </c>
    </row>
    <row r="12863" spans="1:14">
      <c r="A12863" s="4" t="str">
        <f t="shared" si="1106"/>
        <v>EXP00407</v>
      </c>
      <c r="B12863" s="3" t="s">
        <v>66</v>
      </c>
      <c r="C12863" s="4" t="str">
        <f t="shared" si="1105"/>
        <v>TCGA-BLCA</v>
      </c>
      <c r="D12863" s="1" t="s">
        <v>493</v>
      </c>
      <c r="E12863" t="s">
        <v>516</v>
      </c>
      <c r="F12863" s="1">
        <v>2</v>
      </c>
      <c r="G12863" s="1" t="s">
        <v>32</v>
      </c>
      <c r="H12863" s="4" t="str">
        <f>HYPERLINK("https://portal.gdc.cancer.gov/cases/33bc6a7c-9844-41e3-96b3-1e34bb3fedd5","TCGA-GV-A3QH-01A")</f>
        <v>TCGA-GV-A3QH-01A</v>
      </c>
      <c r="I12863" t="s">
        <v>506</v>
      </c>
      <c r="J12863" t="s">
        <v>507</v>
      </c>
      <c r="K12863" t="s">
        <v>33</v>
      </c>
      <c r="L12863" t="s">
        <v>508</v>
      </c>
      <c r="N12863" t="s">
        <v>29</v>
      </c>
    </row>
    <row r="12864" spans="1:14">
      <c r="A12864" s="4" t="str">
        <f t="shared" si="1106"/>
        <v>EXP00407</v>
      </c>
      <c r="B12864" s="3" t="s">
        <v>66</v>
      </c>
      <c r="C12864" s="4" t="str">
        <f t="shared" si="1105"/>
        <v>TCGA-BLCA</v>
      </c>
      <c r="D12864" s="1" t="s">
        <v>493</v>
      </c>
      <c r="E12864" t="s">
        <v>516</v>
      </c>
      <c r="F12864" s="1">
        <v>2</v>
      </c>
      <c r="G12864" s="1" t="s">
        <v>32</v>
      </c>
      <c r="H12864" s="4" t="str">
        <f>HYPERLINK("https://portal.gdc.cancer.gov/cases/06f936e9-5a90-40d3-b91a-713f2b4e6e11","TCGA-GV-A3QI-01A")</f>
        <v>TCGA-GV-A3QI-01A</v>
      </c>
      <c r="I12864" t="s">
        <v>506</v>
      </c>
      <c r="J12864" t="s">
        <v>507</v>
      </c>
      <c r="K12864" t="s">
        <v>33</v>
      </c>
      <c r="L12864" t="s">
        <v>508</v>
      </c>
      <c r="N12864" t="s">
        <v>29</v>
      </c>
    </row>
    <row r="12865" spans="1:14">
      <c r="A12865" s="4" t="str">
        <f t="shared" si="1106"/>
        <v>EXP00407</v>
      </c>
      <c r="B12865" s="3" t="s">
        <v>66</v>
      </c>
      <c r="C12865" s="4" t="str">
        <f t="shared" si="1105"/>
        <v>TCGA-BLCA</v>
      </c>
      <c r="D12865" s="1" t="s">
        <v>493</v>
      </c>
      <c r="E12865" t="s">
        <v>516</v>
      </c>
      <c r="F12865" s="1">
        <v>2</v>
      </c>
      <c r="G12865" s="1" t="s">
        <v>32</v>
      </c>
      <c r="H12865" s="4" t="str">
        <f>HYPERLINK("https://portal.gdc.cancer.gov/cases/9ee8e704-c61d-413d-b69d-257ef829fdae","TCGA-GV-A3QK-01B")</f>
        <v>TCGA-GV-A3QK-01B</v>
      </c>
      <c r="I12865" t="s">
        <v>506</v>
      </c>
      <c r="J12865" t="s">
        <v>507</v>
      </c>
      <c r="K12865" t="s">
        <v>33</v>
      </c>
      <c r="L12865" t="s">
        <v>508</v>
      </c>
      <c r="N12865" t="s">
        <v>29</v>
      </c>
    </row>
    <row r="12866" spans="1:14">
      <c r="A12866" s="4" t="str">
        <f t="shared" si="1106"/>
        <v>EXP00407</v>
      </c>
      <c r="B12866" s="3" t="s">
        <v>66</v>
      </c>
      <c r="C12866" s="4" t="str">
        <f t="shared" si="1105"/>
        <v>TCGA-BLCA</v>
      </c>
      <c r="D12866" s="1" t="s">
        <v>493</v>
      </c>
      <c r="E12866" t="s">
        <v>516</v>
      </c>
      <c r="F12866" s="1">
        <v>2</v>
      </c>
      <c r="G12866" s="1" t="s">
        <v>32</v>
      </c>
      <c r="H12866" s="4" t="str">
        <f>HYPERLINK("https://portal.gdc.cancer.gov/cases/aa6142af-bad7-493c-98a0-fd070de39073","TCGA-GV-A40E-01A")</f>
        <v>TCGA-GV-A40E-01A</v>
      </c>
      <c r="I12866" t="s">
        <v>506</v>
      </c>
      <c r="J12866" t="s">
        <v>507</v>
      </c>
      <c r="K12866" t="s">
        <v>33</v>
      </c>
      <c r="L12866" t="s">
        <v>508</v>
      </c>
      <c r="N12866" t="s">
        <v>29</v>
      </c>
    </row>
    <row r="12867" spans="1:14">
      <c r="A12867" s="4" t="str">
        <f t="shared" si="1106"/>
        <v>EXP00407</v>
      </c>
      <c r="B12867" s="3" t="s">
        <v>66</v>
      </c>
      <c r="C12867" s="4" t="str">
        <f t="shared" si="1105"/>
        <v>TCGA-BLCA</v>
      </c>
      <c r="D12867" s="1" t="s">
        <v>493</v>
      </c>
      <c r="E12867" t="s">
        <v>516</v>
      </c>
      <c r="F12867" s="1">
        <v>2</v>
      </c>
      <c r="G12867" s="1" t="s">
        <v>32</v>
      </c>
      <c r="H12867" s="4" t="str">
        <f>HYPERLINK("https://portal.gdc.cancer.gov/cases/10422fe9-8d70-40a9-9875-3fe9fab68823","TCGA-GV-A40G-01A")</f>
        <v>TCGA-GV-A40G-01A</v>
      </c>
      <c r="I12867" t="s">
        <v>506</v>
      </c>
      <c r="J12867" t="s">
        <v>507</v>
      </c>
      <c r="K12867" t="s">
        <v>33</v>
      </c>
      <c r="L12867" t="s">
        <v>508</v>
      </c>
      <c r="N12867" t="s">
        <v>29</v>
      </c>
    </row>
    <row r="12868" spans="1:14">
      <c r="A12868" s="4" t="str">
        <f t="shared" si="1106"/>
        <v>EXP00407</v>
      </c>
      <c r="B12868" s="3" t="s">
        <v>66</v>
      </c>
      <c r="C12868" s="4" t="str">
        <f t="shared" si="1105"/>
        <v>TCGA-BLCA</v>
      </c>
      <c r="D12868" s="1" t="s">
        <v>493</v>
      </c>
      <c r="E12868" t="s">
        <v>516</v>
      </c>
      <c r="F12868" s="1">
        <v>2</v>
      </c>
      <c r="G12868" s="1" t="s">
        <v>32</v>
      </c>
      <c r="H12868" s="4" t="str">
        <f>HYPERLINK("https://portal.gdc.cancer.gov/cases/f5c187ef-dc08-4466-932a-43aa33285673","TCGA-GV-A6ZA-01A")</f>
        <v>TCGA-GV-A6ZA-01A</v>
      </c>
      <c r="I12868" t="s">
        <v>506</v>
      </c>
      <c r="J12868" t="s">
        <v>507</v>
      </c>
      <c r="K12868" t="s">
        <v>33</v>
      </c>
      <c r="L12868" t="s">
        <v>508</v>
      </c>
      <c r="N12868" t="s">
        <v>29</v>
      </c>
    </row>
    <row r="12869" spans="1:14">
      <c r="A12869" s="4" t="str">
        <f t="shared" si="1106"/>
        <v>EXP00407</v>
      </c>
      <c r="B12869" s="3" t="s">
        <v>66</v>
      </c>
      <c r="C12869" s="4" t="str">
        <f t="shared" si="1105"/>
        <v>TCGA-BLCA</v>
      </c>
      <c r="D12869" s="1" t="s">
        <v>493</v>
      </c>
      <c r="E12869" t="s">
        <v>516</v>
      </c>
      <c r="F12869" s="1">
        <v>2</v>
      </c>
      <c r="G12869" s="1" t="s">
        <v>32</v>
      </c>
      <c r="H12869" s="4" t="str">
        <f>HYPERLINK("https://portal.gdc.cancer.gov/cases/86d1e388-b30f-48fd-9647-3848eb6134f1","TCGA-H4-A2HO-01A")</f>
        <v>TCGA-H4-A2HO-01A</v>
      </c>
      <c r="I12869" t="s">
        <v>506</v>
      </c>
      <c r="J12869" t="s">
        <v>507</v>
      </c>
      <c r="K12869" t="s">
        <v>33</v>
      </c>
      <c r="L12869" t="s">
        <v>508</v>
      </c>
      <c r="N12869" t="s">
        <v>29</v>
      </c>
    </row>
    <row r="12870" spans="1:14">
      <c r="A12870" s="4" t="str">
        <f t="shared" si="1106"/>
        <v>EXP00407</v>
      </c>
      <c r="B12870" s="3" t="s">
        <v>66</v>
      </c>
      <c r="C12870" s="4" t="str">
        <f t="shared" si="1105"/>
        <v>TCGA-BLCA</v>
      </c>
      <c r="D12870" s="1" t="s">
        <v>493</v>
      </c>
      <c r="E12870" t="s">
        <v>516</v>
      </c>
      <c r="F12870" s="1">
        <v>2</v>
      </c>
      <c r="G12870" s="1" t="s">
        <v>32</v>
      </c>
      <c r="H12870" s="4" t="str">
        <f>HYPERLINK("https://portal.gdc.cancer.gov/cases/cede5274-279d-4021-8aca-5ecc4bf94d66","TCGA-H4-A2HQ-01A")</f>
        <v>TCGA-H4-A2HQ-01A</v>
      </c>
      <c r="I12870" t="s">
        <v>506</v>
      </c>
      <c r="J12870" t="s">
        <v>507</v>
      </c>
      <c r="K12870" t="s">
        <v>33</v>
      </c>
      <c r="L12870" t="s">
        <v>508</v>
      </c>
      <c r="N12870" t="s">
        <v>29</v>
      </c>
    </row>
    <row r="12871" spans="1:14">
      <c r="A12871" s="4" t="str">
        <f t="shared" si="1106"/>
        <v>EXP00407</v>
      </c>
      <c r="B12871" s="3" t="s">
        <v>66</v>
      </c>
      <c r="C12871" s="4" t="str">
        <f t="shared" si="1105"/>
        <v>TCGA-BLCA</v>
      </c>
      <c r="D12871" s="1" t="s">
        <v>493</v>
      </c>
      <c r="E12871" t="s">
        <v>516</v>
      </c>
      <c r="F12871" s="1">
        <v>2</v>
      </c>
      <c r="G12871" s="1" t="s">
        <v>32</v>
      </c>
      <c r="H12871" s="4" t="str">
        <f>HYPERLINK("https://portal.gdc.cancer.gov/cases/353c5fcc-9c6a-4ac6-99dc-fb4573b2ae6c","TCGA-HQ-A2OE-01A")</f>
        <v>TCGA-HQ-A2OE-01A</v>
      </c>
      <c r="I12871" t="s">
        <v>506</v>
      </c>
      <c r="J12871" t="s">
        <v>507</v>
      </c>
      <c r="K12871" t="s">
        <v>33</v>
      </c>
      <c r="L12871" t="s">
        <v>508</v>
      </c>
      <c r="N12871" t="s">
        <v>29</v>
      </c>
    </row>
    <row r="12872" spans="1:14">
      <c r="A12872" s="4" t="str">
        <f t="shared" si="1106"/>
        <v>EXP00407</v>
      </c>
      <c r="B12872" s="3" t="s">
        <v>66</v>
      </c>
      <c r="C12872" s="4" t="str">
        <f t="shared" si="1105"/>
        <v>TCGA-BLCA</v>
      </c>
      <c r="D12872" s="1" t="s">
        <v>493</v>
      </c>
      <c r="E12872" t="s">
        <v>516</v>
      </c>
      <c r="F12872" s="1">
        <v>2</v>
      </c>
      <c r="G12872" s="1" t="s">
        <v>32</v>
      </c>
      <c r="H12872" s="4" t="str">
        <f>HYPERLINK("https://portal.gdc.cancer.gov/cases/691adaa9-196a-4b62-9437-640c4ae6e2b2","TCGA-HQ-A2OF-01A")</f>
        <v>TCGA-HQ-A2OF-01A</v>
      </c>
      <c r="I12872" t="s">
        <v>506</v>
      </c>
      <c r="J12872" t="s">
        <v>507</v>
      </c>
      <c r="K12872" t="s">
        <v>33</v>
      </c>
      <c r="L12872" t="s">
        <v>508</v>
      </c>
      <c r="N12872" t="s">
        <v>29</v>
      </c>
    </row>
    <row r="12873" spans="1:14">
      <c r="A12873" s="4" t="str">
        <f t="shared" si="1106"/>
        <v>EXP00407</v>
      </c>
      <c r="B12873" s="3" t="s">
        <v>66</v>
      </c>
      <c r="C12873" s="4" t="str">
        <f t="shared" si="1105"/>
        <v>TCGA-BLCA</v>
      </c>
      <c r="D12873" s="1" t="s">
        <v>493</v>
      </c>
      <c r="E12873" t="s">
        <v>516</v>
      </c>
      <c r="F12873" s="1">
        <v>2</v>
      </c>
      <c r="G12873" s="1" t="s">
        <v>32</v>
      </c>
      <c r="H12873" s="4" t="str">
        <f>HYPERLINK("https://portal.gdc.cancer.gov/cases/e053a911-2202-4c1f-bc93-904e26564e79","TCGA-HQ-A5NE-01A")</f>
        <v>TCGA-HQ-A5NE-01A</v>
      </c>
      <c r="I12873" t="s">
        <v>506</v>
      </c>
      <c r="J12873" t="s">
        <v>507</v>
      </c>
      <c r="K12873" t="s">
        <v>33</v>
      </c>
      <c r="L12873" t="s">
        <v>508</v>
      </c>
      <c r="N12873" t="s">
        <v>29</v>
      </c>
    </row>
    <row r="12874" spans="1:14">
      <c r="A12874" s="4" t="str">
        <f t="shared" si="1106"/>
        <v>EXP00407</v>
      </c>
      <c r="B12874" s="3" t="s">
        <v>66</v>
      </c>
      <c r="C12874" s="4" t="str">
        <f t="shared" si="1105"/>
        <v>TCGA-BLCA</v>
      </c>
      <c r="D12874" s="1" t="s">
        <v>493</v>
      </c>
      <c r="E12874" t="s">
        <v>516</v>
      </c>
      <c r="F12874" s="1">
        <v>2</v>
      </c>
      <c r="G12874" s="1" t="s">
        <v>32</v>
      </c>
      <c r="H12874" s="4" t="str">
        <f>HYPERLINK("https://portal.gdc.cancer.gov/cases/68adacd1-a16e-4489-9e68-792a6bd8811c","TCGA-K4-A3WS-01A")</f>
        <v>TCGA-K4-A3WS-01A</v>
      </c>
      <c r="I12874" t="s">
        <v>506</v>
      </c>
      <c r="J12874" t="s">
        <v>507</v>
      </c>
      <c r="K12874" t="s">
        <v>33</v>
      </c>
      <c r="L12874" t="s">
        <v>508</v>
      </c>
      <c r="N12874" t="s">
        <v>29</v>
      </c>
    </row>
    <row r="12875" spans="1:14">
      <c r="A12875" s="4" t="str">
        <f t="shared" si="1106"/>
        <v>EXP00407</v>
      </c>
      <c r="B12875" s="3" t="s">
        <v>66</v>
      </c>
      <c r="C12875" s="4" t="str">
        <f t="shared" si="1105"/>
        <v>TCGA-BLCA</v>
      </c>
      <c r="D12875" s="1" t="s">
        <v>493</v>
      </c>
      <c r="E12875" t="s">
        <v>516</v>
      </c>
      <c r="F12875" s="1">
        <v>2</v>
      </c>
      <c r="G12875" s="1" t="s">
        <v>32</v>
      </c>
      <c r="H12875" s="4" t="str">
        <f>HYPERLINK("https://portal.gdc.cancer.gov/cases/9aa6522a-120a-4691-993e-3f8534f644b5","TCGA-K4-A3WU-01B")</f>
        <v>TCGA-K4-A3WU-01B</v>
      </c>
      <c r="I12875" t="s">
        <v>506</v>
      </c>
      <c r="J12875" t="s">
        <v>507</v>
      </c>
      <c r="K12875" t="s">
        <v>33</v>
      </c>
      <c r="L12875" t="s">
        <v>508</v>
      </c>
      <c r="N12875" t="s">
        <v>29</v>
      </c>
    </row>
    <row r="12876" spans="1:14">
      <c r="A12876" s="4" t="str">
        <f t="shared" si="1106"/>
        <v>EXP00407</v>
      </c>
      <c r="B12876" s="3" t="s">
        <v>66</v>
      </c>
      <c r="C12876" s="4" t="str">
        <f t="shared" si="1105"/>
        <v>TCGA-BLCA</v>
      </c>
      <c r="D12876" s="1" t="s">
        <v>493</v>
      </c>
      <c r="E12876" t="s">
        <v>516</v>
      </c>
      <c r="F12876" s="1">
        <v>2</v>
      </c>
      <c r="G12876" s="1" t="s">
        <v>32</v>
      </c>
      <c r="H12876" s="4" t="str">
        <f>HYPERLINK("https://portal.gdc.cancer.gov/cases/d53eade8-a845-4252-aece-92f3573486a7","TCGA-K4-A3WV-01A")</f>
        <v>TCGA-K4-A3WV-01A</v>
      </c>
      <c r="I12876" t="s">
        <v>506</v>
      </c>
      <c r="J12876" t="s">
        <v>507</v>
      </c>
      <c r="K12876" t="s">
        <v>33</v>
      </c>
      <c r="L12876" t="s">
        <v>508</v>
      </c>
      <c r="N12876" t="s">
        <v>29</v>
      </c>
    </row>
    <row r="12877" spans="1:14">
      <c r="A12877" s="4" t="str">
        <f t="shared" si="1106"/>
        <v>EXP00407</v>
      </c>
      <c r="B12877" s="3" t="s">
        <v>66</v>
      </c>
      <c r="C12877" s="4" t="str">
        <f t="shared" si="1105"/>
        <v>TCGA-BLCA</v>
      </c>
      <c r="D12877" s="1" t="s">
        <v>493</v>
      </c>
      <c r="E12877" t="s">
        <v>516</v>
      </c>
      <c r="F12877" s="1">
        <v>2</v>
      </c>
      <c r="G12877" s="1" t="s">
        <v>32</v>
      </c>
      <c r="H12877" s="4" t="str">
        <f>HYPERLINK("https://portal.gdc.cancer.gov/cases/8b7556ed-2dab-4180-af5b-0e113e26b36e","TCGA-K4-A4AB-01B")</f>
        <v>TCGA-K4-A4AB-01B</v>
      </c>
      <c r="I12877" t="s">
        <v>506</v>
      </c>
      <c r="J12877" t="s">
        <v>507</v>
      </c>
      <c r="K12877" t="s">
        <v>33</v>
      </c>
      <c r="L12877" t="s">
        <v>508</v>
      </c>
      <c r="N12877" t="s">
        <v>29</v>
      </c>
    </row>
    <row r="12878" spans="1:14">
      <c r="A12878" s="4" t="str">
        <f t="shared" si="1106"/>
        <v>EXP00407</v>
      </c>
      <c r="B12878" s="3" t="s">
        <v>66</v>
      </c>
      <c r="C12878" s="4" t="str">
        <f t="shared" si="1105"/>
        <v>TCGA-BLCA</v>
      </c>
      <c r="D12878" s="1" t="s">
        <v>493</v>
      </c>
      <c r="E12878" t="s">
        <v>516</v>
      </c>
      <c r="F12878" s="1">
        <v>2</v>
      </c>
      <c r="G12878" s="1" t="s">
        <v>32</v>
      </c>
      <c r="H12878" s="4" t="str">
        <f>HYPERLINK("https://portal.gdc.cancer.gov/cases/2088ac24-a8b4-49af-a954-2b78b88a6f66","TCGA-K4-A4AC-01A")</f>
        <v>TCGA-K4-A4AC-01A</v>
      </c>
      <c r="I12878" t="s">
        <v>506</v>
      </c>
      <c r="J12878" t="s">
        <v>507</v>
      </c>
      <c r="K12878" t="s">
        <v>33</v>
      </c>
      <c r="L12878" t="s">
        <v>508</v>
      </c>
      <c r="N12878" t="s">
        <v>29</v>
      </c>
    </row>
    <row r="12879" spans="1:14">
      <c r="A12879" s="4" t="str">
        <f t="shared" si="1106"/>
        <v>EXP00407</v>
      </c>
      <c r="B12879" s="3" t="s">
        <v>66</v>
      </c>
      <c r="C12879" s="4" t="str">
        <f t="shared" si="1105"/>
        <v>TCGA-BLCA</v>
      </c>
      <c r="D12879" s="1" t="s">
        <v>493</v>
      </c>
      <c r="E12879" t="s">
        <v>516</v>
      </c>
      <c r="F12879" s="1">
        <v>2</v>
      </c>
      <c r="G12879" s="1" t="s">
        <v>32</v>
      </c>
      <c r="H12879" s="4" t="str">
        <f>HYPERLINK("https://portal.gdc.cancer.gov/cases/52fddd92-fa5e-4fac-8e44-e64c98c84f86","TCGA-K4-A54R-01A")</f>
        <v>TCGA-K4-A54R-01A</v>
      </c>
      <c r="I12879" t="s">
        <v>506</v>
      </c>
      <c r="J12879" t="s">
        <v>507</v>
      </c>
      <c r="K12879" t="s">
        <v>33</v>
      </c>
      <c r="L12879" t="s">
        <v>508</v>
      </c>
      <c r="N12879" t="s">
        <v>29</v>
      </c>
    </row>
    <row r="12880" spans="1:14">
      <c r="A12880" s="4" t="str">
        <f t="shared" si="1106"/>
        <v>EXP00407</v>
      </c>
      <c r="B12880" s="3" t="s">
        <v>66</v>
      </c>
      <c r="C12880" s="4" t="str">
        <f t="shared" si="1105"/>
        <v>TCGA-BLCA</v>
      </c>
      <c r="D12880" s="1" t="s">
        <v>493</v>
      </c>
      <c r="E12880" t="s">
        <v>516</v>
      </c>
      <c r="F12880" s="1">
        <v>2</v>
      </c>
      <c r="G12880" s="1" t="s">
        <v>32</v>
      </c>
      <c r="H12880" s="4" t="str">
        <f>HYPERLINK("https://portal.gdc.cancer.gov/cases/32efe5e2-e037-4547-8ead-619f61647639","TCGA-K4-A5RI-01A")</f>
        <v>TCGA-K4-A5RI-01A</v>
      </c>
      <c r="I12880" t="s">
        <v>506</v>
      </c>
      <c r="J12880" t="s">
        <v>507</v>
      </c>
      <c r="K12880" t="s">
        <v>33</v>
      </c>
      <c r="L12880" t="s">
        <v>508</v>
      </c>
      <c r="N12880" t="s">
        <v>29</v>
      </c>
    </row>
    <row r="12881" spans="1:14">
      <c r="A12881" s="4" t="str">
        <f t="shared" si="1106"/>
        <v>EXP00407</v>
      </c>
      <c r="B12881" s="3" t="s">
        <v>66</v>
      </c>
      <c r="C12881" s="4" t="str">
        <f t="shared" si="1105"/>
        <v>TCGA-BLCA</v>
      </c>
      <c r="D12881" s="1" t="s">
        <v>493</v>
      </c>
      <c r="E12881" t="s">
        <v>516</v>
      </c>
      <c r="F12881" s="1">
        <v>2</v>
      </c>
      <c r="G12881" s="1" t="s">
        <v>32</v>
      </c>
      <c r="H12881" s="4" t="str">
        <f>HYPERLINK("https://portal.gdc.cancer.gov/cases/5a25658c-2436-4a47-8902-8a2cf4a1c20d","TCGA-K4-A5RJ-01A")</f>
        <v>TCGA-K4-A5RJ-01A</v>
      </c>
      <c r="I12881" t="s">
        <v>506</v>
      </c>
      <c r="J12881" t="s">
        <v>507</v>
      </c>
      <c r="K12881" t="s">
        <v>33</v>
      </c>
      <c r="L12881" t="s">
        <v>508</v>
      </c>
      <c r="N12881" t="s">
        <v>29</v>
      </c>
    </row>
    <row r="12882" spans="1:14">
      <c r="A12882" s="4" t="str">
        <f t="shared" si="1106"/>
        <v>EXP00407</v>
      </c>
      <c r="B12882" s="3" t="s">
        <v>66</v>
      </c>
      <c r="C12882" s="4" t="str">
        <f t="shared" ref="C12882:C12945" si="1107">HYPERLINK("https://portal.gdc.cancer.gov/projects/TCGA-BLCA","TCGA-BLCA")</f>
        <v>TCGA-BLCA</v>
      </c>
      <c r="D12882" s="1" t="s">
        <v>493</v>
      </c>
      <c r="E12882" t="s">
        <v>516</v>
      </c>
      <c r="F12882" s="1">
        <v>2</v>
      </c>
      <c r="G12882" s="1" t="s">
        <v>32</v>
      </c>
      <c r="H12882" s="4" t="str">
        <f>HYPERLINK("https://portal.gdc.cancer.gov/cases/610811d5-e45e-4a4f-bdc1-8d700efd6e43","TCGA-K4-A6FZ-01A")</f>
        <v>TCGA-K4-A6FZ-01A</v>
      </c>
      <c r="I12882" t="s">
        <v>506</v>
      </c>
      <c r="J12882" t="s">
        <v>507</v>
      </c>
      <c r="K12882" t="s">
        <v>33</v>
      </c>
      <c r="L12882" t="s">
        <v>508</v>
      </c>
      <c r="N12882" t="s">
        <v>29</v>
      </c>
    </row>
    <row r="12883" spans="1:14">
      <c r="A12883" s="4" t="str">
        <f t="shared" si="1106"/>
        <v>EXP00407</v>
      </c>
      <c r="B12883" s="3" t="s">
        <v>66</v>
      </c>
      <c r="C12883" s="4" t="str">
        <f t="shared" si="1107"/>
        <v>TCGA-BLCA</v>
      </c>
      <c r="D12883" s="1" t="s">
        <v>493</v>
      </c>
      <c r="E12883" t="s">
        <v>516</v>
      </c>
      <c r="F12883" s="1">
        <v>2</v>
      </c>
      <c r="G12883" s="1" t="s">
        <v>32</v>
      </c>
      <c r="H12883" s="4" t="str">
        <f>HYPERLINK("https://portal.gdc.cancer.gov/cases/661d7b4a-a2b2-4251-b464-292421665948","TCGA-K4-A6MB-01A")</f>
        <v>TCGA-K4-A6MB-01A</v>
      </c>
      <c r="I12883" t="s">
        <v>506</v>
      </c>
      <c r="J12883" t="s">
        <v>507</v>
      </c>
      <c r="K12883" t="s">
        <v>33</v>
      </c>
      <c r="L12883" t="s">
        <v>508</v>
      </c>
      <c r="N12883" t="s">
        <v>29</v>
      </c>
    </row>
    <row r="12884" spans="1:14">
      <c r="A12884" s="4" t="str">
        <f t="shared" si="1106"/>
        <v>EXP00407</v>
      </c>
      <c r="B12884" s="3" t="s">
        <v>66</v>
      </c>
      <c r="C12884" s="4" t="str">
        <f t="shared" si="1107"/>
        <v>TCGA-BLCA</v>
      </c>
      <c r="D12884" s="1" t="s">
        <v>493</v>
      </c>
      <c r="E12884" t="s">
        <v>516</v>
      </c>
      <c r="F12884" s="1">
        <v>2</v>
      </c>
      <c r="G12884" s="1" t="s">
        <v>32</v>
      </c>
      <c r="H12884" s="4" t="str">
        <f>HYPERLINK("https://portal.gdc.cancer.gov/cases/383bf27a-9216-492e-b4bd-2b4eef8278de","TCGA-K4-AAQO-01A")</f>
        <v>TCGA-K4-AAQO-01A</v>
      </c>
      <c r="I12884" t="s">
        <v>506</v>
      </c>
      <c r="J12884" t="s">
        <v>507</v>
      </c>
      <c r="K12884" t="s">
        <v>33</v>
      </c>
      <c r="L12884" t="s">
        <v>508</v>
      </c>
      <c r="N12884" t="s">
        <v>29</v>
      </c>
    </row>
    <row r="12885" spans="1:14">
      <c r="A12885" s="4" t="str">
        <f t="shared" si="1106"/>
        <v>EXP00407</v>
      </c>
      <c r="B12885" s="3" t="s">
        <v>66</v>
      </c>
      <c r="C12885" s="4" t="str">
        <f t="shared" si="1107"/>
        <v>TCGA-BLCA</v>
      </c>
      <c r="D12885" s="1" t="s">
        <v>493</v>
      </c>
      <c r="E12885" t="s">
        <v>516</v>
      </c>
      <c r="F12885" s="1">
        <v>2</v>
      </c>
      <c r="G12885" s="1" t="s">
        <v>32</v>
      </c>
      <c r="H12885" s="4" t="str">
        <f>HYPERLINK("https://portal.gdc.cancer.gov/cases/67cadffc-460b-4a2a-b182-3794421992b4","TCGA-KQ-A41N-01A")</f>
        <v>TCGA-KQ-A41N-01A</v>
      </c>
      <c r="I12885" t="s">
        <v>506</v>
      </c>
      <c r="J12885" t="s">
        <v>507</v>
      </c>
      <c r="K12885" t="s">
        <v>33</v>
      </c>
      <c r="L12885" t="s">
        <v>508</v>
      </c>
      <c r="N12885" t="s">
        <v>29</v>
      </c>
    </row>
    <row r="12886" spans="1:14">
      <c r="A12886" s="4" t="str">
        <f t="shared" si="1106"/>
        <v>EXP00407</v>
      </c>
      <c r="B12886" s="3" t="s">
        <v>66</v>
      </c>
      <c r="C12886" s="4" t="str">
        <f t="shared" si="1107"/>
        <v>TCGA-BLCA</v>
      </c>
      <c r="D12886" s="1" t="s">
        <v>493</v>
      </c>
      <c r="E12886" t="s">
        <v>516</v>
      </c>
      <c r="F12886" s="1">
        <v>2</v>
      </c>
      <c r="G12886" s="1" t="s">
        <v>32</v>
      </c>
      <c r="H12886" s="4" t="str">
        <f>HYPERLINK("https://portal.gdc.cancer.gov/cases/9dd41965-7a62-464d-8a23-5c3f9565dd91","TCGA-KQ-A41O-01A")</f>
        <v>TCGA-KQ-A41O-01A</v>
      </c>
      <c r="I12886" t="s">
        <v>506</v>
      </c>
      <c r="J12886" t="s">
        <v>507</v>
      </c>
      <c r="K12886" t="s">
        <v>33</v>
      </c>
      <c r="L12886" t="s">
        <v>508</v>
      </c>
      <c r="N12886" t="s">
        <v>29</v>
      </c>
    </row>
    <row r="12887" spans="1:14">
      <c r="A12887" s="4" t="str">
        <f t="shared" si="1106"/>
        <v>EXP00407</v>
      </c>
      <c r="B12887" s="3" t="s">
        <v>66</v>
      </c>
      <c r="C12887" s="4" t="str">
        <f t="shared" si="1107"/>
        <v>TCGA-BLCA</v>
      </c>
      <c r="D12887" s="1" t="s">
        <v>493</v>
      </c>
      <c r="E12887" t="s">
        <v>516</v>
      </c>
      <c r="F12887" s="1">
        <v>2</v>
      </c>
      <c r="G12887" s="1" t="s">
        <v>32</v>
      </c>
      <c r="H12887" s="4" t="str">
        <f>HYPERLINK("https://portal.gdc.cancer.gov/cases/d7af7e2c-f742-46ed-814b-1967d7e8c2d2","TCGA-KQ-A41P-01A")</f>
        <v>TCGA-KQ-A41P-01A</v>
      </c>
      <c r="I12887" t="s">
        <v>506</v>
      </c>
      <c r="J12887" t="s">
        <v>507</v>
      </c>
      <c r="K12887" t="s">
        <v>33</v>
      </c>
      <c r="L12887" t="s">
        <v>508</v>
      </c>
      <c r="N12887" t="s">
        <v>29</v>
      </c>
    </row>
    <row r="12888" spans="1:14">
      <c r="A12888" s="4" t="str">
        <f t="shared" si="1106"/>
        <v>EXP00407</v>
      </c>
      <c r="B12888" s="3" t="s">
        <v>66</v>
      </c>
      <c r="C12888" s="4" t="str">
        <f t="shared" si="1107"/>
        <v>TCGA-BLCA</v>
      </c>
      <c r="D12888" s="1" t="s">
        <v>493</v>
      </c>
      <c r="E12888" t="s">
        <v>516</v>
      </c>
      <c r="F12888" s="1">
        <v>2</v>
      </c>
      <c r="G12888" s="1" t="s">
        <v>32</v>
      </c>
      <c r="H12888" s="4" t="str">
        <f>HYPERLINK("https://portal.gdc.cancer.gov/cases/a21bdd7e-f3cf-4826-9967-7eaffc0d035a","TCGA-KQ-A41Q-01A")</f>
        <v>TCGA-KQ-A41Q-01A</v>
      </c>
      <c r="I12888" t="s">
        <v>506</v>
      </c>
      <c r="J12888" t="s">
        <v>507</v>
      </c>
      <c r="K12888" t="s">
        <v>33</v>
      </c>
      <c r="L12888" t="s">
        <v>508</v>
      </c>
      <c r="N12888" t="s">
        <v>29</v>
      </c>
    </row>
    <row r="12889" spans="1:14">
      <c r="A12889" s="4" t="str">
        <f t="shared" si="1106"/>
        <v>EXP00407</v>
      </c>
      <c r="B12889" s="3" t="s">
        <v>66</v>
      </c>
      <c r="C12889" s="4" t="str">
        <f t="shared" si="1107"/>
        <v>TCGA-BLCA</v>
      </c>
      <c r="D12889" s="1" t="s">
        <v>493</v>
      </c>
      <c r="E12889" t="s">
        <v>516</v>
      </c>
      <c r="F12889" s="1">
        <v>2</v>
      </c>
      <c r="G12889" s="1" t="s">
        <v>32</v>
      </c>
      <c r="H12889" s="4" t="str">
        <f>HYPERLINK("https://portal.gdc.cancer.gov/cases/e492d5a9-7ec5-454b-ae89-077c90f67489","TCGA-KQ-A41R-01A")</f>
        <v>TCGA-KQ-A41R-01A</v>
      </c>
      <c r="I12889" t="s">
        <v>506</v>
      </c>
      <c r="J12889" t="s">
        <v>507</v>
      </c>
      <c r="K12889" t="s">
        <v>33</v>
      </c>
      <c r="L12889" t="s">
        <v>508</v>
      </c>
      <c r="N12889" t="s">
        <v>29</v>
      </c>
    </row>
    <row r="12890" spans="1:14">
      <c r="A12890" s="4" t="str">
        <f t="shared" si="1106"/>
        <v>EXP00407</v>
      </c>
      <c r="B12890" s="3" t="s">
        <v>66</v>
      </c>
      <c r="C12890" s="4" t="str">
        <f t="shared" si="1107"/>
        <v>TCGA-BLCA</v>
      </c>
      <c r="D12890" s="1" t="s">
        <v>493</v>
      </c>
      <c r="E12890" t="s">
        <v>516</v>
      </c>
      <c r="F12890" s="1">
        <v>2</v>
      </c>
      <c r="G12890" s="1" t="s">
        <v>32</v>
      </c>
      <c r="H12890" s="4" t="str">
        <f>HYPERLINK("https://portal.gdc.cancer.gov/cases/cc8602bb-78e2-4732-9784-83c3388b999e","TCGA-KQ-A41S-01A")</f>
        <v>TCGA-KQ-A41S-01A</v>
      </c>
      <c r="I12890" t="s">
        <v>506</v>
      </c>
      <c r="J12890" t="s">
        <v>507</v>
      </c>
      <c r="K12890" t="s">
        <v>33</v>
      </c>
      <c r="L12890" t="s">
        <v>508</v>
      </c>
      <c r="N12890" t="s">
        <v>29</v>
      </c>
    </row>
    <row r="12891" spans="1:14">
      <c r="A12891" s="4" t="str">
        <f t="shared" si="1106"/>
        <v>EXP00407</v>
      </c>
      <c r="B12891" s="3" t="s">
        <v>66</v>
      </c>
      <c r="C12891" s="4" t="str">
        <f t="shared" si="1107"/>
        <v>TCGA-BLCA</v>
      </c>
      <c r="D12891" s="1" t="s">
        <v>493</v>
      </c>
      <c r="E12891" t="s">
        <v>516</v>
      </c>
      <c r="F12891" s="1">
        <v>2</v>
      </c>
      <c r="G12891" s="1" t="s">
        <v>32</v>
      </c>
      <c r="H12891" s="4" t="str">
        <f>HYPERLINK("https://portal.gdc.cancer.gov/cases/39fdc742-8bdb-4e77-b20b-0f967a75e659","TCGA-LC-A66R-01A")</f>
        <v>TCGA-LC-A66R-01A</v>
      </c>
      <c r="I12891" t="s">
        <v>506</v>
      </c>
      <c r="J12891" t="s">
        <v>507</v>
      </c>
      <c r="K12891" t="s">
        <v>33</v>
      </c>
      <c r="L12891" t="s">
        <v>508</v>
      </c>
      <c r="N12891" t="s">
        <v>29</v>
      </c>
    </row>
    <row r="12892" spans="1:14">
      <c r="A12892" s="4" t="str">
        <f t="shared" si="1106"/>
        <v>EXP00407</v>
      </c>
      <c r="B12892" s="3" t="s">
        <v>66</v>
      </c>
      <c r="C12892" s="4" t="str">
        <f t="shared" si="1107"/>
        <v>TCGA-BLCA</v>
      </c>
      <c r="D12892" s="1" t="s">
        <v>493</v>
      </c>
      <c r="E12892" t="s">
        <v>516</v>
      </c>
      <c r="F12892" s="1">
        <v>2</v>
      </c>
      <c r="G12892" s="1" t="s">
        <v>32</v>
      </c>
      <c r="H12892" s="4" t="str">
        <f>HYPERLINK("https://portal.gdc.cancer.gov/cases/ec7fc492-53cc-4b71-a66a-1cef1adeba33","TCGA-LT-A5Z6-01A")</f>
        <v>TCGA-LT-A5Z6-01A</v>
      </c>
      <c r="I12892" t="s">
        <v>506</v>
      </c>
      <c r="J12892" t="s">
        <v>507</v>
      </c>
      <c r="K12892" t="s">
        <v>33</v>
      </c>
      <c r="L12892" t="s">
        <v>508</v>
      </c>
      <c r="N12892" t="s">
        <v>29</v>
      </c>
    </row>
    <row r="12893" spans="1:14">
      <c r="A12893" s="4" t="str">
        <f t="shared" si="1106"/>
        <v>EXP00407</v>
      </c>
      <c r="B12893" s="3" t="s">
        <v>66</v>
      </c>
      <c r="C12893" s="4" t="str">
        <f t="shared" si="1107"/>
        <v>TCGA-BLCA</v>
      </c>
      <c r="D12893" s="1" t="s">
        <v>493</v>
      </c>
      <c r="E12893" t="s">
        <v>516</v>
      </c>
      <c r="F12893" s="1">
        <v>2</v>
      </c>
      <c r="G12893" s="1" t="s">
        <v>32</v>
      </c>
      <c r="H12893" s="4" t="str">
        <f>HYPERLINK("https://portal.gdc.cancer.gov/cases/6aa72ca1-b378-4db4-b4ef-b12386683d1f","TCGA-LT-A8JT-01A")</f>
        <v>TCGA-LT-A8JT-01A</v>
      </c>
      <c r="I12893" t="s">
        <v>506</v>
      </c>
      <c r="J12893" t="s">
        <v>507</v>
      </c>
      <c r="K12893" t="s">
        <v>33</v>
      </c>
      <c r="L12893" t="s">
        <v>508</v>
      </c>
      <c r="N12893" t="s">
        <v>29</v>
      </c>
    </row>
    <row r="12894" spans="1:14">
      <c r="A12894" s="4" t="str">
        <f t="shared" si="1106"/>
        <v>EXP00407</v>
      </c>
      <c r="B12894" s="3" t="s">
        <v>66</v>
      </c>
      <c r="C12894" s="4" t="str">
        <f t="shared" si="1107"/>
        <v>TCGA-BLCA</v>
      </c>
      <c r="D12894" s="1" t="s">
        <v>493</v>
      </c>
      <c r="E12894" t="s">
        <v>516</v>
      </c>
      <c r="F12894" s="1">
        <v>2</v>
      </c>
      <c r="G12894" s="1" t="s">
        <v>32</v>
      </c>
      <c r="H12894" s="4" t="str">
        <f>HYPERLINK("https://portal.gdc.cancer.gov/cases/d2f329b3-5b44-414b-bccd-7b2d1345d21e","TCGA-MV-A51V-01A")</f>
        <v>TCGA-MV-A51V-01A</v>
      </c>
      <c r="I12894" t="s">
        <v>506</v>
      </c>
      <c r="J12894" t="s">
        <v>507</v>
      </c>
      <c r="K12894" t="s">
        <v>33</v>
      </c>
      <c r="L12894" t="s">
        <v>508</v>
      </c>
      <c r="N12894" t="s">
        <v>29</v>
      </c>
    </row>
    <row r="12895" spans="1:14">
      <c r="A12895" s="4" t="str">
        <f t="shared" si="1106"/>
        <v>EXP00407</v>
      </c>
      <c r="B12895" s="3" t="s">
        <v>66</v>
      </c>
      <c r="C12895" s="4" t="str">
        <f t="shared" si="1107"/>
        <v>TCGA-BLCA</v>
      </c>
      <c r="D12895" s="1" t="s">
        <v>493</v>
      </c>
      <c r="E12895" t="s">
        <v>516</v>
      </c>
      <c r="F12895" s="1">
        <v>2</v>
      </c>
      <c r="G12895" s="1" t="s">
        <v>32</v>
      </c>
      <c r="H12895" s="4" t="str">
        <f>HYPERLINK("https://portal.gdc.cancer.gov/cases/04b9090a-e8ef-4f52-bc52-af90caa84168","TCGA-PQ-A6FI-01A")</f>
        <v>TCGA-PQ-A6FI-01A</v>
      </c>
      <c r="I12895" t="s">
        <v>506</v>
      </c>
      <c r="J12895" t="s">
        <v>507</v>
      </c>
      <c r="K12895" t="s">
        <v>33</v>
      </c>
      <c r="L12895" t="s">
        <v>508</v>
      </c>
      <c r="N12895" t="s">
        <v>29</v>
      </c>
    </row>
    <row r="12896" spans="1:14">
      <c r="A12896" s="4" t="str">
        <f t="shared" si="1106"/>
        <v>EXP00407</v>
      </c>
      <c r="B12896" s="3" t="s">
        <v>66</v>
      </c>
      <c r="C12896" s="4" t="str">
        <f t="shared" si="1107"/>
        <v>TCGA-BLCA</v>
      </c>
      <c r="D12896" s="1" t="s">
        <v>493</v>
      </c>
      <c r="E12896" t="s">
        <v>516</v>
      </c>
      <c r="F12896" s="1">
        <v>2</v>
      </c>
      <c r="G12896" s="1" t="s">
        <v>32</v>
      </c>
      <c r="H12896" s="4" t="str">
        <f>HYPERLINK("https://portal.gdc.cancer.gov/cases/a3c849f2-c006-4368-950d-998a26cd368b","TCGA-PQ-A6FN-01A")</f>
        <v>TCGA-PQ-A6FN-01A</v>
      </c>
      <c r="I12896" t="s">
        <v>506</v>
      </c>
      <c r="J12896" t="s">
        <v>507</v>
      </c>
      <c r="K12896" t="s">
        <v>33</v>
      </c>
      <c r="L12896" t="s">
        <v>508</v>
      </c>
      <c r="N12896" t="s">
        <v>29</v>
      </c>
    </row>
    <row r="12897" spans="1:14">
      <c r="A12897" s="4" t="str">
        <f t="shared" si="1106"/>
        <v>EXP00407</v>
      </c>
      <c r="B12897" s="3" t="s">
        <v>66</v>
      </c>
      <c r="C12897" s="4" t="str">
        <f t="shared" si="1107"/>
        <v>TCGA-BLCA</v>
      </c>
      <c r="D12897" s="1" t="s">
        <v>493</v>
      </c>
      <c r="E12897" t="s">
        <v>516</v>
      </c>
      <c r="F12897" s="1">
        <v>2</v>
      </c>
      <c r="G12897" s="1" t="s">
        <v>32</v>
      </c>
      <c r="H12897" s="4" t="str">
        <f>HYPERLINK("https://portal.gdc.cancer.gov/cases/692a6ced-0246-4e5e-ad2f-20450073f335","TCGA-R3-A69X-01A")</f>
        <v>TCGA-R3-A69X-01A</v>
      </c>
      <c r="I12897" t="s">
        <v>506</v>
      </c>
      <c r="J12897" t="s">
        <v>507</v>
      </c>
      <c r="K12897" t="s">
        <v>33</v>
      </c>
      <c r="L12897" t="s">
        <v>508</v>
      </c>
      <c r="N12897" t="s">
        <v>29</v>
      </c>
    </row>
    <row r="12898" spans="1:14">
      <c r="A12898" s="4" t="str">
        <f t="shared" si="1106"/>
        <v>EXP00407</v>
      </c>
      <c r="B12898" s="3" t="s">
        <v>66</v>
      </c>
      <c r="C12898" s="4" t="str">
        <f t="shared" si="1107"/>
        <v>TCGA-BLCA</v>
      </c>
      <c r="D12898" s="1" t="s">
        <v>493</v>
      </c>
      <c r="E12898" t="s">
        <v>516</v>
      </c>
      <c r="F12898" s="1">
        <v>2</v>
      </c>
      <c r="G12898" s="1" t="s">
        <v>32</v>
      </c>
      <c r="H12898" s="4" t="str">
        <f>HYPERLINK("https://portal.gdc.cancer.gov/cases/76400a3d-45c4-47f8-bd81-0a345a949a1f","TCGA-S5-A6DX-01A")</f>
        <v>TCGA-S5-A6DX-01A</v>
      </c>
      <c r="I12898" t="s">
        <v>506</v>
      </c>
      <c r="J12898" t="s">
        <v>507</v>
      </c>
      <c r="K12898" t="s">
        <v>33</v>
      </c>
      <c r="L12898" t="s">
        <v>508</v>
      </c>
      <c r="N12898" t="s">
        <v>29</v>
      </c>
    </row>
    <row r="12899" spans="1:14">
      <c r="A12899" s="4" t="str">
        <f t="shared" ref="A12899:A12962" si="1108">HYPERLINK("http://hcmdb.i-sanger.com/experiment/details/experiment_id/EXP00407","EXP00407")</f>
        <v>EXP00407</v>
      </c>
      <c r="B12899" s="3" t="s">
        <v>66</v>
      </c>
      <c r="C12899" s="4" t="str">
        <f t="shared" si="1107"/>
        <v>TCGA-BLCA</v>
      </c>
      <c r="D12899" s="1" t="s">
        <v>493</v>
      </c>
      <c r="E12899" t="s">
        <v>516</v>
      </c>
      <c r="F12899" s="1">
        <v>2</v>
      </c>
      <c r="G12899" s="1" t="s">
        <v>32</v>
      </c>
      <c r="H12899" s="4" t="str">
        <f>HYPERLINK("https://portal.gdc.cancer.gov/cases/a540fcec-58a1-4e58-8e0a-8bf73b78e30d","TCGA-S5-AA26-01A")</f>
        <v>TCGA-S5-AA26-01A</v>
      </c>
      <c r="I12899" t="s">
        <v>506</v>
      </c>
      <c r="J12899" t="s">
        <v>507</v>
      </c>
      <c r="K12899" t="s">
        <v>33</v>
      </c>
      <c r="L12899" t="s">
        <v>508</v>
      </c>
      <c r="N12899" t="s">
        <v>29</v>
      </c>
    </row>
    <row r="12900" spans="1:14">
      <c r="A12900" s="4" t="str">
        <f t="shared" si="1108"/>
        <v>EXP00407</v>
      </c>
      <c r="B12900" s="3" t="s">
        <v>66</v>
      </c>
      <c r="C12900" s="4" t="str">
        <f t="shared" si="1107"/>
        <v>TCGA-BLCA</v>
      </c>
      <c r="D12900" s="1" t="s">
        <v>493</v>
      </c>
      <c r="E12900" t="s">
        <v>516</v>
      </c>
      <c r="F12900" s="1">
        <v>2</v>
      </c>
      <c r="G12900" s="1" t="s">
        <v>32</v>
      </c>
      <c r="H12900" s="4" t="str">
        <f>HYPERLINK("https://portal.gdc.cancer.gov/cases/423b7fc5-3970-4c96-990d-96ad0842f1eb","TCGA-SY-A9G0-01A")</f>
        <v>TCGA-SY-A9G0-01A</v>
      </c>
      <c r="I12900" t="s">
        <v>506</v>
      </c>
      <c r="J12900" t="s">
        <v>507</v>
      </c>
      <c r="K12900" t="s">
        <v>33</v>
      </c>
      <c r="L12900" t="s">
        <v>508</v>
      </c>
      <c r="N12900" t="s">
        <v>29</v>
      </c>
    </row>
    <row r="12901" spans="1:14">
      <c r="A12901" s="4" t="str">
        <f t="shared" si="1108"/>
        <v>EXP00407</v>
      </c>
      <c r="B12901" s="3" t="s">
        <v>66</v>
      </c>
      <c r="C12901" s="4" t="str">
        <f t="shared" si="1107"/>
        <v>TCGA-BLCA</v>
      </c>
      <c r="D12901" s="1" t="s">
        <v>493</v>
      </c>
      <c r="E12901" t="s">
        <v>516</v>
      </c>
      <c r="F12901" s="1">
        <v>2</v>
      </c>
      <c r="G12901" s="1" t="s">
        <v>32</v>
      </c>
      <c r="H12901" s="4" t="str">
        <f>HYPERLINK("https://portal.gdc.cancer.gov/cases/7d198ee2-d80a-4759-804f-a7ef85971843","TCGA-SY-A9G5-01A")</f>
        <v>TCGA-SY-A9G5-01A</v>
      </c>
      <c r="I12901" t="s">
        <v>506</v>
      </c>
      <c r="J12901" t="s">
        <v>507</v>
      </c>
      <c r="K12901" t="s">
        <v>33</v>
      </c>
      <c r="L12901" t="s">
        <v>508</v>
      </c>
      <c r="N12901" t="s">
        <v>29</v>
      </c>
    </row>
    <row r="12902" spans="1:14">
      <c r="A12902" s="4" t="str">
        <f t="shared" si="1108"/>
        <v>EXP00407</v>
      </c>
      <c r="B12902" s="3" t="s">
        <v>66</v>
      </c>
      <c r="C12902" s="4" t="str">
        <f t="shared" si="1107"/>
        <v>TCGA-BLCA</v>
      </c>
      <c r="D12902" s="1" t="s">
        <v>493</v>
      </c>
      <c r="E12902" t="s">
        <v>516</v>
      </c>
      <c r="F12902" s="1">
        <v>2</v>
      </c>
      <c r="G12902" s="1" t="s">
        <v>32</v>
      </c>
      <c r="H12902" s="4" t="str">
        <f>HYPERLINK("https://portal.gdc.cancer.gov/cases/5f587f1b-f835-4869-9e6d-8cb3b9e0610b","TCGA-UY-A78K-01A")</f>
        <v>TCGA-UY-A78K-01A</v>
      </c>
      <c r="I12902" t="s">
        <v>506</v>
      </c>
      <c r="J12902" t="s">
        <v>507</v>
      </c>
      <c r="K12902" t="s">
        <v>33</v>
      </c>
      <c r="L12902" t="s">
        <v>508</v>
      </c>
      <c r="N12902" t="s">
        <v>29</v>
      </c>
    </row>
    <row r="12903" spans="1:14">
      <c r="A12903" s="4" t="str">
        <f t="shared" si="1108"/>
        <v>EXP00407</v>
      </c>
      <c r="B12903" s="3" t="s">
        <v>66</v>
      </c>
      <c r="C12903" s="4" t="str">
        <f t="shared" si="1107"/>
        <v>TCGA-BLCA</v>
      </c>
      <c r="D12903" s="1" t="s">
        <v>493</v>
      </c>
      <c r="E12903" t="s">
        <v>516</v>
      </c>
      <c r="F12903" s="1">
        <v>2</v>
      </c>
      <c r="G12903" s="1" t="s">
        <v>32</v>
      </c>
      <c r="H12903" s="4" t="str">
        <f>HYPERLINK("https://portal.gdc.cancer.gov/cases/d46f7976-6061-4ca9-8294-6c215703662b","TCGA-UY-A78L-01A")</f>
        <v>TCGA-UY-A78L-01A</v>
      </c>
      <c r="I12903" t="s">
        <v>506</v>
      </c>
      <c r="J12903" t="s">
        <v>507</v>
      </c>
      <c r="K12903" t="s">
        <v>33</v>
      </c>
      <c r="L12903" t="s">
        <v>508</v>
      </c>
      <c r="N12903" t="s">
        <v>29</v>
      </c>
    </row>
    <row r="12904" spans="1:14">
      <c r="A12904" s="4" t="str">
        <f t="shared" si="1108"/>
        <v>EXP00407</v>
      </c>
      <c r="B12904" s="3" t="s">
        <v>66</v>
      </c>
      <c r="C12904" s="4" t="str">
        <f t="shared" si="1107"/>
        <v>TCGA-BLCA</v>
      </c>
      <c r="D12904" s="1" t="s">
        <v>493</v>
      </c>
      <c r="E12904" t="s">
        <v>516</v>
      </c>
      <c r="F12904" s="1">
        <v>2</v>
      </c>
      <c r="G12904" s="1" t="s">
        <v>32</v>
      </c>
      <c r="H12904" s="4" t="str">
        <f>HYPERLINK("https://portal.gdc.cancer.gov/cases/069b6e47-012c-483e-bee4-36a2a21a3486","TCGA-UY-A78M-01A")</f>
        <v>TCGA-UY-A78M-01A</v>
      </c>
      <c r="I12904" t="s">
        <v>506</v>
      </c>
      <c r="J12904" t="s">
        <v>507</v>
      </c>
      <c r="K12904" t="s">
        <v>33</v>
      </c>
      <c r="L12904" t="s">
        <v>508</v>
      </c>
      <c r="N12904" t="s">
        <v>29</v>
      </c>
    </row>
    <row r="12905" spans="1:14">
      <c r="A12905" s="4" t="str">
        <f t="shared" si="1108"/>
        <v>EXP00407</v>
      </c>
      <c r="B12905" s="3" t="s">
        <v>66</v>
      </c>
      <c r="C12905" s="4" t="str">
        <f t="shared" si="1107"/>
        <v>TCGA-BLCA</v>
      </c>
      <c r="D12905" s="1" t="s">
        <v>493</v>
      </c>
      <c r="E12905" t="s">
        <v>516</v>
      </c>
      <c r="F12905" s="1">
        <v>2</v>
      </c>
      <c r="G12905" s="1" t="s">
        <v>32</v>
      </c>
      <c r="H12905" s="4" t="str">
        <f>HYPERLINK("https://portal.gdc.cancer.gov/cases/573e124f-98cb-4014-b9d2-0499f7fbdb7a","TCGA-UY-A78N-01A")</f>
        <v>TCGA-UY-A78N-01A</v>
      </c>
      <c r="I12905" t="s">
        <v>506</v>
      </c>
      <c r="J12905" t="s">
        <v>507</v>
      </c>
      <c r="K12905" t="s">
        <v>33</v>
      </c>
      <c r="L12905" t="s">
        <v>508</v>
      </c>
      <c r="N12905" t="s">
        <v>29</v>
      </c>
    </row>
    <row r="12906" spans="1:14">
      <c r="A12906" s="4" t="str">
        <f t="shared" si="1108"/>
        <v>EXP00407</v>
      </c>
      <c r="B12906" s="3" t="s">
        <v>66</v>
      </c>
      <c r="C12906" s="4" t="str">
        <f t="shared" si="1107"/>
        <v>TCGA-BLCA</v>
      </c>
      <c r="D12906" s="1" t="s">
        <v>493</v>
      </c>
      <c r="E12906" t="s">
        <v>516</v>
      </c>
      <c r="F12906" s="1">
        <v>2</v>
      </c>
      <c r="G12906" s="1" t="s">
        <v>32</v>
      </c>
      <c r="H12906" s="4" t="str">
        <f>HYPERLINK("https://portal.gdc.cancer.gov/cases/4319aa02-6d8b-4cb8-b4e4-c4eed1cb2ac7","TCGA-UY-A78O-01A")</f>
        <v>TCGA-UY-A78O-01A</v>
      </c>
      <c r="I12906" t="s">
        <v>506</v>
      </c>
      <c r="J12906" t="s">
        <v>507</v>
      </c>
      <c r="K12906" t="s">
        <v>33</v>
      </c>
      <c r="L12906" t="s">
        <v>508</v>
      </c>
      <c r="N12906" t="s">
        <v>29</v>
      </c>
    </row>
    <row r="12907" spans="1:14">
      <c r="A12907" s="4" t="str">
        <f t="shared" si="1108"/>
        <v>EXP00407</v>
      </c>
      <c r="B12907" s="3" t="s">
        <v>66</v>
      </c>
      <c r="C12907" s="4" t="str">
        <f t="shared" si="1107"/>
        <v>TCGA-BLCA</v>
      </c>
      <c r="D12907" s="1" t="s">
        <v>493</v>
      </c>
      <c r="E12907" t="s">
        <v>516</v>
      </c>
      <c r="F12907" s="1">
        <v>2</v>
      </c>
      <c r="G12907" s="1" t="s">
        <v>32</v>
      </c>
      <c r="H12907" s="4" t="str">
        <f>HYPERLINK("https://portal.gdc.cancer.gov/cases/b8f3d552-2d4b-4dd8-b0e8-6a38e1baa2f3","TCGA-UY-A78P-01A")</f>
        <v>TCGA-UY-A78P-01A</v>
      </c>
      <c r="I12907" t="s">
        <v>506</v>
      </c>
      <c r="J12907" t="s">
        <v>507</v>
      </c>
      <c r="K12907" t="s">
        <v>33</v>
      </c>
      <c r="L12907" t="s">
        <v>508</v>
      </c>
      <c r="N12907" t="s">
        <v>29</v>
      </c>
    </row>
    <row r="12908" spans="1:14">
      <c r="A12908" s="4" t="str">
        <f t="shared" si="1108"/>
        <v>EXP00407</v>
      </c>
      <c r="B12908" s="3" t="s">
        <v>66</v>
      </c>
      <c r="C12908" s="4" t="str">
        <f t="shared" si="1107"/>
        <v>TCGA-BLCA</v>
      </c>
      <c r="D12908" s="1" t="s">
        <v>493</v>
      </c>
      <c r="E12908" t="s">
        <v>516</v>
      </c>
      <c r="F12908" s="1">
        <v>2</v>
      </c>
      <c r="G12908" s="1" t="s">
        <v>32</v>
      </c>
      <c r="H12908" s="4" t="str">
        <f>HYPERLINK("https://portal.gdc.cancer.gov/cases/fe33e5e0-a54d-481a-897c-e32b4708da69","TCGA-UY-A8OB-01A")</f>
        <v>TCGA-UY-A8OB-01A</v>
      </c>
      <c r="I12908" t="s">
        <v>506</v>
      </c>
      <c r="J12908" t="s">
        <v>507</v>
      </c>
      <c r="K12908" t="s">
        <v>33</v>
      </c>
      <c r="L12908" t="s">
        <v>508</v>
      </c>
      <c r="N12908" t="s">
        <v>29</v>
      </c>
    </row>
    <row r="12909" spans="1:14">
      <c r="A12909" s="4" t="str">
        <f t="shared" si="1108"/>
        <v>EXP00407</v>
      </c>
      <c r="B12909" s="3" t="s">
        <v>66</v>
      </c>
      <c r="C12909" s="4" t="str">
        <f t="shared" si="1107"/>
        <v>TCGA-BLCA</v>
      </c>
      <c r="D12909" s="1" t="s">
        <v>493</v>
      </c>
      <c r="E12909" t="s">
        <v>516</v>
      </c>
      <c r="F12909" s="1">
        <v>2</v>
      </c>
      <c r="G12909" s="1" t="s">
        <v>32</v>
      </c>
      <c r="H12909" s="4" t="str">
        <f>HYPERLINK("https://portal.gdc.cancer.gov/cases/5a0e4dc3-4ec6-4d27-bb7e-1d2221d06d33","TCGA-UY-A8OC-01A")</f>
        <v>TCGA-UY-A8OC-01A</v>
      </c>
      <c r="I12909" t="s">
        <v>506</v>
      </c>
      <c r="J12909" t="s">
        <v>507</v>
      </c>
      <c r="K12909" t="s">
        <v>33</v>
      </c>
      <c r="L12909" t="s">
        <v>508</v>
      </c>
      <c r="N12909" t="s">
        <v>29</v>
      </c>
    </row>
    <row r="12910" spans="1:14">
      <c r="A12910" s="4" t="str">
        <f t="shared" si="1108"/>
        <v>EXP00407</v>
      </c>
      <c r="B12910" s="3" t="s">
        <v>66</v>
      </c>
      <c r="C12910" s="4" t="str">
        <f t="shared" si="1107"/>
        <v>TCGA-BLCA</v>
      </c>
      <c r="D12910" s="1" t="s">
        <v>493</v>
      </c>
      <c r="E12910" t="s">
        <v>516</v>
      </c>
      <c r="F12910" s="1">
        <v>2</v>
      </c>
      <c r="G12910" s="1" t="s">
        <v>32</v>
      </c>
      <c r="H12910" s="4" t="str">
        <f>HYPERLINK("https://portal.gdc.cancer.gov/cases/fa2410b1-4f69-446d-99ee-a10a00034c42","TCGA-UY-A8OD-01A")</f>
        <v>TCGA-UY-A8OD-01A</v>
      </c>
      <c r="I12910" t="s">
        <v>506</v>
      </c>
      <c r="J12910" t="s">
        <v>507</v>
      </c>
      <c r="K12910" t="s">
        <v>33</v>
      </c>
      <c r="L12910" t="s">
        <v>508</v>
      </c>
      <c r="N12910" t="s">
        <v>29</v>
      </c>
    </row>
    <row r="12911" spans="1:14">
      <c r="A12911" s="4" t="str">
        <f t="shared" si="1108"/>
        <v>EXP00407</v>
      </c>
      <c r="B12911" s="3" t="s">
        <v>66</v>
      </c>
      <c r="C12911" s="4" t="str">
        <f t="shared" si="1107"/>
        <v>TCGA-BLCA</v>
      </c>
      <c r="D12911" s="1" t="s">
        <v>493</v>
      </c>
      <c r="E12911" t="s">
        <v>516</v>
      </c>
      <c r="F12911" s="1">
        <v>2</v>
      </c>
      <c r="G12911" s="1" t="s">
        <v>32</v>
      </c>
      <c r="H12911" s="4" t="str">
        <f>HYPERLINK("https://portal.gdc.cancer.gov/cases/45f5af14-060a-49a3-b51d-25ab8a88feb7","TCGA-UY-A9PA-01A")</f>
        <v>TCGA-UY-A9PA-01A</v>
      </c>
      <c r="I12911" t="s">
        <v>506</v>
      </c>
      <c r="J12911" t="s">
        <v>507</v>
      </c>
      <c r="K12911" t="s">
        <v>33</v>
      </c>
      <c r="L12911" t="s">
        <v>508</v>
      </c>
      <c r="N12911" t="s">
        <v>29</v>
      </c>
    </row>
    <row r="12912" spans="1:14">
      <c r="A12912" s="4" t="str">
        <f t="shared" si="1108"/>
        <v>EXP00407</v>
      </c>
      <c r="B12912" s="3" t="s">
        <v>66</v>
      </c>
      <c r="C12912" s="4" t="str">
        <f t="shared" si="1107"/>
        <v>TCGA-BLCA</v>
      </c>
      <c r="D12912" s="1" t="s">
        <v>493</v>
      </c>
      <c r="E12912" t="s">
        <v>516</v>
      </c>
      <c r="F12912" s="1">
        <v>2</v>
      </c>
      <c r="G12912" s="1" t="s">
        <v>32</v>
      </c>
      <c r="H12912" s="4" t="str">
        <f>HYPERLINK("https://portal.gdc.cancer.gov/cases/f90cff19-1c16-4514-8bc1-169539d01fca","TCGA-UY-A9PB-01A")</f>
        <v>TCGA-UY-A9PB-01A</v>
      </c>
      <c r="I12912" t="s">
        <v>506</v>
      </c>
      <c r="J12912" t="s">
        <v>507</v>
      </c>
      <c r="K12912" t="s">
        <v>33</v>
      </c>
      <c r="L12912" t="s">
        <v>508</v>
      </c>
      <c r="N12912" t="s">
        <v>29</v>
      </c>
    </row>
    <row r="12913" spans="1:14">
      <c r="A12913" s="4" t="str">
        <f t="shared" si="1108"/>
        <v>EXP00407</v>
      </c>
      <c r="B12913" s="3" t="s">
        <v>66</v>
      </c>
      <c r="C12913" s="4" t="str">
        <f t="shared" si="1107"/>
        <v>TCGA-BLCA</v>
      </c>
      <c r="D12913" s="1" t="s">
        <v>493</v>
      </c>
      <c r="E12913" t="s">
        <v>516</v>
      </c>
      <c r="F12913" s="1">
        <v>2</v>
      </c>
      <c r="G12913" s="1" t="s">
        <v>32</v>
      </c>
      <c r="H12913" s="4" t="str">
        <f>HYPERLINK("https://portal.gdc.cancer.gov/cases/9ef9e328-ac74-4c8a-9990-347b87cf7764","TCGA-UY-A9PD-01A")</f>
        <v>TCGA-UY-A9PD-01A</v>
      </c>
      <c r="I12913" t="s">
        <v>506</v>
      </c>
      <c r="J12913" t="s">
        <v>507</v>
      </c>
      <c r="K12913" t="s">
        <v>33</v>
      </c>
      <c r="L12913" t="s">
        <v>508</v>
      </c>
      <c r="N12913" t="s">
        <v>29</v>
      </c>
    </row>
    <row r="12914" spans="1:14">
      <c r="A12914" s="4" t="str">
        <f t="shared" si="1108"/>
        <v>EXP00407</v>
      </c>
      <c r="B12914" s="3" t="s">
        <v>66</v>
      </c>
      <c r="C12914" s="4" t="str">
        <f t="shared" si="1107"/>
        <v>TCGA-BLCA</v>
      </c>
      <c r="D12914" s="1" t="s">
        <v>493</v>
      </c>
      <c r="E12914" t="s">
        <v>516</v>
      </c>
      <c r="F12914" s="1">
        <v>2</v>
      </c>
      <c r="G12914" s="1" t="s">
        <v>32</v>
      </c>
      <c r="H12914" s="4" t="str">
        <f>HYPERLINK("https://portal.gdc.cancer.gov/cases/fed69898-a229-4b81-bbd9-cdcb164dae7b","TCGA-UY-A9PE-01A")</f>
        <v>TCGA-UY-A9PE-01A</v>
      </c>
      <c r="I12914" t="s">
        <v>506</v>
      </c>
      <c r="J12914" t="s">
        <v>507</v>
      </c>
      <c r="K12914" t="s">
        <v>33</v>
      </c>
      <c r="L12914" t="s">
        <v>508</v>
      </c>
      <c r="N12914" t="s">
        <v>29</v>
      </c>
    </row>
    <row r="12915" spans="1:14">
      <c r="A12915" s="4" t="str">
        <f t="shared" si="1108"/>
        <v>EXP00407</v>
      </c>
      <c r="B12915" s="3" t="s">
        <v>66</v>
      </c>
      <c r="C12915" s="4" t="str">
        <f t="shared" si="1107"/>
        <v>TCGA-BLCA</v>
      </c>
      <c r="D12915" s="1" t="s">
        <v>493</v>
      </c>
      <c r="E12915" t="s">
        <v>516</v>
      </c>
      <c r="F12915" s="1">
        <v>2</v>
      </c>
      <c r="G12915" s="1" t="s">
        <v>32</v>
      </c>
      <c r="H12915" s="4" t="str">
        <f>HYPERLINK("https://portal.gdc.cancer.gov/cases/3bd918a8-3b92-4042-b4a1-f9dfcd6fe405","TCGA-UY-A9PF-01A")</f>
        <v>TCGA-UY-A9PF-01A</v>
      </c>
      <c r="I12915" t="s">
        <v>506</v>
      </c>
      <c r="J12915" t="s">
        <v>507</v>
      </c>
      <c r="K12915" t="s">
        <v>33</v>
      </c>
      <c r="L12915" t="s">
        <v>508</v>
      </c>
      <c r="N12915" t="s">
        <v>29</v>
      </c>
    </row>
    <row r="12916" spans="1:14">
      <c r="A12916" s="4" t="str">
        <f t="shared" si="1108"/>
        <v>EXP00407</v>
      </c>
      <c r="B12916" s="3" t="s">
        <v>66</v>
      </c>
      <c r="C12916" s="4" t="str">
        <f t="shared" si="1107"/>
        <v>TCGA-BLCA</v>
      </c>
      <c r="D12916" s="1" t="s">
        <v>493</v>
      </c>
      <c r="E12916" t="s">
        <v>516</v>
      </c>
      <c r="F12916" s="1">
        <v>2</v>
      </c>
      <c r="G12916" s="1" t="s">
        <v>32</v>
      </c>
      <c r="H12916" s="4" t="str">
        <f>HYPERLINK("https://portal.gdc.cancer.gov/cases/cd10dc46-356a-420b-b3f5-9e4ed4e7ecab","TCGA-UY-A9PH-01A")</f>
        <v>TCGA-UY-A9PH-01A</v>
      </c>
      <c r="I12916" t="s">
        <v>506</v>
      </c>
      <c r="J12916" t="s">
        <v>507</v>
      </c>
      <c r="K12916" t="s">
        <v>33</v>
      </c>
      <c r="L12916" t="s">
        <v>508</v>
      </c>
      <c r="N12916" t="s">
        <v>29</v>
      </c>
    </row>
    <row r="12917" spans="1:14">
      <c r="A12917" s="4" t="str">
        <f t="shared" si="1108"/>
        <v>EXP00407</v>
      </c>
      <c r="B12917" s="3" t="s">
        <v>66</v>
      </c>
      <c r="C12917" s="4" t="str">
        <f t="shared" si="1107"/>
        <v>TCGA-BLCA</v>
      </c>
      <c r="D12917" s="1" t="s">
        <v>493</v>
      </c>
      <c r="E12917" t="s">
        <v>516</v>
      </c>
      <c r="F12917" s="1">
        <v>2</v>
      </c>
      <c r="G12917" s="1" t="s">
        <v>32</v>
      </c>
      <c r="H12917" s="4" t="str">
        <f>HYPERLINK("https://portal.gdc.cancer.gov/cases/90bf49b7-6710-4665-82df-30ecc22c59a3","TCGA-XF-A8HB-01A")</f>
        <v>TCGA-XF-A8HB-01A</v>
      </c>
      <c r="I12917" t="s">
        <v>506</v>
      </c>
      <c r="J12917" t="s">
        <v>507</v>
      </c>
      <c r="K12917" t="s">
        <v>33</v>
      </c>
      <c r="L12917" t="s">
        <v>508</v>
      </c>
      <c r="N12917" t="s">
        <v>29</v>
      </c>
    </row>
    <row r="12918" spans="1:14">
      <c r="A12918" s="4" t="str">
        <f t="shared" si="1108"/>
        <v>EXP00407</v>
      </c>
      <c r="B12918" s="3" t="s">
        <v>66</v>
      </c>
      <c r="C12918" s="4" t="str">
        <f t="shared" si="1107"/>
        <v>TCGA-BLCA</v>
      </c>
      <c r="D12918" s="1" t="s">
        <v>493</v>
      </c>
      <c r="E12918" t="s">
        <v>516</v>
      </c>
      <c r="F12918" s="1">
        <v>2</v>
      </c>
      <c r="G12918" s="1" t="s">
        <v>32</v>
      </c>
      <c r="H12918" s="4" t="str">
        <f>HYPERLINK("https://portal.gdc.cancer.gov/cases/17ee3278-dc2a-4021-a903-e4ed11e3218b","TCGA-XF-A8HC-01A")</f>
        <v>TCGA-XF-A8HC-01A</v>
      </c>
      <c r="I12918" t="s">
        <v>506</v>
      </c>
      <c r="J12918" t="s">
        <v>507</v>
      </c>
      <c r="K12918" t="s">
        <v>33</v>
      </c>
      <c r="L12918" t="s">
        <v>508</v>
      </c>
      <c r="N12918" t="s">
        <v>29</v>
      </c>
    </row>
    <row r="12919" spans="1:14">
      <c r="A12919" s="4" t="str">
        <f t="shared" si="1108"/>
        <v>EXP00407</v>
      </c>
      <c r="B12919" s="3" t="s">
        <v>66</v>
      </c>
      <c r="C12919" s="4" t="str">
        <f t="shared" si="1107"/>
        <v>TCGA-BLCA</v>
      </c>
      <c r="D12919" s="1" t="s">
        <v>493</v>
      </c>
      <c r="E12919" t="s">
        <v>516</v>
      </c>
      <c r="F12919" s="1">
        <v>2</v>
      </c>
      <c r="G12919" s="1" t="s">
        <v>32</v>
      </c>
      <c r="H12919" s="4" t="str">
        <f>HYPERLINK("https://portal.gdc.cancer.gov/cases/dfc67e7b-3986-4129-ae02-4d8f57e776e3","TCGA-XF-A8HD-01A")</f>
        <v>TCGA-XF-A8HD-01A</v>
      </c>
      <c r="I12919" t="s">
        <v>506</v>
      </c>
      <c r="J12919" t="s">
        <v>507</v>
      </c>
      <c r="K12919" t="s">
        <v>33</v>
      </c>
      <c r="L12919" t="s">
        <v>508</v>
      </c>
      <c r="N12919" t="s">
        <v>29</v>
      </c>
    </row>
    <row r="12920" spans="1:14">
      <c r="A12920" s="4" t="str">
        <f t="shared" si="1108"/>
        <v>EXP00407</v>
      </c>
      <c r="B12920" s="3" t="s">
        <v>66</v>
      </c>
      <c r="C12920" s="4" t="str">
        <f t="shared" si="1107"/>
        <v>TCGA-BLCA</v>
      </c>
      <c r="D12920" s="1" t="s">
        <v>493</v>
      </c>
      <c r="E12920" t="s">
        <v>516</v>
      </c>
      <c r="F12920" s="1">
        <v>2</v>
      </c>
      <c r="G12920" s="1" t="s">
        <v>32</v>
      </c>
      <c r="H12920" s="4" t="str">
        <f>HYPERLINK("https://portal.gdc.cancer.gov/cases/841b4582-a268-4a55-a9a2-47c7e5c3b69f","TCGA-XF-A8HE-01A")</f>
        <v>TCGA-XF-A8HE-01A</v>
      </c>
      <c r="I12920" t="s">
        <v>506</v>
      </c>
      <c r="J12920" t="s">
        <v>507</v>
      </c>
      <c r="K12920" t="s">
        <v>33</v>
      </c>
      <c r="L12920" t="s">
        <v>508</v>
      </c>
      <c r="N12920" t="s">
        <v>29</v>
      </c>
    </row>
    <row r="12921" spans="1:14">
      <c r="A12921" s="4" t="str">
        <f t="shared" si="1108"/>
        <v>EXP00407</v>
      </c>
      <c r="B12921" s="3" t="s">
        <v>66</v>
      </c>
      <c r="C12921" s="4" t="str">
        <f t="shared" si="1107"/>
        <v>TCGA-BLCA</v>
      </c>
      <c r="D12921" s="1" t="s">
        <v>493</v>
      </c>
      <c r="E12921" t="s">
        <v>516</v>
      </c>
      <c r="F12921" s="1">
        <v>2</v>
      </c>
      <c r="G12921" s="1" t="s">
        <v>32</v>
      </c>
      <c r="H12921" s="4" t="str">
        <f>HYPERLINK("https://portal.gdc.cancer.gov/cases/8573e114-ac20-4113-a942-01f2d1562a7b","TCGA-XF-A8HF-01A")</f>
        <v>TCGA-XF-A8HF-01A</v>
      </c>
      <c r="I12921" t="s">
        <v>506</v>
      </c>
      <c r="J12921" t="s">
        <v>507</v>
      </c>
      <c r="K12921" t="s">
        <v>33</v>
      </c>
      <c r="L12921" t="s">
        <v>508</v>
      </c>
      <c r="N12921" t="s">
        <v>29</v>
      </c>
    </row>
    <row r="12922" spans="1:14">
      <c r="A12922" s="4" t="str">
        <f t="shared" si="1108"/>
        <v>EXP00407</v>
      </c>
      <c r="B12922" s="3" t="s">
        <v>66</v>
      </c>
      <c r="C12922" s="4" t="str">
        <f t="shared" si="1107"/>
        <v>TCGA-BLCA</v>
      </c>
      <c r="D12922" s="1" t="s">
        <v>493</v>
      </c>
      <c r="E12922" t="s">
        <v>516</v>
      </c>
      <c r="F12922" s="1">
        <v>2</v>
      </c>
      <c r="G12922" s="1" t="s">
        <v>32</v>
      </c>
      <c r="H12922" s="4" t="str">
        <f>HYPERLINK("https://portal.gdc.cancer.gov/cases/02964d82-cc94-4286-a66f-03567101950c","TCGA-XF-A8HH-01A")</f>
        <v>TCGA-XF-A8HH-01A</v>
      </c>
      <c r="I12922" t="s">
        <v>506</v>
      </c>
      <c r="J12922" t="s">
        <v>507</v>
      </c>
      <c r="K12922" t="s">
        <v>33</v>
      </c>
      <c r="L12922" t="s">
        <v>508</v>
      </c>
      <c r="N12922" t="s">
        <v>29</v>
      </c>
    </row>
    <row r="12923" spans="1:14">
      <c r="A12923" s="4" t="str">
        <f t="shared" si="1108"/>
        <v>EXP00407</v>
      </c>
      <c r="B12923" s="3" t="s">
        <v>66</v>
      </c>
      <c r="C12923" s="4" t="str">
        <f t="shared" si="1107"/>
        <v>TCGA-BLCA</v>
      </c>
      <c r="D12923" s="1" t="s">
        <v>493</v>
      </c>
      <c r="E12923" t="s">
        <v>516</v>
      </c>
      <c r="F12923" s="1">
        <v>2</v>
      </c>
      <c r="G12923" s="1" t="s">
        <v>32</v>
      </c>
      <c r="H12923" s="4" t="str">
        <f>HYPERLINK("https://portal.gdc.cancer.gov/cases/b838a4db-ef0a-4d88-a220-bf57e31e0b3c","TCGA-XF-A9SH-01A")</f>
        <v>TCGA-XF-A9SH-01A</v>
      </c>
      <c r="I12923" t="s">
        <v>506</v>
      </c>
      <c r="J12923" t="s">
        <v>507</v>
      </c>
      <c r="K12923" t="s">
        <v>33</v>
      </c>
      <c r="L12923" t="s">
        <v>508</v>
      </c>
      <c r="N12923" t="s">
        <v>29</v>
      </c>
    </row>
    <row r="12924" spans="1:14">
      <c r="A12924" s="4" t="str">
        <f t="shared" si="1108"/>
        <v>EXP00407</v>
      </c>
      <c r="B12924" s="3" t="s">
        <v>66</v>
      </c>
      <c r="C12924" s="4" t="str">
        <f t="shared" si="1107"/>
        <v>TCGA-BLCA</v>
      </c>
      <c r="D12924" s="1" t="s">
        <v>493</v>
      </c>
      <c r="E12924" t="s">
        <v>516</v>
      </c>
      <c r="F12924" s="1">
        <v>2</v>
      </c>
      <c r="G12924" s="1" t="s">
        <v>32</v>
      </c>
      <c r="H12924" s="4" t="str">
        <f>HYPERLINK("https://portal.gdc.cancer.gov/cases/6b0c8e8d-8aba-413d-85ed-631653f00ca9","TCGA-XF-A9SI-01A")</f>
        <v>TCGA-XF-A9SI-01A</v>
      </c>
      <c r="I12924" t="s">
        <v>506</v>
      </c>
      <c r="J12924" t="s">
        <v>507</v>
      </c>
      <c r="K12924" t="s">
        <v>33</v>
      </c>
      <c r="L12924" t="s">
        <v>508</v>
      </c>
      <c r="N12924" t="s">
        <v>29</v>
      </c>
    </row>
    <row r="12925" spans="1:14">
      <c r="A12925" s="4" t="str">
        <f t="shared" si="1108"/>
        <v>EXP00407</v>
      </c>
      <c r="B12925" s="3" t="s">
        <v>66</v>
      </c>
      <c r="C12925" s="4" t="str">
        <f t="shared" si="1107"/>
        <v>TCGA-BLCA</v>
      </c>
      <c r="D12925" s="1" t="s">
        <v>493</v>
      </c>
      <c r="E12925" t="s">
        <v>516</v>
      </c>
      <c r="F12925" s="1">
        <v>2</v>
      </c>
      <c r="G12925" s="1" t="s">
        <v>32</v>
      </c>
      <c r="H12925" s="4" t="str">
        <f>HYPERLINK("https://portal.gdc.cancer.gov/cases/b319798a-3f35-4902-8ecf-5be529d99312","TCGA-XF-A9SJ-01A")</f>
        <v>TCGA-XF-A9SJ-01A</v>
      </c>
      <c r="I12925" t="s">
        <v>506</v>
      </c>
      <c r="J12925" t="s">
        <v>507</v>
      </c>
      <c r="K12925" t="s">
        <v>33</v>
      </c>
      <c r="L12925" t="s">
        <v>508</v>
      </c>
      <c r="N12925" t="s">
        <v>29</v>
      </c>
    </row>
    <row r="12926" spans="1:14">
      <c r="A12926" s="4" t="str">
        <f t="shared" si="1108"/>
        <v>EXP00407</v>
      </c>
      <c r="B12926" s="3" t="s">
        <v>66</v>
      </c>
      <c r="C12926" s="4" t="str">
        <f t="shared" si="1107"/>
        <v>TCGA-BLCA</v>
      </c>
      <c r="D12926" s="1" t="s">
        <v>493</v>
      </c>
      <c r="E12926" t="s">
        <v>516</v>
      </c>
      <c r="F12926" s="1">
        <v>2</v>
      </c>
      <c r="G12926" s="1" t="s">
        <v>32</v>
      </c>
      <c r="H12926" s="4" t="str">
        <f>HYPERLINK("https://portal.gdc.cancer.gov/cases/51fdb034-5d05-427b-b6b8-b6eecd65d976","TCGA-XF-A9SL-01A")</f>
        <v>TCGA-XF-A9SL-01A</v>
      </c>
      <c r="I12926" t="s">
        <v>506</v>
      </c>
      <c r="J12926" t="s">
        <v>507</v>
      </c>
      <c r="K12926" t="s">
        <v>33</v>
      </c>
      <c r="L12926" t="s">
        <v>508</v>
      </c>
      <c r="N12926" t="s">
        <v>29</v>
      </c>
    </row>
    <row r="12927" spans="1:14">
      <c r="A12927" s="4" t="str">
        <f t="shared" si="1108"/>
        <v>EXP00407</v>
      </c>
      <c r="B12927" s="3" t="s">
        <v>66</v>
      </c>
      <c r="C12927" s="4" t="str">
        <f t="shared" si="1107"/>
        <v>TCGA-BLCA</v>
      </c>
      <c r="D12927" s="1" t="s">
        <v>493</v>
      </c>
      <c r="E12927" t="s">
        <v>516</v>
      </c>
      <c r="F12927" s="1">
        <v>2</v>
      </c>
      <c r="G12927" s="1" t="s">
        <v>32</v>
      </c>
      <c r="H12927" s="4" t="str">
        <f>HYPERLINK("https://portal.gdc.cancer.gov/cases/b027f4e2-f260-4d60-a1f4-444bc49c4a0b","TCGA-XF-A9SM-01A")</f>
        <v>TCGA-XF-A9SM-01A</v>
      </c>
      <c r="I12927" t="s">
        <v>506</v>
      </c>
      <c r="J12927" t="s">
        <v>507</v>
      </c>
      <c r="K12927" t="s">
        <v>33</v>
      </c>
      <c r="L12927" t="s">
        <v>508</v>
      </c>
      <c r="N12927" t="s">
        <v>29</v>
      </c>
    </row>
    <row r="12928" spans="1:14">
      <c r="A12928" s="4" t="str">
        <f t="shared" si="1108"/>
        <v>EXP00407</v>
      </c>
      <c r="B12928" s="3" t="s">
        <v>66</v>
      </c>
      <c r="C12928" s="4" t="str">
        <f t="shared" si="1107"/>
        <v>TCGA-BLCA</v>
      </c>
      <c r="D12928" s="1" t="s">
        <v>493</v>
      </c>
      <c r="E12928" t="s">
        <v>516</v>
      </c>
      <c r="F12928" s="1">
        <v>2</v>
      </c>
      <c r="G12928" s="1" t="s">
        <v>32</v>
      </c>
      <c r="H12928" s="4" t="str">
        <f>HYPERLINK("https://portal.gdc.cancer.gov/cases/76388364-eb01-4b16-a2b9-0b6c05b4b386","TCGA-XF-A9SP-01A")</f>
        <v>TCGA-XF-A9SP-01A</v>
      </c>
      <c r="I12928" t="s">
        <v>506</v>
      </c>
      <c r="J12928" t="s">
        <v>507</v>
      </c>
      <c r="K12928" t="s">
        <v>33</v>
      </c>
      <c r="L12928" t="s">
        <v>508</v>
      </c>
      <c r="N12928" t="s">
        <v>29</v>
      </c>
    </row>
    <row r="12929" spans="1:14">
      <c r="A12929" s="4" t="str">
        <f t="shared" si="1108"/>
        <v>EXP00407</v>
      </c>
      <c r="B12929" s="3" t="s">
        <v>66</v>
      </c>
      <c r="C12929" s="4" t="str">
        <f t="shared" si="1107"/>
        <v>TCGA-BLCA</v>
      </c>
      <c r="D12929" s="1" t="s">
        <v>493</v>
      </c>
      <c r="E12929" t="s">
        <v>516</v>
      </c>
      <c r="F12929" s="1">
        <v>2</v>
      </c>
      <c r="G12929" s="1" t="s">
        <v>32</v>
      </c>
      <c r="H12929" s="4" t="str">
        <f>HYPERLINK("https://portal.gdc.cancer.gov/cases/f5e03536-26e1-480d-a7bb-010eb8210cd6","TCGA-XF-A9SW-01A")</f>
        <v>TCGA-XF-A9SW-01A</v>
      </c>
      <c r="I12929" t="s">
        <v>506</v>
      </c>
      <c r="J12929" t="s">
        <v>507</v>
      </c>
      <c r="K12929" t="s">
        <v>33</v>
      </c>
      <c r="L12929" t="s">
        <v>508</v>
      </c>
      <c r="N12929" t="s">
        <v>29</v>
      </c>
    </row>
    <row r="12930" spans="1:14">
      <c r="A12930" s="4" t="str">
        <f t="shared" si="1108"/>
        <v>EXP00407</v>
      </c>
      <c r="B12930" s="3" t="s">
        <v>66</v>
      </c>
      <c r="C12930" s="4" t="str">
        <f t="shared" si="1107"/>
        <v>TCGA-BLCA</v>
      </c>
      <c r="D12930" s="1" t="s">
        <v>493</v>
      </c>
      <c r="E12930" t="s">
        <v>516</v>
      </c>
      <c r="F12930" s="1">
        <v>2</v>
      </c>
      <c r="G12930" s="1" t="s">
        <v>32</v>
      </c>
      <c r="H12930" s="4" t="str">
        <f>HYPERLINK("https://portal.gdc.cancer.gov/cases/5f5c1775-a908-483d-8a77-b902c5b7570e","TCGA-XF-A9T0-01A")</f>
        <v>TCGA-XF-A9T0-01A</v>
      </c>
      <c r="I12930" t="s">
        <v>506</v>
      </c>
      <c r="J12930" t="s">
        <v>507</v>
      </c>
      <c r="K12930" t="s">
        <v>33</v>
      </c>
      <c r="L12930" t="s">
        <v>508</v>
      </c>
      <c r="N12930" t="s">
        <v>29</v>
      </c>
    </row>
    <row r="12931" spans="1:14">
      <c r="A12931" s="4" t="str">
        <f t="shared" si="1108"/>
        <v>EXP00407</v>
      </c>
      <c r="B12931" s="3" t="s">
        <v>66</v>
      </c>
      <c r="C12931" s="4" t="str">
        <f t="shared" si="1107"/>
        <v>TCGA-BLCA</v>
      </c>
      <c r="D12931" s="1" t="s">
        <v>493</v>
      </c>
      <c r="E12931" t="s">
        <v>516</v>
      </c>
      <c r="F12931" s="1">
        <v>2</v>
      </c>
      <c r="G12931" s="1" t="s">
        <v>32</v>
      </c>
      <c r="H12931" s="4" t="str">
        <f>HYPERLINK("https://portal.gdc.cancer.gov/cases/aa6b44ab-14b1-4b5d-8679-ba958b546afa","TCGA-XF-A9T2-01A")</f>
        <v>TCGA-XF-A9T2-01A</v>
      </c>
      <c r="I12931" t="s">
        <v>506</v>
      </c>
      <c r="J12931" t="s">
        <v>507</v>
      </c>
      <c r="K12931" t="s">
        <v>33</v>
      </c>
      <c r="L12931" t="s">
        <v>508</v>
      </c>
      <c r="N12931" t="s">
        <v>29</v>
      </c>
    </row>
    <row r="12932" spans="1:14">
      <c r="A12932" s="4" t="str">
        <f t="shared" si="1108"/>
        <v>EXP00407</v>
      </c>
      <c r="B12932" s="3" t="s">
        <v>66</v>
      </c>
      <c r="C12932" s="4" t="str">
        <f t="shared" si="1107"/>
        <v>TCGA-BLCA</v>
      </c>
      <c r="D12932" s="1" t="s">
        <v>493</v>
      </c>
      <c r="E12932" t="s">
        <v>516</v>
      </c>
      <c r="F12932" s="1">
        <v>2</v>
      </c>
      <c r="G12932" s="1" t="s">
        <v>32</v>
      </c>
      <c r="H12932" s="4" t="str">
        <f>HYPERLINK("https://portal.gdc.cancer.gov/cases/5f7c3b2d-9a5b-470f-bd12-9c7787a543f0","TCGA-XF-A9T3-01A")</f>
        <v>TCGA-XF-A9T3-01A</v>
      </c>
      <c r="I12932" t="s">
        <v>506</v>
      </c>
      <c r="J12932" t="s">
        <v>507</v>
      </c>
      <c r="K12932" t="s">
        <v>33</v>
      </c>
      <c r="L12932" t="s">
        <v>508</v>
      </c>
      <c r="N12932" t="s">
        <v>29</v>
      </c>
    </row>
    <row r="12933" spans="1:14">
      <c r="A12933" s="4" t="str">
        <f t="shared" si="1108"/>
        <v>EXP00407</v>
      </c>
      <c r="B12933" s="3" t="s">
        <v>66</v>
      </c>
      <c r="C12933" s="4" t="str">
        <f t="shared" si="1107"/>
        <v>TCGA-BLCA</v>
      </c>
      <c r="D12933" s="1" t="s">
        <v>493</v>
      </c>
      <c r="E12933" t="s">
        <v>516</v>
      </c>
      <c r="F12933" s="1">
        <v>2</v>
      </c>
      <c r="G12933" s="1" t="s">
        <v>32</v>
      </c>
      <c r="H12933" s="4" t="str">
        <f>HYPERLINK("https://portal.gdc.cancer.gov/cases/f9a7ab94-70df-4194-8102-66021d01dadd","TCGA-XF-A9T5-01A")</f>
        <v>TCGA-XF-A9T5-01A</v>
      </c>
      <c r="I12933" t="s">
        <v>506</v>
      </c>
      <c r="J12933" t="s">
        <v>507</v>
      </c>
      <c r="K12933" t="s">
        <v>33</v>
      </c>
      <c r="L12933" t="s">
        <v>508</v>
      </c>
      <c r="N12933" t="s">
        <v>29</v>
      </c>
    </row>
    <row r="12934" spans="1:14">
      <c r="A12934" s="4" t="str">
        <f t="shared" si="1108"/>
        <v>EXP00407</v>
      </c>
      <c r="B12934" s="3" t="s">
        <v>66</v>
      </c>
      <c r="C12934" s="4" t="str">
        <f t="shared" si="1107"/>
        <v>TCGA-BLCA</v>
      </c>
      <c r="D12934" s="1" t="s">
        <v>493</v>
      </c>
      <c r="E12934" t="s">
        <v>516</v>
      </c>
      <c r="F12934" s="1">
        <v>2</v>
      </c>
      <c r="G12934" s="1" t="s">
        <v>32</v>
      </c>
      <c r="H12934" s="4" t="str">
        <f>HYPERLINK("https://portal.gdc.cancer.gov/cases/6ee18b9a-3f45-491f-9535-502820cfcf46","TCGA-XF-A9T6-01A")</f>
        <v>TCGA-XF-A9T6-01A</v>
      </c>
      <c r="I12934" t="s">
        <v>506</v>
      </c>
      <c r="J12934" t="s">
        <v>507</v>
      </c>
      <c r="K12934" t="s">
        <v>33</v>
      </c>
      <c r="L12934" t="s">
        <v>508</v>
      </c>
      <c r="N12934" t="s">
        <v>29</v>
      </c>
    </row>
    <row r="12935" spans="1:14">
      <c r="A12935" s="4" t="str">
        <f t="shared" si="1108"/>
        <v>EXP00407</v>
      </c>
      <c r="B12935" s="3" t="s">
        <v>66</v>
      </c>
      <c r="C12935" s="4" t="str">
        <f t="shared" si="1107"/>
        <v>TCGA-BLCA</v>
      </c>
      <c r="D12935" s="1" t="s">
        <v>493</v>
      </c>
      <c r="E12935" t="s">
        <v>516</v>
      </c>
      <c r="F12935" s="1">
        <v>2</v>
      </c>
      <c r="G12935" s="1" t="s">
        <v>32</v>
      </c>
      <c r="H12935" s="4" t="str">
        <f>HYPERLINK("https://portal.gdc.cancer.gov/cases/317e1db6-df93-4793-a4df-2fa234d8a81a","TCGA-XF-A9T8-01A")</f>
        <v>TCGA-XF-A9T8-01A</v>
      </c>
      <c r="I12935" t="s">
        <v>506</v>
      </c>
      <c r="J12935" t="s">
        <v>507</v>
      </c>
      <c r="K12935" t="s">
        <v>33</v>
      </c>
      <c r="L12935" t="s">
        <v>508</v>
      </c>
      <c r="N12935" t="s">
        <v>29</v>
      </c>
    </row>
    <row r="12936" spans="1:14">
      <c r="A12936" s="4" t="str">
        <f t="shared" si="1108"/>
        <v>EXP00407</v>
      </c>
      <c r="B12936" s="3" t="s">
        <v>66</v>
      </c>
      <c r="C12936" s="4" t="str">
        <f t="shared" si="1107"/>
        <v>TCGA-BLCA</v>
      </c>
      <c r="D12936" s="1" t="s">
        <v>493</v>
      </c>
      <c r="E12936" t="s">
        <v>516</v>
      </c>
      <c r="F12936" s="1">
        <v>2</v>
      </c>
      <c r="G12936" s="1" t="s">
        <v>32</v>
      </c>
      <c r="H12936" s="4" t="str">
        <f>HYPERLINK("https://portal.gdc.cancer.gov/cases/390a29fe-2cfd-43c4-a247-69e692763e17","TCGA-XF-AAMG-01A")</f>
        <v>TCGA-XF-AAMG-01A</v>
      </c>
      <c r="I12936" t="s">
        <v>506</v>
      </c>
      <c r="J12936" t="s">
        <v>507</v>
      </c>
      <c r="K12936" t="s">
        <v>33</v>
      </c>
      <c r="L12936" t="s">
        <v>508</v>
      </c>
      <c r="N12936" t="s">
        <v>29</v>
      </c>
    </row>
    <row r="12937" spans="1:14">
      <c r="A12937" s="4" t="str">
        <f t="shared" si="1108"/>
        <v>EXP00407</v>
      </c>
      <c r="B12937" s="3" t="s">
        <v>66</v>
      </c>
      <c r="C12937" s="4" t="str">
        <f t="shared" si="1107"/>
        <v>TCGA-BLCA</v>
      </c>
      <c r="D12937" s="1" t="s">
        <v>493</v>
      </c>
      <c r="E12937" t="s">
        <v>516</v>
      </c>
      <c r="F12937" s="1">
        <v>2</v>
      </c>
      <c r="G12937" s="1" t="s">
        <v>32</v>
      </c>
      <c r="H12937" s="4" t="str">
        <f>HYPERLINK("https://portal.gdc.cancer.gov/cases/8f10e006-531a-49ac-b51b-df3fdcb20929","TCGA-XF-AAMJ-01A")</f>
        <v>TCGA-XF-AAMJ-01A</v>
      </c>
      <c r="I12937" t="s">
        <v>506</v>
      </c>
      <c r="J12937" t="s">
        <v>507</v>
      </c>
      <c r="K12937" t="s">
        <v>33</v>
      </c>
      <c r="L12937" t="s">
        <v>508</v>
      </c>
      <c r="N12937" t="s">
        <v>29</v>
      </c>
    </row>
    <row r="12938" spans="1:14">
      <c r="A12938" s="4" t="str">
        <f t="shared" si="1108"/>
        <v>EXP00407</v>
      </c>
      <c r="B12938" s="3" t="s">
        <v>66</v>
      </c>
      <c r="C12938" s="4" t="str">
        <f t="shared" si="1107"/>
        <v>TCGA-BLCA</v>
      </c>
      <c r="D12938" s="1" t="s">
        <v>493</v>
      </c>
      <c r="E12938" t="s">
        <v>516</v>
      </c>
      <c r="F12938" s="1">
        <v>2</v>
      </c>
      <c r="G12938" s="1" t="s">
        <v>32</v>
      </c>
      <c r="H12938" s="4" t="str">
        <f>HYPERLINK("https://portal.gdc.cancer.gov/cases/329d372c-c44e-4595-b8ac-474c5a1321a5","TCGA-XF-AAML-01A")</f>
        <v>TCGA-XF-AAML-01A</v>
      </c>
      <c r="I12938" t="s">
        <v>506</v>
      </c>
      <c r="J12938" t="s">
        <v>507</v>
      </c>
      <c r="K12938" t="s">
        <v>33</v>
      </c>
      <c r="L12938" t="s">
        <v>508</v>
      </c>
      <c r="N12938" t="s">
        <v>29</v>
      </c>
    </row>
    <row r="12939" spans="1:14">
      <c r="A12939" s="4" t="str">
        <f t="shared" si="1108"/>
        <v>EXP00407</v>
      </c>
      <c r="B12939" s="3" t="s">
        <v>66</v>
      </c>
      <c r="C12939" s="4" t="str">
        <f t="shared" si="1107"/>
        <v>TCGA-BLCA</v>
      </c>
      <c r="D12939" s="1" t="s">
        <v>493</v>
      </c>
      <c r="E12939" t="s">
        <v>516</v>
      </c>
      <c r="F12939" s="1">
        <v>2</v>
      </c>
      <c r="G12939" s="1" t="s">
        <v>32</v>
      </c>
      <c r="H12939" s="4" t="str">
        <f>HYPERLINK("https://portal.gdc.cancer.gov/cases/82f4c181-e022-4799-9f7f-01abcdc3803e","TCGA-XF-AAMQ-01A")</f>
        <v>TCGA-XF-AAMQ-01A</v>
      </c>
      <c r="I12939" t="s">
        <v>506</v>
      </c>
      <c r="J12939" t="s">
        <v>507</v>
      </c>
      <c r="K12939" t="s">
        <v>33</v>
      </c>
      <c r="L12939" t="s">
        <v>508</v>
      </c>
      <c r="N12939" t="s">
        <v>29</v>
      </c>
    </row>
    <row r="12940" spans="1:14">
      <c r="A12940" s="4" t="str">
        <f t="shared" si="1108"/>
        <v>EXP00407</v>
      </c>
      <c r="B12940" s="3" t="s">
        <v>66</v>
      </c>
      <c r="C12940" s="4" t="str">
        <f t="shared" si="1107"/>
        <v>TCGA-BLCA</v>
      </c>
      <c r="D12940" s="1" t="s">
        <v>493</v>
      </c>
      <c r="E12940" t="s">
        <v>516</v>
      </c>
      <c r="F12940" s="1">
        <v>2</v>
      </c>
      <c r="G12940" s="1" t="s">
        <v>32</v>
      </c>
      <c r="H12940" s="4" t="str">
        <f>HYPERLINK("https://portal.gdc.cancer.gov/cases/818f5a45-4deb-49e4-9a73-55ef4269de4c","TCGA-XF-AAMR-01A")</f>
        <v>TCGA-XF-AAMR-01A</v>
      </c>
      <c r="I12940" t="s">
        <v>506</v>
      </c>
      <c r="J12940" t="s">
        <v>507</v>
      </c>
      <c r="K12940" t="s">
        <v>33</v>
      </c>
      <c r="L12940" t="s">
        <v>508</v>
      </c>
      <c r="N12940" t="s">
        <v>29</v>
      </c>
    </row>
    <row r="12941" spans="1:14">
      <c r="A12941" s="4" t="str">
        <f t="shared" si="1108"/>
        <v>EXP00407</v>
      </c>
      <c r="B12941" s="3" t="s">
        <v>66</v>
      </c>
      <c r="C12941" s="4" t="str">
        <f t="shared" si="1107"/>
        <v>TCGA-BLCA</v>
      </c>
      <c r="D12941" s="1" t="s">
        <v>493</v>
      </c>
      <c r="E12941" t="s">
        <v>516</v>
      </c>
      <c r="F12941" s="1">
        <v>2</v>
      </c>
      <c r="G12941" s="1" t="s">
        <v>32</v>
      </c>
      <c r="H12941" s="4" t="str">
        <f>HYPERLINK("https://portal.gdc.cancer.gov/cases/ada95115-275f-4229-aa00-f298a5ff931c","TCGA-XF-AAMT-01A")</f>
        <v>TCGA-XF-AAMT-01A</v>
      </c>
      <c r="I12941" t="s">
        <v>506</v>
      </c>
      <c r="J12941" t="s">
        <v>507</v>
      </c>
      <c r="K12941" t="s">
        <v>33</v>
      </c>
      <c r="L12941" t="s">
        <v>508</v>
      </c>
      <c r="N12941" t="s">
        <v>29</v>
      </c>
    </row>
    <row r="12942" spans="1:14">
      <c r="A12942" s="4" t="str">
        <f t="shared" si="1108"/>
        <v>EXP00407</v>
      </c>
      <c r="B12942" s="3" t="s">
        <v>66</v>
      </c>
      <c r="C12942" s="4" t="str">
        <f t="shared" si="1107"/>
        <v>TCGA-BLCA</v>
      </c>
      <c r="D12942" s="1" t="s">
        <v>493</v>
      </c>
      <c r="E12942" t="s">
        <v>516</v>
      </c>
      <c r="F12942" s="1">
        <v>2</v>
      </c>
      <c r="G12942" s="1" t="s">
        <v>32</v>
      </c>
      <c r="H12942" s="4" t="str">
        <f>HYPERLINK("https://portal.gdc.cancer.gov/cases/19da59a8-b67a-438d-900a-92a71e03bef3","TCGA-XF-AAMW-01A")</f>
        <v>TCGA-XF-AAMW-01A</v>
      </c>
      <c r="I12942" t="s">
        <v>506</v>
      </c>
      <c r="J12942" t="s">
        <v>507</v>
      </c>
      <c r="K12942" t="s">
        <v>33</v>
      </c>
      <c r="L12942" t="s">
        <v>508</v>
      </c>
      <c r="N12942" t="s">
        <v>29</v>
      </c>
    </row>
    <row r="12943" spans="1:14">
      <c r="A12943" s="4" t="str">
        <f t="shared" si="1108"/>
        <v>EXP00407</v>
      </c>
      <c r="B12943" s="3" t="s">
        <v>66</v>
      </c>
      <c r="C12943" s="4" t="str">
        <f t="shared" si="1107"/>
        <v>TCGA-BLCA</v>
      </c>
      <c r="D12943" s="1" t="s">
        <v>493</v>
      </c>
      <c r="E12943" t="s">
        <v>516</v>
      </c>
      <c r="F12943" s="1">
        <v>2</v>
      </c>
      <c r="G12943" s="1" t="s">
        <v>32</v>
      </c>
      <c r="H12943" s="4" t="str">
        <f>HYPERLINK("https://portal.gdc.cancer.gov/cases/edc290bf-9731-4f03-bc37-64542e78e8bb","TCGA-XF-AAMX-01A")</f>
        <v>TCGA-XF-AAMX-01A</v>
      </c>
      <c r="I12943" t="s">
        <v>506</v>
      </c>
      <c r="J12943" t="s">
        <v>507</v>
      </c>
      <c r="K12943" t="s">
        <v>33</v>
      </c>
      <c r="L12943" t="s">
        <v>508</v>
      </c>
      <c r="N12943" t="s">
        <v>29</v>
      </c>
    </row>
    <row r="12944" spans="1:14">
      <c r="A12944" s="4" t="str">
        <f t="shared" si="1108"/>
        <v>EXP00407</v>
      </c>
      <c r="B12944" s="3" t="s">
        <v>66</v>
      </c>
      <c r="C12944" s="4" t="str">
        <f t="shared" si="1107"/>
        <v>TCGA-BLCA</v>
      </c>
      <c r="D12944" s="1" t="s">
        <v>493</v>
      </c>
      <c r="E12944" t="s">
        <v>516</v>
      </c>
      <c r="F12944" s="1">
        <v>2</v>
      </c>
      <c r="G12944" s="1" t="s">
        <v>32</v>
      </c>
      <c r="H12944" s="4" t="str">
        <f>HYPERLINK("https://portal.gdc.cancer.gov/cases/ed36d054-53c4-465c-bd84-6ec5227097bf","TCGA-XF-AAMZ-01A")</f>
        <v>TCGA-XF-AAMZ-01A</v>
      </c>
      <c r="I12944" t="s">
        <v>506</v>
      </c>
      <c r="J12944" t="s">
        <v>507</v>
      </c>
      <c r="K12944" t="s">
        <v>33</v>
      </c>
      <c r="L12944" t="s">
        <v>508</v>
      </c>
      <c r="N12944" t="s">
        <v>29</v>
      </c>
    </row>
    <row r="12945" spans="1:14">
      <c r="A12945" s="4" t="str">
        <f t="shared" si="1108"/>
        <v>EXP00407</v>
      </c>
      <c r="B12945" s="3" t="s">
        <v>66</v>
      </c>
      <c r="C12945" s="4" t="str">
        <f t="shared" si="1107"/>
        <v>TCGA-BLCA</v>
      </c>
      <c r="D12945" s="1" t="s">
        <v>493</v>
      </c>
      <c r="E12945" t="s">
        <v>516</v>
      </c>
      <c r="F12945" s="1">
        <v>2</v>
      </c>
      <c r="G12945" s="1" t="s">
        <v>32</v>
      </c>
      <c r="H12945" s="4" t="str">
        <f>HYPERLINK("https://portal.gdc.cancer.gov/cases/e7e95597-ef88-4442-8c01-8d633822e7b5","TCGA-XF-AAN0-01A")</f>
        <v>TCGA-XF-AAN0-01A</v>
      </c>
      <c r="I12945" t="s">
        <v>506</v>
      </c>
      <c r="J12945" t="s">
        <v>507</v>
      </c>
      <c r="K12945" t="s">
        <v>33</v>
      </c>
      <c r="L12945" t="s">
        <v>508</v>
      </c>
      <c r="N12945" t="s">
        <v>29</v>
      </c>
    </row>
    <row r="12946" spans="1:14">
      <c r="A12946" s="4" t="str">
        <f t="shared" si="1108"/>
        <v>EXP00407</v>
      </c>
      <c r="B12946" s="3" t="s">
        <v>66</v>
      </c>
      <c r="C12946" s="4" t="str">
        <f t="shared" ref="C12946:C13009" si="1109">HYPERLINK("https://portal.gdc.cancer.gov/projects/TCGA-BLCA","TCGA-BLCA")</f>
        <v>TCGA-BLCA</v>
      </c>
      <c r="D12946" s="1" t="s">
        <v>493</v>
      </c>
      <c r="E12946" t="s">
        <v>516</v>
      </c>
      <c r="F12946" s="1">
        <v>2</v>
      </c>
      <c r="G12946" s="1" t="s">
        <v>32</v>
      </c>
      <c r="H12946" s="4" t="str">
        <f>HYPERLINK("https://portal.gdc.cancer.gov/cases/5378f375-aa04-4eca-bc35-190b3efb52bc","TCGA-XF-AAN1-01A")</f>
        <v>TCGA-XF-AAN1-01A</v>
      </c>
      <c r="I12946" t="s">
        <v>506</v>
      </c>
      <c r="J12946" t="s">
        <v>507</v>
      </c>
      <c r="K12946" t="s">
        <v>33</v>
      </c>
      <c r="L12946" t="s">
        <v>508</v>
      </c>
      <c r="N12946" t="s">
        <v>29</v>
      </c>
    </row>
    <row r="12947" spans="1:14">
      <c r="A12947" s="4" t="str">
        <f t="shared" si="1108"/>
        <v>EXP00407</v>
      </c>
      <c r="B12947" s="3" t="s">
        <v>66</v>
      </c>
      <c r="C12947" s="4" t="str">
        <f t="shared" si="1109"/>
        <v>TCGA-BLCA</v>
      </c>
      <c r="D12947" s="1" t="s">
        <v>493</v>
      </c>
      <c r="E12947" t="s">
        <v>516</v>
      </c>
      <c r="F12947" s="1">
        <v>2</v>
      </c>
      <c r="G12947" s="1" t="s">
        <v>32</v>
      </c>
      <c r="H12947" s="4" t="str">
        <f>HYPERLINK("https://portal.gdc.cancer.gov/cases/987e8157-fbea-40f3-aa01-0092d6cceb97","TCGA-XF-AAN2-01A")</f>
        <v>TCGA-XF-AAN2-01A</v>
      </c>
      <c r="I12947" t="s">
        <v>506</v>
      </c>
      <c r="J12947" t="s">
        <v>507</v>
      </c>
      <c r="K12947" t="s">
        <v>33</v>
      </c>
      <c r="L12947" t="s">
        <v>508</v>
      </c>
      <c r="N12947" t="s">
        <v>29</v>
      </c>
    </row>
    <row r="12948" spans="1:14">
      <c r="A12948" s="4" t="str">
        <f t="shared" si="1108"/>
        <v>EXP00407</v>
      </c>
      <c r="B12948" s="3" t="s">
        <v>66</v>
      </c>
      <c r="C12948" s="4" t="str">
        <f t="shared" si="1109"/>
        <v>TCGA-BLCA</v>
      </c>
      <c r="D12948" s="1" t="s">
        <v>493</v>
      </c>
      <c r="E12948" t="s">
        <v>516</v>
      </c>
      <c r="F12948" s="1">
        <v>2</v>
      </c>
      <c r="G12948" s="1" t="s">
        <v>32</v>
      </c>
      <c r="H12948" s="4" t="str">
        <f>HYPERLINK("https://portal.gdc.cancer.gov/cases/24ad2168-b25a-4de8-a021-dfe1c74fcc6e","TCGA-XF-AAN3-01A")</f>
        <v>TCGA-XF-AAN3-01A</v>
      </c>
      <c r="I12948" t="s">
        <v>506</v>
      </c>
      <c r="J12948" t="s">
        <v>507</v>
      </c>
      <c r="K12948" t="s">
        <v>33</v>
      </c>
      <c r="L12948" t="s">
        <v>508</v>
      </c>
      <c r="N12948" t="s">
        <v>29</v>
      </c>
    </row>
    <row r="12949" spans="1:14">
      <c r="A12949" s="4" t="str">
        <f t="shared" si="1108"/>
        <v>EXP00407</v>
      </c>
      <c r="B12949" s="3" t="s">
        <v>66</v>
      </c>
      <c r="C12949" s="4" t="str">
        <f t="shared" si="1109"/>
        <v>TCGA-BLCA</v>
      </c>
      <c r="D12949" s="1" t="s">
        <v>493</v>
      </c>
      <c r="E12949" t="s">
        <v>516</v>
      </c>
      <c r="F12949" s="1">
        <v>2</v>
      </c>
      <c r="G12949" s="1" t="s">
        <v>32</v>
      </c>
      <c r="H12949" s="4" t="str">
        <f>HYPERLINK("https://portal.gdc.cancer.gov/cases/b6c36037-56b1-4957-8df8-fda72b0d3c39","TCGA-XF-AAN4-01A")</f>
        <v>TCGA-XF-AAN4-01A</v>
      </c>
      <c r="I12949" t="s">
        <v>506</v>
      </c>
      <c r="J12949" t="s">
        <v>507</v>
      </c>
      <c r="K12949" t="s">
        <v>33</v>
      </c>
      <c r="L12949" t="s">
        <v>508</v>
      </c>
      <c r="N12949" t="s">
        <v>29</v>
      </c>
    </row>
    <row r="12950" spans="1:14">
      <c r="A12950" s="4" t="str">
        <f t="shared" si="1108"/>
        <v>EXP00407</v>
      </c>
      <c r="B12950" s="3" t="s">
        <v>66</v>
      </c>
      <c r="C12950" s="4" t="str">
        <f t="shared" si="1109"/>
        <v>TCGA-BLCA</v>
      </c>
      <c r="D12950" s="1" t="s">
        <v>493</v>
      </c>
      <c r="E12950" t="s">
        <v>516</v>
      </c>
      <c r="F12950" s="1">
        <v>2</v>
      </c>
      <c r="G12950" s="1" t="s">
        <v>32</v>
      </c>
      <c r="H12950" s="4" t="str">
        <f>HYPERLINK("https://portal.gdc.cancer.gov/cases/c1591625-e794-4155-8ae4-b74d6264659f","TCGA-XF-AAN5-01A")</f>
        <v>TCGA-XF-AAN5-01A</v>
      </c>
      <c r="I12950" t="s">
        <v>506</v>
      </c>
      <c r="J12950" t="s">
        <v>507</v>
      </c>
      <c r="K12950" t="s">
        <v>33</v>
      </c>
      <c r="L12950" t="s">
        <v>508</v>
      </c>
      <c r="N12950" t="s">
        <v>29</v>
      </c>
    </row>
    <row r="12951" spans="1:14">
      <c r="A12951" s="4" t="str">
        <f t="shared" si="1108"/>
        <v>EXP00407</v>
      </c>
      <c r="B12951" s="3" t="s">
        <v>66</v>
      </c>
      <c r="C12951" s="4" t="str">
        <f t="shared" si="1109"/>
        <v>TCGA-BLCA</v>
      </c>
      <c r="D12951" s="1" t="s">
        <v>493</v>
      </c>
      <c r="E12951" t="s">
        <v>516</v>
      </c>
      <c r="F12951" s="1">
        <v>2</v>
      </c>
      <c r="G12951" s="1" t="s">
        <v>32</v>
      </c>
      <c r="H12951" s="4" t="str">
        <f>HYPERLINK("https://portal.gdc.cancer.gov/cases/9d7fbdeb-ea3d-4e07-8527-23c5997d77cf","TCGA-XF-AAN7-01A")</f>
        <v>TCGA-XF-AAN7-01A</v>
      </c>
      <c r="I12951" t="s">
        <v>506</v>
      </c>
      <c r="J12951" t="s">
        <v>507</v>
      </c>
      <c r="K12951" t="s">
        <v>33</v>
      </c>
      <c r="L12951" t="s">
        <v>508</v>
      </c>
      <c r="N12951" t="s">
        <v>29</v>
      </c>
    </row>
    <row r="12952" spans="1:14">
      <c r="A12952" s="4" t="str">
        <f t="shared" si="1108"/>
        <v>EXP00407</v>
      </c>
      <c r="B12952" s="3" t="s">
        <v>66</v>
      </c>
      <c r="C12952" s="4" t="str">
        <f t="shared" si="1109"/>
        <v>TCGA-BLCA</v>
      </c>
      <c r="D12952" s="1" t="s">
        <v>493</v>
      </c>
      <c r="E12952" t="s">
        <v>516</v>
      </c>
      <c r="F12952" s="1">
        <v>2</v>
      </c>
      <c r="G12952" s="1" t="s">
        <v>32</v>
      </c>
      <c r="H12952" s="4" t="str">
        <f>HYPERLINK("https://portal.gdc.cancer.gov/cases/aa14e232-c6c6-4075-9d15-e1857373d233","TCGA-XF-AAN8-01A")</f>
        <v>TCGA-XF-AAN8-01A</v>
      </c>
      <c r="I12952" t="s">
        <v>506</v>
      </c>
      <c r="J12952" t="s">
        <v>507</v>
      </c>
      <c r="K12952" t="s">
        <v>33</v>
      </c>
      <c r="L12952" t="s">
        <v>508</v>
      </c>
      <c r="N12952" t="s">
        <v>29</v>
      </c>
    </row>
    <row r="12953" spans="1:14">
      <c r="A12953" s="4" t="str">
        <f t="shared" si="1108"/>
        <v>EXP00407</v>
      </c>
      <c r="B12953" s="3" t="s">
        <v>66</v>
      </c>
      <c r="C12953" s="4" t="str">
        <f t="shared" si="1109"/>
        <v>TCGA-BLCA</v>
      </c>
      <c r="D12953" s="1" t="s">
        <v>493</v>
      </c>
      <c r="E12953" t="s">
        <v>516</v>
      </c>
      <c r="F12953" s="1">
        <v>2</v>
      </c>
      <c r="G12953" s="1" t="s">
        <v>32</v>
      </c>
      <c r="H12953" s="4" t="str">
        <f>HYPERLINK("https://portal.gdc.cancer.gov/cases/95520295-90d3-4b4e-86b6-4bd856723315","TCGA-YC-A89H-01A")</f>
        <v>TCGA-YC-A89H-01A</v>
      </c>
      <c r="I12953" t="s">
        <v>506</v>
      </c>
      <c r="J12953" t="s">
        <v>507</v>
      </c>
      <c r="K12953" t="s">
        <v>33</v>
      </c>
      <c r="L12953" t="s">
        <v>508</v>
      </c>
      <c r="N12953" t="s">
        <v>29</v>
      </c>
    </row>
    <row r="12954" spans="1:14">
      <c r="A12954" s="4" t="str">
        <f t="shared" si="1108"/>
        <v>EXP00407</v>
      </c>
      <c r="B12954" s="3" t="s">
        <v>66</v>
      </c>
      <c r="C12954" s="4" t="str">
        <f t="shared" si="1109"/>
        <v>TCGA-BLCA</v>
      </c>
      <c r="D12954" s="1" t="s">
        <v>493</v>
      </c>
      <c r="E12954" t="s">
        <v>516</v>
      </c>
      <c r="F12954" s="1">
        <v>2</v>
      </c>
      <c r="G12954" s="1" t="s">
        <v>32</v>
      </c>
      <c r="H12954" s="4" t="str">
        <f>HYPERLINK("https://portal.gdc.cancer.gov/cases/97d6568c-0a89-4327-8988-71e81ee8dae6","TCGA-YC-A8S6-01A")</f>
        <v>TCGA-YC-A8S6-01A</v>
      </c>
      <c r="I12954" t="s">
        <v>506</v>
      </c>
      <c r="J12954" t="s">
        <v>507</v>
      </c>
      <c r="K12954" t="s">
        <v>33</v>
      </c>
      <c r="L12954" t="s">
        <v>508</v>
      </c>
      <c r="N12954" t="s">
        <v>29</v>
      </c>
    </row>
    <row r="12955" spans="1:14">
      <c r="A12955" s="4" t="str">
        <f t="shared" si="1108"/>
        <v>EXP00407</v>
      </c>
      <c r="B12955" s="3" t="s">
        <v>66</v>
      </c>
      <c r="C12955" s="4" t="str">
        <f t="shared" si="1109"/>
        <v>TCGA-BLCA</v>
      </c>
      <c r="D12955" s="1" t="s">
        <v>493</v>
      </c>
      <c r="E12955" t="s">
        <v>516</v>
      </c>
      <c r="F12955" s="1">
        <v>2</v>
      </c>
      <c r="G12955" s="1" t="s">
        <v>32</v>
      </c>
      <c r="H12955" s="4" t="str">
        <f>HYPERLINK("https://portal.gdc.cancer.gov/cases/6ee03f14-14ac-4cb9-bd23-b69704176301","TCGA-YC-A9TC-01A")</f>
        <v>TCGA-YC-A9TC-01A</v>
      </c>
      <c r="I12955" t="s">
        <v>506</v>
      </c>
      <c r="J12955" t="s">
        <v>507</v>
      </c>
      <c r="K12955" t="s">
        <v>33</v>
      </c>
      <c r="L12955" t="s">
        <v>508</v>
      </c>
      <c r="N12955" t="s">
        <v>29</v>
      </c>
    </row>
    <row r="12956" spans="1:14">
      <c r="A12956" s="4" t="str">
        <f t="shared" si="1108"/>
        <v>EXP00407</v>
      </c>
      <c r="B12956" s="3" t="s">
        <v>66</v>
      </c>
      <c r="C12956" s="4" t="str">
        <f t="shared" si="1109"/>
        <v>TCGA-BLCA</v>
      </c>
      <c r="D12956" s="1" t="s">
        <v>493</v>
      </c>
      <c r="E12956" t="s">
        <v>516</v>
      </c>
      <c r="F12956" s="1">
        <v>2</v>
      </c>
      <c r="G12956" s="1" t="s">
        <v>32</v>
      </c>
      <c r="H12956" s="4" t="str">
        <f>HYPERLINK("https://portal.gdc.cancer.gov/cases/661967e5-94b3-4f98-9402-6ab137893c16","TCGA-YF-AA3L-01A")</f>
        <v>TCGA-YF-AA3L-01A</v>
      </c>
      <c r="I12956" t="s">
        <v>506</v>
      </c>
      <c r="J12956" t="s">
        <v>507</v>
      </c>
      <c r="K12956" t="s">
        <v>33</v>
      </c>
      <c r="L12956" t="s">
        <v>508</v>
      </c>
      <c r="N12956" t="s">
        <v>29</v>
      </c>
    </row>
    <row r="12957" spans="1:14">
      <c r="A12957" s="4" t="str">
        <f t="shared" si="1108"/>
        <v>EXP00407</v>
      </c>
      <c r="B12957" s="3" t="s">
        <v>66</v>
      </c>
      <c r="C12957" s="4" t="str">
        <f t="shared" si="1109"/>
        <v>TCGA-BLCA</v>
      </c>
      <c r="D12957" s="1" t="s">
        <v>493</v>
      </c>
      <c r="E12957" t="s">
        <v>516</v>
      </c>
      <c r="F12957" s="1">
        <v>2</v>
      </c>
      <c r="G12957" s="1" t="s">
        <v>32</v>
      </c>
      <c r="H12957" s="4" t="str">
        <f>HYPERLINK("https://portal.gdc.cancer.gov/cases/30ad8081-daa7-4e2b-96f8-07f5ad12e774","TCGA-YF-AA3M-01A")</f>
        <v>TCGA-YF-AA3M-01A</v>
      </c>
      <c r="I12957" t="s">
        <v>506</v>
      </c>
      <c r="J12957" t="s">
        <v>507</v>
      </c>
      <c r="K12957" t="s">
        <v>33</v>
      </c>
      <c r="L12957" t="s">
        <v>508</v>
      </c>
      <c r="N12957" t="s">
        <v>29</v>
      </c>
    </row>
    <row r="12958" spans="1:14">
      <c r="A12958" s="4" t="str">
        <f t="shared" si="1108"/>
        <v>EXP00407</v>
      </c>
      <c r="B12958" s="3" t="s">
        <v>66</v>
      </c>
      <c r="C12958" s="4" t="str">
        <f t="shared" si="1109"/>
        <v>TCGA-BLCA</v>
      </c>
      <c r="D12958" s="1" t="s">
        <v>493</v>
      </c>
      <c r="E12958" t="s">
        <v>516</v>
      </c>
      <c r="F12958" s="1">
        <v>2</v>
      </c>
      <c r="G12958" s="1" t="s">
        <v>32</v>
      </c>
      <c r="H12958" s="4" t="str">
        <f>HYPERLINK("https://portal.gdc.cancer.gov/cases/5b39a0dc-8ab2-46c6-95c7-65df919ebc76","TCGA-ZF-A9R0-01A")</f>
        <v>TCGA-ZF-A9R0-01A</v>
      </c>
      <c r="I12958" t="s">
        <v>506</v>
      </c>
      <c r="J12958" t="s">
        <v>507</v>
      </c>
      <c r="K12958" t="s">
        <v>33</v>
      </c>
      <c r="L12958" t="s">
        <v>508</v>
      </c>
      <c r="N12958" t="s">
        <v>29</v>
      </c>
    </row>
    <row r="12959" spans="1:14">
      <c r="A12959" s="4" t="str">
        <f t="shared" si="1108"/>
        <v>EXP00407</v>
      </c>
      <c r="B12959" s="3" t="s">
        <v>66</v>
      </c>
      <c r="C12959" s="4" t="str">
        <f t="shared" si="1109"/>
        <v>TCGA-BLCA</v>
      </c>
      <c r="D12959" s="1" t="s">
        <v>493</v>
      </c>
      <c r="E12959" t="s">
        <v>516</v>
      </c>
      <c r="F12959" s="1">
        <v>2</v>
      </c>
      <c r="G12959" s="1" t="s">
        <v>32</v>
      </c>
      <c r="H12959" s="4" t="str">
        <f>HYPERLINK("https://portal.gdc.cancer.gov/cases/f1bd8305-5c3f-4c82-9e68-ba9cf4ecdf7b","TCGA-ZF-A9R1-01A")</f>
        <v>TCGA-ZF-A9R1-01A</v>
      </c>
      <c r="I12959" t="s">
        <v>506</v>
      </c>
      <c r="J12959" t="s">
        <v>507</v>
      </c>
      <c r="K12959" t="s">
        <v>33</v>
      </c>
      <c r="L12959" t="s">
        <v>508</v>
      </c>
      <c r="N12959" t="s">
        <v>29</v>
      </c>
    </row>
    <row r="12960" spans="1:14">
      <c r="A12960" s="4" t="str">
        <f t="shared" si="1108"/>
        <v>EXP00407</v>
      </c>
      <c r="B12960" s="3" t="s">
        <v>66</v>
      </c>
      <c r="C12960" s="4" t="str">
        <f t="shared" si="1109"/>
        <v>TCGA-BLCA</v>
      </c>
      <c r="D12960" s="1" t="s">
        <v>493</v>
      </c>
      <c r="E12960" t="s">
        <v>516</v>
      </c>
      <c r="F12960" s="1">
        <v>2</v>
      </c>
      <c r="G12960" s="1" t="s">
        <v>32</v>
      </c>
      <c r="H12960" s="4" t="str">
        <f>HYPERLINK("https://portal.gdc.cancer.gov/cases/aeb08986-a802-43dd-a5b4-17f4ec018790","TCGA-ZF-A9R2-01A")</f>
        <v>TCGA-ZF-A9R2-01A</v>
      </c>
      <c r="I12960" t="s">
        <v>506</v>
      </c>
      <c r="J12960" t="s">
        <v>507</v>
      </c>
      <c r="K12960" t="s">
        <v>33</v>
      </c>
      <c r="L12960" t="s">
        <v>508</v>
      </c>
      <c r="N12960" t="s">
        <v>29</v>
      </c>
    </row>
    <row r="12961" spans="1:14">
      <c r="A12961" s="4" t="str">
        <f t="shared" si="1108"/>
        <v>EXP00407</v>
      </c>
      <c r="B12961" s="3" t="s">
        <v>66</v>
      </c>
      <c r="C12961" s="4" t="str">
        <f t="shared" si="1109"/>
        <v>TCGA-BLCA</v>
      </c>
      <c r="D12961" s="1" t="s">
        <v>493</v>
      </c>
      <c r="E12961" t="s">
        <v>516</v>
      </c>
      <c r="F12961" s="1">
        <v>2</v>
      </c>
      <c r="G12961" s="1" t="s">
        <v>32</v>
      </c>
      <c r="H12961" s="4" t="str">
        <f>HYPERLINK("https://portal.gdc.cancer.gov/cases/ab77b411-4df2-4e3a-bfad-946e8bb1fa70","TCGA-ZF-A9R3-01A")</f>
        <v>TCGA-ZF-A9R3-01A</v>
      </c>
      <c r="I12961" t="s">
        <v>506</v>
      </c>
      <c r="J12961" t="s">
        <v>507</v>
      </c>
      <c r="K12961" t="s">
        <v>33</v>
      </c>
      <c r="L12961" t="s">
        <v>508</v>
      </c>
      <c r="N12961" t="s">
        <v>29</v>
      </c>
    </row>
    <row r="12962" spans="1:14">
      <c r="A12962" s="4" t="str">
        <f t="shared" si="1108"/>
        <v>EXP00407</v>
      </c>
      <c r="B12962" s="3" t="s">
        <v>66</v>
      </c>
      <c r="C12962" s="4" t="str">
        <f t="shared" si="1109"/>
        <v>TCGA-BLCA</v>
      </c>
      <c r="D12962" s="1" t="s">
        <v>493</v>
      </c>
      <c r="E12962" t="s">
        <v>516</v>
      </c>
      <c r="F12962" s="1">
        <v>2</v>
      </c>
      <c r="G12962" s="1" t="s">
        <v>32</v>
      </c>
      <c r="H12962" s="4" t="str">
        <f>HYPERLINK("https://portal.gdc.cancer.gov/cases/371b5d70-9797-4dae-b523-247f5eaeb4ab","TCGA-ZF-A9R4-01A")</f>
        <v>TCGA-ZF-A9R4-01A</v>
      </c>
      <c r="I12962" t="s">
        <v>506</v>
      </c>
      <c r="J12962" t="s">
        <v>507</v>
      </c>
      <c r="K12962" t="s">
        <v>33</v>
      </c>
      <c r="L12962" t="s">
        <v>508</v>
      </c>
      <c r="N12962" t="s">
        <v>29</v>
      </c>
    </row>
    <row r="12963" spans="1:14">
      <c r="A12963" s="4" t="str">
        <f t="shared" ref="A12963:A12982" si="1110">HYPERLINK("http://hcmdb.i-sanger.com/experiment/details/experiment_id/EXP00407","EXP00407")</f>
        <v>EXP00407</v>
      </c>
      <c r="B12963" s="3" t="s">
        <v>66</v>
      </c>
      <c r="C12963" s="4" t="str">
        <f t="shared" si="1109"/>
        <v>TCGA-BLCA</v>
      </c>
      <c r="D12963" s="1" t="s">
        <v>493</v>
      </c>
      <c r="E12963" t="s">
        <v>516</v>
      </c>
      <c r="F12963" s="1">
        <v>2</v>
      </c>
      <c r="G12963" s="1" t="s">
        <v>32</v>
      </c>
      <c r="H12963" s="4" t="str">
        <f>HYPERLINK("https://portal.gdc.cancer.gov/cases/aaa55de1-8f53-4b56-ba0a-67cff909cf81","TCGA-ZF-A9R5-01A")</f>
        <v>TCGA-ZF-A9R5-01A</v>
      </c>
      <c r="I12963" t="s">
        <v>506</v>
      </c>
      <c r="J12963" t="s">
        <v>507</v>
      </c>
      <c r="K12963" t="s">
        <v>33</v>
      </c>
      <c r="L12963" t="s">
        <v>508</v>
      </c>
      <c r="N12963" t="s">
        <v>29</v>
      </c>
    </row>
    <row r="12964" spans="1:14">
      <c r="A12964" s="4" t="str">
        <f t="shared" si="1110"/>
        <v>EXP00407</v>
      </c>
      <c r="B12964" s="3" t="s">
        <v>66</v>
      </c>
      <c r="C12964" s="4" t="str">
        <f t="shared" si="1109"/>
        <v>TCGA-BLCA</v>
      </c>
      <c r="D12964" s="1" t="s">
        <v>493</v>
      </c>
      <c r="E12964" t="s">
        <v>516</v>
      </c>
      <c r="F12964" s="1">
        <v>2</v>
      </c>
      <c r="G12964" s="1" t="s">
        <v>32</v>
      </c>
      <c r="H12964" s="4" t="str">
        <f>HYPERLINK("https://portal.gdc.cancer.gov/cases/ce4e4549-befc-447f-9b79-ed46e302e6d7","TCGA-ZF-A9R7-01A")</f>
        <v>TCGA-ZF-A9R7-01A</v>
      </c>
      <c r="I12964" t="s">
        <v>506</v>
      </c>
      <c r="J12964" t="s">
        <v>507</v>
      </c>
      <c r="K12964" t="s">
        <v>33</v>
      </c>
      <c r="L12964" t="s">
        <v>508</v>
      </c>
      <c r="N12964" t="s">
        <v>29</v>
      </c>
    </row>
    <row r="12965" spans="1:14">
      <c r="A12965" s="4" t="str">
        <f t="shared" si="1110"/>
        <v>EXP00407</v>
      </c>
      <c r="B12965" s="3" t="s">
        <v>66</v>
      </c>
      <c r="C12965" s="4" t="str">
        <f t="shared" si="1109"/>
        <v>TCGA-BLCA</v>
      </c>
      <c r="D12965" s="1" t="s">
        <v>493</v>
      </c>
      <c r="E12965" t="s">
        <v>516</v>
      </c>
      <c r="F12965" s="1">
        <v>2</v>
      </c>
      <c r="G12965" s="1" t="s">
        <v>32</v>
      </c>
      <c r="H12965" s="4" t="str">
        <f>HYPERLINK("https://portal.gdc.cancer.gov/cases/4ed34db5-ddb5-4efd-a49b-84bf26789aee","TCGA-ZF-A9RC-01A")</f>
        <v>TCGA-ZF-A9RC-01A</v>
      </c>
      <c r="I12965" t="s">
        <v>506</v>
      </c>
      <c r="J12965" t="s">
        <v>507</v>
      </c>
      <c r="K12965" t="s">
        <v>33</v>
      </c>
      <c r="L12965" t="s">
        <v>508</v>
      </c>
      <c r="N12965" t="s">
        <v>29</v>
      </c>
    </row>
    <row r="12966" spans="1:14">
      <c r="A12966" s="4" t="str">
        <f t="shared" si="1110"/>
        <v>EXP00407</v>
      </c>
      <c r="B12966" s="3" t="s">
        <v>66</v>
      </c>
      <c r="C12966" s="4" t="str">
        <f t="shared" si="1109"/>
        <v>TCGA-BLCA</v>
      </c>
      <c r="D12966" s="1" t="s">
        <v>493</v>
      </c>
      <c r="E12966" t="s">
        <v>516</v>
      </c>
      <c r="F12966" s="1">
        <v>2</v>
      </c>
      <c r="G12966" s="1" t="s">
        <v>32</v>
      </c>
      <c r="H12966" s="4" t="str">
        <f>HYPERLINK("https://portal.gdc.cancer.gov/cases/f57122dd-a6f1-484d-b08a-cb1194de2f9d","TCGA-ZF-A9RD-01A")</f>
        <v>TCGA-ZF-A9RD-01A</v>
      </c>
      <c r="I12966" t="s">
        <v>506</v>
      </c>
      <c r="J12966" t="s">
        <v>507</v>
      </c>
      <c r="K12966" t="s">
        <v>33</v>
      </c>
      <c r="L12966" t="s">
        <v>508</v>
      </c>
      <c r="N12966" t="s">
        <v>29</v>
      </c>
    </row>
    <row r="12967" spans="1:14">
      <c r="A12967" s="4" t="str">
        <f t="shared" si="1110"/>
        <v>EXP00407</v>
      </c>
      <c r="B12967" s="3" t="s">
        <v>66</v>
      </c>
      <c r="C12967" s="4" t="str">
        <f t="shared" si="1109"/>
        <v>TCGA-BLCA</v>
      </c>
      <c r="D12967" s="1" t="s">
        <v>493</v>
      </c>
      <c r="E12967" t="s">
        <v>516</v>
      </c>
      <c r="F12967" s="1">
        <v>2</v>
      </c>
      <c r="G12967" s="1" t="s">
        <v>32</v>
      </c>
      <c r="H12967" s="4" t="str">
        <f>HYPERLINK("https://portal.gdc.cancer.gov/cases/284e175c-3229-4fee-a627-a49eac538e3a","TCGA-ZF-A9RE-01A")</f>
        <v>TCGA-ZF-A9RE-01A</v>
      </c>
      <c r="I12967" t="s">
        <v>506</v>
      </c>
      <c r="J12967" t="s">
        <v>507</v>
      </c>
      <c r="K12967" t="s">
        <v>33</v>
      </c>
      <c r="L12967" t="s">
        <v>508</v>
      </c>
      <c r="N12967" t="s">
        <v>29</v>
      </c>
    </row>
    <row r="12968" spans="1:14">
      <c r="A12968" s="4" t="str">
        <f t="shared" si="1110"/>
        <v>EXP00407</v>
      </c>
      <c r="B12968" s="3" t="s">
        <v>66</v>
      </c>
      <c r="C12968" s="4" t="str">
        <f t="shared" si="1109"/>
        <v>TCGA-BLCA</v>
      </c>
      <c r="D12968" s="1" t="s">
        <v>493</v>
      </c>
      <c r="E12968" t="s">
        <v>516</v>
      </c>
      <c r="F12968" s="1">
        <v>2</v>
      </c>
      <c r="G12968" s="1" t="s">
        <v>32</v>
      </c>
      <c r="H12968" s="4" t="str">
        <f>HYPERLINK("https://portal.gdc.cancer.gov/cases/fa05f7f6-50e9-4878-a834-f655c0877394","TCGA-ZF-A9RF-01A")</f>
        <v>TCGA-ZF-A9RF-01A</v>
      </c>
      <c r="I12968" t="s">
        <v>506</v>
      </c>
      <c r="J12968" t="s">
        <v>507</v>
      </c>
      <c r="K12968" t="s">
        <v>33</v>
      </c>
      <c r="L12968" t="s">
        <v>508</v>
      </c>
      <c r="N12968" t="s">
        <v>29</v>
      </c>
    </row>
    <row r="12969" spans="1:14">
      <c r="A12969" s="4" t="str">
        <f t="shared" si="1110"/>
        <v>EXP00407</v>
      </c>
      <c r="B12969" s="3" t="s">
        <v>66</v>
      </c>
      <c r="C12969" s="4" t="str">
        <f t="shared" si="1109"/>
        <v>TCGA-BLCA</v>
      </c>
      <c r="D12969" s="1" t="s">
        <v>493</v>
      </c>
      <c r="E12969" t="s">
        <v>516</v>
      </c>
      <c r="F12969" s="1">
        <v>2</v>
      </c>
      <c r="G12969" s="1" t="s">
        <v>32</v>
      </c>
      <c r="H12969" s="4" t="str">
        <f>HYPERLINK("https://portal.gdc.cancer.gov/cases/386f51e4-d03a-4606-bf2e-6168f2122c5f","TCGA-ZF-A9RL-01A")</f>
        <v>TCGA-ZF-A9RL-01A</v>
      </c>
      <c r="I12969" t="s">
        <v>506</v>
      </c>
      <c r="J12969" t="s">
        <v>507</v>
      </c>
      <c r="K12969" t="s">
        <v>33</v>
      </c>
      <c r="L12969" t="s">
        <v>508</v>
      </c>
      <c r="N12969" t="s">
        <v>29</v>
      </c>
    </row>
    <row r="12970" spans="1:14">
      <c r="A12970" s="4" t="str">
        <f t="shared" si="1110"/>
        <v>EXP00407</v>
      </c>
      <c r="B12970" s="3" t="s">
        <v>66</v>
      </c>
      <c r="C12970" s="4" t="str">
        <f t="shared" si="1109"/>
        <v>TCGA-BLCA</v>
      </c>
      <c r="D12970" s="1" t="s">
        <v>493</v>
      </c>
      <c r="E12970" t="s">
        <v>516</v>
      </c>
      <c r="F12970" s="1">
        <v>2</v>
      </c>
      <c r="G12970" s="1" t="s">
        <v>32</v>
      </c>
      <c r="H12970" s="4" t="str">
        <f>HYPERLINK("https://portal.gdc.cancer.gov/cases/7d71945a-b81a-405c-bb17-cec9b1d7592c","TCGA-ZF-A9RM-01A")</f>
        <v>TCGA-ZF-A9RM-01A</v>
      </c>
      <c r="I12970" t="s">
        <v>506</v>
      </c>
      <c r="J12970" t="s">
        <v>507</v>
      </c>
      <c r="K12970" t="s">
        <v>33</v>
      </c>
      <c r="L12970" t="s">
        <v>508</v>
      </c>
      <c r="N12970" t="s">
        <v>29</v>
      </c>
    </row>
    <row r="12971" spans="1:14">
      <c r="A12971" s="4" t="str">
        <f t="shared" si="1110"/>
        <v>EXP00407</v>
      </c>
      <c r="B12971" s="3" t="s">
        <v>66</v>
      </c>
      <c r="C12971" s="4" t="str">
        <f t="shared" si="1109"/>
        <v>TCGA-BLCA</v>
      </c>
      <c r="D12971" s="1" t="s">
        <v>493</v>
      </c>
      <c r="E12971" t="s">
        <v>516</v>
      </c>
      <c r="F12971" s="1">
        <v>2</v>
      </c>
      <c r="G12971" s="1" t="s">
        <v>32</v>
      </c>
      <c r="H12971" s="4" t="str">
        <f>HYPERLINK("https://portal.gdc.cancer.gov/cases/c692e696-37fe-4fc1-90eb-8e34a91a98fc","TCGA-ZF-AA4N-01A")</f>
        <v>TCGA-ZF-AA4N-01A</v>
      </c>
      <c r="I12971" t="s">
        <v>506</v>
      </c>
      <c r="J12971" t="s">
        <v>507</v>
      </c>
      <c r="K12971" t="s">
        <v>33</v>
      </c>
      <c r="L12971" t="s">
        <v>508</v>
      </c>
      <c r="N12971" t="s">
        <v>29</v>
      </c>
    </row>
    <row r="12972" spans="1:14">
      <c r="A12972" s="4" t="str">
        <f t="shared" si="1110"/>
        <v>EXP00407</v>
      </c>
      <c r="B12972" s="3" t="s">
        <v>66</v>
      </c>
      <c r="C12972" s="4" t="str">
        <f t="shared" si="1109"/>
        <v>TCGA-BLCA</v>
      </c>
      <c r="D12972" s="1" t="s">
        <v>493</v>
      </c>
      <c r="E12972" t="s">
        <v>516</v>
      </c>
      <c r="F12972" s="1">
        <v>2</v>
      </c>
      <c r="G12972" s="1" t="s">
        <v>32</v>
      </c>
      <c r="H12972" s="4" t="str">
        <f>HYPERLINK("https://portal.gdc.cancer.gov/cases/b36e3b5f-8904-4722-adae-b00812efec65","TCGA-ZF-AA4R-01A")</f>
        <v>TCGA-ZF-AA4R-01A</v>
      </c>
      <c r="I12972" t="s">
        <v>506</v>
      </c>
      <c r="J12972" t="s">
        <v>507</v>
      </c>
      <c r="K12972" t="s">
        <v>33</v>
      </c>
      <c r="L12972" t="s">
        <v>508</v>
      </c>
      <c r="N12972" t="s">
        <v>29</v>
      </c>
    </row>
    <row r="12973" spans="1:14">
      <c r="A12973" s="4" t="str">
        <f t="shared" si="1110"/>
        <v>EXP00407</v>
      </c>
      <c r="B12973" s="3" t="s">
        <v>66</v>
      </c>
      <c r="C12973" s="4" t="str">
        <f t="shared" si="1109"/>
        <v>TCGA-BLCA</v>
      </c>
      <c r="D12973" s="1" t="s">
        <v>493</v>
      </c>
      <c r="E12973" t="s">
        <v>516</v>
      </c>
      <c r="F12973" s="1">
        <v>2</v>
      </c>
      <c r="G12973" s="1" t="s">
        <v>32</v>
      </c>
      <c r="H12973" s="4" t="str">
        <f>HYPERLINK("https://portal.gdc.cancer.gov/cases/ccd65bc8-82ef-453e-b4bc-a005cc2262d5","TCGA-ZF-AA4V-01A")</f>
        <v>TCGA-ZF-AA4V-01A</v>
      </c>
      <c r="I12973" t="s">
        <v>506</v>
      </c>
      <c r="J12973" t="s">
        <v>507</v>
      </c>
      <c r="K12973" t="s">
        <v>33</v>
      </c>
      <c r="L12973" t="s">
        <v>508</v>
      </c>
      <c r="N12973" t="s">
        <v>29</v>
      </c>
    </row>
    <row r="12974" spans="1:14">
      <c r="A12974" s="4" t="str">
        <f t="shared" si="1110"/>
        <v>EXP00407</v>
      </c>
      <c r="B12974" s="3" t="s">
        <v>66</v>
      </c>
      <c r="C12974" s="4" t="str">
        <f t="shared" si="1109"/>
        <v>TCGA-BLCA</v>
      </c>
      <c r="D12974" s="1" t="s">
        <v>493</v>
      </c>
      <c r="E12974" t="s">
        <v>516</v>
      </c>
      <c r="F12974" s="1">
        <v>2</v>
      </c>
      <c r="G12974" s="1" t="s">
        <v>32</v>
      </c>
      <c r="H12974" s="4" t="str">
        <f>HYPERLINK("https://portal.gdc.cancer.gov/cases/e6f7bf6c-92b1-4795-94fc-b189d0c7877f","TCGA-ZF-AA4X-01A")</f>
        <v>TCGA-ZF-AA4X-01A</v>
      </c>
      <c r="I12974" t="s">
        <v>506</v>
      </c>
      <c r="J12974" t="s">
        <v>507</v>
      </c>
      <c r="K12974" t="s">
        <v>33</v>
      </c>
      <c r="L12974" t="s">
        <v>508</v>
      </c>
      <c r="N12974" t="s">
        <v>29</v>
      </c>
    </row>
    <row r="12975" spans="1:14">
      <c r="A12975" s="4" t="str">
        <f t="shared" si="1110"/>
        <v>EXP00407</v>
      </c>
      <c r="B12975" s="3" t="s">
        <v>66</v>
      </c>
      <c r="C12975" s="4" t="str">
        <f t="shared" si="1109"/>
        <v>TCGA-BLCA</v>
      </c>
      <c r="D12975" s="1" t="s">
        <v>493</v>
      </c>
      <c r="E12975" t="s">
        <v>516</v>
      </c>
      <c r="F12975" s="1">
        <v>2</v>
      </c>
      <c r="G12975" s="1" t="s">
        <v>32</v>
      </c>
      <c r="H12975" s="4" t="str">
        <f>HYPERLINK("https://portal.gdc.cancer.gov/cases/1029514b-a32c-4c43-a440-a5ba2709f717","TCGA-ZF-AA51-01A")</f>
        <v>TCGA-ZF-AA51-01A</v>
      </c>
      <c r="I12975" t="s">
        <v>506</v>
      </c>
      <c r="J12975" t="s">
        <v>507</v>
      </c>
      <c r="K12975" t="s">
        <v>33</v>
      </c>
      <c r="L12975" t="s">
        <v>508</v>
      </c>
      <c r="N12975" t="s">
        <v>29</v>
      </c>
    </row>
    <row r="12976" spans="1:14">
      <c r="A12976" s="4" t="str">
        <f t="shared" si="1110"/>
        <v>EXP00407</v>
      </c>
      <c r="B12976" s="3" t="s">
        <v>66</v>
      </c>
      <c r="C12976" s="4" t="str">
        <f t="shared" si="1109"/>
        <v>TCGA-BLCA</v>
      </c>
      <c r="D12976" s="1" t="s">
        <v>493</v>
      </c>
      <c r="E12976" t="s">
        <v>516</v>
      </c>
      <c r="F12976" s="1">
        <v>2</v>
      </c>
      <c r="G12976" s="1" t="s">
        <v>32</v>
      </c>
      <c r="H12976" s="4" t="str">
        <f>HYPERLINK("https://portal.gdc.cancer.gov/cases/6c5f09f0-2019-4440-8554-e8912bce5e98","TCGA-ZF-AA52-01A")</f>
        <v>TCGA-ZF-AA52-01A</v>
      </c>
      <c r="I12976" t="s">
        <v>506</v>
      </c>
      <c r="J12976" t="s">
        <v>507</v>
      </c>
      <c r="K12976" t="s">
        <v>33</v>
      </c>
      <c r="L12976" t="s">
        <v>508</v>
      </c>
      <c r="N12976" t="s">
        <v>29</v>
      </c>
    </row>
    <row r="12977" spans="1:14">
      <c r="A12977" s="4" t="str">
        <f t="shared" si="1110"/>
        <v>EXP00407</v>
      </c>
      <c r="B12977" s="3" t="s">
        <v>66</v>
      </c>
      <c r="C12977" s="4" t="str">
        <f t="shared" si="1109"/>
        <v>TCGA-BLCA</v>
      </c>
      <c r="D12977" s="1" t="s">
        <v>493</v>
      </c>
      <c r="E12977" t="s">
        <v>516</v>
      </c>
      <c r="F12977" s="1">
        <v>2</v>
      </c>
      <c r="G12977" s="1" t="s">
        <v>32</v>
      </c>
      <c r="H12977" s="4" t="str">
        <f>HYPERLINK("https://portal.gdc.cancer.gov/cases/92c6856a-b26f-4512-bbb1-8a8aff4636ab","TCGA-ZF-AA53-01A")</f>
        <v>TCGA-ZF-AA53-01A</v>
      </c>
      <c r="I12977" t="s">
        <v>506</v>
      </c>
      <c r="J12977" t="s">
        <v>507</v>
      </c>
      <c r="K12977" t="s">
        <v>33</v>
      </c>
      <c r="L12977" t="s">
        <v>508</v>
      </c>
      <c r="N12977" t="s">
        <v>29</v>
      </c>
    </row>
    <row r="12978" spans="1:14">
      <c r="A12978" s="4" t="str">
        <f t="shared" si="1110"/>
        <v>EXP00407</v>
      </c>
      <c r="B12978" s="3" t="s">
        <v>66</v>
      </c>
      <c r="C12978" s="4" t="str">
        <f t="shared" si="1109"/>
        <v>TCGA-BLCA</v>
      </c>
      <c r="D12978" s="1" t="s">
        <v>493</v>
      </c>
      <c r="E12978" t="s">
        <v>516</v>
      </c>
      <c r="F12978" s="1">
        <v>2</v>
      </c>
      <c r="G12978" s="1" t="s">
        <v>32</v>
      </c>
      <c r="H12978" s="4" t="str">
        <f>HYPERLINK("https://portal.gdc.cancer.gov/cases/bca645ae-a0c9-4005-b672-85d8920b6afb","TCGA-ZF-AA54-01A")</f>
        <v>TCGA-ZF-AA54-01A</v>
      </c>
      <c r="I12978" t="s">
        <v>506</v>
      </c>
      <c r="J12978" t="s">
        <v>507</v>
      </c>
      <c r="K12978" t="s">
        <v>33</v>
      </c>
      <c r="L12978" t="s">
        <v>508</v>
      </c>
      <c r="N12978" t="s">
        <v>29</v>
      </c>
    </row>
    <row r="12979" spans="1:14">
      <c r="A12979" s="4" t="str">
        <f t="shared" si="1110"/>
        <v>EXP00407</v>
      </c>
      <c r="B12979" s="3" t="s">
        <v>66</v>
      </c>
      <c r="C12979" s="4" t="str">
        <f t="shared" si="1109"/>
        <v>TCGA-BLCA</v>
      </c>
      <c r="D12979" s="1" t="s">
        <v>493</v>
      </c>
      <c r="E12979" t="s">
        <v>516</v>
      </c>
      <c r="F12979" s="1">
        <v>2</v>
      </c>
      <c r="G12979" s="1" t="s">
        <v>32</v>
      </c>
      <c r="H12979" s="4" t="str">
        <f>HYPERLINK("https://portal.gdc.cancer.gov/cases/0da6502c-058d-47f5-9996-8aa1d511d7e4","TCGA-ZF-AA58-01A")</f>
        <v>TCGA-ZF-AA58-01A</v>
      </c>
      <c r="I12979" t="s">
        <v>506</v>
      </c>
      <c r="J12979" t="s">
        <v>507</v>
      </c>
      <c r="K12979" t="s">
        <v>33</v>
      </c>
      <c r="L12979" t="s">
        <v>508</v>
      </c>
      <c r="N12979" t="s">
        <v>29</v>
      </c>
    </row>
    <row r="12980" spans="1:14">
      <c r="A12980" s="4" t="str">
        <f t="shared" si="1110"/>
        <v>EXP00407</v>
      </c>
      <c r="B12980" s="3" t="s">
        <v>66</v>
      </c>
      <c r="C12980" s="4" t="str">
        <f t="shared" si="1109"/>
        <v>TCGA-BLCA</v>
      </c>
      <c r="D12980" s="1" t="s">
        <v>493</v>
      </c>
      <c r="E12980" t="s">
        <v>516</v>
      </c>
      <c r="F12980" s="1">
        <v>2</v>
      </c>
      <c r="G12980" s="1" t="s">
        <v>32</v>
      </c>
      <c r="H12980" s="4" t="str">
        <f>HYPERLINK("https://portal.gdc.cancer.gov/cases/04477379-6c51-45d9-b9b9-d05d53b53945","TCGA-ZF-AA5H-01A")</f>
        <v>TCGA-ZF-AA5H-01A</v>
      </c>
      <c r="I12980" t="s">
        <v>506</v>
      </c>
      <c r="J12980" t="s">
        <v>507</v>
      </c>
      <c r="K12980" t="s">
        <v>33</v>
      </c>
      <c r="L12980" t="s">
        <v>508</v>
      </c>
      <c r="N12980" t="s">
        <v>29</v>
      </c>
    </row>
    <row r="12981" spans="1:14">
      <c r="A12981" s="4" t="str">
        <f t="shared" si="1110"/>
        <v>EXP00407</v>
      </c>
      <c r="B12981" s="3" t="s">
        <v>66</v>
      </c>
      <c r="C12981" s="4" t="str">
        <f t="shared" si="1109"/>
        <v>TCGA-BLCA</v>
      </c>
      <c r="D12981" s="1" t="s">
        <v>493</v>
      </c>
      <c r="E12981" t="s">
        <v>516</v>
      </c>
      <c r="F12981" s="1">
        <v>2</v>
      </c>
      <c r="G12981" s="1" t="s">
        <v>32</v>
      </c>
      <c r="H12981" s="4" t="str">
        <f>HYPERLINK("https://portal.gdc.cancer.gov/cases/f78cb4fa-5548-40f8-b71b-663dde47f539","TCGA-ZF-AA5N-01A")</f>
        <v>TCGA-ZF-AA5N-01A</v>
      </c>
      <c r="I12981" t="s">
        <v>506</v>
      </c>
      <c r="J12981" t="s">
        <v>507</v>
      </c>
      <c r="K12981" t="s">
        <v>33</v>
      </c>
      <c r="L12981" t="s">
        <v>508</v>
      </c>
      <c r="N12981" t="s">
        <v>29</v>
      </c>
    </row>
    <row r="12982" spans="1:14">
      <c r="A12982" s="4" t="str">
        <f t="shared" si="1110"/>
        <v>EXP00407</v>
      </c>
      <c r="B12982" s="3" t="s">
        <v>66</v>
      </c>
      <c r="C12982" s="4" t="str">
        <f t="shared" si="1109"/>
        <v>TCGA-BLCA</v>
      </c>
      <c r="D12982" s="1" t="s">
        <v>493</v>
      </c>
      <c r="E12982" t="s">
        <v>516</v>
      </c>
      <c r="F12982" s="1">
        <v>2</v>
      </c>
      <c r="G12982" s="1" t="s">
        <v>32</v>
      </c>
      <c r="H12982" s="4" t="str">
        <f>HYPERLINK("https://portal.gdc.cancer.gov/cases/24d56331-4bca-4ab8-9fb7-a95a30b4c8fe","TCGA-ZF-AA5P-01A")</f>
        <v>TCGA-ZF-AA5P-01A</v>
      </c>
      <c r="I12982" t="s">
        <v>506</v>
      </c>
      <c r="J12982" t="s">
        <v>507</v>
      </c>
      <c r="K12982" t="s">
        <v>33</v>
      </c>
      <c r="L12982" t="s">
        <v>508</v>
      </c>
      <c r="N12982" t="s">
        <v>29</v>
      </c>
    </row>
    <row r="12983" spans="1:14">
      <c r="A12983" s="4" t="str">
        <f t="shared" ref="A12983:A13046" si="1111">HYPERLINK("http://hcmdb.i-sanger.com/experiment/details/experiment_id/EXP00408","EXP00408")</f>
        <v>EXP00408</v>
      </c>
      <c r="B12983" s="3" t="s">
        <v>66</v>
      </c>
      <c r="C12983" s="4" t="str">
        <f t="shared" si="1109"/>
        <v>TCGA-BLCA</v>
      </c>
      <c r="D12983" s="1" t="s">
        <v>493</v>
      </c>
      <c r="E12983" t="s">
        <v>522</v>
      </c>
      <c r="F12983" s="1">
        <v>1</v>
      </c>
      <c r="G12983" s="1" t="s">
        <v>36</v>
      </c>
      <c r="H12983" s="4" t="str">
        <f>HYPERLINK("https://portal.gdc.cancer.gov/cases/556fcbc8-172a-4af1-8822-ae036e8d68e8","TCGA-BL-A13J-11A")</f>
        <v>TCGA-BL-A13J-11A</v>
      </c>
      <c r="I12983" t="s">
        <v>506</v>
      </c>
      <c r="J12983" t="s">
        <v>507</v>
      </c>
      <c r="K12983" t="s">
        <v>33</v>
      </c>
      <c r="L12983" t="s">
        <v>508</v>
      </c>
      <c r="N12983" t="s">
        <v>37</v>
      </c>
    </row>
    <row r="12984" spans="1:14">
      <c r="A12984" s="4" t="str">
        <f t="shared" si="1111"/>
        <v>EXP00408</v>
      </c>
      <c r="B12984" s="3" t="s">
        <v>66</v>
      </c>
      <c r="C12984" s="4" t="str">
        <f t="shared" si="1109"/>
        <v>TCGA-BLCA</v>
      </c>
      <c r="D12984" s="1" t="s">
        <v>493</v>
      </c>
      <c r="E12984" t="s">
        <v>522</v>
      </c>
      <c r="F12984" s="1">
        <v>1</v>
      </c>
      <c r="G12984" s="1" t="s">
        <v>36</v>
      </c>
      <c r="H12984" s="4" t="str">
        <f>HYPERLINK("https://portal.gdc.cancer.gov/cases/ebedab7c-dd7c-448e-8324-78c86f13be8b","TCGA-BT-A20N-11A")</f>
        <v>TCGA-BT-A20N-11A</v>
      </c>
      <c r="I12984" t="s">
        <v>506</v>
      </c>
      <c r="J12984" t="s">
        <v>507</v>
      </c>
      <c r="K12984" t="s">
        <v>33</v>
      </c>
      <c r="L12984" t="s">
        <v>508</v>
      </c>
      <c r="N12984" t="s">
        <v>37</v>
      </c>
    </row>
    <row r="12985" spans="1:14">
      <c r="A12985" s="4" t="str">
        <f t="shared" si="1111"/>
        <v>EXP00408</v>
      </c>
      <c r="B12985" s="3" t="s">
        <v>66</v>
      </c>
      <c r="C12985" s="4" t="str">
        <f t="shared" si="1109"/>
        <v>TCGA-BLCA</v>
      </c>
      <c r="D12985" s="1" t="s">
        <v>493</v>
      </c>
      <c r="E12985" t="s">
        <v>522</v>
      </c>
      <c r="F12985" s="1">
        <v>1</v>
      </c>
      <c r="G12985" s="1" t="s">
        <v>36</v>
      </c>
      <c r="H12985" s="4" t="str">
        <f>HYPERLINK("https://portal.gdc.cancer.gov/cases/419deaac-ea45-4bdd-9fa0-b5cd8429b44f","TCGA-BT-A20Q-11A")</f>
        <v>TCGA-BT-A20Q-11A</v>
      </c>
      <c r="I12985" t="s">
        <v>506</v>
      </c>
      <c r="J12985" t="s">
        <v>507</v>
      </c>
      <c r="K12985" t="s">
        <v>33</v>
      </c>
      <c r="L12985" t="s">
        <v>508</v>
      </c>
      <c r="N12985" t="s">
        <v>37</v>
      </c>
    </row>
    <row r="12986" spans="1:14">
      <c r="A12986" s="4" t="str">
        <f t="shared" si="1111"/>
        <v>EXP00408</v>
      </c>
      <c r="B12986" s="3" t="s">
        <v>66</v>
      </c>
      <c r="C12986" s="4" t="str">
        <f t="shared" si="1109"/>
        <v>TCGA-BLCA</v>
      </c>
      <c r="D12986" s="1" t="s">
        <v>493</v>
      </c>
      <c r="E12986" t="s">
        <v>522</v>
      </c>
      <c r="F12986" s="1">
        <v>1</v>
      </c>
      <c r="G12986" s="1" t="s">
        <v>36</v>
      </c>
      <c r="H12986" s="4" t="str">
        <f>HYPERLINK("https://portal.gdc.cancer.gov/cases/f8780a4b-7f55-41d1-bf92-8513955d150e","TCGA-BT-A20R-11A")</f>
        <v>TCGA-BT-A20R-11A</v>
      </c>
      <c r="I12986" t="s">
        <v>506</v>
      </c>
      <c r="J12986" t="s">
        <v>507</v>
      </c>
      <c r="K12986" t="s">
        <v>33</v>
      </c>
      <c r="L12986" t="s">
        <v>508</v>
      </c>
      <c r="N12986" t="s">
        <v>37</v>
      </c>
    </row>
    <row r="12987" spans="1:14">
      <c r="A12987" s="4" t="str">
        <f t="shared" si="1111"/>
        <v>EXP00408</v>
      </c>
      <c r="B12987" s="3" t="s">
        <v>66</v>
      </c>
      <c r="C12987" s="4" t="str">
        <f t="shared" si="1109"/>
        <v>TCGA-BLCA</v>
      </c>
      <c r="D12987" s="1" t="s">
        <v>493</v>
      </c>
      <c r="E12987" t="s">
        <v>522</v>
      </c>
      <c r="F12987" s="1">
        <v>1</v>
      </c>
      <c r="G12987" s="1" t="s">
        <v>36</v>
      </c>
      <c r="H12987" s="4" t="str">
        <f>HYPERLINK("https://portal.gdc.cancer.gov/cases/83b41d35-69b1-4218-be1a-8821d8a6899c","TCGA-BT-A20U-11A")</f>
        <v>TCGA-BT-A20U-11A</v>
      </c>
      <c r="I12987" t="s">
        <v>506</v>
      </c>
      <c r="J12987" t="s">
        <v>507</v>
      </c>
      <c r="K12987" t="s">
        <v>33</v>
      </c>
      <c r="L12987" t="s">
        <v>508</v>
      </c>
      <c r="N12987" t="s">
        <v>37</v>
      </c>
    </row>
    <row r="12988" spans="1:14">
      <c r="A12988" s="4" t="str">
        <f t="shared" si="1111"/>
        <v>EXP00408</v>
      </c>
      <c r="B12988" s="3" t="s">
        <v>66</v>
      </c>
      <c r="C12988" s="4" t="str">
        <f t="shared" si="1109"/>
        <v>TCGA-BLCA</v>
      </c>
      <c r="D12988" s="1" t="s">
        <v>493</v>
      </c>
      <c r="E12988" t="s">
        <v>522</v>
      </c>
      <c r="F12988" s="1">
        <v>1</v>
      </c>
      <c r="G12988" s="1" t="s">
        <v>36</v>
      </c>
      <c r="H12988" s="4" t="str">
        <f>HYPERLINK("https://portal.gdc.cancer.gov/cases/4dc5cffe-ed8c-47ab-b5fc-f9615b5414f7","TCGA-BT-A20W-11A")</f>
        <v>TCGA-BT-A20W-11A</v>
      </c>
      <c r="I12988" t="s">
        <v>506</v>
      </c>
      <c r="J12988" t="s">
        <v>507</v>
      </c>
      <c r="K12988" t="s">
        <v>33</v>
      </c>
      <c r="L12988" t="s">
        <v>508</v>
      </c>
      <c r="N12988" t="s">
        <v>37</v>
      </c>
    </row>
    <row r="12989" spans="1:14">
      <c r="A12989" s="4" t="str">
        <f t="shared" si="1111"/>
        <v>EXP00408</v>
      </c>
      <c r="B12989" s="3" t="s">
        <v>66</v>
      </c>
      <c r="C12989" s="4" t="str">
        <f t="shared" si="1109"/>
        <v>TCGA-BLCA</v>
      </c>
      <c r="D12989" s="1" t="s">
        <v>493</v>
      </c>
      <c r="E12989" t="s">
        <v>522</v>
      </c>
      <c r="F12989" s="1">
        <v>1</v>
      </c>
      <c r="G12989" s="1" t="s">
        <v>36</v>
      </c>
      <c r="H12989" s="4" t="str">
        <f>HYPERLINK("https://portal.gdc.cancer.gov/cases/797a71ee-372d-41e5-aeee-5ab3c4661110","TCGA-BT-A2LA-11A")</f>
        <v>TCGA-BT-A2LA-11A</v>
      </c>
      <c r="I12989" t="s">
        <v>506</v>
      </c>
      <c r="J12989" t="s">
        <v>507</v>
      </c>
      <c r="K12989" t="s">
        <v>33</v>
      </c>
      <c r="L12989" t="s">
        <v>508</v>
      </c>
      <c r="N12989" t="s">
        <v>37</v>
      </c>
    </row>
    <row r="12990" spans="1:14">
      <c r="A12990" s="4" t="str">
        <f t="shared" si="1111"/>
        <v>EXP00408</v>
      </c>
      <c r="B12990" s="3" t="s">
        <v>66</v>
      </c>
      <c r="C12990" s="4" t="str">
        <f t="shared" si="1109"/>
        <v>TCGA-BLCA</v>
      </c>
      <c r="D12990" s="1" t="s">
        <v>493</v>
      </c>
      <c r="E12990" t="s">
        <v>522</v>
      </c>
      <c r="F12990" s="1">
        <v>1</v>
      </c>
      <c r="G12990" s="1" t="s">
        <v>36</v>
      </c>
      <c r="H12990" s="4" t="str">
        <f>HYPERLINK("https://portal.gdc.cancer.gov/cases/d17a5ab1-3789-4652-aff5-d8f4f2291f9c","TCGA-BT-A2LB-11A")</f>
        <v>TCGA-BT-A2LB-11A</v>
      </c>
      <c r="I12990" t="s">
        <v>506</v>
      </c>
      <c r="J12990" t="s">
        <v>507</v>
      </c>
      <c r="K12990" t="s">
        <v>33</v>
      </c>
      <c r="L12990" t="s">
        <v>508</v>
      </c>
      <c r="N12990" t="s">
        <v>37</v>
      </c>
    </row>
    <row r="12991" spans="1:14">
      <c r="A12991" s="4" t="str">
        <f t="shared" si="1111"/>
        <v>EXP00408</v>
      </c>
      <c r="B12991" s="3" t="s">
        <v>66</v>
      </c>
      <c r="C12991" s="4" t="str">
        <f t="shared" si="1109"/>
        <v>TCGA-BLCA</v>
      </c>
      <c r="D12991" s="1" t="s">
        <v>493</v>
      </c>
      <c r="E12991" t="s">
        <v>522</v>
      </c>
      <c r="F12991" s="1">
        <v>1</v>
      </c>
      <c r="G12991" s="1" t="s">
        <v>36</v>
      </c>
      <c r="H12991" s="4" t="str">
        <f>HYPERLINK("https://portal.gdc.cancer.gov/cases/679a6869-2ce9-4472-8db1-8869e2c1a440","TCGA-CU-A0YN-11A")</f>
        <v>TCGA-CU-A0YN-11A</v>
      </c>
      <c r="I12991" t="s">
        <v>506</v>
      </c>
      <c r="J12991" t="s">
        <v>507</v>
      </c>
      <c r="K12991" t="s">
        <v>33</v>
      </c>
      <c r="L12991" t="s">
        <v>508</v>
      </c>
      <c r="N12991" t="s">
        <v>37</v>
      </c>
    </row>
    <row r="12992" spans="1:14">
      <c r="A12992" s="4" t="str">
        <f t="shared" si="1111"/>
        <v>EXP00408</v>
      </c>
      <c r="B12992" s="3" t="s">
        <v>66</v>
      </c>
      <c r="C12992" s="4" t="str">
        <f t="shared" si="1109"/>
        <v>TCGA-BLCA</v>
      </c>
      <c r="D12992" s="1" t="s">
        <v>493</v>
      </c>
      <c r="E12992" t="s">
        <v>522</v>
      </c>
      <c r="F12992" s="1">
        <v>1</v>
      </c>
      <c r="G12992" s="1" t="s">
        <v>36</v>
      </c>
      <c r="H12992" s="4" t="str">
        <f>HYPERLINK("https://portal.gdc.cancer.gov/cases/811b3950-36e7-485f-bc48-aca1eee2ddef","TCGA-CU-A0YR-11A")</f>
        <v>TCGA-CU-A0YR-11A</v>
      </c>
      <c r="I12992" t="s">
        <v>506</v>
      </c>
      <c r="J12992" t="s">
        <v>507</v>
      </c>
      <c r="K12992" t="s">
        <v>33</v>
      </c>
      <c r="L12992" t="s">
        <v>508</v>
      </c>
      <c r="N12992" t="s">
        <v>37</v>
      </c>
    </row>
    <row r="12993" spans="1:14">
      <c r="A12993" s="4" t="str">
        <f t="shared" si="1111"/>
        <v>EXP00408</v>
      </c>
      <c r="B12993" s="3" t="s">
        <v>66</v>
      </c>
      <c r="C12993" s="4" t="str">
        <f t="shared" si="1109"/>
        <v>TCGA-BLCA</v>
      </c>
      <c r="D12993" s="1" t="s">
        <v>493</v>
      </c>
      <c r="E12993" t="s">
        <v>522</v>
      </c>
      <c r="F12993" s="1">
        <v>1</v>
      </c>
      <c r="G12993" s="1" t="s">
        <v>36</v>
      </c>
      <c r="H12993" s="4" t="str">
        <f>HYPERLINK("https://portal.gdc.cancer.gov/cases/7840aea9-40c4-473e-be33-8fa0b9f332c9","TCGA-GC-A3BM-11A")</f>
        <v>TCGA-GC-A3BM-11A</v>
      </c>
      <c r="I12993" t="s">
        <v>506</v>
      </c>
      <c r="J12993" t="s">
        <v>507</v>
      </c>
      <c r="K12993" t="s">
        <v>33</v>
      </c>
      <c r="L12993" t="s">
        <v>508</v>
      </c>
      <c r="N12993" t="s">
        <v>37</v>
      </c>
    </row>
    <row r="12994" spans="1:14">
      <c r="A12994" s="4" t="str">
        <f t="shared" si="1111"/>
        <v>EXP00408</v>
      </c>
      <c r="B12994" s="3" t="s">
        <v>66</v>
      </c>
      <c r="C12994" s="4" t="str">
        <f t="shared" si="1109"/>
        <v>TCGA-BLCA</v>
      </c>
      <c r="D12994" s="1" t="s">
        <v>493</v>
      </c>
      <c r="E12994" t="s">
        <v>522</v>
      </c>
      <c r="F12994" s="1">
        <v>1</v>
      </c>
      <c r="G12994" s="1" t="s">
        <v>36</v>
      </c>
      <c r="H12994" s="4" t="str">
        <f>HYPERLINK("https://portal.gdc.cancer.gov/cases/db52c68a-ed44-4ec4-9381-d75f9bcbc29a","TCGA-GC-A3WC-11A")</f>
        <v>TCGA-GC-A3WC-11A</v>
      </c>
      <c r="I12994" t="s">
        <v>506</v>
      </c>
      <c r="J12994" t="s">
        <v>507</v>
      </c>
      <c r="K12994" t="s">
        <v>33</v>
      </c>
      <c r="L12994" t="s">
        <v>508</v>
      </c>
      <c r="N12994" t="s">
        <v>37</v>
      </c>
    </row>
    <row r="12995" spans="1:14">
      <c r="A12995" s="4" t="str">
        <f t="shared" si="1111"/>
        <v>EXP00408</v>
      </c>
      <c r="B12995" s="3" t="s">
        <v>66</v>
      </c>
      <c r="C12995" s="4" t="str">
        <f t="shared" si="1109"/>
        <v>TCGA-BLCA</v>
      </c>
      <c r="D12995" s="1" t="s">
        <v>493</v>
      </c>
      <c r="E12995" t="s">
        <v>522</v>
      </c>
      <c r="F12995" s="1">
        <v>1</v>
      </c>
      <c r="G12995" s="1" t="s">
        <v>36</v>
      </c>
      <c r="H12995" s="4" t="str">
        <f>HYPERLINK("https://portal.gdc.cancer.gov/cases/acf6bdf3-6349-49dc-b99a-4eda648eeac5","TCGA-GC-A6I3-11A")</f>
        <v>TCGA-GC-A6I3-11A</v>
      </c>
      <c r="I12995" t="s">
        <v>506</v>
      </c>
      <c r="J12995" t="s">
        <v>507</v>
      </c>
      <c r="K12995" t="s">
        <v>33</v>
      </c>
      <c r="L12995" t="s">
        <v>508</v>
      </c>
      <c r="N12995" t="s">
        <v>37</v>
      </c>
    </row>
    <row r="12996" spans="1:14">
      <c r="A12996" s="4" t="str">
        <f t="shared" si="1111"/>
        <v>EXP00408</v>
      </c>
      <c r="B12996" s="3" t="s">
        <v>66</v>
      </c>
      <c r="C12996" s="4" t="str">
        <f t="shared" si="1109"/>
        <v>TCGA-BLCA</v>
      </c>
      <c r="D12996" s="1" t="s">
        <v>493</v>
      </c>
      <c r="E12996" t="s">
        <v>522</v>
      </c>
      <c r="F12996" s="1">
        <v>1</v>
      </c>
      <c r="G12996" s="1" t="s">
        <v>36</v>
      </c>
      <c r="H12996" s="4" t="str">
        <f>HYPERLINK("https://portal.gdc.cancer.gov/cases/5d54c742-5a8e-4c40-8d62-95e75e210ab8","TCGA-GD-A2C5-11A")</f>
        <v>TCGA-GD-A2C5-11A</v>
      </c>
      <c r="I12996" t="s">
        <v>506</v>
      </c>
      <c r="J12996" t="s">
        <v>507</v>
      </c>
      <c r="K12996" t="s">
        <v>33</v>
      </c>
      <c r="L12996" t="s">
        <v>508</v>
      </c>
      <c r="N12996" t="s">
        <v>37</v>
      </c>
    </row>
    <row r="12997" spans="1:14">
      <c r="A12997" s="4" t="str">
        <f t="shared" si="1111"/>
        <v>EXP00408</v>
      </c>
      <c r="B12997" s="3" t="s">
        <v>66</v>
      </c>
      <c r="C12997" s="4" t="str">
        <f t="shared" si="1109"/>
        <v>TCGA-BLCA</v>
      </c>
      <c r="D12997" s="1" t="s">
        <v>493</v>
      </c>
      <c r="E12997" t="s">
        <v>522</v>
      </c>
      <c r="F12997" s="1">
        <v>1</v>
      </c>
      <c r="G12997" s="1" t="s">
        <v>36</v>
      </c>
      <c r="H12997" s="4" t="str">
        <f>HYPERLINK("https://portal.gdc.cancer.gov/cases/31da07bb-6752-49a3-a7ea-5427c04a9458","TCGA-GD-A3OP-11A")</f>
        <v>TCGA-GD-A3OP-11A</v>
      </c>
      <c r="I12997" t="s">
        <v>506</v>
      </c>
      <c r="J12997" t="s">
        <v>507</v>
      </c>
      <c r="K12997" t="s">
        <v>33</v>
      </c>
      <c r="L12997" t="s">
        <v>508</v>
      </c>
      <c r="N12997" t="s">
        <v>37</v>
      </c>
    </row>
    <row r="12998" spans="1:14">
      <c r="A12998" s="4" t="str">
        <f t="shared" si="1111"/>
        <v>EXP00408</v>
      </c>
      <c r="B12998" s="3" t="s">
        <v>66</v>
      </c>
      <c r="C12998" s="4" t="str">
        <f t="shared" si="1109"/>
        <v>TCGA-BLCA</v>
      </c>
      <c r="D12998" s="1" t="s">
        <v>493</v>
      </c>
      <c r="E12998" t="s">
        <v>522</v>
      </c>
      <c r="F12998" s="1">
        <v>1</v>
      </c>
      <c r="G12998" s="1" t="s">
        <v>36</v>
      </c>
      <c r="H12998" s="4" t="str">
        <f>HYPERLINK("https://portal.gdc.cancer.gov/cases/2e85c30c-c4c4-4096-9eef-4eb2c7d991a3","TCGA-GD-A3OQ-11A")</f>
        <v>TCGA-GD-A3OQ-11A</v>
      </c>
      <c r="I12998" t="s">
        <v>506</v>
      </c>
      <c r="J12998" t="s">
        <v>507</v>
      </c>
      <c r="K12998" t="s">
        <v>33</v>
      </c>
      <c r="L12998" t="s">
        <v>508</v>
      </c>
      <c r="N12998" t="s">
        <v>37</v>
      </c>
    </row>
    <row r="12999" spans="1:14">
      <c r="A12999" s="4" t="str">
        <f t="shared" si="1111"/>
        <v>EXP00408</v>
      </c>
      <c r="B12999" s="3" t="s">
        <v>66</v>
      </c>
      <c r="C12999" s="4" t="str">
        <f t="shared" si="1109"/>
        <v>TCGA-BLCA</v>
      </c>
      <c r="D12999" s="1" t="s">
        <v>493</v>
      </c>
      <c r="E12999" t="s">
        <v>522</v>
      </c>
      <c r="F12999" s="1">
        <v>1</v>
      </c>
      <c r="G12999" s="1" t="s">
        <v>36</v>
      </c>
      <c r="H12999" s="4" t="str">
        <f>HYPERLINK("https://portal.gdc.cancer.gov/cases/d53eade8-a845-4252-aece-92f3573486a7","TCGA-K4-A3WV-11A")</f>
        <v>TCGA-K4-A3WV-11A</v>
      </c>
      <c r="I12999" t="s">
        <v>506</v>
      </c>
      <c r="J12999" t="s">
        <v>507</v>
      </c>
      <c r="K12999" t="s">
        <v>33</v>
      </c>
      <c r="L12999" t="s">
        <v>508</v>
      </c>
      <c r="N12999" t="s">
        <v>37</v>
      </c>
    </row>
    <row r="13000" spans="1:14">
      <c r="A13000" s="4" t="str">
        <f t="shared" si="1111"/>
        <v>EXP00408</v>
      </c>
      <c r="B13000" s="3" t="s">
        <v>66</v>
      </c>
      <c r="C13000" s="4" t="str">
        <f t="shared" si="1109"/>
        <v>TCGA-BLCA</v>
      </c>
      <c r="D13000" s="1" t="s">
        <v>493</v>
      </c>
      <c r="E13000" t="s">
        <v>522</v>
      </c>
      <c r="F13000" s="1">
        <v>1</v>
      </c>
      <c r="G13000" s="1" t="s">
        <v>36</v>
      </c>
      <c r="H13000" s="4" t="str">
        <f>HYPERLINK("https://portal.gdc.cancer.gov/cases/52fddd92-fa5e-4fac-8e44-e64c98c84f86","TCGA-K4-A54R-11A")</f>
        <v>TCGA-K4-A54R-11A</v>
      </c>
      <c r="I13000" t="s">
        <v>506</v>
      </c>
      <c r="J13000" t="s">
        <v>507</v>
      </c>
      <c r="K13000" t="s">
        <v>33</v>
      </c>
      <c r="L13000" t="s">
        <v>508</v>
      </c>
      <c r="N13000" t="s">
        <v>37</v>
      </c>
    </row>
    <row r="13001" spans="1:14">
      <c r="A13001" s="4" t="str">
        <f t="shared" si="1111"/>
        <v>EXP00408</v>
      </c>
      <c r="B13001" s="3" t="s">
        <v>66</v>
      </c>
      <c r="C13001" s="4" t="str">
        <f t="shared" si="1109"/>
        <v>TCGA-BLCA</v>
      </c>
      <c r="D13001" s="1" t="s">
        <v>493</v>
      </c>
      <c r="E13001" t="s">
        <v>522</v>
      </c>
      <c r="F13001" s="1">
        <v>1</v>
      </c>
      <c r="G13001" s="1" t="s">
        <v>36</v>
      </c>
      <c r="H13001" s="4" t="str">
        <f>HYPERLINK("https://portal.gdc.cancer.gov/cases/32efe5e2-e037-4547-8ead-619f61647639","TCGA-K4-A5RI-11A")</f>
        <v>TCGA-K4-A5RI-11A</v>
      </c>
      <c r="I13001" t="s">
        <v>506</v>
      </c>
      <c r="J13001" t="s">
        <v>507</v>
      </c>
      <c r="K13001" t="s">
        <v>33</v>
      </c>
      <c r="L13001" t="s">
        <v>508</v>
      </c>
      <c r="N13001" t="s">
        <v>37</v>
      </c>
    </row>
    <row r="13002" spans="1:14">
      <c r="A13002" s="4" t="str">
        <f t="shared" si="1111"/>
        <v>EXP00408</v>
      </c>
      <c r="B13002" s="3" t="s">
        <v>66</v>
      </c>
      <c r="C13002" s="4" t="str">
        <f t="shared" si="1109"/>
        <v>TCGA-BLCA</v>
      </c>
      <c r="D13002" s="1" t="s">
        <v>493</v>
      </c>
      <c r="E13002" t="s">
        <v>522</v>
      </c>
      <c r="F13002" s="1">
        <v>2</v>
      </c>
      <c r="G13002" s="1" t="s">
        <v>28</v>
      </c>
      <c r="H13002" s="4" t="str">
        <f>HYPERLINK("https://portal.gdc.cancer.gov/cases/25eaf3f9-c364-423c-aaae-925e7b393afc","TCGA-2F-A9KQ-01A")</f>
        <v>TCGA-2F-A9KQ-01A</v>
      </c>
      <c r="I13002" t="s">
        <v>506</v>
      </c>
      <c r="J13002" t="s">
        <v>507</v>
      </c>
      <c r="K13002" t="s">
        <v>33</v>
      </c>
      <c r="L13002" t="s">
        <v>508</v>
      </c>
      <c r="N13002" t="s">
        <v>29</v>
      </c>
    </row>
    <row r="13003" spans="1:14">
      <c r="A13003" s="4" t="str">
        <f t="shared" si="1111"/>
        <v>EXP00408</v>
      </c>
      <c r="B13003" s="3" t="s">
        <v>66</v>
      </c>
      <c r="C13003" s="4" t="str">
        <f t="shared" si="1109"/>
        <v>TCGA-BLCA</v>
      </c>
      <c r="D13003" s="1" t="s">
        <v>493</v>
      </c>
      <c r="E13003" t="s">
        <v>522</v>
      </c>
      <c r="F13003" s="1">
        <v>2</v>
      </c>
      <c r="G13003" s="1" t="s">
        <v>28</v>
      </c>
      <c r="H13003" s="4" t="str">
        <f>HYPERLINK("https://portal.gdc.cancer.gov/cases/bc6c516b-591e-4950-b6b0-decafa666f4e","TCGA-2F-A9KT-01A")</f>
        <v>TCGA-2F-A9KT-01A</v>
      </c>
      <c r="I13003" t="s">
        <v>506</v>
      </c>
      <c r="J13003" t="s">
        <v>507</v>
      </c>
      <c r="K13003" t="s">
        <v>33</v>
      </c>
      <c r="L13003" t="s">
        <v>508</v>
      </c>
      <c r="N13003" t="s">
        <v>29</v>
      </c>
    </row>
    <row r="13004" spans="1:14">
      <c r="A13004" s="4" t="str">
        <f t="shared" si="1111"/>
        <v>EXP00408</v>
      </c>
      <c r="B13004" s="3" t="s">
        <v>66</v>
      </c>
      <c r="C13004" s="4" t="str">
        <f t="shared" si="1109"/>
        <v>TCGA-BLCA</v>
      </c>
      <c r="D13004" s="1" t="s">
        <v>493</v>
      </c>
      <c r="E13004" t="s">
        <v>522</v>
      </c>
      <c r="F13004" s="1">
        <v>2</v>
      </c>
      <c r="G13004" s="1" t="s">
        <v>28</v>
      </c>
      <c r="H13004" s="4" t="str">
        <f>HYPERLINK("https://portal.gdc.cancer.gov/cases/1ecfdf16-f5e9-4a08-8834-37f4b474179d","TCGA-4Z-AA7M-01A")</f>
        <v>TCGA-4Z-AA7M-01A</v>
      </c>
      <c r="I13004" t="s">
        <v>506</v>
      </c>
      <c r="J13004" t="s">
        <v>507</v>
      </c>
      <c r="K13004" t="s">
        <v>33</v>
      </c>
      <c r="L13004" t="s">
        <v>508</v>
      </c>
      <c r="N13004" t="s">
        <v>29</v>
      </c>
    </row>
    <row r="13005" spans="1:14">
      <c r="A13005" s="4" t="str">
        <f t="shared" si="1111"/>
        <v>EXP00408</v>
      </c>
      <c r="B13005" s="3" t="s">
        <v>66</v>
      </c>
      <c r="C13005" s="4" t="str">
        <f t="shared" si="1109"/>
        <v>TCGA-BLCA</v>
      </c>
      <c r="D13005" s="1" t="s">
        <v>493</v>
      </c>
      <c r="E13005" t="s">
        <v>522</v>
      </c>
      <c r="F13005" s="1">
        <v>2</v>
      </c>
      <c r="G13005" s="1" t="s">
        <v>28</v>
      </c>
      <c r="H13005" s="4" t="str">
        <f>HYPERLINK("https://portal.gdc.cancer.gov/cases/7934bd8c-0822-44a3-88a4-a3135a448f2b","TCGA-4Z-AA7N-01A")</f>
        <v>TCGA-4Z-AA7N-01A</v>
      </c>
      <c r="I13005" t="s">
        <v>506</v>
      </c>
      <c r="J13005" t="s">
        <v>507</v>
      </c>
      <c r="K13005" t="s">
        <v>33</v>
      </c>
      <c r="L13005" t="s">
        <v>508</v>
      </c>
      <c r="N13005" t="s">
        <v>29</v>
      </c>
    </row>
    <row r="13006" spans="1:14">
      <c r="A13006" s="4" t="str">
        <f t="shared" si="1111"/>
        <v>EXP00408</v>
      </c>
      <c r="B13006" s="3" t="s">
        <v>66</v>
      </c>
      <c r="C13006" s="4" t="str">
        <f t="shared" si="1109"/>
        <v>TCGA-BLCA</v>
      </c>
      <c r="D13006" s="1" t="s">
        <v>493</v>
      </c>
      <c r="E13006" t="s">
        <v>522</v>
      </c>
      <c r="F13006" s="1">
        <v>2</v>
      </c>
      <c r="G13006" s="1" t="s">
        <v>28</v>
      </c>
      <c r="H13006" s="4" t="str">
        <f>HYPERLINK("https://portal.gdc.cancer.gov/cases/835084d6-9f1e-408b-a58c-9d60493bbc6a","TCGA-4Z-AA7O-01A")</f>
        <v>TCGA-4Z-AA7O-01A</v>
      </c>
      <c r="I13006" t="s">
        <v>506</v>
      </c>
      <c r="J13006" t="s">
        <v>507</v>
      </c>
      <c r="K13006" t="s">
        <v>33</v>
      </c>
      <c r="L13006" t="s">
        <v>508</v>
      </c>
      <c r="N13006" t="s">
        <v>29</v>
      </c>
    </row>
    <row r="13007" spans="1:14">
      <c r="A13007" s="4" t="str">
        <f t="shared" si="1111"/>
        <v>EXP00408</v>
      </c>
      <c r="B13007" s="3" t="s">
        <v>66</v>
      </c>
      <c r="C13007" s="4" t="str">
        <f t="shared" si="1109"/>
        <v>TCGA-BLCA</v>
      </c>
      <c r="D13007" s="1" t="s">
        <v>493</v>
      </c>
      <c r="E13007" t="s">
        <v>522</v>
      </c>
      <c r="F13007" s="1">
        <v>2</v>
      </c>
      <c r="G13007" s="1" t="s">
        <v>28</v>
      </c>
      <c r="H13007" s="4" t="str">
        <f>HYPERLINK("https://portal.gdc.cancer.gov/cases/ffafcbfd-0eb3-4e14-acd0-4407b641a4a5","TCGA-4Z-AA7Q-01A")</f>
        <v>TCGA-4Z-AA7Q-01A</v>
      </c>
      <c r="I13007" t="s">
        <v>506</v>
      </c>
      <c r="J13007" t="s">
        <v>507</v>
      </c>
      <c r="K13007" t="s">
        <v>33</v>
      </c>
      <c r="L13007" t="s">
        <v>508</v>
      </c>
      <c r="N13007" t="s">
        <v>29</v>
      </c>
    </row>
    <row r="13008" spans="1:14">
      <c r="A13008" s="4" t="str">
        <f t="shared" si="1111"/>
        <v>EXP00408</v>
      </c>
      <c r="B13008" s="3" t="s">
        <v>66</v>
      </c>
      <c r="C13008" s="4" t="str">
        <f t="shared" si="1109"/>
        <v>TCGA-BLCA</v>
      </c>
      <c r="D13008" s="1" t="s">
        <v>493</v>
      </c>
      <c r="E13008" t="s">
        <v>522</v>
      </c>
      <c r="F13008" s="1">
        <v>2</v>
      </c>
      <c r="G13008" s="1" t="s">
        <v>28</v>
      </c>
      <c r="H13008" s="4" t="str">
        <f>HYPERLINK("https://portal.gdc.cancer.gov/cases/72fe54b5-c1c8-468a-954a-09992429512a","TCGA-4Z-AA7R-01A")</f>
        <v>TCGA-4Z-AA7R-01A</v>
      </c>
      <c r="I13008" t="s">
        <v>506</v>
      </c>
      <c r="J13008" t="s">
        <v>507</v>
      </c>
      <c r="K13008" t="s">
        <v>33</v>
      </c>
      <c r="L13008" t="s">
        <v>508</v>
      </c>
      <c r="N13008" t="s">
        <v>29</v>
      </c>
    </row>
    <row r="13009" spans="1:14">
      <c r="A13009" s="4" t="str">
        <f t="shared" si="1111"/>
        <v>EXP00408</v>
      </c>
      <c r="B13009" s="3" t="s">
        <v>66</v>
      </c>
      <c r="C13009" s="4" t="str">
        <f t="shared" si="1109"/>
        <v>TCGA-BLCA</v>
      </c>
      <c r="D13009" s="1" t="s">
        <v>493</v>
      </c>
      <c r="E13009" t="s">
        <v>522</v>
      </c>
      <c r="F13009" s="1">
        <v>2</v>
      </c>
      <c r="G13009" s="1" t="s">
        <v>28</v>
      </c>
      <c r="H13009" s="4" t="str">
        <f>HYPERLINK("https://portal.gdc.cancer.gov/cases/f001cc02-8119-4726-b41c-14ac1e6a4216","TCGA-4Z-AA7S-01A")</f>
        <v>TCGA-4Z-AA7S-01A</v>
      </c>
      <c r="I13009" t="s">
        <v>506</v>
      </c>
      <c r="J13009" t="s">
        <v>507</v>
      </c>
      <c r="K13009" t="s">
        <v>33</v>
      </c>
      <c r="L13009" t="s">
        <v>508</v>
      </c>
      <c r="N13009" t="s">
        <v>29</v>
      </c>
    </row>
    <row r="13010" spans="1:14">
      <c r="A13010" s="4" t="str">
        <f t="shared" si="1111"/>
        <v>EXP00408</v>
      </c>
      <c r="B13010" s="3" t="s">
        <v>66</v>
      </c>
      <c r="C13010" s="4" t="str">
        <f t="shared" ref="C13010:C13073" si="1112">HYPERLINK("https://portal.gdc.cancer.gov/projects/TCGA-BLCA","TCGA-BLCA")</f>
        <v>TCGA-BLCA</v>
      </c>
      <c r="D13010" s="1" t="s">
        <v>493</v>
      </c>
      <c r="E13010" t="s">
        <v>522</v>
      </c>
      <c r="F13010" s="1">
        <v>2</v>
      </c>
      <c r="G13010" s="1" t="s">
        <v>28</v>
      </c>
      <c r="H13010" s="4" t="str">
        <f>HYPERLINK("https://portal.gdc.cancer.gov/cases/821b99bc-7e14-45b9-898d-6e8e149bc8a7","TCGA-4Z-AA7W-01A")</f>
        <v>TCGA-4Z-AA7W-01A</v>
      </c>
      <c r="I13010" t="s">
        <v>506</v>
      </c>
      <c r="J13010" t="s">
        <v>507</v>
      </c>
      <c r="K13010" t="s">
        <v>33</v>
      </c>
      <c r="L13010" t="s">
        <v>508</v>
      </c>
      <c r="N13010" t="s">
        <v>29</v>
      </c>
    </row>
    <row r="13011" spans="1:14">
      <c r="A13011" s="4" t="str">
        <f t="shared" si="1111"/>
        <v>EXP00408</v>
      </c>
      <c r="B13011" s="3" t="s">
        <v>66</v>
      </c>
      <c r="C13011" s="4" t="str">
        <f t="shared" si="1112"/>
        <v>TCGA-BLCA</v>
      </c>
      <c r="D13011" s="1" t="s">
        <v>493</v>
      </c>
      <c r="E13011" t="s">
        <v>522</v>
      </c>
      <c r="F13011" s="1">
        <v>2</v>
      </c>
      <c r="G13011" s="1" t="s">
        <v>28</v>
      </c>
      <c r="H13011" s="4" t="str">
        <f>HYPERLINK("https://portal.gdc.cancer.gov/cases/49ea6676-ae27-4ca0-a7b3-48423d606d48","TCGA-4Z-AA7Y-01A")</f>
        <v>TCGA-4Z-AA7Y-01A</v>
      </c>
      <c r="I13011" t="s">
        <v>506</v>
      </c>
      <c r="J13011" t="s">
        <v>507</v>
      </c>
      <c r="K13011" t="s">
        <v>33</v>
      </c>
      <c r="L13011" t="s">
        <v>508</v>
      </c>
      <c r="N13011" t="s">
        <v>29</v>
      </c>
    </row>
    <row r="13012" spans="1:14">
      <c r="A13012" s="4" t="str">
        <f t="shared" si="1111"/>
        <v>EXP00408</v>
      </c>
      <c r="B13012" s="3" t="s">
        <v>66</v>
      </c>
      <c r="C13012" s="4" t="str">
        <f t="shared" si="1112"/>
        <v>TCGA-BLCA</v>
      </c>
      <c r="D13012" s="1" t="s">
        <v>493</v>
      </c>
      <c r="E13012" t="s">
        <v>522</v>
      </c>
      <c r="F13012" s="1">
        <v>2</v>
      </c>
      <c r="G13012" s="1" t="s">
        <v>28</v>
      </c>
      <c r="H13012" s="4" t="str">
        <f>HYPERLINK("https://portal.gdc.cancer.gov/cases/5df620fa-44d9-4361-91d0-f242e3e5e595","TCGA-4Z-AA80-01A")</f>
        <v>TCGA-4Z-AA80-01A</v>
      </c>
      <c r="I13012" t="s">
        <v>506</v>
      </c>
      <c r="J13012" t="s">
        <v>507</v>
      </c>
      <c r="K13012" t="s">
        <v>33</v>
      </c>
      <c r="L13012" t="s">
        <v>508</v>
      </c>
      <c r="N13012" t="s">
        <v>29</v>
      </c>
    </row>
    <row r="13013" spans="1:14">
      <c r="A13013" s="4" t="str">
        <f t="shared" si="1111"/>
        <v>EXP00408</v>
      </c>
      <c r="B13013" s="3" t="s">
        <v>66</v>
      </c>
      <c r="C13013" s="4" t="str">
        <f t="shared" si="1112"/>
        <v>TCGA-BLCA</v>
      </c>
      <c r="D13013" s="1" t="s">
        <v>493</v>
      </c>
      <c r="E13013" t="s">
        <v>522</v>
      </c>
      <c r="F13013" s="1">
        <v>2</v>
      </c>
      <c r="G13013" s="1" t="s">
        <v>28</v>
      </c>
      <c r="H13013" s="4" t="str">
        <f>HYPERLINK("https://portal.gdc.cancer.gov/cases/35c7bb8a-7b5c-488d-9d3a-725b24d14478","TCGA-4Z-AA81-01A")</f>
        <v>TCGA-4Z-AA81-01A</v>
      </c>
      <c r="I13013" t="s">
        <v>506</v>
      </c>
      <c r="J13013" t="s">
        <v>507</v>
      </c>
      <c r="K13013" t="s">
        <v>33</v>
      </c>
      <c r="L13013" t="s">
        <v>508</v>
      </c>
      <c r="N13013" t="s">
        <v>29</v>
      </c>
    </row>
    <row r="13014" spans="1:14">
      <c r="A13014" s="4" t="str">
        <f t="shared" si="1111"/>
        <v>EXP00408</v>
      </c>
      <c r="B13014" s="3" t="s">
        <v>66</v>
      </c>
      <c r="C13014" s="4" t="str">
        <f t="shared" si="1112"/>
        <v>TCGA-BLCA</v>
      </c>
      <c r="D13014" s="1" t="s">
        <v>493</v>
      </c>
      <c r="E13014" t="s">
        <v>522</v>
      </c>
      <c r="F13014" s="1">
        <v>2</v>
      </c>
      <c r="G13014" s="1" t="s">
        <v>28</v>
      </c>
      <c r="H13014" s="4" t="str">
        <f>HYPERLINK("https://portal.gdc.cancer.gov/cases/7976dbb0-57b0-463e-a766-126e23825743","TCGA-4Z-AA83-01A")</f>
        <v>TCGA-4Z-AA83-01A</v>
      </c>
      <c r="I13014" t="s">
        <v>506</v>
      </c>
      <c r="J13014" t="s">
        <v>507</v>
      </c>
      <c r="K13014" t="s">
        <v>33</v>
      </c>
      <c r="L13014" t="s">
        <v>508</v>
      </c>
      <c r="N13014" t="s">
        <v>29</v>
      </c>
    </row>
    <row r="13015" spans="1:14">
      <c r="A13015" s="4" t="str">
        <f t="shared" si="1111"/>
        <v>EXP00408</v>
      </c>
      <c r="B13015" s="3" t="s">
        <v>66</v>
      </c>
      <c r="C13015" s="4" t="str">
        <f t="shared" si="1112"/>
        <v>TCGA-BLCA</v>
      </c>
      <c r="D13015" s="1" t="s">
        <v>493</v>
      </c>
      <c r="E13015" t="s">
        <v>522</v>
      </c>
      <c r="F13015" s="1">
        <v>2</v>
      </c>
      <c r="G13015" s="1" t="s">
        <v>28</v>
      </c>
      <c r="H13015" s="4" t="str">
        <f>HYPERLINK("https://portal.gdc.cancer.gov/cases/8b091ac3-d03a-4dd2-bdde-f7f5c6987155","TCGA-4Z-AA84-01A")</f>
        <v>TCGA-4Z-AA84-01A</v>
      </c>
      <c r="I13015" t="s">
        <v>506</v>
      </c>
      <c r="J13015" t="s">
        <v>507</v>
      </c>
      <c r="K13015" t="s">
        <v>33</v>
      </c>
      <c r="L13015" t="s">
        <v>508</v>
      </c>
      <c r="N13015" t="s">
        <v>29</v>
      </c>
    </row>
    <row r="13016" spans="1:14">
      <c r="A13016" s="4" t="str">
        <f t="shared" si="1111"/>
        <v>EXP00408</v>
      </c>
      <c r="B13016" s="3" t="s">
        <v>66</v>
      </c>
      <c r="C13016" s="4" t="str">
        <f t="shared" si="1112"/>
        <v>TCGA-BLCA</v>
      </c>
      <c r="D13016" s="1" t="s">
        <v>493</v>
      </c>
      <c r="E13016" t="s">
        <v>522</v>
      </c>
      <c r="F13016" s="1">
        <v>2</v>
      </c>
      <c r="G13016" s="1" t="s">
        <v>28</v>
      </c>
      <c r="H13016" s="4" t="str">
        <f>HYPERLINK("https://portal.gdc.cancer.gov/cases/939b73d8-39fd-410e-aeae-53080ea99618","TCGA-4Z-AA86-01A")</f>
        <v>TCGA-4Z-AA86-01A</v>
      </c>
      <c r="I13016" t="s">
        <v>506</v>
      </c>
      <c r="J13016" t="s">
        <v>507</v>
      </c>
      <c r="K13016" t="s">
        <v>33</v>
      </c>
      <c r="L13016" t="s">
        <v>508</v>
      </c>
      <c r="N13016" t="s">
        <v>29</v>
      </c>
    </row>
    <row r="13017" spans="1:14">
      <c r="A13017" s="4" t="str">
        <f t="shared" si="1111"/>
        <v>EXP00408</v>
      </c>
      <c r="B13017" s="3" t="s">
        <v>66</v>
      </c>
      <c r="C13017" s="4" t="str">
        <f t="shared" si="1112"/>
        <v>TCGA-BLCA</v>
      </c>
      <c r="D13017" s="1" t="s">
        <v>493</v>
      </c>
      <c r="E13017" t="s">
        <v>522</v>
      </c>
      <c r="F13017" s="1">
        <v>2</v>
      </c>
      <c r="G13017" s="1" t="s">
        <v>28</v>
      </c>
      <c r="H13017" s="4" t="str">
        <f>HYPERLINK("https://portal.gdc.cancer.gov/cases/45b4b153-e4aa-4080-b0dc-ee81a966978a","TCGA-4Z-AA87-01A")</f>
        <v>TCGA-4Z-AA87-01A</v>
      </c>
      <c r="I13017" t="s">
        <v>506</v>
      </c>
      <c r="J13017" t="s">
        <v>507</v>
      </c>
      <c r="K13017" t="s">
        <v>33</v>
      </c>
      <c r="L13017" t="s">
        <v>508</v>
      </c>
      <c r="N13017" t="s">
        <v>29</v>
      </c>
    </row>
    <row r="13018" spans="1:14">
      <c r="A13018" s="4" t="str">
        <f t="shared" si="1111"/>
        <v>EXP00408</v>
      </c>
      <c r="B13018" s="3" t="s">
        <v>66</v>
      </c>
      <c r="C13018" s="4" t="str">
        <f t="shared" si="1112"/>
        <v>TCGA-BLCA</v>
      </c>
      <c r="D13018" s="1" t="s">
        <v>493</v>
      </c>
      <c r="E13018" t="s">
        <v>522</v>
      </c>
      <c r="F13018" s="1">
        <v>2</v>
      </c>
      <c r="G13018" s="1" t="s">
        <v>28</v>
      </c>
      <c r="H13018" s="4" t="str">
        <f>HYPERLINK("https://portal.gdc.cancer.gov/cases/604c0d60-6ba9-4d2f-98db-e310c58bc8ca","TCGA-4Z-AA89-01A")</f>
        <v>TCGA-4Z-AA89-01A</v>
      </c>
      <c r="I13018" t="s">
        <v>506</v>
      </c>
      <c r="J13018" t="s">
        <v>507</v>
      </c>
      <c r="K13018" t="s">
        <v>33</v>
      </c>
      <c r="L13018" t="s">
        <v>508</v>
      </c>
      <c r="N13018" t="s">
        <v>29</v>
      </c>
    </row>
    <row r="13019" spans="1:14">
      <c r="A13019" s="4" t="str">
        <f t="shared" si="1111"/>
        <v>EXP00408</v>
      </c>
      <c r="B13019" s="3" t="s">
        <v>66</v>
      </c>
      <c r="C13019" s="4" t="str">
        <f t="shared" si="1112"/>
        <v>TCGA-BLCA</v>
      </c>
      <c r="D13019" s="1" t="s">
        <v>493</v>
      </c>
      <c r="E13019" t="s">
        <v>522</v>
      </c>
      <c r="F13019" s="1">
        <v>2</v>
      </c>
      <c r="G13019" s="1" t="s">
        <v>28</v>
      </c>
      <c r="H13019" s="4" t="str">
        <f>HYPERLINK("https://portal.gdc.cancer.gov/cases/4fece3d0-649c-4771-b9c4-a3397cea0feb","TCGA-5N-A9KI-01A")</f>
        <v>TCGA-5N-A9KI-01A</v>
      </c>
      <c r="I13019" t="s">
        <v>506</v>
      </c>
      <c r="J13019" t="s">
        <v>507</v>
      </c>
      <c r="K13019" t="s">
        <v>33</v>
      </c>
      <c r="L13019" t="s">
        <v>508</v>
      </c>
      <c r="N13019" t="s">
        <v>29</v>
      </c>
    </row>
    <row r="13020" spans="1:14">
      <c r="A13020" s="4" t="str">
        <f t="shared" si="1111"/>
        <v>EXP00408</v>
      </c>
      <c r="B13020" s="3" t="s">
        <v>66</v>
      </c>
      <c r="C13020" s="4" t="str">
        <f t="shared" si="1112"/>
        <v>TCGA-BLCA</v>
      </c>
      <c r="D13020" s="1" t="s">
        <v>493</v>
      </c>
      <c r="E13020" t="s">
        <v>522</v>
      </c>
      <c r="F13020" s="1">
        <v>2</v>
      </c>
      <c r="G13020" s="1" t="s">
        <v>28</v>
      </c>
      <c r="H13020" s="4" t="str">
        <f>HYPERLINK("https://portal.gdc.cancer.gov/cases/9743e684-25dd-4dd9-9b84-6ae9518d1818","TCGA-5N-A9KM-01A")</f>
        <v>TCGA-5N-A9KM-01A</v>
      </c>
      <c r="I13020" t="s">
        <v>506</v>
      </c>
      <c r="J13020" t="s">
        <v>507</v>
      </c>
      <c r="K13020" t="s">
        <v>33</v>
      </c>
      <c r="L13020" t="s">
        <v>508</v>
      </c>
      <c r="N13020" t="s">
        <v>29</v>
      </c>
    </row>
    <row r="13021" spans="1:14">
      <c r="A13021" s="4" t="str">
        <f t="shared" si="1111"/>
        <v>EXP00408</v>
      </c>
      <c r="B13021" s="3" t="s">
        <v>66</v>
      </c>
      <c r="C13021" s="4" t="str">
        <f t="shared" si="1112"/>
        <v>TCGA-BLCA</v>
      </c>
      <c r="D13021" s="1" t="s">
        <v>493</v>
      </c>
      <c r="E13021" t="s">
        <v>522</v>
      </c>
      <c r="F13021" s="1">
        <v>2</v>
      </c>
      <c r="G13021" s="1" t="s">
        <v>28</v>
      </c>
      <c r="H13021" s="4" t="str">
        <f>HYPERLINK("https://portal.gdc.cancer.gov/cases/a6003b1c-56a9-430a-a5e2-b70af3f81bdb","TCGA-BL-A0C8-01A")</f>
        <v>TCGA-BL-A0C8-01A</v>
      </c>
      <c r="I13021" t="s">
        <v>506</v>
      </c>
      <c r="J13021" t="s">
        <v>507</v>
      </c>
      <c r="K13021" t="s">
        <v>33</v>
      </c>
      <c r="L13021" t="s">
        <v>508</v>
      </c>
      <c r="N13021" t="s">
        <v>29</v>
      </c>
    </row>
    <row r="13022" spans="1:14">
      <c r="A13022" s="4" t="str">
        <f t="shared" si="1111"/>
        <v>EXP00408</v>
      </c>
      <c r="B13022" s="3" t="s">
        <v>66</v>
      </c>
      <c r="C13022" s="4" t="str">
        <f t="shared" si="1112"/>
        <v>TCGA-BLCA</v>
      </c>
      <c r="D13022" s="1" t="s">
        <v>493</v>
      </c>
      <c r="E13022" t="s">
        <v>522</v>
      </c>
      <c r="F13022" s="1">
        <v>2</v>
      </c>
      <c r="G13022" s="1" t="s">
        <v>28</v>
      </c>
      <c r="H13022" s="4" t="str">
        <f>HYPERLINK("https://portal.gdc.cancer.gov/cases/a6003b1c-56a9-430a-a5e2-b70af3f81bdb","TCGA-BL-A0C8-01B")</f>
        <v>TCGA-BL-A0C8-01B</v>
      </c>
      <c r="I13022" t="s">
        <v>506</v>
      </c>
      <c r="J13022" t="s">
        <v>507</v>
      </c>
      <c r="K13022" t="s">
        <v>33</v>
      </c>
      <c r="L13022" t="s">
        <v>508</v>
      </c>
      <c r="N13022" t="s">
        <v>29</v>
      </c>
    </row>
    <row r="13023" spans="1:14">
      <c r="A13023" s="4" t="str">
        <f t="shared" si="1111"/>
        <v>EXP00408</v>
      </c>
      <c r="B13023" s="3" t="s">
        <v>66</v>
      </c>
      <c r="C13023" s="4" t="str">
        <f t="shared" si="1112"/>
        <v>TCGA-BLCA</v>
      </c>
      <c r="D13023" s="1" t="s">
        <v>493</v>
      </c>
      <c r="E13023" t="s">
        <v>522</v>
      </c>
      <c r="F13023" s="1">
        <v>2</v>
      </c>
      <c r="G13023" s="1" t="s">
        <v>28</v>
      </c>
      <c r="H13023" s="4" t="str">
        <f>HYPERLINK("https://portal.gdc.cancer.gov/cases/ebc094a6-cdc9-4c02-b8ec-a181b25a364d","TCGA-BL-A13I-01A")</f>
        <v>TCGA-BL-A13I-01A</v>
      </c>
      <c r="I13023" t="s">
        <v>506</v>
      </c>
      <c r="J13023" t="s">
        <v>507</v>
      </c>
      <c r="K13023" t="s">
        <v>33</v>
      </c>
      <c r="L13023" t="s">
        <v>508</v>
      </c>
      <c r="N13023" t="s">
        <v>29</v>
      </c>
    </row>
    <row r="13024" spans="1:14">
      <c r="A13024" s="4" t="str">
        <f t="shared" si="1111"/>
        <v>EXP00408</v>
      </c>
      <c r="B13024" s="3" t="s">
        <v>66</v>
      </c>
      <c r="C13024" s="4" t="str">
        <f t="shared" si="1112"/>
        <v>TCGA-BLCA</v>
      </c>
      <c r="D13024" s="1" t="s">
        <v>493</v>
      </c>
      <c r="E13024" t="s">
        <v>522</v>
      </c>
      <c r="F13024" s="1">
        <v>2</v>
      </c>
      <c r="G13024" s="1" t="s">
        <v>28</v>
      </c>
      <c r="H13024" s="4" t="str">
        <f>HYPERLINK("https://portal.gdc.cancer.gov/cases/ebc094a6-cdc9-4c02-b8ec-a181b25a364d","TCGA-BL-A13I-01B")</f>
        <v>TCGA-BL-A13I-01B</v>
      </c>
      <c r="I13024" t="s">
        <v>506</v>
      </c>
      <c r="J13024" t="s">
        <v>507</v>
      </c>
      <c r="K13024" t="s">
        <v>33</v>
      </c>
      <c r="L13024" t="s">
        <v>508</v>
      </c>
      <c r="N13024" t="s">
        <v>29</v>
      </c>
    </row>
    <row r="13025" spans="1:14">
      <c r="A13025" s="4" t="str">
        <f t="shared" si="1111"/>
        <v>EXP00408</v>
      </c>
      <c r="B13025" s="3" t="s">
        <v>66</v>
      </c>
      <c r="C13025" s="4" t="str">
        <f t="shared" si="1112"/>
        <v>TCGA-BLCA</v>
      </c>
      <c r="D13025" s="1" t="s">
        <v>493</v>
      </c>
      <c r="E13025" t="s">
        <v>522</v>
      </c>
      <c r="F13025" s="1">
        <v>2</v>
      </c>
      <c r="G13025" s="1" t="s">
        <v>28</v>
      </c>
      <c r="H13025" s="4" t="str">
        <f>HYPERLINK("https://portal.gdc.cancer.gov/cases/556fcbc8-172a-4af1-8822-ae036e8d68e8","TCGA-BL-A13J-01A")</f>
        <v>TCGA-BL-A13J-01A</v>
      </c>
      <c r="I13025" t="s">
        <v>506</v>
      </c>
      <c r="J13025" t="s">
        <v>507</v>
      </c>
      <c r="K13025" t="s">
        <v>33</v>
      </c>
      <c r="L13025" t="s">
        <v>508</v>
      </c>
      <c r="N13025" t="s">
        <v>29</v>
      </c>
    </row>
    <row r="13026" spans="1:14">
      <c r="A13026" s="4" t="str">
        <f t="shared" si="1111"/>
        <v>EXP00408</v>
      </c>
      <c r="B13026" s="3" t="s">
        <v>66</v>
      </c>
      <c r="C13026" s="4" t="str">
        <f t="shared" si="1112"/>
        <v>TCGA-BLCA</v>
      </c>
      <c r="D13026" s="1" t="s">
        <v>493</v>
      </c>
      <c r="E13026" t="s">
        <v>522</v>
      </c>
      <c r="F13026" s="1">
        <v>2</v>
      </c>
      <c r="G13026" s="1" t="s">
        <v>28</v>
      </c>
      <c r="H13026" s="4" t="str">
        <f>HYPERLINK("https://portal.gdc.cancer.gov/cases/556fcbc8-172a-4af1-8822-ae036e8d68e8","TCGA-BL-A13J-01B")</f>
        <v>TCGA-BL-A13J-01B</v>
      </c>
      <c r="I13026" t="s">
        <v>506</v>
      </c>
      <c r="J13026" t="s">
        <v>507</v>
      </c>
      <c r="K13026" t="s">
        <v>33</v>
      </c>
      <c r="L13026" t="s">
        <v>508</v>
      </c>
      <c r="N13026" t="s">
        <v>29</v>
      </c>
    </row>
    <row r="13027" spans="1:14">
      <c r="A13027" s="4" t="str">
        <f t="shared" si="1111"/>
        <v>EXP00408</v>
      </c>
      <c r="B13027" s="3" t="s">
        <v>66</v>
      </c>
      <c r="C13027" s="4" t="str">
        <f t="shared" si="1112"/>
        <v>TCGA-BLCA</v>
      </c>
      <c r="D13027" s="1" t="s">
        <v>493</v>
      </c>
      <c r="E13027" t="s">
        <v>522</v>
      </c>
      <c r="F13027" s="1">
        <v>2</v>
      </c>
      <c r="G13027" s="1" t="s">
        <v>28</v>
      </c>
      <c r="H13027" s="4" t="str">
        <f>HYPERLINK("https://portal.gdc.cancer.gov/cases/0f4fb205-b13c-4a85-97b3-779429e6ccdd","TCGA-BL-A3JM-01A")</f>
        <v>TCGA-BL-A3JM-01A</v>
      </c>
      <c r="I13027" t="s">
        <v>506</v>
      </c>
      <c r="J13027" t="s">
        <v>507</v>
      </c>
      <c r="K13027" t="s">
        <v>33</v>
      </c>
      <c r="L13027" t="s">
        <v>508</v>
      </c>
      <c r="N13027" t="s">
        <v>29</v>
      </c>
    </row>
    <row r="13028" spans="1:14">
      <c r="A13028" s="4" t="str">
        <f t="shared" si="1111"/>
        <v>EXP00408</v>
      </c>
      <c r="B13028" s="3" t="s">
        <v>66</v>
      </c>
      <c r="C13028" s="4" t="str">
        <f t="shared" si="1112"/>
        <v>TCGA-BLCA</v>
      </c>
      <c r="D13028" s="1" t="s">
        <v>493</v>
      </c>
      <c r="E13028" t="s">
        <v>522</v>
      </c>
      <c r="F13028" s="1">
        <v>2</v>
      </c>
      <c r="G13028" s="1" t="s">
        <v>28</v>
      </c>
      <c r="H13028" s="4" t="str">
        <f>HYPERLINK("https://portal.gdc.cancer.gov/cases/68bc786e-07c7-4964-bc88-5e2a8633626a","TCGA-BT-A0S7-01A")</f>
        <v>TCGA-BT-A0S7-01A</v>
      </c>
      <c r="I13028" t="s">
        <v>506</v>
      </c>
      <c r="J13028" t="s">
        <v>507</v>
      </c>
      <c r="K13028" t="s">
        <v>33</v>
      </c>
      <c r="L13028" t="s">
        <v>508</v>
      </c>
      <c r="N13028" t="s">
        <v>29</v>
      </c>
    </row>
    <row r="13029" spans="1:14">
      <c r="A13029" s="4" t="str">
        <f t="shared" si="1111"/>
        <v>EXP00408</v>
      </c>
      <c r="B13029" s="3" t="s">
        <v>66</v>
      </c>
      <c r="C13029" s="4" t="str">
        <f t="shared" si="1112"/>
        <v>TCGA-BLCA</v>
      </c>
      <c r="D13029" s="1" t="s">
        <v>493</v>
      </c>
      <c r="E13029" t="s">
        <v>522</v>
      </c>
      <c r="F13029" s="1">
        <v>2</v>
      </c>
      <c r="G13029" s="1" t="s">
        <v>28</v>
      </c>
      <c r="H13029" s="4" t="str">
        <f>HYPERLINK("https://portal.gdc.cancer.gov/cases/22473ad4-df39-4716-b558-3c1409d5fa0e","TCGA-BT-A0YX-01A")</f>
        <v>TCGA-BT-A0YX-01A</v>
      </c>
      <c r="I13029" t="s">
        <v>506</v>
      </c>
      <c r="J13029" t="s">
        <v>507</v>
      </c>
      <c r="K13029" t="s">
        <v>33</v>
      </c>
      <c r="L13029" t="s">
        <v>508</v>
      </c>
      <c r="N13029" t="s">
        <v>29</v>
      </c>
    </row>
    <row r="13030" spans="1:14">
      <c r="A13030" s="4" t="str">
        <f t="shared" si="1111"/>
        <v>EXP00408</v>
      </c>
      <c r="B13030" s="3" t="s">
        <v>66</v>
      </c>
      <c r="C13030" s="4" t="str">
        <f t="shared" si="1112"/>
        <v>TCGA-BLCA</v>
      </c>
      <c r="D13030" s="1" t="s">
        <v>493</v>
      </c>
      <c r="E13030" t="s">
        <v>522</v>
      </c>
      <c r="F13030" s="1">
        <v>2</v>
      </c>
      <c r="G13030" s="1" t="s">
        <v>28</v>
      </c>
      <c r="H13030" s="4" t="str">
        <f>HYPERLINK("https://portal.gdc.cancer.gov/cases/74b1e72d-fdd0-4d84-8858-3bb32d58ff7e","TCGA-BT-A20J-01A")</f>
        <v>TCGA-BT-A20J-01A</v>
      </c>
      <c r="I13030" t="s">
        <v>506</v>
      </c>
      <c r="J13030" t="s">
        <v>507</v>
      </c>
      <c r="K13030" t="s">
        <v>33</v>
      </c>
      <c r="L13030" t="s">
        <v>508</v>
      </c>
      <c r="N13030" t="s">
        <v>29</v>
      </c>
    </row>
    <row r="13031" spans="1:14">
      <c r="A13031" s="4" t="str">
        <f t="shared" si="1111"/>
        <v>EXP00408</v>
      </c>
      <c r="B13031" s="3" t="s">
        <v>66</v>
      </c>
      <c r="C13031" s="4" t="str">
        <f t="shared" si="1112"/>
        <v>TCGA-BLCA</v>
      </c>
      <c r="D13031" s="1" t="s">
        <v>493</v>
      </c>
      <c r="E13031" t="s">
        <v>522</v>
      </c>
      <c r="F13031" s="1">
        <v>2</v>
      </c>
      <c r="G13031" s="1" t="s">
        <v>28</v>
      </c>
      <c r="H13031" s="4" t="str">
        <f>HYPERLINK("https://portal.gdc.cancer.gov/cases/ebedab7c-dd7c-448e-8324-78c86f13be8b","TCGA-BT-A20N-01A")</f>
        <v>TCGA-BT-A20N-01A</v>
      </c>
      <c r="I13031" t="s">
        <v>506</v>
      </c>
      <c r="J13031" t="s">
        <v>507</v>
      </c>
      <c r="K13031" t="s">
        <v>33</v>
      </c>
      <c r="L13031" t="s">
        <v>508</v>
      </c>
      <c r="N13031" t="s">
        <v>29</v>
      </c>
    </row>
    <row r="13032" spans="1:14">
      <c r="A13032" s="4" t="str">
        <f t="shared" si="1111"/>
        <v>EXP00408</v>
      </c>
      <c r="B13032" s="3" t="s">
        <v>66</v>
      </c>
      <c r="C13032" s="4" t="str">
        <f t="shared" si="1112"/>
        <v>TCGA-BLCA</v>
      </c>
      <c r="D13032" s="1" t="s">
        <v>493</v>
      </c>
      <c r="E13032" t="s">
        <v>522</v>
      </c>
      <c r="F13032" s="1">
        <v>2</v>
      </c>
      <c r="G13032" s="1" t="s">
        <v>28</v>
      </c>
      <c r="H13032" s="4" t="str">
        <f>HYPERLINK("https://portal.gdc.cancer.gov/cases/c0e7fbe7-b9cb-4e65-941b-cd7d581c54ec","TCGA-BT-A20O-01A")</f>
        <v>TCGA-BT-A20O-01A</v>
      </c>
      <c r="I13032" t="s">
        <v>506</v>
      </c>
      <c r="J13032" t="s">
        <v>507</v>
      </c>
      <c r="K13032" t="s">
        <v>33</v>
      </c>
      <c r="L13032" t="s">
        <v>508</v>
      </c>
      <c r="N13032" t="s">
        <v>29</v>
      </c>
    </row>
    <row r="13033" spans="1:14">
      <c r="A13033" s="4" t="str">
        <f t="shared" si="1111"/>
        <v>EXP00408</v>
      </c>
      <c r="B13033" s="3" t="s">
        <v>66</v>
      </c>
      <c r="C13033" s="4" t="str">
        <f t="shared" si="1112"/>
        <v>TCGA-BLCA</v>
      </c>
      <c r="D13033" s="1" t="s">
        <v>493</v>
      </c>
      <c r="E13033" t="s">
        <v>522</v>
      </c>
      <c r="F13033" s="1">
        <v>2</v>
      </c>
      <c r="G13033" s="1" t="s">
        <v>28</v>
      </c>
      <c r="H13033" s="4" t="str">
        <f>HYPERLINK("https://portal.gdc.cancer.gov/cases/f48937ed-e294-41f0-8872-7010391167a9","TCGA-BT-A20P-01A")</f>
        <v>TCGA-BT-A20P-01A</v>
      </c>
      <c r="I13033" t="s">
        <v>506</v>
      </c>
      <c r="J13033" t="s">
        <v>507</v>
      </c>
      <c r="K13033" t="s">
        <v>33</v>
      </c>
      <c r="L13033" t="s">
        <v>508</v>
      </c>
      <c r="N13033" t="s">
        <v>29</v>
      </c>
    </row>
    <row r="13034" spans="1:14">
      <c r="A13034" s="4" t="str">
        <f t="shared" si="1111"/>
        <v>EXP00408</v>
      </c>
      <c r="B13034" s="3" t="s">
        <v>66</v>
      </c>
      <c r="C13034" s="4" t="str">
        <f t="shared" si="1112"/>
        <v>TCGA-BLCA</v>
      </c>
      <c r="D13034" s="1" t="s">
        <v>493</v>
      </c>
      <c r="E13034" t="s">
        <v>522</v>
      </c>
      <c r="F13034" s="1">
        <v>2</v>
      </c>
      <c r="G13034" s="1" t="s">
        <v>28</v>
      </c>
      <c r="H13034" s="4" t="str">
        <f>HYPERLINK("https://portal.gdc.cancer.gov/cases/419deaac-ea45-4bdd-9fa0-b5cd8429b44f","TCGA-BT-A20Q-01A")</f>
        <v>TCGA-BT-A20Q-01A</v>
      </c>
      <c r="I13034" t="s">
        <v>506</v>
      </c>
      <c r="J13034" t="s">
        <v>507</v>
      </c>
      <c r="K13034" t="s">
        <v>33</v>
      </c>
      <c r="L13034" t="s">
        <v>508</v>
      </c>
      <c r="N13034" t="s">
        <v>29</v>
      </c>
    </row>
    <row r="13035" spans="1:14">
      <c r="A13035" s="4" t="str">
        <f t="shared" si="1111"/>
        <v>EXP00408</v>
      </c>
      <c r="B13035" s="3" t="s">
        <v>66</v>
      </c>
      <c r="C13035" s="4" t="str">
        <f t="shared" si="1112"/>
        <v>TCGA-BLCA</v>
      </c>
      <c r="D13035" s="1" t="s">
        <v>493</v>
      </c>
      <c r="E13035" t="s">
        <v>522</v>
      </c>
      <c r="F13035" s="1">
        <v>2</v>
      </c>
      <c r="G13035" s="1" t="s">
        <v>28</v>
      </c>
      <c r="H13035" s="4" t="str">
        <f>HYPERLINK("https://portal.gdc.cancer.gov/cases/f8780a4b-7f55-41d1-bf92-8513955d150e","TCGA-BT-A20R-01A")</f>
        <v>TCGA-BT-A20R-01A</v>
      </c>
      <c r="I13035" t="s">
        <v>506</v>
      </c>
      <c r="J13035" t="s">
        <v>507</v>
      </c>
      <c r="K13035" t="s">
        <v>33</v>
      </c>
      <c r="L13035" t="s">
        <v>508</v>
      </c>
      <c r="N13035" t="s">
        <v>29</v>
      </c>
    </row>
    <row r="13036" spans="1:14">
      <c r="A13036" s="4" t="str">
        <f t="shared" si="1111"/>
        <v>EXP00408</v>
      </c>
      <c r="B13036" s="3" t="s">
        <v>66</v>
      </c>
      <c r="C13036" s="4" t="str">
        <f t="shared" si="1112"/>
        <v>TCGA-BLCA</v>
      </c>
      <c r="D13036" s="1" t="s">
        <v>493</v>
      </c>
      <c r="E13036" t="s">
        <v>522</v>
      </c>
      <c r="F13036" s="1">
        <v>2</v>
      </c>
      <c r="G13036" s="1" t="s">
        <v>28</v>
      </c>
      <c r="H13036" s="4" t="str">
        <f>HYPERLINK("https://portal.gdc.cancer.gov/cases/096b4f32-10c1-4737-a0dd-cae04c54ee33","TCGA-BT-A20T-01A")</f>
        <v>TCGA-BT-A20T-01A</v>
      </c>
      <c r="I13036" t="s">
        <v>506</v>
      </c>
      <c r="J13036" t="s">
        <v>507</v>
      </c>
      <c r="K13036" t="s">
        <v>33</v>
      </c>
      <c r="L13036" t="s">
        <v>508</v>
      </c>
      <c r="N13036" t="s">
        <v>29</v>
      </c>
    </row>
    <row r="13037" spans="1:14">
      <c r="A13037" s="4" t="str">
        <f t="shared" si="1111"/>
        <v>EXP00408</v>
      </c>
      <c r="B13037" s="3" t="s">
        <v>66</v>
      </c>
      <c r="C13037" s="4" t="str">
        <f t="shared" si="1112"/>
        <v>TCGA-BLCA</v>
      </c>
      <c r="D13037" s="1" t="s">
        <v>493</v>
      </c>
      <c r="E13037" t="s">
        <v>522</v>
      </c>
      <c r="F13037" s="1">
        <v>2</v>
      </c>
      <c r="G13037" s="1" t="s">
        <v>28</v>
      </c>
      <c r="H13037" s="4" t="str">
        <f>HYPERLINK("https://portal.gdc.cancer.gov/cases/83b41d35-69b1-4218-be1a-8821d8a6899c","TCGA-BT-A20U-01A")</f>
        <v>TCGA-BT-A20U-01A</v>
      </c>
      <c r="I13037" t="s">
        <v>506</v>
      </c>
      <c r="J13037" t="s">
        <v>507</v>
      </c>
      <c r="K13037" t="s">
        <v>33</v>
      </c>
      <c r="L13037" t="s">
        <v>508</v>
      </c>
      <c r="N13037" t="s">
        <v>29</v>
      </c>
    </row>
    <row r="13038" spans="1:14">
      <c r="A13038" s="4" t="str">
        <f t="shared" si="1111"/>
        <v>EXP00408</v>
      </c>
      <c r="B13038" s="3" t="s">
        <v>66</v>
      </c>
      <c r="C13038" s="4" t="str">
        <f t="shared" si="1112"/>
        <v>TCGA-BLCA</v>
      </c>
      <c r="D13038" s="1" t="s">
        <v>493</v>
      </c>
      <c r="E13038" t="s">
        <v>522</v>
      </c>
      <c r="F13038" s="1">
        <v>2</v>
      </c>
      <c r="G13038" s="1" t="s">
        <v>28</v>
      </c>
      <c r="H13038" s="4" t="str">
        <f>HYPERLINK("https://portal.gdc.cancer.gov/cases/24f21425-b001-4986-aedf-5b4dd851c6ad","TCGA-BT-A20V-01A")</f>
        <v>TCGA-BT-A20V-01A</v>
      </c>
      <c r="I13038" t="s">
        <v>506</v>
      </c>
      <c r="J13038" t="s">
        <v>507</v>
      </c>
      <c r="K13038" t="s">
        <v>33</v>
      </c>
      <c r="L13038" t="s">
        <v>508</v>
      </c>
      <c r="N13038" t="s">
        <v>29</v>
      </c>
    </row>
    <row r="13039" spans="1:14">
      <c r="A13039" s="4" t="str">
        <f t="shared" si="1111"/>
        <v>EXP00408</v>
      </c>
      <c r="B13039" s="3" t="s">
        <v>66</v>
      </c>
      <c r="C13039" s="4" t="str">
        <f t="shared" si="1112"/>
        <v>TCGA-BLCA</v>
      </c>
      <c r="D13039" s="1" t="s">
        <v>493</v>
      </c>
      <c r="E13039" t="s">
        <v>522</v>
      </c>
      <c r="F13039" s="1">
        <v>2</v>
      </c>
      <c r="G13039" s="1" t="s">
        <v>28</v>
      </c>
      <c r="H13039" s="4" t="str">
        <f>HYPERLINK("https://portal.gdc.cancer.gov/cases/4dc5cffe-ed8c-47ab-b5fc-f9615b5414f7","TCGA-BT-A20W-01A")</f>
        <v>TCGA-BT-A20W-01A</v>
      </c>
      <c r="I13039" t="s">
        <v>506</v>
      </c>
      <c r="J13039" t="s">
        <v>507</v>
      </c>
      <c r="K13039" t="s">
        <v>33</v>
      </c>
      <c r="L13039" t="s">
        <v>508</v>
      </c>
      <c r="N13039" t="s">
        <v>29</v>
      </c>
    </row>
    <row r="13040" spans="1:14">
      <c r="A13040" s="4" t="str">
        <f t="shared" si="1111"/>
        <v>EXP00408</v>
      </c>
      <c r="B13040" s="3" t="s">
        <v>66</v>
      </c>
      <c r="C13040" s="4" t="str">
        <f t="shared" si="1112"/>
        <v>TCGA-BLCA</v>
      </c>
      <c r="D13040" s="1" t="s">
        <v>493</v>
      </c>
      <c r="E13040" t="s">
        <v>522</v>
      </c>
      <c r="F13040" s="1">
        <v>2</v>
      </c>
      <c r="G13040" s="1" t="s">
        <v>28</v>
      </c>
      <c r="H13040" s="4" t="str">
        <f>HYPERLINK("https://portal.gdc.cancer.gov/cases/be8b3f36-aaa1-4302-b28e-de1996faceaf","TCGA-BT-A20X-01A")</f>
        <v>TCGA-BT-A20X-01A</v>
      </c>
      <c r="I13040" t="s">
        <v>506</v>
      </c>
      <c r="J13040" t="s">
        <v>507</v>
      </c>
      <c r="K13040" t="s">
        <v>33</v>
      </c>
      <c r="L13040" t="s">
        <v>508</v>
      </c>
      <c r="N13040" t="s">
        <v>29</v>
      </c>
    </row>
    <row r="13041" spans="1:14">
      <c r="A13041" s="4" t="str">
        <f t="shared" si="1111"/>
        <v>EXP00408</v>
      </c>
      <c r="B13041" s="3" t="s">
        <v>66</v>
      </c>
      <c r="C13041" s="4" t="str">
        <f t="shared" si="1112"/>
        <v>TCGA-BLCA</v>
      </c>
      <c r="D13041" s="1" t="s">
        <v>493</v>
      </c>
      <c r="E13041" t="s">
        <v>522</v>
      </c>
      <c r="F13041" s="1">
        <v>2</v>
      </c>
      <c r="G13041" s="1" t="s">
        <v>28</v>
      </c>
      <c r="H13041" s="4" t="str">
        <f>HYPERLINK("https://portal.gdc.cancer.gov/cases/797a71ee-372d-41e5-aeee-5ab3c4661110","TCGA-BT-A2LA-01A")</f>
        <v>TCGA-BT-A2LA-01A</v>
      </c>
      <c r="I13041" t="s">
        <v>506</v>
      </c>
      <c r="J13041" t="s">
        <v>507</v>
      </c>
      <c r="K13041" t="s">
        <v>33</v>
      </c>
      <c r="L13041" t="s">
        <v>508</v>
      </c>
      <c r="N13041" t="s">
        <v>29</v>
      </c>
    </row>
    <row r="13042" spans="1:14">
      <c r="A13042" s="4" t="str">
        <f t="shared" si="1111"/>
        <v>EXP00408</v>
      </c>
      <c r="B13042" s="3" t="s">
        <v>66</v>
      </c>
      <c r="C13042" s="4" t="str">
        <f t="shared" si="1112"/>
        <v>TCGA-BLCA</v>
      </c>
      <c r="D13042" s="1" t="s">
        <v>493</v>
      </c>
      <c r="E13042" t="s">
        <v>522</v>
      </c>
      <c r="F13042" s="1">
        <v>2</v>
      </c>
      <c r="G13042" s="1" t="s">
        <v>28</v>
      </c>
      <c r="H13042" s="4" t="str">
        <f>HYPERLINK("https://portal.gdc.cancer.gov/cases/d17a5ab1-3789-4652-aff5-d8f4f2291f9c","TCGA-BT-A2LB-01A")</f>
        <v>TCGA-BT-A2LB-01A</v>
      </c>
      <c r="I13042" t="s">
        <v>506</v>
      </c>
      <c r="J13042" t="s">
        <v>507</v>
      </c>
      <c r="K13042" t="s">
        <v>33</v>
      </c>
      <c r="L13042" t="s">
        <v>508</v>
      </c>
      <c r="N13042" t="s">
        <v>29</v>
      </c>
    </row>
    <row r="13043" spans="1:14">
      <c r="A13043" s="4" t="str">
        <f t="shared" si="1111"/>
        <v>EXP00408</v>
      </c>
      <c r="B13043" s="3" t="s">
        <v>66</v>
      </c>
      <c r="C13043" s="4" t="str">
        <f t="shared" si="1112"/>
        <v>TCGA-BLCA</v>
      </c>
      <c r="D13043" s="1" t="s">
        <v>493</v>
      </c>
      <c r="E13043" t="s">
        <v>522</v>
      </c>
      <c r="F13043" s="1">
        <v>2</v>
      </c>
      <c r="G13043" s="1" t="s">
        <v>28</v>
      </c>
      <c r="H13043" s="4" t="str">
        <f>HYPERLINK("https://portal.gdc.cancer.gov/cases/9dd97821-7afd-4982-8b1d-f14f845b79f7","TCGA-BT-A2LD-01A")</f>
        <v>TCGA-BT-A2LD-01A</v>
      </c>
      <c r="I13043" t="s">
        <v>506</v>
      </c>
      <c r="J13043" t="s">
        <v>507</v>
      </c>
      <c r="K13043" t="s">
        <v>33</v>
      </c>
      <c r="L13043" t="s">
        <v>508</v>
      </c>
      <c r="N13043" t="s">
        <v>29</v>
      </c>
    </row>
    <row r="13044" spans="1:14">
      <c r="A13044" s="4" t="str">
        <f t="shared" si="1111"/>
        <v>EXP00408</v>
      </c>
      <c r="B13044" s="3" t="s">
        <v>66</v>
      </c>
      <c r="C13044" s="4" t="str">
        <f t="shared" si="1112"/>
        <v>TCGA-BLCA</v>
      </c>
      <c r="D13044" s="1" t="s">
        <v>493</v>
      </c>
      <c r="E13044" t="s">
        <v>522</v>
      </c>
      <c r="F13044" s="1">
        <v>2</v>
      </c>
      <c r="G13044" s="1" t="s">
        <v>28</v>
      </c>
      <c r="H13044" s="4" t="str">
        <f>HYPERLINK("https://portal.gdc.cancer.gov/cases/932bcdd4-5145-49e8-9a95-8a546396f572","TCGA-BT-A3PH-01A")</f>
        <v>TCGA-BT-A3PH-01A</v>
      </c>
      <c r="I13044" t="s">
        <v>506</v>
      </c>
      <c r="J13044" t="s">
        <v>507</v>
      </c>
      <c r="K13044" t="s">
        <v>33</v>
      </c>
      <c r="L13044" t="s">
        <v>508</v>
      </c>
      <c r="N13044" t="s">
        <v>29</v>
      </c>
    </row>
    <row r="13045" spans="1:14">
      <c r="A13045" s="4" t="str">
        <f t="shared" si="1111"/>
        <v>EXP00408</v>
      </c>
      <c r="B13045" s="3" t="s">
        <v>66</v>
      </c>
      <c r="C13045" s="4" t="str">
        <f t="shared" si="1112"/>
        <v>TCGA-BLCA</v>
      </c>
      <c r="D13045" s="1" t="s">
        <v>493</v>
      </c>
      <c r="E13045" t="s">
        <v>522</v>
      </c>
      <c r="F13045" s="1">
        <v>2</v>
      </c>
      <c r="G13045" s="1" t="s">
        <v>28</v>
      </c>
      <c r="H13045" s="4" t="str">
        <f>HYPERLINK("https://portal.gdc.cancer.gov/cases/cb664eef-be6f-44ef-aa90-6f6da0e6440a","TCGA-BT-A3PJ-01A")</f>
        <v>TCGA-BT-A3PJ-01A</v>
      </c>
      <c r="I13045" t="s">
        <v>506</v>
      </c>
      <c r="J13045" t="s">
        <v>507</v>
      </c>
      <c r="K13045" t="s">
        <v>33</v>
      </c>
      <c r="L13045" t="s">
        <v>508</v>
      </c>
      <c r="N13045" t="s">
        <v>29</v>
      </c>
    </row>
    <row r="13046" spans="1:14">
      <c r="A13046" s="4" t="str">
        <f t="shared" si="1111"/>
        <v>EXP00408</v>
      </c>
      <c r="B13046" s="3" t="s">
        <v>66</v>
      </c>
      <c r="C13046" s="4" t="str">
        <f t="shared" si="1112"/>
        <v>TCGA-BLCA</v>
      </c>
      <c r="D13046" s="1" t="s">
        <v>493</v>
      </c>
      <c r="E13046" t="s">
        <v>522</v>
      </c>
      <c r="F13046" s="1">
        <v>2</v>
      </c>
      <c r="G13046" s="1" t="s">
        <v>28</v>
      </c>
      <c r="H13046" s="4" t="str">
        <f>HYPERLINK("https://portal.gdc.cancer.gov/cases/73041fcf-f3b6-4851-b34d-1d62a1fcf6fe","TCGA-BT-A3PK-01A")</f>
        <v>TCGA-BT-A3PK-01A</v>
      </c>
      <c r="I13046" t="s">
        <v>506</v>
      </c>
      <c r="J13046" t="s">
        <v>507</v>
      </c>
      <c r="K13046" t="s">
        <v>33</v>
      </c>
      <c r="L13046" t="s">
        <v>508</v>
      </c>
      <c r="N13046" t="s">
        <v>29</v>
      </c>
    </row>
    <row r="13047" spans="1:14">
      <c r="A13047" s="4" t="str">
        <f t="shared" ref="A13047:A13110" si="1113">HYPERLINK("http://hcmdb.i-sanger.com/experiment/details/experiment_id/EXP00408","EXP00408")</f>
        <v>EXP00408</v>
      </c>
      <c r="B13047" s="3" t="s">
        <v>66</v>
      </c>
      <c r="C13047" s="4" t="str">
        <f t="shared" si="1112"/>
        <v>TCGA-BLCA</v>
      </c>
      <c r="D13047" s="1" t="s">
        <v>493</v>
      </c>
      <c r="E13047" t="s">
        <v>522</v>
      </c>
      <c r="F13047" s="1">
        <v>2</v>
      </c>
      <c r="G13047" s="1" t="s">
        <v>28</v>
      </c>
      <c r="H13047" s="4" t="str">
        <f>HYPERLINK("https://portal.gdc.cancer.gov/cases/b9808ef9-e917-45f9-9e0f-b86f7834b5ff","TCGA-BT-A42C-01A")</f>
        <v>TCGA-BT-A42C-01A</v>
      </c>
      <c r="I13047" t="s">
        <v>506</v>
      </c>
      <c r="J13047" t="s">
        <v>507</v>
      </c>
      <c r="K13047" t="s">
        <v>33</v>
      </c>
      <c r="L13047" t="s">
        <v>508</v>
      </c>
      <c r="N13047" t="s">
        <v>29</v>
      </c>
    </row>
    <row r="13048" spans="1:14">
      <c r="A13048" s="4" t="str">
        <f t="shared" si="1113"/>
        <v>EXP00408</v>
      </c>
      <c r="B13048" s="3" t="s">
        <v>66</v>
      </c>
      <c r="C13048" s="4" t="str">
        <f t="shared" si="1112"/>
        <v>TCGA-BLCA</v>
      </c>
      <c r="D13048" s="1" t="s">
        <v>493</v>
      </c>
      <c r="E13048" t="s">
        <v>522</v>
      </c>
      <c r="F13048" s="1">
        <v>2</v>
      </c>
      <c r="G13048" s="1" t="s">
        <v>28</v>
      </c>
      <c r="H13048" s="4" t="str">
        <f>HYPERLINK("https://portal.gdc.cancer.gov/cases/8d434cfb-2414-4d93-bf79-7b957bf040db","TCGA-BT-A42E-01A")</f>
        <v>TCGA-BT-A42E-01A</v>
      </c>
      <c r="I13048" t="s">
        <v>506</v>
      </c>
      <c r="J13048" t="s">
        <v>507</v>
      </c>
      <c r="K13048" t="s">
        <v>33</v>
      </c>
      <c r="L13048" t="s">
        <v>508</v>
      </c>
      <c r="N13048" t="s">
        <v>29</v>
      </c>
    </row>
    <row r="13049" spans="1:14">
      <c r="A13049" s="4" t="str">
        <f t="shared" si="1113"/>
        <v>EXP00408</v>
      </c>
      <c r="B13049" s="3" t="s">
        <v>66</v>
      </c>
      <c r="C13049" s="4" t="str">
        <f t="shared" si="1112"/>
        <v>TCGA-BLCA</v>
      </c>
      <c r="D13049" s="1" t="s">
        <v>493</v>
      </c>
      <c r="E13049" t="s">
        <v>522</v>
      </c>
      <c r="F13049" s="1">
        <v>2</v>
      </c>
      <c r="G13049" s="1" t="s">
        <v>28</v>
      </c>
      <c r="H13049" s="4" t="str">
        <f>HYPERLINK("https://portal.gdc.cancer.gov/cases/da98be9d-7acf-43ce-aa24-38d1d2604506","TCGA-BT-A42F-01A")</f>
        <v>TCGA-BT-A42F-01A</v>
      </c>
      <c r="I13049" t="s">
        <v>506</v>
      </c>
      <c r="J13049" t="s">
        <v>507</v>
      </c>
      <c r="K13049" t="s">
        <v>33</v>
      </c>
      <c r="L13049" t="s">
        <v>508</v>
      </c>
      <c r="N13049" t="s">
        <v>29</v>
      </c>
    </row>
    <row r="13050" spans="1:14">
      <c r="A13050" s="4" t="str">
        <f t="shared" si="1113"/>
        <v>EXP00408</v>
      </c>
      <c r="B13050" s="3" t="s">
        <v>66</v>
      </c>
      <c r="C13050" s="4" t="str">
        <f t="shared" si="1112"/>
        <v>TCGA-BLCA</v>
      </c>
      <c r="D13050" s="1" t="s">
        <v>493</v>
      </c>
      <c r="E13050" t="s">
        <v>522</v>
      </c>
      <c r="F13050" s="1">
        <v>2</v>
      </c>
      <c r="G13050" s="1" t="s">
        <v>28</v>
      </c>
      <c r="H13050" s="4" t="str">
        <f>HYPERLINK("https://portal.gdc.cancer.gov/cases/05935f1d-77c2-46ca-b87a-7a84bce38afd","TCGA-C4-A0EZ-01A")</f>
        <v>TCGA-C4-A0EZ-01A</v>
      </c>
      <c r="I13050" t="s">
        <v>506</v>
      </c>
      <c r="J13050" t="s">
        <v>507</v>
      </c>
      <c r="K13050" t="s">
        <v>33</v>
      </c>
      <c r="L13050" t="s">
        <v>508</v>
      </c>
      <c r="N13050" t="s">
        <v>29</v>
      </c>
    </row>
    <row r="13051" spans="1:14">
      <c r="A13051" s="4" t="str">
        <f t="shared" si="1113"/>
        <v>EXP00408</v>
      </c>
      <c r="B13051" s="3" t="s">
        <v>66</v>
      </c>
      <c r="C13051" s="4" t="str">
        <f t="shared" si="1112"/>
        <v>TCGA-BLCA</v>
      </c>
      <c r="D13051" s="1" t="s">
        <v>493</v>
      </c>
      <c r="E13051" t="s">
        <v>522</v>
      </c>
      <c r="F13051" s="1">
        <v>2</v>
      </c>
      <c r="G13051" s="1" t="s">
        <v>28</v>
      </c>
      <c r="H13051" s="4" t="str">
        <f>HYPERLINK("https://portal.gdc.cancer.gov/cases/40398c03-a9cc-476b-9ee9-aecf161be43f","TCGA-C4-A0F0-01A")</f>
        <v>TCGA-C4-A0F0-01A</v>
      </c>
      <c r="I13051" t="s">
        <v>506</v>
      </c>
      <c r="J13051" t="s">
        <v>507</v>
      </c>
      <c r="K13051" t="s">
        <v>33</v>
      </c>
      <c r="L13051" t="s">
        <v>508</v>
      </c>
      <c r="N13051" t="s">
        <v>29</v>
      </c>
    </row>
    <row r="13052" spans="1:14">
      <c r="A13052" s="4" t="str">
        <f t="shared" si="1113"/>
        <v>EXP00408</v>
      </c>
      <c r="B13052" s="3" t="s">
        <v>66</v>
      </c>
      <c r="C13052" s="4" t="str">
        <f t="shared" si="1112"/>
        <v>TCGA-BLCA</v>
      </c>
      <c r="D13052" s="1" t="s">
        <v>493</v>
      </c>
      <c r="E13052" t="s">
        <v>522</v>
      </c>
      <c r="F13052" s="1">
        <v>2</v>
      </c>
      <c r="G13052" s="1" t="s">
        <v>28</v>
      </c>
      <c r="H13052" s="4" t="str">
        <f>HYPERLINK("https://portal.gdc.cancer.gov/cases/ab20d2d5-ea10-4aba-b495-fbe7b18bb394","TCGA-C4-A0F1-01A")</f>
        <v>TCGA-C4-A0F1-01A</v>
      </c>
      <c r="I13052" t="s">
        <v>506</v>
      </c>
      <c r="J13052" t="s">
        <v>507</v>
      </c>
      <c r="K13052" t="s">
        <v>33</v>
      </c>
      <c r="L13052" t="s">
        <v>508</v>
      </c>
      <c r="N13052" t="s">
        <v>29</v>
      </c>
    </row>
    <row r="13053" spans="1:14">
      <c r="A13053" s="4" t="str">
        <f t="shared" si="1113"/>
        <v>EXP00408</v>
      </c>
      <c r="B13053" s="3" t="s">
        <v>66</v>
      </c>
      <c r="C13053" s="4" t="str">
        <f t="shared" si="1112"/>
        <v>TCGA-BLCA</v>
      </c>
      <c r="D13053" s="1" t="s">
        <v>493</v>
      </c>
      <c r="E13053" t="s">
        <v>522</v>
      </c>
      <c r="F13053" s="1">
        <v>2</v>
      </c>
      <c r="G13053" s="1" t="s">
        <v>28</v>
      </c>
      <c r="H13053" s="4" t="str">
        <f>HYPERLINK("https://portal.gdc.cancer.gov/cases/4ff9b4f2-6d04-4fed-8796-155902a8bf28","TCGA-C4-A0F6-01A")</f>
        <v>TCGA-C4-A0F6-01A</v>
      </c>
      <c r="I13053" t="s">
        <v>506</v>
      </c>
      <c r="J13053" t="s">
        <v>507</v>
      </c>
      <c r="K13053" t="s">
        <v>33</v>
      </c>
      <c r="L13053" t="s">
        <v>508</v>
      </c>
      <c r="N13053" t="s">
        <v>29</v>
      </c>
    </row>
    <row r="13054" spans="1:14">
      <c r="A13054" s="4" t="str">
        <f t="shared" si="1113"/>
        <v>EXP00408</v>
      </c>
      <c r="B13054" s="3" t="s">
        <v>66</v>
      </c>
      <c r="C13054" s="4" t="str">
        <f t="shared" si="1112"/>
        <v>TCGA-BLCA</v>
      </c>
      <c r="D13054" s="1" t="s">
        <v>493</v>
      </c>
      <c r="E13054" t="s">
        <v>522</v>
      </c>
      <c r="F13054" s="1">
        <v>2</v>
      </c>
      <c r="G13054" s="1" t="s">
        <v>28</v>
      </c>
      <c r="H13054" s="4" t="str">
        <f>HYPERLINK("https://portal.gdc.cancer.gov/cases/ca554128-da9d-4f37-9560-ca083509e01d","TCGA-C4-A0F7-01A")</f>
        <v>TCGA-C4-A0F7-01A</v>
      </c>
      <c r="I13054" t="s">
        <v>506</v>
      </c>
      <c r="J13054" t="s">
        <v>507</v>
      </c>
      <c r="K13054" t="s">
        <v>33</v>
      </c>
      <c r="L13054" t="s">
        <v>508</v>
      </c>
      <c r="N13054" t="s">
        <v>29</v>
      </c>
    </row>
    <row r="13055" spans="1:14">
      <c r="A13055" s="4" t="str">
        <f t="shared" si="1113"/>
        <v>EXP00408</v>
      </c>
      <c r="B13055" s="3" t="s">
        <v>66</v>
      </c>
      <c r="C13055" s="4" t="str">
        <f t="shared" si="1112"/>
        <v>TCGA-BLCA</v>
      </c>
      <c r="D13055" s="1" t="s">
        <v>493</v>
      </c>
      <c r="E13055" t="s">
        <v>522</v>
      </c>
      <c r="F13055" s="1">
        <v>2</v>
      </c>
      <c r="G13055" s="1" t="s">
        <v>28</v>
      </c>
      <c r="H13055" s="4" t="str">
        <f>HYPERLINK("https://portal.gdc.cancer.gov/cases/39ea19e1-4959-4f1b-9934-54bdaf766842","TCGA-CF-A1HR-01A")</f>
        <v>TCGA-CF-A1HR-01A</v>
      </c>
      <c r="I13055" t="s">
        <v>506</v>
      </c>
      <c r="J13055" t="s">
        <v>507</v>
      </c>
      <c r="K13055" t="s">
        <v>33</v>
      </c>
      <c r="L13055" t="s">
        <v>508</v>
      </c>
      <c r="N13055" t="s">
        <v>29</v>
      </c>
    </row>
    <row r="13056" spans="1:14">
      <c r="A13056" s="4" t="str">
        <f t="shared" si="1113"/>
        <v>EXP00408</v>
      </c>
      <c r="B13056" s="3" t="s">
        <v>66</v>
      </c>
      <c r="C13056" s="4" t="str">
        <f t="shared" si="1112"/>
        <v>TCGA-BLCA</v>
      </c>
      <c r="D13056" s="1" t="s">
        <v>493</v>
      </c>
      <c r="E13056" t="s">
        <v>522</v>
      </c>
      <c r="F13056" s="1">
        <v>2</v>
      </c>
      <c r="G13056" s="1" t="s">
        <v>28</v>
      </c>
      <c r="H13056" s="4" t="str">
        <f>HYPERLINK("https://portal.gdc.cancer.gov/cases/a73c0842-39c5-4c2c-aa6a-f31341a4f36e","TCGA-CF-A1HS-01A")</f>
        <v>TCGA-CF-A1HS-01A</v>
      </c>
      <c r="I13056" t="s">
        <v>506</v>
      </c>
      <c r="J13056" t="s">
        <v>507</v>
      </c>
      <c r="K13056" t="s">
        <v>33</v>
      </c>
      <c r="L13056" t="s">
        <v>508</v>
      </c>
      <c r="N13056" t="s">
        <v>29</v>
      </c>
    </row>
    <row r="13057" spans="1:14">
      <c r="A13057" s="4" t="str">
        <f t="shared" si="1113"/>
        <v>EXP00408</v>
      </c>
      <c r="B13057" s="3" t="s">
        <v>66</v>
      </c>
      <c r="C13057" s="4" t="str">
        <f t="shared" si="1112"/>
        <v>TCGA-BLCA</v>
      </c>
      <c r="D13057" s="1" t="s">
        <v>493</v>
      </c>
      <c r="E13057" t="s">
        <v>522</v>
      </c>
      <c r="F13057" s="1">
        <v>2</v>
      </c>
      <c r="G13057" s="1" t="s">
        <v>28</v>
      </c>
      <c r="H13057" s="4" t="str">
        <f>HYPERLINK("https://portal.gdc.cancer.gov/cases/7fee9d6f-c0ea-43c2-89c2-66d965a077a8","TCGA-CF-A27C-01A")</f>
        <v>TCGA-CF-A27C-01A</v>
      </c>
      <c r="I13057" t="s">
        <v>506</v>
      </c>
      <c r="J13057" t="s">
        <v>507</v>
      </c>
      <c r="K13057" t="s">
        <v>33</v>
      </c>
      <c r="L13057" t="s">
        <v>508</v>
      </c>
      <c r="N13057" t="s">
        <v>29</v>
      </c>
    </row>
    <row r="13058" spans="1:14">
      <c r="A13058" s="4" t="str">
        <f t="shared" si="1113"/>
        <v>EXP00408</v>
      </c>
      <c r="B13058" s="3" t="s">
        <v>66</v>
      </c>
      <c r="C13058" s="4" t="str">
        <f t="shared" si="1112"/>
        <v>TCGA-BLCA</v>
      </c>
      <c r="D13058" s="1" t="s">
        <v>493</v>
      </c>
      <c r="E13058" t="s">
        <v>522</v>
      </c>
      <c r="F13058" s="1">
        <v>2</v>
      </c>
      <c r="G13058" s="1" t="s">
        <v>28</v>
      </c>
      <c r="H13058" s="4" t="str">
        <f>HYPERLINK("https://portal.gdc.cancer.gov/cases/1e308b12-0590-4dae-94d0-a539fcf25df7","TCGA-CF-A3MF-01A")</f>
        <v>TCGA-CF-A3MF-01A</v>
      </c>
      <c r="I13058" t="s">
        <v>506</v>
      </c>
      <c r="J13058" t="s">
        <v>507</v>
      </c>
      <c r="K13058" t="s">
        <v>33</v>
      </c>
      <c r="L13058" t="s">
        <v>508</v>
      </c>
      <c r="N13058" t="s">
        <v>29</v>
      </c>
    </row>
    <row r="13059" spans="1:14">
      <c r="A13059" s="4" t="str">
        <f t="shared" si="1113"/>
        <v>EXP00408</v>
      </c>
      <c r="B13059" s="3" t="s">
        <v>66</v>
      </c>
      <c r="C13059" s="4" t="str">
        <f t="shared" si="1112"/>
        <v>TCGA-BLCA</v>
      </c>
      <c r="D13059" s="1" t="s">
        <v>493</v>
      </c>
      <c r="E13059" t="s">
        <v>522</v>
      </c>
      <c r="F13059" s="1">
        <v>2</v>
      </c>
      <c r="G13059" s="1" t="s">
        <v>28</v>
      </c>
      <c r="H13059" s="4" t="str">
        <f>HYPERLINK("https://portal.gdc.cancer.gov/cases/39efa06a-ffe5-40b3-8f8a-a2d7071bc9e3","TCGA-CF-A3MG-01A")</f>
        <v>TCGA-CF-A3MG-01A</v>
      </c>
      <c r="I13059" t="s">
        <v>506</v>
      </c>
      <c r="J13059" t="s">
        <v>507</v>
      </c>
      <c r="K13059" t="s">
        <v>33</v>
      </c>
      <c r="L13059" t="s">
        <v>508</v>
      </c>
      <c r="N13059" t="s">
        <v>29</v>
      </c>
    </row>
    <row r="13060" spans="1:14">
      <c r="A13060" s="4" t="str">
        <f t="shared" si="1113"/>
        <v>EXP00408</v>
      </c>
      <c r="B13060" s="3" t="s">
        <v>66</v>
      </c>
      <c r="C13060" s="4" t="str">
        <f t="shared" si="1112"/>
        <v>TCGA-BLCA</v>
      </c>
      <c r="D13060" s="1" t="s">
        <v>493</v>
      </c>
      <c r="E13060" t="s">
        <v>522</v>
      </c>
      <c r="F13060" s="1">
        <v>2</v>
      </c>
      <c r="G13060" s="1" t="s">
        <v>28</v>
      </c>
      <c r="H13060" s="4" t="str">
        <f>HYPERLINK("https://portal.gdc.cancer.gov/cases/b8a8d2fc-421b-4393-8d5a-946cf72cb496","TCGA-CF-A3MH-01A")</f>
        <v>TCGA-CF-A3MH-01A</v>
      </c>
      <c r="I13060" t="s">
        <v>506</v>
      </c>
      <c r="J13060" t="s">
        <v>507</v>
      </c>
      <c r="K13060" t="s">
        <v>33</v>
      </c>
      <c r="L13060" t="s">
        <v>508</v>
      </c>
      <c r="N13060" t="s">
        <v>29</v>
      </c>
    </row>
    <row r="13061" spans="1:14">
      <c r="A13061" s="4" t="str">
        <f t="shared" si="1113"/>
        <v>EXP00408</v>
      </c>
      <c r="B13061" s="3" t="s">
        <v>66</v>
      </c>
      <c r="C13061" s="4" t="str">
        <f t="shared" si="1112"/>
        <v>TCGA-BLCA</v>
      </c>
      <c r="D13061" s="1" t="s">
        <v>493</v>
      </c>
      <c r="E13061" t="s">
        <v>522</v>
      </c>
      <c r="F13061" s="1">
        <v>2</v>
      </c>
      <c r="G13061" s="1" t="s">
        <v>28</v>
      </c>
      <c r="H13061" s="4" t="str">
        <f>HYPERLINK("https://portal.gdc.cancer.gov/cases/f1ebf96b-8df9-4e59-acef-7ad433e40214","TCGA-CF-A3MI-01A")</f>
        <v>TCGA-CF-A3MI-01A</v>
      </c>
      <c r="I13061" t="s">
        <v>506</v>
      </c>
      <c r="J13061" t="s">
        <v>507</v>
      </c>
      <c r="K13061" t="s">
        <v>33</v>
      </c>
      <c r="L13061" t="s">
        <v>508</v>
      </c>
      <c r="N13061" t="s">
        <v>29</v>
      </c>
    </row>
    <row r="13062" spans="1:14">
      <c r="A13062" s="4" t="str">
        <f t="shared" si="1113"/>
        <v>EXP00408</v>
      </c>
      <c r="B13062" s="3" t="s">
        <v>66</v>
      </c>
      <c r="C13062" s="4" t="str">
        <f t="shared" si="1112"/>
        <v>TCGA-BLCA</v>
      </c>
      <c r="D13062" s="1" t="s">
        <v>493</v>
      </c>
      <c r="E13062" t="s">
        <v>522</v>
      </c>
      <c r="F13062" s="1">
        <v>2</v>
      </c>
      <c r="G13062" s="1" t="s">
        <v>28</v>
      </c>
      <c r="H13062" s="4" t="str">
        <f>HYPERLINK("https://portal.gdc.cancer.gov/cases/d2df20d4-6704-41e6-b33d-616225bd737c","TCGA-CF-A47S-01A")</f>
        <v>TCGA-CF-A47S-01A</v>
      </c>
      <c r="I13062" t="s">
        <v>506</v>
      </c>
      <c r="J13062" t="s">
        <v>507</v>
      </c>
      <c r="K13062" t="s">
        <v>33</v>
      </c>
      <c r="L13062" t="s">
        <v>508</v>
      </c>
      <c r="N13062" t="s">
        <v>29</v>
      </c>
    </row>
    <row r="13063" spans="1:14">
      <c r="A13063" s="4" t="str">
        <f t="shared" si="1113"/>
        <v>EXP00408</v>
      </c>
      <c r="B13063" s="3" t="s">
        <v>66</v>
      </c>
      <c r="C13063" s="4" t="str">
        <f t="shared" si="1112"/>
        <v>TCGA-BLCA</v>
      </c>
      <c r="D13063" s="1" t="s">
        <v>493</v>
      </c>
      <c r="E13063" t="s">
        <v>522</v>
      </c>
      <c r="F13063" s="1">
        <v>2</v>
      </c>
      <c r="G13063" s="1" t="s">
        <v>28</v>
      </c>
      <c r="H13063" s="4" t="str">
        <f>HYPERLINK("https://portal.gdc.cancer.gov/cases/0db0f02f-94f5-492f-8840-5254792f6879","TCGA-CF-A47T-01A")</f>
        <v>TCGA-CF-A47T-01A</v>
      </c>
      <c r="I13063" t="s">
        <v>506</v>
      </c>
      <c r="J13063" t="s">
        <v>507</v>
      </c>
      <c r="K13063" t="s">
        <v>33</v>
      </c>
      <c r="L13063" t="s">
        <v>508</v>
      </c>
      <c r="N13063" t="s">
        <v>29</v>
      </c>
    </row>
    <row r="13064" spans="1:14">
      <c r="A13064" s="4" t="str">
        <f t="shared" si="1113"/>
        <v>EXP00408</v>
      </c>
      <c r="B13064" s="3" t="s">
        <v>66</v>
      </c>
      <c r="C13064" s="4" t="str">
        <f t="shared" si="1112"/>
        <v>TCGA-BLCA</v>
      </c>
      <c r="D13064" s="1" t="s">
        <v>493</v>
      </c>
      <c r="E13064" t="s">
        <v>522</v>
      </c>
      <c r="F13064" s="1">
        <v>2</v>
      </c>
      <c r="G13064" s="1" t="s">
        <v>28</v>
      </c>
      <c r="H13064" s="4" t="str">
        <f>HYPERLINK("https://portal.gdc.cancer.gov/cases/e5086eab-c920-4e3e-a965-90f3f495363a","TCGA-CF-A47V-01A")</f>
        <v>TCGA-CF-A47V-01A</v>
      </c>
      <c r="I13064" t="s">
        <v>506</v>
      </c>
      <c r="J13064" t="s">
        <v>507</v>
      </c>
      <c r="K13064" t="s">
        <v>33</v>
      </c>
      <c r="L13064" t="s">
        <v>508</v>
      </c>
      <c r="N13064" t="s">
        <v>29</v>
      </c>
    </row>
    <row r="13065" spans="1:14">
      <c r="A13065" s="4" t="str">
        <f t="shared" si="1113"/>
        <v>EXP00408</v>
      </c>
      <c r="B13065" s="3" t="s">
        <v>66</v>
      </c>
      <c r="C13065" s="4" t="str">
        <f t="shared" si="1112"/>
        <v>TCGA-BLCA</v>
      </c>
      <c r="D13065" s="1" t="s">
        <v>493</v>
      </c>
      <c r="E13065" t="s">
        <v>522</v>
      </c>
      <c r="F13065" s="1">
        <v>2</v>
      </c>
      <c r="G13065" s="1" t="s">
        <v>28</v>
      </c>
      <c r="H13065" s="4" t="str">
        <f>HYPERLINK("https://portal.gdc.cancer.gov/cases/122fc134-8915-47db-96c9-ab1853c3cd18","TCGA-CF-A47W-01A")</f>
        <v>TCGA-CF-A47W-01A</v>
      </c>
      <c r="I13065" t="s">
        <v>506</v>
      </c>
      <c r="J13065" t="s">
        <v>507</v>
      </c>
      <c r="K13065" t="s">
        <v>33</v>
      </c>
      <c r="L13065" t="s">
        <v>508</v>
      </c>
      <c r="N13065" t="s">
        <v>29</v>
      </c>
    </row>
    <row r="13066" spans="1:14">
      <c r="A13066" s="4" t="str">
        <f t="shared" si="1113"/>
        <v>EXP00408</v>
      </c>
      <c r="B13066" s="3" t="s">
        <v>66</v>
      </c>
      <c r="C13066" s="4" t="str">
        <f t="shared" si="1112"/>
        <v>TCGA-BLCA</v>
      </c>
      <c r="D13066" s="1" t="s">
        <v>493</v>
      </c>
      <c r="E13066" t="s">
        <v>522</v>
      </c>
      <c r="F13066" s="1">
        <v>2</v>
      </c>
      <c r="G13066" s="1" t="s">
        <v>28</v>
      </c>
      <c r="H13066" s="4" t="str">
        <f>HYPERLINK("https://portal.gdc.cancer.gov/cases/82d5f37f-5a1b-49d8-b990-ac222b4e1c1d","TCGA-CF-A47X-01A")</f>
        <v>TCGA-CF-A47X-01A</v>
      </c>
      <c r="I13066" t="s">
        <v>506</v>
      </c>
      <c r="J13066" t="s">
        <v>507</v>
      </c>
      <c r="K13066" t="s">
        <v>33</v>
      </c>
      <c r="L13066" t="s">
        <v>508</v>
      </c>
      <c r="N13066" t="s">
        <v>29</v>
      </c>
    </row>
    <row r="13067" spans="1:14">
      <c r="A13067" s="4" t="str">
        <f t="shared" si="1113"/>
        <v>EXP00408</v>
      </c>
      <c r="B13067" s="3" t="s">
        <v>66</v>
      </c>
      <c r="C13067" s="4" t="str">
        <f t="shared" si="1112"/>
        <v>TCGA-BLCA</v>
      </c>
      <c r="D13067" s="1" t="s">
        <v>493</v>
      </c>
      <c r="E13067" t="s">
        <v>522</v>
      </c>
      <c r="F13067" s="1">
        <v>2</v>
      </c>
      <c r="G13067" s="1" t="s">
        <v>28</v>
      </c>
      <c r="H13067" s="4" t="str">
        <f>HYPERLINK("https://portal.gdc.cancer.gov/cases/9bcff619-f75a-4aa4-9e09-2e9aa7b59225","TCGA-CF-A47Y-01A")</f>
        <v>TCGA-CF-A47Y-01A</v>
      </c>
      <c r="I13067" t="s">
        <v>506</v>
      </c>
      <c r="J13067" t="s">
        <v>507</v>
      </c>
      <c r="K13067" t="s">
        <v>33</v>
      </c>
      <c r="L13067" t="s">
        <v>508</v>
      </c>
      <c r="N13067" t="s">
        <v>29</v>
      </c>
    </row>
    <row r="13068" spans="1:14">
      <c r="A13068" s="4" t="str">
        <f t="shared" si="1113"/>
        <v>EXP00408</v>
      </c>
      <c r="B13068" s="3" t="s">
        <v>66</v>
      </c>
      <c r="C13068" s="4" t="str">
        <f t="shared" si="1112"/>
        <v>TCGA-BLCA</v>
      </c>
      <c r="D13068" s="1" t="s">
        <v>493</v>
      </c>
      <c r="E13068" t="s">
        <v>522</v>
      </c>
      <c r="F13068" s="1">
        <v>2</v>
      </c>
      <c r="G13068" s="1" t="s">
        <v>28</v>
      </c>
      <c r="H13068" s="4" t="str">
        <f>HYPERLINK("https://portal.gdc.cancer.gov/cases/4cc25adb-6db4-46aa-9fc9-c2c6339fb6d3","TCGA-CF-A5U8-01A")</f>
        <v>TCGA-CF-A5U8-01A</v>
      </c>
      <c r="I13068" t="s">
        <v>506</v>
      </c>
      <c r="J13068" t="s">
        <v>507</v>
      </c>
      <c r="K13068" t="s">
        <v>33</v>
      </c>
      <c r="L13068" t="s">
        <v>508</v>
      </c>
      <c r="N13068" t="s">
        <v>29</v>
      </c>
    </row>
    <row r="13069" spans="1:14">
      <c r="A13069" s="4" t="str">
        <f t="shared" si="1113"/>
        <v>EXP00408</v>
      </c>
      <c r="B13069" s="3" t="s">
        <v>66</v>
      </c>
      <c r="C13069" s="4" t="str">
        <f t="shared" si="1112"/>
        <v>TCGA-BLCA</v>
      </c>
      <c r="D13069" s="1" t="s">
        <v>493</v>
      </c>
      <c r="E13069" t="s">
        <v>522</v>
      </c>
      <c r="F13069" s="1">
        <v>2</v>
      </c>
      <c r="G13069" s="1" t="s">
        <v>28</v>
      </c>
      <c r="H13069" s="4" t="str">
        <f>HYPERLINK("https://portal.gdc.cancer.gov/cases/b52c870c-bfb8-4e68-86c0-64d57e5c9ae3","TCGA-CF-A5UA-01A")</f>
        <v>TCGA-CF-A5UA-01A</v>
      </c>
      <c r="I13069" t="s">
        <v>506</v>
      </c>
      <c r="J13069" t="s">
        <v>507</v>
      </c>
      <c r="K13069" t="s">
        <v>33</v>
      </c>
      <c r="L13069" t="s">
        <v>508</v>
      </c>
      <c r="N13069" t="s">
        <v>29</v>
      </c>
    </row>
    <row r="13070" spans="1:14">
      <c r="A13070" s="4" t="str">
        <f t="shared" si="1113"/>
        <v>EXP00408</v>
      </c>
      <c r="B13070" s="3" t="s">
        <v>66</v>
      </c>
      <c r="C13070" s="4" t="str">
        <f t="shared" si="1112"/>
        <v>TCGA-BLCA</v>
      </c>
      <c r="D13070" s="1" t="s">
        <v>493</v>
      </c>
      <c r="E13070" t="s">
        <v>522</v>
      </c>
      <c r="F13070" s="1">
        <v>2</v>
      </c>
      <c r="G13070" s="1" t="s">
        <v>28</v>
      </c>
      <c r="H13070" s="4" t="str">
        <f>HYPERLINK("https://portal.gdc.cancer.gov/cases/25ac9acd-328b-4fae-a448-4f3957b1b212","TCGA-CF-A7I0-01A")</f>
        <v>TCGA-CF-A7I0-01A</v>
      </c>
      <c r="I13070" t="s">
        <v>506</v>
      </c>
      <c r="J13070" t="s">
        <v>507</v>
      </c>
      <c r="K13070" t="s">
        <v>33</v>
      </c>
      <c r="L13070" t="s">
        <v>508</v>
      </c>
      <c r="N13070" t="s">
        <v>29</v>
      </c>
    </row>
    <row r="13071" spans="1:14">
      <c r="A13071" s="4" t="str">
        <f t="shared" si="1113"/>
        <v>EXP00408</v>
      </c>
      <c r="B13071" s="3" t="s">
        <v>66</v>
      </c>
      <c r="C13071" s="4" t="str">
        <f t="shared" si="1112"/>
        <v>TCGA-BLCA</v>
      </c>
      <c r="D13071" s="1" t="s">
        <v>493</v>
      </c>
      <c r="E13071" t="s">
        <v>522</v>
      </c>
      <c r="F13071" s="1">
        <v>2</v>
      </c>
      <c r="G13071" s="1" t="s">
        <v>28</v>
      </c>
      <c r="H13071" s="4" t="str">
        <f>HYPERLINK("https://portal.gdc.cancer.gov/cases/43f9b602-683a-4fa1-b044-8fc5794b1453","TCGA-CF-A8HX-01A")</f>
        <v>TCGA-CF-A8HX-01A</v>
      </c>
      <c r="I13071" t="s">
        <v>506</v>
      </c>
      <c r="J13071" t="s">
        <v>507</v>
      </c>
      <c r="K13071" t="s">
        <v>33</v>
      </c>
      <c r="L13071" t="s">
        <v>508</v>
      </c>
      <c r="N13071" t="s">
        <v>29</v>
      </c>
    </row>
    <row r="13072" spans="1:14">
      <c r="A13072" s="4" t="str">
        <f t="shared" si="1113"/>
        <v>EXP00408</v>
      </c>
      <c r="B13072" s="3" t="s">
        <v>66</v>
      </c>
      <c r="C13072" s="4" t="str">
        <f t="shared" si="1112"/>
        <v>TCGA-BLCA</v>
      </c>
      <c r="D13072" s="1" t="s">
        <v>493</v>
      </c>
      <c r="E13072" t="s">
        <v>522</v>
      </c>
      <c r="F13072" s="1">
        <v>2</v>
      </c>
      <c r="G13072" s="1" t="s">
        <v>28</v>
      </c>
      <c r="H13072" s="4" t="str">
        <f>HYPERLINK("https://portal.gdc.cancer.gov/cases/6a3e87d7-e360-44c5-9764-4b630df383e6","TCGA-CF-A8HY-01A")</f>
        <v>TCGA-CF-A8HY-01A</v>
      </c>
      <c r="I13072" t="s">
        <v>506</v>
      </c>
      <c r="J13072" t="s">
        <v>507</v>
      </c>
      <c r="K13072" t="s">
        <v>33</v>
      </c>
      <c r="L13072" t="s">
        <v>508</v>
      </c>
      <c r="N13072" t="s">
        <v>29</v>
      </c>
    </row>
    <row r="13073" spans="1:14">
      <c r="A13073" s="4" t="str">
        <f t="shared" si="1113"/>
        <v>EXP00408</v>
      </c>
      <c r="B13073" s="3" t="s">
        <v>66</v>
      </c>
      <c r="C13073" s="4" t="str">
        <f t="shared" si="1112"/>
        <v>TCGA-BLCA</v>
      </c>
      <c r="D13073" s="1" t="s">
        <v>493</v>
      </c>
      <c r="E13073" t="s">
        <v>522</v>
      </c>
      <c r="F13073" s="1">
        <v>2</v>
      </c>
      <c r="G13073" s="1" t="s">
        <v>28</v>
      </c>
      <c r="H13073" s="4" t="str">
        <f>HYPERLINK("https://portal.gdc.cancer.gov/cases/736e8cdf-e2d7-4141-86a9-45c34178a1c8","TCGA-CF-A9FF-01A")</f>
        <v>TCGA-CF-A9FF-01A</v>
      </c>
      <c r="I13073" t="s">
        <v>506</v>
      </c>
      <c r="J13073" t="s">
        <v>507</v>
      </c>
      <c r="K13073" t="s">
        <v>33</v>
      </c>
      <c r="L13073" t="s">
        <v>508</v>
      </c>
      <c r="N13073" t="s">
        <v>29</v>
      </c>
    </row>
    <row r="13074" spans="1:14">
      <c r="A13074" s="4" t="str">
        <f t="shared" si="1113"/>
        <v>EXP00408</v>
      </c>
      <c r="B13074" s="3" t="s">
        <v>66</v>
      </c>
      <c r="C13074" s="4" t="str">
        <f t="shared" ref="C13074:C13137" si="1114">HYPERLINK("https://portal.gdc.cancer.gov/projects/TCGA-BLCA","TCGA-BLCA")</f>
        <v>TCGA-BLCA</v>
      </c>
      <c r="D13074" s="1" t="s">
        <v>493</v>
      </c>
      <c r="E13074" t="s">
        <v>522</v>
      </c>
      <c r="F13074" s="1">
        <v>2</v>
      </c>
      <c r="G13074" s="1" t="s">
        <v>28</v>
      </c>
      <c r="H13074" s="4" t="str">
        <f>HYPERLINK("https://portal.gdc.cancer.gov/cases/83a369ae-003b-432b-a7b2-c630805b43c1","TCGA-CF-A9FH-01A")</f>
        <v>TCGA-CF-A9FH-01A</v>
      </c>
      <c r="I13074" t="s">
        <v>506</v>
      </c>
      <c r="J13074" t="s">
        <v>507</v>
      </c>
      <c r="K13074" t="s">
        <v>33</v>
      </c>
      <c r="L13074" t="s">
        <v>508</v>
      </c>
      <c r="N13074" t="s">
        <v>29</v>
      </c>
    </row>
    <row r="13075" spans="1:14">
      <c r="A13075" s="4" t="str">
        <f t="shared" si="1113"/>
        <v>EXP00408</v>
      </c>
      <c r="B13075" s="3" t="s">
        <v>66</v>
      </c>
      <c r="C13075" s="4" t="str">
        <f t="shared" si="1114"/>
        <v>TCGA-BLCA</v>
      </c>
      <c r="D13075" s="1" t="s">
        <v>493</v>
      </c>
      <c r="E13075" t="s">
        <v>522</v>
      </c>
      <c r="F13075" s="1">
        <v>2</v>
      </c>
      <c r="G13075" s="1" t="s">
        <v>28</v>
      </c>
      <c r="H13075" s="4" t="str">
        <f>HYPERLINK("https://portal.gdc.cancer.gov/cases/96292f0e-5d09-4c44-8dfc-73ebde6bf137","TCGA-CF-A9FL-01A")</f>
        <v>TCGA-CF-A9FL-01A</v>
      </c>
      <c r="I13075" t="s">
        <v>506</v>
      </c>
      <c r="J13075" t="s">
        <v>507</v>
      </c>
      <c r="K13075" t="s">
        <v>33</v>
      </c>
      <c r="L13075" t="s">
        <v>508</v>
      </c>
      <c r="N13075" t="s">
        <v>29</v>
      </c>
    </row>
    <row r="13076" spans="1:14">
      <c r="A13076" s="4" t="str">
        <f t="shared" si="1113"/>
        <v>EXP00408</v>
      </c>
      <c r="B13076" s="3" t="s">
        <v>66</v>
      </c>
      <c r="C13076" s="4" t="str">
        <f t="shared" si="1114"/>
        <v>TCGA-BLCA</v>
      </c>
      <c r="D13076" s="1" t="s">
        <v>493</v>
      </c>
      <c r="E13076" t="s">
        <v>522</v>
      </c>
      <c r="F13076" s="1">
        <v>2</v>
      </c>
      <c r="G13076" s="1" t="s">
        <v>28</v>
      </c>
      <c r="H13076" s="4" t="str">
        <f>HYPERLINK("https://portal.gdc.cancer.gov/cases/aad167ab-4772-4616-afb3-265e00d4a3f0","TCGA-CF-A9FM-01A")</f>
        <v>TCGA-CF-A9FM-01A</v>
      </c>
      <c r="I13076" t="s">
        <v>506</v>
      </c>
      <c r="J13076" t="s">
        <v>507</v>
      </c>
      <c r="K13076" t="s">
        <v>33</v>
      </c>
      <c r="L13076" t="s">
        <v>508</v>
      </c>
      <c r="N13076" t="s">
        <v>29</v>
      </c>
    </row>
    <row r="13077" spans="1:14">
      <c r="A13077" s="4" t="str">
        <f t="shared" si="1113"/>
        <v>EXP00408</v>
      </c>
      <c r="B13077" s="3" t="s">
        <v>66</v>
      </c>
      <c r="C13077" s="4" t="str">
        <f t="shared" si="1114"/>
        <v>TCGA-BLCA</v>
      </c>
      <c r="D13077" s="1" t="s">
        <v>493</v>
      </c>
      <c r="E13077" t="s">
        <v>522</v>
      </c>
      <c r="F13077" s="1">
        <v>2</v>
      </c>
      <c r="G13077" s="1" t="s">
        <v>28</v>
      </c>
      <c r="H13077" s="4" t="str">
        <f>HYPERLINK("https://portal.gdc.cancer.gov/cases/679a6869-2ce9-4472-8db1-8869e2c1a440","TCGA-CU-A0YN-01A")</f>
        <v>TCGA-CU-A0YN-01A</v>
      </c>
      <c r="I13077" t="s">
        <v>506</v>
      </c>
      <c r="J13077" t="s">
        <v>507</v>
      </c>
      <c r="K13077" t="s">
        <v>33</v>
      </c>
      <c r="L13077" t="s">
        <v>508</v>
      </c>
      <c r="N13077" t="s">
        <v>29</v>
      </c>
    </row>
    <row r="13078" spans="1:14">
      <c r="A13078" s="4" t="str">
        <f t="shared" si="1113"/>
        <v>EXP00408</v>
      </c>
      <c r="B13078" s="3" t="s">
        <v>66</v>
      </c>
      <c r="C13078" s="4" t="str">
        <f t="shared" si="1114"/>
        <v>TCGA-BLCA</v>
      </c>
      <c r="D13078" s="1" t="s">
        <v>493</v>
      </c>
      <c r="E13078" t="s">
        <v>522</v>
      </c>
      <c r="F13078" s="1">
        <v>2</v>
      </c>
      <c r="G13078" s="1" t="s">
        <v>28</v>
      </c>
      <c r="H13078" s="4" t="str">
        <f>HYPERLINK("https://portal.gdc.cancer.gov/cases/4a9ef220-922c-49cf-bbed-d173b214ed31","TCGA-CU-A0YO-01A")</f>
        <v>TCGA-CU-A0YO-01A</v>
      </c>
      <c r="I13078" t="s">
        <v>506</v>
      </c>
      <c r="J13078" t="s">
        <v>507</v>
      </c>
      <c r="K13078" t="s">
        <v>33</v>
      </c>
      <c r="L13078" t="s">
        <v>508</v>
      </c>
      <c r="N13078" t="s">
        <v>29</v>
      </c>
    </row>
    <row r="13079" spans="1:14">
      <c r="A13079" s="4" t="str">
        <f t="shared" si="1113"/>
        <v>EXP00408</v>
      </c>
      <c r="B13079" s="3" t="s">
        <v>66</v>
      </c>
      <c r="C13079" s="4" t="str">
        <f t="shared" si="1114"/>
        <v>TCGA-BLCA</v>
      </c>
      <c r="D13079" s="1" t="s">
        <v>493</v>
      </c>
      <c r="E13079" t="s">
        <v>522</v>
      </c>
      <c r="F13079" s="1">
        <v>2</v>
      </c>
      <c r="G13079" s="1" t="s">
        <v>28</v>
      </c>
      <c r="H13079" s="4" t="str">
        <f>HYPERLINK("https://portal.gdc.cancer.gov/cases/811b3950-36e7-485f-bc48-aca1eee2ddef","TCGA-CU-A0YR-01A")</f>
        <v>TCGA-CU-A0YR-01A</v>
      </c>
      <c r="I13079" t="s">
        <v>506</v>
      </c>
      <c r="J13079" t="s">
        <v>507</v>
      </c>
      <c r="K13079" t="s">
        <v>33</v>
      </c>
      <c r="L13079" t="s">
        <v>508</v>
      </c>
      <c r="N13079" t="s">
        <v>29</v>
      </c>
    </row>
    <row r="13080" spans="1:14">
      <c r="A13080" s="4" t="str">
        <f t="shared" si="1113"/>
        <v>EXP00408</v>
      </c>
      <c r="B13080" s="3" t="s">
        <v>66</v>
      </c>
      <c r="C13080" s="4" t="str">
        <f t="shared" si="1114"/>
        <v>TCGA-BLCA</v>
      </c>
      <c r="D13080" s="1" t="s">
        <v>493</v>
      </c>
      <c r="E13080" t="s">
        <v>522</v>
      </c>
      <c r="F13080" s="1">
        <v>2</v>
      </c>
      <c r="G13080" s="1" t="s">
        <v>28</v>
      </c>
      <c r="H13080" s="4" t="str">
        <f>HYPERLINK("https://portal.gdc.cancer.gov/cases/a75584bc-bef7-48f6-b4b3-c1472a3af768","TCGA-CU-A3KJ-01A")</f>
        <v>TCGA-CU-A3KJ-01A</v>
      </c>
      <c r="I13080" t="s">
        <v>506</v>
      </c>
      <c r="J13080" t="s">
        <v>507</v>
      </c>
      <c r="K13080" t="s">
        <v>33</v>
      </c>
      <c r="L13080" t="s">
        <v>508</v>
      </c>
      <c r="N13080" t="s">
        <v>29</v>
      </c>
    </row>
    <row r="13081" spans="1:14">
      <c r="A13081" s="4" t="str">
        <f t="shared" si="1113"/>
        <v>EXP00408</v>
      </c>
      <c r="B13081" s="3" t="s">
        <v>66</v>
      </c>
      <c r="C13081" s="4" t="str">
        <f t="shared" si="1114"/>
        <v>TCGA-BLCA</v>
      </c>
      <c r="D13081" s="1" t="s">
        <v>493</v>
      </c>
      <c r="E13081" t="s">
        <v>522</v>
      </c>
      <c r="F13081" s="1">
        <v>2</v>
      </c>
      <c r="G13081" s="1" t="s">
        <v>28</v>
      </c>
      <c r="H13081" s="4" t="str">
        <f>HYPERLINK("https://portal.gdc.cancer.gov/cases/ae6d853b-a7f0-4465-b7bf-5a45006ab3b3","TCGA-CU-A3QU-01A")</f>
        <v>TCGA-CU-A3QU-01A</v>
      </c>
      <c r="I13081" t="s">
        <v>506</v>
      </c>
      <c r="J13081" t="s">
        <v>507</v>
      </c>
      <c r="K13081" t="s">
        <v>33</v>
      </c>
      <c r="L13081" t="s">
        <v>508</v>
      </c>
      <c r="N13081" t="s">
        <v>29</v>
      </c>
    </row>
    <row r="13082" spans="1:14">
      <c r="A13082" s="4" t="str">
        <f t="shared" si="1113"/>
        <v>EXP00408</v>
      </c>
      <c r="B13082" s="3" t="s">
        <v>66</v>
      </c>
      <c r="C13082" s="4" t="str">
        <f t="shared" si="1114"/>
        <v>TCGA-BLCA</v>
      </c>
      <c r="D13082" s="1" t="s">
        <v>493</v>
      </c>
      <c r="E13082" t="s">
        <v>522</v>
      </c>
      <c r="F13082" s="1">
        <v>2</v>
      </c>
      <c r="G13082" s="1" t="s">
        <v>28</v>
      </c>
      <c r="H13082" s="4" t="str">
        <f>HYPERLINK("https://portal.gdc.cancer.gov/cases/087a7f70-2fa8-4a16-b130-4df10a70c662","TCGA-CU-A3YL-01A")</f>
        <v>TCGA-CU-A3YL-01A</v>
      </c>
      <c r="I13082" t="s">
        <v>506</v>
      </c>
      <c r="J13082" t="s">
        <v>507</v>
      </c>
      <c r="K13082" t="s">
        <v>33</v>
      </c>
      <c r="L13082" t="s">
        <v>508</v>
      </c>
      <c r="N13082" t="s">
        <v>29</v>
      </c>
    </row>
    <row r="13083" spans="1:14">
      <c r="A13083" s="4" t="str">
        <f t="shared" si="1113"/>
        <v>EXP00408</v>
      </c>
      <c r="B13083" s="3" t="s">
        <v>66</v>
      </c>
      <c r="C13083" s="4" t="str">
        <f t="shared" si="1114"/>
        <v>TCGA-BLCA</v>
      </c>
      <c r="D13083" s="1" t="s">
        <v>493</v>
      </c>
      <c r="E13083" t="s">
        <v>522</v>
      </c>
      <c r="F13083" s="1">
        <v>2</v>
      </c>
      <c r="G13083" s="1" t="s">
        <v>28</v>
      </c>
      <c r="H13083" s="4" t="str">
        <f>HYPERLINK("https://portal.gdc.cancer.gov/cases/7a7fcdd3-cce9-47cf-a26f-cc6ff34ecd9a","TCGA-CU-A5W6-01A")</f>
        <v>TCGA-CU-A5W6-01A</v>
      </c>
      <c r="I13083" t="s">
        <v>506</v>
      </c>
      <c r="J13083" t="s">
        <v>507</v>
      </c>
      <c r="K13083" t="s">
        <v>33</v>
      </c>
      <c r="L13083" t="s">
        <v>508</v>
      </c>
      <c r="N13083" t="s">
        <v>29</v>
      </c>
    </row>
    <row r="13084" spans="1:14">
      <c r="A13084" s="4" t="str">
        <f t="shared" si="1113"/>
        <v>EXP00408</v>
      </c>
      <c r="B13084" s="3" t="s">
        <v>66</v>
      </c>
      <c r="C13084" s="4" t="str">
        <f t="shared" si="1114"/>
        <v>TCGA-BLCA</v>
      </c>
      <c r="D13084" s="1" t="s">
        <v>493</v>
      </c>
      <c r="E13084" t="s">
        <v>522</v>
      </c>
      <c r="F13084" s="1">
        <v>2</v>
      </c>
      <c r="G13084" s="1" t="s">
        <v>28</v>
      </c>
      <c r="H13084" s="4" t="str">
        <f>HYPERLINK("https://portal.gdc.cancer.gov/cases/ae080e88-82da-480c-bd13-ae214da0463c","TCGA-CU-A72E-01A")</f>
        <v>TCGA-CU-A72E-01A</v>
      </c>
      <c r="I13084" t="s">
        <v>506</v>
      </c>
      <c r="J13084" t="s">
        <v>507</v>
      </c>
      <c r="K13084" t="s">
        <v>33</v>
      </c>
      <c r="L13084" t="s">
        <v>508</v>
      </c>
      <c r="N13084" t="s">
        <v>29</v>
      </c>
    </row>
    <row r="13085" spans="1:14">
      <c r="A13085" s="4" t="str">
        <f t="shared" si="1113"/>
        <v>EXP00408</v>
      </c>
      <c r="B13085" s="3" t="s">
        <v>66</v>
      </c>
      <c r="C13085" s="4" t="str">
        <f t="shared" si="1114"/>
        <v>TCGA-BLCA</v>
      </c>
      <c r="D13085" s="1" t="s">
        <v>493</v>
      </c>
      <c r="E13085" t="s">
        <v>522</v>
      </c>
      <c r="F13085" s="1">
        <v>2</v>
      </c>
      <c r="G13085" s="1" t="s">
        <v>28</v>
      </c>
      <c r="H13085" s="4" t="str">
        <f>HYPERLINK("https://portal.gdc.cancer.gov/cases/c5b20ccc-523d-491c-8536-008e05c57212","TCGA-DK-A1A3-01A")</f>
        <v>TCGA-DK-A1A3-01A</v>
      </c>
      <c r="I13085" t="s">
        <v>506</v>
      </c>
      <c r="J13085" t="s">
        <v>507</v>
      </c>
      <c r="K13085" t="s">
        <v>33</v>
      </c>
      <c r="L13085" t="s">
        <v>508</v>
      </c>
      <c r="N13085" t="s">
        <v>29</v>
      </c>
    </row>
    <row r="13086" spans="1:14">
      <c r="A13086" s="4" t="str">
        <f t="shared" si="1113"/>
        <v>EXP00408</v>
      </c>
      <c r="B13086" s="3" t="s">
        <v>66</v>
      </c>
      <c r="C13086" s="4" t="str">
        <f t="shared" si="1114"/>
        <v>TCGA-BLCA</v>
      </c>
      <c r="D13086" s="1" t="s">
        <v>493</v>
      </c>
      <c r="E13086" t="s">
        <v>522</v>
      </c>
      <c r="F13086" s="1">
        <v>2</v>
      </c>
      <c r="G13086" s="1" t="s">
        <v>28</v>
      </c>
      <c r="H13086" s="4" t="str">
        <f>HYPERLINK("https://portal.gdc.cancer.gov/cases/904a8757-e0c5-41ef-b583-c8f170caaac1","TCGA-DK-A1A5-01A")</f>
        <v>TCGA-DK-A1A5-01A</v>
      </c>
      <c r="I13086" t="s">
        <v>506</v>
      </c>
      <c r="J13086" t="s">
        <v>507</v>
      </c>
      <c r="K13086" t="s">
        <v>33</v>
      </c>
      <c r="L13086" t="s">
        <v>508</v>
      </c>
      <c r="N13086" t="s">
        <v>29</v>
      </c>
    </row>
    <row r="13087" spans="1:14">
      <c r="A13087" s="4" t="str">
        <f t="shared" si="1113"/>
        <v>EXP00408</v>
      </c>
      <c r="B13087" s="3" t="s">
        <v>66</v>
      </c>
      <c r="C13087" s="4" t="str">
        <f t="shared" si="1114"/>
        <v>TCGA-BLCA</v>
      </c>
      <c r="D13087" s="1" t="s">
        <v>493</v>
      </c>
      <c r="E13087" t="s">
        <v>522</v>
      </c>
      <c r="F13087" s="1">
        <v>2</v>
      </c>
      <c r="G13087" s="1" t="s">
        <v>28</v>
      </c>
      <c r="H13087" s="4" t="str">
        <f>HYPERLINK("https://portal.gdc.cancer.gov/cases/9c274536-3ca1-4f0e-93a8-1688074d862f","TCGA-DK-A1A6-01A")</f>
        <v>TCGA-DK-A1A6-01A</v>
      </c>
      <c r="I13087" t="s">
        <v>506</v>
      </c>
      <c r="J13087" t="s">
        <v>507</v>
      </c>
      <c r="K13087" t="s">
        <v>33</v>
      </c>
      <c r="L13087" t="s">
        <v>508</v>
      </c>
      <c r="N13087" t="s">
        <v>29</v>
      </c>
    </row>
    <row r="13088" spans="1:14">
      <c r="A13088" s="4" t="str">
        <f t="shared" si="1113"/>
        <v>EXP00408</v>
      </c>
      <c r="B13088" s="3" t="s">
        <v>66</v>
      </c>
      <c r="C13088" s="4" t="str">
        <f t="shared" si="1114"/>
        <v>TCGA-BLCA</v>
      </c>
      <c r="D13088" s="1" t="s">
        <v>493</v>
      </c>
      <c r="E13088" t="s">
        <v>522</v>
      </c>
      <c r="F13088" s="1">
        <v>2</v>
      </c>
      <c r="G13088" s="1" t="s">
        <v>28</v>
      </c>
      <c r="H13088" s="4" t="str">
        <f>HYPERLINK("https://portal.gdc.cancer.gov/cases/3ed614e7-f356-4d87-985b-d3bbbae3bb40","TCGA-DK-A1A7-01A")</f>
        <v>TCGA-DK-A1A7-01A</v>
      </c>
      <c r="I13088" t="s">
        <v>506</v>
      </c>
      <c r="J13088" t="s">
        <v>507</v>
      </c>
      <c r="K13088" t="s">
        <v>33</v>
      </c>
      <c r="L13088" t="s">
        <v>508</v>
      </c>
      <c r="N13088" t="s">
        <v>29</v>
      </c>
    </row>
    <row r="13089" spans="1:14">
      <c r="A13089" s="4" t="str">
        <f t="shared" si="1113"/>
        <v>EXP00408</v>
      </c>
      <c r="B13089" s="3" t="s">
        <v>66</v>
      </c>
      <c r="C13089" s="4" t="str">
        <f t="shared" si="1114"/>
        <v>TCGA-BLCA</v>
      </c>
      <c r="D13089" s="1" t="s">
        <v>493</v>
      </c>
      <c r="E13089" t="s">
        <v>522</v>
      </c>
      <c r="F13089" s="1">
        <v>2</v>
      </c>
      <c r="G13089" s="1" t="s">
        <v>28</v>
      </c>
      <c r="H13089" s="4" t="str">
        <f>HYPERLINK("https://portal.gdc.cancer.gov/cases/56d8a1b8-1268-4362-a7f1-77b76fbf1b59","TCGA-DK-A1AA-01A")</f>
        <v>TCGA-DK-A1AA-01A</v>
      </c>
      <c r="I13089" t="s">
        <v>506</v>
      </c>
      <c r="J13089" t="s">
        <v>507</v>
      </c>
      <c r="K13089" t="s">
        <v>33</v>
      </c>
      <c r="L13089" t="s">
        <v>508</v>
      </c>
      <c r="N13089" t="s">
        <v>29</v>
      </c>
    </row>
    <row r="13090" spans="1:14">
      <c r="A13090" s="4" t="str">
        <f t="shared" si="1113"/>
        <v>EXP00408</v>
      </c>
      <c r="B13090" s="3" t="s">
        <v>66</v>
      </c>
      <c r="C13090" s="4" t="str">
        <f t="shared" si="1114"/>
        <v>TCGA-BLCA</v>
      </c>
      <c r="D13090" s="1" t="s">
        <v>493</v>
      </c>
      <c r="E13090" t="s">
        <v>522</v>
      </c>
      <c r="F13090" s="1">
        <v>2</v>
      </c>
      <c r="G13090" s="1" t="s">
        <v>28</v>
      </c>
      <c r="H13090" s="4" t="str">
        <f>HYPERLINK("https://portal.gdc.cancer.gov/cases/f027d254-ec01-4882-a8a7-964ae90b7d49","TCGA-DK-A1AB-01A")</f>
        <v>TCGA-DK-A1AB-01A</v>
      </c>
      <c r="I13090" t="s">
        <v>506</v>
      </c>
      <c r="J13090" t="s">
        <v>507</v>
      </c>
      <c r="K13090" t="s">
        <v>33</v>
      </c>
      <c r="L13090" t="s">
        <v>508</v>
      </c>
      <c r="N13090" t="s">
        <v>29</v>
      </c>
    </row>
    <row r="13091" spans="1:14">
      <c r="A13091" s="4" t="str">
        <f t="shared" si="1113"/>
        <v>EXP00408</v>
      </c>
      <c r="B13091" s="3" t="s">
        <v>66</v>
      </c>
      <c r="C13091" s="4" t="str">
        <f t="shared" si="1114"/>
        <v>TCGA-BLCA</v>
      </c>
      <c r="D13091" s="1" t="s">
        <v>493</v>
      </c>
      <c r="E13091" t="s">
        <v>522</v>
      </c>
      <c r="F13091" s="1">
        <v>2</v>
      </c>
      <c r="G13091" s="1" t="s">
        <v>28</v>
      </c>
      <c r="H13091" s="4" t="str">
        <f>HYPERLINK("https://portal.gdc.cancer.gov/cases/36c14e9d-1863-4c55-bbbb-f8c9dd418932","TCGA-DK-A1AC-01A")</f>
        <v>TCGA-DK-A1AC-01A</v>
      </c>
      <c r="I13091" t="s">
        <v>506</v>
      </c>
      <c r="J13091" t="s">
        <v>507</v>
      </c>
      <c r="K13091" t="s">
        <v>33</v>
      </c>
      <c r="L13091" t="s">
        <v>508</v>
      </c>
      <c r="N13091" t="s">
        <v>29</v>
      </c>
    </row>
    <row r="13092" spans="1:14">
      <c r="A13092" s="4" t="str">
        <f t="shared" si="1113"/>
        <v>EXP00408</v>
      </c>
      <c r="B13092" s="3" t="s">
        <v>66</v>
      </c>
      <c r="C13092" s="4" t="str">
        <f t="shared" si="1114"/>
        <v>TCGA-BLCA</v>
      </c>
      <c r="D13092" s="1" t="s">
        <v>493</v>
      </c>
      <c r="E13092" t="s">
        <v>522</v>
      </c>
      <c r="F13092" s="1">
        <v>2</v>
      </c>
      <c r="G13092" s="1" t="s">
        <v>28</v>
      </c>
      <c r="H13092" s="4" t="str">
        <f>HYPERLINK("https://portal.gdc.cancer.gov/cases/88a521ce-a5e9-4c6f-83d4-ec36a62fedb6","TCGA-DK-A1AD-01A")</f>
        <v>TCGA-DK-A1AD-01A</v>
      </c>
      <c r="I13092" t="s">
        <v>506</v>
      </c>
      <c r="J13092" t="s">
        <v>507</v>
      </c>
      <c r="K13092" t="s">
        <v>33</v>
      </c>
      <c r="L13092" t="s">
        <v>508</v>
      </c>
      <c r="N13092" t="s">
        <v>29</v>
      </c>
    </row>
    <row r="13093" spans="1:14">
      <c r="A13093" s="4" t="str">
        <f t="shared" si="1113"/>
        <v>EXP00408</v>
      </c>
      <c r="B13093" s="3" t="s">
        <v>66</v>
      </c>
      <c r="C13093" s="4" t="str">
        <f t="shared" si="1114"/>
        <v>TCGA-BLCA</v>
      </c>
      <c r="D13093" s="1" t="s">
        <v>493</v>
      </c>
      <c r="E13093" t="s">
        <v>522</v>
      </c>
      <c r="F13093" s="1">
        <v>2</v>
      </c>
      <c r="G13093" s="1" t="s">
        <v>28</v>
      </c>
      <c r="H13093" s="4" t="str">
        <f>HYPERLINK("https://portal.gdc.cancer.gov/cases/493a4ff2-37a5-4b79-928d-83dbfe534556","TCGA-DK-A1AE-01A")</f>
        <v>TCGA-DK-A1AE-01A</v>
      </c>
      <c r="I13093" t="s">
        <v>506</v>
      </c>
      <c r="J13093" t="s">
        <v>507</v>
      </c>
      <c r="K13093" t="s">
        <v>33</v>
      </c>
      <c r="L13093" t="s">
        <v>508</v>
      </c>
      <c r="N13093" t="s">
        <v>29</v>
      </c>
    </row>
    <row r="13094" spans="1:14">
      <c r="A13094" s="4" t="str">
        <f t="shared" si="1113"/>
        <v>EXP00408</v>
      </c>
      <c r="B13094" s="3" t="s">
        <v>66</v>
      </c>
      <c r="C13094" s="4" t="str">
        <f t="shared" si="1114"/>
        <v>TCGA-BLCA</v>
      </c>
      <c r="D13094" s="1" t="s">
        <v>493</v>
      </c>
      <c r="E13094" t="s">
        <v>522</v>
      </c>
      <c r="F13094" s="1">
        <v>2</v>
      </c>
      <c r="G13094" s="1" t="s">
        <v>28</v>
      </c>
      <c r="H13094" s="4" t="str">
        <f>HYPERLINK("https://portal.gdc.cancer.gov/cases/f3104468-bf17-434b-8a7e-bc3b253121ea","TCGA-DK-A1AF-01A")</f>
        <v>TCGA-DK-A1AF-01A</v>
      </c>
      <c r="I13094" t="s">
        <v>506</v>
      </c>
      <c r="J13094" t="s">
        <v>507</v>
      </c>
      <c r="K13094" t="s">
        <v>33</v>
      </c>
      <c r="L13094" t="s">
        <v>508</v>
      </c>
      <c r="N13094" t="s">
        <v>29</v>
      </c>
    </row>
    <row r="13095" spans="1:14">
      <c r="A13095" s="4" t="str">
        <f t="shared" si="1113"/>
        <v>EXP00408</v>
      </c>
      <c r="B13095" s="3" t="s">
        <v>66</v>
      </c>
      <c r="C13095" s="4" t="str">
        <f t="shared" si="1114"/>
        <v>TCGA-BLCA</v>
      </c>
      <c r="D13095" s="1" t="s">
        <v>493</v>
      </c>
      <c r="E13095" t="s">
        <v>522</v>
      </c>
      <c r="F13095" s="1">
        <v>2</v>
      </c>
      <c r="G13095" s="1" t="s">
        <v>28</v>
      </c>
      <c r="H13095" s="4" t="str">
        <f>HYPERLINK("https://portal.gdc.cancer.gov/cases/f8c0a69c-df53-4a0a-a30e-4424c0ce3dd5","TCGA-DK-A1AG-01A")</f>
        <v>TCGA-DK-A1AG-01A</v>
      </c>
      <c r="I13095" t="s">
        <v>506</v>
      </c>
      <c r="J13095" t="s">
        <v>507</v>
      </c>
      <c r="K13095" t="s">
        <v>33</v>
      </c>
      <c r="L13095" t="s">
        <v>508</v>
      </c>
      <c r="N13095" t="s">
        <v>29</v>
      </c>
    </row>
    <row r="13096" spans="1:14">
      <c r="A13096" s="4" t="str">
        <f t="shared" si="1113"/>
        <v>EXP00408</v>
      </c>
      <c r="B13096" s="3" t="s">
        <v>66</v>
      </c>
      <c r="C13096" s="4" t="str">
        <f t="shared" si="1114"/>
        <v>TCGA-BLCA</v>
      </c>
      <c r="D13096" s="1" t="s">
        <v>493</v>
      </c>
      <c r="E13096" t="s">
        <v>522</v>
      </c>
      <c r="F13096" s="1">
        <v>2</v>
      </c>
      <c r="G13096" s="1" t="s">
        <v>28</v>
      </c>
      <c r="H13096" s="4" t="str">
        <f>HYPERLINK("https://portal.gdc.cancer.gov/cases/c728fac9-5452-4759-a4ed-a366e0f757cb","TCGA-DK-A2HX-01A")</f>
        <v>TCGA-DK-A2HX-01A</v>
      </c>
      <c r="I13096" t="s">
        <v>506</v>
      </c>
      <c r="J13096" t="s">
        <v>507</v>
      </c>
      <c r="K13096" t="s">
        <v>33</v>
      </c>
      <c r="L13096" t="s">
        <v>508</v>
      </c>
      <c r="N13096" t="s">
        <v>29</v>
      </c>
    </row>
    <row r="13097" spans="1:14">
      <c r="A13097" s="4" t="str">
        <f t="shared" si="1113"/>
        <v>EXP00408</v>
      </c>
      <c r="B13097" s="3" t="s">
        <v>66</v>
      </c>
      <c r="C13097" s="4" t="str">
        <f t="shared" si="1114"/>
        <v>TCGA-BLCA</v>
      </c>
      <c r="D13097" s="1" t="s">
        <v>493</v>
      </c>
      <c r="E13097" t="s">
        <v>522</v>
      </c>
      <c r="F13097" s="1">
        <v>2</v>
      </c>
      <c r="G13097" s="1" t="s">
        <v>28</v>
      </c>
      <c r="H13097" s="4" t="str">
        <f>HYPERLINK("https://portal.gdc.cancer.gov/cases/036b9681-ab58-4734-a8fd-e0d5d078bf5a","TCGA-DK-A2I1-01A")</f>
        <v>TCGA-DK-A2I1-01A</v>
      </c>
      <c r="I13097" t="s">
        <v>506</v>
      </c>
      <c r="J13097" t="s">
        <v>507</v>
      </c>
      <c r="K13097" t="s">
        <v>33</v>
      </c>
      <c r="L13097" t="s">
        <v>508</v>
      </c>
      <c r="N13097" t="s">
        <v>29</v>
      </c>
    </row>
    <row r="13098" spans="1:14">
      <c r="A13098" s="4" t="str">
        <f t="shared" si="1113"/>
        <v>EXP00408</v>
      </c>
      <c r="B13098" s="3" t="s">
        <v>66</v>
      </c>
      <c r="C13098" s="4" t="str">
        <f t="shared" si="1114"/>
        <v>TCGA-BLCA</v>
      </c>
      <c r="D13098" s="1" t="s">
        <v>493</v>
      </c>
      <c r="E13098" t="s">
        <v>522</v>
      </c>
      <c r="F13098" s="1">
        <v>2</v>
      </c>
      <c r="G13098" s="1" t="s">
        <v>28</v>
      </c>
      <c r="H13098" s="4" t="str">
        <f>HYPERLINK("https://portal.gdc.cancer.gov/cases/234086dd-5a74-4ff1-94ab-bad43ee69d5c","TCGA-DK-A2I2-01A")</f>
        <v>TCGA-DK-A2I2-01A</v>
      </c>
      <c r="I13098" t="s">
        <v>506</v>
      </c>
      <c r="J13098" t="s">
        <v>507</v>
      </c>
      <c r="K13098" t="s">
        <v>33</v>
      </c>
      <c r="L13098" t="s">
        <v>508</v>
      </c>
      <c r="N13098" t="s">
        <v>29</v>
      </c>
    </row>
    <row r="13099" spans="1:14">
      <c r="A13099" s="4" t="str">
        <f t="shared" si="1113"/>
        <v>EXP00408</v>
      </c>
      <c r="B13099" s="3" t="s">
        <v>66</v>
      </c>
      <c r="C13099" s="4" t="str">
        <f t="shared" si="1114"/>
        <v>TCGA-BLCA</v>
      </c>
      <c r="D13099" s="1" t="s">
        <v>493</v>
      </c>
      <c r="E13099" t="s">
        <v>522</v>
      </c>
      <c r="F13099" s="1">
        <v>2</v>
      </c>
      <c r="G13099" s="1" t="s">
        <v>28</v>
      </c>
      <c r="H13099" s="4" t="str">
        <f>HYPERLINK("https://portal.gdc.cancer.gov/cases/5c4aebeb-fb6f-4d66-b24a-89ef20de971e","TCGA-DK-A2I4-01A")</f>
        <v>TCGA-DK-A2I4-01A</v>
      </c>
      <c r="I13099" t="s">
        <v>506</v>
      </c>
      <c r="J13099" t="s">
        <v>507</v>
      </c>
      <c r="K13099" t="s">
        <v>33</v>
      </c>
      <c r="L13099" t="s">
        <v>508</v>
      </c>
      <c r="N13099" t="s">
        <v>29</v>
      </c>
    </row>
    <row r="13100" spans="1:14">
      <c r="A13100" s="4" t="str">
        <f t="shared" si="1113"/>
        <v>EXP00408</v>
      </c>
      <c r="B13100" s="3" t="s">
        <v>66</v>
      </c>
      <c r="C13100" s="4" t="str">
        <f t="shared" si="1114"/>
        <v>TCGA-BLCA</v>
      </c>
      <c r="D13100" s="1" t="s">
        <v>493</v>
      </c>
      <c r="E13100" t="s">
        <v>522</v>
      </c>
      <c r="F13100" s="1">
        <v>2</v>
      </c>
      <c r="G13100" s="1" t="s">
        <v>28</v>
      </c>
      <c r="H13100" s="4" t="str">
        <f>HYPERLINK("https://portal.gdc.cancer.gov/cases/de810af0-4c18-4e8f-9836-f8abc425e3eb","TCGA-DK-A2I6-01A")</f>
        <v>TCGA-DK-A2I6-01A</v>
      </c>
      <c r="I13100" t="s">
        <v>506</v>
      </c>
      <c r="J13100" t="s">
        <v>507</v>
      </c>
      <c r="K13100" t="s">
        <v>33</v>
      </c>
      <c r="L13100" t="s">
        <v>508</v>
      </c>
      <c r="N13100" t="s">
        <v>29</v>
      </c>
    </row>
    <row r="13101" spans="1:14">
      <c r="A13101" s="4" t="str">
        <f t="shared" si="1113"/>
        <v>EXP00408</v>
      </c>
      <c r="B13101" s="3" t="s">
        <v>66</v>
      </c>
      <c r="C13101" s="4" t="str">
        <f t="shared" si="1114"/>
        <v>TCGA-BLCA</v>
      </c>
      <c r="D13101" s="1" t="s">
        <v>493</v>
      </c>
      <c r="E13101" t="s">
        <v>522</v>
      </c>
      <c r="F13101" s="1">
        <v>2</v>
      </c>
      <c r="G13101" s="1" t="s">
        <v>28</v>
      </c>
      <c r="H13101" s="4" t="str">
        <f>HYPERLINK("https://portal.gdc.cancer.gov/cases/3f0a0748-9acc-4d0b-ba18-7c08bd183f86","TCGA-DK-A3IK-01A")</f>
        <v>TCGA-DK-A3IK-01A</v>
      </c>
      <c r="I13101" t="s">
        <v>506</v>
      </c>
      <c r="J13101" t="s">
        <v>507</v>
      </c>
      <c r="K13101" t="s">
        <v>33</v>
      </c>
      <c r="L13101" t="s">
        <v>508</v>
      </c>
      <c r="N13101" t="s">
        <v>29</v>
      </c>
    </row>
    <row r="13102" spans="1:14">
      <c r="A13102" s="4" t="str">
        <f t="shared" si="1113"/>
        <v>EXP00408</v>
      </c>
      <c r="B13102" s="3" t="s">
        <v>66</v>
      </c>
      <c r="C13102" s="4" t="str">
        <f t="shared" si="1114"/>
        <v>TCGA-BLCA</v>
      </c>
      <c r="D13102" s="1" t="s">
        <v>493</v>
      </c>
      <c r="E13102" t="s">
        <v>522</v>
      </c>
      <c r="F13102" s="1">
        <v>2</v>
      </c>
      <c r="G13102" s="1" t="s">
        <v>28</v>
      </c>
      <c r="H13102" s="4" t="str">
        <f>HYPERLINK("https://portal.gdc.cancer.gov/cases/178b28cd-99c3-48dc-8d09-1ef71b4cee80","TCGA-DK-A3IL-01A")</f>
        <v>TCGA-DK-A3IL-01A</v>
      </c>
      <c r="I13102" t="s">
        <v>506</v>
      </c>
      <c r="J13102" t="s">
        <v>507</v>
      </c>
      <c r="K13102" t="s">
        <v>33</v>
      </c>
      <c r="L13102" t="s">
        <v>508</v>
      </c>
      <c r="N13102" t="s">
        <v>29</v>
      </c>
    </row>
    <row r="13103" spans="1:14">
      <c r="A13103" s="4" t="str">
        <f t="shared" si="1113"/>
        <v>EXP00408</v>
      </c>
      <c r="B13103" s="3" t="s">
        <v>66</v>
      </c>
      <c r="C13103" s="4" t="str">
        <f t="shared" si="1114"/>
        <v>TCGA-BLCA</v>
      </c>
      <c r="D13103" s="1" t="s">
        <v>493</v>
      </c>
      <c r="E13103" t="s">
        <v>522</v>
      </c>
      <c r="F13103" s="1">
        <v>2</v>
      </c>
      <c r="G13103" s="1" t="s">
        <v>28</v>
      </c>
      <c r="H13103" s="4" t="str">
        <f>HYPERLINK("https://portal.gdc.cancer.gov/cases/41b59716-116f-4942-8b63-409870a87e26","TCGA-DK-A3IM-01A")</f>
        <v>TCGA-DK-A3IM-01A</v>
      </c>
      <c r="I13103" t="s">
        <v>506</v>
      </c>
      <c r="J13103" t="s">
        <v>507</v>
      </c>
      <c r="K13103" t="s">
        <v>33</v>
      </c>
      <c r="L13103" t="s">
        <v>508</v>
      </c>
      <c r="N13103" t="s">
        <v>29</v>
      </c>
    </row>
    <row r="13104" spans="1:14">
      <c r="A13104" s="4" t="str">
        <f t="shared" si="1113"/>
        <v>EXP00408</v>
      </c>
      <c r="B13104" s="3" t="s">
        <v>66</v>
      </c>
      <c r="C13104" s="4" t="str">
        <f t="shared" si="1114"/>
        <v>TCGA-BLCA</v>
      </c>
      <c r="D13104" s="1" t="s">
        <v>493</v>
      </c>
      <c r="E13104" t="s">
        <v>522</v>
      </c>
      <c r="F13104" s="1">
        <v>2</v>
      </c>
      <c r="G13104" s="1" t="s">
        <v>28</v>
      </c>
      <c r="H13104" s="4" t="str">
        <f>HYPERLINK("https://portal.gdc.cancer.gov/cases/fc0032db-b6d8-4da3-bd1b-beec4196abf0","TCGA-DK-A3IN-01A")</f>
        <v>TCGA-DK-A3IN-01A</v>
      </c>
      <c r="I13104" t="s">
        <v>506</v>
      </c>
      <c r="J13104" t="s">
        <v>507</v>
      </c>
      <c r="K13104" t="s">
        <v>33</v>
      </c>
      <c r="L13104" t="s">
        <v>508</v>
      </c>
      <c r="N13104" t="s">
        <v>29</v>
      </c>
    </row>
    <row r="13105" spans="1:14">
      <c r="A13105" s="4" t="str">
        <f t="shared" si="1113"/>
        <v>EXP00408</v>
      </c>
      <c r="B13105" s="3" t="s">
        <v>66</v>
      </c>
      <c r="C13105" s="4" t="str">
        <f t="shared" si="1114"/>
        <v>TCGA-BLCA</v>
      </c>
      <c r="D13105" s="1" t="s">
        <v>493</v>
      </c>
      <c r="E13105" t="s">
        <v>522</v>
      </c>
      <c r="F13105" s="1">
        <v>2</v>
      </c>
      <c r="G13105" s="1" t="s">
        <v>28</v>
      </c>
      <c r="H13105" s="4" t="str">
        <f>HYPERLINK("https://portal.gdc.cancer.gov/cases/e44f60ec-66c4-45a2-a003-0a1faf1d6e03","TCGA-DK-A3IQ-01A")</f>
        <v>TCGA-DK-A3IQ-01A</v>
      </c>
      <c r="I13105" t="s">
        <v>506</v>
      </c>
      <c r="J13105" t="s">
        <v>507</v>
      </c>
      <c r="K13105" t="s">
        <v>33</v>
      </c>
      <c r="L13105" t="s">
        <v>508</v>
      </c>
      <c r="N13105" t="s">
        <v>29</v>
      </c>
    </row>
    <row r="13106" spans="1:14">
      <c r="A13106" s="4" t="str">
        <f t="shared" si="1113"/>
        <v>EXP00408</v>
      </c>
      <c r="B13106" s="3" t="s">
        <v>66</v>
      </c>
      <c r="C13106" s="4" t="str">
        <f t="shared" si="1114"/>
        <v>TCGA-BLCA</v>
      </c>
      <c r="D13106" s="1" t="s">
        <v>493</v>
      </c>
      <c r="E13106" t="s">
        <v>522</v>
      </c>
      <c r="F13106" s="1">
        <v>2</v>
      </c>
      <c r="G13106" s="1" t="s">
        <v>28</v>
      </c>
      <c r="H13106" s="4" t="str">
        <f>HYPERLINK("https://portal.gdc.cancer.gov/cases/9f75cc89-cc3f-4ae9-973d-da37c6417bfc","TCGA-DK-A3IS-01A")</f>
        <v>TCGA-DK-A3IS-01A</v>
      </c>
      <c r="I13106" t="s">
        <v>506</v>
      </c>
      <c r="J13106" t="s">
        <v>507</v>
      </c>
      <c r="K13106" t="s">
        <v>33</v>
      </c>
      <c r="L13106" t="s">
        <v>508</v>
      </c>
      <c r="N13106" t="s">
        <v>29</v>
      </c>
    </row>
    <row r="13107" spans="1:14">
      <c r="A13107" s="4" t="str">
        <f t="shared" si="1113"/>
        <v>EXP00408</v>
      </c>
      <c r="B13107" s="3" t="s">
        <v>66</v>
      </c>
      <c r="C13107" s="4" t="str">
        <f t="shared" si="1114"/>
        <v>TCGA-BLCA</v>
      </c>
      <c r="D13107" s="1" t="s">
        <v>493</v>
      </c>
      <c r="E13107" t="s">
        <v>522</v>
      </c>
      <c r="F13107" s="1">
        <v>2</v>
      </c>
      <c r="G13107" s="1" t="s">
        <v>28</v>
      </c>
      <c r="H13107" s="4" t="str">
        <f>HYPERLINK("https://portal.gdc.cancer.gov/cases/58520c66-7688-435a-b09f-653b18768c41","TCGA-DK-A3IT-01A")</f>
        <v>TCGA-DK-A3IT-01A</v>
      </c>
      <c r="I13107" t="s">
        <v>506</v>
      </c>
      <c r="J13107" t="s">
        <v>507</v>
      </c>
      <c r="K13107" t="s">
        <v>33</v>
      </c>
      <c r="L13107" t="s">
        <v>508</v>
      </c>
      <c r="N13107" t="s">
        <v>29</v>
      </c>
    </row>
    <row r="13108" spans="1:14">
      <c r="A13108" s="4" t="str">
        <f t="shared" si="1113"/>
        <v>EXP00408</v>
      </c>
      <c r="B13108" s="3" t="s">
        <v>66</v>
      </c>
      <c r="C13108" s="4" t="str">
        <f t="shared" si="1114"/>
        <v>TCGA-BLCA</v>
      </c>
      <c r="D13108" s="1" t="s">
        <v>493</v>
      </c>
      <c r="E13108" t="s">
        <v>522</v>
      </c>
      <c r="F13108" s="1">
        <v>2</v>
      </c>
      <c r="G13108" s="1" t="s">
        <v>28</v>
      </c>
      <c r="H13108" s="4" t="str">
        <f>HYPERLINK("https://portal.gdc.cancer.gov/cases/f093f043-efd4-4cba-a87f-8cbb5c1acd9e","TCGA-DK-A3IU-01A")</f>
        <v>TCGA-DK-A3IU-01A</v>
      </c>
      <c r="I13108" t="s">
        <v>506</v>
      </c>
      <c r="J13108" t="s">
        <v>507</v>
      </c>
      <c r="K13108" t="s">
        <v>33</v>
      </c>
      <c r="L13108" t="s">
        <v>508</v>
      </c>
      <c r="N13108" t="s">
        <v>29</v>
      </c>
    </row>
    <row r="13109" spans="1:14">
      <c r="A13109" s="4" t="str">
        <f t="shared" si="1113"/>
        <v>EXP00408</v>
      </c>
      <c r="B13109" s="3" t="s">
        <v>66</v>
      </c>
      <c r="C13109" s="4" t="str">
        <f t="shared" si="1114"/>
        <v>TCGA-BLCA</v>
      </c>
      <c r="D13109" s="1" t="s">
        <v>493</v>
      </c>
      <c r="E13109" t="s">
        <v>522</v>
      </c>
      <c r="F13109" s="1">
        <v>2</v>
      </c>
      <c r="G13109" s="1" t="s">
        <v>28</v>
      </c>
      <c r="H13109" s="4" t="str">
        <f>HYPERLINK("https://portal.gdc.cancer.gov/cases/f953dc5d-58bf-4936-b9fe-74b45e8c00e5","TCGA-DK-A3IV-01A")</f>
        <v>TCGA-DK-A3IV-01A</v>
      </c>
      <c r="I13109" t="s">
        <v>506</v>
      </c>
      <c r="J13109" t="s">
        <v>507</v>
      </c>
      <c r="K13109" t="s">
        <v>33</v>
      </c>
      <c r="L13109" t="s">
        <v>508</v>
      </c>
      <c r="N13109" t="s">
        <v>29</v>
      </c>
    </row>
    <row r="13110" spans="1:14">
      <c r="A13110" s="4" t="str">
        <f t="shared" si="1113"/>
        <v>EXP00408</v>
      </c>
      <c r="B13110" s="3" t="s">
        <v>66</v>
      </c>
      <c r="C13110" s="4" t="str">
        <f t="shared" si="1114"/>
        <v>TCGA-BLCA</v>
      </c>
      <c r="D13110" s="1" t="s">
        <v>493</v>
      </c>
      <c r="E13110" t="s">
        <v>522</v>
      </c>
      <c r="F13110" s="1">
        <v>2</v>
      </c>
      <c r="G13110" s="1" t="s">
        <v>28</v>
      </c>
      <c r="H13110" s="4" t="str">
        <f>HYPERLINK("https://portal.gdc.cancer.gov/cases/2ab0fb7b-ad2a-403d-9411-712974ccd878","TCGA-DK-A3WW-01A")</f>
        <v>TCGA-DK-A3WW-01A</v>
      </c>
      <c r="I13110" t="s">
        <v>506</v>
      </c>
      <c r="J13110" t="s">
        <v>507</v>
      </c>
      <c r="K13110" t="s">
        <v>33</v>
      </c>
      <c r="L13110" t="s">
        <v>508</v>
      </c>
      <c r="N13110" t="s">
        <v>29</v>
      </c>
    </row>
    <row r="13111" spans="1:14">
      <c r="A13111" s="4" t="str">
        <f t="shared" ref="A13111:A13174" si="1115">HYPERLINK("http://hcmdb.i-sanger.com/experiment/details/experiment_id/EXP00408","EXP00408")</f>
        <v>EXP00408</v>
      </c>
      <c r="B13111" s="3" t="s">
        <v>66</v>
      </c>
      <c r="C13111" s="4" t="str">
        <f t="shared" si="1114"/>
        <v>TCGA-BLCA</v>
      </c>
      <c r="D13111" s="1" t="s">
        <v>493</v>
      </c>
      <c r="E13111" t="s">
        <v>522</v>
      </c>
      <c r="F13111" s="1">
        <v>2</v>
      </c>
      <c r="G13111" s="1" t="s">
        <v>28</v>
      </c>
      <c r="H13111" s="4" t="str">
        <f>HYPERLINK("https://portal.gdc.cancer.gov/cases/9bb5d187-033e-4e86-a76e-e1a6d20488f7","TCGA-DK-A3WY-01A")</f>
        <v>TCGA-DK-A3WY-01A</v>
      </c>
      <c r="I13111" t="s">
        <v>506</v>
      </c>
      <c r="J13111" t="s">
        <v>507</v>
      </c>
      <c r="K13111" t="s">
        <v>33</v>
      </c>
      <c r="L13111" t="s">
        <v>508</v>
      </c>
      <c r="N13111" t="s">
        <v>29</v>
      </c>
    </row>
    <row r="13112" spans="1:14">
      <c r="A13112" s="4" t="str">
        <f t="shared" si="1115"/>
        <v>EXP00408</v>
      </c>
      <c r="B13112" s="3" t="s">
        <v>66</v>
      </c>
      <c r="C13112" s="4" t="str">
        <f t="shared" si="1114"/>
        <v>TCGA-BLCA</v>
      </c>
      <c r="D13112" s="1" t="s">
        <v>493</v>
      </c>
      <c r="E13112" t="s">
        <v>522</v>
      </c>
      <c r="F13112" s="1">
        <v>2</v>
      </c>
      <c r="G13112" s="1" t="s">
        <v>28</v>
      </c>
      <c r="H13112" s="4" t="str">
        <f>HYPERLINK("https://portal.gdc.cancer.gov/cases/6bddafde-7004-49b6-80cf-8081cd4b7d44","TCGA-DK-A3X1-01A")</f>
        <v>TCGA-DK-A3X1-01A</v>
      </c>
      <c r="I13112" t="s">
        <v>506</v>
      </c>
      <c r="J13112" t="s">
        <v>507</v>
      </c>
      <c r="K13112" t="s">
        <v>33</v>
      </c>
      <c r="L13112" t="s">
        <v>508</v>
      </c>
      <c r="N13112" t="s">
        <v>29</v>
      </c>
    </row>
    <row r="13113" spans="1:14">
      <c r="A13113" s="4" t="str">
        <f t="shared" si="1115"/>
        <v>EXP00408</v>
      </c>
      <c r="B13113" s="3" t="s">
        <v>66</v>
      </c>
      <c r="C13113" s="4" t="str">
        <f t="shared" si="1114"/>
        <v>TCGA-BLCA</v>
      </c>
      <c r="D13113" s="1" t="s">
        <v>493</v>
      </c>
      <c r="E13113" t="s">
        <v>522</v>
      </c>
      <c r="F13113" s="1">
        <v>2</v>
      </c>
      <c r="G13113" s="1" t="s">
        <v>28</v>
      </c>
      <c r="H13113" s="4" t="str">
        <f>HYPERLINK("https://portal.gdc.cancer.gov/cases/b41df0b0-572e-4ddb-9f1d-1b69dd1ad290","TCGA-DK-A6AV-01A")</f>
        <v>TCGA-DK-A6AV-01A</v>
      </c>
      <c r="I13113" t="s">
        <v>506</v>
      </c>
      <c r="J13113" t="s">
        <v>507</v>
      </c>
      <c r="K13113" t="s">
        <v>33</v>
      </c>
      <c r="L13113" t="s">
        <v>508</v>
      </c>
      <c r="N13113" t="s">
        <v>29</v>
      </c>
    </row>
    <row r="13114" spans="1:14">
      <c r="A13114" s="4" t="str">
        <f t="shared" si="1115"/>
        <v>EXP00408</v>
      </c>
      <c r="B13114" s="3" t="s">
        <v>66</v>
      </c>
      <c r="C13114" s="4" t="str">
        <f t="shared" si="1114"/>
        <v>TCGA-BLCA</v>
      </c>
      <c r="D13114" s="1" t="s">
        <v>493</v>
      </c>
      <c r="E13114" t="s">
        <v>522</v>
      </c>
      <c r="F13114" s="1">
        <v>2</v>
      </c>
      <c r="G13114" s="1" t="s">
        <v>28</v>
      </c>
      <c r="H13114" s="4" t="str">
        <f>HYPERLINK("https://portal.gdc.cancer.gov/cases/01c815ba-7bda-4f7e-865c-0c5776febf2c","TCGA-DK-A6AW-01A")</f>
        <v>TCGA-DK-A6AW-01A</v>
      </c>
      <c r="I13114" t="s">
        <v>506</v>
      </c>
      <c r="J13114" t="s">
        <v>507</v>
      </c>
      <c r="K13114" t="s">
        <v>33</v>
      </c>
      <c r="L13114" t="s">
        <v>508</v>
      </c>
      <c r="N13114" t="s">
        <v>29</v>
      </c>
    </row>
    <row r="13115" spans="1:14">
      <c r="A13115" s="4" t="str">
        <f t="shared" si="1115"/>
        <v>EXP00408</v>
      </c>
      <c r="B13115" s="3" t="s">
        <v>66</v>
      </c>
      <c r="C13115" s="4" t="str">
        <f t="shared" si="1114"/>
        <v>TCGA-BLCA</v>
      </c>
      <c r="D13115" s="1" t="s">
        <v>493</v>
      </c>
      <c r="E13115" t="s">
        <v>522</v>
      </c>
      <c r="F13115" s="1">
        <v>2</v>
      </c>
      <c r="G13115" s="1" t="s">
        <v>28</v>
      </c>
      <c r="H13115" s="4" t="str">
        <f>HYPERLINK("https://portal.gdc.cancer.gov/cases/73bc18a4-3600-409e-a2b5-e09e2b3f040d","TCGA-DK-A6B0-01A")</f>
        <v>TCGA-DK-A6B0-01A</v>
      </c>
      <c r="I13115" t="s">
        <v>506</v>
      </c>
      <c r="J13115" t="s">
        <v>507</v>
      </c>
      <c r="K13115" t="s">
        <v>33</v>
      </c>
      <c r="L13115" t="s">
        <v>508</v>
      </c>
      <c r="N13115" t="s">
        <v>29</v>
      </c>
    </row>
    <row r="13116" spans="1:14">
      <c r="A13116" s="4" t="str">
        <f t="shared" si="1115"/>
        <v>EXP00408</v>
      </c>
      <c r="B13116" s="3" t="s">
        <v>66</v>
      </c>
      <c r="C13116" s="4" t="str">
        <f t="shared" si="1114"/>
        <v>TCGA-BLCA</v>
      </c>
      <c r="D13116" s="1" t="s">
        <v>493</v>
      </c>
      <c r="E13116" t="s">
        <v>522</v>
      </c>
      <c r="F13116" s="1">
        <v>2</v>
      </c>
      <c r="G13116" s="1" t="s">
        <v>28</v>
      </c>
      <c r="H13116" s="4" t="str">
        <f>HYPERLINK("https://portal.gdc.cancer.gov/cases/0d2cd56c-09c6-467d-b3aa-1f7fe0cc60e1","TCGA-DK-A6B1-01A")</f>
        <v>TCGA-DK-A6B1-01A</v>
      </c>
      <c r="I13116" t="s">
        <v>506</v>
      </c>
      <c r="J13116" t="s">
        <v>507</v>
      </c>
      <c r="K13116" t="s">
        <v>33</v>
      </c>
      <c r="L13116" t="s">
        <v>508</v>
      </c>
      <c r="N13116" t="s">
        <v>29</v>
      </c>
    </row>
    <row r="13117" spans="1:14">
      <c r="A13117" s="4" t="str">
        <f t="shared" si="1115"/>
        <v>EXP00408</v>
      </c>
      <c r="B13117" s="3" t="s">
        <v>66</v>
      </c>
      <c r="C13117" s="4" t="str">
        <f t="shared" si="1114"/>
        <v>TCGA-BLCA</v>
      </c>
      <c r="D13117" s="1" t="s">
        <v>493</v>
      </c>
      <c r="E13117" t="s">
        <v>522</v>
      </c>
      <c r="F13117" s="1">
        <v>2</v>
      </c>
      <c r="G13117" s="1" t="s">
        <v>28</v>
      </c>
      <c r="H13117" s="4" t="str">
        <f>HYPERLINK("https://portal.gdc.cancer.gov/cases/d5e8d936-40ae-4fd3-b40e-cac54763d71f","TCGA-DK-A6B5-01A")</f>
        <v>TCGA-DK-A6B5-01A</v>
      </c>
      <c r="I13117" t="s">
        <v>506</v>
      </c>
      <c r="J13117" t="s">
        <v>507</v>
      </c>
      <c r="K13117" t="s">
        <v>33</v>
      </c>
      <c r="L13117" t="s">
        <v>508</v>
      </c>
      <c r="N13117" t="s">
        <v>29</v>
      </c>
    </row>
    <row r="13118" spans="1:14">
      <c r="A13118" s="4" t="str">
        <f t="shared" si="1115"/>
        <v>EXP00408</v>
      </c>
      <c r="B13118" s="3" t="s">
        <v>66</v>
      </c>
      <c r="C13118" s="4" t="str">
        <f t="shared" si="1114"/>
        <v>TCGA-BLCA</v>
      </c>
      <c r="D13118" s="1" t="s">
        <v>493</v>
      </c>
      <c r="E13118" t="s">
        <v>522</v>
      </c>
      <c r="F13118" s="1">
        <v>2</v>
      </c>
      <c r="G13118" s="1" t="s">
        <v>28</v>
      </c>
      <c r="H13118" s="4" t="str">
        <f>HYPERLINK("https://portal.gdc.cancer.gov/cases/ab6580e4-5de9-4361-b06a-1d20e5571890","TCGA-DK-A6B6-01A")</f>
        <v>TCGA-DK-A6B6-01A</v>
      </c>
      <c r="I13118" t="s">
        <v>506</v>
      </c>
      <c r="J13118" t="s">
        <v>507</v>
      </c>
      <c r="K13118" t="s">
        <v>33</v>
      </c>
      <c r="L13118" t="s">
        <v>508</v>
      </c>
      <c r="N13118" t="s">
        <v>29</v>
      </c>
    </row>
    <row r="13119" spans="1:14">
      <c r="A13119" s="4" t="str">
        <f t="shared" si="1115"/>
        <v>EXP00408</v>
      </c>
      <c r="B13119" s="3" t="s">
        <v>66</v>
      </c>
      <c r="C13119" s="4" t="str">
        <f t="shared" si="1114"/>
        <v>TCGA-BLCA</v>
      </c>
      <c r="D13119" s="1" t="s">
        <v>493</v>
      </c>
      <c r="E13119" t="s">
        <v>522</v>
      </c>
      <c r="F13119" s="1">
        <v>2</v>
      </c>
      <c r="G13119" s="1" t="s">
        <v>28</v>
      </c>
      <c r="H13119" s="4" t="str">
        <f>HYPERLINK("https://portal.gdc.cancer.gov/cases/d8b07fdd-5580-4bcc-9619-b5e0c9f0aa3d","TCGA-DK-AA6M-01A")</f>
        <v>TCGA-DK-AA6M-01A</v>
      </c>
      <c r="I13119" t="s">
        <v>506</v>
      </c>
      <c r="J13119" t="s">
        <v>507</v>
      </c>
      <c r="K13119" t="s">
        <v>33</v>
      </c>
      <c r="L13119" t="s">
        <v>508</v>
      </c>
      <c r="N13119" t="s">
        <v>29</v>
      </c>
    </row>
    <row r="13120" spans="1:14">
      <c r="A13120" s="4" t="str">
        <f t="shared" si="1115"/>
        <v>EXP00408</v>
      </c>
      <c r="B13120" s="3" t="s">
        <v>66</v>
      </c>
      <c r="C13120" s="4" t="str">
        <f t="shared" si="1114"/>
        <v>TCGA-BLCA</v>
      </c>
      <c r="D13120" s="1" t="s">
        <v>493</v>
      </c>
      <c r="E13120" t="s">
        <v>522</v>
      </c>
      <c r="F13120" s="1">
        <v>2</v>
      </c>
      <c r="G13120" s="1" t="s">
        <v>28</v>
      </c>
      <c r="H13120" s="4" t="str">
        <f>HYPERLINK("https://portal.gdc.cancer.gov/cases/5db4b168-a6ba-482c-b067-2274eba96aad","TCGA-DK-AA6R-01A")</f>
        <v>TCGA-DK-AA6R-01A</v>
      </c>
      <c r="I13120" t="s">
        <v>506</v>
      </c>
      <c r="J13120" t="s">
        <v>507</v>
      </c>
      <c r="K13120" t="s">
        <v>33</v>
      </c>
      <c r="L13120" t="s">
        <v>508</v>
      </c>
      <c r="N13120" t="s">
        <v>29</v>
      </c>
    </row>
    <row r="13121" spans="1:14">
      <c r="A13121" s="4" t="str">
        <f t="shared" si="1115"/>
        <v>EXP00408</v>
      </c>
      <c r="B13121" s="3" t="s">
        <v>66</v>
      </c>
      <c r="C13121" s="4" t="str">
        <f t="shared" si="1114"/>
        <v>TCGA-BLCA</v>
      </c>
      <c r="D13121" s="1" t="s">
        <v>493</v>
      </c>
      <c r="E13121" t="s">
        <v>522</v>
      </c>
      <c r="F13121" s="1">
        <v>2</v>
      </c>
      <c r="G13121" s="1" t="s">
        <v>28</v>
      </c>
      <c r="H13121" s="4" t="str">
        <f>HYPERLINK("https://portal.gdc.cancer.gov/cases/f9b55748-605a-4313-bb19-dcf5476590c2","TCGA-DK-AA6T-01A")</f>
        <v>TCGA-DK-AA6T-01A</v>
      </c>
      <c r="I13121" t="s">
        <v>506</v>
      </c>
      <c r="J13121" t="s">
        <v>507</v>
      </c>
      <c r="K13121" t="s">
        <v>33</v>
      </c>
      <c r="L13121" t="s">
        <v>508</v>
      </c>
      <c r="N13121" t="s">
        <v>29</v>
      </c>
    </row>
    <row r="13122" spans="1:14">
      <c r="A13122" s="4" t="str">
        <f t="shared" si="1115"/>
        <v>EXP00408</v>
      </c>
      <c r="B13122" s="3" t="s">
        <v>66</v>
      </c>
      <c r="C13122" s="4" t="str">
        <f t="shared" si="1114"/>
        <v>TCGA-BLCA</v>
      </c>
      <c r="D13122" s="1" t="s">
        <v>493</v>
      </c>
      <c r="E13122" t="s">
        <v>522</v>
      </c>
      <c r="F13122" s="1">
        <v>2</v>
      </c>
      <c r="G13122" s="1" t="s">
        <v>28</v>
      </c>
      <c r="H13122" s="4" t="str">
        <f>HYPERLINK("https://portal.gdc.cancer.gov/cases/104c8e20-1b29-4d77-9633-359a35be48fb","TCGA-DK-AA6U-01A")</f>
        <v>TCGA-DK-AA6U-01A</v>
      </c>
      <c r="I13122" t="s">
        <v>506</v>
      </c>
      <c r="J13122" t="s">
        <v>507</v>
      </c>
      <c r="K13122" t="s">
        <v>33</v>
      </c>
      <c r="L13122" t="s">
        <v>508</v>
      </c>
      <c r="N13122" t="s">
        <v>29</v>
      </c>
    </row>
    <row r="13123" spans="1:14">
      <c r="A13123" s="4" t="str">
        <f t="shared" si="1115"/>
        <v>EXP00408</v>
      </c>
      <c r="B13123" s="3" t="s">
        <v>66</v>
      </c>
      <c r="C13123" s="4" t="str">
        <f t="shared" si="1114"/>
        <v>TCGA-BLCA</v>
      </c>
      <c r="D13123" s="1" t="s">
        <v>493</v>
      </c>
      <c r="E13123" t="s">
        <v>522</v>
      </c>
      <c r="F13123" s="1">
        <v>2</v>
      </c>
      <c r="G13123" s="1" t="s">
        <v>28</v>
      </c>
      <c r="H13123" s="4" t="str">
        <f>HYPERLINK("https://portal.gdc.cancer.gov/cases/63fa8434-4a6f-4c32-9c5d-89dcc913900b","TCGA-DK-AA6W-01A")</f>
        <v>TCGA-DK-AA6W-01A</v>
      </c>
      <c r="I13123" t="s">
        <v>506</v>
      </c>
      <c r="J13123" t="s">
        <v>507</v>
      </c>
      <c r="K13123" t="s">
        <v>33</v>
      </c>
      <c r="L13123" t="s">
        <v>508</v>
      </c>
      <c r="N13123" t="s">
        <v>29</v>
      </c>
    </row>
    <row r="13124" spans="1:14">
      <c r="A13124" s="4" t="str">
        <f t="shared" si="1115"/>
        <v>EXP00408</v>
      </c>
      <c r="B13124" s="3" t="s">
        <v>66</v>
      </c>
      <c r="C13124" s="4" t="str">
        <f t="shared" si="1114"/>
        <v>TCGA-BLCA</v>
      </c>
      <c r="D13124" s="1" t="s">
        <v>493</v>
      </c>
      <c r="E13124" t="s">
        <v>522</v>
      </c>
      <c r="F13124" s="1">
        <v>2</v>
      </c>
      <c r="G13124" s="1" t="s">
        <v>28</v>
      </c>
      <c r="H13124" s="4" t="str">
        <f>HYPERLINK("https://portal.gdc.cancer.gov/cases/071b350d-8745-4795-8194-a8c6491f0931","TCGA-DK-AA6X-01A")</f>
        <v>TCGA-DK-AA6X-01A</v>
      </c>
      <c r="I13124" t="s">
        <v>506</v>
      </c>
      <c r="J13124" t="s">
        <v>507</v>
      </c>
      <c r="K13124" t="s">
        <v>33</v>
      </c>
      <c r="L13124" t="s">
        <v>508</v>
      </c>
      <c r="N13124" t="s">
        <v>29</v>
      </c>
    </row>
    <row r="13125" spans="1:14">
      <c r="A13125" s="4" t="str">
        <f t="shared" si="1115"/>
        <v>EXP00408</v>
      </c>
      <c r="B13125" s="3" t="s">
        <v>66</v>
      </c>
      <c r="C13125" s="4" t="str">
        <f t="shared" si="1114"/>
        <v>TCGA-BLCA</v>
      </c>
      <c r="D13125" s="1" t="s">
        <v>493</v>
      </c>
      <c r="E13125" t="s">
        <v>522</v>
      </c>
      <c r="F13125" s="1">
        <v>2</v>
      </c>
      <c r="G13125" s="1" t="s">
        <v>28</v>
      </c>
      <c r="H13125" s="4" t="str">
        <f>HYPERLINK("https://portal.gdc.cancer.gov/cases/22dbea93-3e1b-4e1b-ba40-55f08b99e73b","TCGA-DK-AA71-01A")</f>
        <v>TCGA-DK-AA71-01A</v>
      </c>
      <c r="I13125" t="s">
        <v>506</v>
      </c>
      <c r="J13125" t="s">
        <v>507</v>
      </c>
      <c r="K13125" t="s">
        <v>33</v>
      </c>
      <c r="L13125" t="s">
        <v>508</v>
      </c>
      <c r="N13125" t="s">
        <v>29</v>
      </c>
    </row>
    <row r="13126" spans="1:14">
      <c r="A13126" s="4" t="str">
        <f t="shared" si="1115"/>
        <v>EXP00408</v>
      </c>
      <c r="B13126" s="3" t="s">
        <v>66</v>
      </c>
      <c r="C13126" s="4" t="str">
        <f t="shared" si="1114"/>
        <v>TCGA-BLCA</v>
      </c>
      <c r="D13126" s="1" t="s">
        <v>493</v>
      </c>
      <c r="E13126" t="s">
        <v>522</v>
      </c>
      <c r="F13126" s="1">
        <v>2</v>
      </c>
      <c r="G13126" s="1" t="s">
        <v>28</v>
      </c>
      <c r="H13126" s="4" t="str">
        <f>HYPERLINK("https://portal.gdc.cancer.gov/cases/0198d8e5-a14b-44ee-b1c4-d248994845ad","TCGA-DK-AA74-01A")</f>
        <v>TCGA-DK-AA74-01A</v>
      </c>
      <c r="I13126" t="s">
        <v>506</v>
      </c>
      <c r="J13126" t="s">
        <v>507</v>
      </c>
      <c r="K13126" t="s">
        <v>33</v>
      </c>
      <c r="L13126" t="s">
        <v>508</v>
      </c>
      <c r="N13126" t="s">
        <v>29</v>
      </c>
    </row>
    <row r="13127" spans="1:14">
      <c r="A13127" s="4" t="str">
        <f t="shared" si="1115"/>
        <v>EXP00408</v>
      </c>
      <c r="B13127" s="3" t="s">
        <v>66</v>
      </c>
      <c r="C13127" s="4" t="str">
        <f t="shared" si="1114"/>
        <v>TCGA-BLCA</v>
      </c>
      <c r="D13127" s="1" t="s">
        <v>493</v>
      </c>
      <c r="E13127" t="s">
        <v>522</v>
      </c>
      <c r="F13127" s="1">
        <v>2</v>
      </c>
      <c r="G13127" s="1" t="s">
        <v>28</v>
      </c>
      <c r="H13127" s="4" t="str">
        <f>HYPERLINK("https://portal.gdc.cancer.gov/cases/d37b0460-efa4-4cf5-8082-f27ff2cf2f28","TCGA-DK-AA76-01A")</f>
        <v>TCGA-DK-AA76-01A</v>
      </c>
      <c r="I13127" t="s">
        <v>506</v>
      </c>
      <c r="J13127" t="s">
        <v>507</v>
      </c>
      <c r="K13127" t="s">
        <v>33</v>
      </c>
      <c r="L13127" t="s">
        <v>508</v>
      </c>
      <c r="N13127" t="s">
        <v>29</v>
      </c>
    </row>
    <row r="13128" spans="1:14">
      <c r="A13128" s="4" t="str">
        <f t="shared" si="1115"/>
        <v>EXP00408</v>
      </c>
      <c r="B13128" s="3" t="s">
        <v>66</v>
      </c>
      <c r="C13128" s="4" t="str">
        <f t="shared" si="1114"/>
        <v>TCGA-BLCA</v>
      </c>
      <c r="D13128" s="1" t="s">
        <v>493</v>
      </c>
      <c r="E13128" t="s">
        <v>522</v>
      </c>
      <c r="F13128" s="1">
        <v>2</v>
      </c>
      <c r="G13128" s="1" t="s">
        <v>28</v>
      </c>
      <c r="H13128" s="4" t="str">
        <f>HYPERLINK("https://portal.gdc.cancer.gov/cases/eb4f8c76-08d9-4ba4-846e-969fded63a87","TCGA-DK-AA77-01A")</f>
        <v>TCGA-DK-AA77-01A</v>
      </c>
      <c r="I13128" t="s">
        <v>506</v>
      </c>
      <c r="J13128" t="s">
        <v>507</v>
      </c>
      <c r="K13128" t="s">
        <v>33</v>
      </c>
      <c r="L13128" t="s">
        <v>508</v>
      </c>
      <c r="N13128" t="s">
        <v>29</v>
      </c>
    </row>
    <row r="13129" spans="1:14">
      <c r="A13129" s="4" t="str">
        <f t="shared" si="1115"/>
        <v>EXP00408</v>
      </c>
      <c r="B13129" s="3" t="s">
        <v>66</v>
      </c>
      <c r="C13129" s="4" t="str">
        <f t="shared" si="1114"/>
        <v>TCGA-BLCA</v>
      </c>
      <c r="D13129" s="1" t="s">
        <v>493</v>
      </c>
      <c r="E13129" t="s">
        <v>522</v>
      </c>
      <c r="F13129" s="1">
        <v>2</v>
      </c>
      <c r="G13129" s="1" t="s">
        <v>28</v>
      </c>
      <c r="H13129" s="4" t="str">
        <f>HYPERLINK("https://portal.gdc.cancer.gov/cases/4107ae6f-502c-4bdc-bf14-e4b3711cba38","TCGA-E5-A2PC-01A")</f>
        <v>TCGA-E5-A2PC-01A</v>
      </c>
      <c r="I13129" t="s">
        <v>506</v>
      </c>
      <c r="J13129" t="s">
        <v>507</v>
      </c>
      <c r="K13129" t="s">
        <v>33</v>
      </c>
      <c r="L13129" t="s">
        <v>508</v>
      </c>
      <c r="N13129" t="s">
        <v>29</v>
      </c>
    </row>
    <row r="13130" spans="1:14">
      <c r="A13130" s="4" t="str">
        <f t="shared" si="1115"/>
        <v>EXP00408</v>
      </c>
      <c r="B13130" s="3" t="s">
        <v>66</v>
      </c>
      <c r="C13130" s="4" t="str">
        <f t="shared" si="1114"/>
        <v>TCGA-BLCA</v>
      </c>
      <c r="D13130" s="1" t="s">
        <v>493</v>
      </c>
      <c r="E13130" t="s">
        <v>522</v>
      </c>
      <c r="F13130" s="1">
        <v>2</v>
      </c>
      <c r="G13130" s="1" t="s">
        <v>28</v>
      </c>
      <c r="H13130" s="4" t="str">
        <f>HYPERLINK("https://portal.gdc.cancer.gov/cases/ca6403dd-3bd5-4023-8ea1-9957ec44dba5","TCGA-E5-A4TZ-01A")</f>
        <v>TCGA-E5-A4TZ-01A</v>
      </c>
      <c r="I13130" t="s">
        <v>506</v>
      </c>
      <c r="J13130" t="s">
        <v>507</v>
      </c>
      <c r="K13130" t="s">
        <v>33</v>
      </c>
      <c r="L13130" t="s">
        <v>508</v>
      </c>
      <c r="N13130" t="s">
        <v>29</v>
      </c>
    </row>
    <row r="13131" spans="1:14">
      <c r="A13131" s="4" t="str">
        <f t="shared" si="1115"/>
        <v>EXP00408</v>
      </c>
      <c r="B13131" s="3" t="s">
        <v>66</v>
      </c>
      <c r="C13131" s="4" t="str">
        <f t="shared" si="1114"/>
        <v>TCGA-BLCA</v>
      </c>
      <c r="D13131" s="1" t="s">
        <v>493</v>
      </c>
      <c r="E13131" t="s">
        <v>522</v>
      </c>
      <c r="F13131" s="1">
        <v>2</v>
      </c>
      <c r="G13131" s="1" t="s">
        <v>28</v>
      </c>
      <c r="H13131" s="4" t="str">
        <f>HYPERLINK("https://portal.gdc.cancer.gov/cases/c871ea6b-fbd2-4e6f-ab29-f43f6e3ddcbb","TCGA-E7-A3X6-01A")</f>
        <v>TCGA-E7-A3X6-01A</v>
      </c>
      <c r="I13131" t="s">
        <v>506</v>
      </c>
      <c r="J13131" t="s">
        <v>507</v>
      </c>
      <c r="K13131" t="s">
        <v>33</v>
      </c>
      <c r="L13131" t="s">
        <v>508</v>
      </c>
      <c r="N13131" t="s">
        <v>29</v>
      </c>
    </row>
    <row r="13132" spans="1:14">
      <c r="A13132" s="4" t="str">
        <f t="shared" si="1115"/>
        <v>EXP00408</v>
      </c>
      <c r="B13132" s="3" t="s">
        <v>66</v>
      </c>
      <c r="C13132" s="4" t="str">
        <f t="shared" si="1114"/>
        <v>TCGA-BLCA</v>
      </c>
      <c r="D13132" s="1" t="s">
        <v>493</v>
      </c>
      <c r="E13132" t="s">
        <v>522</v>
      </c>
      <c r="F13132" s="1">
        <v>2</v>
      </c>
      <c r="G13132" s="1" t="s">
        <v>28</v>
      </c>
      <c r="H13132" s="4" t="str">
        <f>HYPERLINK("https://portal.gdc.cancer.gov/cases/f7c891eb-3b09-4e01-bb8a-53d570518cbe","TCGA-E7-A3Y1-01A")</f>
        <v>TCGA-E7-A3Y1-01A</v>
      </c>
      <c r="I13132" t="s">
        <v>506</v>
      </c>
      <c r="J13132" t="s">
        <v>507</v>
      </c>
      <c r="K13132" t="s">
        <v>33</v>
      </c>
      <c r="L13132" t="s">
        <v>508</v>
      </c>
      <c r="N13132" t="s">
        <v>29</v>
      </c>
    </row>
    <row r="13133" spans="1:14">
      <c r="A13133" s="4" t="str">
        <f t="shared" si="1115"/>
        <v>EXP00408</v>
      </c>
      <c r="B13133" s="3" t="s">
        <v>66</v>
      </c>
      <c r="C13133" s="4" t="str">
        <f t="shared" si="1114"/>
        <v>TCGA-BLCA</v>
      </c>
      <c r="D13133" s="1" t="s">
        <v>493</v>
      </c>
      <c r="E13133" t="s">
        <v>522</v>
      </c>
      <c r="F13133" s="1">
        <v>2</v>
      </c>
      <c r="G13133" s="1" t="s">
        <v>28</v>
      </c>
      <c r="H13133" s="4" t="str">
        <f>HYPERLINK("https://portal.gdc.cancer.gov/cases/faf4c71c-c4f3-4513-8c44-9114a5d3729a","TCGA-E7-A4IJ-01A")</f>
        <v>TCGA-E7-A4IJ-01A</v>
      </c>
      <c r="I13133" t="s">
        <v>506</v>
      </c>
      <c r="J13133" t="s">
        <v>507</v>
      </c>
      <c r="K13133" t="s">
        <v>33</v>
      </c>
      <c r="L13133" t="s">
        <v>508</v>
      </c>
      <c r="N13133" t="s">
        <v>29</v>
      </c>
    </row>
    <row r="13134" spans="1:14">
      <c r="A13134" s="4" t="str">
        <f t="shared" si="1115"/>
        <v>EXP00408</v>
      </c>
      <c r="B13134" s="3" t="s">
        <v>66</v>
      </c>
      <c r="C13134" s="4" t="str">
        <f t="shared" si="1114"/>
        <v>TCGA-BLCA</v>
      </c>
      <c r="D13134" s="1" t="s">
        <v>493</v>
      </c>
      <c r="E13134" t="s">
        <v>522</v>
      </c>
      <c r="F13134" s="1">
        <v>2</v>
      </c>
      <c r="G13134" s="1" t="s">
        <v>28</v>
      </c>
      <c r="H13134" s="4" t="str">
        <f>HYPERLINK("https://portal.gdc.cancer.gov/cases/92495a89-9974-4f75-99e0-28bd11114460","TCGA-E7-A4XJ-01A")</f>
        <v>TCGA-E7-A4XJ-01A</v>
      </c>
      <c r="I13134" t="s">
        <v>506</v>
      </c>
      <c r="J13134" t="s">
        <v>507</v>
      </c>
      <c r="K13134" t="s">
        <v>33</v>
      </c>
      <c r="L13134" t="s">
        <v>508</v>
      </c>
      <c r="N13134" t="s">
        <v>29</v>
      </c>
    </row>
    <row r="13135" spans="1:14">
      <c r="A13135" s="4" t="str">
        <f t="shared" si="1115"/>
        <v>EXP00408</v>
      </c>
      <c r="B13135" s="3" t="s">
        <v>66</v>
      </c>
      <c r="C13135" s="4" t="str">
        <f t="shared" si="1114"/>
        <v>TCGA-BLCA</v>
      </c>
      <c r="D13135" s="1" t="s">
        <v>493</v>
      </c>
      <c r="E13135" t="s">
        <v>522</v>
      </c>
      <c r="F13135" s="1">
        <v>2</v>
      </c>
      <c r="G13135" s="1" t="s">
        <v>28</v>
      </c>
      <c r="H13135" s="4" t="str">
        <f>HYPERLINK("https://portal.gdc.cancer.gov/cases/74216d58-9e34-4a2b-b4af-886c4a3dc079","TCGA-E7-A519-01A")</f>
        <v>TCGA-E7-A519-01A</v>
      </c>
      <c r="I13135" t="s">
        <v>506</v>
      </c>
      <c r="J13135" t="s">
        <v>507</v>
      </c>
      <c r="K13135" t="s">
        <v>33</v>
      </c>
      <c r="L13135" t="s">
        <v>508</v>
      </c>
      <c r="N13135" t="s">
        <v>29</v>
      </c>
    </row>
    <row r="13136" spans="1:14">
      <c r="A13136" s="4" t="str">
        <f t="shared" si="1115"/>
        <v>EXP00408</v>
      </c>
      <c r="B13136" s="3" t="s">
        <v>66</v>
      </c>
      <c r="C13136" s="4" t="str">
        <f t="shared" si="1114"/>
        <v>TCGA-BLCA</v>
      </c>
      <c r="D13136" s="1" t="s">
        <v>493</v>
      </c>
      <c r="E13136" t="s">
        <v>522</v>
      </c>
      <c r="F13136" s="1">
        <v>2</v>
      </c>
      <c r="G13136" s="1" t="s">
        <v>28</v>
      </c>
      <c r="H13136" s="4" t="str">
        <f>HYPERLINK("https://portal.gdc.cancer.gov/cases/d51abc3a-a652-4b13-9a41-ce52be87218b","TCGA-E7-A541-01A")</f>
        <v>TCGA-E7-A541-01A</v>
      </c>
      <c r="I13136" t="s">
        <v>506</v>
      </c>
      <c r="J13136" t="s">
        <v>507</v>
      </c>
      <c r="K13136" t="s">
        <v>33</v>
      </c>
      <c r="L13136" t="s">
        <v>508</v>
      </c>
      <c r="N13136" t="s">
        <v>29</v>
      </c>
    </row>
    <row r="13137" spans="1:14">
      <c r="A13137" s="4" t="str">
        <f t="shared" si="1115"/>
        <v>EXP00408</v>
      </c>
      <c r="B13137" s="3" t="s">
        <v>66</v>
      </c>
      <c r="C13137" s="4" t="str">
        <f t="shared" si="1114"/>
        <v>TCGA-BLCA</v>
      </c>
      <c r="D13137" s="1" t="s">
        <v>493</v>
      </c>
      <c r="E13137" t="s">
        <v>522</v>
      </c>
      <c r="F13137" s="1">
        <v>2</v>
      </c>
      <c r="G13137" s="1" t="s">
        <v>28</v>
      </c>
      <c r="H13137" s="4" t="str">
        <f>HYPERLINK("https://portal.gdc.cancer.gov/cases/514dcd02-0b33-40ef-8ef1-05272045fc39","TCGA-E7-A5KE-01A")</f>
        <v>TCGA-E7-A5KE-01A</v>
      </c>
      <c r="I13137" t="s">
        <v>506</v>
      </c>
      <c r="J13137" t="s">
        <v>507</v>
      </c>
      <c r="K13137" t="s">
        <v>33</v>
      </c>
      <c r="L13137" t="s">
        <v>508</v>
      </c>
      <c r="N13137" t="s">
        <v>29</v>
      </c>
    </row>
    <row r="13138" spans="1:14">
      <c r="A13138" s="4" t="str">
        <f t="shared" si="1115"/>
        <v>EXP00408</v>
      </c>
      <c r="B13138" s="3" t="s">
        <v>66</v>
      </c>
      <c r="C13138" s="4" t="str">
        <f t="shared" ref="C13138:C13201" si="1116">HYPERLINK("https://portal.gdc.cancer.gov/projects/TCGA-BLCA","TCGA-BLCA")</f>
        <v>TCGA-BLCA</v>
      </c>
      <c r="D13138" s="1" t="s">
        <v>493</v>
      </c>
      <c r="E13138" t="s">
        <v>522</v>
      </c>
      <c r="F13138" s="1">
        <v>2</v>
      </c>
      <c r="G13138" s="1" t="s">
        <v>28</v>
      </c>
      <c r="H13138" s="4" t="str">
        <f>HYPERLINK("https://portal.gdc.cancer.gov/cases/5d06cc19-8b10-4ed1-b6d4-8e044f1f8a8c","TCGA-E7-A5KF-01A")</f>
        <v>TCGA-E7-A5KF-01A</v>
      </c>
      <c r="I13138" t="s">
        <v>506</v>
      </c>
      <c r="J13138" t="s">
        <v>507</v>
      </c>
      <c r="K13138" t="s">
        <v>33</v>
      </c>
      <c r="L13138" t="s">
        <v>508</v>
      </c>
      <c r="N13138" t="s">
        <v>29</v>
      </c>
    </row>
    <row r="13139" spans="1:14">
      <c r="A13139" s="4" t="str">
        <f t="shared" si="1115"/>
        <v>EXP00408</v>
      </c>
      <c r="B13139" s="3" t="s">
        <v>66</v>
      </c>
      <c r="C13139" s="4" t="str">
        <f t="shared" si="1116"/>
        <v>TCGA-BLCA</v>
      </c>
      <c r="D13139" s="1" t="s">
        <v>493</v>
      </c>
      <c r="E13139" t="s">
        <v>522</v>
      </c>
      <c r="F13139" s="1">
        <v>2</v>
      </c>
      <c r="G13139" s="1" t="s">
        <v>28</v>
      </c>
      <c r="H13139" s="4" t="str">
        <f>HYPERLINK("https://portal.gdc.cancer.gov/cases/d492383f-5449-4845-bfb3-b2cb4eb49c4e","TCGA-E7-A677-01A")</f>
        <v>TCGA-E7-A677-01A</v>
      </c>
      <c r="I13139" t="s">
        <v>506</v>
      </c>
      <c r="J13139" t="s">
        <v>507</v>
      </c>
      <c r="K13139" t="s">
        <v>33</v>
      </c>
      <c r="L13139" t="s">
        <v>508</v>
      </c>
      <c r="N13139" t="s">
        <v>29</v>
      </c>
    </row>
    <row r="13140" spans="1:14">
      <c r="A13140" s="4" t="str">
        <f t="shared" si="1115"/>
        <v>EXP00408</v>
      </c>
      <c r="B13140" s="3" t="s">
        <v>66</v>
      </c>
      <c r="C13140" s="4" t="str">
        <f t="shared" si="1116"/>
        <v>TCGA-BLCA</v>
      </c>
      <c r="D13140" s="1" t="s">
        <v>493</v>
      </c>
      <c r="E13140" t="s">
        <v>522</v>
      </c>
      <c r="F13140" s="1">
        <v>2</v>
      </c>
      <c r="G13140" s="1" t="s">
        <v>28</v>
      </c>
      <c r="H13140" s="4" t="str">
        <f>HYPERLINK("https://portal.gdc.cancer.gov/cases/29c52372-d3a7-4188-b468-67c3451c4f20","TCGA-E7-A678-01A")</f>
        <v>TCGA-E7-A678-01A</v>
      </c>
      <c r="I13140" t="s">
        <v>506</v>
      </c>
      <c r="J13140" t="s">
        <v>507</v>
      </c>
      <c r="K13140" t="s">
        <v>33</v>
      </c>
      <c r="L13140" t="s">
        <v>508</v>
      </c>
      <c r="N13140" t="s">
        <v>29</v>
      </c>
    </row>
    <row r="13141" spans="1:14">
      <c r="A13141" s="4" t="str">
        <f t="shared" si="1115"/>
        <v>EXP00408</v>
      </c>
      <c r="B13141" s="3" t="s">
        <v>66</v>
      </c>
      <c r="C13141" s="4" t="str">
        <f t="shared" si="1116"/>
        <v>TCGA-BLCA</v>
      </c>
      <c r="D13141" s="1" t="s">
        <v>493</v>
      </c>
      <c r="E13141" t="s">
        <v>522</v>
      </c>
      <c r="F13141" s="1">
        <v>2</v>
      </c>
      <c r="G13141" s="1" t="s">
        <v>28</v>
      </c>
      <c r="H13141" s="4" t="str">
        <f>HYPERLINK("https://portal.gdc.cancer.gov/cases/92d27fec-30c2-4496-965d-df509d869eaa","TCGA-E7-A6MD-01A")</f>
        <v>TCGA-E7-A6MD-01A</v>
      </c>
      <c r="I13141" t="s">
        <v>506</v>
      </c>
      <c r="J13141" t="s">
        <v>507</v>
      </c>
      <c r="K13141" t="s">
        <v>33</v>
      </c>
      <c r="L13141" t="s">
        <v>508</v>
      </c>
      <c r="N13141" t="s">
        <v>29</v>
      </c>
    </row>
    <row r="13142" spans="1:14">
      <c r="A13142" s="4" t="str">
        <f t="shared" si="1115"/>
        <v>EXP00408</v>
      </c>
      <c r="B13142" s="3" t="s">
        <v>66</v>
      </c>
      <c r="C13142" s="4" t="str">
        <f t="shared" si="1116"/>
        <v>TCGA-BLCA</v>
      </c>
      <c r="D13142" s="1" t="s">
        <v>493</v>
      </c>
      <c r="E13142" t="s">
        <v>522</v>
      </c>
      <c r="F13142" s="1">
        <v>2</v>
      </c>
      <c r="G13142" s="1" t="s">
        <v>28</v>
      </c>
      <c r="H13142" s="4" t="str">
        <f>HYPERLINK("https://portal.gdc.cancer.gov/cases/9f00847c-bd1f-4cd0-99f9-d51d638c0795","TCGA-E7-A6ME-01A")</f>
        <v>TCGA-E7-A6ME-01A</v>
      </c>
      <c r="I13142" t="s">
        <v>506</v>
      </c>
      <c r="J13142" t="s">
        <v>507</v>
      </c>
      <c r="K13142" t="s">
        <v>33</v>
      </c>
      <c r="L13142" t="s">
        <v>508</v>
      </c>
      <c r="N13142" t="s">
        <v>29</v>
      </c>
    </row>
    <row r="13143" spans="1:14">
      <c r="A13143" s="4" t="str">
        <f t="shared" si="1115"/>
        <v>EXP00408</v>
      </c>
      <c r="B13143" s="3" t="s">
        <v>66</v>
      </c>
      <c r="C13143" s="4" t="str">
        <f t="shared" si="1116"/>
        <v>TCGA-BLCA</v>
      </c>
      <c r="D13143" s="1" t="s">
        <v>493</v>
      </c>
      <c r="E13143" t="s">
        <v>522</v>
      </c>
      <c r="F13143" s="1">
        <v>2</v>
      </c>
      <c r="G13143" s="1" t="s">
        <v>28</v>
      </c>
      <c r="H13143" s="4" t="str">
        <f>HYPERLINK("https://portal.gdc.cancer.gov/cases/faf3c230-c661-4d6e-9b73-2b679bc6deff","TCGA-E7-A6MF-01A")</f>
        <v>TCGA-E7-A6MF-01A</v>
      </c>
      <c r="I13143" t="s">
        <v>506</v>
      </c>
      <c r="J13143" t="s">
        <v>507</v>
      </c>
      <c r="K13143" t="s">
        <v>33</v>
      </c>
      <c r="L13143" t="s">
        <v>508</v>
      </c>
      <c r="N13143" t="s">
        <v>29</v>
      </c>
    </row>
    <row r="13144" spans="1:14">
      <c r="A13144" s="4" t="str">
        <f t="shared" si="1115"/>
        <v>EXP00408</v>
      </c>
      <c r="B13144" s="3" t="s">
        <v>66</v>
      </c>
      <c r="C13144" s="4" t="str">
        <f t="shared" si="1116"/>
        <v>TCGA-BLCA</v>
      </c>
      <c r="D13144" s="1" t="s">
        <v>493</v>
      </c>
      <c r="E13144" t="s">
        <v>522</v>
      </c>
      <c r="F13144" s="1">
        <v>2</v>
      </c>
      <c r="G13144" s="1" t="s">
        <v>28</v>
      </c>
      <c r="H13144" s="4" t="str">
        <f>HYPERLINK("https://portal.gdc.cancer.gov/cases/6f30b069-c8f5-424c-9fb5-f7dba508cb8b","TCGA-E7-A7DU-01A")</f>
        <v>TCGA-E7-A7DU-01A</v>
      </c>
      <c r="I13144" t="s">
        <v>506</v>
      </c>
      <c r="J13144" t="s">
        <v>507</v>
      </c>
      <c r="K13144" t="s">
        <v>33</v>
      </c>
      <c r="L13144" t="s">
        <v>508</v>
      </c>
      <c r="N13144" t="s">
        <v>29</v>
      </c>
    </row>
    <row r="13145" spans="1:14">
      <c r="A13145" s="4" t="str">
        <f t="shared" si="1115"/>
        <v>EXP00408</v>
      </c>
      <c r="B13145" s="3" t="s">
        <v>66</v>
      </c>
      <c r="C13145" s="4" t="str">
        <f t="shared" si="1116"/>
        <v>TCGA-BLCA</v>
      </c>
      <c r="D13145" s="1" t="s">
        <v>493</v>
      </c>
      <c r="E13145" t="s">
        <v>522</v>
      </c>
      <c r="F13145" s="1">
        <v>2</v>
      </c>
      <c r="G13145" s="1" t="s">
        <v>28</v>
      </c>
      <c r="H13145" s="4" t="str">
        <f>HYPERLINK("https://portal.gdc.cancer.gov/cases/3effd691-570c-478a-8903-3771a1b43f2e","TCGA-E7-A7DV-01A")</f>
        <v>TCGA-E7-A7DV-01A</v>
      </c>
      <c r="I13145" t="s">
        <v>506</v>
      </c>
      <c r="J13145" t="s">
        <v>507</v>
      </c>
      <c r="K13145" t="s">
        <v>33</v>
      </c>
      <c r="L13145" t="s">
        <v>508</v>
      </c>
      <c r="N13145" t="s">
        <v>29</v>
      </c>
    </row>
    <row r="13146" spans="1:14">
      <c r="A13146" s="4" t="str">
        <f t="shared" si="1115"/>
        <v>EXP00408</v>
      </c>
      <c r="B13146" s="3" t="s">
        <v>66</v>
      </c>
      <c r="C13146" s="4" t="str">
        <f t="shared" si="1116"/>
        <v>TCGA-BLCA</v>
      </c>
      <c r="D13146" s="1" t="s">
        <v>493</v>
      </c>
      <c r="E13146" t="s">
        <v>522</v>
      </c>
      <c r="F13146" s="1">
        <v>2</v>
      </c>
      <c r="G13146" s="1" t="s">
        <v>28</v>
      </c>
      <c r="H13146" s="4" t="str">
        <f>HYPERLINK("https://portal.gdc.cancer.gov/cases/045fe498-6a07-41ff-9956-dc0fb0483e7f","TCGA-E7-A7PW-01A")</f>
        <v>TCGA-E7-A7PW-01A</v>
      </c>
      <c r="I13146" t="s">
        <v>506</v>
      </c>
      <c r="J13146" t="s">
        <v>507</v>
      </c>
      <c r="K13146" t="s">
        <v>33</v>
      </c>
      <c r="L13146" t="s">
        <v>508</v>
      </c>
      <c r="N13146" t="s">
        <v>29</v>
      </c>
    </row>
    <row r="13147" spans="1:14">
      <c r="A13147" s="4" t="str">
        <f t="shared" si="1115"/>
        <v>EXP00408</v>
      </c>
      <c r="B13147" s="3" t="s">
        <v>66</v>
      </c>
      <c r="C13147" s="4" t="str">
        <f t="shared" si="1116"/>
        <v>TCGA-BLCA</v>
      </c>
      <c r="D13147" s="1" t="s">
        <v>493</v>
      </c>
      <c r="E13147" t="s">
        <v>522</v>
      </c>
      <c r="F13147" s="1">
        <v>2</v>
      </c>
      <c r="G13147" s="1" t="s">
        <v>28</v>
      </c>
      <c r="H13147" s="4" t="str">
        <f>HYPERLINK("https://portal.gdc.cancer.gov/cases/286cf147-b7f7-4a05-8e41-7fbd3717ad71","TCGA-E7-A7XN-01A")</f>
        <v>TCGA-E7-A7XN-01A</v>
      </c>
      <c r="I13147" t="s">
        <v>506</v>
      </c>
      <c r="J13147" t="s">
        <v>507</v>
      </c>
      <c r="K13147" t="s">
        <v>33</v>
      </c>
      <c r="L13147" t="s">
        <v>508</v>
      </c>
      <c r="N13147" t="s">
        <v>29</v>
      </c>
    </row>
    <row r="13148" spans="1:14">
      <c r="A13148" s="4" t="str">
        <f t="shared" si="1115"/>
        <v>EXP00408</v>
      </c>
      <c r="B13148" s="3" t="s">
        <v>66</v>
      </c>
      <c r="C13148" s="4" t="str">
        <f t="shared" si="1116"/>
        <v>TCGA-BLCA</v>
      </c>
      <c r="D13148" s="1" t="s">
        <v>493</v>
      </c>
      <c r="E13148" t="s">
        <v>522</v>
      </c>
      <c r="F13148" s="1">
        <v>2</v>
      </c>
      <c r="G13148" s="1" t="s">
        <v>28</v>
      </c>
      <c r="H13148" s="4" t="str">
        <f>HYPERLINK("https://portal.gdc.cancer.gov/cases/c8adce3d-4914-4851-9952-846b0c9c32de","TCGA-E7-A85H-01A")</f>
        <v>TCGA-E7-A85H-01A</v>
      </c>
      <c r="I13148" t="s">
        <v>506</v>
      </c>
      <c r="J13148" t="s">
        <v>507</v>
      </c>
      <c r="K13148" t="s">
        <v>33</v>
      </c>
      <c r="L13148" t="s">
        <v>508</v>
      </c>
      <c r="N13148" t="s">
        <v>29</v>
      </c>
    </row>
    <row r="13149" spans="1:14">
      <c r="A13149" s="4" t="str">
        <f t="shared" si="1115"/>
        <v>EXP00408</v>
      </c>
      <c r="B13149" s="3" t="s">
        <v>66</v>
      </c>
      <c r="C13149" s="4" t="str">
        <f t="shared" si="1116"/>
        <v>TCGA-BLCA</v>
      </c>
      <c r="D13149" s="1" t="s">
        <v>493</v>
      </c>
      <c r="E13149" t="s">
        <v>522</v>
      </c>
      <c r="F13149" s="1">
        <v>2</v>
      </c>
      <c r="G13149" s="1" t="s">
        <v>28</v>
      </c>
      <c r="H13149" s="4" t="str">
        <f>HYPERLINK("https://portal.gdc.cancer.gov/cases/1e15cb17-cf22-4f06-a3d9-e528e77d1876","TCGA-E7-A8O7-01A")</f>
        <v>TCGA-E7-A8O7-01A</v>
      </c>
      <c r="I13149" t="s">
        <v>506</v>
      </c>
      <c r="J13149" t="s">
        <v>507</v>
      </c>
      <c r="K13149" t="s">
        <v>33</v>
      </c>
      <c r="L13149" t="s">
        <v>508</v>
      </c>
      <c r="N13149" t="s">
        <v>29</v>
      </c>
    </row>
    <row r="13150" spans="1:14">
      <c r="A13150" s="4" t="str">
        <f t="shared" si="1115"/>
        <v>EXP00408</v>
      </c>
      <c r="B13150" s="3" t="s">
        <v>66</v>
      </c>
      <c r="C13150" s="4" t="str">
        <f t="shared" si="1116"/>
        <v>TCGA-BLCA</v>
      </c>
      <c r="D13150" s="1" t="s">
        <v>493</v>
      </c>
      <c r="E13150" t="s">
        <v>522</v>
      </c>
      <c r="F13150" s="1">
        <v>2</v>
      </c>
      <c r="G13150" s="1" t="s">
        <v>28</v>
      </c>
      <c r="H13150" s="4" t="str">
        <f>HYPERLINK("https://portal.gdc.cancer.gov/cases/854e5236-f2d6-4681-be62-0bead955c926","TCGA-E7-A8O8-01A")</f>
        <v>TCGA-E7-A8O8-01A</v>
      </c>
      <c r="I13150" t="s">
        <v>506</v>
      </c>
      <c r="J13150" t="s">
        <v>507</v>
      </c>
      <c r="K13150" t="s">
        <v>33</v>
      </c>
      <c r="L13150" t="s">
        <v>508</v>
      </c>
      <c r="N13150" t="s">
        <v>29</v>
      </c>
    </row>
    <row r="13151" spans="1:14">
      <c r="A13151" s="4" t="str">
        <f t="shared" si="1115"/>
        <v>EXP00408</v>
      </c>
      <c r="B13151" s="3" t="s">
        <v>66</v>
      </c>
      <c r="C13151" s="4" t="str">
        <f t="shared" si="1116"/>
        <v>TCGA-BLCA</v>
      </c>
      <c r="D13151" s="1" t="s">
        <v>493</v>
      </c>
      <c r="E13151" t="s">
        <v>522</v>
      </c>
      <c r="F13151" s="1">
        <v>2</v>
      </c>
      <c r="G13151" s="1" t="s">
        <v>28</v>
      </c>
      <c r="H13151" s="4" t="str">
        <f>HYPERLINK("https://portal.gdc.cancer.gov/cases/18e6bdb0-b62d-4367-86e9-befbbf5e458c","TCGA-E7-A97P-01A")</f>
        <v>TCGA-E7-A97P-01A</v>
      </c>
      <c r="I13151" t="s">
        <v>506</v>
      </c>
      <c r="J13151" t="s">
        <v>507</v>
      </c>
      <c r="K13151" t="s">
        <v>33</v>
      </c>
      <c r="L13151" t="s">
        <v>508</v>
      </c>
      <c r="N13151" t="s">
        <v>29</v>
      </c>
    </row>
    <row r="13152" spans="1:14">
      <c r="A13152" s="4" t="str">
        <f t="shared" si="1115"/>
        <v>EXP00408</v>
      </c>
      <c r="B13152" s="3" t="s">
        <v>66</v>
      </c>
      <c r="C13152" s="4" t="str">
        <f t="shared" si="1116"/>
        <v>TCGA-BLCA</v>
      </c>
      <c r="D13152" s="1" t="s">
        <v>493</v>
      </c>
      <c r="E13152" t="s">
        <v>522</v>
      </c>
      <c r="F13152" s="1">
        <v>2</v>
      </c>
      <c r="G13152" s="1" t="s">
        <v>28</v>
      </c>
      <c r="H13152" s="4" t="str">
        <f>HYPERLINK("https://portal.gdc.cancer.gov/cases/ada19f65-5256-4c79-b3b9-7b9da69be437","TCGA-E7-A97Q-01A")</f>
        <v>TCGA-E7-A97Q-01A</v>
      </c>
      <c r="I13152" t="s">
        <v>506</v>
      </c>
      <c r="J13152" t="s">
        <v>507</v>
      </c>
      <c r="K13152" t="s">
        <v>33</v>
      </c>
      <c r="L13152" t="s">
        <v>508</v>
      </c>
      <c r="N13152" t="s">
        <v>29</v>
      </c>
    </row>
    <row r="13153" spans="1:14">
      <c r="A13153" s="4" t="str">
        <f t="shared" si="1115"/>
        <v>EXP00408</v>
      </c>
      <c r="B13153" s="3" t="s">
        <v>66</v>
      </c>
      <c r="C13153" s="4" t="str">
        <f t="shared" si="1116"/>
        <v>TCGA-BLCA</v>
      </c>
      <c r="D13153" s="1" t="s">
        <v>493</v>
      </c>
      <c r="E13153" t="s">
        <v>522</v>
      </c>
      <c r="F13153" s="1">
        <v>2</v>
      </c>
      <c r="G13153" s="1" t="s">
        <v>28</v>
      </c>
      <c r="H13153" s="4" t="str">
        <f>HYPERLINK("https://portal.gdc.cancer.gov/cases/4b5d873b-bfda-482e-92a0-bf84c0f9032a","TCGA-FD-A3B3-01A")</f>
        <v>TCGA-FD-A3B3-01A</v>
      </c>
      <c r="I13153" t="s">
        <v>506</v>
      </c>
      <c r="J13153" t="s">
        <v>507</v>
      </c>
      <c r="K13153" t="s">
        <v>33</v>
      </c>
      <c r="L13153" t="s">
        <v>508</v>
      </c>
      <c r="N13153" t="s">
        <v>29</v>
      </c>
    </row>
    <row r="13154" spans="1:14">
      <c r="A13154" s="4" t="str">
        <f t="shared" si="1115"/>
        <v>EXP00408</v>
      </c>
      <c r="B13154" s="3" t="s">
        <v>66</v>
      </c>
      <c r="C13154" s="4" t="str">
        <f t="shared" si="1116"/>
        <v>TCGA-BLCA</v>
      </c>
      <c r="D13154" s="1" t="s">
        <v>493</v>
      </c>
      <c r="E13154" t="s">
        <v>522</v>
      </c>
      <c r="F13154" s="1">
        <v>2</v>
      </c>
      <c r="G13154" s="1" t="s">
        <v>28</v>
      </c>
      <c r="H13154" s="4" t="str">
        <f>HYPERLINK("https://portal.gdc.cancer.gov/cases/899f8d52-4c3a-4371-90eb-1f106001eddc","TCGA-FD-A3B4-01A")</f>
        <v>TCGA-FD-A3B4-01A</v>
      </c>
      <c r="I13154" t="s">
        <v>506</v>
      </c>
      <c r="J13154" t="s">
        <v>507</v>
      </c>
      <c r="K13154" t="s">
        <v>33</v>
      </c>
      <c r="L13154" t="s">
        <v>508</v>
      </c>
      <c r="N13154" t="s">
        <v>29</v>
      </c>
    </row>
    <row r="13155" spans="1:14">
      <c r="A13155" s="4" t="str">
        <f t="shared" si="1115"/>
        <v>EXP00408</v>
      </c>
      <c r="B13155" s="3" t="s">
        <v>66</v>
      </c>
      <c r="C13155" s="4" t="str">
        <f t="shared" si="1116"/>
        <v>TCGA-BLCA</v>
      </c>
      <c r="D13155" s="1" t="s">
        <v>493</v>
      </c>
      <c r="E13155" t="s">
        <v>522</v>
      </c>
      <c r="F13155" s="1">
        <v>2</v>
      </c>
      <c r="G13155" s="1" t="s">
        <v>28</v>
      </c>
      <c r="H13155" s="4" t="str">
        <f>HYPERLINK("https://portal.gdc.cancer.gov/cases/462d5a6b-9f39-4aae-a35b-d06a7811d053","TCGA-FD-A3B5-01A")</f>
        <v>TCGA-FD-A3B5-01A</v>
      </c>
      <c r="I13155" t="s">
        <v>506</v>
      </c>
      <c r="J13155" t="s">
        <v>507</v>
      </c>
      <c r="K13155" t="s">
        <v>33</v>
      </c>
      <c r="L13155" t="s">
        <v>508</v>
      </c>
      <c r="N13155" t="s">
        <v>29</v>
      </c>
    </row>
    <row r="13156" spans="1:14">
      <c r="A13156" s="4" t="str">
        <f t="shared" si="1115"/>
        <v>EXP00408</v>
      </c>
      <c r="B13156" s="3" t="s">
        <v>66</v>
      </c>
      <c r="C13156" s="4" t="str">
        <f t="shared" si="1116"/>
        <v>TCGA-BLCA</v>
      </c>
      <c r="D13156" s="1" t="s">
        <v>493</v>
      </c>
      <c r="E13156" t="s">
        <v>522</v>
      </c>
      <c r="F13156" s="1">
        <v>2</v>
      </c>
      <c r="G13156" s="1" t="s">
        <v>28</v>
      </c>
      <c r="H13156" s="4" t="str">
        <f>HYPERLINK("https://portal.gdc.cancer.gov/cases/36054200-3fa4-4541-a25c-47282e4ef88d","TCGA-FD-A3B6-01A")</f>
        <v>TCGA-FD-A3B6-01A</v>
      </c>
      <c r="I13156" t="s">
        <v>506</v>
      </c>
      <c r="J13156" t="s">
        <v>507</v>
      </c>
      <c r="K13156" t="s">
        <v>33</v>
      </c>
      <c r="L13156" t="s">
        <v>508</v>
      </c>
      <c r="N13156" t="s">
        <v>29</v>
      </c>
    </row>
    <row r="13157" spans="1:14">
      <c r="A13157" s="4" t="str">
        <f t="shared" si="1115"/>
        <v>EXP00408</v>
      </c>
      <c r="B13157" s="3" t="s">
        <v>66</v>
      </c>
      <c r="C13157" s="4" t="str">
        <f t="shared" si="1116"/>
        <v>TCGA-BLCA</v>
      </c>
      <c r="D13157" s="1" t="s">
        <v>493</v>
      </c>
      <c r="E13157" t="s">
        <v>522</v>
      </c>
      <c r="F13157" s="1">
        <v>2</v>
      </c>
      <c r="G13157" s="1" t="s">
        <v>28</v>
      </c>
      <c r="H13157" s="4" t="str">
        <f>HYPERLINK("https://portal.gdc.cancer.gov/cases/ef5dd4b3-b77a-444a-b5b0-c999a5a3d129","TCGA-FD-A3B7-01A")</f>
        <v>TCGA-FD-A3B7-01A</v>
      </c>
      <c r="I13157" t="s">
        <v>506</v>
      </c>
      <c r="J13157" t="s">
        <v>507</v>
      </c>
      <c r="K13157" t="s">
        <v>33</v>
      </c>
      <c r="L13157" t="s">
        <v>508</v>
      </c>
      <c r="N13157" t="s">
        <v>29</v>
      </c>
    </row>
    <row r="13158" spans="1:14">
      <c r="A13158" s="4" t="str">
        <f t="shared" si="1115"/>
        <v>EXP00408</v>
      </c>
      <c r="B13158" s="3" t="s">
        <v>66</v>
      </c>
      <c r="C13158" s="4" t="str">
        <f t="shared" si="1116"/>
        <v>TCGA-BLCA</v>
      </c>
      <c r="D13158" s="1" t="s">
        <v>493</v>
      </c>
      <c r="E13158" t="s">
        <v>522</v>
      </c>
      <c r="F13158" s="1">
        <v>2</v>
      </c>
      <c r="G13158" s="1" t="s">
        <v>28</v>
      </c>
      <c r="H13158" s="4" t="str">
        <f>HYPERLINK("https://portal.gdc.cancer.gov/cases/537ca5d1-5b26-496f-b7b4-05fea7b46353","TCGA-FD-A3B8-01A")</f>
        <v>TCGA-FD-A3B8-01A</v>
      </c>
      <c r="I13158" t="s">
        <v>506</v>
      </c>
      <c r="J13158" t="s">
        <v>507</v>
      </c>
      <c r="K13158" t="s">
        <v>33</v>
      </c>
      <c r="L13158" t="s">
        <v>508</v>
      </c>
      <c r="N13158" t="s">
        <v>29</v>
      </c>
    </row>
    <row r="13159" spans="1:14">
      <c r="A13159" s="4" t="str">
        <f t="shared" si="1115"/>
        <v>EXP00408</v>
      </c>
      <c r="B13159" s="3" t="s">
        <v>66</v>
      </c>
      <c r="C13159" s="4" t="str">
        <f t="shared" si="1116"/>
        <v>TCGA-BLCA</v>
      </c>
      <c r="D13159" s="1" t="s">
        <v>493</v>
      </c>
      <c r="E13159" t="s">
        <v>522</v>
      </c>
      <c r="F13159" s="1">
        <v>2</v>
      </c>
      <c r="G13159" s="1" t="s">
        <v>28</v>
      </c>
      <c r="H13159" s="4" t="str">
        <f>HYPERLINK("https://portal.gdc.cancer.gov/cases/a658becf-3934-49f2-9e74-291dca61d4bb","TCGA-FD-A3N5-01A")</f>
        <v>TCGA-FD-A3N5-01A</v>
      </c>
      <c r="I13159" t="s">
        <v>506</v>
      </c>
      <c r="J13159" t="s">
        <v>507</v>
      </c>
      <c r="K13159" t="s">
        <v>33</v>
      </c>
      <c r="L13159" t="s">
        <v>508</v>
      </c>
      <c r="N13159" t="s">
        <v>29</v>
      </c>
    </row>
    <row r="13160" spans="1:14">
      <c r="A13160" s="4" t="str">
        <f t="shared" si="1115"/>
        <v>EXP00408</v>
      </c>
      <c r="B13160" s="3" t="s">
        <v>66</v>
      </c>
      <c r="C13160" s="4" t="str">
        <f t="shared" si="1116"/>
        <v>TCGA-BLCA</v>
      </c>
      <c r="D13160" s="1" t="s">
        <v>493</v>
      </c>
      <c r="E13160" t="s">
        <v>522</v>
      </c>
      <c r="F13160" s="1">
        <v>2</v>
      </c>
      <c r="G13160" s="1" t="s">
        <v>28</v>
      </c>
      <c r="H13160" s="4" t="str">
        <f>HYPERLINK("https://portal.gdc.cancer.gov/cases/8c1dd7f7-b74a-4fa2-b6a7-86f0348d2567","TCGA-FD-A3N6-01A")</f>
        <v>TCGA-FD-A3N6-01A</v>
      </c>
      <c r="I13160" t="s">
        <v>506</v>
      </c>
      <c r="J13160" t="s">
        <v>507</v>
      </c>
      <c r="K13160" t="s">
        <v>33</v>
      </c>
      <c r="L13160" t="s">
        <v>508</v>
      </c>
      <c r="N13160" t="s">
        <v>29</v>
      </c>
    </row>
    <row r="13161" spans="1:14">
      <c r="A13161" s="4" t="str">
        <f t="shared" si="1115"/>
        <v>EXP00408</v>
      </c>
      <c r="B13161" s="3" t="s">
        <v>66</v>
      </c>
      <c r="C13161" s="4" t="str">
        <f t="shared" si="1116"/>
        <v>TCGA-BLCA</v>
      </c>
      <c r="D13161" s="1" t="s">
        <v>493</v>
      </c>
      <c r="E13161" t="s">
        <v>522</v>
      </c>
      <c r="F13161" s="1">
        <v>2</v>
      </c>
      <c r="G13161" s="1" t="s">
        <v>28</v>
      </c>
      <c r="H13161" s="4" t="str">
        <f>HYPERLINK("https://portal.gdc.cancer.gov/cases/14917461-dae4-44cb-909d-42ac45aef450","TCGA-FD-A3NA-01A")</f>
        <v>TCGA-FD-A3NA-01A</v>
      </c>
      <c r="I13161" t="s">
        <v>506</v>
      </c>
      <c r="J13161" t="s">
        <v>507</v>
      </c>
      <c r="K13161" t="s">
        <v>33</v>
      </c>
      <c r="L13161" t="s">
        <v>508</v>
      </c>
      <c r="N13161" t="s">
        <v>29</v>
      </c>
    </row>
    <row r="13162" spans="1:14">
      <c r="A13162" s="4" t="str">
        <f t="shared" si="1115"/>
        <v>EXP00408</v>
      </c>
      <c r="B13162" s="3" t="s">
        <v>66</v>
      </c>
      <c r="C13162" s="4" t="str">
        <f t="shared" si="1116"/>
        <v>TCGA-BLCA</v>
      </c>
      <c r="D13162" s="1" t="s">
        <v>493</v>
      </c>
      <c r="E13162" t="s">
        <v>522</v>
      </c>
      <c r="F13162" s="1">
        <v>2</v>
      </c>
      <c r="G13162" s="1" t="s">
        <v>28</v>
      </c>
      <c r="H13162" s="4" t="str">
        <f>HYPERLINK("https://portal.gdc.cancer.gov/cases/4570b6e2-d430-41ca-aab1-ce4d14c36463","TCGA-FD-A3SL-01A")</f>
        <v>TCGA-FD-A3SL-01A</v>
      </c>
      <c r="I13162" t="s">
        <v>506</v>
      </c>
      <c r="J13162" t="s">
        <v>507</v>
      </c>
      <c r="K13162" t="s">
        <v>33</v>
      </c>
      <c r="L13162" t="s">
        <v>508</v>
      </c>
      <c r="N13162" t="s">
        <v>29</v>
      </c>
    </row>
    <row r="13163" spans="1:14">
      <c r="A13163" s="4" t="str">
        <f t="shared" si="1115"/>
        <v>EXP00408</v>
      </c>
      <c r="B13163" s="3" t="s">
        <v>66</v>
      </c>
      <c r="C13163" s="4" t="str">
        <f t="shared" si="1116"/>
        <v>TCGA-BLCA</v>
      </c>
      <c r="D13163" s="1" t="s">
        <v>493</v>
      </c>
      <c r="E13163" t="s">
        <v>522</v>
      </c>
      <c r="F13163" s="1">
        <v>2</v>
      </c>
      <c r="G13163" s="1" t="s">
        <v>28</v>
      </c>
      <c r="H13163" s="4" t="str">
        <f>HYPERLINK("https://portal.gdc.cancer.gov/cases/474582f2-8dec-4fbc-803f-4fd9ba2e0957","TCGA-FD-A3SM-01A")</f>
        <v>TCGA-FD-A3SM-01A</v>
      </c>
      <c r="I13163" t="s">
        <v>506</v>
      </c>
      <c r="J13163" t="s">
        <v>507</v>
      </c>
      <c r="K13163" t="s">
        <v>33</v>
      </c>
      <c r="L13163" t="s">
        <v>508</v>
      </c>
      <c r="N13163" t="s">
        <v>29</v>
      </c>
    </row>
    <row r="13164" spans="1:14">
      <c r="A13164" s="4" t="str">
        <f t="shared" si="1115"/>
        <v>EXP00408</v>
      </c>
      <c r="B13164" s="3" t="s">
        <v>66</v>
      </c>
      <c r="C13164" s="4" t="str">
        <f t="shared" si="1116"/>
        <v>TCGA-BLCA</v>
      </c>
      <c r="D13164" s="1" t="s">
        <v>493</v>
      </c>
      <c r="E13164" t="s">
        <v>522</v>
      </c>
      <c r="F13164" s="1">
        <v>2</v>
      </c>
      <c r="G13164" s="1" t="s">
        <v>28</v>
      </c>
      <c r="H13164" s="4" t="str">
        <f>HYPERLINK("https://portal.gdc.cancer.gov/cases/94809fbf-4895-42c0-a7c6-f39ee1a41f1a","TCGA-FD-A3SO-01A")</f>
        <v>TCGA-FD-A3SO-01A</v>
      </c>
      <c r="I13164" t="s">
        <v>506</v>
      </c>
      <c r="J13164" t="s">
        <v>507</v>
      </c>
      <c r="K13164" t="s">
        <v>33</v>
      </c>
      <c r="L13164" t="s">
        <v>508</v>
      </c>
      <c r="N13164" t="s">
        <v>29</v>
      </c>
    </row>
    <row r="13165" spans="1:14">
      <c r="A13165" s="4" t="str">
        <f t="shared" si="1115"/>
        <v>EXP00408</v>
      </c>
      <c r="B13165" s="3" t="s">
        <v>66</v>
      </c>
      <c r="C13165" s="4" t="str">
        <f t="shared" si="1116"/>
        <v>TCGA-BLCA</v>
      </c>
      <c r="D13165" s="1" t="s">
        <v>493</v>
      </c>
      <c r="E13165" t="s">
        <v>522</v>
      </c>
      <c r="F13165" s="1">
        <v>2</v>
      </c>
      <c r="G13165" s="1" t="s">
        <v>28</v>
      </c>
      <c r="H13165" s="4" t="str">
        <f>HYPERLINK("https://portal.gdc.cancer.gov/cases/5f99dcff-d809-4c87-8024-c9b30bd565e9","TCGA-FD-A3SP-01A")</f>
        <v>TCGA-FD-A3SP-01A</v>
      </c>
      <c r="I13165" t="s">
        <v>506</v>
      </c>
      <c r="J13165" t="s">
        <v>507</v>
      </c>
      <c r="K13165" t="s">
        <v>33</v>
      </c>
      <c r="L13165" t="s">
        <v>508</v>
      </c>
      <c r="N13165" t="s">
        <v>29</v>
      </c>
    </row>
    <row r="13166" spans="1:14">
      <c r="A13166" s="4" t="str">
        <f t="shared" si="1115"/>
        <v>EXP00408</v>
      </c>
      <c r="B13166" s="3" t="s">
        <v>66</v>
      </c>
      <c r="C13166" s="4" t="str">
        <f t="shared" si="1116"/>
        <v>TCGA-BLCA</v>
      </c>
      <c r="D13166" s="1" t="s">
        <v>493</v>
      </c>
      <c r="E13166" t="s">
        <v>522</v>
      </c>
      <c r="F13166" s="1">
        <v>2</v>
      </c>
      <c r="G13166" s="1" t="s">
        <v>28</v>
      </c>
      <c r="H13166" s="4" t="str">
        <f>HYPERLINK("https://portal.gdc.cancer.gov/cases/3071cb51-dcf5-41f7-b047-afc2dcbf0aaf","TCGA-FD-A3SQ-01A")</f>
        <v>TCGA-FD-A3SQ-01A</v>
      </c>
      <c r="I13166" t="s">
        <v>506</v>
      </c>
      <c r="J13166" t="s">
        <v>507</v>
      </c>
      <c r="K13166" t="s">
        <v>33</v>
      </c>
      <c r="L13166" t="s">
        <v>508</v>
      </c>
      <c r="N13166" t="s">
        <v>29</v>
      </c>
    </row>
    <row r="13167" spans="1:14">
      <c r="A13167" s="4" t="str">
        <f t="shared" si="1115"/>
        <v>EXP00408</v>
      </c>
      <c r="B13167" s="3" t="s">
        <v>66</v>
      </c>
      <c r="C13167" s="4" t="str">
        <f t="shared" si="1116"/>
        <v>TCGA-BLCA</v>
      </c>
      <c r="D13167" s="1" t="s">
        <v>493</v>
      </c>
      <c r="E13167" t="s">
        <v>522</v>
      </c>
      <c r="F13167" s="1">
        <v>2</v>
      </c>
      <c r="G13167" s="1" t="s">
        <v>28</v>
      </c>
      <c r="H13167" s="4" t="str">
        <f>HYPERLINK("https://portal.gdc.cancer.gov/cases/72d6e9aa-4a99-4fc9-a67b-4631e95fb043","TCGA-FD-A3SR-01A")</f>
        <v>TCGA-FD-A3SR-01A</v>
      </c>
      <c r="I13167" t="s">
        <v>506</v>
      </c>
      <c r="J13167" t="s">
        <v>507</v>
      </c>
      <c r="K13167" t="s">
        <v>33</v>
      </c>
      <c r="L13167" t="s">
        <v>508</v>
      </c>
      <c r="N13167" t="s">
        <v>29</v>
      </c>
    </row>
    <row r="13168" spans="1:14">
      <c r="A13168" s="4" t="str">
        <f t="shared" si="1115"/>
        <v>EXP00408</v>
      </c>
      <c r="B13168" s="3" t="s">
        <v>66</v>
      </c>
      <c r="C13168" s="4" t="str">
        <f t="shared" si="1116"/>
        <v>TCGA-BLCA</v>
      </c>
      <c r="D13168" s="1" t="s">
        <v>493</v>
      </c>
      <c r="E13168" t="s">
        <v>522</v>
      </c>
      <c r="F13168" s="1">
        <v>2</v>
      </c>
      <c r="G13168" s="1" t="s">
        <v>28</v>
      </c>
      <c r="H13168" s="4" t="str">
        <f>HYPERLINK("https://portal.gdc.cancer.gov/cases/7b98b829-fdc7-4719-bee9-c83f6154019c","TCGA-FD-A3SS-01A")</f>
        <v>TCGA-FD-A3SS-01A</v>
      </c>
      <c r="I13168" t="s">
        <v>506</v>
      </c>
      <c r="J13168" t="s">
        <v>507</v>
      </c>
      <c r="K13168" t="s">
        <v>33</v>
      </c>
      <c r="L13168" t="s">
        <v>508</v>
      </c>
      <c r="N13168" t="s">
        <v>29</v>
      </c>
    </row>
    <row r="13169" spans="1:14">
      <c r="A13169" s="4" t="str">
        <f t="shared" si="1115"/>
        <v>EXP00408</v>
      </c>
      <c r="B13169" s="3" t="s">
        <v>66</v>
      </c>
      <c r="C13169" s="4" t="str">
        <f t="shared" si="1116"/>
        <v>TCGA-BLCA</v>
      </c>
      <c r="D13169" s="1" t="s">
        <v>493</v>
      </c>
      <c r="E13169" t="s">
        <v>522</v>
      </c>
      <c r="F13169" s="1">
        <v>2</v>
      </c>
      <c r="G13169" s="1" t="s">
        <v>28</v>
      </c>
      <c r="H13169" s="4" t="str">
        <f>HYPERLINK("https://portal.gdc.cancer.gov/cases/3cccffea-bd7d-4548-bb38-fe5eda630de6","TCGA-FD-A43N-01A")</f>
        <v>TCGA-FD-A43N-01A</v>
      </c>
      <c r="I13169" t="s">
        <v>506</v>
      </c>
      <c r="J13169" t="s">
        <v>507</v>
      </c>
      <c r="K13169" t="s">
        <v>33</v>
      </c>
      <c r="L13169" t="s">
        <v>508</v>
      </c>
      <c r="N13169" t="s">
        <v>29</v>
      </c>
    </row>
    <row r="13170" spans="1:14">
      <c r="A13170" s="4" t="str">
        <f t="shared" si="1115"/>
        <v>EXP00408</v>
      </c>
      <c r="B13170" s="3" t="s">
        <v>66</v>
      </c>
      <c r="C13170" s="4" t="str">
        <f t="shared" si="1116"/>
        <v>TCGA-BLCA</v>
      </c>
      <c r="D13170" s="1" t="s">
        <v>493</v>
      </c>
      <c r="E13170" t="s">
        <v>522</v>
      </c>
      <c r="F13170" s="1">
        <v>2</v>
      </c>
      <c r="G13170" s="1" t="s">
        <v>28</v>
      </c>
      <c r="H13170" s="4" t="str">
        <f>HYPERLINK("https://portal.gdc.cancer.gov/cases/41e8c196-ef93-47c6-ad06-0031f23d4347","TCGA-FD-A43P-01A")</f>
        <v>TCGA-FD-A43P-01A</v>
      </c>
      <c r="I13170" t="s">
        <v>506</v>
      </c>
      <c r="J13170" t="s">
        <v>507</v>
      </c>
      <c r="K13170" t="s">
        <v>33</v>
      </c>
      <c r="L13170" t="s">
        <v>508</v>
      </c>
      <c r="N13170" t="s">
        <v>29</v>
      </c>
    </row>
    <row r="13171" spans="1:14">
      <c r="A13171" s="4" t="str">
        <f t="shared" si="1115"/>
        <v>EXP00408</v>
      </c>
      <c r="B13171" s="3" t="s">
        <v>66</v>
      </c>
      <c r="C13171" s="4" t="str">
        <f t="shared" si="1116"/>
        <v>TCGA-BLCA</v>
      </c>
      <c r="D13171" s="1" t="s">
        <v>493</v>
      </c>
      <c r="E13171" t="s">
        <v>522</v>
      </c>
      <c r="F13171" s="1">
        <v>2</v>
      </c>
      <c r="G13171" s="1" t="s">
        <v>28</v>
      </c>
      <c r="H13171" s="4" t="str">
        <f>HYPERLINK("https://portal.gdc.cancer.gov/cases/77236911-d9e0-4b85-829a-a98f1e4b92d2","TCGA-FD-A43S-01A")</f>
        <v>TCGA-FD-A43S-01A</v>
      </c>
      <c r="I13171" t="s">
        <v>506</v>
      </c>
      <c r="J13171" t="s">
        <v>507</v>
      </c>
      <c r="K13171" t="s">
        <v>33</v>
      </c>
      <c r="L13171" t="s">
        <v>508</v>
      </c>
      <c r="N13171" t="s">
        <v>29</v>
      </c>
    </row>
    <row r="13172" spans="1:14">
      <c r="A13172" s="4" t="str">
        <f t="shared" si="1115"/>
        <v>EXP00408</v>
      </c>
      <c r="B13172" s="3" t="s">
        <v>66</v>
      </c>
      <c r="C13172" s="4" t="str">
        <f t="shared" si="1116"/>
        <v>TCGA-BLCA</v>
      </c>
      <c r="D13172" s="1" t="s">
        <v>493</v>
      </c>
      <c r="E13172" t="s">
        <v>522</v>
      </c>
      <c r="F13172" s="1">
        <v>2</v>
      </c>
      <c r="G13172" s="1" t="s">
        <v>28</v>
      </c>
      <c r="H13172" s="4" t="str">
        <f>HYPERLINK("https://portal.gdc.cancer.gov/cases/140b83db-badd-4b8d-b0f5-0f8c8060a228","TCGA-FD-A43U-01A")</f>
        <v>TCGA-FD-A43U-01A</v>
      </c>
      <c r="I13172" t="s">
        <v>506</v>
      </c>
      <c r="J13172" t="s">
        <v>507</v>
      </c>
      <c r="K13172" t="s">
        <v>33</v>
      </c>
      <c r="L13172" t="s">
        <v>508</v>
      </c>
      <c r="N13172" t="s">
        <v>29</v>
      </c>
    </row>
    <row r="13173" spans="1:14">
      <c r="A13173" s="4" t="str">
        <f t="shared" si="1115"/>
        <v>EXP00408</v>
      </c>
      <c r="B13173" s="3" t="s">
        <v>66</v>
      </c>
      <c r="C13173" s="4" t="str">
        <f t="shared" si="1116"/>
        <v>TCGA-BLCA</v>
      </c>
      <c r="D13173" s="1" t="s">
        <v>493</v>
      </c>
      <c r="E13173" t="s">
        <v>522</v>
      </c>
      <c r="F13173" s="1">
        <v>2</v>
      </c>
      <c r="G13173" s="1" t="s">
        <v>28</v>
      </c>
      <c r="H13173" s="4" t="str">
        <f>HYPERLINK("https://portal.gdc.cancer.gov/cases/4ff4d9fe-eab8-4ab3-9ae4-9f15b2581a8f","TCGA-FD-A43X-01A")</f>
        <v>TCGA-FD-A43X-01A</v>
      </c>
      <c r="I13173" t="s">
        <v>506</v>
      </c>
      <c r="J13173" t="s">
        <v>507</v>
      </c>
      <c r="K13173" t="s">
        <v>33</v>
      </c>
      <c r="L13173" t="s">
        <v>508</v>
      </c>
      <c r="N13173" t="s">
        <v>29</v>
      </c>
    </row>
    <row r="13174" spans="1:14">
      <c r="A13174" s="4" t="str">
        <f t="shared" si="1115"/>
        <v>EXP00408</v>
      </c>
      <c r="B13174" s="3" t="s">
        <v>66</v>
      </c>
      <c r="C13174" s="4" t="str">
        <f t="shared" si="1116"/>
        <v>TCGA-BLCA</v>
      </c>
      <c r="D13174" s="1" t="s">
        <v>493</v>
      </c>
      <c r="E13174" t="s">
        <v>522</v>
      </c>
      <c r="F13174" s="1">
        <v>2</v>
      </c>
      <c r="G13174" s="1" t="s">
        <v>28</v>
      </c>
      <c r="H13174" s="4" t="str">
        <f>HYPERLINK("https://portal.gdc.cancer.gov/cases/d349fae0-dd40-4292-908c-ac86a9938240","TCGA-FD-A43Y-01A")</f>
        <v>TCGA-FD-A43Y-01A</v>
      </c>
      <c r="I13174" t="s">
        <v>506</v>
      </c>
      <c r="J13174" t="s">
        <v>507</v>
      </c>
      <c r="K13174" t="s">
        <v>33</v>
      </c>
      <c r="L13174" t="s">
        <v>508</v>
      </c>
      <c r="N13174" t="s">
        <v>29</v>
      </c>
    </row>
    <row r="13175" spans="1:14">
      <c r="A13175" s="4" t="str">
        <f t="shared" ref="A13175:A13238" si="1117">HYPERLINK("http://hcmdb.i-sanger.com/experiment/details/experiment_id/EXP00408","EXP00408")</f>
        <v>EXP00408</v>
      </c>
      <c r="B13175" s="3" t="s">
        <v>66</v>
      </c>
      <c r="C13175" s="4" t="str">
        <f t="shared" si="1116"/>
        <v>TCGA-BLCA</v>
      </c>
      <c r="D13175" s="1" t="s">
        <v>493</v>
      </c>
      <c r="E13175" t="s">
        <v>522</v>
      </c>
      <c r="F13175" s="1">
        <v>2</v>
      </c>
      <c r="G13175" s="1" t="s">
        <v>28</v>
      </c>
      <c r="H13175" s="4" t="str">
        <f>HYPERLINK("https://portal.gdc.cancer.gov/cases/dfdaebd6-e0ab-49d1-9ae9-3a57b3c318b5","TCGA-FD-A5BR-01A")</f>
        <v>TCGA-FD-A5BR-01A</v>
      </c>
      <c r="I13175" t="s">
        <v>506</v>
      </c>
      <c r="J13175" t="s">
        <v>507</v>
      </c>
      <c r="K13175" t="s">
        <v>33</v>
      </c>
      <c r="L13175" t="s">
        <v>508</v>
      </c>
      <c r="N13175" t="s">
        <v>29</v>
      </c>
    </row>
    <row r="13176" spans="1:14">
      <c r="A13176" s="4" t="str">
        <f t="shared" si="1117"/>
        <v>EXP00408</v>
      </c>
      <c r="B13176" s="3" t="s">
        <v>66</v>
      </c>
      <c r="C13176" s="4" t="str">
        <f t="shared" si="1116"/>
        <v>TCGA-BLCA</v>
      </c>
      <c r="D13176" s="1" t="s">
        <v>493</v>
      </c>
      <c r="E13176" t="s">
        <v>522</v>
      </c>
      <c r="F13176" s="1">
        <v>2</v>
      </c>
      <c r="G13176" s="1" t="s">
        <v>28</v>
      </c>
      <c r="H13176" s="4" t="str">
        <f>HYPERLINK("https://portal.gdc.cancer.gov/cases/b581e799-93d1-4f1c-bcb7-7e7ae86a869e","TCGA-FD-A5BS-01A")</f>
        <v>TCGA-FD-A5BS-01A</v>
      </c>
      <c r="I13176" t="s">
        <v>506</v>
      </c>
      <c r="J13176" t="s">
        <v>507</v>
      </c>
      <c r="K13176" t="s">
        <v>33</v>
      </c>
      <c r="L13176" t="s">
        <v>508</v>
      </c>
      <c r="N13176" t="s">
        <v>29</v>
      </c>
    </row>
    <row r="13177" spans="1:14">
      <c r="A13177" s="4" t="str">
        <f t="shared" si="1117"/>
        <v>EXP00408</v>
      </c>
      <c r="B13177" s="3" t="s">
        <v>66</v>
      </c>
      <c r="C13177" s="4" t="str">
        <f t="shared" si="1116"/>
        <v>TCGA-BLCA</v>
      </c>
      <c r="D13177" s="1" t="s">
        <v>493</v>
      </c>
      <c r="E13177" t="s">
        <v>522</v>
      </c>
      <c r="F13177" s="1">
        <v>2</v>
      </c>
      <c r="G13177" s="1" t="s">
        <v>28</v>
      </c>
      <c r="H13177" s="4" t="str">
        <f>HYPERLINK("https://portal.gdc.cancer.gov/cases/cc2350ca-9220-400d-8b76-cc36d26f68d6","TCGA-FD-A5BT-01A")</f>
        <v>TCGA-FD-A5BT-01A</v>
      </c>
      <c r="I13177" t="s">
        <v>506</v>
      </c>
      <c r="J13177" t="s">
        <v>507</v>
      </c>
      <c r="K13177" t="s">
        <v>33</v>
      </c>
      <c r="L13177" t="s">
        <v>508</v>
      </c>
      <c r="N13177" t="s">
        <v>29</v>
      </c>
    </row>
    <row r="13178" spans="1:14">
      <c r="A13178" s="4" t="str">
        <f t="shared" si="1117"/>
        <v>EXP00408</v>
      </c>
      <c r="B13178" s="3" t="s">
        <v>66</v>
      </c>
      <c r="C13178" s="4" t="str">
        <f t="shared" si="1116"/>
        <v>TCGA-BLCA</v>
      </c>
      <c r="D13178" s="1" t="s">
        <v>493</v>
      </c>
      <c r="E13178" t="s">
        <v>522</v>
      </c>
      <c r="F13178" s="1">
        <v>2</v>
      </c>
      <c r="G13178" s="1" t="s">
        <v>28</v>
      </c>
      <c r="H13178" s="4" t="str">
        <f>HYPERLINK("https://portal.gdc.cancer.gov/cases/980c7214-f708-4499-818d-f3de87dc6de7","TCGA-FD-A5BU-01A")</f>
        <v>TCGA-FD-A5BU-01A</v>
      </c>
      <c r="I13178" t="s">
        <v>506</v>
      </c>
      <c r="J13178" t="s">
        <v>507</v>
      </c>
      <c r="K13178" t="s">
        <v>33</v>
      </c>
      <c r="L13178" t="s">
        <v>508</v>
      </c>
      <c r="N13178" t="s">
        <v>29</v>
      </c>
    </row>
    <row r="13179" spans="1:14">
      <c r="A13179" s="4" t="str">
        <f t="shared" si="1117"/>
        <v>EXP00408</v>
      </c>
      <c r="B13179" s="3" t="s">
        <v>66</v>
      </c>
      <c r="C13179" s="4" t="str">
        <f t="shared" si="1116"/>
        <v>TCGA-BLCA</v>
      </c>
      <c r="D13179" s="1" t="s">
        <v>493</v>
      </c>
      <c r="E13179" t="s">
        <v>522</v>
      </c>
      <c r="F13179" s="1">
        <v>2</v>
      </c>
      <c r="G13179" s="1" t="s">
        <v>28</v>
      </c>
      <c r="H13179" s="4" t="str">
        <f>HYPERLINK("https://portal.gdc.cancer.gov/cases/4fa31971-15e2-4c9b-b49a-b3b7096262e4","TCGA-FD-A5BV-01A")</f>
        <v>TCGA-FD-A5BV-01A</v>
      </c>
      <c r="I13179" t="s">
        <v>506</v>
      </c>
      <c r="J13179" t="s">
        <v>507</v>
      </c>
      <c r="K13179" t="s">
        <v>33</v>
      </c>
      <c r="L13179" t="s">
        <v>508</v>
      </c>
      <c r="N13179" t="s">
        <v>29</v>
      </c>
    </row>
    <row r="13180" spans="1:14">
      <c r="A13180" s="4" t="str">
        <f t="shared" si="1117"/>
        <v>EXP00408</v>
      </c>
      <c r="B13180" s="3" t="s">
        <v>66</v>
      </c>
      <c r="C13180" s="4" t="str">
        <f t="shared" si="1116"/>
        <v>TCGA-BLCA</v>
      </c>
      <c r="D13180" s="1" t="s">
        <v>493</v>
      </c>
      <c r="E13180" t="s">
        <v>522</v>
      </c>
      <c r="F13180" s="1">
        <v>2</v>
      </c>
      <c r="G13180" s="1" t="s">
        <v>28</v>
      </c>
      <c r="H13180" s="4" t="str">
        <f>HYPERLINK("https://portal.gdc.cancer.gov/cases/6bd85ae2-9d27-4285-a280-4469dd2a8b0a","TCGA-FD-A5BX-01A")</f>
        <v>TCGA-FD-A5BX-01A</v>
      </c>
      <c r="I13180" t="s">
        <v>506</v>
      </c>
      <c r="J13180" t="s">
        <v>507</v>
      </c>
      <c r="K13180" t="s">
        <v>33</v>
      </c>
      <c r="L13180" t="s">
        <v>508</v>
      </c>
      <c r="N13180" t="s">
        <v>29</v>
      </c>
    </row>
    <row r="13181" spans="1:14">
      <c r="A13181" s="4" t="str">
        <f t="shared" si="1117"/>
        <v>EXP00408</v>
      </c>
      <c r="B13181" s="3" t="s">
        <v>66</v>
      </c>
      <c r="C13181" s="4" t="str">
        <f t="shared" si="1116"/>
        <v>TCGA-BLCA</v>
      </c>
      <c r="D13181" s="1" t="s">
        <v>493</v>
      </c>
      <c r="E13181" t="s">
        <v>522</v>
      </c>
      <c r="F13181" s="1">
        <v>2</v>
      </c>
      <c r="G13181" s="1" t="s">
        <v>28</v>
      </c>
      <c r="H13181" s="4" t="str">
        <f>HYPERLINK("https://portal.gdc.cancer.gov/cases/8da76432-3004-47e5-a474-bd94bd4c0b33","TCGA-FD-A5BY-01A")</f>
        <v>TCGA-FD-A5BY-01A</v>
      </c>
      <c r="I13181" t="s">
        <v>506</v>
      </c>
      <c r="J13181" t="s">
        <v>507</v>
      </c>
      <c r="K13181" t="s">
        <v>33</v>
      </c>
      <c r="L13181" t="s">
        <v>508</v>
      </c>
      <c r="N13181" t="s">
        <v>29</v>
      </c>
    </row>
    <row r="13182" spans="1:14">
      <c r="A13182" s="4" t="str">
        <f t="shared" si="1117"/>
        <v>EXP00408</v>
      </c>
      <c r="B13182" s="3" t="s">
        <v>66</v>
      </c>
      <c r="C13182" s="4" t="str">
        <f t="shared" si="1116"/>
        <v>TCGA-BLCA</v>
      </c>
      <c r="D13182" s="1" t="s">
        <v>493</v>
      </c>
      <c r="E13182" t="s">
        <v>522</v>
      </c>
      <c r="F13182" s="1">
        <v>2</v>
      </c>
      <c r="G13182" s="1" t="s">
        <v>28</v>
      </c>
      <c r="H13182" s="4" t="str">
        <f>HYPERLINK("https://portal.gdc.cancer.gov/cases/0628e443-3d7f-4a38-9d2a-ebc7f4f7e11d","TCGA-FD-A5C0-01A")</f>
        <v>TCGA-FD-A5C0-01A</v>
      </c>
      <c r="I13182" t="s">
        <v>506</v>
      </c>
      <c r="J13182" t="s">
        <v>507</v>
      </c>
      <c r="K13182" t="s">
        <v>33</v>
      </c>
      <c r="L13182" t="s">
        <v>508</v>
      </c>
      <c r="N13182" t="s">
        <v>29</v>
      </c>
    </row>
    <row r="13183" spans="1:14">
      <c r="A13183" s="4" t="str">
        <f t="shared" si="1117"/>
        <v>EXP00408</v>
      </c>
      <c r="B13183" s="3" t="s">
        <v>66</v>
      </c>
      <c r="C13183" s="4" t="str">
        <f t="shared" si="1116"/>
        <v>TCGA-BLCA</v>
      </c>
      <c r="D13183" s="1" t="s">
        <v>493</v>
      </c>
      <c r="E13183" t="s">
        <v>522</v>
      </c>
      <c r="F13183" s="1">
        <v>2</v>
      </c>
      <c r="G13183" s="1" t="s">
        <v>28</v>
      </c>
      <c r="H13183" s="4" t="str">
        <f>HYPERLINK("https://portal.gdc.cancer.gov/cases/070c66fa-ef48-46cb-af4f-357d2c641118","TCGA-FD-A5C1-01A")</f>
        <v>TCGA-FD-A5C1-01A</v>
      </c>
      <c r="I13183" t="s">
        <v>506</v>
      </c>
      <c r="J13183" t="s">
        <v>507</v>
      </c>
      <c r="K13183" t="s">
        <v>33</v>
      </c>
      <c r="L13183" t="s">
        <v>508</v>
      </c>
      <c r="N13183" t="s">
        <v>29</v>
      </c>
    </row>
    <row r="13184" spans="1:14">
      <c r="A13184" s="4" t="str">
        <f t="shared" si="1117"/>
        <v>EXP00408</v>
      </c>
      <c r="B13184" s="3" t="s">
        <v>66</v>
      </c>
      <c r="C13184" s="4" t="str">
        <f t="shared" si="1116"/>
        <v>TCGA-BLCA</v>
      </c>
      <c r="D13184" s="1" t="s">
        <v>493</v>
      </c>
      <c r="E13184" t="s">
        <v>522</v>
      </c>
      <c r="F13184" s="1">
        <v>2</v>
      </c>
      <c r="G13184" s="1" t="s">
        <v>28</v>
      </c>
      <c r="H13184" s="4" t="str">
        <f>HYPERLINK("https://portal.gdc.cancer.gov/cases/b7439edc-b7ab-407e-810a-c60864a915bf","TCGA-FD-A62N-01A")</f>
        <v>TCGA-FD-A62N-01A</v>
      </c>
      <c r="I13184" t="s">
        <v>506</v>
      </c>
      <c r="J13184" t="s">
        <v>507</v>
      </c>
      <c r="K13184" t="s">
        <v>33</v>
      </c>
      <c r="L13184" t="s">
        <v>508</v>
      </c>
      <c r="N13184" t="s">
        <v>29</v>
      </c>
    </row>
    <row r="13185" spans="1:14">
      <c r="A13185" s="4" t="str">
        <f t="shared" si="1117"/>
        <v>EXP00408</v>
      </c>
      <c r="B13185" s="3" t="s">
        <v>66</v>
      </c>
      <c r="C13185" s="4" t="str">
        <f t="shared" si="1116"/>
        <v>TCGA-BLCA</v>
      </c>
      <c r="D13185" s="1" t="s">
        <v>493</v>
      </c>
      <c r="E13185" t="s">
        <v>522</v>
      </c>
      <c r="F13185" s="1">
        <v>2</v>
      </c>
      <c r="G13185" s="1" t="s">
        <v>28</v>
      </c>
      <c r="H13185" s="4" t="str">
        <f>HYPERLINK("https://portal.gdc.cancer.gov/cases/472502eb-ad99-4a1a-8445-1a11dc02a6d9","TCGA-FD-A62O-01A")</f>
        <v>TCGA-FD-A62O-01A</v>
      </c>
      <c r="I13185" t="s">
        <v>506</v>
      </c>
      <c r="J13185" t="s">
        <v>507</v>
      </c>
      <c r="K13185" t="s">
        <v>33</v>
      </c>
      <c r="L13185" t="s">
        <v>508</v>
      </c>
      <c r="N13185" t="s">
        <v>29</v>
      </c>
    </row>
    <row r="13186" spans="1:14">
      <c r="A13186" s="4" t="str">
        <f t="shared" si="1117"/>
        <v>EXP00408</v>
      </c>
      <c r="B13186" s="3" t="s">
        <v>66</v>
      </c>
      <c r="C13186" s="4" t="str">
        <f t="shared" si="1116"/>
        <v>TCGA-BLCA</v>
      </c>
      <c r="D13186" s="1" t="s">
        <v>493</v>
      </c>
      <c r="E13186" t="s">
        <v>522</v>
      </c>
      <c r="F13186" s="1">
        <v>2</v>
      </c>
      <c r="G13186" s="1" t="s">
        <v>28</v>
      </c>
      <c r="H13186" s="4" t="str">
        <f>HYPERLINK("https://portal.gdc.cancer.gov/cases/741311b6-cb15-498f-932d-ca282e1db10d","TCGA-FD-A62P-01A")</f>
        <v>TCGA-FD-A62P-01A</v>
      </c>
      <c r="I13186" t="s">
        <v>506</v>
      </c>
      <c r="J13186" t="s">
        <v>507</v>
      </c>
      <c r="K13186" t="s">
        <v>33</v>
      </c>
      <c r="L13186" t="s">
        <v>508</v>
      </c>
      <c r="N13186" t="s">
        <v>29</v>
      </c>
    </row>
    <row r="13187" spans="1:14">
      <c r="A13187" s="4" t="str">
        <f t="shared" si="1117"/>
        <v>EXP00408</v>
      </c>
      <c r="B13187" s="3" t="s">
        <v>66</v>
      </c>
      <c r="C13187" s="4" t="str">
        <f t="shared" si="1116"/>
        <v>TCGA-BLCA</v>
      </c>
      <c r="D13187" s="1" t="s">
        <v>493</v>
      </c>
      <c r="E13187" t="s">
        <v>522</v>
      </c>
      <c r="F13187" s="1">
        <v>2</v>
      </c>
      <c r="G13187" s="1" t="s">
        <v>28</v>
      </c>
      <c r="H13187" s="4" t="str">
        <f>HYPERLINK("https://portal.gdc.cancer.gov/cases/05a1402e-5a79-4d54-9430-065844ed1505","TCGA-FD-A62S-01A")</f>
        <v>TCGA-FD-A62S-01A</v>
      </c>
      <c r="I13187" t="s">
        <v>506</v>
      </c>
      <c r="J13187" t="s">
        <v>507</v>
      </c>
      <c r="K13187" t="s">
        <v>33</v>
      </c>
      <c r="L13187" t="s">
        <v>508</v>
      </c>
      <c r="N13187" t="s">
        <v>29</v>
      </c>
    </row>
    <row r="13188" spans="1:14">
      <c r="A13188" s="4" t="str">
        <f t="shared" si="1117"/>
        <v>EXP00408</v>
      </c>
      <c r="B13188" s="3" t="s">
        <v>66</v>
      </c>
      <c r="C13188" s="4" t="str">
        <f t="shared" si="1116"/>
        <v>TCGA-BLCA</v>
      </c>
      <c r="D13188" s="1" t="s">
        <v>493</v>
      </c>
      <c r="E13188" t="s">
        <v>522</v>
      </c>
      <c r="F13188" s="1">
        <v>2</v>
      </c>
      <c r="G13188" s="1" t="s">
        <v>28</v>
      </c>
      <c r="H13188" s="4" t="str">
        <f>HYPERLINK("https://portal.gdc.cancer.gov/cases/fcda9873-3a93-40b2-913d-4df1e6a27efb","TCGA-FD-A6TA-01A")</f>
        <v>TCGA-FD-A6TA-01A</v>
      </c>
      <c r="I13188" t="s">
        <v>506</v>
      </c>
      <c r="J13188" t="s">
        <v>507</v>
      </c>
      <c r="K13188" t="s">
        <v>33</v>
      </c>
      <c r="L13188" t="s">
        <v>508</v>
      </c>
      <c r="N13188" t="s">
        <v>29</v>
      </c>
    </row>
    <row r="13189" spans="1:14">
      <c r="A13189" s="4" t="str">
        <f t="shared" si="1117"/>
        <v>EXP00408</v>
      </c>
      <c r="B13189" s="3" t="s">
        <v>66</v>
      </c>
      <c r="C13189" s="4" t="str">
        <f t="shared" si="1116"/>
        <v>TCGA-BLCA</v>
      </c>
      <c r="D13189" s="1" t="s">
        <v>493</v>
      </c>
      <c r="E13189" t="s">
        <v>522</v>
      </c>
      <c r="F13189" s="1">
        <v>2</v>
      </c>
      <c r="G13189" s="1" t="s">
        <v>28</v>
      </c>
      <c r="H13189" s="4" t="str">
        <f>HYPERLINK("https://portal.gdc.cancer.gov/cases/389d1e21-5b97-4231-a3d7-71fecb918beb","TCGA-FD-A6TB-01A")</f>
        <v>TCGA-FD-A6TB-01A</v>
      </c>
      <c r="I13189" t="s">
        <v>506</v>
      </c>
      <c r="J13189" t="s">
        <v>507</v>
      </c>
      <c r="K13189" t="s">
        <v>33</v>
      </c>
      <c r="L13189" t="s">
        <v>508</v>
      </c>
      <c r="N13189" t="s">
        <v>29</v>
      </c>
    </row>
    <row r="13190" spans="1:14">
      <c r="A13190" s="4" t="str">
        <f t="shared" si="1117"/>
        <v>EXP00408</v>
      </c>
      <c r="B13190" s="3" t="s">
        <v>66</v>
      </c>
      <c r="C13190" s="4" t="str">
        <f t="shared" si="1116"/>
        <v>TCGA-BLCA</v>
      </c>
      <c r="D13190" s="1" t="s">
        <v>493</v>
      </c>
      <c r="E13190" t="s">
        <v>522</v>
      </c>
      <c r="F13190" s="1">
        <v>2</v>
      </c>
      <c r="G13190" s="1" t="s">
        <v>28</v>
      </c>
      <c r="H13190" s="4" t="str">
        <f>HYPERLINK("https://portal.gdc.cancer.gov/cases/00d8e96f-f231-4475-9e9f-c1f8aec28e4e","TCGA-FD-A6TC-01A")</f>
        <v>TCGA-FD-A6TC-01A</v>
      </c>
      <c r="I13190" t="s">
        <v>506</v>
      </c>
      <c r="J13190" t="s">
        <v>507</v>
      </c>
      <c r="K13190" t="s">
        <v>33</v>
      </c>
      <c r="L13190" t="s">
        <v>508</v>
      </c>
      <c r="N13190" t="s">
        <v>29</v>
      </c>
    </row>
    <row r="13191" spans="1:14">
      <c r="A13191" s="4" t="str">
        <f t="shared" si="1117"/>
        <v>EXP00408</v>
      </c>
      <c r="B13191" s="3" t="s">
        <v>66</v>
      </c>
      <c r="C13191" s="4" t="str">
        <f t="shared" si="1116"/>
        <v>TCGA-BLCA</v>
      </c>
      <c r="D13191" s="1" t="s">
        <v>493</v>
      </c>
      <c r="E13191" t="s">
        <v>522</v>
      </c>
      <c r="F13191" s="1">
        <v>2</v>
      </c>
      <c r="G13191" s="1" t="s">
        <v>28</v>
      </c>
      <c r="H13191" s="4" t="str">
        <f>HYPERLINK("https://portal.gdc.cancer.gov/cases/c80e71b3-7c6c-4e16-8446-6dfda780bc18","TCGA-FD-A6TD-01A")</f>
        <v>TCGA-FD-A6TD-01A</v>
      </c>
      <c r="I13191" t="s">
        <v>506</v>
      </c>
      <c r="J13191" t="s">
        <v>507</v>
      </c>
      <c r="K13191" t="s">
        <v>33</v>
      </c>
      <c r="L13191" t="s">
        <v>508</v>
      </c>
      <c r="N13191" t="s">
        <v>29</v>
      </c>
    </row>
    <row r="13192" spans="1:14">
      <c r="A13192" s="4" t="str">
        <f t="shared" si="1117"/>
        <v>EXP00408</v>
      </c>
      <c r="B13192" s="3" t="s">
        <v>66</v>
      </c>
      <c r="C13192" s="4" t="str">
        <f t="shared" si="1116"/>
        <v>TCGA-BLCA</v>
      </c>
      <c r="D13192" s="1" t="s">
        <v>493</v>
      </c>
      <c r="E13192" t="s">
        <v>522</v>
      </c>
      <c r="F13192" s="1">
        <v>2</v>
      </c>
      <c r="G13192" s="1" t="s">
        <v>28</v>
      </c>
      <c r="H13192" s="4" t="str">
        <f>HYPERLINK("https://portal.gdc.cancer.gov/cases/5c771ee8-2aea-498d-ba8c-cdbaebfd57ac","TCGA-FD-A6TE-01A")</f>
        <v>TCGA-FD-A6TE-01A</v>
      </c>
      <c r="I13192" t="s">
        <v>506</v>
      </c>
      <c r="J13192" t="s">
        <v>507</v>
      </c>
      <c r="K13192" t="s">
        <v>33</v>
      </c>
      <c r="L13192" t="s">
        <v>508</v>
      </c>
      <c r="N13192" t="s">
        <v>29</v>
      </c>
    </row>
    <row r="13193" spans="1:14">
      <c r="A13193" s="4" t="str">
        <f t="shared" si="1117"/>
        <v>EXP00408</v>
      </c>
      <c r="B13193" s="3" t="s">
        <v>66</v>
      </c>
      <c r="C13193" s="4" t="str">
        <f t="shared" si="1116"/>
        <v>TCGA-BLCA</v>
      </c>
      <c r="D13193" s="1" t="s">
        <v>493</v>
      </c>
      <c r="E13193" t="s">
        <v>522</v>
      </c>
      <c r="F13193" s="1">
        <v>2</v>
      </c>
      <c r="G13193" s="1" t="s">
        <v>28</v>
      </c>
      <c r="H13193" s="4" t="str">
        <f>HYPERLINK("https://portal.gdc.cancer.gov/cases/6134f549-6876-4c07-8e58-49ec87eaf4c0","TCGA-FD-A6TF-01A")</f>
        <v>TCGA-FD-A6TF-01A</v>
      </c>
      <c r="I13193" t="s">
        <v>506</v>
      </c>
      <c r="J13193" t="s">
        <v>507</v>
      </c>
      <c r="K13193" t="s">
        <v>33</v>
      </c>
      <c r="L13193" t="s">
        <v>508</v>
      </c>
      <c r="N13193" t="s">
        <v>29</v>
      </c>
    </row>
    <row r="13194" spans="1:14">
      <c r="A13194" s="4" t="str">
        <f t="shared" si="1117"/>
        <v>EXP00408</v>
      </c>
      <c r="B13194" s="3" t="s">
        <v>66</v>
      </c>
      <c r="C13194" s="4" t="str">
        <f t="shared" si="1116"/>
        <v>TCGA-BLCA</v>
      </c>
      <c r="D13194" s="1" t="s">
        <v>493</v>
      </c>
      <c r="E13194" t="s">
        <v>522</v>
      </c>
      <c r="F13194" s="1">
        <v>2</v>
      </c>
      <c r="G13194" s="1" t="s">
        <v>28</v>
      </c>
      <c r="H13194" s="4" t="str">
        <f>HYPERLINK("https://portal.gdc.cancer.gov/cases/0c890030-9bdb-4247-a3d5-a004f992f99c","TCGA-FD-A6TG-01A")</f>
        <v>TCGA-FD-A6TG-01A</v>
      </c>
      <c r="I13194" t="s">
        <v>506</v>
      </c>
      <c r="J13194" t="s">
        <v>507</v>
      </c>
      <c r="K13194" t="s">
        <v>33</v>
      </c>
      <c r="L13194" t="s">
        <v>508</v>
      </c>
      <c r="N13194" t="s">
        <v>29</v>
      </c>
    </row>
    <row r="13195" spans="1:14">
      <c r="A13195" s="4" t="str">
        <f t="shared" si="1117"/>
        <v>EXP00408</v>
      </c>
      <c r="B13195" s="3" t="s">
        <v>66</v>
      </c>
      <c r="C13195" s="4" t="str">
        <f t="shared" si="1116"/>
        <v>TCGA-BLCA</v>
      </c>
      <c r="D13195" s="1" t="s">
        <v>493</v>
      </c>
      <c r="E13195" t="s">
        <v>522</v>
      </c>
      <c r="F13195" s="1">
        <v>2</v>
      </c>
      <c r="G13195" s="1" t="s">
        <v>28</v>
      </c>
      <c r="H13195" s="4" t="str">
        <f>HYPERLINK("https://portal.gdc.cancer.gov/cases/08d13748-0946-49a1-8eb3-5afd1deebc84","TCGA-FD-A6TH-01A")</f>
        <v>TCGA-FD-A6TH-01A</v>
      </c>
      <c r="I13195" t="s">
        <v>506</v>
      </c>
      <c r="J13195" t="s">
        <v>507</v>
      </c>
      <c r="K13195" t="s">
        <v>33</v>
      </c>
      <c r="L13195" t="s">
        <v>508</v>
      </c>
      <c r="N13195" t="s">
        <v>29</v>
      </c>
    </row>
    <row r="13196" spans="1:14">
      <c r="A13196" s="4" t="str">
        <f t="shared" si="1117"/>
        <v>EXP00408</v>
      </c>
      <c r="B13196" s="3" t="s">
        <v>66</v>
      </c>
      <c r="C13196" s="4" t="str">
        <f t="shared" si="1116"/>
        <v>TCGA-BLCA</v>
      </c>
      <c r="D13196" s="1" t="s">
        <v>493</v>
      </c>
      <c r="E13196" t="s">
        <v>522</v>
      </c>
      <c r="F13196" s="1">
        <v>2</v>
      </c>
      <c r="G13196" s="1" t="s">
        <v>28</v>
      </c>
      <c r="H13196" s="4" t="str">
        <f>HYPERLINK("https://portal.gdc.cancer.gov/cases/0f956645-35aa-4a68-98d3-ea589459be00","TCGA-FD-A6TI-01A")</f>
        <v>TCGA-FD-A6TI-01A</v>
      </c>
      <c r="I13196" t="s">
        <v>506</v>
      </c>
      <c r="J13196" t="s">
        <v>507</v>
      </c>
      <c r="K13196" t="s">
        <v>33</v>
      </c>
      <c r="L13196" t="s">
        <v>508</v>
      </c>
      <c r="N13196" t="s">
        <v>29</v>
      </c>
    </row>
    <row r="13197" spans="1:14">
      <c r="A13197" s="4" t="str">
        <f t="shared" si="1117"/>
        <v>EXP00408</v>
      </c>
      <c r="B13197" s="3" t="s">
        <v>66</v>
      </c>
      <c r="C13197" s="4" t="str">
        <f t="shared" si="1116"/>
        <v>TCGA-BLCA</v>
      </c>
      <c r="D13197" s="1" t="s">
        <v>493</v>
      </c>
      <c r="E13197" t="s">
        <v>522</v>
      </c>
      <c r="F13197" s="1">
        <v>2</v>
      </c>
      <c r="G13197" s="1" t="s">
        <v>28</v>
      </c>
      <c r="H13197" s="4" t="str">
        <f>HYPERLINK("https://portal.gdc.cancer.gov/cases/65295450-36cd-45a7-a4a6-2d52ee11378f","TCGA-FD-A6TK-01A")</f>
        <v>TCGA-FD-A6TK-01A</v>
      </c>
      <c r="I13197" t="s">
        <v>506</v>
      </c>
      <c r="J13197" t="s">
        <v>507</v>
      </c>
      <c r="K13197" t="s">
        <v>33</v>
      </c>
      <c r="L13197" t="s">
        <v>508</v>
      </c>
      <c r="N13197" t="s">
        <v>29</v>
      </c>
    </row>
    <row r="13198" spans="1:14">
      <c r="A13198" s="4" t="str">
        <f t="shared" si="1117"/>
        <v>EXP00408</v>
      </c>
      <c r="B13198" s="3" t="s">
        <v>66</v>
      </c>
      <c r="C13198" s="4" t="str">
        <f t="shared" si="1116"/>
        <v>TCGA-BLCA</v>
      </c>
      <c r="D13198" s="1" t="s">
        <v>493</v>
      </c>
      <c r="E13198" t="s">
        <v>522</v>
      </c>
      <c r="F13198" s="1">
        <v>2</v>
      </c>
      <c r="G13198" s="1" t="s">
        <v>28</v>
      </c>
      <c r="H13198" s="4" t="str">
        <f>HYPERLINK("https://portal.gdc.cancer.gov/cases/6b2d63f2-f390-4601-9640-f769f6e91bf4","TCGA-FJ-A3Z7-01A")</f>
        <v>TCGA-FJ-A3Z7-01A</v>
      </c>
      <c r="I13198" t="s">
        <v>506</v>
      </c>
      <c r="J13198" t="s">
        <v>507</v>
      </c>
      <c r="K13198" t="s">
        <v>33</v>
      </c>
      <c r="L13198" t="s">
        <v>508</v>
      </c>
      <c r="N13198" t="s">
        <v>29</v>
      </c>
    </row>
    <row r="13199" spans="1:14">
      <c r="A13199" s="4" t="str">
        <f t="shared" si="1117"/>
        <v>EXP00408</v>
      </c>
      <c r="B13199" s="3" t="s">
        <v>66</v>
      </c>
      <c r="C13199" s="4" t="str">
        <f t="shared" si="1116"/>
        <v>TCGA-BLCA</v>
      </c>
      <c r="D13199" s="1" t="s">
        <v>493</v>
      </c>
      <c r="E13199" t="s">
        <v>522</v>
      </c>
      <c r="F13199" s="1">
        <v>2</v>
      </c>
      <c r="G13199" s="1" t="s">
        <v>28</v>
      </c>
      <c r="H13199" s="4" t="str">
        <f>HYPERLINK("https://portal.gdc.cancer.gov/cases/72ff655f-bb08-40ed-b4c3-e9497d4da108","TCGA-FJ-A3Z9-01A")</f>
        <v>TCGA-FJ-A3Z9-01A</v>
      </c>
      <c r="I13199" t="s">
        <v>506</v>
      </c>
      <c r="J13199" t="s">
        <v>507</v>
      </c>
      <c r="K13199" t="s">
        <v>33</v>
      </c>
      <c r="L13199" t="s">
        <v>508</v>
      </c>
      <c r="N13199" t="s">
        <v>29</v>
      </c>
    </row>
    <row r="13200" spans="1:14">
      <c r="A13200" s="4" t="str">
        <f t="shared" si="1117"/>
        <v>EXP00408</v>
      </c>
      <c r="B13200" s="3" t="s">
        <v>66</v>
      </c>
      <c r="C13200" s="4" t="str">
        <f t="shared" si="1116"/>
        <v>TCGA-BLCA</v>
      </c>
      <c r="D13200" s="1" t="s">
        <v>493</v>
      </c>
      <c r="E13200" t="s">
        <v>522</v>
      </c>
      <c r="F13200" s="1">
        <v>2</v>
      </c>
      <c r="G13200" s="1" t="s">
        <v>28</v>
      </c>
      <c r="H13200" s="4" t="str">
        <f>HYPERLINK("https://portal.gdc.cancer.gov/cases/917961e2-78ad-4182-9cdb-5efb09808111","TCGA-FJ-A3ZE-01A")</f>
        <v>TCGA-FJ-A3ZE-01A</v>
      </c>
      <c r="I13200" t="s">
        <v>506</v>
      </c>
      <c r="J13200" t="s">
        <v>507</v>
      </c>
      <c r="K13200" t="s">
        <v>33</v>
      </c>
      <c r="L13200" t="s">
        <v>508</v>
      </c>
      <c r="N13200" t="s">
        <v>29</v>
      </c>
    </row>
    <row r="13201" spans="1:14">
      <c r="A13201" s="4" t="str">
        <f t="shared" si="1117"/>
        <v>EXP00408</v>
      </c>
      <c r="B13201" s="3" t="s">
        <v>66</v>
      </c>
      <c r="C13201" s="4" t="str">
        <f t="shared" si="1116"/>
        <v>TCGA-BLCA</v>
      </c>
      <c r="D13201" s="1" t="s">
        <v>493</v>
      </c>
      <c r="E13201" t="s">
        <v>522</v>
      </c>
      <c r="F13201" s="1">
        <v>2</v>
      </c>
      <c r="G13201" s="1" t="s">
        <v>28</v>
      </c>
      <c r="H13201" s="4" t="str">
        <f>HYPERLINK("https://portal.gdc.cancer.gov/cases/fae38579-5fe2-4d81-9729-39fde866d18c","TCGA-FJ-A3ZF-01A")</f>
        <v>TCGA-FJ-A3ZF-01A</v>
      </c>
      <c r="I13201" t="s">
        <v>506</v>
      </c>
      <c r="J13201" t="s">
        <v>507</v>
      </c>
      <c r="K13201" t="s">
        <v>33</v>
      </c>
      <c r="L13201" t="s">
        <v>508</v>
      </c>
      <c r="N13201" t="s">
        <v>29</v>
      </c>
    </row>
    <row r="13202" spans="1:14">
      <c r="A13202" s="4" t="str">
        <f t="shared" si="1117"/>
        <v>EXP00408</v>
      </c>
      <c r="B13202" s="3" t="s">
        <v>66</v>
      </c>
      <c r="C13202" s="4" t="str">
        <f t="shared" ref="C13202:C13265" si="1118">HYPERLINK("https://portal.gdc.cancer.gov/projects/TCGA-BLCA","TCGA-BLCA")</f>
        <v>TCGA-BLCA</v>
      </c>
      <c r="D13202" s="1" t="s">
        <v>493</v>
      </c>
      <c r="E13202" t="s">
        <v>522</v>
      </c>
      <c r="F13202" s="1">
        <v>2</v>
      </c>
      <c r="G13202" s="1" t="s">
        <v>28</v>
      </c>
      <c r="H13202" s="4" t="str">
        <f>HYPERLINK("https://portal.gdc.cancer.gov/cases/bb38805e-2ccc-4169-ba01-34b98adf5bd0","TCGA-FJ-A871-01A")</f>
        <v>TCGA-FJ-A871-01A</v>
      </c>
      <c r="I13202" t="s">
        <v>506</v>
      </c>
      <c r="J13202" t="s">
        <v>507</v>
      </c>
      <c r="K13202" t="s">
        <v>33</v>
      </c>
      <c r="L13202" t="s">
        <v>508</v>
      </c>
      <c r="N13202" t="s">
        <v>29</v>
      </c>
    </row>
    <row r="13203" spans="1:14">
      <c r="A13203" s="4" t="str">
        <f t="shared" si="1117"/>
        <v>EXP00408</v>
      </c>
      <c r="B13203" s="3" t="s">
        <v>66</v>
      </c>
      <c r="C13203" s="4" t="str">
        <f t="shared" si="1118"/>
        <v>TCGA-BLCA</v>
      </c>
      <c r="D13203" s="1" t="s">
        <v>493</v>
      </c>
      <c r="E13203" t="s">
        <v>522</v>
      </c>
      <c r="F13203" s="1">
        <v>2</v>
      </c>
      <c r="G13203" s="1" t="s">
        <v>28</v>
      </c>
      <c r="H13203" s="4" t="str">
        <f>HYPERLINK("https://portal.gdc.cancer.gov/cases/cce62116-3dcd-400d-ada0-9839ca02466e","TCGA-FT-A3EE-01A")</f>
        <v>TCGA-FT-A3EE-01A</v>
      </c>
      <c r="I13203" t="s">
        <v>506</v>
      </c>
      <c r="J13203" t="s">
        <v>507</v>
      </c>
      <c r="K13203" t="s">
        <v>33</v>
      </c>
      <c r="L13203" t="s">
        <v>508</v>
      </c>
      <c r="N13203" t="s">
        <v>29</v>
      </c>
    </row>
    <row r="13204" spans="1:14">
      <c r="A13204" s="4" t="str">
        <f t="shared" si="1117"/>
        <v>EXP00408</v>
      </c>
      <c r="B13204" s="3" t="s">
        <v>66</v>
      </c>
      <c r="C13204" s="4" t="str">
        <f t="shared" si="1118"/>
        <v>TCGA-BLCA</v>
      </c>
      <c r="D13204" s="1" t="s">
        <v>493</v>
      </c>
      <c r="E13204" t="s">
        <v>522</v>
      </c>
      <c r="F13204" s="1">
        <v>2</v>
      </c>
      <c r="G13204" s="1" t="s">
        <v>28</v>
      </c>
      <c r="H13204" s="4" t="str">
        <f>HYPERLINK("https://portal.gdc.cancer.gov/cases/7c698a35-7694-47f0-b681-f08840b95c02","TCGA-FT-A61P-01A")</f>
        <v>TCGA-FT-A61P-01A</v>
      </c>
      <c r="I13204" t="s">
        <v>506</v>
      </c>
      <c r="J13204" t="s">
        <v>507</v>
      </c>
      <c r="K13204" t="s">
        <v>33</v>
      </c>
      <c r="L13204" t="s">
        <v>508</v>
      </c>
      <c r="N13204" t="s">
        <v>29</v>
      </c>
    </row>
    <row r="13205" spans="1:14">
      <c r="A13205" s="4" t="str">
        <f t="shared" si="1117"/>
        <v>EXP00408</v>
      </c>
      <c r="B13205" s="3" t="s">
        <v>66</v>
      </c>
      <c r="C13205" s="4" t="str">
        <f t="shared" si="1118"/>
        <v>TCGA-BLCA</v>
      </c>
      <c r="D13205" s="1" t="s">
        <v>493</v>
      </c>
      <c r="E13205" t="s">
        <v>522</v>
      </c>
      <c r="F13205" s="1">
        <v>2</v>
      </c>
      <c r="G13205" s="1" t="s">
        <v>28</v>
      </c>
      <c r="H13205" s="4" t="str">
        <f>HYPERLINK("https://portal.gdc.cancer.gov/cases/28e25ffb-8b0c-4839-a735-ed7b78e3213a","TCGA-G2-A2EC-01A")</f>
        <v>TCGA-G2-A2EC-01A</v>
      </c>
      <c r="I13205" t="s">
        <v>506</v>
      </c>
      <c r="J13205" t="s">
        <v>507</v>
      </c>
      <c r="K13205" t="s">
        <v>33</v>
      </c>
      <c r="L13205" t="s">
        <v>508</v>
      </c>
      <c r="N13205" t="s">
        <v>29</v>
      </c>
    </row>
    <row r="13206" spans="1:14">
      <c r="A13206" s="4" t="str">
        <f t="shared" si="1117"/>
        <v>EXP00408</v>
      </c>
      <c r="B13206" s="3" t="s">
        <v>66</v>
      </c>
      <c r="C13206" s="4" t="str">
        <f t="shared" si="1118"/>
        <v>TCGA-BLCA</v>
      </c>
      <c r="D13206" s="1" t="s">
        <v>493</v>
      </c>
      <c r="E13206" t="s">
        <v>522</v>
      </c>
      <c r="F13206" s="1">
        <v>2</v>
      </c>
      <c r="G13206" s="1" t="s">
        <v>28</v>
      </c>
      <c r="H13206" s="4" t="str">
        <f>HYPERLINK("https://portal.gdc.cancer.gov/cases/2a142731-119c-495d-ad30-eb0b48bacb46","TCGA-G2-A2EF-01A")</f>
        <v>TCGA-G2-A2EF-01A</v>
      </c>
      <c r="I13206" t="s">
        <v>506</v>
      </c>
      <c r="J13206" t="s">
        <v>507</v>
      </c>
      <c r="K13206" t="s">
        <v>33</v>
      </c>
      <c r="L13206" t="s">
        <v>508</v>
      </c>
      <c r="N13206" t="s">
        <v>29</v>
      </c>
    </row>
    <row r="13207" spans="1:14">
      <c r="A13207" s="4" t="str">
        <f t="shared" si="1117"/>
        <v>EXP00408</v>
      </c>
      <c r="B13207" s="3" t="s">
        <v>66</v>
      </c>
      <c r="C13207" s="4" t="str">
        <f t="shared" si="1118"/>
        <v>TCGA-BLCA</v>
      </c>
      <c r="D13207" s="1" t="s">
        <v>493</v>
      </c>
      <c r="E13207" t="s">
        <v>522</v>
      </c>
      <c r="F13207" s="1">
        <v>2</v>
      </c>
      <c r="G13207" s="1" t="s">
        <v>28</v>
      </c>
      <c r="H13207" s="4" t="str">
        <f>HYPERLINK("https://portal.gdc.cancer.gov/cases/c6227d39-d9e8-4e28-9e70-d7f720ab25e4","TCGA-G2-A2EJ-01A")</f>
        <v>TCGA-G2-A2EJ-01A</v>
      </c>
      <c r="I13207" t="s">
        <v>506</v>
      </c>
      <c r="J13207" t="s">
        <v>507</v>
      </c>
      <c r="K13207" t="s">
        <v>33</v>
      </c>
      <c r="L13207" t="s">
        <v>508</v>
      </c>
      <c r="N13207" t="s">
        <v>29</v>
      </c>
    </row>
    <row r="13208" spans="1:14">
      <c r="A13208" s="4" t="str">
        <f t="shared" si="1117"/>
        <v>EXP00408</v>
      </c>
      <c r="B13208" s="3" t="s">
        <v>66</v>
      </c>
      <c r="C13208" s="4" t="str">
        <f t="shared" si="1118"/>
        <v>TCGA-BLCA</v>
      </c>
      <c r="D13208" s="1" t="s">
        <v>493</v>
      </c>
      <c r="E13208" t="s">
        <v>522</v>
      </c>
      <c r="F13208" s="1">
        <v>2</v>
      </c>
      <c r="G13208" s="1" t="s">
        <v>28</v>
      </c>
      <c r="H13208" s="4" t="str">
        <f>HYPERLINK("https://portal.gdc.cancer.gov/cases/5da1cb68-c438-4ddc-999f-90aed0c4bd7a","TCGA-G2-A2EK-01A")</f>
        <v>TCGA-G2-A2EK-01A</v>
      </c>
      <c r="I13208" t="s">
        <v>506</v>
      </c>
      <c r="J13208" t="s">
        <v>507</v>
      </c>
      <c r="K13208" t="s">
        <v>33</v>
      </c>
      <c r="L13208" t="s">
        <v>508</v>
      </c>
      <c r="N13208" t="s">
        <v>29</v>
      </c>
    </row>
    <row r="13209" spans="1:14">
      <c r="A13209" s="4" t="str">
        <f t="shared" si="1117"/>
        <v>EXP00408</v>
      </c>
      <c r="B13209" s="3" t="s">
        <v>66</v>
      </c>
      <c r="C13209" s="4" t="str">
        <f t="shared" si="1118"/>
        <v>TCGA-BLCA</v>
      </c>
      <c r="D13209" s="1" t="s">
        <v>493</v>
      </c>
      <c r="E13209" t="s">
        <v>522</v>
      </c>
      <c r="F13209" s="1">
        <v>2</v>
      </c>
      <c r="G13209" s="1" t="s">
        <v>28</v>
      </c>
      <c r="H13209" s="4" t="str">
        <f>HYPERLINK("https://portal.gdc.cancer.gov/cases/30c7445e-d0c4-4a0f-96a4-27e4259ee10b","TCGA-G2-A2EL-01A")</f>
        <v>TCGA-G2-A2EL-01A</v>
      </c>
      <c r="I13209" t="s">
        <v>506</v>
      </c>
      <c r="J13209" t="s">
        <v>507</v>
      </c>
      <c r="K13209" t="s">
        <v>33</v>
      </c>
      <c r="L13209" t="s">
        <v>508</v>
      </c>
      <c r="N13209" t="s">
        <v>29</v>
      </c>
    </row>
    <row r="13210" spans="1:14">
      <c r="A13210" s="4" t="str">
        <f t="shared" si="1117"/>
        <v>EXP00408</v>
      </c>
      <c r="B13210" s="3" t="s">
        <v>66</v>
      </c>
      <c r="C13210" s="4" t="str">
        <f t="shared" si="1118"/>
        <v>TCGA-BLCA</v>
      </c>
      <c r="D13210" s="1" t="s">
        <v>493</v>
      </c>
      <c r="E13210" t="s">
        <v>522</v>
      </c>
      <c r="F13210" s="1">
        <v>2</v>
      </c>
      <c r="G13210" s="1" t="s">
        <v>28</v>
      </c>
      <c r="H13210" s="4" t="str">
        <f>HYPERLINK("https://portal.gdc.cancer.gov/cases/98b9ad62-76ed-43e3-91bc-b8f065d79673","TCGA-G2-A2EO-01A")</f>
        <v>TCGA-G2-A2EO-01A</v>
      </c>
      <c r="I13210" t="s">
        <v>506</v>
      </c>
      <c r="J13210" t="s">
        <v>507</v>
      </c>
      <c r="K13210" t="s">
        <v>33</v>
      </c>
      <c r="L13210" t="s">
        <v>508</v>
      </c>
      <c r="N13210" t="s">
        <v>29</v>
      </c>
    </row>
    <row r="13211" spans="1:14">
      <c r="A13211" s="4" t="str">
        <f t="shared" si="1117"/>
        <v>EXP00408</v>
      </c>
      <c r="B13211" s="3" t="s">
        <v>66</v>
      </c>
      <c r="C13211" s="4" t="str">
        <f t="shared" si="1118"/>
        <v>TCGA-BLCA</v>
      </c>
      <c r="D13211" s="1" t="s">
        <v>493</v>
      </c>
      <c r="E13211" t="s">
        <v>522</v>
      </c>
      <c r="F13211" s="1">
        <v>2</v>
      </c>
      <c r="G13211" s="1" t="s">
        <v>28</v>
      </c>
      <c r="H13211" s="4" t="str">
        <f>HYPERLINK("https://portal.gdc.cancer.gov/cases/72d8eae8-9efb-45b2-acbd-82c6b5732e38","TCGA-G2-A2ES-01A")</f>
        <v>TCGA-G2-A2ES-01A</v>
      </c>
      <c r="I13211" t="s">
        <v>506</v>
      </c>
      <c r="J13211" t="s">
        <v>507</v>
      </c>
      <c r="K13211" t="s">
        <v>33</v>
      </c>
      <c r="L13211" t="s">
        <v>508</v>
      </c>
      <c r="N13211" t="s">
        <v>29</v>
      </c>
    </row>
    <row r="13212" spans="1:14">
      <c r="A13212" s="4" t="str">
        <f t="shared" si="1117"/>
        <v>EXP00408</v>
      </c>
      <c r="B13212" s="3" t="s">
        <v>66</v>
      </c>
      <c r="C13212" s="4" t="str">
        <f t="shared" si="1118"/>
        <v>TCGA-BLCA</v>
      </c>
      <c r="D13212" s="1" t="s">
        <v>493</v>
      </c>
      <c r="E13212" t="s">
        <v>522</v>
      </c>
      <c r="F13212" s="1">
        <v>2</v>
      </c>
      <c r="G13212" s="1" t="s">
        <v>28</v>
      </c>
      <c r="H13212" s="4" t="str">
        <f>HYPERLINK("https://portal.gdc.cancer.gov/cases/af53d51e-0b5c-437f-a1c0-ec5f55c49364","TCGA-G2-A3IB-01A")</f>
        <v>TCGA-G2-A3IB-01A</v>
      </c>
      <c r="I13212" t="s">
        <v>506</v>
      </c>
      <c r="J13212" t="s">
        <v>507</v>
      </c>
      <c r="K13212" t="s">
        <v>33</v>
      </c>
      <c r="L13212" t="s">
        <v>508</v>
      </c>
      <c r="N13212" t="s">
        <v>29</v>
      </c>
    </row>
    <row r="13213" spans="1:14">
      <c r="A13213" s="4" t="str">
        <f t="shared" si="1117"/>
        <v>EXP00408</v>
      </c>
      <c r="B13213" s="3" t="s">
        <v>66</v>
      </c>
      <c r="C13213" s="4" t="str">
        <f t="shared" si="1118"/>
        <v>TCGA-BLCA</v>
      </c>
      <c r="D13213" s="1" t="s">
        <v>493</v>
      </c>
      <c r="E13213" t="s">
        <v>522</v>
      </c>
      <c r="F13213" s="1">
        <v>2</v>
      </c>
      <c r="G13213" s="1" t="s">
        <v>28</v>
      </c>
      <c r="H13213" s="4" t="str">
        <f>HYPERLINK("https://portal.gdc.cancer.gov/cases/c65ba2b8-e867-42e8-bbd0-c2cdf5130cfb","TCGA-G2-A3IE-01A")</f>
        <v>TCGA-G2-A3IE-01A</v>
      </c>
      <c r="I13213" t="s">
        <v>506</v>
      </c>
      <c r="J13213" t="s">
        <v>507</v>
      </c>
      <c r="K13213" t="s">
        <v>33</v>
      </c>
      <c r="L13213" t="s">
        <v>508</v>
      </c>
      <c r="N13213" t="s">
        <v>29</v>
      </c>
    </row>
    <row r="13214" spans="1:14">
      <c r="A13214" s="4" t="str">
        <f t="shared" si="1117"/>
        <v>EXP00408</v>
      </c>
      <c r="B13214" s="3" t="s">
        <v>66</v>
      </c>
      <c r="C13214" s="4" t="str">
        <f t="shared" si="1118"/>
        <v>TCGA-BLCA</v>
      </c>
      <c r="D13214" s="1" t="s">
        <v>493</v>
      </c>
      <c r="E13214" t="s">
        <v>522</v>
      </c>
      <c r="F13214" s="1">
        <v>2</v>
      </c>
      <c r="G13214" s="1" t="s">
        <v>28</v>
      </c>
      <c r="H13214" s="4" t="str">
        <f>HYPERLINK("https://portal.gdc.cancer.gov/cases/cd50c69f-0f45-4c57-b61a-8c6b41ab4f7e","TCGA-G2-A3VY-01A")</f>
        <v>TCGA-G2-A3VY-01A</v>
      </c>
      <c r="I13214" t="s">
        <v>506</v>
      </c>
      <c r="J13214" t="s">
        <v>507</v>
      </c>
      <c r="K13214" t="s">
        <v>33</v>
      </c>
      <c r="L13214" t="s">
        <v>508</v>
      </c>
      <c r="N13214" t="s">
        <v>29</v>
      </c>
    </row>
    <row r="13215" spans="1:14">
      <c r="A13215" s="4" t="str">
        <f t="shared" si="1117"/>
        <v>EXP00408</v>
      </c>
      <c r="B13215" s="3" t="s">
        <v>66</v>
      </c>
      <c r="C13215" s="4" t="str">
        <f t="shared" si="1118"/>
        <v>TCGA-BLCA</v>
      </c>
      <c r="D13215" s="1" t="s">
        <v>493</v>
      </c>
      <c r="E13215" t="s">
        <v>522</v>
      </c>
      <c r="F13215" s="1">
        <v>2</v>
      </c>
      <c r="G13215" s="1" t="s">
        <v>28</v>
      </c>
      <c r="H13215" s="4" t="str">
        <f>HYPERLINK("https://portal.gdc.cancer.gov/cases/22424a05-0546-44c2-8ab7-abb8e49c3363","TCGA-G2-AA3B-01A")</f>
        <v>TCGA-G2-AA3B-01A</v>
      </c>
      <c r="I13215" t="s">
        <v>506</v>
      </c>
      <c r="J13215" t="s">
        <v>507</v>
      </c>
      <c r="K13215" t="s">
        <v>33</v>
      </c>
      <c r="L13215" t="s">
        <v>508</v>
      </c>
      <c r="N13215" t="s">
        <v>29</v>
      </c>
    </row>
    <row r="13216" spans="1:14">
      <c r="A13216" s="4" t="str">
        <f t="shared" si="1117"/>
        <v>EXP00408</v>
      </c>
      <c r="B13216" s="3" t="s">
        <v>66</v>
      </c>
      <c r="C13216" s="4" t="str">
        <f t="shared" si="1118"/>
        <v>TCGA-BLCA</v>
      </c>
      <c r="D13216" s="1" t="s">
        <v>493</v>
      </c>
      <c r="E13216" t="s">
        <v>522</v>
      </c>
      <c r="F13216" s="1">
        <v>2</v>
      </c>
      <c r="G13216" s="1" t="s">
        <v>28</v>
      </c>
      <c r="H13216" s="4" t="str">
        <f>HYPERLINK("https://portal.gdc.cancer.gov/cases/e1540865-69c2-4b60-a78e-97d0ce2957dc","TCGA-G2-AA3D-01A")</f>
        <v>TCGA-G2-AA3D-01A</v>
      </c>
      <c r="I13216" t="s">
        <v>506</v>
      </c>
      <c r="J13216" t="s">
        <v>507</v>
      </c>
      <c r="K13216" t="s">
        <v>33</v>
      </c>
      <c r="L13216" t="s">
        <v>508</v>
      </c>
      <c r="N13216" t="s">
        <v>29</v>
      </c>
    </row>
    <row r="13217" spans="1:14">
      <c r="A13217" s="4" t="str">
        <f t="shared" si="1117"/>
        <v>EXP00408</v>
      </c>
      <c r="B13217" s="3" t="s">
        <v>66</v>
      </c>
      <c r="C13217" s="4" t="str">
        <f t="shared" si="1118"/>
        <v>TCGA-BLCA</v>
      </c>
      <c r="D13217" s="1" t="s">
        <v>493</v>
      </c>
      <c r="E13217" t="s">
        <v>522</v>
      </c>
      <c r="F13217" s="1">
        <v>2</v>
      </c>
      <c r="G13217" s="1" t="s">
        <v>28</v>
      </c>
      <c r="H13217" s="4" t="str">
        <f>HYPERLINK("https://portal.gdc.cancer.gov/cases/9883c38f-87bf-4421-bfc0-1b1001f8159c","TCGA-G2-AA3F-01A")</f>
        <v>TCGA-G2-AA3F-01A</v>
      </c>
      <c r="I13217" t="s">
        <v>506</v>
      </c>
      <c r="J13217" t="s">
        <v>507</v>
      </c>
      <c r="K13217" t="s">
        <v>33</v>
      </c>
      <c r="L13217" t="s">
        <v>508</v>
      </c>
      <c r="N13217" t="s">
        <v>29</v>
      </c>
    </row>
    <row r="13218" spans="1:14">
      <c r="A13218" s="4" t="str">
        <f t="shared" si="1117"/>
        <v>EXP00408</v>
      </c>
      <c r="B13218" s="3" t="s">
        <v>66</v>
      </c>
      <c r="C13218" s="4" t="str">
        <f t="shared" si="1118"/>
        <v>TCGA-BLCA</v>
      </c>
      <c r="D13218" s="1" t="s">
        <v>493</v>
      </c>
      <c r="E13218" t="s">
        <v>522</v>
      </c>
      <c r="F13218" s="1">
        <v>2</v>
      </c>
      <c r="G13218" s="1" t="s">
        <v>28</v>
      </c>
      <c r="H13218" s="4" t="str">
        <f>HYPERLINK("https://portal.gdc.cancer.gov/cases/7840aea9-40c4-473e-be33-8fa0b9f332c9","TCGA-GC-A3BM-01A")</f>
        <v>TCGA-GC-A3BM-01A</v>
      </c>
      <c r="I13218" t="s">
        <v>506</v>
      </c>
      <c r="J13218" t="s">
        <v>507</v>
      </c>
      <c r="K13218" t="s">
        <v>33</v>
      </c>
      <c r="L13218" t="s">
        <v>508</v>
      </c>
      <c r="N13218" t="s">
        <v>29</v>
      </c>
    </row>
    <row r="13219" spans="1:14">
      <c r="A13219" s="4" t="str">
        <f t="shared" si="1117"/>
        <v>EXP00408</v>
      </c>
      <c r="B13219" s="3" t="s">
        <v>66</v>
      </c>
      <c r="C13219" s="4" t="str">
        <f t="shared" si="1118"/>
        <v>TCGA-BLCA</v>
      </c>
      <c r="D13219" s="1" t="s">
        <v>493</v>
      </c>
      <c r="E13219" t="s">
        <v>522</v>
      </c>
      <c r="F13219" s="1">
        <v>2</v>
      </c>
      <c r="G13219" s="1" t="s">
        <v>28</v>
      </c>
      <c r="H13219" s="4" t="str">
        <f>HYPERLINK("https://portal.gdc.cancer.gov/cases/74cbb078-9aae-422a-a7af-dd29ebca949e","TCGA-GC-A3I6-01A")</f>
        <v>TCGA-GC-A3I6-01A</v>
      </c>
      <c r="I13219" t="s">
        <v>506</v>
      </c>
      <c r="J13219" t="s">
        <v>507</v>
      </c>
      <c r="K13219" t="s">
        <v>33</v>
      </c>
      <c r="L13219" t="s">
        <v>508</v>
      </c>
      <c r="N13219" t="s">
        <v>29</v>
      </c>
    </row>
    <row r="13220" spans="1:14">
      <c r="A13220" s="4" t="str">
        <f t="shared" si="1117"/>
        <v>EXP00408</v>
      </c>
      <c r="B13220" s="3" t="s">
        <v>66</v>
      </c>
      <c r="C13220" s="4" t="str">
        <f t="shared" si="1118"/>
        <v>TCGA-BLCA</v>
      </c>
      <c r="D13220" s="1" t="s">
        <v>493</v>
      </c>
      <c r="E13220" t="s">
        <v>522</v>
      </c>
      <c r="F13220" s="1">
        <v>2</v>
      </c>
      <c r="G13220" s="1" t="s">
        <v>28</v>
      </c>
      <c r="H13220" s="4" t="str">
        <f>HYPERLINK("https://portal.gdc.cancer.gov/cases/1ff60fd9-3ca3-43be-92a8-8dba2cd4d4df","TCGA-GC-A3OO-01A")</f>
        <v>TCGA-GC-A3OO-01A</v>
      </c>
      <c r="I13220" t="s">
        <v>506</v>
      </c>
      <c r="J13220" t="s">
        <v>507</v>
      </c>
      <c r="K13220" t="s">
        <v>33</v>
      </c>
      <c r="L13220" t="s">
        <v>508</v>
      </c>
      <c r="N13220" t="s">
        <v>29</v>
      </c>
    </row>
    <row r="13221" spans="1:14">
      <c r="A13221" s="4" t="str">
        <f t="shared" si="1117"/>
        <v>EXP00408</v>
      </c>
      <c r="B13221" s="3" t="s">
        <v>66</v>
      </c>
      <c r="C13221" s="4" t="str">
        <f t="shared" si="1118"/>
        <v>TCGA-BLCA</v>
      </c>
      <c r="D13221" s="1" t="s">
        <v>493</v>
      </c>
      <c r="E13221" t="s">
        <v>522</v>
      </c>
      <c r="F13221" s="1">
        <v>2</v>
      </c>
      <c r="G13221" s="1" t="s">
        <v>28</v>
      </c>
      <c r="H13221" s="4" t="str">
        <f>HYPERLINK("https://portal.gdc.cancer.gov/cases/a0bcf1b1-4dd4-4d7f-b63e-b49296671451","TCGA-GC-A3RB-01A")</f>
        <v>TCGA-GC-A3RB-01A</v>
      </c>
      <c r="I13221" t="s">
        <v>506</v>
      </c>
      <c r="J13221" t="s">
        <v>507</v>
      </c>
      <c r="K13221" t="s">
        <v>33</v>
      </c>
      <c r="L13221" t="s">
        <v>508</v>
      </c>
      <c r="N13221" t="s">
        <v>29</v>
      </c>
    </row>
    <row r="13222" spans="1:14">
      <c r="A13222" s="4" t="str">
        <f t="shared" si="1117"/>
        <v>EXP00408</v>
      </c>
      <c r="B13222" s="3" t="s">
        <v>66</v>
      </c>
      <c r="C13222" s="4" t="str">
        <f t="shared" si="1118"/>
        <v>TCGA-BLCA</v>
      </c>
      <c r="D13222" s="1" t="s">
        <v>493</v>
      </c>
      <c r="E13222" t="s">
        <v>522</v>
      </c>
      <c r="F13222" s="1">
        <v>2</v>
      </c>
      <c r="G13222" s="1" t="s">
        <v>28</v>
      </c>
      <c r="H13222" s="4" t="str">
        <f>HYPERLINK("https://portal.gdc.cancer.gov/cases/bd7f2c90-863e-4380-ad31-8755bcb2f975","TCGA-GC-A3RC-01A")</f>
        <v>TCGA-GC-A3RC-01A</v>
      </c>
      <c r="I13222" t="s">
        <v>506</v>
      </c>
      <c r="J13222" t="s">
        <v>507</v>
      </c>
      <c r="K13222" t="s">
        <v>33</v>
      </c>
      <c r="L13222" t="s">
        <v>508</v>
      </c>
      <c r="N13222" t="s">
        <v>29</v>
      </c>
    </row>
    <row r="13223" spans="1:14">
      <c r="A13223" s="4" t="str">
        <f t="shared" si="1117"/>
        <v>EXP00408</v>
      </c>
      <c r="B13223" s="3" t="s">
        <v>66</v>
      </c>
      <c r="C13223" s="4" t="str">
        <f t="shared" si="1118"/>
        <v>TCGA-BLCA</v>
      </c>
      <c r="D13223" s="1" t="s">
        <v>493</v>
      </c>
      <c r="E13223" t="s">
        <v>522</v>
      </c>
      <c r="F13223" s="1">
        <v>2</v>
      </c>
      <c r="G13223" s="1" t="s">
        <v>28</v>
      </c>
      <c r="H13223" s="4" t="str">
        <f>HYPERLINK("https://portal.gdc.cancer.gov/cases/6a2155b3-915c-41b1-b730-32e55e0c1fbd","TCGA-GC-A3RD-01A")</f>
        <v>TCGA-GC-A3RD-01A</v>
      </c>
      <c r="I13223" t="s">
        <v>506</v>
      </c>
      <c r="J13223" t="s">
        <v>507</v>
      </c>
      <c r="K13223" t="s">
        <v>33</v>
      </c>
      <c r="L13223" t="s">
        <v>508</v>
      </c>
      <c r="N13223" t="s">
        <v>29</v>
      </c>
    </row>
    <row r="13224" spans="1:14">
      <c r="A13224" s="4" t="str">
        <f t="shared" si="1117"/>
        <v>EXP00408</v>
      </c>
      <c r="B13224" s="3" t="s">
        <v>66</v>
      </c>
      <c r="C13224" s="4" t="str">
        <f t="shared" si="1118"/>
        <v>TCGA-BLCA</v>
      </c>
      <c r="D13224" s="1" t="s">
        <v>493</v>
      </c>
      <c r="E13224" t="s">
        <v>522</v>
      </c>
      <c r="F13224" s="1">
        <v>2</v>
      </c>
      <c r="G13224" s="1" t="s">
        <v>28</v>
      </c>
      <c r="H13224" s="4" t="str">
        <f>HYPERLINK("https://portal.gdc.cancer.gov/cases/db52c68a-ed44-4ec4-9381-d75f9bcbc29a","TCGA-GC-A3WC-01A")</f>
        <v>TCGA-GC-A3WC-01A</v>
      </c>
      <c r="I13224" t="s">
        <v>506</v>
      </c>
      <c r="J13224" t="s">
        <v>507</v>
      </c>
      <c r="K13224" t="s">
        <v>33</v>
      </c>
      <c r="L13224" t="s">
        <v>508</v>
      </c>
      <c r="N13224" t="s">
        <v>29</v>
      </c>
    </row>
    <row r="13225" spans="1:14">
      <c r="A13225" s="4" t="str">
        <f t="shared" si="1117"/>
        <v>EXP00408</v>
      </c>
      <c r="B13225" s="3" t="s">
        <v>66</v>
      </c>
      <c r="C13225" s="4" t="str">
        <f t="shared" si="1118"/>
        <v>TCGA-BLCA</v>
      </c>
      <c r="D13225" s="1" t="s">
        <v>493</v>
      </c>
      <c r="E13225" t="s">
        <v>522</v>
      </c>
      <c r="F13225" s="1">
        <v>2</v>
      </c>
      <c r="G13225" s="1" t="s">
        <v>28</v>
      </c>
      <c r="H13225" s="4" t="str">
        <f>HYPERLINK("https://portal.gdc.cancer.gov/cases/4d323b18-ce5a-4516-862d-7ed1fdf1f008","TCGA-GC-A3YS-01A")</f>
        <v>TCGA-GC-A3YS-01A</v>
      </c>
      <c r="I13225" t="s">
        <v>506</v>
      </c>
      <c r="J13225" t="s">
        <v>507</v>
      </c>
      <c r="K13225" t="s">
        <v>33</v>
      </c>
      <c r="L13225" t="s">
        <v>508</v>
      </c>
      <c r="N13225" t="s">
        <v>29</v>
      </c>
    </row>
    <row r="13226" spans="1:14">
      <c r="A13226" s="4" t="str">
        <f t="shared" si="1117"/>
        <v>EXP00408</v>
      </c>
      <c r="B13226" s="3" t="s">
        <v>66</v>
      </c>
      <c r="C13226" s="4" t="str">
        <f t="shared" si="1118"/>
        <v>TCGA-BLCA</v>
      </c>
      <c r="D13226" s="1" t="s">
        <v>493</v>
      </c>
      <c r="E13226" t="s">
        <v>522</v>
      </c>
      <c r="F13226" s="1">
        <v>2</v>
      </c>
      <c r="G13226" s="1" t="s">
        <v>28</v>
      </c>
      <c r="H13226" s="4" t="str">
        <f>HYPERLINK("https://portal.gdc.cancer.gov/cases/a9e17a7d-7ff4-44e3-b8c9-b0d2f46b6cd5","TCGA-GC-A4ZW-01A")</f>
        <v>TCGA-GC-A4ZW-01A</v>
      </c>
      <c r="I13226" t="s">
        <v>506</v>
      </c>
      <c r="J13226" t="s">
        <v>507</v>
      </c>
      <c r="K13226" t="s">
        <v>33</v>
      </c>
      <c r="L13226" t="s">
        <v>508</v>
      </c>
      <c r="N13226" t="s">
        <v>29</v>
      </c>
    </row>
    <row r="13227" spans="1:14">
      <c r="A13227" s="4" t="str">
        <f t="shared" si="1117"/>
        <v>EXP00408</v>
      </c>
      <c r="B13227" s="3" t="s">
        <v>66</v>
      </c>
      <c r="C13227" s="4" t="str">
        <f t="shared" si="1118"/>
        <v>TCGA-BLCA</v>
      </c>
      <c r="D13227" s="1" t="s">
        <v>493</v>
      </c>
      <c r="E13227" t="s">
        <v>522</v>
      </c>
      <c r="F13227" s="1">
        <v>2</v>
      </c>
      <c r="G13227" s="1" t="s">
        <v>28</v>
      </c>
      <c r="H13227" s="4" t="str">
        <f>HYPERLINK("https://portal.gdc.cancer.gov/cases/54c04bcc-ebd5-461e-bbd5-b4d791b00c95","TCGA-GC-A6I1-01A")</f>
        <v>TCGA-GC-A6I1-01A</v>
      </c>
      <c r="I13227" t="s">
        <v>506</v>
      </c>
      <c r="J13227" t="s">
        <v>507</v>
      </c>
      <c r="K13227" t="s">
        <v>33</v>
      </c>
      <c r="L13227" t="s">
        <v>508</v>
      </c>
      <c r="N13227" t="s">
        <v>29</v>
      </c>
    </row>
    <row r="13228" spans="1:14">
      <c r="A13228" s="4" t="str">
        <f t="shared" si="1117"/>
        <v>EXP00408</v>
      </c>
      <c r="B13228" s="3" t="s">
        <v>66</v>
      </c>
      <c r="C13228" s="4" t="str">
        <f t="shared" si="1118"/>
        <v>TCGA-BLCA</v>
      </c>
      <c r="D13228" s="1" t="s">
        <v>493</v>
      </c>
      <c r="E13228" t="s">
        <v>522</v>
      </c>
      <c r="F13228" s="1">
        <v>2</v>
      </c>
      <c r="G13228" s="1" t="s">
        <v>28</v>
      </c>
      <c r="H13228" s="4" t="str">
        <f>HYPERLINK("https://portal.gdc.cancer.gov/cases/acf6bdf3-6349-49dc-b99a-4eda648eeac5","TCGA-GC-A6I3-01A")</f>
        <v>TCGA-GC-A6I3-01A</v>
      </c>
      <c r="I13228" t="s">
        <v>506</v>
      </c>
      <c r="J13228" t="s">
        <v>507</v>
      </c>
      <c r="K13228" t="s">
        <v>33</v>
      </c>
      <c r="L13228" t="s">
        <v>508</v>
      </c>
      <c r="N13228" t="s">
        <v>29</v>
      </c>
    </row>
    <row r="13229" spans="1:14">
      <c r="A13229" s="4" t="str">
        <f t="shared" si="1117"/>
        <v>EXP00408</v>
      </c>
      <c r="B13229" s="3" t="s">
        <v>66</v>
      </c>
      <c r="C13229" s="4" t="str">
        <f t="shared" si="1118"/>
        <v>TCGA-BLCA</v>
      </c>
      <c r="D13229" s="1" t="s">
        <v>493</v>
      </c>
      <c r="E13229" t="s">
        <v>522</v>
      </c>
      <c r="F13229" s="1">
        <v>2</v>
      </c>
      <c r="G13229" s="1" t="s">
        <v>28</v>
      </c>
      <c r="H13229" s="4" t="str">
        <f>HYPERLINK("https://portal.gdc.cancer.gov/cases/5d54c742-5a8e-4c40-8d62-95e75e210ab8","TCGA-GD-A2C5-01A")</f>
        <v>TCGA-GD-A2C5-01A</v>
      </c>
      <c r="I13229" t="s">
        <v>506</v>
      </c>
      <c r="J13229" t="s">
        <v>507</v>
      </c>
      <c r="K13229" t="s">
        <v>33</v>
      </c>
      <c r="L13229" t="s">
        <v>508</v>
      </c>
      <c r="N13229" t="s">
        <v>29</v>
      </c>
    </row>
    <row r="13230" spans="1:14">
      <c r="A13230" s="4" t="str">
        <f t="shared" si="1117"/>
        <v>EXP00408</v>
      </c>
      <c r="B13230" s="3" t="s">
        <v>66</v>
      </c>
      <c r="C13230" s="4" t="str">
        <f t="shared" si="1118"/>
        <v>TCGA-BLCA</v>
      </c>
      <c r="D13230" s="1" t="s">
        <v>493</v>
      </c>
      <c r="E13230" t="s">
        <v>522</v>
      </c>
      <c r="F13230" s="1">
        <v>2</v>
      </c>
      <c r="G13230" s="1" t="s">
        <v>28</v>
      </c>
      <c r="H13230" s="4" t="str">
        <f>HYPERLINK("https://portal.gdc.cancer.gov/cases/31da07bb-6752-49a3-a7ea-5427c04a9458","TCGA-GD-A3OP-01A")</f>
        <v>TCGA-GD-A3OP-01A</v>
      </c>
      <c r="I13230" t="s">
        <v>506</v>
      </c>
      <c r="J13230" t="s">
        <v>507</v>
      </c>
      <c r="K13230" t="s">
        <v>33</v>
      </c>
      <c r="L13230" t="s">
        <v>508</v>
      </c>
      <c r="N13230" t="s">
        <v>29</v>
      </c>
    </row>
    <row r="13231" spans="1:14">
      <c r="A13231" s="4" t="str">
        <f t="shared" si="1117"/>
        <v>EXP00408</v>
      </c>
      <c r="B13231" s="3" t="s">
        <v>66</v>
      </c>
      <c r="C13231" s="4" t="str">
        <f t="shared" si="1118"/>
        <v>TCGA-BLCA</v>
      </c>
      <c r="D13231" s="1" t="s">
        <v>493</v>
      </c>
      <c r="E13231" t="s">
        <v>522</v>
      </c>
      <c r="F13231" s="1">
        <v>2</v>
      </c>
      <c r="G13231" s="1" t="s">
        <v>28</v>
      </c>
      <c r="H13231" s="4" t="str">
        <f>HYPERLINK("https://portal.gdc.cancer.gov/cases/2e85c30c-c4c4-4096-9eef-4eb2c7d991a3","TCGA-GD-A3OQ-01A")</f>
        <v>TCGA-GD-A3OQ-01A</v>
      </c>
      <c r="I13231" t="s">
        <v>506</v>
      </c>
      <c r="J13231" t="s">
        <v>507</v>
      </c>
      <c r="K13231" t="s">
        <v>33</v>
      </c>
      <c r="L13231" t="s">
        <v>508</v>
      </c>
      <c r="N13231" t="s">
        <v>29</v>
      </c>
    </row>
    <row r="13232" spans="1:14">
      <c r="A13232" s="4" t="str">
        <f t="shared" si="1117"/>
        <v>EXP00408</v>
      </c>
      <c r="B13232" s="3" t="s">
        <v>66</v>
      </c>
      <c r="C13232" s="4" t="str">
        <f t="shared" si="1118"/>
        <v>TCGA-BLCA</v>
      </c>
      <c r="D13232" s="1" t="s">
        <v>493</v>
      </c>
      <c r="E13232" t="s">
        <v>522</v>
      </c>
      <c r="F13232" s="1">
        <v>2</v>
      </c>
      <c r="G13232" s="1" t="s">
        <v>28</v>
      </c>
      <c r="H13232" s="4" t="str">
        <f>HYPERLINK("https://portal.gdc.cancer.gov/cases/2a41b7d4-132f-4fb6-87b5-487c445379c7","TCGA-GD-A3OS-01A")</f>
        <v>TCGA-GD-A3OS-01A</v>
      </c>
      <c r="I13232" t="s">
        <v>506</v>
      </c>
      <c r="J13232" t="s">
        <v>507</v>
      </c>
      <c r="K13232" t="s">
        <v>33</v>
      </c>
      <c r="L13232" t="s">
        <v>508</v>
      </c>
      <c r="N13232" t="s">
        <v>29</v>
      </c>
    </row>
    <row r="13233" spans="1:14">
      <c r="A13233" s="4" t="str">
        <f t="shared" si="1117"/>
        <v>EXP00408</v>
      </c>
      <c r="B13233" s="3" t="s">
        <v>66</v>
      </c>
      <c r="C13233" s="4" t="str">
        <f t="shared" si="1118"/>
        <v>TCGA-BLCA</v>
      </c>
      <c r="D13233" s="1" t="s">
        <v>493</v>
      </c>
      <c r="E13233" t="s">
        <v>522</v>
      </c>
      <c r="F13233" s="1">
        <v>2</v>
      </c>
      <c r="G13233" s="1" t="s">
        <v>28</v>
      </c>
      <c r="H13233" s="4" t="str">
        <f>HYPERLINK("https://portal.gdc.cancer.gov/cases/aadcf26b-c398-489f-a86a-e8db1b5db456","TCGA-GD-A6C6-01A")</f>
        <v>TCGA-GD-A6C6-01A</v>
      </c>
      <c r="I13233" t="s">
        <v>506</v>
      </c>
      <c r="J13233" t="s">
        <v>507</v>
      </c>
      <c r="K13233" t="s">
        <v>33</v>
      </c>
      <c r="L13233" t="s">
        <v>508</v>
      </c>
      <c r="N13233" t="s">
        <v>29</v>
      </c>
    </row>
    <row r="13234" spans="1:14">
      <c r="A13234" s="4" t="str">
        <f t="shared" si="1117"/>
        <v>EXP00408</v>
      </c>
      <c r="B13234" s="3" t="s">
        <v>66</v>
      </c>
      <c r="C13234" s="4" t="str">
        <f t="shared" si="1118"/>
        <v>TCGA-BLCA</v>
      </c>
      <c r="D13234" s="1" t="s">
        <v>493</v>
      </c>
      <c r="E13234" t="s">
        <v>522</v>
      </c>
      <c r="F13234" s="1">
        <v>2</v>
      </c>
      <c r="G13234" s="1" t="s">
        <v>28</v>
      </c>
      <c r="H13234" s="4" t="str">
        <f>HYPERLINK("https://portal.gdc.cancer.gov/cases/6c1ffaf7-fdae-4ab0-8dd1-6738937357ba","TCGA-GD-A76B-01A")</f>
        <v>TCGA-GD-A76B-01A</v>
      </c>
      <c r="I13234" t="s">
        <v>506</v>
      </c>
      <c r="J13234" t="s">
        <v>507</v>
      </c>
      <c r="K13234" t="s">
        <v>33</v>
      </c>
      <c r="L13234" t="s">
        <v>508</v>
      </c>
      <c r="N13234" t="s">
        <v>29</v>
      </c>
    </row>
    <row r="13235" spans="1:14">
      <c r="A13235" s="4" t="str">
        <f t="shared" si="1117"/>
        <v>EXP00408</v>
      </c>
      <c r="B13235" s="3" t="s">
        <v>66</v>
      </c>
      <c r="C13235" s="4" t="str">
        <f t="shared" si="1118"/>
        <v>TCGA-BLCA</v>
      </c>
      <c r="D13235" s="1" t="s">
        <v>493</v>
      </c>
      <c r="E13235" t="s">
        <v>522</v>
      </c>
      <c r="F13235" s="1">
        <v>2</v>
      </c>
      <c r="G13235" s="1" t="s">
        <v>28</v>
      </c>
      <c r="H13235" s="4" t="str">
        <f>HYPERLINK("https://portal.gdc.cancer.gov/cases/ff5b9238-38a7-42b4-9d44-3b8ec9913f6d","TCGA-GU-A42P-01A")</f>
        <v>TCGA-GU-A42P-01A</v>
      </c>
      <c r="I13235" t="s">
        <v>506</v>
      </c>
      <c r="J13235" t="s">
        <v>507</v>
      </c>
      <c r="K13235" t="s">
        <v>33</v>
      </c>
      <c r="L13235" t="s">
        <v>508</v>
      </c>
      <c r="N13235" t="s">
        <v>29</v>
      </c>
    </row>
    <row r="13236" spans="1:14">
      <c r="A13236" s="4" t="str">
        <f t="shared" si="1117"/>
        <v>EXP00408</v>
      </c>
      <c r="B13236" s="3" t="s">
        <v>66</v>
      </c>
      <c r="C13236" s="4" t="str">
        <f t="shared" si="1118"/>
        <v>TCGA-BLCA</v>
      </c>
      <c r="D13236" s="1" t="s">
        <v>493</v>
      </c>
      <c r="E13236" t="s">
        <v>522</v>
      </c>
      <c r="F13236" s="1">
        <v>2</v>
      </c>
      <c r="G13236" s="1" t="s">
        <v>28</v>
      </c>
      <c r="H13236" s="4" t="str">
        <f>HYPERLINK("https://portal.gdc.cancer.gov/cases/9c46846e-7f66-4936-af97-50a7b8189d84","TCGA-GU-A42Q-01A")</f>
        <v>TCGA-GU-A42Q-01A</v>
      </c>
      <c r="I13236" t="s">
        <v>506</v>
      </c>
      <c r="J13236" t="s">
        <v>507</v>
      </c>
      <c r="K13236" t="s">
        <v>33</v>
      </c>
      <c r="L13236" t="s">
        <v>508</v>
      </c>
      <c r="N13236" t="s">
        <v>29</v>
      </c>
    </row>
    <row r="13237" spans="1:14">
      <c r="A13237" s="4" t="str">
        <f t="shared" si="1117"/>
        <v>EXP00408</v>
      </c>
      <c r="B13237" s="3" t="s">
        <v>66</v>
      </c>
      <c r="C13237" s="4" t="str">
        <f t="shared" si="1118"/>
        <v>TCGA-BLCA</v>
      </c>
      <c r="D13237" s="1" t="s">
        <v>493</v>
      </c>
      <c r="E13237" t="s">
        <v>522</v>
      </c>
      <c r="F13237" s="1">
        <v>2</v>
      </c>
      <c r="G13237" s="1" t="s">
        <v>28</v>
      </c>
      <c r="H13237" s="4" t="str">
        <f>HYPERLINK("https://portal.gdc.cancer.gov/cases/0691b8c5-6244-407c-8601-fa1bda01ff2a","TCGA-GU-A42R-01A")</f>
        <v>TCGA-GU-A42R-01A</v>
      </c>
      <c r="I13237" t="s">
        <v>506</v>
      </c>
      <c r="J13237" t="s">
        <v>507</v>
      </c>
      <c r="K13237" t="s">
        <v>33</v>
      </c>
      <c r="L13237" t="s">
        <v>508</v>
      </c>
      <c r="N13237" t="s">
        <v>29</v>
      </c>
    </row>
    <row r="13238" spans="1:14">
      <c r="A13238" s="4" t="str">
        <f t="shared" si="1117"/>
        <v>EXP00408</v>
      </c>
      <c r="B13238" s="3" t="s">
        <v>66</v>
      </c>
      <c r="C13238" s="4" t="str">
        <f t="shared" si="1118"/>
        <v>TCGA-BLCA</v>
      </c>
      <c r="D13238" s="1" t="s">
        <v>493</v>
      </c>
      <c r="E13238" t="s">
        <v>522</v>
      </c>
      <c r="F13238" s="1">
        <v>2</v>
      </c>
      <c r="G13238" s="1" t="s">
        <v>28</v>
      </c>
      <c r="H13238" s="4" t="str">
        <f>HYPERLINK("https://portal.gdc.cancer.gov/cases/6a1eee8d-cf62-47e9-9322-c18633cb3ee9","TCGA-GU-A762-01A")</f>
        <v>TCGA-GU-A762-01A</v>
      </c>
      <c r="I13238" t="s">
        <v>506</v>
      </c>
      <c r="J13238" t="s">
        <v>507</v>
      </c>
      <c r="K13238" t="s">
        <v>33</v>
      </c>
      <c r="L13238" t="s">
        <v>508</v>
      </c>
      <c r="N13238" t="s">
        <v>29</v>
      </c>
    </row>
    <row r="13239" spans="1:14">
      <c r="A13239" s="4" t="str">
        <f t="shared" ref="A13239:A13302" si="1119">HYPERLINK("http://hcmdb.i-sanger.com/experiment/details/experiment_id/EXP00408","EXP00408")</f>
        <v>EXP00408</v>
      </c>
      <c r="B13239" s="3" t="s">
        <v>66</v>
      </c>
      <c r="C13239" s="4" t="str">
        <f t="shared" si="1118"/>
        <v>TCGA-BLCA</v>
      </c>
      <c r="D13239" s="1" t="s">
        <v>493</v>
      </c>
      <c r="E13239" t="s">
        <v>522</v>
      </c>
      <c r="F13239" s="1">
        <v>2</v>
      </c>
      <c r="G13239" s="1" t="s">
        <v>28</v>
      </c>
      <c r="H13239" s="4" t="str">
        <f>HYPERLINK("https://portal.gdc.cancer.gov/cases/20ebeff1-e5a7-423a-be93-e7ebb82438ac","TCGA-GU-A764-01A")</f>
        <v>TCGA-GU-A764-01A</v>
      </c>
      <c r="I13239" t="s">
        <v>506</v>
      </c>
      <c r="J13239" t="s">
        <v>507</v>
      </c>
      <c r="K13239" t="s">
        <v>33</v>
      </c>
      <c r="L13239" t="s">
        <v>508</v>
      </c>
      <c r="N13239" t="s">
        <v>29</v>
      </c>
    </row>
    <row r="13240" spans="1:14">
      <c r="A13240" s="4" t="str">
        <f t="shared" si="1119"/>
        <v>EXP00408</v>
      </c>
      <c r="B13240" s="3" t="s">
        <v>66</v>
      </c>
      <c r="C13240" s="4" t="str">
        <f t="shared" si="1118"/>
        <v>TCGA-BLCA</v>
      </c>
      <c r="D13240" s="1" t="s">
        <v>493</v>
      </c>
      <c r="E13240" t="s">
        <v>522</v>
      </c>
      <c r="F13240" s="1">
        <v>2</v>
      </c>
      <c r="G13240" s="1" t="s">
        <v>28</v>
      </c>
      <c r="H13240" s="4" t="str">
        <f>HYPERLINK("https://portal.gdc.cancer.gov/cases/e7680a8e-1c0e-426b-abd8-d0d8e7d0e5aa","TCGA-GU-A766-01A")</f>
        <v>TCGA-GU-A766-01A</v>
      </c>
      <c r="I13240" t="s">
        <v>506</v>
      </c>
      <c r="J13240" t="s">
        <v>507</v>
      </c>
      <c r="K13240" t="s">
        <v>33</v>
      </c>
      <c r="L13240" t="s">
        <v>508</v>
      </c>
      <c r="N13240" t="s">
        <v>29</v>
      </c>
    </row>
    <row r="13241" spans="1:14">
      <c r="A13241" s="4" t="str">
        <f t="shared" si="1119"/>
        <v>EXP00408</v>
      </c>
      <c r="B13241" s="3" t="s">
        <v>66</v>
      </c>
      <c r="C13241" s="4" t="str">
        <f t="shared" si="1118"/>
        <v>TCGA-BLCA</v>
      </c>
      <c r="D13241" s="1" t="s">
        <v>493</v>
      </c>
      <c r="E13241" t="s">
        <v>522</v>
      </c>
      <c r="F13241" s="1">
        <v>2</v>
      </c>
      <c r="G13241" s="1" t="s">
        <v>28</v>
      </c>
      <c r="H13241" s="4" t="str">
        <f>HYPERLINK("https://portal.gdc.cancer.gov/cases/bfaba069-0914-46b4-927d-b5ea3a4a341f","TCGA-GU-A767-01A")</f>
        <v>TCGA-GU-A767-01A</v>
      </c>
      <c r="I13241" t="s">
        <v>506</v>
      </c>
      <c r="J13241" t="s">
        <v>507</v>
      </c>
      <c r="K13241" t="s">
        <v>33</v>
      </c>
      <c r="L13241" t="s">
        <v>508</v>
      </c>
      <c r="N13241" t="s">
        <v>29</v>
      </c>
    </row>
    <row r="13242" spans="1:14">
      <c r="A13242" s="4" t="str">
        <f t="shared" si="1119"/>
        <v>EXP00408</v>
      </c>
      <c r="B13242" s="3" t="s">
        <v>66</v>
      </c>
      <c r="C13242" s="4" t="str">
        <f t="shared" si="1118"/>
        <v>TCGA-BLCA</v>
      </c>
      <c r="D13242" s="1" t="s">
        <v>493</v>
      </c>
      <c r="E13242" t="s">
        <v>522</v>
      </c>
      <c r="F13242" s="1">
        <v>2</v>
      </c>
      <c r="G13242" s="1" t="s">
        <v>28</v>
      </c>
      <c r="H13242" s="4" t="str">
        <f>HYPERLINK("https://portal.gdc.cancer.gov/cases/cd20b968-b348-44eb-9cdb-f557af8fb468","TCGA-GU-AATO-01A")</f>
        <v>TCGA-GU-AATO-01A</v>
      </c>
      <c r="I13242" t="s">
        <v>506</v>
      </c>
      <c r="J13242" t="s">
        <v>507</v>
      </c>
      <c r="K13242" t="s">
        <v>33</v>
      </c>
      <c r="L13242" t="s">
        <v>508</v>
      </c>
      <c r="N13242" t="s">
        <v>29</v>
      </c>
    </row>
    <row r="13243" spans="1:14">
      <c r="A13243" s="4" t="str">
        <f t="shared" si="1119"/>
        <v>EXP00408</v>
      </c>
      <c r="B13243" s="3" t="s">
        <v>66</v>
      </c>
      <c r="C13243" s="4" t="str">
        <f t="shared" si="1118"/>
        <v>TCGA-BLCA</v>
      </c>
      <c r="D13243" s="1" t="s">
        <v>493</v>
      </c>
      <c r="E13243" t="s">
        <v>522</v>
      </c>
      <c r="F13243" s="1">
        <v>2</v>
      </c>
      <c r="G13243" s="1" t="s">
        <v>28</v>
      </c>
      <c r="H13243" s="4" t="str">
        <f>HYPERLINK("https://portal.gdc.cancer.gov/cases/3b16881a-88c2-4048-b78f-e3e183503f70","TCGA-GU-AATP-01A")</f>
        <v>TCGA-GU-AATP-01A</v>
      </c>
      <c r="I13243" t="s">
        <v>506</v>
      </c>
      <c r="J13243" t="s">
        <v>507</v>
      </c>
      <c r="K13243" t="s">
        <v>33</v>
      </c>
      <c r="L13243" t="s">
        <v>508</v>
      </c>
      <c r="N13243" t="s">
        <v>29</v>
      </c>
    </row>
    <row r="13244" spans="1:14">
      <c r="A13244" s="4" t="str">
        <f t="shared" si="1119"/>
        <v>EXP00408</v>
      </c>
      <c r="B13244" s="3" t="s">
        <v>66</v>
      </c>
      <c r="C13244" s="4" t="str">
        <f t="shared" si="1118"/>
        <v>TCGA-BLCA</v>
      </c>
      <c r="D13244" s="1" t="s">
        <v>493</v>
      </c>
      <c r="E13244" t="s">
        <v>522</v>
      </c>
      <c r="F13244" s="1">
        <v>2</v>
      </c>
      <c r="G13244" s="1" t="s">
        <v>28</v>
      </c>
      <c r="H13244" s="4" t="str">
        <f>HYPERLINK("https://portal.gdc.cancer.gov/cases/aff1533b-486e-40b5-a35a-cfaac5823706","TCGA-GU-AATQ-01A")</f>
        <v>TCGA-GU-AATQ-01A</v>
      </c>
      <c r="I13244" t="s">
        <v>506</v>
      </c>
      <c r="J13244" t="s">
        <v>507</v>
      </c>
      <c r="K13244" t="s">
        <v>33</v>
      </c>
      <c r="L13244" t="s">
        <v>508</v>
      </c>
      <c r="N13244" t="s">
        <v>29</v>
      </c>
    </row>
    <row r="13245" spans="1:14">
      <c r="A13245" s="4" t="str">
        <f t="shared" si="1119"/>
        <v>EXP00408</v>
      </c>
      <c r="B13245" s="3" t="s">
        <v>66</v>
      </c>
      <c r="C13245" s="4" t="str">
        <f t="shared" si="1118"/>
        <v>TCGA-BLCA</v>
      </c>
      <c r="D13245" s="1" t="s">
        <v>493</v>
      </c>
      <c r="E13245" t="s">
        <v>522</v>
      </c>
      <c r="F13245" s="1">
        <v>2</v>
      </c>
      <c r="G13245" s="1" t="s">
        <v>28</v>
      </c>
      <c r="H13245" s="4" t="str">
        <f>HYPERLINK("https://portal.gdc.cancer.gov/cases/01ee41ef-1894-4408-9e96-a22a1f068190","TCGA-GV-A3JV-01A")</f>
        <v>TCGA-GV-A3JV-01A</v>
      </c>
      <c r="I13245" t="s">
        <v>506</v>
      </c>
      <c r="J13245" t="s">
        <v>507</v>
      </c>
      <c r="K13245" t="s">
        <v>33</v>
      </c>
      <c r="L13245" t="s">
        <v>508</v>
      </c>
      <c r="N13245" t="s">
        <v>29</v>
      </c>
    </row>
    <row r="13246" spans="1:14">
      <c r="A13246" s="4" t="str">
        <f t="shared" si="1119"/>
        <v>EXP00408</v>
      </c>
      <c r="B13246" s="3" t="s">
        <v>66</v>
      </c>
      <c r="C13246" s="4" t="str">
        <f t="shared" si="1118"/>
        <v>TCGA-BLCA</v>
      </c>
      <c r="D13246" s="1" t="s">
        <v>493</v>
      </c>
      <c r="E13246" t="s">
        <v>522</v>
      </c>
      <c r="F13246" s="1">
        <v>2</v>
      </c>
      <c r="G13246" s="1" t="s">
        <v>28</v>
      </c>
      <c r="H13246" s="4" t="str">
        <f>HYPERLINK("https://portal.gdc.cancer.gov/cases/3d644eaf-82fc-4bc7-93b7-3e600e8c6511","TCGA-GV-A3JW-01A")</f>
        <v>TCGA-GV-A3JW-01A</v>
      </c>
      <c r="I13246" t="s">
        <v>506</v>
      </c>
      <c r="J13246" t="s">
        <v>507</v>
      </c>
      <c r="K13246" t="s">
        <v>33</v>
      </c>
      <c r="L13246" t="s">
        <v>508</v>
      </c>
      <c r="N13246" t="s">
        <v>29</v>
      </c>
    </row>
    <row r="13247" spans="1:14">
      <c r="A13247" s="4" t="str">
        <f t="shared" si="1119"/>
        <v>EXP00408</v>
      </c>
      <c r="B13247" s="3" t="s">
        <v>66</v>
      </c>
      <c r="C13247" s="4" t="str">
        <f t="shared" si="1118"/>
        <v>TCGA-BLCA</v>
      </c>
      <c r="D13247" s="1" t="s">
        <v>493</v>
      </c>
      <c r="E13247" t="s">
        <v>522</v>
      </c>
      <c r="F13247" s="1">
        <v>2</v>
      </c>
      <c r="G13247" s="1" t="s">
        <v>28</v>
      </c>
      <c r="H13247" s="4" t="str">
        <f>HYPERLINK("https://portal.gdc.cancer.gov/cases/d9dcbb57-f6c2-4465-8a60-afe876e113ca","TCGA-GV-A3JX-01A")</f>
        <v>TCGA-GV-A3JX-01A</v>
      </c>
      <c r="I13247" t="s">
        <v>506</v>
      </c>
      <c r="J13247" t="s">
        <v>507</v>
      </c>
      <c r="K13247" t="s">
        <v>33</v>
      </c>
      <c r="L13247" t="s">
        <v>508</v>
      </c>
      <c r="N13247" t="s">
        <v>29</v>
      </c>
    </row>
    <row r="13248" spans="1:14">
      <c r="A13248" s="4" t="str">
        <f t="shared" si="1119"/>
        <v>EXP00408</v>
      </c>
      <c r="B13248" s="3" t="s">
        <v>66</v>
      </c>
      <c r="C13248" s="4" t="str">
        <f t="shared" si="1118"/>
        <v>TCGA-BLCA</v>
      </c>
      <c r="D13248" s="1" t="s">
        <v>493</v>
      </c>
      <c r="E13248" t="s">
        <v>522</v>
      </c>
      <c r="F13248" s="1">
        <v>2</v>
      </c>
      <c r="G13248" s="1" t="s">
        <v>28</v>
      </c>
      <c r="H13248" s="4" t="str">
        <f>HYPERLINK("https://portal.gdc.cancer.gov/cases/9cc92795-7a24-4875-87f0-3efccbfcc970","TCGA-GV-A3JZ-01A")</f>
        <v>TCGA-GV-A3JZ-01A</v>
      </c>
      <c r="I13248" t="s">
        <v>506</v>
      </c>
      <c r="J13248" t="s">
        <v>507</v>
      </c>
      <c r="K13248" t="s">
        <v>33</v>
      </c>
      <c r="L13248" t="s">
        <v>508</v>
      </c>
      <c r="N13248" t="s">
        <v>29</v>
      </c>
    </row>
    <row r="13249" spans="1:14">
      <c r="A13249" s="4" t="str">
        <f t="shared" si="1119"/>
        <v>EXP00408</v>
      </c>
      <c r="B13249" s="3" t="s">
        <v>66</v>
      </c>
      <c r="C13249" s="4" t="str">
        <f t="shared" si="1118"/>
        <v>TCGA-BLCA</v>
      </c>
      <c r="D13249" s="1" t="s">
        <v>493</v>
      </c>
      <c r="E13249" t="s">
        <v>522</v>
      </c>
      <c r="F13249" s="1">
        <v>2</v>
      </c>
      <c r="G13249" s="1" t="s">
        <v>28</v>
      </c>
      <c r="H13249" s="4" t="str">
        <f>HYPERLINK("https://portal.gdc.cancer.gov/cases/47990d5e-a0e1-4752-86f5-4f5b84e219df","TCGA-GV-A3QF-01A")</f>
        <v>TCGA-GV-A3QF-01A</v>
      </c>
      <c r="I13249" t="s">
        <v>506</v>
      </c>
      <c r="J13249" t="s">
        <v>507</v>
      </c>
      <c r="K13249" t="s">
        <v>33</v>
      </c>
      <c r="L13249" t="s">
        <v>508</v>
      </c>
      <c r="N13249" t="s">
        <v>29</v>
      </c>
    </row>
    <row r="13250" spans="1:14">
      <c r="A13250" s="4" t="str">
        <f t="shared" si="1119"/>
        <v>EXP00408</v>
      </c>
      <c r="B13250" s="3" t="s">
        <v>66</v>
      </c>
      <c r="C13250" s="4" t="str">
        <f t="shared" si="1118"/>
        <v>TCGA-BLCA</v>
      </c>
      <c r="D13250" s="1" t="s">
        <v>493</v>
      </c>
      <c r="E13250" t="s">
        <v>522</v>
      </c>
      <c r="F13250" s="1">
        <v>2</v>
      </c>
      <c r="G13250" s="1" t="s">
        <v>28</v>
      </c>
      <c r="H13250" s="4" t="str">
        <f>HYPERLINK("https://portal.gdc.cancer.gov/cases/33bc6a7c-9844-41e3-96b3-1e34bb3fedd5","TCGA-GV-A3QH-01A")</f>
        <v>TCGA-GV-A3QH-01A</v>
      </c>
      <c r="I13250" t="s">
        <v>506</v>
      </c>
      <c r="J13250" t="s">
        <v>507</v>
      </c>
      <c r="K13250" t="s">
        <v>33</v>
      </c>
      <c r="L13250" t="s">
        <v>508</v>
      </c>
      <c r="N13250" t="s">
        <v>29</v>
      </c>
    </row>
    <row r="13251" spans="1:14">
      <c r="A13251" s="4" t="str">
        <f t="shared" si="1119"/>
        <v>EXP00408</v>
      </c>
      <c r="B13251" s="3" t="s">
        <v>66</v>
      </c>
      <c r="C13251" s="4" t="str">
        <f t="shared" si="1118"/>
        <v>TCGA-BLCA</v>
      </c>
      <c r="D13251" s="1" t="s">
        <v>493</v>
      </c>
      <c r="E13251" t="s">
        <v>522</v>
      </c>
      <c r="F13251" s="1">
        <v>2</v>
      </c>
      <c r="G13251" s="1" t="s">
        <v>28</v>
      </c>
      <c r="H13251" s="4" t="str">
        <f>HYPERLINK("https://portal.gdc.cancer.gov/cases/06f936e9-5a90-40d3-b91a-713f2b4e6e11","TCGA-GV-A3QI-01A")</f>
        <v>TCGA-GV-A3QI-01A</v>
      </c>
      <c r="I13251" t="s">
        <v>506</v>
      </c>
      <c r="J13251" t="s">
        <v>507</v>
      </c>
      <c r="K13251" t="s">
        <v>33</v>
      </c>
      <c r="L13251" t="s">
        <v>508</v>
      </c>
      <c r="N13251" t="s">
        <v>29</v>
      </c>
    </row>
    <row r="13252" spans="1:14">
      <c r="A13252" s="4" t="str">
        <f t="shared" si="1119"/>
        <v>EXP00408</v>
      </c>
      <c r="B13252" s="3" t="s">
        <v>66</v>
      </c>
      <c r="C13252" s="4" t="str">
        <f t="shared" si="1118"/>
        <v>TCGA-BLCA</v>
      </c>
      <c r="D13252" s="1" t="s">
        <v>493</v>
      </c>
      <c r="E13252" t="s">
        <v>522</v>
      </c>
      <c r="F13252" s="1">
        <v>2</v>
      </c>
      <c r="G13252" s="1" t="s">
        <v>28</v>
      </c>
      <c r="H13252" s="4" t="str">
        <f>HYPERLINK("https://portal.gdc.cancer.gov/cases/9ee8e704-c61d-413d-b69d-257ef829fdae","TCGA-GV-A3QK-01B")</f>
        <v>TCGA-GV-A3QK-01B</v>
      </c>
      <c r="I13252" t="s">
        <v>506</v>
      </c>
      <c r="J13252" t="s">
        <v>507</v>
      </c>
      <c r="K13252" t="s">
        <v>33</v>
      </c>
      <c r="L13252" t="s">
        <v>508</v>
      </c>
      <c r="N13252" t="s">
        <v>29</v>
      </c>
    </row>
    <row r="13253" spans="1:14">
      <c r="A13253" s="4" t="str">
        <f t="shared" si="1119"/>
        <v>EXP00408</v>
      </c>
      <c r="B13253" s="3" t="s">
        <v>66</v>
      </c>
      <c r="C13253" s="4" t="str">
        <f t="shared" si="1118"/>
        <v>TCGA-BLCA</v>
      </c>
      <c r="D13253" s="1" t="s">
        <v>493</v>
      </c>
      <c r="E13253" t="s">
        <v>522</v>
      </c>
      <c r="F13253" s="1">
        <v>2</v>
      </c>
      <c r="G13253" s="1" t="s">
        <v>28</v>
      </c>
      <c r="H13253" s="4" t="str">
        <f>HYPERLINK("https://portal.gdc.cancer.gov/cases/aa6142af-bad7-493c-98a0-fd070de39073","TCGA-GV-A40E-01A")</f>
        <v>TCGA-GV-A40E-01A</v>
      </c>
      <c r="I13253" t="s">
        <v>506</v>
      </c>
      <c r="J13253" t="s">
        <v>507</v>
      </c>
      <c r="K13253" t="s">
        <v>33</v>
      </c>
      <c r="L13253" t="s">
        <v>508</v>
      </c>
      <c r="N13253" t="s">
        <v>29</v>
      </c>
    </row>
    <row r="13254" spans="1:14">
      <c r="A13254" s="4" t="str">
        <f t="shared" si="1119"/>
        <v>EXP00408</v>
      </c>
      <c r="B13254" s="3" t="s">
        <v>66</v>
      </c>
      <c r="C13254" s="4" t="str">
        <f t="shared" si="1118"/>
        <v>TCGA-BLCA</v>
      </c>
      <c r="D13254" s="1" t="s">
        <v>493</v>
      </c>
      <c r="E13254" t="s">
        <v>522</v>
      </c>
      <c r="F13254" s="1">
        <v>2</v>
      </c>
      <c r="G13254" s="1" t="s">
        <v>28</v>
      </c>
      <c r="H13254" s="4" t="str">
        <f>HYPERLINK("https://portal.gdc.cancer.gov/cases/10422fe9-8d70-40a9-9875-3fe9fab68823","TCGA-GV-A40G-01A")</f>
        <v>TCGA-GV-A40G-01A</v>
      </c>
      <c r="I13254" t="s">
        <v>506</v>
      </c>
      <c r="J13254" t="s">
        <v>507</v>
      </c>
      <c r="K13254" t="s">
        <v>33</v>
      </c>
      <c r="L13254" t="s">
        <v>508</v>
      </c>
      <c r="N13254" t="s">
        <v>29</v>
      </c>
    </row>
    <row r="13255" spans="1:14">
      <c r="A13255" s="4" t="str">
        <f t="shared" si="1119"/>
        <v>EXP00408</v>
      </c>
      <c r="B13255" s="3" t="s">
        <v>66</v>
      </c>
      <c r="C13255" s="4" t="str">
        <f t="shared" si="1118"/>
        <v>TCGA-BLCA</v>
      </c>
      <c r="D13255" s="1" t="s">
        <v>493</v>
      </c>
      <c r="E13255" t="s">
        <v>522</v>
      </c>
      <c r="F13255" s="1">
        <v>2</v>
      </c>
      <c r="G13255" s="1" t="s">
        <v>28</v>
      </c>
      <c r="H13255" s="4" t="str">
        <f>HYPERLINK("https://portal.gdc.cancer.gov/cases/f5c187ef-dc08-4466-932a-43aa33285673","TCGA-GV-A6ZA-01A")</f>
        <v>TCGA-GV-A6ZA-01A</v>
      </c>
      <c r="I13255" t="s">
        <v>506</v>
      </c>
      <c r="J13255" t="s">
        <v>507</v>
      </c>
      <c r="K13255" t="s">
        <v>33</v>
      </c>
      <c r="L13255" t="s">
        <v>508</v>
      </c>
      <c r="N13255" t="s">
        <v>29</v>
      </c>
    </row>
    <row r="13256" spans="1:14">
      <c r="A13256" s="4" t="str">
        <f t="shared" si="1119"/>
        <v>EXP00408</v>
      </c>
      <c r="B13256" s="3" t="s">
        <v>66</v>
      </c>
      <c r="C13256" s="4" t="str">
        <f t="shared" si="1118"/>
        <v>TCGA-BLCA</v>
      </c>
      <c r="D13256" s="1" t="s">
        <v>493</v>
      </c>
      <c r="E13256" t="s">
        <v>522</v>
      </c>
      <c r="F13256" s="1">
        <v>2</v>
      </c>
      <c r="G13256" s="1" t="s">
        <v>28</v>
      </c>
      <c r="H13256" s="4" t="str">
        <f>HYPERLINK("https://portal.gdc.cancer.gov/cases/86d1e388-b30f-48fd-9647-3848eb6134f1","TCGA-H4-A2HO-01A")</f>
        <v>TCGA-H4-A2HO-01A</v>
      </c>
      <c r="I13256" t="s">
        <v>506</v>
      </c>
      <c r="J13256" t="s">
        <v>507</v>
      </c>
      <c r="K13256" t="s">
        <v>33</v>
      </c>
      <c r="L13256" t="s">
        <v>508</v>
      </c>
      <c r="N13256" t="s">
        <v>29</v>
      </c>
    </row>
    <row r="13257" spans="1:14">
      <c r="A13257" s="4" t="str">
        <f t="shared" si="1119"/>
        <v>EXP00408</v>
      </c>
      <c r="B13257" s="3" t="s">
        <v>66</v>
      </c>
      <c r="C13257" s="4" t="str">
        <f t="shared" si="1118"/>
        <v>TCGA-BLCA</v>
      </c>
      <c r="D13257" s="1" t="s">
        <v>493</v>
      </c>
      <c r="E13257" t="s">
        <v>522</v>
      </c>
      <c r="F13257" s="1">
        <v>2</v>
      </c>
      <c r="G13257" s="1" t="s">
        <v>28</v>
      </c>
      <c r="H13257" s="4" t="str">
        <f>HYPERLINK("https://portal.gdc.cancer.gov/cases/cede5274-279d-4021-8aca-5ecc4bf94d66","TCGA-H4-A2HQ-01A")</f>
        <v>TCGA-H4-A2HQ-01A</v>
      </c>
      <c r="I13257" t="s">
        <v>506</v>
      </c>
      <c r="J13257" t="s">
        <v>507</v>
      </c>
      <c r="K13257" t="s">
        <v>33</v>
      </c>
      <c r="L13257" t="s">
        <v>508</v>
      </c>
      <c r="N13257" t="s">
        <v>29</v>
      </c>
    </row>
    <row r="13258" spans="1:14">
      <c r="A13258" s="4" t="str">
        <f t="shared" si="1119"/>
        <v>EXP00408</v>
      </c>
      <c r="B13258" s="3" t="s">
        <v>66</v>
      </c>
      <c r="C13258" s="4" t="str">
        <f t="shared" si="1118"/>
        <v>TCGA-BLCA</v>
      </c>
      <c r="D13258" s="1" t="s">
        <v>493</v>
      </c>
      <c r="E13258" t="s">
        <v>522</v>
      </c>
      <c r="F13258" s="1">
        <v>2</v>
      </c>
      <c r="G13258" s="1" t="s">
        <v>28</v>
      </c>
      <c r="H13258" s="4" t="str">
        <f>HYPERLINK("https://portal.gdc.cancer.gov/cases/353c5fcc-9c6a-4ac6-99dc-fb4573b2ae6c","TCGA-HQ-A2OE-01A")</f>
        <v>TCGA-HQ-A2OE-01A</v>
      </c>
      <c r="I13258" t="s">
        <v>506</v>
      </c>
      <c r="J13258" t="s">
        <v>507</v>
      </c>
      <c r="K13258" t="s">
        <v>33</v>
      </c>
      <c r="L13258" t="s">
        <v>508</v>
      </c>
      <c r="N13258" t="s">
        <v>29</v>
      </c>
    </row>
    <row r="13259" spans="1:14">
      <c r="A13259" s="4" t="str">
        <f t="shared" si="1119"/>
        <v>EXP00408</v>
      </c>
      <c r="B13259" s="3" t="s">
        <v>66</v>
      </c>
      <c r="C13259" s="4" t="str">
        <f t="shared" si="1118"/>
        <v>TCGA-BLCA</v>
      </c>
      <c r="D13259" s="1" t="s">
        <v>493</v>
      </c>
      <c r="E13259" t="s">
        <v>522</v>
      </c>
      <c r="F13259" s="1">
        <v>2</v>
      </c>
      <c r="G13259" s="1" t="s">
        <v>28</v>
      </c>
      <c r="H13259" s="4" t="str">
        <f>HYPERLINK("https://portal.gdc.cancer.gov/cases/691adaa9-196a-4b62-9437-640c4ae6e2b2","TCGA-HQ-A2OF-01A")</f>
        <v>TCGA-HQ-A2OF-01A</v>
      </c>
      <c r="I13259" t="s">
        <v>506</v>
      </c>
      <c r="J13259" t="s">
        <v>507</v>
      </c>
      <c r="K13259" t="s">
        <v>33</v>
      </c>
      <c r="L13259" t="s">
        <v>508</v>
      </c>
      <c r="N13259" t="s">
        <v>29</v>
      </c>
    </row>
    <row r="13260" spans="1:14">
      <c r="A13260" s="4" t="str">
        <f t="shared" si="1119"/>
        <v>EXP00408</v>
      </c>
      <c r="B13260" s="3" t="s">
        <v>66</v>
      </c>
      <c r="C13260" s="4" t="str">
        <f t="shared" si="1118"/>
        <v>TCGA-BLCA</v>
      </c>
      <c r="D13260" s="1" t="s">
        <v>493</v>
      </c>
      <c r="E13260" t="s">
        <v>522</v>
      </c>
      <c r="F13260" s="1">
        <v>2</v>
      </c>
      <c r="G13260" s="1" t="s">
        <v>28</v>
      </c>
      <c r="H13260" s="4" t="str">
        <f>HYPERLINK("https://portal.gdc.cancer.gov/cases/e053a911-2202-4c1f-bc93-904e26564e79","TCGA-HQ-A5NE-01A")</f>
        <v>TCGA-HQ-A5NE-01A</v>
      </c>
      <c r="I13260" t="s">
        <v>506</v>
      </c>
      <c r="J13260" t="s">
        <v>507</v>
      </c>
      <c r="K13260" t="s">
        <v>33</v>
      </c>
      <c r="L13260" t="s">
        <v>508</v>
      </c>
      <c r="N13260" t="s">
        <v>29</v>
      </c>
    </row>
    <row r="13261" spans="1:14">
      <c r="A13261" s="4" t="str">
        <f t="shared" si="1119"/>
        <v>EXP00408</v>
      </c>
      <c r="B13261" s="3" t="s">
        <v>66</v>
      </c>
      <c r="C13261" s="4" t="str">
        <f t="shared" si="1118"/>
        <v>TCGA-BLCA</v>
      </c>
      <c r="D13261" s="1" t="s">
        <v>493</v>
      </c>
      <c r="E13261" t="s">
        <v>522</v>
      </c>
      <c r="F13261" s="1">
        <v>2</v>
      </c>
      <c r="G13261" s="1" t="s">
        <v>28</v>
      </c>
      <c r="H13261" s="4" t="str">
        <f>HYPERLINK("https://portal.gdc.cancer.gov/cases/68adacd1-a16e-4489-9e68-792a6bd8811c","TCGA-K4-A3WS-01A")</f>
        <v>TCGA-K4-A3WS-01A</v>
      </c>
      <c r="I13261" t="s">
        <v>506</v>
      </c>
      <c r="J13261" t="s">
        <v>507</v>
      </c>
      <c r="K13261" t="s">
        <v>33</v>
      </c>
      <c r="L13261" t="s">
        <v>508</v>
      </c>
      <c r="N13261" t="s">
        <v>29</v>
      </c>
    </row>
    <row r="13262" spans="1:14">
      <c r="A13262" s="4" t="str">
        <f t="shared" si="1119"/>
        <v>EXP00408</v>
      </c>
      <c r="B13262" s="3" t="s">
        <v>66</v>
      </c>
      <c r="C13262" s="4" t="str">
        <f t="shared" si="1118"/>
        <v>TCGA-BLCA</v>
      </c>
      <c r="D13262" s="1" t="s">
        <v>493</v>
      </c>
      <c r="E13262" t="s">
        <v>522</v>
      </c>
      <c r="F13262" s="1">
        <v>2</v>
      </c>
      <c r="G13262" s="1" t="s">
        <v>28</v>
      </c>
      <c r="H13262" s="4" t="str">
        <f>HYPERLINK("https://portal.gdc.cancer.gov/cases/9aa6522a-120a-4691-993e-3f8534f644b5","TCGA-K4-A3WU-01B")</f>
        <v>TCGA-K4-A3WU-01B</v>
      </c>
      <c r="I13262" t="s">
        <v>506</v>
      </c>
      <c r="J13262" t="s">
        <v>507</v>
      </c>
      <c r="K13262" t="s">
        <v>33</v>
      </c>
      <c r="L13262" t="s">
        <v>508</v>
      </c>
      <c r="N13262" t="s">
        <v>29</v>
      </c>
    </row>
    <row r="13263" spans="1:14">
      <c r="A13263" s="4" t="str">
        <f t="shared" si="1119"/>
        <v>EXP00408</v>
      </c>
      <c r="B13263" s="3" t="s">
        <v>66</v>
      </c>
      <c r="C13263" s="4" t="str">
        <f t="shared" si="1118"/>
        <v>TCGA-BLCA</v>
      </c>
      <c r="D13263" s="1" t="s">
        <v>493</v>
      </c>
      <c r="E13263" t="s">
        <v>522</v>
      </c>
      <c r="F13263" s="1">
        <v>2</v>
      </c>
      <c r="G13263" s="1" t="s">
        <v>28</v>
      </c>
      <c r="H13263" s="4" t="str">
        <f>HYPERLINK("https://portal.gdc.cancer.gov/cases/d53eade8-a845-4252-aece-92f3573486a7","TCGA-K4-A3WV-01A")</f>
        <v>TCGA-K4-A3WV-01A</v>
      </c>
      <c r="I13263" t="s">
        <v>506</v>
      </c>
      <c r="J13263" t="s">
        <v>507</v>
      </c>
      <c r="K13263" t="s">
        <v>33</v>
      </c>
      <c r="L13263" t="s">
        <v>508</v>
      </c>
      <c r="N13263" t="s">
        <v>29</v>
      </c>
    </row>
    <row r="13264" spans="1:14">
      <c r="A13264" s="4" t="str">
        <f t="shared" si="1119"/>
        <v>EXP00408</v>
      </c>
      <c r="B13264" s="3" t="s">
        <v>66</v>
      </c>
      <c r="C13264" s="4" t="str">
        <f t="shared" si="1118"/>
        <v>TCGA-BLCA</v>
      </c>
      <c r="D13264" s="1" t="s">
        <v>493</v>
      </c>
      <c r="E13264" t="s">
        <v>522</v>
      </c>
      <c r="F13264" s="1">
        <v>2</v>
      </c>
      <c r="G13264" s="1" t="s">
        <v>28</v>
      </c>
      <c r="H13264" s="4" t="str">
        <f>HYPERLINK("https://portal.gdc.cancer.gov/cases/8b7556ed-2dab-4180-af5b-0e113e26b36e","TCGA-K4-A4AB-01B")</f>
        <v>TCGA-K4-A4AB-01B</v>
      </c>
      <c r="I13264" t="s">
        <v>506</v>
      </c>
      <c r="J13264" t="s">
        <v>507</v>
      </c>
      <c r="K13264" t="s">
        <v>33</v>
      </c>
      <c r="L13264" t="s">
        <v>508</v>
      </c>
      <c r="N13264" t="s">
        <v>29</v>
      </c>
    </row>
    <row r="13265" spans="1:14">
      <c r="A13265" s="4" t="str">
        <f t="shared" si="1119"/>
        <v>EXP00408</v>
      </c>
      <c r="B13265" s="3" t="s">
        <v>66</v>
      </c>
      <c r="C13265" s="4" t="str">
        <f t="shared" si="1118"/>
        <v>TCGA-BLCA</v>
      </c>
      <c r="D13265" s="1" t="s">
        <v>493</v>
      </c>
      <c r="E13265" t="s">
        <v>522</v>
      </c>
      <c r="F13265" s="1">
        <v>2</v>
      </c>
      <c r="G13265" s="1" t="s">
        <v>28</v>
      </c>
      <c r="H13265" s="4" t="str">
        <f>HYPERLINK("https://portal.gdc.cancer.gov/cases/2088ac24-a8b4-49af-a954-2b78b88a6f66","TCGA-K4-A4AC-01A")</f>
        <v>TCGA-K4-A4AC-01A</v>
      </c>
      <c r="I13265" t="s">
        <v>506</v>
      </c>
      <c r="J13265" t="s">
        <v>507</v>
      </c>
      <c r="K13265" t="s">
        <v>33</v>
      </c>
      <c r="L13265" t="s">
        <v>508</v>
      </c>
      <c r="N13265" t="s">
        <v>29</v>
      </c>
    </row>
    <row r="13266" spans="1:14">
      <c r="A13266" s="4" t="str">
        <f t="shared" si="1119"/>
        <v>EXP00408</v>
      </c>
      <c r="B13266" s="3" t="s">
        <v>66</v>
      </c>
      <c r="C13266" s="4" t="str">
        <f t="shared" ref="C13266:C13329" si="1120">HYPERLINK("https://portal.gdc.cancer.gov/projects/TCGA-BLCA","TCGA-BLCA")</f>
        <v>TCGA-BLCA</v>
      </c>
      <c r="D13266" s="1" t="s">
        <v>493</v>
      </c>
      <c r="E13266" t="s">
        <v>522</v>
      </c>
      <c r="F13266" s="1">
        <v>2</v>
      </c>
      <c r="G13266" s="1" t="s">
        <v>28</v>
      </c>
      <c r="H13266" s="4" t="str">
        <f>HYPERLINK("https://portal.gdc.cancer.gov/cases/52fddd92-fa5e-4fac-8e44-e64c98c84f86","TCGA-K4-A54R-01A")</f>
        <v>TCGA-K4-A54R-01A</v>
      </c>
      <c r="I13266" t="s">
        <v>506</v>
      </c>
      <c r="J13266" t="s">
        <v>507</v>
      </c>
      <c r="K13266" t="s">
        <v>33</v>
      </c>
      <c r="L13266" t="s">
        <v>508</v>
      </c>
      <c r="N13266" t="s">
        <v>29</v>
      </c>
    </row>
    <row r="13267" spans="1:14">
      <c r="A13267" s="4" t="str">
        <f t="shared" si="1119"/>
        <v>EXP00408</v>
      </c>
      <c r="B13267" s="3" t="s">
        <v>66</v>
      </c>
      <c r="C13267" s="4" t="str">
        <f t="shared" si="1120"/>
        <v>TCGA-BLCA</v>
      </c>
      <c r="D13267" s="1" t="s">
        <v>493</v>
      </c>
      <c r="E13267" t="s">
        <v>522</v>
      </c>
      <c r="F13267" s="1">
        <v>2</v>
      </c>
      <c r="G13267" s="1" t="s">
        <v>28</v>
      </c>
      <c r="H13267" s="4" t="str">
        <f>HYPERLINK("https://portal.gdc.cancer.gov/cases/32efe5e2-e037-4547-8ead-619f61647639","TCGA-K4-A5RI-01A")</f>
        <v>TCGA-K4-A5RI-01A</v>
      </c>
      <c r="I13267" t="s">
        <v>506</v>
      </c>
      <c r="J13267" t="s">
        <v>507</v>
      </c>
      <c r="K13267" t="s">
        <v>33</v>
      </c>
      <c r="L13267" t="s">
        <v>508</v>
      </c>
      <c r="N13267" t="s">
        <v>29</v>
      </c>
    </row>
    <row r="13268" spans="1:14">
      <c r="A13268" s="4" t="str">
        <f t="shared" si="1119"/>
        <v>EXP00408</v>
      </c>
      <c r="B13268" s="3" t="s">
        <v>66</v>
      </c>
      <c r="C13268" s="4" t="str">
        <f t="shared" si="1120"/>
        <v>TCGA-BLCA</v>
      </c>
      <c r="D13268" s="1" t="s">
        <v>493</v>
      </c>
      <c r="E13268" t="s">
        <v>522</v>
      </c>
      <c r="F13268" s="1">
        <v>2</v>
      </c>
      <c r="G13268" s="1" t="s">
        <v>28</v>
      </c>
      <c r="H13268" s="4" t="str">
        <f>HYPERLINK("https://portal.gdc.cancer.gov/cases/5a25658c-2436-4a47-8902-8a2cf4a1c20d","TCGA-K4-A5RJ-01A")</f>
        <v>TCGA-K4-A5RJ-01A</v>
      </c>
      <c r="I13268" t="s">
        <v>506</v>
      </c>
      <c r="J13268" t="s">
        <v>507</v>
      </c>
      <c r="K13268" t="s">
        <v>33</v>
      </c>
      <c r="L13268" t="s">
        <v>508</v>
      </c>
      <c r="N13268" t="s">
        <v>29</v>
      </c>
    </row>
    <row r="13269" spans="1:14">
      <c r="A13269" s="4" t="str">
        <f t="shared" si="1119"/>
        <v>EXP00408</v>
      </c>
      <c r="B13269" s="3" t="s">
        <v>66</v>
      </c>
      <c r="C13269" s="4" t="str">
        <f t="shared" si="1120"/>
        <v>TCGA-BLCA</v>
      </c>
      <c r="D13269" s="1" t="s">
        <v>493</v>
      </c>
      <c r="E13269" t="s">
        <v>522</v>
      </c>
      <c r="F13269" s="1">
        <v>2</v>
      </c>
      <c r="G13269" s="1" t="s">
        <v>28</v>
      </c>
      <c r="H13269" s="4" t="str">
        <f>HYPERLINK("https://portal.gdc.cancer.gov/cases/610811d5-e45e-4a4f-bdc1-8d700efd6e43","TCGA-K4-A6FZ-01A")</f>
        <v>TCGA-K4-A6FZ-01A</v>
      </c>
      <c r="I13269" t="s">
        <v>506</v>
      </c>
      <c r="J13269" t="s">
        <v>507</v>
      </c>
      <c r="K13269" t="s">
        <v>33</v>
      </c>
      <c r="L13269" t="s">
        <v>508</v>
      </c>
      <c r="N13269" t="s">
        <v>29</v>
      </c>
    </row>
    <row r="13270" spans="1:14">
      <c r="A13270" s="4" t="str">
        <f t="shared" si="1119"/>
        <v>EXP00408</v>
      </c>
      <c r="B13270" s="3" t="s">
        <v>66</v>
      </c>
      <c r="C13270" s="4" t="str">
        <f t="shared" si="1120"/>
        <v>TCGA-BLCA</v>
      </c>
      <c r="D13270" s="1" t="s">
        <v>493</v>
      </c>
      <c r="E13270" t="s">
        <v>522</v>
      </c>
      <c r="F13270" s="1">
        <v>2</v>
      </c>
      <c r="G13270" s="1" t="s">
        <v>28</v>
      </c>
      <c r="H13270" s="4" t="str">
        <f>HYPERLINK("https://portal.gdc.cancer.gov/cases/661d7b4a-a2b2-4251-b464-292421665948","TCGA-K4-A6MB-01A")</f>
        <v>TCGA-K4-A6MB-01A</v>
      </c>
      <c r="I13270" t="s">
        <v>506</v>
      </c>
      <c r="J13270" t="s">
        <v>507</v>
      </c>
      <c r="K13270" t="s">
        <v>33</v>
      </c>
      <c r="L13270" t="s">
        <v>508</v>
      </c>
      <c r="N13270" t="s">
        <v>29</v>
      </c>
    </row>
    <row r="13271" spans="1:14">
      <c r="A13271" s="4" t="str">
        <f t="shared" si="1119"/>
        <v>EXP00408</v>
      </c>
      <c r="B13271" s="3" t="s">
        <v>66</v>
      </c>
      <c r="C13271" s="4" t="str">
        <f t="shared" si="1120"/>
        <v>TCGA-BLCA</v>
      </c>
      <c r="D13271" s="1" t="s">
        <v>493</v>
      </c>
      <c r="E13271" t="s">
        <v>522</v>
      </c>
      <c r="F13271" s="1">
        <v>2</v>
      </c>
      <c r="G13271" s="1" t="s">
        <v>28</v>
      </c>
      <c r="H13271" s="4" t="str">
        <f>HYPERLINK("https://portal.gdc.cancer.gov/cases/383bf27a-9216-492e-b4bd-2b4eef8278de","TCGA-K4-AAQO-01A")</f>
        <v>TCGA-K4-AAQO-01A</v>
      </c>
      <c r="I13271" t="s">
        <v>506</v>
      </c>
      <c r="J13271" t="s">
        <v>507</v>
      </c>
      <c r="K13271" t="s">
        <v>33</v>
      </c>
      <c r="L13271" t="s">
        <v>508</v>
      </c>
      <c r="N13271" t="s">
        <v>29</v>
      </c>
    </row>
    <row r="13272" spans="1:14">
      <c r="A13272" s="4" t="str">
        <f t="shared" si="1119"/>
        <v>EXP00408</v>
      </c>
      <c r="B13272" s="3" t="s">
        <v>66</v>
      </c>
      <c r="C13272" s="4" t="str">
        <f t="shared" si="1120"/>
        <v>TCGA-BLCA</v>
      </c>
      <c r="D13272" s="1" t="s">
        <v>493</v>
      </c>
      <c r="E13272" t="s">
        <v>522</v>
      </c>
      <c r="F13272" s="1">
        <v>2</v>
      </c>
      <c r="G13272" s="1" t="s">
        <v>28</v>
      </c>
      <c r="H13272" s="4" t="str">
        <f>HYPERLINK("https://portal.gdc.cancer.gov/cases/67cadffc-460b-4a2a-b182-3794421992b4","TCGA-KQ-A41N-01A")</f>
        <v>TCGA-KQ-A41N-01A</v>
      </c>
      <c r="I13272" t="s">
        <v>506</v>
      </c>
      <c r="J13272" t="s">
        <v>507</v>
      </c>
      <c r="K13272" t="s">
        <v>33</v>
      </c>
      <c r="L13272" t="s">
        <v>508</v>
      </c>
      <c r="N13272" t="s">
        <v>29</v>
      </c>
    </row>
    <row r="13273" spans="1:14">
      <c r="A13273" s="4" t="str">
        <f t="shared" si="1119"/>
        <v>EXP00408</v>
      </c>
      <c r="B13273" s="3" t="s">
        <v>66</v>
      </c>
      <c r="C13273" s="4" t="str">
        <f t="shared" si="1120"/>
        <v>TCGA-BLCA</v>
      </c>
      <c r="D13273" s="1" t="s">
        <v>493</v>
      </c>
      <c r="E13273" t="s">
        <v>522</v>
      </c>
      <c r="F13273" s="1">
        <v>2</v>
      </c>
      <c r="G13273" s="1" t="s">
        <v>28</v>
      </c>
      <c r="H13273" s="4" t="str">
        <f>HYPERLINK("https://portal.gdc.cancer.gov/cases/9dd41965-7a62-464d-8a23-5c3f9565dd91","TCGA-KQ-A41O-01A")</f>
        <v>TCGA-KQ-A41O-01A</v>
      </c>
      <c r="I13273" t="s">
        <v>506</v>
      </c>
      <c r="J13273" t="s">
        <v>507</v>
      </c>
      <c r="K13273" t="s">
        <v>33</v>
      </c>
      <c r="L13273" t="s">
        <v>508</v>
      </c>
      <c r="N13273" t="s">
        <v>29</v>
      </c>
    </row>
    <row r="13274" spans="1:14">
      <c r="A13274" s="4" t="str">
        <f t="shared" si="1119"/>
        <v>EXP00408</v>
      </c>
      <c r="B13274" s="3" t="s">
        <v>66</v>
      </c>
      <c r="C13274" s="4" t="str">
        <f t="shared" si="1120"/>
        <v>TCGA-BLCA</v>
      </c>
      <c r="D13274" s="1" t="s">
        <v>493</v>
      </c>
      <c r="E13274" t="s">
        <v>522</v>
      </c>
      <c r="F13274" s="1">
        <v>2</v>
      </c>
      <c r="G13274" s="1" t="s">
        <v>28</v>
      </c>
      <c r="H13274" s="4" t="str">
        <f>HYPERLINK("https://portal.gdc.cancer.gov/cases/d7af7e2c-f742-46ed-814b-1967d7e8c2d2","TCGA-KQ-A41P-01A")</f>
        <v>TCGA-KQ-A41P-01A</v>
      </c>
      <c r="I13274" t="s">
        <v>506</v>
      </c>
      <c r="J13274" t="s">
        <v>507</v>
      </c>
      <c r="K13274" t="s">
        <v>33</v>
      </c>
      <c r="L13274" t="s">
        <v>508</v>
      </c>
      <c r="N13274" t="s">
        <v>29</v>
      </c>
    </row>
    <row r="13275" spans="1:14">
      <c r="A13275" s="4" t="str">
        <f t="shared" si="1119"/>
        <v>EXP00408</v>
      </c>
      <c r="B13275" s="3" t="s">
        <v>66</v>
      </c>
      <c r="C13275" s="4" t="str">
        <f t="shared" si="1120"/>
        <v>TCGA-BLCA</v>
      </c>
      <c r="D13275" s="1" t="s">
        <v>493</v>
      </c>
      <c r="E13275" t="s">
        <v>522</v>
      </c>
      <c r="F13275" s="1">
        <v>2</v>
      </c>
      <c r="G13275" s="1" t="s">
        <v>28</v>
      </c>
      <c r="H13275" s="4" t="str">
        <f>HYPERLINK("https://portal.gdc.cancer.gov/cases/a21bdd7e-f3cf-4826-9967-7eaffc0d035a","TCGA-KQ-A41Q-01A")</f>
        <v>TCGA-KQ-A41Q-01A</v>
      </c>
      <c r="I13275" t="s">
        <v>506</v>
      </c>
      <c r="J13275" t="s">
        <v>507</v>
      </c>
      <c r="K13275" t="s">
        <v>33</v>
      </c>
      <c r="L13275" t="s">
        <v>508</v>
      </c>
      <c r="N13275" t="s">
        <v>29</v>
      </c>
    </row>
    <row r="13276" spans="1:14">
      <c r="A13276" s="4" t="str">
        <f t="shared" si="1119"/>
        <v>EXP00408</v>
      </c>
      <c r="B13276" s="3" t="s">
        <v>66</v>
      </c>
      <c r="C13276" s="4" t="str">
        <f t="shared" si="1120"/>
        <v>TCGA-BLCA</v>
      </c>
      <c r="D13276" s="1" t="s">
        <v>493</v>
      </c>
      <c r="E13276" t="s">
        <v>522</v>
      </c>
      <c r="F13276" s="1">
        <v>2</v>
      </c>
      <c r="G13276" s="1" t="s">
        <v>28</v>
      </c>
      <c r="H13276" s="4" t="str">
        <f>HYPERLINK("https://portal.gdc.cancer.gov/cases/e492d5a9-7ec5-454b-ae89-077c90f67489","TCGA-KQ-A41R-01A")</f>
        <v>TCGA-KQ-A41R-01A</v>
      </c>
      <c r="I13276" t="s">
        <v>506</v>
      </c>
      <c r="J13276" t="s">
        <v>507</v>
      </c>
      <c r="K13276" t="s">
        <v>33</v>
      </c>
      <c r="L13276" t="s">
        <v>508</v>
      </c>
      <c r="N13276" t="s">
        <v>29</v>
      </c>
    </row>
    <row r="13277" spans="1:14">
      <c r="A13277" s="4" t="str">
        <f t="shared" si="1119"/>
        <v>EXP00408</v>
      </c>
      <c r="B13277" s="3" t="s">
        <v>66</v>
      </c>
      <c r="C13277" s="4" t="str">
        <f t="shared" si="1120"/>
        <v>TCGA-BLCA</v>
      </c>
      <c r="D13277" s="1" t="s">
        <v>493</v>
      </c>
      <c r="E13277" t="s">
        <v>522</v>
      </c>
      <c r="F13277" s="1">
        <v>2</v>
      </c>
      <c r="G13277" s="1" t="s">
        <v>28</v>
      </c>
      <c r="H13277" s="4" t="str">
        <f>HYPERLINK("https://portal.gdc.cancer.gov/cases/cc8602bb-78e2-4732-9784-83c3388b999e","TCGA-KQ-A41S-01A")</f>
        <v>TCGA-KQ-A41S-01A</v>
      </c>
      <c r="I13277" t="s">
        <v>506</v>
      </c>
      <c r="J13277" t="s">
        <v>507</v>
      </c>
      <c r="K13277" t="s">
        <v>33</v>
      </c>
      <c r="L13277" t="s">
        <v>508</v>
      </c>
      <c r="N13277" t="s">
        <v>29</v>
      </c>
    </row>
    <row r="13278" spans="1:14">
      <c r="A13278" s="4" t="str">
        <f t="shared" si="1119"/>
        <v>EXP00408</v>
      </c>
      <c r="B13278" s="3" t="s">
        <v>66</v>
      </c>
      <c r="C13278" s="4" t="str">
        <f t="shared" si="1120"/>
        <v>TCGA-BLCA</v>
      </c>
      <c r="D13278" s="1" t="s">
        <v>493</v>
      </c>
      <c r="E13278" t="s">
        <v>522</v>
      </c>
      <c r="F13278" s="1">
        <v>2</v>
      </c>
      <c r="G13278" s="1" t="s">
        <v>28</v>
      </c>
      <c r="H13278" s="4" t="str">
        <f>HYPERLINK("https://portal.gdc.cancer.gov/cases/39fdc742-8bdb-4e77-b20b-0f967a75e659","TCGA-LC-A66R-01A")</f>
        <v>TCGA-LC-A66R-01A</v>
      </c>
      <c r="I13278" t="s">
        <v>506</v>
      </c>
      <c r="J13278" t="s">
        <v>507</v>
      </c>
      <c r="K13278" t="s">
        <v>33</v>
      </c>
      <c r="L13278" t="s">
        <v>508</v>
      </c>
      <c r="N13278" t="s">
        <v>29</v>
      </c>
    </row>
    <row r="13279" spans="1:14">
      <c r="A13279" s="4" t="str">
        <f t="shared" si="1119"/>
        <v>EXP00408</v>
      </c>
      <c r="B13279" s="3" t="s">
        <v>66</v>
      </c>
      <c r="C13279" s="4" t="str">
        <f t="shared" si="1120"/>
        <v>TCGA-BLCA</v>
      </c>
      <c r="D13279" s="1" t="s">
        <v>493</v>
      </c>
      <c r="E13279" t="s">
        <v>522</v>
      </c>
      <c r="F13279" s="1">
        <v>2</v>
      </c>
      <c r="G13279" s="1" t="s">
        <v>28</v>
      </c>
      <c r="H13279" s="4" t="str">
        <f>HYPERLINK("https://portal.gdc.cancer.gov/cases/ec7fc492-53cc-4b71-a66a-1cef1adeba33","TCGA-LT-A5Z6-01A")</f>
        <v>TCGA-LT-A5Z6-01A</v>
      </c>
      <c r="I13279" t="s">
        <v>506</v>
      </c>
      <c r="J13279" t="s">
        <v>507</v>
      </c>
      <c r="K13279" t="s">
        <v>33</v>
      </c>
      <c r="L13279" t="s">
        <v>508</v>
      </c>
      <c r="N13279" t="s">
        <v>29</v>
      </c>
    </row>
    <row r="13280" spans="1:14">
      <c r="A13280" s="4" t="str">
        <f t="shared" si="1119"/>
        <v>EXP00408</v>
      </c>
      <c r="B13280" s="3" t="s">
        <v>66</v>
      </c>
      <c r="C13280" s="4" t="str">
        <f t="shared" si="1120"/>
        <v>TCGA-BLCA</v>
      </c>
      <c r="D13280" s="1" t="s">
        <v>493</v>
      </c>
      <c r="E13280" t="s">
        <v>522</v>
      </c>
      <c r="F13280" s="1">
        <v>2</v>
      </c>
      <c r="G13280" s="1" t="s">
        <v>28</v>
      </c>
      <c r="H13280" s="4" t="str">
        <f>HYPERLINK("https://portal.gdc.cancer.gov/cases/6aa72ca1-b378-4db4-b4ef-b12386683d1f","TCGA-LT-A8JT-01A")</f>
        <v>TCGA-LT-A8JT-01A</v>
      </c>
      <c r="I13280" t="s">
        <v>506</v>
      </c>
      <c r="J13280" t="s">
        <v>507</v>
      </c>
      <c r="K13280" t="s">
        <v>33</v>
      </c>
      <c r="L13280" t="s">
        <v>508</v>
      </c>
      <c r="N13280" t="s">
        <v>29</v>
      </c>
    </row>
    <row r="13281" spans="1:14">
      <c r="A13281" s="4" t="str">
        <f t="shared" si="1119"/>
        <v>EXP00408</v>
      </c>
      <c r="B13281" s="3" t="s">
        <v>66</v>
      </c>
      <c r="C13281" s="4" t="str">
        <f t="shared" si="1120"/>
        <v>TCGA-BLCA</v>
      </c>
      <c r="D13281" s="1" t="s">
        <v>493</v>
      </c>
      <c r="E13281" t="s">
        <v>522</v>
      </c>
      <c r="F13281" s="1">
        <v>2</v>
      </c>
      <c r="G13281" s="1" t="s">
        <v>28</v>
      </c>
      <c r="H13281" s="4" t="str">
        <f>HYPERLINK("https://portal.gdc.cancer.gov/cases/d2f329b3-5b44-414b-bccd-7b2d1345d21e","TCGA-MV-A51V-01A")</f>
        <v>TCGA-MV-A51V-01A</v>
      </c>
      <c r="I13281" t="s">
        <v>506</v>
      </c>
      <c r="J13281" t="s">
        <v>507</v>
      </c>
      <c r="K13281" t="s">
        <v>33</v>
      </c>
      <c r="L13281" t="s">
        <v>508</v>
      </c>
      <c r="N13281" t="s">
        <v>29</v>
      </c>
    </row>
    <row r="13282" spans="1:14">
      <c r="A13282" s="4" t="str">
        <f t="shared" si="1119"/>
        <v>EXP00408</v>
      </c>
      <c r="B13282" s="3" t="s">
        <v>66</v>
      </c>
      <c r="C13282" s="4" t="str">
        <f t="shared" si="1120"/>
        <v>TCGA-BLCA</v>
      </c>
      <c r="D13282" s="1" t="s">
        <v>493</v>
      </c>
      <c r="E13282" t="s">
        <v>522</v>
      </c>
      <c r="F13282" s="1">
        <v>2</v>
      </c>
      <c r="G13282" s="1" t="s">
        <v>28</v>
      </c>
      <c r="H13282" s="4" t="str">
        <f>HYPERLINK("https://portal.gdc.cancer.gov/cases/04b9090a-e8ef-4f52-bc52-af90caa84168","TCGA-PQ-A6FI-01A")</f>
        <v>TCGA-PQ-A6FI-01A</v>
      </c>
      <c r="I13282" t="s">
        <v>506</v>
      </c>
      <c r="J13282" t="s">
        <v>507</v>
      </c>
      <c r="K13282" t="s">
        <v>33</v>
      </c>
      <c r="L13282" t="s">
        <v>508</v>
      </c>
      <c r="N13282" t="s">
        <v>29</v>
      </c>
    </row>
    <row r="13283" spans="1:14">
      <c r="A13283" s="4" t="str">
        <f t="shared" si="1119"/>
        <v>EXP00408</v>
      </c>
      <c r="B13283" s="3" t="s">
        <v>66</v>
      </c>
      <c r="C13283" s="4" t="str">
        <f t="shared" si="1120"/>
        <v>TCGA-BLCA</v>
      </c>
      <c r="D13283" s="1" t="s">
        <v>493</v>
      </c>
      <c r="E13283" t="s">
        <v>522</v>
      </c>
      <c r="F13283" s="1">
        <v>2</v>
      </c>
      <c r="G13283" s="1" t="s">
        <v>28</v>
      </c>
      <c r="H13283" s="4" t="str">
        <f>HYPERLINK("https://portal.gdc.cancer.gov/cases/a3c849f2-c006-4368-950d-998a26cd368b","TCGA-PQ-A6FN-01A")</f>
        <v>TCGA-PQ-A6FN-01A</v>
      </c>
      <c r="I13283" t="s">
        <v>506</v>
      </c>
      <c r="J13283" t="s">
        <v>507</v>
      </c>
      <c r="K13283" t="s">
        <v>33</v>
      </c>
      <c r="L13283" t="s">
        <v>508</v>
      </c>
      <c r="N13283" t="s">
        <v>29</v>
      </c>
    </row>
    <row r="13284" spans="1:14">
      <c r="A13284" s="4" t="str">
        <f t="shared" si="1119"/>
        <v>EXP00408</v>
      </c>
      <c r="B13284" s="3" t="s">
        <v>66</v>
      </c>
      <c r="C13284" s="4" t="str">
        <f t="shared" si="1120"/>
        <v>TCGA-BLCA</v>
      </c>
      <c r="D13284" s="1" t="s">
        <v>493</v>
      </c>
      <c r="E13284" t="s">
        <v>522</v>
      </c>
      <c r="F13284" s="1">
        <v>2</v>
      </c>
      <c r="G13284" s="1" t="s">
        <v>28</v>
      </c>
      <c r="H13284" s="4" t="str">
        <f>HYPERLINK("https://portal.gdc.cancer.gov/cases/692a6ced-0246-4e5e-ad2f-20450073f335","TCGA-R3-A69X-01A")</f>
        <v>TCGA-R3-A69X-01A</v>
      </c>
      <c r="I13284" t="s">
        <v>506</v>
      </c>
      <c r="J13284" t="s">
        <v>507</v>
      </c>
      <c r="K13284" t="s">
        <v>33</v>
      </c>
      <c r="L13284" t="s">
        <v>508</v>
      </c>
      <c r="N13284" t="s">
        <v>29</v>
      </c>
    </row>
    <row r="13285" spans="1:14">
      <c r="A13285" s="4" t="str">
        <f t="shared" si="1119"/>
        <v>EXP00408</v>
      </c>
      <c r="B13285" s="3" t="s">
        <v>66</v>
      </c>
      <c r="C13285" s="4" t="str">
        <f t="shared" si="1120"/>
        <v>TCGA-BLCA</v>
      </c>
      <c r="D13285" s="1" t="s">
        <v>493</v>
      </c>
      <c r="E13285" t="s">
        <v>522</v>
      </c>
      <c r="F13285" s="1">
        <v>2</v>
      </c>
      <c r="G13285" s="1" t="s">
        <v>28</v>
      </c>
      <c r="H13285" s="4" t="str">
        <f>HYPERLINK("https://portal.gdc.cancer.gov/cases/76400a3d-45c4-47f8-bd81-0a345a949a1f","TCGA-S5-A6DX-01A")</f>
        <v>TCGA-S5-A6DX-01A</v>
      </c>
      <c r="I13285" t="s">
        <v>506</v>
      </c>
      <c r="J13285" t="s">
        <v>507</v>
      </c>
      <c r="K13285" t="s">
        <v>33</v>
      </c>
      <c r="L13285" t="s">
        <v>508</v>
      </c>
      <c r="N13285" t="s">
        <v>29</v>
      </c>
    </row>
    <row r="13286" spans="1:14">
      <c r="A13286" s="4" t="str">
        <f t="shared" si="1119"/>
        <v>EXP00408</v>
      </c>
      <c r="B13286" s="3" t="s">
        <v>66</v>
      </c>
      <c r="C13286" s="4" t="str">
        <f t="shared" si="1120"/>
        <v>TCGA-BLCA</v>
      </c>
      <c r="D13286" s="1" t="s">
        <v>493</v>
      </c>
      <c r="E13286" t="s">
        <v>522</v>
      </c>
      <c r="F13286" s="1">
        <v>2</v>
      </c>
      <c r="G13286" s="1" t="s">
        <v>28</v>
      </c>
      <c r="H13286" s="4" t="str">
        <f>HYPERLINK("https://portal.gdc.cancer.gov/cases/a540fcec-58a1-4e58-8e0a-8bf73b78e30d","TCGA-S5-AA26-01A")</f>
        <v>TCGA-S5-AA26-01A</v>
      </c>
      <c r="I13286" t="s">
        <v>506</v>
      </c>
      <c r="J13286" t="s">
        <v>507</v>
      </c>
      <c r="K13286" t="s">
        <v>33</v>
      </c>
      <c r="L13286" t="s">
        <v>508</v>
      </c>
      <c r="N13286" t="s">
        <v>29</v>
      </c>
    </row>
    <row r="13287" spans="1:14">
      <c r="A13287" s="4" t="str">
        <f t="shared" si="1119"/>
        <v>EXP00408</v>
      </c>
      <c r="B13287" s="3" t="s">
        <v>66</v>
      </c>
      <c r="C13287" s="4" t="str">
        <f t="shared" si="1120"/>
        <v>TCGA-BLCA</v>
      </c>
      <c r="D13287" s="1" t="s">
        <v>493</v>
      </c>
      <c r="E13287" t="s">
        <v>522</v>
      </c>
      <c r="F13287" s="1">
        <v>2</v>
      </c>
      <c r="G13287" s="1" t="s">
        <v>28</v>
      </c>
      <c r="H13287" s="4" t="str">
        <f>HYPERLINK("https://portal.gdc.cancer.gov/cases/423b7fc5-3970-4c96-990d-96ad0842f1eb","TCGA-SY-A9G0-01A")</f>
        <v>TCGA-SY-A9G0-01A</v>
      </c>
      <c r="I13287" t="s">
        <v>506</v>
      </c>
      <c r="J13287" t="s">
        <v>507</v>
      </c>
      <c r="K13287" t="s">
        <v>33</v>
      </c>
      <c r="L13287" t="s">
        <v>508</v>
      </c>
      <c r="N13287" t="s">
        <v>29</v>
      </c>
    </row>
    <row r="13288" spans="1:14">
      <c r="A13288" s="4" t="str">
        <f t="shared" si="1119"/>
        <v>EXP00408</v>
      </c>
      <c r="B13288" s="3" t="s">
        <v>66</v>
      </c>
      <c r="C13288" s="4" t="str">
        <f t="shared" si="1120"/>
        <v>TCGA-BLCA</v>
      </c>
      <c r="D13288" s="1" t="s">
        <v>493</v>
      </c>
      <c r="E13288" t="s">
        <v>522</v>
      </c>
      <c r="F13288" s="1">
        <v>2</v>
      </c>
      <c r="G13288" s="1" t="s">
        <v>28</v>
      </c>
      <c r="H13288" s="4" t="str">
        <f>HYPERLINK("https://portal.gdc.cancer.gov/cases/7d198ee2-d80a-4759-804f-a7ef85971843","TCGA-SY-A9G5-01A")</f>
        <v>TCGA-SY-A9G5-01A</v>
      </c>
      <c r="I13288" t="s">
        <v>506</v>
      </c>
      <c r="J13288" t="s">
        <v>507</v>
      </c>
      <c r="K13288" t="s">
        <v>33</v>
      </c>
      <c r="L13288" t="s">
        <v>508</v>
      </c>
      <c r="N13288" t="s">
        <v>29</v>
      </c>
    </row>
    <row r="13289" spans="1:14">
      <c r="A13289" s="4" t="str">
        <f t="shared" si="1119"/>
        <v>EXP00408</v>
      </c>
      <c r="B13289" s="3" t="s">
        <v>66</v>
      </c>
      <c r="C13289" s="4" t="str">
        <f t="shared" si="1120"/>
        <v>TCGA-BLCA</v>
      </c>
      <c r="D13289" s="1" t="s">
        <v>493</v>
      </c>
      <c r="E13289" t="s">
        <v>522</v>
      </c>
      <c r="F13289" s="1">
        <v>2</v>
      </c>
      <c r="G13289" s="1" t="s">
        <v>28</v>
      </c>
      <c r="H13289" s="4" t="str">
        <f>HYPERLINK("https://portal.gdc.cancer.gov/cases/5f587f1b-f835-4869-9e6d-8cb3b9e0610b","TCGA-UY-A78K-01A")</f>
        <v>TCGA-UY-A78K-01A</v>
      </c>
      <c r="I13289" t="s">
        <v>506</v>
      </c>
      <c r="J13289" t="s">
        <v>507</v>
      </c>
      <c r="K13289" t="s">
        <v>33</v>
      </c>
      <c r="L13289" t="s">
        <v>508</v>
      </c>
      <c r="N13289" t="s">
        <v>29</v>
      </c>
    </row>
    <row r="13290" spans="1:14">
      <c r="A13290" s="4" t="str">
        <f t="shared" si="1119"/>
        <v>EXP00408</v>
      </c>
      <c r="B13290" s="3" t="s">
        <v>66</v>
      </c>
      <c r="C13290" s="4" t="str">
        <f t="shared" si="1120"/>
        <v>TCGA-BLCA</v>
      </c>
      <c r="D13290" s="1" t="s">
        <v>493</v>
      </c>
      <c r="E13290" t="s">
        <v>522</v>
      </c>
      <c r="F13290" s="1">
        <v>2</v>
      </c>
      <c r="G13290" s="1" t="s">
        <v>28</v>
      </c>
      <c r="H13290" s="4" t="str">
        <f>HYPERLINK("https://portal.gdc.cancer.gov/cases/d46f7976-6061-4ca9-8294-6c215703662b","TCGA-UY-A78L-01A")</f>
        <v>TCGA-UY-A78L-01A</v>
      </c>
      <c r="I13290" t="s">
        <v>506</v>
      </c>
      <c r="J13290" t="s">
        <v>507</v>
      </c>
      <c r="K13290" t="s">
        <v>33</v>
      </c>
      <c r="L13290" t="s">
        <v>508</v>
      </c>
      <c r="N13290" t="s">
        <v>29</v>
      </c>
    </row>
    <row r="13291" spans="1:14">
      <c r="A13291" s="4" t="str">
        <f t="shared" si="1119"/>
        <v>EXP00408</v>
      </c>
      <c r="B13291" s="3" t="s">
        <v>66</v>
      </c>
      <c r="C13291" s="4" t="str">
        <f t="shared" si="1120"/>
        <v>TCGA-BLCA</v>
      </c>
      <c r="D13291" s="1" t="s">
        <v>493</v>
      </c>
      <c r="E13291" t="s">
        <v>522</v>
      </c>
      <c r="F13291" s="1">
        <v>2</v>
      </c>
      <c r="G13291" s="1" t="s">
        <v>28</v>
      </c>
      <c r="H13291" s="4" t="str">
        <f>HYPERLINK("https://portal.gdc.cancer.gov/cases/069b6e47-012c-483e-bee4-36a2a21a3486","TCGA-UY-A78M-01A")</f>
        <v>TCGA-UY-A78M-01A</v>
      </c>
      <c r="I13291" t="s">
        <v>506</v>
      </c>
      <c r="J13291" t="s">
        <v>507</v>
      </c>
      <c r="K13291" t="s">
        <v>33</v>
      </c>
      <c r="L13291" t="s">
        <v>508</v>
      </c>
      <c r="N13291" t="s">
        <v>29</v>
      </c>
    </row>
    <row r="13292" spans="1:14">
      <c r="A13292" s="4" t="str">
        <f t="shared" si="1119"/>
        <v>EXP00408</v>
      </c>
      <c r="B13292" s="3" t="s">
        <v>66</v>
      </c>
      <c r="C13292" s="4" t="str">
        <f t="shared" si="1120"/>
        <v>TCGA-BLCA</v>
      </c>
      <c r="D13292" s="1" t="s">
        <v>493</v>
      </c>
      <c r="E13292" t="s">
        <v>522</v>
      </c>
      <c r="F13292" s="1">
        <v>2</v>
      </c>
      <c r="G13292" s="1" t="s">
        <v>28</v>
      </c>
      <c r="H13292" s="4" t="str">
        <f>HYPERLINK("https://portal.gdc.cancer.gov/cases/573e124f-98cb-4014-b9d2-0499f7fbdb7a","TCGA-UY-A78N-01A")</f>
        <v>TCGA-UY-A78N-01A</v>
      </c>
      <c r="I13292" t="s">
        <v>506</v>
      </c>
      <c r="J13292" t="s">
        <v>507</v>
      </c>
      <c r="K13292" t="s">
        <v>33</v>
      </c>
      <c r="L13292" t="s">
        <v>508</v>
      </c>
      <c r="N13292" t="s">
        <v>29</v>
      </c>
    </row>
    <row r="13293" spans="1:14">
      <c r="A13293" s="4" t="str">
        <f t="shared" si="1119"/>
        <v>EXP00408</v>
      </c>
      <c r="B13293" s="3" t="s">
        <v>66</v>
      </c>
      <c r="C13293" s="4" t="str">
        <f t="shared" si="1120"/>
        <v>TCGA-BLCA</v>
      </c>
      <c r="D13293" s="1" t="s">
        <v>493</v>
      </c>
      <c r="E13293" t="s">
        <v>522</v>
      </c>
      <c r="F13293" s="1">
        <v>2</v>
      </c>
      <c r="G13293" s="1" t="s">
        <v>28</v>
      </c>
      <c r="H13293" s="4" t="str">
        <f>HYPERLINK("https://portal.gdc.cancer.gov/cases/4319aa02-6d8b-4cb8-b4e4-c4eed1cb2ac7","TCGA-UY-A78O-01A")</f>
        <v>TCGA-UY-A78O-01A</v>
      </c>
      <c r="I13293" t="s">
        <v>506</v>
      </c>
      <c r="J13293" t="s">
        <v>507</v>
      </c>
      <c r="K13293" t="s">
        <v>33</v>
      </c>
      <c r="L13293" t="s">
        <v>508</v>
      </c>
      <c r="N13293" t="s">
        <v>29</v>
      </c>
    </row>
    <row r="13294" spans="1:14">
      <c r="A13294" s="4" t="str">
        <f t="shared" si="1119"/>
        <v>EXP00408</v>
      </c>
      <c r="B13294" s="3" t="s">
        <v>66</v>
      </c>
      <c r="C13294" s="4" t="str">
        <f t="shared" si="1120"/>
        <v>TCGA-BLCA</v>
      </c>
      <c r="D13294" s="1" t="s">
        <v>493</v>
      </c>
      <c r="E13294" t="s">
        <v>522</v>
      </c>
      <c r="F13294" s="1">
        <v>2</v>
      </c>
      <c r="G13294" s="1" t="s">
        <v>28</v>
      </c>
      <c r="H13294" s="4" t="str">
        <f>HYPERLINK("https://portal.gdc.cancer.gov/cases/b8f3d552-2d4b-4dd8-b0e8-6a38e1baa2f3","TCGA-UY-A78P-01A")</f>
        <v>TCGA-UY-A78P-01A</v>
      </c>
      <c r="I13294" t="s">
        <v>506</v>
      </c>
      <c r="J13294" t="s">
        <v>507</v>
      </c>
      <c r="K13294" t="s">
        <v>33</v>
      </c>
      <c r="L13294" t="s">
        <v>508</v>
      </c>
      <c r="N13294" t="s">
        <v>29</v>
      </c>
    </row>
    <row r="13295" spans="1:14">
      <c r="A13295" s="4" t="str">
        <f t="shared" si="1119"/>
        <v>EXP00408</v>
      </c>
      <c r="B13295" s="3" t="s">
        <v>66</v>
      </c>
      <c r="C13295" s="4" t="str">
        <f t="shared" si="1120"/>
        <v>TCGA-BLCA</v>
      </c>
      <c r="D13295" s="1" t="s">
        <v>493</v>
      </c>
      <c r="E13295" t="s">
        <v>522</v>
      </c>
      <c r="F13295" s="1">
        <v>2</v>
      </c>
      <c r="G13295" s="1" t="s">
        <v>28</v>
      </c>
      <c r="H13295" s="4" t="str">
        <f>HYPERLINK("https://portal.gdc.cancer.gov/cases/fe33e5e0-a54d-481a-897c-e32b4708da69","TCGA-UY-A8OB-01A")</f>
        <v>TCGA-UY-A8OB-01A</v>
      </c>
      <c r="I13295" t="s">
        <v>506</v>
      </c>
      <c r="J13295" t="s">
        <v>507</v>
      </c>
      <c r="K13295" t="s">
        <v>33</v>
      </c>
      <c r="L13295" t="s">
        <v>508</v>
      </c>
      <c r="N13295" t="s">
        <v>29</v>
      </c>
    </row>
    <row r="13296" spans="1:14">
      <c r="A13296" s="4" t="str">
        <f t="shared" si="1119"/>
        <v>EXP00408</v>
      </c>
      <c r="B13296" s="3" t="s">
        <v>66</v>
      </c>
      <c r="C13296" s="4" t="str">
        <f t="shared" si="1120"/>
        <v>TCGA-BLCA</v>
      </c>
      <c r="D13296" s="1" t="s">
        <v>493</v>
      </c>
      <c r="E13296" t="s">
        <v>522</v>
      </c>
      <c r="F13296" s="1">
        <v>2</v>
      </c>
      <c r="G13296" s="1" t="s">
        <v>28</v>
      </c>
      <c r="H13296" s="4" t="str">
        <f>HYPERLINK("https://portal.gdc.cancer.gov/cases/5a0e4dc3-4ec6-4d27-bb7e-1d2221d06d33","TCGA-UY-A8OC-01A")</f>
        <v>TCGA-UY-A8OC-01A</v>
      </c>
      <c r="I13296" t="s">
        <v>506</v>
      </c>
      <c r="J13296" t="s">
        <v>507</v>
      </c>
      <c r="K13296" t="s">
        <v>33</v>
      </c>
      <c r="L13296" t="s">
        <v>508</v>
      </c>
      <c r="N13296" t="s">
        <v>29</v>
      </c>
    </row>
    <row r="13297" spans="1:14">
      <c r="A13297" s="4" t="str">
        <f t="shared" si="1119"/>
        <v>EXP00408</v>
      </c>
      <c r="B13297" s="3" t="s">
        <v>66</v>
      </c>
      <c r="C13297" s="4" t="str">
        <f t="shared" si="1120"/>
        <v>TCGA-BLCA</v>
      </c>
      <c r="D13297" s="1" t="s">
        <v>493</v>
      </c>
      <c r="E13297" t="s">
        <v>522</v>
      </c>
      <c r="F13297" s="1">
        <v>2</v>
      </c>
      <c r="G13297" s="1" t="s">
        <v>28</v>
      </c>
      <c r="H13297" s="4" t="str">
        <f>HYPERLINK("https://portal.gdc.cancer.gov/cases/fa2410b1-4f69-446d-99ee-a10a00034c42","TCGA-UY-A8OD-01A")</f>
        <v>TCGA-UY-A8OD-01A</v>
      </c>
      <c r="I13297" t="s">
        <v>506</v>
      </c>
      <c r="J13297" t="s">
        <v>507</v>
      </c>
      <c r="K13297" t="s">
        <v>33</v>
      </c>
      <c r="L13297" t="s">
        <v>508</v>
      </c>
      <c r="N13297" t="s">
        <v>29</v>
      </c>
    </row>
    <row r="13298" spans="1:14">
      <c r="A13298" s="4" t="str">
        <f t="shared" si="1119"/>
        <v>EXP00408</v>
      </c>
      <c r="B13298" s="3" t="s">
        <v>66</v>
      </c>
      <c r="C13298" s="4" t="str">
        <f t="shared" si="1120"/>
        <v>TCGA-BLCA</v>
      </c>
      <c r="D13298" s="1" t="s">
        <v>493</v>
      </c>
      <c r="E13298" t="s">
        <v>522</v>
      </c>
      <c r="F13298" s="1">
        <v>2</v>
      </c>
      <c r="G13298" s="1" t="s">
        <v>28</v>
      </c>
      <c r="H13298" s="4" t="str">
        <f>HYPERLINK("https://portal.gdc.cancer.gov/cases/45f5af14-060a-49a3-b51d-25ab8a88feb7","TCGA-UY-A9PA-01A")</f>
        <v>TCGA-UY-A9PA-01A</v>
      </c>
      <c r="I13298" t="s">
        <v>506</v>
      </c>
      <c r="J13298" t="s">
        <v>507</v>
      </c>
      <c r="K13298" t="s">
        <v>33</v>
      </c>
      <c r="L13298" t="s">
        <v>508</v>
      </c>
      <c r="N13298" t="s">
        <v>29</v>
      </c>
    </row>
    <row r="13299" spans="1:14">
      <c r="A13299" s="4" t="str">
        <f t="shared" si="1119"/>
        <v>EXP00408</v>
      </c>
      <c r="B13299" s="3" t="s">
        <v>66</v>
      </c>
      <c r="C13299" s="4" t="str">
        <f t="shared" si="1120"/>
        <v>TCGA-BLCA</v>
      </c>
      <c r="D13299" s="1" t="s">
        <v>493</v>
      </c>
      <c r="E13299" t="s">
        <v>522</v>
      </c>
      <c r="F13299" s="1">
        <v>2</v>
      </c>
      <c r="G13299" s="1" t="s">
        <v>28</v>
      </c>
      <c r="H13299" s="4" t="str">
        <f>HYPERLINK("https://portal.gdc.cancer.gov/cases/f90cff19-1c16-4514-8bc1-169539d01fca","TCGA-UY-A9PB-01A")</f>
        <v>TCGA-UY-A9PB-01A</v>
      </c>
      <c r="I13299" t="s">
        <v>506</v>
      </c>
      <c r="J13299" t="s">
        <v>507</v>
      </c>
      <c r="K13299" t="s">
        <v>33</v>
      </c>
      <c r="L13299" t="s">
        <v>508</v>
      </c>
      <c r="N13299" t="s">
        <v>29</v>
      </c>
    </row>
    <row r="13300" spans="1:14">
      <c r="A13300" s="4" t="str">
        <f t="shared" si="1119"/>
        <v>EXP00408</v>
      </c>
      <c r="B13300" s="3" t="s">
        <v>66</v>
      </c>
      <c r="C13300" s="4" t="str">
        <f t="shared" si="1120"/>
        <v>TCGA-BLCA</v>
      </c>
      <c r="D13300" s="1" t="s">
        <v>493</v>
      </c>
      <c r="E13300" t="s">
        <v>522</v>
      </c>
      <c r="F13300" s="1">
        <v>2</v>
      </c>
      <c r="G13300" s="1" t="s">
        <v>28</v>
      </c>
      <c r="H13300" s="4" t="str">
        <f>HYPERLINK("https://portal.gdc.cancer.gov/cases/9ef9e328-ac74-4c8a-9990-347b87cf7764","TCGA-UY-A9PD-01A")</f>
        <v>TCGA-UY-A9PD-01A</v>
      </c>
      <c r="I13300" t="s">
        <v>506</v>
      </c>
      <c r="J13300" t="s">
        <v>507</v>
      </c>
      <c r="K13300" t="s">
        <v>33</v>
      </c>
      <c r="L13300" t="s">
        <v>508</v>
      </c>
      <c r="N13300" t="s">
        <v>29</v>
      </c>
    </row>
    <row r="13301" spans="1:14">
      <c r="A13301" s="4" t="str">
        <f t="shared" si="1119"/>
        <v>EXP00408</v>
      </c>
      <c r="B13301" s="3" t="s">
        <v>66</v>
      </c>
      <c r="C13301" s="4" t="str">
        <f t="shared" si="1120"/>
        <v>TCGA-BLCA</v>
      </c>
      <c r="D13301" s="1" t="s">
        <v>493</v>
      </c>
      <c r="E13301" t="s">
        <v>522</v>
      </c>
      <c r="F13301" s="1">
        <v>2</v>
      </c>
      <c r="G13301" s="1" t="s">
        <v>28</v>
      </c>
      <c r="H13301" s="4" t="str">
        <f>HYPERLINK("https://portal.gdc.cancer.gov/cases/fed69898-a229-4b81-bbd9-cdcb164dae7b","TCGA-UY-A9PE-01A")</f>
        <v>TCGA-UY-A9PE-01A</v>
      </c>
      <c r="I13301" t="s">
        <v>506</v>
      </c>
      <c r="J13301" t="s">
        <v>507</v>
      </c>
      <c r="K13301" t="s">
        <v>33</v>
      </c>
      <c r="L13301" t="s">
        <v>508</v>
      </c>
      <c r="N13301" t="s">
        <v>29</v>
      </c>
    </row>
    <row r="13302" spans="1:14">
      <c r="A13302" s="4" t="str">
        <f t="shared" si="1119"/>
        <v>EXP00408</v>
      </c>
      <c r="B13302" s="3" t="s">
        <v>66</v>
      </c>
      <c r="C13302" s="4" t="str">
        <f t="shared" si="1120"/>
        <v>TCGA-BLCA</v>
      </c>
      <c r="D13302" s="1" t="s">
        <v>493</v>
      </c>
      <c r="E13302" t="s">
        <v>522</v>
      </c>
      <c r="F13302" s="1">
        <v>2</v>
      </c>
      <c r="G13302" s="1" t="s">
        <v>28</v>
      </c>
      <c r="H13302" s="4" t="str">
        <f>HYPERLINK("https://portal.gdc.cancer.gov/cases/3bd918a8-3b92-4042-b4a1-f9dfcd6fe405","TCGA-UY-A9PF-01A")</f>
        <v>TCGA-UY-A9PF-01A</v>
      </c>
      <c r="I13302" t="s">
        <v>506</v>
      </c>
      <c r="J13302" t="s">
        <v>507</v>
      </c>
      <c r="K13302" t="s">
        <v>33</v>
      </c>
      <c r="L13302" t="s">
        <v>508</v>
      </c>
      <c r="N13302" t="s">
        <v>29</v>
      </c>
    </row>
    <row r="13303" spans="1:14">
      <c r="A13303" s="4" t="str">
        <f t="shared" ref="A13303:A13369" si="1121">HYPERLINK("http://hcmdb.i-sanger.com/experiment/details/experiment_id/EXP00408","EXP00408")</f>
        <v>EXP00408</v>
      </c>
      <c r="B13303" s="3" t="s">
        <v>66</v>
      </c>
      <c r="C13303" s="4" t="str">
        <f t="shared" si="1120"/>
        <v>TCGA-BLCA</v>
      </c>
      <c r="D13303" s="1" t="s">
        <v>493</v>
      </c>
      <c r="E13303" t="s">
        <v>522</v>
      </c>
      <c r="F13303" s="1">
        <v>2</v>
      </c>
      <c r="G13303" s="1" t="s">
        <v>28</v>
      </c>
      <c r="H13303" s="4" t="str">
        <f>HYPERLINK("https://portal.gdc.cancer.gov/cases/cd10dc46-356a-420b-b3f5-9e4ed4e7ecab","TCGA-UY-A9PH-01A")</f>
        <v>TCGA-UY-A9PH-01A</v>
      </c>
      <c r="I13303" t="s">
        <v>506</v>
      </c>
      <c r="J13303" t="s">
        <v>507</v>
      </c>
      <c r="K13303" t="s">
        <v>33</v>
      </c>
      <c r="L13303" t="s">
        <v>508</v>
      </c>
      <c r="N13303" t="s">
        <v>29</v>
      </c>
    </row>
    <row r="13304" spans="1:14">
      <c r="A13304" s="4" t="str">
        <f t="shared" si="1121"/>
        <v>EXP00408</v>
      </c>
      <c r="B13304" s="3" t="s">
        <v>66</v>
      </c>
      <c r="C13304" s="4" t="str">
        <f t="shared" si="1120"/>
        <v>TCGA-BLCA</v>
      </c>
      <c r="D13304" s="1" t="s">
        <v>493</v>
      </c>
      <c r="E13304" t="s">
        <v>522</v>
      </c>
      <c r="F13304" s="1">
        <v>2</v>
      </c>
      <c r="G13304" s="1" t="s">
        <v>28</v>
      </c>
      <c r="H13304" s="4" t="str">
        <f>HYPERLINK("https://portal.gdc.cancer.gov/cases/90bf49b7-6710-4665-82df-30ecc22c59a3","TCGA-XF-A8HB-01A")</f>
        <v>TCGA-XF-A8HB-01A</v>
      </c>
      <c r="I13304" t="s">
        <v>506</v>
      </c>
      <c r="J13304" t="s">
        <v>507</v>
      </c>
      <c r="K13304" t="s">
        <v>33</v>
      </c>
      <c r="L13304" t="s">
        <v>508</v>
      </c>
      <c r="N13304" t="s">
        <v>29</v>
      </c>
    </row>
    <row r="13305" spans="1:14">
      <c r="A13305" s="4" t="str">
        <f t="shared" si="1121"/>
        <v>EXP00408</v>
      </c>
      <c r="B13305" s="3" t="s">
        <v>66</v>
      </c>
      <c r="C13305" s="4" t="str">
        <f t="shared" si="1120"/>
        <v>TCGA-BLCA</v>
      </c>
      <c r="D13305" s="1" t="s">
        <v>493</v>
      </c>
      <c r="E13305" t="s">
        <v>522</v>
      </c>
      <c r="F13305" s="1">
        <v>2</v>
      </c>
      <c r="G13305" s="1" t="s">
        <v>28</v>
      </c>
      <c r="H13305" s="4" t="str">
        <f>HYPERLINK("https://portal.gdc.cancer.gov/cases/17ee3278-dc2a-4021-a903-e4ed11e3218b","TCGA-XF-A8HC-01A")</f>
        <v>TCGA-XF-A8HC-01A</v>
      </c>
      <c r="I13305" t="s">
        <v>506</v>
      </c>
      <c r="J13305" t="s">
        <v>507</v>
      </c>
      <c r="K13305" t="s">
        <v>33</v>
      </c>
      <c r="L13305" t="s">
        <v>508</v>
      </c>
      <c r="N13305" t="s">
        <v>29</v>
      </c>
    </row>
    <row r="13306" spans="1:14">
      <c r="A13306" s="4" t="str">
        <f t="shared" si="1121"/>
        <v>EXP00408</v>
      </c>
      <c r="B13306" s="3" t="s">
        <v>66</v>
      </c>
      <c r="C13306" s="4" t="str">
        <f t="shared" si="1120"/>
        <v>TCGA-BLCA</v>
      </c>
      <c r="D13306" s="1" t="s">
        <v>493</v>
      </c>
      <c r="E13306" t="s">
        <v>522</v>
      </c>
      <c r="F13306" s="1">
        <v>2</v>
      </c>
      <c r="G13306" s="1" t="s">
        <v>28</v>
      </c>
      <c r="H13306" s="4" t="str">
        <f>HYPERLINK("https://portal.gdc.cancer.gov/cases/dfc67e7b-3986-4129-ae02-4d8f57e776e3","TCGA-XF-A8HD-01A")</f>
        <v>TCGA-XF-A8HD-01A</v>
      </c>
      <c r="I13306" t="s">
        <v>506</v>
      </c>
      <c r="J13306" t="s">
        <v>507</v>
      </c>
      <c r="K13306" t="s">
        <v>33</v>
      </c>
      <c r="L13306" t="s">
        <v>508</v>
      </c>
      <c r="N13306" t="s">
        <v>29</v>
      </c>
    </row>
    <row r="13307" spans="1:14">
      <c r="A13307" s="4" t="str">
        <f t="shared" si="1121"/>
        <v>EXP00408</v>
      </c>
      <c r="B13307" s="3" t="s">
        <v>66</v>
      </c>
      <c r="C13307" s="4" t="str">
        <f t="shared" si="1120"/>
        <v>TCGA-BLCA</v>
      </c>
      <c r="D13307" s="1" t="s">
        <v>493</v>
      </c>
      <c r="E13307" t="s">
        <v>522</v>
      </c>
      <c r="F13307" s="1">
        <v>2</v>
      </c>
      <c r="G13307" s="1" t="s">
        <v>28</v>
      </c>
      <c r="H13307" s="4" t="str">
        <f>HYPERLINK("https://portal.gdc.cancer.gov/cases/841b4582-a268-4a55-a9a2-47c7e5c3b69f","TCGA-XF-A8HE-01A")</f>
        <v>TCGA-XF-A8HE-01A</v>
      </c>
      <c r="I13307" t="s">
        <v>506</v>
      </c>
      <c r="J13307" t="s">
        <v>507</v>
      </c>
      <c r="K13307" t="s">
        <v>33</v>
      </c>
      <c r="L13307" t="s">
        <v>508</v>
      </c>
      <c r="N13307" t="s">
        <v>29</v>
      </c>
    </row>
    <row r="13308" spans="1:14">
      <c r="A13308" s="4" t="str">
        <f t="shared" si="1121"/>
        <v>EXP00408</v>
      </c>
      <c r="B13308" s="3" t="s">
        <v>66</v>
      </c>
      <c r="C13308" s="4" t="str">
        <f t="shared" si="1120"/>
        <v>TCGA-BLCA</v>
      </c>
      <c r="D13308" s="1" t="s">
        <v>493</v>
      </c>
      <c r="E13308" t="s">
        <v>522</v>
      </c>
      <c r="F13308" s="1">
        <v>2</v>
      </c>
      <c r="G13308" s="1" t="s">
        <v>28</v>
      </c>
      <c r="H13308" s="4" t="str">
        <f>HYPERLINK("https://portal.gdc.cancer.gov/cases/8573e114-ac20-4113-a942-01f2d1562a7b","TCGA-XF-A8HF-01A")</f>
        <v>TCGA-XF-A8HF-01A</v>
      </c>
      <c r="I13308" t="s">
        <v>506</v>
      </c>
      <c r="J13308" t="s">
        <v>507</v>
      </c>
      <c r="K13308" t="s">
        <v>33</v>
      </c>
      <c r="L13308" t="s">
        <v>508</v>
      </c>
      <c r="N13308" t="s">
        <v>29</v>
      </c>
    </row>
    <row r="13309" spans="1:14">
      <c r="A13309" s="4" t="str">
        <f t="shared" si="1121"/>
        <v>EXP00408</v>
      </c>
      <c r="B13309" s="3" t="s">
        <v>66</v>
      </c>
      <c r="C13309" s="4" t="str">
        <f t="shared" si="1120"/>
        <v>TCGA-BLCA</v>
      </c>
      <c r="D13309" s="1" t="s">
        <v>493</v>
      </c>
      <c r="E13309" t="s">
        <v>522</v>
      </c>
      <c r="F13309" s="1">
        <v>2</v>
      </c>
      <c r="G13309" s="1" t="s">
        <v>28</v>
      </c>
      <c r="H13309" s="4" t="str">
        <f>HYPERLINK("https://portal.gdc.cancer.gov/cases/02964d82-cc94-4286-a66f-03567101950c","TCGA-XF-A8HH-01A")</f>
        <v>TCGA-XF-A8HH-01A</v>
      </c>
      <c r="I13309" t="s">
        <v>506</v>
      </c>
      <c r="J13309" t="s">
        <v>507</v>
      </c>
      <c r="K13309" t="s">
        <v>33</v>
      </c>
      <c r="L13309" t="s">
        <v>508</v>
      </c>
      <c r="N13309" t="s">
        <v>29</v>
      </c>
    </row>
    <row r="13310" spans="1:14">
      <c r="A13310" s="4" t="str">
        <f t="shared" si="1121"/>
        <v>EXP00408</v>
      </c>
      <c r="B13310" s="3" t="s">
        <v>66</v>
      </c>
      <c r="C13310" s="4" t="str">
        <f t="shared" si="1120"/>
        <v>TCGA-BLCA</v>
      </c>
      <c r="D13310" s="1" t="s">
        <v>493</v>
      </c>
      <c r="E13310" t="s">
        <v>522</v>
      </c>
      <c r="F13310" s="1">
        <v>2</v>
      </c>
      <c r="G13310" s="1" t="s">
        <v>28</v>
      </c>
      <c r="H13310" s="4" t="str">
        <f>HYPERLINK("https://portal.gdc.cancer.gov/cases/b838a4db-ef0a-4d88-a220-bf57e31e0b3c","TCGA-XF-A9SH-01A")</f>
        <v>TCGA-XF-A9SH-01A</v>
      </c>
      <c r="I13310" t="s">
        <v>506</v>
      </c>
      <c r="J13310" t="s">
        <v>507</v>
      </c>
      <c r="K13310" t="s">
        <v>33</v>
      </c>
      <c r="L13310" t="s">
        <v>508</v>
      </c>
      <c r="N13310" t="s">
        <v>29</v>
      </c>
    </row>
    <row r="13311" spans="1:14">
      <c r="A13311" s="4" t="str">
        <f t="shared" si="1121"/>
        <v>EXP00408</v>
      </c>
      <c r="B13311" s="3" t="s">
        <v>66</v>
      </c>
      <c r="C13311" s="4" t="str">
        <f t="shared" si="1120"/>
        <v>TCGA-BLCA</v>
      </c>
      <c r="D13311" s="1" t="s">
        <v>493</v>
      </c>
      <c r="E13311" t="s">
        <v>522</v>
      </c>
      <c r="F13311" s="1">
        <v>2</v>
      </c>
      <c r="G13311" s="1" t="s">
        <v>28</v>
      </c>
      <c r="H13311" s="4" t="str">
        <f>HYPERLINK("https://portal.gdc.cancer.gov/cases/6b0c8e8d-8aba-413d-85ed-631653f00ca9","TCGA-XF-A9SI-01A")</f>
        <v>TCGA-XF-A9SI-01A</v>
      </c>
      <c r="I13311" t="s">
        <v>506</v>
      </c>
      <c r="J13311" t="s">
        <v>507</v>
      </c>
      <c r="K13311" t="s">
        <v>33</v>
      </c>
      <c r="L13311" t="s">
        <v>508</v>
      </c>
      <c r="N13311" t="s">
        <v>29</v>
      </c>
    </row>
    <row r="13312" spans="1:14">
      <c r="A13312" s="4" t="str">
        <f t="shared" si="1121"/>
        <v>EXP00408</v>
      </c>
      <c r="B13312" s="3" t="s">
        <v>66</v>
      </c>
      <c r="C13312" s="4" t="str">
        <f t="shared" si="1120"/>
        <v>TCGA-BLCA</v>
      </c>
      <c r="D13312" s="1" t="s">
        <v>493</v>
      </c>
      <c r="E13312" t="s">
        <v>522</v>
      </c>
      <c r="F13312" s="1">
        <v>2</v>
      </c>
      <c r="G13312" s="1" t="s">
        <v>28</v>
      </c>
      <c r="H13312" s="4" t="str">
        <f>HYPERLINK("https://portal.gdc.cancer.gov/cases/b319798a-3f35-4902-8ecf-5be529d99312","TCGA-XF-A9SJ-01A")</f>
        <v>TCGA-XF-A9SJ-01A</v>
      </c>
      <c r="I13312" t="s">
        <v>506</v>
      </c>
      <c r="J13312" t="s">
        <v>507</v>
      </c>
      <c r="K13312" t="s">
        <v>33</v>
      </c>
      <c r="L13312" t="s">
        <v>508</v>
      </c>
      <c r="N13312" t="s">
        <v>29</v>
      </c>
    </row>
    <row r="13313" spans="1:14">
      <c r="A13313" s="4" t="str">
        <f t="shared" si="1121"/>
        <v>EXP00408</v>
      </c>
      <c r="B13313" s="3" t="s">
        <v>66</v>
      </c>
      <c r="C13313" s="4" t="str">
        <f t="shared" si="1120"/>
        <v>TCGA-BLCA</v>
      </c>
      <c r="D13313" s="1" t="s">
        <v>493</v>
      </c>
      <c r="E13313" t="s">
        <v>522</v>
      </c>
      <c r="F13313" s="1">
        <v>2</v>
      </c>
      <c r="G13313" s="1" t="s">
        <v>28</v>
      </c>
      <c r="H13313" s="4" t="str">
        <f>HYPERLINK("https://portal.gdc.cancer.gov/cases/51fdb034-5d05-427b-b6b8-b6eecd65d976","TCGA-XF-A9SL-01A")</f>
        <v>TCGA-XF-A9SL-01A</v>
      </c>
      <c r="I13313" t="s">
        <v>506</v>
      </c>
      <c r="J13313" t="s">
        <v>507</v>
      </c>
      <c r="K13313" t="s">
        <v>33</v>
      </c>
      <c r="L13313" t="s">
        <v>508</v>
      </c>
      <c r="N13313" t="s">
        <v>29</v>
      </c>
    </row>
    <row r="13314" spans="1:14">
      <c r="A13314" s="4" t="str">
        <f t="shared" si="1121"/>
        <v>EXP00408</v>
      </c>
      <c r="B13314" s="3" t="s">
        <v>66</v>
      </c>
      <c r="C13314" s="4" t="str">
        <f t="shared" si="1120"/>
        <v>TCGA-BLCA</v>
      </c>
      <c r="D13314" s="1" t="s">
        <v>493</v>
      </c>
      <c r="E13314" t="s">
        <v>522</v>
      </c>
      <c r="F13314" s="1">
        <v>2</v>
      </c>
      <c r="G13314" s="1" t="s">
        <v>28</v>
      </c>
      <c r="H13314" s="4" t="str">
        <f>HYPERLINK("https://portal.gdc.cancer.gov/cases/b027f4e2-f260-4d60-a1f4-444bc49c4a0b","TCGA-XF-A9SM-01A")</f>
        <v>TCGA-XF-A9SM-01A</v>
      </c>
      <c r="I13314" t="s">
        <v>506</v>
      </c>
      <c r="J13314" t="s">
        <v>507</v>
      </c>
      <c r="K13314" t="s">
        <v>33</v>
      </c>
      <c r="L13314" t="s">
        <v>508</v>
      </c>
      <c r="N13314" t="s">
        <v>29</v>
      </c>
    </row>
    <row r="13315" spans="1:14">
      <c r="A13315" s="4" t="str">
        <f t="shared" si="1121"/>
        <v>EXP00408</v>
      </c>
      <c r="B13315" s="3" t="s">
        <v>66</v>
      </c>
      <c r="C13315" s="4" t="str">
        <f t="shared" si="1120"/>
        <v>TCGA-BLCA</v>
      </c>
      <c r="D13315" s="1" t="s">
        <v>493</v>
      </c>
      <c r="E13315" t="s">
        <v>522</v>
      </c>
      <c r="F13315" s="1">
        <v>2</v>
      </c>
      <c r="G13315" s="1" t="s">
        <v>28</v>
      </c>
      <c r="H13315" s="4" t="str">
        <f>HYPERLINK("https://portal.gdc.cancer.gov/cases/76388364-eb01-4b16-a2b9-0b6c05b4b386","TCGA-XF-A9SP-01A")</f>
        <v>TCGA-XF-A9SP-01A</v>
      </c>
      <c r="I13315" t="s">
        <v>506</v>
      </c>
      <c r="J13315" t="s">
        <v>507</v>
      </c>
      <c r="K13315" t="s">
        <v>33</v>
      </c>
      <c r="L13315" t="s">
        <v>508</v>
      </c>
      <c r="N13315" t="s">
        <v>29</v>
      </c>
    </row>
    <row r="13316" spans="1:14">
      <c r="A13316" s="4" t="str">
        <f t="shared" si="1121"/>
        <v>EXP00408</v>
      </c>
      <c r="B13316" s="3" t="s">
        <v>66</v>
      </c>
      <c r="C13316" s="4" t="str">
        <f t="shared" si="1120"/>
        <v>TCGA-BLCA</v>
      </c>
      <c r="D13316" s="1" t="s">
        <v>493</v>
      </c>
      <c r="E13316" t="s">
        <v>522</v>
      </c>
      <c r="F13316" s="1">
        <v>2</v>
      </c>
      <c r="G13316" s="1" t="s">
        <v>28</v>
      </c>
      <c r="H13316" s="4" t="str">
        <f>HYPERLINK("https://portal.gdc.cancer.gov/cases/f5e03536-26e1-480d-a7bb-010eb8210cd6","TCGA-XF-A9SW-01A")</f>
        <v>TCGA-XF-A9SW-01A</v>
      </c>
      <c r="I13316" t="s">
        <v>506</v>
      </c>
      <c r="J13316" t="s">
        <v>507</v>
      </c>
      <c r="K13316" t="s">
        <v>33</v>
      </c>
      <c r="L13316" t="s">
        <v>508</v>
      </c>
      <c r="N13316" t="s">
        <v>29</v>
      </c>
    </row>
    <row r="13317" spans="1:14">
      <c r="A13317" s="4" t="str">
        <f t="shared" si="1121"/>
        <v>EXP00408</v>
      </c>
      <c r="B13317" s="3" t="s">
        <v>66</v>
      </c>
      <c r="C13317" s="4" t="str">
        <f t="shared" si="1120"/>
        <v>TCGA-BLCA</v>
      </c>
      <c r="D13317" s="1" t="s">
        <v>493</v>
      </c>
      <c r="E13317" t="s">
        <v>522</v>
      </c>
      <c r="F13317" s="1">
        <v>2</v>
      </c>
      <c r="G13317" s="1" t="s">
        <v>28</v>
      </c>
      <c r="H13317" s="4" t="str">
        <f>HYPERLINK("https://portal.gdc.cancer.gov/cases/5f5c1775-a908-483d-8a77-b902c5b7570e","TCGA-XF-A9T0-01A")</f>
        <v>TCGA-XF-A9T0-01A</v>
      </c>
      <c r="I13317" t="s">
        <v>506</v>
      </c>
      <c r="J13317" t="s">
        <v>507</v>
      </c>
      <c r="K13317" t="s">
        <v>33</v>
      </c>
      <c r="L13317" t="s">
        <v>508</v>
      </c>
      <c r="N13317" t="s">
        <v>29</v>
      </c>
    </row>
    <row r="13318" spans="1:14">
      <c r="A13318" s="4" t="str">
        <f t="shared" si="1121"/>
        <v>EXP00408</v>
      </c>
      <c r="B13318" s="3" t="s">
        <v>66</v>
      </c>
      <c r="C13318" s="4" t="str">
        <f t="shared" si="1120"/>
        <v>TCGA-BLCA</v>
      </c>
      <c r="D13318" s="1" t="s">
        <v>493</v>
      </c>
      <c r="E13318" t="s">
        <v>522</v>
      </c>
      <c r="F13318" s="1">
        <v>2</v>
      </c>
      <c r="G13318" s="1" t="s">
        <v>28</v>
      </c>
      <c r="H13318" s="4" t="str">
        <f>HYPERLINK("https://portal.gdc.cancer.gov/cases/aa6b44ab-14b1-4b5d-8679-ba958b546afa","TCGA-XF-A9T2-01A")</f>
        <v>TCGA-XF-A9T2-01A</v>
      </c>
      <c r="I13318" t="s">
        <v>506</v>
      </c>
      <c r="J13318" t="s">
        <v>507</v>
      </c>
      <c r="K13318" t="s">
        <v>33</v>
      </c>
      <c r="L13318" t="s">
        <v>508</v>
      </c>
      <c r="N13318" t="s">
        <v>29</v>
      </c>
    </row>
    <row r="13319" spans="1:14">
      <c r="A13319" s="4" t="str">
        <f t="shared" si="1121"/>
        <v>EXP00408</v>
      </c>
      <c r="B13319" s="3" t="s">
        <v>66</v>
      </c>
      <c r="C13319" s="4" t="str">
        <f t="shared" si="1120"/>
        <v>TCGA-BLCA</v>
      </c>
      <c r="D13319" s="1" t="s">
        <v>493</v>
      </c>
      <c r="E13319" t="s">
        <v>522</v>
      </c>
      <c r="F13319" s="1">
        <v>2</v>
      </c>
      <c r="G13319" s="1" t="s">
        <v>28</v>
      </c>
      <c r="H13319" s="4" t="str">
        <f>HYPERLINK("https://portal.gdc.cancer.gov/cases/5f7c3b2d-9a5b-470f-bd12-9c7787a543f0","TCGA-XF-A9T3-01A")</f>
        <v>TCGA-XF-A9T3-01A</v>
      </c>
      <c r="I13319" t="s">
        <v>506</v>
      </c>
      <c r="J13319" t="s">
        <v>507</v>
      </c>
      <c r="K13319" t="s">
        <v>33</v>
      </c>
      <c r="L13319" t="s">
        <v>508</v>
      </c>
      <c r="N13319" t="s">
        <v>29</v>
      </c>
    </row>
    <row r="13320" spans="1:14">
      <c r="A13320" s="4" t="str">
        <f t="shared" si="1121"/>
        <v>EXP00408</v>
      </c>
      <c r="B13320" s="3" t="s">
        <v>66</v>
      </c>
      <c r="C13320" s="4" t="str">
        <f t="shared" si="1120"/>
        <v>TCGA-BLCA</v>
      </c>
      <c r="D13320" s="1" t="s">
        <v>493</v>
      </c>
      <c r="E13320" t="s">
        <v>522</v>
      </c>
      <c r="F13320" s="1">
        <v>2</v>
      </c>
      <c r="G13320" s="1" t="s">
        <v>28</v>
      </c>
      <c r="H13320" s="4" t="str">
        <f>HYPERLINK("https://portal.gdc.cancer.gov/cases/f9a7ab94-70df-4194-8102-66021d01dadd","TCGA-XF-A9T5-01A")</f>
        <v>TCGA-XF-A9T5-01A</v>
      </c>
      <c r="I13320" t="s">
        <v>506</v>
      </c>
      <c r="J13320" t="s">
        <v>507</v>
      </c>
      <c r="K13320" t="s">
        <v>33</v>
      </c>
      <c r="L13320" t="s">
        <v>508</v>
      </c>
      <c r="N13320" t="s">
        <v>29</v>
      </c>
    </row>
    <row r="13321" spans="1:14">
      <c r="A13321" s="4" t="str">
        <f t="shared" si="1121"/>
        <v>EXP00408</v>
      </c>
      <c r="B13321" s="3" t="s">
        <v>66</v>
      </c>
      <c r="C13321" s="4" t="str">
        <f t="shared" si="1120"/>
        <v>TCGA-BLCA</v>
      </c>
      <c r="D13321" s="1" t="s">
        <v>493</v>
      </c>
      <c r="E13321" t="s">
        <v>522</v>
      </c>
      <c r="F13321" s="1">
        <v>2</v>
      </c>
      <c r="G13321" s="1" t="s">
        <v>28</v>
      </c>
      <c r="H13321" s="4" t="str">
        <f>HYPERLINK("https://portal.gdc.cancer.gov/cases/6ee18b9a-3f45-491f-9535-502820cfcf46","TCGA-XF-A9T6-01A")</f>
        <v>TCGA-XF-A9T6-01A</v>
      </c>
      <c r="I13321" t="s">
        <v>506</v>
      </c>
      <c r="J13321" t="s">
        <v>507</v>
      </c>
      <c r="K13321" t="s">
        <v>33</v>
      </c>
      <c r="L13321" t="s">
        <v>508</v>
      </c>
      <c r="N13321" t="s">
        <v>29</v>
      </c>
    </row>
    <row r="13322" spans="1:14">
      <c r="A13322" s="4" t="str">
        <f t="shared" si="1121"/>
        <v>EXP00408</v>
      </c>
      <c r="B13322" s="3" t="s">
        <v>66</v>
      </c>
      <c r="C13322" s="4" t="str">
        <f t="shared" si="1120"/>
        <v>TCGA-BLCA</v>
      </c>
      <c r="D13322" s="1" t="s">
        <v>493</v>
      </c>
      <c r="E13322" t="s">
        <v>522</v>
      </c>
      <c r="F13322" s="1">
        <v>2</v>
      </c>
      <c r="G13322" s="1" t="s">
        <v>28</v>
      </c>
      <c r="H13322" s="4" t="str">
        <f>HYPERLINK("https://portal.gdc.cancer.gov/cases/317e1db6-df93-4793-a4df-2fa234d8a81a","TCGA-XF-A9T8-01A")</f>
        <v>TCGA-XF-A9T8-01A</v>
      </c>
      <c r="I13322" t="s">
        <v>506</v>
      </c>
      <c r="J13322" t="s">
        <v>507</v>
      </c>
      <c r="K13322" t="s">
        <v>33</v>
      </c>
      <c r="L13322" t="s">
        <v>508</v>
      </c>
      <c r="N13322" t="s">
        <v>29</v>
      </c>
    </row>
    <row r="13323" spans="1:14">
      <c r="A13323" s="4" t="str">
        <f t="shared" si="1121"/>
        <v>EXP00408</v>
      </c>
      <c r="B13323" s="3" t="s">
        <v>66</v>
      </c>
      <c r="C13323" s="4" t="str">
        <f t="shared" si="1120"/>
        <v>TCGA-BLCA</v>
      </c>
      <c r="D13323" s="1" t="s">
        <v>493</v>
      </c>
      <c r="E13323" t="s">
        <v>522</v>
      </c>
      <c r="F13323" s="1">
        <v>2</v>
      </c>
      <c r="G13323" s="1" t="s">
        <v>28</v>
      </c>
      <c r="H13323" s="4" t="str">
        <f>HYPERLINK("https://portal.gdc.cancer.gov/cases/390a29fe-2cfd-43c4-a247-69e692763e17","TCGA-XF-AAMG-01A")</f>
        <v>TCGA-XF-AAMG-01A</v>
      </c>
      <c r="I13323" t="s">
        <v>506</v>
      </c>
      <c r="J13323" t="s">
        <v>507</v>
      </c>
      <c r="K13323" t="s">
        <v>33</v>
      </c>
      <c r="L13323" t="s">
        <v>508</v>
      </c>
      <c r="N13323" t="s">
        <v>29</v>
      </c>
    </row>
    <row r="13324" spans="1:14">
      <c r="A13324" s="4" t="str">
        <f t="shared" si="1121"/>
        <v>EXP00408</v>
      </c>
      <c r="B13324" s="3" t="s">
        <v>66</v>
      </c>
      <c r="C13324" s="4" t="str">
        <f t="shared" si="1120"/>
        <v>TCGA-BLCA</v>
      </c>
      <c r="D13324" s="1" t="s">
        <v>493</v>
      </c>
      <c r="E13324" t="s">
        <v>522</v>
      </c>
      <c r="F13324" s="1">
        <v>2</v>
      </c>
      <c r="G13324" s="1" t="s">
        <v>28</v>
      </c>
      <c r="H13324" s="4" t="str">
        <f>HYPERLINK("https://portal.gdc.cancer.gov/cases/8f10e006-531a-49ac-b51b-df3fdcb20929","TCGA-XF-AAMJ-01A")</f>
        <v>TCGA-XF-AAMJ-01A</v>
      </c>
      <c r="I13324" t="s">
        <v>506</v>
      </c>
      <c r="J13324" t="s">
        <v>507</v>
      </c>
      <c r="K13324" t="s">
        <v>33</v>
      </c>
      <c r="L13324" t="s">
        <v>508</v>
      </c>
      <c r="N13324" t="s">
        <v>29</v>
      </c>
    </row>
    <row r="13325" spans="1:14">
      <c r="A13325" s="4" t="str">
        <f t="shared" si="1121"/>
        <v>EXP00408</v>
      </c>
      <c r="B13325" s="3" t="s">
        <v>66</v>
      </c>
      <c r="C13325" s="4" t="str">
        <f t="shared" si="1120"/>
        <v>TCGA-BLCA</v>
      </c>
      <c r="D13325" s="1" t="s">
        <v>493</v>
      </c>
      <c r="E13325" t="s">
        <v>522</v>
      </c>
      <c r="F13325" s="1">
        <v>2</v>
      </c>
      <c r="G13325" s="1" t="s">
        <v>28</v>
      </c>
      <c r="H13325" s="4" t="str">
        <f>HYPERLINK("https://portal.gdc.cancer.gov/cases/329d372c-c44e-4595-b8ac-474c5a1321a5","TCGA-XF-AAML-01A")</f>
        <v>TCGA-XF-AAML-01A</v>
      </c>
      <c r="I13325" t="s">
        <v>506</v>
      </c>
      <c r="J13325" t="s">
        <v>507</v>
      </c>
      <c r="K13325" t="s">
        <v>33</v>
      </c>
      <c r="L13325" t="s">
        <v>508</v>
      </c>
      <c r="N13325" t="s">
        <v>29</v>
      </c>
    </row>
    <row r="13326" spans="1:14">
      <c r="A13326" s="4" t="str">
        <f t="shared" si="1121"/>
        <v>EXP00408</v>
      </c>
      <c r="B13326" s="3" t="s">
        <v>66</v>
      </c>
      <c r="C13326" s="4" t="str">
        <f t="shared" si="1120"/>
        <v>TCGA-BLCA</v>
      </c>
      <c r="D13326" s="1" t="s">
        <v>493</v>
      </c>
      <c r="E13326" t="s">
        <v>522</v>
      </c>
      <c r="F13326" s="1">
        <v>2</v>
      </c>
      <c r="G13326" s="1" t="s">
        <v>28</v>
      </c>
      <c r="H13326" s="4" t="str">
        <f>HYPERLINK("https://portal.gdc.cancer.gov/cases/82f4c181-e022-4799-9f7f-01abcdc3803e","TCGA-XF-AAMQ-01A")</f>
        <v>TCGA-XF-AAMQ-01A</v>
      </c>
      <c r="I13326" t="s">
        <v>506</v>
      </c>
      <c r="J13326" t="s">
        <v>507</v>
      </c>
      <c r="K13326" t="s">
        <v>33</v>
      </c>
      <c r="L13326" t="s">
        <v>508</v>
      </c>
      <c r="N13326" t="s">
        <v>29</v>
      </c>
    </row>
    <row r="13327" spans="1:14">
      <c r="A13327" s="4" t="str">
        <f t="shared" si="1121"/>
        <v>EXP00408</v>
      </c>
      <c r="B13327" s="3" t="s">
        <v>66</v>
      </c>
      <c r="C13327" s="4" t="str">
        <f t="shared" si="1120"/>
        <v>TCGA-BLCA</v>
      </c>
      <c r="D13327" s="1" t="s">
        <v>493</v>
      </c>
      <c r="E13327" t="s">
        <v>522</v>
      </c>
      <c r="F13327" s="1">
        <v>2</v>
      </c>
      <c r="G13327" s="1" t="s">
        <v>28</v>
      </c>
      <c r="H13327" s="4" t="str">
        <f>HYPERLINK("https://portal.gdc.cancer.gov/cases/818f5a45-4deb-49e4-9a73-55ef4269de4c","TCGA-XF-AAMR-01A")</f>
        <v>TCGA-XF-AAMR-01A</v>
      </c>
      <c r="I13327" t="s">
        <v>506</v>
      </c>
      <c r="J13327" t="s">
        <v>507</v>
      </c>
      <c r="K13327" t="s">
        <v>33</v>
      </c>
      <c r="L13327" t="s">
        <v>508</v>
      </c>
      <c r="N13327" t="s">
        <v>29</v>
      </c>
    </row>
    <row r="13328" spans="1:14">
      <c r="A13328" s="4" t="str">
        <f t="shared" si="1121"/>
        <v>EXP00408</v>
      </c>
      <c r="B13328" s="3" t="s">
        <v>66</v>
      </c>
      <c r="C13328" s="4" t="str">
        <f t="shared" si="1120"/>
        <v>TCGA-BLCA</v>
      </c>
      <c r="D13328" s="1" t="s">
        <v>493</v>
      </c>
      <c r="E13328" t="s">
        <v>522</v>
      </c>
      <c r="F13328" s="1">
        <v>2</v>
      </c>
      <c r="G13328" s="1" t="s">
        <v>28</v>
      </c>
      <c r="H13328" s="4" t="str">
        <f>HYPERLINK("https://portal.gdc.cancer.gov/cases/ada95115-275f-4229-aa00-f298a5ff931c","TCGA-XF-AAMT-01A")</f>
        <v>TCGA-XF-AAMT-01A</v>
      </c>
      <c r="I13328" t="s">
        <v>506</v>
      </c>
      <c r="J13328" t="s">
        <v>507</v>
      </c>
      <c r="K13328" t="s">
        <v>33</v>
      </c>
      <c r="L13328" t="s">
        <v>508</v>
      </c>
      <c r="N13328" t="s">
        <v>29</v>
      </c>
    </row>
    <row r="13329" spans="1:14">
      <c r="A13329" s="4" t="str">
        <f t="shared" si="1121"/>
        <v>EXP00408</v>
      </c>
      <c r="B13329" s="3" t="s">
        <v>66</v>
      </c>
      <c r="C13329" s="4" t="str">
        <f t="shared" si="1120"/>
        <v>TCGA-BLCA</v>
      </c>
      <c r="D13329" s="1" t="s">
        <v>493</v>
      </c>
      <c r="E13329" t="s">
        <v>522</v>
      </c>
      <c r="F13329" s="1">
        <v>2</v>
      </c>
      <c r="G13329" s="1" t="s">
        <v>28</v>
      </c>
      <c r="H13329" s="4" t="str">
        <f>HYPERLINK("https://portal.gdc.cancer.gov/cases/19da59a8-b67a-438d-900a-92a71e03bef3","TCGA-XF-AAMW-01A")</f>
        <v>TCGA-XF-AAMW-01A</v>
      </c>
      <c r="I13329" t="s">
        <v>506</v>
      </c>
      <c r="J13329" t="s">
        <v>507</v>
      </c>
      <c r="K13329" t="s">
        <v>33</v>
      </c>
      <c r="L13329" t="s">
        <v>508</v>
      </c>
      <c r="N13329" t="s">
        <v>29</v>
      </c>
    </row>
    <row r="13330" spans="1:14">
      <c r="A13330" s="4" t="str">
        <f t="shared" si="1121"/>
        <v>EXP00408</v>
      </c>
      <c r="B13330" s="3" t="s">
        <v>66</v>
      </c>
      <c r="C13330" s="4" t="str">
        <f t="shared" ref="C13330:C13369" si="1122">HYPERLINK("https://portal.gdc.cancer.gov/projects/TCGA-BLCA","TCGA-BLCA")</f>
        <v>TCGA-BLCA</v>
      </c>
      <c r="D13330" s="1" t="s">
        <v>493</v>
      </c>
      <c r="E13330" t="s">
        <v>522</v>
      </c>
      <c r="F13330" s="1">
        <v>2</v>
      </c>
      <c r="G13330" s="1" t="s">
        <v>28</v>
      </c>
      <c r="H13330" s="4" t="str">
        <f>HYPERLINK("https://portal.gdc.cancer.gov/cases/edc290bf-9731-4f03-bc37-64542e78e8bb","TCGA-XF-AAMX-01A")</f>
        <v>TCGA-XF-AAMX-01A</v>
      </c>
      <c r="I13330" t="s">
        <v>506</v>
      </c>
      <c r="J13330" t="s">
        <v>507</v>
      </c>
      <c r="K13330" t="s">
        <v>33</v>
      </c>
      <c r="L13330" t="s">
        <v>508</v>
      </c>
      <c r="N13330" t="s">
        <v>29</v>
      </c>
    </row>
    <row r="13331" spans="1:14">
      <c r="A13331" s="4" t="str">
        <f t="shared" si="1121"/>
        <v>EXP00408</v>
      </c>
      <c r="B13331" s="3" t="s">
        <v>66</v>
      </c>
      <c r="C13331" s="4" t="str">
        <f t="shared" si="1122"/>
        <v>TCGA-BLCA</v>
      </c>
      <c r="D13331" s="1" t="s">
        <v>493</v>
      </c>
      <c r="E13331" t="s">
        <v>522</v>
      </c>
      <c r="F13331" s="1">
        <v>2</v>
      </c>
      <c r="G13331" s="1" t="s">
        <v>28</v>
      </c>
      <c r="H13331" s="4" t="str">
        <f>HYPERLINK("https://portal.gdc.cancer.gov/cases/ed36d054-53c4-465c-bd84-6ec5227097bf","TCGA-XF-AAMZ-01A")</f>
        <v>TCGA-XF-AAMZ-01A</v>
      </c>
      <c r="I13331" t="s">
        <v>506</v>
      </c>
      <c r="J13331" t="s">
        <v>507</v>
      </c>
      <c r="K13331" t="s">
        <v>33</v>
      </c>
      <c r="L13331" t="s">
        <v>508</v>
      </c>
      <c r="N13331" t="s">
        <v>29</v>
      </c>
    </row>
    <row r="13332" spans="1:14">
      <c r="A13332" s="4" t="str">
        <f t="shared" si="1121"/>
        <v>EXP00408</v>
      </c>
      <c r="B13332" s="3" t="s">
        <v>66</v>
      </c>
      <c r="C13332" s="4" t="str">
        <f t="shared" si="1122"/>
        <v>TCGA-BLCA</v>
      </c>
      <c r="D13332" s="1" t="s">
        <v>493</v>
      </c>
      <c r="E13332" t="s">
        <v>522</v>
      </c>
      <c r="F13332" s="1">
        <v>2</v>
      </c>
      <c r="G13332" s="1" t="s">
        <v>28</v>
      </c>
      <c r="H13332" s="4" t="str">
        <f>HYPERLINK("https://portal.gdc.cancer.gov/cases/e7e95597-ef88-4442-8c01-8d633822e7b5","TCGA-XF-AAN0-01A")</f>
        <v>TCGA-XF-AAN0-01A</v>
      </c>
      <c r="I13332" t="s">
        <v>506</v>
      </c>
      <c r="J13332" t="s">
        <v>507</v>
      </c>
      <c r="K13332" t="s">
        <v>33</v>
      </c>
      <c r="L13332" t="s">
        <v>508</v>
      </c>
      <c r="N13332" t="s">
        <v>29</v>
      </c>
    </row>
    <row r="13333" spans="1:14">
      <c r="A13333" s="4" t="str">
        <f t="shared" si="1121"/>
        <v>EXP00408</v>
      </c>
      <c r="B13333" s="3" t="s">
        <v>66</v>
      </c>
      <c r="C13333" s="4" t="str">
        <f t="shared" si="1122"/>
        <v>TCGA-BLCA</v>
      </c>
      <c r="D13333" s="1" t="s">
        <v>493</v>
      </c>
      <c r="E13333" t="s">
        <v>522</v>
      </c>
      <c r="F13333" s="1">
        <v>2</v>
      </c>
      <c r="G13333" s="1" t="s">
        <v>28</v>
      </c>
      <c r="H13333" s="4" t="str">
        <f>HYPERLINK("https://portal.gdc.cancer.gov/cases/5378f375-aa04-4eca-bc35-190b3efb52bc","TCGA-XF-AAN1-01A")</f>
        <v>TCGA-XF-AAN1-01A</v>
      </c>
      <c r="I13333" t="s">
        <v>506</v>
      </c>
      <c r="J13333" t="s">
        <v>507</v>
      </c>
      <c r="K13333" t="s">
        <v>33</v>
      </c>
      <c r="L13333" t="s">
        <v>508</v>
      </c>
      <c r="N13333" t="s">
        <v>29</v>
      </c>
    </row>
    <row r="13334" spans="1:14">
      <c r="A13334" s="4" t="str">
        <f t="shared" si="1121"/>
        <v>EXP00408</v>
      </c>
      <c r="B13334" s="3" t="s">
        <v>66</v>
      </c>
      <c r="C13334" s="4" t="str">
        <f t="shared" si="1122"/>
        <v>TCGA-BLCA</v>
      </c>
      <c r="D13334" s="1" t="s">
        <v>493</v>
      </c>
      <c r="E13334" t="s">
        <v>522</v>
      </c>
      <c r="F13334" s="1">
        <v>2</v>
      </c>
      <c r="G13334" s="1" t="s">
        <v>28</v>
      </c>
      <c r="H13334" s="4" t="str">
        <f>HYPERLINK("https://portal.gdc.cancer.gov/cases/987e8157-fbea-40f3-aa01-0092d6cceb97","TCGA-XF-AAN2-01A")</f>
        <v>TCGA-XF-AAN2-01A</v>
      </c>
      <c r="I13334" t="s">
        <v>506</v>
      </c>
      <c r="J13334" t="s">
        <v>507</v>
      </c>
      <c r="K13334" t="s">
        <v>33</v>
      </c>
      <c r="L13334" t="s">
        <v>508</v>
      </c>
      <c r="N13334" t="s">
        <v>29</v>
      </c>
    </row>
    <row r="13335" spans="1:14">
      <c r="A13335" s="4" t="str">
        <f t="shared" si="1121"/>
        <v>EXP00408</v>
      </c>
      <c r="B13335" s="3" t="s">
        <v>66</v>
      </c>
      <c r="C13335" s="4" t="str">
        <f t="shared" si="1122"/>
        <v>TCGA-BLCA</v>
      </c>
      <c r="D13335" s="1" t="s">
        <v>493</v>
      </c>
      <c r="E13335" t="s">
        <v>522</v>
      </c>
      <c r="F13335" s="1">
        <v>2</v>
      </c>
      <c r="G13335" s="1" t="s">
        <v>28</v>
      </c>
      <c r="H13335" s="4" t="str">
        <f>HYPERLINK("https://portal.gdc.cancer.gov/cases/24ad2168-b25a-4de8-a021-dfe1c74fcc6e","TCGA-XF-AAN3-01A")</f>
        <v>TCGA-XF-AAN3-01A</v>
      </c>
      <c r="I13335" t="s">
        <v>506</v>
      </c>
      <c r="J13335" t="s">
        <v>507</v>
      </c>
      <c r="K13335" t="s">
        <v>33</v>
      </c>
      <c r="L13335" t="s">
        <v>508</v>
      </c>
      <c r="N13335" t="s">
        <v>29</v>
      </c>
    </row>
    <row r="13336" spans="1:14">
      <c r="A13336" s="4" t="str">
        <f t="shared" si="1121"/>
        <v>EXP00408</v>
      </c>
      <c r="B13336" s="3" t="s">
        <v>66</v>
      </c>
      <c r="C13336" s="4" t="str">
        <f t="shared" si="1122"/>
        <v>TCGA-BLCA</v>
      </c>
      <c r="D13336" s="1" t="s">
        <v>493</v>
      </c>
      <c r="E13336" t="s">
        <v>522</v>
      </c>
      <c r="F13336" s="1">
        <v>2</v>
      </c>
      <c r="G13336" s="1" t="s">
        <v>28</v>
      </c>
      <c r="H13336" s="4" t="str">
        <f>HYPERLINK("https://portal.gdc.cancer.gov/cases/b6c36037-56b1-4957-8df8-fda72b0d3c39","TCGA-XF-AAN4-01A")</f>
        <v>TCGA-XF-AAN4-01A</v>
      </c>
      <c r="I13336" t="s">
        <v>506</v>
      </c>
      <c r="J13336" t="s">
        <v>507</v>
      </c>
      <c r="K13336" t="s">
        <v>33</v>
      </c>
      <c r="L13336" t="s">
        <v>508</v>
      </c>
      <c r="N13336" t="s">
        <v>29</v>
      </c>
    </row>
    <row r="13337" spans="1:14">
      <c r="A13337" s="4" t="str">
        <f t="shared" si="1121"/>
        <v>EXP00408</v>
      </c>
      <c r="B13337" s="3" t="s">
        <v>66</v>
      </c>
      <c r="C13337" s="4" t="str">
        <f t="shared" si="1122"/>
        <v>TCGA-BLCA</v>
      </c>
      <c r="D13337" s="1" t="s">
        <v>493</v>
      </c>
      <c r="E13337" t="s">
        <v>522</v>
      </c>
      <c r="F13337" s="1">
        <v>2</v>
      </c>
      <c r="G13337" s="1" t="s">
        <v>28</v>
      </c>
      <c r="H13337" s="4" t="str">
        <f>HYPERLINK("https://portal.gdc.cancer.gov/cases/c1591625-e794-4155-8ae4-b74d6264659f","TCGA-XF-AAN5-01A")</f>
        <v>TCGA-XF-AAN5-01A</v>
      </c>
      <c r="I13337" t="s">
        <v>506</v>
      </c>
      <c r="J13337" t="s">
        <v>507</v>
      </c>
      <c r="K13337" t="s">
        <v>33</v>
      </c>
      <c r="L13337" t="s">
        <v>508</v>
      </c>
      <c r="N13337" t="s">
        <v>29</v>
      </c>
    </row>
    <row r="13338" spans="1:14">
      <c r="A13338" s="4" t="str">
        <f t="shared" si="1121"/>
        <v>EXP00408</v>
      </c>
      <c r="B13338" s="3" t="s">
        <v>66</v>
      </c>
      <c r="C13338" s="4" t="str">
        <f t="shared" si="1122"/>
        <v>TCGA-BLCA</v>
      </c>
      <c r="D13338" s="1" t="s">
        <v>493</v>
      </c>
      <c r="E13338" t="s">
        <v>522</v>
      </c>
      <c r="F13338" s="1">
        <v>2</v>
      </c>
      <c r="G13338" s="1" t="s">
        <v>28</v>
      </c>
      <c r="H13338" s="4" t="str">
        <f>HYPERLINK("https://portal.gdc.cancer.gov/cases/9d7fbdeb-ea3d-4e07-8527-23c5997d77cf","TCGA-XF-AAN7-01A")</f>
        <v>TCGA-XF-AAN7-01A</v>
      </c>
      <c r="I13338" t="s">
        <v>506</v>
      </c>
      <c r="J13338" t="s">
        <v>507</v>
      </c>
      <c r="K13338" t="s">
        <v>33</v>
      </c>
      <c r="L13338" t="s">
        <v>508</v>
      </c>
      <c r="N13338" t="s">
        <v>29</v>
      </c>
    </row>
    <row r="13339" spans="1:14">
      <c r="A13339" s="4" t="str">
        <f t="shared" si="1121"/>
        <v>EXP00408</v>
      </c>
      <c r="B13339" s="3" t="s">
        <v>66</v>
      </c>
      <c r="C13339" s="4" t="str">
        <f t="shared" si="1122"/>
        <v>TCGA-BLCA</v>
      </c>
      <c r="D13339" s="1" t="s">
        <v>493</v>
      </c>
      <c r="E13339" t="s">
        <v>522</v>
      </c>
      <c r="F13339" s="1">
        <v>2</v>
      </c>
      <c r="G13339" s="1" t="s">
        <v>28</v>
      </c>
      <c r="H13339" s="4" t="str">
        <f>HYPERLINK("https://portal.gdc.cancer.gov/cases/aa14e232-c6c6-4075-9d15-e1857373d233","TCGA-XF-AAN8-01A")</f>
        <v>TCGA-XF-AAN8-01A</v>
      </c>
      <c r="I13339" t="s">
        <v>506</v>
      </c>
      <c r="J13339" t="s">
        <v>507</v>
      </c>
      <c r="K13339" t="s">
        <v>33</v>
      </c>
      <c r="L13339" t="s">
        <v>508</v>
      </c>
      <c r="N13339" t="s">
        <v>29</v>
      </c>
    </row>
    <row r="13340" spans="1:14">
      <c r="A13340" s="4" t="str">
        <f t="shared" si="1121"/>
        <v>EXP00408</v>
      </c>
      <c r="B13340" s="3" t="s">
        <v>66</v>
      </c>
      <c r="C13340" s="4" t="str">
        <f t="shared" si="1122"/>
        <v>TCGA-BLCA</v>
      </c>
      <c r="D13340" s="1" t="s">
        <v>493</v>
      </c>
      <c r="E13340" t="s">
        <v>522</v>
      </c>
      <c r="F13340" s="1">
        <v>2</v>
      </c>
      <c r="G13340" s="1" t="s">
        <v>28</v>
      </c>
      <c r="H13340" s="4" t="str">
        <f>HYPERLINK("https://portal.gdc.cancer.gov/cases/95520295-90d3-4b4e-86b6-4bd856723315","TCGA-YC-A89H-01A")</f>
        <v>TCGA-YC-A89H-01A</v>
      </c>
      <c r="I13340" t="s">
        <v>506</v>
      </c>
      <c r="J13340" t="s">
        <v>507</v>
      </c>
      <c r="K13340" t="s">
        <v>33</v>
      </c>
      <c r="L13340" t="s">
        <v>508</v>
      </c>
      <c r="N13340" t="s">
        <v>29</v>
      </c>
    </row>
    <row r="13341" spans="1:14">
      <c r="A13341" s="4" t="str">
        <f t="shared" si="1121"/>
        <v>EXP00408</v>
      </c>
      <c r="B13341" s="3" t="s">
        <v>66</v>
      </c>
      <c r="C13341" s="4" t="str">
        <f t="shared" si="1122"/>
        <v>TCGA-BLCA</v>
      </c>
      <c r="D13341" s="1" t="s">
        <v>493</v>
      </c>
      <c r="E13341" t="s">
        <v>522</v>
      </c>
      <c r="F13341" s="1">
        <v>2</v>
      </c>
      <c r="G13341" s="1" t="s">
        <v>28</v>
      </c>
      <c r="H13341" s="4" t="str">
        <f>HYPERLINK("https://portal.gdc.cancer.gov/cases/97d6568c-0a89-4327-8988-71e81ee8dae6","TCGA-YC-A8S6-01A")</f>
        <v>TCGA-YC-A8S6-01A</v>
      </c>
      <c r="I13341" t="s">
        <v>506</v>
      </c>
      <c r="J13341" t="s">
        <v>507</v>
      </c>
      <c r="K13341" t="s">
        <v>33</v>
      </c>
      <c r="L13341" t="s">
        <v>508</v>
      </c>
      <c r="N13341" t="s">
        <v>29</v>
      </c>
    </row>
    <row r="13342" spans="1:14">
      <c r="A13342" s="4" t="str">
        <f t="shared" si="1121"/>
        <v>EXP00408</v>
      </c>
      <c r="B13342" s="3" t="s">
        <v>66</v>
      </c>
      <c r="C13342" s="4" t="str">
        <f t="shared" si="1122"/>
        <v>TCGA-BLCA</v>
      </c>
      <c r="D13342" s="1" t="s">
        <v>493</v>
      </c>
      <c r="E13342" t="s">
        <v>522</v>
      </c>
      <c r="F13342" s="1">
        <v>2</v>
      </c>
      <c r="G13342" s="1" t="s">
        <v>28</v>
      </c>
      <c r="H13342" s="4" t="str">
        <f>HYPERLINK("https://portal.gdc.cancer.gov/cases/6ee03f14-14ac-4cb9-bd23-b69704176301","TCGA-YC-A9TC-01A")</f>
        <v>TCGA-YC-A9TC-01A</v>
      </c>
      <c r="I13342" t="s">
        <v>506</v>
      </c>
      <c r="J13342" t="s">
        <v>507</v>
      </c>
      <c r="K13342" t="s">
        <v>33</v>
      </c>
      <c r="L13342" t="s">
        <v>508</v>
      </c>
      <c r="N13342" t="s">
        <v>29</v>
      </c>
    </row>
    <row r="13343" spans="1:14">
      <c r="A13343" s="4" t="str">
        <f t="shared" si="1121"/>
        <v>EXP00408</v>
      </c>
      <c r="B13343" s="3" t="s">
        <v>66</v>
      </c>
      <c r="C13343" s="4" t="str">
        <f t="shared" si="1122"/>
        <v>TCGA-BLCA</v>
      </c>
      <c r="D13343" s="1" t="s">
        <v>493</v>
      </c>
      <c r="E13343" t="s">
        <v>522</v>
      </c>
      <c r="F13343" s="1">
        <v>2</v>
      </c>
      <c r="G13343" s="1" t="s">
        <v>28</v>
      </c>
      <c r="H13343" s="4" t="str">
        <f>HYPERLINK("https://portal.gdc.cancer.gov/cases/661967e5-94b3-4f98-9402-6ab137893c16","TCGA-YF-AA3L-01A")</f>
        <v>TCGA-YF-AA3L-01A</v>
      </c>
      <c r="I13343" t="s">
        <v>506</v>
      </c>
      <c r="J13343" t="s">
        <v>507</v>
      </c>
      <c r="K13343" t="s">
        <v>33</v>
      </c>
      <c r="L13343" t="s">
        <v>508</v>
      </c>
      <c r="N13343" t="s">
        <v>29</v>
      </c>
    </row>
    <row r="13344" spans="1:14">
      <c r="A13344" s="4" t="str">
        <f t="shared" si="1121"/>
        <v>EXP00408</v>
      </c>
      <c r="B13344" s="3" t="s">
        <v>66</v>
      </c>
      <c r="C13344" s="4" t="str">
        <f t="shared" si="1122"/>
        <v>TCGA-BLCA</v>
      </c>
      <c r="D13344" s="1" t="s">
        <v>493</v>
      </c>
      <c r="E13344" t="s">
        <v>522</v>
      </c>
      <c r="F13344" s="1">
        <v>2</v>
      </c>
      <c r="G13344" s="1" t="s">
        <v>28</v>
      </c>
      <c r="H13344" s="4" t="str">
        <f>HYPERLINK("https://portal.gdc.cancer.gov/cases/30ad8081-daa7-4e2b-96f8-07f5ad12e774","TCGA-YF-AA3M-01A")</f>
        <v>TCGA-YF-AA3M-01A</v>
      </c>
      <c r="I13344" t="s">
        <v>506</v>
      </c>
      <c r="J13344" t="s">
        <v>507</v>
      </c>
      <c r="K13344" t="s">
        <v>33</v>
      </c>
      <c r="L13344" t="s">
        <v>508</v>
      </c>
      <c r="N13344" t="s">
        <v>29</v>
      </c>
    </row>
    <row r="13345" spans="1:14">
      <c r="A13345" s="4" t="str">
        <f t="shared" si="1121"/>
        <v>EXP00408</v>
      </c>
      <c r="B13345" s="3" t="s">
        <v>66</v>
      </c>
      <c r="C13345" s="4" t="str">
        <f t="shared" si="1122"/>
        <v>TCGA-BLCA</v>
      </c>
      <c r="D13345" s="1" t="s">
        <v>493</v>
      </c>
      <c r="E13345" t="s">
        <v>522</v>
      </c>
      <c r="F13345" s="1">
        <v>2</v>
      </c>
      <c r="G13345" s="1" t="s">
        <v>28</v>
      </c>
      <c r="H13345" s="4" t="str">
        <f>HYPERLINK("https://portal.gdc.cancer.gov/cases/5b39a0dc-8ab2-46c6-95c7-65df919ebc76","TCGA-ZF-A9R0-01A")</f>
        <v>TCGA-ZF-A9R0-01A</v>
      </c>
      <c r="I13345" t="s">
        <v>506</v>
      </c>
      <c r="J13345" t="s">
        <v>507</v>
      </c>
      <c r="K13345" t="s">
        <v>33</v>
      </c>
      <c r="L13345" t="s">
        <v>508</v>
      </c>
      <c r="N13345" t="s">
        <v>29</v>
      </c>
    </row>
    <row r="13346" spans="1:14">
      <c r="A13346" s="4" t="str">
        <f t="shared" si="1121"/>
        <v>EXP00408</v>
      </c>
      <c r="B13346" s="3" t="s">
        <v>66</v>
      </c>
      <c r="C13346" s="4" t="str">
        <f t="shared" si="1122"/>
        <v>TCGA-BLCA</v>
      </c>
      <c r="D13346" s="1" t="s">
        <v>493</v>
      </c>
      <c r="E13346" t="s">
        <v>522</v>
      </c>
      <c r="F13346" s="1">
        <v>2</v>
      </c>
      <c r="G13346" s="1" t="s">
        <v>28</v>
      </c>
      <c r="H13346" s="4" t="str">
        <f>HYPERLINK("https://portal.gdc.cancer.gov/cases/f1bd8305-5c3f-4c82-9e68-ba9cf4ecdf7b","TCGA-ZF-A9R1-01A")</f>
        <v>TCGA-ZF-A9R1-01A</v>
      </c>
      <c r="I13346" t="s">
        <v>506</v>
      </c>
      <c r="J13346" t="s">
        <v>507</v>
      </c>
      <c r="K13346" t="s">
        <v>33</v>
      </c>
      <c r="L13346" t="s">
        <v>508</v>
      </c>
      <c r="N13346" t="s">
        <v>29</v>
      </c>
    </row>
    <row r="13347" spans="1:14">
      <c r="A13347" s="4" t="str">
        <f t="shared" si="1121"/>
        <v>EXP00408</v>
      </c>
      <c r="B13347" s="3" t="s">
        <v>66</v>
      </c>
      <c r="C13347" s="4" t="str">
        <f t="shared" si="1122"/>
        <v>TCGA-BLCA</v>
      </c>
      <c r="D13347" s="1" t="s">
        <v>493</v>
      </c>
      <c r="E13347" t="s">
        <v>522</v>
      </c>
      <c r="F13347" s="1">
        <v>2</v>
      </c>
      <c r="G13347" s="1" t="s">
        <v>28</v>
      </c>
      <c r="H13347" s="4" t="str">
        <f>HYPERLINK("https://portal.gdc.cancer.gov/cases/aeb08986-a802-43dd-a5b4-17f4ec018790","TCGA-ZF-A9R2-01A")</f>
        <v>TCGA-ZF-A9R2-01A</v>
      </c>
      <c r="I13347" t="s">
        <v>506</v>
      </c>
      <c r="J13347" t="s">
        <v>507</v>
      </c>
      <c r="K13347" t="s">
        <v>33</v>
      </c>
      <c r="L13347" t="s">
        <v>508</v>
      </c>
      <c r="N13347" t="s">
        <v>29</v>
      </c>
    </row>
    <row r="13348" spans="1:14">
      <c r="A13348" s="4" t="str">
        <f t="shared" si="1121"/>
        <v>EXP00408</v>
      </c>
      <c r="B13348" s="3" t="s">
        <v>66</v>
      </c>
      <c r="C13348" s="4" t="str">
        <f t="shared" si="1122"/>
        <v>TCGA-BLCA</v>
      </c>
      <c r="D13348" s="1" t="s">
        <v>493</v>
      </c>
      <c r="E13348" t="s">
        <v>522</v>
      </c>
      <c r="F13348" s="1">
        <v>2</v>
      </c>
      <c r="G13348" s="1" t="s">
        <v>28</v>
      </c>
      <c r="H13348" s="4" t="str">
        <f>HYPERLINK("https://portal.gdc.cancer.gov/cases/ab77b411-4df2-4e3a-bfad-946e8bb1fa70","TCGA-ZF-A9R3-01A")</f>
        <v>TCGA-ZF-A9R3-01A</v>
      </c>
      <c r="I13348" t="s">
        <v>506</v>
      </c>
      <c r="J13348" t="s">
        <v>507</v>
      </c>
      <c r="K13348" t="s">
        <v>33</v>
      </c>
      <c r="L13348" t="s">
        <v>508</v>
      </c>
      <c r="N13348" t="s">
        <v>29</v>
      </c>
    </row>
    <row r="13349" spans="1:14">
      <c r="A13349" s="4" t="str">
        <f t="shared" si="1121"/>
        <v>EXP00408</v>
      </c>
      <c r="B13349" s="3" t="s">
        <v>66</v>
      </c>
      <c r="C13349" s="4" t="str">
        <f t="shared" si="1122"/>
        <v>TCGA-BLCA</v>
      </c>
      <c r="D13349" s="1" t="s">
        <v>493</v>
      </c>
      <c r="E13349" t="s">
        <v>522</v>
      </c>
      <c r="F13349" s="1">
        <v>2</v>
      </c>
      <c r="G13349" s="1" t="s">
        <v>28</v>
      </c>
      <c r="H13349" s="4" t="str">
        <f>HYPERLINK("https://portal.gdc.cancer.gov/cases/371b5d70-9797-4dae-b523-247f5eaeb4ab","TCGA-ZF-A9R4-01A")</f>
        <v>TCGA-ZF-A9R4-01A</v>
      </c>
      <c r="I13349" t="s">
        <v>506</v>
      </c>
      <c r="J13349" t="s">
        <v>507</v>
      </c>
      <c r="K13349" t="s">
        <v>33</v>
      </c>
      <c r="L13349" t="s">
        <v>508</v>
      </c>
      <c r="N13349" t="s">
        <v>29</v>
      </c>
    </row>
    <row r="13350" spans="1:14">
      <c r="A13350" s="4" t="str">
        <f t="shared" si="1121"/>
        <v>EXP00408</v>
      </c>
      <c r="B13350" s="3" t="s">
        <v>66</v>
      </c>
      <c r="C13350" s="4" t="str">
        <f t="shared" si="1122"/>
        <v>TCGA-BLCA</v>
      </c>
      <c r="D13350" s="1" t="s">
        <v>493</v>
      </c>
      <c r="E13350" t="s">
        <v>522</v>
      </c>
      <c r="F13350" s="1">
        <v>2</v>
      </c>
      <c r="G13350" s="1" t="s">
        <v>28</v>
      </c>
      <c r="H13350" s="4" t="str">
        <f>HYPERLINK("https://portal.gdc.cancer.gov/cases/aaa55de1-8f53-4b56-ba0a-67cff909cf81","TCGA-ZF-A9R5-01A")</f>
        <v>TCGA-ZF-A9R5-01A</v>
      </c>
      <c r="I13350" t="s">
        <v>506</v>
      </c>
      <c r="J13350" t="s">
        <v>507</v>
      </c>
      <c r="K13350" t="s">
        <v>33</v>
      </c>
      <c r="L13350" t="s">
        <v>508</v>
      </c>
      <c r="N13350" t="s">
        <v>29</v>
      </c>
    </row>
    <row r="13351" spans="1:14">
      <c r="A13351" s="4" t="str">
        <f t="shared" si="1121"/>
        <v>EXP00408</v>
      </c>
      <c r="B13351" s="3" t="s">
        <v>66</v>
      </c>
      <c r="C13351" s="4" t="str">
        <f t="shared" si="1122"/>
        <v>TCGA-BLCA</v>
      </c>
      <c r="D13351" s="1" t="s">
        <v>493</v>
      </c>
      <c r="E13351" t="s">
        <v>522</v>
      </c>
      <c r="F13351" s="1">
        <v>2</v>
      </c>
      <c r="G13351" s="1" t="s">
        <v>28</v>
      </c>
      <c r="H13351" s="4" t="str">
        <f>HYPERLINK("https://portal.gdc.cancer.gov/cases/ce4e4549-befc-447f-9b79-ed46e302e6d7","TCGA-ZF-A9R7-01A")</f>
        <v>TCGA-ZF-A9R7-01A</v>
      </c>
      <c r="I13351" t="s">
        <v>506</v>
      </c>
      <c r="J13351" t="s">
        <v>507</v>
      </c>
      <c r="K13351" t="s">
        <v>33</v>
      </c>
      <c r="L13351" t="s">
        <v>508</v>
      </c>
      <c r="N13351" t="s">
        <v>29</v>
      </c>
    </row>
    <row r="13352" spans="1:14">
      <c r="A13352" s="4" t="str">
        <f t="shared" si="1121"/>
        <v>EXP00408</v>
      </c>
      <c r="B13352" s="3" t="s">
        <v>66</v>
      </c>
      <c r="C13352" s="4" t="str">
        <f t="shared" si="1122"/>
        <v>TCGA-BLCA</v>
      </c>
      <c r="D13352" s="1" t="s">
        <v>493</v>
      </c>
      <c r="E13352" t="s">
        <v>522</v>
      </c>
      <c r="F13352" s="1">
        <v>2</v>
      </c>
      <c r="G13352" s="1" t="s">
        <v>28</v>
      </c>
      <c r="H13352" s="4" t="str">
        <f>HYPERLINK("https://portal.gdc.cancer.gov/cases/4ed34db5-ddb5-4efd-a49b-84bf26789aee","TCGA-ZF-A9RC-01A")</f>
        <v>TCGA-ZF-A9RC-01A</v>
      </c>
      <c r="I13352" t="s">
        <v>506</v>
      </c>
      <c r="J13352" t="s">
        <v>507</v>
      </c>
      <c r="K13352" t="s">
        <v>33</v>
      </c>
      <c r="L13352" t="s">
        <v>508</v>
      </c>
      <c r="N13352" t="s">
        <v>29</v>
      </c>
    </row>
    <row r="13353" spans="1:14">
      <c r="A13353" s="4" t="str">
        <f t="shared" si="1121"/>
        <v>EXP00408</v>
      </c>
      <c r="B13353" s="3" t="s">
        <v>66</v>
      </c>
      <c r="C13353" s="4" t="str">
        <f t="shared" si="1122"/>
        <v>TCGA-BLCA</v>
      </c>
      <c r="D13353" s="1" t="s">
        <v>493</v>
      </c>
      <c r="E13353" t="s">
        <v>522</v>
      </c>
      <c r="F13353" s="1">
        <v>2</v>
      </c>
      <c r="G13353" s="1" t="s">
        <v>28</v>
      </c>
      <c r="H13353" s="4" t="str">
        <f>HYPERLINK("https://portal.gdc.cancer.gov/cases/f57122dd-a6f1-484d-b08a-cb1194de2f9d","TCGA-ZF-A9RD-01A")</f>
        <v>TCGA-ZF-A9RD-01A</v>
      </c>
      <c r="I13353" t="s">
        <v>506</v>
      </c>
      <c r="J13353" t="s">
        <v>507</v>
      </c>
      <c r="K13353" t="s">
        <v>33</v>
      </c>
      <c r="L13353" t="s">
        <v>508</v>
      </c>
      <c r="N13353" t="s">
        <v>29</v>
      </c>
    </row>
    <row r="13354" spans="1:14">
      <c r="A13354" s="4" t="str">
        <f t="shared" si="1121"/>
        <v>EXP00408</v>
      </c>
      <c r="B13354" s="3" t="s">
        <v>66</v>
      </c>
      <c r="C13354" s="4" t="str">
        <f t="shared" si="1122"/>
        <v>TCGA-BLCA</v>
      </c>
      <c r="D13354" s="1" t="s">
        <v>493</v>
      </c>
      <c r="E13354" t="s">
        <v>522</v>
      </c>
      <c r="F13354" s="1">
        <v>2</v>
      </c>
      <c r="G13354" s="1" t="s">
        <v>28</v>
      </c>
      <c r="H13354" s="4" t="str">
        <f>HYPERLINK("https://portal.gdc.cancer.gov/cases/284e175c-3229-4fee-a627-a49eac538e3a","TCGA-ZF-A9RE-01A")</f>
        <v>TCGA-ZF-A9RE-01A</v>
      </c>
      <c r="I13354" t="s">
        <v>506</v>
      </c>
      <c r="J13354" t="s">
        <v>507</v>
      </c>
      <c r="K13354" t="s">
        <v>33</v>
      </c>
      <c r="L13354" t="s">
        <v>508</v>
      </c>
      <c r="N13354" t="s">
        <v>29</v>
      </c>
    </row>
    <row r="13355" spans="1:14">
      <c r="A13355" s="4" t="str">
        <f t="shared" si="1121"/>
        <v>EXP00408</v>
      </c>
      <c r="B13355" s="3" t="s">
        <v>66</v>
      </c>
      <c r="C13355" s="4" t="str">
        <f t="shared" si="1122"/>
        <v>TCGA-BLCA</v>
      </c>
      <c r="D13355" s="1" t="s">
        <v>493</v>
      </c>
      <c r="E13355" t="s">
        <v>522</v>
      </c>
      <c r="F13355" s="1">
        <v>2</v>
      </c>
      <c r="G13355" s="1" t="s">
        <v>28</v>
      </c>
      <c r="H13355" s="4" t="str">
        <f>HYPERLINK("https://portal.gdc.cancer.gov/cases/fa05f7f6-50e9-4878-a834-f655c0877394","TCGA-ZF-A9RF-01A")</f>
        <v>TCGA-ZF-A9RF-01A</v>
      </c>
      <c r="I13355" t="s">
        <v>506</v>
      </c>
      <c r="J13355" t="s">
        <v>507</v>
      </c>
      <c r="K13355" t="s">
        <v>33</v>
      </c>
      <c r="L13355" t="s">
        <v>508</v>
      </c>
      <c r="N13355" t="s">
        <v>29</v>
      </c>
    </row>
    <row r="13356" spans="1:14">
      <c r="A13356" s="4" t="str">
        <f t="shared" si="1121"/>
        <v>EXP00408</v>
      </c>
      <c r="B13356" s="3" t="s">
        <v>66</v>
      </c>
      <c r="C13356" s="4" t="str">
        <f t="shared" si="1122"/>
        <v>TCGA-BLCA</v>
      </c>
      <c r="D13356" s="1" t="s">
        <v>493</v>
      </c>
      <c r="E13356" t="s">
        <v>522</v>
      </c>
      <c r="F13356" s="1">
        <v>2</v>
      </c>
      <c r="G13356" s="1" t="s">
        <v>28</v>
      </c>
      <c r="H13356" s="4" t="str">
        <f>HYPERLINK("https://portal.gdc.cancer.gov/cases/386f51e4-d03a-4606-bf2e-6168f2122c5f","TCGA-ZF-A9RL-01A")</f>
        <v>TCGA-ZF-A9RL-01A</v>
      </c>
      <c r="I13356" t="s">
        <v>506</v>
      </c>
      <c r="J13356" t="s">
        <v>507</v>
      </c>
      <c r="K13356" t="s">
        <v>33</v>
      </c>
      <c r="L13356" t="s">
        <v>508</v>
      </c>
      <c r="N13356" t="s">
        <v>29</v>
      </c>
    </row>
    <row r="13357" spans="1:14">
      <c r="A13357" s="4" t="str">
        <f t="shared" si="1121"/>
        <v>EXP00408</v>
      </c>
      <c r="B13357" s="3" t="s">
        <v>66</v>
      </c>
      <c r="C13357" s="4" t="str">
        <f t="shared" si="1122"/>
        <v>TCGA-BLCA</v>
      </c>
      <c r="D13357" s="1" t="s">
        <v>493</v>
      </c>
      <c r="E13357" t="s">
        <v>522</v>
      </c>
      <c r="F13357" s="1">
        <v>2</v>
      </c>
      <c r="G13357" s="1" t="s">
        <v>28</v>
      </c>
      <c r="H13357" s="4" t="str">
        <f>HYPERLINK("https://portal.gdc.cancer.gov/cases/7d71945a-b81a-405c-bb17-cec9b1d7592c","TCGA-ZF-A9RM-01A")</f>
        <v>TCGA-ZF-A9RM-01A</v>
      </c>
      <c r="I13357" t="s">
        <v>506</v>
      </c>
      <c r="J13357" t="s">
        <v>507</v>
      </c>
      <c r="K13357" t="s">
        <v>33</v>
      </c>
      <c r="L13357" t="s">
        <v>508</v>
      </c>
      <c r="N13357" t="s">
        <v>29</v>
      </c>
    </row>
    <row r="13358" spans="1:14">
      <c r="A13358" s="4" t="str">
        <f t="shared" si="1121"/>
        <v>EXP00408</v>
      </c>
      <c r="B13358" s="3" t="s">
        <v>66</v>
      </c>
      <c r="C13358" s="4" t="str">
        <f t="shared" si="1122"/>
        <v>TCGA-BLCA</v>
      </c>
      <c r="D13358" s="1" t="s">
        <v>493</v>
      </c>
      <c r="E13358" t="s">
        <v>522</v>
      </c>
      <c r="F13358" s="1">
        <v>2</v>
      </c>
      <c r="G13358" s="1" t="s">
        <v>28</v>
      </c>
      <c r="H13358" s="4" t="str">
        <f>HYPERLINK("https://portal.gdc.cancer.gov/cases/c692e696-37fe-4fc1-90eb-8e34a91a98fc","TCGA-ZF-AA4N-01A")</f>
        <v>TCGA-ZF-AA4N-01A</v>
      </c>
      <c r="I13358" t="s">
        <v>506</v>
      </c>
      <c r="J13358" t="s">
        <v>507</v>
      </c>
      <c r="K13358" t="s">
        <v>33</v>
      </c>
      <c r="L13358" t="s">
        <v>508</v>
      </c>
      <c r="N13358" t="s">
        <v>29</v>
      </c>
    </row>
    <row r="13359" spans="1:14">
      <c r="A13359" s="4" t="str">
        <f t="shared" si="1121"/>
        <v>EXP00408</v>
      </c>
      <c r="B13359" s="3" t="s">
        <v>66</v>
      </c>
      <c r="C13359" s="4" t="str">
        <f t="shared" si="1122"/>
        <v>TCGA-BLCA</v>
      </c>
      <c r="D13359" s="1" t="s">
        <v>493</v>
      </c>
      <c r="E13359" t="s">
        <v>522</v>
      </c>
      <c r="F13359" s="1">
        <v>2</v>
      </c>
      <c r="G13359" s="1" t="s">
        <v>28</v>
      </c>
      <c r="H13359" s="4" t="str">
        <f>HYPERLINK("https://portal.gdc.cancer.gov/cases/b36e3b5f-8904-4722-adae-b00812efec65","TCGA-ZF-AA4R-01A")</f>
        <v>TCGA-ZF-AA4R-01A</v>
      </c>
      <c r="I13359" t="s">
        <v>506</v>
      </c>
      <c r="J13359" t="s">
        <v>507</v>
      </c>
      <c r="K13359" t="s">
        <v>33</v>
      </c>
      <c r="L13359" t="s">
        <v>508</v>
      </c>
      <c r="N13359" t="s">
        <v>29</v>
      </c>
    </row>
    <row r="13360" spans="1:14">
      <c r="A13360" s="4" t="str">
        <f t="shared" si="1121"/>
        <v>EXP00408</v>
      </c>
      <c r="B13360" s="3" t="s">
        <v>66</v>
      </c>
      <c r="C13360" s="4" t="str">
        <f t="shared" si="1122"/>
        <v>TCGA-BLCA</v>
      </c>
      <c r="D13360" s="1" t="s">
        <v>493</v>
      </c>
      <c r="E13360" t="s">
        <v>522</v>
      </c>
      <c r="F13360" s="1">
        <v>2</v>
      </c>
      <c r="G13360" s="1" t="s">
        <v>28</v>
      </c>
      <c r="H13360" s="4" t="str">
        <f>HYPERLINK("https://portal.gdc.cancer.gov/cases/ccd65bc8-82ef-453e-b4bc-a005cc2262d5","TCGA-ZF-AA4V-01A")</f>
        <v>TCGA-ZF-AA4V-01A</v>
      </c>
      <c r="I13360" t="s">
        <v>506</v>
      </c>
      <c r="J13360" t="s">
        <v>507</v>
      </c>
      <c r="K13360" t="s">
        <v>33</v>
      </c>
      <c r="L13360" t="s">
        <v>508</v>
      </c>
      <c r="N13360" t="s">
        <v>29</v>
      </c>
    </row>
    <row r="13361" spans="1:14">
      <c r="A13361" s="4" t="str">
        <f t="shared" si="1121"/>
        <v>EXP00408</v>
      </c>
      <c r="B13361" s="3" t="s">
        <v>66</v>
      </c>
      <c r="C13361" s="4" t="str">
        <f t="shared" si="1122"/>
        <v>TCGA-BLCA</v>
      </c>
      <c r="D13361" s="1" t="s">
        <v>493</v>
      </c>
      <c r="E13361" t="s">
        <v>522</v>
      </c>
      <c r="F13361" s="1">
        <v>2</v>
      </c>
      <c r="G13361" s="1" t="s">
        <v>28</v>
      </c>
      <c r="H13361" s="4" t="str">
        <f>HYPERLINK("https://portal.gdc.cancer.gov/cases/e6f7bf6c-92b1-4795-94fc-b189d0c7877f","TCGA-ZF-AA4X-01A")</f>
        <v>TCGA-ZF-AA4X-01A</v>
      </c>
      <c r="I13361" t="s">
        <v>506</v>
      </c>
      <c r="J13361" t="s">
        <v>507</v>
      </c>
      <c r="K13361" t="s">
        <v>33</v>
      </c>
      <c r="L13361" t="s">
        <v>508</v>
      </c>
      <c r="N13361" t="s">
        <v>29</v>
      </c>
    </row>
    <row r="13362" spans="1:14">
      <c r="A13362" s="4" t="str">
        <f t="shared" si="1121"/>
        <v>EXP00408</v>
      </c>
      <c r="B13362" s="3" t="s">
        <v>66</v>
      </c>
      <c r="C13362" s="4" t="str">
        <f t="shared" si="1122"/>
        <v>TCGA-BLCA</v>
      </c>
      <c r="D13362" s="1" t="s">
        <v>493</v>
      </c>
      <c r="E13362" t="s">
        <v>522</v>
      </c>
      <c r="F13362" s="1">
        <v>2</v>
      </c>
      <c r="G13362" s="1" t="s">
        <v>28</v>
      </c>
      <c r="H13362" s="4" t="str">
        <f>HYPERLINK("https://portal.gdc.cancer.gov/cases/1029514b-a32c-4c43-a440-a5ba2709f717","TCGA-ZF-AA51-01A")</f>
        <v>TCGA-ZF-AA51-01A</v>
      </c>
      <c r="I13362" t="s">
        <v>506</v>
      </c>
      <c r="J13362" t="s">
        <v>507</v>
      </c>
      <c r="K13362" t="s">
        <v>33</v>
      </c>
      <c r="L13362" t="s">
        <v>508</v>
      </c>
      <c r="N13362" t="s">
        <v>29</v>
      </c>
    </row>
    <row r="13363" spans="1:14">
      <c r="A13363" s="4" t="str">
        <f t="shared" si="1121"/>
        <v>EXP00408</v>
      </c>
      <c r="B13363" s="3" t="s">
        <v>66</v>
      </c>
      <c r="C13363" s="4" t="str">
        <f t="shared" si="1122"/>
        <v>TCGA-BLCA</v>
      </c>
      <c r="D13363" s="1" t="s">
        <v>493</v>
      </c>
      <c r="E13363" t="s">
        <v>522</v>
      </c>
      <c r="F13363" s="1">
        <v>2</v>
      </c>
      <c r="G13363" s="1" t="s">
        <v>28</v>
      </c>
      <c r="H13363" s="4" t="str">
        <f>HYPERLINK("https://portal.gdc.cancer.gov/cases/6c5f09f0-2019-4440-8554-e8912bce5e98","TCGA-ZF-AA52-01A")</f>
        <v>TCGA-ZF-AA52-01A</v>
      </c>
      <c r="I13363" t="s">
        <v>506</v>
      </c>
      <c r="J13363" t="s">
        <v>507</v>
      </c>
      <c r="K13363" t="s">
        <v>33</v>
      </c>
      <c r="L13363" t="s">
        <v>508</v>
      </c>
      <c r="N13363" t="s">
        <v>29</v>
      </c>
    </row>
    <row r="13364" spans="1:14">
      <c r="A13364" s="4" t="str">
        <f t="shared" si="1121"/>
        <v>EXP00408</v>
      </c>
      <c r="B13364" s="3" t="s">
        <v>66</v>
      </c>
      <c r="C13364" s="4" t="str">
        <f t="shared" si="1122"/>
        <v>TCGA-BLCA</v>
      </c>
      <c r="D13364" s="1" t="s">
        <v>493</v>
      </c>
      <c r="E13364" t="s">
        <v>522</v>
      </c>
      <c r="F13364" s="1">
        <v>2</v>
      </c>
      <c r="G13364" s="1" t="s">
        <v>28</v>
      </c>
      <c r="H13364" s="4" t="str">
        <f>HYPERLINK("https://portal.gdc.cancer.gov/cases/92c6856a-b26f-4512-bbb1-8a8aff4636ab","TCGA-ZF-AA53-01A")</f>
        <v>TCGA-ZF-AA53-01A</v>
      </c>
      <c r="I13364" t="s">
        <v>506</v>
      </c>
      <c r="J13364" t="s">
        <v>507</v>
      </c>
      <c r="K13364" t="s">
        <v>33</v>
      </c>
      <c r="L13364" t="s">
        <v>508</v>
      </c>
      <c r="N13364" t="s">
        <v>29</v>
      </c>
    </row>
    <row r="13365" spans="1:14">
      <c r="A13365" s="4" t="str">
        <f t="shared" si="1121"/>
        <v>EXP00408</v>
      </c>
      <c r="B13365" s="3" t="s">
        <v>66</v>
      </c>
      <c r="C13365" s="4" t="str">
        <f t="shared" si="1122"/>
        <v>TCGA-BLCA</v>
      </c>
      <c r="D13365" s="1" t="s">
        <v>493</v>
      </c>
      <c r="E13365" t="s">
        <v>522</v>
      </c>
      <c r="F13365" s="1">
        <v>2</v>
      </c>
      <c r="G13365" s="1" t="s">
        <v>28</v>
      </c>
      <c r="H13365" s="4" t="str">
        <f>HYPERLINK("https://portal.gdc.cancer.gov/cases/bca645ae-a0c9-4005-b672-85d8920b6afb","TCGA-ZF-AA54-01A")</f>
        <v>TCGA-ZF-AA54-01A</v>
      </c>
      <c r="I13365" t="s">
        <v>506</v>
      </c>
      <c r="J13365" t="s">
        <v>507</v>
      </c>
      <c r="K13365" t="s">
        <v>33</v>
      </c>
      <c r="L13365" t="s">
        <v>508</v>
      </c>
      <c r="N13365" t="s">
        <v>29</v>
      </c>
    </row>
    <row r="13366" spans="1:14">
      <c r="A13366" s="4" t="str">
        <f t="shared" si="1121"/>
        <v>EXP00408</v>
      </c>
      <c r="B13366" s="3" t="s">
        <v>66</v>
      </c>
      <c r="C13366" s="4" t="str">
        <f t="shared" si="1122"/>
        <v>TCGA-BLCA</v>
      </c>
      <c r="D13366" s="1" t="s">
        <v>493</v>
      </c>
      <c r="E13366" t="s">
        <v>522</v>
      </c>
      <c r="F13366" s="1">
        <v>2</v>
      </c>
      <c r="G13366" s="1" t="s">
        <v>28</v>
      </c>
      <c r="H13366" s="4" t="str">
        <f>HYPERLINK("https://portal.gdc.cancer.gov/cases/0da6502c-058d-47f5-9996-8aa1d511d7e4","TCGA-ZF-AA58-01A")</f>
        <v>TCGA-ZF-AA58-01A</v>
      </c>
      <c r="I13366" t="s">
        <v>506</v>
      </c>
      <c r="J13366" t="s">
        <v>507</v>
      </c>
      <c r="K13366" t="s">
        <v>33</v>
      </c>
      <c r="L13366" t="s">
        <v>508</v>
      </c>
      <c r="N13366" t="s">
        <v>29</v>
      </c>
    </row>
    <row r="13367" spans="1:14">
      <c r="A13367" s="4" t="str">
        <f t="shared" si="1121"/>
        <v>EXP00408</v>
      </c>
      <c r="B13367" s="3" t="s">
        <v>66</v>
      </c>
      <c r="C13367" s="4" t="str">
        <f t="shared" si="1122"/>
        <v>TCGA-BLCA</v>
      </c>
      <c r="D13367" s="1" t="s">
        <v>493</v>
      </c>
      <c r="E13367" t="s">
        <v>522</v>
      </c>
      <c r="F13367" s="1">
        <v>2</v>
      </c>
      <c r="G13367" s="1" t="s">
        <v>28</v>
      </c>
      <c r="H13367" s="4" t="str">
        <f>HYPERLINK("https://portal.gdc.cancer.gov/cases/04477379-6c51-45d9-b9b9-d05d53b53945","TCGA-ZF-AA5H-01A")</f>
        <v>TCGA-ZF-AA5H-01A</v>
      </c>
      <c r="I13367" t="s">
        <v>506</v>
      </c>
      <c r="J13367" t="s">
        <v>507</v>
      </c>
      <c r="K13367" t="s">
        <v>33</v>
      </c>
      <c r="L13367" t="s">
        <v>508</v>
      </c>
      <c r="N13367" t="s">
        <v>29</v>
      </c>
    </row>
    <row r="13368" spans="1:14">
      <c r="A13368" s="4" t="str">
        <f t="shared" si="1121"/>
        <v>EXP00408</v>
      </c>
      <c r="B13368" s="3" t="s">
        <v>66</v>
      </c>
      <c r="C13368" s="4" t="str">
        <f t="shared" si="1122"/>
        <v>TCGA-BLCA</v>
      </c>
      <c r="D13368" s="1" t="s">
        <v>493</v>
      </c>
      <c r="E13368" t="s">
        <v>522</v>
      </c>
      <c r="F13368" s="1">
        <v>2</v>
      </c>
      <c r="G13368" s="1" t="s">
        <v>28</v>
      </c>
      <c r="H13368" s="4" t="str">
        <f>HYPERLINK("https://portal.gdc.cancer.gov/cases/f78cb4fa-5548-40f8-b71b-663dde47f539","TCGA-ZF-AA5N-01A")</f>
        <v>TCGA-ZF-AA5N-01A</v>
      </c>
      <c r="I13368" t="s">
        <v>506</v>
      </c>
      <c r="J13368" t="s">
        <v>507</v>
      </c>
      <c r="K13368" t="s">
        <v>33</v>
      </c>
      <c r="L13368" t="s">
        <v>508</v>
      </c>
      <c r="N13368" t="s">
        <v>29</v>
      </c>
    </row>
    <row r="13369" spans="1:14">
      <c r="A13369" s="4" t="str">
        <f t="shared" si="1121"/>
        <v>EXP00408</v>
      </c>
      <c r="B13369" s="3" t="s">
        <v>66</v>
      </c>
      <c r="C13369" s="4" t="str">
        <f t="shared" si="1122"/>
        <v>TCGA-BLCA</v>
      </c>
      <c r="D13369" s="1" t="s">
        <v>493</v>
      </c>
      <c r="E13369" t="s">
        <v>522</v>
      </c>
      <c r="F13369" s="1">
        <v>2</v>
      </c>
      <c r="G13369" s="1" t="s">
        <v>28</v>
      </c>
      <c r="H13369" s="4" t="str">
        <f>HYPERLINK("https://portal.gdc.cancer.gov/cases/24d56331-4bca-4ab8-9fb7-a95a30b4c8fe","TCGA-ZF-AA5P-01A")</f>
        <v>TCGA-ZF-AA5P-01A</v>
      </c>
      <c r="I13369" t="s">
        <v>506</v>
      </c>
      <c r="J13369" t="s">
        <v>507</v>
      </c>
      <c r="K13369" t="s">
        <v>33</v>
      </c>
      <c r="L13369" t="s">
        <v>508</v>
      </c>
      <c r="N13369" t="s">
        <v>29</v>
      </c>
    </row>
    <row r="13370" spans="1:14">
      <c r="A13370" s="4" t="str">
        <f t="shared" ref="A13370:A13383" si="1123">HYPERLINK("http://hcmdb.i-sanger.com/experiment/details/experiment_id/EXP00409","EXP00409")</f>
        <v>EXP00409</v>
      </c>
      <c r="B13370" s="3" t="s">
        <v>66</v>
      </c>
      <c r="C13370" s="4" t="str">
        <f t="shared" ref="C13370:C13433" si="1124">HYPERLINK("https://portal.gdc.cancer.gov/projects/TCGA-BRCA","TCGA-BRCA")</f>
        <v>TCGA-BRCA</v>
      </c>
      <c r="D13370" s="1" t="s">
        <v>493</v>
      </c>
      <c r="E13370" t="s">
        <v>523</v>
      </c>
      <c r="F13370" s="1">
        <v>1</v>
      </c>
      <c r="G13370" s="1" t="s">
        <v>26</v>
      </c>
      <c r="H13370" s="4" t="str">
        <f>HYPERLINK("https://portal.gdc.cancer.gov/cases/7486a2b3-b09f-4e9c-9864-8b51b58d9fb3","TCGA-AC-A6IX-06A")</f>
        <v>TCGA-AC-A6IX-06A</v>
      </c>
      <c r="I13370" t="s">
        <v>17</v>
      </c>
      <c r="J13370" t="s">
        <v>524</v>
      </c>
      <c r="K13370" t="s">
        <v>19</v>
      </c>
      <c r="L13370" t="s">
        <v>20</v>
      </c>
      <c r="N13370" t="s">
        <v>22</v>
      </c>
    </row>
    <row r="13371" spans="1:14">
      <c r="A13371" s="4" t="str">
        <f t="shared" si="1123"/>
        <v>EXP00409</v>
      </c>
      <c r="B13371" s="3" t="s">
        <v>66</v>
      </c>
      <c r="C13371" s="4" t="str">
        <f t="shared" si="1124"/>
        <v>TCGA-BRCA</v>
      </c>
      <c r="D13371" s="1" t="s">
        <v>493</v>
      </c>
      <c r="E13371" t="s">
        <v>523</v>
      </c>
      <c r="F13371" s="1">
        <v>1</v>
      </c>
      <c r="G13371" s="1" t="s">
        <v>26</v>
      </c>
      <c r="H13371" s="4" t="str">
        <f>HYPERLINK("https://portal.gdc.cancer.gov/cases/6b960b58-28e1-41c6-bd6e-7e669c6aa4ef","TCGA-BH-A18V-06A")</f>
        <v>TCGA-BH-A18V-06A</v>
      </c>
      <c r="I13371" t="s">
        <v>17</v>
      </c>
      <c r="J13371" t="s">
        <v>524</v>
      </c>
      <c r="K13371" t="s">
        <v>19</v>
      </c>
      <c r="L13371" t="s">
        <v>20</v>
      </c>
      <c r="N13371" t="s">
        <v>22</v>
      </c>
    </row>
    <row r="13372" spans="1:14">
      <c r="A13372" s="4" t="str">
        <f t="shared" si="1123"/>
        <v>EXP00409</v>
      </c>
      <c r="B13372" s="3" t="s">
        <v>66</v>
      </c>
      <c r="C13372" s="4" t="str">
        <f t="shared" si="1124"/>
        <v>TCGA-BRCA</v>
      </c>
      <c r="D13372" s="1" t="s">
        <v>493</v>
      </c>
      <c r="E13372" t="s">
        <v>523</v>
      </c>
      <c r="F13372" s="1">
        <v>1</v>
      </c>
      <c r="G13372" s="1" t="s">
        <v>26</v>
      </c>
      <c r="H13372" s="4" t="str">
        <f>HYPERLINK("https://portal.gdc.cancer.gov/cases/51ccbf1b-7cae-44ba-991a-11eda8b8c404","TCGA-BH-A1ES-06A")</f>
        <v>TCGA-BH-A1ES-06A</v>
      </c>
      <c r="I13372" t="s">
        <v>17</v>
      </c>
      <c r="J13372" t="s">
        <v>524</v>
      </c>
      <c r="K13372" t="s">
        <v>19</v>
      </c>
      <c r="L13372" t="s">
        <v>20</v>
      </c>
      <c r="N13372" t="s">
        <v>22</v>
      </c>
    </row>
    <row r="13373" spans="1:14">
      <c r="A13373" s="4" t="str">
        <f t="shared" si="1123"/>
        <v>EXP00409</v>
      </c>
      <c r="B13373" s="3" t="s">
        <v>66</v>
      </c>
      <c r="C13373" s="4" t="str">
        <f t="shared" si="1124"/>
        <v>TCGA-BRCA</v>
      </c>
      <c r="D13373" s="1" t="s">
        <v>493</v>
      </c>
      <c r="E13373" t="s">
        <v>523</v>
      </c>
      <c r="F13373" s="1">
        <v>1</v>
      </c>
      <c r="G13373" s="1" t="s">
        <v>26</v>
      </c>
      <c r="H13373" s="4" t="str">
        <f>HYPERLINK("https://portal.gdc.cancer.gov/cases/4aa68586-6331-4795-b40c-859386640df6","TCGA-BH-A1FE-06A")</f>
        <v>TCGA-BH-A1FE-06A</v>
      </c>
      <c r="I13373" t="s">
        <v>17</v>
      </c>
      <c r="J13373" t="s">
        <v>524</v>
      </c>
      <c r="K13373" t="s">
        <v>19</v>
      </c>
      <c r="L13373" t="s">
        <v>20</v>
      </c>
      <c r="N13373" t="s">
        <v>22</v>
      </c>
    </row>
    <row r="13374" spans="1:14">
      <c r="A13374" s="4" t="str">
        <f t="shared" si="1123"/>
        <v>EXP00409</v>
      </c>
      <c r="B13374" s="3" t="s">
        <v>66</v>
      </c>
      <c r="C13374" s="4" t="str">
        <f t="shared" si="1124"/>
        <v>TCGA-BRCA</v>
      </c>
      <c r="D13374" s="1" t="s">
        <v>493</v>
      </c>
      <c r="E13374" t="s">
        <v>523</v>
      </c>
      <c r="F13374" s="1">
        <v>1</v>
      </c>
      <c r="G13374" s="1" t="s">
        <v>26</v>
      </c>
      <c r="H13374" s="4" t="str">
        <f>HYPERLINK("https://portal.gdc.cancer.gov/cases/73ccc949-01b7-48d3-a7c4-c4bcd261672a","TCGA-E2-A15A-06A")</f>
        <v>TCGA-E2-A15A-06A</v>
      </c>
      <c r="I13374" t="s">
        <v>17</v>
      </c>
      <c r="J13374" t="s">
        <v>524</v>
      </c>
      <c r="K13374" t="s">
        <v>19</v>
      </c>
      <c r="L13374" t="s">
        <v>20</v>
      </c>
      <c r="N13374" t="s">
        <v>22</v>
      </c>
    </row>
    <row r="13375" spans="1:14">
      <c r="A13375" s="4" t="str">
        <f t="shared" si="1123"/>
        <v>EXP00409</v>
      </c>
      <c r="B13375" s="3" t="s">
        <v>66</v>
      </c>
      <c r="C13375" s="4" t="str">
        <f t="shared" si="1124"/>
        <v>TCGA-BRCA</v>
      </c>
      <c r="D13375" s="1" t="s">
        <v>493</v>
      </c>
      <c r="E13375" t="s">
        <v>523</v>
      </c>
      <c r="F13375" s="1">
        <v>1</v>
      </c>
      <c r="G13375" s="1" t="s">
        <v>26</v>
      </c>
      <c r="H13375" s="4" t="str">
        <f>HYPERLINK("https://portal.gdc.cancer.gov/cases/0a2a3529-f645-4967-9a58-89ee20b8bb62","TCGA-E2-A15E-06A")</f>
        <v>TCGA-E2-A15E-06A</v>
      </c>
      <c r="I13375" t="s">
        <v>17</v>
      </c>
      <c r="J13375" t="s">
        <v>524</v>
      </c>
      <c r="K13375" t="s">
        <v>19</v>
      </c>
      <c r="L13375" t="s">
        <v>20</v>
      </c>
      <c r="N13375" t="s">
        <v>22</v>
      </c>
    </row>
    <row r="13376" spans="1:14">
      <c r="A13376" s="4" t="str">
        <f t="shared" si="1123"/>
        <v>EXP00409</v>
      </c>
      <c r="B13376" s="3" t="s">
        <v>66</v>
      </c>
      <c r="C13376" s="4" t="str">
        <f t="shared" si="1124"/>
        <v>TCGA-BRCA</v>
      </c>
      <c r="D13376" s="1" t="s">
        <v>493</v>
      </c>
      <c r="E13376" t="s">
        <v>523</v>
      </c>
      <c r="F13376" s="1">
        <v>1</v>
      </c>
      <c r="G13376" s="1" t="s">
        <v>26</v>
      </c>
      <c r="H13376" s="4" t="str">
        <f>HYPERLINK("https://portal.gdc.cancer.gov/cases/17c1d42c-cb84-4655-a4cd-b54bae17ecaf","TCGA-E2-A15K-06A")</f>
        <v>TCGA-E2-A15K-06A</v>
      </c>
      <c r="I13376" t="s">
        <v>17</v>
      </c>
      <c r="J13376" t="s">
        <v>524</v>
      </c>
      <c r="K13376" t="s">
        <v>19</v>
      </c>
      <c r="L13376" t="s">
        <v>20</v>
      </c>
      <c r="N13376" t="s">
        <v>22</v>
      </c>
    </row>
    <row r="13377" spans="1:14">
      <c r="A13377" s="4" t="str">
        <f t="shared" si="1123"/>
        <v>EXP00409</v>
      </c>
      <c r="B13377" s="3" t="s">
        <v>66</v>
      </c>
      <c r="C13377" s="4" t="str">
        <f t="shared" si="1124"/>
        <v>TCGA-BRCA</v>
      </c>
      <c r="D13377" s="1" t="s">
        <v>493</v>
      </c>
      <c r="E13377" t="s">
        <v>523</v>
      </c>
      <c r="F13377" s="1">
        <v>2</v>
      </c>
      <c r="G13377" s="1" t="s">
        <v>28</v>
      </c>
      <c r="H13377" s="4" t="str">
        <f>HYPERLINK("https://portal.gdc.cancer.gov/cases/7486a2b3-b09f-4e9c-9864-8b51b58d9fb3","TCGA-AC-A6IX-01A")</f>
        <v>TCGA-AC-A6IX-01A</v>
      </c>
      <c r="I13377" t="s">
        <v>17</v>
      </c>
      <c r="J13377" t="s">
        <v>524</v>
      </c>
      <c r="K13377" t="s">
        <v>19</v>
      </c>
      <c r="L13377" t="s">
        <v>20</v>
      </c>
      <c r="N13377" t="s">
        <v>29</v>
      </c>
    </row>
    <row r="13378" spans="1:14">
      <c r="A13378" s="4" t="str">
        <f t="shared" si="1123"/>
        <v>EXP00409</v>
      </c>
      <c r="B13378" s="3" t="s">
        <v>66</v>
      </c>
      <c r="C13378" s="4" t="str">
        <f t="shared" si="1124"/>
        <v>TCGA-BRCA</v>
      </c>
      <c r="D13378" s="1" t="s">
        <v>493</v>
      </c>
      <c r="E13378" t="s">
        <v>523</v>
      </c>
      <c r="F13378" s="1">
        <v>2</v>
      </c>
      <c r="G13378" s="1" t="s">
        <v>28</v>
      </c>
      <c r="H13378" s="4" t="str">
        <f>HYPERLINK("https://portal.gdc.cancer.gov/cases/6b960b58-28e1-41c6-bd6e-7e669c6aa4ef","TCGA-BH-A18V-01A")</f>
        <v>TCGA-BH-A18V-01A</v>
      </c>
      <c r="I13378" t="s">
        <v>17</v>
      </c>
      <c r="J13378" t="s">
        <v>524</v>
      </c>
      <c r="K13378" t="s">
        <v>19</v>
      </c>
      <c r="L13378" t="s">
        <v>20</v>
      </c>
      <c r="N13378" t="s">
        <v>29</v>
      </c>
    </row>
    <row r="13379" spans="1:14">
      <c r="A13379" s="4" t="str">
        <f t="shared" si="1123"/>
        <v>EXP00409</v>
      </c>
      <c r="B13379" s="3" t="s">
        <v>66</v>
      </c>
      <c r="C13379" s="4" t="str">
        <f t="shared" si="1124"/>
        <v>TCGA-BRCA</v>
      </c>
      <c r="D13379" s="1" t="s">
        <v>493</v>
      </c>
      <c r="E13379" t="s">
        <v>523</v>
      </c>
      <c r="F13379" s="1">
        <v>2</v>
      </c>
      <c r="G13379" s="1" t="s">
        <v>28</v>
      </c>
      <c r="H13379" s="4" t="str">
        <f>HYPERLINK("https://portal.gdc.cancer.gov/cases/51ccbf1b-7cae-44ba-991a-11eda8b8c404","TCGA-BH-A1ES-01A")</f>
        <v>TCGA-BH-A1ES-01A</v>
      </c>
      <c r="I13379" t="s">
        <v>17</v>
      </c>
      <c r="J13379" t="s">
        <v>524</v>
      </c>
      <c r="K13379" t="s">
        <v>19</v>
      </c>
      <c r="L13379" t="s">
        <v>20</v>
      </c>
      <c r="N13379" t="s">
        <v>29</v>
      </c>
    </row>
    <row r="13380" spans="1:14">
      <c r="A13380" s="4" t="str">
        <f t="shared" si="1123"/>
        <v>EXP00409</v>
      </c>
      <c r="B13380" s="3" t="s">
        <v>66</v>
      </c>
      <c r="C13380" s="4" t="str">
        <f t="shared" si="1124"/>
        <v>TCGA-BRCA</v>
      </c>
      <c r="D13380" s="1" t="s">
        <v>493</v>
      </c>
      <c r="E13380" t="s">
        <v>523</v>
      </c>
      <c r="F13380" s="1">
        <v>2</v>
      </c>
      <c r="G13380" s="1" t="s">
        <v>28</v>
      </c>
      <c r="H13380" s="4" t="str">
        <f>HYPERLINK("https://portal.gdc.cancer.gov/cases/4aa68586-6331-4795-b40c-859386640df6","TCGA-BH-A1FE-01A")</f>
        <v>TCGA-BH-A1FE-01A</v>
      </c>
      <c r="I13380" t="s">
        <v>17</v>
      </c>
      <c r="J13380" t="s">
        <v>524</v>
      </c>
      <c r="K13380" t="s">
        <v>19</v>
      </c>
      <c r="L13380" t="s">
        <v>20</v>
      </c>
      <c r="N13380" t="s">
        <v>29</v>
      </c>
    </row>
    <row r="13381" spans="1:14">
      <c r="A13381" s="4" t="str">
        <f t="shared" si="1123"/>
        <v>EXP00409</v>
      </c>
      <c r="B13381" s="3" t="s">
        <v>66</v>
      </c>
      <c r="C13381" s="4" t="str">
        <f t="shared" si="1124"/>
        <v>TCGA-BRCA</v>
      </c>
      <c r="D13381" s="1" t="s">
        <v>493</v>
      </c>
      <c r="E13381" t="s">
        <v>523</v>
      </c>
      <c r="F13381" s="1">
        <v>2</v>
      </c>
      <c r="G13381" s="1" t="s">
        <v>28</v>
      </c>
      <c r="H13381" s="4" t="str">
        <f>HYPERLINK("https://portal.gdc.cancer.gov/cases/73ccc949-01b7-48d3-a7c4-c4bcd261672a","TCGA-E2-A15A-01A")</f>
        <v>TCGA-E2-A15A-01A</v>
      </c>
      <c r="I13381" t="s">
        <v>17</v>
      </c>
      <c r="J13381" t="s">
        <v>524</v>
      </c>
      <c r="K13381" t="s">
        <v>19</v>
      </c>
      <c r="L13381" t="s">
        <v>20</v>
      </c>
      <c r="N13381" t="s">
        <v>29</v>
      </c>
    </row>
    <row r="13382" spans="1:14">
      <c r="A13382" s="4" t="str">
        <f t="shared" si="1123"/>
        <v>EXP00409</v>
      </c>
      <c r="B13382" s="3" t="s">
        <v>66</v>
      </c>
      <c r="C13382" s="4" t="str">
        <f t="shared" si="1124"/>
        <v>TCGA-BRCA</v>
      </c>
      <c r="D13382" s="1" t="s">
        <v>493</v>
      </c>
      <c r="E13382" t="s">
        <v>523</v>
      </c>
      <c r="F13382" s="1">
        <v>2</v>
      </c>
      <c r="G13382" s="1" t="s">
        <v>28</v>
      </c>
      <c r="H13382" s="4" t="str">
        <f>HYPERLINK("https://portal.gdc.cancer.gov/cases/0a2a3529-f645-4967-9a58-89ee20b8bb62","TCGA-E2-A15E-01A")</f>
        <v>TCGA-E2-A15E-01A</v>
      </c>
      <c r="I13382" t="s">
        <v>17</v>
      </c>
      <c r="J13382" t="s">
        <v>524</v>
      </c>
      <c r="K13382" t="s">
        <v>19</v>
      </c>
      <c r="L13382" t="s">
        <v>20</v>
      </c>
      <c r="N13382" t="s">
        <v>29</v>
      </c>
    </row>
    <row r="13383" spans="1:14">
      <c r="A13383" s="4" t="str">
        <f t="shared" si="1123"/>
        <v>EXP00409</v>
      </c>
      <c r="B13383" s="3" t="s">
        <v>66</v>
      </c>
      <c r="C13383" s="4" t="str">
        <f t="shared" si="1124"/>
        <v>TCGA-BRCA</v>
      </c>
      <c r="D13383" s="1" t="s">
        <v>493</v>
      </c>
      <c r="E13383" t="s">
        <v>523</v>
      </c>
      <c r="F13383" s="1">
        <v>2</v>
      </c>
      <c r="G13383" s="1" t="s">
        <v>28</v>
      </c>
      <c r="H13383" s="4" t="str">
        <f>HYPERLINK("https://portal.gdc.cancer.gov/cases/17c1d42c-cb84-4655-a4cd-b54bae17ecaf","TCGA-E2-A15K-01A")</f>
        <v>TCGA-E2-A15K-01A</v>
      </c>
      <c r="I13383" t="s">
        <v>17</v>
      </c>
      <c r="J13383" t="s">
        <v>524</v>
      </c>
      <c r="K13383" t="s">
        <v>19</v>
      </c>
      <c r="L13383" t="s">
        <v>20</v>
      </c>
      <c r="N13383" t="s">
        <v>29</v>
      </c>
    </row>
    <row r="13384" spans="1:14">
      <c r="A13384" s="4" t="str">
        <f t="shared" ref="A13384:A13392" si="1125">HYPERLINK("http://hcmdb.i-sanger.com/experiment/details/experiment_id/EXP00410","EXP00410")</f>
        <v>EXP00410</v>
      </c>
      <c r="B13384" s="3" t="s">
        <v>66</v>
      </c>
      <c r="C13384" s="4" t="str">
        <f t="shared" si="1124"/>
        <v>TCGA-BRCA</v>
      </c>
      <c r="D13384" s="1" t="s">
        <v>493</v>
      </c>
      <c r="E13384" t="s">
        <v>525</v>
      </c>
      <c r="F13384" s="1">
        <v>1</v>
      </c>
      <c r="G13384" s="1" t="s">
        <v>36</v>
      </c>
      <c r="H13384" s="4" t="str">
        <f>HYPERLINK("https://portal.gdc.cancer.gov/cases/4aa68586-6331-4795-b40c-859386640df6","TCGA-BH-A1FE-11B")</f>
        <v>TCGA-BH-A1FE-11B</v>
      </c>
      <c r="I13384" t="s">
        <v>17</v>
      </c>
      <c r="J13384" t="s">
        <v>524</v>
      </c>
      <c r="K13384" t="s">
        <v>19</v>
      </c>
      <c r="L13384" t="s">
        <v>20</v>
      </c>
      <c r="N13384" t="s">
        <v>37</v>
      </c>
    </row>
    <row r="13385" spans="1:14">
      <c r="A13385" s="4" t="str">
        <f t="shared" si="1125"/>
        <v>EXP00410</v>
      </c>
      <c r="B13385" s="3" t="s">
        <v>66</v>
      </c>
      <c r="C13385" s="4" t="str">
        <f t="shared" si="1124"/>
        <v>TCGA-BRCA</v>
      </c>
      <c r="D13385" s="1" t="s">
        <v>493</v>
      </c>
      <c r="E13385" t="s">
        <v>525</v>
      </c>
      <c r="F13385" s="1">
        <v>1</v>
      </c>
      <c r="G13385" s="1" t="s">
        <v>36</v>
      </c>
      <c r="H13385" s="4" t="str">
        <f>HYPERLINK("https://portal.gdc.cancer.gov/cases/17c1d42c-cb84-4655-a4cd-b54bae17ecaf","TCGA-E2-A15K-11A")</f>
        <v>TCGA-E2-A15K-11A</v>
      </c>
      <c r="I13385" t="s">
        <v>17</v>
      </c>
      <c r="J13385" t="s">
        <v>524</v>
      </c>
      <c r="K13385" t="s">
        <v>19</v>
      </c>
      <c r="L13385" t="s">
        <v>20</v>
      </c>
      <c r="N13385" t="s">
        <v>37</v>
      </c>
    </row>
    <row r="13386" spans="1:14">
      <c r="A13386" s="4" t="str">
        <f t="shared" si="1125"/>
        <v>EXP00410</v>
      </c>
      <c r="B13386" s="3" t="s">
        <v>66</v>
      </c>
      <c r="C13386" s="4" t="str">
        <f t="shared" si="1124"/>
        <v>TCGA-BRCA</v>
      </c>
      <c r="D13386" s="1" t="s">
        <v>493</v>
      </c>
      <c r="E13386" t="s">
        <v>525</v>
      </c>
      <c r="F13386" s="1">
        <v>2</v>
      </c>
      <c r="G13386" s="1" t="s">
        <v>28</v>
      </c>
      <c r="H13386" s="4" t="str">
        <f>HYPERLINK("https://portal.gdc.cancer.gov/cases/7486a2b3-b09f-4e9c-9864-8b51b58d9fb3","TCGA-AC-A6IX-01A")</f>
        <v>TCGA-AC-A6IX-01A</v>
      </c>
      <c r="I13386" t="s">
        <v>17</v>
      </c>
      <c r="J13386" t="s">
        <v>524</v>
      </c>
      <c r="K13386" t="s">
        <v>19</v>
      </c>
      <c r="L13386" t="s">
        <v>20</v>
      </c>
      <c r="N13386" t="s">
        <v>29</v>
      </c>
    </row>
    <row r="13387" spans="1:14">
      <c r="A13387" s="4" t="str">
        <f t="shared" si="1125"/>
        <v>EXP00410</v>
      </c>
      <c r="B13387" s="3" t="s">
        <v>66</v>
      </c>
      <c r="C13387" s="4" t="str">
        <f t="shared" si="1124"/>
        <v>TCGA-BRCA</v>
      </c>
      <c r="D13387" s="1" t="s">
        <v>493</v>
      </c>
      <c r="E13387" t="s">
        <v>525</v>
      </c>
      <c r="F13387" s="1">
        <v>2</v>
      </c>
      <c r="G13387" s="1" t="s">
        <v>28</v>
      </c>
      <c r="H13387" s="4" t="str">
        <f>HYPERLINK("https://portal.gdc.cancer.gov/cases/6b960b58-28e1-41c6-bd6e-7e669c6aa4ef","TCGA-BH-A18V-01A")</f>
        <v>TCGA-BH-A18V-01A</v>
      </c>
      <c r="I13387" t="s">
        <v>17</v>
      </c>
      <c r="J13387" t="s">
        <v>524</v>
      </c>
      <c r="K13387" t="s">
        <v>19</v>
      </c>
      <c r="L13387" t="s">
        <v>20</v>
      </c>
      <c r="N13387" t="s">
        <v>29</v>
      </c>
    </row>
    <row r="13388" spans="1:14">
      <c r="A13388" s="4" t="str">
        <f t="shared" si="1125"/>
        <v>EXP00410</v>
      </c>
      <c r="B13388" s="3" t="s">
        <v>66</v>
      </c>
      <c r="C13388" s="4" t="str">
        <f t="shared" si="1124"/>
        <v>TCGA-BRCA</v>
      </c>
      <c r="D13388" s="1" t="s">
        <v>493</v>
      </c>
      <c r="E13388" t="s">
        <v>525</v>
      </c>
      <c r="F13388" s="1">
        <v>2</v>
      </c>
      <c r="G13388" s="1" t="s">
        <v>28</v>
      </c>
      <c r="H13388" s="4" t="str">
        <f>HYPERLINK("https://portal.gdc.cancer.gov/cases/51ccbf1b-7cae-44ba-991a-11eda8b8c404","TCGA-BH-A1ES-01A")</f>
        <v>TCGA-BH-A1ES-01A</v>
      </c>
      <c r="I13388" t="s">
        <v>17</v>
      </c>
      <c r="J13388" t="s">
        <v>524</v>
      </c>
      <c r="K13388" t="s">
        <v>19</v>
      </c>
      <c r="L13388" t="s">
        <v>20</v>
      </c>
      <c r="N13388" t="s">
        <v>29</v>
      </c>
    </row>
    <row r="13389" spans="1:14">
      <c r="A13389" s="4" t="str">
        <f t="shared" si="1125"/>
        <v>EXP00410</v>
      </c>
      <c r="B13389" s="3" t="s">
        <v>66</v>
      </c>
      <c r="C13389" s="4" t="str">
        <f t="shared" si="1124"/>
        <v>TCGA-BRCA</v>
      </c>
      <c r="D13389" s="1" t="s">
        <v>493</v>
      </c>
      <c r="E13389" t="s">
        <v>525</v>
      </c>
      <c r="F13389" s="1">
        <v>2</v>
      </c>
      <c r="G13389" s="1" t="s">
        <v>28</v>
      </c>
      <c r="H13389" s="4" t="str">
        <f>HYPERLINK("https://portal.gdc.cancer.gov/cases/4aa68586-6331-4795-b40c-859386640df6","TCGA-BH-A1FE-01A")</f>
        <v>TCGA-BH-A1FE-01A</v>
      </c>
      <c r="I13389" t="s">
        <v>17</v>
      </c>
      <c r="J13389" t="s">
        <v>524</v>
      </c>
      <c r="K13389" t="s">
        <v>19</v>
      </c>
      <c r="L13389" t="s">
        <v>20</v>
      </c>
      <c r="N13389" t="s">
        <v>29</v>
      </c>
    </row>
    <row r="13390" spans="1:14">
      <c r="A13390" s="4" t="str">
        <f t="shared" si="1125"/>
        <v>EXP00410</v>
      </c>
      <c r="B13390" s="3" t="s">
        <v>66</v>
      </c>
      <c r="C13390" s="4" t="str">
        <f t="shared" si="1124"/>
        <v>TCGA-BRCA</v>
      </c>
      <c r="D13390" s="1" t="s">
        <v>493</v>
      </c>
      <c r="E13390" t="s">
        <v>525</v>
      </c>
      <c r="F13390" s="1">
        <v>2</v>
      </c>
      <c r="G13390" s="1" t="s">
        <v>28</v>
      </c>
      <c r="H13390" s="4" t="str">
        <f>HYPERLINK("https://portal.gdc.cancer.gov/cases/73ccc949-01b7-48d3-a7c4-c4bcd261672a","TCGA-E2-A15A-01A")</f>
        <v>TCGA-E2-A15A-01A</v>
      </c>
      <c r="I13390" t="s">
        <v>17</v>
      </c>
      <c r="J13390" t="s">
        <v>524</v>
      </c>
      <c r="K13390" t="s">
        <v>19</v>
      </c>
      <c r="L13390" t="s">
        <v>20</v>
      </c>
      <c r="N13390" t="s">
        <v>29</v>
      </c>
    </row>
    <row r="13391" spans="1:14">
      <c r="A13391" s="4" t="str">
        <f t="shared" si="1125"/>
        <v>EXP00410</v>
      </c>
      <c r="B13391" s="3" t="s">
        <v>66</v>
      </c>
      <c r="C13391" s="4" t="str">
        <f t="shared" si="1124"/>
        <v>TCGA-BRCA</v>
      </c>
      <c r="D13391" s="1" t="s">
        <v>493</v>
      </c>
      <c r="E13391" t="s">
        <v>525</v>
      </c>
      <c r="F13391" s="1">
        <v>2</v>
      </c>
      <c r="G13391" s="1" t="s">
        <v>28</v>
      </c>
      <c r="H13391" s="4" t="str">
        <f>HYPERLINK("https://portal.gdc.cancer.gov/cases/0a2a3529-f645-4967-9a58-89ee20b8bb62","TCGA-E2-A15E-01A")</f>
        <v>TCGA-E2-A15E-01A</v>
      </c>
      <c r="I13391" t="s">
        <v>17</v>
      </c>
      <c r="J13391" t="s">
        <v>524</v>
      </c>
      <c r="K13391" t="s">
        <v>19</v>
      </c>
      <c r="L13391" t="s">
        <v>20</v>
      </c>
      <c r="N13391" t="s">
        <v>29</v>
      </c>
    </row>
    <row r="13392" spans="1:14">
      <c r="A13392" s="4" t="str">
        <f t="shared" si="1125"/>
        <v>EXP00410</v>
      </c>
      <c r="B13392" s="3" t="s">
        <v>66</v>
      </c>
      <c r="C13392" s="4" t="str">
        <f t="shared" si="1124"/>
        <v>TCGA-BRCA</v>
      </c>
      <c r="D13392" s="1" t="s">
        <v>493</v>
      </c>
      <c r="E13392" t="s">
        <v>525</v>
      </c>
      <c r="F13392" s="1">
        <v>2</v>
      </c>
      <c r="G13392" s="1" t="s">
        <v>28</v>
      </c>
      <c r="H13392" s="4" t="str">
        <f>HYPERLINK("https://portal.gdc.cancer.gov/cases/17c1d42c-cb84-4655-a4cd-b54bae17ecaf","TCGA-E2-A15K-01A")</f>
        <v>TCGA-E2-A15K-01A</v>
      </c>
      <c r="I13392" t="s">
        <v>17</v>
      </c>
      <c r="J13392" t="s">
        <v>524</v>
      </c>
      <c r="K13392" t="s">
        <v>19</v>
      </c>
      <c r="L13392" t="s">
        <v>20</v>
      </c>
      <c r="N13392" t="s">
        <v>29</v>
      </c>
    </row>
    <row r="13393" spans="1:14">
      <c r="A13393" s="4" t="str">
        <f t="shared" ref="A13393:A13405" si="1126">HYPERLINK("http://hcmdb.i-sanger.com/experiment/details/experiment_id/EXP00411","EXP00411")</f>
        <v>EXP00411</v>
      </c>
      <c r="B13393" s="3" t="s">
        <v>66</v>
      </c>
      <c r="C13393" s="4" t="str">
        <f t="shared" si="1124"/>
        <v>TCGA-BRCA</v>
      </c>
      <c r="D13393" s="1" t="s">
        <v>493</v>
      </c>
      <c r="E13393" t="s">
        <v>526</v>
      </c>
      <c r="F13393" s="1">
        <v>1</v>
      </c>
      <c r="G13393" s="1" t="s">
        <v>527</v>
      </c>
      <c r="H13393" s="4" t="str">
        <f>HYPERLINK("https://portal.gdc.cancer.gov/cases/7486a2b3-b09f-4e9c-9864-8b51b58d9fb3","TCGA-AC-A6IX-01A")</f>
        <v>TCGA-AC-A6IX-01A</v>
      </c>
      <c r="I13393" t="s">
        <v>17</v>
      </c>
      <c r="J13393" t="s">
        <v>524</v>
      </c>
      <c r="K13393" t="s">
        <v>19</v>
      </c>
      <c r="L13393" t="s">
        <v>20</v>
      </c>
      <c r="N13393" t="s">
        <v>29</v>
      </c>
    </row>
    <row r="13394" spans="1:14">
      <c r="A13394" s="4" t="str">
        <f t="shared" si="1126"/>
        <v>EXP00411</v>
      </c>
      <c r="B13394" s="3" t="s">
        <v>66</v>
      </c>
      <c r="C13394" s="4" t="str">
        <f t="shared" si="1124"/>
        <v>TCGA-BRCA</v>
      </c>
      <c r="D13394" s="1" t="s">
        <v>493</v>
      </c>
      <c r="E13394" t="s">
        <v>526</v>
      </c>
      <c r="F13394" s="1">
        <v>1</v>
      </c>
      <c r="G13394" s="1" t="s">
        <v>527</v>
      </c>
      <c r="H13394" s="4" t="str">
        <f>HYPERLINK("https://portal.gdc.cancer.gov/cases/6b960b58-28e1-41c6-bd6e-7e669c6aa4ef","TCGA-BH-A18V-01A")</f>
        <v>TCGA-BH-A18V-01A</v>
      </c>
      <c r="I13394" t="s">
        <v>17</v>
      </c>
      <c r="J13394" t="s">
        <v>524</v>
      </c>
      <c r="K13394" t="s">
        <v>19</v>
      </c>
      <c r="L13394" t="s">
        <v>20</v>
      </c>
      <c r="N13394" t="s">
        <v>29</v>
      </c>
    </row>
    <row r="13395" spans="1:14">
      <c r="A13395" s="4" t="str">
        <f t="shared" si="1126"/>
        <v>EXP00411</v>
      </c>
      <c r="B13395" s="3" t="s">
        <v>66</v>
      </c>
      <c r="C13395" s="4" t="str">
        <f t="shared" si="1124"/>
        <v>TCGA-BRCA</v>
      </c>
      <c r="D13395" s="1" t="s">
        <v>493</v>
      </c>
      <c r="E13395" t="s">
        <v>526</v>
      </c>
      <c r="F13395" s="1">
        <v>1</v>
      </c>
      <c r="G13395" s="1" t="s">
        <v>527</v>
      </c>
      <c r="H13395" s="4" t="str">
        <f>HYPERLINK("https://portal.gdc.cancer.gov/cases/51ccbf1b-7cae-44ba-991a-11eda8b8c404","TCGA-BH-A1ES-01A")</f>
        <v>TCGA-BH-A1ES-01A</v>
      </c>
      <c r="I13395" t="s">
        <v>17</v>
      </c>
      <c r="J13395" t="s">
        <v>524</v>
      </c>
      <c r="K13395" t="s">
        <v>19</v>
      </c>
      <c r="L13395" t="s">
        <v>20</v>
      </c>
      <c r="N13395" t="s">
        <v>29</v>
      </c>
    </row>
    <row r="13396" spans="1:14">
      <c r="A13396" s="4" t="str">
        <f t="shared" si="1126"/>
        <v>EXP00411</v>
      </c>
      <c r="B13396" s="3" t="s">
        <v>66</v>
      </c>
      <c r="C13396" s="4" t="str">
        <f t="shared" si="1124"/>
        <v>TCGA-BRCA</v>
      </c>
      <c r="D13396" s="1" t="s">
        <v>493</v>
      </c>
      <c r="E13396" t="s">
        <v>526</v>
      </c>
      <c r="F13396" s="1">
        <v>1</v>
      </c>
      <c r="G13396" s="1" t="s">
        <v>527</v>
      </c>
      <c r="H13396" s="4" t="str">
        <f>HYPERLINK("https://portal.gdc.cancer.gov/cases/4aa68586-6331-4795-b40c-859386640df6","TCGA-BH-A1FE-01A")</f>
        <v>TCGA-BH-A1FE-01A</v>
      </c>
      <c r="I13396" t="s">
        <v>17</v>
      </c>
      <c r="J13396" t="s">
        <v>524</v>
      </c>
      <c r="K13396" t="s">
        <v>19</v>
      </c>
      <c r="L13396" t="s">
        <v>20</v>
      </c>
      <c r="N13396" t="s">
        <v>29</v>
      </c>
    </row>
    <row r="13397" spans="1:14">
      <c r="A13397" s="4" t="str">
        <f t="shared" si="1126"/>
        <v>EXP00411</v>
      </c>
      <c r="B13397" s="3" t="s">
        <v>66</v>
      </c>
      <c r="C13397" s="4" t="str">
        <f t="shared" si="1124"/>
        <v>TCGA-BRCA</v>
      </c>
      <c r="D13397" s="1" t="s">
        <v>493</v>
      </c>
      <c r="E13397" t="s">
        <v>526</v>
      </c>
      <c r="F13397" s="1">
        <v>1</v>
      </c>
      <c r="G13397" s="1" t="s">
        <v>527</v>
      </c>
      <c r="H13397" s="4" t="str">
        <f>HYPERLINK("https://portal.gdc.cancer.gov/cases/73ccc949-01b7-48d3-a7c4-c4bcd261672a","TCGA-E2-A15A-01A")</f>
        <v>TCGA-E2-A15A-01A</v>
      </c>
      <c r="I13397" t="s">
        <v>17</v>
      </c>
      <c r="J13397" t="s">
        <v>524</v>
      </c>
      <c r="K13397" t="s">
        <v>19</v>
      </c>
      <c r="L13397" t="s">
        <v>20</v>
      </c>
      <c r="N13397" t="s">
        <v>29</v>
      </c>
    </row>
    <row r="13398" spans="1:14">
      <c r="A13398" s="4" t="str">
        <f t="shared" si="1126"/>
        <v>EXP00411</v>
      </c>
      <c r="B13398" s="3" t="s">
        <v>66</v>
      </c>
      <c r="C13398" s="4" t="str">
        <f t="shared" si="1124"/>
        <v>TCGA-BRCA</v>
      </c>
      <c r="D13398" s="1" t="s">
        <v>493</v>
      </c>
      <c r="E13398" t="s">
        <v>526</v>
      </c>
      <c r="F13398" s="1">
        <v>1</v>
      </c>
      <c r="G13398" s="1" t="s">
        <v>527</v>
      </c>
      <c r="H13398" s="4" t="str">
        <f>HYPERLINK("https://portal.gdc.cancer.gov/cases/0a2a3529-f645-4967-9a58-89ee20b8bb62","TCGA-E2-A15E-01A")</f>
        <v>TCGA-E2-A15E-01A</v>
      </c>
      <c r="I13398" t="s">
        <v>17</v>
      </c>
      <c r="J13398" t="s">
        <v>524</v>
      </c>
      <c r="K13398" t="s">
        <v>19</v>
      </c>
      <c r="L13398" t="s">
        <v>20</v>
      </c>
      <c r="N13398" t="s">
        <v>29</v>
      </c>
    </row>
    <row r="13399" spans="1:14">
      <c r="A13399" s="4" t="str">
        <f t="shared" si="1126"/>
        <v>EXP00411</v>
      </c>
      <c r="B13399" s="3" t="s">
        <v>66</v>
      </c>
      <c r="C13399" s="4" t="str">
        <f t="shared" si="1124"/>
        <v>TCGA-BRCA</v>
      </c>
      <c r="D13399" s="1" t="s">
        <v>493</v>
      </c>
      <c r="E13399" t="s">
        <v>526</v>
      </c>
      <c r="F13399" s="1">
        <v>1</v>
      </c>
      <c r="G13399" s="1" t="s">
        <v>527</v>
      </c>
      <c r="H13399" s="4" t="str">
        <f>HYPERLINK("https://portal.gdc.cancer.gov/cases/17c1d42c-cb84-4655-a4cd-b54bae17ecaf","TCGA-E2-A15K-01A")</f>
        <v>TCGA-E2-A15K-01A</v>
      </c>
      <c r="I13399" t="s">
        <v>17</v>
      </c>
      <c r="J13399" t="s">
        <v>524</v>
      </c>
      <c r="K13399" t="s">
        <v>19</v>
      </c>
      <c r="L13399" t="s">
        <v>20</v>
      </c>
      <c r="N13399" t="s">
        <v>29</v>
      </c>
    </row>
    <row r="13400" spans="1:14">
      <c r="A13400" s="4" t="str">
        <f t="shared" si="1126"/>
        <v>EXP00411</v>
      </c>
      <c r="B13400" s="3" t="s">
        <v>66</v>
      </c>
      <c r="C13400" s="4" t="str">
        <f t="shared" si="1124"/>
        <v>TCGA-BRCA</v>
      </c>
      <c r="D13400" s="1" t="s">
        <v>493</v>
      </c>
      <c r="E13400" t="s">
        <v>526</v>
      </c>
      <c r="F13400" s="1">
        <v>2</v>
      </c>
      <c r="G13400" s="1" t="s">
        <v>528</v>
      </c>
      <c r="H13400" s="4" t="str">
        <f>HYPERLINK("https://portal.gdc.cancer.gov/cases/a8e7d8a4-bbf0-496b-b387-8e014cfdcea6","TCGA-A2-A3XU-01A")</f>
        <v>TCGA-A2-A3XU-01A</v>
      </c>
      <c r="I13400" t="s">
        <v>17</v>
      </c>
      <c r="J13400" t="s">
        <v>524</v>
      </c>
      <c r="K13400" t="s">
        <v>19</v>
      </c>
      <c r="L13400" t="s">
        <v>20</v>
      </c>
      <c r="M13400" t="s">
        <v>50</v>
      </c>
      <c r="N13400" t="s">
        <v>29</v>
      </c>
    </row>
    <row r="13401" spans="1:14">
      <c r="A13401" s="4" t="str">
        <f t="shared" si="1126"/>
        <v>EXP00411</v>
      </c>
      <c r="B13401" s="3" t="s">
        <v>66</v>
      </c>
      <c r="C13401" s="4" t="str">
        <f t="shared" si="1124"/>
        <v>TCGA-BRCA</v>
      </c>
      <c r="D13401" s="1" t="s">
        <v>493</v>
      </c>
      <c r="E13401" t="s">
        <v>526</v>
      </c>
      <c r="F13401" s="1">
        <v>2</v>
      </c>
      <c r="G13401" s="1" t="s">
        <v>528</v>
      </c>
      <c r="H13401" s="4" t="str">
        <f>HYPERLINK("https://portal.gdc.cancer.gov/cases/f6eebd4b-b63a-4a9c-92d3-0d954a8a6655","TCGA-AC-A2FE-01A")</f>
        <v>TCGA-AC-A2FE-01A</v>
      </c>
      <c r="I13401" t="s">
        <v>17</v>
      </c>
      <c r="J13401" t="s">
        <v>524</v>
      </c>
      <c r="K13401" t="s">
        <v>19</v>
      </c>
      <c r="L13401" t="s">
        <v>20</v>
      </c>
      <c r="M13401" t="s">
        <v>50</v>
      </c>
      <c r="N13401" t="s">
        <v>29</v>
      </c>
    </row>
    <row r="13402" spans="1:14">
      <c r="A13402" s="4" t="str">
        <f t="shared" si="1126"/>
        <v>EXP00411</v>
      </c>
      <c r="B13402" s="3" t="s">
        <v>66</v>
      </c>
      <c r="C13402" s="4" t="str">
        <f t="shared" si="1124"/>
        <v>TCGA-BRCA</v>
      </c>
      <c r="D13402" s="1" t="s">
        <v>493</v>
      </c>
      <c r="E13402" t="s">
        <v>526</v>
      </c>
      <c r="F13402" s="1">
        <v>2</v>
      </c>
      <c r="G13402" s="1" t="s">
        <v>528</v>
      </c>
      <c r="H13402" s="4" t="str">
        <f>HYPERLINK("https://portal.gdc.cancer.gov/cases/9434687a-197c-4959-b6b8-9c05f1dd7f53","TCGA-B6-A3ZX-01A")</f>
        <v>TCGA-B6-A3ZX-01A</v>
      </c>
      <c r="I13402" t="s">
        <v>17</v>
      </c>
      <c r="J13402" t="s">
        <v>524</v>
      </c>
      <c r="K13402" t="s">
        <v>19</v>
      </c>
      <c r="L13402" t="s">
        <v>20</v>
      </c>
      <c r="M13402" t="s">
        <v>50</v>
      </c>
      <c r="N13402" t="s">
        <v>29</v>
      </c>
    </row>
    <row r="13403" spans="1:14">
      <c r="A13403" s="4" t="str">
        <f t="shared" si="1126"/>
        <v>EXP00411</v>
      </c>
      <c r="B13403" s="3" t="s">
        <v>66</v>
      </c>
      <c r="C13403" s="4" t="str">
        <f t="shared" si="1124"/>
        <v>TCGA-BRCA</v>
      </c>
      <c r="D13403" s="1" t="s">
        <v>493</v>
      </c>
      <c r="E13403" t="s">
        <v>526</v>
      </c>
      <c r="F13403" s="1">
        <v>2</v>
      </c>
      <c r="G13403" s="1" t="s">
        <v>528</v>
      </c>
      <c r="H13403" s="4" t="str">
        <f>HYPERLINK("https://portal.gdc.cancer.gov/cases/61204cdf-3b1c-44a1-bda6-0fef1ac4a333","TCGA-HN-A2OB-01A")</f>
        <v>TCGA-HN-A2OB-01A</v>
      </c>
      <c r="I13403" t="s">
        <v>17</v>
      </c>
      <c r="J13403" t="s">
        <v>524</v>
      </c>
      <c r="K13403" t="s">
        <v>19</v>
      </c>
      <c r="L13403" t="s">
        <v>20</v>
      </c>
      <c r="M13403" t="s">
        <v>50</v>
      </c>
      <c r="N13403" t="s">
        <v>29</v>
      </c>
    </row>
    <row r="13404" spans="1:14">
      <c r="A13404" s="4" t="str">
        <f t="shared" si="1126"/>
        <v>EXP00411</v>
      </c>
      <c r="B13404" s="3" t="s">
        <v>66</v>
      </c>
      <c r="C13404" s="4" t="str">
        <f t="shared" si="1124"/>
        <v>TCGA-BRCA</v>
      </c>
      <c r="D13404" s="1" t="s">
        <v>493</v>
      </c>
      <c r="E13404" t="s">
        <v>526</v>
      </c>
      <c r="F13404" s="1">
        <v>3</v>
      </c>
      <c r="G13404" s="1" t="s">
        <v>529</v>
      </c>
      <c r="H13404" s="4" t="str">
        <f>HYPERLINK("https://portal.gdc.cancer.gov/cases/5362cbc4-cd28-4afd-a8ac-1a4c2c33cad2","TCGA-B6-A409-01A")</f>
        <v>TCGA-B6-A409-01A</v>
      </c>
      <c r="I13404" t="s">
        <v>17</v>
      </c>
      <c r="J13404" t="s">
        <v>524</v>
      </c>
      <c r="K13404" t="s">
        <v>19</v>
      </c>
      <c r="L13404" t="s">
        <v>20</v>
      </c>
      <c r="M13404" t="s">
        <v>41</v>
      </c>
      <c r="N13404" t="s">
        <v>29</v>
      </c>
    </row>
    <row r="13405" spans="1:14">
      <c r="A13405" s="4" t="str">
        <f t="shared" si="1126"/>
        <v>EXP00411</v>
      </c>
      <c r="B13405" s="3" t="s">
        <v>66</v>
      </c>
      <c r="C13405" s="4" t="str">
        <f t="shared" si="1124"/>
        <v>TCGA-BRCA</v>
      </c>
      <c r="D13405" s="1" t="s">
        <v>493</v>
      </c>
      <c r="E13405" t="s">
        <v>526</v>
      </c>
      <c r="F13405" s="1">
        <v>3</v>
      </c>
      <c r="G13405" s="1" t="s">
        <v>529</v>
      </c>
      <c r="H13405" s="4" t="str">
        <f>HYPERLINK("https://portal.gdc.cancer.gov/cases/6ffd1b8c-6f0b-456a-9160-e0c8021e5897","TCGA-OL-A97C-01A")</f>
        <v>TCGA-OL-A97C-01A</v>
      </c>
      <c r="I13405" t="s">
        <v>17</v>
      </c>
      <c r="J13405" t="s">
        <v>524</v>
      </c>
      <c r="K13405" t="s">
        <v>19</v>
      </c>
      <c r="L13405" t="s">
        <v>20</v>
      </c>
      <c r="M13405" t="s">
        <v>41</v>
      </c>
      <c r="N13405" t="s">
        <v>29</v>
      </c>
    </row>
    <row r="13406" spans="1:14">
      <c r="A13406" s="4" t="str">
        <f t="shared" ref="A13406:A13426" si="1127">HYPERLINK("http://hcmdb.i-sanger.com/experiment/details/experiment_id/EXP00412","EXP00412")</f>
        <v>EXP00412</v>
      </c>
      <c r="B13406" s="3" t="s">
        <v>66</v>
      </c>
      <c r="C13406" s="4" t="str">
        <f t="shared" si="1124"/>
        <v>TCGA-BRCA</v>
      </c>
      <c r="D13406" s="1" t="s">
        <v>493</v>
      </c>
      <c r="E13406" t="s">
        <v>530</v>
      </c>
      <c r="F13406" s="1">
        <v>1</v>
      </c>
      <c r="G13406" s="1" t="s">
        <v>26</v>
      </c>
      <c r="H13406" s="4" t="str">
        <f>HYPERLINK("https://portal.gdc.cancer.gov/cases/7486a2b3-b09f-4e9c-9864-8b51b58d9fb3","TCGA-AC-A6IX-06A")</f>
        <v>TCGA-AC-A6IX-06A</v>
      </c>
      <c r="I13406" t="s">
        <v>17</v>
      </c>
      <c r="J13406" t="s">
        <v>524</v>
      </c>
      <c r="K13406" t="s">
        <v>19</v>
      </c>
      <c r="L13406" t="s">
        <v>20</v>
      </c>
      <c r="N13406" t="s">
        <v>22</v>
      </c>
    </row>
    <row r="13407" spans="1:14">
      <c r="A13407" s="4" t="str">
        <f t="shared" si="1127"/>
        <v>EXP00412</v>
      </c>
      <c r="B13407" s="3" t="s">
        <v>66</v>
      </c>
      <c r="C13407" s="4" t="str">
        <f t="shared" si="1124"/>
        <v>TCGA-BRCA</v>
      </c>
      <c r="D13407" s="1" t="s">
        <v>493</v>
      </c>
      <c r="E13407" t="s">
        <v>530</v>
      </c>
      <c r="F13407" s="1">
        <v>1</v>
      </c>
      <c r="G13407" s="1" t="s">
        <v>26</v>
      </c>
      <c r="H13407" s="4" t="str">
        <f>HYPERLINK("https://portal.gdc.cancer.gov/cases/6b960b58-28e1-41c6-bd6e-7e669c6aa4ef","TCGA-BH-A18V-06A")</f>
        <v>TCGA-BH-A18V-06A</v>
      </c>
      <c r="I13407" t="s">
        <v>17</v>
      </c>
      <c r="J13407" t="s">
        <v>524</v>
      </c>
      <c r="K13407" t="s">
        <v>19</v>
      </c>
      <c r="L13407" t="s">
        <v>20</v>
      </c>
      <c r="N13407" t="s">
        <v>22</v>
      </c>
    </row>
    <row r="13408" spans="1:14">
      <c r="A13408" s="4" t="str">
        <f t="shared" si="1127"/>
        <v>EXP00412</v>
      </c>
      <c r="B13408" s="3" t="s">
        <v>66</v>
      </c>
      <c r="C13408" s="4" t="str">
        <f t="shared" si="1124"/>
        <v>TCGA-BRCA</v>
      </c>
      <c r="D13408" s="1" t="s">
        <v>493</v>
      </c>
      <c r="E13408" t="s">
        <v>530</v>
      </c>
      <c r="F13408" s="1">
        <v>1</v>
      </c>
      <c r="G13408" s="1" t="s">
        <v>26</v>
      </c>
      <c r="H13408" s="4" t="str">
        <f>HYPERLINK("https://portal.gdc.cancer.gov/cases/51ccbf1b-7cae-44ba-991a-11eda8b8c404","TCGA-BH-A1ES-06A")</f>
        <v>TCGA-BH-A1ES-06A</v>
      </c>
      <c r="I13408" t="s">
        <v>17</v>
      </c>
      <c r="J13408" t="s">
        <v>524</v>
      </c>
      <c r="K13408" t="s">
        <v>19</v>
      </c>
      <c r="L13408" t="s">
        <v>20</v>
      </c>
      <c r="N13408" t="s">
        <v>22</v>
      </c>
    </row>
    <row r="13409" spans="1:14">
      <c r="A13409" s="4" t="str">
        <f t="shared" si="1127"/>
        <v>EXP00412</v>
      </c>
      <c r="B13409" s="3" t="s">
        <v>66</v>
      </c>
      <c r="C13409" s="4" t="str">
        <f t="shared" si="1124"/>
        <v>TCGA-BRCA</v>
      </c>
      <c r="D13409" s="1" t="s">
        <v>493</v>
      </c>
      <c r="E13409" t="s">
        <v>530</v>
      </c>
      <c r="F13409" s="1">
        <v>1</v>
      </c>
      <c r="G13409" s="1" t="s">
        <v>26</v>
      </c>
      <c r="H13409" s="4" t="str">
        <f>HYPERLINK("https://portal.gdc.cancer.gov/cases/4aa68586-6331-4795-b40c-859386640df6","TCGA-BH-A1FE-06A")</f>
        <v>TCGA-BH-A1FE-06A</v>
      </c>
      <c r="I13409" t="s">
        <v>17</v>
      </c>
      <c r="J13409" t="s">
        <v>524</v>
      </c>
      <c r="K13409" t="s">
        <v>19</v>
      </c>
      <c r="L13409" t="s">
        <v>20</v>
      </c>
      <c r="N13409" t="s">
        <v>22</v>
      </c>
    </row>
    <row r="13410" spans="1:14">
      <c r="A13410" s="4" t="str">
        <f t="shared" si="1127"/>
        <v>EXP00412</v>
      </c>
      <c r="B13410" s="3" t="s">
        <v>66</v>
      </c>
      <c r="C13410" s="4" t="str">
        <f t="shared" si="1124"/>
        <v>TCGA-BRCA</v>
      </c>
      <c r="D13410" s="1" t="s">
        <v>493</v>
      </c>
      <c r="E13410" t="s">
        <v>530</v>
      </c>
      <c r="F13410" s="1">
        <v>1</v>
      </c>
      <c r="G13410" s="1" t="s">
        <v>26</v>
      </c>
      <c r="H13410" s="4" t="str">
        <f>HYPERLINK("https://portal.gdc.cancer.gov/cases/73ccc949-01b7-48d3-a7c4-c4bcd261672a","TCGA-E2-A15A-06A")</f>
        <v>TCGA-E2-A15A-06A</v>
      </c>
      <c r="I13410" t="s">
        <v>17</v>
      </c>
      <c r="J13410" t="s">
        <v>524</v>
      </c>
      <c r="K13410" t="s">
        <v>19</v>
      </c>
      <c r="L13410" t="s">
        <v>20</v>
      </c>
      <c r="N13410" t="s">
        <v>22</v>
      </c>
    </row>
    <row r="13411" spans="1:14">
      <c r="A13411" s="4" t="str">
        <f t="shared" si="1127"/>
        <v>EXP00412</v>
      </c>
      <c r="B13411" s="3" t="s">
        <v>66</v>
      </c>
      <c r="C13411" s="4" t="str">
        <f t="shared" si="1124"/>
        <v>TCGA-BRCA</v>
      </c>
      <c r="D13411" s="1" t="s">
        <v>493</v>
      </c>
      <c r="E13411" t="s">
        <v>530</v>
      </c>
      <c r="F13411" s="1">
        <v>1</v>
      </c>
      <c r="G13411" s="1" t="s">
        <v>26</v>
      </c>
      <c r="H13411" s="4" t="str">
        <f>HYPERLINK("https://portal.gdc.cancer.gov/cases/0a2a3529-f645-4967-9a58-89ee20b8bb62","TCGA-E2-A15E-06A")</f>
        <v>TCGA-E2-A15E-06A</v>
      </c>
      <c r="I13411" t="s">
        <v>17</v>
      </c>
      <c r="J13411" t="s">
        <v>524</v>
      </c>
      <c r="K13411" t="s">
        <v>19</v>
      </c>
      <c r="L13411" t="s">
        <v>20</v>
      </c>
      <c r="N13411" t="s">
        <v>22</v>
      </c>
    </row>
    <row r="13412" spans="1:14">
      <c r="A13412" s="4" t="str">
        <f t="shared" si="1127"/>
        <v>EXP00412</v>
      </c>
      <c r="B13412" s="3" t="s">
        <v>66</v>
      </c>
      <c r="C13412" s="4" t="str">
        <f t="shared" si="1124"/>
        <v>TCGA-BRCA</v>
      </c>
      <c r="D13412" s="1" t="s">
        <v>493</v>
      </c>
      <c r="E13412" t="s">
        <v>530</v>
      </c>
      <c r="F13412" s="1">
        <v>1</v>
      </c>
      <c r="G13412" s="1" t="s">
        <v>26</v>
      </c>
      <c r="H13412" s="4" t="str">
        <f>HYPERLINK("https://portal.gdc.cancer.gov/cases/17c1d42c-cb84-4655-a4cd-b54bae17ecaf","TCGA-E2-A15K-06A")</f>
        <v>TCGA-E2-A15K-06A</v>
      </c>
      <c r="I13412" t="s">
        <v>17</v>
      </c>
      <c r="J13412" t="s">
        <v>524</v>
      </c>
      <c r="K13412" t="s">
        <v>19</v>
      </c>
      <c r="L13412" t="s">
        <v>20</v>
      </c>
      <c r="N13412" t="s">
        <v>22</v>
      </c>
    </row>
    <row r="13413" spans="1:14">
      <c r="A13413" s="4" t="str">
        <f t="shared" si="1127"/>
        <v>EXP00412</v>
      </c>
      <c r="B13413" s="3" t="s">
        <v>66</v>
      </c>
      <c r="C13413" s="4" t="str">
        <f t="shared" si="1124"/>
        <v>TCGA-BRCA</v>
      </c>
      <c r="D13413" s="1" t="s">
        <v>493</v>
      </c>
      <c r="E13413" t="s">
        <v>530</v>
      </c>
      <c r="F13413" s="1">
        <v>2</v>
      </c>
      <c r="G13413" s="1" t="s">
        <v>28</v>
      </c>
      <c r="H13413" s="4" t="str">
        <f>HYPERLINK("https://portal.gdc.cancer.gov/cases/a8e7d8a4-bbf0-496b-b387-8e014cfdcea6","TCGA-A2-A3XU-01A")</f>
        <v>TCGA-A2-A3XU-01A</v>
      </c>
      <c r="I13413" t="s">
        <v>17</v>
      </c>
      <c r="J13413" t="s">
        <v>524</v>
      </c>
      <c r="K13413" t="s">
        <v>19</v>
      </c>
      <c r="L13413" t="s">
        <v>20</v>
      </c>
      <c r="M13413" t="s">
        <v>50</v>
      </c>
      <c r="N13413" t="s">
        <v>29</v>
      </c>
    </row>
    <row r="13414" spans="1:14">
      <c r="A13414" s="4" t="str">
        <f t="shared" si="1127"/>
        <v>EXP00412</v>
      </c>
      <c r="B13414" s="3" t="s">
        <v>66</v>
      </c>
      <c r="C13414" s="4" t="str">
        <f t="shared" si="1124"/>
        <v>TCGA-BRCA</v>
      </c>
      <c r="D13414" s="1" t="s">
        <v>493</v>
      </c>
      <c r="E13414" t="s">
        <v>530</v>
      </c>
      <c r="F13414" s="1">
        <v>2</v>
      </c>
      <c r="G13414" s="1" t="s">
        <v>28</v>
      </c>
      <c r="H13414" s="4" t="str">
        <f>HYPERLINK("https://portal.gdc.cancer.gov/cases/f6eebd4b-b63a-4a9c-92d3-0d954a8a6655","TCGA-AC-A2FE-01A")</f>
        <v>TCGA-AC-A2FE-01A</v>
      </c>
      <c r="I13414" t="s">
        <v>17</v>
      </c>
      <c r="J13414" t="s">
        <v>524</v>
      </c>
      <c r="K13414" t="s">
        <v>19</v>
      </c>
      <c r="L13414" t="s">
        <v>20</v>
      </c>
      <c r="M13414" t="s">
        <v>50</v>
      </c>
      <c r="N13414" t="s">
        <v>29</v>
      </c>
    </row>
    <row r="13415" spans="1:14">
      <c r="A13415" s="4" t="str">
        <f t="shared" si="1127"/>
        <v>EXP00412</v>
      </c>
      <c r="B13415" s="3" t="s">
        <v>66</v>
      </c>
      <c r="C13415" s="4" t="str">
        <f t="shared" si="1124"/>
        <v>TCGA-BRCA</v>
      </c>
      <c r="D13415" s="1" t="s">
        <v>493</v>
      </c>
      <c r="E13415" t="s">
        <v>530</v>
      </c>
      <c r="F13415" s="1">
        <v>2</v>
      </c>
      <c r="G13415" s="1" t="s">
        <v>28</v>
      </c>
      <c r="H13415" s="4" t="str">
        <f>HYPERLINK("https://portal.gdc.cancer.gov/cases/7486a2b3-b09f-4e9c-9864-8b51b58d9fb3","TCGA-AC-A6IX-01A")</f>
        <v>TCGA-AC-A6IX-01A</v>
      </c>
      <c r="I13415" t="s">
        <v>17</v>
      </c>
      <c r="J13415" t="s">
        <v>524</v>
      </c>
      <c r="K13415" t="s">
        <v>19</v>
      </c>
      <c r="L13415" t="s">
        <v>20</v>
      </c>
      <c r="N13415" t="s">
        <v>29</v>
      </c>
    </row>
    <row r="13416" spans="1:14">
      <c r="A13416" s="4" t="str">
        <f t="shared" si="1127"/>
        <v>EXP00412</v>
      </c>
      <c r="B13416" s="3" t="s">
        <v>66</v>
      </c>
      <c r="C13416" s="4" t="str">
        <f t="shared" si="1124"/>
        <v>TCGA-BRCA</v>
      </c>
      <c r="D13416" s="1" t="s">
        <v>493</v>
      </c>
      <c r="E13416" t="s">
        <v>530</v>
      </c>
      <c r="F13416" s="1">
        <v>2</v>
      </c>
      <c r="G13416" s="1" t="s">
        <v>28</v>
      </c>
      <c r="H13416" s="4" t="str">
        <f>HYPERLINK("https://portal.gdc.cancer.gov/cases/3af31fcf-ad0c-4fd9-a8e3-10f9176b5e9d","TCGA-AR-A5QQ-01A")</f>
        <v>TCGA-AR-A5QQ-01A</v>
      </c>
      <c r="I13416" t="s">
        <v>17</v>
      </c>
      <c r="J13416" t="s">
        <v>524</v>
      </c>
      <c r="K13416" t="s">
        <v>19</v>
      </c>
      <c r="L13416" t="s">
        <v>20</v>
      </c>
      <c r="M13416" t="s">
        <v>518</v>
      </c>
      <c r="N13416" t="s">
        <v>29</v>
      </c>
    </row>
    <row r="13417" spans="1:14">
      <c r="A13417" s="4" t="str">
        <f t="shared" si="1127"/>
        <v>EXP00412</v>
      </c>
      <c r="B13417" s="3" t="s">
        <v>66</v>
      </c>
      <c r="C13417" s="4" t="str">
        <f t="shared" si="1124"/>
        <v>TCGA-BRCA</v>
      </c>
      <c r="D13417" s="1" t="s">
        <v>493</v>
      </c>
      <c r="E13417" t="s">
        <v>530</v>
      </c>
      <c r="F13417" s="1">
        <v>2</v>
      </c>
      <c r="G13417" s="1" t="s">
        <v>28</v>
      </c>
      <c r="H13417" s="4" t="str">
        <f>HYPERLINK("https://portal.gdc.cancer.gov/cases/9434687a-197c-4959-b6b8-9c05f1dd7f53","TCGA-B6-A3ZX-01A")</f>
        <v>TCGA-B6-A3ZX-01A</v>
      </c>
      <c r="I13417" t="s">
        <v>17</v>
      </c>
      <c r="J13417" t="s">
        <v>524</v>
      </c>
      <c r="K13417" t="s">
        <v>19</v>
      </c>
      <c r="L13417" t="s">
        <v>20</v>
      </c>
      <c r="M13417" t="s">
        <v>50</v>
      </c>
      <c r="N13417" t="s">
        <v>29</v>
      </c>
    </row>
    <row r="13418" spans="1:14">
      <c r="A13418" s="4" t="str">
        <f t="shared" si="1127"/>
        <v>EXP00412</v>
      </c>
      <c r="B13418" s="3" t="s">
        <v>66</v>
      </c>
      <c r="C13418" s="4" t="str">
        <f t="shared" si="1124"/>
        <v>TCGA-BRCA</v>
      </c>
      <c r="D13418" s="1" t="s">
        <v>493</v>
      </c>
      <c r="E13418" t="s">
        <v>530</v>
      </c>
      <c r="F13418" s="1">
        <v>2</v>
      </c>
      <c r="G13418" s="1" t="s">
        <v>28</v>
      </c>
      <c r="H13418" s="4" t="str">
        <f>HYPERLINK("https://portal.gdc.cancer.gov/cases/5362cbc4-cd28-4afd-a8ac-1a4c2c33cad2","TCGA-B6-A409-01A")</f>
        <v>TCGA-B6-A409-01A</v>
      </c>
      <c r="I13418" t="s">
        <v>17</v>
      </c>
      <c r="J13418" t="s">
        <v>524</v>
      </c>
      <c r="K13418" t="s">
        <v>19</v>
      </c>
      <c r="L13418" t="s">
        <v>20</v>
      </c>
      <c r="M13418" t="s">
        <v>41</v>
      </c>
      <c r="N13418" t="s">
        <v>29</v>
      </c>
    </row>
    <row r="13419" spans="1:14">
      <c r="A13419" s="4" t="str">
        <f t="shared" si="1127"/>
        <v>EXP00412</v>
      </c>
      <c r="B13419" s="3" t="s">
        <v>66</v>
      </c>
      <c r="C13419" s="4" t="str">
        <f t="shared" si="1124"/>
        <v>TCGA-BRCA</v>
      </c>
      <c r="D13419" s="1" t="s">
        <v>493</v>
      </c>
      <c r="E13419" t="s">
        <v>530</v>
      </c>
      <c r="F13419" s="1">
        <v>2</v>
      </c>
      <c r="G13419" s="1" t="s">
        <v>28</v>
      </c>
      <c r="H13419" s="4" t="str">
        <f>HYPERLINK("https://portal.gdc.cancer.gov/cases/6b960b58-28e1-41c6-bd6e-7e669c6aa4ef","TCGA-BH-A18V-01A")</f>
        <v>TCGA-BH-A18V-01A</v>
      </c>
      <c r="I13419" t="s">
        <v>17</v>
      </c>
      <c r="J13419" t="s">
        <v>524</v>
      </c>
      <c r="K13419" t="s">
        <v>19</v>
      </c>
      <c r="L13419" t="s">
        <v>20</v>
      </c>
      <c r="N13419" t="s">
        <v>29</v>
      </c>
    </row>
    <row r="13420" spans="1:14">
      <c r="A13420" s="4" t="str">
        <f t="shared" si="1127"/>
        <v>EXP00412</v>
      </c>
      <c r="B13420" s="3" t="s">
        <v>66</v>
      </c>
      <c r="C13420" s="4" t="str">
        <f t="shared" si="1124"/>
        <v>TCGA-BRCA</v>
      </c>
      <c r="D13420" s="1" t="s">
        <v>493</v>
      </c>
      <c r="E13420" t="s">
        <v>530</v>
      </c>
      <c r="F13420" s="1">
        <v>2</v>
      </c>
      <c r="G13420" s="1" t="s">
        <v>28</v>
      </c>
      <c r="H13420" s="4" t="str">
        <f>HYPERLINK("https://portal.gdc.cancer.gov/cases/51ccbf1b-7cae-44ba-991a-11eda8b8c404","TCGA-BH-A1ES-01A")</f>
        <v>TCGA-BH-A1ES-01A</v>
      </c>
      <c r="I13420" t="s">
        <v>17</v>
      </c>
      <c r="J13420" t="s">
        <v>524</v>
      </c>
      <c r="K13420" t="s">
        <v>19</v>
      </c>
      <c r="L13420" t="s">
        <v>20</v>
      </c>
      <c r="N13420" t="s">
        <v>29</v>
      </c>
    </row>
    <row r="13421" spans="1:14">
      <c r="A13421" s="4" t="str">
        <f t="shared" si="1127"/>
        <v>EXP00412</v>
      </c>
      <c r="B13421" s="3" t="s">
        <v>66</v>
      </c>
      <c r="C13421" s="4" t="str">
        <f t="shared" si="1124"/>
        <v>TCGA-BRCA</v>
      </c>
      <c r="D13421" s="1" t="s">
        <v>493</v>
      </c>
      <c r="E13421" t="s">
        <v>530</v>
      </c>
      <c r="F13421" s="1">
        <v>2</v>
      </c>
      <c r="G13421" s="1" t="s">
        <v>28</v>
      </c>
      <c r="H13421" s="4" t="str">
        <f>HYPERLINK("https://portal.gdc.cancer.gov/cases/4aa68586-6331-4795-b40c-859386640df6","TCGA-BH-A1FE-01A")</f>
        <v>TCGA-BH-A1FE-01A</v>
      </c>
      <c r="I13421" t="s">
        <v>17</v>
      </c>
      <c r="J13421" t="s">
        <v>524</v>
      </c>
      <c r="K13421" t="s">
        <v>19</v>
      </c>
      <c r="L13421" t="s">
        <v>20</v>
      </c>
      <c r="N13421" t="s">
        <v>29</v>
      </c>
    </row>
    <row r="13422" spans="1:14">
      <c r="A13422" s="4" t="str">
        <f t="shared" si="1127"/>
        <v>EXP00412</v>
      </c>
      <c r="B13422" s="3" t="s">
        <v>66</v>
      </c>
      <c r="C13422" s="4" t="str">
        <f t="shared" si="1124"/>
        <v>TCGA-BRCA</v>
      </c>
      <c r="D13422" s="1" t="s">
        <v>493</v>
      </c>
      <c r="E13422" t="s">
        <v>530</v>
      </c>
      <c r="F13422" s="1">
        <v>2</v>
      </c>
      <c r="G13422" s="1" t="s">
        <v>28</v>
      </c>
      <c r="H13422" s="4" t="str">
        <f>HYPERLINK("https://portal.gdc.cancer.gov/cases/73ccc949-01b7-48d3-a7c4-c4bcd261672a","TCGA-E2-A15A-01A")</f>
        <v>TCGA-E2-A15A-01A</v>
      </c>
      <c r="I13422" t="s">
        <v>17</v>
      </c>
      <c r="J13422" t="s">
        <v>524</v>
      </c>
      <c r="K13422" t="s">
        <v>19</v>
      </c>
      <c r="L13422" t="s">
        <v>20</v>
      </c>
      <c r="N13422" t="s">
        <v>29</v>
      </c>
    </row>
    <row r="13423" spans="1:14">
      <c r="A13423" s="4" t="str">
        <f t="shared" si="1127"/>
        <v>EXP00412</v>
      </c>
      <c r="B13423" s="3" t="s">
        <v>66</v>
      </c>
      <c r="C13423" s="4" t="str">
        <f t="shared" si="1124"/>
        <v>TCGA-BRCA</v>
      </c>
      <c r="D13423" s="1" t="s">
        <v>493</v>
      </c>
      <c r="E13423" t="s">
        <v>530</v>
      </c>
      <c r="F13423" s="1">
        <v>2</v>
      </c>
      <c r="G13423" s="1" t="s">
        <v>28</v>
      </c>
      <c r="H13423" s="4" t="str">
        <f>HYPERLINK("https://portal.gdc.cancer.gov/cases/0a2a3529-f645-4967-9a58-89ee20b8bb62","TCGA-E2-A15E-01A")</f>
        <v>TCGA-E2-A15E-01A</v>
      </c>
      <c r="I13423" t="s">
        <v>17</v>
      </c>
      <c r="J13423" t="s">
        <v>524</v>
      </c>
      <c r="K13423" t="s">
        <v>19</v>
      </c>
      <c r="L13423" t="s">
        <v>20</v>
      </c>
      <c r="N13423" t="s">
        <v>29</v>
      </c>
    </row>
    <row r="13424" spans="1:14">
      <c r="A13424" s="4" t="str">
        <f t="shared" si="1127"/>
        <v>EXP00412</v>
      </c>
      <c r="B13424" s="3" t="s">
        <v>66</v>
      </c>
      <c r="C13424" s="4" t="str">
        <f t="shared" si="1124"/>
        <v>TCGA-BRCA</v>
      </c>
      <c r="D13424" s="1" t="s">
        <v>493</v>
      </c>
      <c r="E13424" t="s">
        <v>530</v>
      </c>
      <c r="F13424" s="1">
        <v>2</v>
      </c>
      <c r="G13424" s="1" t="s">
        <v>28</v>
      </c>
      <c r="H13424" s="4" t="str">
        <f>HYPERLINK("https://portal.gdc.cancer.gov/cases/17c1d42c-cb84-4655-a4cd-b54bae17ecaf","TCGA-E2-A15K-01A")</f>
        <v>TCGA-E2-A15K-01A</v>
      </c>
      <c r="I13424" t="s">
        <v>17</v>
      </c>
      <c r="J13424" t="s">
        <v>524</v>
      </c>
      <c r="K13424" t="s">
        <v>19</v>
      </c>
      <c r="L13424" t="s">
        <v>20</v>
      </c>
      <c r="N13424" t="s">
        <v>29</v>
      </c>
    </row>
    <row r="13425" spans="1:14">
      <c r="A13425" s="4" t="str">
        <f t="shared" si="1127"/>
        <v>EXP00412</v>
      </c>
      <c r="B13425" s="3" t="s">
        <v>66</v>
      </c>
      <c r="C13425" s="4" t="str">
        <f t="shared" si="1124"/>
        <v>TCGA-BRCA</v>
      </c>
      <c r="D13425" s="1" t="s">
        <v>493</v>
      </c>
      <c r="E13425" t="s">
        <v>530</v>
      </c>
      <c r="F13425" s="1">
        <v>2</v>
      </c>
      <c r="G13425" s="1" t="s">
        <v>28</v>
      </c>
      <c r="H13425" s="4" t="str">
        <f>HYPERLINK("https://portal.gdc.cancer.gov/cases/61204cdf-3b1c-44a1-bda6-0fef1ac4a333","TCGA-HN-A2OB-01A")</f>
        <v>TCGA-HN-A2OB-01A</v>
      </c>
      <c r="I13425" t="s">
        <v>17</v>
      </c>
      <c r="J13425" t="s">
        <v>524</v>
      </c>
      <c r="K13425" t="s">
        <v>19</v>
      </c>
      <c r="L13425" t="s">
        <v>20</v>
      </c>
      <c r="M13425" t="s">
        <v>50</v>
      </c>
      <c r="N13425" t="s">
        <v>29</v>
      </c>
    </row>
    <row r="13426" spans="1:14">
      <c r="A13426" s="4" t="str">
        <f t="shared" si="1127"/>
        <v>EXP00412</v>
      </c>
      <c r="B13426" s="3" t="s">
        <v>66</v>
      </c>
      <c r="C13426" s="4" t="str">
        <f t="shared" si="1124"/>
        <v>TCGA-BRCA</v>
      </c>
      <c r="D13426" s="1" t="s">
        <v>493</v>
      </c>
      <c r="E13426" t="s">
        <v>530</v>
      </c>
      <c r="F13426" s="1">
        <v>2</v>
      </c>
      <c r="G13426" s="1" t="s">
        <v>28</v>
      </c>
      <c r="H13426" s="4" t="str">
        <f>HYPERLINK("https://portal.gdc.cancer.gov/cases/6ffd1b8c-6f0b-456a-9160-e0c8021e5897","TCGA-OL-A97C-01A")</f>
        <v>TCGA-OL-A97C-01A</v>
      </c>
      <c r="I13426" t="s">
        <v>17</v>
      </c>
      <c r="J13426" t="s">
        <v>524</v>
      </c>
      <c r="K13426" t="s">
        <v>19</v>
      </c>
      <c r="L13426" t="s">
        <v>20</v>
      </c>
      <c r="M13426" t="s">
        <v>41</v>
      </c>
      <c r="N13426" t="s">
        <v>29</v>
      </c>
    </row>
    <row r="13427" spans="1:14">
      <c r="A13427" s="4" t="str">
        <f t="shared" ref="A13427:A13442" si="1128">HYPERLINK("http://hcmdb.i-sanger.com/experiment/details/experiment_id/EXP00413","EXP00413")</f>
        <v>EXP00413</v>
      </c>
      <c r="B13427" s="3" t="s">
        <v>66</v>
      </c>
      <c r="C13427" s="4" t="str">
        <f t="shared" si="1124"/>
        <v>TCGA-BRCA</v>
      </c>
      <c r="D13427" s="1" t="s">
        <v>493</v>
      </c>
      <c r="E13427" t="s">
        <v>531</v>
      </c>
      <c r="F13427" s="1">
        <v>1</v>
      </c>
      <c r="G13427" s="1" t="s">
        <v>36</v>
      </c>
      <c r="H13427" s="4" t="str">
        <f>HYPERLINK("https://portal.gdc.cancer.gov/cases/4aa68586-6331-4795-b40c-859386640df6","TCGA-BH-A1FE-11B")</f>
        <v>TCGA-BH-A1FE-11B</v>
      </c>
      <c r="I13427" t="s">
        <v>17</v>
      </c>
      <c r="J13427" t="s">
        <v>524</v>
      </c>
      <c r="K13427" t="s">
        <v>19</v>
      </c>
      <c r="L13427" t="s">
        <v>20</v>
      </c>
      <c r="N13427" t="s">
        <v>37</v>
      </c>
    </row>
    <row r="13428" spans="1:14">
      <c r="A13428" s="4" t="str">
        <f t="shared" si="1128"/>
        <v>EXP00413</v>
      </c>
      <c r="B13428" s="3" t="s">
        <v>66</v>
      </c>
      <c r="C13428" s="4" t="str">
        <f t="shared" si="1124"/>
        <v>TCGA-BRCA</v>
      </c>
      <c r="D13428" s="1" t="s">
        <v>493</v>
      </c>
      <c r="E13428" t="s">
        <v>531</v>
      </c>
      <c r="F13428" s="1">
        <v>1</v>
      </c>
      <c r="G13428" s="1" t="s">
        <v>36</v>
      </c>
      <c r="H13428" s="4" t="str">
        <f>HYPERLINK("https://portal.gdc.cancer.gov/cases/17c1d42c-cb84-4655-a4cd-b54bae17ecaf","TCGA-E2-A15K-11A")</f>
        <v>TCGA-E2-A15K-11A</v>
      </c>
      <c r="I13428" t="s">
        <v>17</v>
      </c>
      <c r="J13428" t="s">
        <v>524</v>
      </c>
      <c r="K13428" t="s">
        <v>19</v>
      </c>
      <c r="L13428" t="s">
        <v>20</v>
      </c>
      <c r="N13428" t="s">
        <v>37</v>
      </c>
    </row>
    <row r="13429" spans="1:14">
      <c r="A13429" s="4" t="str">
        <f t="shared" si="1128"/>
        <v>EXP00413</v>
      </c>
      <c r="B13429" s="3" t="s">
        <v>66</v>
      </c>
      <c r="C13429" s="4" t="str">
        <f t="shared" si="1124"/>
        <v>TCGA-BRCA</v>
      </c>
      <c r="D13429" s="1" t="s">
        <v>493</v>
      </c>
      <c r="E13429" t="s">
        <v>531</v>
      </c>
      <c r="F13429" s="1">
        <v>2</v>
      </c>
      <c r="G13429" s="1" t="s">
        <v>28</v>
      </c>
      <c r="H13429" s="4" t="str">
        <f>HYPERLINK("https://portal.gdc.cancer.gov/cases/a8e7d8a4-bbf0-496b-b387-8e014cfdcea6","TCGA-A2-A3XU-01A")</f>
        <v>TCGA-A2-A3XU-01A</v>
      </c>
      <c r="I13429" t="s">
        <v>17</v>
      </c>
      <c r="J13429" t="s">
        <v>524</v>
      </c>
      <c r="K13429" t="s">
        <v>19</v>
      </c>
      <c r="L13429" t="s">
        <v>20</v>
      </c>
      <c r="M13429" t="s">
        <v>50</v>
      </c>
      <c r="N13429" t="s">
        <v>29</v>
      </c>
    </row>
    <row r="13430" spans="1:14">
      <c r="A13430" s="4" t="str">
        <f t="shared" si="1128"/>
        <v>EXP00413</v>
      </c>
      <c r="B13430" s="3" t="s">
        <v>66</v>
      </c>
      <c r="C13430" s="4" t="str">
        <f t="shared" si="1124"/>
        <v>TCGA-BRCA</v>
      </c>
      <c r="D13430" s="1" t="s">
        <v>493</v>
      </c>
      <c r="E13430" t="s">
        <v>531</v>
      </c>
      <c r="F13430" s="1">
        <v>2</v>
      </c>
      <c r="G13430" s="1" t="s">
        <v>28</v>
      </c>
      <c r="H13430" s="4" t="str">
        <f>HYPERLINK("https://portal.gdc.cancer.gov/cases/f6eebd4b-b63a-4a9c-92d3-0d954a8a6655","TCGA-AC-A2FE-01A")</f>
        <v>TCGA-AC-A2FE-01A</v>
      </c>
      <c r="I13430" t="s">
        <v>17</v>
      </c>
      <c r="J13430" t="s">
        <v>524</v>
      </c>
      <c r="K13430" t="s">
        <v>19</v>
      </c>
      <c r="L13430" t="s">
        <v>20</v>
      </c>
      <c r="M13430" t="s">
        <v>50</v>
      </c>
      <c r="N13430" t="s">
        <v>29</v>
      </c>
    </row>
    <row r="13431" spans="1:14">
      <c r="A13431" s="4" t="str">
        <f t="shared" si="1128"/>
        <v>EXP00413</v>
      </c>
      <c r="B13431" s="3" t="s">
        <v>66</v>
      </c>
      <c r="C13431" s="4" t="str">
        <f t="shared" si="1124"/>
        <v>TCGA-BRCA</v>
      </c>
      <c r="D13431" s="1" t="s">
        <v>493</v>
      </c>
      <c r="E13431" t="s">
        <v>531</v>
      </c>
      <c r="F13431" s="1">
        <v>2</v>
      </c>
      <c r="G13431" s="1" t="s">
        <v>28</v>
      </c>
      <c r="H13431" s="4" t="str">
        <f>HYPERLINK("https://portal.gdc.cancer.gov/cases/7486a2b3-b09f-4e9c-9864-8b51b58d9fb3","TCGA-AC-A6IX-01A")</f>
        <v>TCGA-AC-A6IX-01A</v>
      </c>
      <c r="I13431" t="s">
        <v>17</v>
      </c>
      <c r="J13431" t="s">
        <v>524</v>
      </c>
      <c r="K13431" t="s">
        <v>19</v>
      </c>
      <c r="L13431" t="s">
        <v>20</v>
      </c>
      <c r="N13431" t="s">
        <v>29</v>
      </c>
    </row>
    <row r="13432" spans="1:14">
      <c r="A13432" s="4" t="str">
        <f t="shared" si="1128"/>
        <v>EXP00413</v>
      </c>
      <c r="B13432" s="3" t="s">
        <v>66</v>
      </c>
      <c r="C13432" s="4" t="str">
        <f t="shared" si="1124"/>
        <v>TCGA-BRCA</v>
      </c>
      <c r="D13432" s="1" t="s">
        <v>493</v>
      </c>
      <c r="E13432" t="s">
        <v>531</v>
      </c>
      <c r="F13432" s="1">
        <v>2</v>
      </c>
      <c r="G13432" s="1" t="s">
        <v>28</v>
      </c>
      <c r="H13432" s="4" t="str">
        <f>HYPERLINK("https://portal.gdc.cancer.gov/cases/3af31fcf-ad0c-4fd9-a8e3-10f9176b5e9d","TCGA-AR-A5QQ-01A")</f>
        <v>TCGA-AR-A5QQ-01A</v>
      </c>
      <c r="I13432" t="s">
        <v>17</v>
      </c>
      <c r="J13432" t="s">
        <v>524</v>
      </c>
      <c r="K13432" t="s">
        <v>19</v>
      </c>
      <c r="L13432" t="s">
        <v>20</v>
      </c>
      <c r="M13432" t="s">
        <v>518</v>
      </c>
      <c r="N13432" t="s">
        <v>29</v>
      </c>
    </row>
    <row r="13433" spans="1:14">
      <c r="A13433" s="4" t="str">
        <f t="shared" si="1128"/>
        <v>EXP00413</v>
      </c>
      <c r="B13433" s="3" t="s">
        <v>66</v>
      </c>
      <c r="C13433" s="4" t="str">
        <f t="shared" si="1124"/>
        <v>TCGA-BRCA</v>
      </c>
      <c r="D13433" s="1" t="s">
        <v>493</v>
      </c>
      <c r="E13433" t="s">
        <v>531</v>
      </c>
      <c r="F13433" s="1">
        <v>2</v>
      </c>
      <c r="G13433" s="1" t="s">
        <v>28</v>
      </c>
      <c r="H13433" s="4" t="str">
        <f>HYPERLINK("https://portal.gdc.cancer.gov/cases/9434687a-197c-4959-b6b8-9c05f1dd7f53","TCGA-B6-A3ZX-01A")</f>
        <v>TCGA-B6-A3ZX-01A</v>
      </c>
      <c r="I13433" t="s">
        <v>17</v>
      </c>
      <c r="J13433" t="s">
        <v>524</v>
      </c>
      <c r="K13433" t="s">
        <v>19</v>
      </c>
      <c r="L13433" t="s">
        <v>20</v>
      </c>
      <c r="M13433" t="s">
        <v>50</v>
      </c>
      <c r="N13433" t="s">
        <v>29</v>
      </c>
    </row>
    <row r="13434" spans="1:14">
      <c r="A13434" s="4" t="str">
        <f t="shared" si="1128"/>
        <v>EXP00413</v>
      </c>
      <c r="B13434" s="3" t="s">
        <v>66</v>
      </c>
      <c r="C13434" s="4" t="str">
        <f t="shared" ref="C13434:C13497" si="1129">HYPERLINK("https://portal.gdc.cancer.gov/projects/TCGA-BRCA","TCGA-BRCA")</f>
        <v>TCGA-BRCA</v>
      </c>
      <c r="D13434" s="1" t="s">
        <v>493</v>
      </c>
      <c r="E13434" t="s">
        <v>531</v>
      </c>
      <c r="F13434" s="1">
        <v>2</v>
      </c>
      <c r="G13434" s="1" t="s">
        <v>28</v>
      </c>
      <c r="H13434" s="4" t="str">
        <f>HYPERLINK("https://portal.gdc.cancer.gov/cases/5362cbc4-cd28-4afd-a8ac-1a4c2c33cad2","TCGA-B6-A409-01A")</f>
        <v>TCGA-B6-A409-01A</v>
      </c>
      <c r="I13434" t="s">
        <v>17</v>
      </c>
      <c r="J13434" t="s">
        <v>524</v>
      </c>
      <c r="K13434" t="s">
        <v>19</v>
      </c>
      <c r="L13434" t="s">
        <v>20</v>
      </c>
      <c r="M13434" t="s">
        <v>41</v>
      </c>
      <c r="N13434" t="s">
        <v>29</v>
      </c>
    </row>
    <row r="13435" spans="1:14">
      <c r="A13435" s="4" t="str">
        <f t="shared" si="1128"/>
        <v>EXP00413</v>
      </c>
      <c r="B13435" s="3" t="s">
        <v>66</v>
      </c>
      <c r="C13435" s="4" t="str">
        <f t="shared" si="1129"/>
        <v>TCGA-BRCA</v>
      </c>
      <c r="D13435" s="1" t="s">
        <v>493</v>
      </c>
      <c r="E13435" t="s">
        <v>531</v>
      </c>
      <c r="F13435" s="1">
        <v>2</v>
      </c>
      <c r="G13435" s="1" t="s">
        <v>28</v>
      </c>
      <c r="H13435" s="4" t="str">
        <f>HYPERLINK("https://portal.gdc.cancer.gov/cases/6b960b58-28e1-41c6-bd6e-7e669c6aa4ef","TCGA-BH-A18V-01A")</f>
        <v>TCGA-BH-A18V-01A</v>
      </c>
      <c r="I13435" t="s">
        <v>17</v>
      </c>
      <c r="J13435" t="s">
        <v>524</v>
      </c>
      <c r="K13435" t="s">
        <v>19</v>
      </c>
      <c r="L13435" t="s">
        <v>20</v>
      </c>
      <c r="N13435" t="s">
        <v>29</v>
      </c>
    </row>
    <row r="13436" spans="1:14">
      <c r="A13436" s="4" t="str">
        <f t="shared" si="1128"/>
        <v>EXP00413</v>
      </c>
      <c r="B13436" s="3" t="s">
        <v>66</v>
      </c>
      <c r="C13436" s="4" t="str">
        <f t="shared" si="1129"/>
        <v>TCGA-BRCA</v>
      </c>
      <c r="D13436" s="1" t="s">
        <v>493</v>
      </c>
      <c r="E13436" t="s">
        <v>531</v>
      </c>
      <c r="F13436" s="1">
        <v>2</v>
      </c>
      <c r="G13436" s="1" t="s">
        <v>28</v>
      </c>
      <c r="H13436" s="4" t="str">
        <f>HYPERLINK("https://portal.gdc.cancer.gov/cases/51ccbf1b-7cae-44ba-991a-11eda8b8c404","TCGA-BH-A1ES-01A")</f>
        <v>TCGA-BH-A1ES-01A</v>
      </c>
      <c r="I13436" t="s">
        <v>17</v>
      </c>
      <c r="J13436" t="s">
        <v>524</v>
      </c>
      <c r="K13436" t="s">
        <v>19</v>
      </c>
      <c r="L13436" t="s">
        <v>20</v>
      </c>
      <c r="N13436" t="s">
        <v>29</v>
      </c>
    </row>
    <row r="13437" spans="1:14">
      <c r="A13437" s="4" t="str">
        <f t="shared" si="1128"/>
        <v>EXP00413</v>
      </c>
      <c r="B13437" s="3" t="s">
        <v>66</v>
      </c>
      <c r="C13437" s="4" t="str">
        <f t="shared" si="1129"/>
        <v>TCGA-BRCA</v>
      </c>
      <c r="D13437" s="1" t="s">
        <v>493</v>
      </c>
      <c r="E13437" t="s">
        <v>531</v>
      </c>
      <c r="F13437" s="1">
        <v>2</v>
      </c>
      <c r="G13437" s="1" t="s">
        <v>28</v>
      </c>
      <c r="H13437" s="4" t="str">
        <f>HYPERLINK("https://portal.gdc.cancer.gov/cases/4aa68586-6331-4795-b40c-859386640df6","TCGA-BH-A1FE-01A")</f>
        <v>TCGA-BH-A1FE-01A</v>
      </c>
      <c r="I13437" t="s">
        <v>17</v>
      </c>
      <c r="J13437" t="s">
        <v>524</v>
      </c>
      <c r="K13437" t="s">
        <v>19</v>
      </c>
      <c r="L13437" t="s">
        <v>20</v>
      </c>
      <c r="N13437" t="s">
        <v>29</v>
      </c>
    </row>
    <row r="13438" spans="1:14">
      <c r="A13438" s="4" t="str">
        <f t="shared" si="1128"/>
        <v>EXP00413</v>
      </c>
      <c r="B13438" s="3" t="s">
        <v>66</v>
      </c>
      <c r="C13438" s="4" t="str">
        <f t="shared" si="1129"/>
        <v>TCGA-BRCA</v>
      </c>
      <c r="D13438" s="1" t="s">
        <v>493</v>
      </c>
      <c r="E13438" t="s">
        <v>531</v>
      </c>
      <c r="F13438" s="1">
        <v>2</v>
      </c>
      <c r="G13438" s="1" t="s">
        <v>28</v>
      </c>
      <c r="H13438" s="4" t="str">
        <f>HYPERLINK("https://portal.gdc.cancer.gov/cases/73ccc949-01b7-48d3-a7c4-c4bcd261672a","TCGA-E2-A15A-01A")</f>
        <v>TCGA-E2-A15A-01A</v>
      </c>
      <c r="I13438" t="s">
        <v>17</v>
      </c>
      <c r="J13438" t="s">
        <v>524</v>
      </c>
      <c r="K13438" t="s">
        <v>19</v>
      </c>
      <c r="L13438" t="s">
        <v>20</v>
      </c>
      <c r="N13438" t="s">
        <v>29</v>
      </c>
    </row>
    <row r="13439" spans="1:14">
      <c r="A13439" s="4" t="str">
        <f t="shared" si="1128"/>
        <v>EXP00413</v>
      </c>
      <c r="B13439" s="3" t="s">
        <v>66</v>
      </c>
      <c r="C13439" s="4" t="str">
        <f t="shared" si="1129"/>
        <v>TCGA-BRCA</v>
      </c>
      <c r="D13439" s="1" t="s">
        <v>493</v>
      </c>
      <c r="E13439" t="s">
        <v>531</v>
      </c>
      <c r="F13439" s="1">
        <v>2</v>
      </c>
      <c r="G13439" s="1" t="s">
        <v>28</v>
      </c>
      <c r="H13439" s="4" t="str">
        <f>HYPERLINK("https://portal.gdc.cancer.gov/cases/0a2a3529-f645-4967-9a58-89ee20b8bb62","TCGA-E2-A15E-01A")</f>
        <v>TCGA-E2-A15E-01A</v>
      </c>
      <c r="I13439" t="s">
        <v>17</v>
      </c>
      <c r="J13439" t="s">
        <v>524</v>
      </c>
      <c r="K13439" t="s">
        <v>19</v>
      </c>
      <c r="L13439" t="s">
        <v>20</v>
      </c>
      <c r="N13439" t="s">
        <v>29</v>
      </c>
    </row>
    <row r="13440" spans="1:14">
      <c r="A13440" s="4" t="str">
        <f t="shared" si="1128"/>
        <v>EXP00413</v>
      </c>
      <c r="B13440" s="3" t="s">
        <v>66</v>
      </c>
      <c r="C13440" s="4" t="str">
        <f t="shared" si="1129"/>
        <v>TCGA-BRCA</v>
      </c>
      <c r="D13440" s="1" t="s">
        <v>493</v>
      </c>
      <c r="E13440" t="s">
        <v>531</v>
      </c>
      <c r="F13440" s="1">
        <v>2</v>
      </c>
      <c r="G13440" s="1" t="s">
        <v>28</v>
      </c>
      <c r="H13440" s="4" t="str">
        <f>HYPERLINK("https://portal.gdc.cancer.gov/cases/17c1d42c-cb84-4655-a4cd-b54bae17ecaf","TCGA-E2-A15K-01A")</f>
        <v>TCGA-E2-A15K-01A</v>
      </c>
      <c r="I13440" t="s">
        <v>17</v>
      </c>
      <c r="J13440" t="s">
        <v>524</v>
      </c>
      <c r="K13440" t="s">
        <v>19</v>
      </c>
      <c r="L13440" t="s">
        <v>20</v>
      </c>
      <c r="N13440" t="s">
        <v>29</v>
      </c>
    </row>
    <row r="13441" spans="1:14">
      <c r="A13441" s="4" t="str">
        <f t="shared" si="1128"/>
        <v>EXP00413</v>
      </c>
      <c r="B13441" s="3" t="s">
        <v>66</v>
      </c>
      <c r="C13441" s="4" t="str">
        <f t="shared" si="1129"/>
        <v>TCGA-BRCA</v>
      </c>
      <c r="D13441" s="1" t="s">
        <v>493</v>
      </c>
      <c r="E13441" t="s">
        <v>531</v>
      </c>
      <c r="F13441" s="1">
        <v>2</v>
      </c>
      <c r="G13441" s="1" t="s">
        <v>28</v>
      </c>
      <c r="H13441" s="4" t="str">
        <f>HYPERLINK("https://portal.gdc.cancer.gov/cases/61204cdf-3b1c-44a1-bda6-0fef1ac4a333","TCGA-HN-A2OB-01A")</f>
        <v>TCGA-HN-A2OB-01A</v>
      </c>
      <c r="I13441" t="s">
        <v>17</v>
      </c>
      <c r="J13441" t="s">
        <v>524</v>
      </c>
      <c r="K13441" t="s">
        <v>19</v>
      </c>
      <c r="L13441" t="s">
        <v>20</v>
      </c>
      <c r="M13441" t="s">
        <v>50</v>
      </c>
      <c r="N13441" t="s">
        <v>29</v>
      </c>
    </row>
    <row r="13442" spans="1:14">
      <c r="A13442" s="4" t="str">
        <f t="shared" si="1128"/>
        <v>EXP00413</v>
      </c>
      <c r="B13442" s="3" t="s">
        <v>66</v>
      </c>
      <c r="C13442" s="4" t="str">
        <f t="shared" si="1129"/>
        <v>TCGA-BRCA</v>
      </c>
      <c r="D13442" s="1" t="s">
        <v>493</v>
      </c>
      <c r="E13442" t="s">
        <v>531</v>
      </c>
      <c r="F13442" s="1">
        <v>2</v>
      </c>
      <c r="G13442" s="1" t="s">
        <v>28</v>
      </c>
      <c r="H13442" s="4" t="str">
        <f>HYPERLINK("https://portal.gdc.cancer.gov/cases/6ffd1b8c-6f0b-456a-9160-e0c8021e5897","TCGA-OL-A97C-01A")</f>
        <v>TCGA-OL-A97C-01A</v>
      </c>
      <c r="I13442" t="s">
        <v>17</v>
      </c>
      <c r="J13442" t="s">
        <v>524</v>
      </c>
      <c r="K13442" t="s">
        <v>19</v>
      </c>
      <c r="L13442" t="s">
        <v>20</v>
      </c>
      <c r="M13442" t="s">
        <v>41</v>
      </c>
      <c r="N13442" t="s">
        <v>29</v>
      </c>
    </row>
    <row r="13443" spans="1:14">
      <c r="A13443" s="4" t="str">
        <f t="shared" ref="A13443:A13506" si="1130">HYPERLINK("http://hcmdb.i-sanger.com/experiment/details/experiment_id/EXP00414","EXP00414")</f>
        <v>EXP00414</v>
      </c>
      <c r="B13443" s="3" t="s">
        <v>66</v>
      </c>
      <c r="C13443" s="4" t="str">
        <f t="shared" si="1129"/>
        <v>TCGA-BRCA</v>
      </c>
      <c r="D13443" s="1" t="s">
        <v>493</v>
      </c>
      <c r="E13443" t="s">
        <v>532</v>
      </c>
      <c r="F13443" s="1">
        <v>1</v>
      </c>
      <c r="G13443" s="1" t="s">
        <v>31</v>
      </c>
      <c r="H13443" s="4" t="str">
        <f>HYPERLINK("https://portal.gdc.cancer.gov/cases/a8e7d8a4-bbf0-496b-b387-8e014cfdcea6","TCGA-A2-A3XU-01A")</f>
        <v>TCGA-A2-A3XU-01A</v>
      </c>
      <c r="I13443" t="s">
        <v>17</v>
      </c>
      <c r="J13443" t="s">
        <v>524</v>
      </c>
      <c r="K13443" t="s">
        <v>19</v>
      </c>
      <c r="L13443" t="s">
        <v>20</v>
      </c>
      <c r="M13443" t="s">
        <v>50</v>
      </c>
      <c r="N13443" t="s">
        <v>29</v>
      </c>
    </row>
    <row r="13444" spans="1:14">
      <c r="A13444" s="4" t="str">
        <f t="shared" si="1130"/>
        <v>EXP00414</v>
      </c>
      <c r="B13444" s="3" t="s">
        <v>66</v>
      </c>
      <c r="C13444" s="4" t="str">
        <f t="shared" si="1129"/>
        <v>TCGA-BRCA</v>
      </c>
      <c r="D13444" s="1" t="s">
        <v>493</v>
      </c>
      <c r="E13444" t="s">
        <v>532</v>
      </c>
      <c r="F13444" s="1">
        <v>1</v>
      </c>
      <c r="G13444" s="1" t="s">
        <v>31</v>
      </c>
      <c r="H13444" s="4" t="str">
        <f>HYPERLINK("https://portal.gdc.cancer.gov/cases/f6eebd4b-b63a-4a9c-92d3-0d954a8a6655","TCGA-AC-A2FE-01A")</f>
        <v>TCGA-AC-A2FE-01A</v>
      </c>
      <c r="I13444" t="s">
        <v>17</v>
      </c>
      <c r="J13444" t="s">
        <v>524</v>
      </c>
      <c r="K13444" t="s">
        <v>19</v>
      </c>
      <c r="L13444" t="s">
        <v>20</v>
      </c>
      <c r="M13444" t="s">
        <v>50</v>
      </c>
      <c r="N13444" t="s">
        <v>29</v>
      </c>
    </row>
    <row r="13445" spans="1:14">
      <c r="A13445" s="4" t="str">
        <f t="shared" si="1130"/>
        <v>EXP00414</v>
      </c>
      <c r="B13445" s="3" t="s">
        <v>66</v>
      </c>
      <c r="C13445" s="4" t="str">
        <f t="shared" si="1129"/>
        <v>TCGA-BRCA</v>
      </c>
      <c r="D13445" s="1" t="s">
        <v>493</v>
      </c>
      <c r="E13445" t="s">
        <v>532</v>
      </c>
      <c r="F13445" s="1">
        <v>1</v>
      </c>
      <c r="G13445" s="1" t="s">
        <v>31</v>
      </c>
      <c r="H13445" s="4" t="str">
        <f>HYPERLINK("https://portal.gdc.cancer.gov/cases/7486a2b3-b09f-4e9c-9864-8b51b58d9fb3","TCGA-AC-A6IX-01A")</f>
        <v>TCGA-AC-A6IX-01A</v>
      </c>
      <c r="I13445" t="s">
        <v>17</v>
      </c>
      <c r="J13445" t="s">
        <v>524</v>
      </c>
      <c r="K13445" t="s">
        <v>19</v>
      </c>
      <c r="L13445" t="s">
        <v>20</v>
      </c>
      <c r="N13445" t="s">
        <v>29</v>
      </c>
    </row>
    <row r="13446" spans="1:14">
      <c r="A13446" s="4" t="str">
        <f t="shared" si="1130"/>
        <v>EXP00414</v>
      </c>
      <c r="B13446" s="3" t="s">
        <v>66</v>
      </c>
      <c r="C13446" s="4" t="str">
        <f t="shared" si="1129"/>
        <v>TCGA-BRCA</v>
      </c>
      <c r="D13446" s="1" t="s">
        <v>493</v>
      </c>
      <c r="E13446" t="s">
        <v>532</v>
      </c>
      <c r="F13446" s="1">
        <v>1</v>
      </c>
      <c r="G13446" s="1" t="s">
        <v>31</v>
      </c>
      <c r="H13446" s="4" t="str">
        <f>HYPERLINK("https://portal.gdc.cancer.gov/cases/3af31fcf-ad0c-4fd9-a8e3-10f9176b5e9d","TCGA-AR-A5QQ-01A")</f>
        <v>TCGA-AR-A5QQ-01A</v>
      </c>
      <c r="I13446" t="s">
        <v>17</v>
      </c>
      <c r="J13446" t="s">
        <v>524</v>
      </c>
      <c r="K13446" t="s">
        <v>19</v>
      </c>
      <c r="L13446" t="s">
        <v>20</v>
      </c>
      <c r="M13446" t="s">
        <v>518</v>
      </c>
      <c r="N13446" t="s">
        <v>29</v>
      </c>
    </row>
    <row r="13447" spans="1:14">
      <c r="A13447" s="4" t="str">
        <f t="shared" si="1130"/>
        <v>EXP00414</v>
      </c>
      <c r="B13447" s="3" t="s">
        <v>66</v>
      </c>
      <c r="C13447" s="4" t="str">
        <f t="shared" si="1129"/>
        <v>TCGA-BRCA</v>
      </c>
      <c r="D13447" s="1" t="s">
        <v>493</v>
      </c>
      <c r="E13447" t="s">
        <v>532</v>
      </c>
      <c r="F13447" s="1">
        <v>1</v>
      </c>
      <c r="G13447" s="1" t="s">
        <v>31</v>
      </c>
      <c r="H13447" s="4" t="str">
        <f>HYPERLINK("https://portal.gdc.cancer.gov/cases/9434687a-197c-4959-b6b8-9c05f1dd7f53","TCGA-B6-A3ZX-01A")</f>
        <v>TCGA-B6-A3ZX-01A</v>
      </c>
      <c r="I13447" t="s">
        <v>17</v>
      </c>
      <c r="J13447" t="s">
        <v>524</v>
      </c>
      <c r="K13447" t="s">
        <v>19</v>
      </c>
      <c r="L13447" t="s">
        <v>20</v>
      </c>
      <c r="M13447" t="s">
        <v>50</v>
      </c>
      <c r="N13447" t="s">
        <v>29</v>
      </c>
    </row>
    <row r="13448" spans="1:14">
      <c r="A13448" s="4" t="str">
        <f t="shared" si="1130"/>
        <v>EXP00414</v>
      </c>
      <c r="B13448" s="3" t="s">
        <v>66</v>
      </c>
      <c r="C13448" s="4" t="str">
        <f t="shared" si="1129"/>
        <v>TCGA-BRCA</v>
      </c>
      <c r="D13448" s="1" t="s">
        <v>493</v>
      </c>
      <c r="E13448" t="s">
        <v>532</v>
      </c>
      <c r="F13448" s="1">
        <v>1</v>
      </c>
      <c r="G13448" s="1" t="s">
        <v>31</v>
      </c>
      <c r="H13448" s="4" t="str">
        <f>HYPERLINK("https://portal.gdc.cancer.gov/cases/5362cbc4-cd28-4afd-a8ac-1a4c2c33cad2","TCGA-B6-A409-01A")</f>
        <v>TCGA-B6-A409-01A</v>
      </c>
      <c r="I13448" t="s">
        <v>17</v>
      </c>
      <c r="J13448" t="s">
        <v>524</v>
      </c>
      <c r="K13448" t="s">
        <v>19</v>
      </c>
      <c r="L13448" t="s">
        <v>20</v>
      </c>
      <c r="M13448" t="s">
        <v>41</v>
      </c>
      <c r="N13448" t="s">
        <v>29</v>
      </c>
    </row>
    <row r="13449" spans="1:14">
      <c r="A13449" s="4" t="str">
        <f t="shared" si="1130"/>
        <v>EXP00414</v>
      </c>
      <c r="B13449" s="3" t="s">
        <v>66</v>
      </c>
      <c r="C13449" s="4" t="str">
        <f t="shared" si="1129"/>
        <v>TCGA-BRCA</v>
      </c>
      <c r="D13449" s="1" t="s">
        <v>493</v>
      </c>
      <c r="E13449" t="s">
        <v>532</v>
      </c>
      <c r="F13449" s="1">
        <v>1</v>
      </c>
      <c r="G13449" s="1" t="s">
        <v>31</v>
      </c>
      <c r="H13449" s="4" t="str">
        <f>HYPERLINK("https://portal.gdc.cancer.gov/cases/6b960b58-28e1-41c6-bd6e-7e669c6aa4ef","TCGA-BH-A18V-01A")</f>
        <v>TCGA-BH-A18V-01A</v>
      </c>
      <c r="I13449" t="s">
        <v>17</v>
      </c>
      <c r="J13449" t="s">
        <v>524</v>
      </c>
      <c r="K13449" t="s">
        <v>19</v>
      </c>
      <c r="L13449" t="s">
        <v>20</v>
      </c>
      <c r="N13449" t="s">
        <v>29</v>
      </c>
    </row>
    <row r="13450" spans="1:14">
      <c r="A13450" s="4" t="str">
        <f t="shared" si="1130"/>
        <v>EXP00414</v>
      </c>
      <c r="B13450" s="3" t="s">
        <v>66</v>
      </c>
      <c r="C13450" s="4" t="str">
        <f t="shared" si="1129"/>
        <v>TCGA-BRCA</v>
      </c>
      <c r="D13450" s="1" t="s">
        <v>493</v>
      </c>
      <c r="E13450" t="s">
        <v>532</v>
      </c>
      <c r="F13450" s="1">
        <v>1</v>
      </c>
      <c r="G13450" s="1" t="s">
        <v>31</v>
      </c>
      <c r="H13450" s="4" t="str">
        <f>HYPERLINK("https://portal.gdc.cancer.gov/cases/51ccbf1b-7cae-44ba-991a-11eda8b8c404","TCGA-BH-A1ES-01A")</f>
        <v>TCGA-BH-A1ES-01A</v>
      </c>
      <c r="I13450" t="s">
        <v>17</v>
      </c>
      <c r="J13450" t="s">
        <v>524</v>
      </c>
      <c r="K13450" t="s">
        <v>19</v>
      </c>
      <c r="L13450" t="s">
        <v>20</v>
      </c>
      <c r="N13450" t="s">
        <v>29</v>
      </c>
    </row>
    <row r="13451" spans="1:14">
      <c r="A13451" s="4" t="str">
        <f t="shared" si="1130"/>
        <v>EXP00414</v>
      </c>
      <c r="B13451" s="3" t="s">
        <v>66</v>
      </c>
      <c r="C13451" s="4" t="str">
        <f t="shared" si="1129"/>
        <v>TCGA-BRCA</v>
      </c>
      <c r="D13451" s="1" t="s">
        <v>493</v>
      </c>
      <c r="E13451" t="s">
        <v>532</v>
      </c>
      <c r="F13451" s="1">
        <v>1</v>
      </c>
      <c r="G13451" s="1" t="s">
        <v>31</v>
      </c>
      <c r="H13451" s="4" t="str">
        <f>HYPERLINK("https://portal.gdc.cancer.gov/cases/4aa68586-6331-4795-b40c-859386640df6","TCGA-BH-A1FE-01A")</f>
        <v>TCGA-BH-A1FE-01A</v>
      </c>
      <c r="I13451" t="s">
        <v>17</v>
      </c>
      <c r="J13451" t="s">
        <v>524</v>
      </c>
      <c r="K13451" t="s">
        <v>19</v>
      </c>
      <c r="L13451" t="s">
        <v>20</v>
      </c>
      <c r="N13451" t="s">
        <v>29</v>
      </c>
    </row>
    <row r="13452" spans="1:14">
      <c r="A13452" s="4" t="str">
        <f t="shared" si="1130"/>
        <v>EXP00414</v>
      </c>
      <c r="B13452" s="3" t="s">
        <v>66</v>
      </c>
      <c r="C13452" s="4" t="str">
        <f t="shared" si="1129"/>
        <v>TCGA-BRCA</v>
      </c>
      <c r="D13452" s="1" t="s">
        <v>493</v>
      </c>
      <c r="E13452" t="s">
        <v>532</v>
      </c>
      <c r="F13452" s="1">
        <v>1</v>
      </c>
      <c r="G13452" s="1" t="s">
        <v>31</v>
      </c>
      <c r="H13452" s="4" t="str">
        <f>HYPERLINK("https://portal.gdc.cancer.gov/cases/73ccc949-01b7-48d3-a7c4-c4bcd261672a","TCGA-E2-A15A-01A")</f>
        <v>TCGA-E2-A15A-01A</v>
      </c>
      <c r="I13452" t="s">
        <v>17</v>
      </c>
      <c r="J13452" t="s">
        <v>524</v>
      </c>
      <c r="K13452" t="s">
        <v>19</v>
      </c>
      <c r="L13452" t="s">
        <v>20</v>
      </c>
      <c r="N13452" t="s">
        <v>29</v>
      </c>
    </row>
    <row r="13453" spans="1:14">
      <c r="A13453" s="4" t="str">
        <f t="shared" si="1130"/>
        <v>EXP00414</v>
      </c>
      <c r="B13453" s="3" t="s">
        <v>66</v>
      </c>
      <c r="C13453" s="4" t="str">
        <f t="shared" si="1129"/>
        <v>TCGA-BRCA</v>
      </c>
      <c r="D13453" s="1" t="s">
        <v>493</v>
      </c>
      <c r="E13453" t="s">
        <v>532</v>
      </c>
      <c r="F13453" s="1">
        <v>1</v>
      </c>
      <c r="G13453" s="1" t="s">
        <v>31</v>
      </c>
      <c r="H13453" s="4" t="str">
        <f>HYPERLINK("https://portal.gdc.cancer.gov/cases/0a2a3529-f645-4967-9a58-89ee20b8bb62","TCGA-E2-A15E-01A")</f>
        <v>TCGA-E2-A15E-01A</v>
      </c>
      <c r="I13453" t="s">
        <v>17</v>
      </c>
      <c r="J13453" t="s">
        <v>524</v>
      </c>
      <c r="K13453" t="s">
        <v>19</v>
      </c>
      <c r="L13453" t="s">
        <v>20</v>
      </c>
      <c r="N13453" t="s">
        <v>29</v>
      </c>
    </row>
    <row r="13454" spans="1:14">
      <c r="A13454" s="4" t="str">
        <f t="shared" si="1130"/>
        <v>EXP00414</v>
      </c>
      <c r="B13454" s="3" t="s">
        <v>66</v>
      </c>
      <c r="C13454" s="4" t="str">
        <f t="shared" si="1129"/>
        <v>TCGA-BRCA</v>
      </c>
      <c r="D13454" s="1" t="s">
        <v>493</v>
      </c>
      <c r="E13454" t="s">
        <v>532</v>
      </c>
      <c r="F13454" s="1">
        <v>1</v>
      </c>
      <c r="G13454" s="1" t="s">
        <v>31</v>
      </c>
      <c r="H13454" s="4" t="str">
        <f>HYPERLINK("https://portal.gdc.cancer.gov/cases/17c1d42c-cb84-4655-a4cd-b54bae17ecaf","TCGA-E2-A15K-01A")</f>
        <v>TCGA-E2-A15K-01A</v>
      </c>
      <c r="I13454" t="s">
        <v>17</v>
      </c>
      <c r="J13454" t="s">
        <v>524</v>
      </c>
      <c r="K13454" t="s">
        <v>19</v>
      </c>
      <c r="L13454" t="s">
        <v>20</v>
      </c>
      <c r="N13454" t="s">
        <v>29</v>
      </c>
    </row>
    <row r="13455" spans="1:14">
      <c r="A13455" s="4" t="str">
        <f t="shared" si="1130"/>
        <v>EXP00414</v>
      </c>
      <c r="B13455" s="3" t="s">
        <v>66</v>
      </c>
      <c r="C13455" s="4" t="str">
        <f t="shared" si="1129"/>
        <v>TCGA-BRCA</v>
      </c>
      <c r="D13455" s="1" t="s">
        <v>493</v>
      </c>
      <c r="E13455" t="s">
        <v>532</v>
      </c>
      <c r="F13455" s="1">
        <v>1</v>
      </c>
      <c r="G13455" s="1" t="s">
        <v>31</v>
      </c>
      <c r="H13455" s="4" t="str">
        <f>HYPERLINK("https://portal.gdc.cancer.gov/cases/61204cdf-3b1c-44a1-bda6-0fef1ac4a333","TCGA-HN-A2OB-01A")</f>
        <v>TCGA-HN-A2OB-01A</v>
      </c>
      <c r="I13455" t="s">
        <v>17</v>
      </c>
      <c r="J13455" t="s">
        <v>524</v>
      </c>
      <c r="K13455" t="s">
        <v>19</v>
      </c>
      <c r="L13455" t="s">
        <v>20</v>
      </c>
      <c r="M13455" t="s">
        <v>50</v>
      </c>
      <c r="N13455" t="s">
        <v>29</v>
      </c>
    </row>
    <row r="13456" spans="1:14">
      <c r="A13456" s="4" t="str">
        <f t="shared" si="1130"/>
        <v>EXP00414</v>
      </c>
      <c r="B13456" s="3" t="s">
        <v>66</v>
      </c>
      <c r="C13456" s="4" t="str">
        <f t="shared" si="1129"/>
        <v>TCGA-BRCA</v>
      </c>
      <c r="D13456" s="1" t="s">
        <v>493</v>
      </c>
      <c r="E13456" t="s">
        <v>532</v>
      </c>
      <c r="F13456" s="1">
        <v>1</v>
      </c>
      <c r="G13456" s="1" t="s">
        <v>31</v>
      </c>
      <c r="H13456" s="4" t="str">
        <f>HYPERLINK("https://portal.gdc.cancer.gov/cases/6ffd1b8c-6f0b-456a-9160-e0c8021e5897","TCGA-OL-A97C-01A")</f>
        <v>TCGA-OL-A97C-01A</v>
      </c>
      <c r="I13456" t="s">
        <v>17</v>
      </c>
      <c r="J13456" t="s">
        <v>524</v>
      </c>
      <c r="K13456" t="s">
        <v>19</v>
      </c>
      <c r="L13456" t="s">
        <v>20</v>
      </c>
      <c r="M13456" t="s">
        <v>41</v>
      </c>
      <c r="N13456" t="s">
        <v>29</v>
      </c>
    </row>
    <row r="13457" spans="1:14">
      <c r="A13457" s="4" t="str">
        <f t="shared" si="1130"/>
        <v>EXP00414</v>
      </c>
      <c r="B13457" s="3" t="s">
        <v>66</v>
      </c>
      <c r="C13457" s="4" t="str">
        <f t="shared" si="1129"/>
        <v>TCGA-BRCA</v>
      </c>
      <c r="D13457" s="1" t="s">
        <v>493</v>
      </c>
      <c r="E13457" t="s">
        <v>532</v>
      </c>
      <c r="F13457" s="1">
        <v>2</v>
      </c>
      <c r="G13457" s="1" t="s">
        <v>32</v>
      </c>
      <c r="H13457" s="4" t="str">
        <f>HYPERLINK("https://portal.gdc.cancer.gov/cases/6e7d5ec6-a469-467c-b748-237353c23416","TCGA-3C-AAAU-01A")</f>
        <v>TCGA-3C-AAAU-01A</v>
      </c>
      <c r="I13457" t="s">
        <v>17</v>
      </c>
      <c r="J13457" t="s">
        <v>524</v>
      </c>
      <c r="K13457" t="s">
        <v>33</v>
      </c>
      <c r="L13457" t="s">
        <v>20</v>
      </c>
      <c r="N13457" t="s">
        <v>29</v>
      </c>
    </row>
    <row r="13458" spans="1:14">
      <c r="A13458" s="4" t="str">
        <f t="shared" si="1130"/>
        <v>EXP00414</v>
      </c>
      <c r="B13458" s="3" t="s">
        <v>66</v>
      </c>
      <c r="C13458" s="4" t="str">
        <f t="shared" si="1129"/>
        <v>TCGA-BRCA</v>
      </c>
      <c r="D13458" s="1" t="s">
        <v>493</v>
      </c>
      <c r="E13458" t="s">
        <v>532</v>
      </c>
      <c r="F13458" s="1">
        <v>2</v>
      </c>
      <c r="G13458" s="1" t="s">
        <v>32</v>
      </c>
      <c r="H13458" s="4" t="str">
        <f>HYPERLINK("https://portal.gdc.cancer.gov/cases/55262fcb-1b01-4480-b322-36570430c917","TCGA-3C-AALI-01A")</f>
        <v>TCGA-3C-AALI-01A</v>
      </c>
      <c r="I13458" t="s">
        <v>17</v>
      </c>
      <c r="J13458" t="s">
        <v>524</v>
      </c>
      <c r="K13458" t="s">
        <v>33</v>
      </c>
      <c r="L13458" t="s">
        <v>20</v>
      </c>
      <c r="N13458" t="s">
        <v>29</v>
      </c>
    </row>
    <row r="13459" spans="1:14">
      <c r="A13459" s="4" t="str">
        <f t="shared" si="1130"/>
        <v>EXP00414</v>
      </c>
      <c r="B13459" s="3" t="s">
        <v>66</v>
      </c>
      <c r="C13459" s="4" t="str">
        <f t="shared" si="1129"/>
        <v>TCGA-BRCA</v>
      </c>
      <c r="D13459" s="1" t="s">
        <v>493</v>
      </c>
      <c r="E13459" t="s">
        <v>532</v>
      </c>
      <c r="F13459" s="1">
        <v>2</v>
      </c>
      <c r="G13459" s="1" t="s">
        <v>32</v>
      </c>
      <c r="H13459" s="4" t="str">
        <f>HYPERLINK("https://portal.gdc.cancer.gov/cases/427d0648-3f77-4ffc-b52c-89855426d647","TCGA-3C-AALJ-01A")</f>
        <v>TCGA-3C-AALJ-01A</v>
      </c>
      <c r="I13459" t="s">
        <v>17</v>
      </c>
      <c r="J13459" t="s">
        <v>524</v>
      </c>
      <c r="K13459" t="s">
        <v>33</v>
      </c>
      <c r="L13459" t="s">
        <v>20</v>
      </c>
      <c r="N13459" t="s">
        <v>29</v>
      </c>
    </row>
    <row r="13460" spans="1:14">
      <c r="A13460" s="4" t="str">
        <f t="shared" si="1130"/>
        <v>EXP00414</v>
      </c>
      <c r="B13460" s="3" t="s">
        <v>66</v>
      </c>
      <c r="C13460" s="4" t="str">
        <f t="shared" si="1129"/>
        <v>TCGA-BRCA</v>
      </c>
      <c r="D13460" s="1" t="s">
        <v>493</v>
      </c>
      <c r="E13460" t="s">
        <v>532</v>
      </c>
      <c r="F13460" s="1">
        <v>2</v>
      </c>
      <c r="G13460" s="1" t="s">
        <v>32</v>
      </c>
      <c r="H13460" s="4" t="str">
        <f>HYPERLINK("https://portal.gdc.cancer.gov/cases/c31900a4-5dcd-4022-97ac-638e86e889e4","TCGA-3C-AALK-01A")</f>
        <v>TCGA-3C-AALK-01A</v>
      </c>
      <c r="I13460" t="s">
        <v>17</v>
      </c>
      <c r="J13460" t="s">
        <v>524</v>
      </c>
      <c r="K13460" t="s">
        <v>33</v>
      </c>
      <c r="L13460" t="s">
        <v>20</v>
      </c>
      <c r="N13460" t="s">
        <v>29</v>
      </c>
    </row>
    <row r="13461" spans="1:14">
      <c r="A13461" s="4" t="str">
        <f t="shared" si="1130"/>
        <v>EXP00414</v>
      </c>
      <c r="B13461" s="3" t="s">
        <v>66</v>
      </c>
      <c r="C13461" s="4" t="str">
        <f t="shared" si="1129"/>
        <v>TCGA-BRCA</v>
      </c>
      <c r="D13461" s="1" t="s">
        <v>493</v>
      </c>
      <c r="E13461" t="s">
        <v>532</v>
      </c>
      <c r="F13461" s="1">
        <v>2</v>
      </c>
      <c r="G13461" s="1" t="s">
        <v>32</v>
      </c>
      <c r="H13461" s="4" t="str">
        <f>HYPERLINK("https://portal.gdc.cancer.gov/cases/6623fc5e-00be-4476-967a-cbd55f676ea6","TCGA-4H-AAAK-01A")</f>
        <v>TCGA-4H-AAAK-01A</v>
      </c>
      <c r="I13461" t="s">
        <v>17</v>
      </c>
      <c r="J13461" t="s">
        <v>524</v>
      </c>
      <c r="K13461" t="s">
        <v>33</v>
      </c>
      <c r="L13461" t="s">
        <v>20</v>
      </c>
      <c r="N13461" t="s">
        <v>29</v>
      </c>
    </row>
    <row r="13462" spans="1:14">
      <c r="A13462" s="4" t="str">
        <f t="shared" si="1130"/>
        <v>EXP00414</v>
      </c>
      <c r="B13462" s="3" t="s">
        <v>66</v>
      </c>
      <c r="C13462" s="4" t="str">
        <f t="shared" si="1129"/>
        <v>TCGA-BRCA</v>
      </c>
      <c r="D13462" s="1" t="s">
        <v>493</v>
      </c>
      <c r="E13462" t="s">
        <v>532</v>
      </c>
      <c r="F13462" s="1">
        <v>2</v>
      </c>
      <c r="G13462" s="1" t="s">
        <v>32</v>
      </c>
      <c r="H13462" s="4" t="str">
        <f>HYPERLINK("https://portal.gdc.cancer.gov/cases/86c6f993-327f-4525-9983-29c55625593a","TCGA-5L-AAT0-01A")</f>
        <v>TCGA-5L-AAT0-01A</v>
      </c>
      <c r="I13462" t="s">
        <v>17</v>
      </c>
      <c r="J13462" t="s">
        <v>524</v>
      </c>
      <c r="K13462" t="s">
        <v>33</v>
      </c>
      <c r="L13462" t="s">
        <v>20</v>
      </c>
      <c r="N13462" t="s">
        <v>29</v>
      </c>
    </row>
    <row r="13463" spans="1:14">
      <c r="A13463" s="4" t="str">
        <f t="shared" si="1130"/>
        <v>EXP00414</v>
      </c>
      <c r="B13463" s="3" t="s">
        <v>66</v>
      </c>
      <c r="C13463" s="4" t="str">
        <f t="shared" si="1129"/>
        <v>TCGA-BRCA</v>
      </c>
      <c r="D13463" s="1" t="s">
        <v>493</v>
      </c>
      <c r="E13463" t="s">
        <v>532</v>
      </c>
      <c r="F13463" s="1">
        <v>2</v>
      </c>
      <c r="G13463" s="1" t="s">
        <v>32</v>
      </c>
      <c r="H13463" s="4" t="str">
        <f>HYPERLINK("https://portal.gdc.cancer.gov/cases/16fc3677-0393-4ed1-ad3f-c8355f056369","TCGA-5L-AAT1-01A")</f>
        <v>TCGA-5L-AAT1-01A</v>
      </c>
      <c r="I13463" t="s">
        <v>17</v>
      </c>
      <c r="J13463" t="s">
        <v>524</v>
      </c>
      <c r="K13463" t="s">
        <v>33</v>
      </c>
      <c r="L13463" t="s">
        <v>20</v>
      </c>
      <c r="N13463" t="s">
        <v>29</v>
      </c>
    </row>
    <row r="13464" spans="1:14">
      <c r="A13464" s="4" t="str">
        <f t="shared" si="1130"/>
        <v>EXP00414</v>
      </c>
      <c r="B13464" s="3" t="s">
        <v>66</v>
      </c>
      <c r="C13464" s="4" t="str">
        <f t="shared" si="1129"/>
        <v>TCGA-BRCA</v>
      </c>
      <c r="D13464" s="1" t="s">
        <v>493</v>
      </c>
      <c r="E13464" t="s">
        <v>532</v>
      </c>
      <c r="F13464" s="1">
        <v>2</v>
      </c>
      <c r="G13464" s="1" t="s">
        <v>32</v>
      </c>
      <c r="H13464" s="4" t="str">
        <f>HYPERLINK("https://portal.gdc.cancer.gov/cases/2fd36838-5a83-433e-ac80-b1f77448e5aa","TCGA-5T-A9QA-01A")</f>
        <v>TCGA-5T-A9QA-01A</v>
      </c>
      <c r="I13464" t="s">
        <v>17</v>
      </c>
      <c r="J13464" t="s">
        <v>524</v>
      </c>
      <c r="K13464" t="s">
        <v>33</v>
      </c>
      <c r="L13464" t="s">
        <v>20</v>
      </c>
      <c r="N13464" t="s">
        <v>29</v>
      </c>
    </row>
    <row r="13465" spans="1:14">
      <c r="A13465" s="4" t="str">
        <f t="shared" si="1130"/>
        <v>EXP00414</v>
      </c>
      <c r="B13465" s="3" t="s">
        <v>66</v>
      </c>
      <c r="C13465" s="4" t="str">
        <f t="shared" si="1129"/>
        <v>TCGA-BRCA</v>
      </c>
      <c r="D13465" s="1" t="s">
        <v>493</v>
      </c>
      <c r="E13465" t="s">
        <v>532</v>
      </c>
      <c r="F13465" s="1">
        <v>2</v>
      </c>
      <c r="G13465" s="1" t="s">
        <v>32</v>
      </c>
      <c r="H13465" s="4" t="str">
        <f>HYPERLINK("https://portal.gdc.cancer.gov/cases/0045349c-69d9-4306-a403-c9c1fa836644","TCGA-A1-A0SB-01A")</f>
        <v>TCGA-A1-A0SB-01A</v>
      </c>
      <c r="I13465" t="s">
        <v>17</v>
      </c>
      <c r="J13465" t="s">
        <v>524</v>
      </c>
      <c r="K13465" t="s">
        <v>33</v>
      </c>
      <c r="L13465" t="s">
        <v>20</v>
      </c>
      <c r="N13465" t="s">
        <v>29</v>
      </c>
    </row>
    <row r="13466" spans="1:14">
      <c r="A13466" s="4" t="str">
        <f t="shared" si="1130"/>
        <v>EXP00414</v>
      </c>
      <c r="B13466" s="3" t="s">
        <v>66</v>
      </c>
      <c r="C13466" s="4" t="str">
        <f t="shared" si="1129"/>
        <v>TCGA-BRCA</v>
      </c>
      <c r="D13466" s="1" t="s">
        <v>493</v>
      </c>
      <c r="E13466" t="s">
        <v>532</v>
      </c>
      <c r="F13466" s="1">
        <v>2</v>
      </c>
      <c r="G13466" s="1" t="s">
        <v>32</v>
      </c>
      <c r="H13466" s="4" t="str">
        <f>HYPERLINK("https://portal.gdc.cancer.gov/cases/c462e422-eb8d-4daf-9897-2a9c6cbd783a","TCGA-A1-A0SD-01A")</f>
        <v>TCGA-A1-A0SD-01A</v>
      </c>
      <c r="I13466" t="s">
        <v>17</v>
      </c>
      <c r="J13466" t="s">
        <v>524</v>
      </c>
      <c r="K13466" t="s">
        <v>33</v>
      </c>
      <c r="L13466" t="s">
        <v>20</v>
      </c>
      <c r="N13466" t="s">
        <v>29</v>
      </c>
    </row>
    <row r="13467" spans="1:14">
      <c r="A13467" s="4" t="str">
        <f t="shared" si="1130"/>
        <v>EXP00414</v>
      </c>
      <c r="B13467" s="3" t="s">
        <v>66</v>
      </c>
      <c r="C13467" s="4" t="str">
        <f t="shared" si="1129"/>
        <v>TCGA-BRCA</v>
      </c>
      <c r="D13467" s="1" t="s">
        <v>493</v>
      </c>
      <c r="E13467" t="s">
        <v>532</v>
      </c>
      <c r="F13467" s="1">
        <v>2</v>
      </c>
      <c r="G13467" s="1" t="s">
        <v>32</v>
      </c>
      <c r="H13467" s="4" t="str">
        <f>HYPERLINK("https://portal.gdc.cancer.gov/cases/c397e6c2-ba3a-4f5e-a258-c140611192fe","TCGA-A1-A0SE-01A")</f>
        <v>TCGA-A1-A0SE-01A</v>
      </c>
      <c r="I13467" t="s">
        <v>17</v>
      </c>
      <c r="J13467" t="s">
        <v>524</v>
      </c>
      <c r="K13467" t="s">
        <v>33</v>
      </c>
      <c r="L13467" t="s">
        <v>20</v>
      </c>
      <c r="N13467" t="s">
        <v>29</v>
      </c>
    </row>
    <row r="13468" spans="1:14">
      <c r="A13468" s="4" t="str">
        <f t="shared" si="1130"/>
        <v>EXP00414</v>
      </c>
      <c r="B13468" s="3" t="s">
        <v>66</v>
      </c>
      <c r="C13468" s="4" t="str">
        <f t="shared" si="1129"/>
        <v>TCGA-BRCA</v>
      </c>
      <c r="D13468" s="1" t="s">
        <v>493</v>
      </c>
      <c r="E13468" t="s">
        <v>532</v>
      </c>
      <c r="F13468" s="1">
        <v>2</v>
      </c>
      <c r="G13468" s="1" t="s">
        <v>32</v>
      </c>
      <c r="H13468" s="4" t="str">
        <f>HYPERLINK("https://portal.gdc.cancer.gov/cases/4b620966-b4c7-4615-bf58-ca9d3226b9bd","TCGA-A1-A0SF-01A")</f>
        <v>TCGA-A1-A0SF-01A</v>
      </c>
      <c r="I13468" t="s">
        <v>17</v>
      </c>
      <c r="J13468" t="s">
        <v>524</v>
      </c>
      <c r="K13468" t="s">
        <v>33</v>
      </c>
      <c r="L13468" t="s">
        <v>20</v>
      </c>
      <c r="N13468" t="s">
        <v>29</v>
      </c>
    </row>
    <row r="13469" spans="1:14">
      <c r="A13469" s="4" t="str">
        <f t="shared" si="1130"/>
        <v>EXP00414</v>
      </c>
      <c r="B13469" s="3" t="s">
        <v>66</v>
      </c>
      <c r="C13469" s="4" t="str">
        <f t="shared" si="1129"/>
        <v>TCGA-BRCA</v>
      </c>
      <c r="D13469" s="1" t="s">
        <v>493</v>
      </c>
      <c r="E13469" t="s">
        <v>532</v>
      </c>
      <c r="F13469" s="1">
        <v>2</v>
      </c>
      <c r="G13469" s="1" t="s">
        <v>32</v>
      </c>
      <c r="H13469" s="4" t="str">
        <f>HYPERLINK("https://portal.gdc.cancer.gov/cases/0ed9ad26-7fdc-4d75-93f9-d029eee94993","TCGA-A1-A0SG-01A")</f>
        <v>TCGA-A1-A0SG-01A</v>
      </c>
      <c r="I13469" t="s">
        <v>17</v>
      </c>
      <c r="J13469" t="s">
        <v>524</v>
      </c>
      <c r="K13469" t="s">
        <v>33</v>
      </c>
      <c r="L13469" t="s">
        <v>20</v>
      </c>
      <c r="N13469" t="s">
        <v>29</v>
      </c>
    </row>
    <row r="13470" spans="1:14">
      <c r="A13470" s="4" t="str">
        <f t="shared" si="1130"/>
        <v>EXP00414</v>
      </c>
      <c r="B13470" s="3" t="s">
        <v>66</v>
      </c>
      <c r="C13470" s="4" t="str">
        <f t="shared" si="1129"/>
        <v>TCGA-BRCA</v>
      </c>
      <c r="D13470" s="1" t="s">
        <v>493</v>
      </c>
      <c r="E13470" t="s">
        <v>532</v>
      </c>
      <c r="F13470" s="1">
        <v>2</v>
      </c>
      <c r="G13470" s="1" t="s">
        <v>32</v>
      </c>
      <c r="H13470" s="4" t="str">
        <f>HYPERLINK("https://portal.gdc.cancer.gov/cases/a6a863d9-b39d-4965-b47f-79a1bcf3c976","TCGA-A1-A0SH-01A")</f>
        <v>TCGA-A1-A0SH-01A</v>
      </c>
      <c r="I13470" t="s">
        <v>17</v>
      </c>
      <c r="J13470" t="s">
        <v>524</v>
      </c>
      <c r="K13470" t="s">
        <v>33</v>
      </c>
      <c r="L13470" t="s">
        <v>20</v>
      </c>
      <c r="N13470" t="s">
        <v>29</v>
      </c>
    </row>
    <row r="13471" spans="1:14">
      <c r="A13471" s="4" t="str">
        <f t="shared" si="1130"/>
        <v>EXP00414</v>
      </c>
      <c r="B13471" s="3" t="s">
        <v>66</v>
      </c>
      <c r="C13471" s="4" t="str">
        <f t="shared" si="1129"/>
        <v>TCGA-BRCA</v>
      </c>
      <c r="D13471" s="1" t="s">
        <v>493</v>
      </c>
      <c r="E13471" t="s">
        <v>532</v>
      </c>
      <c r="F13471" s="1">
        <v>2</v>
      </c>
      <c r="G13471" s="1" t="s">
        <v>32</v>
      </c>
      <c r="H13471" s="4" t="str">
        <f>HYPERLINK("https://portal.gdc.cancer.gov/cases/16368c32-2118-4fcf-8693-6c89995e49d8","TCGA-A1-A0SI-01A")</f>
        <v>TCGA-A1-A0SI-01A</v>
      </c>
      <c r="I13471" t="s">
        <v>17</v>
      </c>
      <c r="J13471" t="s">
        <v>524</v>
      </c>
      <c r="K13471" t="s">
        <v>33</v>
      </c>
      <c r="L13471" t="s">
        <v>20</v>
      </c>
      <c r="N13471" t="s">
        <v>29</v>
      </c>
    </row>
    <row r="13472" spans="1:14">
      <c r="A13472" s="4" t="str">
        <f t="shared" si="1130"/>
        <v>EXP00414</v>
      </c>
      <c r="B13472" s="3" t="s">
        <v>66</v>
      </c>
      <c r="C13472" s="4" t="str">
        <f t="shared" si="1129"/>
        <v>TCGA-BRCA</v>
      </c>
      <c r="D13472" s="1" t="s">
        <v>493</v>
      </c>
      <c r="E13472" t="s">
        <v>532</v>
      </c>
      <c r="F13472" s="1">
        <v>2</v>
      </c>
      <c r="G13472" s="1" t="s">
        <v>32</v>
      </c>
      <c r="H13472" s="4" t="str">
        <f>HYPERLINK("https://portal.gdc.cancer.gov/cases/a2db9dd1-44d5-48b5-817c-a21a85fadb21","TCGA-A1-A0SJ-01A")</f>
        <v>TCGA-A1-A0SJ-01A</v>
      </c>
      <c r="I13472" t="s">
        <v>17</v>
      </c>
      <c r="J13472" t="s">
        <v>524</v>
      </c>
      <c r="K13472" t="s">
        <v>33</v>
      </c>
      <c r="L13472" t="s">
        <v>20</v>
      </c>
      <c r="N13472" t="s">
        <v>29</v>
      </c>
    </row>
    <row r="13473" spans="1:14">
      <c r="A13473" s="4" t="str">
        <f t="shared" si="1130"/>
        <v>EXP00414</v>
      </c>
      <c r="B13473" s="3" t="s">
        <v>66</v>
      </c>
      <c r="C13473" s="4" t="str">
        <f t="shared" si="1129"/>
        <v>TCGA-BRCA</v>
      </c>
      <c r="D13473" s="1" t="s">
        <v>493</v>
      </c>
      <c r="E13473" t="s">
        <v>532</v>
      </c>
      <c r="F13473" s="1">
        <v>2</v>
      </c>
      <c r="G13473" s="1" t="s">
        <v>32</v>
      </c>
      <c r="H13473" s="4" t="str">
        <f>HYPERLINK("https://portal.gdc.cancer.gov/cases/a5b44d66-c162-46b5-9df2-86305f0385c5","TCGA-A1-A0SK-01A")</f>
        <v>TCGA-A1-A0SK-01A</v>
      </c>
      <c r="I13473" t="s">
        <v>17</v>
      </c>
      <c r="J13473" t="s">
        <v>524</v>
      </c>
      <c r="K13473" t="s">
        <v>33</v>
      </c>
      <c r="L13473" t="s">
        <v>20</v>
      </c>
      <c r="N13473" t="s">
        <v>29</v>
      </c>
    </row>
    <row r="13474" spans="1:14">
      <c r="A13474" s="4" t="str">
        <f t="shared" si="1130"/>
        <v>EXP00414</v>
      </c>
      <c r="B13474" s="3" t="s">
        <v>66</v>
      </c>
      <c r="C13474" s="4" t="str">
        <f t="shared" si="1129"/>
        <v>TCGA-BRCA</v>
      </c>
      <c r="D13474" s="1" t="s">
        <v>493</v>
      </c>
      <c r="E13474" t="s">
        <v>532</v>
      </c>
      <c r="F13474" s="1">
        <v>2</v>
      </c>
      <c r="G13474" s="1" t="s">
        <v>32</v>
      </c>
      <c r="H13474" s="4" t="str">
        <f>HYPERLINK("https://portal.gdc.cancer.gov/cases/784de7ac-8424-42eb-83d4-a1bebaa42b97","TCGA-A1-A0SM-01A")</f>
        <v>TCGA-A1-A0SM-01A</v>
      </c>
      <c r="I13474" t="s">
        <v>17</v>
      </c>
      <c r="J13474" t="s">
        <v>524</v>
      </c>
      <c r="K13474" t="s">
        <v>33</v>
      </c>
      <c r="L13474" t="s">
        <v>20</v>
      </c>
      <c r="N13474" t="s">
        <v>29</v>
      </c>
    </row>
    <row r="13475" spans="1:14">
      <c r="A13475" s="4" t="str">
        <f t="shared" si="1130"/>
        <v>EXP00414</v>
      </c>
      <c r="B13475" s="3" t="s">
        <v>66</v>
      </c>
      <c r="C13475" s="4" t="str">
        <f t="shared" si="1129"/>
        <v>TCGA-BRCA</v>
      </c>
      <c r="D13475" s="1" t="s">
        <v>493</v>
      </c>
      <c r="E13475" t="s">
        <v>532</v>
      </c>
      <c r="F13475" s="1">
        <v>2</v>
      </c>
      <c r="G13475" s="1" t="s">
        <v>32</v>
      </c>
      <c r="H13475" s="4" t="str">
        <f>HYPERLINK("https://portal.gdc.cancer.gov/cases/0dc337fa-da8b-42c4-b9a7-fb76d81c161f","TCGA-A1-A0SN-01A")</f>
        <v>TCGA-A1-A0SN-01A</v>
      </c>
      <c r="I13475" t="s">
        <v>17</v>
      </c>
      <c r="J13475" t="s">
        <v>524</v>
      </c>
      <c r="K13475" t="s">
        <v>33</v>
      </c>
      <c r="L13475" t="s">
        <v>20</v>
      </c>
      <c r="N13475" t="s">
        <v>29</v>
      </c>
    </row>
    <row r="13476" spans="1:14">
      <c r="A13476" s="4" t="str">
        <f t="shared" si="1130"/>
        <v>EXP00414</v>
      </c>
      <c r="B13476" s="3" t="s">
        <v>66</v>
      </c>
      <c r="C13476" s="4" t="str">
        <f t="shared" si="1129"/>
        <v>TCGA-BRCA</v>
      </c>
      <c r="D13476" s="1" t="s">
        <v>493</v>
      </c>
      <c r="E13476" t="s">
        <v>532</v>
      </c>
      <c r="F13476" s="1">
        <v>2</v>
      </c>
      <c r="G13476" s="1" t="s">
        <v>32</v>
      </c>
      <c r="H13476" s="4" t="str">
        <f>HYPERLINK("https://portal.gdc.cancer.gov/cases/6644fd4e-d2fe-4785-a73c-0f36fcc740e2","TCGA-A1-A0SO-01A")</f>
        <v>TCGA-A1-A0SO-01A</v>
      </c>
      <c r="I13476" t="s">
        <v>17</v>
      </c>
      <c r="J13476" t="s">
        <v>524</v>
      </c>
      <c r="K13476" t="s">
        <v>33</v>
      </c>
      <c r="L13476" t="s">
        <v>20</v>
      </c>
      <c r="N13476" t="s">
        <v>29</v>
      </c>
    </row>
    <row r="13477" spans="1:14">
      <c r="A13477" s="4" t="str">
        <f t="shared" si="1130"/>
        <v>EXP00414</v>
      </c>
      <c r="B13477" s="3" t="s">
        <v>66</v>
      </c>
      <c r="C13477" s="4" t="str">
        <f t="shared" si="1129"/>
        <v>TCGA-BRCA</v>
      </c>
      <c r="D13477" s="1" t="s">
        <v>493</v>
      </c>
      <c r="E13477" t="s">
        <v>532</v>
      </c>
      <c r="F13477" s="1">
        <v>2</v>
      </c>
      <c r="G13477" s="1" t="s">
        <v>32</v>
      </c>
      <c r="H13477" s="4" t="str">
        <f>HYPERLINK("https://portal.gdc.cancer.gov/cases/a9bb8159-32f0-454c-a946-b3286a52b9d5","TCGA-A1-A0SP-01A")</f>
        <v>TCGA-A1-A0SP-01A</v>
      </c>
      <c r="I13477" t="s">
        <v>17</v>
      </c>
      <c r="J13477" t="s">
        <v>524</v>
      </c>
      <c r="K13477" t="s">
        <v>33</v>
      </c>
      <c r="L13477" t="s">
        <v>20</v>
      </c>
      <c r="N13477" t="s">
        <v>29</v>
      </c>
    </row>
    <row r="13478" spans="1:14">
      <c r="A13478" s="4" t="str">
        <f t="shared" si="1130"/>
        <v>EXP00414</v>
      </c>
      <c r="B13478" s="3" t="s">
        <v>66</v>
      </c>
      <c r="C13478" s="4" t="str">
        <f t="shared" si="1129"/>
        <v>TCGA-BRCA</v>
      </c>
      <c r="D13478" s="1" t="s">
        <v>493</v>
      </c>
      <c r="E13478" t="s">
        <v>532</v>
      </c>
      <c r="F13478" s="1">
        <v>2</v>
      </c>
      <c r="G13478" s="1" t="s">
        <v>32</v>
      </c>
      <c r="H13478" s="4" t="str">
        <f>HYPERLINK("https://portal.gdc.cancer.gov/cases/08de63a2-7b76-43c3-80dc-df748b1d81bc","TCGA-A1-A0SQ-01A")</f>
        <v>TCGA-A1-A0SQ-01A</v>
      </c>
      <c r="I13478" t="s">
        <v>17</v>
      </c>
      <c r="J13478" t="s">
        <v>524</v>
      </c>
      <c r="K13478" t="s">
        <v>33</v>
      </c>
      <c r="L13478" t="s">
        <v>20</v>
      </c>
      <c r="N13478" t="s">
        <v>29</v>
      </c>
    </row>
    <row r="13479" spans="1:14">
      <c r="A13479" s="4" t="str">
        <f t="shared" si="1130"/>
        <v>EXP00414</v>
      </c>
      <c r="B13479" s="3" t="s">
        <v>66</v>
      </c>
      <c r="C13479" s="4" t="str">
        <f t="shared" si="1129"/>
        <v>TCGA-BRCA</v>
      </c>
      <c r="D13479" s="1" t="s">
        <v>493</v>
      </c>
      <c r="E13479" t="s">
        <v>532</v>
      </c>
      <c r="F13479" s="1">
        <v>2</v>
      </c>
      <c r="G13479" s="1" t="s">
        <v>32</v>
      </c>
      <c r="H13479" s="4" t="str">
        <f>HYPERLINK("https://portal.gdc.cancer.gov/cases/197428f7-bd77-4c5f-8119-87157b5c35b9","TCGA-A2-A04N-01A")</f>
        <v>TCGA-A2-A04N-01A</v>
      </c>
      <c r="I13479" t="s">
        <v>17</v>
      </c>
      <c r="J13479" t="s">
        <v>524</v>
      </c>
      <c r="K13479" t="s">
        <v>33</v>
      </c>
      <c r="L13479" t="s">
        <v>20</v>
      </c>
      <c r="N13479" t="s">
        <v>29</v>
      </c>
    </row>
    <row r="13480" spans="1:14">
      <c r="A13480" s="4" t="str">
        <f t="shared" si="1130"/>
        <v>EXP00414</v>
      </c>
      <c r="B13480" s="3" t="s">
        <v>66</v>
      </c>
      <c r="C13480" s="4" t="str">
        <f t="shared" si="1129"/>
        <v>TCGA-BRCA</v>
      </c>
      <c r="D13480" s="1" t="s">
        <v>493</v>
      </c>
      <c r="E13480" t="s">
        <v>532</v>
      </c>
      <c r="F13480" s="1">
        <v>2</v>
      </c>
      <c r="G13480" s="1" t="s">
        <v>32</v>
      </c>
      <c r="H13480" s="4" t="str">
        <f>HYPERLINK("https://portal.gdc.cancer.gov/cases/ccd4a24b-d8cc-4686-9dee-c98b0c5a8d21","TCGA-A2-A04P-01A")</f>
        <v>TCGA-A2-A04P-01A</v>
      </c>
      <c r="I13480" t="s">
        <v>17</v>
      </c>
      <c r="J13480" t="s">
        <v>524</v>
      </c>
      <c r="K13480" t="s">
        <v>33</v>
      </c>
      <c r="L13480" t="s">
        <v>20</v>
      </c>
      <c r="N13480" t="s">
        <v>29</v>
      </c>
    </row>
    <row r="13481" spans="1:14">
      <c r="A13481" s="4" t="str">
        <f t="shared" si="1130"/>
        <v>EXP00414</v>
      </c>
      <c r="B13481" s="3" t="s">
        <v>66</v>
      </c>
      <c r="C13481" s="4" t="str">
        <f t="shared" si="1129"/>
        <v>TCGA-BRCA</v>
      </c>
      <c r="D13481" s="1" t="s">
        <v>493</v>
      </c>
      <c r="E13481" t="s">
        <v>532</v>
      </c>
      <c r="F13481" s="1">
        <v>2</v>
      </c>
      <c r="G13481" s="1" t="s">
        <v>32</v>
      </c>
      <c r="H13481" s="4" t="str">
        <f>HYPERLINK("https://portal.gdc.cancer.gov/cases/b5fba77b-1f50-4e71-95b2-566afba4bdd7","TCGA-A2-A04Q-01A")</f>
        <v>TCGA-A2-A04Q-01A</v>
      </c>
      <c r="I13481" t="s">
        <v>17</v>
      </c>
      <c r="J13481" t="s">
        <v>524</v>
      </c>
      <c r="K13481" t="s">
        <v>33</v>
      </c>
      <c r="L13481" t="s">
        <v>20</v>
      </c>
      <c r="N13481" t="s">
        <v>29</v>
      </c>
    </row>
    <row r="13482" spans="1:14">
      <c r="A13482" s="4" t="str">
        <f t="shared" si="1130"/>
        <v>EXP00414</v>
      </c>
      <c r="B13482" s="3" t="s">
        <v>66</v>
      </c>
      <c r="C13482" s="4" t="str">
        <f t="shared" si="1129"/>
        <v>TCGA-BRCA</v>
      </c>
      <c r="D13482" s="1" t="s">
        <v>493</v>
      </c>
      <c r="E13482" t="s">
        <v>532</v>
      </c>
      <c r="F13482" s="1">
        <v>2</v>
      </c>
      <c r="G13482" s="1" t="s">
        <v>32</v>
      </c>
      <c r="H13482" s="4" t="str">
        <f>HYPERLINK("https://portal.gdc.cancer.gov/cases/f3a058b9-fb7f-4098-8f0e-83c2acfa1ed5","TCGA-A2-A04R-01A")</f>
        <v>TCGA-A2-A04R-01A</v>
      </c>
      <c r="I13482" t="s">
        <v>17</v>
      </c>
      <c r="J13482" t="s">
        <v>524</v>
      </c>
      <c r="K13482" t="s">
        <v>33</v>
      </c>
      <c r="L13482" t="s">
        <v>20</v>
      </c>
      <c r="N13482" t="s">
        <v>29</v>
      </c>
    </row>
    <row r="13483" spans="1:14">
      <c r="A13483" s="4" t="str">
        <f t="shared" si="1130"/>
        <v>EXP00414</v>
      </c>
      <c r="B13483" s="3" t="s">
        <v>66</v>
      </c>
      <c r="C13483" s="4" t="str">
        <f t="shared" si="1129"/>
        <v>TCGA-BRCA</v>
      </c>
      <c r="D13483" s="1" t="s">
        <v>493</v>
      </c>
      <c r="E13483" t="s">
        <v>532</v>
      </c>
      <c r="F13483" s="1">
        <v>2</v>
      </c>
      <c r="G13483" s="1" t="s">
        <v>32</v>
      </c>
      <c r="H13483" s="4" t="str">
        <f>HYPERLINK("https://portal.gdc.cancer.gov/cases/b58ad350-5140-4fa8-bc2c-24bca8395f3a","TCGA-A2-A04T-01A")</f>
        <v>TCGA-A2-A04T-01A</v>
      </c>
      <c r="I13483" t="s">
        <v>17</v>
      </c>
      <c r="J13483" t="s">
        <v>524</v>
      </c>
      <c r="K13483" t="s">
        <v>33</v>
      </c>
      <c r="L13483" t="s">
        <v>20</v>
      </c>
      <c r="N13483" t="s">
        <v>29</v>
      </c>
    </row>
    <row r="13484" spans="1:14">
      <c r="A13484" s="4" t="str">
        <f t="shared" si="1130"/>
        <v>EXP00414</v>
      </c>
      <c r="B13484" s="3" t="s">
        <v>66</v>
      </c>
      <c r="C13484" s="4" t="str">
        <f t="shared" si="1129"/>
        <v>TCGA-BRCA</v>
      </c>
      <c r="D13484" s="1" t="s">
        <v>493</v>
      </c>
      <c r="E13484" t="s">
        <v>532</v>
      </c>
      <c r="F13484" s="1">
        <v>2</v>
      </c>
      <c r="G13484" s="1" t="s">
        <v>32</v>
      </c>
      <c r="H13484" s="4" t="str">
        <f>HYPERLINK("https://portal.gdc.cancer.gov/cases/1c3610f7-e0aa-48d7-9a27-0dbaf6e244f9","TCGA-A2-A04U-01A")</f>
        <v>TCGA-A2-A04U-01A</v>
      </c>
      <c r="I13484" t="s">
        <v>17</v>
      </c>
      <c r="J13484" t="s">
        <v>524</v>
      </c>
      <c r="K13484" t="s">
        <v>33</v>
      </c>
      <c r="L13484" t="s">
        <v>20</v>
      </c>
      <c r="N13484" t="s">
        <v>29</v>
      </c>
    </row>
    <row r="13485" spans="1:14">
      <c r="A13485" s="4" t="str">
        <f t="shared" si="1130"/>
        <v>EXP00414</v>
      </c>
      <c r="B13485" s="3" t="s">
        <v>66</v>
      </c>
      <c r="C13485" s="4" t="str">
        <f t="shared" si="1129"/>
        <v>TCGA-BRCA</v>
      </c>
      <c r="D13485" s="1" t="s">
        <v>493</v>
      </c>
      <c r="E13485" t="s">
        <v>532</v>
      </c>
      <c r="F13485" s="1">
        <v>2</v>
      </c>
      <c r="G13485" s="1" t="s">
        <v>32</v>
      </c>
      <c r="H13485" s="4" t="str">
        <f>HYPERLINK("https://portal.gdc.cancer.gov/cases/64f67506-f2df-4f0a-b7be-29b4949e986a","TCGA-A2-A04V-01A")</f>
        <v>TCGA-A2-A04V-01A</v>
      </c>
      <c r="I13485" t="s">
        <v>17</v>
      </c>
      <c r="J13485" t="s">
        <v>524</v>
      </c>
      <c r="K13485" t="s">
        <v>33</v>
      </c>
      <c r="L13485" t="s">
        <v>20</v>
      </c>
      <c r="N13485" t="s">
        <v>29</v>
      </c>
    </row>
    <row r="13486" spans="1:14">
      <c r="A13486" s="4" t="str">
        <f t="shared" si="1130"/>
        <v>EXP00414</v>
      </c>
      <c r="B13486" s="3" t="s">
        <v>66</v>
      </c>
      <c r="C13486" s="4" t="str">
        <f t="shared" si="1129"/>
        <v>TCGA-BRCA</v>
      </c>
      <c r="D13486" s="1" t="s">
        <v>493</v>
      </c>
      <c r="E13486" t="s">
        <v>532</v>
      </c>
      <c r="F13486" s="1">
        <v>2</v>
      </c>
      <c r="G13486" s="1" t="s">
        <v>32</v>
      </c>
      <c r="H13486" s="4" t="str">
        <f>HYPERLINK("https://portal.gdc.cancer.gov/cases/00807dae-9f4a-4fd1-aac2-82eb11bf2afb","TCGA-A2-A04W-01A")</f>
        <v>TCGA-A2-A04W-01A</v>
      </c>
      <c r="I13486" t="s">
        <v>17</v>
      </c>
      <c r="J13486" t="s">
        <v>524</v>
      </c>
      <c r="K13486" t="s">
        <v>33</v>
      </c>
      <c r="L13486" t="s">
        <v>20</v>
      </c>
      <c r="N13486" t="s">
        <v>29</v>
      </c>
    </row>
    <row r="13487" spans="1:14">
      <c r="A13487" s="4" t="str">
        <f t="shared" si="1130"/>
        <v>EXP00414</v>
      </c>
      <c r="B13487" s="3" t="s">
        <v>66</v>
      </c>
      <c r="C13487" s="4" t="str">
        <f t="shared" si="1129"/>
        <v>TCGA-BRCA</v>
      </c>
      <c r="D13487" s="1" t="s">
        <v>493</v>
      </c>
      <c r="E13487" t="s">
        <v>532</v>
      </c>
      <c r="F13487" s="1">
        <v>2</v>
      </c>
      <c r="G13487" s="1" t="s">
        <v>32</v>
      </c>
      <c r="H13487" s="4" t="str">
        <f>HYPERLINK("https://portal.gdc.cancer.gov/cases/733a2a0f-b37a-4b81-b49e-3c0f30d1eb37","TCGA-A2-A04X-01A")</f>
        <v>TCGA-A2-A04X-01A</v>
      </c>
      <c r="I13487" t="s">
        <v>17</v>
      </c>
      <c r="J13487" t="s">
        <v>524</v>
      </c>
      <c r="K13487" t="s">
        <v>33</v>
      </c>
      <c r="L13487" t="s">
        <v>20</v>
      </c>
      <c r="N13487" t="s">
        <v>29</v>
      </c>
    </row>
    <row r="13488" spans="1:14">
      <c r="A13488" s="4" t="str">
        <f t="shared" si="1130"/>
        <v>EXP00414</v>
      </c>
      <c r="B13488" s="3" t="s">
        <v>66</v>
      </c>
      <c r="C13488" s="4" t="str">
        <f t="shared" si="1129"/>
        <v>TCGA-BRCA</v>
      </c>
      <c r="D13488" s="1" t="s">
        <v>493</v>
      </c>
      <c r="E13488" t="s">
        <v>532</v>
      </c>
      <c r="F13488" s="1">
        <v>2</v>
      </c>
      <c r="G13488" s="1" t="s">
        <v>32</v>
      </c>
      <c r="H13488" s="4" t="str">
        <f>HYPERLINK("https://portal.gdc.cancer.gov/cases/9ce7ce09-4409-4fa3-9f78-b2b24716f860","TCGA-A2-A04Y-01A")</f>
        <v>TCGA-A2-A04Y-01A</v>
      </c>
      <c r="I13488" t="s">
        <v>17</v>
      </c>
      <c r="J13488" t="s">
        <v>524</v>
      </c>
      <c r="K13488" t="s">
        <v>33</v>
      </c>
      <c r="L13488" t="s">
        <v>20</v>
      </c>
      <c r="N13488" t="s">
        <v>29</v>
      </c>
    </row>
    <row r="13489" spans="1:14">
      <c r="A13489" s="4" t="str">
        <f t="shared" si="1130"/>
        <v>EXP00414</v>
      </c>
      <c r="B13489" s="3" t="s">
        <v>66</v>
      </c>
      <c r="C13489" s="4" t="str">
        <f t="shared" si="1129"/>
        <v>TCGA-BRCA</v>
      </c>
      <c r="D13489" s="1" t="s">
        <v>493</v>
      </c>
      <c r="E13489" t="s">
        <v>532</v>
      </c>
      <c r="F13489" s="1">
        <v>2</v>
      </c>
      <c r="G13489" s="1" t="s">
        <v>32</v>
      </c>
      <c r="H13489" s="4" t="str">
        <f>HYPERLINK("https://portal.gdc.cancer.gov/cases/5aca16ca-4516-4e27-8249-6914029a7ebf","TCGA-A2-A0CK-01A")</f>
        <v>TCGA-A2-A0CK-01A</v>
      </c>
      <c r="I13489" t="s">
        <v>17</v>
      </c>
      <c r="J13489" t="s">
        <v>524</v>
      </c>
      <c r="K13489" t="s">
        <v>33</v>
      </c>
      <c r="L13489" t="s">
        <v>20</v>
      </c>
      <c r="N13489" t="s">
        <v>29</v>
      </c>
    </row>
    <row r="13490" spans="1:14">
      <c r="A13490" s="4" t="str">
        <f t="shared" si="1130"/>
        <v>EXP00414</v>
      </c>
      <c r="B13490" s="3" t="s">
        <v>66</v>
      </c>
      <c r="C13490" s="4" t="str">
        <f t="shared" si="1129"/>
        <v>TCGA-BRCA</v>
      </c>
      <c r="D13490" s="1" t="s">
        <v>493</v>
      </c>
      <c r="E13490" t="s">
        <v>532</v>
      </c>
      <c r="F13490" s="1">
        <v>2</v>
      </c>
      <c r="G13490" s="1" t="s">
        <v>32</v>
      </c>
      <c r="H13490" s="4" t="str">
        <f>HYPERLINK("https://portal.gdc.cancer.gov/cases/5c8983f2-9788-4dfa-971c-3ec457b6166e","TCGA-A2-A0CL-01A")</f>
        <v>TCGA-A2-A0CL-01A</v>
      </c>
      <c r="I13490" t="s">
        <v>17</v>
      </c>
      <c r="J13490" t="s">
        <v>524</v>
      </c>
      <c r="K13490" t="s">
        <v>33</v>
      </c>
      <c r="L13490" t="s">
        <v>20</v>
      </c>
      <c r="N13490" t="s">
        <v>29</v>
      </c>
    </row>
    <row r="13491" spans="1:14">
      <c r="A13491" s="4" t="str">
        <f t="shared" si="1130"/>
        <v>EXP00414</v>
      </c>
      <c r="B13491" s="3" t="s">
        <v>66</v>
      </c>
      <c r="C13491" s="4" t="str">
        <f t="shared" si="1129"/>
        <v>TCGA-BRCA</v>
      </c>
      <c r="D13491" s="1" t="s">
        <v>493</v>
      </c>
      <c r="E13491" t="s">
        <v>532</v>
      </c>
      <c r="F13491" s="1">
        <v>2</v>
      </c>
      <c r="G13491" s="1" t="s">
        <v>32</v>
      </c>
      <c r="H13491" s="4" t="str">
        <f>HYPERLINK("https://portal.gdc.cancer.gov/cases/eb2dbb4f-66b6-4525-8323-431970f7a64e","TCGA-A2-A0CM-01A")</f>
        <v>TCGA-A2-A0CM-01A</v>
      </c>
      <c r="I13491" t="s">
        <v>17</v>
      </c>
      <c r="J13491" t="s">
        <v>524</v>
      </c>
      <c r="K13491" t="s">
        <v>33</v>
      </c>
      <c r="L13491" t="s">
        <v>20</v>
      </c>
      <c r="N13491" t="s">
        <v>29</v>
      </c>
    </row>
    <row r="13492" spans="1:14">
      <c r="A13492" s="4" t="str">
        <f t="shared" si="1130"/>
        <v>EXP00414</v>
      </c>
      <c r="B13492" s="3" t="s">
        <v>66</v>
      </c>
      <c r="C13492" s="4" t="str">
        <f t="shared" si="1129"/>
        <v>TCGA-BRCA</v>
      </c>
      <c r="D13492" s="1" t="s">
        <v>493</v>
      </c>
      <c r="E13492" t="s">
        <v>532</v>
      </c>
      <c r="F13492" s="1">
        <v>2</v>
      </c>
      <c r="G13492" s="1" t="s">
        <v>32</v>
      </c>
      <c r="H13492" s="4" t="str">
        <f>HYPERLINK("https://portal.gdc.cancer.gov/cases/8e54232d-d8bb-4612-8b0e-4feb076a60f9","TCGA-A2-A0CO-01A")</f>
        <v>TCGA-A2-A0CO-01A</v>
      </c>
      <c r="I13492" t="s">
        <v>17</v>
      </c>
      <c r="J13492" t="s">
        <v>524</v>
      </c>
      <c r="K13492" t="s">
        <v>33</v>
      </c>
      <c r="L13492" t="s">
        <v>20</v>
      </c>
      <c r="N13492" t="s">
        <v>29</v>
      </c>
    </row>
    <row r="13493" spans="1:14">
      <c r="A13493" s="4" t="str">
        <f t="shared" si="1130"/>
        <v>EXP00414</v>
      </c>
      <c r="B13493" s="3" t="s">
        <v>66</v>
      </c>
      <c r="C13493" s="4" t="str">
        <f t="shared" si="1129"/>
        <v>TCGA-BRCA</v>
      </c>
      <c r="D13493" s="1" t="s">
        <v>493</v>
      </c>
      <c r="E13493" t="s">
        <v>532</v>
      </c>
      <c r="F13493" s="1">
        <v>2</v>
      </c>
      <c r="G13493" s="1" t="s">
        <v>32</v>
      </c>
      <c r="H13493" s="4" t="str">
        <f>HYPERLINK("https://portal.gdc.cancer.gov/cases/fe15c48b-116d-461e-9b40-68514730fd18","TCGA-A2-A0CP-01A")</f>
        <v>TCGA-A2-A0CP-01A</v>
      </c>
      <c r="I13493" t="s">
        <v>17</v>
      </c>
      <c r="J13493" t="s">
        <v>524</v>
      </c>
      <c r="K13493" t="s">
        <v>33</v>
      </c>
      <c r="L13493" t="s">
        <v>20</v>
      </c>
      <c r="N13493" t="s">
        <v>29</v>
      </c>
    </row>
    <row r="13494" spans="1:14">
      <c r="A13494" s="4" t="str">
        <f t="shared" si="1130"/>
        <v>EXP00414</v>
      </c>
      <c r="B13494" s="3" t="s">
        <v>66</v>
      </c>
      <c r="C13494" s="4" t="str">
        <f t="shared" si="1129"/>
        <v>TCGA-BRCA</v>
      </c>
      <c r="D13494" s="1" t="s">
        <v>493</v>
      </c>
      <c r="E13494" t="s">
        <v>532</v>
      </c>
      <c r="F13494" s="1">
        <v>2</v>
      </c>
      <c r="G13494" s="1" t="s">
        <v>32</v>
      </c>
      <c r="H13494" s="4" t="str">
        <f>HYPERLINK("https://portal.gdc.cancer.gov/cases/ab34a9a2-d72d-4106-94fb-118844b1b60b","TCGA-A2-A0CQ-01A")</f>
        <v>TCGA-A2-A0CQ-01A</v>
      </c>
      <c r="I13494" t="s">
        <v>17</v>
      </c>
      <c r="J13494" t="s">
        <v>524</v>
      </c>
      <c r="K13494" t="s">
        <v>33</v>
      </c>
      <c r="L13494" t="s">
        <v>20</v>
      </c>
      <c r="N13494" t="s">
        <v>29</v>
      </c>
    </row>
    <row r="13495" spans="1:14">
      <c r="A13495" s="4" t="str">
        <f t="shared" si="1130"/>
        <v>EXP00414</v>
      </c>
      <c r="B13495" s="3" t="s">
        <v>66</v>
      </c>
      <c r="C13495" s="4" t="str">
        <f t="shared" si="1129"/>
        <v>TCGA-BRCA</v>
      </c>
      <c r="D13495" s="1" t="s">
        <v>493</v>
      </c>
      <c r="E13495" t="s">
        <v>532</v>
      </c>
      <c r="F13495" s="1">
        <v>2</v>
      </c>
      <c r="G13495" s="1" t="s">
        <v>32</v>
      </c>
      <c r="H13495" s="4" t="str">
        <f>HYPERLINK("https://portal.gdc.cancer.gov/cases/4cf0f639-7940-48b6-8ea1-2a3494097cdb","TCGA-A2-A0CR-01A")</f>
        <v>TCGA-A2-A0CR-01A</v>
      </c>
      <c r="I13495" t="s">
        <v>17</v>
      </c>
      <c r="J13495" t="s">
        <v>524</v>
      </c>
      <c r="K13495" t="s">
        <v>33</v>
      </c>
      <c r="L13495" t="s">
        <v>20</v>
      </c>
      <c r="N13495" t="s">
        <v>29</v>
      </c>
    </row>
    <row r="13496" spans="1:14">
      <c r="A13496" s="4" t="str">
        <f t="shared" si="1130"/>
        <v>EXP00414</v>
      </c>
      <c r="B13496" s="3" t="s">
        <v>66</v>
      </c>
      <c r="C13496" s="4" t="str">
        <f t="shared" si="1129"/>
        <v>TCGA-BRCA</v>
      </c>
      <c r="D13496" s="1" t="s">
        <v>493</v>
      </c>
      <c r="E13496" t="s">
        <v>532</v>
      </c>
      <c r="F13496" s="1">
        <v>2</v>
      </c>
      <c r="G13496" s="1" t="s">
        <v>32</v>
      </c>
      <c r="H13496" s="4" t="str">
        <f>HYPERLINK("https://portal.gdc.cancer.gov/cases/d071c16b-7cee-45ed-8ec9-612418143815","TCGA-A2-A0CS-01A")</f>
        <v>TCGA-A2-A0CS-01A</v>
      </c>
      <c r="I13496" t="s">
        <v>17</v>
      </c>
      <c r="J13496" t="s">
        <v>524</v>
      </c>
      <c r="K13496" t="s">
        <v>33</v>
      </c>
      <c r="L13496" t="s">
        <v>20</v>
      </c>
      <c r="N13496" t="s">
        <v>29</v>
      </c>
    </row>
    <row r="13497" spans="1:14">
      <c r="A13497" s="4" t="str">
        <f t="shared" si="1130"/>
        <v>EXP00414</v>
      </c>
      <c r="B13497" s="3" t="s">
        <v>66</v>
      </c>
      <c r="C13497" s="4" t="str">
        <f t="shared" si="1129"/>
        <v>TCGA-BRCA</v>
      </c>
      <c r="D13497" s="1" t="s">
        <v>493</v>
      </c>
      <c r="E13497" t="s">
        <v>532</v>
      </c>
      <c r="F13497" s="1">
        <v>2</v>
      </c>
      <c r="G13497" s="1" t="s">
        <v>32</v>
      </c>
      <c r="H13497" s="4" t="str">
        <f>HYPERLINK("https://portal.gdc.cancer.gov/cases/378778d2-b331-4867-a93b-c64028c8b4c7","TCGA-A2-A0CT-01A")</f>
        <v>TCGA-A2-A0CT-01A</v>
      </c>
      <c r="I13497" t="s">
        <v>17</v>
      </c>
      <c r="J13497" t="s">
        <v>524</v>
      </c>
      <c r="K13497" t="s">
        <v>33</v>
      </c>
      <c r="L13497" t="s">
        <v>20</v>
      </c>
      <c r="N13497" t="s">
        <v>29</v>
      </c>
    </row>
    <row r="13498" spans="1:14">
      <c r="A13498" s="4" t="str">
        <f t="shared" si="1130"/>
        <v>EXP00414</v>
      </c>
      <c r="B13498" s="3" t="s">
        <v>66</v>
      </c>
      <c r="C13498" s="4" t="str">
        <f t="shared" ref="C13498:C13561" si="1131">HYPERLINK("https://portal.gdc.cancer.gov/projects/TCGA-BRCA","TCGA-BRCA")</f>
        <v>TCGA-BRCA</v>
      </c>
      <c r="D13498" s="1" t="s">
        <v>493</v>
      </c>
      <c r="E13498" t="s">
        <v>532</v>
      </c>
      <c r="F13498" s="1">
        <v>2</v>
      </c>
      <c r="G13498" s="1" t="s">
        <v>32</v>
      </c>
      <c r="H13498" s="4" t="str">
        <f>HYPERLINK("https://portal.gdc.cancer.gov/cases/332423a7-8866-4ee3-b08f-3c8d7c16af80","TCGA-A2-A0CU-01A")</f>
        <v>TCGA-A2-A0CU-01A</v>
      </c>
      <c r="I13498" t="s">
        <v>17</v>
      </c>
      <c r="J13498" t="s">
        <v>524</v>
      </c>
      <c r="K13498" t="s">
        <v>33</v>
      </c>
      <c r="L13498" t="s">
        <v>20</v>
      </c>
      <c r="N13498" t="s">
        <v>29</v>
      </c>
    </row>
    <row r="13499" spans="1:14">
      <c r="A13499" s="4" t="str">
        <f t="shared" si="1130"/>
        <v>EXP00414</v>
      </c>
      <c r="B13499" s="3" t="s">
        <v>66</v>
      </c>
      <c r="C13499" s="4" t="str">
        <f t="shared" si="1131"/>
        <v>TCGA-BRCA</v>
      </c>
      <c r="D13499" s="1" t="s">
        <v>493</v>
      </c>
      <c r="E13499" t="s">
        <v>532</v>
      </c>
      <c r="F13499" s="1">
        <v>2</v>
      </c>
      <c r="G13499" s="1" t="s">
        <v>32</v>
      </c>
      <c r="H13499" s="4" t="str">
        <f>HYPERLINK("https://portal.gdc.cancer.gov/cases/ad7fcc89-82a3-48aa-8461-581c1a857677","TCGA-A2-A0CV-01A")</f>
        <v>TCGA-A2-A0CV-01A</v>
      </c>
      <c r="I13499" t="s">
        <v>17</v>
      </c>
      <c r="J13499" t="s">
        <v>524</v>
      </c>
      <c r="K13499" t="s">
        <v>33</v>
      </c>
      <c r="L13499" t="s">
        <v>20</v>
      </c>
      <c r="N13499" t="s">
        <v>29</v>
      </c>
    </row>
    <row r="13500" spans="1:14">
      <c r="A13500" s="4" t="str">
        <f t="shared" si="1130"/>
        <v>EXP00414</v>
      </c>
      <c r="B13500" s="3" t="s">
        <v>66</v>
      </c>
      <c r="C13500" s="4" t="str">
        <f t="shared" si="1131"/>
        <v>TCGA-BRCA</v>
      </c>
      <c r="D13500" s="1" t="s">
        <v>493</v>
      </c>
      <c r="E13500" t="s">
        <v>532</v>
      </c>
      <c r="F13500" s="1">
        <v>2</v>
      </c>
      <c r="G13500" s="1" t="s">
        <v>32</v>
      </c>
      <c r="H13500" s="4" t="str">
        <f>HYPERLINK("https://portal.gdc.cancer.gov/cases/32efa6e8-6b19-480a-9d04-ace02e93318a","TCGA-A2-A0CW-01A")</f>
        <v>TCGA-A2-A0CW-01A</v>
      </c>
      <c r="I13500" t="s">
        <v>17</v>
      </c>
      <c r="J13500" t="s">
        <v>524</v>
      </c>
      <c r="K13500" t="s">
        <v>33</v>
      </c>
      <c r="L13500" t="s">
        <v>20</v>
      </c>
      <c r="N13500" t="s">
        <v>29</v>
      </c>
    </row>
    <row r="13501" spans="1:14">
      <c r="A13501" s="4" t="str">
        <f t="shared" si="1130"/>
        <v>EXP00414</v>
      </c>
      <c r="B13501" s="3" t="s">
        <v>66</v>
      </c>
      <c r="C13501" s="4" t="str">
        <f t="shared" si="1131"/>
        <v>TCGA-BRCA</v>
      </c>
      <c r="D13501" s="1" t="s">
        <v>493</v>
      </c>
      <c r="E13501" t="s">
        <v>532</v>
      </c>
      <c r="F13501" s="1">
        <v>2</v>
      </c>
      <c r="G13501" s="1" t="s">
        <v>32</v>
      </c>
      <c r="H13501" s="4" t="str">
        <f>HYPERLINK("https://portal.gdc.cancer.gov/cases/757df7b0-4774-4493-98bf-999ded9ac86e","TCGA-A2-A0CY-01A")</f>
        <v>TCGA-A2-A0CY-01A</v>
      </c>
      <c r="I13501" t="s">
        <v>17</v>
      </c>
      <c r="J13501" t="s">
        <v>524</v>
      </c>
      <c r="K13501" t="s">
        <v>33</v>
      </c>
      <c r="L13501" t="s">
        <v>20</v>
      </c>
      <c r="N13501" t="s">
        <v>29</v>
      </c>
    </row>
    <row r="13502" spans="1:14">
      <c r="A13502" s="4" t="str">
        <f t="shared" si="1130"/>
        <v>EXP00414</v>
      </c>
      <c r="B13502" s="3" t="s">
        <v>66</v>
      </c>
      <c r="C13502" s="4" t="str">
        <f t="shared" si="1131"/>
        <v>TCGA-BRCA</v>
      </c>
      <c r="D13502" s="1" t="s">
        <v>493</v>
      </c>
      <c r="E13502" t="s">
        <v>532</v>
      </c>
      <c r="F13502" s="1">
        <v>2</v>
      </c>
      <c r="G13502" s="1" t="s">
        <v>32</v>
      </c>
      <c r="H13502" s="4" t="str">
        <f>HYPERLINK("https://portal.gdc.cancer.gov/cases/9f93ea0a-1687-44e0-9e8a-eeb4097d471c","TCGA-A2-A0CZ-01A")</f>
        <v>TCGA-A2-A0CZ-01A</v>
      </c>
      <c r="I13502" t="s">
        <v>17</v>
      </c>
      <c r="J13502" t="s">
        <v>524</v>
      </c>
      <c r="K13502" t="s">
        <v>33</v>
      </c>
      <c r="L13502" t="s">
        <v>20</v>
      </c>
      <c r="N13502" t="s">
        <v>29</v>
      </c>
    </row>
    <row r="13503" spans="1:14">
      <c r="A13503" s="4" t="str">
        <f t="shared" si="1130"/>
        <v>EXP00414</v>
      </c>
      <c r="B13503" s="3" t="s">
        <v>66</v>
      </c>
      <c r="C13503" s="4" t="str">
        <f t="shared" si="1131"/>
        <v>TCGA-BRCA</v>
      </c>
      <c r="D13503" s="1" t="s">
        <v>493</v>
      </c>
      <c r="E13503" t="s">
        <v>532</v>
      </c>
      <c r="F13503" s="1">
        <v>2</v>
      </c>
      <c r="G13503" s="1" t="s">
        <v>32</v>
      </c>
      <c r="H13503" s="4" t="str">
        <f>HYPERLINK("https://portal.gdc.cancer.gov/cases/324bcba2-f6a4-45a6-807c-215bdffcca21","TCGA-A2-A0D0-01A")</f>
        <v>TCGA-A2-A0D0-01A</v>
      </c>
      <c r="I13503" t="s">
        <v>17</v>
      </c>
      <c r="J13503" t="s">
        <v>524</v>
      </c>
      <c r="K13503" t="s">
        <v>33</v>
      </c>
      <c r="L13503" t="s">
        <v>20</v>
      </c>
      <c r="N13503" t="s">
        <v>29</v>
      </c>
    </row>
    <row r="13504" spans="1:14">
      <c r="A13504" s="4" t="str">
        <f t="shared" si="1130"/>
        <v>EXP00414</v>
      </c>
      <c r="B13504" s="3" t="s">
        <v>66</v>
      </c>
      <c r="C13504" s="4" t="str">
        <f t="shared" si="1131"/>
        <v>TCGA-BRCA</v>
      </c>
      <c r="D13504" s="1" t="s">
        <v>493</v>
      </c>
      <c r="E13504" t="s">
        <v>532</v>
      </c>
      <c r="F13504" s="1">
        <v>2</v>
      </c>
      <c r="G13504" s="1" t="s">
        <v>32</v>
      </c>
      <c r="H13504" s="4" t="str">
        <f>HYPERLINK("https://portal.gdc.cancer.gov/cases/084c6aec-94f7-4090-8f3f-59fa9e89721a","TCGA-A2-A0D1-01A")</f>
        <v>TCGA-A2-A0D1-01A</v>
      </c>
      <c r="I13504" t="s">
        <v>17</v>
      </c>
      <c r="J13504" t="s">
        <v>524</v>
      </c>
      <c r="K13504" t="s">
        <v>33</v>
      </c>
      <c r="L13504" t="s">
        <v>20</v>
      </c>
      <c r="N13504" t="s">
        <v>29</v>
      </c>
    </row>
    <row r="13505" spans="1:14">
      <c r="A13505" s="4" t="str">
        <f t="shared" si="1130"/>
        <v>EXP00414</v>
      </c>
      <c r="B13505" s="3" t="s">
        <v>66</v>
      </c>
      <c r="C13505" s="4" t="str">
        <f t="shared" si="1131"/>
        <v>TCGA-BRCA</v>
      </c>
      <c r="D13505" s="1" t="s">
        <v>493</v>
      </c>
      <c r="E13505" t="s">
        <v>532</v>
      </c>
      <c r="F13505" s="1">
        <v>2</v>
      </c>
      <c r="G13505" s="1" t="s">
        <v>32</v>
      </c>
      <c r="H13505" s="4" t="str">
        <f>HYPERLINK("https://portal.gdc.cancer.gov/cases/99e32c59-aa73-43fa-88c9-399ddadb2c72","TCGA-A2-A0D2-01A")</f>
        <v>TCGA-A2-A0D2-01A</v>
      </c>
      <c r="I13505" t="s">
        <v>17</v>
      </c>
      <c r="J13505" t="s">
        <v>524</v>
      </c>
      <c r="K13505" t="s">
        <v>33</v>
      </c>
      <c r="L13505" t="s">
        <v>20</v>
      </c>
      <c r="N13505" t="s">
        <v>29</v>
      </c>
    </row>
    <row r="13506" spans="1:14">
      <c r="A13506" s="4" t="str">
        <f t="shared" si="1130"/>
        <v>EXP00414</v>
      </c>
      <c r="B13506" s="3" t="s">
        <v>66</v>
      </c>
      <c r="C13506" s="4" t="str">
        <f t="shared" si="1131"/>
        <v>TCGA-BRCA</v>
      </c>
      <c r="D13506" s="1" t="s">
        <v>493</v>
      </c>
      <c r="E13506" t="s">
        <v>532</v>
      </c>
      <c r="F13506" s="1">
        <v>2</v>
      </c>
      <c r="G13506" s="1" t="s">
        <v>32</v>
      </c>
      <c r="H13506" s="4" t="str">
        <f>HYPERLINK("https://portal.gdc.cancer.gov/cases/4a16429b-884f-4c95-8683-feeedf0d6a55","TCGA-A2-A0D3-01A")</f>
        <v>TCGA-A2-A0D3-01A</v>
      </c>
      <c r="I13506" t="s">
        <v>17</v>
      </c>
      <c r="J13506" t="s">
        <v>524</v>
      </c>
      <c r="K13506" t="s">
        <v>33</v>
      </c>
      <c r="L13506" t="s">
        <v>20</v>
      </c>
      <c r="N13506" t="s">
        <v>29</v>
      </c>
    </row>
    <row r="13507" spans="1:14">
      <c r="A13507" s="4" t="str">
        <f t="shared" ref="A13507:A13570" si="1132">HYPERLINK("http://hcmdb.i-sanger.com/experiment/details/experiment_id/EXP00414","EXP00414")</f>
        <v>EXP00414</v>
      </c>
      <c r="B13507" s="3" t="s">
        <v>66</v>
      </c>
      <c r="C13507" s="4" t="str">
        <f t="shared" si="1131"/>
        <v>TCGA-BRCA</v>
      </c>
      <c r="D13507" s="1" t="s">
        <v>493</v>
      </c>
      <c r="E13507" t="s">
        <v>532</v>
      </c>
      <c r="F13507" s="1">
        <v>2</v>
      </c>
      <c r="G13507" s="1" t="s">
        <v>32</v>
      </c>
      <c r="H13507" s="4" t="str">
        <f>HYPERLINK("https://portal.gdc.cancer.gov/cases/75113445-d2d6-44a0-866c-c9175e6d214b","TCGA-A2-A0D4-01A")</f>
        <v>TCGA-A2-A0D4-01A</v>
      </c>
      <c r="I13507" t="s">
        <v>17</v>
      </c>
      <c r="J13507" t="s">
        <v>524</v>
      </c>
      <c r="K13507" t="s">
        <v>33</v>
      </c>
      <c r="L13507" t="s">
        <v>20</v>
      </c>
      <c r="N13507" t="s">
        <v>29</v>
      </c>
    </row>
    <row r="13508" spans="1:14">
      <c r="A13508" s="4" t="str">
        <f t="shared" si="1132"/>
        <v>EXP00414</v>
      </c>
      <c r="B13508" s="3" t="s">
        <v>66</v>
      </c>
      <c r="C13508" s="4" t="str">
        <f t="shared" si="1131"/>
        <v>TCGA-BRCA</v>
      </c>
      <c r="D13508" s="1" t="s">
        <v>493</v>
      </c>
      <c r="E13508" t="s">
        <v>532</v>
      </c>
      <c r="F13508" s="1">
        <v>2</v>
      </c>
      <c r="G13508" s="1" t="s">
        <v>32</v>
      </c>
      <c r="H13508" s="4" t="str">
        <f>HYPERLINK("https://portal.gdc.cancer.gov/cases/2fdfd287-d13c-4910-9788-73987d45908a","TCGA-A2-A0EM-01A")</f>
        <v>TCGA-A2-A0EM-01A</v>
      </c>
      <c r="I13508" t="s">
        <v>17</v>
      </c>
      <c r="J13508" t="s">
        <v>524</v>
      </c>
      <c r="K13508" t="s">
        <v>33</v>
      </c>
      <c r="L13508" t="s">
        <v>20</v>
      </c>
      <c r="N13508" t="s">
        <v>29</v>
      </c>
    </row>
    <row r="13509" spans="1:14">
      <c r="A13509" s="4" t="str">
        <f t="shared" si="1132"/>
        <v>EXP00414</v>
      </c>
      <c r="B13509" s="3" t="s">
        <v>66</v>
      </c>
      <c r="C13509" s="4" t="str">
        <f t="shared" si="1131"/>
        <v>TCGA-BRCA</v>
      </c>
      <c r="D13509" s="1" t="s">
        <v>493</v>
      </c>
      <c r="E13509" t="s">
        <v>532</v>
      </c>
      <c r="F13509" s="1">
        <v>2</v>
      </c>
      <c r="G13509" s="1" t="s">
        <v>32</v>
      </c>
      <c r="H13509" s="4" t="str">
        <f>HYPERLINK("https://portal.gdc.cancer.gov/cases/5e670fec-8992-44bf-8657-f7f9a272306b","TCGA-A2-A0EN-01A")</f>
        <v>TCGA-A2-A0EN-01A</v>
      </c>
      <c r="I13509" t="s">
        <v>17</v>
      </c>
      <c r="J13509" t="s">
        <v>524</v>
      </c>
      <c r="K13509" t="s">
        <v>33</v>
      </c>
      <c r="L13509" t="s">
        <v>20</v>
      </c>
      <c r="N13509" t="s">
        <v>29</v>
      </c>
    </row>
    <row r="13510" spans="1:14">
      <c r="A13510" s="4" t="str">
        <f t="shared" si="1132"/>
        <v>EXP00414</v>
      </c>
      <c r="B13510" s="3" t="s">
        <v>66</v>
      </c>
      <c r="C13510" s="4" t="str">
        <f t="shared" si="1131"/>
        <v>TCGA-BRCA</v>
      </c>
      <c r="D13510" s="1" t="s">
        <v>493</v>
      </c>
      <c r="E13510" t="s">
        <v>532</v>
      </c>
      <c r="F13510" s="1">
        <v>2</v>
      </c>
      <c r="G13510" s="1" t="s">
        <v>32</v>
      </c>
      <c r="H13510" s="4" t="str">
        <f>HYPERLINK("https://portal.gdc.cancer.gov/cases/bf88ddf5-a6d4-498c-bf7f-db9bfabff72d","TCGA-A2-A0EO-01A")</f>
        <v>TCGA-A2-A0EO-01A</v>
      </c>
      <c r="I13510" t="s">
        <v>17</v>
      </c>
      <c r="J13510" t="s">
        <v>524</v>
      </c>
      <c r="K13510" t="s">
        <v>33</v>
      </c>
      <c r="L13510" t="s">
        <v>20</v>
      </c>
      <c r="N13510" t="s">
        <v>29</v>
      </c>
    </row>
    <row r="13511" spans="1:14">
      <c r="A13511" s="4" t="str">
        <f t="shared" si="1132"/>
        <v>EXP00414</v>
      </c>
      <c r="B13511" s="3" t="s">
        <v>66</v>
      </c>
      <c r="C13511" s="4" t="str">
        <f t="shared" si="1131"/>
        <v>TCGA-BRCA</v>
      </c>
      <c r="D13511" s="1" t="s">
        <v>493</v>
      </c>
      <c r="E13511" t="s">
        <v>532</v>
      </c>
      <c r="F13511" s="1">
        <v>2</v>
      </c>
      <c r="G13511" s="1" t="s">
        <v>32</v>
      </c>
      <c r="H13511" s="4" t="str">
        <f>HYPERLINK("https://portal.gdc.cancer.gov/cases/670f5022-5066-48f1-8472-5670129a1e0f","TCGA-A2-A0EP-01A")</f>
        <v>TCGA-A2-A0EP-01A</v>
      </c>
      <c r="I13511" t="s">
        <v>17</v>
      </c>
      <c r="J13511" t="s">
        <v>524</v>
      </c>
      <c r="K13511" t="s">
        <v>33</v>
      </c>
      <c r="L13511" t="s">
        <v>20</v>
      </c>
      <c r="N13511" t="s">
        <v>29</v>
      </c>
    </row>
    <row r="13512" spans="1:14">
      <c r="A13512" s="4" t="str">
        <f t="shared" si="1132"/>
        <v>EXP00414</v>
      </c>
      <c r="B13512" s="3" t="s">
        <v>66</v>
      </c>
      <c r="C13512" s="4" t="str">
        <f t="shared" si="1131"/>
        <v>TCGA-BRCA</v>
      </c>
      <c r="D13512" s="1" t="s">
        <v>493</v>
      </c>
      <c r="E13512" t="s">
        <v>532</v>
      </c>
      <c r="F13512" s="1">
        <v>2</v>
      </c>
      <c r="G13512" s="1" t="s">
        <v>32</v>
      </c>
      <c r="H13512" s="4" t="str">
        <f>HYPERLINK("https://portal.gdc.cancer.gov/cases/2192c1db-4718-4254-ba42-3ae7f30ad5a8","TCGA-A2-A0EQ-01A")</f>
        <v>TCGA-A2-A0EQ-01A</v>
      </c>
      <c r="I13512" t="s">
        <v>17</v>
      </c>
      <c r="J13512" t="s">
        <v>524</v>
      </c>
      <c r="K13512" t="s">
        <v>33</v>
      </c>
      <c r="L13512" t="s">
        <v>20</v>
      </c>
      <c r="N13512" t="s">
        <v>29</v>
      </c>
    </row>
    <row r="13513" spans="1:14">
      <c r="A13513" s="4" t="str">
        <f t="shared" si="1132"/>
        <v>EXP00414</v>
      </c>
      <c r="B13513" s="3" t="s">
        <v>66</v>
      </c>
      <c r="C13513" s="4" t="str">
        <f t="shared" si="1131"/>
        <v>TCGA-BRCA</v>
      </c>
      <c r="D13513" s="1" t="s">
        <v>493</v>
      </c>
      <c r="E13513" t="s">
        <v>532</v>
      </c>
      <c r="F13513" s="1">
        <v>2</v>
      </c>
      <c r="G13513" s="1" t="s">
        <v>32</v>
      </c>
      <c r="H13513" s="4" t="str">
        <f>HYPERLINK("https://portal.gdc.cancer.gov/cases/7455d832-ad66-40df-85d7-3a7051c4498d","TCGA-A2-A0ER-01A")</f>
        <v>TCGA-A2-A0ER-01A</v>
      </c>
      <c r="I13513" t="s">
        <v>17</v>
      </c>
      <c r="J13513" t="s">
        <v>524</v>
      </c>
      <c r="K13513" t="s">
        <v>33</v>
      </c>
      <c r="L13513" t="s">
        <v>20</v>
      </c>
      <c r="N13513" t="s">
        <v>29</v>
      </c>
    </row>
    <row r="13514" spans="1:14">
      <c r="A13514" s="4" t="str">
        <f t="shared" si="1132"/>
        <v>EXP00414</v>
      </c>
      <c r="B13514" s="3" t="s">
        <v>66</v>
      </c>
      <c r="C13514" s="4" t="str">
        <f t="shared" si="1131"/>
        <v>TCGA-BRCA</v>
      </c>
      <c r="D13514" s="1" t="s">
        <v>493</v>
      </c>
      <c r="E13514" t="s">
        <v>532</v>
      </c>
      <c r="F13514" s="1">
        <v>2</v>
      </c>
      <c r="G13514" s="1" t="s">
        <v>32</v>
      </c>
      <c r="H13514" s="4" t="str">
        <f>HYPERLINK("https://portal.gdc.cancer.gov/cases/a2934508-3daf-49e2-b14f-ed9b7693f96f","TCGA-A2-A0ES-01A")</f>
        <v>TCGA-A2-A0ES-01A</v>
      </c>
      <c r="I13514" t="s">
        <v>17</v>
      </c>
      <c r="J13514" t="s">
        <v>524</v>
      </c>
      <c r="K13514" t="s">
        <v>33</v>
      </c>
      <c r="L13514" t="s">
        <v>20</v>
      </c>
      <c r="N13514" t="s">
        <v>29</v>
      </c>
    </row>
    <row r="13515" spans="1:14">
      <c r="A13515" s="4" t="str">
        <f t="shared" si="1132"/>
        <v>EXP00414</v>
      </c>
      <c r="B13515" s="3" t="s">
        <v>66</v>
      </c>
      <c r="C13515" s="4" t="str">
        <f t="shared" si="1131"/>
        <v>TCGA-BRCA</v>
      </c>
      <c r="D13515" s="1" t="s">
        <v>493</v>
      </c>
      <c r="E13515" t="s">
        <v>532</v>
      </c>
      <c r="F13515" s="1">
        <v>2</v>
      </c>
      <c r="G13515" s="1" t="s">
        <v>32</v>
      </c>
      <c r="H13515" s="4" t="str">
        <f>HYPERLINK("https://portal.gdc.cancer.gov/cases/96f23d8a-be0f-4925-ba00-805dc293414c","TCGA-A2-A0ET-01A")</f>
        <v>TCGA-A2-A0ET-01A</v>
      </c>
      <c r="I13515" t="s">
        <v>17</v>
      </c>
      <c r="J13515" t="s">
        <v>524</v>
      </c>
      <c r="K13515" t="s">
        <v>33</v>
      </c>
      <c r="L13515" t="s">
        <v>20</v>
      </c>
      <c r="N13515" t="s">
        <v>29</v>
      </c>
    </row>
    <row r="13516" spans="1:14">
      <c r="A13516" s="4" t="str">
        <f t="shared" si="1132"/>
        <v>EXP00414</v>
      </c>
      <c r="B13516" s="3" t="s">
        <v>66</v>
      </c>
      <c r="C13516" s="4" t="str">
        <f t="shared" si="1131"/>
        <v>TCGA-BRCA</v>
      </c>
      <c r="D13516" s="1" t="s">
        <v>493</v>
      </c>
      <c r="E13516" t="s">
        <v>532</v>
      </c>
      <c r="F13516" s="1">
        <v>2</v>
      </c>
      <c r="G13516" s="1" t="s">
        <v>32</v>
      </c>
      <c r="H13516" s="4" t="str">
        <f>HYPERLINK("https://portal.gdc.cancer.gov/cases/c0427237-b476-4af4-b664-7bd479922ea5","TCGA-A2-A0EU-01A")</f>
        <v>TCGA-A2-A0EU-01A</v>
      </c>
      <c r="I13516" t="s">
        <v>17</v>
      </c>
      <c r="J13516" t="s">
        <v>524</v>
      </c>
      <c r="K13516" t="s">
        <v>33</v>
      </c>
      <c r="L13516" t="s">
        <v>20</v>
      </c>
      <c r="N13516" t="s">
        <v>29</v>
      </c>
    </row>
    <row r="13517" spans="1:14">
      <c r="A13517" s="4" t="str">
        <f t="shared" si="1132"/>
        <v>EXP00414</v>
      </c>
      <c r="B13517" s="3" t="s">
        <v>66</v>
      </c>
      <c r="C13517" s="4" t="str">
        <f t="shared" si="1131"/>
        <v>TCGA-BRCA</v>
      </c>
      <c r="D13517" s="1" t="s">
        <v>493</v>
      </c>
      <c r="E13517" t="s">
        <v>532</v>
      </c>
      <c r="F13517" s="1">
        <v>2</v>
      </c>
      <c r="G13517" s="1" t="s">
        <v>32</v>
      </c>
      <c r="H13517" s="4" t="str">
        <f>HYPERLINK("https://portal.gdc.cancer.gov/cases/7032ec9c-e96b-4642-a7b6-d0aee7a3add2","TCGA-A2-A0EV-01A")</f>
        <v>TCGA-A2-A0EV-01A</v>
      </c>
      <c r="I13517" t="s">
        <v>17</v>
      </c>
      <c r="J13517" t="s">
        <v>524</v>
      </c>
      <c r="K13517" t="s">
        <v>33</v>
      </c>
      <c r="L13517" t="s">
        <v>20</v>
      </c>
      <c r="N13517" t="s">
        <v>29</v>
      </c>
    </row>
    <row r="13518" spans="1:14">
      <c r="A13518" s="4" t="str">
        <f t="shared" si="1132"/>
        <v>EXP00414</v>
      </c>
      <c r="B13518" s="3" t="s">
        <v>66</v>
      </c>
      <c r="C13518" s="4" t="str">
        <f t="shared" si="1131"/>
        <v>TCGA-BRCA</v>
      </c>
      <c r="D13518" s="1" t="s">
        <v>493</v>
      </c>
      <c r="E13518" t="s">
        <v>532</v>
      </c>
      <c r="F13518" s="1">
        <v>2</v>
      </c>
      <c r="G13518" s="1" t="s">
        <v>32</v>
      </c>
      <c r="H13518" s="4" t="str">
        <f>HYPERLINK("https://portal.gdc.cancer.gov/cases/8d5fe6e8-d2cc-481f-a6a1-9cb6e7982cde","TCGA-A2-A0EW-01A")</f>
        <v>TCGA-A2-A0EW-01A</v>
      </c>
      <c r="I13518" t="s">
        <v>17</v>
      </c>
      <c r="J13518" t="s">
        <v>524</v>
      </c>
      <c r="K13518" t="s">
        <v>33</v>
      </c>
      <c r="L13518" t="s">
        <v>20</v>
      </c>
      <c r="N13518" t="s">
        <v>29</v>
      </c>
    </row>
    <row r="13519" spans="1:14">
      <c r="A13519" s="4" t="str">
        <f t="shared" si="1132"/>
        <v>EXP00414</v>
      </c>
      <c r="B13519" s="3" t="s">
        <v>66</v>
      </c>
      <c r="C13519" s="4" t="str">
        <f t="shared" si="1131"/>
        <v>TCGA-BRCA</v>
      </c>
      <c r="D13519" s="1" t="s">
        <v>493</v>
      </c>
      <c r="E13519" t="s">
        <v>532</v>
      </c>
      <c r="F13519" s="1">
        <v>2</v>
      </c>
      <c r="G13519" s="1" t="s">
        <v>32</v>
      </c>
      <c r="H13519" s="4" t="str">
        <f>HYPERLINK("https://portal.gdc.cancer.gov/cases/9d8702e1-1a36-4bca-85ab-5f11d58d7953","TCGA-A2-A0EX-01A")</f>
        <v>TCGA-A2-A0EX-01A</v>
      </c>
      <c r="I13519" t="s">
        <v>17</v>
      </c>
      <c r="J13519" t="s">
        <v>524</v>
      </c>
      <c r="K13519" t="s">
        <v>33</v>
      </c>
      <c r="L13519" t="s">
        <v>20</v>
      </c>
      <c r="N13519" t="s">
        <v>29</v>
      </c>
    </row>
    <row r="13520" spans="1:14">
      <c r="A13520" s="4" t="str">
        <f t="shared" si="1132"/>
        <v>EXP00414</v>
      </c>
      <c r="B13520" s="3" t="s">
        <v>66</v>
      </c>
      <c r="C13520" s="4" t="str">
        <f t="shared" si="1131"/>
        <v>TCGA-BRCA</v>
      </c>
      <c r="D13520" s="1" t="s">
        <v>493</v>
      </c>
      <c r="E13520" t="s">
        <v>532</v>
      </c>
      <c r="F13520" s="1">
        <v>2</v>
      </c>
      <c r="G13520" s="1" t="s">
        <v>32</v>
      </c>
      <c r="H13520" s="4" t="str">
        <f>HYPERLINK("https://portal.gdc.cancer.gov/cases/d67cd793-2931-429a-9084-2f3c4c8be7ad","TCGA-A2-A0EY-01A")</f>
        <v>TCGA-A2-A0EY-01A</v>
      </c>
      <c r="I13520" t="s">
        <v>17</v>
      </c>
      <c r="J13520" t="s">
        <v>524</v>
      </c>
      <c r="K13520" t="s">
        <v>33</v>
      </c>
      <c r="L13520" t="s">
        <v>20</v>
      </c>
      <c r="N13520" t="s">
        <v>29</v>
      </c>
    </row>
    <row r="13521" spans="1:14">
      <c r="A13521" s="4" t="str">
        <f t="shared" si="1132"/>
        <v>EXP00414</v>
      </c>
      <c r="B13521" s="3" t="s">
        <v>66</v>
      </c>
      <c r="C13521" s="4" t="str">
        <f t="shared" si="1131"/>
        <v>TCGA-BRCA</v>
      </c>
      <c r="D13521" s="1" t="s">
        <v>493</v>
      </c>
      <c r="E13521" t="s">
        <v>532</v>
      </c>
      <c r="F13521" s="1">
        <v>2</v>
      </c>
      <c r="G13521" s="1" t="s">
        <v>32</v>
      </c>
      <c r="H13521" s="4" t="str">
        <f>HYPERLINK("https://portal.gdc.cancer.gov/cases/12d31787-e54d-4729-ace8-9141043c92b8","TCGA-A2-A0ST-01A")</f>
        <v>TCGA-A2-A0ST-01A</v>
      </c>
      <c r="I13521" t="s">
        <v>17</v>
      </c>
      <c r="J13521" t="s">
        <v>524</v>
      </c>
      <c r="K13521" t="s">
        <v>33</v>
      </c>
      <c r="L13521" t="s">
        <v>20</v>
      </c>
      <c r="N13521" t="s">
        <v>29</v>
      </c>
    </row>
    <row r="13522" spans="1:14">
      <c r="A13522" s="4" t="str">
        <f t="shared" si="1132"/>
        <v>EXP00414</v>
      </c>
      <c r="B13522" s="3" t="s">
        <v>66</v>
      </c>
      <c r="C13522" s="4" t="str">
        <f t="shared" si="1131"/>
        <v>TCGA-BRCA</v>
      </c>
      <c r="D13522" s="1" t="s">
        <v>493</v>
      </c>
      <c r="E13522" t="s">
        <v>532</v>
      </c>
      <c r="F13522" s="1">
        <v>2</v>
      </c>
      <c r="G13522" s="1" t="s">
        <v>32</v>
      </c>
      <c r="H13522" s="4" t="str">
        <f>HYPERLINK("https://portal.gdc.cancer.gov/cases/c632675e-e8af-43cd-8744-5be3754c1c14","TCGA-A2-A0SU-01A")</f>
        <v>TCGA-A2-A0SU-01A</v>
      </c>
      <c r="I13522" t="s">
        <v>17</v>
      </c>
      <c r="J13522" t="s">
        <v>524</v>
      </c>
      <c r="K13522" t="s">
        <v>33</v>
      </c>
      <c r="L13522" t="s">
        <v>20</v>
      </c>
      <c r="N13522" t="s">
        <v>29</v>
      </c>
    </row>
    <row r="13523" spans="1:14">
      <c r="A13523" s="4" t="str">
        <f t="shared" si="1132"/>
        <v>EXP00414</v>
      </c>
      <c r="B13523" s="3" t="s">
        <v>66</v>
      </c>
      <c r="C13523" s="4" t="str">
        <f t="shared" si="1131"/>
        <v>TCGA-BRCA</v>
      </c>
      <c r="D13523" s="1" t="s">
        <v>493</v>
      </c>
      <c r="E13523" t="s">
        <v>532</v>
      </c>
      <c r="F13523" s="1">
        <v>2</v>
      </c>
      <c r="G13523" s="1" t="s">
        <v>32</v>
      </c>
      <c r="H13523" s="4" t="str">
        <f>HYPERLINK("https://portal.gdc.cancer.gov/cases/ad01259b-d858-40bc-a6ba-0bb06e996afb","TCGA-A2-A0SV-01A")</f>
        <v>TCGA-A2-A0SV-01A</v>
      </c>
      <c r="I13523" t="s">
        <v>17</v>
      </c>
      <c r="J13523" t="s">
        <v>524</v>
      </c>
      <c r="K13523" t="s">
        <v>33</v>
      </c>
      <c r="L13523" t="s">
        <v>20</v>
      </c>
      <c r="N13523" t="s">
        <v>29</v>
      </c>
    </row>
    <row r="13524" spans="1:14">
      <c r="A13524" s="4" t="str">
        <f t="shared" si="1132"/>
        <v>EXP00414</v>
      </c>
      <c r="B13524" s="3" t="s">
        <v>66</v>
      </c>
      <c r="C13524" s="4" t="str">
        <f t="shared" si="1131"/>
        <v>TCGA-BRCA</v>
      </c>
      <c r="D13524" s="1" t="s">
        <v>493</v>
      </c>
      <c r="E13524" t="s">
        <v>532</v>
      </c>
      <c r="F13524" s="1">
        <v>2</v>
      </c>
      <c r="G13524" s="1" t="s">
        <v>32</v>
      </c>
      <c r="H13524" s="4" t="str">
        <f>HYPERLINK("https://portal.gdc.cancer.gov/cases/991e1427-3c01-423d-abfd-4584302ca72c","TCGA-A2-A0SW-01A")</f>
        <v>TCGA-A2-A0SW-01A</v>
      </c>
      <c r="I13524" t="s">
        <v>17</v>
      </c>
      <c r="J13524" t="s">
        <v>524</v>
      </c>
      <c r="K13524" t="s">
        <v>33</v>
      </c>
      <c r="L13524" t="s">
        <v>20</v>
      </c>
      <c r="N13524" t="s">
        <v>29</v>
      </c>
    </row>
    <row r="13525" spans="1:14">
      <c r="A13525" s="4" t="str">
        <f t="shared" si="1132"/>
        <v>EXP00414</v>
      </c>
      <c r="B13525" s="3" t="s">
        <v>66</v>
      </c>
      <c r="C13525" s="4" t="str">
        <f t="shared" si="1131"/>
        <v>TCGA-BRCA</v>
      </c>
      <c r="D13525" s="1" t="s">
        <v>493</v>
      </c>
      <c r="E13525" t="s">
        <v>532</v>
      </c>
      <c r="F13525" s="1">
        <v>2</v>
      </c>
      <c r="G13525" s="1" t="s">
        <v>32</v>
      </c>
      <c r="H13525" s="4" t="str">
        <f>HYPERLINK("https://portal.gdc.cancer.gov/cases/18d35983-ea6a-4b70-a209-9bef37595956","TCGA-A2-A0SX-01A")</f>
        <v>TCGA-A2-A0SX-01A</v>
      </c>
      <c r="I13525" t="s">
        <v>17</v>
      </c>
      <c r="J13525" t="s">
        <v>524</v>
      </c>
      <c r="K13525" t="s">
        <v>33</v>
      </c>
      <c r="L13525" t="s">
        <v>20</v>
      </c>
      <c r="N13525" t="s">
        <v>29</v>
      </c>
    </row>
    <row r="13526" spans="1:14">
      <c r="A13526" s="4" t="str">
        <f t="shared" si="1132"/>
        <v>EXP00414</v>
      </c>
      <c r="B13526" s="3" t="s">
        <v>66</v>
      </c>
      <c r="C13526" s="4" t="str">
        <f t="shared" si="1131"/>
        <v>TCGA-BRCA</v>
      </c>
      <c r="D13526" s="1" t="s">
        <v>493</v>
      </c>
      <c r="E13526" t="s">
        <v>532</v>
      </c>
      <c r="F13526" s="1">
        <v>2</v>
      </c>
      <c r="G13526" s="1" t="s">
        <v>32</v>
      </c>
      <c r="H13526" s="4" t="str">
        <f>HYPERLINK("https://portal.gdc.cancer.gov/cases/dc696e3c-f448-468f-a576-f4429be0338a","TCGA-A2-A0SY-01A")</f>
        <v>TCGA-A2-A0SY-01A</v>
      </c>
      <c r="I13526" t="s">
        <v>17</v>
      </c>
      <c r="J13526" t="s">
        <v>524</v>
      </c>
      <c r="K13526" t="s">
        <v>33</v>
      </c>
      <c r="L13526" t="s">
        <v>20</v>
      </c>
      <c r="N13526" t="s">
        <v>29</v>
      </c>
    </row>
    <row r="13527" spans="1:14">
      <c r="A13527" s="4" t="str">
        <f t="shared" si="1132"/>
        <v>EXP00414</v>
      </c>
      <c r="B13527" s="3" t="s">
        <v>66</v>
      </c>
      <c r="C13527" s="4" t="str">
        <f t="shared" si="1131"/>
        <v>TCGA-BRCA</v>
      </c>
      <c r="D13527" s="1" t="s">
        <v>493</v>
      </c>
      <c r="E13527" t="s">
        <v>532</v>
      </c>
      <c r="F13527" s="1">
        <v>2</v>
      </c>
      <c r="G13527" s="1" t="s">
        <v>32</v>
      </c>
      <c r="H13527" s="4" t="str">
        <f>HYPERLINK("https://portal.gdc.cancer.gov/cases/95c53f69-0f05-4348-822a-571f3d757001","TCGA-A2-A0T0-01A")</f>
        <v>TCGA-A2-A0T0-01A</v>
      </c>
      <c r="I13527" t="s">
        <v>17</v>
      </c>
      <c r="J13527" t="s">
        <v>524</v>
      </c>
      <c r="K13527" t="s">
        <v>33</v>
      </c>
      <c r="L13527" t="s">
        <v>20</v>
      </c>
      <c r="N13527" t="s">
        <v>29</v>
      </c>
    </row>
    <row r="13528" spans="1:14">
      <c r="A13528" s="4" t="str">
        <f t="shared" si="1132"/>
        <v>EXP00414</v>
      </c>
      <c r="B13528" s="3" t="s">
        <v>66</v>
      </c>
      <c r="C13528" s="4" t="str">
        <f t="shared" si="1131"/>
        <v>TCGA-BRCA</v>
      </c>
      <c r="D13528" s="1" t="s">
        <v>493</v>
      </c>
      <c r="E13528" t="s">
        <v>532</v>
      </c>
      <c r="F13528" s="1">
        <v>2</v>
      </c>
      <c r="G13528" s="1" t="s">
        <v>32</v>
      </c>
      <c r="H13528" s="4" t="str">
        <f>HYPERLINK("https://portal.gdc.cancer.gov/cases/02bed00f-bef7-4fb7-b243-540354990e45","TCGA-A2-A0T1-01A")</f>
        <v>TCGA-A2-A0T1-01A</v>
      </c>
      <c r="I13528" t="s">
        <v>17</v>
      </c>
      <c r="J13528" t="s">
        <v>524</v>
      </c>
      <c r="K13528" t="s">
        <v>33</v>
      </c>
      <c r="L13528" t="s">
        <v>20</v>
      </c>
      <c r="N13528" t="s">
        <v>29</v>
      </c>
    </row>
    <row r="13529" spans="1:14">
      <c r="A13529" s="4" t="str">
        <f t="shared" si="1132"/>
        <v>EXP00414</v>
      </c>
      <c r="B13529" s="3" t="s">
        <v>66</v>
      </c>
      <c r="C13529" s="4" t="str">
        <f t="shared" si="1131"/>
        <v>TCGA-BRCA</v>
      </c>
      <c r="D13529" s="1" t="s">
        <v>493</v>
      </c>
      <c r="E13529" t="s">
        <v>532</v>
      </c>
      <c r="F13529" s="1">
        <v>2</v>
      </c>
      <c r="G13529" s="1" t="s">
        <v>32</v>
      </c>
      <c r="H13529" s="4" t="str">
        <f>HYPERLINK("https://portal.gdc.cancer.gov/cases/128d198e-9b22-427c-90db-3714455f3a17","TCGA-A2-A0T2-01A")</f>
        <v>TCGA-A2-A0T2-01A</v>
      </c>
      <c r="I13529" t="s">
        <v>17</v>
      </c>
      <c r="J13529" t="s">
        <v>524</v>
      </c>
      <c r="K13529" t="s">
        <v>33</v>
      </c>
      <c r="L13529" t="s">
        <v>20</v>
      </c>
      <c r="N13529" t="s">
        <v>29</v>
      </c>
    </row>
    <row r="13530" spans="1:14">
      <c r="A13530" s="4" t="str">
        <f t="shared" si="1132"/>
        <v>EXP00414</v>
      </c>
      <c r="B13530" s="3" t="s">
        <v>66</v>
      </c>
      <c r="C13530" s="4" t="str">
        <f t="shared" si="1131"/>
        <v>TCGA-BRCA</v>
      </c>
      <c r="D13530" s="1" t="s">
        <v>493</v>
      </c>
      <c r="E13530" t="s">
        <v>532</v>
      </c>
      <c r="F13530" s="1">
        <v>2</v>
      </c>
      <c r="G13530" s="1" t="s">
        <v>32</v>
      </c>
      <c r="H13530" s="4" t="str">
        <f>HYPERLINK("https://portal.gdc.cancer.gov/cases/058dcb78-bed1-40c3-a6c2-a0cc40065531","TCGA-A2-A0T3-01A")</f>
        <v>TCGA-A2-A0T3-01A</v>
      </c>
      <c r="I13530" t="s">
        <v>17</v>
      </c>
      <c r="J13530" t="s">
        <v>524</v>
      </c>
      <c r="K13530" t="s">
        <v>33</v>
      </c>
      <c r="L13530" t="s">
        <v>20</v>
      </c>
      <c r="N13530" t="s">
        <v>29</v>
      </c>
    </row>
    <row r="13531" spans="1:14">
      <c r="A13531" s="4" t="str">
        <f t="shared" si="1132"/>
        <v>EXP00414</v>
      </c>
      <c r="B13531" s="3" t="s">
        <v>66</v>
      </c>
      <c r="C13531" s="4" t="str">
        <f t="shared" si="1131"/>
        <v>TCGA-BRCA</v>
      </c>
      <c r="D13531" s="1" t="s">
        <v>493</v>
      </c>
      <c r="E13531" t="s">
        <v>532</v>
      </c>
      <c r="F13531" s="1">
        <v>2</v>
      </c>
      <c r="G13531" s="1" t="s">
        <v>32</v>
      </c>
      <c r="H13531" s="4" t="str">
        <f>HYPERLINK("https://portal.gdc.cancer.gov/cases/b0f8d698-a30e-4d8d-b0a2-a5a01fac8406","TCGA-A2-A0T4-01A")</f>
        <v>TCGA-A2-A0T4-01A</v>
      </c>
      <c r="I13531" t="s">
        <v>17</v>
      </c>
      <c r="J13531" t="s">
        <v>524</v>
      </c>
      <c r="K13531" t="s">
        <v>33</v>
      </c>
      <c r="L13531" t="s">
        <v>20</v>
      </c>
      <c r="N13531" t="s">
        <v>29</v>
      </c>
    </row>
    <row r="13532" spans="1:14">
      <c r="A13532" s="4" t="str">
        <f t="shared" si="1132"/>
        <v>EXP00414</v>
      </c>
      <c r="B13532" s="3" t="s">
        <v>66</v>
      </c>
      <c r="C13532" s="4" t="str">
        <f t="shared" si="1131"/>
        <v>TCGA-BRCA</v>
      </c>
      <c r="D13532" s="1" t="s">
        <v>493</v>
      </c>
      <c r="E13532" t="s">
        <v>532</v>
      </c>
      <c r="F13532" s="1">
        <v>2</v>
      </c>
      <c r="G13532" s="1" t="s">
        <v>32</v>
      </c>
      <c r="H13532" s="4" t="str">
        <f>HYPERLINK("https://portal.gdc.cancer.gov/cases/36d77496-99f8-4911-ba7c-89fae32662aa","TCGA-A2-A0T5-01A")</f>
        <v>TCGA-A2-A0T5-01A</v>
      </c>
      <c r="I13532" t="s">
        <v>17</v>
      </c>
      <c r="J13532" t="s">
        <v>524</v>
      </c>
      <c r="K13532" t="s">
        <v>33</v>
      </c>
      <c r="L13532" t="s">
        <v>20</v>
      </c>
      <c r="N13532" t="s">
        <v>29</v>
      </c>
    </row>
    <row r="13533" spans="1:14">
      <c r="A13533" s="4" t="str">
        <f t="shared" si="1132"/>
        <v>EXP00414</v>
      </c>
      <c r="B13533" s="3" t="s">
        <v>66</v>
      </c>
      <c r="C13533" s="4" t="str">
        <f t="shared" si="1131"/>
        <v>TCGA-BRCA</v>
      </c>
      <c r="D13533" s="1" t="s">
        <v>493</v>
      </c>
      <c r="E13533" t="s">
        <v>532</v>
      </c>
      <c r="F13533" s="1">
        <v>2</v>
      </c>
      <c r="G13533" s="1" t="s">
        <v>32</v>
      </c>
      <c r="H13533" s="4" t="str">
        <f>HYPERLINK("https://portal.gdc.cancer.gov/cases/08306ede-e74b-4be9-b768-7fd98647b6ac","TCGA-A2-A0T6-01A")</f>
        <v>TCGA-A2-A0T6-01A</v>
      </c>
      <c r="I13533" t="s">
        <v>17</v>
      </c>
      <c r="J13533" t="s">
        <v>524</v>
      </c>
      <c r="K13533" t="s">
        <v>33</v>
      </c>
      <c r="L13533" t="s">
        <v>20</v>
      </c>
      <c r="N13533" t="s">
        <v>29</v>
      </c>
    </row>
    <row r="13534" spans="1:14">
      <c r="A13534" s="4" t="str">
        <f t="shared" si="1132"/>
        <v>EXP00414</v>
      </c>
      <c r="B13534" s="3" t="s">
        <v>66</v>
      </c>
      <c r="C13534" s="4" t="str">
        <f t="shared" si="1131"/>
        <v>TCGA-BRCA</v>
      </c>
      <c r="D13534" s="1" t="s">
        <v>493</v>
      </c>
      <c r="E13534" t="s">
        <v>532</v>
      </c>
      <c r="F13534" s="1">
        <v>2</v>
      </c>
      <c r="G13534" s="1" t="s">
        <v>32</v>
      </c>
      <c r="H13534" s="4" t="str">
        <f>HYPERLINK("https://portal.gdc.cancer.gov/cases/43d5632e-7272-4aad-9496-7f5a99671223","TCGA-A2-A0T7-01A")</f>
        <v>TCGA-A2-A0T7-01A</v>
      </c>
      <c r="I13534" t="s">
        <v>17</v>
      </c>
      <c r="J13534" t="s">
        <v>524</v>
      </c>
      <c r="K13534" t="s">
        <v>33</v>
      </c>
      <c r="L13534" t="s">
        <v>20</v>
      </c>
      <c r="N13534" t="s">
        <v>29</v>
      </c>
    </row>
    <row r="13535" spans="1:14">
      <c r="A13535" s="4" t="str">
        <f t="shared" si="1132"/>
        <v>EXP00414</v>
      </c>
      <c r="B13535" s="3" t="s">
        <v>66</v>
      </c>
      <c r="C13535" s="4" t="str">
        <f t="shared" si="1131"/>
        <v>TCGA-BRCA</v>
      </c>
      <c r="D13535" s="1" t="s">
        <v>493</v>
      </c>
      <c r="E13535" t="s">
        <v>532</v>
      </c>
      <c r="F13535" s="1">
        <v>2</v>
      </c>
      <c r="G13535" s="1" t="s">
        <v>32</v>
      </c>
      <c r="H13535" s="4" t="str">
        <f>HYPERLINK("https://portal.gdc.cancer.gov/cases/a1872011-b928-4189-ac02-e87506c20bca","TCGA-A2-A0YC-01A")</f>
        <v>TCGA-A2-A0YC-01A</v>
      </c>
      <c r="I13535" t="s">
        <v>17</v>
      </c>
      <c r="J13535" t="s">
        <v>524</v>
      </c>
      <c r="K13535" t="s">
        <v>33</v>
      </c>
      <c r="L13535" t="s">
        <v>20</v>
      </c>
      <c r="N13535" t="s">
        <v>29</v>
      </c>
    </row>
    <row r="13536" spans="1:14">
      <c r="A13536" s="4" t="str">
        <f t="shared" si="1132"/>
        <v>EXP00414</v>
      </c>
      <c r="B13536" s="3" t="s">
        <v>66</v>
      </c>
      <c r="C13536" s="4" t="str">
        <f t="shared" si="1131"/>
        <v>TCGA-BRCA</v>
      </c>
      <c r="D13536" s="1" t="s">
        <v>493</v>
      </c>
      <c r="E13536" t="s">
        <v>532</v>
      </c>
      <c r="F13536" s="1">
        <v>2</v>
      </c>
      <c r="G13536" s="1" t="s">
        <v>32</v>
      </c>
      <c r="H13536" s="4" t="str">
        <f>HYPERLINK("https://portal.gdc.cancer.gov/cases/2c6adb12-380d-4710-a7e6-93d5a0e53289","TCGA-A2-A0YD-01A")</f>
        <v>TCGA-A2-A0YD-01A</v>
      </c>
      <c r="I13536" t="s">
        <v>17</v>
      </c>
      <c r="J13536" t="s">
        <v>524</v>
      </c>
      <c r="K13536" t="s">
        <v>33</v>
      </c>
      <c r="L13536" t="s">
        <v>20</v>
      </c>
      <c r="N13536" t="s">
        <v>29</v>
      </c>
    </row>
    <row r="13537" spans="1:14">
      <c r="A13537" s="4" t="str">
        <f t="shared" si="1132"/>
        <v>EXP00414</v>
      </c>
      <c r="B13537" s="3" t="s">
        <v>66</v>
      </c>
      <c r="C13537" s="4" t="str">
        <f t="shared" si="1131"/>
        <v>TCGA-BRCA</v>
      </c>
      <c r="D13537" s="1" t="s">
        <v>493</v>
      </c>
      <c r="E13537" t="s">
        <v>532</v>
      </c>
      <c r="F13537" s="1">
        <v>2</v>
      </c>
      <c r="G13537" s="1" t="s">
        <v>32</v>
      </c>
      <c r="H13537" s="4" t="str">
        <f>HYPERLINK("https://portal.gdc.cancer.gov/cases/ae8c77fe-e6c8-44d5-8265-4a38c637bbef","TCGA-A2-A0YF-01A")</f>
        <v>TCGA-A2-A0YF-01A</v>
      </c>
      <c r="I13537" t="s">
        <v>17</v>
      </c>
      <c r="J13537" t="s">
        <v>524</v>
      </c>
      <c r="K13537" t="s">
        <v>33</v>
      </c>
      <c r="L13537" t="s">
        <v>20</v>
      </c>
      <c r="N13537" t="s">
        <v>29</v>
      </c>
    </row>
    <row r="13538" spans="1:14">
      <c r="A13538" s="4" t="str">
        <f t="shared" si="1132"/>
        <v>EXP00414</v>
      </c>
      <c r="B13538" s="3" t="s">
        <v>66</v>
      </c>
      <c r="C13538" s="4" t="str">
        <f t="shared" si="1131"/>
        <v>TCGA-BRCA</v>
      </c>
      <c r="D13538" s="1" t="s">
        <v>493</v>
      </c>
      <c r="E13538" t="s">
        <v>532</v>
      </c>
      <c r="F13538" s="1">
        <v>2</v>
      </c>
      <c r="G13538" s="1" t="s">
        <v>32</v>
      </c>
      <c r="H13538" s="4" t="str">
        <f>HYPERLINK("https://portal.gdc.cancer.gov/cases/c0892598-1f7b-4f23-9cd8-731f797753d5","TCGA-A2-A0YG-01A")</f>
        <v>TCGA-A2-A0YG-01A</v>
      </c>
      <c r="I13538" t="s">
        <v>17</v>
      </c>
      <c r="J13538" t="s">
        <v>524</v>
      </c>
      <c r="K13538" t="s">
        <v>33</v>
      </c>
      <c r="L13538" t="s">
        <v>20</v>
      </c>
      <c r="N13538" t="s">
        <v>29</v>
      </c>
    </row>
    <row r="13539" spans="1:14">
      <c r="A13539" s="4" t="str">
        <f t="shared" si="1132"/>
        <v>EXP00414</v>
      </c>
      <c r="B13539" s="3" t="s">
        <v>66</v>
      </c>
      <c r="C13539" s="4" t="str">
        <f t="shared" si="1131"/>
        <v>TCGA-BRCA</v>
      </c>
      <c r="D13539" s="1" t="s">
        <v>493</v>
      </c>
      <c r="E13539" t="s">
        <v>532</v>
      </c>
      <c r="F13539" s="1">
        <v>2</v>
      </c>
      <c r="G13539" s="1" t="s">
        <v>32</v>
      </c>
      <c r="H13539" s="4" t="str">
        <f>HYPERLINK("https://portal.gdc.cancer.gov/cases/298d33da-15af-48cb-b30f-eaf54e7baa43","TCGA-A2-A0YH-01A")</f>
        <v>TCGA-A2-A0YH-01A</v>
      </c>
      <c r="I13539" t="s">
        <v>17</v>
      </c>
      <c r="J13539" t="s">
        <v>524</v>
      </c>
      <c r="K13539" t="s">
        <v>33</v>
      </c>
      <c r="L13539" t="s">
        <v>20</v>
      </c>
      <c r="N13539" t="s">
        <v>29</v>
      </c>
    </row>
    <row r="13540" spans="1:14">
      <c r="A13540" s="4" t="str">
        <f t="shared" si="1132"/>
        <v>EXP00414</v>
      </c>
      <c r="B13540" s="3" t="s">
        <v>66</v>
      </c>
      <c r="C13540" s="4" t="str">
        <f t="shared" si="1131"/>
        <v>TCGA-BRCA</v>
      </c>
      <c r="D13540" s="1" t="s">
        <v>493</v>
      </c>
      <c r="E13540" t="s">
        <v>532</v>
      </c>
      <c r="F13540" s="1">
        <v>2</v>
      </c>
      <c r="G13540" s="1" t="s">
        <v>32</v>
      </c>
      <c r="H13540" s="4" t="str">
        <f>HYPERLINK("https://portal.gdc.cancer.gov/cases/72cd1b17-d349-4551-83f7-3062ce9db865","TCGA-A2-A0YI-01A")</f>
        <v>TCGA-A2-A0YI-01A</v>
      </c>
      <c r="I13540" t="s">
        <v>17</v>
      </c>
      <c r="J13540" t="s">
        <v>524</v>
      </c>
      <c r="K13540" t="s">
        <v>33</v>
      </c>
      <c r="L13540" t="s">
        <v>20</v>
      </c>
      <c r="N13540" t="s">
        <v>29</v>
      </c>
    </row>
    <row r="13541" spans="1:14">
      <c r="A13541" s="4" t="str">
        <f t="shared" si="1132"/>
        <v>EXP00414</v>
      </c>
      <c r="B13541" s="3" t="s">
        <v>66</v>
      </c>
      <c r="C13541" s="4" t="str">
        <f t="shared" si="1131"/>
        <v>TCGA-BRCA</v>
      </c>
      <c r="D13541" s="1" t="s">
        <v>493</v>
      </c>
      <c r="E13541" t="s">
        <v>532</v>
      </c>
      <c r="F13541" s="1">
        <v>2</v>
      </c>
      <c r="G13541" s="1" t="s">
        <v>32</v>
      </c>
      <c r="H13541" s="4" t="str">
        <f>HYPERLINK("https://portal.gdc.cancer.gov/cases/8f34cb4c-5798-47a0-89a1-f0ee26a8ae93","TCGA-A2-A0YK-01A")</f>
        <v>TCGA-A2-A0YK-01A</v>
      </c>
      <c r="I13541" t="s">
        <v>17</v>
      </c>
      <c r="J13541" t="s">
        <v>524</v>
      </c>
      <c r="K13541" t="s">
        <v>33</v>
      </c>
      <c r="L13541" t="s">
        <v>20</v>
      </c>
      <c r="N13541" t="s">
        <v>29</v>
      </c>
    </row>
    <row r="13542" spans="1:14">
      <c r="A13542" s="4" t="str">
        <f t="shared" si="1132"/>
        <v>EXP00414</v>
      </c>
      <c r="B13542" s="3" t="s">
        <v>66</v>
      </c>
      <c r="C13542" s="4" t="str">
        <f t="shared" si="1131"/>
        <v>TCGA-BRCA</v>
      </c>
      <c r="D13542" s="1" t="s">
        <v>493</v>
      </c>
      <c r="E13542" t="s">
        <v>532</v>
      </c>
      <c r="F13542" s="1">
        <v>2</v>
      </c>
      <c r="G13542" s="1" t="s">
        <v>32</v>
      </c>
      <c r="H13542" s="4" t="str">
        <f>HYPERLINK("https://portal.gdc.cancer.gov/cases/b205c89f-af62-4186-acad-ed23d243fa98","TCGA-A2-A0YL-01A")</f>
        <v>TCGA-A2-A0YL-01A</v>
      </c>
      <c r="I13542" t="s">
        <v>17</v>
      </c>
      <c r="J13542" t="s">
        <v>524</v>
      </c>
      <c r="K13542" t="s">
        <v>33</v>
      </c>
      <c r="L13542" t="s">
        <v>20</v>
      </c>
      <c r="N13542" t="s">
        <v>29</v>
      </c>
    </row>
    <row r="13543" spans="1:14">
      <c r="A13543" s="4" t="str">
        <f t="shared" si="1132"/>
        <v>EXP00414</v>
      </c>
      <c r="B13543" s="3" t="s">
        <v>66</v>
      </c>
      <c r="C13543" s="4" t="str">
        <f t="shared" si="1131"/>
        <v>TCGA-BRCA</v>
      </c>
      <c r="D13543" s="1" t="s">
        <v>493</v>
      </c>
      <c r="E13543" t="s">
        <v>532</v>
      </c>
      <c r="F13543" s="1">
        <v>2</v>
      </c>
      <c r="G13543" s="1" t="s">
        <v>32</v>
      </c>
      <c r="H13543" s="4" t="str">
        <f>HYPERLINK("https://portal.gdc.cancer.gov/cases/5cbf0aea-ebb4-4005-bdd5-14ef2dc6826c","TCGA-A2-A0YM-01A")</f>
        <v>TCGA-A2-A0YM-01A</v>
      </c>
      <c r="I13543" t="s">
        <v>17</v>
      </c>
      <c r="J13543" t="s">
        <v>524</v>
      </c>
      <c r="K13543" t="s">
        <v>33</v>
      </c>
      <c r="L13543" t="s">
        <v>20</v>
      </c>
      <c r="N13543" t="s">
        <v>29</v>
      </c>
    </row>
    <row r="13544" spans="1:14">
      <c r="A13544" s="4" t="str">
        <f t="shared" si="1132"/>
        <v>EXP00414</v>
      </c>
      <c r="B13544" s="3" t="s">
        <v>66</v>
      </c>
      <c r="C13544" s="4" t="str">
        <f t="shared" si="1131"/>
        <v>TCGA-BRCA</v>
      </c>
      <c r="D13544" s="1" t="s">
        <v>493</v>
      </c>
      <c r="E13544" t="s">
        <v>532</v>
      </c>
      <c r="F13544" s="1">
        <v>2</v>
      </c>
      <c r="G13544" s="1" t="s">
        <v>32</v>
      </c>
      <c r="H13544" s="4" t="str">
        <f>HYPERLINK("https://portal.gdc.cancer.gov/cases/14b95463-2108-4921-afc2-e29eef52b18f","TCGA-A2-A0YT-01A")</f>
        <v>TCGA-A2-A0YT-01A</v>
      </c>
      <c r="I13544" t="s">
        <v>17</v>
      </c>
      <c r="J13544" t="s">
        <v>524</v>
      </c>
      <c r="K13544" t="s">
        <v>33</v>
      </c>
      <c r="L13544" t="s">
        <v>20</v>
      </c>
      <c r="N13544" t="s">
        <v>29</v>
      </c>
    </row>
    <row r="13545" spans="1:14">
      <c r="A13545" s="4" t="str">
        <f t="shared" si="1132"/>
        <v>EXP00414</v>
      </c>
      <c r="B13545" s="3" t="s">
        <v>66</v>
      </c>
      <c r="C13545" s="4" t="str">
        <f t="shared" si="1131"/>
        <v>TCGA-BRCA</v>
      </c>
      <c r="D13545" s="1" t="s">
        <v>493</v>
      </c>
      <c r="E13545" t="s">
        <v>532</v>
      </c>
      <c r="F13545" s="1">
        <v>2</v>
      </c>
      <c r="G13545" s="1" t="s">
        <v>32</v>
      </c>
      <c r="H13545" s="4" t="str">
        <f>HYPERLINK("https://portal.gdc.cancer.gov/cases/cd0c96a4-6414-4efb-879b-7408b62ed5b6","TCGA-A2-A1FV-01A")</f>
        <v>TCGA-A2-A1FV-01A</v>
      </c>
      <c r="I13545" t="s">
        <v>17</v>
      </c>
      <c r="J13545" t="s">
        <v>524</v>
      </c>
      <c r="K13545" t="s">
        <v>33</v>
      </c>
      <c r="L13545" t="s">
        <v>20</v>
      </c>
      <c r="N13545" t="s">
        <v>29</v>
      </c>
    </row>
    <row r="13546" spans="1:14">
      <c r="A13546" s="4" t="str">
        <f t="shared" si="1132"/>
        <v>EXP00414</v>
      </c>
      <c r="B13546" s="3" t="s">
        <v>66</v>
      </c>
      <c r="C13546" s="4" t="str">
        <f t="shared" si="1131"/>
        <v>TCGA-BRCA</v>
      </c>
      <c r="D13546" s="1" t="s">
        <v>493</v>
      </c>
      <c r="E13546" t="s">
        <v>532</v>
      </c>
      <c r="F13546" s="1">
        <v>2</v>
      </c>
      <c r="G13546" s="1" t="s">
        <v>32</v>
      </c>
      <c r="H13546" s="4" t="str">
        <f>HYPERLINK("https://portal.gdc.cancer.gov/cases/54883111-d475-4515-ba3f-fece8a71e79e","TCGA-A2-A1FW-01A")</f>
        <v>TCGA-A2-A1FW-01A</v>
      </c>
      <c r="I13546" t="s">
        <v>17</v>
      </c>
      <c r="J13546" t="s">
        <v>524</v>
      </c>
      <c r="K13546" t="s">
        <v>33</v>
      </c>
      <c r="L13546" t="s">
        <v>20</v>
      </c>
      <c r="N13546" t="s">
        <v>29</v>
      </c>
    </row>
    <row r="13547" spans="1:14">
      <c r="A13547" s="4" t="str">
        <f t="shared" si="1132"/>
        <v>EXP00414</v>
      </c>
      <c r="B13547" s="3" t="s">
        <v>66</v>
      </c>
      <c r="C13547" s="4" t="str">
        <f t="shared" si="1131"/>
        <v>TCGA-BRCA</v>
      </c>
      <c r="D13547" s="1" t="s">
        <v>493</v>
      </c>
      <c r="E13547" t="s">
        <v>532</v>
      </c>
      <c r="F13547" s="1">
        <v>2</v>
      </c>
      <c r="G13547" s="1" t="s">
        <v>32</v>
      </c>
      <c r="H13547" s="4" t="str">
        <f>HYPERLINK("https://portal.gdc.cancer.gov/cases/ac6d3ba9-f84f-4657-aa85-4d66fb7c09da","TCGA-A2-A1FX-01A")</f>
        <v>TCGA-A2-A1FX-01A</v>
      </c>
      <c r="I13547" t="s">
        <v>17</v>
      </c>
      <c r="J13547" t="s">
        <v>524</v>
      </c>
      <c r="K13547" t="s">
        <v>33</v>
      </c>
      <c r="L13547" t="s">
        <v>20</v>
      </c>
      <c r="N13547" t="s">
        <v>29</v>
      </c>
    </row>
    <row r="13548" spans="1:14">
      <c r="A13548" s="4" t="str">
        <f t="shared" si="1132"/>
        <v>EXP00414</v>
      </c>
      <c r="B13548" s="3" t="s">
        <v>66</v>
      </c>
      <c r="C13548" s="4" t="str">
        <f t="shared" si="1131"/>
        <v>TCGA-BRCA</v>
      </c>
      <c r="D13548" s="1" t="s">
        <v>493</v>
      </c>
      <c r="E13548" t="s">
        <v>532</v>
      </c>
      <c r="F13548" s="1">
        <v>2</v>
      </c>
      <c r="G13548" s="1" t="s">
        <v>32</v>
      </c>
      <c r="H13548" s="4" t="str">
        <f>HYPERLINK("https://portal.gdc.cancer.gov/cases/805bfe39-3695-43c2-93e4-d66d0559b89f","TCGA-A2-A1FZ-01A")</f>
        <v>TCGA-A2-A1FZ-01A</v>
      </c>
      <c r="I13548" t="s">
        <v>17</v>
      </c>
      <c r="J13548" t="s">
        <v>524</v>
      </c>
      <c r="K13548" t="s">
        <v>33</v>
      </c>
      <c r="L13548" t="s">
        <v>20</v>
      </c>
      <c r="N13548" t="s">
        <v>29</v>
      </c>
    </row>
    <row r="13549" spans="1:14">
      <c r="A13549" s="4" t="str">
        <f t="shared" si="1132"/>
        <v>EXP00414</v>
      </c>
      <c r="B13549" s="3" t="s">
        <v>66</v>
      </c>
      <c r="C13549" s="4" t="str">
        <f t="shared" si="1131"/>
        <v>TCGA-BRCA</v>
      </c>
      <c r="D13549" s="1" t="s">
        <v>493</v>
      </c>
      <c r="E13549" t="s">
        <v>532</v>
      </c>
      <c r="F13549" s="1">
        <v>2</v>
      </c>
      <c r="G13549" s="1" t="s">
        <v>32</v>
      </c>
      <c r="H13549" s="4" t="str">
        <f>HYPERLINK("https://portal.gdc.cancer.gov/cases/2e538802-2a31-4774-89a8-c6e4381a887d","TCGA-A2-A1G0-01A")</f>
        <v>TCGA-A2-A1G0-01A</v>
      </c>
      <c r="I13549" t="s">
        <v>17</v>
      </c>
      <c r="J13549" t="s">
        <v>524</v>
      </c>
      <c r="K13549" t="s">
        <v>33</v>
      </c>
      <c r="L13549" t="s">
        <v>20</v>
      </c>
      <c r="N13549" t="s">
        <v>29</v>
      </c>
    </row>
    <row r="13550" spans="1:14">
      <c r="A13550" s="4" t="str">
        <f t="shared" si="1132"/>
        <v>EXP00414</v>
      </c>
      <c r="B13550" s="3" t="s">
        <v>66</v>
      </c>
      <c r="C13550" s="4" t="str">
        <f t="shared" si="1131"/>
        <v>TCGA-BRCA</v>
      </c>
      <c r="D13550" s="1" t="s">
        <v>493</v>
      </c>
      <c r="E13550" t="s">
        <v>532</v>
      </c>
      <c r="F13550" s="1">
        <v>2</v>
      </c>
      <c r="G13550" s="1" t="s">
        <v>32</v>
      </c>
      <c r="H13550" s="4" t="str">
        <f>HYPERLINK("https://portal.gdc.cancer.gov/cases/75b5529b-565a-4eba-918a-910b2f441d32","TCGA-A2-A1G1-01A")</f>
        <v>TCGA-A2-A1G1-01A</v>
      </c>
      <c r="I13550" t="s">
        <v>17</v>
      </c>
      <c r="J13550" t="s">
        <v>524</v>
      </c>
      <c r="K13550" t="s">
        <v>33</v>
      </c>
      <c r="L13550" t="s">
        <v>20</v>
      </c>
      <c r="N13550" t="s">
        <v>29</v>
      </c>
    </row>
    <row r="13551" spans="1:14">
      <c r="A13551" s="4" t="str">
        <f t="shared" si="1132"/>
        <v>EXP00414</v>
      </c>
      <c r="B13551" s="3" t="s">
        <v>66</v>
      </c>
      <c r="C13551" s="4" t="str">
        <f t="shared" si="1131"/>
        <v>TCGA-BRCA</v>
      </c>
      <c r="D13551" s="1" t="s">
        <v>493</v>
      </c>
      <c r="E13551" t="s">
        <v>532</v>
      </c>
      <c r="F13551" s="1">
        <v>2</v>
      </c>
      <c r="G13551" s="1" t="s">
        <v>32</v>
      </c>
      <c r="H13551" s="4" t="str">
        <f>HYPERLINK("https://portal.gdc.cancer.gov/cases/e3b555aa-7f0a-49c6-9b13-182c61a144c1","TCGA-A2-A1G4-01A")</f>
        <v>TCGA-A2-A1G4-01A</v>
      </c>
      <c r="I13551" t="s">
        <v>17</v>
      </c>
      <c r="J13551" t="s">
        <v>524</v>
      </c>
      <c r="K13551" t="s">
        <v>33</v>
      </c>
      <c r="L13551" t="s">
        <v>20</v>
      </c>
      <c r="N13551" t="s">
        <v>29</v>
      </c>
    </row>
    <row r="13552" spans="1:14">
      <c r="A13552" s="4" t="str">
        <f t="shared" si="1132"/>
        <v>EXP00414</v>
      </c>
      <c r="B13552" s="3" t="s">
        <v>66</v>
      </c>
      <c r="C13552" s="4" t="str">
        <f t="shared" si="1131"/>
        <v>TCGA-BRCA</v>
      </c>
      <c r="D13552" s="1" t="s">
        <v>493</v>
      </c>
      <c r="E13552" t="s">
        <v>532</v>
      </c>
      <c r="F13552" s="1">
        <v>2</v>
      </c>
      <c r="G13552" s="1" t="s">
        <v>32</v>
      </c>
      <c r="H13552" s="4" t="str">
        <f>HYPERLINK("https://portal.gdc.cancer.gov/cases/295cf595-4a29-46a3-a0c5-e5f08f947031","TCGA-A2-A1G6-01A")</f>
        <v>TCGA-A2-A1G6-01A</v>
      </c>
      <c r="I13552" t="s">
        <v>17</v>
      </c>
      <c r="J13552" t="s">
        <v>524</v>
      </c>
      <c r="K13552" t="s">
        <v>33</v>
      </c>
      <c r="L13552" t="s">
        <v>20</v>
      </c>
      <c r="N13552" t="s">
        <v>29</v>
      </c>
    </row>
    <row r="13553" spans="1:14">
      <c r="A13553" s="4" t="str">
        <f t="shared" si="1132"/>
        <v>EXP00414</v>
      </c>
      <c r="B13553" s="3" t="s">
        <v>66</v>
      </c>
      <c r="C13553" s="4" t="str">
        <f t="shared" si="1131"/>
        <v>TCGA-BRCA</v>
      </c>
      <c r="D13553" s="1" t="s">
        <v>493</v>
      </c>
      <c r="E13553" t="s">
        <v>532</v>
      </c>
      <c r="F13553" s="1">
        <v>2</v>
      </c>
      <c r="G13553" s="1" t="s">
        <v>32</v>
      </c>
      <c r="H13553" s="4" t="str">
        <f>HYPERLINK("https://portal.gdc.cancer.gov/cases/3fc3755d-a3f8-4e2c-813f-ff124f2a75c1","TCGA-A2-A259-01A")</f>
        <v>TCGA-A2-A259-01A</v>
      </c>
      <c r="I13553" t="s">
        <v>17</v>
      </c>
      <c r="J13553" t="s">
        <v>524</v>
      </c>
      <c r="K13553" t="s">
        <v>33</v>
      </c>
      <c r="L13553" t="s">
        <v>20</v>
      </c>
      <c r="N13553" t="s">
        <v>29</v>
      </c>
    </row>
    <row r="13554" spans="1:14">
      <c r="A13554" s="4" t="str">
        <f t="shared" si="1132"/>
        <v>EXP00414</v>
      </c>
      <c r="B13554" s="3" t="s">
        <v>66</v>
      </c>
      <c r="C13554" s="4" t="str">
        <f t="shared" si="1131"/>
        <v>TCGA-BRCA</v>
      </c>
      <c r="D13554" s="1" t="s">
        <v>493</v>
      </c>
      <c r="E13554" t="s">
        <v>532</v>
      </c>
      <c r="F13554" s="1">
        <v>2</v>
      </c>
      <c r="G13554" s="1" t="s">
        <v>32</v>
      </c>
      <c r="H13554" s="4" t="str">
        <f>HYPERLINK("https://portal.gdc.cancer.gov/cases/aaea5f9c-b35b-47f8-93cb-bdc7b81844ff","TCGA-A2-A25A-01A")</f>
        <v>TCGA-A2-A25A-01A</v>
      </c>
      <c r="I13554" t="s">
        <v>17</v>
      </c>
      <c r="J13554" t="s">
        <v>524</v>
      </c>
      <c r="K13554" t="s">
        <v>33</v>
      </c>
      <c r="L13554" t="s">
        <v>20</v>
      </c>
      <c r="N13554" t="s">
        <v>29</v>
      </c>
    </row>
    <row r="13555" spans="1:14">
      <c r="A13555" s="4" t="str">
        <f t="shared" si="1132"/>
        <v>EXP00414</v>
      </c>
      <c r="B13555" s="3" t="s">
        <v>66</v>
      </c>
      <c r="C13555" s="4" t="str">
        <f t="shared" si="1131"/>
        <v>TCGA-BRCA</v>
      </c>
      <c r="D13555" s="1" t="s">
        <v>493</v>
      </c>
      <c r="E13555" t="s">
        <v>532</v>
      </c>
      <c r="F13555" s="1">
        <v>2</v>
      </c>
      <c r="G13555" s="1" t="s">
        <v>32</v>
      </c>
      <c r="H13555" s="4" t="str">
        <f>HYPERLINK("https://portal.gdc.cancer.gov/cases/eadf8482-e60e-4307-adb7-d5c3b9fa6cae","TCGA-A2-A25B-01A")</f>
        <v>TCGA-A2-A25B-01A</v>
      </c>
      <c r="I13555" t="s">
        <v>17</v>
      </c>
      <c r="J13555" t="s">
        <v>524</v>
      </c>
      <c r="K13555" t="s">
        <v>33</v>
      </c>
      <c r="L13555" t="s">
        <v>20</v>
      </c>
      <c r="N13555" t="s">
        <v>29</v>
      </c>
    </row>
    <row r="13556" spans="1:14">
      <c r="A13556" s="4" t="str">
        <f t="shared" si="1132"/>
        <v>EXP00414</v>
      </c>
      <c r="B13556" s="3" t="s">
        <v>66</v>
      </c>
      <c r="C13556" s="4" t="str">
        <f t="shared" si="1131"/>
        <v>TCGA-BRCA</v>
      </c>
      <c r="D13556" s="1" t="s">
        <v>493</v>
      </c>
      <c r="E13556" t="s">
        <v>532</v>
      </c>
      <c r="F13556" s="1">
        <v>2</v>
      </c>
      <c r="G13556" s="1" t="s">
        <v>32</v>
      </c>
      <c r="H13556" s="4" t="str">
        <f>HYPERLINK("https://portal.gdc.cancer.gov/cases/7aedb46a-48ec-4e0e-8baa-c9ea4c4a7cf1","TCGA-A2-A25C-01A")</f>
        <v>TCGA-A2-A25C-01A</v>
      </c>
      <c r="I13556" t="s">
        <v>17</v>
      </c>
      <c r="J13556" t="s">
        <v>524</v>
      </c>
      <c r="K13556" t="s">
        <v>33</v>
      </c>
      <c r="L13556" t="s">
        <v>20</v>
      </c>
      <c r="N13556" t="s">
        <v>29</v>
      </c>
    </row>
    <row r="13557" spans="1:14">
      <c r="A13557" s="4" t="str">
        <f t="shared" si="1132"/>
        <v>EXP00414</v>
      </c>
      <c r="B13557" s="3" t="s">
        <v>66</v>
      </c>
      <c r="C13557" s="4" t="str">
        <f t="shared" si="1131"/>
        <v>TCGA-BRCA</v>
      </c>
      <c r="D13557" s="1" t="s">
        <v>493</v>
      </c>
      <c r="E13557" t="s">
        <v>532</v>
      </c>
      <c r="F13557" s="1">
        <v>2</v>
      </c>
      <c r="G13557" s="1" t="s">
        <v>32</v>
      </c>
      <c r="H13557" s="4" t="str">
        <f>HYPERLINK("https://portal.gdc.cancer.gov/cases/3b963d72-ba5c-467b-83c9-fbdb462510a3","TCGA-A2-A25D-01A")</f>
        <v>TCGA-A2-A25D-01A</v>
      </c>
      <c r="I13557" t="s">
        <v>17</v>
      </c>
      <c r="J13557" t="s">
        <v>524</v>
      </c>
      <c r="K13557" t="s">
        <v>33</v>
      </c>
      <c r="L13557" t="s">
        <v>20</v>
      </c>
      <c r="N13557" t="s">
        <v>29</v>
      </c>
    </row>
    <row r="13558" spans="1:14">
      <c r="A13558" s="4" t="str">
        <f t="shared" si="1132"/>
        <v>EXP00414</v>
      </c>
      <c r="B13558" s="3" t="s">
        <v>66</v>
      </c>
      <c r="C13558" s="4" t="str">
        <f t="shared" si="1131"/>
        <v>TCGA-BRCA</v>
      </c>
      <c r="D13558" s="1" t="s">
        <v>493</v>
      </c>
      <c r="E13558" t="s">
        <v>532</v>
      </c>
      <c r="F13558" s="1">
        <v>2</v>
      </c>
      <c r="G13558" s="1" t="s">
        <v>32</v>
      </c>
      <c r="H13558" s="4" t="str">
        <f>HYPERLINK("https://portal.gdc.cancer.gov/cases/ba89cb4f-cd63-47b1-9550-76fdaff89f2e","TCGA-A2-A25E-01A")</f>
        <v>TCGA-A2-A25E-01A</v>
      </c>
      <c r="I13558" t="s">
        <v>17</v>
      </c>
      <c r="J13558" t="s">
        <v>524</v>
      </c>
      <c r="K13558" t="s">
        <v>33</v>
      </c>
      <c r="L13558" t="s">
        <v>20</v>
      </c>
      <c r="N13558" t="s">
        <v>29</v>
      </c>
    </row>
    <row r="13559" spans="1:14">
      <c r="A13559" s="4" t="str">
        <f t="shared" si="1132"/>
        <v>EXP00414</v>
      </c>
      <c r="B13559" s="3" t="s">
        <v>66</v>
      </c>
      <c r="C13559" s="4" t="str">
        <f t="shared" si="1131"/>
        <v>TCGA-BRCA</v>
      </c>
      <c r="D13559" s="1" t="s">
        <v>493</v>
      </c>
      <c r="E13559" t="s">
        <v>532</v>
      </c>
      <c r="F13559" s="1">
        <v>2</v>
      </c>
      <c r="G13559" s="1" t="s">
        <v>32</v>
      </c>
      <c r="H13559" s="4" t="str">
        <f>HYPERLINK("https://portal.gdc.cancer.gov/cases/c836951b-3ffb-4e20-8504-0eccb7d50dd4","TCGA-A2-A25F-01A")</f>
        <v>TCGA-A2-A25F-01A</v>
      </c>
      <c r="I13559" t="s">
        <v>17</v>
      </c>
      <c r="J13559" t="s">
        <v>524</v>
      </c>
      <c r="K13559" t="s">
        <v>33</v>
      </c>
      <c r="L13559" t="s">
        <v>20</v>
      </c>
      <c r="N13559" t="s">
        <v>29</v>
      </c>
    </row>
    <row r="13560" spans="1:14">
      <c r="A13560" s="4" t="str">
        <f t="shared" si="1132"/>
        <v>EXP00414</v>
      </c>
      <c r="B13560" s="3" t="s">
        <v>66</v>
      </c>
      <c r="C13560" s="4" t="str">
        <f t="shared" si="1131"/>
        <v>TCGA-BRCA</v>
      </c>
      <c r="D13560" s="1" t="s">
        <v>493</v>
      </c>
      <c r="E13560" t="s">
        <v>532</v>
      </c>
      <c r="F13560" s="1">
        <v>2</v>
      </c>
      <c r="G13560" s="1" t="s">
        <v>32</v>
      </c>
      <c r="H13560" s="4" t="str">
        <f>HYPERLINK("https://portal.gdc.cancer.gov/cases/2d29a4ac-98e7-4663-9dd6-5681bc32ac2e","TCGA-A2-A3KC-01A")</f>
        <v>TCGA-A2-A3KC-01A</v>
      </c>
      <c r="I13560" t="s">
        <v>17</v>
      </c>
      <c r="J13560" t="s">
        <v>524</v>
      </c>
      <c r="K13560" t="s">
        <v>33</v>
      </c>
      <c r="L13560" t="s">
        <v>20</v>
      </c>
      <c r="N13560" t="s">
        <v>29</v>
      </c>
    </row>
    <row r="13561" spans="1:14">
      <c r="A13561" s="4" t="str">
        <f t="shared" si="1132"/>
        <v>EXP00414</v>
      </c>
      <c r="B13561" s="3" t="s">
        <v>66</v>
      </c>
      <c r="C13561" s="4" t="str">
        <f t="shared" si="1131"/>
        <v>TCGA-BRCA</v>
      </c>
      <c r="D13561" s="1" t="s">
        <v>493</v>
      </c>
      <c r="E13561" t="s">
        <v>532</v>
      </c>
      <c r="F13561" s="1">
        <v>2</v>
      </c>
      <c r="G13561" s="1" t="s">
        <v>32</v>
      </c>
      <c r="H13561" s="4" t="str">
        <f>HYPERLINK("https://portal.gdc.cancer.gov/cases/bb026999-0aab-4232-96d7-2c93b6c9691d","TCGA-A2-A3KD-01A")</f>
        <v>TCGA-A2-A3KD-01A</v>
      </c>
      <c r="I13561" t="s">
        <v>17</v>
      </c>
      <c r="J13561" t="s">
        <v>524</v>
      </c>
      <c r="K13561" t="s">
        <v>33</v>
      </c>
      <c r="L13561" t="s">
        <v>20</v>
      </c>
      <c r="N13561" t="s">
        <v>29</v>
      </c>
    </row>
    <row r="13562" spans="1:14">
      <c r="A13562" s="4" t="str">
        <f t="shared" si="1132"/>
        <v>EXP00414</v>
      </c>
      <c r="B13562" s="3" t="s">
        <v>66</v>
      </c>
      <c r="C13562" s="4" t="str">
        <f t="shared" ref="C13562:C13625" si="1133">HYPERLINK("https://portal.gdc.cancer.gov/projects/TCGA-BRCA","TCGA-BRCA")</f>
        <v>TCGA-BRCA</v>
      </c>
      <c r="D13562" s="1" t="s">
        <v>493</v>
      </c>
      <c r="E13562" t="s">
        <v>532</v>
      </c>
      <c r="F13562" s="1">
        <v>2</v>
      </c>
      <c r="G13562" s="1" t="s">
        <v>32</v>
      </c>
      <c r="H13562" s="4" t="str">
        <f>HYPERLINK("https://portal.gdc.cancer.gov/cases/a78b04b4-2380-4803-963e-e4e633cd69ab","TCGA-A2-A3XS-01A")</f>
        <v>TCGA-A2-A3XS-01A</v>
      </c>
      <c r="I13562" t="s">
        <v>17</v>
      </c>
      <c r="J13562" t="s">
        <v>524</v>
      </c>
      <c r="K13562" t="s">
        <v>33</v>
      </c>
      <c r="L13562" t="s">
        <v>20</v>
      </c>
      <c r="N13562" t="s">
        <v>29</v>
      </c>
    </row>
    <row r="13563" spans="1:14">
      <c r="A13563" s="4" t="str">
        <f t="shared" si="1132"/>
        <v>EXP00414</v>
      </c>
      <c r="B13563" s="3" t="s">
        <v>66</v>
      </c>
      <c r="C13563" s="4" t="str">
        <f t="shared" si="1133"/>
        <v>TCGA-BRCA</v>
      </c>
      <c r="D13563" s="1" t="s">
        <v>493</v>
      </c>
      <c r="E13563" t="s">
        <v>532</v>
      </c>
      <c r="F13563" s="1">
        <v>2</v>
      </c>
      <c r="G13563" s="1" t="s">
        <v>32</v>
      </c>
      <c r="H13563" s="4" t="str">
        <f>HYPERLINK("https://portal.gdc.cancer.gov/cases/c72cb184-462d-4009-9cdb-848782ff8a76","TCGA-A2-A3XT-01A")</f>
        <v>TCGA-A2-A3XT-01A</v>
      </c>
      <c r="I13563" t="s">
        <v>17</v>
      </c>
      <c r="J13563" t="s">
        <v>524</v>
      </c>
      <c r="K13563" t="s">
        <v>33</v>
      </c>
      <c r="L13563" t="s">
        <v>20</v>
      </c>
      <c r="N13563" t="s">
        <v>29</v>
      </c>
    </row>
    <row r="13564" spans="1:14">
      <c r="A13564" s="4" t="str">
        <f t="shared" si="1132"/>
        <v>EXP00414</v>
      </c>
      <c r="B13564" s="3" t="s">
        <v>66</v>
      </c>
      <c r="C13564" s="4" t="str">
        <f t="shared" si="1133"/>
        <v>TCGA-BRCA</v>
      </c>
      <c r="D13564" s="1" t="s">
        <v>493</v>
      </c>
      <c r="E13564" t="s">
        <v>532</v>
      </c>
      <c r="F13564" s="1">
        <v>2</v>
      </c>
      <c r="G13564" s="1" t="s">
        <v>32</v>
      </c>
      <c r="H13564" s="4" t="str">
        <f>HYPERLINK("https://portal.gdc.cancer.gov/cases/189e1f27-7738-413a-a4d4-97d41d592a13","TCGA-A2-A3XV-01A")</f>
        <v>TCGA-A2-A3XV-01A</v>
      </c>
      <c r="I13564" t="s">
        <v>17</v>
      </c>
      <c r="J13564" t="s">
        <v>524</v>
      </c>
      <c r="K13564" t="s">
        <v>33</v>
      </c>
      <c r="L13564" t="s">
        <v>20</v>
      </c>
      <c r="N13564" t="s">
        <v>29</v>
      </c>
    </row>
    <row r="13565" spans="1:14">
      <c r="A13565" s="4" t="str">
        <f t="shared" si="1132"/>
        <v>EXP00414</v>
      </c>
      <c r="B13565" s="3" t="s">
        <v>66</v>
      </c>
      <c r="C13565" s="4" t="str">
        <f t="shared" si="1133"/>
        <v>TCGA-BRCA</v>
      </c>
      <c r="D13565" s="1" t="s">
        <v>493</v>
      </c>
      <c r="E13565" t="s">
        <v>532</v>
      </c>
      <c r="F13565" s="1">
        <v>2</v>
      </c>
      <c r="G13565" s="1" t="s">
        <v>32</v>
      </c>
      <c r="H13565" s="4" t="str">
        <f>HYPERLINK("https://portal.gdc.cancer.gov/cases/c02699b5-580a-4d55-971e-f4692b2cce57","TCGA-A2-A3XW-01A")</f>
        <v>TCGA-A2-A3XW-01A</v>
      </c>
      <c r="I13565" t="s">
        <v>17</v>
      </c>
      <c r="J13565" t="s">
        <v>524</v>
      </c>
      <c r="K13565" t="s">
        <v>33</v>
      </c>
      <c r="L13565" t="s">
        <v>20</v>
      </c>
      <c r="N13565" t="s">
        <v>29</v>
      </c>
    </row>
    <row r="13566" spans="1:14">
      <c r="A13566" s="4" t="str">
        <f t="shared" si="1132"/>
        <v>EXP00414</v>
      </c>
      <c r="B13566" s="3" t="s">
        <v>66</v>
      </c>
      <c r="C13566" s="4" t="str">
        <f t="shared" si="1133"/>
        <v>TCGA-BRCA</v>
      </c>
      <c r="D13566" s="1" t="s">
        <v>493</v>
      </c>
      <c r="E13566" t="s">
        <v>532</v>
      </c>
      <c r="F13566" s="1">
        <v>2</v>
      </c>
      <c r="G13566" s="1" t="s">
        <v>32</v>
      </c>
      <c r="H13566" s="4" t="str">
        <f>HYPERLINK("https://portal.gdc.cancer.gov/cases/53886143-c1c6-40e9-88e6-e4e5e0271fc8","TCGA-A2-A3XX-01A")</f>
        <v>TCGA-A2-A3XX-01A</v>
      </c>
      <c r="I13566" t="s">
        <v>17</v>
      </c>
      <c r="J13566" t="s">
        <v>524</v>
      </c>
      <c r="K13566" t="s">
        <v>33</v>
      </c>
      <c r="L13566" t="s">
        <v>20</v>
      </c>
      <c r="N13566" t="s">
        <v>29</v>
      </c>
    </row>
    <row r="13567" spans="1:14">
      <c r="A13567" s="4" t="str">
        <f t="shared" si="1132"/>
        <v>EXP00414</v>
      </c>
      <c r="B13567" s="3" t="s">
        <v>66</v>
      </c>
      <c r="C13567" s="4" t="str">
        <f t="shared" si="1133"/>
        <v>TCGA-BRCA</v>
      </c>
      <c r="D13567" s="1" t="s">
        <v>493</v>
      </c>
      <c r="E13567" t="s">
        <v>532</v>
      </c>
      <c r="F13567" s="1">
        <v>2</v>
      </c>
      <c r="G13567" s="1" t="s">
        <v>32</v>
      </c>
      <c r="H13567" s="4" t="str">
        <f>HYPERLINK("https://portal.gdc.cancer.gov/cases/deba32e4-0e68-4711-941b-3b63bd965afb","TCGA-A2-A3XY-01A")</f>
        <v>TCGA-A2-A3XY-01A</v>
      </c>
      <c r="I13567" t="s">
        <v>17</v>
      </c>
      <c r="J13567" t="s">
        <v>524</v>
      </c>
      <c r="K13567" t="s">
        <v>33</v>
      </c>
      <c r="L13567" t="s">
        <v>20</v>
      </c>
      <c r="N13567" t="s">
        <v>29</v>
      </c>
    </row>
    <row r="13568" spans="1:14">
      <c r="A13568" s="4" t="str">
        <f t="shared" si="1132"/>
        <v>EXP00414</v>
      </c>
      <c r="B13568" s="3" t="s">
        <v>66</v>
      </c>
      <c r="C13568" s="4" t="str">
        <f t="shared" si="1133"/>
        <v>TCGA-BRCA</v>
      </c>
      <c r="D13568" s="1" t="s">
        <v>493</v>
      </c>
      <c r="E13568" t="s">
        <v>532</v>
      </c>
      <c r="F13568" s="1">
        <v>2</v>
      </c>
      <c r="G13568" s="1" t="s">
        <v>32</v>
      </c>
      <c r="H13568" s="4" t="str">
        <f>HYPERLINK("https://portal.gdc.cancer.gov/cases/fe7f74b8-20f4-4471-91dc-4cca8c68e5c0","TCGA-A2-A3XZ-01A")</f>
        <v>TCGA-A2-A3XZ-01A</v>
      </c>
      <c r="I13568" t="s">
        <v>17</v>
      </c>
      <c r="J13568" t="s">
        <v>524</v>
      </c>
      <c r="K13568" t="s">
        <v>33</v>
      </c>
      <c r="L13568" t="s">
        <v>20</v>
      </c>
      <c r="N13568" t="s">
        <v>29</v>
      </c>
    </row>
    <row r="13569" spans="1:14">
      <c r="A13569" s="4" t="str">
        <f t="shared" si="1132"/>
        <v>EXP00414</v>
      </c>
      <c r="B13569" s="3" t="s">
        <v>66</v>
      </c>
      <c r="C13569" s="4" t="str">
        <f t="shared" si="1133"/>
        <v>TCGA-BRCA</v>
      </c>
      <c r="D13569" s="1" t="s">
        <v>493</v>
      </c>
      <c r="E13569" t="s">
        <v>532</v>
      </c>
      <c r="F13569" s="1">
        <v>2</v>
      </c>
      <c r="G13569" s="1" t="s">
        <v>32</v>
      </c>
      <c r="H13569" s="4" t="str">
        <f>HYPERLINK("https://portal.gdc.cancer.gov/cases/174850b4-5ec2-462b-a890-89bd1716b3c2","TCGA-A2-A3Y0-01A")</f>
        <v>TCGA-A2-A3Y0-01A</v>
      </c>
      <c r="I13569" t="s">
        <v>17</v>
      </c>
      <c r="J13569" t="s">
        <v>524</v>
      </c>
      <c r="K13569" t="s">
        <v>33</v>
      </c>
      <c r="L13569" t="s">
        <v>20</v>
      </c>
      <c r="N13569" t="s">
        <v>29</v>
      </c>
    </row>
    <row r="13570" spans="1:14">
      <c r="A13570" s="4" t="str">
        <f t="shared" si="1132"/>
        <v>EXP00414</v>
      </c>
      <c r="B13570" s="3" t="s">
        <v>66</v>
      </c>
      <c r="C13570" s="4" t="str">
        <f t="shared" si="1133"/>
        <v>TCGA-BRCA</v>
      </c>
      <c r="D13570" s="1" t="s">
        <v>493</v>
      </c>
      <c r="E13570" t="s">
        <v>532</v>
      </c>
      <c r="F13570" s="1">
        <v>2</v>
      </c>
      <c r="G13570" s="1" t="s">
        <v>32</v>
      </c>
      <c r="H13570" s="4" t="str">
        <f>HYPERLINK("https://portal.gdc.cancer.gov/cases/0d146997-cfdc-4587-888c-e876fc455c80","TCGA-A2-A4RW-01A")</f>
        <v>TCGA-A2-A4RW-01A</v>
      </c>
      <c r="I13570" t="s">
        <v>17</v>
      </c>
      <c r="J13570" t="s">
        <v>524</v>
      </c>
      <c r="K13570" t="s">
        <v>33</v>
      </c>
      <c r="L13570" t="s">
        <v>20</v>
      </c>
      <c r="N13570" t="s">
        <v>29</v>
      </c>
    </row>
    <row r="13571" spans="1:14">
      <c r="A13571" s="4" t="str">
        <f t="shared" ref="A13571:A13634" si="1134">HYPERLINK("http://hcmdb.i-sanger.com/experiment/details/experiment_id/EXP00414","EXP00414")</f>
        <v>EXP00414</v>
      </c>
      <c r="B13571" s="3" t="s">
        <v>66</v>
      </c>
      <c r="C13571" s="4" t="str">
        <f t="shared" si="1133"/>
        <v>TCGA-BRCA</v>
      </c>
      <c r="D13571" s="1" t="s">
        <v>493</v>
      </c>
      <c r="E13571" t="s">
        <v>532</v>
      </c>
      <c r="F13571" s="1">
        <v>2</v>
      </c>
      <c r="G13571" s="1" t="s">
        <v>32</v>
      </c>
      <c r="H13571" s="4" t="str">
        <f>HYPERLINK("https://portal.gdc.cancer.gov/cases/d111c4ab-b39a-4a7c-8d8e-cb342bc10627","TCGA-A2-A4RX-01A")</f>
        <v>TCGA-A2-A4RX-01A</v>
      </c>
      <c r="I13571" t="s">
        <v>17</v>
      </c>
      <c r="J13571" t="s">
        <v>524</v>
      </c>
      <c r="K13571" t="s">
        <v>33</v>
      </c>
      <c r="L13571" t="s">
        <v>20</v>
      </c>
      <c r="N13571" t="s">
        <v>29</v>
      </c>
    </row>
    <row r="13572" spans="1:14">
      <c r="A13572" s="4" t="str">
        <f t="shared" si="1134"/>
        <v>EXP00414</v>
      </c>
      <c r="B13572" s="3" t="s">
        <v>66</v>
      </c>
      <c r="C13572" s="4" t="str">
        <f t="shared" si="1133"/>
        <v>TCGA-BRCA</v>
      </c>
      <c r="D13572" s="1" t="s">
        <v>493</v>
      </c>
      <c r="E13572" t="s">
        <v>532</v>
      </c>
      <c r="F13572" s="1">
        <v>2</v>
      </c>
      <c r="G13572" s="1" t="s">
        <v>32</v>
      </c>
      <c r="H13572" s="4" t="str">
        <f>HYPERLINK("https://portal.gdc.cancer.gov/cases/5a53ec47-e63f-44a2-8078-87659544fb04","TCGA-A2-A4RY-01A")</f>
        <v>TCGA-A2-A4RY-01A</v>
      </c>
      <c r="I13572" t="s">
        <v>17</v>
      </c>
      <c r="J13572" t="s">
        <v>524</v>
      </c>
      <c r="K13572" t="s">
        <v>33</v>
      </c>
      <c r="L13572" t="s">
        <v>20</v>
      </c>
      <c r="N13572" t="s">
        <v>29</v>
      </c>
    </row>
    <row r="13573" spans="1:14">
      <c r="A13573" s="4" t="str">
        <f t="shared" si="1134"/>
        <v>EXP00414</v>
      </c>
      <c r="B13573" s="3" t="s">
        <v>66</v>
      </c>
      <c r="C13573" s="4" t="str">
        <f t="shared" si="1133"/>
        <v>TCGA-BRCA</v>
      </c>
      <c r="D13573" s="1" t="s">
        <v>493</v>
      </c>
      <c r="E13573" t="s">
        <v>532</v>
      </c>
      <c r="F13573" s="1">
        <v>2</v>
      </c>
      <c r="G13573" s="1" t="s">
        <v>32</v>
      </c>
      <c r="H13573" s="4" t="str">
        <f>HYPERLINK("https://portal.gdc.cancer.gov/cases/a53dd490-e0ba-419a-90c6-b905e241a8e5","TCGA-A2-A4S0-01A")</f>
        <v>TCGA-A2-A4S0-01A</v>
      </c>
      <c r="I13573" t="s">
        <v>17</v>
      </c>
      <c r="J13573" t="s">
        <v>524</v>
      </c>
      <c r="K13573" t="s">
        <v>33</v>
      </c>
      <c r="L13573" t="s">
        <v>20</v>
      </c>
      <c r="N13573" t="s">
        <v>29</v>
      </c>
    </row>
    <row r="13574" spans="1:14">
      <c r="A13574" s="4" t="str">
        <f t="shared" si="1134"/>
        <v>EXP00414</v>
      </c>
      <c r="B13574" s="3" t="s">
        <v>66</v>
      </c>
      <c r="C13574" s="4" t="str">
        <f t="shared" si="1133"/>
        <v>TCGA-BRCA</v>
      </c>
      <c r="D13574" s="1" t="s">
        <v>493</v>
      </c>
      <c r="E13574" t="s">
        <v>532</v>
      </c>
      <c r="F13574" s="1">
        <v>2</v>
      </c>
      <c r="G13574" s="1" t="s">
        <v>32</v>
      </c>
      <c r="H13574" s="4" t="str">
        <f>HYPERLINK("https://portal.gdc.cancer.gov/cases/843c8f16-5e59-40d4-9ecc-8a75375156f6","TCGA-A2-A4S1-01A")</f>
        <v>TCGA-A2-A4S1-01A</v>
      </c>
      <c r="I13574" t="s">
        <v>17</v>
      </c>
      <c r="J13574" t="s">
        <v>524</v>
      </c>
      <c r="K13574" t="s">
        <v>33</v>
      </c>
      <c r="L13574" t="s">
        <v>20</v>
      </c>
      <c r="N13574" t="s">
        <v>29</v>
      </c>
    </row>
    <row r="13575" spans="1:14">
      <c r="A13575" s="4" t="str">
        <f t="shared" si="1134"/>
        <v>EXP00414</v>
      </c>
      <c r="B13575" s="3" t="s">
        <v>66</v>
      </c>
      <c r="C13575" s="4" t="str">
        <f t="shared" si="1133"/>
        <v>TCGA-BRCA</v>
      </c>
      <c r="D13575" s="1" t="s">
        <v>493</v>
      </c>
      <c r="E13575" t="s">
        <v>532</v>
      </c>
      <c r="F13575" s="1">
        <v>2</v>
      </c>
      <c r="G13575" s="1" t="s">
        <v>32</v>
      </c>
      <c r="H13575" s="4" t="str">
        <f>HYPERLINK("https://portal.gdc.cancer.gov/cases/9ddc014d-9a8b-407b-845f-452a73f08e5e","TCGA-A2-A4S2-01A")</f>
        <v>TCGA-A2-A4S2-01A</v>
      </c>
      <c r="I13575" t="s">
        <v>17</v>
      </c>
      <c r="J13575" t="s">
        <v>524</v>
      </c>
      <c r="K13575" t="s">
        <v>33</v>
      </c>
      <c r="L13575" t="s">
        <v>20</v>
      </c>
      <c r="N13575" t="s">
        <v>29</v>
      </c>
    </row>
    <row r="13576" spans="1:14">
      <c r="A13576" s="4" t="str">
        <f t="shared" si="1134"/>
        <v>EXP00414</v>
      </c>
      <c r="B13576" s="3" t="s">
        <v>66</v>
      </c>
      <c r="C13576" s="4" t="str">
        <f t="shared" si="1133"/>
        <v>TCGA-BRCA</v>
      </c>
      <c r="D13576" s="1" t="s">
        <v>493</v>
      </c>
      <c r="E13576" t="s">
        <v>532</v>
      </c>
      <c r="F13576" s="1">
        <v>2</v>
      </c>
      <c r="G13576" s="1" t="s">
        <v>32</v>
      </c>
      <c r="H13576" s="4" t="str">
        <f>HYPERLINK("https://portal.gdc.cancer.gov/cases/418c11e8-2670-48d5-bbf5-95b46bff1201","TCGA-A2-A4S3-01A")</f>
        <v>TCGA-A2-A4S3-01A</v>
      </c>
      <c r="I13576" t="s">
        <v>17</v>
      </c>
      <c r="J13576" t="s">
        <v>524</v>
      </c>
      <c r="K13576" t="s">
        <v>33</v>
      </c>
      <c r="L13576" t="s">
        <v>20</v>
      </c>
      <c r="N13576" t="s">
        <v>29</v>
      </c>
    </row>
    <row r="13577" spans="1:14">
      <c r="A13577" s="4" t="str">
        <f t="shared" si="1134"/>
        <v>EXP00414</v>
      </c>
      <c r="B13577" s="3" t="s">
        <v>66</v>
      </c>
      <c r="C13577" s="4" t="str">
        <f t="shared" si="1133"/>
        <v>TCGA-BRCA</v>
      </c>
      <c r="D13577" s="1" t="s">
        <v>493</v>
      </c>
      <c r="E13577" t="s">
        <v>532</v>
      </c>
      <c r="F13577" s="1">
        <v>2</v>
      </c>
      <c r="G13577" s="1" t="s">
        <v>32</v>
      </c>
      <c r="H13577" s="4" t="str">
        <f>HYPERLINK("https://portal.gdc.cancer.gov/cases/09765b0a-94f6-47d2-af56-93368084ac3a","TCGA-A7-A0CD-01A")</f>
        <v>TCGA-A7-A0CD-01A</v>
      </c>
      <c r="I13577" t="s">
        <v>17</v>
      </c>
      <c r="J13577" t="s">
        <v>524</v>
      </c>
      <c r="K13577" t="s">
        <v>33</v>
      </c>
      <c r="L13577" t="s">
        <v>20</v>
      </c>
      <c r="N13577" t="s">
        <v>29</v>
      </c>
    </row>
    <row r="13578" spans="1:14">
      <c r="A13578" s="4" t="str">
        <f t="shared" si="1134"/>
        <v>EXP00414</v>
      </c>
      <c r="B13578" s="3" t="s">
        <v>66</v>
      </c>
      <c r="C13578" s="4" t="str">
        <f t="shared" si="1133"/>
        <v>TCGA-BRCA</v>
      </c>
      <c r="D13578" s="1" t="s">
        <v>493</v>
      </c>
      <c r="E13578" t="s">
        <v>532</v>
      </c>
      <c r="F13578" s="1">
        <v>2</v>
      </c>
      <c r="G13578" s="1" t="s">
        <v>32</v>
      </c>
      <c r="H13578" s="4" t="str">
        <f>HYPERLINK("https://portal.gdc.cancer.gov/cases/9d95a65b-e41d-4f93-92d4-99dce29ff40d","TCGA-A7-A0CE-01A")</f>
        <v>TCGA-A7-A0CE-01A</v>
      </c>
      <c r="I13578" t="s">
        <v>17</v>
      </c>
      <c r="J13578" t="s">
        <v>524</v>
      </c>
      <c r="K13578" t="s">
        <v>33</v>
      </c>
      <c r="L13578" t="s">
        <v>20</v>
      </c>
      <c r="N13578" t="s">
        <v>29</v>
      </c>
    </row>
    <row r="13579" spans="1:14">
      <c r="A13579" s="4" t="str">
        <f t="shared" si="1134"/>
        <v>EXP00414</v>
      </c>
      <c r="B13579" s="3" t="s">
        <v>66</v>
      </c>
      <c r="C13579" s="4" t="str">
        <f t="shared" si="1133"/>
        <v>TCGA-BRCA</v>
      </c>
      <c r="D13579" s="1" t="s">
        <v>493</v>
      </c>
      <c r="E13579" t="s">
        <v>532</v>
      </c>
      <c r="F13579" s="1">
        <v>2</v>
      </c>
      <c r="G13579" s="1" t="s">
        <v>32</v>
      </c>
      <c r="H13579" s="4" t="str">
        <f>HYPERLINK("https://portal.gdc.cancer.gov/cases/67eef990-5ff4-45d1-843d-d22d7848f130","TCGA-A7-A0CG-01A")</f>
        <v>TCGA-A7-A0CG-01A</v>
      </c>
      <c r="I13579" t="s">
        <v>17</v>
      </c>
      <c r="J13579" t="s">
        <v>524</v>
      </c>
      <c r="K13579" t="s">
        <v>33</v>
      </c>
      <c r="L13579" t="s">
        <v>20</v>
      </c>
      <c r="N13579" t="s">
        <v>29</v>
      </c>
    </row>
    <row r="13580" spans="1:14">
      <c r="A13580" s="4" t="str">
        <f t="shared" si="1134"/>
        <v>EXP00414</v>
      </c>
      <c r="B13580" s="3" t="s">
        <v>66</v>
      </c>
      <c r="C13580" s="4" t="str">
        <f t="shared" si="1133"/>
        <v>TCGA-BRCA</v>
      </c>
      <c r="D13580" s="1" t="s">
        <v>493</v>
      </c>
      <c r="E13580" t="s">
        <v>532</v>
      </c>
      <c r="F13580" s="1">
        <v>2</v>
      </c>
      <c r="G13580" s="1" t="s">
        <v>32</v>
      </c>
      <c r="H13580" s="4" t="str">
        <f>HYPERLINK("https://portal.gdc.cancer.gov/cases/9de678e5-67ed-4453-a98b-7ac351d5d0f1","TCGA-A7-A0CH-01A")</f>
        <v>TCGA-A7-A0CH-01A</v>
      </c>
      <c r="I13580" t="s">
        <v>17</v>
      </c>
      <c r="J13580" t="s">
        <v>524</v>
      </c>
      <c r="K13580" t="s">
        <v>33</v>
      </c>
      <c r="L13580" t="s">
        <v>20</v>
      </c>
      <c r="N13580" t="s">
        <v>29</v>
      </c>
    </row>
    <row r="13581" spans="1:14">
      <c r="A13581" s="4" t="str">
        <f t="shared" si="1134"/>
        <v>EXP00414</v>
      </c>
      <c r="B13581" s="3" t="s">
        <v>66</v>
      </c>
      <c r="C13581" s="4" t="str">
        <f t="shared" si="1133"/>
        <v>TCGA-BRCA</v>
      </c>
      <c r="D13581" s="1" t="s">
        <v>493</v>
      </c>
      <c r="E13581" t="s">
        <v>532</v>
      </c>
      <c r="F13581" s="1">
        <v>2</v>
      </c>
      <c r="G13581" s="1" t="s">
        <v>32</v>
      </c>
      <c r="H13581" s="4" t="str">
        <f>HYPERLINK("https://portal.gdc.cancer.gov/cases/d69e59a8-b10b-46f5-b859-b6c178d90506","TCGA-A7-A0CJ-01A")</f>
        <v>TCGA-A7-A0CJ-01A</v>
      </c>
      <c r="I13581" t="s">
        <v>17</v>
      </c>
      <c r="J13581" t="s">
        <v>524</v>
      </c>
      <c r="K13581" t="s">
        <v>33</v>
      </c>
      <c r="L13581" t="s">
        <v>20</v>
      </c>
      <c r="N13581" t="s">
        <v>29</v>
      </c>
    </row>
    <row r="13582" spans="1:14">
      <c r="A13582" s="4" t="str">
        <f t="shared" si="1134"/>
        <v>EXP00414</v>
      </c>
      <c r="B13582" s="3" t="s">
        <v>66</v>
      </c>
      <c r="C13582" s="4" t="str">
        <f t="shared" si="1133"/>
        <v>TCGA-BRCA</v>
      </c>
      <c r="D13582" s="1" t="s">
        <v>493</v>
      </c>
      <c r="E13582" t="s">
        <v>532</v>
      </c>
      <c r="F13582" s="1">
        <v>2</v>
      </c>
      <c r="G13582" s="1" t="s">
        <v>32</v>
      </c>
      <c r="H13582" s="4" t="str">
        <f>HYPERLINK("https://portal.gdc.cancer.gov/cases/17baef7c-d97d-4b98-ab53-503ef856523d","TCGA-A7-A0D9-01A")</f>
        <v>TCGA-A7-A0D9-01A</v>
      </c>
      <c r="I13582" t="s">
        <v>17</v>
      </c>
      <c r="J13582" t="s">
        <v>524</v>
      </c>
      <c r="K13582" t="s">
        <v>33</v>
      </c>
      <c r="L13582" t="s">
        <v>20</v>
      </c>
      <c r="N13582" t="s">
        <v>29</v>
      </c>
    </row>
    <row r="13583" spans="1:14">
      <c r="A13583" s="4" t="str">
        <f t="shared" si="1134"/>
        <v>EXP00414</v>
      </c>
      <c r="B13583" s="3" t="s">
        <v>66</v>
      </c>
      <c r="C13583" s="4" t="str">
        <f t="shared" si="1133"/>
        <v>TCGA-BRCA</v>
      </c>
      <c r="D13583" s="1" t="s">
        <v>493</v>
      </c>
      <c r="E13583" t="s">
        <v>532</v>
      </c>
      <c r="F13583" s="1">
        <v>2</v>
      </c>
      <c r="G13583" s="1" t="s">
        <v>32</v>
      </c>
      <c r="H13583" s="4" t="str">
        <f>HYPERLINK("https://portal.gdc.cancer.gov/cases/3afa1e93-1df8-4e4c-aaa4-557463f4bb77","TCGA-A7-A0DA-01A")</f>
        <v>TCGA-A7-A0DA-01A</v>
      </c>
      <c r="I13583" t="s">
        <v>17</v>
      </c>
      <c r="J13583" t="s">
        <v>524</v>
      </c>
      <c r="K13583" t="s">
        <v>33</v>
      </c>
      <c r="L13583" t="s">
        <v>20</v>
      </c>
      <c r="N13583" t="s">
        <v>29</v>
      </c>
    </row>
    <row r="13584" spans="1:14">
      <c r="A13584" s="4" t="str">
        <f t="shared" si="1134"/>
        <v>EXP00414</v>
      </c>
      <c r="B13584" s="3" t="s">
        <v>66</v>
      </c>
      <c r="C13584" s="4" t="str">
        <f t="shared" si="1133"/>
        <v>TCGA-BRCA</v>
      </c>
      <c r="D13584" s="1" t="s">
        <v>493</v>
      </c>
      <c r="E13584" t="s">
        <v>532</v>
      </c>
      <c r="F13584" s="1">
        <v>2</v>
      </c>
      <c r="G13584" s="1" t="s">
        <v>32</v>
      </c>
      <c r="H13584" s="4" t="str">
        <f>HYPERLINK("https://portal.gdc.cancer.gov/cases/f130f376-5801-40f9-975d-a7e2f7b5670d","TCGA-A7-A0DB-01A")</f>
        <v>TCGA-A7-A0DB-01A</v>
      </c>
      <c r="I13584" t="s">
        <v>17</v>
      </c>
      <c r="J13584" t="s">
        <v>524</v>
      </c>
      <c r="K13584" t="s">
        <v>33</v>
      </c>
      <c r="L13584" t="s">
        <v>20</v>
      </c>
      <c r="N13584" t="s">
        <v>29</v>
      </c>
    </row>
    <row r="13585" spans="1:14">
      <c r="A13585" s="4" t="str">
        <f t="shared" si="1134"/>
        <v>EXP00414</v>
      </c>
      <c r="B13585" s="3" t="s">
        <v>66</v>
      </c>
      <c r="C13585" s="4" t="str">
        <f t="shared" si="1133"/>
        <v>TCGA-BRCA</v>
      </c>
      <c r="D13585" s="1" t="s">
        <v>493</v>
      </c>
      <c r="E13585" t="s">
        <v>532</v>
      </c>
      <c r="F13585" s="1">
        <v>2</v>
      </c>
      <c r="G13585" s="1" t="s">
        <v>32</v>
      </c>
      <c r="H13585" s="4" t="str">
        <f>HYPERLINK("https://portal.gdc.cancer.gov/cases/f130f376-5801-40f9-975d-a7e2f7b5670d","TCGA-A7-A0DB-01C")</f>
        <v>TCGA-A7-A0DB-01C</v>
      </c>
      <c r="I13585" t="s">
        <v>17</v>
      </c>
      <c r="J13585" t="s">
        <v>524</v>
      </c>
      <c r="K13585" t="s">
        <v>33</v>
      </c>
      <c r="L13585" t="s">
        <v>20</v>
      </c>
      <c r="N13585" t="s">
        <v>29</v>
      </c>
    </row>
    <row r="13586" spans="1:14">
      <c r="A13586" s="4" t="str">
        <f t="shared" si="1134"/>
        <v>EXP00414</v>
      </c>
      <c r="B13586" s="3" t="s">
        <v>66</v>
      </c>
      <c r="C13586" s="4" t="str">
        <f t="shared" si="1133"/>
        <v>TCGA-BRCA</v>
      </c>
      <c r="D13586" s="1" t="s">
        <v>493</v>
      </c>
      <c r="E13586" t="s">
        <v>532</v>
      </c>
      <c r="F13586" s="1">
        <v>2</v>
      </c>
      <c r="G13586" s="1" t="s">
        <v>32</v>
      </c>
      <c r="H13586" s="4" t="str">
        <f>HYPERLINK("https://portal.gdc.cancer.gov/cases/cb9f5e50-f49d-4899-8895-9367afcc1015","TCGA-A7-A0DC-01A")</f>
        <v>TCGA-A7-A0DC-01A</v>
      </c>
      <c r="I13586" t="s">
        <v>17</v>
      </c>
      <c r="J13586" t="s">
        <v>524</v>
      </c>
      <c r="K13586" t="s">
        <v>33</v>
      </c>
      <c r="L13586" t="s">
        <v>20</v>
      </c>
      <c r="N13586" t="s">
        <v>29</v>
      </c>
    </row>
    <row r="13587" spans="1:14">
      <c r="A13587" s="4" t="str">
        <f t="shared" si="1134"/>
        <v>EXP00414</v>
      </c>
      <c r="B13587" s="3" t="s">
        <v>66</v>
      </c>
      <c r="C13587" s="4" t="str">
        <f t="shared" si="1133"/>
        <v>TCGA-BRCA</v>
      </c>
      <c r="D13587" s="1" t="s">
        <v>493</v>
      </c>
      <c r="E13587" t="s">
        <v>532</v>
      </c>
      <c r="F13587" s="1">
        <v>2</v>
      </c>
      <c r="G13587" s="1" t="s">
        <v>32</v>
      </c>
      <c r="H13587" s="4" t="str">
        <f>HYPERLINK("https://portal.gdc.cancer.gov/cases/cb9f5e50-f49d-4899-8895-9367afcc1015","TCGA-A7-A0DC-01B")</f>
        <v>TCGA-A7-A0DC-01B</v>
      </c>
      <c r="I13587" t="s">
        <v>17</v>
      </c>
      <c r="J13587" t="s">
        <v>524</v>
      </c>
      <c r="K13587" t="s">
        <v>33</v>
      </c>
      <c r="L13587" t="s">
        <v>20</v>
      </c>
      <c r="N13587" t="s">
        <v>29</v>
      </c>
    </row>
    <row r="13588" spans="1:14">
      <c r="A13588" s="4" t="str">
        <f t="shared" si="1134"/>
        <v>EXP00414</v>
      </c>
      <c r="B13588" s="3" t="s">
        <v>66</v>
      </c>
      <c r="C13588" s="4" t="str">
        <f t="shared" si="1133"/>
        <v>TCGA-BRCA</v>
      </c>
      <c r="D13588" s="1" t="s">
        <v>493</v>
      </c>
      <c r="E13588" t="s">
        <v>532</v>
      </c>
      <c r="F13588" s="1">
        <v>2</v>
      </c>
      <c r="G13588" s="1" t="s">
        <v>32</v>
      </c>
      <c r="H13588" s="4" t="str">
        <f>HYPERLINK("https://portal.gdc.cancer.gov/cases/8785012f-f73e-4d68-87cf-1d804af32782","TCGA-A7-A13D-01A")</f>
        <v>TCGA-A7-A13D-01A</v>
      </c>
      <c r="I13588" t="s">
        <v>17</v>
      </c>
      <c r="J13588" t="s">
        <v>524</v>
      </c>
      <c r="K13588" t="s">
        <v>33</v>
      </c>
      <c r="L13588" t="s">
        <v>20</v>
      </c>
      <c r="N13588" t="s">
        <v>29</v>
      </c>
    </row>
    <row r="13589" spans="1:14">
      <c r="A13589" s="4" t="str">
        <f t="shared" si="1134"/>
        <v>EXP00414</v>
      </c>
      <c r="B13589" s="3" t="s">
        <v>66</v>
      </c>
      <c r="C13589" s="4" t="str">
        <f t="shared" si="1133"/>
        <v>TCGA-BRCA</v>
      </c>
      <c r="D13589" s="1" t="s">
        <v>493</v>
      </c>
      <c r="E13589" t="s">
        <v>532</v>
      </c>
      <c r="F13589" s="1">
        <v>2</v>
      </c>
      <c r="G13589" s="1" t="s">
        <v>32</v>
      </c>
      <c r="H13589" s="4" t="str">
        <f>HYPERLINK("https://portal.gdc.cancer.gov/cases/8785012f-f73e-4d68-87cf-1d804af32782","TCGA-A7-A13D-01B")</f>
        <v>TCGA-A7-A13D-01B</v>
      </c>
      <c r="I13589" t="s">
        <v>17</v>
      </c>
      <c r="J13589" t="s">
        <v>524</v>
      </c>
      <c r="K13589" t="s">
        <v>33</v>
      </c>
      <c r="L13589" t="s">
        <v>20</v>
      </c>
      <c r="N13589" t="s">
        <v>29</v>
      </c>
    </row>
    <row r="13590" spans="1:14">
      <c r="A13590" s="4" t="str">
        <f t="shared" si="1134"/>
        <v>EXP00414</v>
      </c>
      <c r="B13590" s="3" t="s">
        <v>66</v>
      </c>
      <c r="C13590" s="4" t="str">
        <f t="shared" si="1133"/>
        <v>TCGA-BRCA</v>
      </c>
      <c r="D13590" s="1" t="s">
        <v>493</v>
      </c>
      <c r="E13590" t="s">
        <v>532</v>
      </c>
      <c r="F13590" s="1">
        <v>2</v>
      </c>
      <c r="G13590" s="1" t="s">
        <v>32</v>
      </c>
      <c r="H13590" s="4" t="str">
        <f>HYPERLINK("https://portal.gdc.cancer.gov/cases/8c7e74e0-71ef-49b8-9217-94b8ef740ef9","TCGA-A7-A13E-01A")</f>
        <v>TCGA-A7-A13E-01A</v>
      </c>
      <c r="I13590" t="s">
        <v>17</v>
      </c>
      <c r="J13590" t="s">
        <v>524</v>
      </c>
      <c r="K13590" t="s">
        <v>33</v>
      </c>
      <c r="L13590" t="s">
        <v>20</v>
      </c>
      <c r="N13590" t="s">
        <v>29</v>
      </c>
    </row>
    <row r="13591" spans="1:14">
      <c r="A13591" s="4" t="str">
        <f t="shared" si="1134"/>
        <v>EXP00414</v>
      </c>
      <c r="B13591" s="3" t="s">
        <v>66</v>
      </c>
      <c r="C13591" s="4" t="str">
        <f t="shared" si="1133"/>
        <v>TCGA-BRCA</v>
      </c>
      <c r="D13591" s="1" t="s">
        <v>493</v>
      </c>
      <c r="E13591" t="s">
        <v>532</v>
      </c>
      <c r="F13591" s="1">
        <v>2</v>
      </c>
      <c r="G13591" s="1" t="s">
        <v>32</v>
      </c>
      <c r="H13591" s="4" t="str">
        <f>HYPERLINK("https://portal.gdc.cancer.gov/cases/8c7e74e0-71ef-49b8-9217-94b8ef740ef9","TCGA-A7-A13E-01B")</f>
        <v>TCGA-A7-A13E-01B</v>
      </c>
      <c r="I13591" t="s">
        <v>17</v>
      </c>
      <c r="J13591" t="s">
        <v>524</v>
      </c>
      <c r="K13591" t="s">
        <v>33</v>
      </c>
      <c r="L13591" t="s">
        <v>20</v>
      </c>
      <c r="N13591" t="s">
        <v>29</v>
      </c>
    </row>
    <row r="13592" spans="1:14">
      <c r="A13592" s="4" t="str">
        <f t="shared" si="1134"/>
        <v>EXP00414</v>
      </c>
      <c r="B13592" s="3" t="s">
        <v>66</v>
      </c>
      <c r="C13592" s="4" t="str">
        <f t="shared" si="1133"/>
        <v>TCGA-BRCA</v>
      </c>
      <c r="D13592" s="1" t="s">
        <v>493</v>
      </c>
      <c r="E13592" t="s">
        <v>532</v>
      </c>
      <c r="F13592" s="1">
        <v>2</v>
      </c>
      <c r="G13592" s="1" t="s">
        <v>32</v>
      </c>
      <c r="H13592" s="4" t="str">
        <f>HYPERLINK("https://portal.gdc.cancer.gov/cases/2cf68894-168b-458b-af4f-53cad72989a8","TCGA-A7-A13F-01A")</f>
        <v>TCGA-A7-A13F-01A</v>
      </c>
      <c r="I13592" t="s">
        <v>17</v>
      </c>
      <c r="J13592" t="s">
        <v>524</v>
      </c>
      <c r="K13592" t="s">
        <v>33</v>
      </c>
      <c r="L13592" t="s">
        <v>20</v>
      </c>
      <c r="N13592" t="s">
        <v>29</v>
      </c>
    </row>
    <row r="13593" spans="1:14">
      <c r="A13593" s="4" t="str">
        <f t="shared" si="1134"/>
        <v>EXP00414</v>
      </c>
      <c r="B13593" s="3" t="s">
        <v>66</v>
      </c>
      <c r="C13593" s="4" t="str">
        <f t="shared" si="1133"/>
        <v>TCGA-BRCA</v>
      </c>
      <c r="D13593" s="1" t="s">
        <v>493</v>
      </c>
      <c r="E13593" t="s">
        <v>532</v>
      </c>
      <c r="F13593" s="1">
        <v>2</v>
      </c>
      <c r="G13593" s="1" t="s">
        <v>32</v>
      </c>
      <c r="H13593" s="4" t="str">
        <f>HYPERLINK("https://portal.gdc.cancer.gov/cases/6cd9baf5-bbe0-4c1e-a87f-c53b3af22890","TCGA-A7-A13G-01B")</f>
        <v>TCGA-A7-A13G-01B</v>
      </c>
      <c r="I13593" t="s">
        <v>17</v>
      </c>
      <c r="J13593" t="s">
        <v>524</v>
      </c>
      <c r="K13593" t="s">
        <v>33</v>
      </c>
      <c r="L13593" t="s">
        <v>20</v>
      </c>
      <c r="N13593" t="s">
        <v>29</v>
      </c>
    </row>
    <row r="13594" spans="1:14">
      <c r="A13594" s="4" t="str">
        <f t="shared" si="1134"/>
        <v>EXP00414</v>
      </c>
      <c r="B13594" s="3" t="s">
        <v>66</v>
      </c>
      <c r="C13594" s="4" t="str">
        <f t="shared" si="1133"/>
        <v>TCGA-BRCA</v>
      </c>
      <c r="D13594" s="1" t="s">
        <v>493</v>
      </c>
      <c r="E13594" t="s">
        <v>532</v>
      </c>
      <c r="F13594" s="1">
        <v>2</v>
      </c>
      <c r="G13594" s="1" t="s">
        <v>32</v>
      </c>
      <c r="H13594" s="4" t="str">
        <f>HYPERLINK("https://portal.gdc.cancer.gov/cases/2e243f0e-9d7d-4cb0-9678-70607f90430a","TCGA-A7-A13H-01A")</f>
        <v>TCGA-A7-A13H-01A</v>
      </c>
      <c r="I13594" t="s">
        <v>17</v>
      </c>
      <c r="J13594" t="s">
        <v>524</v>
      </c>
      <c r="K13594" t="s">
        <v>33</v>
      </c>
      <c r="L13594" t="s">
        <v>20</v>
      </c>
      <c r="N13594" t="s">
        <v>29</v>
      </c>
    </row>
    <row r="13595" spans="1:14">
      <c r="A13595" s="4" t="str">
        <f t="shared" si="1134"/>
        <v>EXP00414</v>
      </c>
      <c r="B13595" s="3" t="s">
        <v>66</v>
      </c>
      <c r="C13595" s="4" t="str">
        <f t="shared" si="1133"/>
        <v>TCGA-BRCA</v>
      </c>
      <c r="D13595" s="1" t="s">
        <v>493</v>
      </c>
      <c r="E13595" t="s">
        <v>532</v>
      </c>
      <c r="F13595" s="1">
        <v>2</v>
      </c>
      <c r="G13595" s="1" t="s">
        <v>32</v>
      </c>
      <c r="H13595" s="4" t="str">
        <f>HYPERLINK("https://portal.gdc.cancer.gov/cases/011b9b2d-ebe5-42bf-9662-d922faccc7a1","TCGA-A7-A26E-01A")</f>
        <v>TCGA-A7-A26E-01A</v>
      </c>
      <c r="I13595" t="s">
        <v>17</v>
      </c>
      <c r="J13595" t="s">
        <v>524</v>
      </c>
      <c r="K13595" t="s">
        <v>33</v>
      </c>
      <c r="L13595" t="s">
        <v>20</v>
      </c>
      <c r="N13595" t="s">
        <v>29</v>
      </c>
    </row>
    <row r="13596" spans="1:14">
      <c r="A13596" s="4" t="str">
        <f t="shared" si="1134"/>
        <v>EXP00414</v>
      </c>
      <c r="B13596" s="3" t="s">
        <v>66</v>
      </c>
      <c r="C13596" s="4" t="str">
        <f t="shared" si="1133"/>
        <v>TCGA-BRCA</v>
      </c>
      <c r="D13596" s="1" t="s">
        <v>493</v>
      </c>
      <c r="E13596" t="s">
        <v>532</v>
      </c>
      <c r="F13596" s="1">
        <v>2</v>
      </c>
      <c r="G13596" s="1" t="s">
        <v>32</v>
      </c>
      <c r="H13596" s="4" t="str">
        <f>HYPERLINK("https://portal.gdc.cancer.gov/cases/011b9b2d-ebe5-42bf-9662-d922faccc7a1","TCGA-A7-A26E-01B")</f>
        <v>TCGA-A7-A26E-01B</v>
      </c>
      <c r="I13596" t="s">
        <v>17</v>
      </c>
      <c r="J13596" t="s">
        <v>524</v>
      </c>
      <c r="K13596" t="s">
        <v>33</v>
      </c>
      <c r="L13596" t="s">
        <v>20</v>
      </c>
      <c r="N13596" t="s">
        <v>29</v>
      </c>
    </row>
    <row r="13597" spans="1:14">
      <c r="A13597" s="4" t="str">
        <f t="shared" si="1134"/>
        <v>EXP00414</v>
      </c>
      <c r="B13597" s="3" t="s">
        <v>66</v>
      </c>
      <c r="C13597" s="4" t="str">
        <f t="shared" si="1133"/>
        <v>TCGA-BRCA</v>
      </c>
      <c r="D13597" s="1" t="s">
        <v>493</v>
      </c>
      <c r="E13597" t="s">
        <v>532</v>
      </c>
      <c r="F13597" s="1">
        <v>2</v>
      </c>
      <c r="G13597" s="1" t="s">
        <v>32</v>
      </c>
      <c r="H13597" s="4" t="str">
        <f>HYPERLINK("https://portal.gdc.cancer.gov/cases/3b7b9c1e-a84c-47ed-983c-9e4b00cbf01a","TCGA-A7-A26F-01B")</f>
        <v>TCGA-A7-A26F-01B</v>
      </c>
      <c r="I13597" t="s">
        <v>17</v>
      </c>
      <c r="J13597" t="s">
        <v>524</v>
      </c>
      <c r="K13597" t="s">
        <v>33</v>
      </c>
      <c r="L13597" t="s">
        <v>20</v>
      </c>
      <c r="N13597" t="s">
        <v>29</v>
      </c>
    </row>
    <row r="13598" spans="1:14">
      <c r="A13598" s="4" t="str">
        <f t="shared" si="1134"/>
        <v>EXP00414</v>
      </c>
      <c r="B13598" s="3" t="s">
        <v>66</v>
      </c>
      <c r="C13598" s="4" t="str">
        <f t="shared" si="1133"/>
        <v>TCGA-BRCA</v>
      </c>
      <c r="D13598" s="1" t="s">
        <v>493</v>
      </c>
      <c r="E13598" t="s">
        <v>532</v>
      </c>
      <c r="F13598" s="1">
        <v>2</v>
      </c>
      <c r="G13598" s="1" t="s">
        <v>32</v>
      </c>
      <c r="H13598" s="4" t="str">
        <f>HYPERLINK("https://portal.gdc.cancer.gov/cases/5ed024e8-d05e-4c65-9441-eda9930ccc82","TCGA-A7-A26G-01A")</f>
        <v>TCGA-A7-A26G-01A</v>
      </c>
      <c r="I13598" t="s">
        <v>17</v>
      </c>
      <c r="J13598" t="s">
        <v>524</v>
      </c>
      <c r="K13598" t="s">
        <v>33</v>
      </c>
      <c r="L13598" t="s">
        <v>20</v>
      </c>
      <c r="N13598" t="s">
        <v>29</v>
      </c>
    </row>
    <row r="13599" spans="1:14">
      <c r="A13599" s="4" t="str">
        <f t="shared" si="1134"/>
        <v>EXP00414</v>
      </c>
      <c r="B13599" s="3" t="s">
        <v>66</v>
      </c>
      <c r="C13599" s="4" t="str">
        <f t="shared" si="1133"/>
        <v>TCGA-BRCA</v>
      </c>
      <c r="D13599" s="1" t="s">
        <v>493</v>
      </c>
      <c r="E13599" t="s">
        <v>532</v>
      </c>
      <c r="F13599" s="1">
        <v>2</v>
      </c>
      <c r="G13599" s="1" t="s">
        <v>32</v>
      </c>
      <c r="H13599" s="4" t="str">
        <f>HYPERLINK("https://portal.gdc.cancer.gov/cases/dddd8e2f-e540-418a-b02e-698d18a12c14","TCGA-A7-A26H-01A")</f>
        <v>TCGA-A7-A26H-01A</v>
      </c>
      <c r="I13599" t="s">
        <v>17</v>
      </c>
      <c r="J13599" t="s">
        <v>524</v>
      </c>
      <c r="K13599" t="s">
        <v>33</v>
      </c>
      <c r="L13599" t="s">
        <v>20</v>
      </c>
      <c r="N13599" t="s">
        <v>29</v>
      </c>
    </row>
    <row r="13600" spans="1:14">
      <c r="A13600" s="4" t="str">
        <f t="shared" si="1134"/>
        <v>EXP00414</v>
      </c>
      <c r="B13600" s="3" t="s">
        <v>66</v>
      </c>
      <c r="C13600" s="4" t="str">
        <f t="shared" si="1133"/>
        <v>TCGA-BRCA</v>
      </c>
      <c r="D13600" s="1" t="s">
        <v>493</v>
      </c>
      <c r="E13600" t="s">
        <v>532</v>
      </c>
      <c r="F13600" s="1">
        <v>2</v>
      </c>
      <c r="G13600" s="1" t="s">
        <v>32</v>
      </c>
      <c r="H13600" s="4" t="str">
        <f>HYPERLINK("https://portal.gdc.cancer.gov/cases/b2ecbc0f-2c30-4200-8d5e-7b95424bcadb","TCGA-A7-A26I-01B")</f>
        <v>TCGA-A7-A26I-01B</v>
      </c>
      <c r="I13600" t="s">
        <v>17</v>
      </c>
      <c r="J13600" t="s">
        <v>524</v>
      </c>
      <c r="K13600" t="s">
        <v>33</v>
      </c>
      <c r="L13600" t="s">
        <v>20</v>
      </c>
      <c r="N13600" t="s">
        <v>29</v>
      </c>
    </row>
    <row r="13601" spans="1:14">
      <c r="A13601" s="4" t="str">
        <f t="shared" si="1134"/>
        <v>EXP00414</v>
      </c>
      <c r="B13601" s="3" t="s">
        <v>66</v>
      </c>
      <c r="C13601" s="4" t="str">
        <f t="shared" si="1133"/>
        <v>TCGA-BRCA</v>
      </c>
      <c r="D13601" s="1" t="s">
        <v>493</v>
      </c>
      <c r="E13601" t="s">
        <v>532</v>
      </c>
      <c r="F13601" s="1">
        <v>2</v>
      </c>
      <c r="G13601" s="1" t="s">
        <v>32</v>
      </c>
      <c r="H13601" s="4" t="str">
        <f>HYPERLINK("https://portal.gdc.cancer.gov/cases/6cb6f179-defd-4661-af0a-c353b74c0c49","TCGA-A7-A26J-01A")</f>
        <v>TCGA-A7-A26J-01A</v>
      </c>
      <c r="I13601" t="s">
        <v>17</v>
      </c>
      <c r="J13601" t="s">
        <v>524</v>
      </c>
      <c r="K13601" t="s">
        <v>33</v>
      </c>
      <c r="L13601" t="s">
        <v>20</v>
      </c>
      <c r="N13601" t="s">
        <v>29</v>
      </c>
    </row>
    <row r="13602" spans="1:14">
      <c r="A13602" s="4" t="str">
        <f t="shared" si="1134"/>
        <v>EXP00414</v>
      </c>
      <c r="B13602" s="3" t="s">
        <v>66</v>
      </c>
      <c r="C13602" s="4" t="str">
        <f t="shared" si="1133"/>
        <v>TCGA-BRCA</v>
      </c>
      <c r="D13602" s="1" t="s">
        <v>493</v>
      </c>
      <c r="E13602" t="s">
        <v>532</v>
      </c>
      <c r="F13602" s="1">
        <v>2</v>
      </c>
      <c r="G13602" s="1" t="s">
        <v>32</v>
      </c>
      <c r="H13602" s="4" t="str">
        <f>HYPERLINK("https://portal.gdc.cancer.gov/cases/6cb6f179-defd-4661-af0a-c353b74c0c49","TCGA-A7-A26J-01B")</f>
        <v>TCGA-A7-A26J-01B</v>
      </c>
      <c r="I13602" t="s">
        <v>17</v>
      </c>
      <c r="J13602" t="s">
        <v>524</v>
      </c>
      <c r="K13602" t="s">
        <v>33</v>
      </c>
      <c r="L13602" t="s">
        <v>20</v>
      </c>
      <c r="N13602" t="s">
        <v>29</v>
      </c>
    </row>
    <row r="13603" spans="1:14">
      <c r="A13603" s="4" t="str">
        <f t="shared" si="1134"/>
        <v>EXP00414</v>
      </c>
      <c r="B13603" s="3" t="s">
        <v>66</v>
      </c>
      <c r="C13603" s="4" t="str">
        <f t="shared" si="1133"/>
        <v>TCGA-BRCA</v>
      </c>
      <c r="D13603" s="1" t="s">
        <v>493</v>
      </c>
      <c r="E13603" t="s">
        <v>532</v>
      </c>
      <c r="F13603" s="1">
        <v>2</v>
      </c>
      <c r="G13603" s="1" t="s">
        <v>32</v>
      </c>
      <c r="H13603" s="4" t="str">
        <f>HYPERLINK("https://portal.gdc.cancer.gov/cases/92654f8d-5137-4ffd-aaa3-5ae38eb88226","TCGA-A7-A2KD-01A")</f>
        <v>TCGA-A7-A2KD-01A</v>
      </c>
      <c r="I13603" t="s">
        <v>17</v>
      </c>
      <c r="J13603" t="s">
        <v>524</v>
      </c>
      <c r="K13603" t="s">
        <v>33</v>
      </c>
      <c r="L13603" t="s">
        <v>20</v>
      </c>
      <c r="N13603" t="s">
        <v>29</v>
      </c>
    </row>
    <row r="13604" spans="1:14">
      <c r="A13604" s="4" t="str">
        <f t="shared" si="1134"/>
        <v>EXP00414</v>
      </c>
      <c r="B13604" s="3" t="s">
        <v>66</v>
      </c>
      <c r="C13604" s="4" t="str">
        <f t="shared" si="1133"/>
        <v>TCGA-BRCA</v>
      </c>
      <c r="D13604" s="1" t="s">
        <v>493</v>
      </c>
      <c r="E13604" t="s">
        <v>532</v>
      </c>
      <c r="F13604" s="1">
        <v>2</v>
      </c>
      <c r="G13604" s="1" t="s">
        <v>32</v>
      </c>
      <c r="H13604" s="4" t="str">
        <f>HYPERLINK("https://portal.gdc.cancer.gov/cases/6b4e0262-f589-4532-b578-9f2d76c19d90","TCGA-A7-A3IY-01A")</f>
        <v>TCGA-A7-A3IY-01A</v>
      </c>
      <c r="I13604" t="s">
        <v>17</v>
      </c>
      <c r="J13604" t="s">
        <v>524</v>
      </c>
      <c r="K13604" t="s">
        <v>33</v>
      </c>
      <c r="L13604" t="s">
        <v>20</v>
      </c>
      <c r="N13604" t="s">
        <v>29</v>
      </c>
    </row>
    <row r="13605" spans="1:14">
      <c r="A13605" s="4" t="str">
        <f t="shared" si="1134"/>
        <v>EXP00414</v>
      </c>
      <c r="B13605" s="3" t="s">
        <v>66</v>
      </c>
      <c r="C13605" s="4" t="str">
        <f t="shared" si="1133"/>
        <v>TCGA-BRCA</v>
      </c>
      <c r="D13605" s="1" t="s">
        <v>493</v>
      </c>
      <c r="E13605" t="s">
        <v>532</v>
      </c>
      <c r="F13605" s="1">
        <v>2</v>
      </c>
      <c r="G13605" s="1" t="s">
        <v>32</v>
      </c>
      <c r="H13605" s="4" t="str">
        <f>HYPERLINK("https://portal.gdc.cancer.gov/cases/15ff4b02-bb69-4d24-8a07-b82f428e428d","TCGA-A7-A3IZ-01A")</f>
        <v>TCGA-A7-A3IZ-01A</v>
      </c>
      <c r="I13605" t="s">
        <v>17</v>
      </c>
      <c r="J13605" t="s">
        <v>524</v>
      </c>
      <c r="K13605" t="s">
        <v>33</v>
      </c>
      <c r="L13605" t="s">
        <v>20</v>
      </c>
      <c r="N13605" t="s">
        <v>29</v>
      </c>
    </row>
    <row r="13606" spans="1:14">
      <c r="A13606" s="4" t="str">
        <f t="shared" si="1134"/>
        <v>EXP00414</v>
      </c>
      <c r="B13606" s="3" t="s">
        <v>66</v>
      </c>
      <c r="C13606" s="4" t="str">
        <f t="shared" si="1133"/>
        <v>TCGA-BRCA</v>
      </c>
      <c r="D13606" s="1" t="s">
        <v>493</v>
      </c>
      <c r="E13606" t="s">
        <v>532</v>
      </c>
      <c r="F13606" s="1">
        <v>2</v>
      </c>
      <c r="G13606" s="1" t="s">
        <v>32</v>
      </c>
      <c r="H13606" s="4" t="str">
        <f>HYPERLINK("https://portal.gdc.cancer.gov/cases/da70cf7e-0e61-4c72-b4c5-c408569d11b8","TCGA-A7-A3J0-01A")</f>
        <v>TCGA-A7-A3J0-01A</v>
      </c>
      <c r="I13606" t="s">
        <v>17</v>
      </c>
      <c r="J13606" t="s">
        <v>524</v>
      </c>
      <c r="K13606" t="s">
        <v>33</v>
      </c>
      <c r="L13606" t="s">
        <v>20</v>
      </c>
      <c r="N13606" t="s">
        <v>29</v>
      </c>
    </row>
    <row r="13607" spans="1:14">
      <c r="A13607" s="4" t="str">
        <f t="shared" si="1134"/>
        <v>EXP00414</v>
      </c>
      <c r="B13607" s="3" t="s">
        <v>66</v>
      </c>
      <c r="C13607" s="4" t="str">
        <f t="shared" si="1133"/>
        <v>TCGA-BRCA</v>
      </c>
      <c r="D13607" s="1" t="s">
        <v>493</v>
      </c>
      <c r="E13607" t="s">
        <v>532</v>
      </c>
      <c r="F13607" s="1">
        <v>2</v>
      </c>
      <c r="G13607" s="1" t="s">
        <v>32</v>
      </c>
      <c r="H13607" s="4" t="str">
        <f>HYPERLINK("https://portal.gdc.cancer.gov/cases/8f9ad301-6699-4078-a80d-886e40894af7","TCGA-A7-A3J1-01A")</f>
        <v>TCGA-A7-A3J1-01A</v>
      </c>
      <c r="I13607" t="s">
        <v>17</v>
      </c>
      <c r="J13607" t="s">
        <v>524</v>
      </c>
      <c r="K13607" t="s">
        <v>33</v>
      </c>
      <c r="L13607" t="s">
        <v>20</v>
      </c>
      <c r="N13607" t="s">
        <v>29</v>
      </c>
    </row>
    <row r="13608" spans="1:14">
      <c r="A13608" s="4" t="str">
        <f t="shared" si="1134"/>
        <v>EXP00414</v>
      </c>
      <c r="B13608" s="3" t="s">
        <v>66</v>
      </c>
      <c r="C13608" s="4" t="str">
        <f t="shared" si="1133"/>
        <v>TCGA-BRCA</v>
      </c>
      <c r="D13608" s="1" t="s">
        <v>493</v>
      </c>
      <c r="E13608" t="s">
        <v>532</v>
      </c>
      <c r="F13608" s="1">
        <v>2</v>
      </c>
      <c r="G13608" s="1" t="s">
        <v>32</v>
      </c>
      <c r="H13608" s="4" t="str">
        <f>HYPERLINK("https://portal.gdc.cancer.gov/cases/7451af3c-acc0-4d79-8429-6b8be96911d8","TCGA-A7-A3RF-01A")</f>
        <v>TCGA-A7-A3RF-01A</v>
      </c>
      <c r="I13608" t="s">
        <v>17</v>
      </c>
      <c r="J13608" t="s">
        <v>524</v>
      </c>
      <c r="K13608" t="s">
        <v>33</v>
      </c>
      <c r="L13608" t="s">
        <v>20</v>
      </c>
      <c r="N13608" t="s">
        <v>29</v>
      </c>
    </row>
    <row r="13609" spans="1:14">
      <c r="A13609" s="4" t="str">
        <f t="shared" si="1134"/>
        <v>EXP00414</v>
      </c>
      <c r="B13609" s="3" t="s">
        <v>66</v>
      </c>
      <c r="C13609" s="4" t="str">
        <f t="shared" si="1133"/>
        <v>TCGA-BRCA</v>
      </c>
      <c r="D13609" s="1" t="s">
        <v>493</v>
      </c>
      <c r="E13609" t="s">
        <v>532</v>
      </c>
      <c r="F13609" s="1">
        <v>2</v>
      </c>
      <c r="G13609" s="1" t="s">
        <v>32</v>
      </c>
      <c r="H13609" s="4" t="str">
        <f>HYPERLINK("https://portal.gdc.cancer.gov/cases/a8f5c479-8685-4e2d-bb60-63f1cc651083","TCGA-A7-A425-01A")</f>
        <v>TCGA-A7-A425-01A</v>
      </c>
      <c r="I13609" t="s">
        <v>17</v>
      </c>
      <c r="J13609" t="s">
        <v>524</v>
      </c>
      <c r="K13609" t="s">
        <v>33</v>
      </c>
      <c r="L13609" t="s">
        <v>20</v>
      </c>
      <c r="N13609" t="s">
        <v>29</v>
      </c>
    </row>
    <row r="13610" spans="1:14">
      <c r="A13610" s="4" t="str">
        <f t="shared" si="1134"/>
        <v>EXP00414</v>
      </c>
      <c r="B13610" s="3" t="s">
        <v>66</v>
      </c>
      <c r="C13610" s="4" t="str">
        <f t="shared" si="1133"/>
        <v>TCGA-BRCA</v>
      </c>
      <c r="D13610" s="1" t="s">
        <v>493</v>
      </c>
      <c r="E13610" t="s">
        <v>532</v>
      </c>
      <c r="F13610" s="1">
        <v>2</v>
      </c>
      <c r="G13610" s="1" t="s">
        <v>32</v>
      </c>
      <c r="H13610" s="4" t="str">
        <f>HYPERLINK("https://portal.gdc.cancer.gov/cases/d48e9f25-f083-4f88-a92d-c12d9f765ba6","TCGA-A7-A426-01A")</f>
        <v>TCGA-A7-A426-01A</v>
      </c>
      <c r="I13610" t="s">
        <v>17</v>
      </c>
      <c r="J13610" t="s">
        <v>524</v>
      </c>
      <c r="K13610" t="s">
        <v>33</v>
      </c>
      <c r="L13610" t="s">
        <v>20</v>
      </c>
      <c r="N13610" t="s">
        <v>29</v>
      </c>
    </row>
    <row r="13611" spans="1:14">
      <c r="A13611" s="4" t="str">
        <f t="shared" si="1134"/>
        <v>EXP00414</v>
      </c>
      <c r="B13611" s="3" t="s">
        <v>66</v>
      </c>
      <c r="C13611" s="4" t="str">
        <f t="shared" si="1133"/>
        <v>TCGA-BRCA</v>
      </c>
      <c r="D13611" s="1" t="s">
        <v>493</v>
      </c>
      <c r="E13611" t="s">
        <v>532</v>
      </c>
      <c r="F13611" s="1">
        <v>2</v>
      </c>
      <c r="G13611" s="1" t="s">
        <v>32</v>
      </c>
      <c r="H13611" s="4" t="str">
        <f>HYPERLINK("https://portal.gdc.cancer.gov/cases/a2efe7e1-aca3-440f-825f-ed621edca69f","TCGA-A7-A4SA-01A")</f>
        <v>TCGA-A7-A4SA-01A</v>
      </c>
      <c r="I13611" t="s">
        <v>17</v>
      </c>
      <c r="J13611" t="s">
        <v>524</v>
      </c>
      <c r="K13611" t="s">
        <v>33</v>
      </c>
      <c r="L13611" t="s">
        <v>20</v>
      </c>
      <c r="N13611" t="s">
        <v>29</v>
      </c>
    </row>
    <row r="13612" spans="1:14">
      <c r="A13612" s="4" t="str">
        <f t="shared" si="1134"/>
        <v>EXP00414</v>
      </c>
      <c r="B13612" s="3" t="s">
        <v>66</v>
      </c>
      <c r="C13612" s="4" t="str">
        <f t="shared" si="1133"/>
        <v>TCGA-BRCA</v>
      </c>
      <c r="D13612" s="1" t="s">
        <v>493</v>
      </c>
      <c r="E13612" t="s">
        <v>532</v>
      </c>
      <c r="F13612" s="1">
        <v>2</v>
      </c>
      <c r="G13612" s="1" t="s">
        <v>32</v>
      </c>
      <c r="H13612" s="4" t="str">
        <f>HYPERLINK("https://portal.gdc.cancer.gov/cases/a947a945-4721-45cc-bc45-13b8ea41c10e","TCGA-A7-A4SB-01A")</f>
        <v>TCGA-A7-A4SB-01A</v>
      </c>
      <c r="I13612" t="s">
        <v>17</v>
      </c>
      <c r="J13612" t="s">
        <v>524</v>
      </c>
      <c r="K13612" t="s">
        <v>33</v>
      </c>
      <c r="L13612" t="s">
        <v>20</v>
      </c>
      <c r="N13612" t="s">
        <v>29</v>
      </c>
    </row>
    <row r="13613" spans="1:14">
      <c r="A13613" s="4" t="str">
        <f t="shared" si="1134"/>
        <v>EXP00414</v>
      </c>
      <c r="B13613" s="3" t="s">
        <v>66</v>
      </c>
      <c r="C13613" s="4" t="str">
        <f t="shared" si="1133"/>
        <v>TCGA-BRCA</v>
      </c>
      <c r="D13613" s="1" t="s">
        <v>493</v>
      </c>
      <c r="E13613" t="s">
        <v>532</v>
      </c>
      <c r="F13613" s="1">
        <v>2</v>
      </c>
      <c r="G13613" s="1" t="s">
        <v>32</v>
      </c>
      <c r="H13613" s="4" t="str">
        <f>HYPERLINK("https://portal.gdc.cancer.gov/cases/ec0ab947-9341-4fff-bda4-fdfb9434d508","TCGA-A7-A4SC-01A")</f>
        <v>TCGA-A7-A4SC-01A</v>
      </c>
      <c r="I13613" t="s">
        <v>17</v>
      </c>
      <c r="J13613" t="s">
        <v>524</v>
      </c>
      <c r="K13613" t="s">
        <v>33</v>
      </c>
      <c r="L13613" t="s">
        <v>20</v>
      </c>
      <c r="N13613" t="s">
        <v>29</v>
      </c>
    </row>
    <row r="13614" spans="1:14">
      <c r="A13614" s="4" t="str">
        <f t="shared" si="1134"/>
        <v>EXP00414</v>
      </c>
      <c r="B13614" s="3" t="s">
        <v>66</v>
      </c>
      <c r="C13614" s="4" t="str">
        <f t="shared" si="1133"/>
        <v>TCGA-BRCA</v>
      </c>
      <c r="D13614" s="1" t="s">
        <v>493</v>
      </c>
      <c r="E13614" t="s">
        <v>532</v>
      </c>
      <c r="F13614" s="1">
        <v>2</v>
      </c>
      <c r="G13614" s="1" t="s">
        <v>32</v>
      </c>
      <c r="H13614" s="4" t="str">
        <f>HYPERLINK("https://portal.gdc.cancer.gov/cases/8c09f413-e938-4f2e-a414-84f0e7fcfe41","TCGA-A7-A4SD-01A")</f>
        <v>TCGA-A7-A4SD-01A</v>
      </c>
      <c r="I13614" t="s">
        <v>17</v>
      </c>
      <c r="J13614" t="s">
        <v>524</v>
      </c>
      <c r="K13614" t="s">
        <v>33</v>
      </c>
      <c r="L13614" t="s">
        <v>20</v>
      </c>
      <c r="N13614" t="s">
        <v>29</v>
      </c>
    </row>
    <row r="13615" spans="1:14">
      <c r="A13615" s="4" t="str">
        <f t="shared" si="1134"/>
        <v>EXP00414</v>
      </c>
      <c r="B13615" s="3" t="s">
        <v>66</v>
      </c>
      <c r="C13615" s="4" t="str">
        <f t="shared" si="1133"/>
        <v>TCGA-BRCA</v>
      </c>
      <c r="D13615" s="1" t="s">
        <v>493</v>
      </c>
      <c r="E13615" t="s">
        <v>532</v>
      </c>
      <c r="F13615" s="1">
        <v>2</v>
      </c>
      <c r="G13615" s="1" t="s">
        <v>32</v>
      </c>
      <c r="H13615" s="4" t="str">
        <f>HYPERLINK("https://portal.gdc.cancer.gov/cases/dbf6f981-15cc-40ad-91ac-a66360405fbd","TCGA-A7-A4SE-01A")</f>
        <v>TCGA-A7-A4SE-01A</v>
      </c>
      <c r="I13615" t="s">
        <v>17</v>
      </c>
      <c r="J13615" t="s">
        <v>524</v>
      </c>
      <c r="K13615" t="s">
        <v>33</v>
      </c>
      <c r="L13615" t="s">
        <v>20</v>
      </c>
      <c r="N13615" t="s">
        <v>29</v>
      </c>
    </row>
    <row r="13616" spans="1:14">
      <c r="A13616" s="4" t="str">
        <f t="shared" si="1134"/>
        <v>EXP00414</v>
      </c>
      <c r="B13616" s="3" t="s">
        <v>66</v>
      </c>
      <c r="C13616" s="4" t="str">
        <f t="shared" si="1133"/>
        <v>TCGA-BRCA</v>
      </c>
      <c r="D13616" s="1" t="s">
        <v>493</v>
      </c>
      <c r="E13616" t="s">
        <v>532</v>
      </c>
      <c r="F13616" s="1">
        <v>2</v>
      </c>
      <c r="G13616" s="1" t="s">
        <v>32</v>
      </c>
      <c r="H13616" s="4" t="str">
        <f>HYPERLINK("https://portal.gdc.cancer.gov/cases/d81594d9-dd6a-45c3-8bad-61960611d78d","TCGA-A7-A4SF-01A")</f>
        <v>TCGA-A7-A4SF-01A</v>
      </c>
      <c r="I13616" t="s">
        <v>17</v>
      </c>
      <c r="J13616" t="s">
        <v>524</v>
      </c>
      <c r="K13616" t="s">
        <v>33</v>
      </c>
      <c r="L13616" t="s">
        <v>20</v>
      </c>
      <c r="N13616" t="s">
        <v>29</v>
      </c>
    </row>
    <row r="13617" spans="1:14">
      <c r="A13617" s="4" t="str">
        <f t="shared" si="1134"/>
        <v>EXP00414</v>
      </c>
      <c r="B13617" s="3" t="s">
        <v>66</v>
      </c>
      <c r="C13617" s="4" t="str">
        <f t="shared" si="1133"/>
        <v>TCGA-BRCA</v>
      </c>
      <c r="D13617" s="1" t="s">
        <v>493</v>
      </c>
      <c r="E13617" t="s">
        <v>532</v>
      </c>
      <c r="F13617" s="1">
        <v>2</v>
      </c>
      <c r="G13617" s="1" t="s">
        <v>32</v>
      </c>
      <c r="H13617" s="4" t="str">
        <f>HYPERLINK("https://portal.gdc.cancer.gov/cases/f062cbd0-2426-40ac-a4be-e74ac61fa2a7","TCGA-A7-A56D-01A")</f>
        <v>TCGA-A7-A56D-01A</v>
      </c>
      <c r="I13617" t="s">
        <v>17</v>
      </c>
      <c r="J13617" t="s">
        <v>524</v>
      </c>
      <c r="K13617" t="s">
        <v>33</v>
      </c>
      <c r="L13617" t="s">
        <v>20</v>
      </c>
      <c r="N13617" t="s">
        <v>29</v>
      </c>
    </row>
    <row r="13618" spans="1:14">
      <c r="A13618" s="4" t="str">
        <f t="shared" si="1134"/>
        <v>EXP00414</v>
      </c>
      <c r="B13618" s="3" t="s">
        <v>66</v>
      </c>
      <c r="C13618" s="4" t="str">
        <f t="shared" si="1133"/>
        <v>TCGA-BRCA</v>
      </c>
      <c r="D13618" s="1" t="s">
        <v>493</v>
      </c>
      <c r="E13618" t="s">
        <v>532</v>
      </c>
      <c r="F13618" s="1">
        <v>2</v>
      </c>
      <c r="G13618" s="1" t="s">
        <v>32</v>
      </c>
      <c r="H13618" s="4" t="str">
        <f>HYPERLINK("https://portal.gdc.cancer.gov/cases/0ec70e40-07df-461d-8ff9-351240a0d454","TCGA-A7-A5ZV-01A")</f>
        <v>TCGA-A7-A5ZV-01A</v>
      </c>
      <c r="I13618" t="s">
        <v>17</v>
      </c>
      <c r="J13618" t="s">
        <v>524</v>
      </c>
      <c r="K13618" t="s">
        <v>33</v>
      </c>
      <c r="L13618" t="s">
        <v>20</v>
      </c>
      <c r="N13618" t="s">
        <v>29</v>
      </c>
    </row>
    <row r="13619" spans="1:14">
      <c r="A13619" s="4" t="str">
        <f t="shared" si="1134"/>
        <v>EXP00414</v>
      </c>
      <c r="B13619" s="3" t="s">
        <v>66</v>
      </c>
      <c r="C13619" s="4" t="str">
        <f t="shared" si="1133"/>
        <v>TCGA-BRCA</v>
      </c>
      <c r="D13619" s="1" t="s">
        <v>493</v>
      </c>
      <c r="E13619" t="s">
        <v>532</v>
      </c>
      <c r="F13619" s="1">
        <v>2</v>
      </c>
      <c r="G13619" s="1" t="s">
        <v>32</v>
      </c>
      <c r="H13619" s="4" t="str">
        <f>HYPERLINK("https://portal.gdc.cancer.gov/cases/523e24a2-51b9-4658-be2f-42e5fccebb17","TCGA-A7-A5ZW-01A")</f>
        <v>TCGA-A7-A5ZW-01A</v>
      </c>
      <c r="I13619" t="s">
        <v>17</v>
      </c>
      <c r="J13619" t="s">
        <v>524</v>
      </c>
      <c r="K13619" t="s">
        <v>33</v>
      </c>
      <c r="L13619" t="s">
        <v>20</v>
      </c>
      <c r="N13619" t="s">
        <v>29</v>
      </c>
    </row>
    <row r="13620" spans="1:14">
      <c r="A13620" s="4" t="str">
        <f t="shared" si="1134"/>
        <v>EXP00414</v>
      </c>
      <c r="B13620" s="3" t="s">
        <v>66</v>
      </c>
      <c r="C13620" s="4" t="str">
        <f t="shared" si="1133"/>
        <v>TCGA-BRCA</v>
      </c>
      <c r="D13620" s="1" t="s">
        <v>493</v>
      </c>
      <c r="E13620" t="s">
        <v>532</v>
      </c>
      <c r="F13620" s="1">
        <v>2</v>
      </c>
      <c r="G13620" s="1" t="s">
        <v>32</v>
      </c>
      <c r="H13620" s="4" t="str">
        <f>HYPERLINK("https://portal.gdc.cancer.gov/cases/ba80db4e-d899-4da4-ae49-5263d98e1530","TCGA-A7-A5ZX-01A")</f>
        <v>TCGA-A7-A5ZX-01A</v>
      </c>
      <c r="I13620" t="s">
        <v>17</v>
      </c>
      <c r="J13620" t="s">
        <v>524</v>
      </c>
      <c r="K13620" t="s">
        <v>33</v>
      </c>
      <c r="L13620" t="s">
        <v>20</v>
      </c>
      <c r="N13620" t="s">
        <v>29</v>
      </c>
    </row>
    <row r="13621" spans="1:14">
      <c r="A13621" s="4" t="str">
        <f t="shared" si="1134"/>
        <v>EXP00414</v>
      </c>
      <c r="B13621" s="3" t="s">
        <v>66</v>
      </c>
      <c r="C13621" s="4" t="str">
        <f t="shared" si="1133"/>
        <v>TCGA-BRCA</v>
      </c>
      <c r="D13621" s="1" t="s">
        <v>493</v>
      </c>
      <c r="E13621" t="s">
        <v>532</v>
      </c>
      <c r="F13621" s="1">
        <v>2</v>
      </c>
      <c r="G13621" s="1" t="s">
        <v>32</v>
      </c>
      <c r="H13621" s="4" t="str">
        <f>HYPERLINK("https://portal.gdc.cancer.gov/cases/57af5c72-0d60-4a6b-b1b4-ec6dab90f80f","TCGA-A7-A6VV-01A")</f>
        <v>TCGA-A7-A6VV-01A</v>
      </c>
      <c r="I13621" t="s">
        <v>17</v>
      </c>
      <c r="J13621" t="s">
        <v>524</v>
      </c>
      <c r="K13621" t="s">
        <v>33</v>
      </c>
      <c r="L13621" t="s">
        <v>20</v>
      </c>
      <c r="N13621" t="s">
        <v>29</v>
      </c>
    </row>
    <row r="13622" spans="1:14">
      <c r="A13622" s="4" t="str">
        <f t="shared" si="1134"/>
        <v>EXP00414</v>
      </c>
      <c r="B13622" s="3" t="s">
        <v>66</v>
      </c>
      <c r="C13622" s="4" t="str">
        <f t="shared" si="1133"/>
        <v>TCGA-BRCA</v>
      </c>
      <c r="D13622" s="1" t="s">
        <v>493</v>
      </c>
      <c r="E13622" t="s">
        <v>532</v>
      </c>
      <c r="F13622" s="1">
        <v>2</v>
      </c>
      <c r="G13622" s="1" t="s">
        <v>32</v>
      </c>
      <c r="H13622" s="4" t="str">
        <f>HYPERLINK("https://portal.gdc.cancer.gov/cases/98e709e7-e195-4b37-9537-f6081affb609","TCGA-A7-A6VW-01A")</f>
        <v>TCGA-A7-A6VW-01A</v>
      </c>
      <c r="I13622" t="s">
        <v>17</v>
      </c>
      <c r="J13622" t="s">
        <v>524</v>
      </c>
      <c r="K13622" t="s">
        <v>33</v>
      </c>
      <c r="L13622" t="s">
        <v>20</v>
      </c>
      <c r="N13622" t="s">
        <v>29</v>
      </c>
    </row>
    <row r="13623" spans="1:14">
      <c r="A13623" s="4" t="str">
        <f t="shared" si="1134"/>
        <v>EXP00414</v>
      </c>
      <c r="B13623" s="3" t="s">
        <v>66</v>
      </c>
      <c r="C13623" s="4" t="str">
        <f t="shared" si="1133"/>
        <v>TCGA-BRCA</v>
      </c>
      <c r="D13623" s="1" t="s">
        <v>493</v>
      </c>
      <c r="E13623" t="s">
        <v>532</v>
      </c>
      <c r="F13623" s="1">
        <v>2</v>
      </c>
      <c r="G13623" s="1" t="s">
        <v>32</v>
      </c>
      <c r="H13623" s="4" t="str">
        <f>HYPERLINK("https://portal.gdc.cancer.gov/cases/7eea2b6e-771f-44c0-9350-38f45c8dbe87","TCGA-A7-A6VX-01A")</f>
        <v>TCGA-A7-A6VX-01A</v>
      </c>
      <c r="I13623" t="s">
        <v>17</v>
      </c>
      <c r="J13623" t="s">
        <v>524</v>
      </c>
      <c r="K13623" t="s">
        <v>33</v>
      </c>
      <c r="L13623" t="s">
        <v>20</v>
      </c>
      <c r="N13623" t="s">
        <v>29</v>
      </c>
    </row>
    <row r="13624" spans="1:14">
      <c r="A13624" s="4" t="str">
        <f t="shared" si="1134"/>
        <v>EXP00414</v>
      </c>
      <c r="B13624" s="3" t="s">
        <v>66</v>
      </c>
      <c r="C13624" s="4" t="str">
        <f t="shared" si="1133"/>
        <v>TCGA-BRCA</v>
      </c>
      <c r="D13624" s="1" t="s">
        <v>493</v>
      </c>
      <c r="E13624" t="s">
        <v>532</v>
      </c>
      <c r="F13624" s="1">
        <v>2</v>
      </c>
      <c r="G13624" s="1" t="s">
        <v>32</v>
      </c>
      <c r="H13624" s="4" t="str">
        <f>HYPERLINK("https://portal.gdc.cancer.gov/cases/e8ea576b-eb16-44f7-b241-daefc1375388","TCGA-A7-A6VY-01A")</f>
        <v>TCGA-A7-A6VY-01A</v>
      </c>
      <c r="I13624" t="s">
        <v>17</v>
      </c>
      <c r="J13624" t="s">
        <v>524</v>
      </c>
      <c r="K13624" t="s">
        <v>33</v>
      </c>
      <c r="L13624" t="s">
        <v>20</v>
      </c>
      <c r="N13624" t="s">
        <v>29</v>
      </c>
    </row>
    <row r="13625" spans="1:14">
      <c r="A13625" s="4" t="str">
        <f t="shared" si="1134"/>
        <v>EXP00414</v>
      </c>
      <c r="B13625" s="3" t="s">
        <v>66</v>
      </c>
      <c r="C13625" s="4" t="str">
        <f t="shared" si="1133"/>
        <v>TCGA-BRCA</v>
      </c>
      <c r="D13625" s="1" t="s">
        <v>493</v>
      </c>
      <c r="E13625" t="s">
        <v>532</v>
      </c>
      <c r="F13625" s="1">
        <v>2</v>
      </c>
      <c r="G13625" s="1" t="s">
        <v>32</v>
      </c>
      <c r="H13625" s="4" t="str">
        <f>HYPERLINK("https://portal.gdc.cancer.gov/cases/3a711140-1b89-4611-9992-3861e3d0e01a","TCGA-A8-A06N-01A")</f>
        <v>TCGA-A8-A06N-01A</v>
      </c>
      <c r="I13625" t="s">
        <v>17</v>
      </c>
      <c r="J13625" t="s">
        <v>524</v>
      </c>
      <c r="K13625" t="s">
        <v>33</v>
      </c>
      <c r="L13625" t="s">
        <v>20</v>
      </c>
      <c r="N13625" t="s">
        <v>29</v>
      </c>
    </row>
    <row r="13626" spans="1:14">
      <c r="A13626" s="4" t="str">
        <f t="shared" si="1134"/>
        <v>EXP00414</v>
      </c>
      <c r="B13626" s="3" t="s">
        <v>66</v>
      </c>
      <c r="C13626" s="4" t="str">
        <f t="shared" ref="C13626:C13689" si="1135">HYPERLINK("https://portal.gdc.cancer.gov/projects/TCGA-BRCA","TCGA-BRCA")</f>
        <v>TCGA-BRCA</v>
      </c>
      <c r="D13626" s="1" t="s">
        <v>493</v>
      </c>
      <c r="E13626" t="s">
        <v>532</v>
      </c>
      <c r="F13626" s="1">
        <v>2</v>
      </c>
      <c r="G13626" s="1" t="s">
        <v>32</v>
      </c>
      <c r="H13626" s="4" t="str">
        <f>HYPERLINK("https://portal.gdc.cancer.gov/cases/69054195-9e93-49e5-b820-69b0091cc2d4","TCGA-A8-A06O-01A")</f>
        <v>TCGA-A8-A06O-01A</v>
      </c>
      <c r="I13626" t="s">
        <v>17</v>
      </c>
      <c r="J13626" t="s">
        <v>524</v>
      </c>
      <c r="K13626" t="s">
        <v>33</v>
      </c>
      <c r="L13626" t="s">
        <v>20</v>
      </c>
      <c r="N13626" t="s">
        <v>29</v>
      </c>
    </row>
    <row r="13627" spans="1:14">
      <c r="A13627" s="4" t="str">
        <f t="shared" si="1134"/>
        <v>EXP00414</v>
      </c>
      <c r="B13627" s="3" t="s">
        <v>66</v>
      </c>
      <c r="C13627" s="4" t="str">
        <f t="shared" si="1135"/>
        <v>TCGA-BRCA</v>
      </c>
      <c r="D13627" s="1" t="s">
        <v>493</v>
      </c>
      <c r="E13627" t="s">
        <v>532</v>
      </c>
      <c r="F13627" s="1">
        <v>2</v>
      </c>
      <c r="G13627" s="1" t="s">
        <v>32</v>
      </c>
      <c r="H13627" s="4" t="str">
        <f>HYPERLINK("https://portal.gdc.cancer.gov/cases/5f90d955-bbb0-4b44-a5ac-ba6fda9ca0fb","TCGA-A8-A06P-01A")</f>
        <v>TCGA-A8-A06P-01A</v>
      </c>
      <c r="I13627" t="s">
        <v>17</v>
      </c>
      <c r="J13627" t="s">
        <v>524</v>
      </c>
      <c r="K13627" t="s">
        <v>33</v>
      </c>
      <c r="L13627" t="s">
        <v>20</v>
      </c>
      <c r="N13627" t="s">
        <v>29</v>
      </c>
    </row>
    <row r="13628" spans="1:14">
      <c r="A13628" s="4" t="str">
        <f t="shared" si="1134"/>
        <v>EXP00414</v>
      </c>
      <c r="B13628" s="3" t="s">
        <v>66</v>
      </c>
      <c r="C13628" s="4" t="str">
        <f t="shared" si="1135"/>
        <v>TCGA-BRCA</v>
      </c>
      <c r="D13628" s="1" t="s">
        <v>493</v>
      </c>
      <c r="E13628" t="s">
        <v>532</v>
      </c>
      <c r="F13628" s="1">
        <v>2</v>
      </c>
      <c r="G13628" s="1" t="s">
        <v>32</v>
      </c>
      <c r="H13628" s="4" t="str">
        <f>HYPERLINK("https://portal.gdc.cancer.gov/cases/281f70c5-876f-44b3-84fb-f2302f85e74c","TCGA-A8-A06Q-01A")</f>
        <v>TCGA-A8-A06Q-01A</v>
      </c>
      <c r="I13628" t="s">
        <v>17</v>
      </c>
      <c r="J13628" t="s">
        <v>524</v>
      </c>
      <c r="K13628" t="s">
        <v>33</v>
      </c>
      <c r="L13628" t="s">
        <v>20</v>
      </c>
      <c r="N13628" t="s">
        <v>29</v>
      </c>
    </row>
    <row r="13629" spans="1:14">
      <c r="A13629" s="4" t="str">
        <f t="shared" si="1134"/>
        <v>EXP00414</v>
      </c>
      <c r="B13629" s="3" t="s">
        <v>66</v>
      </c>
      <c r="C13629" s="4" t="str">
        <f t="shared" si="1135"/>
        <v>TCGA-BRCA</v>
      </c>
      <c r="D13629" s="1" t="s">
        <v>493</v>
      </c>
      <c r="E13629" t="s">
        <v>532</v>
      </c>
      <c r="F13629" s="1">
        <v>2</v>
      </c>
      <c r="G13629" s="1" t="s">
        <v>32</v>
      </c>
      <c r="H13629" s="4" t="str">
        <f>HYPERLINK("https://portal.gdc.cancer.gov/cases/f3ba71f9-25f3-4784-bf2d-3aa522a0cba8","TCGA-A8-A06R-01A")</f>
        <v>TCGA-A8-A06R-01A</v>
      </c>
      <c r="I13629" t="s">
        <v>17</v>
      </c>
      <c r="J13629" t="s">
        <v>524</v>
      </c>
      <c r="K13629" t="s">
        <v>33</v>
      </c>
      <c r="L13629" t="s">
        <v>20</v>
      </c>
      <c r="N13629" t="s">
        <v>29</v>
      </c>
    </row>
    <row r="13630" spans="1:14">
      <c r="A13630" s="4" t="str">
        <f t="shared" si="1134"/>
        <v>EXP00414</v>
      </c>
      <c r="B13630" s="3" t="s">
        <v>66</v>
      </c>
      <c r="C13630" s="4" t="str">
        <f t="shared" si="1135"/>
        <v>TCGA-BRCA</v>
      </c>
      <c r="D13630" s="1" t="s">
        <v>493</v>
      </c>
      <c r="E13630" t="s">
        <v>532</v>
      </c>
      <c r="F13630" s="1">
        <v>2</v>
      </c>
      <c r="G13630" s="1" t="s">
        <v>32</v>
      </c>
      <c r="H13630" s="4" t="str">
        <f>HYPERLINK("https://portal.gdc.cancer.gov/cases/2c04a2f5-321e-4dea-8e00-268325da65cb","TCGA-A8-A06T-01A")</f>
        <v>TCGA-A8-A06T-01A</v>
      </c>
      <c r="I13630" t="s">
        <v>17</v>
      </c>
      <c r="J13630" t="s">
        <v>524</v>
      </c>
      <c r="K13630" t="s">
        <v>33</v>
      </c>
      <c r="L13630" t="s">
        <v>20</v>
      </c>
      <c r="N13630" t="s">
        <v>29</v>
      </c>
    </row>
    <row r="13631" spans="1:14">
      <c r="A13631" s="4" t="str">
        <f t="shared" si="1134"/>
        <v>EXP00414</v>
      </c>
      <c r="B13631" s="3" t="s">
        <v>66</v>
      </c>
      <c r="C13631" s="4" t="str">
        <f t="shared" si="1135"/>
        <v>TCGA-BRCA</v>
      </c>
      <c r="D13631" s="1" t="s">
        <v>493</v>
      </c>
      <c r="E13631" t="s">
        <v>532</v>
      </c>
      <c r="F13631" s="1">
        <v>2</v>
      </c>
      <c r="G13631" s="1" t="s">
        <v>32</v>
      </c>
      <c r="H13631" s="4" t="str">
        <f>HYPERLINK("https://portal.gdc.cancer.gov/cases/6bc4c56d-aac5-49a2-9913-9538d06d898f","TCGA-A8-A06U-01A")</f>
        <v>TCGA-A8-A06U-01A</v>
      </c>
      <c r="I13631" t="s">
        <v>17</v>
      </c>
      <c r="J13631" t="s">
        <v>524</v>
      </c>
      <c r="K13631" t="s">
        <v>33</v>
      </c>
      <c r="L13631" t="s">
        <v>20</v>
      </c>
      <c r="N13631" t="s">
        <v>29</v>
      </c>
    </row>
    <row r="13632" spans="1:14">
      <c r="A13632" s="4" t="str">
        <f t="shared" si="1134"/>
        <v>EXP00414</v>
      </c>
      <c r="B13632" s="3" t="s">
        <v>66</v>
      </c>
      <c r="C13632" s="4" t="str">
        <f t="shared" si="1135"/>
        <v>TCGA-BRCA</v>
      </c>
      <c r="D13632" s="1" t="s">
        <v>493</v>
      </c>
      <c r="E13632" t="s">
        <v>532</v>
      </c>
      <c r="F13632" s="1">
        <v>2</v>
      </c>
      <c r="G13632" s="1" t="s">
        <v>32</v>
      </c>
      <c r="H13632" s="4" t="str">
        <f>HYPERLINK("https://portal.gdc.cancer.gov/cases/515b1400-e896-4f2a-81bd-70895441a0bd","TCGA-A8-A06Y-01A")</f>
        <v>TCGA-A8-A06Y-01A</v>
      </c>
      <c r="I13632" t="s">
        <v>17</v>
      </c>
      <c r="J13632" t="s">
        <v>524</v>
      </c>
      <c r="K13632" t="s">
        <v>33</v>
      </c>
      <c r="L13632" t="s">
        <v>20</v>
      </c>
      <c r="N13632" t="s">
        <v>29</v>
      </c>
    </row>
    <row r="13633" spans="1:14">
      <c r="A13633" s="4" t="str">
        <f t="shared" si="1134"/>
        <v>EXP00414</v>
      </c>
      <c r="B13633" s="3" t="s">
        <v>66</v>
      </c>
      <c r="C13633" s="4" t="str">
        <f t="shared" si="1135"/>
        <v>TCGA-BRCA</v>
      </c>
      <c r="D13633" s="1" t="s">
        <v>493</v>
      </c>
      <c r="E13633" t="s">
        <v>532</v>
      </c>
      <c r="F13633" s="1">
        <v>2</v>
      </c>
      <c r="G13633" s="1" t="s">
        <v>32</v>
      </c>
      <c r="H13633" s="4" t="str">
        <f>HYPERLINK("https://portal.gdc.cancer.gov/cases/2399caeb-ead2-4003-af38-809db4ac2e2b","TCGA-A8-A06Z-01A")</f>
        <v>TCGA-A8-A06Z-01A</v>
      </c>
      <c r="I13633" t="s">
        <v>17</v>
      </c>
      <c r="J13633" t="s">
        <v>524</v>
      </c>
      <c r="K13633" t="s">
        <v>33</v>
      </c>
      <c r="L13633" t="s">
        <v>20</v>
      </c>
      <c r="N13633" t="s">
        <v>29</v>
      </c>
    </row>
    <row r="13634" spans="1:14">
      <c r="A13634" s="4" t="str">
        <f t="shared" si="1134"/>
        <v>EXP00414</v>
      </c>
      <c r="B13634" s="3" t="s">
        <v>66</v>
      </c>
      <c r="C13634" s="4" t="str">
        <f t="shared" si="1135"/>
        <v>TCGA-BRCA</v>
      </c>
      <c r="D13634" s="1" t="s">
        <v>493</v>
      </c>
      <c r="E13634" t="s">
        <v>532</v>
      </c>
      <c r="F13634" s="1">
        <v>2</v>
      </c>
      <c r="G13634" s="1" t="s">
        <v>32</v>
      </c>
      <c r="H13634" s="4" t="str">
        <f>HYPERLINK("https://portal.gdc.cancer.gov/cases/7861a5f2-8910-4bcb-9c34-f79c5acd6e21","TCGA-A8-A075-01A")</f>
        <v>TCGA-A8-A075-01A</v>
      </c>
      <c r="I13634" t="s">
        <v>17</v>
      </c>
      <c r="J13634" t="s">
        <v>524</v>
      </c>
      <c r="K13634" t="s">
        <v>33</v>
      </c>
      <c r="L13634" t="s">
        <v>20</v>
      </c>
      <c r="N13634" t="s">
        <v>29</v>
      </c>
    </row>
    <row r="13635" spans="1:14">
      <c r="A13635" s="4" t="str">
        <f t="shared" ref="A13635:A13698" si="1136">HYPERLINK("http://hcmdb.i-sanger.com/experiment/details/experiment_id/EXP00414","EXP00414")</f>
        <v>EXP00414</v>
      </c>
      <c r="B13635" s="3" t="s">
        <v>66</v>
      </c>
      <c r="C13635" s="4" t="str">
        <f t="shared" si="1135"/>
        <v>TCGA-BRCA</v>
      </c>
      <c r="D13635" s="1" t="s">
        <v>493</v>
      </c>
      <c r="E13635" t="s">
        <v>532</v>
      </c>
      <c r="F13635" s="1">
        <v>2</v>
      </c>
      <c r="G13635" s="1" t="s">
        <v>32</v>
      </c>
      <c r="H13635" s="4" t="str">
        <f>HYPERLINK("https://portal.gdc.cancer.gov/cases/23dabeef-8e3c-44bc-9a12-a9522d17be5c","TCGA-A8-A076-01A")</f>
        <v>TCGA-A8-A076-01A</v>
      </c>
      <c r="I13635" t="s">
        <v>17</v>
      </c>
      <c r="J13635" t="s">
        <v>524</v>
      </c>
      <c r="K13635" t="s">
        <v>33</v>
      </c>
      <c r="L13635" t="s">
        <v>20</v>
      </c>
      <c r="N13635" t="s">
        <v>29</v>
      </c>
    </row>
    <row r="13636" spans="1:14">
      <c r="A13636" s="4" t="str">
        <f t="shared" si="1136"/>
        <v>EXP00414</v>
      </c>
      <c r="B13636" s="3" t="s">
        <v>66</v>
      </c>
      <c r="C13636" s="4" t="str">
        <f t="shared" si="1135"/>
        <v>TCGA-BRCA</v>
      </c>
      <c r="D13636" s="1" t="s">
        <v>493</v>
      </c>
      <c r="E13636" t="s">
        <v>532</v>
      </c>
      <c r="F13636" s="1">
        <v>2</v>
      </c>
      <c r="G13636" s="1" t="s">
        <v>32</v>
      </c>
      <c r="H13636" s="4" t="str">
        <f>HYPERLINK("https://portal.gdc.cancer.gov/cases/31c31cce-1b4d-4f12-922f-84f389403170","TCGA-A8-A079-01A")</f>
        <v>TCGA-A8-A079-01A</v>
      </c>
      <c r="I13636" t="s">
        <v>17</v>
      </c>
      <c r="J13636" t="s">
        <v>524</v>
      </c>
      <c r="K13636" t="s">
        <v>33</v>
      </c>
      <c r="L13636" t="s">
        <v>20</v>
      </c>
      <c r="N13636" t="s">
        <v>29</v>
      </c>
    </row>
    <row r="13637" spans="1:14">
      <c r="A13637" s="4" t="str">
        <f t="shared" si="1136"/>
        <v>EXP00414</v>
      </c>
      <c r="B13637" s="3" t="s">
        <v>66</v>
      </c>
      <c r="C13637" s="4" t="str">
        <f t="shared" si="1135"/>
        <v>TCGA-BRCA</v>
      </c>
      <c r="D13637" s="1" t="s">
        <v>493</v>
      </c>
      <c r="E13637" t="s">
        <v>532</v>
      </c>
      <c r="F13637" s="1">
        <v>2</v>
      </c>
      <c r="G13637" s="1" t="s">
        <v>32</v>
      </c>
      <c r="H13637" s="4" t="str">
        <f>HYPERLINK("https://portal.gdc.cancer.gov/cases/b43e41af-1d82-4b5f-b8f1-add0510e6b86","TCGA-A8-A07B-01A")</f>
        <v>TCGA-A8-A07B-01A</v>
      </c>
      <c r="I13637" t="s">
        <v>17</v>
      </c>
      <c r="J13637" t="s">
        <v>524</v>
      </c>
      <c r="K13637" t="s">
        <v>33</v>
      </c>
      <c r="L13637" t="s">
        <v>20</v>
      </c>
      <c r="N13637" t="s">
        <v>29</v>
      </c>
    </row>
    <row r="13638" spans="1:14">
      <c r="A13638" s="4" t="str">
        <f t="shared" si="1136"/>
        <v>EXP00414</v>
      </c>
      <c r="B13638" s="3" t="s">
        <v>66</v>
      </c>
      <c r="C13638" s="4" t="str">
        <f t="shared" si="1135"/>
        <v>TCGA-BRCA</v>
      </c>
      <c r="D13638" s="1" t="s">
        <v>493</v>
      </c>
      <c r="E13638" t="s">
        <v>532</v>
      </c>
      <c r="F13638" s="1">
        <v>2</v>
      </c>
      <c r="G13638" s="1" t="s">
        <v>32</v>
      </c>
      <c r="H13638" s="4" t="str">
        <f>HYPERLINK("https://portal.gdc.cancer.gov/cases/b6633c36-7ce4-4b69-9bf6-30b64d46c66f","TCGA-A8-A07C-01A")</f>
        <v>TCGA-A8-A07C-01A</v>
      </c>
      <c r="I13638" t="s">
        <v>17</v>
      </c>
      <c r="J13638" t="s">
        <v>524</v>
      </c>
      <c r="K13638" t="s">
        <v>33</v>
      </c>
      <c r="L13638" t="s">
        <v>20</v>
      </c>
      <c r="N13638" t="s">
        <v>29</v>
      </c>
    </row>
    <row r="13639" spans="1:14">
      <c r="A13639" s="4" t="str">
        <f t="shared" si="1136"/>
        <v>EXP00414</v>
      </c>
      <c r="B13639" s="3" t="s">
        <v>66</v>
      </c>
      <c r="C13639" s="4" t="str">
        <f t="shared" si="1135"/>
        <v>TCGA-BRCA</v>
      </c>
      <c r="D13639" s="1" t="s">
        <v>493</v>
      </c>
      <c r="E13639" t="s">
        <v>532</v>
      </c>
      <c r="F13639" s="1">
        <v>2</v>
      </c>
      <c r="G13639" s="1" t="s">
        <v>32</v>
      </c>
      <c r="H13639" s="4" t="str">
        <f>HYPERLINK("https://portal.gdc.cancer.gov/cases/853456d8-2367-404e-abc9-020fe8bbd209","TCGA-A8-A07E-01A")</f>
        <v>TCGA-A8-A07E-01A</v>
      </c>
      <c r="I13639" t="s">
        <v>17</v>
      </c>
      <c r="J13639" t="s">
        <v>524</v>
      </c>
      <c r="K13639" t="s">
        <v>33</v>
      </c>
      <c r="L13639" t="s">
        <v>20</v>
      </c>
      <c r="N13639" t="s">
        <v>29</v>
      </c>
    </row>
    <row r="13640" spans="1:14">
      <c r="A13640" s="4" t="str">
        <f t="shared" si="1136"/>
        <v>EXP00414</v>
      </c>
      <c r="B13640" s="3" t="s">
        <v>66</v>
      </c>
      <c r="C13640" s="4" t="str">
        <f t="shared" si="1135"/>
        <v>TCGA-BRCA</v>
      </c>
      <c r="D13640" s="1" t="s">
        <v>493</v>
      </c>
      <c r="E13640" t="s">
        <v>532</v>
      </c>
      <c r="F13640" s="1">
        <v>2</v>
      </c>
      <c r="G13640" s="1" t="s">
        <v>32</v>
      </c>
      <c r="H13640" s="4" t="str">
        <f>HYPERLINK("https://portal.gdc.cancer.gov/cases/5d688049-f271-40ef-813a-d37240ffe21c","TCGA-A8-A07F-01A")</f>
        <v>TCGA-A8-A07F-01A</v>
      </c>
      <c r="I13640" t="s">
        <v>17</v>
      </c>
      <c r="J13640" t="s">
        <v>524</v>
      </c>
      <c r="K13640" t="s">
        <v>33</v>
      </c>
      <c r="L13640" t="s">
        <v>20</v>
      </c>
      <c r="N13640" t="s">
        <v>29</v>
      </c>
    </row>
    <row r="13641" spans="1:14">
      <c r="A13641" s="4" t="str">
        <f t="shared" si="1136"/>
        <v>EXP00414</v>
      </c>
      <c r="B13641" s="3" t="s">
        <v>66</v>
      </c>
      <c r="C13641" s="4" t="str">
        <f t="shared" si="1135"/>
        <v>TCGA-BRCA</v>
      </c>
      <c r="D13641" s="1" t="s">
        <v>493</v>
      </c>
      <c r="E13641" t="s">
        <v>532</v>
      </c>
      <c r="F13641" s="1">
        <v>2</v>
      </c>
      <c r="G13641" s="1" t="s">
        <v>32</v>
      </c>
      <c r="H13641" s="4" t="str">
        <f>HYPERLINK("https://portal.gdc.cancer.gov/cases/8cf8b620-7ab6-4b6e-84bc-ff5a83f381fa","TCGA-A8-A07G-01A")</f>
        <v>TCGA-A8-A07G-01A</v>
      </c>
      <c r="I13641" t="s">
        <v>17</v>
      </c>
      <c r="J13641" t="s">
        <v>524</v>
      </c>
      <c r="K13641" t="s">
        <v>33</v>
      </c>
      <c r="L13641" t="s">
        <v>20</v>
      </c>
      <c r="N13641" t="s">
        <v>29</v>
      </c>
    </row>
    <row r="13642" spans="1:14">
      <c r="A13642" s="4" t="str">
        <f t="shared" si="1136"/>
        <v>EXP00414</v>
      </c>
      <c r="B13642" s="3" t="s">
        <v>66</v>
      </c>
      <c r="C13642" s="4" t="str">
        <f t="shared" si="1135"/>
        <v>TCGA-BRCA</v>
      </c>
      <c r="D13642" s="1" t="s">
        <v>493</v>
      </c>
      <c r="E13642" t="s">
        <v>532</v>
      </c>
      <c r="F13642" s="1">
        <v>2</v>
      </c>
      <c r="G13642" s="1" t="s">
        <v>32</v>
      </c>
      <c r="H13642" s="4" t="str">
        <f>HYPERLINK("https://portal.gdc.cancer.gov/cases/566792ae-f853-4a47-856d-f02cdcfcb18a","TCGA-A8-A07I-01A")</f>
        <v>TCGA-A8-A07I-01A</v>
      </c>
      <c r="I13642" t="s">
        <v>17</v>
      </c>
      <c r="J13642" t="s">
        <v>524</v>
      </c>
      <c r="K13642" t="s">
        <v>33</v>
      </c>
      <c r="L13642" t="s">
        <v>20</v>
      </c>
      <c r="N13642" t="s">
        <v>29</v>
      </c>
    </row>
    <row r="13643" spans="1:14">
      <c r="A13643" s="4" t="str">
        <f t="shared" si="1136"/>
        <v>EXP00414</v>
      </c>
      <c r="B13643" s="3" t="s">
        <v>66</v>
      </c>
      <c r="C13643" s="4" t="str">
        <f t="shared" si="1135"/>
        <v>TCGA-BRCA</v>
      </c>
      <c r="D13643" s="1" t="s">
        <v>493</v>
      </c>
      <c r="E13643" t="s">
        <v>532</v>
      </c>
      <c r="F13643" s="1">
        <v>2</v>
      </c>
      <c r="G13643" s="1" t="s">
        <v>32</v>
      </c>
      <c r="H13643" s="4" t="str">
        <f>HYPERLINK("https://portal.gdc.cancer.gov/cases/316625b8-a217-4829-90d1-dfd9cb7e4bc3","TCGA-A8-A07J-01A")</f>
        <v>TCGA-A8-A07J-01A</v>
      </c>
      <c r="I13643" t="s">
        <v>17</v>
      </c>
      <c r="J13643" t="s">
        <v>524</v>
      </c>
      <c r="K13643" t="s">
        <v>33</v>
      </c>
      <c r="L13643" t="s">
        <v>20</v>
      </c>
      <c r="N13643" t="s">
        <v>29</v>
      </c>
    </row>
    <row r="13644" spans="1:14">
      <c r="A13644" s="4" t="str">
        <f t="shared" si="1136"/>
        <v>EXP00414</v>
      </c>
      <c r="B13644" s="3" t="s">
        <v>66</v>
      </c>
      <c r="C13644" s="4" t="str">
        <f t="shared" si="1135"/>
        <v>TCGA-BRCA</v>
      </c>
      <c r="D13644" s="1" t="s">
        <v>493</v>
      </c>
      <c r="E13644" t="s">
        <v>532</v>
      </c>
      <c r="F13644" s="1">
        <v>2</v>
      </c>
      <c r="G13644" s="1" t="s">
        <v>32</v>
      </c>
      <c r="H13644" s="4" t="str">
        <f>HYPERLINK("https://portal.gdc.cancer.gov/cases/e89a9deb-6321-4e61-b412-b4993d4277dd","TCGA-A8-A07L-01A")</f>
        <v>TCGA-A8-A07L-01A</v>
      </c>
      <c r="I13644" t="s">
        <v>17</v>
      </c>
      <c r="J13644" t="s">
        <v>524</v>
      </c>
      <c r="K13644" t="s">
        <v>33</v>
      </c>
      <c r="L13644" t="s">
        <v>20</v>
      </c>
      <c r="N13644" t="s">
        <v>29</v>
      </c>
    </row>
    <row r="13645" spans="1:14">
      <c r="A13645" s="4" t="str">
        <f t="shared" si="1136"/>
        <v>EXP00414</v>
      </c>
      <c r="B13645" s="3" t="s">
        <v>66</v>
      </c>
      <c r="C13645" s="4" t="str">
        <f t="shared" si="1135"/>
        <v>TCGA-BRCA</v>
      </c>
      <c r="D13645" s="1" t="s">
        <v>493</v>
      </c>
      <c r="E13645" t="s">
        <v>532</v>
      </c>
      <c r="F13645" s="1">
        <v>2</v>
      </c>
      <c r="G13645" s="1" t="s">
        <v>32</v>
      </c>
      <c r="H13645" s="4" t="str">
        <f>HYPERLINK("https://portal.gdc.cancer.gov/cases/cf9db1af-17f0-490e-8139-142bd704763a","TCGA-A8-A07O-01A")</f>
        <v>TCGA-A8-A07O-01A</v>
      </c>
      <c r="I13645" t="s">
        <v>17</v>
      </c>
      <c r="J13645" t="s">
        <v>524</v>
      </c>
      <c r="K13645" t="s">
        <v>33</v>
      </c>
      <c r="L13645" t="s">
        <v>20</v>
      </c>
      <c r="N13645" t="s">
        <v>29</v>
      </c>
    </row>
    <row r="13646" spans="1:14">
      <c r="A13646" s="4" t="str">
        <f t="shared" si="1136"/>
        <v>EXP00414</v>
      </c>
      <c r="B13646" s="3" t="s">
        <v>66</v>
      </c>
      <c r="C13646" s="4" t="str">
        <f t="shared" si="1135"/>
        <v>TCGA-BRCA</v>
      </c>
      <c r="D13646" s="1" t="s">
        <v>493</v>
      </c>
      <c r="E13646" t="s">
        <v>532</v>
      </c>
      <c r="F13646" s="1">
        <v>2</v>
      </c>
      <c r="G13646" s="1" t="s">
        <v>32</v>
      </c>
      <c r="H13646" s="4" t="str">
        <f>HYPERLINK("https://portal.gdc.cancer.gov/cases/8cccf160-93e9-48a5-9b8b-54aa50153142","TCGA-A8-A07P-01A")</f>
        <v>TCGA-A8-A07P-01A</v>
      </c>
      <c r="I13646" t="s">
        <v>17</v>
      </c>
      <c r="J13646" t="s">
        <v>524</v>
      </c>
      <c r="K13646" t="s">
        <v>33</v>
      </c>
      <c r="L13646" t="s">
        <v>20</v>
      </c>
      <c r="N13646" t="s">
        <v>29</v>
      </c>
    </row>
    <row r="13647" spans="1:14">
      <c r="A13647" s="4" t="str">
        <f t="shared" si="1136"/>
        <v>EXP00414</v>
      </c>
      <c r="B13647" s="3" t="s">
        <v>66</v>
      </c>
      <c r="C13647" s="4" t="str">
        <f t="shared" si="1135"/>
        <v>TCGA-BRCA</v>
      </c>
      <c r="D13647" s="1" t="s">
        <v>493</v>
      </c>
      <c r="E13647" t="s">
        <v>532</v>
      </c>
      <c r="F13647" s="1">
        <v>2</v>
      </c>
      <c r="G13647" s="1" t="s">
        <v>32</v>
      </c>
      <c r="H13647" s="4" t="str">
        <f>HYPERLINK("https://portal.gdc.cancer.gov/cases/72e486b8-a866-4916-b2e4-8b4bb5dcd92d","TCGA-A8-A07R-01A")</f>
        <v>TCGA-A8-A07R-01A</v>
      </c>
      <c r="I13647" t="s">
        <v>17</v>
      </c>
      <c r="J13647" t="s">
        <v>524</v>
      </c>
      <c r="K13647" t="s">
        <v>33</v>
      </c>
      <c r="L13647" t="s">
        <v>20</v>
      </c>
      <c r="N13647" t="s">
        <v>29</v>
      </c>
    </row>
    <row r="13648" spans="1:14">
      <c r="A13648" s="4" t="str">
        <f t="shared" si="1136"/>
        <v>EXP00414</v>
      </c>
      <c r="B13648" s="3" t="s">
        <v>66</v>
      </c>
      <c r="C13648" s="4" t="str">
        <f t="shared" si="1135"/>
        <v>TCGA-BRCA</v>
      </c>
      <c r="D13648" s="1" t="s">
        <v>493</v>
      </c>
      <c r="E13648" t="s">
        <v>532</v>
      </c>
      <c r="F13648" s="1">
        <v>2</v>
      </c>
      <c r="G13648" s="1" t="s">
        <v>32</v>
      </c>
      <c r="H13648" s="4" t="str">
        <f>HYPERLINK("https://portal.gdc.cancer.gov/cases/a20fa2c4-a502-47e3-bfaa-2ec4cce3a859","TCGA-A8-A07S-01A")</f>
        <v>TCGA-A8-A07S-01A</v>
      </c>
      <c r="I13648" t="s">
        <v>17</v>
      </c>
      <c r="J13648" t="s">
        <v>524</v>
      </c>
      <c r="K13648" t="s">
        <v>33</v>
      </c>
      <c r="L13648" t="s">
        <v>20</v>
      </c>
      <c r="N13648" t="s">
        <v>29</v>
      </c>
    </row>
    <row r="13649" spans="1:14">
      <c r="A13649" s="4" t="str">
        <f t="shared" si="1136"/>
        <v>EXP00414</v>
      </c>
      <c r="B13649" s="3" t="s">
        <v>66</v>
      </c>
      <c r="C13649" s="4" t="str">
        <f t="shared" si="1135"/>
        <v>TCGA-BRCA</v>
      </c>
      <c r="D13649" s="1" t="s">
        <v>493</v>
      </c>
      <c r="E13649" t="s">
        <v>532</v>
      </c>
      <c r="F13649" s="1">
        <v>2</v>
      </c>
      <c r="G13649" s="1" t="s">
        <v>32</v>
      </c>
      <c r="H13649" s="4" t="str">
        <f>HYPERLINK("https://portal.gdc.cancer.gov/cases/59bf0ce4-715a-4017-bccb-c59916e78324","TCGA-A8-A07U-01A")</f>
        <v>TCGA-A8-A07U-01A</v>
      </c>
      <c r="I13649" t="s">
        <v>17</v>
      </c>
      <c r="J13649" t="s">
        <v>524</v>
      </c>
      <c r="K13649" t="s">
        <v>33</v>
      </c>
      <c r="L13649" t="s">
        <v>20</v>
      </c>
      <c r="N13649" t="s">
        <v>29</v>
      </c>
    </row>
    <row r="13650" spans="1:14">
      <c r="A13650" s="4" t="str">
        <f t="shared" si="1136"/>
        <v>EXP00414</v>
      </c>
      <c r="B13650" s="3" t="s">
        <v>66</v>
      </c>
      <c r="C13650" s="4" t="str">
        <f t="shared" si="1135"/>
        <v>TCGA-BRCA</v>
      </c>
      <c r="D13650" s="1" t="s">
        <v>493</v>
      </c>
      <c r="E13650" t="s">
        <v>532</v>
      </c>
      <c r="F13650" s="1">
        <v>2</v>
      </c>
      <c r="G13650" s="1" t="s">
        <v>32</v>
      </c>
      <c r="H13650" s="4" t="str">
        <f>HYPERLINK("https://portal.gdc.cancer.gov/cases/01263518-5f7c-49dc-8d7e-84b0c03a6a63","TCGA-A8-A07W-01A")</f>
        <v>TCGA-A8-A07W-01A</v>
      </c>
      <c r="I13650" t="s">
        <v>17</v>
      </c>
      <c r="J13650" t="s">
        <v>524</v>
      </c>
      <c r="K13650" t="s">
        <v>33</v>
      </c>
      <c r="L13650" t="s">
        <v>20</v>
      </c>
      <c r="N13650" t="s">
        <v>29</v>
      </c>
    </row>
    <row r="13651" spans="1:14">
      <c r="A13651" s="4" t="str">
        <f t="shared" si="1136"/>
        <v>EXP00414</v>
      </c>
      <c r="B13651" s="3" t="s">
        <v>66</v>
      </c>
      <c r="C13651" s="4" t="str">
        <f t="shared" si="1135"/>
        <v>TCGA-BRCA</v>
      </c>
      <c r="D13651" s="1" t="s">
        <v>493</v>
      </c>
      <c r="E13651" t="s">
        <v>532</v>
      </c>
      <c r="F13651" s="1">
        <v>2</v>
      </c>
      <c r="G13651" s="1" t="s">
        <v>32</v>
      </c>
      <c r="H13651" s="4" t="str">
        <f>HYPERLINK("https://portal.gdc.cancer.gov/cases/a272171b-44f5-47a5-89be-7520413c01ad","TCGA-A8-A07Z-01A")</f>
        <v>TCGA-A8-A07Z-01A</v>
      </c>
      <c r="I13651" t="s">
        <v>17</v>
      </c>
      <c r="J13651" t="s">
        <v>524</v>
      </c>
      <c r="K13651" t="s">
        <v>33</v>
      </c>
      <c r="L13651" t="s">
        <v>20</v>
      </c>
      <c r="N13651" t="s">
        <v>29</v>
      </c>
    </row>
    <row r="13652" spans="1:14">
      <c r="A13652" s="4" t="str">
        <f t="shared" si="1136"/>
        <v>EXP00414</v>
      </c>
      <c r="B13652" s="3" t="s">
        <v>66</v>
      </c>
      <c r="C13652" s="4" t="str">
        <f t="shared" si="1135"/>
        <v>TCGA-BRCA</v>
      </c>
      <c r="D13652" s="1" t="s">
        <v>493</v>
      </c>
      <c r="E13652" t="s">
        <v>532</v>
      </c>
      <c r="F13652" s="1">
        <v>2</v>
      </c>
      <c r="G13652" s="1" t="s">
        <v>32</v>
      </c>
      <c r="H13652" s="4" t="str">
        <f>HYPERLINK("https://portal.gdc.cancer.gov/cases/9d876f05-5080-4c4e-9bf5-45f631d381e5","TCGA-A8-A081-01A")</f>
        <v>TCGA-A8-A081-01A</v>
      </c>
      <c r="I13652" t="s">
        <v>17</v>
      </c>
      <c r="J13652" t="s">
        <v>524</v>
      </c>
      <c r="K13652" t="s">
        <v>33</v>
      </c>
      <c r="L13652" t="s">
        <v>20</v>
      </c>
      <c r="N13652" t="s">
        <v>29</v>
      </c>
    </row>
    <row r="13653" spans="1:14">
      <c r="A13653" s="4" t="str">
        <f t="shared" si="1136"/>
        <v>EXP00414</v>
      </c>
      <c r="B13653" s="3" t="s">
        <v>66</v>
      </c>
      <c r="C13653" s="4" t="str">
        <f t="shared" si="1135"/>
        <v>TCGA-BRCA</v>
      </c>
      <c r="D13653" s="1" t="s">
        <v>493</v>
      </c>
      <c r="E13653" t="s">
        <v>532</v>
      </c>
      <c r="F13653" s="1">
        <v>2</v>
      </c>
      <c r="G13653" s="1" t="s">
        <v>32</v>
      </c>
      <c r="H13653" s="4" t="str">
        <f>HYPERLINK("https://portal.gdc.cancer.gov/cases/5e4187c9-98f8-4bdb-a8da-6a914e96f47a","TCGA-A8-A082-01A")</f>
        <v>TCGA-A8-A082-01A</v>
      </c>
      <c r="I13653" t="s">
        <v>17</v>
      </c>
      <c r="J13653" t="s">
        <v>524</v>
      </c>
      <c r="K13653" t="s">
        <v>33</v>
      </c>
      <c r="L13653" t="s">
        <v>20</v>
      </c>
      <c r="N13653" t="s">
        <v>29</v>
      </c>
    </row>
    <row r="13654" spans="1:14">
      <c r="A13654" s="4" t="str">
        <f t="shared" si="1136"/>
        <v>EXP00414</v>
      </c>
      <c r="B13654" s="3" t="s">
        <v>66</v>
      </c>
      <c r="C13654" s="4" t="str">
        <f t="shared" si="1135"/>
        <v>TCGA-BRCA</v>
      </c>
      <c r="D13654" s="1" t="s">
        <v>493</v>
      </c>
      <c r="E13654" t="s">
        <v>532</v>
      </c>
      <c r="F13654" s="1">
        <v>2</v>
      </c>
      <c r="G13654" s="1" t="s">
        <v>32</v>
      </c>
      <c r="H13654" s="4" t="str">
        <f>HYPERLINK("https://portal.gdc.cancer.gov/cases/afb9418e-91eb-4db1-aacf-12bd946c9ba0","TCGA-A8-A083-01A")</f>
        <v>TCGA-A8-A083-01A</v>
      </c>
      <c r="I13654" t="s">
        <v>17</v>
      </c>
      <c r="J13654" t="s">
        <v>524</v>
      </c>
      <c r="K13654" t="s">
        <v>33</v>
      </c>
      <c r="L13654" t="s">
        <v>20</v>
      </c>
      <c r="N13654" t="s">
        <v>29</v>
      </c>
    </row>
    <row r="13655" spans="1:14">
      <c r="A13655" s="4" t="str">
        <f t="shared" si="1136"/>
        <v>EXP00414</v>
      </c>
      <c r="B13655" s="3" t="s">
        <v>66</v>
      </c>
      <c r="C13655" s="4" t="str">
        <f t="shared" si="1135"/>
        <v>TCGA-BRCA</v>
      </c>
      <c r="D13655" s="1" t="s">
        <v>493</v>
      </c>
      <c r="E13655" t="s">
        <v>532</v>
      </c>
      <c r="F13655" s="1">
        <v>2</v>
      </c>
      <c r="G13655" s="1" t="s">
        <v>32</v>
      </c>
      <c r="H13655" s="4" t="str">
        <f>HYPERLINK("https://portal.gdc.cancer.gov/cases/3dbe99d1-e3b8-4ee2-b6a8-2e2e12c6fbe9","TCGA-A8-A084-01A")</f>
        <v>TCGA-A8-A084-01A</v>
      </c>
      <c r="I13655" t="s">
        <v>17</v>
      </c>
      <c r="J13655" t="s">
        <v>524</v>
      </c>
      <c r="K13655" t="s">
        <v>33</v>
      </c>
      <c r="L13655" t="s">
        <v>20</v>
      </c>
      <c r="N13655" t="s">
        <v>29</v>
      </c>
    </row>
    <row r="13656" spans="1:14">
      <c r="A13656" s="4" t="str">
        <f t="shared" si="1136"/>
        <v>EXP00414</v>
      </c>
      <c r="B13656" s="3" t="s">
        <v>66</v>
      </c>
      <c r="C13656" s="4" t="str">
        <f t="shared" si="1135"/>
        <v>TCGA-BRCA</v>
      </c>
      <c r="D13656" s="1" t="s">
        <v>493</v>
      </c>
      <c r="E13656" t="s">
        <v>532</v>
      </c>
      <c r="F13656" s="1">
        <v>2</v>
      </c>
      <c r="G13656" s="1" t="s">
        <v>32</v>
      </c>
      <c r="H13656" s="4" t="str">
        <f>HYPERLINK("https://portal.gdc.cancer.gov/cases/3c08aabd-d5b5-4bbe-857c-38a7527b2163","TCGA-A8-A085-01A")</f>
        <v>TCGA-A8-A085-01A</v>
      </c>
      <c r="I13656" t="s">
        <v>17</v>
      </c>
      <c r="J13656" t="s">
        <v>524</v>
      </c>
      <c r="K13656" t="s">
        <v>33</v>
      </c>
      <c r="L13656" t="s">
        <v>20</v>
      </c>
      <c r="N13656" t="s">
        <v>29</v>
      </c>
    </row>
    <row r="13657" spans="1:14">
      <c r="A13657" s="4" t="str">
        <f t="shared" si="1136"/>
        <v>EXP00414</v>
      </c>
      <c r="B13657" s="3" t="s">
        <v>66</v>
      </c>
      <c r="C13657" s="4" t="str">
        <f t="shared" si="1135"/>
        <v>TCGA-BRCA</v>
      </c>
      <c r="D13657" s="1" t="s">
        <v>493</v>
      </c>
      <c r="E13657" t="s">
        <v>532</v>
      </c>
      <c r="F13657" s="1">
        <v>2</v>
      </c>
      <c r="G13657" s="1" t="s">
        <v>32</v>
      </c>
      <c r="H13657" s="4" t="str">
        <f>HYPERLINK("https://portal.gdc.cancer.gov/cases/f9eb88f7-9293-46bf-ace4-a746e4ff80dc","TCGA-A8-A086-01A")</f>
        <v>TCGA-A8-A086-01A</v>
      </c>
      <c r="I13657" t="s">
        <v>17</v>
      </c>
      <c r="J13657" t="s">
        <v>524</v>
      </c>
      <c r="K13657" t="s">
        <v>33</v>
      </c>
      <c r="L13657" t="s">
        <v>20</v>
      </c>
      <c r="N13657" t="s">
        <v>29</v>
      </c>
    </row>
    <row r="13658" spans="1:14">
      <c r="A13658" s="4" t="str">
        <f t="shared" si="1136"/>
        <v>EXP00414</v>
      </c>
      <c r="B13658" s="3" t="s">
        <v>66</v>
      </c>
      <c r="C13658" s="4" t="str">
        <f t="shared" si="1135"/>
        <v>TCGA-BRCA</v>
      </c>
      <c r="D13658" s="1" t="s">
        <v>493</v>
      </c>
      <c r="E13658" t="s">
        <v>532</v>
      </c>
      <c r="F13658" s="1">
        <v>2</v>
      </c>
      <c r="G13658" s="1" t="s">
        <v>32</v>
      </c>
      <c r="H13658" s="4" t="str">
        <f>HYPERLINK("https://portal.gdc.cancer.gov/cases/7fe4670d-4626-459d-869b-ab15f478c6a7","TCGA-A8-A08A-01A")</f>
        <v>TCGA-A8-A08A-01A</v>
      </c>
      <c r="I13658" t="s">
        <v>17</v>
      </c>
      <c r="J13658" t="s">
        <v>524</v>
      </c>
      <c r="K13658" t="s">
        <v>33</v>
      </c>
      <c r="L13658" t="s">
        <v>20</v>
      </c>
      <c r="N13658" t="s">
        <v>29</v>
      </c>
    </row>
    <row r="13659" spans="1:14">
      <c r="A13659" s="4" t="str">
        <f t="shared" si="1136"/>
        <v>EXP00414</v>
      </c>
      <c r="B13659" s="3" t="s">
        <v>66</v>
      </c>
      <c r="C13659" s="4" t="str">
        <f t="shared" si="1135"/>
        <v>TCGA-BRCA</v>
      </c>
      <c r="D13659" s="1" t="s">
        <v>493</v>
      </c>
      <c r="E13659" t="s">
        <v>532</v>
      </c>
      <c r="F13659" s="1">
        <v>2</v>
      </c>
      <c r="G13659" s="1" t="s">
        <v>32</v>
      </c>
      <c r="H13659" s="4" t="str">
        <f>HYPERLINK("https://portal.gdc.cancer.gov/cases/d8d7a6c2-6427-4f47-968c-6c3affba4617","TCGA-A8-A08B-01A")</f>
        <v>TCGA-A8-A08B-01A</v>
      </c>
      <c r="I13659" t="s">
        <v>17</v>
      </c>
      <c r="J13659" t="s">
        <v>524</v>
      </c>
      <c r="K13659" t="s">
        <v>33</v>
      </c>
      <c r="L13659" t="s">
        <v>20</v>
      </c>
      <c r="N13659" t="s">
        <v>29</v>
      </c>
    </row>
    <row r="13660" spans="1:14">
      <c r="A13660" s="4" t="str">
        <f t="shared" si="1136"/>
        <v>EXP00414</v>
      </c>
      <c r="B13660" s="3" t="s">
        <v>66</v>
      </c>
      <c r="C13660" s="4" t="str">
        <f t="shared" si="1135"/>
        <v>TCGA-BRCA</v>
      </c>
      <c r="D13660" s="1" t="s">
        <v>493</v>
      </c>
      <c r="E13660" t="s">
        <v>532</v>
      </c>
      <c r="F13660" s="1">
        <v>2</v>
      </c>
      <c r="G13660" s="1" t="s">
        <v>32</v>
      </c>
      <c r="H13660" s="4" t="str">
        <f>HYPERLINK("https://portal.gdc.cancer.gov/cases/719082cc-1ebe-4a51-a659-85a59db1d77d","TCGA-A8-A08G-01A")</f>
        <v>TCGA-A8-A08G-01A</v>
      </c>
      <c r="I13660" t="s">
        <v>17</v>
      </c>
      <c r="J13660" t="s">
        <v>524</v>
      </c>
      <c r="K13660" t="s">
        <v>33</v>
      </c>
      <c r="L13660" t="s">
        <v>20</v>
      </c>
      <c r="N13660" t="s">
        <v>29</v>
      </c>
    </row>
    <row r="13661" spans="1:14">
      <c r="A13661" s="4" t="str">
        <f t="shared" si="1136"/>
        <v>EXP00414</v>
      </c>
      <c r="B13661" s="3" t="s">
        <v>66</v>
      </c>
      <c r="C13661" s="4" t="str">
        <f t="shared" si="1135"/>
        <v>TCGA-BRCA</v>
      </c>
      <c r="D13661" s="1" t="s">
        <v>493</v>
      </c>
      <c r="E13661" t="s">
        <v>532</v>
      </c>
      <c r="F13661" s="1">
        <v>2</v>
      </c>
      <c r="G13661" s="1" t="s">
        <v>32</v>
      </c>
      <c r="H13661" s="4" t="str">
        <f>HYPERLINK("https://portal.gdc.cancer.gov/cases/db8d38ab-cc61-49ee-863d-40060112f2af","TCGA-A8-A08H-01A")</f>
        <v>TCGA-A8-A08H-01A</v>
      </c>
      <c r="I13661" t="s">
        <v>17</v>
      </c>
      <c r="J13661" t="s">
        <v>524</v>
      </c>
      <c r="K13661" t="s">
        <v>33</v>
      </c>
      <c r="L13661" t="s">
        <v>20</v>
      </c>
      <c r="N13661" t="s">
        <v>29</v>
      </c>
    </row>
    <row r="13662" spans="1:14">
      <c r="A13662" s="4" t="str">
        <f t="shared" si="1136"/>
        <v>EXP00414</v>
      </c>
      <c r="B13662" s="3" t="s">
        <v>66</v>
      </c>
      <c r="C13662" s="4" t="str">
        <f t="shared" si="1135"/>
        <v>TCGA-BRCA</v>
      </c>
      <c r="D13662" s="1" t="s">
        <v>493</v>
      </c>
      <c r="E13662" t="s">
        <v>532</v>
      </c>
      <c r="F13662" s="1">
        <v>2</v>
      </c>
      <c r="G13662" s="1" t="s">
        <v>32</v>
      </c>
      <c r="H13662" s="4" t="str">
        <f>HYPERLINK("https://portal.gdc.cancer.gov/cases/7acf33e7-c386-45fd-8c9a-469600378687","TCGA-A8-A08I-01A")</f>
        <v>TCGA-A8-A08I-01A</v>
      </c>
      <c r="I13662" t="s">
        <v>17</v>
      </c>
      <c r="J13662" t="s">
        <v>524</v>
      </c>
      <c r="K13662" t="s">
        <v>33</v>
      </c>
      <c r="L13662" t="s">
        <v>20</v>
      </c>
      <c r="N13662" t="s">
        <v>29</v>
      </c>
    </row>
    <row r="13663" spans="1:14">
      <c r="A13663" s="4" t="str">
        <f t="shared" si="1136"/>
        <v>EXP00414</v>
      </c>
      <c r="B13663" s="3" t="s">
        <v>66</v>
      </c>
      <c r="C13663" s="4" t="str">
        <f t="shared" si="1135"/>
        <v>TCGA-BRCA</v>
      </c>
      <c r="D13663" s="1" t="s">
        <v>493</v>
      </c>
      <c r="E13663" t="s">
        <v>532</v>
      </c>
      <c r="F13663" s="1">
        <v>2</v>
      </c>
      <c r="G13663" s="1" t="s">
        <v>32</v>
      </c>
      <c r="H13663" s="4" t="str">
        <f>HYPERLINK("https://portal.gdc.cancer.gov/cases/68177e92-4784-45d9-af14-4ce0c00eae74","TCGA-A8-A08J-01A")</f>
        <v>TCGA-A8-A08J-01A</v>
      </c>
      <c r="I13663" t="s">
        <v>17</v>
      </c>
      <c r="J13663" t="s">
        <v>524</v>
      </c>
      <c r="K13663" t="s">
        <v>33</v>
      </c>
      <c r="L13663" t="s">
        <v>20</v>
      </c>
      <c r="N13663" t="s">
        <v>29</v>
      </c>
    </row>
    <row r="13664" spans="1:14">
      <c r="A13664" s="4" t="str">
        <f t="shared" si="1136"/>
        <v>EXP00414</v>
      </c>
      <c r="B13664" s="3" t="s">
        <v>66</v>
      </c>
      <c r="C13664" s="4" t="str">
        <f t="shared" si="1135"/>
        <v>TCGA-BRCA</v>
      </c>
      <c r="D13664" s="1" t="s">
        <v>493</v>
      </c>
      <c r="E13664" t="s">
        <v>532</v>
      </c>
      <c r="F13664" s="1">
        <v>2</v>
      </c>
      <c r="G13664" s="1" t="s">
        <v>32</v>
      </c>
      <c r="H13664" s="4" t="str">
        <f>HYPERLINK("https://portal.gdc.cancer.gov/cases/8bd68696-5eeb-46d7-9dc6-c39c849029a4","TCGA-A8-A08L-01A")</f>
        <v>TCGA-A8-A08L-01A</v>
      </c>
      <c r="I13664" t="s">
        <v>17</v>
      </c>
      <c r="J13664" t="s">
        <v>524</v>
      </c>
      <c r="K13664" t="s">
        <v>33</v>
      </c>
      <c r="L13664" t="s">
        <v>20</v>
      </c>
      <c r="N13664" t="s">
        <v>29</v>
      </c>
    </row>
    <row r="13665" spans="1:14">
      <c r="A13665" s="4" t="str">
        <f t="shared" si="1136"/>
        <v>EXP00414</v>
      </c>
      <c r="B13665" s="3" t="s">
        <v>66</v>
      </c>
      <c r="C13665" s="4" t="str">
        <f t="shared" si="1135"/>
        <v>TCGA-BRCA</v>
      </c>
      <c r="D13665" s="1" t="s">
        <v>493</v>
      </c>
      <c r="E13665" t="s">
        <v>532</v>
      </c>
      <c r="F13665" s="1">
        <v>2</v>
      </c>
      <c r="G13665" s="1" t="s">
        <v>32</v>
      </c>
      <c r="H13665" s="4" t="str">
        <f>HYPERLINK("https://portal.gdc.cancer.gov/cases/5f5964a8-8e07-4620-98f0-93d162dbc31e","TCGA-A8-A08O-01A")</f>
        <v>TCGA-A8-A08O-01A</v>
      </c>
      <c r="I13665" t="s">
        <v>17</v>
      </c>
      <c r="J13665" t="s">
        <v>524</v>
      </c>
      <c r="K13665" t="s">
        <v>33</v>
      </c>
      <c r="L13665" t="s">
        <v>20</v>
      </c>
      <c r="N13665" t="s">
        <v>29</v>
      </c>
    </row>
    <row r="13666" spans="1:14">
      <c r="A13666" s="4" t="str">
        <f t="shared" si="1136"/>
        <v>EXP00414</v>
      </c>
      <c r="B13666" s="3" t="s">
        <v>66</v>
      </c>
      <c r="C13666" s="4" t="str">
        <f t="shared" si="1135"/>
        <v>TCGA-BRCA</v>
      </c>
      <c r="D13666" s="1" t="s">
        <v>493</v>
      </c>
      <c r="E13666" t="s">
        <v>532</v>
      </c>
      <c r="F13666" s="1">
        <v>2</v>
      </c>
      <c r="G13666" s="1" t="s">
        <v>32</v>
      </c>
      <c r="H13666" s="4" t="str">
        <f>HYPERLINK("https://portal.gdc.cancer.gov/cases/6412854a-f874-469e-9d1f-8bd3ae5bd41d","TCGA-A8-A08R-01A")</f>
        <v>TCGA-A8-A08R-01A</v>
      </c>
      <c r="I13666" t="s">
        <v>17</v>
      </c>
      <c r="J13666" t="s">
        <v>524</v>
      </c>
      <c r="K13666" t="s">
        <v>33</v>
      </c>
      <c r="L13666" t="s">
        <v>20</v>
      </c>
      <c r="N13666" t="s">
        <v>29</v>
      </c>
    </row>
    <row r="13667" spans="1:14">
      <c r="A13667" s="4" t="str">
        <f t="shared" si="1136"/>
        <v>EXP00414</v>
      </c>
      <c r="B13667" s="3" t="s">
        <v>66</v>
      </c>
      <c r="C13667" s="4" t="str">
        <f t="shared" si="1135"/>
        <v>TCGA-BRCA</v>
      </c>
      <c r="D13667" s="1" t="s">
        <v>493</v>
      </c>
      <c r="E13667" t="s">
        <v>532</v>
      </c>
      <c r="F13667" s="1">
        <v>2</v>
      </c>
      <c r="G13667" s="1" t="s">
        <v>32</v>
      </c>
      <c r="H13667" s="4" t="str">
        <f>HYPERLINK("https://portal.gdc.cancer.gov/cases/2779fa01-ac93-4e80-a997-3385f72172c3","TCGA-A8-A08S-01A")</f>
        <v>TCGA-A8-A08S-01A</v>
      </c>
      <c r="I13667" t="s">
        <v>17</v>
      </c>
      <c r="J13667" t="s">
        <v>524</v>
      </c>
      <c r="K13667" t="s">
        <v>33</v>
      </c>
      <c r="L13667" t="s">
        <v>20</v>
      </c>
      <c r="N13667" t="s">
        <v>29</v>
      </c>
    </row>
    <row r="13668" spans="1:14">
      <c r="A13668" s="4" t="str">
        <f t="shared" si="1136"/>
        <v>EXP00414</v>
      </c>
      <c r="B13668" s="3" t="s">
        <v>66</v>
      </c>
      <c r="C13668" s="4" t="str">
        <f t="shared" si="1135"/>
        <v>TCGA-BRCA</v>
      </c>
      <c r="D13668" s="1" t="s">
        <v>493</v>
      </c>
      <c r="E13668" t="s">
        <v>532</v>
      </c>
      <c r="F13668" s="1">
        <v>2</v>
      </c>
      <c r="G13668" s="1" t="s">
        <v>32</v>
      </c>
      <c r="H13668" s="4" t="str">
        <f>HYPERLINK("https://portal.gdc.cancer.gov/cases/32bc7cc4-d185-4594-bbee-4b96410be512","TCGA-A8-A08T-01A")</f>
        <v>TCGA-A8-A08T-01A</v>
      </c>
      <c r="I13668" t="s">
        <v>17</v>
      </c>
      <c r="J13668" t="s">
        <v>524</v>
      </c>
      <c r="K13668" t="s">
        <v>33</v>
      </c>
      <c r="L13668" t="s">
        <v>20</v>
      </c>
      <c r="N13668" t="s">
        <v>29</v>
      </c>
    </row>
    <row r="13669" spans="1:14">
      <c r="A13669" s="4" t="str">
        <f t="shared" si="1136"/>
        <v>EXP00414</v>
      </c>
      <c r="B13669" s="3" t="s">
        <v>66</v>
      </c>
      <c r="C13669" s="4" t="str">
        <f t="shared" si="1135"/>
        <v>TCGA-BRCA</v>
      </c>
      <c r="D13669" s="1" t="s">
        <v>493</v>
      </c>
      <c r="E13669" t="s">
        <v>532</v>
      </c>
      <c r="F13669" s="1">
        <v>2</v>
      </c>
      <c r="G13669" s="1" t="s">
        <v>32</v>
      </c>
      <c r="H13669" s="4" t="str">
        <f>HYPERLINK("https://portal.gdc.cancer.gov/cases/f5539207-6534-4edc-a5a5-7666b5d16ba4","TCGA-A8-A08X-01A")</f>
        <v>TCGA-A8-A08X-01A</v>
      </c>
      <c r="I13669" t="s">
        <v>17</v>
      </c>
      <c r="J13669" t="s">
        <v>524</v>
      </c>
      <c r="K13669" t="s">
        <v>33</v>
      </c>
      <c r="L13669" t="s">
        <v>20</v>
      </c>
      <c r="N13669" t="s">
        <v>29</v>
      </c>
    </row>
    <row r="13670" spans="1:14">
      <c r="A13670" s="4" t="str">
        <f t="shared" si="1136"/>
        <v>EXP00414</v>
      </c>
      <c r="B13670" s="3" t="s">
        <v>66</v>
      </c>
      <c r="C13670" s="4" t="str">
        <f t="shared" si="1135"/>
        <v>TCGA-BRCA</v>
      </c>
      <c r="D13670" s="1" t="s">
        <v>493</v>
      </c>
      <c r="E13670" t="s">
        <v>532</v>
      </c>
      <c r="F13670" s="1">
        <v>2</v>
      </c>
      <c r="G13670" s="1" t="s">
        <v>32</v>
      </c>
      <c r="H13670" s="4" t="str">
        <f>HYPERLINK("https://portal.gdc.cancer.gov/cases/d7808cbc-4b8c-467b-b2c3-f48d05b9ecab","TCGA-A8-A08Z-01A")</f>
        <v>TCGA-A8-A08Z-01A</v>
      </c>
      <c r="I13670" t="s">
        <v>17</v>
      </c>
      <c r="J13670" t="s">
        <v>524</v>
      </c>
      <c r="K13670" t="s">
        <v>33</v>
      </c>
      <c r="L13670" t="s">
        <v>20</v>
      </c>
      <c r="N13670" t="s">
        <v>29</v>
      </c>
    </row>
    <row r="13671" spans="1:14">
      <c r="A13671" s="4" t="str">
        <f t="shared" si="1136"/>
        <v>EXP00414</v>
      </c>
      <c r="B13671" s="3" t="s">
        <v>66</v>
      </c>
      <c r="C13671" s="4" t="str">
        <f t="shared" si="1135"/>
        <v>TCGA-BRCA</v>
      </c>
      <c r="D13671" s="1" t="s">
        <v>493</v>
      </c>
      <c r="E13671" t="s">
        <v>532</v>
      </c>
      <c r="F13671" s="1">
        <v>2</v>
      </c>
      <c r="G13671" s="1" t="s">
        <v>32</v>
      </c>
      <c r="H13671" s="4" t="str">
        <f>HYPERLINK("https://portal.gdc.cancer.gov/cases/f4b69043-4a67-48e3-a4d1-72a21ae2d175","TCGA-A8-A090-01A")</f>
        <v>TCGA-A8-A090-01A</v>
      </c>
      <c r="I13671" t="s">
        <v>17</v>
      </c>
      <c r="J13671" t="s">
        <v>524</v>
      </c>
      <c r="K13671" t="s">
        <v>33</v>
      </c>
      <c r="L13671" t="s">
        <v>20</v>
      </c>
      <c r="N13671" t="s">
        <v>29</v>
      </c>
    </row>
    <row r="13672" spans="1:14">
      <c r="A13672" s="4" t="str">
        <f t="shared" si="1136"/>
        <v>EXP00414</v>
      </c>
      <c r="B13672" s="3" t="s">
        <v>66</v>
      </c>
      <c r="C13672" s="4" t="str">
        <f t="shared" si="1135"/>
        <v>TCGA-BRCA</v>
      </c>
      <c r="D13672" s="1" t="s">
        <v>493</v>
      </c>
      <c r="E13672" t="s">
        <v>532</v>
      </c>
      <c r="F13672" s="1">
        <v>2</v>
      </c>
      <c r="G13672" s="1" t="s">
        <v>32</v>
      </c>
      <c r="H13672" s="4" t="str">
        <f>HYPERLINK("https://portal.gdc.cancer.gov/cases/f39edd06-1016-4e8e-a42e-12f7e699ddc5","TCGA-A8-A091-01A")</f>
        <v>TCGA-A8-A091-01A</v>
      </c>
      <c r="I13672" t="s">
        <v>17</v>
      </c>
      <c r="J13672" t="s">
        <v>524</v>
      </c>
      <c r="K13672" t="s">
        <v>33</v>
      </c>
      <c r="L13672" t="s">
        <v>20</v>
      </c>
      <c r="N13672" t="s">
        <v>29</v>
      </c>
    </row>
    <row r="13673" spans="1:14">
      <c r="A13673" s="4" t="str">
        <f t="shared" si="1136"/>
        <v>EXP00414</v>
      </c>
      <c r="B13673" s="3" t="s">
        <v>66</v>
      </c>
      <c r="C13673" s="4" t="str">
        <f t="shared" si="1135"/>
        <v>TCGA-BRCA</v>
      </c>
      <c r="D13673" s="1" t="s">
        <v>493</v>
      </c>
      <c r="E13673" t="s">
        <v>532</v>
      </c>
      <c r="F13673" s="1">
        <v>2</v>
      </c>
      <c r="G13673" s="1" t="s">
        <v>32</v>
      </c>
      <c r="H13673" s="4" t="str">
        <f>HYPERLINK("https://portal.gdc.cancer.gov/cases/38a8b734-9acc-42f9-b5b7-e51b0dfc6504","TCGA-A8-A092-01A")</f>
        <v>TCGA-A8-A092-01A</v>
      </c>
      <c r="I13673" t="s">
        <v>17</v>
      </c>
      <c r="J13673" t="s">
        <v>524</v>
      </c>
      <c r="K13673" t="s">
        <v>33</v>
      </c>
      <c r="L13673" t="s">
        <v>20</v>
      </c>
      <c r="N13673" t="s">
        <v>29</v>
      </c>
    </row>
    <row r="13674" spans="1:14">
      <c r="A13674" s="4" t="str">
        <f t="shared" si="1136"/>
        <v>EXP00414</v>
      </c>
      <c r="B13674" s="3" t="s">
        <v>66</v>
      </c>
      <c r="C13674" s="4" t="str">
        <f t="shared" si="1135"/>
        <v>TCGA-BRCA</v>
      </c>
      <c r="D13674" s="1" t="s">
        <v>493</v>
      </c>
      <c r="E13674" t="s">
        <v>532</v>
      </c>
      <c r="F13674" s="1">
        <v>2</v>
      </c>
      <c r="G13674" s="1" t="s">
        <v>32</v>
      </c>
      <c r="H13674" s="4" t="str">
        <f>HYPERLINK("https://portal.gdc.cancer.gov/cases/02f5ae33-a563-4ecb-9e33-dfa500a44931","TCGA-A8-A093-01A")</f>
        <v>TCGA-A8-A093-01A</v>
      </c>
      <c r="I13674" t="s">
        <v>17</v>
      </c>
      <c r="J13674" t="s">
        <v>524</v>
      </c>
      <c r="K13674" t="s">
        <v>33</v>
      </c>
      <c r="L13674" t="s">
        <v>20</v>
      </c>
      <c r="N13674" t="s">
        <v>29</v>
      </c>
    </row>
    <row r="13675" spans="1:14">
      <c r="A13675" s="4" t="str">
        <f t="shared" si="1136"/>
        <v>EXP00414</v>
      </c>
      <c r="B13675" s="3" t="s">
        <v>66</v>
      </c>
      <c r="C13675" s="4" t="str">
        <f t="shared" si="1135"/>
        <v>TCGA-BRCA</v>
      </c>
      <c r="D13675" s="1" t="s">
        <v>493</v>
      </c>
      <c r="E13675" t="s">
        <v>532</v>
      </c>
      <c r="F13675" s="1">
        <v>2</v>
      </c>
      <c r="G13675" s="1" t="s">
        <v>32</v>
      </c>
      <c r="H13675" s="4" t="str">
        <f>HYPERLINK("https://portal.gdc.cancer.gov/cases/993103b1-e5a1-4c33-8629-be53ebc41d64","TCGA-A8-A094-01A")</f>
        <v>TCGA-A8-A094-01A</v>
      </c>
      <c r="I13675" t="s">
        <v>17</v>
      </c>
      <c r="J13675" t="s">
        <v>524</v>
      </c>
      <c r="K13675" t="s">
        <v>33</v>
      </c>
      <c r="L13675" t="s">
        <v>20</v>
      </c>
      <c r="N13675" t="s">
        <v>29</v>
      </c>
    </row>
    <row r="13676" spans="1:14">
      <c r="A13676" s="4" t="str">
        <f t="shared" si="1136"/>
        <v>EXP00414</v>
      </c>
      <c r="B13676" s="3" t="s">
        <v>66</v>
      </c>
      <c r="C13676" s="4" t="str">
        <f t="shared" si="1135"/>
        <v>TCGA-BRCA</v>
      </c>
      <c r="D13676" s="1" t="s">
        <v>493</v>
      </c>
      <c r="E13676" t="s">
        <v>532</v>
      </c>
      <c r="F13676" s="1">
        <v>2</v>
      </c>
      <c r="G13676" s="1" t="s">
        <v>32</v>
      </c>
      <c r="H13676" s="4" t="str">
        <f>HYPERLINK("https://portal.gdc.cancer.gov/cases/29df128d-ace2-40cf-88ee-3f6f2170f159","TCGA-A8-A095-01A")</f>
        <v>TCGA-A8-A095-01A</v>
      </c>
      <c r="I13676" t="s">
        <v>17</v>
      </c>
      <c r="J13676" t="s">
        <v>524</v>
      </c>
      <c r="K13676" t="s">
        <v>33</v>
      </c>
      <c r="L13676" t="s">
        <v>20</v>
      </c>
      <c r="N13676" t="s">
        <v>29</v>
      </c>
    </row>
    <row r="13677" spans="1:14">
      <c r="A13677" s="4" t="str">
        <f t="shared" si="1136"/>
        <v>EXP00414</v>
      </c>
      <c r="B13677" s="3" t="s">
        <v>66</v>
      </c>
      <c r="C13677" s="4" t="str">
        <f t="shared" si="1135"/>
        <v>TCGA-BRCA</v>
      </c>
      <c r="D13677" s="1" t="s">
        <v>493</v>
      </c>
      <c r="E13677" t="s">
        <v>532</v>
      </c>
      <c r="F13677" s="1">
        <v>2</v>
      </c>
      <c r="G13677" s="1" t="s">
        <v>32</v>
      </c>
      <c r="H13677" s="4" t="str">
        <f>HYPERLINK("https://portal.gdc.cancer.gov/cases/d7cac141-9269-4733-83ce-e1bc0b503254","TCGA-A8-A096-01A")</f>
        <v>TCGA-A8-A096-01A</v>
      </c>
      <c r="I13677" t="s">
        <v>17</v>
      </c>
      <c r="J13677" t="s">
        <v>524</v>
      </c>
      <c r="K13677" t="s">
        <v>33</v>
      </c>
      <c r="L13677" t="s">
        <v>20</v>
      </c>
      <c r="N13677" t="s">
        <v>29</v>
      </c>
    </row>
    <row r="13678" spans="1:14">
      <c r="A13678" s="4" t="str">
        <f t="shared" si="1136"/>
        <v>EXP00414</v>
      </c>
      <c r="B13678" s="3" t="s">
        <v>66</v>
      </c>
      <c r="C13678" s="4" t="str">
        <f t="shared" si="1135"/>
        <v>TCGA-BRCA</v>
      </c>
      <c r="D13678" s="1" t="s">
        <v>493</v>
      </c>
      <c r="E13678" t="s">
        <v>532</v>
      </c>
      <c r="F13678" s="1">
        <v>2</v>
      </c>
      <c r="G13678" s="1" t="s">
        <v>32</v>
      </c>
      <c r="H13678" s="4" t="str">
        <f>HYPERLINK("https://portal.gdc.cancer.gov/cases/dcfd0b1d-5707-44a6-b225-5e8f7cea5ca1","TCGA-A8-A097-01A")</f>
        <v>TCGA-A8-A097-01A</v>
      </c>
      <c r="I13678" t="s">
        <v>17</v>
      </c>
      <c r="J13678" t="s">
        <v>524</v>
      </c>
      <c r="K13678" t="s">
        <v>33</v>
      </c>
      <c r="L13678" t="s">
        <v>20</v>
      </c>
      <c r="N13678" t="s">
        <v>29</v>
      </c>
    </row>
    <row r="13679" spans="1:14">
      <c r="A13679" s="4" t="str">
        <f t="shared" si="1136"/>
        <v>EXP00414</v>
      </c>
      <c r="B13679" s="3" t="s">
        <v>66</v>
      </c>
      <c r="C13679" s="4" t="str">
        <f t="shared" si="1135"/>
        <v>TCGA-BRCA</v>
      </c>
      <c r="D13679" s="1" t="s">
        <v>493</v>
      </c>
      <c r="E13679" t="s">
        <v>532</v>
      </c>
      <c r="F13679" s="1">
        <v>2</v>
      </c>
      <c r="G13679" s="1" t="s">
        <v>32</v>
      </c>
      <c r="H13679" s="4" t="str">
        <f>HYPERLINK("https://portal.gdc.cancer.gov/cases/e98b69bc-766a-485f-b5e8-9166b8d457b3","TCGA-A8-A099-01A")</f>
        <v>TCGA-A8-A099-01A</v>
      </c>
      <c r="I13679" t="s">
        <v>17</v>
      </c>
      <c r="J13679" t="s">
        <v>524</v>
      </c>
      <c r="K13679" t="s">
        <v>33</v>
      </c>
      <c r="L13679" t="s">
        <v>20</v>
      </c>
      <c r="N13679" t="s">
        <v>29</v>
      </c>
    </row>
    <row r="13680" spans="1:14">
      <c r="A13680" s="4" t="str">
        <f t="shared" si="1136"/>
        <v>EXP00414</v>
      </c>
      <c r="B13680" s="3" t="s">
        <v>66</v>
      </c>
      <c r="C13680" s="4" t="str">
        <f t="shared" si="1135"/>
        <v>TCGA-BRCA</v>
      </c>
      <c r="D13680" s="1" t="s">
        <v>493</v>
      </c>
      <c r="E13680" t="s">
        <v>532</v>
      </c>
      <c r="F13680" s="1">
        <v>2</v>
      </c>
      <c r="G13680" s="1" t="s">
        <v>32</v>
      </c>
      <c r="H13680" s="4" t="str">
        <f>HYPERLINK("https://portal.gdc.cancer.gov/cases/b205bba0-1870-4458-9088-8817e20389fe","TCGA-A8-A09A-01A")</f>
        <v>TCGA-A8-A09A-01A</v>
      </c>
      <c r="I13680" t="s">
        <v>17</v>
      </c>
      <c r="J13680" t="s">
        <v>524</v>
      </c>
      <c r="K13680" t="s">
        <v>33</v>
      </c>
      <c r="L13680" t="s">
        <v>20</v>
      </c>
      <c r="N13680" t="s">
        <v>29</v>
      </c>
    </row>
    <row r="13681" spans="1:14">
      <c r="A13681" s="4" t="str">
        <f t="shared" si="1136"/>
        <v>EXP00414</v>
      </c>
      <c r="B13681" s="3" t="s">
        <v>66</v>
      </c>
      <c r="C13681" s="4" t="str">
        <f t="shared" si="1135"/>
        <v>TCGA-BRCA</v>
      </c>
      <c r="D13681" s="1" t="s">
        <v>493</v>
      </c>
      <c r="E13681" t="s">
        <v>532</v>
      </c>
      <c r="F13681" s="1">
        <v>2</v>
      </c>
      <c r="G13681" s="1" t="s">
        <v>32</v>
      </c>
      <c r="H13681" s="4" t="str">
        <f>HYPERLINK("https://portal.gdc.cancer.gov/cases/3828b534-908e-4953-a3fb-07d01cf49c7d","TCGA-A8-A09B-01A")</f>
        <v>TCGA-A8-A09B-01A</v>
      </c>
      <c r="I13681" t="s">
        <v>17</v>
      </c>
      <c r="J13681" t="s">
        <v>524</v>
      </c>
      <c r="K13681" t="s">
        <v>33</v>
      </c>
      <c r="L13681" t="s">
        <v>20</v>
      </c>
      <c r="N13681" t="s">
        <v>29</v>
      </c>
    </row>
    <row r="13682" spans="1:14">
      <c r="A13682" s="4" t="str">
        <f t="shared" si="1136"/>
        <v>EXP00414</v>
      </c>
      <c r="B13682" s="3" t="s">
        <v>66</v>
      </c>
      <c r="C13682" s="4" t="str">
        <f t="shared" si="1135"/>
        <v>TCGA-BRCA</v>
      </c>
      <c r="D13682" s="1" t="s">
        <v>493</v>
      </c>
      <c r="E13682" t="s">
        <v>532</v>
      </c>
      <c r="F13682" s="1">
        <v>2</v>
      </c>
      <c r="G13682" s="1" t="s">
        <v>32</v>
      </c>
      <c r="H13682" s="4" t="str">
        <f>HYPERLINK("https://portal.gdc.cancer.gov/cases/36449392-de76-4ee9-bc09-627a07e18727","TCGA-A8-A09D-01A")</f>
        <v>TCGA-A8-A09D-01A</v>
      </c>
      <c r="I13682" t="s">
        <v>17</v>
      </c>
      <c r="J13682" t="s">
        <v>524</v>
      </c>
      <c r="K13682" t="s">
        <v>33</v>
      </c>
      <c r="L13682" t="s">
        <v>20</v>
      </c>
      <c r="N13682" t="s">
        <v>29</v>
      </c>
    </row>
    <row r="13683" spans="1:14">
      <c r="A13683" s="4" t="str">
        <f t="shared" si="1136"/>
        <v>EXP00414</v>
      </c>
      <c r="B13683" s="3" t="s">
        <v>66</v>
      </c>
      <c r="C13683" s="4" t="str">
        <f t="shared" si="1135"/>
        <v>TCGA-BRCA</v>
      </c>
      <c r="D13683" s="1" t="s">
        <v>493</v>
      </c>
      <c r="E13683" t="s">
        <v>532</v>
      </c>
      <c r="F13683" s="1">
        <v>2</v>
      </c>
      <c r="G13683" s="1" t="s">
        <v>32</v>
      </c>
      <c r="H13683" s="4" t="str">
        <f>HYPERLINK("https://portal.gdc.cancer.gov/cases/dfefb76a-ec6b-4cd2-9d45-2e1e4befc7ea","TCGA-A8-A09E-01A")</f>
        <v>TCGA-A8-A09E-01A</v>
      </c>
      <c r="I13683" t="s">
        <v>17</v>
      </c>
      <c r="J13683" t="s">
        <v>524</v>
      </c>
      <c r="K13683" t="s">
        <v>33</v>
      </c>
      <c r="L13683" t="s">
        <v>20</v>
      </c>
      <c r="N13683" t="s">
        <v>29</v>
      </c>
    </row>
    <row r="13684" spans="1:14">
      <c r="A13684" s="4" t="str">
        <f t="shared" si="1136"/>
        <v>EXP00414</v>
      </c>
      <c r="B13684" s="3" t="s">
        <v>66</v>
      </c>
      <c r="C13684" s="4" t="str">
        <f t="shared" si="1135"/>
        <v>TCGA-BRCA</v>
      </c>
      <c r="D13684" s="1" t="s">
        <v>493</v>
      </c>
      <c r="E13684" t="s">
        <v>532</v>
      </c>
      <c r="F13684" s="1">
        <v>2</v>
      </c>
      <c r="G13684" s="1" t="s">
        <v>32</v>
      </c>
      <c r="H13684" s="4" t="str">
        <f>HYPERLINK("https://portal.gdc.cancer.gov/cases/3927f736-3b5c-48c8-9d9e-83669ec44770","TCGA-A8-A09G-01A")</f>
        <v>TCGA-A8-A09G-01A</v>
      </c>
      <c r="I13684" t="s">
        <v>17</v>
      </c>
      <c r="J13684" t="s">
        <v>524</v>
      </c>
      <c r="K13684" t="s">
        <v>33</v>
      </c>
      <c r="L13684" t="s">
        <v>20</v>
      </c>
      <c r="N13684" t="s">
        <v>29</v>
      </c>
    </row>
    <row r="13685" spans="1:14">
      <c r="A13685" s="4" t="str">
        <f t="shared" si="1136"/>
        <v>EXP00414</v>
      </c>
      <c r="B13685" s="3" t="s">
        <v>66</v>
      </c>
      <c r="C13685" s="4" t="str">
        <f t="shared" si="1135"/>
        <v>TCGA-BRCA</v>
      </c>
      <c r="D13685" s="1" t="s">
        <v>493</v>
      </c>
      <c r="E13685" t="s">
        <v>532</v>
      </c>
      <c r="F13685" s="1">
        <v>2</v>
      </c>
      <c r="G13685" s="1" t="s">
        <v>32</v>
      </c>
      <c r="H13685" s="4" t="str">
        <f>HYPERLINK("https://portal.gdc.cancer.gov/cases/1557183c-aedd-4df6-b98a-3654667f7b69","TCGA-A8-A09I-01A")</f>
        <v>TCGA-A8-A09I-01A</v>
      </c>
      <c r="I13685" t="s">
        <v>17</v>
      </c>
      <c r="J13685" t="s">
        <v>524</v>
      </c>
      <c r="K13685" t="s">
        <v>33</v>
      </c>
      <c r="L13685" t="s">
        <v>20</v>
      </c>
      <c r="N13685" t="s">
        <v>29</v>
      </c>
    </row>
    <row r="13686" spans="1:14">
      <c r="A13686" s="4" t="str">
        <f t="shared" si="1136"/>
        <v>EXP00414</v>
      </c>
      <c r="B13686" s="3" t="s">
        <v>66</v>
      </c>
      <c r="C13686" s="4" t="str">
        <f t="shared" si="1135"/>
        <v>TCGA-BRCA</v>
      </c>
      <c r="D13686" s="1" t="s">
        <v>493</v>
      </c>
      <c r="E13686" t="s">
        <v>532</v>
      </c>
      <c r="F13686" s="1">
        <v>2</v>
      </c>
      <c r="G13686" s="1" t="s">
        <v>32</v>
      </c>
      <c r="H13686" s="4" t="str">
        <f>HYPERLINK("https://portal.gdc.cancer.gov/cases/6f959c92-b79f-4f84-9ee5-d07d3212d52d","TCGA-A8-A09K-01A")</f>
        <v>TCGA-A8-A09K-01A</v>
      </c>
      <c r="I13686" t="s">
        <v>17</v>
      </c>
      <c r="J13686" t="s">
        <v>524</v>
      </c>
      <c r="K13686" t="s">
        <v>33</v>
      </c>
      <c r="L13686" t="s">
        <v>20</v>
      </c>
      <c r="N13686" t="s">
        <v>29</v>
      </c>
    </row>
    <row r="13687" spans="1:14">
      <c r="A13687" s="4" t="str">
        <f t="shared" si="1136"/>
        <v>EXP00414</v>
      </c>
      <c r="B13687" s="3" t="s">
        <v>66</v>
      </c>
      <c r="C13687" s="4" t="str">
        <f t="shared" si="1135"/>
        <v>TCGA-BRCA</v>
      </c>
      <c r="D13687" s="1" t="s">
        <v>493</v>
      </c>
      <c r="E13687" t="s">
        <v>532</v>
      </c>
      <c r="F13687" s="1">
        <v>2</v>
      </c>
      <c r="G13687" s="1" t="s">
        <v>32</v>
      </c>
      <c r="H13687" s="4" t="str">
        <f>HYPERLINK("https://portal.gdc.cancer.gov/cases/626b4ff0-2188-4a14-aac8-6703c624917f","TCGA-A8-A09M-01A")</f>
        <v>TCGA-A8-A09M-01A</v>
      </c>
      <c r="I13687" t="s">
        <v>17</v>
      </c>
      <c r="J13687" t="s">
        <v>524</v>
      </c>
      <c r="K13687" t="s">
        <v>33</v>
      </c>
      <c r="L13687" t="s">
        <v>20</v>
      </c>
      <c r="N13687" t="s">
        <v>29</v>
      </c>
    </row>
    <row r="13688" spans="1:14">
      <c r="A13688" s="4" t="str">
        <f t="shared" si="1136"/>
        <v>EXP00414</v>
      </c>
      <c r="B13688" s="3" t="s">
        <v>66</v>
      </c>
      <c r="C13688" s="4" t="str">
        <f t="shared" si="1135"/>
        <v>TCGA-BRCA</v>
      </c>
      <c r="D13688" s="1" t="s">
        <v>493</v>
      </c>
      <c r="E13688" t="s">
        <v>532</v>
      </c>
      <c r="F13688" s="1">
        <v>2</v>
      </c>
      <c r="G13688" s="1" t="s">
        <v>32</v>
      </c>
      <c r="H13688" s="4" t="str">
        <f>HYPERLINK("https://portal.gdc.cancer.gov/cases/33919e92-4ea9-47e5-a6f4-36e51845d50f","TCGA-A8-A09N-01A")</f>
        <v>TCGA-A8-A09N-01A</v>
      </c>
      <c r="I13688" t="s">
        <v>17</v>
      </c>
      <c r="J13688" t="s">
        <v>524</v>
      </c>
      <c r="K13688" t="s">
        <v>33</v>
      </c>
      <c r="L13688" t="s">
        <v>20</v>
      </c>
      <c r="N13688" t="s">
        <v>29</v>
      </c>
    </row>
    <row r="13689" spans="1:14">
      <c r="A13689" s="4" t="str">
        <f t="shared" si="1136"/>
        <v>EXP00414</v>
      </c>
      <c r="B13689" s="3" t="s">
        <v>66</v>
      </c>
      <c r="C13689" s="4" t="str">
        <f t="shared" si="1135"/>
        <v>TCGA-BRCA</v>
      </c>
      <c r="D13689" s="1" t="s">
        <v>493</v>
      </c>
      <c r="E13689" t="s">
        <v>532</v>
      </c>
      <c r="F13689" s="1">
        <v>2</v>
      </c>
      <c r="G13689" s="1" t="s">
        <v>32</v>
      </c>
      <c r="H13689" s="4" t="str">
        <f>HYPERLINK("https://portal.gdc.cancer.gov/cases/09c2bc35-c21f-4aa4-ac30-0d8db02ad811","TCGA-A8-A09Q-01A")</f>
        <v>TCGA-A8-A09Q-01A</v>
      </c>
      <c r="I13689" t="s">
        <v>17</v>
      </c>
      <c r="J13689" t="s">
        <v>524</v>
      </c>
      <c r="K13689" t="s">
        <v>33</v>
      </c>
      <c r="L13689" t="s">
        <v>20</v>
      </c>
      <c r="N13689" t="s">
        <v>29</v>
      </c>
    </row>
    <row r="13690" spans="1:14">
      <c r="A13690" s="4" t="str">
        <f t="shared" si="1136"/>
        <v>EXP00414</v>
      </c>
      <c r="B13690" s="3" t="s">
        <v>66</v>
      </c>
      <c r="C13690" s="4" t="str">
        <f t="shared" ref="C13690:C13753" si="1137">HYPERLINK("https://portal.gdc.cancer.gov/projects/TCGA-BRCA","TCGA-BRCA")</f>
        <v>TCGA-BRCA</v>
      </c>
      <c r="D13690" s="1" t="s">
        <v>493</v>
      </c>
      <c r="E13690" t="s">
        <v>532</v>
      </c>
      <c r="F13690" s="1">
        <v>2</v>
      </c>
      <c r="G13690" s="1" t="s">
        <v>32</v>
      </c>
      <c r="H13690" s="4" t="str">
        <f>HYPERLINK("https://portal.gdc.cancer.gov/cases/cb0a2055-2168-4454-8755-47dd613db36f","TCGA-A8-A09R-01A")</f>
        <v>TCGA-A8-A09R-01A</v>
      </c>
      <c r="I13690" t="s">
        <v>17</v>
      </c>
      <c r="J13690" t="s">
        <v>524</v>
      </c>
      <c r="K13690" t="s">
        <v>33</v>
      </c>
      <c r="L13690" t="s">
        <v>20</v>
      </c>
      <c r="N13690" t="s">
        <v>29</v>
      </c>
    </row>
    <row r="13691" spans="1:14">
      <c r="A13691" s="4" t="str">
        <f t="shared" si="1136"/>
        <v>EXP00414</v>
      </c>
      <c r="B13691" s="3" t="s">
        <v>66</v>
      </c>
      <c r="C13691" s="4" t="str">
        <f t="shared" si="1137"/>
        <v>TCGA-BRCA</v>
      </c>
      <c r="D13691" s="1" t="s">
        <v>493</v>
      </c>
      <c r="E13691" t="s">
        <v>532</v>
      </c>
      <c r="F13691" s="1">
        <v>2</v>
      </c>
      <c r="G13691" s="1" t="s">
        <v>32</v>
      </c>
      <c r="H13691" s="4" t="str">
        <f>HYPERLINK("https://portal.gdc.cancer.gov/cases/0adf59c6-581a-475d-a2f4-40aa40060b5b","TCGA-A8-A09T-01A")</f>
        <v>TCGA-A8-A09T-01A</v>
      </c>
      <c r="I13691" t="s">
        <v>17</v>
      </c>
      <c r="J13691" t="s">
        <v>524</v>
      </c>
      <c r="K13691" t="s">
        <v>33</v>
      </c>
      <c r="L13691" t="s">
        <v>20</v>
      </c>
      <c r="N13691" t="s">
        <v>29</v>
      </c>
    </row>
    <row r="13692" spans="1:14">
      <c r="A13692" s="4" t="str">
        <f t="shared" si="1136"/>
        <v>EXP00414</v>
      </c>
      <c r="B13692" s="3" t="s">
        <v>66</v>
      </c>
      <c r="C13692" s="4" t="str">
        <f t="shared" si="1137"/>
        <v>TCGA-BRCA</v>
      </c>
      <c r="D13692" s="1" t="s">
        <v>493</v>
      </c>
      <c r="E13692" t="s">
        <v>532</v>
      </c>
      <c r="F13692" s="1">
        <v>2</v>
      </c>
      <c r="G13692" s="1" t="s">
        <v>32</v>
      </c>
      <c r="H13692" s="4" t="str">
        <f>HYPERLINK("https://portal.gdc.cancer.gov/cases/27b05b15-a44b-45ed-a6e3-e7d1ca488ea9","TCGA-A8-A09X-01A")</f>
        <v>TCGA-A8-A09X-01A</v>
      </c>
      <c r="I13692" t="s">
        <v>17</v>
      </c>
      <c r="J13692" t="s">
        <v>524</v>
      </c>
      <c r="K13692" t="s">
        <v>33</v>
      </c>
      <c r="L13692" t="s">
        <v>20</v>
      </c>
      <c r="N13692" t="s">
        <v>29</v>
      </c>
    </row>
    <row r="13693" spans="1:14">
      <c r="A13693" s="4" t="str">
        <f t="shared" si="1136"/>
        <v>EXP00414</v>
      </c>
      <c r="B13693" s="3" t="s">
        <v>66</v>
      </c>
      <c r="C13693" s="4" t="str">
        <f t="shared" si="1137"/>
        <v>TCGA-BRCA</v>
      </c>
      <c r="D13693" s="1" t="s">
        <v>493</v>
      </c>
      <c r="E13693" t="s">
        <v>532</v>
      </c>
      <c r="F13693" s="1">
        <v>2</v>
      </c>
      <c r="G13693" s="1" t="s">
        <v>32</v>
      </c>
      <c r="H13693" s="4" t="str">
        <f>HYPERLINK("https://portal.gdc.cancer.gov/cases/81e7a3d3-be70-4834-8018-4d2cc077a4e6","TCGA-A8-A09Z-01A")</f>
        <v>TCGA-A8-A09Z-01A</v>
      </c>
      <c r="I13693" t="s">
        <v>17</v>
      </c>
      <c r="J13693" t="s">
        <v>524</v>
      </c>
      <c r="K13693" t="s">
        <v>33</v>
      </c>
      <c r="L13693" t="s">
        <v>20</v>
      </c>
      <c r="N13693" t="s">
        <v>29</v>
      </c>
    </row>
    <row r="13694" spans="1:14">
      <c r="A13694" s="4" t="str">
        <f t="shared" si="1136"/>
        <v>EXP00414</v>
      </c>
      <c r="B13694" s="3" t="s">
        <v>66</v>
      </c>
      <c r="C13694" s="4" t="str">
        <f t="shared" si="1137"/>
        <v>TCGA-BRCA</v>
      </c>
      <c r="D13694" s="1" t="s">
        <v>493</v>
      </c>
      <c r="E13694" t="s">
        <v>532</v>
      </c>
      <c r="F13694" s="1">
        <v>2</v>
      </c>
      <c r="G13694" s="1" t="s">
        <v>32</v>
      </c>
      <c r="H13694" s="4" t="str">
        <f>HYPERLINK("https://portal.gdc.cancer.gov/cases/3efa245d-177d-4ef9-94f7-f554c54e345e","TCGA-A8-A0A1-01A")</f>
        <v>TCGA-A8-A0A1-01A</v>
      </c>
      <c r="I13694" t="s">
        <v>17</v>
      </c>
      <c r="J13694" t="s">
        <v>524</v>
      </c>
      <c r="K13694" t="s">
        <v>33</v>
      </c>
      <c r="L13694" t="s">
        <v>20</v>
      </c>
      <c r="N13694" t="s">
        <v>29</v>
      </c>
    </row>
    <row r="13695" spans="1:14">
      <c r="A13695" s="4" t="str">
        <f t="shared" si="1136"/>
        <v>EXP00414</v>
      </c>
      <c r="B13695" s="3" t="s">
        <v>66</v>
      </c>
      <c r="C13695" s="4" t="str">
        <f t="shared" si="1137"/>
        <v>TCGA-BRCA</v>
      </c>
      <c r="D13695" s="1" t="s">
        <v>493</v>
      </c>
      <c r="E13695" t="s">
        <v>532</v>
      </c>
      <c r="F13695" s="1">
        <v>2</v>
      </c>
      <c r="G13695" s="1" t="s">
        <v>32</v>
      </c>
      <c r="H13695" s="4" t="str">
        <f>HYPERLINK("https://portal.gdc.cancer.gov/cases/34d5a193-85e5-4399-8a9b-e92858eafdfe","TCGA-A8-A0A2-01A")</f>
        <v>TCGA-A8-A0A2-01A</v>
      </c>
      <c r="I13695" t="s">
        <v>17</v>
      </c>
      <c r="J13695" t="s">
        <v>524</v>
      </c>
      <c r="K13695" t="s">
        <v>33</v>
      </c>
      <c r="L13695" t="s">
        <v>20</v>
      </c>
      <c r="N13695" t="s">
        <v>29</v>
      </c>
    </row>
    <row r="13696" spans="1:14">
      <c r="A13696" s="4" t="str">
        <f t="shared" si="1136"/>
        <v>EXP00414</v>
      </c>
      <c r="B13696" s="3" t="s">
        <v>66</v>
      </c>
      <c r="C13696" s="4" t="str">
        <f t="shared" si="1137"/>
        <v>TCGA-BRCA</v>
      </c>
      <c r="D13696" s="1" t="s">
        <v>493</v>
      </c>
      <c r="E13696" t="s">
        <v>532</v>
      </c>
      <c r="F13696" s="1">
        <v>2</v>
      </c>
      <c r="G13696" s="1" t="s">
        <v>32</v>
      </c>
      <c r="H13696" s="4" t="str">
        <f>HYPERLINK("https://portal.gdc.cancer.gov/cases/2cb8c866-9296-4c70-a3ea-f9a9b707895c","TCGA-A8-A0A4-01A")</f>
        <v>TCGA-A8-A0A4-01A</v>
      </c>
      <c r="I13696" t="s">
        <v>17</v>
      </c>
      <c r="J13696" t="s">
        <v>524</v>
      </c>
      <c r="K13696" t="s">
        <v>33</v>
      </c>
      <c r="L13696" t="s">
        <v>20</v>
      </c>
      <c r="N13696" t="s">
        <v>29</v>
      </c>
    </row>
    <row r="13697" spans="1:14">
      <c r="A13697" s="4" t="str">
        <f t="shared" si="1136"/>
        <v>EXP00414</v>
      </c>
      <c r="B13697" s="3" t="s">
        <v>66</v>
      </c>
      <c r="C13697" s="4" t="str">
        <f t="shared" si="1137"/>
        <v>TCGA-BRCA</v>
      </c>
      <c r="D13697" s="1" t="s">
        <v>493</v>
      </c>
      <c r="E13697" t="s">
        <v>532</v>
      </c>
      <c r="F13697" s="1">
        <v>2</v>
      </c>
      <c r="G13697" s="1" t="s">
        <v>32</v>
      </c>
      <c r="H13697" s="4" t="str">
        <f>HYPERLINK("https://portal.gdc.cancer.gov/cases/4b0d295c-e185-4b52-9752-178e5bc1d47d","TCGA-A8-A0A6-01A")</f>
        <v>TCGA-A8-A0A6-01A</v>
      </c>
      <c r="I13697" t="s">
        <v>17</v>
      </c>
      <c r="J13697" t="s">
        <v>524</v>
      </c>
      <c r="K13697" t="s">
        <v>33</v>
      </c>
      <c r="L13697" t="s">
        <v>20</v>
      </c>
      <c r="N13697" t="s">
        <v>29</v>
      </c>
    </row>
    <row r="13698" spans="1:14">
      <c r="A13698" s="4" t="str">
        <f t="shared" si="1136"/>
        <v>EXP00414</v>
      </c>
      <c r="B13698" s="3" t="s">
        <v>66</v>
      </c>
      <c r="C13698" s="4" t="str">
        <f t="shared" si="1137"/>
        <v>TCGA-BRCA</v>
      </c>
      <c r="D13698" s="1" t="s">
        <v>493</v>
      </c>
      <c r="E13698" t="s">
        <v>532</v>
      </c>
      <c r="F13698" s="1">
        <v>2</v>
      </c>
      <c r="G13698" s="1" t="s">
        <v>32</v>
      </c>
      <c r="H13698" s="4" t="str">
        <f>HYPERLINK("https://portal.gdc.cancer.gov/cases/995fdab7-7284-4d33-befa-ec22aa7c6479","TCGA-A8-A0A7-01A")</f>
        <v>TCGA-A8-A0A7-01A</v>
      </c>
      <c r="I13698" t="s">
        <v>17</v>
      </c>
      <c r="J13698" t="s">
        <v>524</v>
      </c>
      <c r="K13698" t="s">
        <v>33</v>
      </c>
      <c r="L13698" t="s">
        <v>20</v>
      </c>
      <c r="N13698" t="s">
        <v>29</v>
      </c>
    </row>
    <row r="13699" spans="1:14">
      <c r="A13699" s="4" t="str">
        <f t="shared" ref="A13699:A13762" si="1138">HYPERLINK("http://hcmdb.i-sanger.com/experiment/details/experiment_id/EXP00414","EXP00414")</f>
        <v>EXP00414</v>
      </c>
      <c r="B13699" s="3" t="s">
        <v>66</v>
      </c>
      <c r="C13699" s="4" t="str">
        <f t="shared" si="1137"/>
        <v>TCGA-BRCA</v>
      </c>
      <c r="D13699" s="1" t="s">
        <v>493</v>
      </c>
      <c r="E13699" t="s">
        <v>532</v>
      </c>
      <c r="F13699" s="1">
        <v>2</v>
      </c>
      <c r="G13699" s="1" t="s">
        <v>32</v>
      </c>
      <c r="H13699" s="4" t="str">
        <f>HYPERLINK("https://portal.gdc.cancer.gov/cases/7b605fb6-d077-401e-b870-b87ddf505f82","TCGA-A8-A0A9-01A")</f>
        <v>TCGA-A8-A0A9-01A</v>
      </c>
      <c r="I13699" t="s">
        <v>17</v>
      </c>
      <c r="J13699" t="s">
        <v>524</v>
      </c>
      <c r="K13699" t="s">
        <v>33</v>
      </c>
      <c r="L13699" t="s">
        <v>20</v>
      </c>
      <c r="N13699" t="s">
        <v>29</v>
      </c>
    </row>
    <row r="13700" spans="1:14">
      <c r="A13700" s="4" t="str">
        <f t="shared" si="1138"/>
        <v>EXP00414</v>
      </c>
      <c r="B13700" s="3" t="s">
        <v>66</v>
      </c>
      <c r="C13700" s="4" t="str">
        <f t="shared" si="1137"/>
        <v>TCGA-BRCA</v>
      </c>
      <c r="D13700" s="1" t="s">
        <v>493</v>
      </c>
      <c r="E13700" t="s">
        <v>532</v>
      </c>
      <c r="F13700" s="1">
        <v>2</v>
      </c>
      <c r="G13700" s="1" t="s">
        <v>32</v>
      </c>
      <c r="H13700" s="4" t="str">
        <f>HYPERLINK("https://portal.gdc.cancer.gov/cases/22eaba28-be67-4730-9846-860bc1fca29a","TCGA-A8-A0AB-01A")</f>
        <v>TCGA-A8-A0AB-01A</v>
      </c>
      <c r="I13700" t="s">
        <v>17</v>
      </c>
      <c r="J13700" t="s">
        <v>524</v>
      </c>
      <c r="K13700" t="s">
        <v>33</v>
      </c>
      <c r="L13700" t="s">
        <v>20</v>
      </c>
      <c r="N13700" t="s">
        <v>29</v>
      </c>
    </row>
    <row r="13701" spans="1:14">
      <c r="A13701" s="4" t="str">
        <f t="shared" si="1138"/>
        <v>EXP00414</v>
      </c>
      <c r="B13701" s="3" t="s">
        <v>66</v>
      </c>
      <c r="C13701" s="4" t="str">
        <f t="shared" si="1137"/>
        <v>TCGA-BRCA</v>
      </c>
      <c r="D13701" s="1" t="s">
        <v>493</v>
      </c>
      <c r="E13701" t="s">
        <v>532</v>
      </c>
      <c r="F13701" s="1">
        <v>2</v>
      </c>
      <c r="G13701" s="1" t="s">
        <v>32</v>
      </c>
      <c r="H13701" s="4" t="str">
        <f>HYPERLINK("https://portal.gdc.cancer.gov/cases/af5453a9-cf1f-40de-aec4-0e0710908fb7","TCGA-A8-A0AD-01A")</f>
        <v>TCGA-A8-A0AD-01A</v>
      </c>
      <c r="I13701" t="s">
        <v>17</v>
      </c>
      <c r="J13701" t="s">
        <v>524</v>
      </c>
      <c r="K13701" t="s">
        <v>33</v>
      </c>
      <c r="L13701" t="s">
        <v>20</v>
      </c>
      <c r="N13701" t="s">
        <v>29</v>
      </c>
    </row>
    <row r="13702" spans="1:14">
      <c r="A13702" s="4" t="str">
        <f t="shared" si="1138"/>
        <v>EXP00414</v>
      </c>
      <c r="B13702" s="3" t="s">
        <v>66</v>
      </c>
      <c r="C13702" s="4" t="str">
        <f t="shared" si="1137"/>
        <v>TCGA-BRCA</v>
      </c>
      <c r="D13702" s="1" t="s">
        <v>493</v>
      </c>
      <c r="E13702" t="s">
        <v>532</v>
      </c>
      <c r="F13702" s="1">
        <v>2</v>
      </c>
      <c r="G13702" s="1" t="s">
        <v>32</v>
      </c>
      <c r="H13702" s="4" t="str">
        <f>HYPERLINK("https://portal.gdc.cancer.gov/cases/dfd0b7ba-c7d3-498e-b455-346301865452","TCGA-AC-A23C-01A")</f>
        <v>TCGA-AC-A23C-01A</v>
      </c>
      <c r="I13702" t="s">
        <v>17</v>
      </c>
      <c r="J13702" t="s">
        <v>524</v>
      </c>
      <c r="K13702" t="s">
        <v>33</v>
      </c>
      <c r="L13702" t="s">
        <v>20</v>
      </c>
      <c r="N13702" t="s">
        <v>29</v>
      </c>
    </row>
    <row r="13703" spans="1:14">
      <c r="A13703" s="4" t="str">
        <f t="shared" si="1138"/>
        <v>EXP00414</v>
      </c>
      <c r="B13703" s="3" t="s">
        <v>66</v>
      </c>
      <c r="C13703" s="4" t="str">
        <f t="shared" si="1137"/>
        <v>TCGA-BRCA</v>
      </c>
      <c r="D13703" s="1" t="s">
        <v>493</v>
      </c>
      <c r="E13703" t="s">
        <v>532</v>
      </c>
      <c r="F13703" s="1">
        <v>2</v>
      </c>
      <c r="G13703" s="1" t="s">
        <v>32</v>
      </c>
      <c r="H13703" s="4" t="str">
        <f>HYPERLINK("https://portal.gdc.cancer.gov/cases/e7bae6e7-f779-449d-92b9-66996041e00d","TCGA-AC-A23E-01A")</f>
        <v>TCGA-AC-A23E-01A</v>
      </c>
      <c r="I13703" t="s">
        <v>17</v>
      </c>
      <c r="J13703" t="s">
        <v>524</v>
      </c>
      <c r="K13703" t="s">
        <v>33</v>
      </c>
      <c r="L13703" t="s">
        <v>20</v>
      </c>
      <c r="N13703" t="s">
        <v>29</v>
      </c>
    </row>
    <row r="13704" spans="1:14">
      <c r="A13704" s="4" t="str">
        <f t="shared" si="1138"/>
        <v>EXP00414</v>
      </c>
      <c r="B13704" s="3" t="s">
        <v>66</v>
      </c>
      <c r="C13704" s="4" t="str">
        <f t="shared" si="1137"/>
        <v>TCGA-BRCA</v>
      </c>
      <c r="D13704" s="1" t="s">
        <v>493</v>
      </c>
      <c r="E13704" t="s">
        <v>532</v>
      </c>
      <c r="F13704" s="1">
        <v>2</v>
      </c>
      <c r="G13704" s="1" t="s">
        <v>32</v>
      </c>
      <c r="H13704" s="4" t="str">
        <f>HYPERLINK("https://portal.gdc.cancer.gov/cases/a721dac6-0126-476c-b2d4-2dbf7406454b","TCGA-AC-A23G-01A")</f>
        <v>TCGA-AC-A23G-01A</v>
      </c>
      <c r="I13704" t="s">
        <v>17</v>
      </c>
      <c r="J13704" t="s">
        <v>524</v>
      </c>
      <c r="K13704" t="s">
        <v>33</v>
      </c>
      <c r="L13704" t="s">
        <v>20</v>
      </c>
      <c r="N13704" t="s">
        <v>29</v>
      </c>
    </row>
    <row r="13705" spans="1:14">
      <c r="A13705" s="4" t="str">
        <f t="shared" si="1138"/>
        <v>EXP00414</v>
      </c>
      <c r="B13705" s="3" t="s">
        <v>66</v>
      </c>
      <c r="C13705" s="4" t="str">
        <f t="shared" si="1137"/>
        <v>TCGA-BRCA</v>
      </c>
      <c r="D13705" s="1" t="s">
        <v>493</v>
      </c>
      <c r="E13705" t="s">
        <v>532</v>
      </c>
      <c r="F13705" s="1">
        <v>2</v>
      </c>
      <c r="G13705" s="1" t="s">
        <v>32</v>
      </c>
      <c r="H13705" s="4" t="str">
        <f>HYPERLINK("https://portal.gdc.cancer.gov/cases/7dcf550c-90ce-4f63-aecd-0e46897e2a3e","TCGA-AC-A23H-01A")</f>
        <v>TCGA-AC-A23H-01A</v>
      </c>
      <c r="I13705" t="s">
        <v>17</v>
      </c>
      <c r="J13705" t="s">
        <v>524</v>
      </c>
      <c r="K13705" t="s">
        <v>33</v>
      </c>
      <c r="L13705" t="s">
        <v>20</v>
      </c>
      <c r="N13705" t="s">
        <v>29</v>
      </c>
    </row>
    <row r="13706" spans="1:14">
      <c r="A13706" s="4" t="str">
        <f t="shared" si="1138"/>
        <v>EXP00414</v>
      </c>
      <c r="B13706" s="3" t="s">
        <v>66</v>
      </c>
      <c r="C13706" s="4" t="str">
        <f t="shared" si="1137"/>
        <v>TCGA-BRCA</v>
      </c>
      <c r="D13706" s="1" t="s">
        <v>493</v>
      </c>
      <c r="E13706" t="s">
        <v>532</v>
      </c>
      <c r="F13706" s="1">
        <v>2</v>
      </c>
      <c r="G13706" s="1" t="s">
        <v>32</v>
      </c>
      <c r="H13706" s="4" t="str">
        <f>HYPERLINK("https://portal.gdc.cancer.gov/cases/6e126b73-d3e8-4641-a128-306f3b313e40","TCGA-AC-A2B8-01A")</f>
        <v>TCGA-AC-A2B8-01A</v>
      </c>
      <c r="I13706" t="s">
        <v>17</v>
      </c>
      <c r="J13706" t="s">
        <v>524</v>
      </c>
      <c r="K13706" t="s">
        <v>33</v>
      </c>
      <c r="L13706" t="s">
        <v>20</v>
      </c>
      <c r="N13706" t="s">
        <v>29</v>
      </c>
    </row>
    <row r="13707" spans="1:14">
      <c r="A13707" s="4" t="str">
        <f t="shared" si="1138"/>
        <v>EXP00414</v>
      </c>
      <c r="B13707" s="3" t="s">
        <v>66</v>
      </c>
      <c r="C13707" s="4" t="str">
        <f t="shared" si="1137"/>
        <v>TCGA-BRCA</v>
      </c>
      <c r="D13707" s="1" t="s">
        <v>493</v>
      </c>
      <c r="E13707" t="s">
        <v>532</v>
      </c>
      <c r="F13707" s="1">
        <v>2</v>
      </c>
      <c r="G13707" s="1" t="s">
        <v>32</v>
      </c>
      <c r="H13707" s="4" t="str">
        <f>HYPERLINK("https://portal.gdc.cancer.gov/cases/6fa2a667-9c36-4526-8a58-1975e863a806","TCGA-AC-A2BK-01A")</f>
        <v>TCGA-AC-A2BK-01A</v>
      </c>
      <c r="I13707" t="s">
        <v>17</v>
      </c>
      <c r="J13707" t="s">
        <v>524</v>
      </c>
      <c r="K13707" t="s">
        <v>33</v>
      </c>
      <c r="L13707" t="s">
        <v>20</v>
      </c>
      <c r="N13707" t="s">
        <v>29</v>
      </c>
    </row>
    <row r="13708" spans="1:14">
      <c r="A13708" s="4" t="str">
        <f t="shared" si="1138"/>
        <v>EXP00414</v>
      </c>
      <c r="B13708" s="3" t="s">
        <v>66</v>
      </c>
      <c r="C13708" s="4" t="str">
        <f t="shared" si="1137"/>
        <v>TCGA-BRCA</v>
      </c>
      <c r="D13708" s="1" t="s">
        <v>493</v>
      </c>
      <c r="E13708" t="s">
        <v>532</v>
      </c>
      <c r="F13708" s="1">
        <v>2</v>
      </c>
      <c r="G13708" s="1" t="s">
        <v>32</v>
      </c>
      <c r="H13708" s="4" t="str">
        <f>HYPERLINK("https://portal.gdc.cancer.gov/cases/8159ff7b-89f4-411a-9b9c-491f1cb3eb34","TCGA-AC-A2BM-01A")</f>
        <v>TCGA-AC-A2BM-01A</v>
      </c>
      <c r="I13708" t="s">
        <v>17</v>
      </c>
      <c r="J13708" t="s">
        <v>524</v>
      </c>
      <c r="K13708" t="s">
        <v>33</v>
      </c>
      <c r="L13708" t="s">
        <v>20</v>
      </c>
      <c r="N13708" t="s">
        <v>29</v>
      </c>
    </row>
    <row r="13709" spans="1:14">
      <c r="A13709" s="4" t="str">
        <f t="shared" si="1138"/>
        <v>EXP00414</v>
      </c>
      <c r="B13709" s="3" t="s">
        <v>66</v>
      </c>
      <c r="C13709" s="4" t="str">
        <f t="shared" si="1137"/>
        <v>TCGA-BRCA</v>
      </c>
      <c r="D13709" s="1" t="s">
        <v>493</v>
      </c>
      <c r="E13709" t="s">
        <v>532</v>
      </c>
      <c r="F13709" s="1">
        <v>2</v>
      </c>
      <c r="G13709" s="1" t="s">
        <v>32</v>
      </c>
      <c r="H13709" s="4" t="str">
        <f>HYPERLINK("https://portal.gdc.cancer.gov/cases/02bbb632-0f7f-439d-b8f0-c86a06237424","TCGA-AC-A2FB-01A")</f>
        <v>TCGA-AC-A2FB-01A</v>
      </c>
      <c r="I13709" t="s">
        <v>17</v>
      </c>
      <c r="J13709" t="s">
        <v>524</v>
      </c>
      <c r="K13709" t="s">
        <v>33</v>
      </c>
      <c r="L13709" t="s">
        <v>20</v>
      </c>
      <c r="N13709" t="s">
        <v>29</v>
      </c>
    </row>
    <row r="13710" spans="1:14">
      <c r="A13710" s="4" t="str">
        <f t="shared" si="1138"/>
        <v>EXP00414</v>
      </c>
      <c r="B13710" s="3" t="s">
        <v>66</v>
      </c>
      <c r="C13710" s="4" t="str">
        <f t="shared" si="1137"/>
        <v>TCGA-BRCA</v>
      </c>
      <c r="D13710" s="1" t="s">
        <v>493</v>
      </c>
      <c r="E13710" t="s">
        <v>532</v>
      </c>
      <c r="F13710" s="1">
        <v>2</v>
      </c>
      <c r="G13710" s="1" t="s">
        <v>32</v>
      </c>
      <c r="H13710" s="4" t="str">
        <f>HYPERLINK("https://portal.gdc.cancer.gov/cases/3ca67cd0-81da-4f68-a9fa-f1a8c013c28d","TCGA-AC-A2FF-01A")</f>
        <v>TCGA-AC-A2FF-01A</v>
      </c>
      <c r="I13710" t="s">
        <v>17</v>
      </c>
      <c r="J13710" t="s">
        <v>524</v>
      </c>
      <c r="K13710" t="s">
        <v>33</v>
      </c>
      <c r="L13710" t="s">
        <v>20</v>
      </c>
      <c r="N13710" t="s">
        <v>29</v>
      </c>
    </row>
    <row r="13711" spans="1:14">
      <c r="A13711" s="4" t="str">
        <f t="shared" si="1138"/>
        <v>EXP00414</v>
      </c>
      <c r="B13711" s="3" t="s">
        <v>66</v>
      </c>
      <c r="C13711" s="4" t="str">
        <f t="shared" si="1137"/>
        <v>TCGA-BRCA</v>
      </c>
      <c r="D13711" s="1" t="s">
        <v>493</v>
      </c>
      <c r="E13711" t="s">
        <v>532</v>
      </c>
      <c r="F13711" s="1">
        <v>2</v>
      </c>
      <c r="G13711" s="1" t="s">
        <v>32</v>
      </c>
      <c r="H13711" s="4" t="str">
        <f>HYPERLINK("https://portal.gdc.cancer.gov/cases/39cda4c9-e1c8-44c2-bab7-f5849c12f879","TCGA-AC-A2FG-01A")</f>
        <v>TCGA-AC-A2FG-01A</v>
      </c>
      <c r="I13711" t="s">
        <v>17</v>
      </c>
      <c r="J13711" t="s">
        <v>524</v>
      </c>
      <c r="K13711" t="s">
        <v>33</v>
      </c>
      <c r="L13711" t="s">
        <v>20</v>
      </c>
      <c r="N13711" t="s">
        <v>29</v>
      </c>
    </row>
    <row r="13712" spans="1:14">
      <c r="A13712" s="4" t="str">
        <f t="shared" si="1138"/>
        <v>EXP00414</v>
      </c>
      <c r="B13712" s="3" t="s">
        <v>66</v>
      </c>
      <c r="C13712" s="4" t="str">
        <f t="shared" si="1137"/>
        <v>TCGA-BRCA</v>
      </c>
      <c r="D13712" s="1" t="s">
        <v>493</v>
      </c>
      <c r="E13712" t="s">
        <v>532</v>
      </c>
      <c r="F13712" s="1">
        <v>2</v>
      </c>
      <c r="G13712" s="1" t="s">
        <v>32</v>
      </c>
      <c r="H13712" s="4" t="str">
        <f>HYPERLINK("https://portal.gdc.cancer.gov/cases/79126e88-9cf8-45ff-bf91-a98da3b304d7","TCGA-AC-A2FK-01A")</f>
        <v>TCGA-AC-A2FK-01A</v>
      </c>
      <c r="I13712" t="s">
        <v>17</v>
      </c>
      <c r="J13712" t="s">
        <v>524</v>
      </c>
      <c r="K13712" t="s">
        <v>33</v>
      </c>
      <c r="L13712" t="s">
        <v>20</v>
      </c>
      <c r="N13712" t="s">
        <v>29</v>
      </c>
    </row>
    <row r="13713" spans="1:14">
      <c r="A13713" s="4" t="str">
        <f t="shared" si="1138"/>
        <v>EXP00414</v>
      </c>
      <c r="B13713" s="3" t="s">
        <v>66</v>
      </c>
      <c r="C13713" s="4" t="str">
        <f t="shared" si="1137"/>
        <v>TCGA-BRCA</v>
      </c>
      <c r="D13713" s="1" t="s">
        <v>493</v>
      </c>
      <c r="E13713" t="s">
        <v>532</v>
      </c>
      <c r="F13713" s="1">
        <v>2</v>
      </c>
      <c r="G13713" s="1" t="s">
        <v>32</v>
      </c>
      <c r="H13713" s="4" t="str">
        <f>HYPERLINK("https://portal.gdc.cancer.gov/cases/b6b1dc9a-91f4-4b0a-afd5-62c9a90c0d5e","TCGA-AC-A2FM-01A")</f>
        <v>TCGA-AC-A2FM-01A</v>
      </c>
      <c r="I13713" t="s">
        <v>17</v>
      </c>
      <c r="J13713" t="s">
        <v>524</v>
      </c>
      <c r="K13713" t="s">
        <v>33</v>
      </c>
      <c r="L13713" t="s">
        <v>20</v>
      </c>
      <c r="N13713" t="s">
        <v>29</v>
      </c>
    </row>
    <row r="13714" spans="1:14">
      <c r="A13714" s="4" t="str">
        <f t="shared" si="1138"/>
        <v>EXP00414</v>
      </c>
      <c r="B13714" s="3" t="s">
        <v>66</v>
      </c>
      <c r="C13714" s="4" t="str">
        <f t="shared" si="1137"/>
        <v>TCGA-BRCA</v>
      </c>
      <c r="D13714" s="1" t="s">
        <v>493</v>
      </c>
      <c r="E13714" t="s">
        <v>532</v>
      </c>
      <c r="F13714" s="1">
        <v>2</v>
      </c>
      <c r="G13714" s="1" t="s">
        <v>32</v>
      </c>
      <c r="H13714" s="4" t="str">
        <f>HYPERLINK("https://portal.gdc.cancer.gov/cases/f5d4c2d3-cc69-4b38-8551-0917e3622a68","TCGA-AC-A2FO-01A")</f>
        <v>TCGA-AC-A2FO-01A</v>
      </c>
      <c r="I13714" t="s">
        <v>17</v>
      </c>
      <c r="J13714" t="s">
        <v>524</v>
      </c>
      <c r="K13714" t="s">
        <v>33</v>
      </c>
      <c r="L13714" t="s">
        <v>20</v>
      </c>
      <c r="N13714" t="s">
        <v>29</v>
      </c>
    </row>
    <row r="13715" spans="1:14">
      <c r="A13715" s="4" t="str">
        <f t="shared" si="1138"/>
        <v>EXP00414</v>
      </c>
      <c r="B13715" s="3" t="s">
        <v>66</v>
      </c>
      <c r="C13715" s="4" t="str">
        <f t="shared" si="1137"/>
        <v>TCGA-BRCA</v>
      </c>
      <c r="D13715" s="1" t="s">
        <v>493</v>
      </c>
      <c r="E13715" t="s">
        <v>532</v>
      </c>
      <c r="F13715" s="1">
        <v>2</v>
      </c>
      <c r="G13715" s="1" t="s">
        <v>32</v>
      </c>
      <c r="H13715" s="4" t="str">
        <f>HYPERLINK("https://portal.gdc.cancer.gov/cases/67c5f371-3fa9-47c5-8b15-c2dd9acc8519","TCGA-AC-A2QH-01B")</f>
        <v>TCGA-AC-A2QH-01B</v>
      </c>
      <c r="I13715" t="s">
        <v>17</v>
      </c>
      <c r="J13715" t="s">
        <v>524</v>
      </c>
      <c r="K13715" t="s">
        <v>33</v>
      </c>
      <c r="L13715" t="s">
        <v>20</v>
      </c>
      <c r="N13715" t="s">
        <v>29</v>
      </c>
    </row>
    <row r="13716" spans="1:14">
      <c r="A13716" s="4" t="str">
        <f t="shared" si="1138"/>
        <v>EXP00414</v>
      </c>
      <c r="B13716" s="3" t="s">
        <v>66</v>
      </c>
      <c r="C13716" s="4" t="str">
        <f t="shared" si="1137"/>
        <v>TCGA-BRCA</v>
      </c>
      <c r="D13716" s="1" t="s">
        <v>493</v>
      </c>
      <c r="E13716" t="s">
        <v>532</v>
      </c>
      <c r="F13716" s="1">
        <v>2</v>
      </c>
      <c r="G13716" s="1" t="s">
        <v>32</v>
      </c>
      <c r="H13716" s="4" t="str">
        <f>HYPERLINK("https://portal.gdc.cancer.gov/cases/c57835be-77ab-4cf5-9b23-62c11a7b2eaf","TCGA-AC-A2QI-01A")</f>
        <v>TCGA-AC-A2QI-01A</v>
      </c>
      <c r="I13716" t="s">
        <v>17</v>
      </c>
      <c r="J13716" t="s">
        <v>524</v>
      </c>
      <c r="K13716" t="s">
        <v>33</v>
      </c>
      <c r="L13716" t="s">
        <v>20</v>
      </c>
      <c r="N13716" t="s">
        <v>29</v>
      </c>
    </row>
    <row r="13717" spans="1:14">
      <c r="A13717" s="4" t="str">
        <f t="shared" si="1138"/>
        <v>EXP00414</v>
      </c>
      <c r="B13717" s="3" t="s">
        <v>66</v>
      </c>
      <c r="C13717" s="4" t="str">
        <f t="shared" si="1137"/>
        <v>TCGA-BRCA</v>
      </c>
      <c r="D13717" s="1" t="s">
        <v>493</v>
      </c>
      <c r="E13717" t="s">
        <v>532</v>
      </c>
      <c r="F13717" s="1">
        <v>2</v>
      </c>
      <c r="G13717" s="1" t="s">
        <v>32</v>
      </c>
      <c r="H13717" s="4" t="str">
        <f>HYPERLINK("https://portal.gdc.cancer.gov/cases/d9fd2724-7db0-4af3-ac14-217bdfa5203f","TCGA-AC-A2QJ-01A")</f>
        <v>TCGA-AC-A2QJ-01A</v>
      </c>
      <c r="I13717" t="s">
        <v>17</v>
      </c>
      <c r="J13717" t="s">
        <v>524</v>
      </c>
      <c r="K13717" t="s">
        <v>33</v>
      </c>
      <c r="L13717" t="s">
        <v>20</v>
      </c>
      <c r="N13717" t="s">
        <v>29</v>
      </c>
    </row>
    <row r="13718" spans="1:14">
      <c r="A13718" s="4" t="str">
        <f t="shared" si="1138"/>
        <v>EXP00414</v>
      </c>
      <c r="B13718" s="3" t="s">
        <v>66</v>
      </c>
      <c r="C13718" s="4" t="str">
        <f t="shared" si="1137"/>
        <v>TCGA-BRCA</v>
      </c>
      <c r="D13718" s="1" t="s">
        <v>493</v>
      </c>
      <c r="E13718" t="s">
        <v>532</v>
      </c>
      <c r="F13718" s="1">
        <v>2</v>
      </c>
      <c r="G13718" s="1" t="s">
        <v>32</v>
      </c>
      <c r="H13718" s="4" t="str">
        <f>HYPERLINK("https://portal.gdc.cancer.gov/cases/048549cf-d0a5-4743-a0a1-2004f7cc2b08","TCGA-AC-A3BB-01A")</f>
        <v>TCGA-AC-A3BB-01A</v>
      </c>
      <c r="I13718" t="s">
        <v>17</v>
      </c>
      <c r="J13718" t="s">
        <v>524</v>
      </c>
      <c r="K13718" t="s">
        <v>33</v>
      </c>
      <c r="L13718" t="s">
        <v>20</v>
      </c>
      <c r="N13718" t="s">
        <v>29</v>
      </c>
    </row>
    <row r="13719" spans="1:14">
      <c r="A13719" s="4" t="str">
        <f t="shared" si="1138"/>
        <v>EXP00414</v>
      </c>
      <c r="B13719" s="3" t="s">
        <v>66</v>
      </c>
      <c r="C13719" s="4" t="str">
        <f t="shared" si="1137"/>
        <v>TCGA-BRCA</v>
      </c>
      <c r="D13719" s="1" t="s">
        <v>493</v>
      </c>
      <c r="E13719" t="s">
        <v>532</v>
      </c>
      <c r="F13719" s="1">
        <v>2</v>
      </c>
      <c r="G13719" s="1" t="s">
        <v>32</v>
      </c>
      <c r="H13719" s="4" t="str">
        <f>HYPERLINK("https://portal.gdc.cancer.gov/cases/fac173a8-1613-4bd4-87ba-83a2cfe8a37d","TCGA-AC-A3EH-01A")</f>
        <v>TCGA-AC-A3EH-01A</v>
      </c>
      <c r="I13719" t="s">
        <v>17</v>
      </c>
      <c r="J13719" t="s">
        <v>524</v>
      </c>
      <c r="K13719" t="s">
        <v>33</v>
      </c>
      <c r="L13719" t="s">
        <v>20</v>
      </c>
      <c r="N13719" t="s">
        <v>29</v>
      </c>
    </row>
    <row r="13720" spans="1:14">
      <c r="A13720" s="4" t="str">
        <f t="shared" si="1138"/>
        <v>EXP00414</v>
      </c>
      <c r="B13720" s="3" t="s">
        <v>66</v>
      </c>
      <c r="C13720" s="4" t="str">
        <f t="shared" si="1137"/>
        <v>TCGA-BRCA</v>
      </c>
      <c r="D13720" s="1" t="s">
        <v>493</v>
      </c>
      <c r="E13720" t="s">
        <v>532</v>
      </c>
      <c r="F13720" s="1">
        <v>2</v>
      </c>
      <c r="G13720" s="1" t="s">
        <v>32</v>
      </c>
      <c r="H13720" s="4" t="str">
        <f>HYPERLINK("https://portal.gdc.cancer.gov/cases/e37ae674-a107-4eb3-94d8-b86b0035a9f7","TCGA-AC-A3HN-01A")</f>
        <v>TCGA-AC-A3HN-01A</v>
      </c>
      <c r="I13720" t="s">
        <v>17</v>
      </c>
      <c r="J13720" t="s">
        <v>524</v>
      </c>
      <c r="K13720" t="s">
        <v>33</v>
      </c>
      <c r="L13720" t="s">
        <v>20</v>
      </c>
      <c r="N13720" t="s">
        <v>29</v>
      </c>
    </row>
    <row r="13721" spans="1:14">
      <c r="A13721" s="4" t="str">
        <f t="shared" si="1138"/>
        <v>EXP00414</v>
      </c>
      <c r="B13721" s="3" t="s">
        <v>66</v>
      </c>
      <c r="C13721" s="4" t="str">
        <f t="shared" si="1137"/>
        <v>TCGA-BRCA</v>
      </c>
      <c r="D13721" s="1" t="s">
        <v>493</v>
      </c>
      <c r="E13721" t="s">
        <v>532</v>
      </c>
      <c r="F13721" s="1">
        <v>2</v>
      </c>
      <c r="G13721" s="1" t="s">
        <v>32</v>
      </c>
      <c r="H13721" s="4" t="str">
        <f>HYPERLINK("https://portal.gdc.cancer.gov/cases/f2622cdb-ac92-42b3-a1ca-67e133c3dd4a","TCGA-AC-A3OD-01B")</f>
        <v>TCGA-AC-A3OD-01B</v>
      </c>
      <c r="I13721" t="s">
        <v>17</v>
      </c>
      <c r="J13721" t="s">
        <v>524</v>
      </c>
      <c r="K13721" t="s">
        <v>33</v>
      </c>
      <c r="L13721" t="s">
        <v>20</v>
      </c>
      <c r="N13721" t="s">
        <v>29</v>
      </c>
    </row>
    <row r="13722" spans="1:14">
      <c r="A13722" s="4" t="str">
        <f t="shared" si="1138"/>
        <v>EXP00414</v>
      </c>
      <c r="B13722" s="3" t="s">
        <v>66</v>
      </c>
      <c r="C13722" s="4" t="str">
        <f t="shared" si="1137"/>
        <v>TCGA-BRCA</v>
      </c>
      <c r="D13722" s="1" t="s">
        <v>493</v>
      </c>
      <c r="E13722" t="s">
        <v>532</v>
      </c>
      <c r="F13722" s="1">
        <v>2</v>
      </c>
      <c r="G13722" s="1" t="s">
        <v>32</v>
      </c>
      <c r="H13722" s="4" t="str">
        <f>HYPERLINK("https://portal.gdc.cancer.gov/cases/6f4c8d30-47fb-47df-9eb7-4e5881e3711e","TCGA-AC-A3QP-01A")</f>
        <v>TCGA-AC-A3QP-01A</v>
      </c>
      <c r="I13722" t="s">
        <v>17</v>
      </c>
      <c r="J13722" t="s">
        <v>524</v>
      </c>
      <c r="K13722" t="s">
        <v>33</v>
      </c>
      <c r="L13722" t="s">
        <v>20</v>
      </c>
      <c r="N13722" t="s">
        <v>29</v>
      </c>
    </row>
    <row r="13723" spans="1:14">
      <c r="A13723" s="4" t="str">
        <f t="shared" si="1138"/>
        <v>EXP00414</v>
      </c>
      <c r="B13723" s="3" t="s">
        <v>66</v>
      </c>
      <c r="C13723" s="4" t="str">
        <f t="shared" si="1137"/>
        <v>TCGA-BRCA</v>
      </c>
      <c r="D13723" s="1" t="s">
        <v>493</v>
      </c>
      <c r="E13723" t="s">
        <v>532</v>
      </c>
      <c r="F13723" s="1">
        <v>2</v>
      </c>
      <c r="G13723" s="1" t="s">
        <v>32</v>
      </c>
      <c r="H13723" s="4" t="str">
        <f>HYPERLINK("https://portal.gdc.cancer.gov/cases/95cef916-5545-455b-920c-773a54fc7676","TCGA-AC-A3QQ-01B")</f>
        <v>TCGA-AC-A3QQ-01B</v>
      </c>
      <c r="I13723" t="s">
        <v>17</v>
      </c>
      <c r="J13723" t="s">
        <v>524</v>
      </c>
      <c r="K13723" t="s">
        <v>33</v>
      </c>
      <c r="L13723" t="s">
        <v>20</v>
      </c>
      <c r="N13723" t="s">
        <v>29</v>
      </c>
    </row>
    <row r="13724" spans="1:14">
      <c r="A13724" s="4" t="str">
        <f t="shared" si="1138"/>
        <v>EXP00414</v>
      </c>
      <c r="B13724" s="3" t="s">
        <v>66</v>
      </c>
      <c r="C13724" s="4" t="str">
        <f t="shared" si="1137"/>
        <v>TCGA-BRCA</v>
      </c>
      <c r="D13724" s="1" t="s">
        <v>493</v>
      </c>
      <c r="E13724" t="s">
        <v>532</v>
      </c>
      <c r="F13724" s="1">
        <v>2</v>
      </c>
      <c r="G13724" s="1" t="s">
        <v>32</v>
      </c>
      <c r="H13724" s="4" t="str">
        <f>HYPERLINK("https://portal.gdc.cancer.gov/cases/67c73260-a242-4bba-87c5-d2302556dff7","TCGA-AC-A3TM-01A")</f>
        <v>TCGA-AC-A3TM-01A</v>
      </c>
      <c r="I13724" t="s">
        <v>17</v>
      </c>
      <c r="J13724" t="s">
        <v>524</v>
      </c>
      <c r="K13724" t="s">
        <v>33</v>
      </c>
      <c r="L13724" t="s">
        <v>20</v>
      </c>
      <c r="N13724" t="s">
        <v>29</v>
      </c>
    </row>
    <row r="13725" spans="1:14">
      <c r="A13725" s="4" t="str">
        <f t="shared" si="1138"/>
        <v>EXP00414</v>
      </c>
      <c r="B13725" s="3" t="s">
        <v>66</v>
      </c>
      <c r="C13725" s="4" t="str">
        <f t="shared" si="1137"/>
        <v>TCGA-BRCA</v>
      </c>
      <c r="D13725" s="1" t="s">
        <v>493</v>
      </c>
      <c r="E13725" t="s">
        <v>532</v>
      </c>
      <c r="F13725" s="1">
        <v>2</v>
      </c>
      <c r="G13725" s="1" t="s">
        <v>32</v>
      </c>
      <c r="H13725" s="4" t="str">
        <f>HYPERLINK("https://portal.gdc.cancer.gov/cases/81b70c58-4a12-448c-a594-2ade44f6a0ae","TCGA-AC-A3TN-01A")</f>
        <v>TCGA-AC-A3TN-01A</v>
      </c>
      <c r="I13725" t="s">
        <v>17</v>
      </c>
      <c r="J13725" t="s">
        <v>524</v>
      </c>
      <c r="K13725" t="s">
        <v>33</v>
      </c>
      <c r="L13725" t="s">
        <v>20</v>
      </c>
      <c r="N13725" t="s">
        <v>29</v>
      </c>
    </row>
    <row r="13726" spans="1:14">
      <c r="A13726" s="4" t="str">
        <f t="shared" si="1138"/>
        <v>EXP00414</v>
      </c>
      <c r="B13726" s="3" t="s">
        <v>66</v>
      </c>
      <c r="C13726" s="4" t="str">
        <f t="shared" si="1137"/>
        <v>TCGA-BRCA</v>
      </c>
      <c r="D13726" s="1" t="s">
        <v>493</v>
      </c>
      <c r="E13726" t="s">
        <v>532</v>
      </c>
      <c r="F13726" s="1">
        <v>2</v>
      </c>
      <c r="G13726" s="1" t="s">
        <v>32</v>
      </c>
      <c r="H13726" s="4" t="str">
        <f>HYPERLINK("https://portal.gdc.cancer.gov/cases/4c313e5b-4dc3-408e-8e92-22427f74743e","TCGA-AC-A3W5-01A")</f>
        <v>TCGA-AC-A3W5-01A</v>
      </c>
      <c r="I13726" t="s">
        <v>17</v>
      </c>
      <c r="J13726" t="s">
        <v>524</v>
      </c>
      <c r="K13726" t="s">
        <v>33</v>
      </c>
      <c r="L13726" t="s">
        <v>20</v>
      </c>
      <c r="N13726" t="s">
        <v>29</v>
      </c>
    </row>
    <row r="13727" spans="1:14">
      <c r="A13727" s="4" t="str">
        <f t="shared" si="1138"/>
        <v>EXP00414</v>
      </c>
      <c r="B13727" s="3" t="s">
        <v>66</v>
      </c>
      <c r="C13727" s="4" t="str">
        <f t="shared" si="1137"/>
        <v>TCGA-BRCA</v>
      </c>
      <c r="D13727" s="1" t="s">
        <v>493</v>
      </c>
      <c r="E13727" t="s">
        <v>532</v>
      </c>
      <c r="F13727" s="1">
        <v>2</v>
      </c>
      <c r="G13727" s="1" t="s">
        <v>32</v>
      </c>
      <c r="H13727" s="4" t="str">
        <f>HYPERLINK("https://portal.gdc.cancer.gov/cases/1b4cfad1-e353-4411-97b6-2b7b9309e95e","TCGA-AC-A3W6-01A")</f>
        <v>TCGA-AC-A3W6-01A</v>
      </c>
      <c r="I13727" t="s">
        <v>17</v>
      </c>
      <c r="J13727" t="s">
        <v>524</v>
      </c>
      <c r="K13727" t="s">
        <v>33</v>
      </c>
      <c r="L13727" t="s">
        <v>20</v>
      </c>
      <c r="N13727" t="s">
        <v>29</v>
      </c>
    </row>
    <row r="13728" spans="1:14">
      <c r="A13728" s="4" t="str">
        <f t="shared" si="1138"/>
        <v>EXP00414</v>
      </c>
      <c r="B13728" s="3" t="s">
        <v>66</v>
      </c>
      <c r="C13728" s="4" t="str">
        <f t="shared" si="1137"/>
        <v>TCGA-BRCA</v>
      </c>
      <c r="D13728" s="1" t="s">
        <v>493</v>
      </c>
      <c r="E13728" t="s">
        <v>532</v>
      </c>
      <c r="F13728" s="1">
        <v>2</v>
      </c>
      <c r="G13728" s="1" t="s">
        <v>32</v>
      </c>
      <c r="H13728" s="4" t="str">
        <f>HYPERLINK("https://portal.gdc.cancer.gov/cases/2481a671-760b-428c-968d-42e25fd42ac5","TCGA-AC-A3W7-01A")</f>
        <v>TCGA-AC-A3W7-01A</v>
      </c>
      <c r="I13728" t="s">
        <v>17</v>
      </c>
      <c r="J13728" t="s">
        <v>524</v>
      </c>
      <c r="K13728" t="s">
        <v>33</v>
      </c>
      <c r="L13728" t="s">
        <v>20</v>
      </c>
      <c r="N13728" t="s">
        <v>29</v>
      </c>
    </row>
    <row r="13729" spans="1:14">
      <c r="A13729" s="4" t="str">
        <f t="shared" si="1138"/>
        <v>EXP00414</v>
      </c>
      <c r="B13729" s="3" t="s">
        <v>66</v>
      </c>
      <c r="C13729" s="4" t="str">
        <f t="shared" si="1137"/>
        <v>TCGA-BRCA</v>
      </c>
      <c r="D13729" s="1" t="s">
        <v>493</v>
      </c>
      <c r="E13729" t="s">
        <v>532</v>
      </c>
      <c r="F13729" s="1">
        <v>2</v>
      </c>
      <c r="G13729" s="1" t="s">
        <v>32</v>
      </c>
      <c r="H13729" s="4" t="str">
        <f>HYPERLINK("https://portal.gdc.cancer.gov/cases/a45d296e-efc0-479e-b2f6-bad834668cdf","TCGA-AC-A3YI-01A")</f>
        <v>TCGA-AC-A3YI-01A</v>
      </c>
      <c r="I13729" t="s">
        <v>17</v>
      </c>
      <c r="J13729" t="s">
        <v>524</v>
      </c>
      <c r="K13729" t="s">
        <v>33</v>
      </c>
      <c r="L13729" t="s">
        <v>20</v>
      </c>
      <c r="N13729" t="s">
        <v>29</v>
      </c>
    </row>
    <row r="13730" spans="1:14">
      <c r="A13730" s="4" t="str">
        <f t="shared" si="1138"/>
        <v>EXP00414</v>
      </c>
      <c r="B13730" s="3" t="s">
        <v>66</v>
      </c>
      <c r="C13730" s="4" t="str">
        <f t="shared" si="1137"/>
        <v>TCGA-BRCA</v>
      </c>
      <c r="D13730" s="1" t="s">
        <v>493</v>
      </c>
      <c r="E13730" t="s">
        <v>532</v>
      </c>
      <c r="F13730" s="1">
        <v>2</v>
      </c>
      <c r="G13730" s="1" t="s">
        <v>32</v>
      </c>
      <c r="H13730" s="4" t="str">
        <f>HYPERLINK("https://portal.gdc.cancer.gov/cases/86cf879e-3b40-44dd-aaa7-6f49f54a15d9","TCGA-AC-A3YJ-01A")</f>
        <v>TCGA-AC-A3YJ-01A</v>
      </c>
      <c r="I13730" t="s">
        <v>17</v>
      </c>
      <c r="J13730" t="s">
        <v>524</v>
      </c>
      <c r="K13730" t="s">
        <v>33</v>
      </c>
      <c r="L13730" t="s">
        <v>20</v>
      </c>
      <c r="N13730" t="s">
        <v>29</v>
      </c>
    </row>
    <row r="13731" spans="1:14">
      <c r="A13731" s="4" t="str">
        <f t="shared" si="1138"/>
        <v>EXP00414</v>
      </c>
      <c r="B13731" s="3" t="s">
        <v>66</v>
      </c>
      <c r="C13731" s="4" t="str">
        <f t="shared" si="1137"/>
        <v>TCGA-BRCA</v>
      </c>
      <c r="D13731" s="1" t="s">
        <v>493</v>
      </c>
      <c r="E13731" t="s">
        <v>532</v>
      </c>
      <c r="F13731" s="1">
        <v>2</v>
      </c>
      <c r="G13731" s="1" t="s">
        <v>32</v>
      </c>
      <c r="H13731" s="4" t="str">
        <f>HYPERLINK("https://portal.gdc.cancer.gov/cases/0cf0d67c-2f7f-42a6-94f3-407d0ec46c88","TCGA-AC-A4ZE-01A")</f>
        <v>TCGA-AC-A4ZE-01A</v>
      </c>
      <c r="I13731" t="s">
        <v>17</v>
      </c>
      <c r="J13731" t="s">
        <v>524</v>
      </c>
      <c r="K13731" t="s">
        <v>33</v>
      </c>
      <c r="L13731" t="s">
        <v>20</v>
      </c>
      <c r="N13731" t="s">
        <v>29</v>
      </c>
    </row>
    <row r="13732" spans="1:14">
      <c r="A13732" s="4" t="str">
        <f t="shared" si="1138"/>
        <v>EXP00414</v>
      </c>
      <c r="B13732" s="3" t="s">
        <v>66</v>
      </c>
      <c r="C13732" s="4" t="str">
        <f t="shared" si="1137"/>
        <v>TCGA-BRCA</v>
      </c>
      <c r="D13732" s="1" t="s">
        <v>493</v>
      </c>
      <c r="E13732" t="s">
        <v>532</v>
      </c>
      <c r="F13732" s="1">
        <v>2</v>
      </c>
      <c r="G13732" s="1" t="s">
        <v>32</v>
      </c>
      <c r="H13732" s="4" t="str">
        <f>HYPERLINK("https://portal.gdc.cancer.gov/cases/d13fb44b-291b-4ea4-920c-142daa8d1989","TCGA-AC-A5EH-01A")</f>
        <v>TCGA-AC-A5EH-01A</v>
      </c>
      <c r="I13732" t="s">
        <v>17</v>
      </c>
      <c r="J13732" t="s">
        <v>524</v>
      </c>
      <c r="K13732" t="s">
        <v>33</v>
      </c>
      <c r="L13732" t="s">
        <v>20</v>
      </c>
      <c r="N13732" t="s">
        <v>29</v>
      </c>
    </row>
    <row r="13733" spans="1:14">
      <c r="A13733" s="4" t="str">
        <f t="shared" si="1138"/>
        <v>EXP00414</v>
      </c>
      <c r="B13733" s="3" t="s">
        <v>66</v>
      </c>
      <c r="C13733" s="4" t="str">
        <f t="shared" si="1137"/>
        <v>TCGA-BRCA</v>
      </c>
      <c r="D13733" s="1" t="s">
        <v>493</v>
      </c>
      <c r="E13733" t="s">
        <v>532</v>
      </c>
      <c r="F13733" s="1">
        <v>2</v>
      </c>
      <c r="G13733" s="1" t="s">
        <v>32</v>
      </c>
      <c r="H13733" s="4" t="str">
        <f>HYPERLINK("https://portal.gdc.cancer.gov/cases/d9627184-b972-4e00-8c11-b0b946ac357a","TCGA-AC-A5XS-01A")</f>
        <v>TCGA-AC-A5XS-01A</v>
      </c>
      <c r="I13733" t="s">
        <v>17</v>
      </c>
      <c r="J13733" t="s">
        <v>524</v>
      </c>
      <c r="K13733" t="s">
        <v>33</v>
      </c>
      <c r="L13733" t="s">
        <v>20</v>
      </c>
      <c r="N13733" t="s">
        <v>29</v>
      </c>
    </row>
    <row r="13734" spans="1:14">
      <c r="A13734" s="4" t="str">
        <f t="shared" si="1138"/>
        <v>EXP00414</v>
      </c>
      <c r="B13734" s="3" t="s">
        <v>66</v>
      </c>
      <c r="C13734" s="4" t="str">
        <f t="shared" si="1137"/>
        <v>TCGA-BRCA</v>
      </c>
      <c r="D13734" s="1" t="s">
        <v>493</v>
      </c>
      <c r="E13734" t="s">
        <v>532</v>
      </c>
      <c r="F13734" s="1">
        <v>2</v>
      </c>
      <c r="G13734" s="1" t="s">
        <v>32</v>
      </c>
      <c r="H13734" s="4" t="str">
        <f>HYPERLINK("https://portal.gdc.cancer.gov/cases/97677fd7-8523-48c5-a8ce-614fd4010551","TCGA-AC-A5XU-01A")</f>
        <v>TCGA-AC-A5XU-01A</v>
      </c>
      <c r="I13734" t="s">
        <v>17</v>
      </c>
      <c r="J13734" t="s">
        <v>524</v>
      </c>
      <c r="K13734" t="s">
        <v>33</v>
      </c>
      <c r="L13734" t="s">
        <v>20</v>
      </c>
      <c r="N13734" t="s">
        <v>29</v>
      </c>
    </row>
    <row r="13735" spans="1:14">
      <c r="A13735" s="4" t="str">
        <f t="shared" si="1138"/>
        <v>EXP00414</v>
      </c>
      <c r="B13735" s="3" t="s">
        <v>66</v>
      </c>
      <c r="C13735" s="4" t="str">
        <f t="shared" si="1137"/>
        <v>TCGA-BRCA</v>
      </c>
      <c r="D13735" s="1" t="s">
        <v>493</v>
      </c>
      <c r="E13735" t="s">
        <v>532</v>
      </c>
      <c r="F13735" s="1">
        <v>2</v>
      </c>
      <c r="G13735" s="1" t="s">
        <v>32</v>
      </c>
      <c r="H13735" s="4" t="str">
        <f>HYPERLINK("https://portal.gdc.cancer.gov/cases/d5f2b85a-94a9-4168-bbe8-149ec71342b0","TCGA-AC-A62V-01A")</f>
        <v>TCGA-AC-A62V-01A</v>
      </c>
      <c r="I13735" t="s">
        <v>17</v>
      </c>
      <c r="J13735" t="s">
        <v>524</v>
      </c>
      <c r="K13735" t="s">
        <v>33</v>
      </c>
      <c r="L13735" t="s">
        <v>20</v>
      </c>
      <c r="N13735" t="s">
        <v>29</v>
      </c>
    </row>
    <row r="13736" spans="1:14">
      <c r="A13736" s="4" t="str">
        <f t="shared" si="1138"/>
        <v>EXP00414</v>
      </c>
      <c r="B13736" s="3" t="s">
        <v>66</v>
      </c>
      <c r="C13736" s="4" t="str">
        <f t="shared" si="1137"/>
        <v>TCGA-BRCA</v>
      </c>
      <c r="D13736" s="1" t="s">
        <v>493</v>
      </c>
      <c r="E13736" t="s">
        <v>532</v>
      </c>
      <c r="F13736" s="1">
        <v>2</v>
      </c>
      <c r="G13736" s="1" t="s">
        <v>32</v>
      </c>
      <c r="H13736" s="4" t="str">
        <f>HYPERLINK("https://portal.gdc.cancer.gov/cases/5b2a4f11-ca46-4974-9420-59b4820920bf","TCGA-AC-A62X-01A")</f>
        <v>TCGA-AC-A62X-01A</v>
      </c>
      <c r="I13736" t="s">
        <v>17</v>
      </c>
      <c r="J13736" t="s">
        <v>524</v>
      </c>
      <c r="K13736" t="s">
        <v>33</v>
      </c>
      <c r="L13736" t="s">
        <v>20</v>
      </c>
      <c r="N13736" t="s">
        <v>29</v>
      </c>
    </row>
    <row r="13737" spans="1:14">
      <c r="A13737" s="4" t="str">
        <f t="shared" si="1138"/>
        <v>EXP00414</v>
      </c>
      <c r="B13737" s="3" t="s">
        <v>66</v>
      </c>
      <c r="C13737" s="4" t="str">
        <f t="shared" si="1137"/>
        <v>TCGA-BRCA</v>
      </c>
      <c r="D13737" s="1" t="s">
        <v>493</v>
      </c>
      <c r="E13737" t="s">
        <v>532</v>
      </c>
      <c r="F13737" s="1">
        <v>2</v>
      </c>
      <c r="G13737" s="1" t="s">
        <v>32</v>
      </c>
      <c r="H13737" s="4" t="str">
        <f>HYPERLINK("https://portal.gdc.cancer.gov/cases/05af737d-89aa-49b6-97b2-28b8ac8bd2cf","TCGA-AC-A62Y-01A")</f>
        <v>TCGA-AC-A62Y-01A</v>
      </c>
      <c r="I13737" t="s">
        <v>17</v>
      </c>
      <c r="J13737" t="s">
        <v>524</v>
      </c>
      <c r="K13737" t="s">
        <v>33</v>
      </c>
      <c r="L13737" t="s">
        <v>20</v>
      </c>
      <c r="N13737" t="s">
        <v>29</v>
      </c>
    </row>
    <row r="13738" spans="1:14">
      <c r="A13738" s="4" t="str">
        <f t="shared" si="1138"/>
        <v>EXP00414</v>
      </c>
      <c r="B13738" s="3" t="s">
        <v>66</v>
      </c>
      <c r="C13738" s="4" t="str">
        <f t="shared" si="1137"/>
        <v>TCGA-BRCA</v>
      </c>
      <c r="D13738" s="1" t="s">
        <v>493</v>
      </c>
      <c r="E13738" t="s">
        <v>532</v>
      </c>
      <c r="F13738" s="1">
        <v>2</v>
      </c>
      <c r="G13738" s="1" t="s">
        <v>32</v>
      </c>
      <c r="H13738" s="4" t="str">
        <f>HYPERLINK("https://portal.gdc.cancer.gov/cases/8e11c5ec-c15a-48d4-85ac-b7b08a9ed827","TCGA-AC-A6IV-01A")</f>
        <v>TCGA-AC-A6IV-01A</v>
      </c>
      <c r="I13738" t="s">
        <v>17</v>
      </c>
      <c r="J13738" t="s">
        <v>524</v>
      </c>
      <c r="K13738" t="s">
        <v>33</v>
      </c>
      <c r="L13738" t="s">
        <v>20</v>
      </c>
      <c r="N13738" t="s">
        <v>29</v>
      </c>
    </row>
    <row r="13739" spans="1:14">
      <c r="A13739" s="4" t="str">
        <f t="shared" si="1138"/>
        <v>EXP00414</v>
      </c>
      <c r="B13739" s="3" t="s">
        <v>66</v>
      </c>
      <c r="C13739" s="4" t="str">
        <f t="shared" si="1137"/>
        <v>TCGA-BRCA</v>
      </c>
      <c r="D13739" s="1" t="s">
        <v>493</v>
      </c>
      <c r="E13739" t="s">
        <v>532</v>
      </c>
      <c r="F13739" s="1">
        <v>2</v>
      </c>
      <c r="G13739" s="1" t="s">
        <v>32</v>
      </c>
      <c r="H13739" s="4" t="str">
        <f>HYPERLINK("https://portal.gdc.cancer.gov/cases/8183f0fb-2303-4d7b-bccd-55e5031fc7df","TCGA-AC-A6IW-01A")</f>
        <v>TCGA-AC-A6IW-01A</v>
      </c>
      <c r="I13739" t="s">
        <v>17</v>
      </c>
      <c r="J13739" t="s">
        <v>524</v>
      </c>
      <c r="K13739" t="s">
        <v>33</v>
      </c>
      <c r="L13739" t="s">
        <v>20</v>
      </c>
      <c r="N13739" t="s">
        <v>29</v>
      </c>
    </row>
    <row r="13740" spans="1:14">
      <c r="A13740" s="4" t="str">
        <f t="shared" si="1138"/>
        <v>EXP00414</v>
      </c>
      <c r="B13740" s="3" t="s">
        <v>66</v>
      </c>
      <c r="C13740" s="4" t="str">
        <f t="shared" si="1137"/>
        <v>TCGA-BRCA</v>
      </c>
      <c r="D13740" s="1" t="s">
        <v>493</v>
      </c>
      <c r="E13740" t="s">
        <v>532</v>
      </c>
      <c r="F13740" s="1">
        <v>2</v>
      </c>
      <c r="G13740" s="1" t="s">
        <v>32</v>
      </c>
      <c r="H13740" s="4" t="str">
        <f>HYPERLINK("https://portal.gdc.cancer.gov/cases/8d9b50d1-139b-4447-ae9c-e54764d9e2a7","TCGA-AC-A6NO-01A")</f>
        <v>TCGA-AC-A6NO-01A</v>
      </c>
      <c r="I13740" t="s">
        <v>17</v>
      </c>
      <c r="J13740" t="s">
        <v>524</v>
      </c>
      <c r="K13740" t="s">
        <v>33</v>
      </c>
      <c r="L13740" t="s">
        <v>20</v>
      </c>
      <c r="N13740" t="s">
        <v>29</v>
      </c>
    </row>
    <row r="13741" spans="1:14">
      <c r="A13741" s="4" t="str">
        <f t="shared" si="1138"/>
        <v>EXP00414</v>
      </c>
      <c r="B13741" s="3" t="s">
        <v>66</v>
      </c>
      <c r="C13741" s="4" t="str">
        <f t="shared" si="1137"/>
        <v>TCGA-BRCA</v>
      </c>
      <c r="D13741" s="1" t="s">
        <v>493</v>
      </c>
      <c r="E13741" t="s">
        <v>532</v>
      </c>
      <c r="F13741" s="1">
        <v>2</v>
      </c>
      <c r="G13741" s="1" t="s">
        <v>32</v>
      </c>
      <c r="H13741" s="4" t="str">
        <f>HYPERLINK("https://portal.gdc.cancer.gov/cases/56230e4a-29ca-4f37-a0f9-730dbdfb6fa2","TCGA-AC-A7VB-01A")</f>
        <v>TCGA-AC-A7VB-01A</v>
      </c>
      <c r="I13741" t="s">
        <v>17</v>
      </c>
      <c r="J13741" t="s">
        <v>524</v>
      </c>
      <c r="K13741" t="s">
        <v>33</v>
      </c>
      <c r="L13741" t="s">
        <v>20</v>
      </c>
      <c r="N13741" t="s">
        <v>29</v>
      </c>
    </row>
    <row r="13742" spans="1:14">
      <c r="A13742" s="4" t="str">
        <f t="shared" si="1138"/>
        <v>EXP00414</v>
      </c>
      <c r="B13742" s="3" t="s">
        <v>66</v>
      </c>
      <c r="C13742" s="4" t="str">
        <f t="shared" si="1137"/>
        <v>TCGA-BRCA</v>
      </c>
      <c r="D13742" s="1" t="s">
        <v>493</v>
      </c>
      <c r="E13742" t="s">
        <v>532</v>
      </c>
      <c r="F13742" s="1">
        <v>2</v>
      </c>
      <c r="G13742" s="1" t="s">
        <v>32</v>
      </c>
      <c r="H13742" s="4" t="str">
        <f>HYPERLINK("https://portal.gdc.cancer.gov/cases/2b36853f-34d3-47c5-ba6a-e5a93233d2b1","TCGA-AC-A7VC-01A")</f>
        <v>TCGA-AC-A7VC-01A</v>
      </c>
      <c r="I13742" t="s">
        <v>17</v>
      </c>
      <c r="J13742" t="s">
        <v>524</v>
      </c>
      <c r="K13742" t="s">
        <v>33</v>
      </c>
      <c r="L13742" t="s">
        <v>20</v>
      </c>
      <c r="N13742" t="s">
        <v>29</v>
      </c>
    </row>
    <row r="13743" spans="1:14">
      <c r="A13743" s="4" t="str">
        <f t="shared" si="1138"/>
        <v>EXP00414</v>
      </c>
      <c r="B13743" s="3" t="s">
        <v>66</v>
      </c>
      <c r="C13743" s="4" t="str">
        <f t="shared" si="1137"/>
        <v>TCGA-BRCA</v>
      </c>
      <c r="D13743" s="1" t="s">
        <v>493</v>
      </c>
      <c r="E13743" t="s">
        <v>532</v>
      </c>
      <c r="F13743" s="1">
        <v>2</v>
      </c>
      <c r="G13743" s="1" t="s">
        <v>32</v>
      </c>
      <c r="H13743" s="4" t="str">
        <f>HYPERLINK("https://portal.gdc.cancer.gov/cases/b9c6c069-2a2b-4cc7-a398-dc45c132d979","TCGA-AC-A8OP-01A")</f>
        <v>TCGA-AC-A8OP-01A</v>
      </c>
      <c r="I13743" t="s">
        <v>17</v>
      </c>
      <c r="J13743" t="s">
        <v>524</v>
      </c>
      <c r="K13743" t="s">
        <v>33</v>
      </c>
      <c r="L13743" t="s">
        <v>20</v>
      </c>
      <c r="N13743" t="s">
        <v>29</v>
      </c>
    </row>
    <row r="13744" spans="1:14">
      <c r="A13744" s="4" t="str">
        <f t="shared" si="1138"/>
        <v>EXP00414</v>
      </c>
      <c r="B13744" s="3" t="s">
        <v>66</v>
      </c>
      <c r="C13744" s="4" t="str">
        <f t="shared" si="1137"/>
        <v>TCGA-BRCA</v>
      </c>
      <c r="D13744" s="1" t="s">
        <v>493</v>
      </c>
      <c r="E13744" t="s">
        <v>532</v>
      </c>
      <c r="F13744" s="1">
        <v>2</v>
      </c>
      <c r="G13744" s="1" t="s">
        <v>32</v>
      </c>
      <c r="H13744" s="4" t="str">
        <f>HYPERLINK("https://portal.gdc.cancer.gov/cases/dfaabd03-2d40-4422-b210-caf112ff4229","TCGA-AC-A8OQ-01A")</f>
        <v>TCGA-AC-A8OQ-01A</v>
      </c>
      <c r="I13744" t="s">
        <v>17</v>
      </c>
      <c r="J13744" t="s">
        <v>524</v>
      </c>
      <c r="K13744" t="s">
        <v>33</v>
      </c>
      <c r="L13744" t="s">
        <v>20</v>
      </c>
      <c r="N13744" t="s">
        <v>29</v>
      </c>
    </row>
    <row r="13745" spans="1:14">
      <c r="A13745" s="4" t="str">
        <f t="shared" si="1138"/>
        <v>EXP00414</v>
      </c>
      <c r="B13745" s="3" t="s">
        <v>66</v>
      </c>
      <c r="C13745" s="4" t="str">
        <f t="shared" si="1137"/>
        <v>TCGA-BRCA</v>
      </c>
      <c r="D13745" s="1" t="s">
        <v>493</v>
      </c>
      <c r="E13745" t="s">
        <v>532</v>
      </c>
      <c r="F13745" s="1">
        <v>2</v>
      </c>
      <c r="G13745" s="1" t="s">
        <v>32</v>
      </c>
      <c r="H13745" s="4" t="str">
        <f>HYPERLINK("https://portal.gdc.cancer.gov/cases/8cd1ba0b-ead9-4661-a796-6c9dbf1c42cd","TCGA-AC-A8OR-01A")</f>
        <v>TCGA-AC-A8OR-01A</v>
      </c>
      <c r="I13745" t="s">
        <v>17</v>
      </c>
      <c r="J13745" t="s">
        <v>524</v>
      </c>
      <c r="K13745" t="s">
        <v>33</v>
      </c>
      <c r="L13745" t="s">
        <v>20</v>
      </c>
      <c r="N13745" t="s">
        <v>29</v>
      </c>
    </row>
    <row r="13746" spans="1:14">
      <c r="A13746" s="4" t="str">
        <f t="shared" si="1138"/>
        <v>EXP00414</v>
      </c>
      <c r="B13746" s="3" t="s">
        <v>66</v>
      </c>
      <c r="C13746" s="4" t="str">
        <f t="shared" si="1137"/>
        <v>TCGA-BRCA</v>
      </c>
      <c r="D13746" s="1" t="s">
        <v>493</v>
      </c>
      <c r="E13746" t="s">
        <v>532</v>
      </c>
      <c r="F13746" s="1">
        <v>2</v>
      </c>
      <c r="G13746" s="1" t="s">
        <v>32</v>
      </c>
      <c r="H13746" s="4" t="str">
        <f>HYPERLINK("https://portal.gdc.cancer.gov/cases/d5e655fe-3fbc-47b0-ba23-1d1dd01d591c","TCGA-AC-A8OS-01A")</f>
        <v>TCGA-AC-A8OS-01A</v>
      </c>
      <c r="I13746" t="s">
        <v>17</v>
      </c>
      <c r="J13746" t="s">
        <v>524</v>
      </c>
      <c r="K13746" t="s">
        <v>33</v>
      </c>
      <c r="L13746" t="s">
        <v>20</v>
      </c>
      <c r="N13746" t="s">
        <v>29</v>
      </c>
    </row>
    <row r="13747" spans="1:14">
      <c r="A13747" s="4" t="str">
        <f t="shared" si="1138"/>
        <v>EXP00414</v>
      </c>
      <c r="B13747" s="3" t="s">
        <v>66</v>
      </c>
      <c r="C13747" s="4" t="str">
        <f t="shared" si="1137"/>
        <v>TCGA-BRCA</v>
      </c>
      <c r="D13747" s="1" t="s">
        <v>493</v>
      </c>
      <c r="E13747" t="s">
        <v>532</v>
      </c>
      <c r="F13747" s="1">
        <v>2</v>
      </c>
      <c r="G13747" s="1" t="s">
        <v>32</v>
      </c>
      <c r="H13747" s="4" t="str">
        <f>HYPERLINK("https://portal.gdc.cancer.gov/cases/88cd6ccc-70f7-436e-a99c-039b9d31e335","TCGA-AN-A03X-01A")</f>
        <v>TCGA-AN-A03X-01A</v>
      </c>
      <c r="I13747" t="s">
        <v>17</v>
      </c>
      <c r="J13747" t="s">
        <v>524</v>
      </c>
      <c r="K13747" t="s">
        <v>33</v>
      </c>
      <c r="L13747" t="s">
        <v>20</v>
      </c>
      <c r="N13747" t="s">
        <v>29</v>
      </c>
    </row>
    <row r="13748" spans="1:14">
      <c r="A13748" s="4" t="str">
        <f t="shared" si="1138"/>
        <v>EXP00414</v>
      </c>
      <c r="B13748" s="3" t="s">
        <v>66</v>
      </c>
      <c r="C13748" s="4" t="str">
        <f t="shared" si="1137"/>
        <v>TCGA-BRCA</v>
      </c>
      <c r="D13748" s="1" t="s">
        <v>493</v>
      </c>
      <c r="E13748" t="s">
        <v>532</v>
      </c>
      <c r="F13748" s="1">
        <v>2</v>
      </c>
      <c r="G13748" s="1" t="s">
        <v>32</v>
      </c>
      <c r="H13748" s="4" t="str">
        <f>HYPERLINK("https://portal.gdc.cancer.gov/cases/a991644b-3ee6-4cda-acf0-e37de48a49fc","TCGA-AN-A03Y-01A")</f>
        <v>TCGA-AN-A03Y-01A</v>
      </c>
      <c r="I13748" t="s">
        <v>17</v>
      </c>
      <c r="J13748" t="s">
        <v>524</v>
      </c>
      <c r="K13748" t="s">
        <v>33</v>
      </c>
      <c r="L13748" t="s">
        <v>20</v>
      </c>
      <c r="N13748" t="s">
        <v>29</v>
      </c>
    </row>
    <row r="13749" spans="1:14">
      <c r="A13749" s="4" t="str">
        <f t="shared" si="1138"/>
        <v>EXP00414</v>
      </c>
      <c r="B13749" s="3" t="s">
        <v>66</v>
      </c>
      <c r="C13749" s="4" t="str">
        <f t="shared" si="1137"/>
        <v>TCGA-BRCA</v>
      </c>
      <c r="D13749" s="1" t="s">
        <v>493</v>
      </c>
      <c r="E13749" t="s">
        <v>532</v>
      </c>
      <c r="F13749" s="1">
        <v>2</v>
      </c>
      <c r="G13749" s="1" t="s">
        <v>32</v>
      </c>
      <c r="H13749" s="4" t="str">
        <f>HYPERLINK("https://portal.gdc.cancer.gov/cases/316e021c-5175-4ab3-bdb6-2bf9683f657a","TCGA-AN-A041-01A")</f>
        <v>TCGA-AN-A041-01A</v>
      </c>
      <c r="I13749" t="s">
        <v>17</v>
      </c>
      <c r="J13749" t="s">
        <v>524</v>
      </c>
      <c r="K13749" t="s">
        <v>33</v>
      </c>
      <c r="L13749" t="s">
        <v>20</v>
      </c>
      <c r="N13749" t="s">
        <v>29</v>
      </c>
    </row>
    <row r="13750" spans="1:14">
      <c r="A13750" s="4" t="str">
        <f t="shared" si="1138"/>
        <v>EXP00414</v>
      </c>
      <c r="B13750" s="3" t="s">
        <v>66</v>
      </c>
      <c r="C13750" s="4" t="str">
        <f t="shared" si="1137"/>
        <v>TCGA-BRCA</v>
      </c>
      <c r="D13750" s="1" t="s">
        <v>493</v>
      </c>
      <c r="E13750" t="s">
        <v>532</v>
      </c>
      <c r="F13750" s="1">
        <v>2</v>
      </c>
      <c r="G13750" s="1" t="s">
        <v>32</v>
      </c>
      <c r="H13750" s="4" t="str">
        <f>HYPERLINK("https://portal.gdc.cancer.gov/cases/dcd5860c-7e3a-44f3-a732-fe92fe3fe300","TCGA-AN-A046-01A")</f>
        <v>TCGA-AN-A046-01A</v>
      </c>
      <c r="I13750" t="s">
        <v>17</v>
      </c>
      <c r="J13750" t="s">
        <v>524</v>
      </c>
      <c r="K13750" t="s">
        <v>33</v>
      </c>
      <c r="L13750" t="s">
        <v>20</v>
      </c>
      <c r="N13750" t="s">
        <v>29</v>
      </c>
    </row>
    <row r="13751" spans="1:14">
      <c r="A13751" s="4" t="str">
        <f t="shared" si="1138"/>
        <v>EXP00414</v>
      </c>
      <c r="B13751" s="3" t="s">
        <v>66</v>
      </c>
      <c r="C13751" s="4" t="str">
        <f t="shared" si="1137"/>
        <v>TCGA-BRCA</v>
      </c>
      <c r="D13751" s="1" t="s">
        <v>493</v>
      </c>
      <c r="E13751" t="s">
        <v>532</v>
      </c>
      <c r="F13751" s="1">
        <v>2</v>
      </c>
      <c r="G13751" s="1" t="s">
        <v>32</v>
      </c>
      <c r="H13751" s="4" t="str">
        <f>HYPERLINK("https://portal.gdc.cancer.gov/cases/2e1e3bf0-1708-4b65-936c-48b89eb8966a","TCGA-AN-A049-01A")</f>
        <v>TCGA-AN-A049-01A</v>
      </c>
      <c r="I13751" t="s">
        <v>17</v>
      </c>
      <c r="J13751" t="s">
        <v>524</v>
      </c>
      <c r="K13751" t="s">
        <v>33</v>
      </c>
      <c r="L13751" t="s">
        <v>20</v>
      </c>
      <c r="N13751" t="s">
        <v>29</v>
      </c>
    </row>
    <row r="13752" spans="1:14">
      <c r="A13752" s="4" t="str">
        <f t="shared" si="1138"/>
        <v>EXP00414</v>
      </c>
      <c r="B13752" s="3" t="s">
        <v>66</v>
      </c>
      <c r="C13752" s="4" t="str">
        <f t="shared" si="1137"/>
        <v>TCGA-BRCA</v>
      </c>
      <c r="D13752" s="1" t="s">
        <v>493</v>
      </c>
      <c r="E13752" t="s">
        <v>532</v>
      </c>
      <c r="F13752" s="1">
        <v>2</v>
      </c>
      <c r="G13752" s="1" t="s">
        <v>32</v>
      </c>
      <c r="H13752" s="4" t="str">
        <f>HYPERLINK("https://portal.gdc.cancer.gov/cases/e5aae05a-478e-4a55-a27c-12b2b4be302a","TCGA-AN-A04A-01A")</f>
        <v>TCGA-AN-A04A-01A</v>
      </c>
      <c r="I13752" t="s">
        <v>17</v>
      </c>
      <c r="J13752" t="s">
        <v>524</v>
      </c>
      <c r="K13752" t="s">
        <v>33</v>
      </c>
      <c r="L13752" t="s">
        <v>20</v>
      </c>
      <c r="N13752" t="s">
        <v>29</v>
      </c>
    </row>
    <row r="13753" spans="1:14">
      <c r="A13753" s="4" t="str">
        <f t="shared" si="1138"/>
        <v>EXP00414</v>
      </c>
      <c r="B13753" s="3" t="s">
        <v>66</v>
      </c>
      <c r="C13753" s="4" t="str">
        <f t="shared" si="1137"/>
        <v>TCGA-BRCA</v>
      </c>
      <c r="D13753" s="1" t="s">
        <v>493</v>
      </c>
      <c r="E13753" t="s">
        <v>532</v>
      </c>
      <c r="F13753" s="1">
        <v>2</v>
      </c>
      <c r="G13753" s="1" t="s">
        <v>32</v>
      </c>
      <c r="H13753" s="4" t="str">
        <f>HYPERLINK("https://portal.gdc.cancer.gov/cases/66072c06-f251-4f0b-b6ae-12b407c52cc6","TCGA-AN-A04C-01A")</f>
        <v>TCGA-AN-A04C-01A</v>
      </c>
      <c r="I13753" t="s">
        <v>17</v>
      </c>
      <c r="J13753" t="s">
        <v>524</v>
      </c>
      <c r="K13753" t="s">
        <v>33</v>
      </c>
      <c r="L13753" t="s">
        <v>20</v>
      </c>
      <c r="N13753" t="s">
        <v>29</v>
      </c>
    </row>
    <row r="13754" spans="1:14">
      <c r="A13754" s="4" t="str">
        <f t="shared" si="1138"/>
        <v>EXP00414</v>
      </c>
      <c r="B13754" s="3" t="s">
        <v>66</v>
      </c>
      <c r="C13754" s="4" t="str">
        <f t="shared" ref="C13754:C13817" si="1139">HYPERLINK("https://portal.gdc.cancer.gov/projects/TCGA-BRCA","TCGA-BRCA")</f>
        <v>TCGA-BRCA</v>
      </c>
      <c r="D13754" s="1" t="s">
        <v>493</v>
      </c>
      <c r="E13754" t="s">
        <v>532</v>
      </c>
      <c r="F13754" s="1">
        <v>2</v>
      </c>
      <c r="G13754" s="1" t="s">
        <v>32</v>
      </c>
      <c r="H13754" s="4" t="str">
        <f>HYPERLINK("https://portal.gdc.cancer.gov/cases/49717f75-0f2d-4e1c-9a12-f1cd7877b80a","TCGA-AN-A04D-01A")</f>
        <v>TCGA-AN-A04D-01A</v>
      </c>
      <c r="I13754" t="s">
        <v>17</v>
      </c>
      <c r="J13754" t="s">
        <v>524</v>
      </c>
      <c r="K13754" t="s">
        <v>33</v>
      </c>
      <c r="L13754" t="s">
        <v>20</v>
      </c>
      <c r="N13754" t="s">
        <v>29</v>
      </c>
    </row>
    <row r="13755" spans="1:14">
      <c r="A13755" s="4" t="str">
        <f t="shared" si="1138"/>
        <v>EXP00414</v>
      </c>
      <c r="B13755" s="3" t="s">
        <v>66</v>
      </c>
      <c r="C13755" s="4" t="str">
        <f t="shared" si="1139"/>
        <v>TCGA-BRCA</v>
      </c>
      <c r="D13755" s="1" t="s">
        <v>493</v>
      </c>
      <c r="E13755" t="s">
        <v>532</v>
      </c>
      <c r="F13755" s="1">
        <v>2</v>
      </c>
      <c r="G13755" s="1" t="s">
        <v>32</v>
      </c>
      <c r="H13755" s="4" t="str">
        <f>HYPERLINK("https://portal.gdc.cancer.gov/cases/9646160a-f1f9-437b-8c7d-efb0b57bfb97","TCGA-AN-A0AJ-01A")</f>
        <v>TCGA-AN-A0AJ-01A</v>
      </c>
      <c r="I13755" t="s">
        <v>17</v>
      </c>
      <c r="J13755" t="s">
        <v>524</v>
      </c>
      <c r="K13755" t="s">
        <v>33</v>
      </c>
      <c r="L13755" t="s">
        <v>20</v>
      </c>
      <c r="N13755" t="s">
        <v>29</v>
      </c>
    </row>
    <row r="13756" spans="1:14">
      <c r="A13756" s="4" t="str">
        <f t="shared" si="1138"/>
        <v>EXP00414</v>
      </c>
      <c r="B13756" s="3" t="s">
        <v>66</v>
      </c>
      <c r="C13756" s="4" t="str">
        <f t="shared" si="1139"/>
        <v>TCGA-BRCA</v>
      </c>
      <c r="D13756" s="1" t="s">
        <v>493</v>
      </c>
      <c r="E13756" t="s">
        <v>532</v>
      </c>
      <c r="F13756" s="1">
        <v>2</v>
      </c>
      <c r="G13756" s="1" t="s">
        <v>32</v>
      </c>
      <c r="H13756" s="4" t="str">
        <f>HYPERLINK("https://portal.gdc.cancer.gov/cases/9e894662-b718-40f8-8899-b5e036cfbd76","TCGA-AN-A0AK-01A")</f>
        <v>TCGA-AN-A0AK-01A</v>
      </c>
      <c r="I13756" t="s">
        <v>17</v>
      </c>
      <c r="J13756" t="s">
        <v>524</v>
      </c>
      <c r="K13756" t="s">
        <v>33</v>
      </c>
      <c r="L13756" t="s">
        <v>20</v>
      </c>
      <c r="N13756" t="s">
        <v>29</v>
      </c>
    </row>
    <row r="13757" spans="1:14">
      <c r="A13757" s="4" t="str">
        <f t="shared" si="1138"/>
        <v>EXP00414</v>
      </c>
      <c r="B13757" s="3" t="s">
        <v>66</v>
      </c>
      <c r="C13757" s="4" t="str">
        <f t="shared" si="1139"/>
        <v>TCGA-BRCA</v>
      </c>
      <c r="D13757" s="1" t="s">
        <v>493</v>
      </c>
      <c r="E13757" t="s">
        <v>532</v>
      </c>
      <c r="F13757" s="1">
        <v>2</v>
      </c>
      <c r="G13757" s="1" t="s">
        <v>32</v>
      </c>
      <c r="H13757" s="4" t="str">
        <f>HYPERLINK("https://portal.gdc.cancer.gov/cases/3e9f93c0-aa79-4b4c-bd6c-b3325912362a","TCGA-AN-A0AL-01A")</f>
        <v>TCGA-AN-A0AL-01A</v>
      </c>
      <c r="I13757" t="s">
        <v>17</v>
      </c>
      <c r="J13757" t="s">
        <v>524</v>
      </c>
      <c r="K13757" t="s">
        <v>33</v>
      </c>
      <c r="L13757" t="s">
        <v>20</v>
      </c>
      <c r="N13757" t="s">
        <v>29</v>
      </c>
    </row>
    <row r="13758" spans="1:14">
      <c r="A13758" s="4" t="str">
        <f t="shared" si="1138"/>
        <v>EXP00414</v>
      </c>
      <c r="B13758" s="3" t="s">
        <v>66</v>
      </c>
      <c r="C13758" s="4" t="str">
        <f t="shared" si="1139"/>
        <v>TCGA-BRCA</v>
      </c>
      <c r="D13758" s="1" t="s">
        <v>493</v>
      </c>
      <c r="E13758" t="s">
        <v>532</v>
      </c>
      <c r="F13758" s="1">
        <v>2</v>
      </c>
      <c r="G13758" s="1" t="s">
        <v>32</v>
      </c>
      <c r="H13758" s="4" t="str">
        <f>HYPERLINK("https://portal.gdc.cancer.gov/cases/00a2d166-78c9-4687-a195-3d6315c27574","TCGA-AN-A0AM-01A")</f>
        <v>TCGA-AN-A0AM-01A</v>
      </c>
      <c r="I13758" t="s">
        <v>17</v>
      </c>
      <c r="J13758" t="s">
        <v>524</v>
      </c>
      <c r="K13758" t="s">
        <v>33</v>
      </c>
      <c r="L13758" t="s">
        <v>20</v>
      </c>
      <c r="N13758" t="s">
        <v>29</v>
      </c>
    </row>
    <row r="13759" spans="1:14">
      <c r="A13759" s="4" t="str">
        <f t="shared" si="1138"/>
        <v>EXP00414</v>
      </c>
      <c r="B13759" s="3" t="s">
        <v>66</v>
      </c>
      <c r="C13759" s="4" t="str">
        <f t="shared" si="1139"/>
        <v>TCGA-BRCA</v>
      </c>
      <c r="D13759" s="1" t="s">
        <v>493</v>
      </c>
      <c r="E13759" t="s">
        <v>532</v>
      </c>
      <c r="F13759" s="1">
        <v>2</v>
      </c>
      <c r="G13759" s="1" t="s">
        <v>32</v>
      </c>
      <c r="H13759" s="4" t="str">
        <f>HYPERLINK("https://portal.gdc.cancer.gov/cases/ebc460c2-df88-4dc0-a2c0-aca8072b75ad","TCGA-AN-A0AR-01A")</f>
        <v>TCGA-AN-A0AR-01A</v>
      </c>
      <c r="I13759" t="s">
        <v>17</v>
      </c>
      <c r="J13759" t="s">
        <v>524</v>
      </c>
      <c r="K13759" t="s">
        <v>33</v>
      </c>
      <c r="L13759" t="s">
        <v>20</v>
      </c>
      <c r="N13759" t="s">
        <v>29</v>
      </c>
    </row>
    <row r="13760" spans="1:14">
      <c r="A13760" s="4" t="str">
        <f t="shared" si="1138"/>
        <v>EXP00414</v>
      </c>
      <c r="B13760" s="3" t="s">
        <v>66</v>
      </c>
      <c r="C13760" s="4" t="str">
        <f t="shared" si="1139"/>
        <v>TCGA-BRCA</v>
      </c>
      <c r="D13760" s="1" t="s">
        <v>493</v>
      </c>
      <c r="E13760" t="s">
        <v>532</v>
      </c>
      <c r="F13760" s="1">
        <v>2</v>
      </c>
      <c r="G13760" s="1" t="s">
        <v>32</v>
      </c>
      <c r="H13760" s="4" t="str">
        <f>HYPERLINK("https://portal.gdc.cancer.gov/cases/7c2a8440-0206-4039-8474-8d62f6c7de0c","TCGA-AN-A0AS-01A")</f>
        <v>TCGA-AN-A0AS-01A</v>
      </c>
      <c r="I13760" t="s">
        <v>17</v>
      </c>
      <c r="J13760" t="s">
        <v>524</v>
      </c>
      <c r="K13760" t="s">
        <v>33</v>
      </c>
      <c r="L13760" t="s">
        <v>20</v>
      </c>
      <c r="N13760" t="s">
        <v>29</v>
      </c>
    </row>
    <row r="13761" spans="1:14">
      <c r="A13761" s="4" t="str">
        <f t="shared" si="1138"/>
        <v>EXP00414</v>
      </c>
      <c r="B13761" s="3" t="s">
        <v>66</v>
      </c>
      <c r="C13761" s="4" t="str">
        <f t="shared" si="1139"/>
        <v>TCGA-BRCA</v>
      </c>
      <c r="D13761" s="1" t="s">
        <v>493</v>
      </c>
      <c r="E13761" t="s">
        <v>532</v>
      </c>
      <c r="F13761" s="1">
        <v>2</v>
      </c>
      <c r="G13761" s="1" t="s">
        <v>32</v>
      </c>
      <c r="H13761" s="4" t="str">
        <f>HYPERLINK("https://portal.gdc.cancer.gov/cases/05506f4c-e701-4a9d-ae06-97f066aade43","TCGA-AN-A0AT-01A")</f>
        <v>TCGA-AN-A0AT-01A</v>
      </c>
      <c r="I13761" t="s">
        <v>17</v>
      </c>
      <c r="J13761" t="s">
        <v>524</v>
      </c>
      <c r="K13761" t="s">
        <v>33</v>
      </c>
      <c r="L13761" t="s">
        <v>20</v>
      </c>
      <c r="N13761" t="s">
        <v>29</v>
      </c>
    </row>
    <row r="13762" spans="1:14">
      <c r="A13762" s="4" t="str">
        <f t="shared" si="1138"/>
        <v>EXP00414</v>
      </c>
      <c r="B13762" s="3" t="s">
        <v>66</v>
      </c>
      <c r="C13762" s="4" t="str">
        <f t="shared" si="1139"/>
        <v>TCGA-BRCA</v>
      </c>
      <c r="D13762" s="1" t="s">
        <v>493</v>
      </c>
      <c r="E13762" t="s">
        <v>532</v>
      </c>
      <c r="F13762" s="1">
        <v>2</v>
      </c>
      <c r="G13762" s="1" t="s">
        <v>32</v>
      </c>
      <c r="H13762" s="4" t="str">
        <f>HYPERLINK("https://portal.gdc.cancer.gov/cases/c6086936-7544-4da0-8c0c-114166848483","TCGA-AN-A0FD-01A")</f>
        <v>TCGA-AN-A0FD-01A</v>
      </c>
      <c r="I13762" t="s">
        <v>17</v>
      </c>
      <c r="J13762" t="s">
        <v>524</v>
      </c>
      <c r="K13762" t="s">
        <v>33</v>
      </c>
      <c r="L13762" t="s">
        <v>20</v>
      </c>
      <c r="N13762" t="s">
        <v>29</v>
      </c>
    </row>
    <row r="13763" spans="1:14">
      <c r="A13763" s="4" t="str">
        <f t="shared" ref="A13763:A13826" si="1140">HYPERLINK("http://hcmdb.i-sanger.com/experiment/details/experiment_id/EXP00414","EXP00414")</f>
        <v>EXP00414</v>
      </c>
      <c r="B13763" s="3" t="s">
        <v>66</v>
      </c>
      <c r="C13763" s="4" t="str">
        <f t="shared" si="1139"/>
        <v>TCGA-BRCA</v>
      </c>
      <c r="D13763" s="1" t="s">
        <v>493</v>
      </c>
      <c r="E13763" t="s">
        <v>532</v>
      </c>
      <c r="F13763" s="1">
        <v>2</v>
      </c>
      <c r="G13763" s="1" t="s">
        <v>32</v>
      </c>
      <c r="H13763" s="4" t="str">
        <f>HYPERLINK("https://portal.gdc.cancer.gov/cases/d5cab7f5-e4f1-40ee-a0c8-4c8004c1c9a0","TCGA-AN-A0FF-01A")</f>
        <v>TCGA-AN-A0FF-01A</v>
      </c>
      <c r="I13763" t="s">
        <v>17</v>
      </c>
      <c r="J13763" t="s">
        <v>524</v>
      </c>
      <c r="K13763" t="s">
        <v>33</v>
      </c>
      <c r="L13763" t="s">
        <v>20</v>
      </c>
      <c r="N13763" t="s">
        <v>29</v>
      </c>
    </row>
    <row r="13764" spans="1:14">
      <c r="A13764" s="4" t="str">
        <f t="shared" si="1140"/>
        <v>EXP00414</v>
      </c>
      <c r="B13764" s="3" t="s">
        <v>66</v>
      </c>
      <c r="C13764" s="4" t="str">
        <f t="shared" si="1139"/>
        <v>TCGA-BRCA</v>
      </c>
      <c r="D13764" s="1" t="s">
        <v>493</v>
      </c>
      <c r="E13764" t="s">
        <v>532</v>
      </c>
      <c r="F13764" s="1">
        <v>2</v>
      </c>
      <c r="G13764" s="1" t="s">
        <v>32</v>
      </c>
      <c r="H13764" s="4" t="str">
        <f>HYPERLINK("https://portal.gdc.cancer.gov/cases/546248b0-22a0-4b70-a437-76fb0a238a0d","TCGA-AN-A0FJ-01A")</f>
        <v>TCGA-AN-A0FJ-01A</v>
      </c>
      <c r="I13764" t="s">
        <v>17</v>
      </c>
      <c r="J13764" t="s">
        <v>524</v>
      </c>
      <c r="K13764" t="s">
        <v>33</v>
      </c>
      <c r="L13764" t="s">
        <v>20</v>
      </c>
      <c r="N13764" t="s">
        <v>29</v>
      </c>
    </row>
    <row r="13765" spans="1:14">
      <c r="A13765" s="4" t="str">
        <f t="shared" si="1140"/>
        <v>EXP00414</v>
      </c>
      <c r="B13765" s="3" t="s">
        <v>66</v>
      </c>
      <c r="C13765" s="4" t="str">
        <f t="shared" si="1139"/>
        <v>TCGA-BRCA</v>
      </c>
      <c r="D13765" s="1" t="s">
        <v>493</v>
      </c>
      <c r="E13765" t="s">
        <v>532</v>
      </c>
      <c r="F13765" s="1">
        <v>2</v>
      </c>
      <c r="G13765" s="1" t="s">
        <v>32</v>
      </c>
      <c r="H13765" s="4" t="str">
        <f>HYPERLINK("https://portal.gdc.cancer.gov/cases/2f4cbedf-ed7e-45a2-bf34-f1d1e696bdde","TCGA-AN-A0FK-01A")</f>
        <v>TCGA-AN-A0FK-01A</v>
      </c>
      <c r="I13765" t="s">
        <v>17</v>
      </c>
      <c r="J13765" t="s">
        <v>524</v>
      </c>
      <c r="K13765" t="s">
        <v>33</v>
      </c>
      <c r="L13765" t="s">
        <v>20</v>
      </c>
      <c r="N13765" t="s">
        <v>29</v>
      </c>
    </row>
    <row r="13766" spans="1:14">
      <c r="A13766" s="4" t="str">
        <f t="shared" si="1140"/>
        <v>EXP00414</v>
      </c>
      <c r="B13766" s="3" t="s">
        <v>66</v>
      </c>
      <c r="C13766" s="4" t="str">
        <f t="shared" si="1139"/>
        <v>TCGA-BRCA</v>
      </c>
      <c r="D13766" s="1" t="s">
        <v>493</v>
      </c>
      <c r="E13766" t="s">
        <v>532</v>
      </c>
      <c r="F13766" s="1">
        <v>2</v>
      </c>
      <c r="G13766" s="1" t="s">
        <v>32</v>
      </c>
      <c r="H13766" s="4" t="str">
        <f>HYPERLINK("https://portal.gdc.cancer.gov/cases/baf1207d-7d1a-4cad-ba58-62c26be2415e","TCGA-AN-A0FL-01A")</f>
        <v>TCGA-AN-A0FL-01A</v>
      </c>
      <c r="I13766" t="s">
        <v>17</v>
      </c>
      <c r="J13766" t="s">
        <v>524</v>
      </c>
      <c r="K13766" t="s">
        <v>33</v>
      </c>
      <c r="L13766" t="s">
        <v>20</v>
      </c>
      <c r="N13766" t="s">
        <v>29</v>
      </c>
    </row>
    <row r="13767" spans="1:14">
      <c r="A13767" s="4" t="str">
        <f t="shared" si="1140"/>
        <v>EXP00414</v>
      </c>
      <c r="B13767" s="3" t="s">
        <v>66</v>
      </c>
      <c r="C13767" s="4" t="str">
        <f t="shared" si="1139"/>
        <v>TCGA-BRCA</v>
      </c>
      <c r="D13767" s="1" t="s">
        <v>493</v>
      </c>
      <c r="E13767" t="s">
        <v>532</v>
      </c>
      <c r="F13767" s="1">
        <v>2</v>
      </c>
      <c r="G13767" s="1" t="s">
        <v>32</v>
      </c>
      <c r="H13767" s="4" t="str">
        <f>HYPERLINK("https://portal.gdc.cancer.gov/cases/c2a742fe-3e8b-4210-85a6-7191a1123609","TCGA-AN-A0FN-01A")</f>
        <v>TCGA-AN-A0FN-01A</v>
      </c>
      <c r="I13767" t="s">
        <v>17</v>
      </c>
      <c r="J13767" t="s">
        <v>524</v>
      </c>
      <c r="K13767" t="s">
        <v>33</v>
      </c>
      <c r="L13767" t="s">
        <v>20</v>
      </c>
      <c r="N13767" t="s">
        <v>29</v>
      </c>
    </row>
    <row r="13768" spans="1:14">
      <c r="A13768" s="4" t="str">
        <f t="shared" si="1140"/>
        <v>EXP00414</v>
      </c>
      <c r="B13768" s="3" t="s">
        <v>66</v>
      </c>
      <c r="C13768" s="4" t="str">
        <f t="shared" si="1139"/>
        <v>TCGA-BRCA</v>
      </c>
      <c r="D13768" s="1" t="s">
        <v>493</v>
      </c>
      <c r="E13768" t="s">
        <v>532</v>
      </c>
      <c r="F13768" s="1">
        <v>2</v>
      </c>
      <c r="G13768" s="1" t="s">
        <v>32</v>
      </c>
      <c r="H13768" s="4" t="str">
        <f>HYPERLINK("https://portal.gdc.cancer.gov/cases/10c9be1e-2cc0-45e4-8d2c-c013ea63ef05","TCGA-AN-A0FS-01A")</f>
        <v>TCGA-AN-A0FS-01A</v>
      </c>
      <c r="I13768" t="s">
        <v>17</v>
      </c>
      <c r="J13768" t="s">
        <v>524</v>
      </c>
      <c r="K13768" t="s">
        <v>33</v>
      </c>
      <c r="L13768" t="s">
        <v>20</v>
      </c>
      <c r="N13768" t="s">
        <v>29</v>
      </c>
    </row>
    <row r="13769" spans="1:14">
      <c r="A13769" s="4" t="str">
        <f t="shared" si="1140"/>
        <v>EXP00414</v>
      </c>
      <c r="B13769" s="3" t="s">
        <v>66</v>
      </c>
      <c r="C13769" s="4" t="str">
        <f t="shared" si="1139"/>
        <v>TCGA-BRCA</v>
      </c>
      <c r="D13769" s="1" t="s">
        <v>493</v>
      </c>
      <c r="E13769" t="s">
        <v>532</v>
      </c>
      <c r="F13769" s="1">
        <v>2</v>
      </c>
      <c r="G13769" s="1" t="s">
        <v>32</v>
      </c>
      <c r="H13769" s="4" t="str">
        <f>HYPERLINK("https://portal.gdc.cancer.gov/cases/baf5e81f-2322-41ec-9053-b9559a7993bc","TCGA-AN-A0FT-01A")</f>
        <v>TCGA-AN-A0FT-01A</v>
      </c>
      <c r="I13769" t="s">
        <v>17</v>
      </c>
      <c r="J13769" t="s">
        <v>524</v>
      </c>
      <c r="K13769" t="s">
        <v>33</v>
      </c>
      <c r="L13769" t="s">
        <v>20</v>
      </c>
      <c r="N13769" t="s">
        <v>29</v>
      </c>
    </row>
    <row r="13770" spans="1:14">
      <c r="A13770" s="4" t="str">
        <f t="shared" si="1140"/>
        <v>EXP00414</v>
      </c>
      <c r="B13770" s="3" t="s">
        <v>66</v>
      </c>
      <c r="C13770" s="4" t="str">
        <f t="shared" si="1139"/>
        <v>TCGA-BRCA</v>
      </c>
      <c r="D13770" s="1" t="s">
        <v>493</v>
      </c>
      <c r="E13770" t="s">
        <v>532</v>
      </c>
      <c r="F13770" s="1">
        <v>2</v>
      </c>
      <c r="G13770" s="1" t="s">
        <v>32</v>
      </c>
      <c r="H13770" s="4" t="str">
        <f>HYPERLINK("https://portal.gdc.cancer.gov/cases/2e8e70f2-c781-44c2-8f12-1f8c2f536aa3","TCGA-AN-A0FV-01A")</f>
        <v>TCGA-AN-A0FV-01A</v>
      </c>
      <c r="I13770" t="s">
        <v>17</v>
      </c>
      <c r="J13770" t="s">
        <v>524</v>
      </c>
      <c r="K13770" t="s">
        <v>33</v>
      </c>
      <c r="L13770" t="s">
        <v>20</v>
      </c>
      <c r="N13770" t="s">
        <v>29</v>
      </c>
    </row>
    <row r="13771" spans="1:14">
      <c r="A13771" s="4" t="str">
        <f t="shared" si="1140"/>
        <v>EXP00414</v>
      </c>
      <c r="B13771" s="3" t="s">
        <v>66</v>
      </c>
      <c r="C13771" s="4" t="str">
        <f t="shared" si="1139"/>
        <v>TCGA-BRCA</v>
      </c>
      <c r="D13771" s="1" t="s">
        <v>493</v>
      </c>
      <c r="E13771" t="s">
        <v>532</v>
      </c>
      <c r="F13771" s="1">
        <v>2</v>
      </c>
      <c r="G13771" s="1" t="s">
        <v>32</v>
      </c>
      <c r="H13771" s="4" t="str">
        <f>HYPERLINK("https://portal.gdc.cancer.gov/cases/e112b452-8850-4353-bfed-0dbdc243290b","TCGA-AN-A0FW-01A")</f>
        <v>TCGA-AN-A0FW-01A</v>
      </c>
      <c r="I13771" t="s">
        <v>17</v>
      </c>
      <c r="J13771" t="s">
        <v>524</v>
      </c>
      <c r="K13771" t="s">
        <v>33</v>
      </c>
      <c r="L13771" t="s">
        <v>20</v>
      </c>
      <c r="N13771" t="s">
        <v>29</v>
      </c>
    </row>
    <row r="13772" spans="1:14">
      <c r="A13772" s="4" t="str">
        <f t="shared" si="1140"/>
        <v>EXP00414</v>
      </c>
      <c r="B13772" s="3" t="s">
        <v>66</v>
      </c>
      <c r="C13772" s="4" t="str">
        <f t="shared" si="1139"/>
        <v>TCGA-BRCA</v>
      </c>
      <c r="D13772" s="1" t="s">
        <v>493</v>
      </c>
      <c r="E13772" t="s">
        <v>532</v>
      </c>
      <c r="F13772" s="1">
        <v>2</v>
      </c>
      <c r="G13772" s="1" t="s">
        <v>32</v>
      </c>
      <c r="H13772" s="4" t="str">
        <f>HYPERLINK("https://portal.gdc.cancer.gov/cases/13b860c3-8048-4dc9-9eb0-7480bc660837","TCGA-AN-A0FX-01A")</f>
        <v>TCGA-AN-A0FX-01A</v>
      </c>
      <c r="I13772" t="s">
        <v>17</v>
      </c>
      <c r="J13772" t="s">
        <v>524</v>
      </c>
      <c r="K13772" t="s">
        <v>33</v>
      </c>
      <c r="L13772" t="s">
        <v>20</v>
      </c>
      <c r="N13772" t="s">
        <v>29</v>
      </c>
    </row>
    <row r="13773" spans="1:14">
      <c r="A13773" s="4" t="str">
        <f t="shared" si="1140"/>
        <v>EXP00414</v>
      </c>
      <c r="B13773" s="3" t="s">
        <v>66</v>
      </c>
      <c r="C13773" s="4" t="str">
        <f t="shared" si="1139"/>
        <v>TCGA-BRCA</v>
      </c>
      <c r="D13773" s="1" t="s">
        <v>493</v>
      </c>
      <c r="E13773" t="s">
        <v>532</v>
      </c>
      <c r="F13773" s="1">
        <v>2</v>
      </c>
      <c r="G13773" s="1" t="s">
        <v>32</v>
      </c>
      <c r="H13773" s="4" t="str">
        <f>HYPERLINK("https://portal.gdc.cancer.gov/cases/de75d0b9-0f47-4732-8df5-05c350cfcd32","TCGA-AN-A0FY-01A")</f>
        <v>TCGA-AN-A0FY-01A</v>
      </c>
      <c r="I13773" t="s">
        <v>17</v>
      </c>
      <c r="J13773" t="s">
        <v>524</v>
      </c>
      <c r="K13773" t="s">
        <v>33</v>
      </c>
      <c r="L13773" t="s">
        <v>20</v>
      </c>
      <c r="N13773" t="s">
        <v>29</v>
      </c>
    </row>
    <row r="13774" spans="1:14">
      <c r="A13774" s="4" t="str">
        <f t="shared" si="1140"/>
        <v>EXP00414</v>
      </c>
      <c r="B13774" s="3" t="s">
        <v>66</v>
      </c>
      <c r="C13774" s="4" t="str">
        <f t="shared" si="1139"/>
        <v>TCGA-BRCA</v>
      </c>
      <c r="D13774" s="1" t="s">
        <v>493</v>
      </c>
      <c r="E13774" t="s">
        <v>532</v>
      </c>
      <c r="F13774" s="1">
        <v>2</v>
      </c>
      <c r="G13774" s="1" t="s">
        <v>32</v>
      </c>
      <c r="H13774" s="4" t="str">
        <f>HYPERLINK("https://portal.gdc.cancer.gov/cases/8240c4ae-f878-4882-aa07-7857c7ac52cf","TCGA-AN-A0FZ-01A")</f>
        <v>TCGA-AN-A0FZ-01A</v>
      </c>
      <c r="I13774" t="s">
        <v>17</v>
      </c>
      <c r="J13774" t="s">
        <v>524</v>
      </c>
      <c r="K13774" t="s">
        <v>33</v>
      </c>
      <c r="L13774" t="s">
        <v>20</v>
      </c>
      <c r="N13774" t="s">
        <v>29</v>
      </c>
    </row>
    <row r="13775" spans="1:14">
      <c r="A13775" s="4" t="str">
        <f t="shared" si="1140"/>
        <v>EXP00414</v>
      </c>
      <c r="B13775" s="3" t="s">
        <v>66</v>
      </c>
      <c r="C13775" s="4" t="str">
        <f t="shared" si="1139"/>
        <v>TCGA-BRCA</v>
      </c>
      <c r="D13775" s="1" t="s">
        <v>493</v>
      </c>
      <c r="E13775" t="s">
        <v>532</v>
      </c>
      <c r="F13775" s="1">
        <v>2</v>
      </c>
      <c r="G13775" s="1" t="s">
        <v>32</v>
      </c>
      <c r="H13775" s="4" t="str">
        <f>HYPERLINK("https://portal.gdc.cancer.gov/cases/96312510-c126-485d-8109-ed81844a1dc3","TCGA-AN-A0G0-01A")</f>
        <v>TCGA-AN-A0G0-01A</v>
      </c>
      <c r="I13775" t="s">
        <v>17</v>
      </c>
      <c r="J13775" t="s">
        <v>524</v>
      </c>
      <c r="K13775" t="s">
        <v>33</v>
      </c>
      <c r="L13775" t="s">
        <v>20</v>
      </c>
      <c r="N13775" t="s">
        <v>29</v>
      </c>
    </row>
    <row r="13776" spans="1:14">
      <c r="A13776" s="4" t="str">
        <f t="shared" si="1140"/>
        <v>EXP00414</v>
      </c>
      <c r="B13776" s="3" t="s">
        <v>66</v>
      </c>
      <c r="C13776" s="4" t="str">
        <f t="shared" si="1139"/>
        <v>TCGA-BRCA</v>
      </c>
      <c r="D13776" s="1" t="s">
        <v>493</v>
      </c>
      <c r="E13776" t="s">
        <v>532</v>
      </c>
      <c r="F13776" s="1">
        <v>2</v>
      </c>
      <c r="G13776" s="1" t="s">
        <v>32</v>
      </c>
      <c r="H13776" s="4" t="str">
        <f>HYPERLINK("https://portal.gdc.cancer.gov/cases/4649dee3-b668-44cd-ab97-3834de3ef8f8","TCGA-AN-A0XL-01A")</f>
        <v>TCGA-AN-A0XL-01A</v>
      </c>
      <c r="I13776" t="s">
        <v>17</v>
      </c>
      <c r="J13776" t="s">
        <v>524</v>
      </c>
      <c r="K13776" t="s">
        <v>33</v>
      </c>
      <c r="L13776" t="s">
        <v>20</v>
      </c>
      <c r="N13776" t="s">
        <v>29</v>
      </c>
    </row>
    <row r="13777" spans="1:14">
      <c r="A13777" s="4" t="str">
        <f t="shared" si="1140"/>
        <v>EXP00414</v>
      </c>
      <c r="B13777" s="3" t="s">
        <v>66</v>
      </c>
      <c r="C13777" s="4" t="str">
        <f t="shared" si="1139"/>
        <v>TCGA-BRCA</v>
      </c>
      <c r="D13777" s="1" t="s">
        <v>493</v>
      </c>
      <c r="E13777" t="s">
        <v>532</v>
      </c>
      <c r="F13777" s="1">
        <v>2</v>
      </c>
      <c r="G13777" s="1" t="s">
        <v>32</v>
      </c>
      <c r="H13777" s="4" t="str">
        <f>HYPERLINK("https://portal.gdc.cancer.gov/cases/4e3699da-4367-4a43-9d66-a117d3ad460d","TCGA-AN-A0XN-01A")</f>
        <v>TCGA-AN-A0XN-01A</v>
      </c>
      <c r="I13777" t="s">
        <v>17</v>
      </c>
      <c r="J13777" t="s">
        <v>524</v>
      </c>
      <c r="K13777" t="s">
        <v>33</v>
      </c>
      <c r="L13777" t="s">
        <v>20</v>
      </c>
      <c r="N13777" t="s">
        <v>29</v>
      </c>
    </row>
    <row r="13778" spans="1:14">
      <c r="A13778" s="4" t="str">
        <f t="shared" si="1140"/>
        <v>EXP00414</v>
      </c>
      <c r="B13778" s="3" t="s">
        <v>66</v>
      </c>
      <c r="C13778" s="4" t="str">
        <f t="shared" si="1139"/>
        <v>TCGA-BRCA</v>
      </c>
      <c r="D13778" s="1" t="s">
        <v>493</v>
      </c>
      <c r="E13778" t="s">
        <v>532</v>
      </c>
      <c r="F13778" s="1">
        <v>2</v>
      </c>
      <c r="G13778" s="1" t="s">
        <v>32</v>
      </c>
      <c r="H13778" s="4" t="str">
        <f>HYPERLINK("https://portal.gdc.cancer.gov/cases/195b6731-6ae6-416e-a345-0eb8874a0ca2","TCGA-AN-A0XO-01A")</f>
        <v>TCGA-AN-A0XO-01A</v>
      </c>
      <c r="I13778" t="s">
        <v>17</v>
      </c>
      <c r="J13778" t="s">
        <v>524</v>
      </c>
      <c r="K13778" t="s">
        <v>33</v>
      </c>
      <c r="L13778" t="s">
        <v>20</v>
      </c>
      <c r="N13778" t="s">
        <v>29</v>
      </c>
    </row>
    <row r="13779" spans="1:14">
      <c r="A13779" s="4" t="str">
        <f t="shared" si="1140"/>
        <v>EXP00414</v>
      </c>
      <c r="B13779" s="3" t="s">
        <v>66</v>
      </c>
      <c r="C13779" s="4" t="str">
        <f t="shared" si="1139"/>
        <v>TCGA-BRCA</v>
      </c>
      <c r="D13779" s="1" t="s">
        <v>493</v>
      </c>
      <c r="E13779" t="s">
        <v>532</v>
      </c>
      <c r="F13779" s="1">
        <v>2</v>
      </c>
      <c r="G13779" s="1" t="s">
        <v>32</v>
      </c>
      <c r="H13779" s="4" t="str">
        <f>HYPERLINK("https://portal.gdc.cancer.gov/cases/cf0e7e4e-b857-4db5-9ae2-551a899f77be","TCGA-AN-A0XP-01A")</f>
        <v>TCGA-AN-A0XP-01A</v>
      </c>
      <c r="I13779" t="s">
        <v>17</v>
      </c>
      <c r="J13779" t="s">
        <v>524</v>
      </c>
      <c r="K13779" t="s">
        <v>33</v>
      </c>
      <c r="L13779" t="s">
        <v>20</v>
      </c>
      <c r="N13779" t="s">
        <v>29</v>
      </c>
    </row>
    <row r="13780" spans="1:14">
      <c r="A13780" s="4" t="str">
        <f t="shared" si="1140"/>
        <v>EXP00414</v>
      </c>
      <c r="B13780" s="3" t="s">
        <v>66</v>
      </c>
      <c r="C13780" s="4" t="str">
        <f t="shared" si="1139"/>
        <v>TCGA-BRCA</v>
      </c>
      <c r="D13780" s="1" t="s">
        <v>493</v>
      </c>
      <c r="E13780" t="s">
        <v>532</v>
      </c>
      <c r="F13780" s="1">
        <v>2</v>
      </c>
      <c r="G13780" s="1" t="s">
        <v>32</v>
      </c>
      <c r="H13780" s="4" t="str">
        <f>HYPERLINK("https://portal.gdc.cancer.gov/cases/f51af6db-2655-47fb-9ffc-83a503a728ea","TCGA-AN-A0XR-01A")</f>
        <v>TCGA-AN-A0XR-01A</v>
      </c>
      <c r="I13780" t="s">
        <v>17</v>
      </c>
      <c r="J13780" t="s">
        <v>524</v>
      </c>
      <c r="K13780" t="s">
        <v>33</v>
      </c>
      <c r="L13780" t="s">
        <v>20</v>
      </c>
      <c r="N13780" t="s">
        <v>29</v>
      </c>
    </row>
    <row r="13781" spans="1:14">
      <c r="A13781" s="4" t="str">
        <f t="shared" si="1140"/>
        <v>EXP00414</v>
      </c>
      <c r="B13781" s="3" t="s">
        <v>66</v>
      </c>
      <c r="C13781" s="4" t="str">
        <f t="shared" si="1139"/>
        <v>TCGA-BRCA</v>
      </c>
      <c r="D13781" s="1" t="s">
        <v>493</v>
      </c>
      <c r="E13781" t="s">
        <v>532</v>
      </c>
      <c r="F13781" s="1">
        <v>2</v>
      </c>
      <c r="G13781" s="1" t="s">
        <v>32</v>
      </c>
      <c r="H13781" s="4" t="str">
        <f>HYPERLINK("https://portal.gdc.cancer.gov/cases/95e949d3-b1f3-46c6-9451-8fe92c99e4cf","TCGA-AN-A0XS-01A")</f>
        <v>TCGA-AN-A0XS-01A</v>
      </c>
      <c r="I13781" t="s">
        <v>17</v>
      </c>
      <c r="J13781" t="s">
        <v>524</v>
      </c>
      <c r="K13781" t="s">
        <v>33</v>
      </c>
      <c r="L13781" t="s">
        <v>20</v>
      </c>
      <c r="N13781" t="s">
        <v>29</v>
      </c>
    </row>
    <row r="13782" spans="1:14">
      <c r="A13782" s="4" t="str">
        <f t="shared" si="1140"/>
        <v>EXP00414</v>
      </c>
      <c r="B13782" s="3" t="s">
        <v>66</v>
      </c>
      <c r="C13782" s="4" t="str">
        <f t="shared" si="1139"/>
        <v>TCGA-BRCA</v>
      </c>
      <c r="D13782" s="1" t="s">
        <v>493</v>
      </c>
      <c r="E13782" t="s">
        <v>532</v>
      </c>
      <c r="F13782" s="1">
        <v>2</v>
      </c>
      <c r="G13782" s="1" t="s">
        <v>32</v>
      </c>
      <c r="H13782" s="4" t="str">
        <f>HYPERLINK("https://portal.gdc.cancer.gov/cases/3e25056d-d137-49f5-abaa-f68509426600","TCGA-AN-A0XT-01A")</f>
        <v>TCGA-AN-A0XT-01A</v>
      </c>
      <c r="I13782" t="s">
        <v>17</v>
      </c>
      <c r="J13782" t="s">
        <v>524</v>
      </c>
      <c r="K13782" t="s">
        <v>33</v>
      </c>
      <c r="L13782" t="s">
        <v>20</v>
      </c>
      <c r="N13782" t="s">
        <v>29</v>
      </c>
    </row>
    <row r="13783" spans="1:14">
      <c r="A13783" s="4" t="str">
        <f t="shared" si="1140"/>
        <v>EXP00414</v>
      </c>
      <c r="B13783" s="3" t="s">
        <v>66</v>
      </c>
      <c r="C13783" s="4" t="str">
        <f t="shared" si="1139"/>
        <v>TCGA-BRCA</v>
      </c>
      <c r="D13783" s="1" t="s">
        <v>493</v>
      </c>
      <c r="E13783" t="s">
        <v>532</v>
      </c>
      <c r="F13783" s="1">
        <v>2</v>
      </c>
      <c r="G13783" s="1" t="s">
        <v>32</v>
      </c>
      <c r="H13783" s="4" t="str">
        <f>HYPERLINK("https://portal.gdc.cancer.gov/cases/a1da9db1-db11-4f4d-a249-c738db81b87e","TCGA-AN-A0XU-01A")</f>
        <v>TCGA-AN-A0XU-01A</v>
      </c>
      <c r="I13783" t="s">
        <v>17</v>
      </c>
      <c r="J13783" t="s">
        <v>524</v>
      </c>
      <c r="K13783" t="s">
        <v>33</v>
      </c>
      <c r="L13783" t="s">
        <v>20</v>
      </c>
      <c r="N13783" t="s">
        <v>29</v>
      </c>
    </row>
    <row r="13784" spans="1:14">
      <c r="A13784" s="4" t="str">
        <f t="shared" si="1140"/>
        <v>EXP00414</v>
      </c>
      <c r="B13784" s="3" t="s">
        <v>66</v>
      </c>
      <c r="C13784" s="4" t="str">
        <f t="shared" si="1139"/>
        <v>TCGA-BRCA</v>
      </c>
      <c r="D13784" s="1" t="s">
        <v>493</v>
      </c>
      <c r="E13784" t="s">
        <v>532</v>
      </c>
      <c r="F13784" s="1">
        <v>2</v>
      </c>
      <c r="G13784" s="1" t="s">
        <v>32</v>
      </c>
      <c r="H13784" s="4" t="str">
        <f>HYPERLINK("https://portal.gdc.cancer.gov/cases/ac18b3a3-8d52-4e35-8625-673171a7fd92","TCGA-AN-A0XV-01A")</f>
        <v>TCGA-AN-A0XV-01A</v>
      </c>
      <c r="I13784" t="s">
        <v>17</v>
      </c>
      <c r="J13784" t="s">
        <v>524</v>
      </c>
      <c r="K13784" t="s">
        <v>33</v>
      </c>
      <c r="L13784" t="s">
        <v>20</v>
      </c>
      <c r="N13784" t="s">
        <v>29</v>
      </c>
    </row>
    <row r="13785" spans="1:14">
      <c r="A13785" s="4" t="str">
        <f t="shared" si="1140"/>
        <v>EXP00414</v>
      </c>
      <c r="B13785" s="3" t="s">
        <v>66</v>
      </c>
      <c r="C13785" s="4" t="str">
        <f t="shared" si="1139"/>
        <v>TCGA-BRCA</v>
      </c>
      <c r="D13785" s="1" t="s">
        <v>493</v>
      </c>
      <c r="E13785" t="s">
        <v>532</v>
      </c>
      <c r="F13785" s="1">
        <v>2</v>
      </c>
      <c r="G13785" s="1" t="s">
        <v>32</v>
      </c>
      <c r="H13785" s="4" t="str">
        <f>HYPERLINK("https://portal.gdc.cancer.gov/cases/39de7761-e762-4811-b95c-8216b79ae06b","TCGA-AN-A0XW-01A")</f>
        <v>TCGA-AN-A0XW-01A</v>
      </c>
      <c r="I13785" t="s">
        <v>17</v>
      </c>
      <c r="J13785" t="s">
        <v>524</v>
      </c>
      <c r="K13785" t="s">
        <v>33</v>
      </c>
      <c r="L13785" t="s">
        <v>20</v>
      </c>
      <c r="N13785" t="s">
        <v>29</v>
      </c>
    </row>
    <row r="13786" spans="1:14">
      <c r="A13786" s="4" t="str">
        <f t="shared" si="1140"/>
        <v>EXP00414</v>
      </c>
      <c r="B13786" s="3" t="s">
        <v>66</v>
      </c>
      <c r="C13786" s="4" t="str">
        <f t="shared" si="1139"/>
        <v>TCGA-BRCA</v>
      </c>
      <c r="D13786" s="1" t="s">
        <v>493</v>
      </c>
      <c r="E13786" t="s">
        <v>532</v>
      </c>
      <c r="F13786" s="1">
        <v>2</v>
      </c>
      <c r="G13786" s="1" t="s">
        <v>32</v>
      </c>
      <c r="H13786" s="4" t="str">
        <f>HYPERLINK("https://portal.gdc.cancer.gov/cases/1174f6e4-ffbe-4e59-a000-8d861c968369","TCGA-AO-A03L-01A")</f>
        <v>TCGA-AO-A03L-01A</v>
      </c>
      <c r="I13786" t="s">
        <v>17</v>
      </c>
      <c r="J13786" t="s">
        <v>524</v>
      </c>
      <c r="K13786" t="s">
        <v>33</v>
      </c>
      <c r="L13786" t="s">
        <v>20</v>
      </c>
      <c r="N13786" t="s">
        <v>29</v>
      </c>
    </row>
    <row r="13787" spans="1:14">
      <c r="A13787" s="4" t="str">
        <f t="shared" si="1140"/>
        <v>EXP00414</v>
      </c>
      <c r="B13787" s="3" t="s">
        <v>66</v>
      </c>
      <c r="C13787" s="4" t="str">
        <f t="shared" si="1139"/>
        <v>TCGA-BRCA</v>
      </c>
      <c r="D13787" s="1" t="s">
        <v>493</v>
      </c>
      <c r="E13787" t="s">
        <v>532</v>
      </c>
      <c r="F13787" s="1">
        <v>2</v>
      </c>
      <c r="G13787" s="1" t="s">
        <v>32</v>
      </c>
      <c r="H13787" s="4" t="str">
        <f>HYPERLINK("https://portal.gdc.cancer.gov/cases/095c7985-3842-494f-b591-706ad1cd2133","TCGA-AO-A03M-01B")</f>
        <v>TCGA-AO-A03M-01B</v>
      </c>
      <c r="I13787" t="s">
        <v>17</v>
      </c>
      <c r="J13787" t="s">
        <v>524</v>
      </c>
      <c r="K13787" t="s">
        <v>33</v>
      </c>
      <c r="L13787" t="s">
        <v>20</v>
      </c>
      <c r="N13787" t="s">
        <v>29</v>
      </c>
    </row>
    <row r="13788" spans="1:14">
      <c r="A13788" s="4" t="str">
        <f t="shared" si="1140"/>
        <v>EXP00414</v>
      </c>
      <c r="B13788" s="3" t="s">
        <v>66</v>
      </c>
      <c r="C13788" s="4" t="str">
        <f t="shared" si="1139"/>
        <v>TCGA-BRCA</v>
      </c>
      <c r="D13788" s="1" t="s">
        <v>493</v>
      </c>
      <c r="E13788" t="s">
        <v>532</v>
      </c>
      <c r="F13788" s="1">
        <v>2</v>
      </c>
      <c r="G13788" s="1" t="s">
        <v>32</v>
      </c>
      <c r="H13788" s="4" t="str">
        <f>HYPERLINK("https://portal.gdc.cancer.gov/cases/9435447e-d65f-408b-863b-6576b1d652dd","TCGA-AO-A03N-01B")</f>
        <v>TCGA-AO-A03N-01B</v>
      </c>
      <c r="I13788" t="s">
        <v>17</v>
      </c>
      <c r="J13788" t="s">
        <v>524</v>
      </c>
      <c r="K13788" t="s">
        <v>33</v>
      </c>
      <c r="L13788" t="s">
        <v>20</v>
      </c>
      <c r="N13788" t="s">
        <v>29</v>
      </c>
    </row>
    <row r="13789" spans="1:14">
      <c r="A13789" s="4" t="str">
        <f t="shared" si="1140"/>
        <v>EXP00414</v>
      </c>
      <c r="B13789" s="3" t="s">
        <v>66</v>
      </c>
      <c r="C13789" s="4" t="str">
        <f t="shared" si="1139"/>
        <v>TCGA-BRCA</v>
      </c>
      <c r="D13789" s="1" t="s">
        <v>493</v>
      </c>
      <c r="E13789" t="s">
        <v>532</v>
      </c>
      <c r="F13789" s="1">
        <v>2</v>
      </c>
      <c r="G13789" s="1" t="s">
        <v>32</v>
      </c>
      <c r="H13789" s="4" t="str">
        <f>HYPERLINK("https://portal.gdc.cancer.gov/cases/1111fb30-46ce-4722-98da-ec9ba2323d90","TCGA-AO-A03O-01A")</f>
        <v>TCGA-AO-A03O-01A</v>
      </c>
      <c r="I13789" t="s">
        <v>17</v>
      </c>
      <c r="J13789" t="s">
        <v>524</v>
      </c>
      <c r="K13789" t="s">
        <v>33</v>
      </c>
      <c r="L13789" t="s">
        <v>20</v>
      </c>
      <c r="N13789" t="s">
        <v>29</v>
      </c>
    </row>
    <row r="13790" spans="1:14">
      <c r="A13790" s="4" t="str">
        <f t="shared" si="1140"/>
        <v>EXP00414</v>
      </c>
      <c r="B13790" s="3" t="s">
        <v>66</v>
      </c>
      <c r="C13790" s="4" t="str">
        <f t="shared" si="1139"/>
        <v>TCGA-BRCA</v>
      </c>
      <c r="D13790" s="1" t="s">
        <v>493</v>
      </c>
      <c r="E13790" t="s">
        <v>532</v>
      </c>
      <c r="F13790" s="1">
        <v>2</v>
      </c>
      <c r="G13790" s="1" t="s">
        <v>32</v>
      </c>
      <c r="H13790" s="4" t="str">
        <f>HYPERLINK("https://portal.gdc.cancer.gov/cases/2e82e576-3095-4aee-9853-65f676647c34","TCGA-AO-A03R-01A")</f>
        <v>TCGA-AO-A03R-01A</v>
      </c>
      <c r="I13790" t="s">
        <v>17</v>
      </c>
      <c r="J13790" t="s">
        <v>524</v>
      </c>
      <c r="K13790" t="s">
        <v>33</v>
      </c>
      <c r="L13790" t="s">
        <v>20</v>
      </c>
      <c r="N13790" t="s">
        <v>29</v>
      </c>
    </row>
    <row r="13791" spans="1:14">
      <c r="A13791" s="4" t="str">
        <f t="shared" si="1140"/>
        <v>EXP00414</v>
      </c>
      <c r="B13791" s="3" t="s">
        <v>66</v>
      </c>
      <c r="C13791" s="4" t="str">
        <f t="shared" si="1139"/>
        <v>TCGA-BRCA</v>
      </c>
      <c r="D13791" s="1" t="s">
        <v>493</v>
      </c>
      <c r="E13791" t="s">
        <v>532</v>
      </c>
      <c r="F13791" s="1">
        <v>2</v>
      </c>
      <c r="G13791" s="1" t="s">
        <v>32</v>
      </c>
      <c r="H13791" s="4" t="str">
        <f>HYPERLINK("https://portal.gdc.cancer.gov/cases/dd6b64a8-d546-4fd1-bbbd-ac9703791cae","TCGA-AO-A03T-01A")</f>
        <v>TCGA-AO-A03T-01A</v>
      </c>
      <c r="I13791" t="s">
        <v>17</v>
      </c>
      <c r="J13791" t="s">
        <v>524</v>
      </c>
      <c r="K13791" t="s">
        <v>33</v>
      </c>
      <c r="L13791" t="s">
        <v>20</v>
      </c>
      <c r="N13791" t="s">
        <v>29</v>
      </c>
    </row>
    <row r="13792" spans="1:14">
      <c r="A13792" s="4" t="str">
        <f t="shared" si="1140"/>
        <v>EXP00414</v>
      </c>
      <c r="B13792" s="3" t="s">
        <v>66</v>
      </c>
      <c r="C13792" s="4" t="str">
        <f t="shared" si="1139"/>
        <v>TCGA-BRCA</v>
      </c>
      <c r="D13792" s="1" t="s">
        <v>493</v>
      </c>
      <c r="E13792" t="s">
        <v>532</v>
      </c>
      <c r="F13792" s="1">
        <v>2</v>
      </c>
      <c r="G13792" s="1" t="s">
        <v>32</v>
      </c>
      <c r="H13792" s="4" t="str">
        <f>HYPERLINK("https://portal.gdc.cancer.gov/cases/0685edd2-ce1c-4e0e-8dda-393139af4223","TCGA-AO-A03U-01B")</f>
        <v>TCGA-AO-A03U-01B</v>
      </c>
      <c r="I13792" t="s">
        <v>17</v>
      </c>
      <c r="J13792" t="s">
        <v>524</v>
      </c>
      <c r="K13792" t="s">
        <v>33</v>
      </c>
      <c r="L13792" t="s">
        <v>20</v>
      </c>
      <c r="N13792" t="s">
        <v>29</v>
      </c>
    </row>
    <row r="13793" spans="1:14">
      <c r="A13793" s="4" t="str">
        <f t="shared" si="1140"/>
        <v>EXP00414</v>
      </c>
      <c r="B13793" s="3" t="s">
        <v>66</v>
      </c>
      <c r="C13793" s="4" t="str">
        <f t="shared" si="1139"/>
        <v>TCGA-BRCA</v>
      </c>
      <c r="D13793" s="1" t="s">
        <v>493</v>
      </c>
      <c r="E13793" t="s">
        <v>532</v>
      </c>
      <c r="F13793" s="1">
        <v>2</v>
      </c>
      <c r="G13793" s="1" t="s">
        <v>32</v>
      </c>
      <c r="H13793" s="4" t="str">
        <f>HYPERLINK("https://portal.gdc.cancer.gov/cases/a6cb373a-1604-4e25-bd81-da6c3e4f06ee","TCGA-AO-A03V-01A")</f>
        <v>TCGA-AO-A03V-01A</v>
      </c>
      <c r="I13793" t="s">
        <v>17</v>
      </c>
      <c r="J13793" t="s">
        <v>524</v>
      </c>
      <c r="K13793" t="s">
        <v>33</v>
      </c>
      <c r="L13793" t="s">
        <v>20</v>
      </c>
      <c r="N13793" t="s">
        <v>29</v>
      </c>
    </row>
    <row r="13794" spans="1:14">
      <c r="A13794" s="4" t="str">
        <f t="shared" si="1140"/>
        <v>EXP00414</v>
      </c>
      <c r="B13794" s="3" t="s">
        <v>66</v>
      </c>
      <c r="C13794" s="4" t="str">
        <f t="shared" si="1139"/>
        <v>TCGA-BRCA</v>
      </c>
      <c r="D13794" s="1" t="s">
        <v>493</v>
      </c>
      <c r="E13794" t="s">
        <v>532</v>
      </c>
      <c r="F13794" s="1">
        <v>2</v>
      </c>
      <c r="G13794" s="1" t="s">
        <v>32</v>
      </c>
      <c r="H13794" s="4" t="str">
        <f>HYPERLINK("https://portal.gdc.cancer.gov/cases/d2f2560c-ec80-4fea-9474-c47a2e85ea95","TCGA-AO-A0J2-01A")</f>
        <v>TCGA-AO-A0J2-01A</v>
      </c>
      <c r="I13794" t="s">
        <v>17</v>
      </c>
      <c r="J13794" t="s">
        <v>524</v>
      </c>
      <c r="K13794" t="s">
        <v>33</v>
      </c>
      <c r="L13794" t="s">
        <v>20</v>
      </c>
      <c r="N13794" t="s">
        <v>29</v>
      </c>
    </row>
    <row r="13795" spans="1:14">
      <c r="A13795" s="4" t="str">
        <f t="shared" si="1140"/>
        <v>EXP00414</v>
      </c>
      <c r="B13795" s="3" t="s">
        <v>66</v>
      </c>
      <c r="C13795" s="4" t="str">
        <f t="shared" si="1139"/>
        <v>TCGA-BRCA</v>
      </c>
      <c r="D13795" s="1" t="s">
        <v>493</v>
      </c>
      <c r="E13795" t="s">
        <v>532</v>
      </c>
      <c r="F13795" s="1">
        <v>2</v>
      </c>
      <c r="G13795" s="1" t="s">
        <v>32</v>
      </c>
      <c r="H13795" s="4" t="str">
        <f>HYPERLINK("https://portal.gdc.cancer.gov/cases/39cde586-df95-435f-b9a6-73b0c0ee5e92","TCGA-AO-A0J3-01A")</f>
        <v>TCGA-AO-A0J3-01A</v>
      </c>
      <c r="I13795" t="s">
        <v>17</v>
      </c>
      <c r="J13795" t="s">
        <v>524</v>
      </c>
      <c r="K13795" t="s">
        <v>33</v>
      </c>
      <c r="L13795" t="s">
        <v>20</v>
      </c>
      <c r="N13795" t="s">
        <v>29</v>
      </c>
    </row>
    <row r="13796" spans="1:14">
      <c r="A13796" s="4" t="str">
        <f t="shared" si="1140"/>
        <v>EXP00414</v>
      </c>
      <c r="B13796" s="3" t="s">
        <v>66</v>
      </c>
      <c r="C13796" s="4" t="str">
        <f t="shared" si="1139"/>
        <v>TCGA-BRCA</v>
      </c>
      <c r="D13796" s="1" t="s">
        <v>493</v>
      </c>
      <c r="E13796" t="s">
        <v>532</v>
      </c>
      <c r="F13796" s="1">
        <v>2</v>
      </c>
      <c r="G13796" s="1" t="s">
        <v>32</v>
      </c>
      <c r="H13796" s="4" t="str">
        <f>HYPERLINK("https://portal.gdc.cancer.gov/cases/a9b7d7fe-be31-4f71-afee-c1bfdf511888","TCGA-AO-A0J4-01A")</f>
        <v>TCGA-AO-A0J4-01A</v>
      </c>
      <c r="I13796" t="s">
        <v>17</v>
      </c>
      <c r="J13796" t="s">
        <v>524</v>
      </c>
      <c r="K13796" t="s">
        <v>33</v>
      </c>
      <c r="L13796" t="s">
        <v>20</v>
      </c>
      <c r="N13796" t="s">
        <v>29</v>
      </c>
    </row>
    <row r="13797" spans="1:14">
      <c r="A13797" s="4" t="str">
        <f t="shared" si="1140"/>
        <v>EXP00414</v>
      </c>
      <c r="B13797" s="3" t="s">
        <v>66</v>
      </c>
      <c r="C13797" s="4" t="str">
        <f t="shared" si="1139"/>
        <v>TCGA-BRCA</v>
      </c>
      <c r="D13797" s="1" t="s">
        <v>493</v>
      </c>
      <c r="E13797" t="s">
        <v>532</v>
      </c>
      <c r="F13797" s="1">
        <v>2</v>
      </c>
      <c r="G13797" s="1" t="s">
        <v>32</v>
      </c>
      <c r="H13797" s="4" t="str">
        <f>HYPERLINK("https://portal.gdc.cancer.gov/cases/c1442467-d618-435f-8792-b1a18f696f1a","TCGA-AO-A0J5-01A")</f>
        <v>TCGA-AO-A0J5-01A</v>
      </c>
      <c r="I13797" t="s">
        <v>17</v>
      </c>
      <c r="J13797" t="s">
        <v>524</v>
      </c>
      <c r="K13797" t="s">
        <v>33</v>
      </c>
      <c r="L13797" t="s">
        <v>20</v>
      </c>
      <c r="N13797" t="s">
        <v>29</v>
      </c>
    </row>
    <row r="13798" spans="1:14">
      <c r="A13798" s="4" t="str">
        <f t="shared" si="1140"/>
        <v>EXP00414</v>
      </c>
      <c r="B13798" s="3" t="s">
        <v>66</v>
      </c>
      <c r="C13798" s="4" t="str">
        <f t="shared" si="1139"/>
        <v>TCGA-BRCA</v>
      </c>
      <c r="D13798" s="1" t="s">
        <v>493</v>
      </c>
      <c r="E13798" t="s">
        <v>532</v>
      </c>
      <c r="F13798" s="1">
        <v>2</v>
      </c>
      <c r="G13798" s="1" t="s">
        <v>32</v>
      </c>
      <c r="H13798" s="4" t="str">
        <f>HYPERLINK("https://portal.gdc.cancer.gov/cases/e9f4f373-37a5-48ad-a1a0-b0d47820111a","TCGA-AO-A0J6-01A")</f>
        <v>TCGA-AO-A0J6-01A</v>
      </c>
      <c r="I13798" t="s">
        <v>17</v>
      </c>
      <c r="J13798" t="s">
        <v>524</v>
      </c>
      <c r="K13798" t="s">
        <v>33</v>
      </c>
      <c r="L13798" t="s">
        <v>20</v>
      </c>
      <c r="N13798" t="s">
        <v>29</v>
      </c>
    </row>
    <row r="13799" spans="1:14">
      <c r="A13799" s="4" t="str">
        <f t="shared" si="1140"/>
        <v>EXP00414</v>
      </c>
      <c r="B13799" s="3" t="s">
        <v>66</v>
      </c>
      <c r="C13799" s="4" t="str">
        <f t="shared" si="1139"/>
        <v>TCGA-BRCA</v>
      </c>
      <c r="D13799" s="1" t="s">
        <v>493</v>
      </c>
      <c r="E13799" t="s">
        <v>532</v>
      </c>
      <c r="F13799" s="1">
        <v>2</v>
      </c>
      <c r="G13799" s="1" t="s">
        <v>32</v>
      </c>
      <c r="H13799" s="4" t="str">
        <f>HYPERLINK("https://portal.gdc.cancer.gov/cases/9536bec0-dae0-4d63-a1b3-956741835243","TCGA-AO-A0J7-01A")</f>
        <v>TCGA-AO-A0J7-01A</v>
      </c>
      <c r="I13799" t="s">
        <v>17</v>
      </c>
      <c r="J13799" t="s">
        <v>524</v>
      </c>
      <c r="K13799" t="s">
        <v>33</v>
      </c>
      <c r="L13799" t="s">
        <v>20</v>
      </c>
      <c r="N13799" t="s">
        <v>29</v>
      </c>
    </row>
    <row r="13800" spans="1:14">
      <c r="A13800" s="4" t="str">
        <f t="shared" si="1140"/>
        <v>EXP00414</v>
      </c>
      <c r="B13800" s="3" t="s">
        <v>66</v>
      </c>
      <c r="C13800" s="4" t="str">
        <f t="shared" si="1139"/>
        <v>TCGA-BRCA</v>
      </c>
      <c r="D13800" s="1" t="s">
        <v>493</v>
      </c>
      <c r="E13800" t="s">
        <v>532</v>
      </c>
      <c r="F13800" s="1">
        <v>2</v>
      </c>
      <c r="G13800" s="1" t="s">
        <v>32</v>
      </c>
      <c r="H13800" s="4" t="str">
        <f>HYPERLINK("https://portal.gdc.cancer.gov/cases/02bf5203-f9cd-4c5a-97b4-e5584dc22325","TCGA-AO-A0J8-01A")</f>
        <v>TCGA-AO-A0J8-01A</v>
      </c>
      <c r="I13800" t="s">
        <v>17</v>
      </c>
      <c r="J13800" t="s">
        <v>524</v>
      </c>
      <c r="K13800" t="s">
        <v>33</v>
      </c>
      <c r="L13800" t="s">
        <v>20</v>
      </c>
      <c r="N13800" t="s">
        <v>29</v>
      </c>
    </row>
    <row r="13801" spans="1:14">
      <c r="A13801" s="4" t="str">
        <f t="shared" si="1140"/>
        <v>EXP00414</v>
      </c>
      <c r="B13801" s="3" t="s">
        <v>66</v>
      </c>
      <c r="C13801" s="4" t="str">
        <f t="shared" si="1139"/>
        <v>TCGA-BRCA</v>
      </c>
      <c r="D13801" s="1" t="s">
        <v>493</v>
      </c>
      <c r="E13801" t="s">
        <v>532</v>
      </c>
      <c r="F13801" s="1">
        <v>2</v>
      </c>
      <c r="G13801" s="1" t="s">
        <v>32</v>
      </c>
      <c r="H13801" s="4" t="str">
        <f>HYPERLINK("https://portal.gdc.cancer.gov/cases/a4903de8-6cf5-4541-8ec7-065beace8b44","TCGA-AO-A0J9-01A")</f>
        <v>TCGA-AO-A0J9-01A</v>
      </c>
      <c r="I13801" t="s">
        <v>17</v>
      </c>
      <c r="J13801" t="s">
        <v>524</v>
      </c>
      <c r="K13801" t="s">
        <v>33</v>
      </c>
      <c r="L13801" t="s">
        <v>20</v>
      </c>
      <c r="N13801" t="s">
        <v>29</v>
      </c>
    </row>
    <row r="13802" spans="1:14">
      <c r="A13802" s="4" t="str">
        <f t="shared" si="1140"/>
        <v>EXP00414</v>
      </c>
      <c r="B13802" s="3" t="s">
        <v>66</v>
      </c>
      <c r="C13802" s="4" t="str">
        <f t="shared" si="1139"/>
        <v>TCGA-BRCA</v>
      </c>
      <c r="D13802" s="1" t="s">
        <v>493</v>
      </c>
      <c r="E13802" t="s">
        <v>532</v>
      </c>
      <c r="F13802" s="1">
        <v>2</v>
      </c>
      <c r="G13802" s="1" t="s">
        <v>32</v>
      </c>
      <c r="H13802" s="4" t="str">
        <f>HYPERLINK("https://portal.gdc.cancer.gov/cases/86b7b206-8e69-432d-acc9-bccce710955e","TCGA-AO-A0JA-01A")</f>
        <v>TCGA-AO-A0JA-01A</v>
      </c>
      <c r="I13802" t="s">
        <v>17</v>
      </c>
      <c r="J13802" t="s">
        <v>524</v>
      </c>
      <c r="K13802" t="s">
        <v>33</v>
      </c>
      <c r="L13802" t="s">
        <v>20</v>
      </c>
      <c r="N13802" t="s">
        <v>29</v>
      </c>
    </row>
    <row r="13803" spans="1:14">
      <c r="A13803" s="4" t="str">
        <f t="shared" si="1140"/>
        <v>EXP00414</v>
      </c>
      <c r="B13803" s="3" t="s">
        <v>66</v>
      </c>
      <c r="C13803" s="4" t="str">
        <f t="shared" si="1139"/>
        <v>TCGA-BRCA</v>
      </c>
      <c r="D13803" s="1" t="s">
        <v>493</v>
      </c>
      <c r="E13803" t="s">
        <v>532</v>
      </c>
      <c r="F13803" s="1">
        <v>2</v>
      </c>
      <c r="G13803" s="1" t="s">
        <v>32</v>
      </c>
      <c r="H13803" s="4" t="str">
        <f>HYPERLINK("https://portal.gdc.cancer.gov/cases/3ea9412b-429e-4dcf-90cd-c53be06885a1","TCGA-AO-A0JB-01A")</f>
        <v>TCGA-AO-A0JB-01A</v>
      </c>
      <c r="I13803" t="s">
        <v>17</v>
      </c>
      <c r="J13803" t="s">
        <v>524</v>
      </c>
      <c r="K13803" t="s">
        <v>33</v>
      </c>
      <c r="L13803" t="s">
        <v>20</v>
      </c>
      <c r="N13803" t="s">
        <v>29</v>
      </c>
    </row>
    <row r="13804" spans="1:14">
      <c r="A13804" s="4" t="str">
        <f t="shared" si="1140"/>
        <v>EXP00414</v>
      </c>
      <c r="B13804" s="3" t="s">
        <v>66</v>
      </c>
      <c r="C13804" s="4" t="str">
        <f t="shared" si="1139"/>
        <v>TCGA-BRCA</v>
      </c>
      <c r="D13804" s="1" t="s">
        <v>493</v>
      </c>
      <c r="E13804" t="s">
        <v>532</v>
      </c>
      <c r="F13804" s="1">
        <v>2</v>
      </c>
      <c r="G13804" s="1" t="s">
        <v>32</v>
      </c>
      <c r="H13804" s="4" t="str">
        <f>HYPERLINK("https://portal.gdc.cancer.gov/cases/03565036-b6d3-432f-8d9a-7099818e0788","TCGA-AO-A0JC-01A")</f>
        <v>TCGA-AO-A0JC-01A</v>
      </c>
      <c r="I13804" t="s">
        <v>17</v>
      </c>
      <c r="J13804" t="s">
        <v>524</v>
      </c>
      <c r="K13804" t="s">
        <v>33</v>
      </c>
      <c r="L13804" t="s">
        <v>20</v>
      </c>
      <c r="N13804" t="s">
        <v>29</v>
      </c>
    </row>
    <row r="13805" spans="1:14">
      <c r="A13805" s="4" t="str">
        <f t="shared" si="1140"/>
        <v>EXP00414</v>
      </c>
      <c r="B13805" s="3" t="s">
        <v>66</v>
      </c>
      <c r="C13805" s="4" t="str">
        <f t="shared" si="1139"/>
        <v>TCGA-BRCA</v>
      </c>
      <c r="D13805" s="1" t="s">
        <v>493</v>
      </c>
      <c r="E13805" t="s">
        <v>532</v>
      </c>
      <c r="F13805" s="1">
        <v>2</v>
      </c>
      <c r="G13805" s="1" t="s">
        <v>32</v>
      </c>
      <c r="H13805" s="4" t="str">
        <f>HYPERLINK("https://portal.gdc.cancer.gov/cases/0a229f95-0ea1-4d63-953e-74f5ec2f3028","TCGA-AO-A0JD-01A")</f>
        <v>TCGA-AO-A0JD-01A</v>
      </c>
      <c r="I13805" t="s">
        <v>17</v>
      </c>
      <c r="J13805" t="s">
        <v>524</v>
      </c>
      <c r="K13805" t="s">
        <v>33</v>
      </c>
      <c r="L13805" t="s">
        <v>20</v>
      </c>
      <c r="N13805" t="s">
        <v>29</v>
      </c>
    </row>
    <row r="13806" spans="1:14">
      <c r="A13806" s="4" t="str">
        <f t="shared" si="1140"/>
        <v>EXP00414</v>
      </c>
      <c r="B13806" s="3" t="s">
        <v>66</v>
      </c>
      <c r="C13806" s="4" t="str">
        <f t="shared" si="1139"/>
        <v>TCGA-BRCA</v>
      </c>
      <c r="D13806" s="1" t="s">
        <v>493</v>
      </c>
      <c r="E13806" t="s">
        <v>532</v>
      </c>
      <c r="F13806" s="1">
        <v>2</v>
      </c>
      <c r="G13806" s="1" t="s">
        <v>32</v>
      </c>
      <c r="H13806" s="4" t="str">
        <f>HYPERLINK("https://portal.gdc.cancer.gov/cases/36fe6152-f61e-4948-9ccc-23ac01a9d77d","TCGA-AO-A0JE-01A")</f>
        <v>TCGA-AO-A0JE-01A</v>
      </c>
      <c r="I13806" t="s">
        <v>17</v>
      </c>
      <c r="J13806" t="s">
        <v>524</v>
      </c>
      <c r="K13806" t="s">
        <v>33</v>
      </c>
      <c r="L13806" t="s">
        <v>20</v>
      </c>
      <c r="N13806" t="s">
        <v>29</v>
      </c>
    </row>
    <row r="13807" spans="1:14">
      <c r="A13807" s="4" t="str">
        <f t="shared" si="1140"/>
        <v>EXP00414</v>
      </c>
      <c r="B13807" s="3" t="s">
        <v>66</v>
      </c>
      <c r="C13807" s="4" t="str">
        <f t="shared" si="1139"/>
        <v>TCGA-BRCA</v>
      </c>
      <c r="D13807" s="1" t="s">
        <v>493</v>
      </c>
      <c r="E13807" t="s">
        <v>532</v>
      </c>
      <c r="F13807" s="1">
        <v>2</v>
      </c>
      <c r="G13807" s="1" t="s">
        <v>32</v>
      </c>
      <c r="H13807" s="4" t="str">
        <f>HYPERLINK("https://portal.gdc.cancer.gov/cases/f357fe19-5359-4662-8ce9-aa996132283b","TCGA-AO-A0JF-01A")</f>
        <v>TCGA-AO-A0JF-01A</v>
      </c>
      <c r="I13807" t="s">
        <v>17</v>
      </c>
      <c r="J13807" t="s">
        <v>524</v>
      </c>
      <c r="K13807" t="s">
        <v>33</v>
      </c>
      <c r="L13807" t="s">
        <v>20</v>
      </c>
      <c r="N13807" t="s">
        <v>29</v>
      </c>
    </row>
    <row r="13808" spans="1:14">
      <c r="A13808" s="4" t="str">
        <f t="shared" si="1140"/>
        <v>EXP00414</v>
      </c>
      <c r="B13808" s="3" t="s">
        <v>66</v>
      </c>
      <c r="C13808" s="4" t="str">
        <f t="shared" si="1139"/>
        <v>TCGA-BRCA</v>
      </c>
      <c r="D13808" s="1" t="s">
        <v>493</v>
      </c>
      <c r="E13808" t="s">
        <v>532</v>
      </c>
      <c r="F13808" s="1">
        <v>2</v>
      </c>
      <c r="G13808" s="1" t="s">
        <v>32</v>
      </c>
      <c r="H13808" s="4" t="str">
        <f>HYPERLINK("https://portal.gdc.cancer.gov/cases/58959e88-54e2-4558-9664-2effda7403dc","TCGA-AO-A0JG-01A")</f>
        <v>TCGA-AO-A0JG-01A</v>
      </c>
      <c r="I13808" t="s">
        <v>17</v>
      </c>
      <c r="J13808" t="s">
        <v>524</v>
      </c>
      <c r="K13808" t="s">
        <v>33</v>
      </c>
      <c r="L13808" t="s">
        <v>20</v>
      </c>
      <c r="N13808" t="s">
        <v>29</v>
      </c>
    </row>
    <row r="13809" spans="1:14">
      <c r="A13809" s="4" t="str">
        <f t="shared" si="1140"/>
        <v>EXP00414</v>
      </c>
      <c r="B13809" s="3" t="s">
        <v>66</v>
      </c>
      <c r="C13809" s="4" t="str">
        <f t="shared" si="1139"/>
        <v>TCGA-BRCA</v>
      </c>
      <c r="D13809" s="1" t="s">
        <v>493</v>
      </c>
      <c r="E13809" t="s">
        <v>532</v>
      </c>
      <c r="F13809" s="1">
        <v>2</v>
      </c>
      <c r="G13809" s="1" t="s">
        <v>32</v>
      </c>
      <c r="H13809" s="4" t="str">
        <f>HYPERLINK("https://portal.gdc.cancer.gov/cases/e17c565c-9857-4df3-a352-903b53093c85","TCGA-AO-A0JI-01A")</f>
        <v>TCGA-AO-A0JI-01A</v>
      </c>
      <c r="I13809" t="s">
        <v>17</v>
      </c>
      <c r="J13809" t="s">
        <v>524</v>
      </c>
      <c r="K13809" t="s">
        <v>33</v>
      </c>
      <c r="L13809" t="s">
        <v>20</v>
      </c>
      <c r="N13809" t="s">
        <v>29</v>
      </c>
    </row>
    <row r="13810" spans="1:14">
      <c r="A13810" s="4" t="str">
        <f t="shared" si="1140"/>
        <v>EXP00414</v>
      </c>
      <c r="B13810" s="3" t="s">
        <v>66</v>
      </c>
      <c r="C13810" s="4" t="str">
        <f t="shared" si="1139"/>
        <v>TCGA-BRCA</v>
      </c>
      <c r="D13810" s="1" t="s">
        <v>493</v>
      </c>
      <c r="E13810" t="s">
        <v>532</v>
      </c>
      <c r="F13810" s="1">
        <v>2</v>
      </c>
      <c r="G13810" s="1" t="s">
        <v>32</v>
      </c>
      <c r="H13810" s="4" t="str">
        <f>HYPERLINK("https://portal.gdc.cancer.gov/cases/bef7b135-a727-45e8-850a-cc4cd56c49aa","TCGA-AO-A0JJ-01A")</f>
        <v>TCGA-AO-A0JJ-01A</v>
      </c>
      <c r="I13810" t="s">
        <v>17</v>
      </c>
      <c r="J13810" t="s">
        <v>524</v>
      </c>
      <c r="K13810" t="s">
        <v>33</v>
      </c>
      <c r="L13810" t="s">
        <v>20</v>
      </c>
      <c r="N13810" t="s">
        <v>29</v>
      </c>
    </row>
    <row r="13811" spans="1:14">
      <c r="A13811" s="4" t="str">
        <f t="shared" si="1140"/>
        <v>EXP00414</v>
      </c>
      <c r="B13811" s="3" t="s">
        <v>66</v>
      </c>
      <c r="C13811" s="4" t="str">
        <f t="shared" si="1139"/>
        <v>TCGA-BRCA</v>
      </c>
      <c r="D13811" s="1" t="s">
        <v>493</v>
      </c>
      <c r="E13811" t="s">
        <v>532</v>
      </c>
      <c r="F13811" s="1">
        <v>2</v>
      </c>
      <c r="G13811" s="1" t="s">
        <v>32</v>
      </c>
      <c r="H13811" s="4" t="str">
        <f>HYPERLINK("https://portal.gdc.cancer.gov/cases/d5d8e76e-2f2a-49bc-ba0a-d51283611b16","TCGA-AO-A0JL-01A")</f>
        <v>TCGA-AO-A0JL-01A</v>
      </c>
      <c r="I13811" t="s">
        <v>17</v>
      </c>
      <c r="J13811" t="s">
        <v>524</v>
      </c>
      <c r="K13811" t="s">
        <v>33</v>
      </c>
      <c r="L13811" t="s">
        <v>20</v>
      </c>
      <c r="N13811" t="s">
        <v>29</v>
      </c>
    </row>
    <row r="13812" spans="1:14">
      <c r="A13812" s="4" t="str">
        <f t="shared" si="1140"/>
        <v>EXP00414</v>
      </c>
      <c r="B13812" s="3" t="s">
        <v>66</v>
      </c>
      <c r="C13812" s="4" t="str">
        <f t="shared" si="1139"/>
        <v>TCGA-BRCA</v>
      </c>
      <c r="D13812" s="1" t="s">
        <v>493</v>
      </c>
      <c r="E13812" t="s">
        <v>532</v>
      </c>
      <c r="F13812" s="1">
        <v>2</v>
      </c>
      <c r="G13812" s="1" t="s">
        <v>32</v>
      </c>
      <c r="H13812" s="4" t="str">
        <f>HYPERLINK("https://portal.gdc.cancer.gov/cases/44bec761-b603-49c0-8634-f6bfe0319bb1","TCGA-AO-A0JM-01A")</f>
        <v>TCGA-AO-A0JM-01A</v>
      </c>
      <c r="I13812" t="s">
        <v>17</v>
      </c>
      <c r="J13812" t="s">
        <v>524</v>
      </c>
      <c r="K13812" t="s">
        <v>33</v>
      </c>
      <c r="L13812" t="s">
        <v>20</v>
      </c>
      <c r="N13812" t="s">
        <v>29</v>
      </c>
    </row>
    <row r="13813" spans="1:14">
      <c r="A13813" s="4" t="str">
        <f t="shared" si="1140"/>
        <v>EXP00414</v>
      </c>
      <c r="B13813" s="3" t="s">
        <v>66</v>
      </c>
      <c r="C13813" s="4" t="str">
        <f t="shared" si="1139"/>
        <v>TCGA-BRCA</v>
      </c>
      <c r="D13813" s="1" t="s">
        <v>493</v>
      </c>
      <c r="E13813" t="s">
        <v>532</v>
      </c>
      <c r="F13813" s="1">
        <v>2</v>
      </c>
      <c r="G13813" s="1" t="s">
        <v>32</v>
      </c>
      <c r="H13813" s="4" t="str">
        <f>HYPERLINK("https://portal.gdc.cancer.gov/cases/b094e8b2-8ece-4b36-8025-18073a8b873c","TCGA-AO-A124-01A")</f>
        <v>TCGA-AO-A124-01A</v>
      </c>
      <c r="I13813" t="s">
        <v>17</v>
      </c>
      <c r="J13813" t="s">
        <v>524</v>
      </c>
      <c r="K13813" t="s">
        <v>33</v>
      </c>
      <c r="L13813" t="s">
        <v>20</v>
      </c>
      <c r="N13813" t="s">
        <v>29</v>
      </c>
    </row>
    <row r="13814" spans="1:14">
      <c r="A13814" s="4" t="str">
        <f t="shared" si="1140"/>
        <v>EXP00414</v>
      </c>
      <c r="B13814" s="3" t="s">
        <v>66</v>
      </c>
      <c r="C13814" s="4" t="str">
        <f t="shared" si="1139"/>
        <v>TCGA-BRCA</v>
      </c>
      <c r="D13814" s="1" t="s">
        <v>493</v>
      </c>
      <c r="E13814" t="s">
        <v>532</v>
      </c>
      <c r="F13814" s="1">
        <v>2</v>
      </c>
      <c r="G13814" s="1" t="s">
        <v>32</v>
      </c>
      <c r="H13814" s="4" t="str">
        <f>HYPERLINK("https://portal.gdc.cancer.gov/cases/8577ffcb-242e-40e2-98d4-2831d952be34","TCGA-AO-A125-01A")</f>
        <v>TCGA-AO-A125-01A</v>
      </c>
      <c r="I13814" t="s">
        <v>17</v>
      </c>
      <c r="J13814" t="s">
        <v>524</v>
      </c>
      <c r="K13814" t="s">
        <v>33</v>
      </c>
      <c r="L13814" t="s">
        <v>20</v>
      </c>
      <c r="N13814" t="s">
        <v>29</v>
      </c>
    </row>
    <row r="13815" spans="1:14">
      <c r="A13815" s="4" t="str">
        <f t="shared" si="1140"/>
        <v>EXP00414</v>
      </c>
      <c r="B13815" s="3" t="s">
        <v>66</v>
      </c>
      <c r="C13815" s="4" t="str">
        <f t="shared" si="1139"/>
        <v>TCGA-BRCA</v>
      </c>
      <c r="D13815" s="1" t="s">
        <v>493</v>
      </c>
      <c r="E13815" t="s">
        <v>532</v>
      </c>
      <c r="F13815" s="1">
        <v>2</v>
      </c>
      <c r="G13815" s="1" t="s">
        <v>32</v>
      </c>
      <c r="H13815" s="4" t="str">
        <f>HYPERLINK("https://portal.gdc.cancer.gov/cases/cc0902fd-a2fc-4327-929e-d4219e32e1d7","TCGA-AO-A126-01A")</f>
        <v>TCGA-AO-A126-01A</v>
      </c>
      <c r="I13815" t="s">
        <v>17</v>
      </c>
      <c r="J13815" t="s">
        <v>524</v>
      </c>
      <c r="K13815" t="s">
        <v>33</v>
      </c>
      <c r="L13815" t="s">
        <v>20</v>
      </c>
      <c r="N13815" t="s">
        <v>29</v>
      </c>
    </row>
    <row r="13816" spans="1:14">
      <c r="A13816" s="4" t="str">
        <f t="shared" si="1140"/>
        <v>EXP00414</v>
      </c>
      <c r="B13816" s="3" t="s">
        <v>66</v>
      </c>
      <c r="C13816" s="4" t="str">
        <f t="shared" si="1139"/>
        <v>TCGA-BRCA</v>
      </c>
      <c r="D13816" s="1" t="s">
        <v>493</v>
      </c>
      <c r="E13816" t="s">
        <v>532</v>
      </c>
      <c r="F13816" s="1">
        <v>2</v>
      </c>
      <c r="G13816" s="1" t="s">
        <v>32</v>
      </c>
      <c r="H13816" s="4" t="str">
        <f>HYPERLINK("https://portal.gdc.cancer.gov/cases/016caf42-4e19-4444-ab5d-6cf1e76c4afa","TCGA-AO-A128-01A")</f>
        <v>TCGA-AO-A128-01A</v>
      </c>
      <c r="I13816" t="s">
        <v>17</v>
      </c>
      <c r="J13816" t="s">
        <v>524</v>
      </c>
      <c r="K13816" t="s">
        <v>33</v>
      </c>
      <c r="L13816" t="s">
        <v>20</v>
      </c>
      <c r="N13816" t="s">
        <v>29</v>
      </c>
    </row>
    <row r="13817" spans="1:14">
      <c r="A13817" s="4" t="str">
        <f t="shared" si="1140"/>
        <v>EXP00414</v>
      </c>
      <c r="B13817" s="3" t="s">
        <v>66</v>
      </c>
      <c r="C13817" s="4" t="str">
        <f t="shared" si="1139"/>
        <v>TCGA-BRCA</v>
      </c>
      <c r="D13817" s="1" t="s">
        <v>493</v>
      </c>
      <c r="E13817" t="s">
        <v>532</v>
      </c>
      <c r="F13817" s="1">
        <v>2</v>
      </c>
      <c r="G13817" s="1" t="s">
        <v>32</v>
      </c>
      <c r="H13817" s="4" t="str">
        <f>HYPERLINK("https://portal.gdc.cancer.gov/cases/c70ee5e1-4703-4996-bb5c-f4cca0fb53ba","TCGA-AO-A129-01A")</f>
        <v>TCGA-AO-A129-01A</v>
      </c>
      <c r="I13817" t="s">
        <v>17</v>
      </c>
      <c r="J13817" t="s">
        <v>524</v>
      </c>
      <c r="K13817" t="s">
        <v>33</v>
      </c>
      <c r="L13817" t="s">
        <v>20</v>
      </c>
      <c r="N13817" t="s">
        <v>29</v>
      </c>
    </row>
    <row r="13818" spans="1:14">
      <c r="A13818" s="4" t="str">
        <f t="shared" si="1140"/>
        <v>EXP00414</v>
      </c>
      <c r="B13818" s="3" t="s">
        <v>66</v>
      </c>
      <c r="C13818" s="4" t="str">
        <f t="shared" ref="C13818:C13881" si="1141">HYPERLINK("https://portal.gdc.cancer.gov/projects/TCGA-BRCA","TCGA-BRCA")</f>
        <v>TCGA-BRCA</v>
      </c>
      <c r="D13818" s="1" t="s">
        <v>493</v>
      </c>
      <c r="E13818" t="s">
        <v>532</v>
      </c>
      <c r="F13818" s="1">
        <v>2</v>
      </c>
      <c r="G13818" s="1" t="s">
        <v>32</v>
      </c>
      <c r="H13818" s="4" t="str">
        <f>HYPERLINK("https://portal.gdc.cancer.gov/cases/99927651-34be-4795-893a-128d8a1fdb30","TCGA-AO-A12A-01A")</f>
        <v>TCGA-AO-A12A-01A</v>
      </c>
      <c r="I13818" t="s">
        <v>17</v>
      </c>
      <c r="J13818" t="s">
        <v>524</v>
      </c>
      <c r="K13818" t="s">
        <v>33</v>
      </c>
      <c r="L13818" t="s">
        <v>20</v>
      </c>
      <c r="N13818" t="s">
        <v>29</v>
      </c>
    </row>
    <row r="13819" spans="1:14">
      <c r="A13819" s="4" t="str">
        <f t="shared" si="1140"/>
        <v>EXP00414</v>
      </c>
      <c r="B13819" s="3" t="s">
        <v>66</v>
      </c>
      <c r="C13819" s="4" t="str">
        <f t="shared" si="1141"/>
        <v>TCGA-BRCA</v>
      </c>
      <c r="D13819" s="1" t="s">
        <v>493</v>
      </c>
      <c r="E13819" t="s">
        <v>532</v>
      </c>
      <c r="F13819" s="1">
        <v>2</v>
      </c>
      <c r="G13819" s="1" t="s">
        <v>32</v>
      </c>
      <c r="H13819" s="4" t="str">
        <f>HYPERLINK("https://portal.gdc.cancer.gov/cases/f6ed684f-ee7a-496c-80d5-6eacd494d16a","TCGA-AO-A12B-01A")</f>
        <v>TCGA-AO-A12B-01A</v>
      </c>
      <c r="I13819" t="s">
        <v>17</v>
      </c>
      <c r="J13819" t="s">
        <v>524</v>
      </c>
      <c r="K13819" t="s">
        <v>33</v>
      </c>
      <c r="L13819" t="s">
        <v>20</v>
      </c>
      <c r="N13819" t="s">
        <v>29</v>
      </c>
    </row>
    <row r="13820" spans="1:14">
      <c r="A13820" s="4" t="str">
        <f t="shared" si="1140"/>
        <v>EXP00414</v>
      </c>
      <c r="B13820" s="3" t="s">
        <v>66</v>
      </c>
      <c r="C13820" s="4" t="str">
        <f t="shared" si="1141"/>
        <v>TCGA-BRCA</v>
      </c>
      <c r="D13820" s="1" t="s">
        <v>493</v>
      </c>
      <c r="E13820" t="s">
        <v>532</v>
      </c>
      <c r="F13820" s="1">
        <v>2</v>
      </c>
      <c r="G13820" s="1" t="s">
        <v>32</v>
      </c>
      <c r="H13820" s="4" t="str">
        <f>HYPERLINK("https://portal.gdc.cancer.gov/cases/71626753-cc34-4731-abc0-ae188b0964e7","TCGA-AO-A12C-01A")</f>
        <v>TCGA-AO-A12C-01A</v>
      </c>
      <c r="I13820" t="s">
        <v>17</v>
      </c>
      <c r="J13820" t="s">
        <v>524</v>
      </c>
      <c r="K13820" t="s">
        <v>33</v>
      </c>
      <c r="L13820" t="s">
        <v>20</v>
      </c>
      <c r="N13820" t="s">
        <v>29</v>
      </c>
    </row>
    <row r="13821" spans="1:14">
      <c r="A13821" s="4" t="str">
        <f t="shared" si="1140"/>
        <v>EXP00414</v>
      </c>
      <c r="B13821" s="3" t="s">
        <v>66</v>
      </c>
      <c r="C13821" s="4" t="str">
        <f t="shared" si="1141"/>
        <v>TCGA-BRCA</v>
      </c>
      <c r="D13821" s="1" t="s">
        <v>493</v>
      </c>
      <c r="E13821" t="s">
        <v>532</v>
      </c>
      <c r="F13821" s="1">
        <v>2</v>
      </c>
      <c r="G13821" s="1" t="s">
        <v>32</v>
      </c>
      <c r="H13821" s="4" t="str">
        <f>HYPERLINK("https://portal.gdc.cancer.gov/cases/2fe854b4-bac9-4801-9a1c-ee99388e8082","TCGA-AO-A12D-01A")</f>
        <v>TCGA-AO-A12D-01A</v>
      </c>
      <c r="I13821" t="s">
        <v>17</v>
      </c>
      <c r="J13821" t="s">
        <v>524</v>
      </c>
      <c r="K13821" t="s">
        <v>33</v>
      </c>
      <c r="L13821" t="s">
        <v>20</v>
      </c>
      <c r="N13821" t="s">
        <v>29</v>
      </c>
    </row>
    <row r="13822" spans="1:14">
      <c r="A13822" s="4" t="str">
        <f t="shared" si="1140"/>
        <v>EXP00414</v>
      </c>
      <c r="B13822" s="3" t="s">
        <v>66</v>
      </c>
      <c r="C13822" s="4" t="str">
        <f t="shared" si="1141"/>
        <v>TCGA-BRCA</v>
      </c>
      <c r="D13822" s="1" t="s">
        <v>493</v>
      </c>
      <c r="E13822" t="s">
        <v>532</v>
      </c>
      <c r="F13822" s="1">
        <v>2</v>
      </c>
      <c r="G13822" s="1" t="s">
        <v>32</v>
      </c>
      <c r="H13822" s="4" t="str">
        <f>HYPERLINK("https://portal.gdc.cancer.gov/cases/2cbeadff-a8a3-4787-9d4e-f6b74c3ab5d9","TCGA-AO-A12E-01A")</f>
        <v>TCGA-AO-A12E-01A</v>
      </c>
      <c r="I13822" t="s">
        <v>17</v>
      </c>
      <c r="J13822" t="s">
        <v>524</v>
      </c>
      <c r="K13822" t="s">
        <v>33</v>
      </c>
      <c r="L13822" t="s">
        <v>20</v>
      </c>
      <c r="N13822" t="s">
        <v>29</v>
      </c>
    </row>
    <row r="13823" spans="1:14">
      <c r="A13823" s="4" t="str">
        <f t="shared" si="1140"/>
        <v>EXP00414</v>
      </c>
      <c r="B13823" s="3" t="s">
        <v>66</v>
      </c>
      <c r="C13823" s="4" t="str">
        <f t="shared" si="1141"/>
        <v>TCGA-BRCA</v>
      </c>
      <c r="D13823" s="1" t="s">
        <v>493</v>
      </c>
      <c r="E13823" t="s">
        <v>532</v>
      </c>
      <c r="F13823" s="1">
        <v>2</v>
      </c>
      <c r="G13823" s="1" t="s">
        <v>32</v>
      </c>
      <c r="H13823" s="4" t="str">
        <f>HYPERLINK("https://portal.gdc.cancer.gov/cases/495f9eda-b9be-4eef-bae1-766a4bfbd68e","TCGA-AO-A12F-01A")</f>
        <v>TCGA-AO-A12F-01A</v>
      </c>
      <c r="I13823" t="s">
        <v>17</v>
      </c>
      <c r="J13823" t="s">
        <v>524</v>
      </c>
      <c r="K13823" t="s">
        <v>33</v>
      </c>
      <c r="L13823" t="s">
        <v>20</v>
      </c>
      <c r="N13823" t="s">
        <v>29</v>
      </c>
    </row>
    <row r="13824" spans="1:14">
      <c r="A13824" s="4" t="str">
        <f t="shared" si="1140"/>
        <v>EXP00414</v>
      </c>
      <c r="B13824" s="3" t="s">
        <v>66</v>
      </c>
      <c r="C13824" s="4" t="str">
        <f t="shared" si="1141"/>
        <v>TCGA-BRCA</v>
      </c>
      <c r="D13824" s="1" t="s">
        <v>493</v>
      </c>
      <c r="E13824" t="s">
        <v>532</v>
      </c>
      <c r="F13824" s="1">
        <v>2</v>
      </c>
      <c r="G13824" s="1" t="s">
        <v>32</v>
      </c>
      <c r="H13824" s="4" t="str">
        <f>HYPERLINK("https://portal.gdc.cancer.gov/cases/58c56d4b-3f85-4aad-a779-5f9e1791677d","TCGA-AO-A12G-01A")</f>
        <v>TCGA-AO-A12G-01A</v>
      </c>
      <c r="I13824" t="s">
        <v>17</v>
      </c>
      <c r="J13824" t="s">
        <v>524</v>
      </c>
      <c r="K13824" t="s">
        <v>33</v>
      </c>
      <c r="L13824" t="s">
        <v>20</v>
      </c>
      <c r="N13824" t="s">
        <v>29</v>
      </c>
    </row>
    <row r="13825" spans="1:14">
      <c r="A13825" s="4" t="str">
        <f t="shared" si="1140"/>
        <v>EXP00414</v>
      </c>
      <c r="B13825" s="3" t="s">
        <v>66</v>
      </c>
      <c r="C13825" s="4" t="str">
        <f t="shared" si="1141"/>
        <v>TCGA-BRCA</v>
      </c>
      <c r="D13825" s="1" t="s">
        <v>493</v>
      </c>
      <c r="E13825" t="s">
        <v>532</v>
      </c>
      <c r="F13825" s="1">
        <v>2</v>
      </c>
      <c r="G13825" s="1" t="s">
        <v>32</v>
      </c>
      <c r="H13825" s="4" t="str">
        <f>HYPERLINK("https://portal.gdc.cancer.gov/cases/b5b99291-507e-4b68-a039-9a0f571f55df","TCGA-AO-A12H-01A")</f>
        <v>TCGA-AO-A12H-01A</v>
      </c>
      <c r="I13825" t="s">
        <v>17</v>
      </c>
      <c r="J13825" t="s">
        <v>524</v>
      </c>
      <c r="K13825" t="s">
        <v>33</v>
      </c>
      <c r="L13825" t="s">
        <v>20</v>
      </c>
      <c r="N13825" t="s">
        <v>29</v>
      </c>
    </row>
    <row r="13826" spans="1:14">
      <c r="A13826" s="4" t="str">
        <f t="shared" si="1140"/>
        <v>EXP00414</v>
      </c>
      <c r="B13826" s="3" t="s">
        <v>66</v>
      </c>
      <c r="C13826" s="4" t="str">
        <f t="shared" si="1141"/>
        <v>TCGA-BRCA</v>
      </c>
      <c r="D13826" s="1" t="s">
        <v>493</v>
      </c>
      <c r="E13826" t="s">
        <v>532</v>
      </c>
      <c r="F13826" s="1">
        <v>2</v>
      </c>
      <c r="G13826" s="1" t="s">
        <v>32</v>
      </c>
      <c r="H13826" s="4" t="str">
        <f>HYPERLINK("https://portal.gdc.cancer.gov/cases/c25898b4-eb33-42f4-bf3f-bf532a929e7d","TCGA-AO-A1KO-01A")</f>
        <v>TCGA-AO-A1KO-01A</v>
      </c>
      <c r="I13826" t="s">
        <v>17</v>
      </c>
      <c r="J13826" t="s">
        <v>524</v>
      </c>
      <c r="K13826" t="s">
        <v>33</v>
      </c>
      <c r="L13826" t="s">
        <v>20</v>
      </c>
      <c r="N13826" t="s">
        <v>29</v>
      </c>
    </row>
    <row r="13827" spans="1:14">
      <c r="A13827" s="4" t="str">
        <f t="shared" ref="A13827:A13890" si="1142">HYPERLINK("http://hcmdb.i-sanger.com/experiment/details/experiment_id/EXP00414","EXP00414")</f>
        <v>EXP00414</v>
      </c>
      <c r="B13827" s="3" t="s">
        <v>66</v>
      </c>
      <c r="C13827" s="4" t="str">
        <f t="shared" si="1141"/>
        <v>TCGA-BRCA</v>
      </c>
      <c r="D13827" s="1" t="s">
        <v>493</v>
      </c>
      <c r="E13827" t="s">
        <v>532</v>
      </c>
      <c r="F13827" s="1">
        <v>2</v>
      </c>
      <c r="G13827" s="1" t="s">
        <v>32</v>
      </c>
      <c r="H13827" s="4" t="str">
        <f>HYPERLINK("https://portal.gdc.cancer.gov/cases/3aaabc62-f5a4-4025-9b29-5adf82c86c84","TCGA-AO-A1KP-01A")</f>
        <v>TCGA-AO-A1KP-01A</v>
      </c>
      <c r="I13827" t="s">
        <v>17</v>
      </c>
      <c r="J13827" t="s">
        <v>524</v>
      </c>
      <c r="K13827" t="s">
        <v>33</v>
      </c>
      <c r="L13827" t="s">
        <v>20</v>
      </c>
      <c r="N13827" t="s">
        <v>29</v>
      </c>
    </row>
    <row r="13828" spans="1:14">
      <c r="A13828" s="4" t="str">
        <f t="shared" si="1142"/>
        <v>EXP00414</v>
      </c>
      <c r="B13828" s="3" t="s">
        <v>66</v>
      </c>
      <c r="C13828" s="4" t="str">
        <f t="shared" si="1141"/>
        <v>TCGA-BRCA</v>
      </c>
      <c r="D13828" s="1" t="s">
        <v>493</v>
      </c>
      <c r="E13828" t="s">
        <v>532</v>
      </c>
      <c r="F13828" s="1">
        <v>2</v>
      </c>
      <c r="G13828" s="1" t="s">
        <v>32</v>
      </c>
      <c r="H13828" s="4" t="str">
        <f>HYPERLINK("https://portal.gdc.cancer.gov/cases/d2219a3f-4c55-4dee-9b08-c6f330dd1acf","TCGA-AO-A1KQ-01A")</f>
        <v>TCGA-AO-A1KQ-01A</v>
      </c>
      <c r="I13828" t="s">
        <v>17</v>
      </c>
      <c r="J13828" t="s">
        <v>524</v>
      </c>
      <c r="K13828" t="s">
        <v>33</v>
      </c>
      <c r="L13828" t="s">
        <v>20</v>
      </c>
      <c r="N13828" t="s">
        <v>29</v>
      </c>
    </row>
    <row r="13829" spans="1:14">
      <c r="A13829" s="4" t="str">
        <f t="shared" si="1142"/>
        <v>EXP00414</v>
      </c>
      <c r="B13829" s="3" t="s">
        <v>66</v>
      </c>
      <c r="C13829" s="4" t="str">
        <f t="shared" si="1141"/>
        <v>TCGA-BRCA</v>
      </c>
      <c r="D13829" s="1" t="s">
        <v>493</v>
      </c>
      <c r="E13829" t="s">
        <v>532</v>
      </c>
      <c r="F13829" s="1">
        <v>2</v>
      </c>
      <c r="G13829" s="1" t="s">
        <v>32</v>
      </c>
      <c r="H13829" s="4" t="str">
        <f>HYPERLINK("https://portal.gdc.cancer.gov/cases/b7f74ae1-6f58-447c-be50-a7666eb19d9a","TCGA-AO-A1KR-01A")</f>
        <v>TCGA-AO-A1KR-01A</v>
      </c>
      <c r="I13829" t="s">
        <v>17</v>
      </c>
      <c r="J13829" t="s">
        <v>524</v>
      </c>
      <c r="K13829" t="s">
        <v>33</v>
      </c>
      <c r="L13829" t="s">
        <v>20</v>
      </c>
      <c r="N13829" t="s">
        <v>29</v>
      </c>
    </row>
    <row r="13830" spans="1:14">
      <c r="A13830" s="4" t="str">
        <f t="shared" si="1142"/>
        <v>EXP00414</v>
      </c>
      <c r="B13830" s="3" t="s">
        <v>66</v>
      </c>
      <c r="C13830" s="4" t="str">
        <f t="shared" si="1141"/>
        <v>TCGA-BRCA</v>
      </c>
      <c r="D13830" s="1" t="s">
        <v>493</v>
      </c>
      <c r="E13830" t="s">
        <v>532</v>
      </c>
      <c r="F13830" s="1">
        <v>2</v>
      </c>
      <c r="G13830" s="1" t="s">
        <v>32</v>
      </c>
      <c r="H13830" s="4" t="str">
        <f>HYPERLINK("https://portal.gdc.cancer.gov/cases/bb8d42d3-ad65-4d88-ae1d-f9aadfc7962d","TCGA-AO-A1KS-01A")</f>
        <v>TCGA-AO-A1KS-01A</v>
      </c>
      <c r="I13830" t="s">
        <v>17</v>
      </c>
      <c r="J13830" t="s">
        <v>524</v>
      </c>
      <c r="K13830" t="s">
        <v>33</v>
      </c>
      <c r="L13830" t="s">
        <v>20</v>
      </c>
      <c r="N13830" t="s">
        <v>29</v>
      </c>
    </row>
    <row r="13831" spans="1:14">
      <c r="A13831" s="4" t="str">
        <f t="shared" si="1142"/>
        <v>EXP00414</v>
      </c>
      <c r="B13831" s="3" t="s">
        <v>66</v>
      </c>
      <c r="C13831" s="4" t="str">
        <f t="shared" si="1141"/>
        <v>TCGA-BRCA</v>
      </c>
      <c r="D13831" s="1" t="s">
        <v>493</v>
      </c>
      <c r="E13831" t="s">
        <v>532</v>
      </c>
      <c r="F13831" s="1">
        <v>2</v>
      </c>
      <c r="G13831" s="1" t="s">
        <v>32</v>
      </c>
      <c r="H13831" s="4" t="str">
        <f>HYPERLINK("https://portal.gdc.cancer.gov/cases/1f8f87cb-8a0b-474c-97fb-c71b4fd88d97","TCGA-AO-A1KT-01A")</f>
        <v>TCGA-AO-A1KT-01A</v>
      </c>
      <c r="I13831" t="s">
        <v>17</v>
      </c>
      <c r="J13831" t="s">
        <v>524</v>
      </c>
      <c r="K13831" t="s">
        <v>33</v>
      </c>
      <c r="L13831" t="s">
        <v>20</v>
      </c>
      <c r="N13831" t="s">
        <v>29</v>
      </c>
    </row>
    <row r="13832" spans="1:14">
      <c r="A13832" s="4" t="str">
        <f t="shared" si="1142"/>
        <v>EXP00414</v>
      </c>
      <c r="B13832" s="3" t="s">
        <v>66</v>
      </c>
      <c r="C13832" s="4" t="str">
        <f t="shared" si="1141"/>
        <v>TCGA-BRCA</v>
      </c>
      <c r="D13832" s="1" t="s">
        <v>493</v>
      </c>
      <c r="E13832" t="s">
        <v>532</v>
      </c>
      <c r="F13832" s="1">
        <v>2</v>
      </c>
      <c r="G13832" s="1" t="s">
        <v>32</v>
      </c>
      <c r="H13832" s="4" t="str">
        <f>HYPERLINK("https://portal.gdc.cancer.gov/cases/83f943c7-3975-4b4f-985d-9c057741793b","TCGA-AQ-A04H-01B")</f>
        <v>TCGA-AQ-A04H-01B</v>
      </c>
      <c r="I13832" t="s">
        <v>17</v>
      </c>
      <c r="J13832" t="s">
        <v>524</v>
      </c>
      <c r="K13832" t="s">
        <v>33</v>
      </c>
      <c r="L13832" t="s">
        <v>20</v>
      </c>
      <c r="N13832" t="s">
        <v>29</v>
      </c>
    </row>
    <row r="13833" spans="1:14">
      <c r="A13833" s="4" t="str">
        <f t="shared" si="1142"/>
        <v>EXP00414</v>
      </c>
      <c r="B13833" s="3" t="s">
        <v>66</v>
      </c>
      <c r="C13833" s="4" t="str">
        <f t="shared" si="1141"/>
        <v>TCGA-BRCA</v>
      </c>
      <c r="D13833" s="1" t="s">
        <v>493</v>
      </c>
      <c r="E13833" t="s">
        <v>532</v>
      </c>
      <c r="F13833" s="1">
        <v>2</v>
      </c>
      <c r="G13833" s="1" t="s">
        <v>32</v>
      </c>
      <c r="H13833" s="4" t="str">
        <f>HYPERLINK("https://portal.gdc.cancer.gov/cases/9938ce5c-e74e-446e-a932-f096f85cc3b1","TCGA-AQ-A04J-01A")</f>
        <v>TCGA-AQ-A04J-01A</v>
      </c>
      <c r="I13833" t="s">
        <v>17</v>
      </c>
      <c r="J13833" t="s">
        <v>524</v>
      </c>
      <c r="K13833" t="s">
        <v>33</v>
      </c>
      <c r="L13833" t="s">
        <v>20</v>
      </c>
      <c r="N13833" t="s">
        <v>29</v>
      </c>
    </row>
    <row r="13834" spans="1:14">
      <c r="A13834" s="4" t="str">
        <f t="shared" si="1142"/>
        <v>EXP00414</v>
      </c>
      <c r="B13834" s="3" t="s">
        <v>66</v>
      </c>
      <c r="C13834" s="4" t="str">
        <f t="shared" si="1141"/>
        <v>TCGA-BRCA</v>
      </c>
      <c r="D13834" s="1" t="s">
        <v>493</v>
      </c>
      <c r="E13834" t="s">
        <v>532</v>
      </c>
      <c r="F13834" s="1">
        <v>2</v>
      </c>
      <c r="G13834" s="1" t="s">
        <v>32</v>
      </c>
      <c r="H13834" s="4" t="str">
        <f>HYPERLINK("https://portal.gdc.cancer.gov/cases/78582fbc-dcc7-48ae-9f95-5271c9bc5b72","TCGA-AQ-A04L-01B")</f>
        <v>TCGA-AQ-A04L-01B</v>
      </c>
      <c r="I13834" t="s">
        <v>17</v>
      </c>
      <c r="J13834" t="s">
        <v>524</v>
      </c>
      <c r="K13834" t="s">
        <v>33</v>
      </c>
      <c r="L13834" t="s">
        <v>20</v>
      </c>
      <c r="N13834" t="s">
        <v>29</v>
      </c>
    </row>
    <row r="13835" spans="1:14">
      <c r="A13835" s="4" t="str">
        <f t="shared" si="1142"/>
        <v>EXP00414</v>
      </c>
      <c r="B13835" s="3" t="s">
        <v>66</v>
      </c>
      <c r="C13835" s="4" t="str">
        <f t="shared" si="1141"/>
        <v>TCGA-BRCA</v>
      </c>
      <c r="D13835" s="1" t="s">
        <v>493</v>
      </c>
      <c r="E13835" t="s">
        <v>532</v>
      </c>
      <c r="F13835" s="1">
        <v>2</v>
      </c>
      <c r="G13835" s="1" t="s">
        <v>32</v>
      </c>
      <c r="H13835" s="4" t="str">
        <f>HYPERLINK("https://portal.gdc.cancer.gov/cases/d0b78f3f-a198-437a-ab8c-204345d3b75d","TCGA-AQ-A0Y5-01A")</f>
        <v>TCGA-AQ-A0Y5-01A</v>
      </c>
      <c r="I13835" t="s">
        <v>17</v>
      </c>
      <c r="J13835" t="s">
        <v>524</v>
      </c>
      <c r="K13835" t="s">
        <v>33</v>
      </c>
      <c r="L13835" t="s">
        <v>20</v>
      </c>
      <c r="N13835" t="s">
        <v>29</v>
      </c>
    </row>
    <row r="13836" spans="1:14">
      <c r="A13836" s="4" t="str">
        <f t="shared" si="1142"/>
        <v>EXP00414</v>
      </c>
      <c r="B13836" s="3" t="s">
        <v>66</v>
      </c>
      <c r="C13836" s="4" t="str">
        <f t="shared" si="1141"/>
        <v>TCGA-BRCA</v>
      </c>
      <c r="D13836" s="1" t="s">
        <v>493</v>
      </c>
      <c r="E13836" t="s">
        <v>532</v>
      </c>
      <c r="F13836" s="1">
        <v>2</v>
      </c>
      <c r="G13836" s="1" t="s">
        <v>32</v>
      </c>
      <c r="H13836" s="4" t="str">
        <f>HYPERLINK("https://portal.gdc.cancer.gov/cases/4d120899-9a80-4736-b097-285e9e261bcb","TCGA-AQ-A1H2-01A")</f>
        <v>TCGA-AQ-A1H2-01A</v>
      </c>
      <c r="I13836" t="s">
        <v>17</v>
      </c>
      <c r="J13836" t="s">
        <v>524</v>
      </c>
      <c r="K13836" t="s">
        <v>33</v>
      </c>
      <c r="L13836" t="s">
        <v>20</v>
      </c>
      <c r="N13836" t="s">
        <v>29</v>
      </c>
    </row>
    <row r="13837" spans="1:14">
      <c r="A13837" s="4" t="str">
        <f t="shared" si="1142"/>
        <v>EXP00414</v>
      </c>
      <c r="B13837" s="3" t="s">
        <v>66</v>
      </c>
      <c r="C13837" s="4" t="str">
        <f t="shared" si="1141"/>
        <v>TCGA-BRCA</v>
      </c>
      <c r="D13837" s="1" t="s">
        <v>493</v>
      </c>
      <c r="E13837" t="s">
        <v>532</v>
      </c>
      <c r="F13837" s="1">
        <v>2</v>
      </c>
      <c r="G13837" s="1" t="s">
        <v>32</v>
      </c>
      <c r="H13837" s="4" t="str">
        <f>HYPERLINK("https://portal.gdc.cancer.gov/cases/82ec33dd-e783-4c74-9a87-797a699e11df","TCGA-AQ-A1H3-01A")</f>
        <v>TCGA-AQ-A1H3-01A</v>
      </c>
      <c r="I13837" t="s">
        <v>17</v>
      </c>
      <c r="J13837" t="s">
        <v>524</v>
      </c>
      <c r="K13837" t="s">
        <v>33</v>
      </c>
      <c r="L13837" t="s">
        <v>20</v>
      </c>
      <c r="N13837" t="s">
        <v>29</v>
      </c>
    </row>
    <row r="13838" spans="1:14">
      <c r="A13838" s="4" t="str">
        <f t="shared" si="1142"/>
        <v>EXP00414</v>
      </c>
      <c r="B13838" s="3" t="s">
        <v>66</v>
      </c>
      <c r="C13838" s="4" t="str">
        <f t="shared" si="1141"/>
        <v>TCGA-BRCA</v>
      </c>
      <c r="D13838" s="1" t="s">
        <v>493</v>
      </c>
      <c r="E13838" t="s">
        <v>532</v>
      </c>
      <c r="F13838" s="1">
        <v>2</v>
      </c>
      <c r="G13838" s="1" t="s">
        <v>32</v>
      </c>
      <c r="H13838" s="4" t="str">
        <f>HYPERLINK("https://portal.gdc.cancer.gov/cases/58090433-d8d1-4499-a235-810c3e9d5b74","TCGA-AQ-A54N-01A")</f>
        <v>TCGA-AQ-A54N-01A</v>
      </c>
      <c r="I13838" t="s">
        <v>17</v>
      </c>
      <c r="J13838" t="s">
        <v>524</v>
      </c>
      <c r="K13838" t="s">
        <v>33</v>
      </c>
      <c r="L13838" t="s">
        <v>20</v>
      </c>
      <c r="N13838" t="s">
        <v>29</v>
      </c>
    </row>
    <row r="13839" spans="1:14">
      <c r="A13839" s="4" t="str">
        <f t="shared" si="1142"/>
        <v>EXP00414</v>
      </c>
      <c r="B13839" s="3" t="s">
        <v>66</v>
      </c>
      <c r="C13839" s="4" t="str">
        <f t="shared" si="1141"/>
        <v>TCGA-BRCA</v>
      </c>
      <c r="D13839" s="1" t="s">
        <v>493</v>
      </c>
      <c r="E13839" t="s">
        <v>532</v>
      </c>
      <c r="F13839" s="1">
        <v>2</v>
      </c>
      <c r="G13839" s="1" t="s">
        <v>32</v>
      </c>
      <c r="H13839" s="4" t="str">
        <f>HYPERLINK("https://portal.gdc.cancer.gov/cases/35ca5e2a-861a-4dd2-a4ce-d294cf080da3","TCGA-AQ-A54O-01A")</f>
        <v>TCGA-AQ-A54O-01A</v>
      </c>
      <c r="I13839" t="s">
        <v>17</v>
      </c>
      <c r="J13839" t="s">
        <v>524</v>
      </c>
      <c r="K13839" t="s">
        <v>33</v>
      </c>
      <c r="L13839" t="s">
        <v>20</v>
      </c>
      <c r="N13839" t="s">
        <v>29</v>
      </c>
    </row>
    <row r="13840" spans="1:14">
      <c r="A13840" s="4" t="str">
        <f t="shared" si="1142"/>
        <v>EXP00414</v>
      </c>
      <c r="B13840" s="3" t="s">
        <v>66</v>
      </c>
      <c r="C13840" s="4" t="str">
        <f t="shared" si="1141"/>
        <v>TCGA-BRCA</v>
      </c>
      <c r="D13840" s="1" t="s">
        <v>493</v>
      </c>
      <c r="E13840" t="s">
        <v>532</v>
      </c>
      <c r="F13840" s="1">
        <v>2</v>
      </c>
      <c r="G13840" s="1" t="s">
        <v>32</v>
      </c>
      <c r="H13840" s="4" t="str">
        <f>HYPERLINK("https://portal.gdc.cancer.gov/cases/19015644-9c17-4ae7-a656-0fe8623c04ae","TCGA-AQ-A7U7-01A")</f>
        <v>TCGA-AQ-A7U7-01A</v>
      </c>
      <c r="I13840" t="s">
        <v>17</v>
      </c>
      <c r="J13840" t="s">
        <v>524</v>
      </c>
      <c r="K13840" t="s">
        <v>33</v>
      </c>
      <c r="L13840" t="s">
        <v>20</v>
      </c>
      <c r="N13840" t="s">
        <v>29</v>
      </c>
    </row>
    <row r="13841" spans="1:14">
      <c r="A13841" s="4" t="str">
        <f t="shared" si="1142"/>
        <v>EXP00414</v>
      </c>
      <c r="B13841" s="3" t="s">
        <v>66</v>
      </c>
      <c r="C13841" s="4" t="str">
        <f t="shared" si="1141"/>
        <v>TCGA-BRCA</v>
      </c>
      <c r="D13841" s="1" t="s">
        <v>493</v>
      </c>
      <c r="E13841" t="s">
        <v>532</v>
      </c>
      <c r="F13841" s="1">
        <v>2</v>
      </c>
      <c r="G13841" s="1" t="s">
        <v>32</v>
      </c>
      <c r="H13841" s="4" t="str">
        <f>HYPERLINK("https://portal.gdc.cancer.gov/cases/ab89bb2e-da84-4116-a8cd-49aad7bbfd4d","TCGA-AR-A0TP-01A")</f>
        <v>TCGA-AR-A0TP-01A</v>
      </c>
      <c r="I13841" t="s">
        <v>17</v>
      </c>
      <c r="J13841" t="s">
        <v>524</v>
      </c>
      <c r="K13841" t="s">
        <v>33</v>
      </c>
      <c r="L13841" t="s">
        <v>20</v>
      </c>
      <c r="N13841" t="s">
        <v>29</v>
      </c>
    </row>
    <row r="13842" spans="1:14">
      <c r="A13842" s="4" t="str">
        <f t="shared" si="1142"/>
        <v>EXP00414</v>
      </c>
      <c r="B13842" s="3" t="s">
        <v>66</v>
      </c>
      <c r="C13842" s="4" t="str">
        <f t="shared" si="1141"/>
        <v>TCGA-BRCA</v>
      </c>
      <c r="D13842" s="1" t="s">
        <v>493</v>
      </c>
      <c r="E13842" t="s">
        <v>532</v>
      </c>
      <c r="F13842" s="1">
        <v>2</v>
      </c>
      <c r="G13842" s="1" t="s">
        <v>32</v>
      </c>
      <c r="H13842" s="4" t="str">
        <f>HYPERLINK("https://portal.gdc.cancer.gov/cases/5dc1bee9-c44d-4fdc-9ae5-83426c4d6880","TCGA-AR-A0TQ-01A")</f>
        <v>TCGA-AR-A0TQ-01A</v>
      </c>
      <c r="I13842" t="s">
        <v>17</v>
      </c>
      <c r="J13842" t="s">
        <v>524</v>
      </c>
      <c r="K13842" t="s">
        <v>33</v>
      </c>
      <c r="L13842" t="s">
        <v>20</v>
      </c>
      <c r="N13842" t="s">
        <v>29</v>
      </c>
    </row>
    <row r="13843" spans="1:14">
      <c r="A13843" s="4" t="str">
        <f t="shared" si="1142"/>
        <v>EXP00414</v>
      </c>
      <c r="B13843" s="3" t="s">
        <v>66</v>
      </c>
      <c r="C13843" s="4" t="str">
        <f t="shared" si="1141"/>
        <v>TCGA-BRCA</v>
      </c>
      <c r="D13843" s="1" t="s">
        <v>493</v>
      </c>
      <c r="E13843" t="s">
        <v>532</v>
      </c>
      <c r="F13843" s="1">
        <v>2</v>
      </c>
      <c r="G13843" s="1" t="s">
        <v>32</v>
      </c>
      <c r="H13843" s="4" t="str">
        <f>HYPERLINK("https://portal.gdc.cancer.gov/cases/d1703dbd-5c93-4cf2-a4d1-0d90640882bd","TCGA-AR-A0TR-01A")</f>
        <v>TCGA-AR-A0TR-01A</v>
      </c>
      <c r="I13843" t="s">
        <v>17</v>
      </c>
      <c r="J13843" t="s">
        <v>524</v>
      </c>
      <c r="K13843" t="s">
        <v>33</v>
      </c>
      <c r="L13843" t="s">
        <v>20</v>
      </c>
      <c r="N13843" t="s">
        <v>29</v>
      </c>
    </row>
    <row r="13844" spans="1:14">
      <c r="A13844" s="4" t="str">
        <f t="shared" si="1142"/>
        <v>EXP00414</v>
      </c>
      <c r="B13844" s="3" t="s">
        <v>66</v>
      </c>
      <c r="C13844" s="4" t="str">
        <f t="shared" si="1141"/>
        <v>TCGA-BRCA</v>
      </c>
      <c r="D13844" s="1" t="s">
        <v>493</v>
      </c>
      <c r="E13844" t="s">
        <v>532</v>
      </c>
      <c r="F13844" s="1">
        <v>2</v>
      </c>
      <c r="G13844" s="1" t="s">
        <v>32</v>
      </c>
      <c r="H13844" s="4" t="str">
        <f>HYPERLINK("https://portal.gdc.cancer.gov/cases/972447aa-4332-47e7-bddd-2eb699dbb664","TCGA-AR-A0TS-01A")</f>
        <v>TCGA-AR-A0TS-01A</v>
      </c>
      <c r="I13844" t="s">
        <v>17</v>
      </c>
      <c r="J13844" t="s">
        <v>524</v>
      </c>
      <c r="K13844" t="s">
        <v>33</v>
      </c>
      <c r="L13844" t="s">
        <v>20</v>
      </c>
      <c r="N13844" t="s">
        <v>29</v>
      </c>
    </row>
    <row r="13845" spans="1:14">
      <c r="A13845" s="4" t="str">
        <f t="shared" si="1142"/>
        <v>EXP00414</v>
      </c>
      <c r="B13845" s="3" t="s">
        <v>66</v>
      </c>
      <c r="C13845" s="4" t="str">
        <f t="shared" si="1141"/>
        <v>TCGA-BRCA</v>
      </c>
      <c r="D13845" s="1" t="s">
        <v>493</v>
      </c>
      <c r="E13845" t="s">
        <v>532</v>
      </c>
      <c r="F13845" s="1">
        <v>2</v>
      </c>
      <c r="G13845" s="1" t="s">
        <v>32</v>
      </c>
      <c r="H13845" s="4" t="str">
        <f>HYPERLINK("https://portal.gdc.cancer.gov/cases/13ca97a1-75bb-4a49-b8c3-181e5b2c9e86","TCGA-AR-A0TT-01A")</f>
        <v>TCGA-AR-A0TT-01A</v>
      </c>
      <c r="I13845" t="s">
        <v>17</v>
      </c>
      <c r="J13845" t="s">
        <v>524</v>
      </c>
      <c r="K13845" t="s">
        <v>33</v>
      </c>
      <c r="L13845" t="s">
        <v>20</v>
      </c>
      <c r="N13845" t="s">
        <v>29</v>
      </c>
    </row>
    <row r="13846" spans="1:14">
      <c r="A13846" s="4" t="str">
        <f t="shared" si="1142"/>
        <v>EXP00414</v>
      </c>
      <c r="B13846" s="3" t="s">
        <v>66</v>
      </c>
      <c r="C13846" s="4" t="str">
        <f t="shared" si="1141"/>
        <v>TCGA-BRCA</v>
      </c>
      <c r="D13846" s="1" t="s">
        <v>493</v>
      </c>
      <c r="E13846" t="s">
        <v>532</v>
      </c>
      <c r="F13846" s="1">
        <v>2</v>
      </c>
      <c r="G13846" s="1" t="s">
        <v>32</v>
      </c>
      <c r="H13846" s="4" t="str">
        <f>HYPERLINK("https://portal.gdc.cancer.gov/cases/6439621e-da61-4723-91cc-c5d87d0a4abc","TCGA-AR-A0TV-01A")</f>
        <v>TCGA-AR-A0TV-01A</v>
      </c>
      <c r="I13846" t="s">
        <v>17</v>
      </c>
      <c r="J13846" t="s">
        <v>524</v>
      </c>
      <c r="K13846" t="s">
        <v>33</v>
      </c>
      <c r="L13846" t="s">
        <v>20</v>
      </c>
      <c r="N13846" t="s">
        <v>29</v>
      </c>
    </row>
    <row r="13847" spans="1:14">
      <c r="A13847" s="4" t="str">
        <f t="shared" si="1142"/>
        <v>EXP00414</v>
      </c>
      <c r="B13847" s="3" t="s">
        <v>66</v>
      </c>
      <c r="C13847" s="4" t="str">
        <f t="shared" si="1141"/>
        <v>TCGA-BRCA</v>
      </c>
      <c r="D13847" s="1" t="s">
        <v>493</v>
      </c>
      <c r="E13847" t="s">
        <v>532</v>
      </c>
      <c r="F13847" s="1">
        <v>2</v>
      </c>
      <c r="G13847" s="1" t="s">
        <v>32</v>
      </c>
      <c r="H13847" s="4" t="str">
        <f>HYPERLINK("https://portal.gdc.cancer.gov/cases/c364e81c-eb1e-4870-ab37-9c661f5f2e3d","TCGA-AR-A0TX-01A")</f>
        <v>TCGA-AR-A0TX-01A</v>
      </c>
      <c r="I13847" t="s">
        <v>17</v>
      </c>
      <c r="J13847" t="s">
        <v>524</v>
      </c>
      <c r="K13847" t="s">
        <v>33</v>
      </c>
      <c r="L13847" t="s">
        <v>20</v>
      </c>
      <c r="N13847" t="s">
        <v>29</v>
      </c>
    </row>
    <row r="13848" spans="1:14">
      <c r="A13848" s="4" t="str">
        <f t="shared" si="1142"/>
        <v>EXP00414</v>
      </c>
      <c r="B13848" s="3" t="s">
        <v>66</v>
      </c>
      <c r="C13848" s="4" t="str">
        <f t="shared" si="1141"/>
        <v>TCGA-BRCA</v>
      </c>
      <c r="D13848" s="1" t="s">
        <v>493</v>
      </c>
      <c r="E13848" t="s">
        <v>532</v>
      </c>
      <c r="F13848" s="1">
        <v>2</v>
      </c>
      <c r="G13848" s="1" t="s">
        <v>32</v>
      </c>
      <c r="H13848" s="4" t="str">
        <f>HYPERLINK("https://portal.gdc.cancer.gov/cases/da1c58a7-c6bd-47d9-95c2-8d2ac70e20e4","TCGA-AR-A0TY-01A")</f>
        <v>TCGA-AR-A0TY-01A</v>
      </c>
      <c r="I13848" t="s">
        <v>17</v>
      </c>
      <c r="J13848" t="s">
        <v>524</v>
      </c>
      <c r="K13848" t="s">
        <v>33</v>
      </c>
      <c r="L13848" t="s">
        <v>20</v>
      </c>
      <c r="N13848" t="s">
        <v>29</v>
      </c>
    </row>
    <row r="13849" spans="1:14">
      <c r="A13849" s="4" t="str">
        <f t="shared" si="1142"/>
        <v>EXP00414</v>
      </c>
      <c r="B13849" s="3" t="s">
        <v>66</v>
      </c>
      <c r="C13849" s="4" t="str">
        <f t="shared" si="1141"/>
        <v>TCGA-BRCA</v>
      </c>
      <c r="D13849" s="1" t="s">
        <v>493</v>
      </c>
      <c r="E13849" t="s">
        <v>532</v>
      </c>
      <c r="F13849" s="1">
        <v>2</v>
      </c>
      <c r="G13849" s="1" t="s">
        <v>32</v>
      </c>
      <c r="H13849" s="4" t="str">
        <f>HYPERLINK("https://portal.gdc.cancer.gov/cases/c7c34fd9-3021-45b7-b6ff-30b4196585a8","TCGA-AR-A0TZ-01A")</f>
        <v>TCGA-AR-A0TZ-01A</v>
      </c>
      <c r="I13849" t="s">
        <v>17</v>
      </c>
      <c r="J13849" t="s">
        <v>524</v>
      </c>
      <c r="K13849" t="s">
        <v>33</v>
      </c>
      <c r="L13849" t="s">
        <v>20</v>
      </c>
      <c r="N13849" t="s">
        <v>29</v>
      </c>
    </row>
    <row r="13850" spans="1:14">
      <c r="A13850" s="4" t="str">
        <f t="shared" si="1142"/>
        <v>EXP00414</v>
      </c>
      <c r="B13850" s="3" t="s">
        <v>66</v>
      </c>
      <c r="C13850" s="4" t="str">
        <f t="shared" si="1141"/>
        <v>TCGA-BRCA</v>
      </c>
      <c r="D13850" s="1" t="s">
        <v>493</v>
      </c>
      <c r="E13850" t="s">
        <v>532</v>
      </c>
      <c r="F13850" s="1">
        <v>2</v>
      </c>
      <c r="G13850" s="1" t="s">
        <v>32</v>
      </c>
      <c r="H13850" s="4" t="str">
        <f>HYPERLINK("https://portal.gdc.cancer.gov/cases/9ad603dc-3fd0-44f5-ae4e-64eeb1ae8d6d","TCGA-AR-A0U2-01A")</f>
        <v>TCGA-AR-A0U2-01A</v>
      </c>
      <c r="I13850" t="s">
        <v>17</v>
      </c>
      <c r="J13850" t="s">
        <v>524</v>
      </c>
      <c r="K13850" t="s">
        <v>33</v>
      </c>
      <c r="L13850" t="s">
        <v>20</v>
      </c>
      <c r="N13850" t="s">
        <v>29</v>
      </c>
    </row>
    <row r="13851" spans="1:14">
      <c r="A13851" s="4" t="str">
        <f t="shared" si="1142"/>
        <v>EXP00414</v>
      </c>
      <c r="B13851" s="3" t="s">
        <v>66</v>
      </c>
      <c r="C13851" s="4" t="str">
        <f t="shared" si="1141"/>
        <v>TCGA-BRCA</v>
      </c>
      <c r="D13851" s="1" t="s">
        <v>493</v>
      </c>
      <c r="E13851" t="s">
        <v>532</v>
      </c>
      <c r="F13851" s="1">
        <v>2</v>
      </c>
      <c r="G13851" s="1" t="s">
        <v>32</v>
      </c>
      <c r="H13851" s="4" t="str">
        <f>HYPERLINK("https://portal.gdc.cancer.gov/cases/c5f00132-1c6b-4337-af6f-596c652665cc","TCGA-AR-A0U3-01A")</f>
        <v>TCGA-AR-A0U3-01A</v>
      </c>
      <c r="I13851" t="s">
        <v>17</v>
      </c>
      <c r="J13851" t="s">
        <v>524</v>
      </c>
      <c r="K13851" t="s">
        <v>33</v>
      </c>
      <c r="L13851" t="s">
        <v>20</v>
      </c>
      <c r="N13851" t="s">
        <v>29</v>
      </c>
    </row>
    <row r="13852" spans="1:14">
      <c r="A13852" s="4" t="str">
        <f t="shared" si="1142"/>
        <v>EXP00414</v>
      </c>
      <c r="B13852" s="3" t="s">
        <v>66</v>
      </c>
      <c r="C13852" s="4" t="str">
        <f t="shared" si="1141"/>
        <v>TCGA-BRCA</v>
      </c>
      <c r="D13852" s="1" t="s">
        <v>493</v>
      </c>
      <c r="E13852" t="s">
        <v>532</v>
      </c>
      <c r="F13852" s="1">
        <v>2</v>
      </c>
      <c r="G13852" s="1" t="s">
        <v>32</v>
      </c>
      <c r="H13852" s="4" t="str">
        <f>HYPERLINK("https://portal.gdc.cancer.gov/cases/71f97b63-c970-44ee-98c2-e02e663d5a40","TCGA-AR-A0U4-01A")</f>
        <v>TCGA-AR-A0U4-01A</v>
      </c>
      <c r="I13852" t="s">
        <v>17</v>
      </c>
      <c r="J13852" t="s">
        <v>524</v>
      </c>
      <c r="K13852" t="s">
        <v>33</v>
      </c>
      <c r="L13852" t="s">
        <v>20</v>
      </c>
      <c r="N13852" t="s">
        <v>29</v>
      </c>
    </row>
    <row r="13853" spans="1:14">
      <c r="A13853" s="4" t="str">
        <f t="shared" si="1142"/>
        <v>EXP00414</v>
      </c>
      <c r="B13853" s="3" t="s">
        <v>66</v>
      </c>
      <c r="C13853" s="4" t="str">
        <f t="shared" si="1141"/>
        <v>TCGA-BRCA</v>
      </c>
      <c r="D13853" s="1" t="s">
        <v>493</v>
      </c>
      <c r="E13853" t="s">
        <v>532</v>
      </c>
      <c r="F13853" s="1">
        <v>2</v>
      </c>
      <c r="G13853" s="1" t="s">
        <v>32</v>
      </c>
      <c r="H13853" s="4" t="str">
        <f>HYPERLINK("https://portal.gdc.cancer.gov/cases/a6e11b30-3ae8-4dd1-b04c-a730c6a79746","TCGA-AR-A1AH-01A")</f>
        <v>TCGA-AR-A1AH-01A</v>
      </c>
      <c r="I13853" t="s">
        <v>17</v>
      </c>
      <c r="J13853" t="s">
        <v>524</v>
      </c>
      <c r="K13853" t="s">
        <v>33</v>
      </c>
      <c r="L13853" t="s">
        <v>20</v>
      </c>
      <c r="N13853" t="s">
        <v>29</v>
      </c>
    </row>
    <row r="13854" spans="1:14">
      <c r="A13854" s="4" t="str">
        <f t="shared" si="1142"/>
        <v>EXP00414</v>
      </c>
      <c r="B13854" s="3" t="s">
        <v>66</v>
      </c>
      <c r="C13854" s="4" t="str">
        <f t="shared" si="1141"/>
        <v>TCGA-BRCA</v>
      </c>
      <c r="D13854" s="1" t="s">
        <v>493</v>
      </c>
      <c r="E13854" t="s">
        <v>532</v>
      </c>
      <c r="F13854" s="1">
        <v>2</v>
      </c>
      <c r="G13854" s="1" t="s">
        <v>32</v>
      </c>
      <c r="H13854" s="4" t="str">
        <f>HYPERLINK("https://portal.gdc.cancer.gov/cases/9848307d-1bd5-40c1-b655-a33297aaf74f","TCGA-AR-A1AI-01A")</f>
        <v>TCGA-AR-A1AI-01A</v>
      </c>
      <c r="I13854" t="s">
        <v>17</v>
      </c>
      <c r="J13854" t="s">
        <v>524</v>
      </c>
      <c r="K13854" t="s">
        <v>33</v>
      </c>
      <c r="L13854" t="s">
        <v>20</v>
      </c>
      <c r="N13854" t="s">
        <v>29</v>
      </c>
    </row>
    <row r="13855" spans="1:14">
      <c r="A13855" s="4" t="str">
        <f t="shared" si="1142"/>
        <v>EXP00414</v>
      </c>
      <c r="B13855" s="3" t="s">
        <v>66</v>
      </c>
      <c r="C13855" s="4" t="str">
        <f t="shared" si="1141"/>
        <v>TCGA-BRCA</v>
      </c>
      <c r="D13855" s="1" t="s">
        <v>493</v>
      </c>
      <c r="E13855" t="s">
        <v>532</v>
      </c>
      <c r="F13855" s="1">
        <v>2</v>
      </c>
      <c r="G13855" s="1" t="s">
        <v>32</v>
      </c>
      <c r="H13855" s="4" t="str">
        <f>HYPERLINK("https://portal.gdc.cancer.gov/cases/23e7a78a-1d56-4ad1-9bb4-72ec0178aff2","TCGA-AR-A1AJ-01A")</f>
        <v>TCGA-AR-A1AJ-01A</v>
      </c>
      <c r="I13855" t="s">
        <v>17</v>
      </c>
      <c r="J13855" t="s">
        <v>524</v>
      </c>
      <c r="K13855" t="s">
        <v>33</v>
      </c>
      <c r="L13855" t="s">
        <v>20</v>
      </c>
      <c r="N13855" t="s">
        <v>29</v>
      </c>
    </row>
    <row r="13856" spans="1:14">
      <c r="A13856" s="4" t="str">
        <f t="shared" si="1142"/>
        <v>EXP00414</v>
      </c>
      <c r="B13856" s="3" t="s">
        <v>66</v>
      </c>
      <c r="C13856" s="4" t="str">
        <f t="shared" si="1141"/>
        <v>TCGA-BRCA</v>
      </c>
      <c r="D13856" s="1" t="s">
        <v>493</v>
      </c>
      <c r="E13856" t="s">
        <v>532</v>
      </c>
      <c r="F13856" s="1">
        <v>2</v>
      </c>
      <c r="G13856" s="1" t="s">
        <v>32</v>
      </c>
      <c r="H13856" s="4" t="str">
        <f>HYPERLINK("https://portal.gdc.cancer.gov/cases/94b03e1d-50ec-4680-bffd-7086d1536ff2","TCGA-AR-A1AK-01A")</f>
        <v>TCGA-AR-A1AK-01A</v>
      </c>
      <c r="I13856" t="s">
        <v>17</v>
      </c>
      <c r="J13856" t="s">
        <v>524</v>
      </c>
      <c r="K13856" t="s">
        <v>33</v>
      </c>
      <c r="L13856" t="s">
        <v>20</v>
      </c>
      <c r="N13856" t="s">
        <v>29</v>
      </c>
    </row>
    <row r="13857" spans="1:14">
      <c r="A13857" s="4" t="str">
        <f t="shared" si="1142"/>
        <v>EXP00414</v>
      </c>
      <c r="B13857" s="3" t="s">
        <v>66</v>
      </c>
      <c r="C13857" s="4" t="str">
        <f t="shared" si="1141"/>
        <v>TCGA-BRCA</v>
      </c>
      <c r="D13857" s="1" t="s">
        <v>493</v>
      </c>
      <c r="E13857" t="s">
        <v>532</v>
      </c>
      <c r="F13857" s="1">
        <v>2</v>
      </c>
      <c r="G13857" s="1" t="s">
        <v>32</v>
      </c>
      <c r="H13857" s="4" t="str">
        <f>HYPERLINK("https://portal.gdc.cancer.gov/cases/1f99e4d4-4e8b-4cc1-a129-227a2a82780e","TCGA-AR-A1AL-01A")</f>
        <v>TCGA-AR-A1AL-01A</v>
      </c>
      <c r="I13857" t="s">
        <v>17</v>
      </c>
      <c r="J13857" t="s">
        <v>524</v>
      </c>
      <c r="K13857" t="s">
        <v>33</v>
      </c>
      <c r="L13857" t="s">
        <v>20</v>
      </c>
      <c r="N13857" t="s">
        <v>29</v>
      </c>
    </row>
    <row r="13858" spans="1:14">
      <c r="A13858" s="4" t="str">
        <f t="shared" si="1142"/>
        <v>EXP00414</v>
      </c>
      <c r="B13858" s="3" t="s">
        <v>66</v>
      </c>
      <c r="C13858" s="4" t="str">
        <f t="shared" si="1141"/>
        <v>TCGA-BRCA</v>
      </c>
      <c r="D13858" s="1" t="s">
        <v>493</v>
      </c>
      <c r="E13858" t="s">
        <v>532</v>
      </c>
      <c r="F13858" s="1">
        <v>2</v>
      </c>
      <c r="G13858" s="1" t="s">
        <v>32</v>
      </c>
      <c r="H13858" s="4" t="str">
        <f>HYPERLINK("https://portal.gdc.cancer.gov/cases/ebd1512a-4865-4193-97b3-f599d555759a","TCGA-AR-A1AM-01A")</f>
        <v>TCGA-AR-A1AM-01A</v>
      </c>
      <c r="I13858" t="s">
        <v>17</v>
      </c>
      <c r="J13858" t="s">
        <v>524</v>
      </c>
      <c r="K13858" t="s">
        <v>33</v>
      </c>
      <c r="L13858" t="s">
        <v>20</v>
      </c>
      <c r="N13858" t="s">
        <v>29</v>
      </c>
    </row>
    <row r="13859" spans="1:14">
      <c r="A13859" s="4" t="str">
        <f t="shared" si="1142"/>
        <v>EXP00414</v>
      </c>
      <c r="B13859" s="3" t="s">
        <v>66</v>
      </c>
      <c r="C13859" s="4" t="str">
        <f t="shared" si="1141"/>
        <v>TCGA-BRCA</v>
      </c>
      <c r="D13859" s="1" t="s">
        <v>493</v>
      </c>
      <c r="E13859" t="s">
        <v>532</v>
      </c>
      <c r="F13859" s="1">
        <v>2</v>
      </c>
      <c r="G13859" s="1" t="s">
        <v>32</v>
      </c>
      <c r="H13859" s="4" t="str">
        <f>HYPERLINK("https://portal.gdc.cancer.gov/cases/43029932-feb0-4658-97fa-645c1e775009","TCGA-AR-A1AN-01A")</f>
        <v>TCGA-AR-A1AN-01A</v>
      </c>
      <c r="I13859" t="s">
        <v>17</v>
      </c>
      <c r="J13859" t="s">
        <v>524</v>
      </c>
      <c r="K13859" t="s">
        <v>33</v>
      </c>
      <c r="L13859" t="s">
        <v>20</v>
      </c>
      <c r="N13859" t="s">
        <v>29</v>
      </c>
    </row>
    <row r="13860" spans="1:14">
      <c r="A13860" s="4" t="str">
        <f t="shared" si="1142"/>
        <v>EXP00414</v>
      </c>
      <c r="B13860" s="3" t="s">
        <v>66</v>
      </c>
      <c r="C13860" s="4" t="str">
        <f t="shared" si="1141"/>
        <v>TCGA-BRCA</v>
      </c>
      <c r="D13860" s="1" t="s">
        <v>493</v>
      </c>
      <c r="E13860" t="s">
        <v>532</v>
      </c>
      <c r="F13860" s="1">
        <v>2</v>
      </c>
      <c r="G13860" s="1" t="s">
        <v>32</v>
      </c>
      <c r="H13860" s="4" t="str">
        <f>HYPERLINK("https://portal.gdc.cancer.gov/cases/623befd6-0ca4-4a6c-9cf5-d9385c3b718f","TCGA-AR-A1AO-01A")</f>
        <v>TCGA-AR-A1AO-01A</v>
      </c>
      <c r="I13860" t="s">
        <v>17</v>
      </c>
      <c r="J13860" t="s">
        <v>524</v>
      </c>
      <c r="K13860" t="s">
        <v>33</v>
      </c>
      <c r="L13860" t="s">
        <v>20</v>
      </c>
      <c r="N13860" t="s">
        <v>29</v>
      </c>
    </row>
    <row r="13861" spans="1:14">
      <c r="A13861" s="4" t="str">
        <f t="shared" si="1142"/>
        <v>EXP00414</v>
      </c>
      <c r="B13861" s="3" t="s">
        <v>66</v>
      </c>
      <c r="C13861" s="4" t="str">
        <f t="shared" si="1141"/>
        <v>TCGA-BRCA</v>
      </c>
      <c r="D13861" s="1" t="s">
        <v>493</v>
      </c>
      <c r="E13861" t="s">
        <v>532</v>
      </c>
      <c r="F13861" s="1">
        <v>2</v>
      </c>
      <c r="G13861" s="1" t="s">
        <v>32</v>
      </c>
      <c r="H13861" s="4" t="str">
        <f>HYPERLINK("https://portal.gdc.cancer.gov/cases/9495f029-9882-4c9b-a557-b3aec9e91698","TCGA-AR-A1AP-01A")</f>
        <v>TCGA-AR-A1AP-01A</v>
      </c>
      <c r="I13861" t="s">
        <v>17</v>
      </c>
      <c r="J13861" t="s">
        <v>524</v>
      </c>
      <c r="K13861" t="s">
        <v>33</v>
      </c>
      <c r="L13861" t="s">
        <v>20</v>
      </c>
      <c r="N13861" t="s">
        <v>29</v>
      </c>
    </row>
    <row r="13862" spans="1:14">
      <c r="A13862" s="4" t="str">
        <f t="shared" si="1142"/>
        <v>EXP00414</v>
      </c>
      <c r="B13862" s="3" t="s">
        <v>66</v>
      </c>
      <c r="C13862" s="4" t="str">
        <f t="shared" si="1141"/>
        <v>TCGA-BRCA</v>
      </c>
      <c r="D13862" s="1" t="s">
        <v>493</v>
      </c>
      <c r="E13862" t="s">
        <v>532</v>
      </c>
      <c r="F13862" s="1">
        <v>2</v>
      </c>
      <c r="G13862" s="1" t="s">
        <v>32</v>
      </c>
      <c r="H13862" s="4" t="str">
        <f>HYPERLINK("https://portal.gdc.cancer.gov/cases/98e0b4de-52fc-4945-9bf5-11e29368f939","TCGA-AR-A1AQ-01A")</f>
        <v>TCGA-AR-A1AQ-01A</v>
      </c>
      <c r="I13862" t="s">
        <v>17</v>
      </c>
      <c r="J13862" t="s">
        <v>524</v>
      </c>
      <c r="K13862" t="s">
        <v>33</v>
      </c>
      <c r="L13862" t="s">
        <v>20</v>
      </c>
      <c r="N13862" t="s">
        <v>29</v>
      </c>
    </row>
    <row r="13863" spans="1:14">
      <c r="A13863" s="4" t="str">
        <f t="shared" si="1142"/>
        <v>EXP00414</v>
      </c>
      <c r="B13863" s="3" t="s">
        <v>66</v>
      </c>
      <c r="C13863" s="4" t="str">
        <f t="shared" si="1141"/>
        <v>TCGA-BRCA</v>
      </c>
      <c r="D13863" s="1" t="s">
        <v>493</v>
      </c>
      <c r="E13863" t="s">
        <v>532</v>
      </c>
      <c r="F13863" s="1">
        <v>2</v>
      </c>
      <c r="G13863" s="1" t="s">
        <v>32</v>
      </c>
      <c r="H13863" s="4" t="str">
        <f>HYPERLINK("https://portal.gdc.cancer.gov/cases/eda6d2d5-4199-4f76-a45b-1d0401b4e54c","TCGA-AR-A1AR-01A")</f>
        <v>TCGA-AR-A1AR-01A</v>
      </c>
      <c r="I13863" t="s">
        <v>17</v>
      </c>
      <c r="J13863" t="s">
        <v>524</v>
      </c>
      <c r="K13863" t="s">
        <v>33</v>
      </c>
      <c r="L13863" t="s">
        <v>20</v>
      </c>
      <c r="N13863" t="s">
        <v>29</v>
      </c>
    </row>
    <row r="13864" spans="1:14">
      <c r="A13864" s="4" t="str">
        <f t="shared" si="1142"/>
        <v>EXP00414</v>
      </c>
      <c r="B13864" s="3" t="s">
        <v>66</v>
      </c>
      <c r="C13864" s="4" t="str">
        <f t="shared" si="1141"/>
        <v>TCGA-BRCA</v>
      </c>
      <c r="D13864" s="1" t="s">
        <v>493</v>
      </c>
      <c r="E13864" t="s">
        <v>532</v>
      </c>
      <c r="F13864" s="1">
        <v>2</v>
      </c>
      <c r="G13864" s="1" t="s">
        <v>32</v>
      </c>
      <c r="H13864" s="4" t="str">
        <f>HYPERLINK("https://portal.gdc.cancer.gov/cases/7d681cc6-689d-41c8-9e84-e13733089ec9","TCGA-AR-A1AS-01A")</f>
        <v>TCGA-AR-A1AS-01A</v>
      </c>
      <c r="I13864" t="s">
        <v>17</v>
      </c>
      <c r="J13864" t="s">
        <v>524</v>
      </c>
      <c r="K13864" t="s">
        <v>33</v>
      </c>
      <c r="L13864" t="s">
        <v>20</v>
      </c>
      <c r="N13864" t="s">
        <v>29</v>
      </c>
    </row>
    <row r="13865" spans="1:14">
      <c r="A13865" s="4" t="str">
        <f t="shared" si="1142"/>
        <v>EXP00414</v>
      </c>
      <c r="B13865" s="3" t="s">
        <v>66</v>
      </c>
      <c r="C13865" s="4" t="str">
        <f t="shared" si="1141"/>
        <v>TCGA-BRCA</v>
      </c>
      <c r="D13865" s="1" t="s">
        <v>493</v>
      </c>
      <c r="E13865" t="s">
        <v>532</v>
      </c>
      <c r="F13865" s="1">
        <v>2</v>
      </c>
      <c r="G13865" s="1" t="s">
        <v>32</v>
      </c>
      <c r="H13865" s="4" t="str">
        <f>HYPERLINK("https://portal.gdc.cancer.gov/cases/4d26dada-5eb7-4d4e-8eb8-f5465c5c3428","TCGA-AR-A1AT-01A")</f>
        <v>TCGA-AR-A1AT-01A</v>
      </c>
      <c r="I13865" t="s">
        <v>17</v>
      </c>
      <c r="J13865" t="s">
        <v>524</v>
      </c>
      <c r="K13865" t="s">
        <v>33</v>
      </c>
      <c r="L13865" t="s">
        <v>20</v>
      </c>
      <c r="N13865" t="s">
        <v>29</v>
      </c>
    </row>
    <row r="13866" spans="1:14">
      <c r="A13866" s="4" t="str">
        <f t="shared" si="1142"/>
        <v>EXP00414</v>
      </c>
      <c r="B13866" s="3" t="s">
        <v>66</v>
      </c>
      <c r="C13866" s="4" t="str">
        <f t="shared" si="1141"/>
        <v>TCGA-BRCA</v>
      </c>
      <c r="D13866" s="1" t="s">
        <v>493</v>
      </c>
      <c r="E13866" t="s">
        <v>532</v>
      </c>
      <c r="F13866" s="1">
        <v>2</v>
      </c>
      <c r="G13866" s="1" t="s">
        <v>32</v>
      </c>
      <c r="H13866" s="4" t="str">
        <f>HYPERLINK("https://portal.gdc.cancer.gov/cases/36220587-1c1c-4f92-b177-3b2155e7e273","TCGA-AR-A1AU-01A")</f>
        <v>TCGA-AR-A1AU-01A</v>
      </c>
      <c r="I13866" t="s">
        <v>17</v>
      </c>
      <c r="J13866" t="s">
        <v>524</v>
      </c>
      <c r="K13866" t="s">
        <v>33</v>
      </c>
      <c r="L13866" t="s">
        <v>20</v>
      </c>
      <c r="N13866" t="s">
        <v>29</v>
      </c>
    </row>
    <row r="13867" spans="1:14">
      <c r="A13867" s="4" t="str">
        <f t="shared" si="1142"/>
        <v>EXP00414</v>
      </c>
      <c r="B13867" s="3" t="s">
        <v>66</v>
      </c>
      <c r="C13867" s="4" t="str">
        <f t="shared" si="1141"/>
        <v>TCGA-BRCA</v>
      </c>
      <c r="D13867" s="1" t="s">
        <v>493</v>
      </c>
      <c r="E13867" t="s">
        <v>532</v>
      </c>
      <c r="F13867" s="1">
        <v>2</v>
      </c>
      <c r="G13867" s="1" t="s">
        <v>32</v>
      </c>
      <c r="H13867" s="4" t="str">
        <f>HYPERLINK("https://portal.gdc.cancer.gov/cases/daf62b56-6dd2-4ab7-adaa-f296bb86a0a5","TCGA-AR-A1AV-01A")</f>
        <v>TCGA-AR-A1AV-01A</v>
      </c>
      <c r="I13867" t="s">
        <v>17</v>
      </c>
      <c r="J13867" t="s">
        <v>524</v>
      </c>
      <c r="K13867" t="s">
        <v>33</v>
      </c>
      <c r="L13867" t="s">
        <v>20</v>
      </c>
      <c r="N13867" t="s">
        <v>29</v>
      </c>
    </row>
    <row r="13868" spans="1:14">
      <c r="A13868" s="4" t="str">
        <f t="shared" si="1142"/>
        <v>EXP00414</v>
      </c>
      <c r="B13868" s="3" t="s">
        <v>66</v>
      </c>
      <c r="C13868" s="4" t="str">
        <f t="shared" si="1141"/>
        <v>TCGA-BRCA</v>
      </c>
      <c r="D13868" s="1" t="s">
        <v>493</v>
      </c>
      <c r="E13868" t="s">
        <v>532</v>
      </c>
      <c r="F13868" s="1">
        <v>2</v>
      </c>
      <c r="G13868" s="1" t="s">
        <v>32</v>
      </c>
      <c r="H13868" s="4" t="str">
        <f>HYPERLINK("https://portal.gdc.cancer.gov/cases/a12fd22a-7f84-4b6e-b6d8-012e38eb73d7","TCGA-AR-A1AW-01A")</f>
        <v>TCGA-AR-A1AW-01A</v>
      </c>
      <c r="I13868" t="s">
        <v>17</v>
      </c>
      <c r="J13868" t="s">
        <v>524</v>
      </c>
      <c r="K13868" t="s">
        <v>33</v>
      </c>
      <c r="L13868" t="s">
        <v>20</v>
      </c>
      <c r="N13868" t="s">
        <v>29</v>
      </c>
    </row>
    <row r="13869" spans="1:14">
      <c r="A13869" s="4" t="str">
        <f t="shared" si="1142"/>
        <v>EXP00414</v>
      </c>
      <c r="B13869" s="3" t="s">
        <v>66</v>
      </c>
      <c r="C13869" s="4" t="str">
        <f t="shared" si="1141"/>
        <v>TCGA-BRCA</v>
      </c>
      <c r="D13869" s="1" t="s">
        <v>493</v>
      </c>
      <c r="E13869" t="s">
        <v>532</v>
      </c>
      <c r="F13869" s="1">
        <v>2</v>
      </c>
      <c r="G13869" s="1" t="s">
        <v>32</v>
      </c>
      <c r="H13869" s="4" t="str">
        <f>HYPERLINK("https://portal.gdc.cancer.gov/cases/f72c1d69-da35-459f-8542-59bfd6c09c23","TCGA-AR-A1AX-01A")</f>
        <v>TCGA-AR-A1AX-01A</v>
      </c>
      <c r="I13869" t="s">
        <v>17</v>
      </c>
      <c r="J13869" t="s">
        <v>524</v>
      </c>
      <c r="K13869" t="s">
        <v>33</v>
      </c>
      <c r="L13869" t="s">
        <v>20</v>
      </c>
      <c r="N13869" t="s">
        <v>29</v>
      </c>
    </row>
    <row r="13870" spans="1:14">
      <c r="A13870" s="4" t="str">
        <f t="shared" si="1142"/>
        <v>EXP00414</v>
      </c>
      <c r="B13870" s="3" t="s">
        <v>66</v>
      </c>
      <c r="C13870" s="4" t="str">
        <f t="shared" si="1141"/>
        <v>TCGA-BRCA</v>
      </c>
      <c r="D13870" s="1" t="s">
        <v>493</v>
      </c>
      <c r="E13870" t="s">
        <v>532</v>
      </c>
      <c r="F13870" s="1">
        <v>2</v>
      </c>
      <c r="G13870" s="1" t="s">
        <v>32</v>
      </c>
      <c r="H13870" s="4" t="str">
        <f>HYPERLINK("https://portal.gdc.cancer.gov/cases/5fd9552a-c742-4388-940d-295d1107ae00","TCGA-AR-A1AY-01A")</f>
        <v>TCGA-AR-A1AY-01A</v>
      </c>
      <c r="I13870" t="s">
        <v>17</v>
      </c>
      <c r="J13870" t="s">
        <v>524</v>
      </c>
      <c r="K13870" t="s">
        <v>33</v>
      </c>
      <c r="L13870" t="s">
        <v>20</v>
      </c>
      <c r="N13870" t="s">
        <v>29</v>
      </c>
    </row>
    <row r="13871" spans="1:14">
      <c r="A13871" s="4" t="str">
        <f t="shared" si="1142"/>
        <v>EXP00414</v>
      </c>
      <c r="B13871" s="3" t="s">
        <v>66</v>
      </c>
      <c r="C13871" s="4" t="str">
        <f t="shared" si="1141"/>
        <v>TCGA-BRCA</v>
      </c>
      <c r="D13871" s="1" t="s">
        <v>493</v>
      </c>
      <c r="E13871" t="s">
        <v>532</v>
      </c>
      <c r="F13871" s="1">
        <v>2</v>
      </c>
      <c r="G13871" s="1" t="s">
        <v>32</v>
      </c>
      <c r="H13871" s="4" t="str">
        <f>HYPERLINK("https://portal.gdc.cancer.gov/cases/6f89509c-f802-482e-b4da-94553aa76fe9","TCGA-AR-A24H-01A")</f>
        <v>TCGA-AR-A24H-01A</v>
      </c>
      <c r="I13871" t="s">
        <v>17</v>
      </c>
      <c r="J13871" t="s">
        <v>524</v>
      </c>
      <c r="K13871" t="s">
        <v>33</v>
      </c>
      <c r="L13871" t="s">
        <v>20</v>
      </c>
      <c r="N13871" t="s">
        <v>29</v>
      </c>
    </row>
    <row r="13872" spans="1:14">
      <c r="A13872" s="4" t="str">
        <f t="shared" si="1142"/>
        <v>EXP00414</v>
      </c>
      <c r="B13872" s="3" t="s">
        <v>66</v>
      </c>
      <c r="C13872" s="4" t="str">
        <f t="shared" si="1141"/>
        <v>TCGA-BRCA</v>
      </c>
      <c r="D13872" s="1" t="s">
        <v>493</v>
      </c>
      <c r="E13872" t="s">
        <v>532</v>
      </c>
      <c r="F13872" s="1">
        <v>2</v>
      </c>
      <c r="G13872" s="1" t="s">
        <v>32</v>
      </c>
      <c r="H13872" s="4" t="str">
        <f>HYPERLINK("https://portal.gdc.cancer.gov/cases/599c3701-df7a-4a75-a347-fa9b510dd242","TCGA-AR-A24K-01A")</f>
        <v>TCGA-AR-A24K-01A</v>
      </c>
      <c r="I13872" t="s">
        <v>17</v>
      </c>
      <c r="J13872" t="s">
        <v>524</v>
      </c>
      <c r="K13872" t="s">
        <v>33</v>
      </c>
      <c r="L13872" t="s">
        <v>20</v>
      </c>
      <c r="N13872" t="s">
        <v>29</v>
      </c>
    </row>
    <row r="13873" spans="1:14">
      <c r="A13873" s="4" t="str">
        <f t="shared" si="1142"/>
        <v>EXP00414</v>
      </c>
      <c r="B13873" s="3" t="s">
        <v>66</v>
      </c>
      <c r="C13873" s="4" t="str">
        <f t="shared" si="1141"/>
        <v>TCGA-BRCA</v>
      </c>
      <c r="D13873" s="1" t="s">
        <v>493</v>
      </c>
      <c r="E13873" t="s">
        <v>532</v>
      </c>
      <c r="F13873" s="1">
        <v>2</v>
      </c>
      <c r="G13873" s="1" t="s">
        <v>32</v>
      </c>
      <c r="H13873" s="4" t="str">
        <f>HYPERLINK("https://portal.gdc.cancer.gov/cases/de646f6a-6d50-4be2-b3cd-f17554b234df","TCGA-AR-A24L-01A")</f>
        <v>TCGA-AR-A24L-01A</v>
      </c>
      <c r="I13873" t="s">
        <v>17</v>
      </c>
      <c r="J13873" t="s">
        <v>524</v>
      </c>
      <c r="K13873" t="s">
        <v>33</v>
      </c>
      <c r="L13873" t="s">
        <v>20</v>
      </c>
      <c r="N13873" t="s">
        <v>29</v>
      </c>
    </row>
    <row r="13874" spans="1:14">
      <c r="A13874" s="4" t="str">
        <f t="shared" si="1142"/>
        <v>EXP00414</v>
      </c>
      <c r="B13874" s="3" t="s">
        <v>66</v>
      </c>
      <c r="C13874" s="4" t="str">
        <f t="shared" si="1141"/>
        <v>TCGA-BRCA</v>
      </c>
      <c r="D13874" s="1" t="s">
        <v>493</v>
      </c>
      <c r="E13874" t="s">
        <v>532</v>
      </c>
      <c r="F13874" s="1">
        <v>2</v>
      </c>
      <c r="G13874" s="1" t="s">
        <v>32</v>
      </c>
      <c r="H13874" s="4" t="str">
        <f>HYPERLINK("https://portal.gdc.cancer.gov/cases/aa30ac3d-4216-45dd-a314-1ae192fafcb2","TCGA-AR-A24M-01A")</f>
        <v>TCGA-AR-A24M-01A</v>
      </c>
      <c r="I13874" t="s">
        <v>17</v>
      </c>
      <c r="J13874" t="s">
        <v>524</v>
      </c>
      <c r="K13874" t="s">
        <v>33</v>
      </c>
      <c r="L13874" t="s">
        <v>20</v>
      </c>
      <c r="N13874" t="s">
        <v>29</v>
      </c>
    </row>
    <row r="13875" spans="1:14">
      <c r="A13875" s="4" t="str">
        <f t="shared" si="1142"/>
        <v>EXP00414</v>
      </c>
      <c r="B13875" s="3" t="s">
        <v>66</v>
      </c>
      <c r="C13875" s="4" t="str">
        <f t="shared" si="1141"/>
        <v>TCGA-BRCA</v>
      </c>
      <c r="D13875" s="1" t="s">
        <v>493</v>
      </c>
      <c r="E13875" t="s">
        <v>532</v>
      </c>
      <c r="F13875" s="1">
        <v>2</v>
      </c>
      <c r="G13875" s="1" t="s">
        <v>32</v>
      </c>
      <c r="H13875" s="4" t="str">
        <f>HYPERLINK("https://portal.gdc.cancer.gov/cases/30047d32-0833-4aca-98d1-3b9ab7122863","TCGA-AR-A24N-01A")</f>
        <v>TCGA-AR-A24N-01A</v>
      </c>
      <c r="I13875" t="s">
        <v>17</v>
      </c>
      <c r="J13875" t="s">
        <v>524</v>
      </c>
      <c r="K13875" t="s">
        <v>33</v>
      </c>
      <c r="L13875" t="s">
        <v>20</v>
      </c>
      <c r="N13875" t="s">
        <v>29</v>
      </c>
    </row>
    <row r="13876" spans="1:14">
      <c r="A13876" s="4" t="str">
        <f t="shared" si="1142"/>
        <v>EXP00414</v>
      </c>
      <c r="B13876" s="3" t="s">
        <v>66</v>
      </c>
      <c r="C13876" s="4" t="str">
        <f t="shared" si="1141"/>
        <v>TCGA-BRCA</v>
      </c>
      <c r="D13876" s="1" t="s">
        <v>493</v>
      </c>
      <c r="E13876" t="s">
        <v>532</v>
      </c>
      <c r="F13876" s="1">
        <v>2</v>
      </c>
      <c r="G13876" s="1" t="s">
        <v>32</v>
      </c>
      <c r="H13876" s="4" t="str">
        <f>HYPERLINK("https://portal.gdc.cancer.gov/cases/125b0a9a-6cbe-4207-9178-e7ff03487e87","TCGA-AR-A24O-01A")</f>
        <v>TCGA-AR-A24O-01A</v>
      </c>
      <c r="I13876" t="s">
        <v>17</v>
      </c>
      <c r="J13876" t="s">
        <v>524</v>
      </c>
      <c r="K13876" t="s">
        <v>33</v>
      </c>
      <c r="L13876" t="s">
        <v>20</v>
      </c>
      <c r="N13876" t="s">
        <v>29</v>
      </c>
    </row>
    <row r="13877" spans="1:14">
      <c r="A13877" s="4" t="str">
        <f t="shared" si="1142"/>
        <v>EXP00414</v>
      </c>
      <c r="B13877" s="3" t="s">
        <v>66</v>
      </c>
      <c r="C13877" s="4" t="str">
        <f t="shared" si="1141"/>
        <v>TCGA-BRCA</v>
      </c>
      <c r="D13877" s="1" t="s">
        <v>493</v>
      </c>
      <c r="E13877" t="s">
        <v>532</v>
      </c>
      <c r="F13877" s="1">
        <v>2</v>
      </c>
      <c r="G13877" s="1" t="s">
        <v>32</v>
      </c>
      <c r="H13877" s="4" t="str">
        <f>HYPERLINK("https://portal.gdc.cancer.gov/cases/d1fd8ed2-be13-4272-b31e-df86911db3b1","TCGA-AR-A24P-01A")</f>
        <v>TCGA-AR-A24P-01A</v>
      </c>
      <c r="I13877" t="s">
        <v>17</v>
      </c>
      <c r="J13877" t="s">
        <v>524</v>
      </c>
      <c r="K13877" t="s">
        <v>33</v>
      </c>
      <c r="L13877" t="s">
        <v>20</v>
      </c>
      <c r="N13877" t="s">
        <v>29</v>
      </c>
    </row>
    <row r="13878" spans="1:14">
      <c r="A13878" s="4" t="str">
        <f t="shared" si="1142"/>
        <v>EXP00414</v>
      </c>
      <c r="B13878" s="3" t="s">
        <v>66</v>
      </c>
      <c r="C13878" s="4" t="str">
        <f t="shared" si="1141"/>
        <v>TCGA-BRCA</v>
      </c>
      <c r="D13878" s="1" t="s">
        <v>493</v>
      </c>
      <c r="E13878" t="s">
        <v>532</v>
      </c>
      <c r="F13878" s="1">
        <v>2</v>
      </c>
      <c r="G13878" s="1" t="s">
        <v>32</v>
      </c>
      <c r="H13878" s="4" t="str">
        <f>HYPERLINK("https://portal.gdc.cancer.gov/cases/28e9048a-e540-42de-a1f4-4ef894fccc4c","TCGA-AR-A24Q-01A")</f>
        <v>TCGA-AR-A24Q-01A</v>
      </c>
      <c r="I13878" t="s">
        <v>17</v>
      </c>
      <c r="J13878" t="s">
        <v>524</v>
      </c>
      <c r="K13878" t="s">
        <v>33</v>
      </c>
      <c r="L13878" t="s">
        <v>20</v>
      </c>
      <c r="N13878" t="s">
        <v>29</v>
      </c>
    </row>
    <row r="13879" spans="1:14">
      <c r="A13879" s="4" t="str">
        <f t="shared" si="1142"/>
        <v>EXP00414</v>
      </c>
      <c r="B13879" s="3" t="s">
        <v>66</v>
      </c>
      <c r="C13879" s="4" t="str">
        <f t="shared" si="1141"/>
        <v>TCGA-BRCA</v>
      </c>
      <c r="D13879" s="1" t="s">
        <v>493</v>
      </c>
      <c r="E13879" t="s">
        <v>532</v>
      </c>
      <c r="F13879" s="1">
        <v>2</v>
      </c>
      <c r="G13879" s="1" t="s">
        <v>32</v>
      </c>
      <c r="H13879" s="4" t="str">
        <f>HYPERLINK("https://portal.gdc.cancer.gov/cases/db62d9c7-8343-4771-84fc-146d2e307bb8","TCGA-AR-A24R-01A")</f>
        <v>TCGA-AR-A24R-01A</v>
      </c>
      <c r="I13879" t="s">
        <v>17</v>
      </c>
      <c r="J13879" t="s">
        <v>524</v>
      </c>
      <c r="K13879" t="s">
        <v>33</v>
      </c>
      <c r="L13879" t="s">
        <v>20</v>
      </c>
      <c r="N13879" t="s">
        <v>29</v>
      </c>
    </row>
    <row r="13880" spans="1:14">
      <c r="A13880" s="4" t="str">
        <f t="shared" si="1142"/>
        <v>EXP00414</v>
      </c>
      <c r="B13880" s="3" t="s">
        <v>66</v>
      </c>
      <c r="C13880" s="4" t="str">
        <f t="shared" si="1141"/>
        <v>TCGA-BRCA</v>
      </c>
      <c r="D13880" s="1" t="s">
        <v>493</v>
      </c>
      <c r="E13880" t="s">
        <v>532</v>
      </c>
      <c r="F13880" s="1">
        <v>2</v>
      </c>
      <c r="G13880" s="1" t="s">
        <v>32</v>
      </c>
      <c r="H13880" s="4" t="str">
        <f>HYPERLINK("https://portal.gdc.cancer.gov/cases/074e8b06-3929-4896-9263-3b80ad6a355b","TCGA-AR-A24S-01A")</f>
        <v>TCGA-AR-A24S-01A</v>
      </c>
      <c r="I13880" t="s">
        <v>17</v>
      </c>
      <c r="J13880" t="s">
        <v>524</v>
      </c>
      <c r="K13880" t="s">
        <v>33</v>
      </c>
      <c r="L13880" t="s">
        <v>20</v>
      </c>
      <c r="N13880" t="s">
        <v>29</v>
      </c>
    </row>
    <row r="13881" spans="1:14">
      <c r="A13881" s="4" t="str">
        <f t="shared" si="1142"/>
        <v>EXP00414</v>
      </c>
      <c r="B13881" s="3" t="s">
        <v>66</v>
      </c>
      <c r="C13881" s="4" t="str">
        <f t="shared" si="1141"/>
        <v>TCGA-BRCA</v>
      </c>
      <c r="D13881" s="1" t="s">
        <v>493</v>
      </c>
      <c r="E13881" t="s">
        <v>532</v>
      </c>
      <c r="F13881" s="1">
        <v>2</v>
      </c>
      <c r="G13881" s="1" t="s">
        <v>32</v>
      </c>
      <c r="H13881" s="4" t="str">
        <f>HYPERLINK("https://portal.gdc.cancer.gov/cases/9e3de467-fb0d-4021-89f8-b34968a7c7bc","TCGA-AR-A24T-01A")</f>
        <v>TCGA-AR-A24T-01A</v>
      </c>
      <c r="I13881" t="s">
        <v>17</v>
      </c>
      <c r="J13881" t="s">
        <v>524</v>
      </c>
      <c r="K13881" t="s">
        <v>33</v>
      </c>
      <c r="L13881" t="s">
        <v>20</v>
      </c>
      <c r="N13881" t="s">
        <v>29</v>
      </c>
    </row>
    <row r="13882" spans="1:14">
      <c r="A13882" s="4" t="str">
        <f t="shared" si="1142"/>
        <v>EXP00414</v>
      </c>
      <c r="B13882" s="3" t="s">
        <v>66</v>
      </c>
      <c r="C13882" s="4" t="str">
        <f t="shared" ref="C13882:C13945" si="1143">HYPERLINK("https://portal.gdc.cancer.gov/projects/TCGA-BRCA","TCGA-BRCA")</f>
        <v>TCGA-BRCA</v>
      </c>
      <c r="D13882" s="1" t="s">
        <v>493</v>
      </c>
      <c r="E13882" t="s">
        <v>532</v>
      </c>
      <c r="F13882" s="1">
        <v>2</v>
      </c>
      <c r="G13882" s="1" t="s">
        <v>32</v>
      </c>
      <c r="H13882" s="4" t="str">
        <f>HYPERLINK("https://portal.gdc.cancer.gov/cases/241fffc8-4250-4cfa-b2e7-e68c33ae07dc","TCGA-AR-A24U-01A")</f>
        <v>TCGA-AR-A24U-01A</v>
      </c>
      <c r="I13882" t="s">
        <v>17</v>
      </c>
      <c r="J13882" t="s">
        <v>524</v>
      </c>
      <c r="K13882" t="s">
        <v>33</v>
      </c>
      <c r="L13882" t="s">
        <v>20</v>
      </c>
      <c r="N13882" t="s">
        <v>29</v>
      </c>
    </row>
    <row r="13883" spans="1:14">
      <c r="A13883" s="4" t="str">
        <f t="shared" si="1142"/>
        <v>EXP00414</v>
      </c>
      <c r="B13883" s="3" t="s">
        <v>66</v>
      </c>
      <c r="C13883" s="4" t="str">
        <f t="shared" si="1143"/>
        <v>TCGA-BRCA</v>
      </c>
      <c r="D13883" s="1" t="s">
        <v>493</v>
      </c>
      <c r="E13883" t="s">
        <v>532</v>
      </c>
      <c r="F13883" s="1">
        <v>2</v>
      </c>
      <c r="G13883" s="1" t="s">
        <v>32</v>
      </c>
      <c r="H13883" s="4" t="str">
        <f>HYPERLINK("https://portal.gdc.cancer.gov/cases/3cb06c7a-f2a8-448b-91a8-dd201bbf2ddd","TCGA-AR-A24V-01A")</f>
        <v>TCGA-AR-A24V-01A</v>
      </c>
      <c r="I13883" t="s">
        <v>17</v>
      </c>
      <c r="J13883" t="s">
        <v>524</v>
      </c>
      <c r="K13883" t="s">
        <v>33</v>
      </c>
      <c r="L13883" t="s">
        <v>20</v>
      </c>
      <c r="N13883" t="s">
        <v>29</v>
      </c>
    </row>
    <row r="13884" spans="1:14">
      <c r="A13884" s="4" t="str">
        <f t="shared" si="1142"/>
        <v>EXP00414</v>
      </c>
      <c r="B13884" s="3" t="s">
        <v>66</v>
      </c>
      <c r="C13884" s="4" t="str">
        <f t="shared" si="1143"/>
        <v>TCGA-BRCA</v>
      </c>
      <c r="D13884" s="1" t="s">
        <v>493</v>
      </c>
      <c r="E13884" t="s">
        <v>532</v>
      </c>
      <c r="F13884" s="1">
        <v>2</v>
      </c>
      <c r="G13884" s="1" t="s">
        <v>32</v>
      </c>
      <c r="H13884" s="4" t="str">
        <f>HYPERLINK("https://portal.gdc.cancer.gov/cases/67526f5a-3a30-45b2-aeab-2b21a855063e","TCGA-AR-A24W-01A")</f>
        <v>TCGA-AR-A24W-01A</v>
      </c>
      <c r="I13884" t="s">
        <v>17</v>
      </c>
      <c r="J13884" t="s">
        <v>524</v>
      </c>
      <c r="K13884" t="s">
        <v>33</v>
      </c>
      <c r="L13884" t="s">
        <v>20</v>
      </c>
      <c r="N13884" t="s">
        <v>29</v>
      </c>
    </row>
    <row r="13885" spans="1:14">
      <c r="A13885" s="4" t="str">
        <f t="shared" si="1142"/>
        <v>EXP00414</v>
      </c>
      <c r="B13885" s="3" t="s">
        <v>66</v>
      </c>
      <c r="C13885" s="4" t="str">
        <f t="shared" si="1143"/>
        <v>TCGA-BRCA</v>
      </c>
      <c r="D13885" s="1" t="s">
        <v>493</v>
      </c>
      <c r="E13885" t="s">
        <v>532</v>
      </c>
      <c r="F13885" s="1">
        <v>2</v>
      </c>
      <c r="G13885" s="1" t="s">
        <v>32</v>
      </c>
      <c r="H13885" s="4" t="str">
        <f>HYPERLINK("https://portal.gdc.cancer.gov/cases/491d5ebb-e9ab-4b17-acb8-630ff9fef0f2","TCGA-AR-A24X-01A")</f>
        <v>TCGA-AR-A24X-01A</v>
      </c>
      <c r="I13885" t="s">
        <v>17</v>
      </c>
      <c r="J13885" t="s">
        <v>524</v>
      </c>
      <c r="K13885" t="s">
        <v>33</v>
      </c>
      <c r="L13885" t="s">
        <v>20</v>
      </c>
      <c r="N13885" t="s">
        <v>29</v>
      </c>
    </row>
    <row r="13886" spans="1:14">
      <c r="A13886" s="4" t="str">
        <f t="shared" si="1142"/>
        <v>EXP00414</v>
      </c>
      <c r="B13886" s="3" t="s">
        <v>66</v>
      </c>
      <c r="C13886" s="4" t="str">
        <f t="shared" si="1143"/>
        <v>TCGA-BRCA</v>
      </c>
      <c r="D13886" s="1" t="s">
        <v>493</v>
      </c>
      <c r="E13886" t="s">
        <v>532</v>
      </c>
      <c r="F13886" s="1">
        <v>2</v>
      </c>
      <c r="G13886" s="1" t="s">
        <v>32</v>
      </c>
      <c r="H13886" s="4" t="str">
        <f>HYPERLINK("https://portal.gdc.cancer.gov/cases/9fefbe7c-f66a-4940-843e-285cb7b392c1","TCGA-AR-A24Z-01A")</f>
        <v>TCGA-AR-A24Z-01A</v>
      </c>
      <c r="I13886" t="s">
        <v>17</v>
      </c>
      <c r="J13886" t="s">
        <v>524</v>
      </c>
      <c r="K13886" t="s">
        <v>33</v>
      </c>
      <c r="L13886" t="s">
        <v>20</v>
      </c>
      <c r="N13886" t="s">
        <v>29</v>
      </c>
    </row>
    <row r="13887" spans="1:14">
      <c r="A13887" s="4" t="str">
        <f t="shared" si="1142"/>
        <v>EXP00414</v>
      </c>
      <c r="B13887" s="3" t="s">
        <v>66</v>
      </c>
      <c r="C13887" s="4" t="str">
        <f t="shared" si="1143"/>
        <v>TCGA-BRCA</v>
      </c>
      <c r="D13887" s="1" t="s">
        <v>493</v>
      </c>
      <c r="E13887" t="s">
        <v>532</v>
      </c>
      <c r="F13887" s="1">
        <v>2</v>
      </c>
      <c r="G13887" s="1" t="s">
        <v>32</v>
      </c>
      <c r="H13887" s="4" t="str">
        <f>HYPERLINK("https://portal.gdc.cancer.gov/cases/a0963e93-b63e-4de2-86c1-81302e271d3e","TCGA-AR-A250-01A")</f>
        <v>TCGA-AR-A250-01A</v>
      </c>
      <c r="I13887" t="s">
        <v>17</v>
      </c>
      <c r="J13887" t="s">
        <v>524</v>
      </c>
      <c r="K13887" t="s">
        <v>33</v>
      </c>
      <c r="L13887" t="s">
        <v>20</v>
      </c>
      <c r="N13887" t="s">
        <v>29</v>
      </c>
    </row>
    <row r="13888" spans="1:14">
      <c r="A13888" s="4" t="str">
        <f t="shared" si="1142"/>
        <v>EXP00414</v>
      </c>
      <c r="B13888" s="3" t="s">
        <v>66</v>
      </c>
      <c r="C13888" s="4" t="str">
        <f t="shared" si="1143"/>
        <v>TCGA-BRCA</v>
      </c>
      <c r="D13888" s="1" t="s">
        <v>493</v>
      </c>
      <c r="E13888" t="s">
        <v>532</v>
      </c>
      <c r="F13888" s="1">
        <v>2</v>
      </c>
      <c r="G13888" s="1" t="s">
        <v>32</v>
      </c>
      <c r="H13888" s="4" t="str">
        <f>HYPERLINK("https://portal.gdc.cancer.gov/cases/8c51bbcb-7c8d-47ad-9193-70ca157c6900","TCGA-AR-A251-01A")</f>
        <v>TCGA-AR-A251-01A</v>
      </c>
      <c r="I13888" t="s">
        <v>17</v>
      </c>
      <c r="J13888" t="s">
        <v>524</v>
      </c>
      <c r="K13888" t="s">
        <v>33</v>
      </c>
      <c r="L13888" t="s">
        <v>20</v>
      </c>
      <c r="N13888" t="s">
        <v>29</v>
      </c>
    </row>
    <row r="13889" spans="1:14">
      <c r="A13889" s="4" t="str">
        <f t="shared" si="1142"/>
        <v>EXP00414</v>
      </c>
      <c r="B13889" s="3" t="s">
        <v>66</v>
      </c>
      <c r="C13889" s="4" t="str">
        <f t="shared" si="1143"/>
        <v>TCGA-BRCA</v>
      </c>
      <c r="D13889" s="1" t="s">
        <v>493</v>
      </c>
      <c r="E13889" t="s">
        <v>532</v>
      </c>
      <c r="F13889" s="1">
        <v>2</v>
      </c>
      <c r="G13889" s="1" t="s">
        <v>32</v>
      </c>
      <c r="H13889" s="4" t="str">
        <f>HYPERLINK("https://portal.gdc.cancer.gov/cases/4d0fec97-e024-4608-a0cc-426a3decc7b1","TCGA-AR-A252-01A")</f>
        <v>TCGA-AR-A252-01A</v>
      </c>
      <c r="I13889" t="s">
        <v>17</v>
      </c>
      <c r="J13889" t="s">
        <v>524</v>
      </c>
      <c r="K13889" t="s">
        <v>33</v>
      </c>
      <c r="L13889" t="s">
        <v>20</v>
      </c>
      <c r="N13889" t="s">
        <v>29</v>
      </c>
    </row>
    <row r="13890" spans="1:14">
      <c r="A13890" s="4" t="str">
        <f t="shared" si="1142"/>
        <v>EXP00414</v>
      </c>
      <c r="B13890" s="3" t="s">
        <v>66</v>
      </c>
      <c r="C13890" s="4" t="str">
        <f t="shared" si="1143"/>
        <v>TCGA-BRCA</v>
      </c>
      <c r="D13890" s="1" t="s">
        <v>493</v>
      </c>
      <c r="E13890" t="s">
        <v>532</v>
      </c>
      <c r="F13890" s="1">
        <v>2</v>
      </c>
      <c r="G13890" s="1" t="s">
        <v>32</v>
      </c>
      <c r="H13890" s="4" t="str">
        <f>HYPERLINK("https://portal.gdc.cancer.gov/cases/6014a582-d22e-46e1-9000-c8e2fbad7acf","TCGA-AR-A254-01A")</f>
        <v>TCGA-AR-A254-01A</v>
      </c>
      <c r="I13890" t="s">
        <v>17</v>
      </c>
      <c r="J13890" t="s">
        <v>524</v>
      </c>
      <c r="K13890" t="s">
        <v>33</v>
      </c>
      <c r="L13890" t="s">
        <v>20</v>
      </c>
      <c r="N13890" t="s">
        <v>29</v>
      </c>
    </row>
    <row r="13891" spans="1:14">
      <c r="A13891" s="4" t="str">
        <f t="shared" ref="A13891:A13954" si="1144">HYPERLINK("http://hcmdb.i-sanger.com/experiment/details/experiment_id/EXP00414","EXP00414")</f>
        <v>EXP00414</v>
      </c>
      <c r="B13891" s="3" t="s">
        <v>66</v>
      </c>
      <c r="C13891" s="4" t="str">
        <f t="shared" si="1143"/>
        <v>TCGA-BRCA</v>
      </c>
      <c r="D13891" s="1" t="s">
        <v>493</v>
      </c>
      <c r="E13891" t="s">
        <v>532</v>
      </c>
      <c r="F13891" s="1">
        <v>2</v>
      </c>
      <c r="G13891" s="1" t="s">
        <v>32</v>
      </c>
      <c r="H13891" s="4" t="str">
        <f>HYPERLINK("https://portal.gdc.cancer.gov/cases/e8f3cc64-5e15-4f4d-b73e-5c9b250a664c","TCGA-AR-A255-01A")</f>
        <v>TCGA-AR-A255-01A</v>
      </c>
      <c r="I13891" t="s">
        <v>17</v>
      </c>
      <c r="J13891" t="s">
        <v>524</v>
      </c>
      <c r="K13891" t="s">
        <v>33</v>
      </c>
      <c r="L13891" t="s">
        <v>20</v>
      </c>
      <c r="N13891" t="s">
        <v>29</v>
      </c>
    </row>
    <row r="13892" spans="1:14">
      <c r="A13892" s="4" t="str">
        <f t="shared" si="1144"/>
        <v>EXP00414</v>
      </c>
      <c r="B13892" s="3" t="s">
        <v>66</v>
      </c>
      <c r="C13892" s="4" t="str">
        <f t="shared" si="1143"/>
        <v>TCGA-BRCA</v>
      </c>
      <c r="D13892" s="1" t="s">
        <v>493</v>
      </c>
      <c r="E13892" t="s">
        <v>532</v>
      </c>
      <c r="F13892" s="1">
        <v>2</v>
      </c>
      <c r="G13892" s="1" t="s">
        <v>32</v>
      </c>
      <c r="H13892" s="4" t="str">
        <f>HYPERLINK("https://portal.gdc.cancer.gov/cases/d3d545b3-457f-4389-821f-704cb24aff7f","TCGA-AR-A256-01A")</f>
        <v>TCGA-AR-A256-01A</v>
      </c>
      <c r="I13892" t="s">
        <v>17</v>
      </c>
      <c r="J13892" t="s">
        <v>524</v>
      </c>
      <c r="K13892" t="s">
        <v>33</v>
      </c>
      <c r="L13892" t="s">
        <v>20</v>
      </c>
      <c r="N13892" t="s">
        <v>29</v>
      </c>
    </row>
    <row r="13893" spans="1:14">
      <c r="A13893" s="4" t="str">
        <f t="shared" si="1144"/>
        <v>EXP00414</v>
      </c>
      <c r="B13893" s="3" t="s">
        <v>66</v>
      </c>
      <c r="C13893" s="4" t="str">
        <f t="shared" si="1143"/>
        <v>TCGA-BRCA</v>
      </c>
      <c r="D13893" s="1" t="s">
        <v>493</v>
      </c>
      <c r="E13893" t="s">
        <v>532</v>
      </c>
      <c r="F13893" s="1">
        <v>2</v>
      </c>
      <c r="G13893" s="1" t="s">
        <v>32</v>
      </c>
      <c r="H13893" s="4" t="str">
        <f>HYPERLINK("https://portal.gdc.cancer.gov/cases/e3fcbf94-d3ef-4a37-aa45-5297f96af9eb","TCGA-AR-A2LE-01A")</f>
        <v>TCGA-AR-A2LE-01A</v>
      </c>
      <c r="I13893" t="s">
        <v>17</v>
      </c>
      <c r="J13893" t="s">
        <v>524</v>
      </c>
      <c r="K13893" t="s">
        <v>33</v>
      </c>
      <c r="L13893" t="s">
        <v>20</v>
      </c>
      <c r="N13893" t="s">
        <v>29</v>
      </c>
    </row>
    <row r="13894" spans="1:14">
      <c r="A13894" s="4" t="str">
        <f t="shared" si="1144"/>
        <v>EXP00414</v>
      </c>
      <c r="B13894" s="3" t="s">
        <v>66</v>
      </c>
      <c r="C13894" s="4" t="str">
        <f t="shared" si="1143"/>
        <v>TCGA-BRCA</v>
      </c>
      <c r="D13894" s="1" t="s">
        <v>493</v>
      </c>
      <c r="E13894" t="s">
        <v>532</v>
      </c>
      <c r="F13894" s="1">
        <v>2</v>
      </c>
      <c r="G13894" s="1" t="s">
        <v>32</v>
      </c>
      <c r="H13894" s="4" t="str">
        <f>HYPERLINK("https://portal.gdc.cancer.gov/cases/376ffe63-efd7-42af-90e1-261255b28bb7","TCGA-AR-A2LH-01A")</f>
        <v>TCGA-AR-A2LH-01A</v>
      </c>
      <c r="I13894" t="s">
        <v>17</v>
      </c>
      <c r="J13894" t="s">
        <v>524</v>
      </c>
      <c r="K13894" t="s">
        <v>33</v>
      </c>
      <c r="L13894" t="s">
        <v>20</v>
      </c>
      <c r="N13894" t="s">
        <v>29</v>
      </c>
    </row>
    <row r="13895" spans="1:14">
      <c r="A13895" s="4" t="str">
        <f t="shared" si="1144"/>
        <v>EXP00414</v>
      </c>
      <c r="B13895" s="3" t="s">
        <v>66</v>
      </c>
      <c r="C13895" s="4" t="str">
        <f t="shared" si="1143"/>
        <v>TCGA-BRCA</v>
      </c>
      <c r="D13895" s="1" t="s">
        <v>493</v>
      </c>
      <c r="E13895" t="s">
        <v>532</v>
      </c>
      <c r="F13895" s="1">
        <v>2</v>
      </c>
      <c r="G13895" s="1" t="s">
        <v>32</v>
      </c>
      <c r="H13895" s="4" t="str">
        <f>HYPERLINK("https://portal.gdc.cancer.gov/cases/738e1acc-1f0c-4a96-9c8a-222727ef5af8","TCGA-AR-A2LJ-01A")</f>
        <v>TCGA-AR-A2LJ-01A</v>
      </c>
      <c r="I13895" t="s">
        <v>17</v>
      </c>
      <c r="J13895" t="s">
        <v>524</v>
      </c>
      <c r="K13895" t="s">
        <v>33</v>
      </c>
      <c r="L13895" t="s">
        <v>20</v>
      </c>
      <c r="N13895" t="s">
        <v>29</v>
      </c>
    </row>
    <row r="13896" spans="1:14">
      <c r="A13896" s="4" t="str">
        <f t="shared" si="1144"/>
        <v>EXP00414</v>
      </c>
      <c r="B13896" s="3" t="s">
        <v>66</v>
      </c>
      <c r="C13896" s="4" t="str">
        <f t="shared" si="1143"/>
        <v>TCGA-BRCA</v>
      </c>
      <c r="D13896" s="1" t="s">
        <v>493</v>
      </c>
      <c r="E13896" t="s">
        <v>532</v>
      </c>
      <c r="F13896" s="1">
        <v>2</v>
      </c>
      <c r="G13896" s="1" t="s">
        <v>32</v>
      </c>
      <c r="H13896" s="4" t="str">
        <f>HYPERLINK("https://portal.gdc.cancer.gov/cases/1b703058-e596-45bc-80fe-8b98d545c2e2","TCGA-AR-A2LK-01A")</f>
        <v>TCGA-AR-A2LK-01A</v>
      </c>
      <c r="I13896" t="s">
        <v>17</v>
      </c>
      <c r="J13896" t="s">
        <v>524</v>
      </c>
      <c r="K13896" t="s">
        <v>33</v>
      </c>
      <c r="L13896" t="s">
        <v>20</v>
      </c>
      <c r="N13896" t="s">
        <v>29</v>
      </c>
    </row>
    <row r="13897" spans="1:14">
      <c r="A13897" s="4" t="str">
        <f t="shared" si="1144"/>
        <v>EXP00414</v>
      </c>
      <c r="B13897" s="3" t="s">
        <v>66</v>
      </c>
      <c r="C13897" s="4" t="str">
        <f t="shared" si="1143"/>
        <v>TCGA-BRCA</v>
      </c>
      <c r="D13897" s="1" t="s">
        <v>493</v>
      </c>
      <c r="E13897" t="s">
        <v>532</v>
      </c>
      <c r="F13897" s="1">
        <v>2</v>
      </c>
      <c r="G13897" s="1" t="s">
        <v>32</v>
      </c>
      <c r="H13897" s="4" t="str">
        <f>HYPERLINK("https://portal.gdc.cancer.gov/cases/70fc011c-0f22-4026-9d72-87351126203a","TCGA-AR-A2LL-01A")</f>
        <v>TCGA-AR-A2LL-01A</v>
      </c>
      <c r="I13897" t="s">
        <v>17</v>
      </c>
      <c r="J13897" t="s">
        <v>524</v>
      </c>
      <c r="K13897" t="s">
        <v>33</v>
      </c>
      <c r="L13897" t="s">
        <v>20</v>
      </c>
      <c r="N13897" t="s">
        <v>29</v>
      </c>
    </row>
    <row r="13898" spans="1:14">
      <c r="A13898" s="4" t="str">
        <f t="shared" si="1144"/>
        <v>EXP00414</v>
      </c>
      <c r="B13898" s="3" t="s">
        <v>66</v>
      </c>
      <c r="C13898" s="4" t="str">
        <f t="shared" si="1143"/>
        <v>TCGA-BRCA</v>
      </c>
      <c r="D13898" s="1" t="s">
        <v>493</v>
      </c>
      <c r="E13898" t="s">
        <v>532</v>
      </c>
      <c r="F13898" s="1">
        <v>2</v>
      </c>
      <c r="G13898" s="1" t="s">
        <v>32</v>
      </c>
      <c r="H13898" s="4" t="str">
        <f>HYPERLINK("https://portal.gdc.cancer.gov/cases/0bf6e772-1aa1-4f54-9a50-c1414e2f22f3","TCGA-AR-A2LM-01A")</f>
        <v>TCGA-AR-A2LM-01A</v>
      </c>
      <c r="I13898" t="s">
        <v>17</v>
      </c>
      <c r="J13898" t="s">
        <v>524</v>
      </c>
      <c r="K13898" t="s">
        <v>33</v>
      </c>
      <c r="L13898" t="s">
        <v>20</v>
      </c>
      <c r="N13898" t="s">
        <v>29</v>
      </c>
    </row>
    <row r="13899" spans="1:14">
      <c r="A13899" s="4" t="str">
        <f t="shared" si="1144"/>
        <v>EXP00414</v>
      </c>
      <c r="B13899" s="3" t="s">
        <v>66</v>
      </c>
      <c r="C13899" s="4" t="str">
        <f t="shared" si="1143"/>
        <v>TCGA-BRCA</v>
      </c>
      <c r="D13899" s="1" t="s">
        <v>493</v>
      </c>
      <c r="E13899" t="s">
        <v>532</v>
      </c>
      <c r="F13899" s="1">
        <v>2</v>
      </c>
      <c r="G13899" s="1" t="s">
        <v>32</v>
      </c>
      <c r="H13899" s="4" t="str">
        <f>HYPERLINK("https://portal.gdc.cancer.gov/cases/a076f135-be82-40fa-8516-285ed355c965","TCGA-AR-A2LN-01A")</f>
        <v>TCGA-AR-A2LN-01A</v>
      </c>
      <c r="I13899" t="s">
        <v>17</v>
      </c>
      <c r="J13899" t="s">
        <v>524</v>
      </c>
      <c r="K13899" t="s">
        <v>33</v>
      </c>
      <c r="L13899" t="s">
        <v>20</v>
      </c>
      <c r="N13899" t="s">
        <v>29</v>
      </c>
    </row>
    <row r="13900" spans="1:14">
      <c r="A13900" s="4" t="str">
        <f t="shared" si="1144"/>
        <v>EXP00414</v>
      </c>
      <c r="B13900" s="3" t="s">
        <v>66</v>
      </c>
      <c r="C13900" s="4" t="str">
        <f t="shared" si="1143"/>
        <v>TCGA-BRCA</v>
      </c>
      <c r="D13900" s="1" t="s">
        <v>493</v>
      </c>
      <c r="E13900" t="s">
        <v>532</v>
      </c>
      <c r="F13900" s="1">
        <v>2</v>
      </c>
      <c r="G13900" s="1" t="s">
        <v>32</v>
      </c>
      <c r="H13900" s="4" t="str">
        <f>HYPERLINK("https://portal.gdc.cancer.gov/cases/ad0fa961-c085-4f38-b3db-5fc0cbf6b64f","TCGA-AR-A2LO-01A")</f>
        <v>TCGA-AR-A2LO-01A</v>
      </c>
      <c r="I13900" t="s">
        <v>17</v>
      </c>
      <c r="J13900" t="s">
        <v>524</v>
      </c>
      <c r="K13900" t="s">
        <v>33</v>
      </c>
      <c r="L13900" t="s">
        <v>20</v>
      </c>
      <c r="N13900" t="s">
        <v>29</v>
      </c>
    </row>
    <row r="13901" spans="1:14">
      <c r="A13901" s="4" t="str">
        <f t="shared" si="1144"/>
        <v>EXP00414</v>
      </c>
      <c r="B13901" s="3" t="s">
        <v>66</v>
      </c>
      <c r="C13901" s="4" t="str">
        <f t="shared" si="1143"/>
        <v>TCGA-BRCA</v>
      </c>
      <c r="D13901" s="1" t="s">
        <v>493</v>
      </c>
      <c r="E13901" t="s">
        <v>532</v>
      </c>
      <c r="F13901" s="1">
        <v>2</v>
      </c>
      <c r="G13901" s="1" t="s">
        <v>32</v>
      </c>
      <c r="H13901" s="4" t="str">
        <f>HYPERLINK("https://portal.gdc.cancer.gov/cases/4229e432-6ac5-49d2-b58a-e8713ddb79bd","TCGA-AR-A2LQ-01A")</f>
        <v>TCGA-AR-A2LQ-01A</v>
      </c>
      <c r="I13901" t="s">
        <v>17</v>
      </c>
      <c r="J13901" t="s">
        <v>524</v>
      </c>
      <c r="K13901" t="s">
        <v>33</v>
      </c>
      <c r="L13901" t="s">
        <v>20</v>
      </c>
      <c r="N13901" t="s">
        <v>29</v>
      </c>
    </row>
    <row r="13902" spans="1:14">
      <c r="A13902" s="4" t="str">
        <f t="shared" si="1144"/>
        <v>EXP00414</v>
      </c>
      <c r="B13902" s="3" t="s">
        <v>66</v>
      </c>
      <c r="C13902" s="4" t="str">
        <f t="shared" si="1143"/>
        <v>TCGA-BRCA</v>
      </c>
      <c r="D13902" s="1" t="s">
        <v>493</v>
      </c>
      <c r="E13902" t="s">
        <v>532</v>
      </c>
      <c r="F13902" s="1">
        <v>2</v>
      </c>
      <c r="G13902" s="1" t="s">
        <v>32</v>
      </c>
      <c r="H13902" s="4" t="str">
        <f>HYPERLINK("https://portal.gdc.cancer.gov/cases/d093173f-08ab-4138-bf3c-399c45a6e163","TCGA-AR-A2LR-01A")</f>
        <v>TCGA-AR-A2LR-01A</v>
      </c>
      <c r="I13902" t="s">
        <v>17</v>
      </c>
      <c r="J13902" t="s">
        <v>524</v>
      </c>
      <c r="K13902" t="s">
        <v>33</v>
      </c>
      <c r="L13902" t="s">
        <v>20</v>
      </c>
      <c r="N13902" t="s">
        <v>29</v>
      </c>
    </row>
    <row r="13903" spans="1:14">
      <c r="A13903" s="4" t="str">
        <f t="shared" si="1144"/>
        <v>EXP00414</v>
      </c>
      <c r="B13903" s="3" t="s">
        <v>66</v>
      </c>
      <c r="C13903" s="4" t="str">
        <f t="shared" si="1143"/>
        <v>TCGA-BRCA</v>
      </c>
      <c r="D13903" s="1" t="s">
        <v>493</v>
      </c>
      <c r="E13903" t="s">
        <v>532</v>
      </c>
      <c r="F13903" s="1">
        <v>2</v>
      </c>
      <c r="G13903" s="1" t="s">
        <v>32</v>
      </c>
      <c r="H13903" s="4" t="str">
        <f>HYPERLINK("https://portal.gdc.cancer.gov/cases/9c895825-d6f6-4d14-a662-23212200f6e5","TCGA-AR-A5QM-01A")</f>
        <v>TCGA-AR-A5QM-01A</v>
      </c>
      <c r="I13903" t="s">
        <v>17</v>
      </c>
      <c r="J13903" t="s">
        <v>524</v>
      </c>
      <c r="K13903" t="s">
        <v>33</v>
      </c>
      <c r="L13903" t="s">
        <v>20</v>
      </c>
      <c r="N13903" t="s">
        <v>29</v>
      </c>
    </row>
    <row r="13904" spans="1:14">
      <c r="A13904" s="4" t="str">
        <f t="shared" si="1144"/>
        <v>EXP00414</v>
      </c>
      <c r="B13904" s="3" t="s">
        <v>66</v>
      </c>
      <c r="C13904" s="4" t="str">
        <f t="shared" si="1143"/>
        <v>TCGA-BRCA</v>
      </c>
      <c r="D13904" s="1" t="s">
        <v>493</v>
      </c>
      <c r="E13904" t="s">
        <v>532</v>
      </c>
      <c r="F13904" s="1">
        <v>2</v>
      </c>
      <c r="G13904" s="1" t="s">
        <v>32</v>
      </c>
      <c r="H13904" s="4" t="str">
        <f>HYPERLINK("https://portal.gdc.cancer.gov/cases/077506ea-8f11-405d-bb8e-3c9924fe54d0","TCGA-AR-A5QN-01A")</f>
        <v>TCGA-AR-A5QN-01A</v>
      </c>
      <c r="I13904" t="s">
        <v>17</v>
      </c>
      <c r="J13904" t="s">
        <v>524</v>
      </c>
      <c r="K13904" t="s">
        <v>33</v>
      </c>
      <c r="L13904" t="s">
        <v>20</v>
      </c>
      <c r="N13904" t="s">
        <v>29</v>
      </c>
    </row>
    <row r="13905" spans="1:14">
      <c r="A13905" s="4" t="str">
        <f t="shared" si="1144"/>
        <v>EXP00414</v>
      </c>
      <c r="B13905" s="3" t="s">
        <v>66</v>
      </c>
      <c r="C13905" s="4" t="str">
        <f t="shared" si="1143"/>
        <v>TCGA-BRCA</v>
      </c>
      <c r="D13905" s="1" t="s">
        <v>493</v>
      </c>
      <c r="E13905" t="s">
        <v>532</v>
      </c>
      <c r="F13905" s="1">
        <v>2</v>
      </c>
      <c r="G13905" s="1" t="s">
        <v>32</v>
      </c>
      <c r="H13905" s="4" t="str">
        <f>HYPERLINK("https://portal.gdc.cancer.gov/cases/3c275152-d04b-440c-9621-2fc05ea977b6","TCGA-AR-A5QP-01A")</f>
        <v>TCGA-AR-A5QP-01A</v>
      </c>
      <c r="I13905" t="s">
        <v>17</v>
      </c>
      <c r="J13905" t="s">
        <v>524</v>
      </c>
      <c r="K13905" t="s">
        <v>33</v>
      </c>
      <c r="L13905" t="s">
        <v>20</v>
      </c>
      <c r="N13905" t="s">
        <v>29</v>
      </c>
    </row>
    <row r="13906" spans="1:14">
      <c r="A13906" s="4" t="str">
        <f t="shared" si="1144"/>
        <v>EXP00414</v>
      </c>
      <c r="B13906" s="3" t="s">
        <v>66</v>
      </c>
      <c r="C13906" s="4" t="str">
        <f t="shared" si="1143"/>
        <v>TCGA-BRCA</v>
      </c>
      <c r="D13906" s="1" t="s">
        <v>493</v>
      </c>
      <c r="E13906" t="s">
        <v>532</v>
      </c>
      <c r="F13906" s="1">
        <v>2</v>
      </c>
      <c r="G13906" s="1" t="s">
        <v>32</v>
      </c>
      <c r="H13906" s="4" t="str">
        <f>HYPERLINK("https://portal.gdc.cancer.gov/cases/5dd423e8-feaa-4568-a750-500948c41d6c","TCGA-B6-A0I1-01A")</f>
        <v>TCGA-B6-A0I1-01A</v>
      </c>
      <c r="I13906" t="s">
        <v>17</v>
      </c>
      <c r="J13906" t="s">
        <v>524</v>
      </c>
      <c r="K13906" t="s">
        <v>33</v>
      </c>
      <c r="L13906" t="s">
        <v>20</v>
      </c>
      <c r="N13906" t="s">
        <v>29</v>
      </c>
    </row>
    <row r="13907" spans="1:14">
      <c r="A13907" s="4" t="str">
        <f t="shared" si="1144"/>
        <v>EXP00414</v>
      </c>
      <c r="B13907" s="3" t="s">
        <v>66</v>
      </c>
      <c r="C13907" s="4" t="str">
        <f t="shared" si="1143"/>
        <v>TCGA-BRCA</v>
      </c>
      <c r="D13907" s="1" t="s">
        <v>493</v>
      </c>
      <c r="E13907" t="s">
        <v>532</v>
      </c>
      <c r="F13907" s="1">
        <v>2</v>
      </c>
      <c r="G13907" s="1" t="s">
        <v>32</v>
      </c>
      <c r="H13907" s="4" t="str">
        <f>HYPERLINK("https://portal.gdc.cancer.gov/cases/328dfcb0-b5ae-43f2-bc87-dad0ab3df9e7","TCGA-B6-A0I2-01A")</f>
        <v>TCGA-B6-A0I2-01A</v>
      </c>
      <c r="I13907" t="s">
        <v>17</v>
      </c>
      <c r="J13907" t="s">
        <v>524</v>
      </c>
      <c r="K13907" t="s">
        <v>33</v>
      </c>
      <c r="L13907" t="s">
        <v>20</v>
      </c>
      <c r="N13907" t="s">
        <v>29</v>
      </c>
    </row>
    <row r="13908" spans="1:14">
      <c r="A13908" s="4" t="str">
        <f t="shared" si="1144"/>
        <v>EXP00414</v>
      </c>
      <c r="B13908" s="3" t="s">
        <v>66</v>
      </c>
      <c r="C13908" s="4" t="str">
        <f t="shared" si="1143"/>
        <v>TCGA-BRCA</v>
      </c>
      <c r="D13908" s="1" t="s">
        <v>493</v>
      </c>
      <c r="E13908" t="s">
        <v>532</v>
      </c>
      <c r="F13908" s="1">
        <v>2</v>
      </c>
      <c r="G13908" s="1" t="s">
        <v>32</v>
      </c>
      <c r="H13908" s="4" t="str">
        <f>HYPERLINK("https://portal.gdc.cancer.gov/cases/1a18974d-967c-4727-b42e-12ae7be66589","TCGA-B6-A0I5-01A")</f>
        <v>TCGA-B6-A0I5-01A</v>
      </c>
      <c r="I13908" t="s">
        <v>17</v>
      </c>
      <c r="J13908" t="s">
        <v>524</v>
      </c>
      <c r="K13908" t="s">
        <v>33</v>
      </c>
      <c r="L13908" t="s">
        <v>20</v>
      </c>
      <c r="N13908" t="s">
        <v>29</v>
      </c>
    </row>
    <row r="13909" spans="1:14">
      <c r="A13909" s="4" t="str">
        <f t="shared" si="1144"/>
        <v>EXP00414</v>
      </c>
      <c r="B13909" s="3" t="s">
        <v>66</v>
      </c>
      <c r="C13909" s="4" t="str">
        <f t="shared" si="1143"/>
        <v>TCGA-BRCA</v>
      </c>
      <c r="D13909" s="1" t="s">
        <v>493</v>
      </c>
      <c r="E13909" t="s">
        <v>532</v>
      </c>
      <c r="F13909" s="1">
        <v>2</v>
      </c>
      <c r="G13909" s="1" t="s">
        <v>32</v>
      </c>
      <c r="H13909" s="4" t="str">
        <f>HYPERLINK("https://portal.gdc.cancer.gov/cases/045c13ef-3db7-4adf-b0a3-23338f0479f3","TCGA-B6-A0I6-01A")</f>
        <v>TCGA-B6-A0I6-01A</v>
      </c>
      <c r="I13909" t="s">
        <v>17</v>
      </c>
      <c r="J13909" t="s">
        <v>524</v>
      </c>
      <c r="K13909" t="s">
        <v>33</v>
      </c>
      <c r="L13909" t="s">
        <v>20</v>
      </c>
      <c r="N13909" t="s">
        <v>29</v>
      </c>
    </row>
    <row r="13910" spans="1:14">
      <c r="A13910" s="4" t="str">
        <f t="shared" si="1144"/>
        <v>EXP00414</v>
      </c>
      <c r="B13910" s="3" t="s">
        <v>66</v>
      </c>
      <c r="C13910" s="4" t="str">
        <f t="shared" si="1143"/>
        <v>TCGA-BRCA</v>
      </c>
      <c r="D13910" s="1" t="s">
        <v>493</v>
      </c>
      <c r="E13910" t="s">
        <v>532</v>
      </c>
      <c r="F13910" s="1">
        <v>2</v>
      </c>
      <c r="G13910" s="1" t="s">
        <v>32</v>
      </c>
      <c r="H13910" s="4" t="str">
        <f>HYPERLINK("https://portal.gdc.cancer.gov/cases/6e6408d6-6c48-4dfc-9f1c-28b7386e87b4","TCGA-B6-A0I8-01A")</f>
        <v>TCGA-B6-A0I8-01A</v>
      </c>
      <c r="I13910" t="s">
        <v>17</v>
      </c>
      <c r="J13910" t="s">
        <v>524</v>
      </c>
      <c r="K13910" t="s">
        <v>33</v>
      </c>
      <c r="L13910" t="s">
        <v>20</v>
      </c>
      <c r="N13910" t="s">
        <v>29</v>
      </c>
    </row>
    <row r="13911" spans="1:14">
      <c r="A13911" s="4" t="str">
        <f t="shared" si="1144"/>
        <v>EXP00414</v>
      </c>
      <c r="B13911" s="3" t="s">
        <v>66</v>
      </c>
      <c r="C13911" s="4" t="str">
        <f t="shared" si="1143"/>
        <v>TCGA-BRCA</v>
      </c>
      <c r="D13911" s="1" t="s">
        <v>493</v>
      </c>
      <c r="E13911" t="s">
        <v>532</v>
      </c>
      <c r="F13911" s="1">
        <v>2</v>
      </c>
      <c r="G13911" s="1" t="s">
        <v>32</v>
      </c>
      <c r="H13911" s="4" t="str">
        <f>HYPERLINK("https://portal.gdc.cancer.gov/cases/44954053-0b93-4577-a436-42777e442300","TCGA-B6-A0I9-01A")</f>
        <v>TCGA-B6-A0I9-01A</v>
      </c>
      <c r="I13911" t="s">
        <v>17</v>
      </c>
      <c r="J13911" t="s">
        <v>524</v>
      </c>
      <c r="K13911" t="s">
        <v>33</v>
      </c>
      <c r="L13911" t="s">
        <v>20</v>
      </c>
      <c r="N13911" t="s">
        <v>29</v>
      </c>
    </row>
    <row r="13912" spans="1:14">
      <c r="A13912" s="4" t="str">
        <f t="shared" si="1144"/>
        <v>EXP00414</v>
      </c>
      <c r="B13912" s="3" t="s">
        <v>66</v>
      </c>
      <c r="C13912" s="4" t="str">
        <f t="shared" si="1143"/>
        <v>TCGA-BRCA</v>
      </c>
      <c r="D13912" s="1" t="s">
        <v>493</v>
      </c>
      <c r="E13912" t="s">
        <v>532</v>
      </c>
      <c r="F13912" s="1">
        <v>2</v>
      </c>
      <c r="G13912" s="1" t="s">
        <v>32</v>
      </c>
      <c r="H13912" s="4" t="str">
        <f>HYPERLINK("https://portal.gdc.cancer.gov/cases/0807435a-e75e-4e04-8e45-ed0cd49a841a","TCGA-B6-A0IA-01A")</f>
        <v>TCGA-B6-A0IA-01A</v>
      </c>
      <c r="I13912" t="s">
        <v>17</v>
      </c>
      <c r="J13912" t="s">
        <v>524</v>
      </c>
      <c r="K13912" t="s">
        <v>33</v>
      </c>
      <c r="L13912" t="s">
        <v>20</v>
      </c>
      <c r="N13912" t="s">
        <v>29</v>
      </c>
    </row>
    <row r="13913" spans="1:14">
      <c r="A13913" s="4" t="str">
        <f t="shared" si="1144"/>
        <v>EXP00414</v>
      </c>
      <c r="B13913" s="3" t="s">
        <v>66</v>
      </c>
      <c r="C13913" s="4" t="str">
        <f t="shared" si="1143"/>
        <v>TCGA-BRCA</v>
      </c>
      <c r="D13913" s="1" t="s">
        <v>493</v>
      </c>
      <c r="E13913" t="s">
        <v>532</v>
      </c>
      <c r="F13913" s="1">
        <v>2</v>
      </c>
      <c r="G13913" s="1" t="s">
        <v>32</v>
      </c>
      <c r="H13913" s="4" t="str">
        <f>HYPERLINK("https://portal.gdc.cancer.gov/cases/157ec9e0-ca6e-4da1-9233-f976cf0db433","TCGA-B6-A0IB-01A")</f>
        <v>TCGA-B6-A0IB-01A</v>
      </c>
      <c r="I13913" t="s">
        <v>17</v>
      </c>
      <c r="J13913" t="s">
        <v>524</v>
      </c>
      <c r="K13913" t="s">
        <v>33</v>
      </c>
      <c r="L13913" t="s">
        <v>20</v>
      </c>
      <c r="N13913" t="s">
        <v>29</v>
      </c>
    </row>
    <row r="13914" spans="1:14">
      <c r="A13914" s="4" t="str">
        <f t="shared" si="1144"/>
        <v>EXP00414</v>
      </c>
      <c r="B13914" s="3" t="s">
        <v>66</v>
      </c>
      <c r="C13914" s="4" t="str">
        <f t="shared" si="1143"/>
        <v>TCGA-BRCA</v>
      </c>
      <c r="D13914" s="1" t="s">
        <v>493</v>
      </c>
      <c r="E13914" t="s">
        <v>532</v>
      </c>
      <c r="F13914" s="1">
        <v>2</v>
      </c>
      <c r="G13914" s="1" t="s">
        <v>32</v>
      </c>
      <c r="H13914" s="4" t="str">
        <f>HYPERLINK("https://portal.gdc.cancer.gov/cases/b804f7ae-da8f-4414-be11-f880f1859160","TCGA-B6-A0IC-01A")</f>
        <v>TCGA-B6-A0IC-01A</v>
      </c>
      <c r="I13914" t="s">
        <v>17</v>
      </c>
      <c r="J13914" t="s">
        <v>524</v>
      </c>
      <c r="K13914" t="s">
        <v>33</v>
      </c>
      <c r="L13914" t="s">
        <v>20</v>
      </c>
      <c r="N13914" t="s">
        <v>29</v>
      </c>
    </row>
    <row r="13915" spans="1:14">
      <c r="A13915" s="4" t="str">
        <f t="shared" si="1144"/>
        <v>EXP00414</v>
      </c>
      <c r="B13915" s="3" t="s">
        <v>66</v>
      </c>
      <c r="C13915" s="4" t="str">
        <f t="shared" si="1143"/>
        <v>TCGA-BRCA</v>
      </c>
      <c r="D13915" s="1" t="s">
        <v>493</v>
      </c>
      <c r="E13915" t="s">
        <v>532</v>
      </c>
      <c r="F13915" s="1">
        <v>2</v>
      </c>
      <c r="G13915" s="1" t="s">
        <v>32</v>
      </c>
      <c r="H13915" s="4" t="str">
        <f>HYPERLINK("https://portal.gdc.cancer.gov/cases/3f834fa7-6d7b-4b85-98c0-5c55d55b6c95","TCGA-B6-A0IE-01A")</f>
        <v>TCGA-B6-A0IE-01A</v>
      </c>
      <c r="I13915" t="s">
        <v>17</v>
      </c>
      <c r="J13915" t="s">
        <v>524</v>
      </c>
      <c r="K13915" t="s">
        <v>33</v>
      </c>
      <c r="L13915" t="s">
        <v>20</v>
      </c>
      <c r="N13915" t="s">
        <v>29</v>
      </c>
    </row>
    <row r="13916" spans="1:14">
      <c r="A13916" s="4" t="str">
        <f t="shared" si="1144"/>
        <v>EXP00414</v>
      </c>
      <c r="B13916" s="3" t="s">
        <v>66</v>
      </c>
      <c r="C13916" s="4" t="str">
        <f t="shared" si="1143"/>
        <v>TCGA-BRCA</v>
      </c>
      <c r="D13916" s="1" t="s">
        <v>493</v>
      </c>
      <c r="E13916" t="s">
        <v>532</v>
      </c>
      <c r="F13916" s="1">
        <v>2</v>
      </c>
      <c r="G13916" s="1" t="s">
        <v>32</v>
      </c>
      <c r="H13916" s="4" t="str">
        <f>HYPERLINK("https://portal.gdc.cancer.gov/cases/34ab0cb8-bf19-4cbb-b4eb-3c45ee5aa60b","TCGA-B6-A0IG-01A")</f>
        <v>TCGA-B6-A0IG-01A</v>
      </c>
      <c r="I13916" t="s">
        <v>17</v>
      </c>
      <c r="J13916" t="s">
        <v>524</v>
      </c>
      <c r="K13916" t="s">
        <v>33</v>
      </c>
      <c r="L13916" t="s">
        <v>20</v>
      </c>
      <c r="N13916" t="s">
        <v>29</v>
      </c>
    </row>
    <row r="13917" spans="1:14">
      <c r="A13917" s="4" t="str">
        <f t="shared" si="1144"/>
        <v>EXP00414</v>
      </c>
      <c r="B13917" s="3" t="s">
        <v>66</v>
      </c>
      <c r="C13917" s="4" t="str">
        <f t="shared" si="1143"/>
        <v>TCGA-BRCA</v>
      </c>
      <c r="D13917" s="1" t="s">
        <v>493</v>
      </c>
      <c r="E13917" t="s">
        <v>532</v>
      </c>
      <c r="F13917" s="1">
        <v>2</v>
      </c>
      <c r="G13917" s="1" t="s">
        <v>32</v>
      </c>
      <c r="H13917" s="4" t="str">
        <f>HYPERLINK("https://portal.gdc.cancer.gov/cases/2476dda9-da2a-4242-9642-b92b8b9b1c79","TCGA-B6-A0IH-01A")</f>
        <v>TCGA-B6-A0IH-01A</v>
      </c>
      <c r="I13917" t="s">
        <v>17</v>
      </c>
      <c r="J13917" t="s">
        <v>524</v>
      </c>
      <c r="K13917" t="s">
        <v>33</v>
      </c>
      <c r="L13917" t="s">
        <v>20</v>
      </c>
      <c r="N13917" t="s">
        <v>29</v>
      </c>
    </row>
    <row r="13918" spans="1:14">
      <c r="A13918" s="4" t="str">
        <f t="shared" si="1144"/>
        <v>EXP00414</v>
      </c>
      <c r="B13918" s="3" t="s">
        <v>66</v>
      </c>
      <c r="C13918" s="4" t="str">
        <f t="shared" si="1143"/>
        <v>TCGA-BRCA</v>
      </c>
      <c r="D13918" s="1" t="s">
        <v>493</v>
      </c>
      <c r="E13918" t="s">
        <v>532</v>
      </c>
      <c r="F13918" s="1">
        <v>2</v>
      </c>
      <c r="G13918" s="1" t="s">
        <v>32</v>
      </c>
      <c r="H13918" s="4" t="str">
        <f>HYPERLINK("https://portal.gdc.cancer.gov/cases/2c86c3ea-d926-4d39-a5ae-39ece4774287","TCGA-B6-A0IJ-01A")</f>
        <v>TCGA-B6-A0IJ-01A</v>
      </c>
      <c r="I13918" t="s">
        <v>17</v>
      </c>
      <c r="J13918" t="s">
        <v>524</v>
      </c>
      <c r="K13918" t="s">
        <v>33</v>
      </c>
      <c r="L13918" t="s">
        <v>20</v>
      </c>
      <c r="N13918" t="s">
        <v>29</v>
      </c>
    </row>
    <row r="13919" spans="1:14">
      <c r="A13919" s="4" t="str">
        <f t="shared" si="1144"/>
        <v>EXP00414</v>
      </c>
      <c r="B13919" s="3" t="s">
        <v>66</v>
      </c>
      <c r="C13919" s="4" t="str">
        <f t="shared" si="1143"/>
        <v>TCGA-BRCA</v>
      </c>
      <c r="D13919" s="1" t="s">
        <v>493</v>
      </c>
      <c r="E13919" t="s">
        <v>532</v>
      </c>
      <c r="F13919" s="1">
        <v>2</v>
      </c>
      <c r="G13919" s="1" t="s">
        <v>32</v>
      </c>
      <c r="H13919" s="4" t="str">
        <f>HYPERLINK("https://portal.gdc.cancer.gov/cases/0491063c-14a7-4104-8002-1459126332f3","TCGA-B6-A0IK-01A")</f>
        <v>TCGA-B6-A0IK-01A</v>
      </c>
      <c r="I13919" t="s">
        <v>17</v>
      </c>
      <c r="J13919" t="s">
        <v>524</v>
      </c>
      <c r="K13919" t="s">
        <v>33</v>
      </c>
      <c r="L13919" t="s">
        <v>20</v>
      </c>
      <c r="N13919" t="s">
        <v>29</v>
      </c>
    </row>
    <row r="13920" spans="1:14">
      <c r="A13920" s="4" t="str">
        <f t="shared" si="1144"/>
        <v>EXP00414</v>
      </c>
      <c r="B13920" s="3" t="s">
        <v>66</v>
      </c>
      <c r="C13920" s="4" t="str">
        <f t="shared" si="1143"/>
        <v>TCGA-BRCA</v>
      </c>
      <c r="D13920" s="1" t="s">
        <v>493</v>
      </c>
      <c r="E13920" t="s">
        <v>532</v>
      </c>
      <c r="F13920" s="1">
        <v>2</v>
      </c>
      <c r="G13920" s="1" t="s">
        <v>32</v>
      </c>
      <c r="H13920" s="4" t="str">
        <f>HYPERLINK("https://portal.gdc.cancer.gov/cases/5a4b7098-1f6a-49e9-b364-29d6d34f5bd5","TCGA-B6-A0IM-01A")</f>
        <v>TCGA-B6-A0IM-01A</v>
      </c>
      <c r="I13920" t="s">
        <v>17</v>
      </c>
      <c r="J13920" t="s">
        <v>524</v>
      </c>
      <c r="K13920" t="s">
        <v>33</v>
      </c>
      <c r="L13920" t="s">
        <v>20</v>
      </c>
      <c r="N13920" t="s">
        <v>29</v>
      </c>
    </row>
    <row r="13921" spans="1:14">
      <c r="A13921" s="4" t="str">
        <f t="shared" si="1144"/>
        <v>EXP00414</v>
      </c>
      <c r="B13921" s="3" t="s">
        <v>66</v>
      </c>
      <c r="C13921" s="4" t="str">
        <f t="shared" si="1143"/>
        <v>TCGA-BRCA</v>
      </c>
      <c r="D13921" s="1" t="s">
        <v>493</v>
      </c>
      <c r="E13921" t="s">
        <v>532</v>
      </c>
      <c r="F13921" s="1">
        <v>2</v>
      </c>
      <c r="G13921" s="1" t="s">
        <v>32</v>
      </c>
      <c r="H13921" s="4" t="str">
        <f>HYPERLINK("https://portal.gdc.cancer.gov/cases/16a8d916-ad46-4690-b1a5-3b2b323f4336","TCGA-B6-A0IN-01A")</f>
        <v>TCGA-B6-A0IN-01A</v>
      </c>
      <c r="I13921" t="s">
        <v>17</v>
      </c>
      <c r="J13921" t="s">
        <v>524</v>
      </c>
      <c r="K13921" t="s">
        <v>33</v>
      </c>
      <c r="L13921" t="s">
        <v>20</v>
      </c>
      <c r="N13921" t="s">
        <v>29</v>
      </c>
    </row>
    <row r="13922" spans="1:14">
      <c r="A13922" s="4" t="str">
        <f t="shared" si="1144"/>
        <v>EXP00414</v>
      </c>
      <c r="B13922" s="3" t="s">
        <v>66</v>
      </c>
      <c r="C13922" s="4" t="str">
        <f t="shared" si="1143"/>
        <v>TCGA-BRCA</v>
      </c>
      <c r="D13922" s="1" t="s">
        <v>493</v>
      </c>
      <c r="E13922" t="s">
        <v>532</v>
      </c>
      <c r="F13922" s="1">
        <v>2</v>
      </c>
      <c r="G13922" s="1" t="s">
        <v>32</v>
      </c>
      <c r="H13922" s="4" t="str">
        <f>HYPERLINK("https://portal.gdc.cancer.gov/cases/04af44fc-c487-4005-b3cb-cb64815824a2","TCGA-B6-A0IO-01A")</f>
        <v>TCGA-B6-A0IO-01A</v>
      </c>
      <c r="I13922" t="s">
        <v>17</v>
      </c>
      <c r="J13922" t="s">
        <v>524</v>
      </c>
      <c r="K13922" t="s">
        <v>33</v>
      </c>
      <c r="L13922" t="s">
        <v>20</v>
      </c>
      <c r="N13922" t="s">
        <v>29</v>
      </c>
    </row>
    <row r="13923" spans="1:14">
      <c r="A13923" s="4" t="str">
        <f t="shared" si="1144"/>
        <v>EXP00414</v>
      </c>
      <c r="B13923" s="3" t="s">
        <v>66</v>
      </c>
      <c r="C13923" s="4" t="str">
        <f t="shared" si="1143"/>
        <v>TCGA-BRCA</v>
      </c>
      <c r="D13923" s="1" t="s">
        <v>493</v>
      </c>
      <c r="E13923" t="s">
        <v>532</v>
      </c>
      <c r="F13923" s="1">
        <v>2</v>
      </c>
      <c r="G13923" s="1" t="s">
        <v>32</v>
      </c>
      <c r="H13923" s="4" t="str">
        <f>HYPERLINK("https://portal.gdc.cancer.gov/cases/1402082d-25c9-4148-8a1e-f58450b706bb","TCGA-B6-A0IP-01A")</f>
        <v>TCGA-B6-A0IP-01A</v>
      </c>
      <c r="I13923" t="s">
        <v>17</v>
      </c>
      <c r="J13923" t="s">
        <v>524</v>
      </c>
      <c r="K13923" t="s">
        <v>33</v>
      </c>
      <c r="L13923" t="s">
        <v>20</v>
      </c>
      <c r="N13923" t="s">
        <v>29</v>
      </c>
    </row>
    <row r="13924" spans="1:14">
      <c r="A13924" s="4" t="str">
        <f t="shared" si="1144"/>
        <v>EXP00414</v>
      </c>
      <c r="B13924" s="3" t="s">
        <v>66</v>
      </c>
      <c r="C13924" s="4" t="str">
        <f t="shared" si="1143"/>
        <v>TCGA-BRCA</v>
      </c>
      <c r="D13924" s="1" t="s">
        <v>493</v>
      </c>
      <c r="E13924" t="s">
        <v>532</v>
      </c>
      <c r="F13924" s="1">
        <v>2</v>
      </c>
      <c r="G13924" s="1" t="s">
        <v>32</v>
      </c>
      <c r="H13924" s="4" t="str">
        <f>HYPERLINK("https://portal.gdc.cancer.gov/cases/01eef340-598c-4205-a990-cec190ac2ca5","TCGA-B6-A0IQ-01A")</f>
        <v>TCGA-B6-A0IQ-01A</v>
      </c>
      <c r="I13924" t="s">
        <v>17</v>
      </c>
      <c r="J13924" t="s">
        <v>524</v>
      </c>
      <c r="K13924" t="s">
        <v>33</v>
      </c>
      <c r="L13924" t="s">
        <v>20</v>
      </c>
      <c r="N13924" t="s">
        <v>29</v>
      </c>
    </row>
    <row r="13925" spans="1:14">
      <c r="A13925" s="4" t="str">
        <f t="shared" si="1144"/>
        <v>EXP00414</v>
      </c>
      <c r="B13925" s="3" t="s">
        <v>66</v>
      </c>
      <c r="C13925" s="4" t="str">
        <f t="shared" si="1143"/>
        <v>TCGA-BRCA</v>
      </c>
      <c r="D13925" s="1" t="s">
        <v>493</v>
      </c>
      <c r="E13925" t="s">
        <v>532</v>
      </c>
      <c r="F13925" s="1">
        <v>2</v>
      </c>
      <c r="G13925" s="1" t="s">
        <v>32</v>
      </c>
      <c r="H13925" s="4" t="str">
        <f>HYPERLINK("https://portal.gdc.cancer.gov/cases/08da7c4c-3067-4bcf-9d7a-78566df72e69","TCGA-B6-A0RE-01A")</f>
        <v>TCGA-B6-A0RE-01A</v>
      </c>
      <c r="I13925" t="s">
        <v>17</v>
      </c>
      <c r="J13925" t="s">
        <v>524</v>
      </c>
      <c r="K13925" t="s">
        <v>33</v>
      </c>
      <c r="L13925" t="s">
        <v>20</v>
      </c>
      <c r="N13925" t="s">
        <v>29</v>
      </c>
    </row>
    <row r="13926" spans="1:14">
      <c r="A13926" s="4" t="str">
        <f t="shared" si="1144"/>
        <v>EXP00414</v>
      </c>
      <c r="B13926" s="3" t="s">
        <v>66</v>
      </c>
      <c r="C13926" s="4" t="str">
        <f t="shared" si="1143"/>
        <v>TCGA-BRCA</v>
      </c>
      <c r="D13926" s="1" t="s">
        <v>493</v>
      </c>
      <c r="E13926" t="s">
        <v>532</v>
      </c>
      <c r="F13926" s="1">
        <v>2</v>
      </c>
      <c r="G13926" s="1" t="s">
        <v>32</v>
      </c>
      <c r="H13926" s="4" t="str">
        <f>HYPERLINK("https://portal.gdc.cancer.gov/cases/9b13927c-7357-44fd-8385-92ae6a656b7d","TCGA-B6-A0RG-01A")</f>
        <v>TCGA-B6-A0RG-01A</v>
      </c>
      <c r="I13926" t="s">
        <v>17</v>
      </c>
      <c r="J13926" t="s">
        <v>524</v>
      </c>
      <c r="K13926" t="s">
        <v>33</v>
      </c>
      <c r="L13926" t="s">
        <v>20</v>
      </c>
      <c r="N13926" t="s">
        <v>29</v>
      </c>
    </row>
    <row r="13927" spans="1:14">
      <c r="A13927" s="4" t="str">
        <f t="shared" si="1144"/>
        <v>EXP00414</v>
      </c>
      <c r="B13927" s="3" t="s">
        <v>66</v>
      </c>
      <c r="C13927" s="4" t="str">
        <f t="shared" si="1143"/>
        <v>TCGA-BRCA</v>
      </c>
      <c r="D13927" s="1" t="s">
        <v>493</v>
      </c>
      <c r="E13927" t="s">
        <v>532</v>
      </c>
      <c r="F13927" s="1">
        <v>2</v>
      </c>
      <c r="G13927" s="1" t="s">
        <v>32</v>
      </c>
      <c r="H13927" s="4" t="str">
        <f>HYPERLINK("https://portal.gdc.cancer.gov/cases/c3148e68-1739-4334-abda-1dcbc2166846","TCGA-B6-A0RH-01A")</f>
        <v>TCGA-B6-A0RH-01A</v>
      </c>
      <c r="I13927" t="s">
        <v>17</v>
      </c>
      <c r="J13927" t="s">
        <v>524</v>
      </c>
      <c r="K13927" t="s">
        <v>33</v>
      </c>
      <c r="L13927" t="s">
        <v>20</v>
      </c>
      <c r="N13927" t="s">
        <v>29</v>
      </c>
    </row>
    <row r="13928" spans="1:14">
      <c r="A13928" s="4" t="str">
        <f t="shared" si="1144"/>
        <v>EXP00414</v>
      </c>
      <c r="B13928" s="3" t="s">
        <v>66</v>
      </c>
      <c r="C13928" s="4" t="str">
        <f t="shared" si="1143"/>
        <v>TCGA-BRCA</v>
      </c>
      <c r="D13928" s="1" t="s">
        <v>493</v>
      </c>
      <c r="E13928" t="s">
        <v>532</v>
      </c>
      <c r="F13928" s="1">
        <v>2</v>
      </c>
      <c r="G13928" s="1" t="s">
        <v>32</v>
      </c>
      <c r="H13928" s="4" t="str">
        <f>HYPERLINK("https://portal.gdc.cancer.gov/cases/bfd55808-dddd-44c3-97d7-41600497b992","TCGA-B6-A0RI-01A")</f>
        <v>TCGA-B6-A0RI-01A</v>
      </c>
      <c r="I13928" t="s">
        <v>17</v>
      </c>
      <c r="J13928" t="s">
        <v>524</v>
      </c>
      <c r="K13928" t="s">
        <v>33</v>
      </c>
      <c r="L13928" t="s">
        <v>20</v>
      </c>
      <c r="N13928" t="s">
        <v>29</v>
      </c>
    </row>
    <row r="13929" spans="1:14">
      <c r="A13929" s="4" t="str">
        <f t="shared" si="1144"/>
        <v>EXP00414</v>
      </c>
      <c r="B13929" s="3" t="s">
        <v>66</v>
      </c>
      <c r="C13929" s="4" t="str">
        <f t="shared" si="1143"/>
        <v>TCGA-BRCA</v>
      </c>
      <c r="D13929" s="1" t="s">
        <v>493</v>
      </c>
      <c r="E13929" t="s">
        <v>532</v>
      </c>
      <c r="F13929" s="1">
        <v>2</v>
      </c>
      <c r="G13929" s="1" t="s">
        <v>32</v>
      </c>
      <c r="H13929" s="4" t="str">
        <f>HYPERLINK("https://portal.gdc.cancer.gov/cases/5562455d-bbb8-46eb-a510-e8c6e1e26789","TCGA-B6-A0RL-01A")</f>
        <v>TCGA-B6-A0RL-01A</v>
      </c>
      <c r="I13929" t="s">
        <v>17</v>
      </c>
      <c r="J13929" t="s">
        <v>524</v>
      </c>
      <c r="K13929" t="s">
        <v>33</v>
      </c>
      <c r="L13929" t="s">
        <v>20</v>
      </c>
      <c r="N13929" t="s">
        <v>29</v>
      </c>
    </row>
    <row r="13930" spans="1:14">
      <c r="A13930" s="4" t="str">
        <f t="shared" si="1144"/>
        <v>EXP00414</v>
      </c>
      <c r="B13930" s="3" t="s">
        <v>66</v>
      </c>
      <c r="C13930" s="4" t="str">
        <f t="shared" si="1143"/>
        <v>TCGA-BRCA</v>
      </c>
      <c r="D13930" s="1" t="s">
        <v>493</v>
      </c>
      <c r="E13930" t="s">
        <v>532</v>
      </c>
      <c r="F13930" s="1">
        <v>2</v>
      </c>
      <c r="G13930" s="1" t="s">
        <v>32</v>
      </c>
      <c r="H13930" s="4" t="str">
        <f>HYPERLINK("https://portal.gdc.cancer.gov/cases/151f3677-6854-4265-9126-d92c646c67ae","TCGA-B6-A0RM-01A")</f>
        <v>TCGA-B6-A0RM-01A</v>
      </c>
      <c r="I13930" t="s">
        <v>17</v>
      </c>
      <c r="J13930" t="s">
        <v>524</v>
      </c>
      <c r="K13930" t="s">
        <v>33</v>
      </c>
      <c r="L13930" t="s">
        <v>20</v>
      </c>
      <c r="N13930" t="s">
        <v>29</v>
      </c>
    </row>
    <row r="13931" spans="1:14">
      <c r="A13931" s="4" t="str">
        <f t="shared" si="1144"/>
        <v>EXP00414</v>
      </c>
      <c r="B13931" s="3" t="s">
        <v>66</v>
      </c>
      <c r="C13931" s="4" t="str">
        <f t="shared" si="1143"/>
        <v>TCGA-BRCA</v>
      </c>
      <c r="D13931" s="1" t="s">
        <v>493</v>
      </c>
      <c r="E13931" t="s">
        <v>532</v>
      </c>
      <c r="F13931" s="1">
        <v>2</v>
      </c>
      <c r="G13931" s="1" t="s">
        <v>32</v>
      </c>
      <c r="H13931" s="4" t="str">
        <f>HYPERLINK("https://portal.gdc.cancer.gov/cases/2199b7a1-bd47-4bb5-b36a-a3e291e3e259","TCGA-B6-A0RN-01A")</f>
        <v>TCGA-B6-A0RN-01A</v>
      </c>
      <c r="I13931" t="s">
        <v>17</v>
      </c>
      <c r="J13931" t="s">
        <v>524</v>
      </c>
      <c r="K13931" t="s">
        <v>33</v>
      </c>
      <c r="L13931" t="s">
        <v>20</v>
      </c>
      <c r="N13931" t="s">
        <v>29</v>
      </c>
    </row>
    <row r="13932" spans="1:14">
      <c r="A13932" s="4" t="str">
        <f t="shared" si="1144"/>
        <v>EXP00414</v>
      </c>
      <c r="B13932" s="3" t="s">
        <v>66</v>
      </c>
      <c r="C13932" s="4" t="str">
        <f t="shared" si="1143"/>
        <v>TCGA-BRCA</v>
      </c>
      <c r="D13932" s="1" t="s">
        <v>493</v>
      </c>
      <c r="E13932" t="s">
        <v>532</v>
      </c>
      <c r="F13932" s="1">
        <v>2</v>
      </c>
      <c r="G13932" s="1" t="s">
        <v>32</v>
      </c>
      <c r="H13932" s="4" t="str">
        <f>HYPERLINK("https://portal.gdc.cancer.gov/cases/0b172e29-6166-4863-803d-a0a010887c11","TCGA-B6-A0RO-01A")</f>
        <v>TCGA-B6-A0RO-01A</v>
      </c>
      <c r="I13932" t="s">
        <v>17</v>
      </c>
      <c r="J13932" t="s">
        <v>524</v>
      </c>
      <c r="K13932" t="s">
        <v>33</v>
      </c>
      <c r="L13932" t="s">
        <v>20</v>
      </c>
      <c r="N13932" t="s">
        <v>29</v>
      </c>
    </row>
    <row r="13933" spans="1:14">
      <c r="A13933" s="4" t="str">
        <f t="shared" si="1144"/>
        <v>EXP00414</v>
      </c>
      <c r="B13933" s="3" t="s">
        <v>66</v>
      </c>
      <c r="C13933" s="4" t="str">
        <f t="shared" si="1143"/>
        <v>TCGA-BRCA</v>
      </c>
      <c r="D13933" s="1" t="s">
        <v>493</v>
      </c>
      <c r="E13933" t="s">
        <v>532</v>
      </c>
      <c r="F13933" s="1">
        <v>2</v>
      </c>
      <c r="G13933" s="1" t="s">
        <v>32</v>
      </c>
      <c r="H13933" s="4" t="str">
        <f>HYPERLINK("https://portal.gdc.cancer.gov/cases/451e1a67-47e6-4738-99d7-fb7771ef61a3","TCGA-B6-A0RP-01A")</f>
        <v>TCGA-B6-A0RP-01A</v>
      </c>
      <c r="I13933" t="s">
        <v>17</v>
      </c>
      <c r="J13933" t="s">
        <v>524</v>
      </c>
      <c r="K13933" t="s">
        <v>33</v>
      </c>
      <c r="L13933" t="s">
        <v>20</v>
      </c>
      <c r="N13933" t="s">
        <v>29</v>
      </c>
    </row>
    <row r="13934" spans="1:14">
      <c r="A13934" s="4" t="str">
        <f t="shared" si="1144"/>
        <v>EXP00414</v>
      </c>
      <c r="B13934" s="3" t="s">
        <v>66</v>
      </c>
      <c r="C13934" s="4" t="str">
        <f t="shared" si="1143"/>
        <v>TCGA-BRCA</v>
      </c>
      <c r="D13934" s="1" t="s">
        <v>493</v>
      </c>
      <c r="E13934" t="s">
        <v>532</v>
      </c>
      <c r="F13934" s="1">
        <v>2</v>
      </c>
      <c r="G13934" s="1" t="s">
        <v>32</v>
      </c>
      <c r="H13934" s="4" t="str">
        <f>HYPERLINK("https://portal.gdc.cancer.gov/cases/caa9b533-24b4-4ecd-9159-c165de049f6a","TCGA-B6-A0RQ-01A")</f>
        <v>TCGA-B6-A0RQ-01A</v>
      </c>
      <c r="I13934" t="s">
        <v>17</v>
      </c>
      <c r="J13934" t="s">
        <v>524</v>
      </c>
      <c r="K13934" t="s">
        <v>33</v>
      </c>
      <c r="L13934" t="s">
        <v>20</v>
      </c>
      <c r="N13934" t="s">
        <v>29</v>
      </c>
    </row>
    <row r="13935" spans="1:14">
      <c r="A13935" s="4" t="str">
        <f t="shared" si="1144"/>
        <v>EXP00414</v>
      </c>
      <c r="B13935" s="3" t="s">
        <v>66</v>
      </c>
      <c r="C13935" s="4" t="str">
        <f t="shared" si="1143"/>
        <v>TCGA-BRCA</v>
      </c>
      <c r="D13935" s="1" t="s">
        <v>493</v>
      </c>
      <c r="E13935" t="s">
        <v>532</v>
      </c>
      <c r="F13935" s="1">
        <v>2</v>
      </c>
      <c r="G13935" s="1" t="s">
        <v>32</v>
      </c>
      <c r="H13935" s="4" t="str">
        <f>HYPERLINK("https://portal.gdc.cancer.gov/cases/9416ff9b-6f29-4554-b04d-b537a3ae3969","TCGA-B6-A0RS-01A")</f>
        <v>TCGA-B6-A0RS-01A</v>
      </c>
      <c r="I13935" t="s">
        <v>17</v>
      </c>
      <c r="J13935" t="s">
        <v>524</v>
      </c>
      <c r="K13935" t="s">
        <v>33</v>
      </c>
      <c r="L13935" t="s">
        <v>20</v>
      </c>
      <c r="N13935" t="s">
        <v>29</v>
      </c>
    </row>
    <row r="13936" spans="1:14">
      <c r="A13936" s="4" t="str">
        <f t="shared" si="1144"/>
        <v>EXP00414</v>
      </c>
      <c r="B13936" s="3" t="s">
        <v>66</v>
      </c>
      <c r="C13936" s="4" t="str">
        <f t="shared" si="1143"/>
        <v>TCGA-BRCA</v>
      </c>
      <c r="D13936" s="1" t="s">
        <v>493</v>
      </c>
      <c r="E13936" t="s">
        <v>532</v>
      </c>
      <c r="F13936" s="1">
        <v>2</v>
      </c>
      <c r="G13936" s="1" t="s">
        <v>32</v>
      </c>
      <c r="H13936" s="4" t="str">
        <f>HYPERLINK("https://portal.gdc.cancer.gov/cases/4bf50455-9ab7-4521-a791-089f66d3b877","TCGA-B6-A0RT-01A")</f>
        <v>TCGA-B6-A0RT-01A</v>
      </c>
      <c r="I13936" t="s">
        <v>17</v>
      </c>
      <c r="J13936" t="s">
        <v>524</v>
      </c>
      <c r="K13936" t="s">
        <v>33</v>
      </c>
      <c r="L13936" t="s">
        <v>20</v>
      </c>
      <c r="N13936" t="s">
        <v>29</v>
      </c>
    </row>
    <row r="13937" spans="1:14">
      <c r="A13937" s="4" t="str">
        <f t="shared" si="1144"/>
        <v>EXP00414</v>
      </c>
      <c r="B13937" s="3" t="s">
        <v>66</v>
      </c>
      <c r="C13937" s="4" t="str">
        <f t="shared" si="1143"/>
        <v>TCGA-BRCA</v>
      </c>
      <c r="D13937" s="1" t="s">
        <v>493</v>
      </c>
      <c r="E13937" t="s">
        <v>532</v>
      </c>
      <c r="F13937" s="1">
        <v>2</v>
      </c>
      <c r="G13937" s="1" t="s">
        <v>32</v>
      </c>
      <c r="H13937" s="4" t="str">
        <f>HYPERLINK("https://portal.gdc.cancer.gov/cases/6956473b-92e5-4069-a26b-b48e280e76f2","TCGA-B6-A0RU-01A")</f>
        <v>TCGA-B6-A0RU-01A</v>
      </c>
      <c r="I13937" t="s">
        <v>17</v>
      </c>
      <c r="J13937" t="s">
        <v>524</v>
      </c>
      <c r="K13937" t="s">
        <v>33</v>
      </c>
      <c r="L13937" t="s">
        <v>20</v>
      </c>
      <c r="N13937" t="s">
        <v>29</v>
      </c>
    </row>
    <row r="13938" spans="1:14">
      <c r="A13938" s="4" t="str">
        <f t="shared" si="1144"/>
        <v>EXP00414</v>
      </c>
      <c r="B13938" s="3" t="s">
        <v>66</v>
      </c>
      <c r="C13938" s="4" t="str">
        <f t="shared" si="1143"/>
        <v>TCGA-BRCA</v>
      </c>
      <c r="D13938" s="1" t="s">
        <v>493</v>
      </c>
      <c r="E13938" t="s">
        <v>532</v>
      </c>
      <c r="F13938" s="1">
        <v>2</v>
      </c>
      <c r="G13938" s="1" t="s">
        <v>32</v>
      </c>
      <c r="H13938" s="4" t="str">
        <f>HYPERLINK("https://portal.gdc.cancer.gov/cases/cd3faa15-743c-476f-ab0d-f205b14126b6","TCGA-B6-A0RV-01A")</f>
        <v>TCGA-B6-A0RV-01A</v>
      </c>
      <c r="I13938" t="s">
        <v>17</v>
      </c>
      <c r="J13938" t="s">
        <v>524</v>
      </c>
      <c r="K13938" t="s">
        <v>33</v>
      </c>
      <c r="L13938" t="s">
        <v>20</v>
      </c>
      <c r="N13938" t="s">
        <v>29</v>
      </c>
    </row>
    <row r="13939" spans="1:14">
      <c r="A13939" s="4" t="str">
        <f t="shared" si="1144"/>
        <v>EXP00414</v>
      </c>
      <c r="B13939" s="3" t="s">
        <v>66</v>
      </c>
      <c r="C13939" s="4" t="str">
        <f t="shared" si="1143"/>
        <v>TCGA-BRCA</v>
      </c>
      <c r="D13939" s="1" t="s">
        <v>493</v>
      </c>
      <c r="E13939" t="s">
        <v>532</v>
      </c>
      <c r="F13939" s="1">
        <v>2</v>
      </c>
      <c r="G13939" s="1" t="s">
        <v>32</v>
      </c>
      <c r="H13939" s="4" t="str">
        <f>HYPERLINK("https://portal.gdc.cancer.gov/cases/197741de-a098-4f04-bb37-8ea8b3bb39bc","TCGA-B6-A0WS-01A")</f>
        <v>TCGA-B6-A0WS-01A</v>
      </c>
      <c r="I13939" t="s">
        <v>17</v>
      </c>
      <c r="J13939" t="s">
        <v>524</v>
      </c>
      <c r="K13939" t="s">
        <v>33</v>
      </c>
      <c r="L13939" t="s">
        <v>20</v>
      </c>
      <c r="N13939" t="s">
        <v>29</v>
      </c>
    </row>
    <row r="13940" spans="1:14">
      <c r="A13940" s="4" t="str">
        <f t="shared" si="1144"/>
        <v>EXP00414</v>
      </c>
      <c r="B13940" s="3" t="s">
        <v>66</v>
      </c>
      <c r="C13940" s="4" t="str">
        <f t="shared" si="1143"/>
        <v>TCGA-BRCA</v>
      </c>
      <c r="D13940" s="1" t="s">
        <v>493</v>
      </c>
      <c r="E13940" t="s">
        <v>532</v>
      </c>
      <c r="F13940" s="1">
        <v>2</v>
      </c>
      <c r="G13940" s="1" t="s">
        <v>32</v>
      </c>
      <c r="H13940" s="4" t="str">
        <f>HYPERLINK("https://portal.gdc.cancer.gov/cases/d7195183-9fe4-4b17-bcfd-9367d2e539ce","TCGA-B6-A0WT-01A")</f>
        <v>TCGA-B6-A0WT-01A</v>
      </c>
      <c r="I13940" t="s">
        <v>17</v>
      </c>
      <c r="J13940" t="s">
        <v>524</v>
      </c>
      <c r="K13940" t="s">
        <v>33</v>
      </c>
      <c r="L13940" t="s">
        <v>20</v>
      </c>
      <c r="N13940" t="s">
        <v>29</v>
      </c>
    </row>
    <row r="13941" spans="1:14">
      <c r="A13941" s="4" t="str">
        <f t="shared" si="1144"/>
        <v>EXP00414</v>
      </c>
      <c r="B13941" s="3" t="s">
        <v>66</v>
      </c>
      <c r="C13941" s="4" t="str">
        <f t="shared" si="1143"/>
        <v>TCGA-BRCA</v>
      </c>
      <c r="D13941" s="1" t="s">
        <v>493</v>
      </c>
      <c r="E13941" t="s">
        <v>532</v>
      </c>
      <c r="F13941" s="1">
        <v>2</v>
      </c>
      <c r="G13941" s="1" t="s">
        <v>32</v>
      </c>
      <c r="H13941" s="4" t="str">
        <f>HYPERLINK("https://portal.gdc.cancer.gov/cases/7588a286-6935-424a-bc5f-92e24c83eb37","TCGA-B6-A0WV-01A")</f>
        <v>TCGA-B6-A0WV-01A</v>
      </c>
      <c r="I13941" t="s">
        <v>17</v>
      </c>
      <c r="J13941" t="s">
        <v>524</v>
      </c>
      <c r="K13941" t="s">
        <v>33</v>
      </c>
      <c r="L13941" t="s">
        <v>20</v>
      </c>
      <c r="N13941" t="s">
        <v>29</v>
      </c>
    </row>
    <row r="13942" spans="1:14">
      <c r="A13942" s="4" t="str">
        <f t="shared" si="1144"/>
        <v>EXP00414</v>
      </c>
      <c r="B13942" s="3" t="s">
        <v>66</v>
      </c>
      <c r="C13942" s="4" t="str">
        <f t="shared" si="1143"/>
        <v>TCGA-BRCA</v>
      </c>
      <c r="D13942" s="1" t="s">
        <v>493</v>
      </c>
      <c r="E13942" t="s">
        <v>532</v>
      </c>
      <c r="F13942" s="1">
        <v>2</v>
      </c>
      <c r="G13942" s="1" t="s">
        <v>32</v>
      </c>
      <c r="H13942" s="4" t="str">
        <f>HYPERLINK("https://portal.gdc.cancer.gov/cases/f02931f8-d72a-481d-b532-8b141dab115f","TCGA-B6-A0WW-01A")</f>
        <v>TCGA-B6-A0WW-01A</v>
      </c>
      <c r="I13942" t="s">
        <v>17</v>
      </c>
      <c r="J13942" t="s">
        <v>524</v>
      </c>
      <c r="K13942" t="s">
        <v>33</v>
      </c>
      <c r="L13942" t="s">
        <v>20</v>
      </c>
      <c r="N13942" t="s">
        <v>29</v>
      </c>
    </row>
    <row r="13943" spans="1:14">
      <c r="A13943" s="4" t="str">
        <f t="shared" si="1144"/>
        <v>EXP00414</v>
      </c>
      <c r="B13943" s="3" t="s">
        <v>66</v>
      </c>
      <c r="C13943" s="4" t="str">
        <f t="shared" si="1143"/>
        <v>TCGA-BRCA</v>
      </c>
      <c r="D13943" s="1" t="s">
        <v>493</v>
      </c>
      <c r="E13943" t="s">
        <v>532</v>
      </c>
      <c r="F13943" s="1">
        <v>2</v>
      </c>
      <c r="G13943" s="1" t="s">
        <v>32</v>
      </c>
      <c r="H13943" s="4" t="str">
        <f>HYPERLINK("https://portal.gdc.cancer.gov/cases/a482fc4c-ff1d-46a0-a968-7df06422cc4b","TCGA-B6-A0WX-01A")</f>
        <v>TCGA-B6-A0WX-01A</v>
      </c>
      <c r="I13943" t="s">
        <v>17</v>
      </c>
      <c r="J13943" t="s">
        <v>524</v>
      </c>
      <c r="K13943" t="s">
        <v>33</v>
      </c>
      <c r="L13943" t="s">
        <v>20</v>
      </c>
      <c r="N13943" t="s">
        <v>29</v>
      </c>
    </row>
    <row r="13944" spans="1:14">
      <c r="A13944" s="4" t="str">
        <f t="shared" si="1144"/>
        <v>EXP00414</v>
      </c>
      <c r="B13944" s="3" t="s">
        <v>66</v>
      </c>
      <c r="C13944" s="4" t="str">
        <f t="shared" si="1143"/>
        <v>TCGA-BRCA</v>
      </c>
      <c r="D13944" s="1" t="s">
        <v>493</v>
      </c>
      <c r="E13944" t="s">
        <v>532</v>
      </c>
      <c r="F13944" s="1">
        <v>2</v>
      </c>
      <c r="G13944" s="1" t="s">
        <v>32</v>
      </c>
      <c r="H13944" s="4" t="str">
        <f>HYPERLINK("https://portal.gdc.cancer.gov/cases/f475d460-75cd-4fe9-aa54-c90be12b4ef8","TCGA-B6-A0WY-01A")</f>
        <v>TCGA-B6-A0WY-01A</v>
      </c>
      <c r="I13944" t="s">
        <v>17</v>
      </c>
      <c r="J13944" t="s">
        <v>524</v>
      </c>
      <c r="K13944" t="s">
        <v>33</v>
      </c>
      <c r="L13944" t="s">
        <v>20</v>
      </c>
      <c r="N13944" t="s">
        <v>29</v>
      </c>
    </row>
    <row r="13945" spans="1:14">
      <c r="A13945" s="4" t="str">
        <f t="shared" si="1144"/>
        <v>EXP00414</v>
      </c>
      <c r="B13945" s="3" t="s">
        <v>66</v>
      </c>
      <c r="C13945" s="4" t="str">
        <f t="shared" si="1143"/>
        <v>TCGA-BRCA</v>
      </c>
      <c r="D13945" s="1" t="s">
        <v>493</v>
      </c>
      <c r="E13945" t="s">
        <v>532</v>
      </c>
      <c r="F13945" s="1">
        <v>2</v>
      </c>
      <c r="G13945" s="1" t="s">
        <v>32</v>
      </c>
      <c r="H13945" s="4" t="str">
        <f>HYPERLINK("https://portal.gdc.cancer.gov/cases/08740d7f-5a5e-4dfa-bd48-7fbf228a7a28","TCGA-B6-A0WZ-01A")</f>
        <v>TCGA-B6-A0WZ-01A</v>
      </c>
      <c r="I13945" t="s">
        <v>17</v>
      </c>
      <c r="J13945" t="s">
        <v>524</v>
      </c>
      <c r="K13945" t="s">
        <v>33</v>
      </c>
      <c r="L13945" t="s">
        <v>20</v>
      </c>
      <c r="N13945" t="s">
        <v>29</v>
      </c>
    </row>
    <row r="13946" spans="1:14">
      <c r="A13946" s="4" t="str">
        <f t="shared" si="1144"/>
        <v>EXP00414</v>
      </c>
      <c r="B13946" s="3" t="s">
        <v>66</v>
      </c>
      <c r="C13946" s="4" t="str">
        <f t="shared" ref="C13946:C14009" si="1145">HYPERLINK("https://portal.gdc.cancer.gov/projects/TCGA-BRCA","TCGA-BRCA")</f>
        <v>TCGA-BRCA</v>
      </c>
      <c r="D13946" s="1" t="s">
        <v>493</v>
      </c>
      <c r="E13946" t="s">
        <v>532</v>
      </c>
      <c r="F13946" s="1">
        <v>2</v>
      </c>
      <c r="G13946" s="1" t="s">
        <v>32</v>
      </c>
      <c r="H13946" s="4" t="str">
        <f>HYPERLINK("https://portal.gdc.cancer.gov/cases/1e68e760-a4cf-4100-bf9c-e50fa8d126f6","TCGA-B6-A0X0-01A")</f>
        <v>TCGA-B6-A0X0-01A</v>
      </c>
      <c r="I13946" t="s">
        <v>17</v>
      </c>
      <c r="J13946" t="s">
        <v>524</v>
      </c>
      <c r="K13946" t="s">
        <v>33</v>
      </c>
      <c r="L13946" t="s">
        <v>20</v>
      </c>
      <c r="N13946" t="s">
        <v>29</v>
      </c>
    </row>
    <row r="13947" spans="1:14">
      <c r="A13947" s="4" t="str">
        <f t="shared" si="1144"/>
        <v>EXP00414</v>
      </c>
      <c r="B13947" s="3" t="s">
        <v>66</v>
      </c>
      <c r="C13947" s="4" t="str">
        <f t="shared" si="1145"/>
        <v>TCGA-BRCA</v>
      </c>
      <c r="D13947" s="1" t="s">
        <v>493</v>
      </c>
      <c r="E13947" t="s">
        <v>532</v>
      </c>
      <c r="F13947" s="1">
        <v>2</v>
      </c>
      <c r="G13947" s="1" t="s">
        <v>32</v>
      </c>
      <c r="H13947" s="4" t="str">
        <f>HYPERLINK("https://portal.gdc.cancer.gov/cases/4e42fdc5-2a8b-49e9-87ef-6db7a6692d08","TCGA-B6-A0X4-01A")</f>
        <v>TCGA-B6-A0X4-01A</v>
      </c>
      <c r="I13947" t="s">
        <v>17</v>
      </c>
      <c r="J13947" t="s">
        <v>524</v>
      </c>
      <c r="K13947" t="s">
        <v>33</v>
      </c>
      <c r="L13947" t="s">
        <v>20</v>
      </c>
      <c r="N13947" t="s">
        <v>29</v>
      </c>
    </row>
    <row r="13948" spans="1:14">
      <c r="A13948" s="4" t="str">
        <f t="shared" si="1144"/>
        <v>EXP00414</v>
      </c>
      <c r="B13948" s="3" t="s">
        <v>66</v>
      </c>
      <c r="C13948" s="4" t="str">
        <f t="shared" si="1145"/>
        <v>TCGA-BRCA</v>
      </c>
      <c r="D13948" s="1" t="s">
        <v>493</v>
      </c>
      <c r="E13948" t="s">
        <v>532</v>
      </c>
      <c r="F13948" s="1">
        <v>2</v>
      </c>
      <c r="G13948" s="1" t="s">
        <v>32</v>
      </c>
      <c r="H13948" s="4" t="str">
        <f>HYPERLINK("https://portal.gdc.cancer.gov/cases/4e6edfe6-adcb-4c12-8ff4-38a79f5887e8","TCGA-B6-A0X5-01A")</f>
        <v>TCGA-B6-A0X5-01A</v>
      </c>
      <c r="I13948" t="s">
        <v>17</v>
      </c>
      <c r="J13948" t="s">
        <v>524</v>
      </c>
      <c r="K13948" t="s">
        <v>33</v>
      </c>
      <c r="L13948" t="s">
        <v>20</v>
      </c>
      <c r="N13948" t="s">
        <v>29</v>
      </c>
    </row>
    <row r="13949" spans="1:14">
      <c r="A13949" s="4" t="str">
        <f t="shared" si="1144"/>
        <v>EXP00414</v>
      </c>
      <c r="B13949" s="3" t="s">
        <v>66</v>
      </c>
      <c r="C13949" s="4" t="str">
        <f t="shared" si="1145"/>
        <v>TCGA-BRCA</v>
      </c>
      <c r="D13949" s="1" t="s">
        <v>493</v>
      </c>
      <c r="E13949" t="s">
        <v>532</v>
      </c>
      <c r="F13949" s="1">
        <v>2</v>
      </c>
      <c r="G13949" s="1" t="s">
        <v>32</v>
      </c>
      <c r="H13949" s="4" t="str">
        <f>HYPERLINK("https://portal.gdc.cancer.gov/cases/5b9a5cd2-5ec8-48a0-b9f2-da9bede0b089","TCGA-B6-A0X7-01A")</f>
        <v>TCGA-B6-A0X7-01A</v>
      </c>
      <c r="I13949" t="s">
        <v>17</v>
      </c>
      <c r="J13949" t="s">
        <v>524</v>
      </c>
      <c r="K13949" t="s">
        <v>33</v>
      </c>
      <c r="L13949" t="s">
        <v>20</v>
      </c>
      <c r="N13949" t="s">
        <v>29</v>
      </c>
    </row>
    <row r="13950" spans="1:14">
      <c r="A13950" s="4" t="str">
        <f t="shared" si="1144"/>
        <v>EXP00414</v>
      </c>
      <c r="B13950" s="3" t="s">
        <v>66</v>
      </c>
      <c r="C13950" s="4" t="str">
        <f t="shared" si="1145"/>
        <v>TCGA-BRCA</v>
      </c>
      <c r="D13950" s="1" t="s">
        <v>493</v>
      </c>
      <c r="E13950" t="s">
        <v>532</v>
      </c>
      <c r="F13950" s="1">
        <v>2</v>
      </c>
      <c r="G13950" s="1" t="s">
        <v>32</v>
      </c>
      <c r="H13950" s="4" t="str">
        <f>HYPERLINK("https://portal.gdc.cancer.gov/cases/1502c7d7-1535-4e56-9f34-30623acd50d5","TCGA-B6-A1KC-01B")</f>
        <v>TCGA-B6-A1KC-01B</v>
      </c>
      <c r="I13950" t="s">
        <v>17</v>
      </c>
      <c r="J13950" t="s">
        <v>524</v>
      </c>
      <c r="K13950" t="s">
        <v>33</v>
      </c>
      <c r="L13950" t="s">
        <v>20</v>
      </c>
      <c r="N13950" t="s">
        <v>29</v>
      </c>
    </row>
    <row r="13951" spans="1:14">
      <c r="A13951" s="4" t="str">
        <f t="shared" si="1144"/>
        <v>EXP00414</v>
      </c>
      <c r="B13951" s="3" t="s">
        <v>66</v>
      </c>
      <c r="C13951" s="4" t="str">
        <f t="shared" si="1145"/>
        <v>TCGA-BRCA</v>
      </c>
      <c r="D13951" s="1" t="s">
        <v>493</v>
      </c>
      <c r="E13951" t="s">
        <v>532</v>
      </c>
      <c r="F13951" s="1">
        <v>2</v>
      </c>
      <c r="G13951" s="1" t="s">
        <v>32</v>
      </c>
      <c r="H13951" s="4" t="str">
        <f>HYPERLINK("https://portal.gdc.cancer.gov/cases/f30eb65f-fb44-4062-ac39-a38d072f655f","TCGA-B6-A1KF-01A")</f>
        <v>TCGA-B6-A1KF-01A</v>
      </c>
      <c r="I13951" t="s">
        <v>17</v>
      </c>
      <c r="J13951" t="s">
        <v>524</v>
      </c>
      <c r="K13951" t="s">
        <v>33</v>
      </c>
      <c r="L13951" t="s">
        <v>20</v>
      </c>
      <c r="N13951" t="s">
        <v>29</v>
      </c>
    </row>
    <row r="13952" spans="1:14">
      <c r="A13952" s="4" t="str">
        <f t="shared" si="1144"/>
        <v>EXP00414</v>
      </c>
      <c r="B13952" s="3" t="s">
        <v>66</v>
      </c>
      <c r="C13952" s="4" t="str">
        <f t="shared" si="1145"/>
        <v>TCGA-BRCA</v>
      </c>
      <c r="D13952" s="1" t="s">
        <v>493</v>
      </c>
      <c r="E13952" t="s">
        <v>532</v>
      </c>
      <c r="F13952" s="1">
        <v>2</v>
      </c>
      <c r="G13952" s="1" t="s">
        <v>32</v>
      </c>
      <c r="H13952" s="4" t="str">
        <f>HYPERLINK("https://portal.gdc.cancer.gov/cases/1dafdd64-527d-4d46-bbdf-7a97774f881b","TCGA-B6-A1KI-01A")</f>
        <v>TCGA-B6-A1KI-01A</v>
      </c>
      <c r="I13952" t="s">
        <v>17</v>
      </c>
      <c r="J13952" t="s">
        <v>524</v>
      </c>
      <c r="K13952" t="s">
        <v>33</v>
      </c>
      <c r="L13952" t="s">
        <v>20</v>
      </c>
      <c r="N13952" t="s">
        <v>29</v>
      </c>
    </row>
    <row r="13953" spans="1:14">
      <c r="A13953" s="4" t="str">
        <f t="shared" si="1144"/>
        <v>EXP00414</v>
      </c>
      <c r="B13953" s="3" t="s">
        <v>66</v>
      </c>
      <c r="C13953" s="4" t="str">
        <f t="shared" si="1145"/>
        <v>TCGA-BRCA</v>
      </c>
      <c r="D13953" s="1" t="s">
        <v>493</v>
      </c>
      <c r="E13953" t="s">
        <v>532</v>
      </c>
      <c r="F13953" s="1">
        <v>2</v>
      </c>
      <c r="G13953" s="1" t="s">
        <v>32</v>
      </c>
      <c r="H13953" s="4" t="str">
        <f>HYPERLINK("https://portal.gdc.cancer.gov/cases/271404de-24e8-43f6-806b-fb510c1124c4","TCGA-B6-A1KN-01A")</f>
        <v>TCGA-B6-A1KN-01A</v>
      </c>
      <c r="I13953" t="s">
        <v>17</v>
      </c>
      <c r="J13953" t="s">
        <v>524</v>
      </c>
      <c r="K13953" t="s">
        <v>33</v>
      </c>
      <c r="L13953" t="s">
        <v>20</v>
      </c>
      <c r="N13953" t="s">
        <v>29</v>
      </c>
    </row>
    <row r="13954" spans="1:14">
      <c r="A13954" s="4" t="str">
        <f t="shared" si="1144"/>
        <v>EXP00414</v>
      </c>
      <c r="B13954" s="3" t="s">
        <v>66</v>
      </c>
      <c r="C13954" s="4" t="str">
        <f t="shared" si="1145"/>
        <v>TCGA-BRCA</v>
      </c>
      <c r="D13954" s="1" t="s">
        <v>493</v>
      </c>
      <c r="E13954" t="s">
        <v>532</v>
      </c>
      <c r="F13954" s="1">
        <v>2</v>
      </c>
      <c r="G13954" s="1" t="s">
        <v>32</v>
      </c>
      <c r="H13954" s="4" t="str">
        <f>HYPERLINK("https://portal.gdc.cancer.gov/cases/9857be0c-aeca-4a43-90b1-0535bd08e086","TCGA-B6-A2IU-01A")</f>
        <v>TCGA-B6-A2IU-01A</v>
      </c>
      <c r="I13954" t="s">
        <v>17</v>
      </c>
      <c r="J13954" t="s">
        <v>524</v>
      </c>
      <c r="K13954" t="s">
        <v>33</v>
      </c>
      <c r="L13954" t="s">
        <v>20</v>
      </c>
      <c r="N13954" t="s">
        <v>29</v>
      </c>
    </row>
    <row r="13955" spans="1:14">
      <c r="A13955" s="4" t="str">
        <f t="shared" ref="A13955:A14018" si="1146">HYPERLINK("http://hcmdb.i-sanger.com/experiment/details/experiment_id/EXP00414","EXP00414")</f>
        <v>EXP00414</v>
      </c>
      <c r="B13955" s="3" t="s">
        <v>66</v>
      </c>
      <c r="C13955" s="4" t="str">
        <f t="shared" si="1145"/>
        <v>TCGA-BRCA</v>
      </c>
      <c r="D13955" s="1" t="s">
        <v>493</v>
      </c>
      <c r="E13955" t="s">
        <v>532</v>
      </c>
      <c r="F13955" s="1">
        <v>2</v>
      </c>
      <c r="G13955" s="1" t="s">
        <v>32</v>
      </c>
      <c r="H13955" s="4" t="str">
        <f>HYPERLINK("https://portal.gdc.cancer.gov/cases/d9a1c06f-7b50-46b0-878e-89e8c31863ae","TCGA-B6-A400-01A")</f>
        <v>TCGA-B6-A400-01A</v>
      </c>
      <c r="I13955" t="s">
        <v>17</v>
      </c>
      <c r="J13955" t="s">
        <v>524</v>
      </c>
      <c r="K13955" t="s">
        <v>33</v>
      </c>
      <c r="L13955" t="s">
        <v>20</v>
      </c>
      <c r="N13955" t="s">
        <v>29</v>
      </c>
    </row>
    <row r="13956" spans="1:14">
      <c r="A13956" s="4" t="str">
        <f t="shared" si="1146"/>
        <v>EXP00414</v>
      </c>
      <c r="B13956" s="3" t="s">
        <v>66</v>
      </c>
      <c r="C13956" s="4" t="str">
        <f t="shared" si="1145"/>
        <v>TCGA-BRCA</v>
      </c>
      <c r="D13956" s="1" t="s">
        <v>493</v>
      </c>
      <c r="E13956" t="s">
        <v>532</v>
      </c>
      <c r="F13956" s="1">
        <v>2</v>
      </c>
      <c r="G13956" s="1" t="s">
        <v>32</v>
      </c>
      <c r="H13956" s="4" t="str">
        <f>HYPERLINK("https://portal.gdc.cancer.gov/cases/48ff0420-0f19-4e9d-a75d-6c54949a461a","TCGA-B6-A401-01A")</f>
        <v>TCGA-B6-A401-01A</v>
      </c>
      <c r="I13956" t="s">
        <v>17</v>
      </c>
      <c r="J13956" t="s">
        <v>524</v>
      </c>
      <c r="K13956" t="s">
        <v>33</v>
      </c>
      <c r="L13956" t="s">
        <v>20</v>
      </c>
      <c r="N13956" t="s">
        <v>29</v>
      </c>
    </row>
    <row r="13957" spans="1:14">
      <c r="A13957" s="4" t="str">
        <f t="shared" si="1146"/>
        <v>EXP00414</v>
      </c>
      <c r="B13957" s="3" t="s">
        <v>66</v>
      </c>
      <c r="C13957" s="4" t="str">
        <f t="shared" si="1145"/>
        <v>TCGA-BRCA</v>
      </c>
      <c r="D13957" s="1" t="s">
        <v>493</v>
      </c>
      <c r="E13957" t="s">
        <v>532</v>
      </c>
      <c r="F13957" s="1">
        <v>2</v>
      </c>
      <c r="G13957" s="1" t="s">
        <v>32</v>
      </c>
      <c r="H13957" s="4" t="str">
        <f>HYPERLINK("https://portal.gdc.cancer.gov/cases/75b3fe55-1a63-426e-867e-2ef52f54778d","TCGA-B6-A402-01A")</f>
        <v>TCGA-B6-A402-01A</v>
      </c>
      <c r="I13957" t="s">
        <v>17</v>
      </c>
      <c r="J13957" t="s">
        <v>524</v>
      </c>
      <c r="K13957" t="s">
        <v>33</v>
      </c>
      <c r="L13957" t="s">
        <v>20</v>
      </c>
      <c r="N13957" t="s">
        <v>29</v>
      </c>
    </row>
    <row r="13958" spans="1:14">
      <c r="A13958" s="4" t="str">
        <f t="shared" si="1146"/>
        <v>EXP00414</v>
      </c>
      <c r="B13958" s="3" t="s">
        <v>66</v>
      </c>
      <c r="C13958" s="4" t="str">
        <f t="shared" si="1145"/>
        <v>TCGA-BRCA</v>
      </c>
      <c r="D13958" s="1" t="s">
        <v>493</v>
      </c>
      <c r="E13958" t="s">
        <v>532</v>
      </c>
      <c r="F13958" s="1">
        <v>2</v>
      </c>
      <c r="G13958" s="1" t="s">
        <v>32</v>
      </c>
      <c r="H13958" s="4" t="str">
        <f>HYPERLINK("https://portal.gdc.cancer.gov/cases/9964f447-92ad-4d1e-af20-11cf84fab7b0","TCGA-B6-A408-01A")</f>
        <v>TCGA-B6-A408-01A</v>
      </c>
      <c r="I13958" t="s">
        <v>17</v>
      </c>
      <c r="J13958" t="s">
        <v>524</v>
      </c>
      <c r="K13958" t="s">
        <v>33</v>
      </c>
      <c r="L13958" t="s">
        <v>20</v>
      </c>
      <c r="N13958" t="s">
        <v>29</v>
      </c>
    </row>
    <row r="13959" spans="1:14">
      <c r="A13959" s="4" t="str">
        <f t="shared" si="1146"/>
        <v>EXP00414</v>
      </c>
      <c r="B13959" s="3" t="s">
        <v>66</v>
      </c>
      <c r="C13959" s="4" t="str">
        <f t="shared" si="1145"/>
        <v>TCGA-BRCA</v>
      </c>
      <c r="D13959" s="1" t="s">
        <v>493</v>
      </c>
      <c r="E13959" t="s">
        <v>532</v>
      </c>
      <c r="F13959" s="1">
        <v>2</v>
      </c>
      <c r="G13959" s="1" t="s">
        <v>32</v>
      </c>
      <c r="H13959" s="4" t="str">
        <f>HYPERLINK("https://portal.gdc.cancer.gov/cases/8539e15f-ba40-4219-aaeb-08d0ab101311","TCGA-B6-A40B-01A")</f>
        <v>TCGA-B6-A40B-01A</v>
      </c>
      <c r="I13959" t="s">
        <v>17</v>
      </c>
      <c r="J13959" t="s">
        <v>524</v>
      </c>
      <c r="K13959" t="s">
        <v>33</v>
      </c>
      <c r="L13959" t="s">
        <v>20</v>
      </c>
      <c r="N13959" t="s">
        <v>29</v>
      </c>
    </row>
    <row r="13960" spans="1:14">
      <c r="A13960" s="4" t="str">
        <f t="shared" si="1146"/>
        <v>EXP00414</v>
      </c>
      <c r="B13960" s="3" t="s">
        <v>66</v>
      </c>
      <c r="C13960" s="4" t="str">
        <f t="shared" si="1145"/>
        <v>TCGA-BRCA</v>
      </c>
      <c r="D13960" s="1" t="s">
        <v>493</v>
      </c>
      <c r="E13960" t="s">
        <v>532</v>
      </c>
      <c r="F13960" s="1">
        <v>2</v>
      </c>
      <c r="G13960" s="1" t="s">
        <v>32</v>
      </c>
      <c r="H13960" s="4" t="str">
        <f>HYPERLINK("https://portal.gdc.cancer.gov/cases/fd0b1b8b-1a76-480a-b61c-d176e4e02c6b","TCGA-B6-A40C-01A")</f>
        <v>TCGA-B6-A40C-01A</v>
      </c>
      <c r="I13960" t="s">
        <v>17</v>
      </c>
      <c r="J13960" t="s">
        <v>524</v>
      </c>
      <c r="K13960" t="s">
        <v>33</v>
      </c>
      <c r="L13960" t="s">
        <v>20</v>
      </c>
      <c r="N13960" t="s">
        <v>29</v>
      </c>
    </row>
    <row r="13961" spans="1:14">
      <c r="A13961" s="4" t="str">
        <f t="shared" si="1146"/>
        <v>EXP00414</v>
      </c>
      <c r="B13961" s="3" t="s">
        <v>66</v>
      </c>
      <c r="C13961" s="4" t="str">
        <f t="shared" si="1145"/>
        <v>TCGA-BRCA</v>
      </c>
      <c r="D13961" s="1" t="s">
        <v>493</v>
      </c>
      <c r="E13961" t="s">
        <v>532</v>
      </c>
      <c r="F13961" s="1">
        <v>2</v>
      </c>
      <c r="G13961" s="1" t="s">
        <v>32</v>
      </c>
      <c r="H13961" s="4" t="str">
        <f>HYPERLINK("https://portal.gdc.cancer.gov/cases/360d1d6d-cf3e-4c78-b36f-ef5e3160aa6b","TCGA-BH-A0AU-01A")</f>
        <v>TCGA-BH-A0AU-01A</v>
      </c>
      <c r="I13961" t="s">
        <v>17</v>
      </c>
      <c r="J13961" t="s">
        <v>524</v>
      </c>
      <c r="K13961" t="s">
        <v>33</v>
      </c>
      <c r="L13961" t="s">
        <v>20</v>
      </c>
      <c r="N13961" t="s">
        <v>29</v>
      </c>
    </row>
    <row r="13962" spans="1:14">
      <c r="A13962" s="4" t="str">
        <f t="shared" si="1146"/>
        <v>EXP00414</v>
      </c>
      <c r="B13962" s="3" t="s">
        <v>66</v>
      </c>
      <c r="C13962" s="4" t="str">
        <f t="shared" si="1145"/>
        <v>TCGA-BRCA</v>
      </c>
      <c r="D13962" s="1" t="s">
        <v>493</v>
      </c>
      <c r="E13962" t="s">
        <v>532</v>
      </c>
      <c r="F13962" s="1">
        <v>2</v>
      </c>
      <c r="G13962" s="1" t="s">
        <v>32</v>
      </c>
      <c r="H13962" s="4" t="str">
        <f>HYPERLINK("https://portal.gdc.cancer.gov/cases/790ff5db-b7f3-4946-aaed-305f66b1dd6a","TCGA-BH-A0AV-01A")</f>
        <v>TCGA-BH-A0AV-01A</v>
      </c>
      <c r="I13962" t="s">
        <v>17</v>
      </c>
      <c r="J13962" t="s">
        <v>524</v>
      </c>
      <c r="K13962" t="s">
        <v>33</v>
      </c>
      <c r="L13962" t="s">
        <v>20</v>
      </c>
      <c r="N13962" t="s">
        <v>29</v>
      </c>
    </row>
    <row r="13963" spans="1:14">
      <c r="A13963" s="4" t="str">
        <f t="shared" si="1146"/>
        <v>EXP00414</v>
      </c>
      <c r="B13963" s="3" t="s">
        <v>66</v>
      </c>
      <c r="C13963" s="4" t="str">
        <f t="shared" si="1145"/>
        <v>TCGA-BRCA</v>
      </c>
      <c r="D13963" s="1" t="s">
        <v>493</v>
      </c>
      <c r="E13963" t="s">
        <v>532</v>
      </c>
      <c r="F13963" s="1">
        <v>2</v>
      </c>
      <c r="G13963" s="1" t="s">
        <v>32</v>
      </c>
      <c r="H13963" s="4" t="str">
        <f>HYPERLINK("https://portal.gdc.cancer.gov/cases/c5891c7a-fd24-4891-8f51-373967e4a6dd","TCGA-BH-A0AW-01A")</f>
        <v>TCGA-BH-A0AW-01A</v>
      </c>
      <c r="I13963" t="s">
        <v>17</v>
      </c>
      <c r="J13963" t="s">
        <v>524</v>
      </c>
      <c r="K13963" t="s">
        <v>33</v>
      </c>
      <c r="L13963" t="s">
        <v>20</v>
      </c>
      <c r="N13963" t="s">
        <v>29</v>
      </c>
    </row>
    <row r="13964" spans="1:14">
      <c r="A13964" s="4" t="str">
        <f t="shared" si="1146"/>
        <v>EXP00414</v>
      </c>
      <c r="B13964" s="3" t="s">
        <v>66</v>
      </c>
      <c r="C13964" s="4" t="str">
        <f t="shared" si="1145"/>
        <v>TCGA-BRCA</v>
      </c>
      <c r="D13964" s="1" t="s">
        <v>493</v>
      </c>
      <c r="E13964" t="s">
        <v>532</v>
      </c>
      <c r="F13964" s="1">
        <v>2</v>
      </c>
      <c r="G13964" s="1" t="s">
        <v>32</v>
      </c>
      <c r="H13964" s="4" t="str">
        <f>HYPERLINK("https://portal.gdc.cancer.gov/cases/93ed6066-b567-4e1c-ab81-23370f9d3452","TCGA-BH-A0AY-01A")</f>
        <v>TCGA-BH-A0AY-01A</v>
      </c>
      <c r="I13964" t="s">
        <v>17</v>
      </c>
      <c r="J13964" t="s">
        <v>524</v>
      </c>
      <c r="K13964" t="s">
        <v>33</v>
      </c>
      <c r="L13964" t="s">
        <v>20</v>
      </c>
      <c r="N13964" t="s">
        <v>29</v>
      </c>
    </row>
    <row r="13965" spans="1:14">
      <c r="A13965" s="4" t="str">
        <f t="shared" si="1146"/>
        <v>EXP00414</v>
      </c>
      <c r="B13965" s="3" t="s">
        <v>66</v>
      </c>
      <c r="C13965" s="4" t="str">
        <f t="shared" si="1145"/>
        <v>TCGA-BRCA</v>
      </c>
      <c r="D13965" s="1" t="s">
        <v>493</v>
      </c>
      <c r="E13965" t="s">
        <v>532</v>
      </c>
      <c r="F13965" s="1">
        <v>2</v>
      </c>
      <c r="G13965" s="1" t="s">
        <v>32</v>
      </c>
      <c r="H13965" s="4" t="str">
        <f>HYPERLINK("https://portal.gdc.cancer.gov/cases/518f231c-f5f9-4a39-a97b-7fd5666d3e50","TCGA-BH-A0AZ-01A")</f>
        <v>TCGA-BH-A0AZ-01A</v>
      </c>
      <c r="I13965" t="s">
        <v>17</v>
      </c>
      <c r="J13965" t="s">
        <v>524</v>
      </c>
      <c r="K13965" t="s">
        <v>33</v>
      </c>
      <c r="L13965" t="s">
        <v>20</v>
      </c>
      <c r="N13965" t="s">
        <v>29</v>
      </c>
    </row>
    <row r="13966" spans="1:14">
      <c r="A13966" s="4" t="str">
        <f t="shared" si="1146"/>
        <v>EXP00414</v>
      </c>
      <c r="B13966" s="3" t="s">
        <v>66</v>
      </c>
      <c r="C13966" s="4" t="str">
        <f t="shared" si="1145"/>
        <v>TCGA-BRCA</v>
      </c>
      <c r="D13966" s="1" t="s">
        <v>493</v>
      </c>
      <c r="E13966" t="s">
        <v>532</v>
      </c>
      <c r="F13966" s="1">
        <v>2</v>
      </c>
      <c r="G13966" s="1" t="s">
        <v>32</v>
      </c>
      <c r="H13966" s="4" t="str">
        <f>HYPERLINK("https://portal.gdc.cancer.gov/cases/66af34ea-f471-4092-aff6-9ac9a5b75b11","TCGA-BH-A0B0-01A")</f>
        <v>TCGA-BH-A0B0-01A</v>
      </c>
      <c r="I13966" t="s">
        <v>17</v>
      </c>
      <c r="J13966" t="s">
        <v>524</v>
      </c>
      <c r="K13966" t="s">
        <v>33</v>
      </c>
      <c r="L13966" t="s">
        <v>20</v>
      </c>
      <c r="N13966" t="s">
        <v>29</v>
      </c>
    </row>
    <row r="13967" spans="1:14">
      <c r="A13967" s="4" t="str">
        <f t="shared" si="1146"/>
        <v>EXP00414</v>
      </c>
      <c r="B13967" s="3" t="s">
        <v>66</v>
      </c>
      <c r="C13967" s="4" t="str">
        <f t="shared" si="1145"/>
        <v>TCGA-BRCA</v>
      </c>
      <c r="D13967" s="1" t="s">
        <v>493</v>
      </c>
      <c r="E13967" t="s">
        <v>532</v>
      </c>
      <c r="F13967" s="1">
        <v>2</v>
      </c>
      <c r="G13967" s="1" t="s">
        <v>32</v>
      </c>
      <c r="H13967" s="4" t="str">
        <f>HYPERLINK("https://portal.gdc.cancer.gov/cases/b4e4fea2-b802-4a86-923e-3fcbd3c708fe","TCGA-BH-A0B1-01A")</f>
        <v>TCGA-BH-A0B1-01A</v>
      </c>
      <c r="I13967" t="s">
        <v>17</v>
      </c>
      <c r="J13967" t="s">
        <v>524</v>
      </c>
      <c r="K13967" t="s">
        <v>33</v>
      </c>
      <c r="L13967" t="s">
        <v>20</v>
      </c>
      <c r="N13967" t="s">
        <v>29</v>
      </c>
    </row>
    <row r="13968" spans="1:14">
      <c r="A13968" s="4" t="str">
        <f t="shared" si="1146"/>
        <v>EXP00414</v>
      </c>
      <c r="B13968" s="3" t="s">
        <v>66</v>
      </c>
      <c r="C13968" s="4" t="str">
        <f t="shared" si="1145"/>
        <v>TCGA-BRCA</v>
      </c>
      <c r="D13968" s="1" t="s">
        <v>493</v>
      </c>
      <c r="E13968" t="s">
        <v>532</v>
      </c>
      <c r="F13968" s="1">
        <v>2</v>
      </c>
      <c r="G13968" s="1" t="s">
        <v>32</v>
      </c>
      <c r="H13968" s="4" t="str">
        <f>HYPERLINK("https://portal.gdc.cancer.gov/cases/18eb4dfc-556f-4bf3-a411-4780209ed1e0","TCGA-BH-A0B3-01A")</f>
        <v>TCGA-BH-A0B3-01A</v>
      </c>
      <c r="I13968" t="s">
        <v>17</v>
      </c>
      <c r="J13968" t="s">
        <v>524</v>
      </c>
      <c r="K13968" t="s">
        <v>33</v>
      </c>
      <c r="L13968" t="s">
        <v>20</v>
      </c>
      <c r="N13968" t="s">
        <v>29</v>
      </c>
    </row>
    <row r="13969" spans="1:14">
      <c r="A13969" s="4" t="str">
        <f t="shared" si="1146"/>
        <v>EXP00414</v>
      </c>
      <c r="B13969" s="3" t="s">
        <v>66</v>
      </c>
      <c r="C13969" s="4" t="str">
        <f t="shared" si="1145"/>
        <v>TCGA-BRCA</v>
      </c>
      <c r="D13969" s="1" t="s">
        <v>493</v>
      </c>
      <c r="E13969" t="s">
        <v>532</v>
      </c>
      <c r="F13969" s="1">
        <v>2</v>
      </c>
      <c r="G13969" s="1" t="s">
        <v>32</v>
      </c>
      <c r="H13969" s="4" t="str">
        <f>HYPERLINK("https://portal.gdc.cancer.gov/cases/c710f4ab-fbd9-42ed-95d4-4e6d51207f38","TCGA-BH-A0B4-01A")</f>
        <v>TCGA-BH-A0B4-01A</v>
      </c>
      <c r="I13969" t="s">
        <v>17</v>
      </c>
      <c r="J13969" t="s">
        <v>524</v>
      </c>
      <c r="K13969" t="s">
        <v>33</v>
      </c>
      <c r="L13969" t="s">
        <v>20</v>
      </c>
      <c r="N13969" t="s">
        <v>29</v>
      </c>
    </row>
    <row r="13970" spans="1:14">
      <c r="A13970" s="4" t="str">
        <f t="shared" si="1146"/>
        <v>EXP00414</v>
      </c>
      <c r="B13970" s="3" t="s">
        <v>66</v>
      </c>
      <c r="C13970" s="4" t="str">
        <f t="shared" si="1145"/>
        <v>TCGA-BRCA</v>
      </c>
      <c r="D13970" s="1" t="s">
        <v>493</v>
      </c>
      <c r="E13970" t="s">
        <v>532</v>
      </c>
      <c r="F13970" s="1">
        <v>2</v>
      </c>
      <c r="G13970" s="1" t="s">
        <v>32</v>
      </c>
      <c r="H13970" s="4" t="str">
        <f>HYPERLINK("https://portal.gdc.cancer.gov/cases/9da462b0-93c2-4305-89f6-7199a30399a7","TCGA-BH-A0B5-01A")</f>
        <v>TCGA-BH-A0B5-01A</v>
      </c>
      <c r="I13970" t="s">
        <v>17</v>
      </c>
      <c r="J13970" t="s">
        <v>524</v>
      </c>
      <c r="K13970" t="s">
        <v>33</v>
      </c>
      <c r="L13970" t="s">
        <v>20</v>
      </c>
      <c r="N13970" t="s">
        <v>29</v>
      </c>
    </row>
    <row r="13971" spans="1:14">
      <c r="A13971" s="4" t="str">
        <f t="shared" si="1146"/>
        <v>EXP00414</v>
      </c>
      <c r="B13971" s="3" t="s">
        <v>66</v>
      </c>
      <c r="C13971" s="4" t="str">
        <f t="shared" si="1145"/>
        <v>TCGA-BRCA</v>
      </c>
      <c r="D13971" s="1" t="s">
        <v>493</v>
      </c>
      <c r="E13971" t="s">
        <v>532</v>
      </c>
      <c r="F13971" s="1">
        <v>2</v>
      </c>
      <c r="G13971" s="1" t="s">
        <v>32</v>
      </c>
      <c r="H13971" s="4" t="str">
        <f>HYPERLINK("https://portal.gdc.cancer.gov/cases/fa4e082a-d213-412e-8d91-842a6f4bef12","TCGA-BH-A0B6-01A")</f>
        <v>TCGA-BH-A0B6-01A</v>
      </c>
      <c r="I13971" t="s">
        <v>17</v>
      </c>
      <c r="J13971" t="s">
        <v>524</v>
      </c>
      <c r="K13971" t="s">
        <v>33</v>
      </c>
      <c r="L13971" t="s">
        <v>20</v>
      </c>
      <c r="N13971" t="s">
        <v>29</v>
      </c>
    </row>
    <row r="13972" spans="1:14">
      <c r="A13972" s="4" t="str">
        <f t="shared" si="1146"/>
        <v>EXP00414</v>
      </c>
      <c r="B13972" s="3" t="s">
        <v>66</v>
      </c>
      <c r="C13972" s="4" t="str">
        <f t="shared" si="1145"/>
        <v>TCGA-BRCA</v>
      </c>
      <c r="D13972" s="1" t="s">
        <v>493</v>
      </c>
      <c r="E13972" t="s">
        <v>532</v>
      </c>
      <c r="F13972" s="1">
        <v>2</v>
      </c>
      <c r="G13972" s="1" t="s">
        <v>32</v>
      </c>
      <c r="H13972" s="4" t="str">
        <f>HYPERLINK("https://portal.gdc.cancer.gov/cases/214a4507-d974-4b3e-8525-7408fccc6a0f","TCGA-BH-A0B7-01A")</f>
        <v>TCGA-BH-A0B7-01A</v>
      </c>
      <c r="I13972" t="s">
        <v>17</v>
      </c>
      <c r="J13972" t="s">
        <v>524</v>
      </c>
      <c r="K13972" t="s">
        <v>33</v>
      </c>
      <c r="L13972" t="s">
        <v>20</v>
      </c>
      <c r="N13972" t="s">
        <v>29</v>
      </c>
    </row>
    <row r="13973" spans="1:14">
      <c r="A13973" s="4" t="str">
        <f t="shared" si="1146"/>
        <v>EXP00414</v>
      </c>
      <c r="B13973" s="3" t="s">
        <v>66</v>
      </c>
      <c r="C13973" s="4" t="str">
        <f t="shared" si="1145"/>
        <v>TCGA-BRCA</v>
      </c>
      <c r="D13973" s="1" t="s">
        <v>493</v>
      </c>
      <c r="E13973" t="s">
        <v>532</v>
      </c>
      <c r="F13973" s="1">
        <v>2</v>
      </c>
      <c r="G13973" s="1" t="s">
        <v>32</v>
      </c>
      <c r="H13973" s="4" t="str">
        <f>HYPERLINK("https://portal.gdc.cancer.gov/cases/d3a75976-67d3-40fa-9f6f-cf2a3d7b773c","TCGA-BH-A0B8-01A")</f>
        <v>TCGA-BH-A0B8-01A</v>
      </c>
      <c r="I13973" t="s">
        <v>17</v>
      </c>
      <c r="J13973" t="s">
        <v>524</v>
      </c>
      <c r="K13973" t="s">
        <v>33</v>
      </c>
      <c r="L13973" t="s">
        <v>20</v>
      </c>
      <c r="N13973" t="s">
        <v>29</v>
      </c>
    </row>
    <row r="13974" spans="1:14">
      <c r="A13974" s="4" t="str">
        <f t="shared" si="1146"/>
        <v>EXP00414</v>
      </c>
      <c r="B13974" s="3" t="s">
        <v>66</v>
      </c>
      <c r="C13974" s="4" t="str">
        <f t="shared" si="1145"/>
        <v>TCGA-BRCA</v>
      </c>
      <c r="D13974" s="1" t="s">
        <v>493</v>
      </c>
      <c r="E13974" t="s">
        <v>532</v>
      </c>
      <c r="F13974" s="1">
        <v>2</v>
      </c>
      <c r="G13974" s="1" t="s">
        <v>32</v>
      </c>
      <c r="H13974" s="4" t="str">
        <f>HYPERLINK("https://portal.gdc.cancer.gov/cases/5a57dc25-d252-4b22-b192-4de630d7002f","TCGA-BH-A0B9-01A")</f>
        <v>TCGA-BH-A0B9-01A</v>
      </c>
      <c r="I13974" t="s">
        <v>17</v>
      </c>
      <c r="J13974" t="s">
        <v>524</v>
      </c>
      <c r="K13974" t="s">
        <v>33</v>
      </c>
      <c r="L13974" t="s">
        <v>20</v>
      </c>
      <c r="N13974" t="s">
        <v>29</v>
      </c>
    </row>
    <row r="13975" spans="1:14">
      <c r="A13975" s="4" t="str">
        <f t="shared" si="1146"/>
        <v>EXP00414</v>
      </c>
      <c r="B13975" s="3" t="s">
        <v>66</v>
      </c>
      <c r="C13975" s="4" t="str">
        <f t="shared" si="1145"/>
        <v>TCGA-BRCA</v>
      </c>
      <c r="D13975" s="1" t="s">
        <v>493</v>
      </c>
      <c r="E13975" t="s">
        <v>532</v>
      </c>
      <c r="F13975" s="1">
        <v>2</v>
      </c>
      <c r="G13975" s="1" t="s">
        <v>32</v>
      </c>
      <c r="H13975" s="4" t="str">
        <f>HYPERLINK("https://portal.gdc.cancer.gov/cases/49dc3e68-6206-4f16-969f-a758cc7be8ed","TCGA-BH-A0BA-01A")</f>
        <v>TCGA-BH-A0BA-01A</v>
      </c>
      <c r="I13975" t="s">
        <v>17</v>
      </c>
      <c r="J13975" t="s">
        <v>524</v>
      </c>
      <c r="K13975" t="s">
        <v>33</v>
      </c>
      <c r="L13975" t="s">
        <v>20</v>
      </c>
      <c r="N13975" t="s">
        <v>29</v>
      </c>
    </row>
    <row r="13976" spans="1:14">
      <c r="A13976" s="4" t="str">
        <f t="shared" si="1146"/>
        <v>EXP00414</v>
      </c>
      <c r="B13976" s="3" t="s">
        <v>66</v>
      </c>
      <c r="C13976" s="4" t="str">
        <f t="shared" si="1145"/>
        <v>TCGA-BRCA</v>
      </c>
      <c r="D13976" s="1" t="s">
        <v>493</v>
      </c>
      <c r="E13976" t="s">
        <v>532</v>
      </c>
      <c r="F13976" s="1">
        <v>2</v>
      </c>
      <c r="G13976" s="1" t="s">
        <v>32</v>
      </c>
      <c r="H13976" s="4" t="str">
        <f>HYPERLINK("https://portal.gdc.cancer.gov/cases/327a2395-85c8-42e1-9638-8e037a1723ed","TCGA-BH-A0BC-01A")</f>
        <v>TCGA-BH-A0BC-01A</v>
      </c>
      <c r="I13976" t="s">
        <v>17</v>
      </c>
      <c r="J13976" t="s">
        <v>524</v>
      </c>
      <c r="K13976" t="s">
        <v>33</v>
      </c>
      <c r="L13976" t="s">
        <v>20</v>
      </c>
      <c r="N13976" t="s">
        <v>29</v>
      </c>
    </row>
    <row r="13977" spans="1:14">
      <c r="A13977" s="4" t="str">
        <f t="shared" si="1146"/>
        <v>EXP00414</v>
      </c>
      <c r="B13977" s="3" t="s">
        <v>66</v>
      </c>
      <c r="C13977" s="4" t="str">
        <f t="shared" si="1145"/>
        <v>TCGA-BRCA</v>
      </c>
      <c r="D13977" s="1" t="s">
        <v>493</v>
      </c>
      <c r="E13977" t="s">
        <v>532</v>
      </c>
      <c r="F13977" s="1">
        <v>2</v>
      </c>
      <c r="G13977" s="1" t="s">
        <v>32</v>
      </c>
      <c r="H13977" s="4" t="str">
        <f>HYPERLINK("https://portal.gdc.cancer.gov/cases/b379bfb8-284e-4300-8325-85cfd6809cb8","TCGA-BH-A0BD-01A")</f>
        <v>TCGA-BH-A0BD-01A</v>
      </c>
      <c r="I13977" t="s">
        <v>17</v>
      </c>
      <c r="J13977" t="s">
        <v>524</v>
      </c>
      <c r="K13977" t="s">
        <v>33</v>
      </c>
      <c r="L13977" t="s">
        <v>20</v>
      </c>
      <c r="N13977" t="s">
        <v>29</v>
      </c>
    </row>
    <row r="13978" spans="1:14">
      <c r="A13978" s="4" t="str">
        <f t="shared" si="1146"/>
        <v>EXP00414</v>
      </c>
      <c r="B13978" s="3" t="s">
        <v>66</v>
      </c>
      <c r="C13978" s="4" t="str">
        <f t="shared" si="1145"/>
        <v>TCGA-BRCA</v>
      </c>
      <c r="D13978" s="1" t="s">
        <v>493</v>
      </c>
      <c r="E13978" t="s">
        <v>532</v>
      </c>
      <c r="F13978" s="1">
        <v>2</v>
      </c>
      <c r="G13978" s="1" t="s">
        <v>32</v>
      </c>
      <c r="H13978" s="4" t="str">
        <f>HYPERLINK("https://portal.gdc.cancer.gov/cases/e6b79d7a-ed6b-459a-b040-d142616e7ab4","TCGA-BH-A0BF-01A")</f>
        <v>TCGA-BH-A0BF-01A</v>
      </c>
      <c r="I13978" t="s">
        <v>17</v>
      </c>
      <c r="J13978" t="s">
        <v>524</v>
      </c>
      <c r="K13978" t="s">
        <v>33</v>
      </c>
      <c r="L13978" t="s">
        <v>20</v>
      </c>
      <c r="N13978" t="s">
        <v>29</v>
      </c>
    </row>
    <row r="13979" spans="1:14">
      <c r="A13979" s="4" t="str">
        <f t="shared" si="1146"/>
        <v>EXP00414</v>
      </c>
      <c r="B13979" s="3" t="s">
        <v>66</v>
      </c>
      <c r="C13979" s="4" t="str">
        <f t="shared" si="1145"/>
        <v>TCGA-BRCA</v>
      </c>
      <c r="D13979" s="1" t="s">
        <v>493</v>
      </c>
      <c r="E13979" t="s">
        <v>532</v>
      </c>
      <c r="F13979" s="1">
        <v>2</v>
      </c>
      <c r="G13979" s="1" t="s">
        <v>32</v>
      </c>
      <c r="H13979" s="4" t="str">
        <f>HYPERLINK("https://portal.gdc.cancer.gov/cases/4f608829-ffc4-4527-886e-6bc764ab29f5","TCGA-BH-A0BG-01A")</f>
        <v>TCGA-BH-A0BG-01A</v>
      </c>
      <c r="I13979" t="s">
        <v>17</v>
      </c>
      <c r="J13979" t="s">
        <v>524</v>
      </c>
      <c r="K13979" t="s">
        <v>33</v>
      </c>
      <c r="L13979" t="s">
        <v>20</v>
      </c>
      <c r="N13979" t="s">
        <v>29</v>
      </c>
    </row>
    <row r="13980" spans="1:14">
      <c r="A13980" s="4" t="str">
        <f t="shared" si="1146"/>
        <v>EXP00414</v>
      </c>
      <c r="B13980" s="3" t="s">
        <v>66</v>
      </c>
      <c r="C13980" s="4" t="str">
        <f t="shared" si="1145"/>
        <v>TCGA-BRCA</v>
      </c>
      <c r="D13980" s="1" t="s">
        <v>493</v>
      </c>
      <c r="E13980" t="s">
        <v>532</v>
      </c>
      <c r="F13980" s="1">
        <v>2</v>
      </c>
      <c r="G13980" s="1" t="s">
        <v>32</v>
      </c>
      <c r="H13980" s="4" t="str">
        <f>HYPERLINK("https://portal.gdc.cancer.gov/cases/d6f911b5-e895-43f8-8f86-0ac2f1bc6fae","TCGA-BH-A0BJ-01A")</f>
        <v>TCGA-BH-A0BJ-01A</v>
      </c>
      <c r="I13980" t="s">
        <v>17</v>
      </c>
      <c r="J13980" t="s">
        <v>524</v>
      </c>
      <c r="K13980" t="s">
        <v>33</v>
      </c>
      <c r="L13980" t="s">
        <v>20</v>
      </c>
      <c r="N13980" t="s">
        <v>29</v>
      </c>
    </row>
    <row r="13981" spans="1:14">
      <c r="A13981" s="4" t="str">
        <f t="shared" si="1146"/>
        <v>EXP00414</v>
      </c>
      <c r="B13981" s="3" t="s">
        <v>66</v>
      </c>
      <c r="C13981" s="4" t="str">
        <f t="shared" si="1145"/>
        <v>TCGA-BRCA</v>
      </c>
      <c r="D13981" s="1" t="s">
        <v>493</v>
      </c>
      <c r="E13981" t="s">
        <v>532</v>
      </c>
      <c r="F13981" s="1">
        <v>2</v>
      </c>
      <c r="G13981" s="1" t="s">
        <v>32</v>
      </c>
      <c r="H13981" s="4" t="str">
        <f>HYPERLINK("https://portal.gdc.cancer.gov/cases/92b5de82-0221-4df1-8094-80f40c0bb4fa","TCGA-BH-A0BL-01A")</f>
        <v>TCGA-BH-A0BL-01A</v>
      </c>
      <c r="I13981" t="s">
        <v>17</v>
      </c>
      <c r="J13981" t="s">
        <v>524</v>
      </c>
      <c r="K13981" t="s">
        <v>33</v>
      </c>
      <c r="L13981" t="s">
        <v>20</v>
      </c>
      <c r="N13981" t="s">
        <v>29</v>
      </c>
    </row>
    <row r="13982" spans="1:14">
      <c r="A13982" s="4" t="str">
        <f t="shared" si="1146"/>
        <v>EXP00414</v>
      </c>
      <c r="B13982" s="3" t="s">
        <v>66</v>
      </c>
      <c r="C13982" s="4" t="str">
        <f t="shared" si="1145"/>
        <v>TCGA-BRCA</v>
      </c>
      <c r="D13982" s="1" t="s">
        <v>493</v>
      </c>
      <c r="E13982" t="s">
        <v>532</v>
      </c>
      <c r="F13982" s="1">
        <v>2</v>
      </c>
      <c r="G13982" s="1" t="s">
        <v>32</v>
      </c>
      <c r="H13982" s="4" t="str">
        <f>HYPERLINK("https://portal.gdc.cancer.gov/cases/c2aeee6c-ba10-4cf9-b560-c739580f7bf3","TCGA-BH-A0BM-01A")</f>
        <v>TCGA-BH-A0BM-01A</v>
      </c>
      <c r="I13982" t="s">
        <v>17</v>
      </c>
      <c r="J13982" t="s">
        <v>524</v>
      </c>
      <c r="K13982" t="s">
        <v>33</v>
      </c>
      <c r="L13982" t="s">
        <v>20</v>
      </c>
      <c r="N13982" t="s">
        <v>29</v>
      </c>
    </row>
    <row r="13983" spans="1:14">
      <c r="A13983" s="4" t="str">
        <f t="shared" si="1146"/>
        <v>EXP00414</v>
      </c>
      <c r="B13983" s="3" t="s">
        <v>66</v>
      </c>
      <c r="C13983" s="4" t="str">
        <f t="shared" si="1145"/>
        <v>TCGA-BRCA</v>
      </c>
      <c r="D13983" s="1" t="s">
        <v>493</v>
      </c>
      <c r="E13983" t="s">
        <v>532</v>
      </c>
      <c r="F13983" s="1">
        <v>2</v>
      </c>
      <c r="G13983" s="1" t="s">
        <v>32</v>
      </c>
      <c r="H13983" s="4" t="str">
        <f>HYPERLINK("https://portal.gdc.cancer.gov/cases/26573441-eedb-4364-966c-e7f803deef19","TCGA-BH-A0BO-01A")</f>
        <v>TCGA-BH-A0BO-01A</v>
      </c>
      <c r="I13983" t="s">
        <v>17</v>
      </c>
      <c r="J13983" t="s">
        <v>524</v>
      </c>
      <c r="K13983" t="s">
        <v>33</v>
      </c>
      <c r="L13983" t="s">
        <v>20</v>
      </c>
      <c r="N13983" t="s">
        <v>29</v>
      </c>
    </row>
    <row r="13984" spans="1:14">
      <c r="A13984" s="4" t="str">
        <f t="shared" si="1146"/>
        <v>EXP00414</v>
      </c>
      <c r="B13984" s="3" t="s">
        <v>66</v>
      </c>
      <c r="C13984" s="4" t="str">
        <f t="shared" si="1145"/>
        <v>TCGA-BRCA</v>
      </c>
      <c r="D13984" s="1" t="s">
        <v>493</v>
      </c>
      <c r="E13984" t="s">
        <v>532</v>
      </c>
      <c r="F13984" s="1">
        <v>2</v>
      </c>
      <c r="G13984" s="1" t="s">
        <v>32</v>
      </c>
      <c r="H13984" s="4" t="str">
        <f>HYPERLINK("https://portal.gdc.cancer.gov/cases/f251cb6c-d18e-4691-9c82-24ed1ac0abf9","TCGA-BH-A0BP-01A")</f>
        <v>TCGA-BH-A0BP-01A</v>
      </c>
      <c r="I13984" t="s">
        <v>17</v>
      </c>
      <c r="J13984" t="s">
        <v>524</v>
      </c>
      <c r="K13984" t="s">
        <v>33</v>
      </c>
      <c r="L13984" t="s">
        <v>20</v>
      </c>
      <c r="N13984" t="s">
        <v>29</v>
      </c>
    </row>
    <row r="13985" spans="1:14">
      <c r="A13985" s="4" t="str">
        <f t="shared" si="1146"/>
        <v>EXP00414</v>
      </c>
      <c r="B13985" s="3" t="s">
        <v>66</v>
      </c>
      <c r="C13985" s="4" t="str">
        <f t="shared" si="1145"/>
        <v>TCGA-BRCA</v>
      </c>
      <c r="D13985" s="1" t="s">
        <v>493</v>
      </c>
      <c r="E13985" t="s">
        <v>532</v>
      </c>
      <c r="F13985" s="1">
        <v>2</v>
      </c>
      <c r="G13985" s="1" t="s">
        <v>32</v>
      </c>
      <c r="H13985" s="4" t="str">
        <f>HYPERLINK("https://portal.gdc.cancer.gov/cases/b3bb8fd6-ee54-4813-b042-2bbe70115382","TCGA-BH-A0BQ-01A")</f>
        <v>TCGA-BH-A0BQ-01A</v>
      </c>
      <c r="I13985" t="s">
        <v>17</v>
      </c>
      <c r="J13985" t="s">
        <v>524</v>
      </c>
      <c r="K13985" t="s">
        <v>33</v>
      </c>
      <c r="L13985" t="s">
        <v>20</v>
      </c>
      <c r="N13985" t="s">
        <v>29</v>
      </c>
    </row>
    <row r="13986" spans="1:14">
      <c r="A13986" s="4" t="str">
        <f t="shared" si="1146"/>
        <v>EXP00414</v>
      </c>
      <c r="B13986" s="3" t="s">
        <v>66</v>
      </c>
      <c r="C13986" s="4" t="str">
        <f t="shared" si="1145"/>
        <v>TCGA-BRCA</v>
      </c>
      <c r="D13986" s="1" t="s">
        <v>493</v>
      </c>
      <c r="E13986" t="s">
        <v>532</v>
      </c>
      <c r="F13986" s="1">
        <v>2</v>
      </c>
      <c r="G13986" s="1" t="s">
        <v>32</v>
      </c>
      <c r="H13986" s="4" t="str">
        <f>HYPERLINK("https://portal.gdc.cancer.gov/cases/3ecb0147-276d-486c-9af0-ce437c24ba83","TCGA-BH-A0BR-01A")</f>
        <v>TCGA-BH-A0BR-01A</v>
      </c>
      <c r="I13986" t="s">
        <v>17</v>
      </c>
      <c r="J13986" t="s">
        <v>524</v>
      </c>
      <c r="K13986" t="s">
        <v>33</v>
      </c>
      <c r="L13986" t="s">
        <v>20</v>
      </c>
      <c r="N13986" t="s">
        <v>29</v>
      </c>
    </row>
    <row r="13987" spans="1:14">
      <c r="A13987" s="4" t="str">
        <f t="shared" si="1146"/>
        <v>EXP00414</v>
      </c>
      <c r="B13987" s="3" t="s">
        <v>66</v>
      </c>
      <c r="C13987" s="4" t="str">
        <f t="shared" si="1145"/>
        <v>TCGA-BRCA</v>
      </c>
      <c r="D13987" s="1" t="s">
        <v>493</v>
      </c>
      <c r="E13987" t="s">
        <v>532</v>
      </c>
      <c r="F13987" s="1">
        <v>2</v>
      </c>
      <c r="G13987" s="1" t="s">
        <v>32</v>
      </c>
      <c r="H13987" s="4" t="str">
        <f>HYPERLINK("https://portal.gdc.cancer.gov/cases/a32cb96a-78bf-456e-a6ab-2d47b2c67ad4","TCGA-BH-A0BT-01A")</f>
        <v>TCGA-BH-A0BT-01A</v>
      </c>
      <c r="I13987" t="s">
        <v>17</v>
      </c>
      <c r="J13987" t="s">
        <v>524</v>
      </c>
      <c r="K13987" t="s">
        <v>33</v>
      </c>
      <c r="L13987" t="s">
        <v>20</v>
      </c>
      <c r="N13987" t="s">
        <v>29</v>
      </c>
    </row>
    <row r="13988" spans="1:14">
      <c r="A13988" s="4" t="str">
        <f t="shared" si="1146"/>
        <v>EXP00414</v>
      </c>
      <c r="B13988" s="3" t="s">
        <v>66</v>
      </c>
      <c r="C13988" s="4" t="str">
        <f t="shared" si="1145"/>
        <v>TCGA-BRCA</v>
      </c>
      <c r="D13988" s="1" t="s">
        <v>493</v>
      </c>
      <c r="E13988" t="s">
        <v>532</v>
      </c>
      <c r="F13988" s="1">
        <v>2</v>
      </c>
      <c r="G13988" s="1" t="s">
        <v>32</v>
      </c>
      <c r="H13988" s="4" t="str">
        <f>HYPERLINK("https://portal.gdc.cancer.gov/cases/87f03d04-e651-4a6e-aea6-1c946aa46202","TCGA-BH-A0BV-01A")</f>
        <v>TCGA-BH-A0BV-01A</v>
      </c>
      <c r="I13988" t="s">
        <v>17</v>
      </c>
      <c r="J13988" t="s">
        <v>524</v>
      </c>
      <c r="K13988" t="s">
        <v>33</v>
      </c>
      <c r="L13988" t="s">
        <v>20</v>
      </c>
      <c r="N13988" t="s">
        <v>29</v>
      </c>
    </row>
    <row r="13989" spans="1:14">
      <c r="A13989" s="4" t="str">
        <f t="shared" si="1146"/>
        <v>EXP00414</v>
      </c>
      <c r="B13989" s="3" t="s">
        <v>66</v>
      </c>
      <c r="C13989" s="4" t="str">
        <f t="shared" si="1145"/>
        <v>TCGA-BRCA</v>
      </c>
      <c r="D13989" s="1" t="s">
        <v>493</v>
      </c>
      <c r="E13989" t="s">
        <v>532</v>
      </c>
      <c r="F13989" s="1">
        <v>2</v>
      </c>
      <c r="G13989" s="1" t="s">
        <v>32</v>
      </c>
      <c r="H13989" s="4" t="str">
        <f>HYPERLINK("https://portal.gdc.cancer.gov/cases/5d1d00c6-fcae-479e-ae1e-de76efd41d98","TCGA-BH-A0BW-01A")</f>
        <v>TCGA-BH-A0BW-01A</v>
      </c>
      <c r="I13989" t="s">
        <v>17</v>
      </c>
      <c r="J13989" t="s">
        <v>524</v>
      </c>
      <c r="K13989" t="s">
        <v>33</v>
      </c>
      <c r="L13989" t="s">
        <v>20</v>
      </c>
      <c r="N13989" t="s">
        <v>29</v>
      </c>
    </row>
    <row r="13990" spans="1:14">
      <c r="A13990" s="4" t="str">
        <f t="shared" si="1146"/>
        <v>EXP00414</v>
      </c>
      <c r="B13990" s="3" t="s">
        <v>66</v>
      </c>
      <c r="C13990" s="4" t="str">
        <f t="shared" si="1145"/>
        <v>TCGA-BRCA</v>
      </c>
      <c r="D13990" s="1" t="s">
        <v>493</v>
      </c>
      <c r="E13990" t="s">
        <v>532</v>
      </c>
      <c r="F13990" s="1">
        <v>2</v>
      </c>
      <c r="G13990" s="1" t="s">
        <v>32</v>
      </c>
      <c r="H13990" s="4" t="str">
        <f>HYPERLINK("https://portal.gdc.cancer.gov/cases/4a032bad-e726-48f2-8f39-e3acc109cc91","TCGA-BH-A0BZ-01A")</f>
        <v>TCGA-BH-A0BZ-01A</v>
      </c>
      <c r="I13990" t="s">
        <v>17</v>
      </c>
      <c r="J13990" t="s">
        <v>524</v>
      </c>
      <c r="K13990" t="s">
        <v>33</v>
      </c>
      <c r="L13990" t="s">
        <v>20</v>
      </c>
      <c r="N13990" t="s">
        <v>29</v>
      </c>
    </row>
    <row r="13991" spans="1:14">
      <c r="A13991" s="4" t="str">
        <f t="shared" si="1146"/>
        <v>EXP00414</v>
      </c>
      <c r="B13991" s="3" t="s">
        <v>66</v>
      </c>
      <c r="C13991" s="4" t="str">
        <f t="shared" si="1145"/>
        <v>TCGA-BRCA</v>
      </c>
      <c r="D13991" s="1" t="s">
        <v>493</v>
      </c>
      <c r="E13991" t="s">
        <v>532</v>
      </c>
      <c r="F13991" s="1">
        <v>2</v>
      </c>
      <c r="G13991" s="1" t="s">
        <v>32</v>
      </c>
      <c r="H13991" s="4" t="str">
        <f>HYPERLINK("https://portal.gdc.cancer.gov/cases/7875018b-91dc-4ab1-83b0-ee3883e2816e","TCGA-BH-A0C0-01A")</f>
        <v>TCGA-BH-A0C0-01A</v>
      </c>
      <c r="I13991" t="s">
        <v>17</v>
      </c>
      <c r="J13991" t="s">
        <v>524</v>
      </c>
      <c r="K13991" t="s">
        <v>33</v>
      </c>
      <c r="L13991" t="s">
        <v>20</v>
      </c>
      <c r="N13991" t="s">
        <v>29</v>
      </c>
    </row>
    <row r="13992" spans="1:14">
      <c r="A13992" s="4" t="str">
        <f t="shared" si="1146"/>
        <v>EXP00414</v>
      </c>
      <c r="B13992" s="3" t="s">
        <v>66</v>
      </c>
      <c r="C13992" s="4" t="str">
        <f t="shared" si="1145"/>
        <v>TCGA-BRCA</v>
      </c>
      <c r="D13992" s="1" t="s">
        <v>493</v>
      </c>
      <c r="E13992" t="s">
        <v>532</v>
      </c>
      <c r="F13992" s="1">
        <v>2</v>
      </c>
      <c r="G13992" s="1" t="s">
        <v>32</v>
      </c>
      <c r="H13992" s="4" t="str">
        <f>HYPERLINK("https://portal.gdc.cancer.gov/cases/d10a4887-373b-4726-a61d-126f950e4a06","TCGA-BH-A0C1-01B")</f>
        <v>TCGA-BH-A0C1-01B</v>
      </c>
      <c r="I13992" t="s">
        <v>17</v>
      </c>
      <c r="J13992" t="s">
        <v>524</v>
      </c>
      <c r="K13992" t="s">
        <v>33</v>
      </c>
      <c r="L13992" t="s">
        <v>20</v>
      </c>
      <c r="N13992" t="s">
        <v>29</v>
      </c>
    </row>
    <row r="13993" spans="1:14">
      <c r="A13993" s="4" t="str">
        <f t="shared" si="1146"/>
        <v>EXP00414</v>
      </c>
      <c r="B13993" s="3" t="s">
        <v>66</v>
      </c>
      <c r="C13993" s="4" t="str">
        <f t="shared" si="1145"/>
        <v>TCGA-BRCA</v>
      </c>
      <c r="D13993" s="1" t="s">
        <v>493</v>
      </c>
      <c r="E13993" t="s">
        <v>532</v>
      </c>
      <c r="F13993" s="1">
        <v>2</v>
      </c>
      <c r="G13993" s="1" t="s">
        <v>32</v>
      </c>
      <c r="H13993" s="4" t="str">
        <f>HYPERLINK("https://portal.gdc.cancer.gov/cases/7bcf6d42-eb8f-4aa2-825b-38671d4f9e3a","TCGA-BH-A0C3-01A")</f>
        <v>TCGA-BH-A0C3-01A</v>
      </c>
      <c r="I13993" t="s">
        <v>17</v>
      </c>
      <c r="J13993" t="s">
        <v>524</v>
      </c>
      <c r="K13993" t="s">
        <v>33</v>
      </c>
      <c r="L13993" t="s">
        <v>20</v>
      </c>
      <c r="N13993" t="s">
        <v>29</v>
      </c>
    </row>
    <row r="13994" spans="1:14">
      <c r="A13994" s="4" t="str">
        <f t="shared" si="1146"/>
        <v>EXP00414</v>
      </c>
      <c r="B13994" s="3" t="s">
        <v>66</v>
      </c>
      <c r="C13994" s="4" t="str">
        <f t="shared" si="1145"/>
        <v>TCGA-BRCA</v>
      </c>
      <c r="D13994" s="1" t="s">
        <v>493</v>
      </c>
      <c r="E13994" t="s">
        <v>532</v>
      </c>
      <c r="F13994" s="1">
        <v>2</v>
      </c>
      <c r="G13994" s="1" t="s">
        <v>32</v>
      </c>
      <c r="H13994" s="4" t="str">
        <f>HYPERLINK("https://portal.gdc.cancer.gov/cases/e1119732-3e97-4259-bc69-dc4269d9496d","TCGA-BH-A0C7-01B")</f>
        <v>TCGA-BH-A0C7-01B</v>
      </c>
      <c r="I13994" t="s">
        <v>17</v>
      </c>
      <c r="J13994" t="s">
        <v>524</v>
      </c>
      <c r="K13994" t="s">
        <v>33</v>
      </c>
      <c r="L13994" t="s">
        <v>20</v>
      </c>
      <c r="N13994" t="s">
        <v>29</v>
      </c>
    </row>
    <row r="13995" spans="1:14">
      <c r="A13995" s="4" t="str">
        <f t="shared" si="1146"/>
        <v>EXP00414</v>
      </c>
      <c r="B13995" s="3" t="s">
        <v>66</v>
      </c>
      <c r="C13995" s="4" t="str">
        <f t="shared" si="1145"/>
        <v>TCGA-BRCA</v>
      </c>
      <c r="D13995" s="1" t="s">
        <v>493</v>
      </c>
      <c r="E13995" t="s">
        <v>532</v>
      </c>
      <c r="F13995" s="1">
        <v>2</v>
      </c>
      <c r="G13995" s="1" t="s">
        <v>32</v>
      </c>
      <c r="H13995" s="4" t="str">
        <f>HYPERLINK("https://portal.gdc.cancer.gov/cases/dba9beec-5e51-48c0-9229-0ee286a02a1a","TCGA-BH-A0DD-01A")</f>
        <v>TCGA-BH-A0DD-01A</v>
      </c>
      <c r="I13995" t="s">
        <v>17</v>
      </c>
      <c r="J13995" t="s">
        <v>524</v>
      </c>
      <c r="K13995" t="s">
        <v>33</v>
      </c>
      <c r="L13995" t="s">
        <v>20</v>
      </c>
      <c r="N13995" t="s">
        <v>29</v>
      </c>
    </row>
    <row r="13996" spans="1:14">
      <c r="A13996" s="4" t="str">
        <f t="shared" si="1146"/>
        <v>EXP00414</v>
      </c>
      <c r="B13996" s="3" t="s">
        <v>66</v>
      </c>
      <c r="C13996" s="4" t="str">
        <f t="shared" si="1145"/>
        <v>TCGA-BRCA</v>
      </c>
      <c r="D13996" s="1" t="s">
        <v>493</v>
      </c>
      <c r="E13996" t="s">
        <v>532</v>
      </c>
      <c r="F13996" s="1">
        <v>2</v>
      </c>
      <c r="G13996" s="1" t="s">
        <v>32</v>
      </c>
      <c r="H13996" s="4" t="str">
        <f>HYPERLINK("https://portal.gdc.cancer.gov/cases/7f0bbba1-9bc3-45db-bdda-eb3319bb15d2","TCGA-BH-A0DE-01A")</f>
        <v>TCGA-BH-A0DE-01A</v>
      </c>
      <c r="I13996" t="s">
        <v>17</v>
      </c>
      <c r="J13996" t="s">
        <v>524</v>
      </c>
      <c r="K13996" t="s">
        <v>33</v>
      </c>
      <c r="L13996" t="s">
        <v>20</v>
      </c>
      <c r="N13996" t="s">
        <v>29</v>
      </c>
    </row>
    <row r="13997" spans="1:14">
      <c r="A13997" s="4" t="str">
        <f t="shared" si="1146"/>
        <v>EXP00414</v>
      </c>
      <c r="B13997" s="3" t="s">
        <v>66</v>
      </c>
      <c r="C13997" s="4" t="str">
        <f t="shared" si="1145"/>
        <v>TCGA-BRCA</v>
      </c>
      <c r="D13997" s="1" t="s">
        <v>493</v>
      </c>
      <c r="E13997" t="s">
        <v>532</v>
      </c>
      <c r="F13997" s="1">
        <v>2</v>
      </c>
      <c r="G13997" s="1" t="s">
        <v>32</v>
      </c>
      <c r="H13997" s="4" t="str">
        <f>HYPERLINK("https://portal.gdc.cancer.gov/cases/0bc5744c-5fa3-45bb-87d0-70a02068b392","TCGA-BH-A0DG-01A")</f>
        <v>TCGA-BH-A0DG-01A</v>
      </c>
      <c r="I13997" t="s">
        <v>17</v>
      </c>
      <c r="J13997" t="s">
        <v>524</v>
      </c>
      <c r="K13997" t="s">
        <v>33</v>
      </c>
      <c r="L13997" t="s">
        <v>20</v>
      </c>
      <c r="N13997" t="s">
        <v>29</v>
      </c>
    </row>
    <row r="13998" spans="1:14">
      <c r="A13998" s="4" t="str">
        <f t="shared" si="1146"/>
        <v>EXP00414</v>
      </c>
      <c r="B13998" s="3" t="s">
        <v>66</v>
      </c>
      <c r="C13998" s="4" t="str">
        <f t="shared" si="1145"/>
        <v>TCGA-BRCA</v>
      </c>
      <c r="D13998" s="1" t="s">
        <v>493</v>
      </c>
      <c r="E13998" t="s">
        <v>532</v>
      </c>
      <c r="F13998" s="1">
        <v>2</v>
      </c>
      <c r="G13998" s="1" t="s">
        <v>32</v>
      </c>
      <c r="H13998" s="4" t="str">
        <f>HYPERLINK("https://portal.gdc.cancer.gov/cases/491b6364-1223-474f-816f-e248c8c841e2","TCGA-BH-A0DH-01A")</f>
        <v>TCGA-BH-A0DH-01A</v>
      </c>
      <c r="I13998" t="s">
        <v>17</v>
      </c>
      <c r="J13998" t="s">
        <v>524</v>
      </c>
      <c r="K13998" t="s">
        <v>33</v>
      </c>
      <c r="L13998" t="s">
        <v>20</v>
      </c>
      <c r="N13998" t="s">
        <v>29</v>
      </c>
    </row>
    <row r="13999" spans="1:14">
      <c r="A13999" s="4" t="str">
        <f t="shared" si="1146"/>
        <v>EXP00414</v>
      </c>
      <c r="B13999" s="3" t="s">
        <v>66</v>
      </c>
      <c r="C13999" s="4" t="str">
        <f t="shared" si="1145"/>
        <v>TCGA-BRCA</v>
      </c>
      <c r="D13999" s="1" t="s">
        <v>493</v>
      </c>
      <c r="E13999" t="s">
        <v>532</v>
      </c>
      <c r="F13999" s="1">
        <v>2</v>
      </c>
      <c r="G13999" s="1" t="s">
        <v>32</v>
      </c>
      <c r="H13999" s="4" t="str">
        <f>HYPERLINK("https://portal.gdc.cancer.gov/cases/27ba717a-5cd8-440a-9345-4ae086f6efca","TCGA-BH-A0DI-01A")</f>
        <v>TCGA-BH-A0DI-01A</v>
      </c>
      <c r="I13999" t="s">
        <v>17</v>
      </c>
      <c r="J13999" t="s">
        <v>524</v>
      </c>
      <c r="K13999" t="s">
        <v>33</v>
      </c>
      <c r="L13999" t="s">
        <v>20</v>
      </c>
      <c r="N13999" t="s">
        <v>29</v>
      </c>
    </row>
    <row r="14000" spans="1:14">
      <c r="A14000" s="4" t="str">
        <f t="shared" si="1146"/>
        <v>EXP00414</v>
      </c>
      <c r="B14000" s="3" t="s">
        <v>66</v>
      </c>
      <c r="C14000" s="4" t="str">
        <f t="shared" si="1145"/>
        <v>TCGA-BRCA</v>
      </c>
      <c r="D14000" s="1" t="s">
        <v>493</v>
      </c>
      <c r="E14000" t="s">
        <v>532</v>
      </c>
      <c r="F14000" s="1">
        <v>2</v>
      </c>
      <c r="G14000" s="1" t="s">
        <v>32</v>
      </c>
      <c r="H14000" s="4" t="str">
        <f>HYPERLINK("https://portal.gdc.cancer.gov/cases/f2bbfa9d-9a9d-4f46-9fde-378e4c44e2ad","TCGA-BH-A0DK-01A")</f>
        <v>TCGA-BH-A0DK-01A</v>
      </c>
      <c r="I14000" t="s">
        <v>17</v>
      </c>
      <c r="J14000" t="s">
        <v>524</v>
      </c>
      <c r="K14000" t="s">
        <v>33</v>
      </c>
      <c r="L14000" t="s">
        <v>20</v>
      </c>
      <c r="N14000" t="s">
        <v>29</v>
      </c>
    </row>
    <row r="14001" spans="1:14">
      <c r="A14001" s="4" t="str">
        <f t="shared" si="1146"/>
        <v>EXP00414</v>
      </c>
      <c r="B14001" s="3" t="s">
        <v>66</v>
      </c>
      <c r="C14001" s="4" t="str">
        <f t="shared" si="1145"/>
        <v>TCGA-BRCA</v>
      </c>
      <c r="D14001" s="1" t="s">
        <v>493</v>
      </c>
      <c r="E14001" t="s">
        <v>532</v>
      </c>
      <c r="F14001" s="1">
        <v>2</v>
      </c>
      <c r="G14001" s="1" t="s">
        <v>32</v>
      </c>
      <c r="H14001" s="4" t="str">
        <f>HYPERLINK("https://portal.gdc.cancer.gov/cases/ba39bfbc-5cac-4f6c-b55c-4eee3466ee93","TCGA-BH-A0DL-01A")</f>
        <v>TCGA-BH-A0DL-01A</v>
      </c>
      <c r="I14001" t="s">
        <v>17</v>
      </c>
      <c r="J14001" t="s">
        <v>524</v>
      </c>
      <c r="K14001" t="s">
        <v>33</v>
      </c>
      <c r="L14001" t="s">
        <v>20</v>
      </c>
      <c r="N14001" t="s">
        <v>29</v>
      </c>
    </row>
    <row r="14002" spans="1:14">
      <c r="A14002" s="4" t="str">
        <f t="shared" si="1146"/>
        <v>EXP00414</v>
      </c>
      <c r="B14002" s="3" t="s">
        <v>66</v>
      </c>
      <c r="C14002" s="4" t="str">
        <f t="shared" si="1145"/>
        <v>TCGA-BRCA</v>
      </c>
      <c r="D14002" s="1" t="s">
        <v>493</v>
      </c>
      <c r="E14002" t="s">
        <v>532</v>
      </c>
      <c r="F14002" s="1">
        <v>2</v>
      </c>
      <c r="G14002" s="1" t="s">
        <v>32</v>
      </c>
      <c r="H14002" s="4" t="str">
        <f>HYPERLINK("https://portal.gdc.cancer.gov/cases/d3d4d709-ab34-4617-aa8c-51a3d0a3efe6","TCGA-BH-A0DO-01B")</f>
        <v>TCGA-BH-A0DO-01B</v>
      </c>
      <c r="I14002" t="s">
        <v>17</v>
      </c>
      <c r="J14002" t="s">
        <v>524</v>
      </c>
      <c r="K14002" t="s">
        <v>33</v>
      </c>
      <c r="L14002" t="s">
        <v>20</v>
      </c>
      <c r="N14002" t="s">
        <v>29</v>
      </c>
    </row>
    <row r="14003" spans="1:14">
      <c r="A14003" s="4" t="str">
        <f t="shared" si="1146"/>
        <v>EXP00414</v>
      </c>
      <c r="B14003" s="3" t="s">
        <v>66</v>
      </c>
      <c r="C14003" s="4" t="str">
        <f t="shared" si="1145"/>
        <v>TCGA-BRCA</v>
      </c>
      <c r="D14003" s="1" t="s">
        <v>493</v>
      </c>
      <c r="E14003" t="s">
        <v>532</v>
      </c>
      <c r="F14003" s="1">
        <v>2</v>
      </c>
      <c r="G14003" s="1" t="s">
        <v>32</v>
      </c>
      <c r="H14003" s="4" t="str">
        <f>HYPERLINK("https://portal.gdc.cancer.gov/cases/14267783-5624-4fe5-ba81-9d67f1017474","TCGA-BH-A0DP-01A")</f>
        <v>TCGA-BH-A0DP-01A</v>
      </c>
      <c r="I14003" t="s">
        <v>17</v>
      </c>
      <c r="J14003" t="s">
        <v>524</v>
      </c>
      <c r="K14003" t="s">
        <v>33</v>
      </c>
      <c r="L14003" t="s">
        <v>20</v>
      </c>
      <c r="N14003" t="s">
        <v>29</v>
      </c>
    </row>
    <row r="14004" spans="1:14">
      <c r="A14004" s="4" t="str">
        <f t="shared" si="1146"/>
        <v>EXP00414</v>
      </c>
      <c r="B14004" s="3" t="s">
        <v>66</v>
      </c>
      <c r="C14004" s="4" t="str">
        <f t="shared" si="1145"/>
        <v>TCGA-BRCA</v>
      </c>
      <c r="D14004" s="1" t="s">
        <v>493</v>
      </c>
      <c r="E14004" t="s">
        <v>532</v>
      </c>
      <c r="F14004" s="1">
        <v>2</v>
      </c>
      <c r="G14004" s="1" t="s">
        <v>32</v>
      </c>
      <c r="H14004" s="4" t="str">
        <f>HYPERLINK("https://portal.gdc.cancer.gov/cases/a851ca14-7bbf-455b-a054-ec03979a4247","TCGA-BH-A0DQ-01A")</f>
        <v>TCGA-BH-A0DQ-01A</v>
      </c>
      <c r="I14004" t="s">
        <v>17</v>
      </c>
      <c r="J14004" t="s">
        <v>524</v>
      </c>
      <c r="K14004" t="s">
        <v>33</v>
      </c>
      <c r="L14004" t="s">
        <v>20</v>
      </c>
      <c r="N14004" t="s">
        <v>29</v>
      </c>
    </row>
    <row r="14005" spans="1:14">
      <c r="A14005" s="4" t="str">
        <f t="shared" si="1146"/>
        <v>EXP00414</v>
      </c>
      <c r="B14005" s="3" t="s">
        <v>66</v>
      </c>
      <c r="C14005" s="4" t="str">
        <f t="shared" si="1145"/>
        <v>TCGA-BRCA</v>
      </c>
      <c r="D14005" s="1" t="s">
        <v>493</v>
      </c>
      <c r="E14005" t="s">
        <v>532</v>
      </c>
      <c r="F14005" s="1">
        <v>2</v>
      </c>
      <c r="G14005" s="1" t="s">
        <v>32</v>
      </c>
      <c r="H14005" s="4" t="str">
        <f>HYPERLINK("https://portal.gdc.cancer.gov/cases/fb57c598-b45b-478a-9d34-ca1f050d5b7c","TCGA-BH-A0DS-01A")</f>
        <v>TCGA-BH-A0DS-01A</v>
      </c>
      <c r="I14005" t="s">
        <v>17</v>
      </c>
      <c r="J14005" t="s">
        <v>524</v>
      </c>
      <c r="K14005" t="s">
        <v>33</v>
      </c>
      <c r="L14005" t="s">
        <v>20</v>
      </c>
      <c r="N14005" t="s">
        <v>29</v>
      </c>
    </row>
    <row r="14006" spans="1:14">
      <c r="A14006" s="4" t="str">
        <f t="shared" si="1146"/>
        <v>EXP00414</v>
      </c>
      <c r="B14006" s="3" t="s">
        <v>66</v>
      </c>
      <c r="C14006" s="4" t="str">
        <f t="shared" si="1145"/>
        <v>TCGA-BRCA</v>
      </c>
      <c r="D14006" s="1" t="s">
        <v>493</v>
      </c>
      <c r="E14006" t="s">
        <v>532</v>
      </c>
      <c r="F14006" s="1">
        <v>2</v>
      </c>
      <c r="G14006" s="1" t="s">
        <v>32</v>
      </c>
      <c r="H14006" s="4" t="str">
        <f>HYPERLINK("https://portal.gdc.cancer.gov/cases/74f31744-0aed-4633-beec-4e203315f0b7","TCGA-BH-A0DT-01A")</f>
        <v>TCGA-BH-A0DT-01A</v>
      </c>
      <c r="I14006" t="s">
        <v>17</v>
      </c>
      <c r="J14006" t="s">
        <v>524</v>
      </c>
      <c r="K14006" t="s">
        <v>33</v>
      </c>
      <c r="L14006" t="s">
        <v>20</v>
      </c>
      <c r="N14006" t="s">
        <v>29</v>
      </c>
    </row>
    <row r="14007" spans="1:14">
      <c r="A14007" s="4" t="str">
        <f t="shared" si="1146"/>
        <v>EXP00414</v>
      </c>
      <c r="B14007" s="3" t="s">
        <v>66</v>
      </c>
      <c r="C14007" s="4" t="str">
        <f t="shared" si="1145"/>
        <v>TCGA-BRCA</v>
      </c>
      <c r="D14007" s="1" t="s">
        <v>493</v>
      </c>
      <c r="E14007" t="s">
        <v>532</v>
      </c>
      <c r="F14007" s="1">
        <v>2</v>
      </c>
      <c r="G14007" s="1" t="s">
        <v>32</v>
      </c>
      <c r="H14007" s="4" t="str">
        <f>HYPERLINK("https://portal.gdc.cancer.gov/cases/96b9c7db-1be1-4b60-b47c-26b654c3d64c","TCGA-BH-A0DV-01A")</f>
        <v>TCGA-BH-A0DV-01A</v>
      </c>
      <c r="I14007" t="s">
        <v>17</v>
      </c>
      <c r="J14007" t="s">
        <v>524</v>
      </c>
      <c r="K14007" t="s">
        <v>33</v>
      </c>
      <c r="L14007" t="s">
        <v>20</v>
      </c>
      <c r="N14007" t="s">
        <v>29</v>
      </c>
    </row>
    <row r="14008" spans="1:14">
      <c r="A14008" s="4" t="str">
        <f t="shared" si="1146"/>
        <v>EXP00414</v>
      </c>
      <c r="B14008" s="3" t="s">
        <v>66</v>
      </c>
      <c r="C14008" s="4" t="str">
        <f t="shared" si="1145"/>
        <v>TCGA-BRCA</v>
      </c>
      <c r="D14008" s="1" t="s">
        <v>493</v>
      </c>
      <c r="E14008" t="s">
        <v>532</v>
      </c>
      <c r="F14008" s="1">
        <v>2</v>
      </c>
      <c r="G14008" s="1" t="s">
        <v>32</v>
      </c>
      <c r="H14008" s="4" t="str">
        <f>HYPERLINK("https://portal.gdc.cancer.gov/cases/035cb359-eac3-484a-9e88-3ddc739440a3","TCGA-BH-A0DX-01A")</f>
        <v>TCGA-BH-A0DX-01A</v>
      </c>
      <c r="I14008" t="s">
        <v>17</v>
      </c>
      <c r="J14008" t="s">
        <v>524</v>
      </c>
      <c r="K14008" t="s">
        <v>33</v>
      </c>
      <c r="L14008" t="s">
        <v>20</v>
      </c>
      <c r="N14008" t="s">
        <v>29</v>
      </c>
    </row>
    <row r="14009" spans="1:14">
      <c r="A14009" s="4" t="str">
        <f t="shared" si="1146"/>
        <v>EXP00414</v>
      </c>
      <c r="B14009" s="3" t="s">
        <v>66</v>
      </c>
      <c r="C14009" s="4" t="str">
        <f t="shared" si="1145"/>
        <v>TCGA-BRCA</v>
      </c>
      <c r="D14009" s="1" t="s">
        <v>493</v>
      </c>
      <c r="E14009" t="s">
        <v>532</v>
      </c>
      <c r="F14009" s="1">
        <v>2</v>
      </c>
      <c r="G14009" s="1" t="s">
        <v>32</v>
      </c>
      <c r="H14009" s="4" t="str">
        <f>HYPERLINK("https://portal.gdc.cancer.gov/cases/478eb8aa-50b8-4ce5-98e4-d518ede4b174","TCGA-BH-A0DZ-01A")</f>
        <v>TCGA-BH-A0DZ-01A</v>
      </c>
      <c r="I14009" t="s">
        <v>17</v>
      </c>
      <c r="J14009" t="s">
        <v>524</v>
      </c>
      <c r="K14009" t="s">
        <v>33</v>
      </c>
      <c r="L14009" t="s">
        <v>20</v>
      </c>
      <c r="N14009" t="s">
        <v>29</v>
      </c>
    </row>
    <row r="14010" spans="1:14">
      <c r="A14010" s="4" t="str">
        <f t="shared" si="1146"/>
        <v>EXP00414</v>
      </c>
      <c r="B14010" s="3" t="s">
        <v>66</v>
      </c>
      <c r="C14010" s="4" t="str">
        <f t="shared" ref="C14010:C14073" si="1147">HYPERLINK("https://portal.gdc.cancer.gov/projects/TCGA-BRCA","TCGA-BRCA")</f>
        <v>TCGA-BRCA</v>
      </c>
      <c r="D14010" s="1" t="s">
        <v>493</v>
      </c>
      <c r="E14010" t="s">
        <v>532</v>
      </c>
      <c r="F14010" s="1">
        <v>2</v>
      </c>
      <c r="G14010" s="1" t="s">
        <v>32</v>
      </c>
      <c r="H14010" s="4" t="str">
        <f>HYPERLINK("https://portal.gdc.cancer.gov/cases/20e8106b-1290-4735-abe4-7621e08e3dc8","TCGA-BH-A0E0-01A")</f>
        <v>TCGA-BH-A0E0-01A</v>
      </c>
      <c r="I14010" t="s">
        <v>17</v>
      </c>
      <c r="J14010" t="s">
        <v>524</v>
      </c>
      <c r="K14010" t="s">
        <v>33</v>
      </c>
      <c r="L14010" t="s">
        <v>20</v>
      </c>
      <c r="N14010" t="s">
        <v>29</v>
      </c>
    </row>
    <row r="14011" spans="1:14">
      <c r="A14011" s="4" t="str">
        <f t="shared" si="1146"/>
        <v>EXP00414</v>
      </c>
      <c r="B14011" s="3" t="s">
        <v>66</v>
      </c>
      <c r="C14011" s="4" t="str">
        <f t="shared" si="1147"/>
        <v>TCGA-BRCA</v>
      </c>
      <c r="D14011" s="1" t="s">
        <v>493</v>
      </c>
      <c r="E14011" t="s">
        <v>532</v>
      </c>
      <c r="F14011" s="1">
        <v>2</v>
      </c>
      <c r="G14011" s="1" t="s">
        <v>32</v>
      </c>
      <c r="H14011" s="4" t="str">
        <f>HYPERLINK("https://portal.gdc.cancer.gov/cases/606fbc6a-b41b-441d-9401-51e54912bf5e","TCGA-BH-A0E1-01A")</f>
        <v>TCGA-BH-A0E1-01A</v>
      </c>
      <c r="I14011" t="s">
        <v>17</v>
      </c>
      <c r="J14011" t="s">
        <v>524</v>
      </c>
      <c r="K14011" t="s">
        <v>33</v>
      </c>
      <c r="L14011" t="s">
        <v>20</v>
      </c>
      <c r="N14011" t="s">
        <v>29</v>
      </c>
    </row>
    <row r="14012" spans="1:14">
      <c r="A14012" s="4" t="str">
        <f t="shared" si="1146"/>
        <v>EXP00414</v>
      </c>
      <c r="B14012" s="3" t="s">
        <v>66</v>
      </c>
      <c r="C14012" s="4" t="str">
        <f t="shared" si="1147"/>
        <v>TCGA-BRCA</v>
      </c>
      <c r="D14012" s="1" t="s">
        <v>493</v>
      </c>
      <c r="E14012" t="s">
        <v>532</v>
      </c>
      <c r="F14012" s="1">
        <v>2</v>
      </c>
      <c r="G14012" s="1" t="s">
        <v>32</v>
      </c>
      <c r="H14012" s="4" t="str">
        <f>HYPERLINK("https://portal.gdc.cancer.gov/cases/8ace3b8c-f23e-48a9-a137-9e046bd9549b","TCGA-BH-A0E2-01A")</f>
        <v>TCGA-BH-A0E2-01A</v>
      </c>
      <c r="I14012" t="s">
        <v>17</v>
      </c>
      <c r="J14012" t="s">
        <v>524</v>
      </c>
      <c r="K14012" t="s">
        <v>33</v>
      </c>
      <c r="L14012" t="s">
        <v>20</v>
      </c>
      <c r="N14012" t="s">
        <v>29</v>
      </c>
    </row>
    <row r="14013" spans="1:14">
      <c r="A14013" s="4" t="str">
        <f t="shared" si="1146"/>
        <v>EXP00414</v>
      </c>
      <c r="B14013" s="3" t="s">
        <v>66</v>
      </c>
      <c r="C14013" s="4" t="str">
        <f t="shared" si="1147"/>
        <v>TCGA-BRCA</v>
      </c>
      <c r="D14013" s="1" t="s">
        <v>493</v>
      </c>
      <c r="E14013" t="s">
        <v>532</v>
      </c>
      <c r="F14013" s="1">
        <v>2</v>
      </c>
      <c r="G14013" s="1" t="s">
        <v>32</v>
      </c>
      <c r="H14013" s="4" t="str">
        <f>HYPERLINK("https://portal.gdc.cancer.gov/cases/6c0066e3-96df-4870-bcd3-98cda64082e9","TCGA-BH-A0E6-01A")</f>
        <v>TCGA-BH-A0E6-01A</v>
      </c>
      <c r="I14013" t="s">
        <v>17</v>
      </c>
      <c r="J14013" t="s">
        <v>524</v>
      </c>
      <c r="K14013" t="s">
        <v>33</v>
      </c>
      <c r="L14013" t="s">
        <v>20</v>
      </c>
      <c r="N14013" t="s">
        <v>29</v>
      </c>
    </row>
    <row r="14014" spans="1:14">
      <c r="A14014" s="4" t="str">
        <f t="shared" si="1146"/>
        <v>EXP00414</v>
      </c>
      <c r="B14014" s="3" t="s">
        <v>66</v>
      </c>
      <c r="C14014" s="4" t="str">
        <f t="shared" si="1147"/>
        <v>TCGA-BRCA</v>
      </c>
      <c r="D14014" s="1" t="s">
        <v>493</v>
      </c>
      <c r="E14014" t="s">
        <v>532</v>
      </c>
      <c r="F14014" s="1">
        <v>2</v>
      </c>
      <c r="G14014" s="1" t="s">
        <v>32</v>
      </c>
      <c r="H14014" s="4" t="str">
        <f>HYPERLINK("https://portal.gdc.cancer.gov/cases/d3b9d925-ae04-4721-8bfc-50b41225bc74","TCGA-BH-A0E7-01A")</f>
        <v>TCGA-BH-A0E7-01A</v>
      </c>
      <c r="I14014" t="s">
        <v>17</v>
      </c>
      <c r="J14014" t="s">
        <v>524</v>
      </c>
      <c r="K14014" t="s">
        <v>33</v>
      </c>
      <c r="L14014" t="s">
        <v>20</v>
      </c>
      <c r="N14014" t="s">
        <v>29</v>
      </c>
    </row>
    <row r="14015" spans="1:14">
      <c r="A14015" s="4" t="str">
        <f t="shared" si="1146"/>
        <v>EXP00414</v>
      </c>
      <c r="B14015" s="3" t="s">
        <v>66</v>
      </c>
      <c r="C14015" s="4" t="str">
        <f t="shared" si="1147"/>
        <v>TCGA-BRCA</v>
      </c>
      <c r="D14015" s="1" t="s">
        <v>493</v>
      </c>
      <c r="E14015" t="s">
        <v>532</v>
      </c>
      <c r="F14015" s="1">
        <v>2</v>
      </c>
      <c r="G14015" s="1" t="s">
        <v>32</v>
      </c>
      <c r="H14015" s="4" t="str">
        <f>HYPERLINK("https://portal.gdc.cancer.gov/cases/76ace6aa-0505-442c-978a-f889cf2d44bb","TCGA-BH-A0E9-01B")</f>
        <v>TCGA-BH-A0E9-01B</v>
      </c>
      <c r="I14015" t="s">
        <v>17</v>
      </c>
      <c r="J14015" t="s">
        <v>524</v>
      </c>
      <c r="K14015" t="s">
        <v>33</v>
      </c>
      <c r="L14015" t="s">
        <v>20</v>
      </c>
      <c r="N14015" t="s">
        <v>29</v>
      </c>
    </row>
    <row r="14016" spans="1:14">
      <c r="A14016" s="4" t="str">
        <f t="shared" si="1146"/>
        <v>EXP00414</v>
      </c>
      <c r="B14016" s="3" t="s">
        <v>66</v>
      </c>
      <c r="C14016" s="4" t="str">
        <f t="shared" si="1147"/>
        <v>TCGA-BRCA</v>
      </c>
      <c r="D14016" s="1" t="s">
        <v>493</v>
      </c>
      <c r="E14016" t="s">
        <v>532</v>
      </c>
      <c r="F14016" s="1">
        <v>2</v>
      </c>
      <c r="G14016" s="1" t="s">
        <v>32</v>
      </c>
      <c r="H14016" s="4" t="str">
        <f>HYPERLINK("https://portal.gdc.cancer.gov/cases/1f601832-eee3-48fb-acf5-80c4a454f26e","TCGA-BH-A0EA-01A")</f>
        <v>TCGA-BH-A0EA-01A</v>
      </c>
      <c r="I14016" t="s">
        <v>17</v>
      </c>
      <c r="J14016" t="s">
        <v>524</v>
      </c>
      <c r="K14016" t="s">
        <v>33</v>
      </c>
      <c r="L14016" t="s">
        <v>20</v>
      </c>
      <c r="N14016" t="s">
        <v>29</v>
      </c>
    </row>
    <row r="14017" spans="1:14">
      <c r="A14017" s="4" t="str">
        <f t="shared" si="1146"/>
        <v>EXP00414</v>
      </c>
      <c r="B14017" s="3" t="s">
        <v>66</v>
      </c>
      <c r="C14017" s="4" t="str">
        <f t="shared" si="1147"/>
        <v>TCGA-BRCA</v>
      </c>
      <c r="D14017" s="1" t="s">
        <v>493</v>
      </c>
      <c r="E14017" t="s">
        <v>532</v>
      </c>
      <c r="F14017" s="1">
        <v>2</v>
      </c>
      <c r="G14017" s="1" t="s">
        <v>32</v>
      </c>
      <c r="H14017" s="4" t="str">
        <f>HYPERLINK("https://portal.gdc.cancer.gov/cases/ca76c6fc-ff30-4833-884d-3a94fe53ff17","TCGA-BH-A0EE-01A")</f>
        <v>TCGA-BH-A0EE-01A</v>
      </c>
      <c r="I14017" t="s">
        <v>17</v>
      </c>
      <c r="J14017" t="s">
        <v>524</v>
      </c>
      <c r="K14017" t="s">
        <v>33</v>
      </c>
      <c r="L14017" t="s">
        <v>20</v>
      </c>
      <c r="N14017" t="s">
        <v>29</v>
      </c>
    </row>
    <row r="14018" spans="1:14">
      <c r="A14018" s="4" t="str">
        <f t="shared" si="1146"/>
        <v>EXP00414</v>
      </c>
      <c r="B14018" s="3" t="s">
        <v>66</v>
      </c>
      <c r="C14018" s="4" t="str">
        <f t="shared" si="1147"/>
        <v>TCGA-BRCA</v>
      </c>
      <c r="D14018" s="1" t="s">
        <v>493</v>
      </c>
      <c r="E14018" t="s">
        <v>532</v>
      </c>
      <c r="F14018" s="1">
        <v>2</v>
      </c>
      <c r="G14018" s="1" t="s">
        <v>32</v>
      </c>
      <c r="H14018" s="4" t="str">
        <f>HYPERLINK("https://portal.gdc.cancer.gov/cases/22b35927-1c3f-4f98-ba42-deafc56b677a","TCGA-BH-A0EI-01A")</f>
        <v>TCGA-BH-A0EI-01A</v>
      </c>
      <c r="I14018" t="s">
        <v>17</v>
      </c>
      <c r="J14018" t="s">
        <v>524</v>
      </c>
      <c r="K14018" t="s">
        <v>33</v>
      </c>
      <c r="L14018" t="s">
        <v>20</v>
      </c>
      <c r="N14018" t="s">
        <v>29</v>
      </c>
    </row>
    <row r="14019" spans="1:14">
      <c r="A14019" s="4" t="str">
        <f t="shared" ref="A14019:A14082" si="1148">HYPERLINK("http://hcmdb.i-sanger.com/experiment/details/experiment_id/EXP00414","EXP00414")</f>
        <v>EXP00414</v>
      </c>
      <c r="B14019" s="3" t="s">
        <v>66</v>
      </c>
      <c r="C14019" s="4" t="str">
        <f t="shared" si="1147"/>
        <v>TCGA-BRCA</v>
      </c>
      <c r="D14019" s="1" t="s">
        <v>493</v>
      </c>
      <c r="E14019" t="s">
        <v>532</v>
      </c>
      <c r="F14019" s="1">
        <v>2</v>
      </c>
      <c r="G14019" s="1" t="s">
        <v>32</v>
      </c>
      <c r="H14019" s="4" t="str">
        <f>HYPERLINK("https://portal.gdc.cancer.gov/cases/7d9d3522-ec3b-4efe-8c8e-c0e675276ef5","TCGA-BH-A0GY-01A")</f>
        <v>TCGA-BH-A0GY-01A</v>
      </c>
      <c r="I14019" t="s">
        <v>17</v>
      </c>
      <c r="J14019" t="s">
        <v>524</v>
      </c>
      <c r="K14019" t="s">
        <v>33</v>
      </c>
      <c r="L14019" t="s">
        <v>20</v>
      </c>
      <c r="N14019" t="s">
        <v>29</v>
      </c>
    </row>
    <row r="14020" spans="1:14">
      <c r="A14020" s="4" t="str">
        <f t="shared" si="1148"/>
        <v>EXP00414</v>
      </c>
      <c r="B14020" s="3" t="s">
        <v>66</v>
      </c>
      <c r="C14020" s="4" t="str">
        <f t="shared" si="1147"/>
        <v>TCGA-BRCA</v>
      </c>
      <c r="D14020" s="1" t="s">
        <v>493</v>
      </c>
      <c r="E14020" t="s">
        <v>532</v>
      </c>
      <c r="F14020" s="1">
        <v>2</v>
      </c>
      <c r="G14020" s="1" t="s">
        <v>32</v>
      </c>
      <c r="H14020" s="4" t="str">
        <f>HYPERLINK("https://portal.gdc.cancer.gov/cases/27dfb9d4-3a2c-44bc-9acf-8f638d3f3004","TCGA-BH-A0GZ-01A")</f>
        <v>TCGA-BH-A0GZ-01A</v>
      </c>
      <c r="I14020" t="s">
        <v>17</v>
      </c>
      <c r="J14020" t="s">
        <v>524</v>
      </c>
      <c r="K14020" t="s">
        <v>33</v>
      </c>
      <c r="L14020" t="s">
        <v>20</v>
      </c>
      <c r="N14020" t="s">
        <v>29</v>
      </c>
    </row>
    <row r="14021" spans="1:14">
      <c r="A14021" s="4" t="str">
        <f t="shared" si="1148"/>
        <v>EXP00414</v>
      </c>
      <c r="B14021" s="3" t="s">
        <v>66</v>
      </c>
      <c r="C14021" s="4" t="str">
        <f t="shared" si="1147"/>
        <v>TCGA-BRCA</v>
      </c>
      <c r="D14021" s="1" t="s">
        <v>493</v>
      </c>
      <c r="E14021" t="s">
        <v>532</v>
      </c>
      <c r="F14021" s="1">
        <v>2</v>
      </c>
      <c r="G14021" s="1" t="s">
        <v>32</v>
      </c>
      <c r="H14021" s="4" t="str">
        <f>HYPERLINK("https://portal.gdc.cancer.gov/cases/96457ebf-ae88-41f4-97e5-cdc3163418aa","TCGA-BH-A0H0-01A")</f>
        <v>TCGA-BH-A0H0-01A</v>
      </c>
      <c r="I14021" t="s">
        <v>17</v>
      </c>
      <c r="J14021" t="s">
        <v>524</v>
      </c>
      <c r="K14021" t="s">
        <v>33</v>
      </c>
      <c r="L14021" t="s">
        <v>20</v>
      </c>
      <c r="N14021" t="s">
        <v>29</v>
      </c>
    </row>
    <row r="14022" spans="1:14">
      <c r="A14022" s="4" t="str">
        <f t="shared" si="1148"/>
        <v>EXP00414</v>
      </c>
      <c r="B14022" s="3" t="s">
        <v>66</v>
      </c>
      <c r="C14022" s="4" t="str">
        <f t="shared" si="1147"/>
        <v>TCGA-BRCA</v>
      </c>
      <c r="D14022" s="1" t="s">
        <v>493</v>
      </c>
      <c r="E14022" t="s">
        <v>532</v>
      </c>
      <c r="F14022" s="1">
        <v>2</v>
      </c>
      <c r="G14022" s="1" t="s">
        <v>32</v>
      </c>
      <c r="H14022" s="4" t="str">
        <f>HYPERLINK("https://portal.gdc.cancer.gov/cases/6cdc0d53-f813-4101-81e5-9bee68270536","TCGA-BH-A0H3-01A")</f>
        <v>TCGA-BH-A0H3-01A</v>
      </c>
      <c r="I14022" t="s">
        <v>17</v>
      </c>
      <c r="J14022" t="s">
        <v>524</v>
      </c>
      <c r="K14022" t="s">
        <v>33</v>
      </c>
      <c r="L14022" t="s">
        <v>20</v>
      </c>
      <c r="N14022" t="s">
        <v>29</v>
      </c>
    </row>
    <row r="14023" spans="1:14">
      <c r="A14023" s="4" t="str">
        <f t="shared" si="1148"/>
        <v>EXP00414</v>
      </c>
      <c r="B14023" s="3" t="s">
        <v>66</v>
      </c>
      <c r="C14023" s="4" t="str">
        <f t="shared" si="1147"/>
        <v>TCGA-BRCA</v>
      </c>
      <c r="D14023" s="1" t="s">
        <v>493</v>
      </c>
      <c r="E14023" t="s">
        <v>532</v>
      </c>
      <c r="F14023" s="1">
        <v>2</v>
      </c>
      <c r="G14023" s="1" t="s">
        <v>32</v>
      </c>
      <c r="H14023" s="4" t="str">
        <f>HYPERLINK("https://portal.gdc.cancer.gov/cases/cab38ea8-4555-413c-b81e-4621aac4ef85","TCGA-BH-A0H5-01A")</f>
        <v>TCGA-BH-A0H5-01A</v>
      </c>
      <c r="I14023" t="s">
        <v>17</v>
      </c>
      <c r="J14023" t="s">
        <v>524</v>
      </c>
      <c r="K14023" t="s">
        <v>33</v>
      </c>
      <c r="L14023" t="s">
        <v>20</v>
      </c>
      <c r="N14023" t="s">
        <v>29</v>
      </c>
    </row>
    <row r="14024" spans="1:14">
      <c r="A14024" s="4" t="str">
        <f t="shared" si="1148"/>
        <v>EXP00414</v>
      </c>
      <c r="B14024" s="3" t="s">
        <v>66</v>
      </c>
      <c r="C14024" s="4" t="str">
        <f t="shared" si="1147"/>
        <v>TCGA-BRCA</v>
      </c>
      <c r="D14024" s="1" t="s">
        <v>493</v>
      </c>
      <c r="E14024" t="s">
        <v>532</v>
      </c>
      <c r="F14024" s="1">
        <v>2</v>
      </c>
      <c r="G14024" s="1" t="s">
        <v>32</v>
      </c>
      <c r="H14024" s="4" t="str">
        <f>HYPERLINK("https://portal.gdc.cancer.gov/cases/aeb6a3a6-b57a-4c53-90e6-e833777dd2a1","TCGA-BH-A0H6-01A")</f>
        <v>TCGA-BH-A0H6-01A</v>
      </c>
      <c r="I14024" t="s">
        <v>17</v>
      </c>
      <c r="J14024" t="s">
        <v>524</v>
      </c>
      <c r="K14024" t="s">
        <v>33</v>
      </c>
      <c r="L14024" t="s">
        <v>20</v>
      </c>
      <c r="N14024" t="s">
        <v>29</v>
      </c>
    </row>
    <row r="14025" spans="1:14">
      <c r="A14025" s="4" t="str">
        <f t="shared" si="1148"/>
        <v>EXP00414</v>
      </c>
      <c r="B14025" s="3" t="s">
        <v>66</v>
      </c>
      <c r="C14025" s="4" t="str">
        <f t="shared" si="1147"/>
        <v>TCGA-BRCA</v>
      </c>
      <c r="D14025" s="1" t="s">
        <v>493</v>
      </c>
      <c r="E14025" t="s">
        <v>532</v>
      </c>
      <c r="F14025" s="1">
        <v>2</v>
      </c>
      <c r="G14025" s="1" t="s">
        <v>32</v>
      </c>
      <c r="H14025" s="4" t="str">
        <f>HYPERLINK("https://portal.gdc.cancer.gov/cases/2021ed1f-dc75-4701-b8b8-1386466e4802","TCGA-BH-A0H7-01A")</f>
        <v>TCGA-BH-A0H7-01A</v>
      </c>
      <c r="I14025" t="s">
        <v>17</v>
      </c>
      <c r="J14025" t="s">
        <v>524</v>
      </c>
      <c r="K14025" t="s">
        <v>33</v>
      </c>
      <c r="L14025" t="s">
        <v>20</v>
      </c>
      <c r="N14025" t="s">
        <v>29</v>
      </c>
    </row>
    <row r="14026" spans="1:14">
      <c r="A14026" s="4" t="str">
        <f t="shared" si="1148"/>
        <v>EXP00414</v>
      </c>
      <c r="B14026" s="3" t="s">
        <v>66</v>
      </c>
      <c r="C14026" s="4" t="str">
        <f t="shared" si="1147"/>
        <v>TCGA-BRCA</v>
      </c>
      <c r="D14026" s="1" t="s">
        <v>493</v>
      </c>
      <c r="E14026" t="s">
        <v>532</v>
      </c>
      <c r="F14026" s="1">
        <v>2</v>
      </c>
      <c r="G14026" s="1" t="s">
        <v>32</v>
      </c>
      <c r="H14026" s="4" t="str">
        <f>HYPERLINK("https://portal.gdc.cancer.gov/cases/0f64edec-0f1f-4025-8a53-75f9534f7828","TCGA-BH-A0H9-01A")</f>
        <v>TCGA-BH-A0H9-01A</v>
      </c>
      <c r="I14026" t="s">
        <v>17</v>
      </c>
      <c r="J14026" t="s">
        <v>524</v>
      </c>
      <c r="K14026" t="s">
        <v>33</v>
      </c>
      <c r="L14026" t="s">
        <v>20</v>
      </c>
      <c r="N14026" t="s">
        <v>29</v>
      </c>
    </row>
    <row r="14027" spans="1:14">
      <c r="A14027" s="4" t="str">
        <f t="shared" si="1148"/>
        <v>EXP00414</v>
      </c>
      <c r="B14027" s="3" t="s">
        <v>66</v>
      </c>
      <c r="C14027" s="4" t="str">
        <f t="shared" si="1147"/>
        <v>TCGA-BRCA</v>
      </c>
      <c r="D14027" s="1" t="s">
        <v>493</v>
      </c>
      <c r="E14027" t="s">
        <v>532</v>
      </c>
      <c r="F14027" s="1">
        <v>2</v>
      </c>
      <c r="G14027" s="1" t="s">
        <v>32</v>
      </c>
      <c r="H14027" s="4" t="str">
        <f>HYPERLINK("https://portal.gdc.cancer.gov/cases/e666081b-caaf-4e8b-9446-807be71201a5","TCGA-BH-A0HA-01A")</f>
        <v>TCGA-BH-A0HA-01A</v>
      </c>
      <c r="I14027" t="s">
        <v>17</v>
      </c>
      <c r="J14027" t="s">
        <v>524</v>
      </c>
      <c r="K14027" t="s">
        <v>33</v>
      </c>
      <c r="L14027" t="s">
        <v>20</v>
      </c>
      <c r="N14027" t="s">
        <v>29</v>
      </c>
    </row>
    <row r="14028" spans="1:14">
      <c r="A14028" s="4" t="str">
        <f t="shared" si="1148"/>
        <v>EXP00414</v>
      </c>
      <c r="B14028" s="3" t="s">
        <v>66</v>
      </c>
      <c r="C14028" s="4" t="str">
        <f t="shared" si="1147"/>
        <v>TCGA-BRCA</v>
      </c>
      <c r="D14028" s="1" t="s">
        <v>493</v>
      </c>
      <c r="E14028" t="s">
        <v>532</v>
      </c>
      <c r="F14028" s="1">
        <v>2</v>
      </c>
      <c r="G14028" s="1" t="s">
        <v>32</v>
      </c>
      <c r="H14028" s="4" t="str">
        <f>HYPERLINK("https://portal.gdc.cancer.gov/cases/0c1023c0-d2ce-4940-8047-7642f1dc3965","TCGA-BH-A0HB-01A")</f>
        <v>TCGA-BH-A0HB-01A</v>
      </c>
      <c r="I14028" t="s">
        <v>17</v>
      </c>
      <c r="J14028" t="s">
        <v>524</v>
      </c>
      <c r="K14028" t="s">
        <v>33</v>
      </c>
      <c r="L14028" t="s">
        <v>20</v>
      </c>
      <c r="N14028" t="s">
        <v>29</v>
      </c>
    </row>
    <row r="14029" spans="1:14">
      <c r="A14029" s="4" t="str">
        <f t="shared" si="1148"/>
        <v>EXP00414</v>
      </c>
      <c r="B14029" s="3" t="s">
        <v>66</v>
      </c>
      <c r="C14029" s="4" t="str">
        <f t="shared" si="1147"/>
        <v>TCGA-BRCA</v>
      </c>
      <c r="D14029" s="1" t="s">
        <v>493</v>
      </c>
      <c r="E14029" t="s">
        <v>532</v>
      </c>
      <c r="F14029" s="1">
        <v>2</v>
      </c>
      <c r="G14029" s="1" t="s">
        <v>32</v>
      </c>
      <c r="H14029" s="4" t="str">
        <f>HYPERLINK("https://portal.gdc.cancer.gov/cases/17ca61a2-607a-45ff-88fa-ef72e80bf891","TCGA-BH-A0HF-01A")</f>
        <v>TCGA-BH-A0HF-01A</v>
      </c>
      <c r="I14029" t="s">
        <v>17</v>
      </c>
      <c r="J14029" t="s">
        <v>524</v>
      </c>
      <c r="K14029" t="s">
        <v>33</v>
      </c>
      <c r="L14029" t="s">
        <v>20</v>
      </c>
      <c r="N14029" t="s">
        <v>29</v>
      </c>
    </row>
    <row r="14030" spans="1:14">
      <c r="A14030" s="4" t="str">
        <f t="shared" si="1148"/>
        <v>EXP00414</v>
      </c>
      <c r="B14030" s="3" t="s">
        <v>66</v>
      </c>
      <c r="C14030" s="4" t="str">
        <f t="shared" si="1147"/>
        <v>TCGA-BRCA</v>
      </c>
      <c r="D14030" s="1" t="s">
        <v>493</v>
      </c>
      <c r="E14030" t="s">
        <v>532</v>
      </c>
      <c r="F14030" s="1">
        <v>2</v>
      </c>
      <c r="G14030" s="1" t="s">
        <v>32</v>
      </c>
      <c r="H14030" s="4" t="str">
        <f>HYPERLINK("https://portal.gdc.cancer.gov/cases/e0375a8b-a135-4103-a59d-39063fcf4a6f","TCGA-BH-A0HI-01A")</f>
        <v>TCGA-BH-A0HI-01A</v>
      </c>
      <c r="I14030" t="s">
        <v>17</v>
      </c>
      <c r="J14030" t="s">
        <v>524</v>
      </c>
      <c r="K14030" t="s">
        <v>33</v>
      </c>
      <c r="L14030" t="s">
        <v>20</v>
      </c>
      <c r="N14030" t="s">
        <v>29</v>
      </c>
    </row>
    <row r="14031" spans="1:14">
      <c r="A14031" s="4" t="str">
        <f t="shared" si="1148"/>
        <v>EXP00414</v>
      </c>
      <c r="B14031" s="3" t="s">
        <v>66</v>
      </c>
      <c r="C14031" s="4" t="str">
        <f t="shared" si="1147"/>
        <v>TCGA-BRCA</v>
      </c>
      <c r="D14031" s="1" t="s">
        <v>493</v>
      </c>
      <c r="E14031" t="s">
        <v>532</v>
      </c>
      <c r="F14031" s="1">
        <v>2</v>
      </c>
      <c r="G14031" s="1" t="s">
        <v>32</v>
      </c>
      <c r="H14031" s="4" t="str">
        <f>HYPERLINK("https://portal.gdc.cancer.gov/cases/24334ac1-28a3-4b61-b590-3f51e375b247","TCGA-BH-A0HK-01A")</f>
        <v>TCGA-BH-A0HK-01A</v>
      </c>
      <c r="I14031" t="s">
        <v>17</v>
      </c>
      <c r="J14031" t="s">
        <v>524</v>
      </c>
      <c r="K14031" t="s">
        <v>33</v>
      </c>
      <c r="L14031" t="s">
        <v>20</v>
      </c>
      <c r="N14031" t="s">
        <v>29</v>
      </c>
    </row>
    <row r="14032" spans="1:14">
      <c r="A14032" s="4" t="str">
        <f t="shared" si="1148"/>
        <v>EXP00414</v>
      </c>
      <c r="B14032" s="3" t="s">
        <v>66</v>
      </c>
      <c r="C14032" s="4" t="str">
        <f t="shared" si="1147"/>
        <v>TCGA-BRCA</v>
      </c>
      <c r="D14032" s="1" t="s">
        <v>493</v>
      </c>
      <c r="E14032" t="s">
        <v>532</v>
      </c>
      <c r="F14032" s="1">
        <v>2</v>
      </c>
      <c r="G14032" s="1" t="s">
        <v>32</v>
      </c>
      <c r="H14032" s="4" t="str">
        <f>HYPERLINK("https://portal.gdc.cancer.gov/cases/602083f0-18d9-48b6-a529-31e165c54b37","TCGA-BH-A0HL-01A")</f>
        <v>TCGA-BH-A0HL-01A</v>
      </c>
      <c r="I14032" t="s">
        <v>17</v>
      </c>
      <c r="J14032" t="s">
        <v>524</v>
      </c>
      <c r="K14032" t="s">
        <v>33</v>
      </c>
      <c r="L14032" t="s">
        <v>20</v>
      </c>
      <c r="N14032" t="s">
        <v>29</v>
      </c>
    </row>
    <row r="14033" spans="1:14">
      <c r="A14033" s="4" t="str">
        <f t="shared" si="1148"/>
        <v>EXP00414</v>
      </c>
      <c r="B14033" s="3" t="s">
        <v>66</v>
      </c>
      <c r="C14033" s="4" t="str">
        <f t="shared" si="1147"/>
        <v>TCGA-BRCA</v>
      </c>
      <c r="D14033" s="1" t="s">
        <v>493</v>
      </c>
      <c r="E14033" t="s">
        <v>532</v>
      </c>
      <c r="F14033" s="1">
        <v>2</v>
      </c>
      <c r="G14033" s="1" t="s">
        <v>32</v>
      </c>
      <c r="H14033" s="4" t="str">
        <f>HYPERLINK("https://portal.gdc.cancer.gov/cases/a68a3361-48b4-4bd0-999d-b4cc3d43eb4a","TCGA-BH-A0HN-01A")</f>
        <v>TCGA-BH-A0HN-01A</v>
      </c>
      <c r="I14033" t="s">
        <v>17</v>
      </c>
      <c r="J14033" t="s">
        <v>524</v>
      </c>
      <c r="K14033" t="s">
        <v>33</v>
      </c>
      <c r="L14033" t="s">
        <v>20</v>
      </c>
      <c r="N14033" t="s">
        <v>29</v>
      </c>
    </row>
    <row r="14034" spans="1:14">
      <c r="A14034" s="4" t="str">
        <f t="shared" si="1148"/>
        <v>EXP00414</v>
      </c>
      <c r="B14034" s="3" t="s">
        <v>66</v>
      </c>
      <c r="C14034" s="4" t="str">
        <f t="shared" si="1147"/>
        <v>TCGA-BRCA</v>
      </c>
      <c r="D14034" s="1" t="s">
        <v>493</v>
      </c>
      <c r="E14034" t="s">
        <v>532</v>
      </c>
      <c r="F14034" s="1">
        <v>2</v>
      </c>
      <c r="G14034" s="1" t="s">
        <v>32</v>
      </c>
      <c r="H14034" s="4" t="str">
        <f>HYPERLINK("https://portal.gdc.cancer.gov/cases/8332806e-f547-4aae-89af-6d5bec831fd2","TCGA-BH-A0HO-01A")</f>
        <v>TCGA-BH-A0HO-01A</v>
      </c>
      <c r="I14034" t="s">
        <v>17</v>
      </c>
      <c r="J14034" t="s">
        <v>524</v>
      </c>
      <c r="K14034" t="s">
        <v>33</v>
      </c>
      <c r="L14034" t="s">
        <v>20</v>
      </c>
      <c r="N14034" t="s">
        <v>29</v>
      </c>
    </row>
    <row r="14035" spans="1:14">
      <c r="A14035" s="4" t="str">
        <f t="shared" si="1148"/>
        <v>EXP00414</v>
      </c>
      <c r="B14035" s="3" t="s">
        <v>66</v>
      </c>
      <c r="C14035" s="4" t="str">
        <f t="shared" si="1147"/>
        <v>TCGA-BRCA</v>
      </c>
      <c r="D14035" s="1" t="s">
        <v>493</v>
      </c>
      <c r="E14035" t="s">
        <v>532</v>
      </c>
      <c r="F14035" s="1">
        <v>2</v>
      </c>
      <c r="G14035" s="1" t="s">
        <v>32</v>
      </c>
      <c r="H14035" s="4" t="str">
        <f>HYPERLINK("https://portal.gdc.cancer.gov/cases/fcef8cb5-fb2c-4bfb-82cd-6b9f3145182c","TCGA-BH-A0HP-01A")</f>
        <v>TCGA-BH-A0HP-01A</v>
      </c>
      <c r="I14035" t="s">
        <v>17</v>
      </c>
      <c r="J14035" t="s">
        <v>524</v>
      </c>
      <c r="K14035" t="s">
        <v>33</v>
      </c>
      <c r="L14035" t="s">
        <v>20</v>
      </c>
      <c r="N14035" t="s">
        <v>29</v>
      </c>
    </row>
    <row r="14036" spans="1:14">
      <c r="A14036" s="4" t="str">
        <f t="shared" si="1148"/>
        <v>EXP00414</v>
      </c>
      <c r="B14036" s="3" t="s">
        <v>66</v>
      </c>
      <c r="C14036" s="4" t="str">
        <f t="shared" si="1147"/>
        <v>TCGA-BRCA</v>
      </c>
      <c r="D14036" s="1" t="s">
        <v>493</v>
      </c>
      <c r="E14036" t="s">
        <v>532</v>
      </c>
      <c r="F14036" s="1">
        <v>2</v>
      </c>
      <c r="G14036" s="1" t="s">
        <v>32</v>
      </c>
      <c r="H14036" s="4" t="str">
        <f>HYPERLINK("https://portal.gdc.cancer.gov/cases/f31c21b6-0f7f-435b-9e24-97c909755c36","TCGA-BH-A0HQ-01A")</f>
        <v>TCGA-BH-A0HQ-01A</v>
      </c>
      <c r="I14036" t="s">
        <v>17</v>
      </c>
      <c r="J14036" t="s">
        <v>524</v>
      </c>
      <c r="K14036" t="s">
        <v>33</v>
      </c>
      <c r="L14036" t="s">
        <v>20</v>
      </c>
      <c r="N14036" t="s">
        <v>29</v>
      </c>
    </row>
    <row r="14037" spans="1:14">
      <c r="A14037" s="4" t="str">
        <f t="shared" si="1148"/>
        <v>EXP00414</v>
      </c>
      <c r="B14037" s="3" t="s">
        <v>66</v>
      </c>
      <c r="C14037" s="4" t="str">
        <f t="shared" si="1147"/>
        <v>TCGA-BRCA</v>
      </c>
      <c r="D14037" s="1" t="s">
        <v>493</v>
      </c>
      <c r="E14037" t="s">
        <v>532</v>
      </c>
      <c r="F14037" s="1">
        <v>2</v>
      </c>
      <c r="G14037" s="1" t="s">
        <v>32</v>
      </c>
      <c r="H14037" s="4" t="str">
        <f>HYPERLINK("https://portal.gdc.cancer.gov/cases/dc657ca8-98e8-4ec4-a513-1b848be0e85d","TCGA-BH-A0HU-01A")</f>
        <v>TCGA-BH-A0HU-01A</v>
      </c>
      <c r="I14037" t="s">
        <v>17</v>
      </c>
      <c r="J14037" t="s">
        <v>524</v>
      </c>
      <c r="K14037" t="s">
        <v>33</v>
      </c>
      <c r="L14037" t="s">
        <v>20</v>
      </c>
      <c r="N14037" t="s">
        <v>29</v>
      </c>
    </row>
    <row r="14038" spans="1:14">
      <c r="A14038" s="4" t="str">
        <f t="shared" si="1148"/>
        <v>EXP00414</v>
      </c>
      <c r="B14038" s="3" t="s">
        <v>66</v>
      </c>
      <c r="C14038" s="4" t="str">
        <f t="shared" si="1147"/>
        <v>TCGA-BRCA</v>
      </c>
      <c r="D14038" s="1" t="s">
        <v>493</v>
      </c>
      <c r="E14038" t="s">
        <v>532</v>
      </c>
      <c r="F14038" s="1">
        <v>2</v>
      </c>
      <c r="G14038" s="1" t="s">
        <v>32</v>
      </c>
      <c r="H14038" s="4" t="str">
        <f>HYPERLINK("https://portal.gdc.cancer.gov/cases/29fdc464-f216-4828-b456-829f71436e27","TCGA-BH-A0HW-01A")</f>
        <v>TCGA-BH-A0HW-01A</v>
      </c>
      <c r="I14038" t="s">
        <v>17</v>
      </c>
      <c r="J14038" t="s">
        <v>524</v>
      </c>
      <c r="K14038" t="s">
        <v>33</v>
      </c>
      <c r="L14038" t="s">
        <v>20</v>
      </c>
      <c r="N14038" t="s">
        <v>29</v>
      </c>
    </row>
    <row r="14039" spans="1:14">
      <c r="A14039" s="4" t="str">
        <f t="shared" si="1148"/>
        <v>EXP00414</v>
      </c>
      <c r="B14039" s="3" t="s">
        <v>66</v>
      </c>
      <c r="C14039" s="4" t="str">
        <f t="shared" si="1147"/>
        <v>TCGA-BRCA</v>
      </c>
      <c r="D14039" s="1" t="s">
        <v>493</v>
      </c>
      <c r="E14039" t="s">
        <v>532</v>
      </c>
      <c r="F14039" s="1">
        <v>2</v>
      </c>
      <c r="G14039" s="1" t="s">
        <v>32</v>
      </c>
      <c r="H14039" s="4" t="str">
        <f>HYPERLINK("https://portal.gdc.cancer.gov/cases/3b01d064-8c00-4972-9f07-407eac8e7534","TCGA-BH-A0HX-01A")</f>
        <v>TCGA-BH-A0HX-01A</v>
      </c>
      <c r="I14039" t="s">
        <v>17</v>
      </c>
      <c r="J14039" t="s">
        <v>524</v>
      </c>
      <c r="K14039" t="s">
        <v>33</v>
      </c>
      <c r="L14039" t="s">
        <v>20</v>
      </c>
      <c r="N14039" t="s">
        <v>29</v>
      </c>
    </row>
    <row r="14040" spans="1:14">
      <c r="A14040" s="4" t="str">
        <f t="shared" si="1148"/>
        <v>EXP00414</v>
      </c>
      <c r="B14040" s="3" t="s">
        <v>66</v>
      </c>
      <c r="C14040" s="4" t="str">
        <f t="shared" si="1147"/>
        <v>TCGA-BRCA</v>
      </c>
      <c r="D14040" s="1" t="s">
        <v>493</v>
      </c>
      <c r="E14040" t="s">
        <v>532</v>
      </c>
      <c r="F14040" s="1">
        <v>2</v>
      </c>
      <c r="G14040" s="1" t="s">
        <v>32</v>
      </c>
      <c r="H14040" s="4" t="str">
        <f>HYPERLINK("https://portal.gdc.cancer.gov/cases/844ad251-3ee4-42f6-ad00-59a7a1670eea","TCGA-BH-A0HY-01A")</f>
        <v>TCGA-BH-A0HY-01A</v>
      </c>
      <c r="I14040" t="s">
        <v>17</v>
      </c>
      <c r="J14040" t="s">
        <v>524</v>
      </c>
      <c r="K14040" t="s">
        <v>33</v>
      </c>
      <c r="L14040" t="s">
        <v>20</v>
      </c>
      <c r="N14040" t="s">
        <v>29</v>
      </c>
    </row>
    <row r="14041" spans="1:14">
      <c r="A14041" s="4" t="str">
        <f t="shared" si="1148"/>
        <v>EXP00414</v>
      </c>
      <c r="B14041" s="3" t="s">
        <v>66</v>
      </c>
      <c r="C14041" s="4" t="str">
        <f t="shared" si="1147"/>
        <v>TCGA-BRCA</v>
      </c>
      <c r="D14041" s="1" t="s">
        <v>493</v>
      </c>
      <c r="E14041" t="s">
        <v>532</v>
      </c>
      <c r="F14041" s="1">
        <v>2</v>
      </c>
      <c r="G14041" s="1" t="s">
        <v>32</v>
      </c>
      <c r="H14041" s="4" t="str">
        <f>HYPERLINK("https://portal.gdc.cancer.gov/cases/e828455d-4680-41b2-8a1c-1582e3790d62","TCGA-BH-A0RX-01A")</f>
        <v>TCGA-BH-A0RX-01A</v>
      </c>
      <c r="I14041" t="s">
        <v>17</v>
      </c>
      <c r="J14041" t="s">
        <v>524</v>
      </c>
      <c r="K14041" t="s">
        <v>33</v>
      </c>
      <c r="L14041" t="s">
        <v>20</v>
      </c>
      <c r="N14041" t="s">
        <v>29</v>
      </c>
    </row>
    <row r="14042" spans="1:14">
      <c r="A14042" s="4" t="str">
        <f t="shared" si="1148"/>
        <v>EXP00414</v>
      </c>
      <c r="B14042" s="3" t="s">
        <v>66</v>
      </c>
      <c r="C14042" s="4" t="str">
        <f t="shared" si="1147"/>
        <v>TCGA-BRCA</v>
      </c>
      <c r="D14042" s="1" t="s">
        <v>493</v>
      </c>
      <c r="E14042" t="s">
        <v>532</v>
      </c>
      <c r="F14042" s="1">
        <v>2</v>
      </c>
      <c r="G14042" s="1" t="s">
        <v>32</v>
      </c>
      <c r="H14042" s="4" t="str">
        <f>HYPERLINK("https://portal.gdc.cancer.gov/cases/3c612e12-6de8-44fa-a095-805c45474821","TCGA-BH-A0W3-01A")</f>
        <v>TCGA-BH-A0W3-01A</v>
      </c>
      <c r="I14042" t="s">
        <v>17</v>
      </c>
      <c r="J14042" t="s">
        <v>524</v>
      </c>
      <c r="K14042" t="s">
        <v>33</v>
      </c>
      <c r="L14042" t="s">
        <v>20</v>
      </c>
      <c r="N14042" t="s">
        <v>29</v>
      </c>
    </row>
    <row r="14043" spans="1:14">
      <c r="A14043" s="4" t="str">
        <f t="shared" si="1148"/>
        <v>EXP00414</v>
      </c>
      <c r="B14043" s="3" t="s">
        <v>66</v>
      </c>
      <c r="C14043" s="4" t="str">
        <f t="shared" si="1147"/>
        <v>TCGA-BRCA</v>
      </c>
      <c r="D14043" s="1" t="s">
        <v>493</v>
      </c>
      <c r="E14043" t="s">
        <v>532</v>
      </c>
      <c r="F14043" s="1">
        <v>2</v>
      </c>
      <c r="G14043" s="1" t="s">
        <v>32</v>
      </c>
      <c r="H14043" s="4" t="str">
        <f>HYPERLINK("https://portal.gdc.cancer.gov/cases/0772cdbe-8b0d-452b-8df1-bd70d1306363","TCGA-BH-A0W4-01A")</f>
        <v>TCGA-BH-A0W4-01A</v>
      </c>
      <c r="I14043" t="s">
        <v>17</v>
      </c>
      <c r="J14043" t="s">
        <v>524</v>
      </c>
      <c r="K14043" t="s">
        <v>33</v>
      </c>
      <c r="L14043" t="s">
        <v>20</v>
      </c>
      <c r="N14043" t="s">
        <v>29</v>
      </c>
    </row>
    <row r="14044" spans="1:14">
      <c r="A14044" s="4" t="str">
        <f t="shared" si="1148"/>
        <v>EXP00414</v>
      </c>
      <c r="B14044" s="3" t="s">
        <v>66</v>
      </c>
      <c r="C14044" s="4" t="str">
        <f t="shared" si="1147"/>
        <v>TCGA-BRCA</v>
      </c>
      <c r="D14044" s="1" t="s">
        <v>493</v>
      </c>
      <c r="E14044" t="s">
        <v>532</v>
      </c>
      <c r="F14044" s="1">
        <v>2</v>
      </c>
      <c r="G14044" s="1" t="s">
        <v>32</v>
      </c>
      <c r="H14044" s="4" t="str">
        <f>HYPERLINK("https://portal.gdc.cancer.gov/cases/da9c10ea-c13f-4d88-8b94-a0cbc106d036","TCGA-BH-A0W5-01A")</f>
        <v>TCGA-BH-A0W5-01A</v>
      </c>
      <c r="I14044" t="s">
        <v>17</v>
      </c>
      <c r="J14044" t="s">
        <v>524</v>
      </c>
      <c r="K14044" t="s">
        <v>33</v>
      </c>
      <c r="L14044" t="s">
        <v>20</v>
      </c>
      <c r="N14044" t="s">
        <v>29</v>
      </c>
    </row>
    <row r="14045" spans="1:14">
      <c r="A14045" s="4" t="str">
        <f t="shared" si="1148"/>
        <v>EXP00414</v>
      </c>
      <c r="B14045" s="3" t="s">
        <v>66</v>
      </c>
      <c r="C14045" s="4" t="str">
        <f t="shared" si="1147"/>
        <v>TCGA-BRCA</v>
      </c>
      <c r="D14045" s="1" t="s">
        <v>493</v>
      </c>
      <c r="E14045" t="s">
        <v>532</v>
      </c>
      <c r="F14045" s="1">
        <v>2</v>
      </c>
      <c r="G14045" s="1" t="s">
        <v>32</v>
      </c>
      <c r="H14045" s="4" t="str">
        <f>HYPERLINK("https://portal.gdc.cancer.gov/cases/9f80649b-a249-4fb5-97ad-059a30e13fea","TCGA-BH-A0W7-01A")</f>
        <v>TCGA-BH-A0W7-01A</v>
      </c>
      <c r="I14045" t="s">
        <v>17</v>
      </c>
      <c r="J14045" t="s">
        <v>524</v>
      </c>
      <c r="K14045" t="s">
        <v>33</v>
      </c>
      <c r="L14045" t="s">
        <v>20</v>
      </c>
      <c r="N14045" t="s">
        <v>29</v>
      </c>
    </row>
    <row r="14046" spans="1:14">
      <c r="A14046" s="4" t="str">
        <f t="shared" si="1148"/>
        <v>EXP00414</v>
      </c>
      <c r="B14046" s="3" t="s">
        <v>66</v>
      </c>
      <c r="C14046" s="4" t="str">
        <f t="shared" si="1147"/>
        <v>TCGA-BRCA</v>
      </c>
      <c r="D14046" s="1" t="s">
        <v>493</v>
      </c>
      <c r="E14046" t="s">
        <v>532</v>
      </c>
      <c r="F14046" s="1">
        <v>2</v>
      </c>
      <c r="G14046" s="1" t="s">
        <v>32</v>
      </c>
      <c r="H14046" s="4" t="str">
        <f>HYPERLINK("https://portal.gdc.cancer.gov/cases/786e8dbe-442e-4551-87b3-b4c333b04dd4","TCGA-BH-A0WA-01A")</f>
        <v>TCGA-BH-A0WA-01A</v>
      </c>
      <c r="I14046" t="s">
        <v>17</v>
      </c>
      <c r="J14046" t="s">
        <v>524</v>
      </c>
      <c r="K14046" t="s">
        <v>33</v>
      </c>
      <c r="L14046" t="s">
        <v>20</v>
      </c>
      <c r="N14046" t="s">
        <v>29</v>
      </c>
    </row>
    <row r="14047" spans="1:14">
      <c r="A14047" s="4" t="str">
        <f t="shared" si="1148"/>
        <v>EXP00414</v>
      </c>
      <c r="B14047" s="3" t="s">
        <v>66</v>
      </c>
      <c r="C14047" s="4" t="str">
        <f t="shared" si="1147"/>
        <v>TCGA-BRCA</v>
      </c>
      <c r="D14047" s="1" t="s">
        <v>493</v>
      </c>
      <c r="E14047" t="s">
        <v>532</v>
      </c>
      <c r="F14047" s="1">
        <v>2</v>
      </c>
      <c r="G14047" s="1" t="s">
        <v>32</v>
      </c>
      <c r="H14047" s="4" t="str">
        <f>HYPERLINK("https://portal.gdc.cancer.gov/cases/bfd49783-1767-469b-9d79-7822301c5efc","TCGA-BH-A18F-01A")</f>
        <v>TCGA-BH-A18F-01A</v>
      </c>
      <c r="I14047" t="s">
        <v>17</v>
      </c>
      <c r="J14047" t="s">
        <v>524</v>
      </c>
      <c r="K14047" t="s">
        <v>33</v>
      </c>
      <c r="L14047" t="s">
        <v>20</v>
      </c>
      <c r="N14047" t="s">
        <v>29</v>
      </c>
    </row>
    <row r="14048" spans="1:14">
      <c r="A14048" s="4" t="str">
        <f t="shared" si="1148"/>
        <v>EXP00414</v>
      </c>
      <c r="B14048" s="3" t="s">
        <v>66</v>
      </c>
      <c r="C14048" s="4" t="str">
        <f t="shared" si="1147"/>
        <v>TCGA-BRCA</v>
      </c>
      <c r="D14048" s="1" t="s">
        <v>493</v>
      </c>
      <c r="E14048" t="s">
        <v>532</v>
      </c>
      <c r="F14048" s="1">
        <v>2</v>
      </c>
      <c r="G14048" s="1" t="s">
        <v>32</v>
      </c>
      <c r="H14048" s="4" t="str">
        <f>HYPERLINK("https://portal.gdc.cancer.gov/cases/747083ff-0703-431b-aad4-f2adff739516","TCGA-BH-A18G-01A")</f>
        <v>TCGA-BH-A18G-01A</v>
      </c>
      <c r="I14048" t="s">
        <v>17</v>
      </c>
      <c r="J14048" t="s">
        <v>524</v>
      </c>
      <c r="K14048" t="s">
        <v>33</v>
      </c>
      <c r="L14048" t="s">
        <v>20</v>
      </c>
      <c r="N14048" t="s">
        <v>29</v>
      </c>
    </row>
    <row r="14049" spans="1:14">
      <c r="A14049" s="4" t="str">
        <f t="shared" si="1148"/>
        <v>EXP00414</v>
      </c>
      <c r="B14049" s="3" t="s">
        <v>66</v>
      </c>
      <c r="C14049" s="4" t="str">
        <f t="shared" si="1147"/>
        <v>TCGA-BRCA</v>
      </c>
      <c r="D14049" s="1" t="s">
        <v>493</v>
      </c>
      <c r="E14049" t="s">
        <v>532</v>
      </c>
      <c r="F14049" s="1">
        <v>2</v>
      </c>
      <c r="G14049" s="1" t="s">
        <v>32</v>
      </c>
      <c r="H14049" s="4" t="str">
        <f>HYPERLINK("https://portal.gdc.cancer.gov/cases/878f975b-94fd-4d69-b7e7-1ed3ac2ee438","TCGA-BH-A18H-01A")</f>
        <v>TCGA-BH-A18H-01A</v>
      </c>
      <c r="I14049" t="s">
        <v>17</v>
      </c>
      <c r="J14049" t="s">
        <v>524</v>
      </c>
      <c r="K14049" t="s">
        <v>33</v>
      </c>
      <c r="L14049" t="s">
        <v>20</v>
      </c>
      <c r="N14049" t="s">
        <v>29</v>
      </c>
    </row>
    <row r="14050" spans="1:14">
      <c r="A14050" s="4" t="str">
        <f t="shared" si="1148"/>
        <v>EXP00414</v>
      </c>
      <c r="B14050" s="3" t="s">
        <v>66</v>
      </c>
      <c r="C14050" s="4" t="str">
        <f t="shared" si="1147"/>
        <v>TCGA-BRCA</v>
      </c>
      <c r="D14050" s="1" t="s">
        <v>493</v>
      </c>
      <c r="E14050" t="s">
        <v>532</v>
      </c>
      <c r="F14050" s="1">
        <v>2</v>
      </c>
      <c r="G14050" s="1" t="s">
        <v>32</v>
      </c>
      <c r="H14050" s="4" t="str">
        <f>HYPERLINK("https://portal.gdc.cancer.gov/cases/9c1ceb7d-6fed-4c2f-a89a-bf3c5b15ca58","TCGA-BH-A18I-01A")</f>
        <v>TCGA-BH-A18I-01A</v>
      </c>
      <c r="I14050" t="s">
        <v>17</v>
      </c>
      <c r="J14050" t="s">
        <v>524</v>
      </c>
      <c r="K14050" t="s">
        <v>33</v>
      </c>
      <c r="L14050" t="s">
        <v>20</v>
      </c>
      <c r="N14050" t="s">
        <v>29</v>
      </c>
    </row>
    <row r="14051" spans="1:14">
      <c r="A14051" s="4" t="str">
        <f t="shared" si="1148"/>
        <v>EXP00414</v>
      </c>
      <c r="B14051" s="3" t="s">
        <v>66</v>
      </c>
      <c r="C14051" s="4" t="str">
        <f t="shared" si="1147"/>
        <v>TCGA-BRCA</v>
      </c>
      <c r="D14051" s="1" t="s">
        <v>493</v>
      </c>
      <c r="E14051" t="s">
        <v>532</v>
      </c>
      <c r="F14051" s="1">
        <v>2</v>
      </c>
      <c r="G14051" s="1" t="s">
        <v>32</v>
      </c>
      <c r="H14051" s="4" t="str">
        <f>HYPERLINK("https://portal.gdc.cancer.gov/cases/cc074b7f-d3b2-4880-902e-bf10e667b665","TCGA-BH-A18J-01A")</f>
        <v>TCGA-BH-A18J-01A</v>
      </c>
      <c r="I14051" t="s">
        <v>17</v>
      </c>
      <c r="J14051" t="s">
        <v>524</v>
      </c>
      <c r="K14051" t="s">
        <v>33</v>
      </c>
      <c r="L14051" t="s">
        <v>20</v>
      </c>
      <c r="N14051" t="s">
        <v>29</v>
      </c>
    </row>
    <row r="14052" spans="1:14">
      <c r="A14052" s="4" t="str">
        <f t="shared" si="1148"/>
        <v>EXP00414</v>
      </c>
      <c r="B14052" s="3" t="s">
        <v>66</v>
      </c>
      <c r="C14052" s="4" t="str">
        <f t="shared" si="1147"/>
        <v>TCGA-BRCA</v>
      </c>
      <c r="D14052" s="1" t="s">
        <v>493</v>
      </c>
      <c r="E14052" t="s">
        <v>532</v>
      </c>
      <c r="F14052" s="1">
        <v>2</v>
      </c>
      <c r="G14052" s="1" t="s">
        <v>32</v>
      </c>
      <c r="H14052" s="4" t="str">
        <f>HYPERLINK("https://portal.gdc.cancer.gov/cases/50619f8c-10aa-464a-a227-90a7aa6ffd43","TCGA-BH-A18K-01A")</f>
        <v>TCGA-BH-A18K-01A</v>
      </c>
      <c r="I14052" t="s">
        <v>17</v>
      </c>
      <c r="J14052" t="s">
        <v>524</v>
      </c>
      <c r="K14052" t="s">
        <v>33</v>
      </c>
      <c r="L14052" t="s">
        <v>20</v>
      </c>
      <c r="N14052" t="s">
        <v>29</v>
      </c>
    </row>
    <row r="14053" spans="1:14">
      <c r="A14053" s="4" t="str">
        <f t="shared" si="1148"/>
        <v>EXP00414</v>
      </c>
      <c r="B14053" s="3" t="s">
        <v>66</v>
      </c>
      <c r="C14053" s="4" t="str">
        <f t="shared" si="1147"/>
        <v>TCGA-BRCA</v>
      </c>
      <c r="D14053" s="1" t="s">
        <v>493</v>
      </c>
      <c r="E14053" t="s">
        <v>532</v>
      </c>
      <c r="F14053" s="1">
        <v>2</v>
      </c>
      <c r="G14053" s="1" t="s">
        <v>32</v>
      </c>
      <c r="H14053" s="4" t="str">
        <f>HYPERLINK("https://portal.gdc.cancer.gov/cases/9ddc3e7b-8b54-4a83-8335-8053940f56c1","TCGA-BH-A18L-01A")</f>
        <v>TCGA-BH-A18L-01A</v>
      </c>
      <c r="I14053" t="s">
        <v>17</v>
      </c>
      <c r="J14053" t="s">
        <v>524</v>
      </c>
      <c r="K14053" t="s">
        <v>33</v>
      </c>
      <c r="L14053" t="s">
        <v>20</v>
      </c>
      <c r="N14053" t="s">
        <v>29</v>
      </c>
    </row>
    <row r="14054" spans="1:14">
      <c r="A14054" s="4" t="str">
        <f t="shared" si="1148"/>
        <v>EXP00414</v>
      </c>
      <c r="B14054" s="3" t="s">
        <v>66</v>
      </c>
      <c r="C14054" s="4" t="str">
        <f t="shared" si="1147"/>
        <v>TCGA-BRCA</v>
      </c>
      <c r="D14054" s="1" t="s">
        <v>493</v>
      </c>
      <c r="E14054" t="s">
        <v>532</v>
      </c>
      <c r="F14054" s="1">
        <v>2</v>
      </c>
      <c r="G14054" s="1" t="s">
        <v>32</v>
      </c>
      <c r="H14054" s="4" t="str">
        <f>HYPERLINK("https://portal.gdc.cancer.gov/cases/f63722c1-a0bb-4bf9-8a10-1d76a8e1a0ba","TCGA-BH-A18M-01A")</f>
        <v>TCGA-BH-A18M-01A</v>
      </c>
      <c r="I14054" t="s">
        <v>17</v>
      </c>
      <c r="J14054" t="s">
        <v>524</v>
      </c>
      <c r="K14054" t="s">
        <v>33</v>
      </c>
      <c r="L14054" t="s">
        <v>20</v>
      </c>
      <c r="N14054" t="s">
        <v>29</v>
      </c>
    </row>
    <row r="14055" spans="1:14">
      <c r="A14055" s="4" t="str">
        <f t="shared" si="1148"/>
        <v>EXP00414</v>
      </c>
      <c r="B14055" s="3" t="s">
        <v>66</v>
      </c>
      <c r="C14055" s="4" t="str">
        <f t="shared" si="1147"/>
        <v>TCGA-BRCA</v>
      </c>
      <c r="D14055" s="1" t="s">
        <v>493</v>
      </c>
      <c r="E14055" t="s">
        <v>532</v>
      </c>
      <c r="F14055" s="1">
        <v>2</v>
      </c>
      <c r="G14055" s="1" t="s">
        <v>32</v>
      </c>
      <c r="H14055" s="4" t="str">
        <f>HYPERLINK("https://portal.gdc.cancer.gov/cases/665dd3d3-779c-4abd-b5d7-13342340451d","TCGA-BH-A18N-01A")</f>
        <v>TCGA-BH-A18N-01A</v>
      </c>
      <c r="I14055" t="s">
        <v>17</v>
      </c>
      <c r="J14055" t="s">
        <v>524</v>
      </c>
      <c r="K14055" t="s">
        <v>33</v>
      </c>
      <c r="L14055" t="s">
        <v>20</v>
      </c>
      <c r="N14055" t="s">
        <v>29</v>
      </c>
    </row>
    <row r="14056" spans="1:14">
      <c r="A14056" s="4" t="str">
        <f t="shared" si="1148"/>
        <v>EXP00414</v>
      </c>
      <c r="B14056" s="3" t="s">
        <v>66</v>
      </c>
      <c r="C14056" s="4" t="str">
        <f t="shared" si="1147"/>
        <v>TCGA-BRCA</v>
      </c>
      <c r="D14056" s="1" t="s">
        <v>493</v>
      </c>
      <c r="E14056" t="s">
        <v>532</v>
      </c>
      <c r="F14056" s="1">
        <v>2</v>
      </c>
      <c r="G14056" s="1" t="s">
        <v>32</v>
      </c>
      <c r="H14056" s="4" t="str">
        <f>HYPERLINK("https://portal.gdc.cancer.gov/cases/557cb0a3-6f1b-4faf-8296-0a15c24158f9","TCGA-BH-A18P-01A")</f>
        <v>TCGA-BH-A18P-01A</v>
      </c>
      <c r="I14056" t="s">
        <v>17</v>
      </c>
      <c r="J14056" t="s">
        <v>524</v>
      </c>
      <c r="K14056" t="s">
        <v>33</v>
      </c>
      <c r="L14056" t="s">
        <v>20</v>
      </c>
      <c r="N14056" t="s">
        <v>29</v>
      </c>
    </row>
    <row r="14057" spans="1:14">
      <c r="A14057" s="4" t="str">
        <f t="shared" si="1148"/>
        <v>EXP00414</v>
      </c>
      <c r="B14057" s="3" t="s">
        <v>66</v>
      </c>
      <c r="C14057" s="4" t="str">
        <f t="shared" si="1147"/>
        <v>TCGA-BRCA</v>
      </c>
      <c r="D14057" s="1" t="s">
        <v>493</v>
      </c>
      <c r="E14057" t="s">
        <v>532</v>
      </c>
      <c r="F14057" s="1">
        <v>2</v>
      </c>
      <c r="G14057" s="1" t="s">
        <v>32</v>
      </c>
      <c r="H14057" s="4" t="str">
        <f>HYPERLINK("https://portal.gdc.cancer.gov/cases/db4bc6aa-2e7d-4bcb-8519-a455f624d33b","TCGA-BH-A18Q-01A")</f>
        <v>TCGA-BH-A18Q-01A</v>
      </c>
      <c r="I14057" t="s">
        <v>17</v>
      </c>
      <c r="J14057" t="s">
        <v>524</v>
      </c>
      <c r="K14057" t="s">
        <v>33</v>
      </c>
      <c r="L14057" t="s">
        <v>20</v>
      </c>
      <c r="N14057" t="s">
        <v>29</v>
      </c>
    </row>
    <row r="14058" spans="1:14">
      <c r="A14058" s="4" t="str">
        <f t="shared" si="1148"/>
        <v>EXP00414</v>
      </c>
      <c r="B14058" s="3" t="s">
        <v>66</v>
      </c>
      <c r="C14058" s="4" t="str">
        <f t="shared" si="1147"/>
        <v>TCGA-BRCA</v>
      </c>
      <c r="D14058" s="1" t="s">
        <v>493</v>
      </c>
      <c r="E14058" t="s">
        <v>532</v>
      </c>
      <c r="F14058" s="1">
        <v>2</v>
      </c>
      <c r="G14058" s="1" t="s">
        <v>32</v>
      </c>
      <c r="H14058" s="4" t="str">
        <f>HYPERLINK("https://portal.gdc.cancer.gov/cases/f6e1ec78-5ad9-4879-9b7e-262d17b166ad","TCGA-BH-A18R-01A")</f>
        <v>TCGA-BH-A18R-01A</v>
      </c>
      <c r="I14058" t="s">
        <v>17</v>
      </c>
      <c r="J14058" t="s">
        <v>524</v>
      </c>
      <c r="K14058" t="s">
        <v>33</v>
      </c>
      <c r="L14058" t="s">
        <v>20</v>
      </c>
      <c r="N14058" t="s">
        <v>29</v>
      </c>
    </row>
    <row r="14059" spans="1:14">
      <c r="A14059" s="4" t="str">
        <f t="shared" si="1148"/>
        <v>EXP00414</v>
      </c>
      <c r="B14059" s="3" t="s">
        <v>66</v>
      </c>
      <c r="C14059" s="4" t="str">
        <f t="shared" si="1147"/>
        <v>TCGA-BRCA</v>
      </c>
      <c r="D14059" s="1" t="s">
        <v>493</v>
      </c>
      <c r="E14059" t="s">
        <v>532</v>
      </c>
      <c r="F14059" s="1">
        <v>2</v>
      </c>
      <c r="G14059" s="1" t="s">
        <v>32</v>
      </c>
      <c r="H14059" s="4" t="str">
        <f>HYPERLINK("https://portal.gdc.cancer.gov/cases/433427a1-bacf-4381-91ba-5fec8a0953f9","TCGA-BH-A18S-01A")</f>
        <v>TCGA-BH-A18S-01A</v>
      </c>
      <c r="I14059" t="s">
        <v>17</v>
      </c>
      <c r="J14059" t="s">
        <v>524</v>
      </c>
      <c r="K14059" t="s">
        <v>33</v>
      </c>
      <c r="L14059" t="s">
        <v>20</v>
      </c>
      <c r="N14059" t="s">
        <v>29</v>
      </c>
    </row>
    <row r="14060" spans="1:14">
      <c r="A14060" s="4" t="str">
        <f t="shared" si="1148"/>
        <v>EXP00414</v>
      </c>
      <c r="B14060" s="3" t="s">
        <v>66</v>
      </c>
      <c r="C14060" s="4" t="str">
        <f t="shared" si="1147"/>
        <v>TCGA-BRCA</v>
      </c>
      <c r="D14060" s="1" t="s">
        <v>493</v>
      </c>
      <c r="E14060" t="s">
        <v>532</v>
      </c>
      <c r="F14060" s="1">
        <v>2</v>
      </c>
      <c r="G14060" s="1" t="s">
        <v>32</v>
      </c>
      <c r="H14060" s="4" t="str">
        <f>HYPERLINK("https://portal.gdc.cancer.gov/cases/30ec8b1f-28c4-4f46-8a1b-a8d51e558c7d","TCGA-BH-A18T-01A")</f>
        <v>TCGA-BH-A18T-01A</v>
      </c>
      <c r="I14060" t="s">
        <v>17</v>
      </c>
      <c r="J14060" t="s">
        <v>524</v>
      </c>
      <c r="K14060" t="s">
        <v>33</v>
      </c>
      <c r="L14060" t="s">
        <v>20</v>
      </c>
      <c r="N14060" t="s">
        <v>29</v>
      </c>
    </row>
    <row r="14061" spans="1:14">
      <c r="A14061" s="4" t="str">
        <f t="shared" si="1148"/>
        <v>EXP00414</v>
      </c>
      <c r="B14061" s="3" t="s">
        <v>66</v>
      </c>
      <c r="C14061" s="4" t="str">
        <f t="shared" si="1147"/>
        <v>TCGA-BRCA</v>
      </c>
      <c r="D14061" s="1" t="s">
        <v>493</v>
      </c>
      <c r="E14061" t="s">
        <v>532</v>
      </c>
      <c r="F14061" s="1">
        <v>2</v>
      </c>
      <c r="G14061" s="1" t="s">
        <v>32</v>
      </c>
      <c r="H14061" s="4" t="str">
        <f>HYPERLINK("https://portal.gdc.cancer.gov/cases/233b02f3-c4f0-4a67-9db5-e68d5cdaccb6","TCGA-BH-A18U-01A")</f>
        <v>TCGA-BH-A18U-01A</v>
      </c>
      <c r="I14061" t="s">
        <v>17</v>
      </c>
      <c r="J14061" t="s">
        <v>524</v>
      </c>
      <c r="K14061" t="s">
        <v>33</v>
      </c>
      <c r="L14061" t="s">
        <v>20</v>
      </c>
      <c r="N14061" t="s">
        <v>29</v>
      </c>
    </row>
    <row r="14062" spans="1:14">
      <c r="A14062" s="4" t="str">
        <f t="shared" si="1148"/>
        <v>EXP00414</v>
      </c>
      <c r="B14062" s="3" t="s">
        <v>66</v>
      </c>
      <c r="C14062" s="4" t="str">
        <f t="shared" si="1147"/>
        <v>TCGA-BRCA</v>
      </c>
      <c r="D14062" s="1" t="s">
        <v>493</v>
      </c>
      <c r="E14062" t="s">
        <v>532</v>
      </c>
      <c r="F14062" s="1">
        <v>2</v>
      </c>
      <c r="G14062" s="1" t="s">
        <v>32</v>
      </c>
      <c r="H14062" s="4" t="str">
        <f>HYPERLINK("https://portal.gdc.cancer.gov/cases/858652b8-c4c2-41d8-be32-fdc88e1a7bb0","TCGA-BH-A1EN-01A")</f>
        <v>TCGA-BH-A1EN-01A</v>
      </c>
      <c r="I14062" t="s">
        <v>17</v>
      </c>
      <c r="J14062" t="s">
        <v>524</v>
      </c>
      <c r="K14062" t="s">
        <v>33</v>
      </c>
      <c r="L14062" t="s">
        <v>20</v>
      </c>
      <c r="N14062" t="s">
        <v>29</v>
      </c>
    </row>
    <row r="14063" spans="1:14">
      <c r="A14063" s="4" t="str">
        <f t="shared" si="1148"/>
        <v>EXP00414</v>
      </c>
      <c r="B14063" s="3" t="s">
        <v>66</v>
      </c>
      <c r="C14063" s="4" t="str">
        <f t="shared" si="1147"/>
        <v>TCGA-BRCA</v>
      </c>
      <c r="D14063" s="1" t="s">
        <v>493</v>
      </c>
      <c r="E14063" t="s">
        <v>532</v>
      </c>
      <c r="F14063" s="1">
        <v>2</v>
      </c>
      <c r="G14063" s="1" t="s">
        <v>32</v>
      </c>
      <c r="H14063" s="4" t="str">
        <f>HYPERLINK("https://portal.gdc.cancer.gov/cases/4510295e-8aa7-4ef1-b2b7-91cc902f8200","TCGA-BH-A1EO-01A")</f>
        <v>TCGA-BH-A1EO-01A</v>
      </c>
      <c r="I14063" t="s">
        <v>17</v>
      </c>
      <c r="J14063" t="s">
        <v>524</v>
      </c>
      <c r="K14063" t="s">
        <v>33</v>
      </c>
      <c r="L14063" t="s">
        <v>20</v>
      </c>
      <c r="N14063" t="s">
        <v>29</v>
      </c>
    </row>
    <row r="14064" spans="1:14">
      <c r="A14064" s="4" t="str">
        <f t="shared" si="1148"/>
        <v>EXP00414</v>
      </c>
      <c r="B14064" s="3" t="s">
        <v>66</v>
      </c>
      <c r="C14064" s="4" t="str">
        <f t="shared" si="1147"/>
        <v>TCGA-BRCA</v>
      </c>
      <c r="D14064" s="1" t="s">
        <v>493</v>
      </c>
      <c r="E14064" t="s">
        <v>532</v>
      </c>
      <c r="F14064" s="1">
        <v>2</v>
      </c>
      <c r="G14064" s="1" t="s">
        <v>32</v>
      </c>
      <c r="H14064" s="4" t="str">
        <f>HYPERLINK("https://portal.gdc.cancer.gov/cases/8986a141-eae7-4157-b695-02cc6fc3b071","TCGA-BH-A1ET-01A")</f>
        <v>TCGA-BH-A1ET-01A</v>
      </c>
      <c r="I14064" t="s">
        <v>17</v>
      </c>
      <c r="J14064" t="s">
        <v>524</v>
      </c>
      <c r="K14064" t="s">
        <v>33</v>
      </c>
      <c r="L14064" t="s">
        <v>20</v>
      </c>
      <c r="N14064" t="s">
        <v>29</v>
      </c>
    </row>
    <row r="14065" spans="1:14">
      <c r="A14065" s="4" t="str">
        <f t="shared" si="1148"/>
        <v>EXP00414</v>
      </c>
      <c r="B14065" s="3" t="s">
        <v>66</v>
      </c>
      <c r="C14065" s="4" t="str">
        <f t="shared" si="1147"/>
        <v>TCGA-BRCA</v>
      </c>
      <c r="D14065" s="1" t="s">
        <v>493</v>
      </c>
      <c r="E14065" t="s">
        <v>532</v>
      </c>
      <c r="F14065" s="1">
        <v>2</v>
      </c>
      <c r="G14065" s="1" t="s">
        <v>32</v>
      </c>
      <c r="H14065" s="4" t="str">
        <f>HYPERLINK("https://portal.gdc.cancer.gov/cases/a1093598-d3a8-4ffe-83fc-bc7d1faff7e5","TCGA-BH-A1EU-01A")</f>
        <v>TCGA-BH-A1EU-01A</v>
      </c>
      <c r="I14065" t="s">
        <v>17</v>
      </c>
      <c r="J14065" t="s">
        <v>524</v>
      </c>
      <c r="K14065" t="s">
        <v>33</v>
      </c>
      <c r="L14065" t="s">
        <v>20</v>
      </c>
      <c r="N14065" t="s">
        <v>29</v>
      </c>
    </row>
    <row r="14066" spans="1:14">
      <c r="A14066" s="4" t="str">
        <f t="shared" si="1148"/>
        <v>EXP00414</v>
      </c>
      <c r="B14066" s="3" t="s">
        <v>66</v>
      </c>
      <c r="C14066" s="4" t="str">
        <f t="shared" si="1147"/>
        <v>TCGA-BRCA</v>
      </c>
      <c r="D14066" s="1" t="s">
        <v>493</v>
      </c>
      <c r="E14066" t="s">
        <v>532</v>
      </c>
      <c r="F14066" s="1">
        <v>2</v>
      </c>
      <c r="G14066" s="1" t="s">
        <v>32</v>
      </c>
      <c r="H14066" s="4" t="str">
        <f>HYPERLINK("https://portal.gdc.cancer.gov/cases/417dea5f-f68e-4dab-940e-43ae8c67e5e6","TCGA-BH-A1EV-01A")</f>
        <v>TCGA-BH-A1EV-01A</v>
      </c>
      <c r="I14066" t="s">
        <v>17</v>
      </c>
      <c r="J14066" t="s">
        <v>524</v>
      </c>
      <c r="K14066" t="s">
        <v>33</v>
      </c>
      <c r="L14066" t="s">
        <v>20</v>
      </c>
      <c r="N14066" t="s">
        <v>29</v>
      </c>
    </row>
    <row r="14067" spans="1:14">
      <c r="A14067" s="4" t="str">
        <f t="shared" si="1148"/>
        <v>EXP00414</v>
      </c>
      <c r="B14067" s="3" t="s">
        <v>66</v>
      </c>
      <c r="C14067" s="4" t="str">
        <f t="shared" si="1147"/>
        <v>TCGA-BRCA</v>
      </c>
      <c r="D14067" s="1" t="s">
        <v>493</v>
      </c>
      <c r="E14067" t="s">
        <v>532</v>
      </c>
      <c r="F14067" s="1">
        <v>2</v>
      </c>
      <c r="G14067" s="1" t="s">
        <v>32</v>
      </c>
      <c r="H14067" s="4" t="str">
        <f>HYPERLINK("https://portal.gdc.cancer.gov/cases/9d166970-07c8-4ca3-9cfa-ed0049df9ecc","TCGA-BH-A1EW-01A")</f>
        <v>TCGA-BH-A1EW-01A</v>
      </c>
      <c r="I14067" t="s">
        <v>17</v>
      </c>
      <c r="J14067" t="s">
        <v>524</v>
      </c>
      <c r="K14067" t="s">
        <v>33</v>
      </c>
      <c r="L14067" t="s">
        <v>20</v>
      </c>
      <c r="N14067" t="s">
        <v>29</v>
      </c>
    </row>
    <row r="14068" spans="1:14">
      <c r="A14068" s="4" t="str">
        <f t="shared" si="1148"/>
        <v>EXP00414</v>
      </c>
      <c r="B14068" s="3" t="s">
        <v>66</v>
      </c>
      <c r="C14068" s="4" t="str">
        <f t="shared" si="1147"/>
        <v>TCGA-BRCA</v>
      </c>
      <c r="D14068" s="1" t="s">
        <v>493</v>
      </c>
      <c r="E14068" t="s">
        <v>532</v>
      </c>
      <c r="F14068" s="1">
        <v>2</v>
      </c>
      <c r="G14068" s="1" t="s">
        <v>32</v>
      </c>
      <c r="H14068" s="4" t="str">
        <f>HYPERLINK("https://portal.gdc.cancer.gov/cases/7b892055-c59d-4550-8688-ad039790af3d","TCGA-BH-A1EX-01A")</f>
        <v>TCGA-BH-A1EX-01A</v>
      </c>
      <c r="I14068" t="s">
        <v>17</v>
      </c>
      <c r="J14068" t="s">
        <v>524</v>
      </c>
      <c r="K14068" t="s">
        <v>33</v>
      </c>
      <c r="L14068" t="s">
        <v>20</v>
      </c>
      <c r="N14068" t="s">
        <v>29</v>
      </c>
    </row>
    <row r="14069" spans="1:14">
      <c r="A14069" s="4" t="str">
        <f t="shared" si="1148"/>
        <v>EXP00414</v>
      </c>
      <c r="B14069" s="3" t="s">
        <v>66</v>
      </c>
      <c r="C14069" s="4" t="str">
        <f t="shared" si="1147"/>
        <v>TCGA-BRCA</v>
      </c>
      <c r="D14069" s="1" t="s">
        <v>493</v>
      </c>
      <c r="E14069" t="s">
        <v>532</v>
      </c>
      <c r="F14069" s="1">
        <v>2</v>
      </c>
      <c r="G14069" s="1" t="s">
        <v>32</v>
      </c>
      <c r="H14069" s="4" t="str">
        <f>HYPERLINK("https://portal.gdc.cancer.gov/cases/0741b5db-4405-42ba-b63a-c6ee4f341480","TCGA-BH-A1EY-01A")</f>
        <v>TCGA-BH-A1EY-01A</v>
      </c>
      <c r="I14069" t="s">
        <v>17</v>
      </c>
      <c r="J14069" t="s">
        <v>524</v>
      </c>
      <c r="K14069" t="s">
        <v>33</v>
      </c>
      <c r="L14069" t="s">
        <v>20</v>
      </c>
      <c r="N14069" t="s">
        <v>29</v>
      </c>
    </row>
    <row r="14070" spans="1:14">
      <c r="A14070" s="4" t="str">
        <f t="shared" si="1148"/>
        <v>EXP00414</v>
      </c>
      <c r="B14070" s="3" t="s">
        <v>66</v>
      </c>
      <c r="C14070" s="4" t="str">
        <f t="shared" si="1147"/>
        <v>TCGA-BRCA</v>
      </c>
      <c r="D14070" s="1" t="s">
        <v>493</v>
      </c>
      <c r="E14070" t="s">
        <v>532</v>
      </c>
      <c r="F14070" s="1">
        <v>2</v>
      </c>
      <c r="G14070" s="1" t="s">
        <v>32</v>
      </c>
      <c r="H14070" s="4" t="str">
        <f>HYPERLINK("https://portal.gdc.cancer.gov/cases/21ef1730-e5a7-47ce-b419-d000bb59ae15","TCGA-BH-A1F0-01A")</f>
        <v>TCGA-BH-A1F0-01A</v>
      </c>
      <c r="I14070" t="s">
        <v>17</v>
      </c>
      <c r="J14070" t="s">
        <v>524</v>
      </c>
      <c r="K14070" t="s">
        <v>33</v>
      </c>
      <c r="L14070" t="s">
        <v>20</v>
      </c>
      <c r="N14070" t="s">
        <v>29</v>
      </c>
    </row>
    <row r="14071" spans="1:14">
      <c r="A14071" s="4" t="str">
        <f t="shared" si="1148"/>
        <v>EXP00414</v>
      </c>
      <c r="B14071" s="3" t="s">
        <v>66</v>
      </c>
      <c r="C14071" s="4" t="str">
        <f t="shared" si="1147"/>
        <v>TCGA-BRCA</v>
      </c>
      <c r="D14071" s="1" t="s">
        <v>493</v>
      </c>
      <c r="E14071" t="s">
        <v>532</v>
      </c>
      <c r="F14071" s="1">
        <v>2</v>
      </c>
      <c r="G14071" s="1" t="s">
        <v>32</v>
      </c>
      <c r="H14071" s="4" t="str">
        <f>HYPERLINK("https://portal.gdc.cancer.gov/cases/6a2972e3-cca9-47e5-aac0-b770f2399eeb","TCGA-BH-A1F2-01A")</f>
        <v>TCGA-BH-A1F2-01A</v>
      </c>
      <c r="I14071" t="s">
        <v>17</v>
      </c>
      <c r="J14071" t="s">
        <v>524</v>
      </c>
      <c r="K14071" t="s">
        <v>33</v>
      </c>
      <c r="L14071" t="s">
        <v>20</v>
      </c>
      <c r="N14071" t="s">
        <v>29</v>
      </c>
    </row>
    <row r="14072" spans="1:14">
      <c r="A14072" s="4" t="str">
        <f t="shared" si="1148"/>
        <v>EXP00414</v>
      </c>
      <c r="B14072" s="3" t="s">
        <v>66</v>
      </c>
      <c r="C14072" s="4" t="str">
        <f t="shared" si="1147"/>
        <v>TCGA-BRCA</v>
      </c>
      <c r="D14072" s="1" t="s">
        <v>493</v>
      </c>
      <c r="E14072" t="s">
        <v>532</v>
      </c>
      <c r="F14072" s="1">
        <v>2</v>
      </c>
      <c r="G14072" s="1" t="s">
        <v>32</v>
      </c>
      <c r="H14072" s="4" t="str">
        <f>HYPERLINK("https://portal.gdc.cancer.gov/cases/e663954c-05a8-479a-a623-400c1eb5efc6","TCGA-BH-A1F5-01A")</f>
        <v>TCGA-BH-A1F5-01A</v>
      </c>
      <c r="I14072" t="s">
        <v>17</v>
      </c>
      <c r="J14072" t="s">
        <v>524</v>
      </c>
      <c r="K14072" t="s">
        <v>33</v>
      </c>
      <c r="L14072" t="s">
        <v>20</v>
      </c>
      <c r="N14072" t="s">
        <v>29</v>
      </c>
    </row>
    <row r="14073" spans="1:14">
      <c r="A14073" s="4" t="str">
        <f t="shared" si="1148"/>
        <v>EXP00414</v>
      </c>
      <c r="B14073" s="3" t="s">
        <v>66</v>
      </c>
      <c r="C14073" s="4" t="str">
        <f t="shared" si="1147"/>
        <v>TCGA-BRCA</v>
      </c>
      <c r="D14073" s="1" t="s">
        <v>493</v>
      </c>
      <c r="E14073" t="s">
        <v>532</v>
      </c>
      <c r="F14073" s="1">
        <v>2</v>
      </c>
      <c r="G14073" s="1" t="s">
        <v>32</v>
      </c>
      <c r="H14073" s="4" t="str">
        <f>HYPERLINK("https://portal.gdc.cancer.gov/cases/ad18820b-a804-49c0-ba8a-86c09fa6bce2","TCGA-BH-A1F6-01A")</f>
        <v>TCGA-BH-A1F6-01A</v>
      </c>
      <c r="I14073" t="s">
        <v>17</v>
      </c>
      <c r="J14073" t="s">
        <v>524</v>
      </c>
      <c r="K14073" t="s">
        <v>33</v>
      </c>
      <c r="L14073" t="s">
        <v>20</v>
      </c>
      <c r="N14073" t="s">
        <v>29</v>
      </c>
    </row>
    <row r="14074" spans="1:14">
      <c r="A14074" s="4" t="str">
        <f t="shared" si="1148"/>
        <v>EXP00414</v>
      </c>
      <c r="B14074" s="3" t="s">
        <v>66</v>
      </c>
      <c r="C14074" s="4" t="str">
        <f t="shared" ref="C14074:C14137" si="1149">HYPERLINK("https://portal.gdc.cancer.gov/projects/TCGA-BRCA","TCGA-BRCA")</f>
        <v>TCGA-BRCA</v>
      </c>
      <c r="D14074" s="1" t="s">
        <v>493</v>
      </c>
      <c r="E14074" t="s">
        <v>532</v>
      </c>
      <c r="F14074" s="1">
        <v>2</v>
      </c>
      <c r="G14074" s="1" t="s">
        <v>32</v>
      </c>
      <c r="H14074" s="4" t="str">
        <f>HYPERLINK("https://portal.gdc.cancer.gov/cases/ee554215-bea2-4268-aaf9-784e68cdb969","TCGA-BH-A1F8-01A")</f>
        <v>TCGA-BH-A1F8-01A</v>
      </c>
      <c r="I14074" t="s">
        <v>17</v>
      </c>
      <c r="J14074" t="s">
        <v>524</v>
      </c>
      <c r="K14074" t="s">
        <v>33</v>
      </c>
      <c r="L14074" t="s">
        <v>20</v>
      </c>
      <c r="N14074" t="s">
        <v>29</v>
      </c>
    </row>
    <row r="14075" spans="1:14">
      <c r="A14075" s="4" t="str">
        <f t="shared" si="1148"/>
        <v>EXP00414</v>
      </c>
      <c r="B14075" s="3" t="s">
        <v>66</v>
      </c>
      <c r="C14075" s="4" t="str">
        <f t="shared" si="1149"/>
        <v>TCGA-BRCA</v>
      </c>
      <c r="D14075" s="1" t="s">
        <v>493</v>
      </c>
      <c r="E14075" t="s">
        <v>532</v>
      </c>
      <c r="F14075" s="1">
        <v>2</v>
      </c>
      <c r="G14075" s="1" t="s">
        <v>32</v>
      </c>
      <c r="H14075" s="4" t="str">
        <f>HYPERLINK("https://portal.gdc.cancer.gov/cases/ecab16bc-28d5-4c3a-8735-3c785bd047c4","TCGA-BH-A1FB-01A")</f>
        <v>TCGA-BH-A1FB-01A</v>
      </c>
      <c r="I14075" t="s">
        <v>17</v>
      </c>
      <c r="J14075" t="s">
        <v>524</v>
      </c>
      <c r="K14075" t="s">
        <v>33</v>
      </c>
      <c r="L14075" t="s">
        <v>20</v>
      </c>
      <c r="N14075" t="s">
        <v>29</v>
      </c>
    </row>
    <row r="14076" spans="1:14">
      <c r="A14076" s="4" t="str">
        <f t="shared" si="1148"/>
        <v>EXP00414</v>
      </c>
      <c r="B14076" s="3" t="s">
        <v>66</v>
      </c>
      <c r="C14076" s="4" t="str">
        <f t="shared" si="1149"/>
        <v>TCGA-BRCA</v>
      </c>
      <c r="D14076" s="1" t="s">
        <v>493</v>
      </c>
      <c r="E14076" t="s">
        <v>532</v>
      </c>
      <c r="F14076" s="1">
        <v>2</v>
      </c>
      <c r="G14076" s="1" t="s">
        <v>32</v>
      </c>
      <c r="H14076" s="4" t="str">
        <f>HYPERLINK("https://portal.gdc.cancer.gov/cases/b97bf89a-7a85-4eef-ae7e-f787aead1f0a","TCGA-BH-A1FC-01A")</f>
        <v>TCGA-BH-A1FC-01A</v>
      </c>
      <c r="I14076" t="s">
        <v>17</v>
      </c>
      <c r="J14076" t="s">
        <v>524</v>
      </c>
      <c r="K14076" t="s">
        <v>33</v>
      </c>
      <c r="L14076" t="s">
        <v>20</v>
      </c>
      <c r="N14076" t="s">
        <v>29</v>
      </c>
    </row>
    <row r="14077" spans="1:14">
      <c r="A14077" s="4" t="str">
        <f t="shared" si="1148"/>
        <v>EXP00414</v>
      </c>
      <c r="B14077" s="3" t="s">
        <v>66</v>
      </c>
      <c r="C14077" s="4" t="str">
        <f t="shared" si="1149"/>
        <v>TCGA-BRCA</v>
      </c>
      <c r="D14077" s="1" t="s">
        <v>493</v>
      </c>
      <c r="E14077" t="s">
        <v>532</v>
      </c>
      <c r="F14077" s="1">
        <v>2</v>
      </c>
      <c r="G14077" s="1" t="s">
        <v>32</v>
      </c>
      <c r="H14077" s="4" t="str">
        <f>HYPERLINK("https://portal.gdc.cancer.gov/cases/d4e7426c-9739-4585-9114-e564b13c7c02","TCGA-BH-A1FG-01A")</f>
        <v>TCGA-BH-A1FG-01A</v>
      </c>
      <c r="I14077" t="s">
        <v>17</v>
      </c>
      <c r="J14077" t="s">
        <v>524</v>
      </c>
      <c r="K14077" t="s">
        <v>33</v>
      </c>
      <c r="L14077" t="s">
        <v>20</v>
      </c>
      <c r="N14077" t="s">
        <v>29</v>
      </c>
    </row>
    <row r="14078" spans="1:14">
      <c r="A14078" s="4" t="str">
        <f t="shared" si="1148"/>
        <v>EXP00414</v>
      </c>
      <c r="B14078" s="3" t="s">
        <v>66</v>
      </c>
      <c r="C14078" s="4" t="str">
        <f t="shared" si="1149"/>
        <v>TCGA-BRCA</v>
      </c>
      <c r="D14078" s="1" t="s">
        <v>493</v>
      </c>
      <c r="E14078" t="s">
        <v>532</v>
      </c>
      <c r="F14078" s="1">
        <v>2</v>
      </c>
      <c r="G14078" s="1" t="s">
        <v>32</v>
      </c>
      <c r="H14078" s="4" t="str">
        <f>HYPERLINK("https://portal.gdc.cancer.gov/cases/1783cac1-253a-40af-a9ac-48dfb20e1ab8","TCGA-BH-A1FH-01A")</f>
        <v>TCGA-BH-A1FH-01A</v>
      </c>
      <c r="I14078" t="s">
        <v>17</v>
      </c>
      <c r="J14078" t="s">
        <v>524</v>
      </c>
      <c r="K14078" t="s">
        <v>33</v>
      </c>
      <c r="L14078" t="s">
        <v>20</v>
      </c>
      <c r="N14078" t="s">
        <v>29</v>
      </c>
    </row>
    <row r="14079" spans="1:14">
      <c r="A14079" s="4" t="str">
        <f t="shared" si="1148"/>
        <v>EXP00414</v>
      </c>
      <c r="B14079" s="3" t="s">
        <v>66</v>
      </c>
      <c r="C14079" s="4" t="str">
        <f t="shared" si="1149"/>
        <v>TCGA-BRCA</v>
      </c>
      <c r="D14079" s="1" t="s">
        <v>493</v>
      </c>
      <c r="E14079" t="s">
        <v>532</v>
      </c>
      <c r="F14079" s="1">
        <v>2</v>
      </c>
      <c r="G14079" s="1" t="s">
        <v>32</v>
      </c>
      <c r="H14079" s="4" t="str">
        <f>HYPERLINK("https://portal.gdc.cancer.gov/cases/f6581eee-61b9-43d4-ab0d-ce5ce3ba1c74","TCGA-BH-A1FJ-01A")</f>
        <v>TCGA-BH-A1FJ-01A</v>
      </c>
      <c r="I14079" t="s">
        <v>17</v>
      </c>
      <c r="J14079" t="s">
        <v>524</v>
      </c>
      <c r="K14079" t="s">
        <v>33</v>
      </c>
      <c r="L14079" t="s">
        <v>20</v>
      </c>
      <c r="N14079" t="s">
        <v>29</v>
      </c>
    </row>
    <row r="14080" spans="1:14">
      <c r="A14080" s="4" t="str">
        <f t="shared" si="1148"/>
        <v>EXP00414</v>
      </c>
      <c r="B14080" s="3" t="s">
        <v>66</v>
      </c>
      <c r="C14080" s="4" t="str">
        <f t="shared" si="1149"/>
        <v>TCGA-BRCA</v>
      </c>
      <c r="D14080" s="1" t="s">
        <v>493</v>
      </c>
      <c r="E14080" t="s">
        <v>532</v>
      </c>
      <c r="F14080" s="1">
        <v>2</v>
      </c>
      <c r="G14080" s="1" t="s">
        <v>32</v>
      </c>
      <c r="H14080" s="4" t="str">
        <f>HYPERLINK("https://portal.gdc.cancer.gov/cases/14d1d84e-99e1-41ad-8892-3b4da3d4f948","TCGA-BH-A1FL-01A")</f>
        <v>TCGA-BH-A1FL-01A</v>
      </c>
      <c r="I14080" t="s">
        <v>17</v>
      </c>
      <c r="J14080" t="s">
        <v>524</v>
      </c>
      <c r="K14080" t="s">
        <v>33</v>
      </c>
      <c r="L14080" t="s">
        <v>20</v>
      </c>
      <c r="N14080" t="s">
        <v>29</v>
      </c>
    </row>
    <row r="14081" spans="1:14">
      <c r="A14081" s="4" t="str">
        <f t="shared" si="1148"/>
        <v>EXP00414</v>
      </c>
      <c r="B14081" s="3" t="s">
        <v>66</v>
      </c>
      <c r="C14081" s="4" t="str">
        <f t="shared" si="1149"/>
        <v>TCGA-BRCA</v>
      </c>
      <c r="D14081" s="1" t="s">
        <v>493</v>
      </c>
      <c r="E14081" t="s">
        <v>532</v>
      </c>
      <c r="F14081" s="1">
        <v>2</v>
      </c>
      <c r="G14081" s="1" t="s">
        <v>32</v>
      </c>
      <c r="H14081" s="4" t="str">
        <f>HYPERLINK("https://portal.gdc.cancer.gov/cases/7eb18190-5a41-4637-9783-f81bbde499e4","TCGA-BH-A1FM-01A")</f>
        <v>TCGA-BH-A1FM-01A</v>
      </c>
      <c r="I14081" t="s">
        <v>17</v>
      </c>
      <c r="J14081" t="s">
        <v>524</v>
      </c>
      <c r="K14081" t="s">
        <v>33</v>
      </c>
      <c r="L14081" t="s">
        <v>20</v>
      </c>
      <c r="N14081" t="s">
        <v>29</v>
      </c>
    </row>
    <row r="14082" spans="1:14">
      <c r="A14082" s="4" t="str">
        <f t="shared" si="1148"/>
        <v>EXP00414</v>
      </c>
      <c r="B14082" s="3" t="s">
        <v>66</v>
      </c>
      <c r="C14082" s="4" t="str">
        <f t="shared" si="1149"/>
        <v>TCGA-BRCA</v>
      </c>
      <c r="D14082" s="1" t="s">
        <v>493</v>
      </c>
      <c r="E14082" t="s">
        <v>532</v>
      </c>
      <c r="F14082" s="1">
        <v>2</v>
      </c>
      <c r="G14082" s="1" t="s">
        <v>32</v>
      </c>
      <c r="H14082" s="4" t="str">
        <f>HYPERLINK("https://portal.gdc.cancer.gov/cases/6dd0dd7b-62ff-4fd1-a99a-b265f1a91dca","TCGA-BH-A1FN-01A")</f>
        <v>TCGA-BH-A1FN-01A</v>
      </c>
      <c r="I14082" t="s">
        <v>17</v>
      </c>
      <c r="J14082" t="s">
        <v>524</v>
      </c>
      <c r="K14082" t="s">
        <v>33</v>
      </c>
      <c r="L14082" t="s">
        <v>20</v>
      </c>
      <c r="N14082" t="s">
        <v>29</v>
      </c>
    </row>
    <row r="14083" spans="1:14">
      <c r="A14083" s="4" t="str">
        <f t="shared" ref="A14083:A14146" si="1150">HYPERLINK("http://hcmdb.i-sanger.com/experiment/details/experiment_id/EXP00414","EXP00414")</f>
        <v>EXP00414</v>
      </c>
      <c r="B14083" s="3" t="s">
        <v>66</v>
      </c>
      <c r="C14083" s="4" t="str">
        <f t="shared" si="1149"/>
        <v>TCGA-BRCA</v>
      </c>
      <c r="D14083" s="1" t="s">
        <v>493</v>
      </c>
      <c r="E14083" t="s">
        <v>532</v>
      </c>
      <c r="F14083" s="1">
        <v>2</v>
      </c>
      <c r="G14083" s="1" t="s">
        <v>32</v>
      </c>
      <c r="H14083" s="4" t="str">
        <f>HYPERLINK("https://portal.gdc.cancer.gov/cases/bf3b1481-ae31-4406-b084-b6cc1d7163e3","TCGA-BH-A1FR-01A")</f>
        <v>TCGA-BH-A1FR-01A</v>
      </c>
      <c r="I14083" t="s">
        <v>17</v>
      </c>
      <c r="J14083" t="s">
        <v>524</v>
      </c>
      <c r="K14083" t="s">
        <v>33</v>
      </c>
      <c r="L14083" t="s">
        <v>20</v>
      </c>
      <c r="N14083" t="s">
        <v>29</v>
      </c>
    </row>
    <row r="14084" spans="1:14">
      <c r="A14084" s="4" t="str">
        <f t="shared" si="1150"/>
        <v>EXP00414</v>
      </c>
      <c r="B14084" s="3" t="s">
        <v>66</v>
      </c>
      <c r="C14084" s="4" t="str">
        <f t="shared" si="1149"/>
        <v>TCGA-BRCA</v>
      </c>
      <c r="D14084" s="1" t="s">
        <v>493</v>
      </c>
      <c r="E14084" t="s">
        <v>532</v>
      </c>
      <c r="F14084" s="1">
        <v>2</v>
      </c>
      <c r="G14084" s="1" t="s">
        <v>32</v>
      </c>
      <c r="H14084" s="4" t="str">
        <f>HYPERLINK("https://portal.gdc.cancer.gov/cases/c348a9b3-c901-4384-a222-144387bac0c5","TCGA-BH-A1FU-01A")</f>
        <v>TCGA-BH-A1FU-01A</v>
      </c>
      <c r="I14084" t="s">
        <v>17</v>
      </c>
      <c r="J14084" t="s">
        <v>524</v>
      </c>
      <c r="K14084" t="s">
        <v>33</v>
      </c>
      <c r="L14084" t="s">
        <v>20</v>
      </c>
      <c r="N14084" t="s">
        <v>29</v>
      </c>
    </row>
    <row r="14085" spans="1:14">
      <c r="A14085" s="4" t="str">
        <f t="shared" si="1150"/>
        <v>EXP00414</v>
      </c>
      <c r="B14085" s="3" t="s">
        <v>66</v>
      </c>
      <c r="C14085" s="4" t="str">
        <f t="shared" si="1149"/>
        <v>TCGA-BRCA</v>
      </c>
      <c r="D14085" s="1" t="s">
        <v>493</v>
      </c>
      <c r="E14085" t="s">
        <v>532</v>
      </c>
      <c r="F14085" s="1">
        <v>2</v>
      </c>
      <c r="G14085" s="1" t="s">
        <v>32</v>
      </c>
      <c r="H14085" s="4" t="str">
        <f>HYPERLINK("https://portal.gdc.cancer.gov/cases/3bf81a9f-abb4-4495-a514-fd3865e13a03","TCGA-BH-A201-01A")</f>
        <v>TCGA-BH-A201-01A</v>
      </c>
      <c r="I14085" t="s">
        <v>17</v>
      </c>
      <c r="J14085" t="s">
        <v>524</v>
      </c>
      <c r="K14085" t="s">
        <v>33</v>
      </c>
      <c r="L14085" t="s">
        <v>20</v>
      </c>
      <c r="N14085" t="s">
        <v>29</v>
      </c>
    </row>
    <row r="14086" spans="1:14">
      <c r="A14086" s="4" t="str">
        <f t="shared" si="1150"/>
        <v>EXP00414</v>
      </c>
      <c r="B14086" s="3" t="s">
        <v>66</v>
      </c>
      <c r="C14086" s="4" t="str">
        <f t="shared" si="1149"/>
        <v>TCGA-BRCA</v>
      </c>
      <c r="D14086" s="1" t="s">
        <v>493</v>
      </c>
      <c r="E14086" t="s">
        <v>532</v>
      </c>
      <c r="F14086" s="1">
        <v>2</v>
      </c>
      <c r="G14086" s="1" t="s">
        <v>32</v>
      </c>
      <c r="H14086" s="4" t="str">
        <f>HYPERLINK("https://portal.gdc.cancer.gov/cases/e7a00d67-2c26-4d1f-bd17-35f659e88bc1","TCGA-BH-A202-01A")</f>
        <v>TCGA-BH-A202-01A</v>
      </c>
      <c r="I14086" t="s">
        <v>17</v>
      </c>
      <c r="J14086" t="s">
        <v>524</v>
      </c>
      <c r="K14086" t="s">
        <v>33</v>
      </c>
      <c r="L14086" t="s">
        <v>20</v>
      </c>
      <c r="N14086" t="s">
        <v>29</v>
      </c>
    </row>
    <row r="14087" spans="1:14">
      <c r="A14087" s="4" t="str">
        <f t="shared" si="1150"/>
        <v>EXP00414</v>
      </c>
      <c r="B14087" s="3" t="s">
        <v>66</v>
      </c>
      <c r="C14087" s="4" t="str">
        <f t="shared" si="1149"/>
        <v>TCGA-BRCA</v>
      </c>
      <c r="D14087" s="1" t="s">
        <v>493</v>
      </c>
      <c r="E14087" t="s">
        <v>532</v>
      </c>
      <c r="F14087" s="1">
        <v>2</v>
      </c>
      <c r="G14087" s="1" t="s">
        <v>32</v>
      </c>
      <c r="H14087" s="4" t="str">
        <f>HYPERLINK("https://portal.gdc.cancer.gov/cases/b3264748-947a-43aa-b227-b294fbcc8447","TCGA-BH-A203-01A")</f>
        <v>TCGA-BH-A203-01A</v>
      </c>
      <c r="I14087" t="s">
        <v>17</v>
      </c>
      <c r="J14087" t="s">
        <v>524</v>
      </c>
      <c r="K14087" t="s">
        <v>33</v>
      </c>
      <c r="L14087" t="s">
        <v>20</v>
      </c>
      <c r="N14087" t="s">
        <v>29</v>
      </c>
    </row>
    <row r="14088" spans="1:14">
      <c r="A14088" s="4" t="str">
        <f t="shared" si="1150"/>
        <v>EXP00414</v>
      </c>
      <c r="B14088" s="3" t="s">
        <v>66</v>
      </c>
      <c r="C14088" s="4" t="str">
        <f t="shared" si="1149"/>
        <v>TCGA-BRCA</v>
      </c>
      <c r="D14088" s="1" t="s">
        <v>493</v>
      </c>
      <c r="E14088" t="s">
        <v>532</v>
      </c>
      <c r="F14088" s="1">
        <v>2</v>
      </c>
      <c r="G14088" s="1" t="s">
        <v>32</v>
      </c>
      <c r="H14088" s="4" t="str">
        <f>HYPERLINK("https://portal.gdc.cancer.gov/cases/05135396-df5c-49db-b34e-f4add5b65a2b","TCGA-BH-A204-01A")</f>
        <v>TCGA-BH-A204-01A</v>
      </c>
      <c r="I14088" t="s">
        <v>17</v>
      </c>
      <c r="J14088" t="s">
        <v>524</v>
      </c>
      <c r="K14088" t="s">
        <v>33</v>
      </c>
      <c r="L14088" t="s">
        <v>20</v>
      </c>
      <c r="N14088" t="s">
        <v>29</v>
      </c>
    </row>
    <row r="14089" spans="1:14">
      <c r="A14089" s="4" t="str">
        <f t="shared" si="1150"/>
        <v>EXP00414</v>
      </c>
      <c r="B14089" s="3" t="s">
        <v>66</v>
      </c>
      <c r="C14089" s="4" t="str">
        <f t="shared" si="1149"/>
        <v>TCGA-BRCA</v>
      </c>
      <c r="D14089" s="1" t="s">
        <v>493</v>
      </c>
      <c r="E14089" t="s">
        <v>532</v>
      </c>
      <c r="F14089" s="1">
        <v>2</v>
      </c>
      <c r="G14089" s="1" t="s">
        <v>32</v>
      </c>
      <c r="H14089" s="4" t="str">
        <f>HYPERLINK("https://portal.gdc.cancer.gov/cases/ddcbdac6-9e43-4146-a611-d033125eba14","TCGA-BH-A208-01A")</f>
        <v>TCGA-BH-A208-01A</v>
      </c>
      <c r="I14089" t="s">
        <v>17</v>
      </c>
      <c r="J14089" t="s">
        <v>524</v>
      </c>
      <c r="K14089" t="s">
        <v>33</v>
      </c>
      <c r="L14089" t="s">
        <v>20</v>
      </c>
      <c r="N14089" t="s">
        <v>29</v>
      </c>
    </row>
    <row r="14090" spans="1:14">
      <c r="A14090" s="4" t="str">
        <f t="shared" si="1150"/>
        <v>EXP00414</v>
      </c>
      <c r="B14090" s="3" t="s">
        <v>66</v>
      </c>
      <c r="C14090" s="4" t="str">
        <f t="shared" si="1149"/>
        <v>TCGA-BRCA</v>
      </c>
      <c r="D14090" s="1" t="s">
        <v>493</v>
      </c>
      <c r="E14090" t="s">
        <v>532</v>
      </c>
      <c r="F14090" s="1">
        <v>2</v>
      </c>
      <c r="G14090" s="1" t="s">
        <v>32</v>
      </c>
      <c r="H14090" s="4" t="str">
        <f>HYPERLINK("https://portal.gdc.cancer.gov/cases/5258294f-ef5b-4091-9183-6bcc545d54b2","TCGA-BH-A209-01A")</f>
        <v>TCGA-BH-A209-01A</v>
      </c>
      <c r="I14090" t="s">
        <v>17</v>
      </c>
      <c r="J14090" t="s">
        <v>524</v>
      </c>
      <c r="K14090" t="s">
        <v>33</v>
      </c>
      <c r="L14090" t="s">
        <v>20</v>
      </c>
      <c r="N14090" t="s">
        <v>29</v>
      </c>
    </row>
    <row r="14091" spans="1:14">
      <c r="A14091" s="4" t="str">
        <f t="shared" si="1150"/>
        <v>EXP00414</v>
      </c>
      <c r="B14091" s="3" t="s">
        <v>66</v>
      </c>
      <c r="C14091" s="4" t="str">
        <f t="shared" si="1149"/>
        <v>TCGA-BRCA</v>
      </c>
      <c r="D14091" s="1" t="s">
        <v>493</v>
      </c>
      <c r="E14091" t="s">
        <v>532</v>
      </c>
      <c r="F14091" s="1">
        <v>2</v>
      </c>
      <c r="G14091" s="1" t="s">
        <v>32</v>
      </c>
      <c r="H14091" s="4" t="str">
        <f>HYPERLINK("https://portal.gdc.cancer.gov/cases/84b7ccf2-8ab3-4b21-96de-800d231bc072","TCGA-BH-A28O-01A")</f>
        <v>TCGA-BH-A28O-01A</v>
      </c>
      <c r="I14091" t="s">
        <v>17</v>
      </c>
      <c r="J14091" t="s">
        <v>524</v>
      </c>
      <c r="K14091" t="s">
        <v>33</v>
      </c>
      <c r="L14091" t="s">
        <v>20</v>
      </c>
      <c r="N14091" t="s">
        <v>29</v>
      </c>
    </row>
    <row r="14092" spans="1:14">
      <c r="A14092" s="4" t="str">
        <f t="shared" si="1150"/>
        <v>EXP00414</v>
      </c>
      <c r="B14092" s="3" t="s">
        <v>66</v>
      </c>
      <c r="C14092" s="4" t="str">
        <f t="shared" si="1149"/>
        <v>TCGA-BRCA</v>
      </c>
      <c r="D14092" s="1" t="s">
        <v>493</v>
      </c>
      <c r="E14092" t="s">
        <v>532</v>
      </c>
      <c r="F14092" s="1">
        <v>2</v>
      </c>
      <c r="G14092" s="1" t="s">
        <v>32</v>
      </c>
      <c r="H14092" s="4" t="str">
        <f>HYPERLINK("https://portal.gdc.cancer.gov/cases/32861b48-83f5-43a3-bb54-45215ad2c5d6","TCGA-BH-A28Q-01A")</f>
        <v>TCGA-BH-A28Q-01A</v>
      </c>
      <c r="I14092" t="s">
        <v>17</v>
      </c>
      <c r="J14092" t="s">
        <v>524</v>
      </c>
      <c r="K14092" t="s">
        <v>33</v>
      </c>
      <c r="L14092" t="s">
        <v>20</v>
      </c>
      <c r="N14092" t="s">
        <v>29</v>
      </c>
    </row>
    <row r="14093" spans="1:14">
      <c r="A14093" s="4" t="str">
        <f t="shared" si="1150"/>
        <v>EXP00414</v>
      </c>
      <c r="B14093" s="3" t="s">
        <v>66</v>
      </c>
      <c r="C14093" s="4" t="str">
        <f t="shared" si="1149"/>
        <v>TCGA-BRCA</v>
      </c>
      <c r="D14093" s="1" t="s">
        <v>493</v>
      </c>
      <c r="E14093" t="s">
        <v>532</v>
      </c>
      <c r="F14093" s="1">
        <v>2</v>
      </c>
      <c r="G14093" s="1" t="s">
        <v>32</v>
      </c>
      <c r="H14093" s="4" t="str">
        <f>HYPERLINK("https://portal.gdc.cancer.gov/cases/bac4b268-c781-4408-96d8-43a48fec7418","TCGA-BH-A2L8-01A")</f>
        <v>TCGA-BH-A2L8-01A</v>
      </c>
      <c r="I14093" t="s">
        <v>17</v>
      </c>
      <c r="J14093" t="s">
        <v>524</v>
      </c>
      <c r="K14093" t="s">
        <v>33</v>
      </c>
      <c r="L14093" t="s">
        <v>20</v>
      </c>
      <c r="N14093" t="s">
        <v>29</v>
      </c>
    </row>
    <row r="14094" spans="1:14">
      <c r="A14094" s="4" t="str">
        <f t="shared" si="1150"/>
        <v>EXP00414</v>
      </c>
      <c r="B14094" s="3" t="s">
        <v>66</v>
      </c>
      <c r="C14094" s="4" t="str">
        <f t="shared" si="1149"/>
        <v>TCGA-BRCA</v>
      </c>
      <c r="D14094" s="1" t="s">
        <v>493</v>
      </c>
      <c r="E14094" t="s">
        <v>532</v>
      </c>
      <c r="F14094" s="1">
        <v>2</v>
      </c>
      <c r="G14094" s="1" t="s">
        <v>32</v>
      </c>
      <c r="H14094" s="4" t="str">
        <f>HYPERLINK("https://portal.gdc.cancer.gov/cases/10c829ec-fd66-49c4-8afe-ad3ae567372c","TCGA-BH-A42T-01A")</f>
        <v>TCGA-BH-A42T-01A</v>
      </c>
      <c r="I14094" t="s">
        <v>17</v>
      </c>
      <c r="J14094" t="s">
        <v>524</v>
      </c>
      <c r="K14094" t="s">
        <v>33</v>
      </c>
      <c r="L14094" t="s">
        <v>20</v>
      </c>
      <c r="N14094" t="s">
        <v>29</v>
      </c>
    </row>
    <row r="14095" spans="1:14">
      <c r="A14095" s="4" t="str">
        <f t="shared" si="1150"/>
        <v>EXP00414</v>
      </c>
      <c r="B14095" s="3" t="s">
        <v>66</v>
      </c>
      <c r="C14095" s="4" t="str">
        <f t="shared" si="1149"/>
        <v>TCGA-BRCA</v>
      </c>
      <c r="D14095" s="1" t="s">
        <v>493</v>
      </c>
      <c r="E14095" t="s">
        <v>532</v>
      </c>
      <c r="F14095" s="1">
        <v>2</v>
      </c>
      <c r="G14095" s="1" t="s">
        <v>32</v>
      </c>
      <c r="H14095" s="4" t="str">
        <f>HYPERLINK("https://portal.gdc.cancer.gov/cases/2dc1cec9-925a-417f-9e21-3c2143e711b4","TCGA-BH-A42U-01A")</f>
        <v>TCGA-BH-A42U-01A</v>
      </c>
      <c r="I14095" t="s">
        <v>17</v>
      </c>
      <c r="J14095" t="s">
        <v>524</v>
      </c>
      <c r="K14095" t="s">
        <v>33</v>
      </c>
      <c r="L14095" t="s">
        <v>20</v>
      </c>
      <c r="N14095" t="s">
        <v>29</v>
      </c>
    </row>
    <row r="14096" spans="1:14">
      <c r="A14096" s="4" t="str">
        <f t="shared" si="1150"/>
        <v>EXP00414</v>
      </c>
      <c r="B14096" s="3" t="s">
        <v>66</v>
      </c>
      <c r="C14096" s="4" t="str">
        <f t="shared" si="1149"/>
        <v>TCGA-BRCA</v>
      </c>
      <c r="D14096" s="1" t="s">
        <v>493</v>
      </c>
      <c r="E14096" t="s">
        <v>532</v>
      </c>
      <c r="F14096" s="1">
        <v>2</v>
      </c>
      <c r="G14096" s="1" t="s">
        <v>32</v>
      </c>
      <c r="H14096" s="4" t="str">
        <f>HYPERLINK("https://portal.gdc.cancer.gov/cases/57cf380d-ab52-467f-b9ae-740b2f84c820","TCGA-BH-A42V-01A")</f>
        <v>TCGA-BH-A42V-01A</v>
      </c>
      <c r="I14096" t="s">
        <v>17</v>
      </c>
      <c r="J14096" t="s">
        <v>524</v>
      </c>
      <c r="K14096" t="s">
        <v>33</v>
      </c>
      <c r="L14096" t="s">
        <v>20</v>
      </c>
      <c r="N14096" t="s">
        <v>29</v>
      </c>
    </row>
    <row r="14097" spans="1:14">
      <c r="A14097" s="4" t="str">
        <f t="shared" si="1150"/>
        <v>EXP00414</v>
      </c>
      <c r="B14097" s="3" t="s">
        <v>66</v>
      </c>
      <c r="C14097" s="4" t="str">
        <f t="shared" si="1149"/>
        <v>TCGA-BRCA</v>
      </c>
      <c r="D14097" s="1" t="s">
        <v>493</v>
      </c>
      <c r="E14097" t="s">
        <v>532</v>
      </c>
      <c r="F14097" s="1">
        <v>2</v>
      </c>
      <c r="G14097" s="1" t="s">
        <v>32</v>
      </c>
      <c r="H14097" s="4" t="str">
        <f>HYPERLINK("https://portal.gdc.cancer.gov/cases/a8a33ba9-0976-4e19-b0e9-fa5ba4d4eaa8","TCGA-BH-A5IZ-01A")</f>
        <v>TCGA-BH-A5IZ-01A</v>
      </c>
      <c r="I14097" t="s">
        <v>17</v>
      </c>
      <c r="J14097" t="s">
        <v>524</v>
      </c>
      <c r="K14097" t="s">
        <v>33</v>
      </c>
      <c r="L14097" t="s">
        <v>20</v>
      </c>
      <c r="N14097" t="s">
        <v>29</v>
      </c>
    </row>
    <row r="14098" spans="1:14">
      <c r="A14098" s="4" t="str">
        <f t="shared" si="1150"/>
        <v>EXP00414</v>
      </c>
      <c r="B14098" s="3" t="s">
        <v>66</v>
      </c>
      <c r="C14098" s="4" t="str">
        <f t="shared" si="1149"/>
        <v>TCGA-BRCA</v>
      </c>
      <c r="D14098" s="1" t="s">
        <v>493</v>
      </c>
      <c r="E14098" t="s">
        <v>532</v>
      </c>
      <c r="F14098" s="1">
        <v>2</v>
      </c>
      <c r="G14098" s="1" t="s">
        <v>32</v>
      </c>
      <c r="H14098" s="4" t="str">
        <f>HYPERLINK("https://portal.gdc.cancer.gov/cases/db55d9d9-dd56-4ca9-b1f1-0d929697b280","TCGA-BH-A5J0-01A")</f>
        <v>TCGA-BH-A5J0-01A</v>
      </c>
      <c r="I14098" t="s">
        <v>17</v>
      </c>
      <c r="J14098" t="s">
        <v>524</v>
      </c>
      <c r="K14098" t="s">
        <v>33</v>
      </c>
      <c r="L14098" t="s">
        <v>20</v>
      </c>
      <c r="N14098" t="s">
        <v>29</v>
      </c>
    </row>
    <row r="14099" spans="1:14">
      <c r="A14099" s="4" t="str">
        <f t="shared" si="1150"/>
        <v>EXP00414</v>
      </c>
      <c r="B14099" s="3" t="s">
        <v>66</v>
      </c>
      <c r="C14099" s="4" t="str">
        <f t="shared" si="1149"/>
        <v>TCGA-BRCA</v>
      </c>
      <c r="D14099" s="1" t="s">
        <v>493</v>
      </c>
      <c r="E14099" t="s">
        <v>532</v>
      </c>
      <c r="F14099" s="1">
        <v>2</v>
      </c>
      <c r="G14099" s="1" t="s">
        <v>32</v>
      </c>
      <c r="H14099" s="4" t="str">
        <f>HYPERLINK("https://portal.gdc.cancer.gov/cases/91b09291-5944-4691-a0d8-7d1ccc649b9b","TCGA-BH-A6R8-01A")</f>
        <v>TCGA-BH-A6R8-01A</v>
      </c>
      <c r="I14099" t="s">
        <v>17</v>
      </c>
      <c r="J14099" t="s">
        <v>524</v>
      </c>
      <c r="K14099" t="s">
        <v>33</v>
      </c>
      <c r="L14099" t="s">
        <v>20</v>
      </c>
      <c r="N14099" t="s">
        <v>29</v>
      </c>
    </row>
    <row r="14100" spans="1:14">
      <c r="A14100" s="4" t="str">
        <f t="shared" si="1150"/>
        <v>EXP00414</v>
      </c>
      <c r="B14100" s="3" t="s">
        <v>66</v>
      </c>
      <c r="C14100" s="4" t="str">
        <f t="shared" si="1149"/>
        <v>TCGA-BRCA</v>
      </c>
      <c r="D14100" s="1" t="s">
        <v>493</v>
      </c>
      <c r="E14100" t="s">
        <v>532</v>
      </c>
      <c r="F14100" s="1">
        <v>2</v>
      </c>
      <c r="G14100" s="1" t="s">
        <v>32</v>
      </c>
      <c r="H14100" s="4" t="str">
        <f>HYPERLINK("https://portal.gdc.cancer.gov/cases/43cc074d-b85a-4b0b-8feb-833094ffc565","TCGA-BH-A6R9-01A")</f>
        <v>TCGA-BH-A6R9-01A</v>
      </c>
      <c r="I14100" t="s">
        <v>17</v>
      </c>
      <c r="J14100" t="s">
        <v>524</v>
      </c>
      <c r="K14100" t="s">
        <v>33</v>
      </c>
      <c r="L14100" t="s">
        <v>20</v>
      </c>
      <c r="N14100" t="s">
        <v>29</v>
      </c>
    </row>
    <row r="14101" spans="1:14">
      <c r="A14101" s="4" t="str">
        <f t="shared" si="1150"/>
        <v>EXP00414</v>
      </c>
      <c r="B14101" s="3" t="s">
        <v>66</v>
      </c>
      <c r="C14101" s="4" t="str">
        <f t="shared" si="1149"/>
        <v>TCGA-BRCA</v>
      </c>
      <c r="D14101" s="1" t="s">
        <v>493</v>
      </c>
      <c r="E14101" t="s">
        <v>532</v>
      </c>
      <c r="F14101" s="1">
        <v>2</v>
      </c>
      <c r="G14101" s="1" t="s">
        <v>32</v>
      </c>
      <c r="H14101" s="4" t="str">
        <f>HYPERLINK("https://portal.gdc.cancer.gov/cases/5f4d16aa-9cc4-4edb-b714-394e2661439a","TCGA-BH-A8FY-01A")</f>
        <v>TCGA-BH-A8FY-01A</v>
      </c>
      <c r="I14101" t="s">
        <v>17</v>
      </c>
      <c r="J14101" t="s">
        <v>524</v>
      </c>
      <c r="K14101" t="s">
        <v>33</v>
      </c>
      <c r="L14101" t="s">
        <v>20</v>
      </c>
      <c r="N14101" t="s">
        <v>29</v>
      </c>
    </row>
    <row r="14102" spans="1:14">
      <c r="A14102" s="4" t="str">
        <f t="shared" si="1150"/>
        <v>EXP00414</v>
      </c>
      <c r="B14102" s="3" t="s">
        <v>66</v>
      </c>
      <c r="C14102" s="4" t="str">
        <f t="shared" si="1149"/>
        <v>TCGA-BRCA</v>
      </c>
      <c r="D14102" s="1" t="s">
        <v>493</v>
      </c>
      <c r="E14102" t="s">
        <v>532</v>
      </c>
      <c r="F14102" s="1">
        <v>2</v>
      </c>
      <c r="G14102" s="1" t="s">
        <v>32</v>
      </c>
      <c r="H14102" s="4" t="str">
        <f>HYPERLINK("https://portal.gdc.cancer.gov/cases/1cc30842-4a5b-4f07-b36f-5b84ceaa5662","TCGA-BH-A8FZ-01A")</f>
        <v>TCGA-BH-A8FZ-01A</v>
      </c>
      <c r="I14102" t="s">
        <v>17</v>
      </c>
      <c r="J14102" t="s">
        <v>524</v>
      </c>
      <c r="K14102" t="s">
        <v>33</v>
      </c>
      <c r="L14102" t="s">
        <v>20</v>
      </c>
      <c r="N14102" t="s">
        <v>29</v>
      </c>
    </row>
    <row r="14103" spans="1:14">
      <c r="A14103" s="4" t="str">
        <f t="shared" si="1150"/>
        <v>EXP00414</v>
      </c>
      <c r="B14103" s="3" t="s">
        <v>66</v>
      </c>
      <c r="C14103" s="4" t="str">
        <f t="shared" si="1149"/>
        <v>TCGA-BRCA</v>
      </c>
      <c r="D14103" s="1" t="s">
        <v>493</v>
      </c>
      <c r="E14103" t="s">
        <v>532</v>
      </c>
      <c r="F14103" s="1">
        <v>2</v>
      </c>
      <c r="G14103" s="1" t="s">
        <v>32</v>
      </c>
      <c r="H14103" s="4" t="str">
        <f>HYPERLINK("https://portal.gdc.cancer.gov/cases/59d60247-e549-4326-a672-50b05c13a291","TCGA-BH-A8G0-01A")</f>
        <v>TCGA-BH-A8G0-01A</v>
      </c>
      <c r="I14103" t="s">
        <v>17</v>
      </c>
      <c r="J14103" t="s">
        <v>524</v>
      </c>
      <c r="K14103" t="s">
        <v>33</v>
      </c>
      <c r="L14103" t="s">
        <v>20</v>
      </c>
      <c r="N14103" t="s">
        <v>29</v>
      </c>
    </row>
    <row r="14104" spans="1:14">
      <c r="A14104" s="4" t="str">
        <f t="shared" si="1150"/>
        <v>EXP00414</v>
      </c>
      <c r="B14104" s="3" t="s">
        <v>66</v>
      </c>
      <c r="C14104" s="4" t="str">
        <f t="shared" si="1149"/>
        <v>TCGA-BRCA</v>
      </c>
      <c r="D14104" s="1" t="s">
        <v>493</v>
      </c>
      <c r="E14104" t="s">
        <v>532</v>
      </c>
      <c r="F14104" s="1">
        <v>2</v>
      </c>
      <c r="G14104" s="1" t="s">
        <v>32</v>
      </c>
      <c r="H14104" s="4" t="str">
        <f>HYPERLINK("https://portal.gdc.cancer.gov/cases/09d6e904-7184-4788-8a19-04f8c46cb13f","TCGA-BH-AB28-01A")</f>
        <v>TCGA-BH-AB28-01A</v>
      </c>
      <c r="I14104" t="s">
        <v>17</v>
      </c>
      <c r="J14104" t="s">
        <v>524</v>
      </c>
      <c r="K14104" t="s">
        <v>33</v>
      </c>
      <c r="L14104" t="s">
        <v>20</v>
      </c>
      <c r="N14104" t="s">
        <v>29</v>
      </c>
    </row>
    <row r="14105" spans="1:14">
      <c r="A14105" s="4" t="str">
        <f t="shared" si="1150"/>
        <v>EXP00414</v>
      </c>
      <c r="B14105" s="3" t="s">
        <v>66</v>
      </c>
      <c r="C14105" s="4" t="str">
        <f t="shared" si="1149"/>
        <v>TCGA-BRCA</v>
      </c>
      <c r="D14105" s="1" t="s">
        <v>493</v>
      </c>
      <c r="E14105" t="s">
        <v>532</v>
      </c>
      <c r="F14105" s="1">
        <v>2</v>
      </c>
      <c r="G14105" s="1" t="s">
        <v>32</v>
      </c>
      <c r="H14105" s="4" t="str">
        <f>HYPERLINK("https://portal.gdc.cancer.gov/cases/6b923e30-2ddc-407f-91b1-c202f1373fbb","TCGA-C8-A12K-01A")</f>
        <v>TCGA-C8-A12K-01A</v>
      </c>
      <c r="I14105" t="s">
        <v>17</v>
      </c>
      <c r="J14105" t="s">
        <v>524</v>
      </c>
      <c r="K14105" t="s">
        <v>33</v>
      </c>
      <c r="L14105" t="s">
        <v>20</v>
      </c>
      <c r="N14105" t="s">
        <v>29</v>
      </c>
    </row>
    <row r="14106" spans="1:14">
      <c r="A14106" s="4" t="str">
        <f t="shared" si="1150"/>
        <v>EXP00414</v>
      </c>
      <c r="B14106" s="3" t="s">
        <v>66</v>
      </c>
      <c r="C14106" s="4" t="str">
        <f t="shared" si="1149"/>
        <v>TCGA-BRCA</v>
      </c>
      <c r="D14106" s="1" t="s">
        <v>493</v>
      </c>
      <c r="E14106" t="s">
        <v>532</v>
      </c>
      <c r="F14106" s="1">
        <v>2</v>
      </c>
      <c r="G14106" s="1" t="s">
        <v>32</v>
      </c>
      <c r="H14106" s="4" t="str">
        <f>HYPERLINK("https://portal.gdc.cancer.gov/cases/441919eb-8c9f-478c-bda3-8de4f8295e8a","TCGA-C8-A12L-01A")</f>
        <v>TCGA-C8-A12L-01A</v>
      </c>
      <c r="I14106" t="s">
        <v>17</v>
      </c>
      <c r="J14106" t="s">
        <v>524</v>
      </c>
      <c r="K14106" t="s">
        <v>33</v>
      </c>
      <c r="L14106" t="s">
        <v>20</v>
      </c>
      <c r="N14106" t="s">
        <v>29</v>
      </c>
    </row>
    <row r="14107" spans="1:14">
      <c r="A14107" s="4" t="str">
        <f t="shared" si="1150"/>
        <v>EXP00414</v>
      </c>
      <c r="B14107" s="3" t="s">
        <v>66</v>
      </c>
      <c r="C14107" s="4" t="str">
        <f t="shared" si="1149"/>
        <v>TCGA-BRCA</v>
      </c>
      <c r="D14107" s="1" t="s">
        <v>493</v>
      </c>
      <c r="E14107" t="s">
        <v>532</v>
      </c>
      <c r="F14107" s="1">
        <v>2</v>
      </c>
      <c r="G14107" s="1" t="s">
        <v>32</v>
      </c>
      <c r="H14107" s="4" t="str">
        <f>HYPERLINK("https://portal.gdc.cancer.gov/cases/dd0f8e5a-383d-4f03-bb71-0e115d4e442c","TCGA-C8-A12M-01A")</f>
        <v>TCGA-C8-A12M-01A</v>
      </c>
      <c r="I14107" t="s">
        <v>17</v>
      </c>
      <c r="J14107" t="s">
        <v>524</v>
      </c>
      <c r="K14107" t="s">
        <v>33</v>
      </c>
      <c r="L14107" t="s">
        <v>20</v>
      </c>
      <c r="N14107" t="s">
        <v>29</v>
      </c>
    </row>
    <row r="14108" spans="1:14">
      <c r="A14108" s="4" t="str">
        <f t="shared" si="1150"/>
        <v>EXP00414</v>
      </c>
      <c r="B14108" s="3" t="s">
        <v>66</v>
      </c>
      <c r="C14108" s="4" t="str">
        <f t="shared" si="1149"/>
        <v>TCGA-BRCA</v>
      </c>
      <c r="D14108" s="1" t="s">
        <v>493</v>
      </c>
      <c r="E14108" t="s">
        <v>532</v>
      </c>
      <c r="F14108" s="1">
        <v>2</v>
      </c>
      <c r="G14108" s="1" t="s">
        <v>32</v>
      </c>
      <c r="H14108" s="4" t="str">
        <f>HYPERLINK("https://portal.gdc.cancer.gov/cases/b8a615f9-d19b-4b09-8ec8-0674e5c648cd","TCGA-C8-A12N-01A")</f>
        <v>TCGA-C8-A12N-01A</v>
      </c>
      <c r="I14108" t="s">
        <v>17</v>
      </c>
      <c r="J14108" t="s">
        <v>524</v>
      </c>
      <c r="K14108" t="s">
        <v>33</v>
      </c>
      <c r="L14108" t="s">
        <v>20</v>
      </c>
      <c r="N14108" t="s">
        <v>29</v>
      </c>
    </row>
    <row r="14109" spans="1:14">
      <c r="A14109" s="4" t="str">
        <f t="shared" si="1150"/>
        <v>EXP00414</v>
      </c>
      <c r="B14109" s="3" t="s">
        <v>66</v>
      </c>
      <c r="C14109" s="4" t="str">
        <f t="shared" si="1149"/>
        <v>TCGA-BRCA</v>
      </c>
      <c r="D14109" s="1" t="s">
        <v>493</v>
      </c>
      <c r="E14109" t="s">
        <v>532</v>
      </c>
      <c r="F14109" s="1">
        <v>2</v>
      </c>
      <c r="G14109" s="1" t="s">
        <v>32</v>
      </c>
      <c r="H14109" s="4" t="str">
        <f>HYPERLINK("https://portal.gdc.cancer.gov/cases/83f26720-007c-42c9-a7de-7484bf8afa89","TCGA-C8-A12O-01A")</f>
        <v>TCGA-C8-A12O-01A</v>
      </c>
      <c r="I14109" t="s">
        <v>17</v>
      </c>
      <c r="J14109" t="s">
        <v>524</v>
      </c>
      <c r="K14109" t="s">
        <v>33</v>
      </c>
      <c r="L14109" t="s">
        <v>20</v>
      </c>
      <c r="N14109" t="s">
        <v>29</v>
      </c>
    </row>
    <row r="14110" spans="1:14">
      <c r="A14110" s="4" t="str">
        <f t="shared" si="1150"/>
        <v>EXP00414</v>
      </c>
      <c r="B14110" s="3" t="s">
        <v>66</v>
      </c>
      <c r="C14110" s="4" t="str">
        <f t="shared" si="1149"/>
        <v>TCGA-BRCA</v>
      </c>
      <c r="D14110" s="1" t="s">
        <v>493</v>
      </c>
      <c r="E14110" t="s">
        <v>532</v>
      </c>
      <c r="F14110" s="1">
        <v>2</v>
      </c>
      <c r="G14110" s="1" t="s">
        <v>32</v>
      </c>
      <c r="H14110" s="4" t="str">
        <f>HYPERLINK("https://portal.gdc.cancer.gov/cases/abdc76db-f85e-4337-a57e-6d098789da03","TCGA-C8-A12P-01A")</f>
        <v>TCGA-C8-A12P-01A</v>
      </c>
      <c r="I14110" t="s">
        <v>17</v>
      </c>
      <c r="J14110" t="s">
        <v>524</v>
      </c>
      <c r="K14110" t="s">
        <v>33</v>
      </c>
      <c r="L14110" t="s">
        <v>20</v>
      </c>
      <c r="N14110" t="s">
        <v>29</v>
      </c>
    </row>
    <row r="14111" spans="1:14">
      <c r="A14111" s="4" t="str">
        <f t="shared" si="1150"/>
        <v>EXP00414</v>
      </c>
      <c r="B14111" s="3" t="s">
        <v>66</v>
      </c>
      <c r="C14111" s="4" t="str">
        <f t="shared" si="1149"/>
        <v>TCGA-BRCA</v>
      </c>
      <c r="D14111" s="1" t="s">
        <v>493</v>
      </c>
      <c r="E14111" t="s">
        <v>532</v>
      </c>
      <c r="F14111" s="1">
        <v>2</v>
      </c>
      <c r="G14111" s="1" t="s">
        <v>32</v>
      </c>
      <c r="H14111" s="4" t="str">
        <f>HYPERLINK("https://portal.gdc.cancer.gov/cases/a824b3bd-34d5-4cc1-a92f-f9d6ac0f1814","TCGA-C8-A12Q-01A")</f>
        <v>TCGA-C8-A12Q-01A</v>
      </c>
      <c r="I14111" t="s">
        <v>17</v>
      </c>
      <c r="J14111" t="s">
        <v>524</v>
      </c>
      <c r="K14111" t="s">
        <v>33</v>
      </c>
      <c r="L14111" t="s">
        <v>20</v>
      </c>
      <c r="N14111" t="s">
        <v>29</v>
      </c>
    </row>
    <row r="14112" spans="1:14">
      <c r="A14112" s="4" t="str">
        <f t="shared" si="1150"/>
        <v>EXP00414</v>
      </c>
      <c r="B14112" s="3" t="s">
        <v>66</v>
      </c>
      <c r="C14112" s="4" t="str">
        <f t="shared" si="1149"/>
        <v>TCGA-BRCA</v>
      </c>
      <c r="D14112" s="1" t="s">
        <v>493</v>
      </c>
      <c r="E14112" t="s">
        <v>532</v>
      </c>
      <c r="F14112" s="1">
        <v>2</v>
      </c>
      <c r="G14112" s="1" t="s">
        <v>32</v>
      </c>
      <c r="H14112" s="4" t="str">
        <f>HYPERLINK("https://portal.gdc.cancer.gov/cases/71229981-97c2-4ae1-a130-fe5de336b37d","TCGA-C8-A12T-01A")</f>
        <v>TCGA-C8-A12T-01A</v>
      </c>
      <c r="I14112" t="s">
        <v>17</v>
      </c>
      <c r="J14112" t="s">
        <v>524</v>
      </c>
      <c r="K14112" t="s">
        <v>33</v>
      </c>
      <c r="L14112" t="s">
        <v>20</v>
      </c>
      <c r="N14112" t="s">
        <v>29</v>
      </c>
    </row>
    <row r="14113" spans="1:14">
      <c r="A14113" s="4" t="str">
        <f t="shared" si="1150"/>
        <v>EXP00414</v>
      </c>
      <c r="B14113" s="3" t="s">
        <v>66</v>
      </c>
      <c r="C14113" s="4" t="str">
        <f t="shared" si="1149"/>
        <v>TCGA-BRCA</v>
      </c>
      <c r="D14113" s="1" t="s">
        <v>493</v>
      </c>
      <c r="E14113" t="s">
        <v>532</v>
      </c>
      <c r="F14113" s="1">
        <v>2</v>
      </c>
      <c r="G14113" s="1" t="s">
        <v>32</v>
      </c>
      <c r="H14113" s="4" t="str">
        <f>HYPERLINK("https://portal.gdc.cancer.gov/cases/97b5f490-1cd9-4833-b903-5f4c6e45670d","TCGA-C8-A12U-01A")</f>
        <v>TCGA-C8-A12U-01A</v>
      </c>
      <c r="I14113" t="s">
        <v>17</v>
      </c>
      <c r="J14113" t="s">
        <v>524</v>
      </c>
      <c r="K14113" t="s">
        <v>33</v>
      </c>
      <c r="L14113" t="s">
        <v>20</v>
      </c>
      <c r="N14113" t="s">
        <v>29</v>
      </c>
    </row>
    <row r="14114" spans="1:14">
      <c r="A14114" s="4" t="str">
        <f t="shared" si="1150"/>
        <v>EXP00414</v>
      </c>
      <c r="B14114" s="3" t="s">
        <v>66</v>
      </c>
      <c r="C14114" s="4" t="str">
        <f t="shared" si="1149"/>
        <v>TCGA-BRCA</v>
      </c>
      <c r="D14114" s="1" t="s">
        <v>493</v>
      </c>
      <c r="E14114" t="s">
        <v>532</v>
      </c>
      <c r="F14114" s="1">
        <v>2</v>
      </c>
      <c r="G14114" s="1" t="s">
        <v>32</v>
      </c>
      <c r="H14114" s="4" t="str">
        <f>HYPERLINK("https://portal.gdc.cancer.gov/cases/7e1673f8-5758-4963-8804-d5e39f06205b","TCGA-C8-A12V-01A")</f>
        <v>TCGA-C8-A12V-01A</v>
      </c>
      <c r="I14114" t="s">
        <v>17</v>
      </c>
      <c r="J14114" t="s">
        <v>524</v>
      </c>
      <c r="K14114" t="s">
        <v>33</v>
      </c>
      <c r="L14114" t="s">
        <v>20</v>
      </c>
      <c r="N14114" t="s">
        <v>29</v>
      </c>
    </row>
    <row r="14115" spans="1:14">
      <c r="A14115" s="4" t="str">
        <f t="shared" si="1150"/>
        <v>EXP00414</v>
      </c>
      <c r="B14115" s="3" t="s">
        <v>66</v>
      </c>
      <c r="C14115" s="4" t="str">
        <f t="shared" si="1149"/>
        <v>TCGA-BRCA</v>
      </c>
      <c r="D14115" s="1" t="s">
        <v>493</v>
      </c>
      <c r="E14115" t="s">
        <v>532</v>
      </c>
      <c r="F14115" s="1">
        <v>2</v>
      </c>
      <c r="G14115" s="1" t="s">
        <v>32</v>
      </c>
      <c r="H14115" s="4" t="str">
        <f>HYPERLINK("https://portal.gdc.cancer.gov/cases/6adca853-1b09-47ff-814c-47b732a76d96","TCGA-C8-A12W-01A")</f>
        <v>TCGA-C8-A12W-01A</v>
      </c>
      <c r="I14115" t="s">
        <v>17</v>
      </c>
      <c r="J14115" t="s">
        <v>524</v>
      </c>
      <c r="K14115" t="s">
        <v>33</v>
      </c>
      <c r="L14115" t="s">
        <v>20</v>
      </c>
      <c r="N14115" t="s">
        <v>29</v>
      </c>
    </row>
    <row r="14116" spans="1:14">
      <c r="A14116" s="4" t="str">
        <f t="shared" si="1150"/>
        <v>EXP00414</v>
      </c>
      <c r="B14116" s="3" t="s">
        <v>66</v>
      </c>
      <c r="C14116" s="4" t="str">
        <f t="shared" si="1149"/>
        <v>TCGA-BRCA</v>
      </c>
      <c r="D14116" s="1" t="s">
        <v>493</v>
      </c>
      <c r="E14116" t="s">
        <v>532</v>
      </c>
      <c r="F14116" s="1">
        <v>2</v>
      </c>
      <c r="G14116" s="1" t="s">
        <v>32</v>
      </c>
      <c r="H14116" s="4" t="str">
        <f>HYPERLINK("https://portal.gdc.cancer.gov/cases/65cde5d5-1efc-4e30-b1bd-a93598794f2c","TCGA-C8-A12X-01A")</f>
        <v>TCGA-C8-A12X-01A</v>
      </c>
      <c r="I14116" t="s">
        <v>17</v>
      </c>
      <c r="J14116" t="s">
        <v>524</v>
      </c>
      <c r="K14116" t="s">
        <v>33</v>
      </c>
      <c r="L14116" t="s">
        <v>20</v>
      </c>
      <c r="N14116" t="s">
        <v>29</v>
      </c>
    </row>
    <row r="14117" spans="1:14">
      <c r="A14117" s="4" t="str">
        <f t="shared" si="1150"/>
        <v>EXP00414</v>
      </c>
      <c r="B14117" s="3" t="s">
        <v>66</v>
      </c>
      <c r="C14117" s="4" t="str">
        <f t="shared" si="1149"/>
        <v>TCGA-BRCA</v>
      </c>
      <c r="D14117" s="1" t="s">
        <v>493</v>
      </c>
      <c r="E14117" t="s">
        <v>532</v>
      </c>
      <c r="F14117" s="1">
        <v>2</v>
      </c>
      <c r="G14117" s="1" t="s">
        <v>32</v>
      </c>
      <c r="H14117" s="4" t="str">
        <f>HYPERLINK("https://portal.gdc.cancer.gov/cases/298a1710-deb4-4064-a0f2-da32d43aa217","TCGA-C8-A12Y-01A")</f>
        <v>TCGA-C8-A12Y-01A</v>
      </c>
      <c r="I14117" t="s">
        <v>17</v>
      </c>
      <c r="J14117" t="s">
        <v>524</v>
      </c>
      <c r="K14117" t="s">
        <v>33</v>
      </c>
      <c r="L14117" t="s">
        <v>20</v>
      </c>
      <c r="N14117" t="s">
        <v>29</v>
      </c>
    </row>
    <row r="14118" spans="1:14">
      <c r="A14118" s="4" t="str">
        <f t="shared" si="1150"/>
        <v>EXP00414</v>
      </c>
      <c r="B14118" s="3" t="s">
        <v>66</v>
      </c>
      <c r="C14118" s="4" t="str">
        <f t="shared" si="1149"/>
        <v>TCGA-BRCA</v>
      </c>
      <c r="D14118" s="1" t="s">
        <v>493</v>
      </c>
      <c r="E14118" t="s">
        <v>532</v>
      </c>
      <c r="F14118" s="1">
        <v>2</v>
      </c>
      <c r="G14118" s="1" t="s">
        <v>32</v>
      </c>
      <c r="H14118" s="4" t="str">
        <f>HYPERLINK("https://portal.gdc.cancer.gov/cases/42621dfa-abfd-4c7d-8bc5-a02a09d1c2b4","TCGA-C8-A12Z-01A")</f>
        <v>TCGA-C8-A12Z-01A</v>
      </c>
      <c r="I14118" t="s">
        <v>17</v>
      </c>
      <c r="J14118" t="s">
        <v>524</v>
      </c>
      <c r="K14118" t="s">
        <v>33</v>
      </c>
      <c r="L14118" t="s">
        <v>20</v>
      </c>
      <c r="N14118" t="s">
        <v>29</v>
      </c>
    </row>
    <row r="14119" spans="1:14">
      <c r="A14119" s="4" t="str">
        <f t="shared" si="1150"/>
        <v>EXP00414</v>
      </c>
      <c r="B14119" s="3" t="s">
        <v>66</v>
      </c>
      <c r="C14119" s="4" t="str">
        <f t="shared" si="1149"/>
        <v>TCGA-BRCA</v>
      </c>
      <c r="D14119" s="1" t="s">
        <v>493</v>
      </c>
      <c r="E14119" t="s">
        <v>532</v>
      </c>
      <c r="F14119" s="1">
        <v>2</v>
      </c>
      <c r="G14119" s="1" t="s">
        <v>32</v>
      </c>
      <c r="H14119" s="4" t="str">
        <f>HYPERLINK("https://portal.gdc.cancer.gov/cases/8cf54607-01ce-42b0-9bd9-8627edd9f3b7","TCGA-C8-A130-01A")</f>
        <v>TCGA-C8-A130-01A</v>
      </c>
      <c r="I14119" t="s">
        <v>17</v>
      </c>
      <c r="J14119" t="s">
        <v>524</v>
      </c>
      <c r="K14119" t="s">
        <v>33</v>
      </c>
      <c r="L14119" t="s">
        <v>20</v>
      </c>
      <c r="N14119" t="s">
        <v>29</v>
      </c>
    </row>
    <row r="14120" spans="1:14">
      <c r="A14120" s="4" t="str">
        <f t="shared" si="1150"/>
        <v>EXP00414</v>
      </c>
      <c r="B14120" s="3" t="s">
        <v>66</v>
      </c>
      <c r="C14120" s="4" t="str">
        <f t="shared" si="1149"/>
        <v>TCGA-BRCA</v>
      </c>
      <c r="D14120" s="1" t="s">
        <v>493</v>
      </c>
      <c r="E14120" t="s">
        <v>532</v>
      </c>
      <c r="F14120" s="1">
        <v>2</v>
      </c>
      <c r="G14120" s="1" t="s">
        <v>32</v>
      </c>
      <c r="H14120" s="4" t="str">
        <f>HYPERLINK("https://portal.gdc.cancer.gov/cases/c49e3b18-fd88-48f4-8b01-300692ceb367","TCGA-C8-A131-01A")</f>
        <v>TCGA-C8-A131-01A</v>
      </c>
      <c r="I14120" t="s">
        <v>17</v>
      </c>
      <c r="J14120" t="s">
        <v>524</v>
      </c>
      <c r="K14120" t="s">
        <v>33</v>
      </c>
      <c r="L14120" t="s">
        <v>20</v>
      </c>
      <c r="N14120" t="s">
        <v>29</v>
      </c>
    </row>
    <row r="14121" spans="1:14">
      <c r="A14121" s="4" t="str">
        <f t="shared" si="1150"/>
        <v>EXP00414</v>
      </c>
      <c r="B14121" s="3" t="s">
        <v>66</v>
      </c>
      <c r="C14121" s="4" t="str">
        <f t="shared" si="1149"/>
        <v>TCGA-BRCA</v>
      </c>
      <c r="D14121" s="1" t="s">
        <v>493</v>
      </c>
      <c r="E14121" t="s">
        <v>532</v>
      </c>
      <c r="F14121" s="1">
        <v>2</v>
      </c>
      <c r="G14121" s="1" t="s">
        <v>32</v>
      </c>
      <c r="H14121" s="4" t="str">
        <f>HYPERLINK("https://portal.gdc.cancer.gov/cases/89e867de-d30e-4bfc-a453-0a76309dabd5","TCGA-C8-A132-01A")</f>
        <v>TCGA-C8-A132-01A</v>
      </c>
      <c r="I14121" t="s">
        <v>17</v>
      </c>
      <c r="J14121" t="s">
        <v>524</v>
      </c>
      <c r="K14121" t="s">
        <v>33</v>
      </c>
      <c r="L14121" t="s">
        <v>20</v>
      </c>
      <c r="N14121" t="s">
        <v>29</v>
      </c>
    </row>
    <row r="14122" spans="1:14">
      <c r="A14122" s="4" t="str">
        <f t="shared" si="1150"/>
        <v>EXP00414</v>
      </c>
      <c r="B14122" s="3" t="s">
        <v>66</v>
      </c>
      <c r="C14122" s="4" t="str">
        <f t="shared" si="1149"/>
        <v>TCGA-BRCA</v>
      </c>
      <c r="D14122" s="1" t="s">
        <v>493</v>
      </c>
      <c r="E14122" t="s">
        <v>532</v>
      </c>
      <c r="F14122" s="1">
        <v>2</v>
      </c>
      <c r="G14122" s="1" t="s">
        <v>32</v>
      </c>
      <c r="H14122" s="4" t="str">
        <f>HYPERLINK("https://portal.gdc.cancer.gov/cases/b8b6cebc-26dc-43ae-a94a-20da6018f7ae","TCGA-C8-A133-01A")</f>
        <v>TCGA-C8-A133-01A</v>
      </c>
      <c r="I14122" t="s">
        <v>17</v>
      </c>
      <c r="J14122" t="s">
        <v>524</v>
      </c>
      <c r="K14122" t="s">
        <v>33</v>
      </c>
      <c r="L14122" t="s">
        <v>20</v>
      </c>
      <c r="N14122" t="s">
        <v>29</v>
      </c>
    </row>
    <row r="14123" spans="1:14">
      <c r="A14123" s="4" t="str">
        <f t="shared" si="1150"/>
        <v>EXP00414</v>
      </c>
      <c r="B14123" s="3" t="s">
        <v>66</v>
      </c>
      <c r="C14123" s="4" t="str">
        <f t="shared" si="1149"/>
        <v>TCGA-BRCA</v>
      </c>
      <c r="D14123" s="1" t="s">
        <v>493</v>
      </c>
      <c r="E14123" t="s">
        <v>532</v>
      </c>
      <c r="F14123" s="1">
        <v>2</v>
      </c>
      <c r="G14123" s="1" t="s">
        <v>32</v>
      </c>
      <c r="H14123" s="4" t="str">
        <f>HYPERLINK("https://portal.gdc.cancer.gov/cases/f1692f4b-ce1b-4fc5-ac55-1022ecae0d1e","TCGA-C8-A134-01A")</f>
        <v>TCGA-C8-A134-01A</v>
      </c>
      <c r="I14123" t="s">
        <v>17</v>
      </c>
      <c r="J14123" t="s">
        <v>524</v>
      </c>
      <c r="K14123" t="s">
        <v>33</v>
      </c>
      <c r="L14123" t="s">
        <v>20</v>
      </c>
      <c r="N14123" t="s">
        <v>29</v>
      </c>
    </row>
    <row r="14124" spans="1:14">
      <c r="A14124" s="4" t="str">
        <f t="shared" si="1150"/>
        <v>EXP00414</v>
      </c>
      <c r="B14124" s="3" t="s">
        <v>66</v>
      </c>
      <c r="C14124" s="4" t="str">
        <f t="shared" si="1149"/>
        <v>TCGA-BRCA</v>
      </c>
      <c r="D14124" s="1" t="s">
        <v>493</v>
      </c>
      <c r="E14124" t="s">
        <v>532</v>
      </c>
      <c r="F14124" s="1">
        <v>2</v>
      </c>
      <c r="G14124" s="1" t="s">
        <v>32</v>
      </c>
      <c r="H14124" s="4" t="str">
        <f>HYPERLINK("https://portal.gdc.cancer.gov/cases/33cea538-4c3f-470a-972d-257c43241ab4","TCGA-C8-A135-01A")</f>
        <v>TCGA-C8-A135-01A</v>
      </c>
      <c r="I14124" t="s">
        <v>17</v>
      </c>
      <c r="J14124" t="s">
        <v>524</v>
      </c>
      <c r="K14124" t="s">
        <v>33</v>
      </c>
      <c r="L14124" t="s">
        <v>20</v>
      </c>
      <c r="N14124" t="s">
        <v>29</v>
      </c>
    </row>
    <row r="14125" spans="1:14">
      <c r="A14125" s="4" t="str">
        <f t="shared" si="1150"/>
        <v>EXP00414</v>
      </c>
      <c r="B14125" s="3" t="s">
        <v>66</v>
      </c>
      <c r="C14125" s="4" t="str">
        <f t="shared" si="1149"/>
        <v>TCGA-BRCA</v>
      </c>
      <c r="D14125" s="1" t="s">
        <v>493</v>
      </c>
      <c r="E14125" t="s">
        <v>532</v>
      </c>
      <c r="F14125" s="1">
        <v>2</v>
      </c>
      <c r="G14125" s="1" t="s">
        <v>32</v>
      </c>
      <c r="H14125" s="4" t="str">
        <f>HYPERLINK("https://portal.gdc.cancer.gov/cases/03ab1e9f-4918-404d-b178-3a4fd929c5e8","TCGA-C8-A137-01A")</f>
        <v>TCGA-C8-A137-01A</v>
      </c>
      <c r="I14125" t="s">
        <v>17</v>
      </c>
      <c r="J14125" t="s">
        <v>524</v>
      </c>
      <c r="K14125" t="s">
        <v>33</v>
      </c>
      <c r="L14125" t="s">
        <v>20</v>
      </c>
      <c r="N14125" t="s">
        <v>29</v>
      </c>
    </row>
    <row r="14126" spans="1:14">
      <c r="A14126" s="4" t="str">
        <f t="shared" si="1150"/>
        <v>EXP00414</v>
      </c>
      <c r="B14126" s="3" t="s">
        <v>66</v>
      </c>
      <c r="C14126" s="4" t="str">
        <f t="shared" si="1149"/>
        <v>TCGA-BRCA</v>
      </c>
      <c r="D14126" s="1" t="s">
        <v>493</v>
      </c>
      <c r="E14126" t="s">
        <v>532</v>
      </c>
      <c r="F14126" s="1">
        <v>2</v>
      </c>
      <c r="G14126" s="1" t="s">
        <v>32</v>
      </c>
      <c r="H14126" s="4" t="str">
        <f>HYPERLINK("https://portal.gdc.cancer.gov/cases/b6c286c6-2755-419b-87d3-59c7feda9653","TCGA-C8-A138-01A")</f>
        <v>TCGA-C8-A138-01A</v>
      </c>
      <c r="I14126" t="s">
        <v>17</v>
      </c>
      <c r="J14126" t="s">
        <v>524</v>
      </c>
      <c r="K14126" t="s">
        <v>33</v>
      </c>
      <c r="L14126" t="s">
        <v>20</v>
      </c>
      <c r="N14126" t="s">
        <v>29</v>
      </c>
    </row>
    <row r="14127" spans="1:14">
      <c r="A14127" s="4" t="str">
        <f t="shared" si="1150"/>
        <v>EXP00414</v>
      </c>
      <c r="B14127" s="3" t="s">
        <v>66</v>
      </c>
      <c r="C14127" s="4" t="str">
        <f t="shared" si="1149"/>
        <v>TCGA-BRCA</v>
      </c>
      <c r="D14127" s="1" t="s">
        <v>493</v>
      </c>
      <c r="E14127" t="s">
        <v>532</v>
      </c>
      <c r="F14127" s="1">
        <v>2</v>
      </c>
      <c r="G14127" s="1" t="s">
        <v>32</v>
      </c>
      <c r="H14127" s="4" t="str">
        <f>HYPERLINK("https://portal.gdc.cancer.gov/cases/b26d41cd-393b-4cd4-8925-a9488f7de576","TCGA-C8-A1HE-01A")</f>
        <v>TCGA-C8-A1HE-01A</v>
      </c>
      <c r="I14127" t="s">
        <v>17</v>
      </c>
      <c r="J14127" t="s">
        <v>524</v>
      </c>
      <c r="K14127" t="s">
        <v>33</v>
      </c>
      <c r="L14127" t="s">
        <v>20</v>
      </c>
      <c r="N14127" t="s">
        <v>29</v>
      </c>
    </row>
    <row r="14128" spans="1:14">
      <c r="A14128" s="4" t="str">
        <f t="shared" si="1150"/>
        <v>EXP00414</v>
      </c>
      <c r="B14128" s="3" t="s">
        <v>66</v>
      </c>
      <c r="C14128" s="4" t="str">
        <f t="shared" si="1149"/>
        <v>TCGA-BRCA</v>
      </c>
      <c r="D14128" s="1" t="s">
        <v>493</v>
      </c>
      <c r="E14128" t="s">
        <v>532</v>
      </c>
      <c r="F14128" s="1">
        <v>2</v>
      </c>
      <c r="G14128" s="1" t="s">
        <v>32</v>
      </c>
      <c r="H14128" s="4" t="str">
        <f>HYPERLINK("https://portal.gdc.cancer.gov/cases/a2453bcb-90f2-4505-949d-a89cf4bfc9b8","TCGA-C8-A1HF-01A")</f>
        <v>TCGA-C8-A1HF-01A</v>
      </c>
      <c r="I14128" t="s">
        <v>17</v>
      </c>
      <c r="J14128" t="s">
        <v>524</v>
      </c>
      <c r="K14128" t="s">
        <v>33</v>
      </c>
      <c r="L14128" t="s">
        <v>20</v>
      </c>
      <c r="N14128" t="s">
        <v>29</v>
      </c>
    </row>
    <row r="14129" spans="1:14">
      <c r="A14129" s="4" t="str">
        <f t="shared" si="1150"/>
        <v>EXP00414</v>
      </c>
      <c r="B14129" s="3" t="s">
        <v>66</v>
      </c>
      <c r="C14129" s="4" t="str">
        <f t="shared" si="1149"/>
        <v>TCGA-BRCA</v>
      </c>
      <c r="D14129" s="1" t="s">
        <v>493</v>
      </c>
      <c r="E14129" t="s">
        <v>532</v>
      </c>
      <c r="F14129" s="1">
        <v>2</v>
      </c>
      <c r="G14129" s="1" t="s">
        <v>32</v>
      </c>
      <c r="H14129" s="4" t="str">
        <f>HYPERLINK("https://portal.gdc.cancer.gov/cases/0c23c380-363c-474d-b64c-b47f612a8225","TCGA-C8-A1HG-01A")</f>
        <v>TCGA-C8-A1HG-01A</v>
      </c>
      <c r="I14129" t="s">
        <v>17</v>
      </c>
      <c r="J14129" t="s">
        <v>524</v>
      </c>
      <c r="K14129" t="s">
        <v>33</v>
      </c>
      <c r="L14129" t="s">
        <v>20</v>
      </c>
      <c r="N14129" t="s">
        <v>29</v>
      </c>
    </row>
    <row r="14130" spans="1:14">
      <c r="A14130" s="4" t="str">
        <f t="shared" si="1150"/>
        <v>EXP00414</v>
      </c>
      <c r="B14130" s="3" t="s">
        <v>66</v>
      </c>
      <c r="C14130" s="4" t="str">
        <f t="shared" si="1149"/>
        <v>TCGA-BRCA</v>
      </c>
      <c r="D14130" s="1" t="s">
        <v>493</v>
      </c>
      <c r="E14130" t="s">
        <v>532</v>
      </c>
      <c r="F14130" s="1">
        <v>2</v>
      </c>
      <c r="G14130" s="1" t="s">
        <v>32</v>
      </c>
      <c r="H14130" s="4" t="str">
        <f>HYPERLINK("https://portal.gdc.cancer.gov/cases/444374f8-9282-439c-af00-0f828edcbff3","TCGA-C8-A1HI-01A")</f>
        <v>TCGA-C8-A1HI-01A</v>
      </c>
      <c r="I14130" t="s">
        <v>17</v>
      </c>
      <c r="J14130" t="s">
        <v>524</v>
      </c>
      <c r="K14130" t="s">
        <v>33</v>
      </c>
      <c r="L14130" t="s">
        <v>20</v>
      </c>
      <c r="N14130" t="s">
        <v>29</v>
      </c>
    </row>
    <row r="14131" spans="1:14">
      <c r="A14131" s="4" t="str">
        <f t="shared" si="1150"/>
        <v>EXP00414</v>
      </c>
      <c r="B14131" s="3" t="s">
        <v>66</v>
      </c>
      <c r="C14131" s="4" t="str">
        <f t="shared" si="1149"/>
        <v>TCGA-BRCA</v>
      </c>
      <c r="D14131" s="1" t="s">
        <v>493</v>
      </c>
      <c r="E14131" t="s">
        <v>532</v>
      </c>
      <c r="F14131" s="1">
        <v>2</v>
      </c>
      <c r="G14131" s="1" t="s">
        <v>32</v>
      </c>
      <c r="H14131" s="4" t="str">
        <f>HYPERLINK("https://portal.gdc.cancer.gov/cases/a855c228-a263-44df-87a0-cbc32187e3f5","TCGA-C8-A1HJ-01A")</f>
        <v>TCGA-C8-A1HJ-01A</v>
      </c>
      <c r="I14131" t="s">
        <v>17</v>
      </c>
      <c r="J14131" t="s">
        <v>524</v>
      </c>
      <c r="K14131" t="s">
        <v>33</v>
      </c>
      <c r="L14131" t="s">
        <v>20</v>
      </c>
      <c r="N14131" t="s">
        <v>29</v>
      </c>
    </row>
    <row r="14132" spans="1:14">
      <c r="A14132" s="4" t="str">
        <f t="shared" si="1150"/>
        <v>EXP00414</v>
      </c>
      <c r="B14132" s="3" t="s">
        <v>66</v>
      </c>
      <c r="C14132" s="4" t="str">
        <f t="shared" si="1149"/>
        <v>TCGA-BRCA</v>
      </c>
      <c r="D14132" s="1" t="s">
        <v>493</v>
      </c>
      <c r="E14132" t="s">
        <v>532</v>
      </c>
      <c r="F14132" s="1">
        <v>2</v>
      </c>
      <c r="G14132" s="1" t="s">
        <v>32</v>
      </c>
      <c r="H14132" s="4" t="str">
        <f>HYPERLINK("https://portal.gdc.cancer.gov/cases/52c35691-efca-42f5-a03e-02c9f872275c","TCGA-C8-A1HK-01A")</f>
        <v>TCGA-C8-A1HK-01A</v>
      </c>
      <c r="I14132" t="s">
        <v>17</v>
      </c>
      <c r="J14132" t="s">
        <v>524</v>
      </c>
      <c r="K14132" t="s">
        <v>33</v>
      </c>
      <c r="L14132" t="s">
        <v>20</v>
      </c>
      <c r="N14132" t="s">
        <v>29</v>
      </c>
    </row>
    <row r="14133" spans="1:14">
      <c r="A14133" s="4" t="str">
        <f t="shared" si="1150"/>
        <v>EXP00414</v>
      </c>
      <c r="B14133" s="3" t="s">
        <v>66</v>
      </c>
      <c r="C14133" s="4" t="str">
        <f t="shared" si="1149"/>
        <v>TCGA-BRCA</v>
      </c>
      <c r="D14133" s="1" t="s">
        <v>493</v>
      </c>
      <c r="E14133" t="s">
        <v>532</v>
      </c>
      <c r="F14133" s="1">
        <v>2</v>
      </c>
      <c r="G14133" s="1" t="s">
        <v>32</v>
      </c>
      <c r="H14133" s="4" t="str">
        <f>HYPERLINK("https://portal.gdc.cancer.gov/cases/a8a199c9-d781-4e6c-af8c-c85d60c7cd40","TCGA-C8-A1HL-01A")</f>
        <v>TCGA-C8-A1HL-01A</v>
      </c>
      <c r="I14133" t="s">
        <v>17</v>
      </c>
      <c r="J14133" t="s">
        <v>524</v>
      </c>
      <c r="K14133" t="s">
        <v>33</v>
      </c>
      <c r="L14133" t="s">
        <v>20</v>
      </c>
      <c r="N14133" t="s">
        <v>29</v>
      </c>
    </row>
    <row r="14134" spans="1:14">
      <c r="A14134" s="4" t="str">
        <f t="shared" si="1150"/>
        <v>EXP00414</v>
      </c>
      <c r="B14134" s="3" t="s">
        <v>66</v>
      </c>
      <c r="C14134" s="4" t="str">
        <f t="shared" si="1149"/>
        <v>TCGA-BRCA</v>
      </c>
      <c r="D14134" s="1" t="s">
        <v>493</v>
      </c>
      <c r="E14134" t="s">
        <v>532</v>
      </c>
      <c r="F14134" s="1">
        <v>2</v>
      </c>
      <c r="G14134" s="1" t="s">
        <v>32</v>
      </c>
      <c r="H14134" s="4" t="str">
        <f>HYPERLINK("https://portal.gdc.cancer.gov/cases/8b525ec6-d24b-49d4-bfcb-b354de4dae7c","TCGA-C8-A1HM-01A")</f>
        <v>TCGA-C8-A1HM-01A</v>
      </c>
      <c r="I14134" t="s">
        <v>17</v>
      </c>
      <c r="J14134" t="s">
        <v>524</v>
      </c>
      <c r="K14134" t="s">
        <v>33</v>
      </c>
      <c r="L14134" t="s">
        <v>20</v>
      </c>
      <c r="N14134" t="s">
        <v>29</v>
      </c>
    </row>
    <row r="14135" spans="1:14">
      <c r="A14135" s="4" t="str">
        <f t="shared" si="1150"/>
        <v>EXP00414</v>
      </c>
      <c r="B14135" s="3" t="s">
        <v>66</v>
      </c>
      <c r="C14135" s="4" t="str">
        <f t="shared" si="1149"/>
        <v>TCGA-BRCA</v>
      </c>
      <c r="D14135" s="1" t="s">
        <v>493</v>
      </c>
      <c r="E14135" t="s">
        <v>532</v>
      </c>
      <c r="F14135" s="1">
        <v>2</v>
      </c>
      <c r="G14135" s="1" t="s">
        <v>32</v>
      </c>
      <c r="H14135" s="4" t="str">
        <f>HYPERLINK("https://portal.gdc.cancer.gov/cases/86a18ae0-dfb1-49c3-b5c4-67ec331d6e40","TCGA-C8-A1HN-01A")</f>
        <v>TCGA-C8-A1HN-01A</v>
      </c>
      <c r="I14135" t="s">
        <v>17</v>
      </c>
      <c r="J14135" t="s">
        <v>524</v>
      </c>
      <c r="K14135" t="s">
        <v>33</v>
      </c>
      <c r="L14135" t="s">
        <v>20</v>
      </c>
      <c r="N14135" t="s">
        <v>29</v>
      </c>
    </row>
    <row r="14136" spans="1:14">
      <c r="A14136" s="4" t="str">
        <f t="shared" si="1150"/>
        <v>EXP00414</v>
      </c>
      <c r="B14136" s="3" t="s">
        <v>66</v>
      </c>
      <c r="C14136" s="4" t="str">
        <f t="shared" si="1149"/>
        <v>TCGA-BRCA</v>
      </c>
      <c r="D14136" s="1" t="s">
        <v>493</v>
      </c>
      <c r="E14136" t="s">
        <v>532</v>
      </c>
      <c r="F14136" s="1">
        <v>2</v>
      </c>
      <c r="G14136" s="1" t="s">
        <v>32</v>
      </c>
      <c r="H14136" s="4" t="str">
        <f>HYPERLINK("https://portal.gdc.cancer.gov/cases/b3354b72-2637-4edc-9a95-e55801d3ac13","TCGA-C8-A1HO-01A")</f>
        <v>TCGA-C8-A1HO-01A</v>
      </c>
      <c r="I14136" t="s">
        <v>17</v>
      </c>
      <c r="J14136" t="s">
        <v>524</v>
      </c>
      <c r="K14136" t="s">
        <v>33</v>
      </c>
      <c r="L14136" t="s">
        <v>20</v>
      </c>
      <c r="N14136" t="s">
        <v>29</v>
      </c>
    </row>
    <row r="14137" spans="1:14">
      <c r="A14137" s="4" t="str">
        <f t="shared" si="1150"/>
        <v>EXP00414</v>
      </c>
      <c r="B14137" s="3" t="s">
        <v>66</v>
      </c>
      <c r="C14137" s="4" t="str">
        <f t="shared" si="1149"/>
        <v>TCGA-BRCA</v>
      </c>
      <c r="D14137" s="1" t="s">
        <v>493</v>
      </c>
      <c r="E14137" t="s">
        <v>532</v>
      </c>
      <c r="F14137" s="1">
        <v>2</v>
      </c>
      <c r="G14137" s="1" t="s">
        <v>32</v>
      </c>
      <c r="H14137" s="4" t="str">
        <f>HYPERLINK("https://portal.gdc.cancer.gov/cases/89414e79-7f89-42d9-8228-101b5bf2f31f","TCGA-C8-A26V-01A")</f>
        <v>TCGA-C8-A26V-01A</v>
      </c>
      <c r="I14137" t="s">
        <v>17</v>
      </c>
      <c r="J14137" t="s">
        <v>524</v>
      </c>
      <c r="K14137" t="s">
        <v>33</v>
      </c>
      <c r="L14137" t="s">
        <v>20</v>
      </c>
      <c r="N14137" t="s">
        <v>29</v>
      </c>
    </row>
    <row r="14138" spans="1:14">
      <c r="A14138" s="4" t="str">
        <f t="shared" si="1150"/>
        <v>EXP00414</v>
      </c>
      <c r="B14138" s="3" t="s">
        <v>66</v>
      </c>
      <c r="C14138" s="4" t="str">
        <f t="shared" ref="C14138:C14201" si="1151">HYPERLINK("https://portal.gdc.cancer.gov/projects/TCGA-BRCA","TCGA-BRCA")</f>
        <v>TCGA-BRCA</v>
      </c>
      <c r="D14138" s="1" t="s">
        <v>493</v>
      </c>
      <c r="E14138" t="s">
        <v>532</v>
      </c>
      <c r="F14138" s="1">
        <v>2</v>
      </c>
      <c r="G14138" s="1" t="s">
        <v>32</v>
      </c>
      <c r="H14138" s="4" t="str">
        <f>HYPERLINK("https://portal.gdc.cancer.gov/cases/ff0f875f-113a-4c0f-8c0a-4259cd496e6d","TCGA-C8-A26W-01A")</f>
        <v>TCGA-C8-A26W-01A</v>
      </c>
      <c r="I14138" t="s">
        <v>17</v>
      </c>
      <c r="J14138" t="s">
        <v>524</v>
      </c>
      <c r="K14138" t="s">
        <v>33</v>
      </c>
      <c r="L14138" t="s">
        <v>20</v>
      </c>
      <c r="N14138" t="s">
        <v>29</v>
      </c>
    </row>
    <row r="14139" spans="1:14">
      <c r="A14139" s="4" t="str">
        <f t="shared" si="1150"/>
        <v>EXP00414</v>
      </c>
      <c r="B14139" s="3" t="s">
        <v>66</v>
      </c>
      <c r="C14139" s="4" t="str">
        <f t="shared" si="1151"/>
        <v>TCGA-BRCA</v>
      </c>
      <c r="D14139" s="1" t="s">
        <v>493</v>
      </c>
      <c r="E14139" t="s">
        <v>532</v>
      </c>
      <c r="F14139" s="1">
        <v>2</v>
      </c>
      <c r="G14139" s="1" t="s">
        <v>32</v>
      </c>
      <c r="H14139" s="4" t="str">
        <f>HYPERLINK("https://portal.gdc.cancer.gov/cases/70ab4f23-23c4-409f-a5cc-18a010c3a24e","TCGA-C8-A26X-01A")</f>
        <v>TCGA-C8-A26X-01A</v>
      </c>
      <c r="I14139" t="s">
        <v>17</v>
      </c>
      <c r="J14139" t="s">
        <v>524</v>
      </c>
      <c r="K14139" t="s">
        <v>33</v>
      </c>
      <c r="L14139" t="s">
        <v>20</v>
      </c>
      <c r="N14139" t="s">
        <v>29</v>
      </c>
    </row>
    <row r="14140" spans="1:14">
      <c r="A14140" s="4" t="str">
        <f t="shared" si="1150"/>
        <v>EXP00414</v>
      </c>
      <c r="B14140" s="3" t="s">
        <v>66</v>
      </c>
      <c r="C14140" s="4" t="str">
        <f t="shared" si="1151"/>
        <v>TCGA-BRCA</v>
      </c>
      <c r="D14140" s="1" t="s">
        <v>493</v>
      </c>
      <c r="E14140" t="s">
        <v>532</v>
      </c>
      <c r="F14140" s="1">
        <v>2</v>
      </c>
      <c r="G14140" s="1" t="s">
        <v>32</v>
      </c>
      <c r="H14140" s="4" t="str">
        <f>HYPERLINK("https://portal.gdc.cancer.gov/cases/4d51159f-ab2f-40e3-a363-847c3654431e","TCGA-C8-A26Y-01A")</f>
        <v>TCGA-C8-A26Y-01A</v>
      </c>
      <c r="I14140" t="s">
        <v>17</v>
      </c>
      <c r="J14140" t="s">
        <v>524</v>
      </c>
      <c r="K14140" t="s">
        <v>33</v>
      </c>
      <c r="L14140" t="s">
        <v>20</v>
      </c>
      <c r="N14140" t="s">
        <v>29</v>
      </c>
    </row>
    <row r="14141" spans="1:14">
      <c r="A14141" s="4" t="str">
        <f t="shared" si="1150"/>
        <v>EXP00414</v>
      </c>
      <c r="B14141" s="3" t="s">
        <v>66</v>
      </c>
      <c r="C14141" s="4" t="str">
        <f t="shared" si="1151"/>
        <v>TCGA-BRCA</v>
      </c>
      <c r="D14141" s="1" t="s">
        <v>493</v>
      </c>
      <c r="E14141" t="s">
        <v>532</v>
      </c>
      <c r="F14141" s="1">
        <v>2</v>
      </c>
      <c r="G14141" s="1" t="s">
        <v>32</v>
      </c>
      <c r="H14141" s="4" t="str">
        <f>HYPERLINK("https://portal.gdc.cancer.gov/cases/dc11b1c7-1f00-4813-b4b5-ecf776b2eb37","TCGA-C8-A26Z-01A")</f>
        <v>TCGA-C8-A26Z-01A</v>
      </c>
      <c r="I14141" t="s">
        <v>17</v>
      </c>
      <c r="J14141" t="s">
        <v>524</v>
      </c>
      <c r="K14141" t="s">
        <v>33</v>
      </c>
      <c r="L14141" t="s">
        <v>20</v>
      </c>
      <c r="N14141" t="s">
        <v>29</v>
      </c>
    </row>
    <row r="14142" spans="1:14">
      <c r="A14142" s="4" t="str">
        <f t="shared" si="1150"/>
        <v>EXP00414</v>
      </c>
      <c r="B14142" s="3" t="s">
        <v>66</v>
      </c>
      <c r="C14142" s="4" t="str">
        <f t="shared" si="1151"/>
        <v>TCGA-BRCA</v>
      </c>
      <c r="D14142" s="1" t="s">
        <v>493</v>
      </c>
      <c r="E14142" t="s">
        <v>532</v>
      </c>
      <c r="F14142" s="1">
        <v>2</v>
      </c>
      <c r="G14142" s="1" t="s">
        <v>32</v>
      </c>
      <c r="H14142" s="4" t="str">
        <f>HYPERLINK("https://portal.gdc.cancer.gov/cases/5a5f0f48-2b13-4e78-b130-901b85d9a7f3","TCGA-C8-A273-01A")</f>
        <v>TCGA-C8-A273-01A</v>
      </c>
      <c r="I14142" t="s">
        <v>17</v>
      </c>
      <c r="J14142" t="s">
        <v>524</v>
      </c>
      <c r="K14142" t="s">
        <v>33</v>
      </c>
      <c r="L14142" t="s">
        <v>20</v>
      </c>
      <c r="N14142" t="s">
        <v>29</v>
      </c>
    </row>
    <row r="14143" spans="1:14">
      <c r="A14143" s="4" t="str">
        <f t="shared" si="1150"/>
        <v>EXP00414</v>
      </c>
      <c r="B14143" s="3" t="s">
        <v>66</v>
      </c>
      <c r="C14143" s="4" t="str">
        <f t="shared" si="1151"/>
        <v>TCGA-BRCA</v>
      </c>
      <c r="D14143" s="1" t="s">
        <v>493</v>
      </c>
      <c r="E14143" t="s">
        <v>532</v>
      </c>
      <c r="F14143" s="1">
        <v>2</v>
      </c>
      <c r="G14143" s="1" t="s">
        <v>32</v>
      </c>
      <c r="H14143" s="4" t="str">
        <f>HYPERLINK("https://portal.gdc.cancer.gov/cases/dbcad60f-86c7-41e3-b0ae-baa39c9f83dd","TCGA-C8-A274-01A")</f>
        <v>TCGA-C8-A274-01A</v>
      </c>
      <c r="I14143" t="s">
        <v>17</v>
      </c>
      <c r="J14143" t="s">
        <v>524</v>
      </c>
      <c r="K14143" t="s">
        <v>33</v>
      </c>
      <c r="L14143" t="s">
        <v>20</v>
      </c>
      <c r="N14143" t="s">
        <v>29</v>
      </c>
    </row>
    <row r="14144" spans="1:14">
      <c r="A14144" s="4" t="str">
        <f t="shared" si="1150"/>
        <v>EXP00414</v>
      </c>
      <c r="B14144" s="3" t="s">
        <v>66</v>
      </c>
      <c r="C14144" s="4" t="str">
        <f t="shared" si="1151"/>
        <v>TCGA-BRCA</v>
      </c>
      <c r="D14144" s="1" t="s">
        <v>493</v>
      </c>
      <c r="E14144" t="s">
        <v>532</v>
      </c>
      <c r="F14144" s="1">
        <v>2</v>
      </c>
      <c r="G14144" s="1" t="s">
        <v>32</v>
      </c>
      <c r="H14144" s="4" t="str">
        <f>HYPERLINK("https://portal.gdc.cancer.gov/cases/ce887e90-0660-4f44-a3a4-b3b894cb7eda","TCGA-C8-A275-01A")</f>
        <v>TCGA-C8-A275-01A</v>
      </c>
      <c r="I14144" t="s">
        <v>17</v>
      </c>
      <c r="J14144" t="s">
        <v>524</v>
      </c>
      <c r="K14144" t="s">
        <v>33</v>
      </c>
      <c r="L14144" t="s">
        <v>20</v>
      </c>
      <c r="N14144" t="s">
        <v>29</v>
      </c>
    </row>
    <row r="14145" spans="1:14">
      <c r="A14145" s="4" t="str">
        <f t="shared" si="1150"/>
        <v>EXP00414</v>
      </c>
      <c r="B14145" s="3" t="s">
        <v>66</v>
      </c>
      <c r="C14145" s="4" t="str">
        <f t="shared" si="1151"/>
        <v>TCGA-BRCA</v>
      </c>
      <c r="D14145" s="1" t="s">
        <v>493</v>
      </c>
      <c r="E14145" t="s">
        <v>532</v>
      </c>
      <c r="F14145" s="1">
        <v>2</v>
      </c>
      <c r="G14145" s="1" t="s">
        <v>32</v>
      </c>
      <c r="H14145" s="4" t="str">
        <f>HYPERLINK("https://portal.gdc.cancer.gov/cases/65077db7-dd59-4362-9d28-d5a9154e9be0","TCGA-C8-A278-01A")</f>
        <v>TCGA-C8-A278-01A</v>
      </c>
      <c r="I14145" t="s">
        <v>17</v>
      </c>
      <c r="J14145" t="s">
        <v>524</v>
      </c>
      <c r="K14145" t="s">
        <v>33</v>
      </c>
      <c r="L14145" t="s">
        <v>20</v>
      </c>
      <c r="N14145" t="s">
        <v>29</v>
      </c>
    </row>
    <row r="14146" spans="1:14">
      <c r="A14146" s="4" t="str">
        <f t="shared" si="1150"/>
        <v>EXP00414</v>
      </c>
      <c r="B14146" s="3" t="s">
        <v>66</v>
      </c>
      <c r="C14146" s="4" t="str">
        <f t="shared" si="1151"/>
        <v>TCGA-BRCA</v>
      </c>
      <c r="D14146" s="1" t="s">
        <v>493</v>
      </c>
      <c r="E14146" t="s">
        <v>532</v>
      </c>
      <c r="F14146" s="1">
        <v>2</v>
      </c>
      <c r="G14146" s="1" t="s">
        <v>32</v>
      </c>
      <c r="H14146" s="4" t="str">
        <f>HYPERLINK("https://portal.gdc.cancer.gov/cases/3b1f7e48-216d-47de-ba79-db350f52bff0","TCGA-C8-A27A-01A")</f>
        <v>TCGA-C8-A27A-01A</v>
      </c>
      <c r="I14146" t="s">
        <v>17</v>
      </c>
      <c r="J14146" t="s">
        <v>524</v>
      </c>
      <c r="K14146" t="s">
        <v>33</v>
      </c>
      <c r="L14146" t="s">
        <v>20</v>
      </c>
      <c r="N14146" t="s">
        <v>29</v>
      </c>
    </row>
    <row r="14147" spans="1:14">
      <c r="A14147" s="4" t="str">
        <f t="shared" ref="A14147:A14210" si="1152">HYPERLINK("http://hcmdb.i-sanger.com/experiment/details/experiment_id/EXP00414","EXP00414")</f>
        <v>EXP00414</v>
      </c>
      <c r="B14147" s="3" t="s">
        <v>66</v>
      </c>
      <c r="C14147" s="4" t="str">
        <f t="shared" si="1151"/>
        <v>TCGA-BRCA</v>
      </c>
      <c r="D14147" s="1" t="s">
        <v>493</v>
      </c>
      <c r="E14147" t="s">
        <v>532</v>
      </c>
      <c r="F14147" s="1">
        <v>2</v>
      </c>
      <c r="G14147" s="1" t="s">
        <v>32</v>
      </c>
      <c r="H14147" s="4" t="str">
        <f>HYPERLINK("https://portal.gdc.cancer.gov/cases/f0d8a1fe-e313-44f1-99cc-b965cbeeff0e","TCGA-C8-A27B-01A")</f>
        <v>TCGA-C8-A27B-01A</v>
      </c>
      <c r="I14147" t="s">
        <v>17</v>
      </c>
      <c r="J14147" t="s">
        <v>524</v>
      </c>
      <c r="K14147" t="s">
        <v>33</v>
      </c>
      <c r="L14147" t="s">
        <v>20</v>
      </c>
      <c r="N14147" t="s">
        <v>29</v>
      </c>
    </row>
    <row r="14148" spans="1:14">
      <c r="A14148" s="4" t="str">
        <f t="shared" si="1152"/>
        <v>EXP00414</v>
      </c>
      <c r="B14148" s="3" t="s">
        <v>66</v>
      </c>
      <c r="C14148" s="4" t="str">
        <f t="shared" si="1151"/>
        <v>TCGA-BRCA</v>
      </c>
      <c r="D14148" s="1" t="s">
        <v>493</v>
      </c>
      <c r="E14148" t="s">
        <v>532</v>
      </c>
      <c r="F14148" s="1">
        <v>2</v>
      </c>
      <c r="G14148" s="1" t="s">
        <v>32</v>
      </c>
      <c r="H14148" s="4" t="str">
        <f>HYPERLINK("https://portal.gdc.cancer.gov/cases/959ff069-8a49-4c9b-85c2-5291cac0acff","TCGA-C8-A3M7-01A")</f>
        <v>TCGA-C8-A3M7-01A</v>
      </c>
      <c r="I14148" t="s">
        <v>17</v>
      </c>
      <c r="J14148" t="s">
        <v>524</v>
      </c>
      <c r="K14148" t="s">
        <v>33</v>
      </c>
      <c r="L14148" t="s">
        <v>20</v>
      </c>
      <c r="N14148" t="s">
        <v>29</v>
      </c>
    </row>
    <row r="14149" spans="1:14">
      <c r="A14149" s="4" t="str">
        <f t="shared" si="1152"/>
        <v>EXP00414</v>
      </c>
      <c r="B14149" s="3" t="s">
        <v>66</v>
      </c>
      <c r="C14149" s="4" t="str">
        <f t="shared" si="1151"/>
        <v>TCGA-BRCA</v>
      </c>
      <c r="D14149" s="1" t="s">
        <v>493</v>
      </c>
      <c r="E14149" t="s">
        <v>532</v>
      </c>
      <c r="F14149" s="1">
        <v>2</v>
      </c>
      <c r="G14149" s="1" t="s">
        <v>32</v>
      </c>
      <c r="H14149" s="4" t="str">
        <f>HYPERLINK("https://portal.gdc.cancer.gov/cases/c1e704d6-a33b-4891-90bd-992b0040c075","TCGA-C8-A3M8-01A")</f>
        <v>TCGA-C8-A3M8-01A</v>
      </c>
      <c r="I14149" t="s">
        <v>17</v>
      </c>
      <c r="J14149" t="s">
        <v>524</v>
      </c>
      <c r="K14149" t="s">
        <v>33</v>
      </c>
      <c r="L14149" t="s">
        <v>20</v>
      </c>
      <c r="N14149" t="s">
        <v>29</v>
      </c>
    </row>
    <row r="14150" spans="1:14">
      <c r="A14150" s="4" t="str">
        <f t="shared" si="1152"/>
        <v>EXP00414</v>
      </c>
      <c r="B14150" s="3" t="s">
        <v>66</v>
      </c>
      <c r="C14150" s="4" t="str">
        <f t="shared" si="1151"/>
        <v>TCGA-BRCA</v>
      </c>
      <c r="D14150" s="1" t="s">
        <v>493</v>
      </c>
      <c r="E14150" t="s">
        <v>532</v>
      </c>
      <c r="F14150" s="1">
        <v>2</v>
      </c>
      <c r="G14150" s="1" t="s">
        <v>32</v>
      </c>
      <c r="H14150" s="4" t="str">
        <f>HYPERLINK("https://portal.gdc.cancer.gov/cases/8db69f1d-72e2-40ba-ad8a-cf228499840d","TCGA-C8-A8HP-01A")</f>
        <v>TCGA-C8-A8HP-01A</v>
      </c>
      <c r="I14150" t="s">
        <v>17</v>
      </c>
      <c r="J14150" t="s">
        <v>524</v>
      </c>
      <c r="K14150" t="s">
        <v>33</v>
      </c>
      <c r="L14150" t="s">
        <v>20</v>
      </c>
      <c r="N14150" t="s">
        <v>29</v>
      </c>
    </row>
    <row r="14151" spans="1:14">
      <c r="A14151" s="4" t="str">
        <f t="shared" si="1152"/>
        <v>EXP00414</v>
      </c>
      <c r="B14151" s="3" t="s">
        <v>66</v>
      </c>
      <c r="C14151" s="4" t="str">
        <f t="shared" si="1151"/>
        <v>TCGA-BRCA</v>
      </c>
      <c r="D14151" s="1" t="s">
        <v>493</v>
      </c>
      <c r="E14151" t="s">
        <v>532</v>
      </c>
      <c r="F14151" s="1">
        <v>2</v>
      </c>
      <c r="G14151" s="1" t="s">
        <v>32</v>
      </c>
      <c r="H14151" s="4" t="str">
        <f>HYPERLINK("https://portal.gdc.cancer.gov/cases/6951fe6a-d7d1-4f41-85af-76655b5d1f62","TCGA-C8-A8HQ-01A")</f>
        <v>TCGA-C8-A8HQ-01A</v>
      </c>
      <c r="I14151" t="s">
        <v>17</v>
      </c>
      <c r="J14151" t="s">
        <v>524</v>
      </c>
      <c r="K14151" t="s">
        <v>33</v>
      </c>
      <c r="L14151" t="s">
        <v>20</v>
      </c>
      <c r="N14151" t="s">
        <v>29</v>
      </c>
    </row>
    <row r="14152" spans="1:14">
      <c r="A14152" s="4" t="str">
        <f t="shared" si="1152"/>
        <v>EXP00414</v>
      </c>
      <c r="B14152" s="3" t="s">
        <v>66</v>
      </c>
      <c r="C14152" s="4" t="str">
        <f t="shared" si="1151"/>
        <v>TCGA-BRCA</v>
      </c>
      <c r="D14152" s="1" t="s">
        <v>493</v>
      </c>
      <c r="E14152" t="s">
        <v>532</v>
      </c>
      <c r="F14152" s="1">
        <v>2</v>
      </c>
      <c r="G14152" s="1" t="s">
        <v>32</v>
      </c>
      <c r="H14152" s="4" t="str">
        <f>HYPERLINK("https://portal.gdc.cancer.gov/cases/dcb68327-1537-4ca6-81de-3910d0663cb8","TCGA-C8-A8HR-01A")</f>
        <v>TCGA-C8-A8HR-01A</v>
      </c>
      <c r="I14152" t="s">
        <v>17</v>
      </c>
      <c r="J14152" t="s">
        <v>524</v>
      </c>
      <c r="K14152" t="s">
        <v>33</v>
      </c>
      <c r="L14152" t="s">
        <v>20</v>
      </c>
      <c r="N14152" t="s">
        <v>29</v>
      </c>
    </row>
    <row r="14153" spans="1:14">
      <c r="A14153" s="4" t="str">
        <f t="shared" si="1152"/>
        <v>EXP00414</v>
      </c>
      <c r="B14153" s="3" t="s">
        <v>66</v>
      </c>
      <c r="C14153" s="4" t="str">
        <f t="shared" si="1151"/>
        <v>TCGA-BRCA</v>
      </c>
      <c r="D14153" s="1" t="s">
        <v>493</v>
      </c>
      <c r="E14153" t="s">
        <v>532</v>
      </c>
      <c r="F14153" s="1">
        <v>2</v>
      </c>
      <c r="G14153" s="1" t="s">
        <v>32</v>
      </c>
      <c r="H14153" s="4" t="str">
        <f>HYPERLINK("https://portal.gdc.cancer.gov/cases/17f275c1-a0d4-487d-8f02-ea279584b4cd","TCGA-D8-A13Y-01A")</f>
        <v>TCGA-D8-A13Y-01A</v>
      </c>
      <c r="I14153" t="s">
        <v>17</v>
      </c>
      <c r="J14153" t="s">
        <v>524</v>
      </c>
      <c r="K14153" t="s">
        <v>33</v>
      </c>
      <c r="L14153" t="s">
        <v>20</v>
      </c>
      <c r="N14153" t="s">
        <v>29</v>
      </c>
    </row>
    <row r="14154" spans="1:14">
      <c r="A14154" s="4" t="str">
        <f t="shared" si="1152"/>
        <v>EXP00414</v>
      </c>
      <c r="B14154" s="3" t="s">
        <v>66</v>
      </c>
      <c r="C14154" s="4" t="str">
        <f t="shared" si="1151"/>
        <v>TCGA-BRCA</v>
      </c>
      <c r="D14154" s="1" t="s">
        <v>493</v>
      </c>
      <c r="E14154" t="s">
        <v>532</v>
      </c>
      <c r="F14154" s="1">
        <v>2</v>
      </c>
      <c r="G14154" s="1" t="s">
        <v>32</v>
      </c>
      <c r="H14154" s="4" t="str">
        <f>HYPERLINK("https://portal.gdc.cancer.gov/cases/5a17dcd9-5ced-4a69-8069-23c7fd0649d1","TCGA-D8-A13Z-01A")</f>
        <v>TCGA-D8-A13Z-01A</v>
      </c>
      <c r="I14154" t="s">
        <v>17</v>
      </c>
      <c r="J14154" t="s">
        <v>524</v>
      </c>
      <c r="K14154" t="s">
        <v>33</v>
      </c>
      <c r="L14154" t="s">
        <v>20</v>
      </c>
      <c r="N14154" t="s">
        <v>29</v>
      </c>
    </row>
    <row r="14155" spans="1:14">
      <c r="A14155" s="4" t="str">
        <f t="shared" si="1152"/>
        <v>EXP00414</v>
      </c>
      <c r="B14155" s="3" t="s">
        <v>66</v>
      </c>
      <c r="C14155" s="4" t="str">
        <f t="shared" si="1151"/>
        <v>TCGA-BRCA</v>
      </c>
      <c r="D14155" s="1" t="s">
        <v>493</v>
      </c>
      <c r="E14155" t="s">
        <v>532</v>
      </c>
      <c r="F14155" s="1">
        <v>2</v>
      </c>
      <c r="G14155" s="1" t="s">
        <v>32</v>
      </c>
      <c r="H14155" s="4" t="str">
        <f>HYPERLINK("https://portal.gdc.cancer.gov/cases/2585edbd-3488-4100-a4ab-a161252a31ee","TCGA-D8-A140-01A")</f>
        <v>TCGA-D8-A140-01A</v>
      </c>
      <c r="I14155" t="s">
        <v>17</v>
      </c>
      <c r="J14155" t="s">
        <v>524</v>
      </c>
      <c r="K14155" t="s">
        <v>33</v>
      </c>
      <c r="L14155" t="s">
        <v>20</v>
      </c>
      <c r="N14155" t="s">
        <v>29</v>
      </c>
    </row>
    <row r="14156" spans="1:14">
      <c r="A14156" s="4" t="str">
        <f t="shared" si="1152"/>
        <v>EXP00414</v>
      </c>
      <c r="B14156" s="3" t="s">
        <v>66</v>
      </c>
      <c r="C14156" s="4" t="str">
        <f t="shared" si="1151"/>
        <v>TCGA-BRCA</v>
      </c>
      <c r="D14156" s="1" t="s">
        <v>493</v>
      </c>
      <c r="E14156" t="s">
        <v>532</v>
      </c>
      <c r="F14156" s="1">
        <v>2</v>
      </c>
      <c r="G14156" s="1" t="s">
        <v>32</v>
      </c>
      <c r="H14156" s="4" t="str">
        <f>HYPERLINK("https://portal.gdc.cancer.gov/cases/42f6f503-4cf6-4a8e-b5fe-b44bccf6b38b","TCGA-D8-A141-01A")</f>
        <v>TCGA-D8-A141-01A</v>
      </c>
      <c r="I14156" t="s">
        <v>17</v>
      </c>
      <c r="J14156" t="s">
        <v>524</v>
      </c>
      <c r="K14156" t="s">
        <v>33</v>
      </c>
      <c r="L14156" t="s">
        <v>20</v>
      </c>
      <c r="N14156" t="s">
        <v>29</v>
      </c>
    </row>
    <row r="14157" spans="1:14">
      <c r="A14157" s="4" t="str">
        <f t="shared" si="1152"/>
        <v>EXP00414</v>
      </c>
      <c r="B14157" s="3" t="s">
        <v>66</v>
      </c>
      <c r="C14157" s="4" t="str">
        <f t="shared" si="1151"/>
        <v>TCGA-BRCA</v>
      </c>
      <c r="D14157" s="1" t="s">
        <v>493</v>
      </c>
      <c r="E14157" t="s">
        <v>532</v>
      </c>
      <c r="F14157" s="1">
        <v>2</v>
      </c>
      <c r="G14157" s="1" t="s">
        <v>32</v>
      </c>
      <c r="H14157" s="4" t="str">
        <f>HYPERLINK("https://portal.gdc.cancer.gov/cases/ccb22ecc-6e18-44b8-ad48-6ab51314b16e","TCGA-D8-A142-01A")</f>
        <v>TCGA-D8-A142-01A</v>
      </c>
      <c r="I14157" t="s">
        <v>17</v>
      </c>
      <c r="J14157" t="s">
        <v>524</v>
      </c>
      <c r="K14157" t="s">
        <v>33</v>
      </c>
      <c r="L14157" t="s">
        <v>20</v>
      </c>
      <c r="N14157" t="s">
        <v>29</v>
      </c>
    </row>
    <row r="14158" spans="1:14">
      <c r="A14158" s="4" t="str">
        <f t="shared" si="1152"/>
        <v>EXP00414</v>
      </c>
      <c r="B14158" s="3" t="s">
        <v>66</v>
      </c>
      <c r="C14158" s="4" t="str">
        <f t="shared" si="1151"/>
        <v>TCGA-BRCA</v>
      </c>
      <c r="D14158" s="1" t="s">
        <v>493</v>
      </c>
      <c r="E14158" t="s">
        <v>532</v>
      </c>
      <c r="F14158" s="1">
        <v>2</v>
      </c>
      <c r="G14158" s="1" t="s">
        <v>32</v>
      </c>
      <c r="H14158" s="4" t="str">
        <f>HYPERLINK("https://portal.gdc.cancer.gov/cases/1c40b84e-a0e3-429f-a48c-21566cf881c0","TCGA-D8-A143-01A")</f>
        <v>TCGA-D8-A143-01A</v>
      </c>
      <c r="I14158" t="s">
        <v>17</v>
      </c>
      <c r="J14158" t="s">
        <v>524</v>
      </c>
      <c r="K14158" t="s">
        <v>33</v>
      </c>
      <c r="L14158" t="s">
        <v>20</v>
      </c>
      <c r="N14158" t="s">
        <v>29</v>
      </c>
    </row>
    <row r="14159" spans="1:14">
      <c r="A14159" s="4" t="str">
        <f t="shared" si="1152"/>
        <v>EXP00414</v>
      </c>
      <c r="B14159" s="3" t="s">
        <v>66</v>
      </c>
      <c r="C14159" s="4" t="str">
        <f t="shared" si="1151"/>
        <v>TCGA-BRCA</v>
      </c>
      <c r="D14159" s="1" t="s">
        <v>493</v>
      </c>
      <c r="E14159" t="s">
        <v>532</v>
      </c>
      <c r="F14159" s="1">
        <v>2</v>
      </c>
      <c r="G14159" s="1" t="s">
        <v>32</v>
      </c>
      <c r="H14159" s="4" t="str">
        <f>HYPERLINK("https://portal.gdc.cancer.gov/cases/4958c36f-1dc7-4f14-9dec-36e14107dbe3","TCGA-D8-A145-01A")</f>
        <v>TCGA-D8-A145-01A</v>
      </c>
      <c r="I14159" t="s">
        <v>17</v>
      </c>
      <c r="J14159" t="s">
        <v>524</v>
      </c>
      <c r="K14159" t="s">
        <v>33</v>
      </c>
      <c r="L14159" t="s">
        <v>20</v>
      </c>
      <c r="N14159" t="s">
        <v>29</v>
      </c>
    </row>
    <row r="14160" spans="1:14">
      <c r="A14160" s="4" t="str">
        <f t="shared" si="1152"/>
        <v>EXP00414</v>
      </c>
      <c r="B14160" s="3" t="s">
        <v>66</v>
      </c>
      <c r="C14160" s="4" t="str">
        <f t="shared" si="1151"/>
        <v>TCGA-BRCA</v>
      </c>
      <c r="D14160" s="1" t="s">
        <v>493</v>
      </c>
      <c r="E14160" t="s">
        <v>532</v>
      </c>
      <c r="F14160" s="1">
        <v>2</v>
      </c>
      <c r="G14160" s="1" t="s">
        <v>32</v>
      </c>
      <c r="H14160" s="4" t="str">
        <f>HYPERLINK("https://portal.gdc.cancer.gov/cases/03da7a65-fa2f-42cb-a709-5fe8736f21d3","TCGA-D8-A146-01A")</f>
        <v>TCGA-D8-A146-01A</v>
      </c>
      <c r="I14160" t="s">
        <v>17</v>
      </c>
      <c r="J14160" t="s">
        <v>524</v>
      </c>
      <c r="K14160" t="s">
        <v>33</v>
      </c>
      <c r="L14160" t="s">
        <v>20</v>
      </c>
      <c r="N14160" t="s">
        <v>29</v>
      </c>
    </row>
    <row r="14161" spans="1:14">
      <c r="A14161" s="4" t="str">
        <f t="shared" si="1152"/>
        <v>EXP00414</v>
      </c>
      <c r="B14161" s="3" t="s">
        <v>66</v>
      </c>
      <c r="C14161" s="4" t="str">
        <f t="shared" si="1151"/>
        <v>TCGA-BRCA</v>
      </c>
      <c r="D14161" s="1" t="s">
        <v>493</v>
      </c>
      <c r="E14161" t="s">
        <v>532</v>
      </c>
      <c r="F14161" s="1">
        <v>2</v>
      </c>
      <c r="G14161" s="1" t="s">
        <v>32</v>
      </c>
      <c r="H14161" s="4" t="str">
        <f>HYPERLINK("https://portal.gdc.cancer.gov/cases/fc18d029-9be2-4fa0-9aef-6d647dc55f0b","TCGA-D8-A147-01A")</f>
        <v>TCGA-D8-A147-01A</v>
      </c>
      <c r="I14161" t="s">
        <v>17</v>
      </c>
      <c r="J14161" t="s">
        <v>524</v>
      </c>
      <c r="K14161" t="s">
        <v>33</v>
      </c>
      <c r="L14161" t="s">
        <v>20</v>
      </c>
      <c r="N14161" t="s">
        <v>29</v>
      </c>
    </row>
    <row r="14162" spans="1:14">
      <c r="A14162" s="4" t="str">
        <f t="shared" si="1152"/>
        <v>EXP00414</v>
      </c>
      <c r="B14162" s="3" t="s">
        <v>66</v>
      </c>
      <c r="C14162" s="4" t="str">
        <f t="shared" si="1151"/>
        <v>TCGA-BRCA</v>
      </c>
      <c r="D14162" s="1" t="s">
        <v>493</v>
      </c>
      <c r="E14162" t="s">
        <v>532</v>
      </c>
      <c r="F14162" s="1">
        <v>2</v>
      </c>
      <c r="G14162" s="1" t="s">
        <v>32</v>
      </c>
      <c r="H14162" s="4" t="str">
        <f>HYPERLINK("https://portal.gdc.cancer.gov/cases/62d70067-ff77-4f95-8b69-f537abaf74ce","TCGA-D8-A1J8-01A")</f>
        <v>TCGA-D8-A1J8-01A</v>
      </c>
      <c r="I14162" t="s">
        <v>17</v>
      </c>
      <c r="J14162" t="s">
        <v>524</v>
      </c>
      <c r="K14162" t="s">
        <v>33</v>
      </c>
      <c r="L14162" t="s">
        <v>20</v>
      </c>
      <c r="N14162" t="s">
        <v>29</v>
      </c>
    </row>
    <row r="14163" spans="1:14">
      <c r="A14163" s="4" t="str">
        <f t="shared" si="1152"/>
        <v>EXP00414</v>
      </c>
      <c r="B14163" s="3" t="s">
        <v>66</v>
      </c>
      <c r="C14163" s="4" t="str">
        <f t="shared" si="1151"/>
        <v>TCGA-BRCA</v>
      </c>
      <c r="D14163" s="1" t="s">
        <v>493</v>
      </c>
      <c r="E14163" t="s">
        <v>532</v>
      </c>
      <c r="F14163" s="1">
        <v>2</v>
      </c>
      <c r="G14163" s="1" t="s">
        <v>32</v>
      </c>
      <c r="H14163" s="4" t="str">
        <f>HYPERLINK("https://portal.gdc.cancer.gov/cases/d5e9a403-88ce-40fc-bb85-80cf3f8ff6bc","TCGA-D8-A1J9-01A")</f>
        <v>TCGA-D8-A1J9-01A</v>
      </c>
      <c r="I14163" t="s">
        <v>17</v>
      </c>
      <c r="J14163" t="s">
        <v>524</v>
      </c>
      <c r="K14163" t="s">
        <v>33</v>
      </c>
      <c r="L14163" t="s">
        <v>20</v>
      </c>
      <c r="N14163" t="s">
        <v>29</v>
      </c>
    </row>
    <row r="14164" spans="1:14">
      <c r="A14164" s="4" t="str">
        <f t="shared" si="1152"/>
        <v>EXP00414</v>
      </c>
      <c r="B14164" s="3" t="s">
        <v>66</v>
      </c>
      <c r="C14164" s="4" t="str">
        <f t="shared" si="1151"/>
        <v>TCGA-BRCA</v>
      </c>
      <c r="D14164" s="1" t="s">
        <v>493</v>
      </c>
      <c r="E14164" t="s">
        <v>532</v>
      </c>
      <c r="F14164" s="1">
        <v>2</v>
      </c>
      <c r="G14164" s="1" t="s">
        <v>32</v>
      </c>
      <c r="H14164" s="4" t="str">
        <f>HYPERLINK("https://portal.gdc.cancer.gov/cases/9ced0c70-c46c-4f98-8f48-840defe4b8b1","TCGA-D8-A1JA-01A")</f>
        <v>TCGA-D8-A1JA-01A</v>
      </c>
      <c r="I14164" t="s">
        <v>17</v>
      </c>
      <c r="J14164" t="s">
        <v>524</v>
      </c>
      <c r="K14164" t="s">
        <v>33</v>
      </c>
      <c r="L14164" t="s">
        <v>20</v>
      </c>
      <c r="N14164" t="s">
        <v>29</v>
      </c>
    </row>
    <row r="14165" spans="1:14">
      <c r="A14165" s="4" t="str">
        <f t="shared" si="1152"/>
        <v>EXP00414</v>
      </c>
      <c r="B14165" s="3" t="s">
        <v>66</v>
      </c>
      <c r="C14165" s="4" t="str">
        <f t="shared" si="1151"/>
        <v>TCGA-BRCA</v>
      </c>
      <c r="D14165" s="1" t="s">
        <v>493</v>
      </c>
      <c r="E14165" t="s">
        <v>532</v>
      </c>
      <c r="F14165" s="1">
        <v>2</v>
      </c>
      <c r="G14165" s="1" t="s">
        <v>32</v>
      </c>
      <c r="H14165" s="4" t="str">
        <f>HYPERLINK("https://portal.gdc.cancer.gov/cases/dd96a9c7-899c-47cd-a0f9-b149ed07a5d6","TCGA-D8-A1JB-01A")</f>
        <v>TCGA-D8-A1JB-01A</v>
      </c>
      <c r="I14165" t="s">
        <v>17</v>
      </c>
      <c r="J14165" t="s">
        <v>524</v>
      </c>
      <c r="K14165" t="s">
        <v>33</v>
      </c>
      <c r="L14165" t="s">
        <v>20</v>
      </c>
      <c r="N14165" t="s">
        <v>29</v>
      </c>
    </row>
    <row r="14166" spans="1:14">
      <c r="A14166" s="4" t="str">
        <f t="shared" si="1152"/>
        <v>EXP00414</v>
      </c>
      <c r="B14166" s="3" t="s">
        <v>66</v>
      </c>
      <c r="C14166" s="4" t="str">
        <f t="shared" si="1151"/>
        <v>TCGA-BRCA</v>
      </c>
      <c r="D14166" s="1" t="s">
        <v>493</v>
      </c>
      <c r="E14166" t="s">
        <v>532</v>
      </c>
      <c r="F14166" s="1">
        <v>2</v>
      </c>
      <c r="G14166" s="1" t="s">
        <v>32</v>
      </c>
      <c r="H14166" s="4" t="str">
        <f>HYPERLINK("https://portal.gdc.cancer.gov/cases/02e6f999-24f2-4ad2-9b92-df3ee2b082e5","TCGA-D8-A1JC-01A")</f>
        <v>TCGA-D8-A1JC-01A</v>
      </c>
      <c r="I14166" t="s">
        <v>17</v>
      </c>
      <c r="J14166" t="s">
        <v>524</v>
      </c>
      <c r="K14166" t="s">
        <v>33</v>
      </c>
      <c r="L14166" t="s">
        <v>20</v>
      </c>
      <c r="N14166" t="s">
        <v>29</v>
      </c>
    </row>
    <row r="14167" spans="1:14">
      <c r="A14167" s="4" t="str">
        <f t="shared" si="1152"/>
        <v>EXP00414</v>
      </c>
      <c r="B14167" s="3" t="s">
        <v>66</v>
      </c>
      <c r="C14167" s="4" t="str">
        <f t="shared" si="1151"/>
        <v>TCGA-BRCA</v>
      </c>
      <c r="D14167" s="1" t="s">
        <v>493</v>
      </c>
      <c r="E14167" t="s">
        <v>532</v>
      </c>
      <c r="F14167" s="1">
        <v>2</v>
      </c>
      <c r="G14167" s="1" t="s">
        <v>32</v>
      </c>
      <c r="H14167" s="4" t="str">
        <f>HYPERLINK("https://portal.gdc.cancer.gov/cases/530ad151-703d-4638-851f-0b5111ff318b","TCGA-D8-A1JD-01A")</f>
        <v>TCGA-D8-A1JD-01A</v>
      </c>
      <c r="I14167" t="s">
        <v>17</v>
      </c>
      <c r="J14167" t="s">
        <v>524</v>
      </c>
      <c r="K14167" t="s">
        <v>33</v>
      </c>
      <c r="L14167" t="s">
        <v>20</v>
      </c>
      <c r="N14167" t="s">
        <v>29</v>
      </c>
    </row>
    <row r="14168" spans="1:14">
      <c r="A14168" s="4" t="str">
        <f t="shared" si="1152"/>
        <v>EXP00414</v>
      </c>
      <c r="B14168" s="3" t="s">
        <v>66</v>
      </c>
      <c r="C14168" s="4" t="str">
        <f t="shared" si="1151"/>
        <v>TCGA-BRCA</v>
      </c>
      <c r="D14168" s="1" t="s">
        <v>493</v>
      </c>
      <c r="E14168" t="s">
        <v>532</v>
      </c>
      <c r="F14168" s="1">
        <v>2</v>
      </c>
      <c r="G14168" s="1" t="s">
        <v>32</v>
      </c>
      <c r="H14168" s="4" t="str">
        <f>HYPERLINK("https://portal.gdc.cancer.gov/cases/115bc72c-116f-40c1-be9b-e3dd7650efae","TCGA-D8-A1JE-01A")</f>
        <v>TCGA-D8-A1JE-01A</v>
      </c>
      <c r="I14168" t="s">
        <v>17</v>
      </c>
      <c r="J14168" t="s">
        <v>524</v>
      </c>
      <c r="K14168" t="s">
        <v>33</v>
      </c>
      <c r="L14168" t="s">
        <v>20</v>
      </c>
      <c r="N14168" t="s">
        <v>29</v>
      </c>
    </row>
    <row r="14169" spans="1:14">
      <c r="A14169" s="4" t="str">
        <f t="shared" si="1152"/>
        <v>EXP00414</v>
      </c>
      <c r="B14169" s="3" t="s">
        <v>66</v>
      </c>
      <c r="C14169" s="4" t="str">
        <f t="shared" si="1151"/>
        <v>TCGA-BRCA</v>
      </c>
      <c r="D14169" s="1" t="s">
        <v>493</v>
      </c>
      <c r="E14169" t="s">
        <v>532</v>
      </c>
      <c r="F14169" s="1">
        <v>2</v>
      </c>
      <c r="G14169" s="1" t="s">
        <v>32</v>
      </c>
      <c r="H14169" s="4" t="str">
        <f>HYPERLINK("https://portal.gdc.cancer.gov/cases/dcd5e079-813a-4c1a-b320-0931468d2bbc","TCGA-D8-A1JF-01A")</f>
        <v>TCGA-D8-A1JF-01A</v>
      </c>
      <c r="I14169" t="s">
        <v>17</v>
      </c>
      <c r="J14169" t="s">
        <v>524</v>
      </c>
      <c r="K14169" t="s">
        <v>33</v>
      </c>
      <c r="L14169" t="s">
        <v>20</v>
      </c>
      <c r="N14169" t="s">
        <v>29</v>
      </c>
    </row>
    <row r="14170" spans="1:14">
      <c r="A14170" s="4" t="str">
        <f t="shared" si="1152"/>
        <v>EXP00414</v>
      </c>
      <c r="B14170" s="3" t="s">
        <v>66</v>
      </c>
      <c r="C14170" s="4" t="str">
        <f t="shared" si="1151"/>
        <v>TCGA-BRCA</v>
      </c>
      <c r="D14170" s="1" t="s">
        <v>493</v>
      </c>
      <c r="E14170" t="s">
        <v>532</v>
      </c>
      <c r="F14170" s="1">
        <v>2</v>
      </c>
      <c r="G14170" s="1" t="s">
        <v>32</v>
      </c>
      <c r="H14170" s="4" t="str">
        <f>HYPERLINK("https://portal.gdc.cancer.gov/cases/7f2a63e6-64d5-4be1-9814-e8416fc9e688","TCGA-D8-A1JG-01B")</f>
        <v>TCGA-D8-A1JG-01B</v>
      </c>
      <c r="I14170" t="s">
        <v>17</v>
      </c>
      <c r="J14170" t="s">
        <v>524</v>
      </c>
      <c r="K14170" t="s">
        <v>33</v>
      </c>
      <c r="L14170" t="s">
        <v>20</v>
      </c>
      <c r="N14170" t="s">
        <v>29</v>
      </c>
    </row>
    <row r="14171" spans="1:14">
      <c r="A14171" s="4" t="str">
        <f t="shared" si="1152"/>
        <v>EXP00414</v>
      </c>
      <c r="B14171" s="3" t="s">
        <v>66</v>
      </c>
      <c r="C14171" s="4" t="str">
        <f t="shared" si="1151"/>
        <v>TCGA-BRCA</v>
      </c>
      <c r="D14171" s="1" t="s">
        <v>493</v>
      </c>
      <c r="E14171" t="s">
        <v>532</v>
      </c>
      <c r="F14171" s="1">
        <v>2</v>
      </c>
      <c r="G14171" s="1" t="s">
        <v>32</v>
      </c>
      <c r="H14171" s="4" t="str">
        <f>HYPERLINK("https://portal.gdc.cancer.gov/cases/4d1bf9e6-5837-4aed-b568-92f014ed5a4b","TCGA-D8-A1JH-01A")</f>
        <v>TCGA-D8-A1JH-01A</v>
      </c>
      <c r="I14171" t="s">
        <v>17</v>
      </c>
      <c r="J14171" t="s">
        <v>524</v>
      </c>
      <c r="K14171" t="s">
        <v>33</v>
      </c>
      <c r="L14171" t="s">
        <v>20</v>
      </c>
      <c r="N14171" t="s">
        <v>29</v>
      </c>
    </row>
    <row r="14172" spans="1:14">
      <c r="A14172" s="4" t="str">
        <f t="shared" si="1152"/>
        <v>EXP00414</v>
      </c>
      <c r="B14172" s="3" t="s">
        <v>66</v>
      </c>
      <c r="C14172" s="4" t="str">
        <f t="shared" si="1151"/>
        <v>TCGA-BRCA</v>
      </c>
      <c r="D14172" s="1" t="s">
        <v>493</v>
      </c>
      <c r="E14172" t="s">
        <v>532</v>
      </c>
      <c r="F14172" s="1">
        <v>2</v>
      </c>
      <c r="G14172" s="1" t="s">
        <v>32</v>
      </c>
      <c r="H14172" s="4" t="str">
        <f>HYPERLINK("https://portal.gdc.cancer.gov/cases/baf2afc8-f16c-488f-947c-efc9083c6bef","TCGA-D8-A1JI-01A")</f>
        <v>TCGA-D8-A1JI-01A</v>
      </c>
      <c r="I14172" t="s">
        <v>17</v>
      </c>
      <c r="J14172" t="s">
        <v>524</v>
      </c>
      <c r="K14172" t="s">
        <v>33</v>
      </c>
      <c r="L14172" t="s">
        <v>20</v>
      </c>
      <c r="N14172" t="s">
        <v>29</v>
      </c>
    </row>
    <row r="14173" spans="1:14">
      <c r="A14173" s="4" t="str">
        <f t="shared" si="1152"/>
        <v>EXP00414</v>
      </c>
      <c r="B14173" s="3" t="s">
        <v>66</v>
      </c>
      <c r="C14173" s="4" t="str">
        <f t="shared" si="1151"/>
        <v>TCGA-BRCA</v>
      </c>
      <c r="D14173" s="1" t="s">
        <v>493</v>
      </c>
      <c r="E14173" t="s">
        <v>532</v>
      </c>
      <c r="F14173" s="1">
        <v>2</v>
      </c>
      <c r="G14173" s="1" t="s">
        <v>32</v>
      </c>
      <c r="H14173" s="4" t="str">
        <f>HYPERLINK("https://portal.gdc.cancer.gov/cases/f7ab565c-83b5-4988-b9be-8a46f65dca8c","TCGA-D8-A1JJ-01A")</f>
        <v>TCGA-D8-A1JJ-01A</v>
      </c>
      <c r="I14173" t="s">
        <v>17</v>
      </c>
      <c r="J14173" t="s">
        <v>524</v>
      </c>
      <c r="K14173" t="s">
        <v>33</v>
      </c>
      <c r="L14173" t="s">
        <v>20</v>
      </c>
      <c r="N14173" t="s">
        <v>29</v>
      </c>
    </row>
    <row r="14174" spans="1:14">
      <c r="A14174" s="4" t="str">
        <f t="shared" si="1152"/>
        <v>EXP00414</v>
      </c>
      <c r="B14174" s="3" t="s">
        <v>66</v>
      </c>
      <c r="C14174" s="4" t="str">
        <f t="shared" si="1151"/>
        <v>TCGA-BRCA</v>
      </c>
      <c r="D14174" s="1" t="s">
        <v>493</v>
      </c>
      <c r="E14174" t="s">
        <v>532</v>
      </c>
      <c r="F14174" s="1">
        <v>2</v>
      </c>
      <c r="G14174" s="1" t="s">
        <v>32</v>
      </c>
      <c r="H14174" s="4" t="str">
        <f>HYPERLINK("https://portal.gdc.cancer.gov/cases/56203436-8634-4fd0-96b5-ba6be9d87857","TCGA-D8-A1JK-01A")</f>
        <v>TCGA-D8-A1JK-01A</v>
      </c>
      <c r="I14174" t="s">
        <v>17</v>
      </c>
      <c r="J14174" t="s">
        <v>524</v>
      </c>
      <c r="K14174" t="s">
        <v>33</v>
      </c>
      <c r="L14174" t="s">
        <v>20</v>
      </c>
      <c r="N14174" t="s">
        <v>29</v>
      </c>
    </row>
    <row r="14175" spans="1:14">
      <c r="A14175" s="4" t="str">
        <f t="shared" si="1152"/>
        <v>EXP00414</v>
      </c>
      <c r="B14175" s="3" t="s">
        <v>66</v>
      </c>
      <c r="C14175" s="4" t="str">
        <f t="shared" si="1151"/>
        <v>TCGA-BRCA</v>
      </c>
      <c r="D14175" s="1" t="s">
        <v>493</v>
      </c>
      <c r="E14175" t="s">
        <v>532</v>
      </c>
      <c r="F14175" s="1">
        <v>2</v>
      </c>
      <c r="G14175" s="1" t="s">
        <v>32</v>
      </c>
      <c r="H14175" s="4" t="str">
        <f>HYPERLINK("https://portal.gdc.cancer.gov/cases/aa4244a8-0454-4247-a1c3-357fd51746fa","TCGA-D8-A1JL-01A")</f>
        <v>TCGA-D8-A1JL-01A</v>
      </c>
      <c r="I14175" t="s">
        <v>17</v>
      </c>
      <c r="J14175" t="s">
        <v>524</v>
      </c>
      <c r="K14175" t="s">
        <v>33</v>
      </c>
      <c r="L14175" t="s">
        <v>20</v>
      </c>
      <c r="N14175" t="s">
        <v>29</v>
      </c>
    </row>
    <row r="14176" spans="1:14">
      <c r="A14176" s="4" t="str">
        <f t="shared" si="1152"/>
        <v>EXP00414</v>
      </c>
      <c r="B14176" s="3" t="s">
        <v>66</v>
      </c>
      <c r="C14176" s="4" t="str">
        <f t="shared" si="1151"/>
        <v>TCGA-BRCA</v>
      </c>
      <c r="D14176" s="1" t="s">
        <v>493</v>
      </c>
      <c r="E14176" t="s">
        <v>532</v>
      </c>
      <c r="F14176" s="1">
        <v>2</v>
      </c>
      <c r="G14176" s="1" t="s">
        <v>32</v>
      </c>
      <c r="H14176" s="4" t="str">
        <f>HYPERLINK("https://portal.gdc.cancer.gov/cases/28911b97-42bf-4189-9961-522fc0aeebc6","TCGA-D8-A1JN-01A")</f>
        <v>TCGA-D8-A1JN-01A</v>
      </c>
      <c r="I14176" t="s">
        <v>17</v>
      </c>
      <c r="J14176" t="s">
        <v>524</v>
      </c>
      <c r="K14176" t="s">
        <v>33</v>
      </c>
      <c r="L14176" t="s">
        <v>20</v>
      </c>
      <c r="N14176" t="s">
        <v>29</v>
      </c>
    </row>
    <row r="14177" spans="1:14">
      <c r="A14177" s="4" t="str">
        <f t="shared" si="1152"/>
        <v>EXP00414</v>
      </c>
      <c r="B14177" s="3" t="s">
        <v>66</v>
      </c>
      <c r="C14177" s="4" t="str">
        <f t="shared" si="1151"/>
        <v>TCGA-BRCA</v>
      </c>
      <c r="D14177" s="1" t="s">
        <v>493</v>
      </c>
      <c r="E14177" t="s">
        <v>532</v>
      </c>
      <c r="F14177" s="1">
        <v>2</v>
      </c>
      <c r="G14177" s="1" t="s">
        <v>32</v>
      </c>
      <c r="H14177" s="4" t="str">
        <f>HYPERLINK("https://portal.gdc.cancer.gov/cases/752f4773-5a12-4485-a1f6-896e148ddf4d","TCGA-D8-A1JP-01A")</f>
        <v>TCGA-D8-A1JP-01A</v>
      </c>
      <c r="I14177" t="s">
        <v>17</v>
      </c>
      <c r="J14177" t="s">
        <v>524</v>
      </c>
      <c r="K14177" t="s">
        <v>33</v>
      </c>
      <c r="L14177" t="s">
        <v>20</v>
      </c>
      <c r="N14177" t="s">
        <v>29</v>
      </c>
    </row>
    <row r="14178" spans="1:14">
      <c r="A14178" s="4" t="str">
        <f t="shared" si="1152"/>
        <v>EXP00414</v>
      </c>
      <c r="B14178" s="3" t="s">
        <v>66</v>
      </c>
      <c r="C14178" s="4" t="str">
        <f t="shared" si="1151"/>
        <v>TCGA-BRCA</v>
      </c>
      <c r="D14178" s="1" t="s">
        <v>493</v>
      </c>
      <c r="E14178" t="s">
        <v>532</v>
      </c>
      <c r="F14178" s="1">
        <v>2</v>
      </c>
      <c r="G14178" s="1" t="s">
        <v>32</v>
      </c>
      <c r="H14178" s="4" t="str">
        <f>HYPERLINK("https://portal.gdc.cancer.gov/cases/0d03055c-186b-418a-b614-e2035757bc3b","TCGA-D8-A1JS-01A")</f>
        <v>TCGA-D8-A1JS-01A</v>
      </c>
      <c r="I14178" t="s">
        <v>17</v>
      </c>
      <c r="J14178" t="s">
        <v>524</v>
      </c>
      <c r="K14178" t="s">
        <v>33</v>
      </c>
      <c r="L14178" t="s">
        <v>20</v>
      </c>
      <c r="N14178" t="s">
        <v>29</v>
      </c>
    </row>
    <row r="14179" spans="1:14">
      <c r="A14179" s="4" t="str">
        <f t="shared" si="1152"/>
        <v>EXP00414</v>
      </c>
      <c r="B14179" s="3" t="s">
        <v>66</v>
      </c>
      <c r="C14179" s="4" t="str">
        <f t="shared" si="1151"/>
        <v>TCGA-BRCA</v>
      </c>
      <c r="D14179" s="1" t="s">
        <v>493</v>
      </c>
      <c r="E14179" t="s">
        <v>532</v>
      </c>
      <c r="F14179" s="1">
        <v>2</v>
      </c>
      <c r="G14179" s="1" t="s">
        <v>32</v>
      </c>
      <c r="H14179" s="4" t="str">
        <f>HYPERLINK("https://portal.gdc.cancer.gov/cases/cd781589-3820-45a2-906b-8d60cd02f3ef","TCGA-D8-A1JT-01A")</f>
        <v>TCGA-D8-A1JT-01A</v>
      </c>
      <c r="I14179" t="s">
        <v>17</v>
      </c>
      <c r="J14179" t="s">
        <v>524</v>
      </c>
      <c r="K14179" t="s">
        <v>33</v>
      </c>
      <c r="L14179" t="s">
        <v>20</v>
      </c>
      <c r="N14179" t="s">
        <v>29</v>
      </c>
    </row>
    <row r="14180" spans="1:14">
      <c r="A14180" s="4" t="str">
        <f t="shared" si="1152"/>
        <v>EXP00414</v>
      </c>
      <c r="B14180" s="3" t="s">
        <v>66</v>
      </c>
      <c r="C14180" s="4" t="str">
        <f t="shared" si="1151"/>
        <v>TCGA-BRCA</v>
      </c>
      <c r="D14180" s="1" t="s">
        <v>493</v>
      </c>
      <c r="E14180" t="s">
        <v>532</v>
      </c>
      <c r="F14180" s="1">
        <v>2</v>
      </c>
      <c r="G14180" s="1" t="s">
        <v>32</v>
      </c>
      <c r="H14180" s="4" t="str">
        <f>HYPERLINK("https://portal.gdc.cancer.gov/cases/af2a8e2f-2ae1-48bc-bba5-0e2c077c4e48","TCGA-D8-A1JU-01A")</f>
        <v>TCGA-D8-A1JU-01A</v>
      </c>
      <c r="I14180" t="s">
        <v>17</v>
      </c>
      <c r="J14180" t="s">
        <v>524</v>
      </c>
      <c r="K14180" t="s">
        <v>33</v>
      </c>
      <c r="L14180" t="s">
        <v>20</v>
      </c>
      <c r="N14180" t="s">
        <v>29</v>
      </c>
    </row>
    <row r="14181" spans="1:14">
      <c r="A14181" s="4" t="str">
        <f t="shared" si="1152"/>
        <v>EXP00414</v>
      </c>
      <c r="B14181" s="3" t="s">
        <v>66</v>
      </c>
      <c r="C14181" s="4" t="str">
        <f t="shared" si="1151"/>
        <v>TCGA-BRCA</v>
      </c>
      <c r="D14181" s="1" t="s">
        <v>493</v>
      </c>
      <c r="E14181" t="s">
        <v>532</v>
      </c>
      <c r="F14181" s="1">
        <v>2</v>
      </c>
      <c r="G14181" s="1" t="s">
        <v>32</v>
      </c>
      <c r="H14181" s="4" t="str">
        <f>HYPERLINK("https://portal.gdc.cancer.gov/cases/eb93df3d-9e25-4e4c-9a5d-350f296e5acf","TCGA-D8-A1X5-01A")</f>
        <v>TCGA-D8-A1X5-01A</v>
      </c>
      <c r="I14181" t="s">
        <v>17</v>
      </c>
      <c r="J14181" t="s">
        <v>524</v>
      </c>
      <c r="K14181" t="s">
        <v>33</v>
      </c>
      <c r="L14181" t="s">
        <v>20</v>
      </c>
      <c r="N14181" t="s">
        <v>29</v>
      </c>
    </row>
    <row r="14182" spans="1:14">
      <c r="A14182" s="4" t="str">
        <f t="shared" si="1152"/>
        <v>EXP00414</v>
      </c>
      <c r="B14182" s="3" t="s">
        <v>66</v>
      </c>
      <c r="C14182" s="4" t="str">
        <f t="shared" si="1151"/>
        <v>TCGA-BRCA</v>
      </c>
      <c r="D14182" s="1" t="s">
        <v>493</v>
      </c>
      <c r="E14182" t="s">
        <v>532</v>
      </c>
      <c r="F14182" s="1">
        <v>2</v>
      </c>
      <c r="G14182" s="1" t="s">
        <v>32</v>
      </c>
      <c r="H14182" s="4" t="str">
        <f>HYPERLINK("https://portal.gdc.cancer.gov/cases/42e47f3a-dff7-41e4-8f84-146d97e8ab72","TCGA-D8-A1X6-01A")</f>
        <v>TCGA-D8-A1X6-01A</v>
      </c>
      <c r="I14182" t="s">
        <v>17</v>
      </c>
      <c r="J14182" t="s">
        <v>524</v>
      </c>
      <c r="K14182" t="s">
        <v>33</v>
      </c>
      <c r="L14182" t="s">
        <v>20</v>
      </c>
      <c r="N14182" t="s">
        <v>29</v>
      </c>
    </row>
    <row r="14183" spans="1:14">
      <c r="A14183" s="4" t="str">
        <f t="shared" si="1152"/>
        <v>EXP00414</v>
      </c>
      <c r="B14183" s="3" t="s">
        <v>66</v>
      </c>
      <c r="C14183" s="4" t="str">
        <f t="shared" si="1151"/>
        <v>TCGA-BRCA</v>
      </c>
      <c r="D14183" s="1" t="s">
        <v>493</v>
      </c>
      <c r="E14183" t="s">
        <v>532</v>
      </c>
      <c r="F14183" s="1">
        <v>2</v>
      </c>
      <c r="G14183" s="1" t="s">
        <v>32</v>
      </c>
      <c r="H14183" s="4" t="str">
        <f>HYPERLINK("https://portal.gdc.cancer.gov/cases/cdab777e-62de-4d51-92af-b6eb089c111f","TCGA-D8-A1X7-01A")</f>
        <v>TCGA-D8-A1X7-01A</v>
      </c>
      <c r="I14183" t="s">
        <v>17</v>
      </c>
      <c r="J14183" t="s">
        <v>524</v>
      </c>
      <c r="K14183" t="s">
        <v>33</v>
      </c>
      <c r="L14183" t="s">
        <v>20</v>
      </c>
      <c r="N14183" t="s">
        <v>29</v>
      </c>
    </row>
    <row r="14184" spans="1:14">
      <c r="A14184" s="4" t="str">
        <f t="shared" si="1152"/>
        <v>EXP00414</v>
      </c>
      <c r="B14184" s="3" t="s">
        <v>66</v>
      </c>
      <c r="C14184" s="4" t="str">
        <f t="shared" si="1151"/>
        <v>TCGA-BRCA</v>
      </c>
      <c r="D14184" s="1" t="s">
        <v>493</v>
      </c>
      <c r="E14184" t="s">
        <v>532</v>
      </c>
      <c r="F14184" s="1">
        <v>2</v>
      </c>
      <c r="G14184" s="1" t="s">
        <v>32</v>
      </c>
      <c r="H14184" s="4" t="str">
        <f>HYPERLINK("https://portal.gdc.cancer.gov/cases/8624354c-af25-423c-9c71-48a5dd821097","TCGA-D8-A1X8-01A")</f>
        <v>TCGA-D8-A1X8-01A</v>
      </c>
      <c r="I14184" t="s">
        <v>17</v>
      </c>
      <c r="J14184" t="s">
        <v>524</v>
      </c>
      <c r="K14184" t="s">
        <v>33</v>
      </c>
      <c r="L14184" t="s">
        <v>20</v>
      </c>
      <c r="N14184" t="s">
        <v>29</v>
      </c>
    </row>
    <row r="14185" spans="1:14">
      <c r="A14185" s="4" t="str">
        <f t="shared" si="1152"/>
        <v>EXP00414</v>
      </c>
      <c r="B14185" s="3" t="s">
        <v>66</v>
      </c>
      <c r="C14185" s="4" t="str">
        <f t="shared" si="1151"/>
        <v>TCGA-BRCA</v>
      </c>
      <c r="D14185" s="1" t="s">
        <v>493</v>
      </c>
      <c r="E14185" t="s">
        <v>532</v>
      </c>
      <c r="F14185" s="1">
        <v>2</v>
      </c>
      <c r="G14185" s="1" t="s">
        <v>32</v>
      </c>
      <c r="H14185" s="4" t="str">
        <f>HYPERLINK("https://portal.gdc.cancer.gov/cases/34a74805-300c-4773-ab59-2085fcc2e6cc","TCGA-D8-A1X9-01A")</f>
        <v>TCGA-D8-A1X9-01A</v>
      </c>
      <c r="I14185" t="s">
        <v>17</v>
      </c>
      <c r="J14185" t="s">
        <v>524</v>
      </c>
      <c r="K14185" t="s">
        <v>33</v>
      </c>
      <c r="L14185" t="s">
        <v>20</v>
      </c>
      <c r="N14185" t="s">
        <v>29</v>
      </c>
    </row>
    <row r="14186" spans="1:14">
      <c r="A14186" s="4" t="str">
        <f t="shared" si="1152"/>
        <v>EXP00414</v>
      </c>
      <c r="B14186" s="3" t="s">
        <v>66</v>
      </c>
      <c r="C14186" s="4" t="str">
        <f t="shared" si="1151"/>
        <v>TCGA-BRCA</v>
      </c>
      <c r="D14186" s="1" t="s">
        <v>493</v>
      </c>
      <c r="E14186" t="s">
        <v>532</v>
      </c>
      <c r="F14186" s="1">
        <v>2</v>
      </c>
      <c r="G14186" s="1" t="s">
        <v>32</v>
      </c>
      <c r="H14186" s="4" t="str">
        <f>HYPERLINK("https://portal.gdc.cancer.gov/cases/739cb132-51e9-41be-8064-311a13da0d74","TCGA-D8-A1XA-01A")</f>
        <v>TCGA-D8-A1XA-01A</v>
      </c>
      <c r="I14186" t="s">
        <v>17</v>
      </c>
      <c r="J14186" t="s">
        <v>524</v>
      </c>
      <c r="K14186" t="s">
        <v>33</v>
      </c>
      <c r="L14186" t="s">
        <v>20</v>
      </c>
      <c r="N14186" t="s">
        <v>29</v>
      </c>
    </row>
    <row r="14187" spans="1:14">
      <c r="A14187" s="4" t="str">
        <f t="shared" si="1152"/>
        <v>EXP00414</v>
      </c>
      <c r="B14187" s="3" t="s">
        <v>66</v>
      </c>
      <c r="C14187" s="4" t="str">
        <f t="shared" si="1151"/>
        <v>TCGA-BRCA</v>
      </c>
      <c r="D14187" s="1" t="s">
        <v>493</v>
      </c>
      <c r="E14187" t="s">
        <v>532</v>
      </c>
      <c r="F14187" s="1">
        <v>2</v>
      </c>
      <c r="G14187" s="1" t="s">
        <v>32</v>
      </c>
      <c r="H14187" s="4" t="str">
        <f>HYPERLINK("https://portal.gdc.cancer.gov/cases/d2694b09-7844-4496-865c-5d3d8cd03330","TCGA-D8-A1XB-01A")</f>
        <v>TCGA-D8-A1XB-01A</v>
      </c>
      <c r="I14187" t="s">
        <v>17</v>
      </c>
      <c r="J14187" t="s">
        <v>524</v>
      </c>
      <c r="K14187" t="s">
        <v>33</v>
      </c>
      <c r="L14187" t="s">
        <v>20</v>
      </c>
      <c r="N14187" t="s">
        <v>29</v>
      </c>
    </row>
    <row r="14188" spans="1:14">
      <c r="A14188" s="4" t="str">
        <f t="shared" si="1152"/>
        <v>EXP00414</v>
      </c>
      <c r="B14188" s="3" t="s">
        <v>66</v>
      </c>
      <c r="C14188" s="4" t="str">
        <f t="shared" si="1151"/>
        <v>TCGA-BRCA</v>
      </c>
      <c r="D14188" s="1" t="s">
        <v>493</v>
      </c>
      <c r="E14188" t="s">
        <v>532</v>
      </c>
      <c r="F14188" s="1">
        <v>2</v>
      </c>
      <c r="G14188" s="1" t="s">
        <v>32</v>
      </c>
      <c r="H14188" s="4" t="str">
        <f>HYPERLINK("https://portal.gdc.cancer.gov/cases/ee14e049-b891-4dda-a730-8ce99bd93baf","TCGA-D8-A1XC-01A")</f>
        <v>TCGA-D8-A1XC-01A</v>
      </c>
      <c r="I14188" t="s">
        <v>17</v>
      </c>
      <c r="J14188" t="s">
        <v>524</v>
      </c>
      <c r="K14188" t="s">
        <v>33</v>
      </c>
      <c r="L14188" t="s">
        <v>20</v>
      </c>
      <c r="N14188" t="s">
        <v>29</v>
      </c>
    </row>
    <row r="14189" spans="1:14">
      <c r="A14189" s="4" t="str">
        <f t="shared" si="1152"/>
        <v>EXP00414</v>
      </c>
      <c r="B14189" s="3" t="s">
        <v>66</v>
      </c>
      <c r="C14189" s="4" t="str">
        <f t="shared" si="1151"/>
        <v>TCGA-BRCA</v>
      </c>
      <c r="D14189" s="1" t="s">
        <v>493</v>
      </c>
      <c r="E14189" t="s">
        <v>532</v>
      </c>
      <c r="F14189" s="1">
        <v>2</v>
      </c>
      <c r="G14189" s="1" t="s">
        <v>32</v>
      </c>
      <c r="H14189" s="4" t="str">
        <f>HYPERLINK("https://portal.gdc.cancer.gov/cases/c4699748-f01d-4b30-9c74-1ca77fb84ac1","TCGA-D8-A1XD-01A")</f>
        <v>TCGA-D8-A1XD-01A</v>
      </c>
      <c r="I14189" t="s">
        <v>17</v>
      </c>
      <c r="J14189" t="s">
        <v>524</v>
      </c>
      <c r="K14189" t="s">
        <v>33</v>
      </c>
      <c r="L14189" t="s">
        <v>20</v>
      </c>
      <c r="N14189" t="s">
        <v>29</v>
      </c>
    </row>
    <row r="14190" spans="1:14">
      <c r="A14190" s="4" t="str">
        <f t="shared" si="1152"/>
        <v>EXP00414</v>
      </c>
      <c r="B14190" s="3" t="s">
        <v>66</v>
      </c>
      <c r="C14190" s="4" t="str">
        <f t="shared" si="1151"/>
        <v>TCGA-BRCA</v>
      </c>
      <c r="D14190" s="1" t="s">
        <v>493</v>
      </c>
      <c r="E14190" t="s">
        <v>532</v>
      </c>
      <c r="F14190" s="1">
        <v>2</v>
      </c>
      <c r="G14190" s="1" t="s">
        <v>32</v>
      </c>
      <c r="H14190" s="4" t="str">
        <f>HYPERLINK("https://portal.gdc.cancer.gov/cases/6f6afd31-b5dd-48ab-b18f-6390ba18a5f0","TCGA-D8-A1XF-01A")</f>
        <v>TCGA-D8-A1XF-01A</v>
      </c>
      <c r="I14190" t="s">
        <v>17</v>
      </c>
      <c r="J14190" t="s">
        <v>524</v>
      </c>
      <c r="K14190" t="s">
        <v>33</v>
      </c>
      <c r="L14190" t="s">
        <v>20</v>
      </c>
      <c r="N14190" t="s">
        <v>29</v>
      </c>
    </row>
    <row r="14191" spans="1:14">
      <c r="A14191" s="4" t="str">
        <f t="shared" si="1152"/>
        <v>EXP00414</v>
      </c>
      <c r="B14191" s="3" t="s">
        <v>66</v>
      </c>
      <c r="C14191" s="4" t="str">
        <f t="shared" si="1151"/>
        <v>TCGA-BRCA</v>
      </c>
      <c r="D14191" s="1" t="s">
        <v>493</v>
      </c>
      <c r="E14191" t="s">
        <v>532</v>
      </c>
      <c r="F14191" s="1">
        <v>2</v>
      </c>
      <c r="G14191" s="1" t="s">
        <v>32</v>
      </c>
      <c r="H14191" s="4" t="str">
        <f>HYPERLINK("https://portal.gdc.cancer.gov/cases/de531604-bd1a-49df-96c2-6de3ae703f1d","TCGA-D8-A1XG-01A")</f>
        <v>TCGA-D8-A1XG-01A</v>
      </c>
      <c r="I14191" t="s">
        <v>17</v>
      </c>
      <c r="J14191" t="s">
        <v>524</v>
      </c>
      <c r="K14191" t="s">
        <v>33</v>
      </c>
      <c r="L14191" t="s">
        <v>20</v>
      </c>
      <c r="N14191" t="s">
        <v>29</v>
      </c>
    </row>
    <row r="14192" spans="1:14">
      <c r="A14192" s="4" t="str">
        <f t="shared" si="1152"/>
        <v>EXP00414</v>
      </c>
      <c r="B14192" s="3" t="s">
        <v>66</v>
      </c>
      <c r="C14192" s="4" t="str">
        <f t="shared" si="1151"/>
        <v>TCGA-BRCA</v>
      </c>
      <c r="D14192" s="1" t="s">
        <v>493</v>
      </c>
      <c r="E14192" t="s">
        <v>532</v>
      </c>
      <c r="F14192" s="1">
        <v>2</v>
      </c>
      <c r="G14192" s="1" t="s">
        <v>32</v>
      </c>
      <c r="H14192" s="4" t="str">
        <f>HYPERLINK("https://portal.gdc.cancer.gov/cases/cc510968-fe52-4109-a79f-74f216b48c78","TCGA-D8-A1XJ-01A")</f>
        <v>TCGA-D8-A1XJ-01A</v>
      </c>
      <c r="I14192" t="s">
        <v>17</v>
      </c>
      <c r="J14192" t="s">
        <v>524</v>
      </c>
      <c r="K14192" t="s">
        <v>33</v>
      </c>
      <c r="L14192" t="s">
        <v>20</v>
      </c>
      <c r="N14192" t="s">
        <v>29</v>
      </c>
    </row>
    <row r="14193" spans="1:14">
      <c r="A14193" s="4" t="str">
        <f t="shared" si="1152"/>
        <v>EXP00414</v>
      </c>
      <c r="B14193" s="3" t="s">
        <v>66</v>
      </c>
      <c r="C14193" s="4" t="str">
        <f t="shared" si="1151"/>
        <v>TCGA-BRCA</v>
      </c>
      <c r="D14193" s="1" t="s">
        <v>493</v>
      </c>
      <c r="E14193" t="s">
        <v>532</v>
      </c>
      <c r="F14193" s="1">
        <v>2</v>
      </c>
      <c r="G14193" s="1" t="s">
        <v>32</v>
      </c>
      <c r="H14193" s="4" t="str">
        <f>HYPERLINK("https://portal.gdc.cancer.gov/cases/97943d87-fed7-4f14-a0a7-c5bfee64c392","TCGA-D8-A1XK-01A")</f>
        <v>TCGA-D8-A1XK-01A</v>
      </c>
      <c r="I14193" t="s">
        <v>17</v>
      </c>
      <c r="J14193" t="s">
        <v>524</v>
      </c>
      <c r="K14193" t="s">
        <v>33</v>
      </c>
      <c r="L14193" t="s">
        <v>20</v>
      </c>
      <c r="N14193" t="s">
        <v>29</v>
      </c>
    </row>
    <row r="14194" spans="1:14">
      <c r="A14194" s="4" t="str">
        <f t="shared" si="1152"/>
        <v>EXP00414</v>
      </c>
      <c r="B14194" s="3" t="s">
        <v>66</v>
      </c>
      <c r="C14194" s="4" t="str">
        <f t="shared" si="1151"/>
        <v>TCGA-BRCA</v>
      </c>
      <c r="D14194" s="1" t="s">
        <v>493</v>
      </c>
      <c r="E14194" t="s">
        <v>532</v>
      </c>
      <c r="F14194" s="1">
        <v>2</v>
      </c>
      <c r="G14194" s="1" t="s">
        <v>32</v>
      </c>
      <c r="H14194" s="4" t="str">
        <f>HYPERLINK("https://portal.gdc.cancer.gov/cases/2b19a6b4-7a17-4452-b4aa-6fc18adc0c3c","TCGA-D8-A1XL-01A")</f>
        <v>TCGA-D8-A1XL-01A</v>
      </c>
      <c r="I14194" t="s">
        <v>17</v>
      </c>
      <c r="J14194" t="s">
        <v>524</v>
      </c>
      <c r="K14194" t="s">
        <v>33</v>
      </c>
      <c r="L14194" t="s">
        <v>20</v>
      </c>
      <c r="N14194" t="s">
        <v>29</v>
      </c>
    </row>
    <row r="14195" spans="1:14">
      <c r="A14195" s="4" t="str">
        <f t="shared" si="1152"/>
        <v>EXP00414</v>
      </c>
      <c r="B14195" s="3" t="s">
        <v>66</v>
      </c>
      <c r="C14195" s="4" t="str">
        <f t="shared" si="1151"/>
        <v>TCGA-BRCA</v>
      </c>
      <c r="D14195" s="1" t="s">
        <v>493</v>
      </c>
      <c r="E14195" t="s">
        <v>532</v>
      </c>
      <c r="F14195" s="1">
        <v>2</v>
      </c>
      <c r="G14195" s="1" t="s">
        <v>32</v>
      </c>
      <c r="H14195" s="4" t="str">
        <f>HYPERLINK("https://portal.gdc.cancer.gov/cases/92529232-8504-4541-b7e2-4df8f497c413","TCGA-D8-A1XM-01A")</f>
        <v>TCGA-D8-A1XM-01A</v>
      </c>
      <c r="I14195" t="s">
        <v>17</v>
      </c>
      <c r="J14195" t="s">
        <v>524</v>
      </c>
      <c r="K14195" t="s">
        <v>33</v>
      </c>
      <c r="L14195" t="s">
        <v>20</v>
      </c>
      <c r="N14195" t="s">
        <v>29</v>
      </c>
    </row>
    <row r="14196" spans="1:14">
      <c r="A14196" s="4" t="str">
        <f t="shared" si="1152"/>
        <v>EXP00414</v>
      </c>
      <c r="B14196" s="3" t="s">
        <v>66</v>
      </c>
      <c r="C14196" s="4" t="str">
        <f t="shared" si="1151"/>
        <v>TCGA-BRCA</v>
      </c>
      <c r="D14196" s="1" t="s">
        <v>493</v>
      </c>
      <c r="E14196" t="s">
        <v>532</v>
      </c>
      <c r="F14196" s="1">
        <v>2</v>
      </c>
      <c r="G14196" s="1" t="s">
        <v>32</v>
      </c>
      <c r="H14196" s="4" t="str">
        <f>HYPERLINK("https://portal.gdc.cancer.gov/cases/6a186809-3422-41d0-83d2-867145830936","TCGA-D8-A1XO-01A")</f>
        <v>TCGA-D8-A1XO-01A</v>
      </c>
      <c r="I14196" t="s">
        <v>17</v>
      </c>
      <c r="J14196" t="s">
        <v>524</v>
      </c>
      <c r="K14196" t="s">
        <v>33</v>
      </c>
      <c r="L14196" t="s">
        <v>20</v>
      </c>
      <c r="N14196" t="s">
        <v>29</v>
      </c>
    </row>
    <row r="14197" spans="1:14">
      <c r="A14197" s="4" t="str">
        <f t="shared" si="1152"/>
        <v>EXP00414</v>
      </c>
      <c r="B14197" s="3" t="s">
        <v>66</v>
      </c>
      <c r="C14197" s="4" t="str">
        <f t="shared" si="1151"/>
        <v>TCGA-BRCA</v>
      </c>
      <c r="D14197" s="1" t="s">
        <v>493</v>
      </c>
      <c r="E14197" t="s">
        <v>532</v>
      </c>
      <c r="F14197" s="1">
        <v>2</v>
      </c>
      <c r="G14197" s="1" t="s">
        <v>32</v>
      </c>
      <c r="H14197" s="4" t="str">
        <f>HYPERLINK("https://portal.gdc.cancer.gov/cases/3886b4fb-ba22-4a50-b11a-a6893951f170","TCGA-D8-A1XQ-01A")</f>
        <v>TCGA-D8-A1XQ-01A</v>
      </c>
      <c r="I14197" t="s">
        <v>17</v>
      </c>
      <c r="J14197" t="s">
        <v>524</v>
      </c>
      <c r="K14197" t="s">
        <v>33</v>
      </c>
      <c r="L14197" t="s">
        <v>20</v>
      </c>
      <c r="N14197" t="s">
        <v>29</v>
      </c>
    </row>
    <row r="14198" spans="1:14">
      <c r="A14198" s="4" t="str">
        <f t="shared" si="1152"/>
        <v>EXP00414</v>
      </c>
      <c r="B14198" s="3" t="s">
        <v>66</v>
      </c>
      <c r="C14198" s="4" t="str">
        <f t="shared" si="1151"/>
        <v>TCGA-BRCA</v>
      </c>
      <c r="D14198" s="1" t="s">
        <v>493</v>
      </c>
      <c r="E14198" t="s">
        <v>532</v>
      </c>
      <c r="F14198" s="1">
        <v>2</v>
      </c>
      <c r="G14198" s="1" t="s">
        <v>32</v>
      </c>
      <c r="H14198" s="4" t="str">
        <f>HYPERLINK("https://portal.gdc.cancer.gov/cases/70f34c5c-3671-44c8-9469-99f9786efec1","TCGA-D8-A1XR-01A")</f>
        <v>TCGA-D8-A1XR-01A</v>
      </c>
      <c r="I14198" t="s">
        <v>17</v>
      </c>
      <c r="J14198" t="s">
        <v>524</v>
      </c>
      <c r="K14198" t="s">
        <v>33</v>
      </c>
      <c r="L14198" t="s">
        <v>20</v>
      </c>
      <c r="N14198" t="s">
        <v>29</v>
      </c>
    </row>
    <row r="14199" spans="1:14">
      <c r="A14199" s="4" t="str">
        <f t="shared" si="1152"/>
        <v>EXP00414</v>
      </c>
      <c r="B14199" s="3" t="s">
        <v>66</v>
      </c>
      <c r="C14199" s="4" t="str">
        <f t="shared" si="1151"/>
        <v>TCGA-BRCA</v>
      </c>
      <c r="D14199" s="1" t="s">
        <v>493</v>
      </c>
      <c r="E14199" t="s">
        <v>532</v>
      </c>
      <c r="F14199" s="1">
        <v>2</v>
      </c>
      <c r="G14199" s="1" t="s">
        <v>32</v>
      </c>
      <c r="H14199" s="4" t="str">
        <f>HYPERLINK("https://portal.gdc.cancer.gov/cases/1026e0bf-5640-4fa5-b65f-4f11e8e76b18","TCGA-D8-A1XS-01A")</f>
        <v>TCGA-D8-A1XS-01A</v>
      </c>
      <c r="I14199" t="s">
        <v>17</v>
      </c>
      <c r="J14199" t="s">
        <v>524</v>
      </c>
      <c r="K14199" t="s">
        <v>33</v>
      </c>
      <c r="L14199" t="s">
        <v>20</v>
      </c>
      <c r="N14199" t="s">
        <v>29</v>
      </c>
    </row>
    <row r="14200" spans="1:14">
      <c r="A14200" s="4" t="str">
        <f t="shared" si="1152"/>
        <v>EXP00414</v>
      </c>
      <c r="B14200" s="3" t="s">
        <v>66</v>
      </c>
      <c r="C14200" s="4" t="str">
        <f t="shared" si="1151"/>
        <v>TCGA-BRCA</v>
      </c>
      <c r="D14200" s="1" t="s">
        <v>493</v>
      </c>
      <c r="E14200" t="s">
        <v>532</v>
      </c>
      <c r="F14200" s="1">
        <v>2</v>
      </c>
      <c r="G14200" s="1" t="s">
        <v>32</v>
      </c>
      <c r="H14200" s="4" t="str">
        <f>HYPERLINK("https://portal.gdc.cancer.gov/cases/64975923-d032-4182-8565-59fc37127d8d","TCGA-D8-A1XT-01A")</f>
        <v>TCGA-D8-A1XT-01A</v>
      </c>
      <c r="I14200" t="s">
        <v>17</v>
      </c>
      <c r="J14200" t="s">
        <v>524</v>
      </c>
      <c r="K14200" t="s">
        <v>33</v>
      </c>
      <c r="L14200" t="s">
        <v>20</v>
      </c>
      <c r="N14200" t="s">
        <v>29</v>
      </c>
    </row>
    <row r="14201" spans="1:14">
      <c r="A14201" s="4" t="str">
        <f t="shared" si="1152"/>
        <v>EXP00414</v>
      </c>
      <c r="B14201" s="3" t="s">
        <v>66</v>
      </c>
      <c r="C14201" s="4" t="str">
        <f t="shared" si="1151"/>
        <v>TCGA-BRCA</v>
      </c>
      <c r="D14201" s="1" t="s">
        <v>493</v>
      </c>
      <c r="E14201" t="s">
        <v>532</v>
      </c>
      <c r="F14201" s="1">
        <v>2</v>
      </c>
      <c r="G14201" s="1" t="s">
        <v>32</v>
      </c>
      <c r="H14201" s="4" t="str">
        <f>HYPERLINK("https://portal.gdc.cancer.gov/cases/332148f5-f070-4c20-8eb1-4d8c0673aa52","TCGA-D8-A1XU-01A")</f>
        <v>TCGA-D8-A1XU-01A</v>
      </c>
      <c r="I14201" t="s">
        <v>17</v>
      </c>
      <c r="J14201" t="s">
        <v>524</v>
      </c>
      <c r="K14201" t="s">
        <v>33</v>
      </c>
      <c r="L14201" t="s">
        <v>20</v>
      </c>
      <c r="N14201" t="s">
        <v>29</v>
      </c>
    </row>
    <row r="14202" spans="1:14">
      <c r="A14202" s="4" t="str">
        <f t="shared" si="1152"/>
        <v>EXP00414</v>
      </c>
      <c r="B14202" s="3" t="s">
        <v>66</v>
      </c>
      <c r="C14202" s="4" t="str">
        <f t="shared" ref="C14202:C14265" si="1153">HYPERLINK("https://portal.gdc.cancer.gov/projects/TCGA-BRCA","TCGA-BRCA")</f>
        <v>TCGA-BRCA</v>
      </c>
      <c r="D14202" s="1" t="s">
        <v>493</v>
      </c>
      <c r="E14202" t="s">
        <v>532</v>
      </c>
      <c r="F14202" s="1">
        <v>2</v>
      </c>
      <c r="G14202" s="1" t="s">
        <v>32</v>
      </c>
      <c r="H14202" s="4" t="str">
        <f>HYPERLINK("https://portal.gdc.cancer.gov/cases/87b85935-a058-44ad-8fb6-8511130eaffe","TCGA-D8-A1XV-01A")</f>
        <v>TCGA-D8-A1XV-01A</v>
      </c>
      <c r="I14202" t="s">
        <v>17</v>
      </c>
      <c r="J14202" t="s">
        <v>524</v>
      </c>
      <c r="K14202" t="s">
        <v>33</v>
      </c>
      <c r="L14202" t="s">
        <v>20</v>
      </c>
      <c r="N14202" t="s">
        <v>29</v>
      </c>
    </row>
    <row r="14203" spans="1:14">
      <c r="A14203" s="4" t="str">
        <f t="shared" si="1152"/>
        <v>EXP00414</v>
      </c>
      <c r="B14203" s="3" t="s">
        <v>66</v>
      </c>
      <c r="C14203" s="4" t="str">
        <f t="shared" si="1153"/>
        <v>TCGA-BRCA</v>
      </c>
      <c r="D14203" s="1" t="s">
        <v>493</v>
      </c>
      <c r="E14203" t="s">
        <v>532</v>
      </c>
      <c r="F14203" s="1">
        <v>2</v>
      </c>
      <c r="G14203" s="1" t="s">
        <v>32</v>
      </c>
      <c r="H14203" s="4" t="str">
        <f>HYPERLINK("https://portal.gdc.cancer.gov/cases/887b9e5b-99db-44ac-9c30-c0dc6877b41c","TCGA-D8-A1XW-01A")</f>
        <v>TCGA-D8-A1XW-01A</v>
      </c>
      <c r="I14203" t="s">
        <v>17</v>
      </c>
      <c r="J14203" t="s">
        <v>524</v>
      </c>
      <c r="K14203" t="s">
        <v>33</v>
      </c>
      <c r="L14203" t="s">
        <v>20</v>
      </c>
      <c r="N14203" t="s">
        <v>29</v>
      </c>
    </row>
    <row r="14204" spans="1:14">
      <c r="A14204" s="4" t="str">
        <f t="shared" si="1152"/>
        <v>EXP00414</v>
      </c>
      <c r="B14204" s="3" t="s">
        <v>66</v>
      </c>
      <c r="C14204" s="4" t="str">
        <f t="shared" si="1153"/>
        <v>TCGA-BRCA</v>
      </c>
      <c r="D14204" s="1" t="s">
        <v>493</v>
      </c>
      <c r="E14204" t="s">
        <v>532</v>
      </c>
      <c r="F14204" s="1">
        <v>2</v>
      </c>
      <c r="G14204" s="1" t="s">
        <v>32</v>
      </c>
      <c r="H14204" s="4" t="str">
        <f>HYPERLINK("https://portal.gdc.cancer.gov/cases/0130d616-885e-4a6c-9d03-2f17dd692a05","TCGA-D8-A1XY-01A")</f>
        <v>TCGA-D8-A1XY-01A</v>
      </c>
      <c r="I14204" t="s">
        <v>17</v>
      </c>
      <c r="J14204" t="s">
        <v>524</v>
      </c>
      <c r="K14204" t="s">
        <v>33</v>
      </c>
      <c r="L14204" t="s">
        <v>20</v>
      </c>
      <c r="N14204" t="s">
        <v>29</v>
      </c>
    </row>
    <row r="14205" spans="1:14">
      <c r="A14205" s="4" t="str">
        <f t="shared" si="1152"/>
        <v>EXP00414</v>
      </c>
      <c r="B14205" s="3" t="s">
        <v>66</v>
      </c>
      <c r="C14205" s="4" t="str">
        <f t="shared" si="1153"/>
        <v>TCGA-BRCA</v>
      </c>
      <c r="D14205" s="1" t="s">
        <v>493</v>
      </c>
      <c r="E14205" t="s">
        <v>532</v>
      </c>
      <c r="F14205" s="1">
        <v>2</v>
      </c>
      <c r="G14205" s="1" t="s">
        <v>32</v>
      </c>
      <c r="H14205" s="4" t="str">
        <f>HYPERLINK("https://portal.gdc.cancer.gov/cases/2c90d5e3-ac8c-4c86-a06f-42ccc064eb49","TCGA-D8-A1XZ-01A")</f>
        <v>TCGA-D8-A1XZ-01A</v>
      </c>
      <c r="I14205" t="s">
        <v>17</v>
      </c>
      <c r="J14205" t="s">
        <v>524</v>
      </c>
      <c r="K14205" t="s">
        <v>33</v>
      </c>
      <c r="L14205" t="s">
        <v>20</v>
      </c>
      <c r="N14205" t="s">
        <v>29</v>
      </c>
    </row>
    <row r="14206" spans="1:14">
      <c r="A14206" s="4" t="str">
        <f t="shared" si="1152"/>
        <v>EXP00414</v>
      </c>
      <c r="B14206" s="3" t="s">
        <v>66</v>
      </c>
      <c r="C14206" s="4" t="str">
        <f t="shared" si="1153"/>
        <v>TCGA-BRCA</v>
      </c>
      <c r="D14206" s="1" t="s">
        <v>493</v>
      </c>
      <c r="E14206" t="s">
        <v>532</v>
      </c>
      <c r="F14206" s="1">
        <v>2</v>
      </c>
      <c r="G14206" s="1" t="s">
        <v>32</v>
      </c>
      <c r="H14206" s="4" t="str">
        <f>HYPERLINK("https://portal.gdc.cancer.gov/cases/ced2c048-b047-43ff-b0e7-cd7ad480850c","TCGA-D8-A1Y0-01A")</f>
        <v>TCGA-D8-A1Y0-01A</v>
      </c>
      <c r="I14206" t="s">
        <v>17</v>
      </c>
      <c r="J14206" t="s">
        <v>524</v>
      </c>
      <c r="K14206" t="s">
        <v>33</v>
      </c>
      <c r="L14206" t="s">
        <v>20</v>
      </c>
      <c r="N14206" t="s">
        <v>29</v>
      </c>
    </row>
    <row r="14207" spans="1:14">
      <c r="A14207" s="4" t="str">
        <f t="shared" si="1152"/>
        <v>EXP00414</v>
      </c>
      <c r="B14207" s="3" t="s">
        <v>66</v>
      </c>
      <c r="C14207" s="4" t="str">
        <f t="shared" si="1153"/>
        <v>TCGA-BRCA</v>
      </c>
      <c r="D14207" s="1" t="s">
        <v>493</v>
      </c>
      <c r="E14207" t="s">
        <v>532</v>
      </c>
      <c r="F14207" s="1">
        <v>2</v>
      </c>
      <c r="G14207" s="1" t="s">
        <v>32</v>
      </c>
      <c r="H14207" s="4" t="str">
        <f>HYPERLINK("https://portal.gdc.cancer.gov/cases/38a631a1-6875-4216-a335-ee93c90a86d6","TCGA-D8-A1Y1-01A")</f>
        <v>TCGA-D8-A1Y1-01A</v>
      </c>
      <c r="I14207" t="s">
        <v>17</v>
      </c>
      <c r="J14207" t="s">
        <v>524</v>
      </c>
      <c r="K14207" t="s">
        <v>33</v>
      </c>
      <c r="L14207" t="s">
        <v>20</v>
      </c>
      <c r="N14207" t="s">
        <v>29</v>
      </c>
    </row>
    <row r="14208" spans="1:14">
      <c r="A14208" s="4" t="str">
        <f t="shared" si="1152"/>
        <v>EXP00414</v>
      </c>
      <c r="B14208" s="3" t="s">
        <v>66</v>
      </c>
      <c r="C14208" s="4" t="str">
        <f t="shared" si="1153"/>
        <v>TCGA-BRCA</v>
      </c>
      <c r="D14208" s="1" t="s">
        <v>493</v>
      </c>
      <c r="E14208" t="s">
        <v>532</v>
      </c>
      <c r="F14208" s="1">
        <v>2</v>
      </c>
      <c r="G14208" s="1" t="s">
        <v>32</v>
      </c>
      <c r="H14208" s="4" t="str">
        <f>HYPERLINK("https://portal.gdc.cancer.gov/cases/c7d7a770-23c0-4310-ab48-1f6152dc2849","TCGA-D8-A1Y2-01A")</f>
        <v>TCGA-D8-A1Y2-01A</v>
      </c>
      <c r="I14208" t="s">
        <v>17</v>
      </c>
      <c r="J14208" t="s">
        <v>524</v>
      </c>
      <c r="K14208" t="s">
        <v>33</v>
      </c>
      <c r="L14208" t="s">
        <v>20</v>
      </c>
      <c r="N14208" t="s">
        <v>29</v>
      </c>
    </row>
    <row r="14209" spans="1:14">
      <c r="A14209" s="4" t="str">
        <f t="shared" si="1152"/>
        <v>EXP00414</v>
      </c>
      <c r="B14209" s="3" t="s">
        <v>66</v>
      </c>
      <c r="C14209" s="4" t="str">
        <f t="shared" si="1153"/>
        <v>TCGA-BRCA</v>
      </c>
      <c r="D14209" s="1" t="s">
        <v>493</v>
      </c>
      <c r="E14209" t="s">
        <v>532</v>
      </c>
      <c r="F14209" s="1">
        <v>2</v>
      </c>
      <c r="G14209" s="1" t="s">
        <v>32</v>
      </c>
      <c r="H14209" s="4" t="str">
        <f>HYPERLINK("https://portal.gdc.cancer.gov/cases/632984bd-dc81-42b6-b024-476cfd0bb2ae","TCGA-D8-A1Y3-01A")</f>
        <v>TCGA-D8-A1Y3-01A</v>
      </c>
      <c r="I14209" t="s">
        <v>17</v>
      </c>
      <c r="J14209" t="s">
        <v>524</v>
      </c>
      <c r="K14209" t="s">
        <v>33</v>
      </c>
      <c r="L14209" t="s">
        <v>20</v>
      </c>
      <c r="N14209" t="s">
        <v>29</v>
      </c>
    </row>
    <row r="14210" spans="1:14">
      <c r="A14210" s="4" t="str">
        <f t="shared" si="1152"/>
        <v>EXP00414</v>
      </c>
      <c r="B14210" s="3" t="s">
        <v>66</v>
      </c>
      <c r="C14210" s="4" t="str">
        <f t="shared" si="1153"/>
        <v>TCGA-BRCA</v>
      </c>
      <c r="D14210" s="1" t="s">
        <v>493</v>
      </c>
      <c r="E14210" t="s">
        <v>532</v>
      </c>
      <c r="F14210" s="1">
        <v>2</v>
      </c>
      <c r="G14210" s="1" t="s">
        <v>32</v>
      </c>
      <c r="H14210" s="4" t="str">
        <f>HYPERLINK("https://portal.gdc.cancer.gov/cases/680f23a9-fcce-493e-b908-27c1ad202e4c","TCGA-D8-A27E-01A")</f>
        <v>TCGA-D8-A27E-01A</v>
      </c>
      <c r="I14210" t="s">
        <v>17</v>
      </c>
      <c r="J14210" t="s">
        <v>524</v>
      </c>
      <c r="K14210" t="s">
        <v>33</v>
      </c>
      <c r="L14210" t="s">
        <v>20</v>
      </c>
      <c r="N14210" t="s">
        <v>29</v>
      </c>
    </row>
    <row r="14211" spans="1:14">
      <c r="A14211" s="4" t="str">
        <f t="shared" ref="A14211:A14274" si="1154">HYPERLINK("http://hcmdb.i-sanger.com/experiment/details/experiment_id/EXP00414","EXP00414")</f>
        <v>EXP00414</v>
      </c>
      <c r="B14211" s="3" t="s">
        <v>66</v>
      </c>
      <c r="C14211" s="4" t="str">
        <f t="shared" si="1153"/>
        <v>TCGA-BRCA</v>
      </c>
      <c r="D14211" s="1" t="s">
        <v>493</v>
      </c>
      <c r="E14211" t="s">
        <v>532</v>
      </c>
      <c r="F14211" s="1">
        <v>2</v>
      </c>
      <c r="G14211" s="1" t="s">
        <v>32</v>
      </c>
      <c r="H14211" s="4" t="str">
        <f>HYPERLINK("https://portal.gdc.cancer.gov/cases/1549dc64-3dab-43fc-96e9-b07d520957e1","TCGA-D8-A27F-01A")</f>
        <v>TCGA-D8-A27F-01A</v>
      </c>
      <c r="I14211" t="s">
        <v>17</v>
      </c>
      <c r="J14211" t="s">
        <v>524</v>
      </c>
      <c r="K14211" t="s">
        <v>33</v>
      </c>
      <c r="L14211" t="s">
        <v>20</v>
      </c>
      <c r="N14211" t="s">
        <v>29</v>
      </c>
    </row>
    <row r="14212" spans="1:14">
      <c r="A14212" s="4" t="str">
        <f t="shared" si="1154"/>
        <v>EXP00414</v>
      </c>
      <c r="B14212" s="3" t="s">
        <v>66</v>
      </c>
      <c r="C14212" s="4" t="str">
        <f t="shared" si="1153"/>
        <v>TCGA-BRCA</v>
      </c>
      <c r="D14212" s="1" t="s">
        <v>493</v>
      </c>
      <c r="E14212" t="s">
        <v>532</v>
      </c>
      <c r="F14212" s="1">
        <v>2</v>
      </c>
      <c r="G14212" s="1" t="s">
        <v>32</v>
      </c>
      <c r="H14212" s="4" t="str">
        <f>HYPERLINK("https://portal.gdc.cancer.gov/cases/6f6e7356-3521-4674-8eec-ad01340d4b8e","TCGA-D8-A27G-01A")</f>
        <v>TCGA-D8-A27G-01A</v>
      </c>
      <c r="I14212" t="s">
        <v>17</v>
      </c>
      <c r="J14212" t="s">
        <v>524</v>
      </c>
      <c r="K14212" t="s">
        <v>33</v>
      </c>
      <c r="L14212" t="s">
        <v>20</v>
      </c>
      <c r="N14212" t="s">
        <v>29</v>
      </c>
    </row>
    <row r="14213" spans="1:14">
      <c r="A14213" s="4" t="str">
        <f t="shared" si="1154"/>
        <v>EXP00414</v>
      </c>
      <c r="B14213" s="3" t="s">
        <v>66</v>
      </c>
      <c r="C14213" s="4" t="str">
        <f t="shared" si="1153"/>
        <v>TCGA-BRCA</v>
      </c>
      <c r="D14213" s="1" t="s">
        <v>493</v>
      </c>
      <c r="E14213" t="s">
        <v>532</v>
      </c>
      <c r="F14213" s="1">
        <v>2</v>
      </c>
      <c r="G14213" s="1" t="s">
        <v>32</v>
      </c>
      <c r="H14213" s="4" t="str">
        <f>HYPERLINK("https://portal.gdc.cancer.gov/cases/0dca98b0-f43e-45b6-9a02-00092c78678c","TCGA-D8-A27H-01A")</f>
        <v>TCGA-D8-A27H-01A</v>
      </c>
      <c r="I14213" t="s">
        <v>17</v>
      </c>
      <c r="J14213" t="s">
        <v>524</v>
      </c>
      <c r="K14213" t="s">
        <v>33</v>
      </c>
      <c r="L14213" t="s">
        <v>20</v>
      </c>
      <c r="N14213" t="s">
        <v>29</v>
      </c>
    </row>
    <row r="14214" spans="1:14">
      <c r="A14214" s="4" t="str">
        <f t="shared" si="1154"/>
        <v>EXP00414</v>
      </c>
      <c r="B14214" s="3" t="s">
        <v>66</v>
      </c>
      <c r="C14214" s="4" t="str">
        <f t="shared" si="1153"/>
        <v>TCGA-BRCA</v>
      </c>
      <c r="D14214" s="1" t="s">
        <v>493</v>
      </c>
      <c r="E14214" t="s">
        <v>532</v>
      </c>
      <c r="F14214" s="1">
        <v>2</v>
      </c>
      <c r="G14214" s="1" t="s">
        <v>32</v>
      </c>
      <c r="H14214" s="4" t="str">
        <f>HYPERLINK("https://portal.gdc.cancer.gov/cases/9c55032f-4db7-4026-ae83-8d060dd8e3fe","TCGA-D8-A27I-01A")</f>
        <v>TCGA-D8-A27I-01A</v>
      </c>
      <c r="I14214" t="s">
        <v>17</v>
      </c>
      <c r="J14214" t="s">
        <v>524</v>
      </c>
      <c r="K14214" t="s">
        <v>33</v>
      </c>
      <c r="L14214" t="s">
        <v>20</v>
      </c>
      <c r="N14214" t="s">
        <v>29</v>
      </c>
    </row>
    <row r="14215" spans="1:14">
      <c r="A14215" s="4" t="str">
        <f t="shared" si="1154"/>
        <v>EXP00414</v>
      </c>
      <c r="B14215" s="3" t="s">
        <v>66</v>
      </c>
      <c r="C14215" s="4" t="str">
        <f t="shared" si="1153"/>
        <v>TCGA-BRCA</v>
      </c>
      <c r="D14215" s="1" t="s">
        <v>493</v>
      </c>
      <c r="E14215" t="s">
        <v>532</v>
      </c>
      <c r="F14215" s="1">
        <v>2</v>
      </c>
      <c r="G14215" s="1" t="s">
        <v>32</v>
      </c>
      <c r="H14215" s="4" t="str">
        <f>HYPERLINK("https://portal.gdc.cancer.gov/cases/7f97971b-2818-4e4b-9c9e-7c0246f9484c","TCGA-D8-A27K-01A")</f>
        <v>TCGA-D8-A27K-01A</v>
      </c>
      <c r="I14215" t="s">
        <v>17</v>
      </c>
      <c r="J14215" t="s">
        <v>524</v>
      </c>
      <c r="K14215" t="s">
        <v>33</v>
      </c>
      <c r="L14215" t="s">
        <v>20</v>
      </c>
      <c r="N14215" t="s">
        <v>29</v>
      </c>
    </row>
    <row r="14216" spans="1:14">
      <c r="A14216" s="4" t="str">
        <f t="shared" si="1154"/>
        <v>EXP00414</v>
      </c>
      <c r="B14216" s="3" t="s">
        <v>66</v>
      </c>
      <c r="C14216" s="4" t="str">
        <f t="shared" si="1153"/>
        <v>TCGA-BRCA</v>
      </c>
      <c r="D14216" s="1" t="s">
        <v>493</v>
      </c>
      <c r="E14216" t="s">
        <v>532</v>
      </c>
      <c r="F14216" s="1">
        <v>2</v>
      </c>
      <c r="G14216" s="1" t="s">
        <v>32</v>
      </c>
      <c r="H14216" s="4" t="str">
        <f>HYPERLINK("https://portal.gdc.cancer.gov/cases/6020d1b4-ee20-4cc9-82a3-340b5e3122f1","TCGA-D8-A27L-01A")</f>
        <v>TCGA-D8-A27L-01A</v>
      </c>
      <c r="I14216" t="s">
        <v>17</v>
      </c>
      <c r="J14216" t="s">
        <v>524</v>
      </c>
      <c r="K14216" t="s">
        <v>33</v>
      </c>
      <c r="L14216" t="s">
        <v>20</v>
      </c>
      <c r="N14216" t="s">
        <v>29</v>
      </c>
    </row>
    <row r="14217" spans="1:14">
      <c r="A14217" s="4" t="str">
        <f t="shared" si="1154"/>
        <v>EXP00414</v>
      </c>
      <c r="B14217" s="3" t="s">
        <v>66</v>
      </c>
      <c r="C14217" s="4" t="str">
        <f t="shared" si="1153"/>
        <v>TCGA-BRCA</v>
      </c>
      <c r="D14217" s="1" t="s">
        <v>493</v>
      </c>
      <c r="E14217" t="s">
        <v>532</v>
      </c>
      <c r="F14217" s="1">
        <v>2</v>
      </c>
      <c r="G14217" s="1" t="s">
        <v>32</v>
      </c>
      <c r="H14217" s="4" t="str">
        <f>HYPERLINK("https://portal.gdc.cancer.gov/cases/ae65baeb-6b78-492a-8c63-bb7e93e83dc2","TCGA-D8-A27M-01A")</f>
        <v>TCGA-D8-A27M-01A</v>
      </c>
      <c r="I14217" t="s">
        <v>17</v>
      </c>
      <c r="J14217" t="s">
        <v>524</v>
      </c>
      <c r="K14217" t="s">
        <v>33</v>
      </c>
      <c r="L14217" t="s">
        <v>20</v>
      </c>
      <c r="N14217" t="s">
        <v>29</v>
      </c>
    </row>
    <row r="14218" spans="1:14">
      <c r="A14218" s="4" t="str">
        <f t="shared" si="1154"/>
        <v>EXP00414</v>
      </c>
      <c r="B14218" s="3" t="s">
        <v>66</v>
      </c>
      <c r="C14218" s="4" t="str">
        <f t="shared" si="1153"/>
        <v>TCGA-BRCA</v>
      </c>
      <c r="D14218" s="1" t="s">
        <v>493</v>
      </c>
      <c r="E14218" t="s">
        <v>532</v>
      </c>
      <c r="F14218" s="1">
        <v>2</v>
      </c>
      <c r="G14218" s="1" t="s">
        <v>32</v>
      </c>
      <c r="H14218" s="4" t="str">
        <f>HYPERLINK("https://portal.gdc.cancer.gov/cases/d5be2ab3-f748-480d-954b-385cf01b4c81","TCGA-D8-A27N-01A")</f>
        <v>TCGA-D8-A27N-01A</v>
      </c>
      <c r="I14218" t="s">
        <v>17</v>
      </c>
      <c r="J14218" t="s">
        <v>524</v>
      </c>
      <c r="K14218" t="s">
        <v>33</v>
      </c>
      <c r="L14218" t="s">
        <v>20</v>
      </c>
      <c r="N14218" t="s">
        <v>29</v>
      </c>
    </row>
    <row r="14219" spans="1:14">
      <c r="A14219" s="4" t="str">
        <f t="shared" si="1154"/>
        <v>EXP00414</v>
      </c>
      <c r="B14219" s="3" t="s">
        <v>66</v>
      </c>
      <c r="C14219" s="4" t="str">
        <f t="shared" si="1153"/>
        <v>TCGA-BRCA</v>
      </c>
      <c r="D14219" s="1" t="s">
        <v>493</v>
      </c>
      <c r="E14219" t="s">
        <v>532</v>
      </c>
      <c r="F14219" s="1">
        <v>2</v>
      </c>
      <c r="G14219" s="1" t="s">
        <v>32</v>
      </c>
      <c r="H14219" s="4" t="str">
        <f>HYPERLINK("https://portal.gdc.cancer.gov/cases/c54d5507-bba5-4a1e-8885-3c3b1eed13c1","TCGA-D8-A27P-01A")</f>
        <v>TCGA-D8-A27P-01A</v>
      </c>
      <c r="I14219" t="s">
        <v>17</v>
      </c>
      <c r="J14219" t="s">
        <v>524</v>
      </c>
      <c r="K14219" t="s">
        <v>33</v>
      </c>
      <c r="L14219" t="s">
        <v>20</v>
      </c>
      <c r="N14219" t="s">
        <v>29</v>
      </c>
    </row>
    <row r="14220" spans="1:14">
      <c r="A14220" s="4" t="str">
        <f t="shared" si="1154"/>
        <v>EXP00414</v>
      </c>
      <c r="B14220" s="3" t="s">
        <v>66</v>
      </c>
      <c r="C14220" s="4" t="str">
        <f t="shared" si="1153"/>
        <v>TCGA-BRCA</v>
      </c>
      <c r="D14220" s="1" t="s">
        <v>493</v>
      </c>
      <c r="E14220" t="s">
        <v>532</v>
      </c>
      <c r="F14220" s="1">
        <v>2</v>
      </c>
      <c r="G14220" s="1" t="s">
        <v>32</v>
      </c>
      <c r="H14220" s="4" t="str">
        <f>HYPERLINK("https://portal.gdc.cancer.gov/cases/0b23b5fe-6c7e-4297-bc55-f93fcb830ac4","TCGA-D8-A27R-01A")</f>
        <v>TCGA-D8-A27R-01A</v>
      </c>
      <c r="I14220" t="s">
        <v>17</v>
      </c>
      <c r="J14220" t="s">
        <v>524</v>
      </c>
      <c r="K14220" t="s">
        <v>33</v>
      </c>
      <c r="L14220" t="s">
        <v>20</v>
      </c>
      <c r="N14220" t="s">
        <v>29</v>
      </c>
    </row>
    <row r="14221" spans="1:14">
      <c r="A14221" s="4" t="str">
        <f t="shared" si="1154"/>
        <v>EXP00414</v>
      </c>
      <c r="B14221" s="3" t="s">
        <v>66</v>
      </c>
      <c r="C14221" s="4" t="str">
        <f t="shared" si="1153"/>
        <v>TCGA-BRCA</v>
      </c>
      <c r="D14221" s="1" t="s">
        <v>493</v>
      </c>
      <c r="E14221" t="s">
        <v>532</v>
      </c>
      <c r="F14221" s="1">
        <v>2</v>
      </c>
      <c r="G14221" s="1" t="s">
        <v>32</v>
      </c>
      <c r="H14221" s="4" t="str">
        <f>HYPERLINK("https://portal.gdc.cancer.gov/cases/27c1c094-690b-4973-8900-a797ad88f98c","TCGA-D8-A27T-01A")</f>
        <v>TCGA-D8-A27T-01A</v>
      </c>
      <c r="I14221" t="s">
        <v>17</v>
      </c>
      <c r="J14221" t="s">
        <v>524</v>
      </c>
      <c r="K14221" t="s">
        <v>33</v>
      </c>
      <c r="L14221" t="s">
        <v>20</v>
      </c>
      <c r="N14221" t="s">
        <v>29</v>
      </c>
    </row>
    <row r="14222" spans="1:14">
      <c r="A14222" s="4" t="str">
        <f t="shared" si="1154"/>
        <v>EXP00414</v>
      </c>
      <c r="B14222" s="3" t="s">
        <v>66</v>
      </c>
      <c r="C14222" s="4" t="str">
        <f t="shared" si="1153"/>
        <v>TCGA-BRCA</v>
      </c>
      <c r="D14222" s="1" t="s">
        <v>493</v>
      </c>
      <c r="E14222" t="s">
        <v>532</v>
      </c>
      <c r="F14222" s="1">
        <v>2</v>
      </c>
      <c r="G14222" s="1" t="s">
        <v>32</v>
      </c>
      <c r="H14222" s="4" t="str">
        <f>HYPERLINK("https://portal.gdc.cancer.gov/cases/ad6d26ab-6568-40db-bfb0-394d40e801cf","TCGA-D8-A27V-01A")</f>
        <v>TCGA-D8-A27V-01A</v>
      </c>
      <c r="I14222" t="s">
        <v>17</v>
      </c>
      <c r="J14222" t="s">
        <v>524</v>
      </c>
      <c r="K14222" t="s">
        <v>33</v>
      </c>
      <c r="L14222" t="s">
        <v>20</v>
      </c>
      <c r="N14222" t="s">
        <v>29</v>
      </c>
    </row>
    <row r="14223" spans="1:14">
      <c r="A14223" s="4" t="str">
        <f t="shared" si="1154"/>
        <v>EXP00414</v>
      </c>
      <c r="B14223" s="3" t="s">
        <v>66</v>
      </c>
      <c r="C14223" s="4" t="str">
        <f t="shared" si="1153"/>
        <v>TCGA-BRCA</v>
      </c>
      <c r="D14223" s="1" t="s">
        <v>493</v>
      </c>
      <c r="E14223" t="s">
        <v>532</v>
      </c>
      <c r="F14223" s="1">
        <v>2</v>
      </c>
      <c r="G14223" s="1" t="s">
        <v>32</v>
      </c>
      <c r="H14223" s="4" t="str">
        <f>HYPERLINK("https://portal.gdc.cancer.gov/cases/bfa3dbc0-361c-400e-8c10-0aca7049fce9","TCGA-D8-A27W-01A")</f>
        <v>TCGA-D8-A27W-01A</v>
      </c>
      <c r="I14223" t="s">
        <v>17</v>
      </c>
      <c r="J14223" t="s">
        <v>524</v>
      </c>
      <c r="K14223" t="s">
        <v>33</v>
      </c>
      <c r="L14223" t="s">
        <v>20</v>
      </c>
      <c r="N14223" t="s">
        <v>29</v>
      </c>
    </row>
    <row r="14224" spans="1:14">
      <c r="A14224" s="4" t="str">
        <f t="shared" si="1154"/>
        <v>EXP00414</v>
      </c>
      <c r="B14224" s="3" t="s">
        <v>66</v>
      </c>
      <c r="C14224" s="4" t="str">
        <f t="shared" si="1153"/>
        <v>TCGA-BRCA</v>
      </c>
      <c r="D14224" s="1" t="s">
        <v>493</v>
      </c>
      <c r="E14224" t="s">
        <v>532</v>
      </c>
      <c r="F14224" s="1">
        <v>2</v>
      </c>
      <c r="G14224" s="1" t="s">
        <v>32</v>
      </c>
      <c r="H14224" s="4" t="str">
        <f>HYPERLINK("https://portal.gdc.cancer.gov/cases/77e25ae8-82ec-4dea-8e62-1176f27e47ba","TCGA-D8-A3Z5-01A")</f>
        <v>TCGA-D8-A3Z5-01A</v>
      </c>
      <c r="I14224" t="s">
        <v>17</v>
      </c>
      <c r="J14224" t="s">
        <v>524</v>
      </c>
      <c r="K14224" t="s">
        <v>33</v>
      </c>
      <c r="L14224" t="s">
        <v>20</v>
      </c>
      <c r="N14224" t="s">
        <v>29</v>
      </c>
    </row>
    <row r="14225" spans="1:14">
      <c r="A14225" s="4" t="str">
        <f t="shared" si="1154"/>
        <v>EXP00414</v>
      </c>
      <c r="B14225" s="3" t="s">
        <v>66</v>
      </c>
      <c r="C14225" s="4" t="str">
        <f t="shared" si="1153"/>
        <v>TCGA-BRCA</v>
      </c>
      <c r="D14225" s="1" t="s">
        <v>493</v>
      </c>
      <c r="E14225" t="s">
        <v>532</v>
      </c>
      <c r="F14225" s="1">
        <v>2</v>
      </c>
      <c r="G14225" s="1" t="s">
        <v>32</v>
      </c>
      <c r="H14225" s="4" t="str">
        <f>HYPERLINK("https://portal.gdc.cancer.gov/cases/a6e5f869-1182-4f81-b4bb-cf55261c8f3f","TCGA-D8-A3Z6-01A")</f>
        <v>TCGA-D8-A3Z6-01A</v>
      </c>
      <c r="I14225" t="s">
        <v>17</v>
      </c>
      <c r="J14225" t="s">
        <v>524</v>
      </c>
      <c r="K14225" t="s">
        <v>33</v>
      </c>
      <c r="L14225" t="s">
        <v>20</v>
      </c>
      <c r="N14225" t="s">
        <v>29</v>
      </c>
    </row>
    <row r="14226" spans="1:14">
      <c r="A14226" s="4" t="str">
        <f t="shared" si="1154"/>
        <v>EXP00414</v>
      </c>
      <c r="B14226" s="3" t="s">
        <v>66</v>
      </c>
      <c r="C14226" s="4" t="str">
        <f t="shared" si="1153"/>
        <v>TCGA-BRCA</v>
      </c>
      <c r="D14226" s="1" t="s">
        <v>493</v>
      </c>
      <c r="E14226" t="s">
        <v>532</v>
      </c>
      <c r="F14226" s="1">
        <v>2</v>
      </c>
      <c r="G14226" s="1" t="s">
        <v>32</v>
      </c>
      <c r="H14226" s="4" t="str">
        <f>HYPERLINK("https://portal.gdc.cancer.gov/cases/80419545-4e5d-4baf-8948-f84589b5ef3e","TCGA-D8-A4Z1-01A")</f>
        <v>TCGA-D8-A4Z1-01A</v>
      </c>
      <c r="I14226" t="s">
        <v>17</v>
      </c>
      <c r="J14226" t="s">
        <v>524</v>
      </c>
      <c r="K14226" t="s">
        <v>33</v>
      </c>
      <c r="L14226" t="s">
        <v>20</v>
      </c>
      <c r="N14226" t="s">
        <v>29</v>
      </c>
    </row>
    <row r="14227" spans="1:14">
      <c r="A14227" s="4" t="str">
        <f t="shared" si="1154"/>
        <v>EXP00414</v>
      </c>
      <c r="B14227" s="3" t="s">
        <v>66</v>
      </c>
      <c r="C14227" s="4" t="str">
        <f t="shared" si="1153"/>
        <v>TCGA-BRCA</v>
      </c>
      <c r="D14227" s="1" t="s">
        <v>493</v>
      </c>
      <c r="E14227" t="s">
        <v>532</v>
      </c>
      <c r="F14227" s="1">
        <v>2</v>
      </c>
      <c r="G14227" s="1" t="s">
        <v>32</v>
      </c>
      <c r="H14227" s="4" t="str">
        <f>HYPERLINK("https://portal.gdc.cancer.gov/cases/96f02be7-f2df-483c-8968-a5bd2d887206","TCGA-D8-A73U-01A")</f>
        <v>TCGA-D8-A73U-01A</v>
      </c>
      <c r="I14227" t="s">
        <v>17</v>
      </c>
      <c r="J14227" t="s">
        <v>524</v>
      </c>
      <c r="K14227" t="s">
        <v>33</v>
      </c>
      <c r="L14227" t="s">
        <v>20</v>
      </c>
      <c r="N14227" t="s">
        <v>29</v>
      </c>
    </row>
    <row r="14228" spans="1:14">
      <c r="A14228" s="4" t="str">
        <f t="shared" si="1154"/>
        <v>EXP00414</v>
      </c>
      <c r="B14228" s="3" t="s">
        <v>66</v>
      </c>
      <c r="C14228" s="4" t="str">
        <f t="shared" si="1153"/>
        <v>TCGA-BRCA</v>
      </c>
      <c r="D14228" s="1" t="s">
        <v>493</v>
      </c>
      <c r="E14228" t="s">
        <v>532</v>
      </c>
      <c r="F14228" s="1">
        <v>2</v>
      </c>
      <c r="G14228" s="1" t="s">
        <v>32</v>
      </c>
      <c r="H14228" s="4" t="str">
        <f>HYPERLINK("https://portal.gdc.cancer.gov/cases/ea8dbc7a-54c6-469c-865e-f49d00b0223d","TCGA-D8-A73W-01A")</f>
        <v>TCGA-D8-A73W-01A</v>
      </c>
      <c r="I14228" t="s">
        <v>17</v>
      </c>
      <c r="J14228" t="s">
        <v>524</v>
      </c>
      <c r="K14228" t="s">
        <v>33</v>
      </c>
      <c r="L14228" t="s">
        <v>20</v>
      </c>
      <c r="N14228" t="s">
        <v>29</v>
      </c>
    </row>
    <row r="14229" spans="1:14">
      <c r="A14229" s="4" t="str">
        <f t="shared" si="1154"/>
        <v>EXP00414</v>
      </c>
      <c r="B14229" s="3" t="s">
        <v>66</v>
      </c>
      <c r="C14229" s="4" t="str">
        <f t="shared" si="1153"/>
        <v>TCGA-BRCA</v>
      </c>
      <c r="D14229" s="1" t="s">
        <v>493</v>
      </c>
      <c r="E14229" t="s">
        <v>532</v>
      </c>
      <c r="F14229" s="1">
        <v>2</v>
      </c>
      <c r="G14229" s="1" t="s">
        <v>32</v>
      </c>
      <c r="H14229" s="4" t="str">
        <f>HYPERLINK("https://portal.gdc.cancer.gov/cases/1be375fe-5ae5-4e75-a729-69f86a661d9a","TCGA-D8-A73X-01A")</f>
        <v>TCGA-D8-A73X-01A</v>
      </c>
      <c r="I14229" t="s">
        <v>17</v>
      </c>
      <c r="J14229" t="s">
        <v>524</v>
      </c>
      <c r="K14229" t="s">
        <v>33</v>
      </c>
      <c r="L14229" t="s">
        <v>20</v>
      </c>
      <c r="N14229" t="s">
        <v>29</v>
      </c>
    </row>
    <row r="14230" spans="1:14">
      <c r="A14230" s="4" t="str">
        <f t="shared" si="1154"/>
        <v>EXP00414</v>
      </c>
      <c r="B14230" s="3" t="s">
        <v>66</v>
      </c>
      <c r="C14230" s="4" t="str">
        <f t="shared" si="1153"/>
        <v>TCGA-BRCA</v>
      </c>
      <c r="D14230" s="1" t="s">
        <v>493</v>
      </c>
      <c r="E14230" t="s">
        <v>532</v>
      </c>
      <c r="F14230" s="1">
        <v>2</v>
      </c>
      <c r="G14230" s="1" t="s">
        <v>32</v>
      </c>
      <c r="H14230" s="4" t="str">
        <f>HYPERLINK("https://portal.gdc.cancer.gov/cases/b0bcb829-cee0-4247-bb75-093a5bea89ee","TCGA-E2-A105-01A")</f>
        <v>TCGA-E2-A105-01A</v>
      </c>
      <c r="I14230" t="s">
        <v>17</v>
      </c>
      <c r="J14230" t="s">
        <v>524</v>
      </c>
      <c r="K14230" t="s">
        <v>33</v>
      </c>
      <c r="L14230" t="s">
        <v>20</v>
      </c>
      <c r="N14230" t="s">
        <v>29</v>
      </c>
    </row>
    <row r="14231" spans="1:14">
      <c r="A14231" s="4" t="str">
        <f t="shared" si="1154"/>
        <v>EXP00414</v>
      </c>
      <c r="B14231" s="3" t="s">
        <v>66</v>
      </c>
      <c r="C14231" s="4" t="str">
        <f t="shared" si="1153"/>
        <v>TCGA-BRCA</v>
      </c>
      <c r="D14231" s="1" t="s">
        <v>493</v>
      </c>
      <c r="E14231" t="s">
        <v>532</v>
      </c>
      <c r="F14231" s="1">
        <v>2</v>
      </c>
      <c r="G14231" s="1" t="s">
        <v>32</v>
      </c>
      <c r="H14231" s="4" t="str">
        <f>HYPERLINK("https://portal.gdc.cancer.gov/cases/87e09544-eddb-473b-8617-212407ce644e","TCGA-E2-A106-01A")</f>
        <v>TCGA-E2-A106-01A</v>
      </c>
      <c r="I14231" t="s">
        <v>17</v>
      </c>
      <c r="J14231" t="s">
        <v>524</v>
      </c>
      <c r="K14231" t="s">
        <v>33</v>
      </c>
      <c r="L14231" t="s">
        <v>20</v>
      </c>
      <c r="N14231" t="s">
        <v>29</v>
      </c>
    </row>
    <row r="14232" spans="1:14">
      <c r="A14232" s="4" t="str">
        <f t="shared" si="1154"/>
        <v>EXP00414</v>
      </c>
      <c r="B14232" s="3" t="s">
        <v>66</v>
      </c>
      <c r="C14232" s="4" t="str">
        <f t="shared" si="1153"/>
        <v>TCGA-BRCA</v>
      </c>
      <c r="D14232" s="1" t="s">
        <v>493</v>
      </c>
      <c r="E14232" t="s">
        <v>532</v>
      </c>
      <c r="F14232" s="1">
        <v>2</v>
      </c>
      <c r="G14232" s="1" t="s">
        <v>32</v>
      </c>
      <c r="H14232" s="4" t="str">
        <f>HYPERLINK("https://portal.gdc.cancer.gov/cases/eff2360e-399a-4167-ab2b-798e27bef739","TCGA-E2-A107-01A")</f>
        <v>TCGA-E2-A107-01A</v>
      </c>
      <c r="I14232" t="s">
        <v>17</v>
      </c>
      <c r="J14232" t="s">
        <v>524</v>
      </c>
      <c r="K14232" t="s">
        <v>33</v>
      </c>
      <c r="L14232" t="s">
        <v>20</v>
      </c>
      <c r="N14232" t="s">
        <v>29</v>
      </c>
    </row>
    <row r="14233" spans="1:14">
      <c r="A14233" s="4" t="str">
        <f t="shared" si="1154"/>
        <v>EXP00414</v>
      </c>
      <c r="B14233" s="3" t="s">
        <v>66</v>
      </c>
      <c r="C14233" s="4" t="str">
        <f t="shared" si="1153"/>
        <v>TCGA-BRCA</v>
      </c>
      <c r="D14233" s="1" t="s">
        <v>493</v>
      </c>
      <c r="E14233" t="s">
        <v>532</v>
      </c>
      <c r="F14233" s="1">
        <v>2</v>
      </c>
      <c r="G14233" s="1" t="s">
        <v>32</v>
      </c>
      <c r="H14233" s="4" t="str">
        <f>HYPERLINK("https://portal.gdc.cancer.gov/cases/4f04bd10-9902-4a23-b15d-4f4409d79499","TCGA-E2-A108-01A")</f>
        <v>TCGA-E2-A108-01A</v>
      </c>
      <c r="I14233" t="s">
        <v>17</v>
      </c>
      <c r="J14233" t="s">
        <v>524</v>
      </c>
      <c r="K14233" t="s">
        <v>33</v>
      </c>
      <c r="L14233" t="s">
        <v>20</v>
      </c>
      <c r="N14233" t="s">
        <v>29</v>
      </c>
    </row>
    <row r="14234" spans="1:14">
      <c r="A14234" s="4" t="str">
        <f t="shared" si="1154"/>
        <v>EXP00414</v>
      </c>
      <c r="B14234" s="3" t="s">
        <v>66</v>
      </c>
      <c r="C14234" s="4" t="str">
        <f t="shared" si="1153"/>
        <v>TCGA-BRCA</v>
      </c>
      <c r="D14234" s="1" t="s">
        <v>493</v>
      </c>
      <c r="E14234" t="s">
        <v>532</v>
      </c>
      <c r="F14234" s="1">
        <v>2</v>
      </c>
      <c r="G14234" s="1" t="s">
        <v>32</v>
      </c>
      <c r="H14234" s="4" t="str">
        <f>HYPERLINK("https://portal.gdc.cancer.gov/cases/f0787165-6f58-4d67-b510-928eea2c4882","TCGA-E2-A109-01A")</f>
        <v>TCGA-E2-A109-01A</v>
      </c>
      <c r="I14234" t="s">
        <v>17</v>
      </c>
      <c r="J14234" t="s">
        <v>524</v>
      </c>
      <c r="K14234" t="s">
        <v>33</v>
      </c>
      <c r="L14234" t="s">
        <v>20</v>
      </c>
      <c r="N14234" t="s">
        <v>29</v>
      </c>
    </row>
    <row r="14235" spans="1:14">
      <c r="A14235" s="4" t="str">
        <f t="shared" si="1154"/>
        <v>EXP00414</v>
      </c>
      <c r="B14235" s="3" t="s">
        <v>66</v>
      </c>
      <c r="C14235" s="4" t="str">
        <f t="shared" si="1153"/>
        <v>TCGA-BRCA</v>
      </c>
      <c r="D14235" s="1" t="s">
        <v>493</v>
      </c>
      <c r="E14235" t="s">
        <v>532</v>
      </c>
      <c r="F14235" s="1">
        <v>2</v>
      </c>
      <c r="G14235" s="1" t="s">
        <v>32</v>
      </c>
      <c r="H14235" s="4" t="str">
        <f>HYPERLINK("https://portal.gdc.cancer.gov/cases/4da7abaf-ac7a-41c0-8033-5780a398545c","TCGA-E2-A10A-01A")</f>
        <v>TCGA-E2-A10A-01A</v>
      </c>
      <c r="I14235" t="s">
        <v>17</v>
      </c>
      <c r="J14235" t="s">
        <v>524</v>
      </c>
      <c r="K14235" t="s">
        <v>33</v>
      </c>
      <c r="L14235" t="s">
        <v>20</v>
      </c>
      <c r="N14235" t="s">
        <v>29</v>
      </c>
    </row>
    <row r="14236" spans="1:14">
      <c r="A14236" s="4" t="str">
        <f t="shared" si="1154"/>
        <v>EXP00414</v>
      </c>
      <c r="B14236" s="3" t="s">
        <v>66</v>
      </c>
      <c r="C14236" s="4" t="str">
        <f t="shared" si="1153"/>
        <v>TCGA-BRCA</v>
      </c>
      <c r="D14236" s="1" t="s">
        <v>493</v>
      </c>
      <c r="E14236" t="s">
        <v>532</v>
      </c>
      <c r="F14236" s="1">
        <v>2</v>
      </c>
      <c r="G14236" s="1" t="s">
        <v>32</v>
      </c>
      <c r="H14236" s="4" t="str">
        <f>HYPERLINK("https://portal.gdc.cancer.gov/cases/f801aeed-dc43-49d7-a319-84c8851979d9","TCGA-E2-A10B-01A")</f>
        <v>TCGA-E2-A10B-01A</v>
      </c>
      <c r="I14236" t="s">
        <v>17</v>
      </c>
      <c r="J14236" t="s">
        <v>524</v>
      </c>
      <c r="K14236" t="s">
        <v>33</v>
      </c>
      <c r="L14236" t="s">
        <v>20</v>
      </c>
      <c r="N14236" t="s">
        <v>29</v>
      </c>
    </row>
    <row r="14237" spans="1:14">
      <c r="A14237" s="4" t="str">
        <f t="shared" si="1154"/>
        <v>EXP00414</v>
      </c>
      <c r="B14237" s="3" t="s">
        <v>66</v>
      </c>
      <c r="C14237" s="4" t="str">
        <f t="shared" si="1153"/>
        <v>TCGA-BRCA</v>
      </c>
      <c r="D14237" s="1" t="s">
        <v>493</v>
      </c>
      <c r="E14237" t="s">
        <v>532</v>
      </c>
      <c r="F14237" s="1">
        <v>2</v>
      </c>
      <c r="G14237" s="1" t="s">
        <v>32</v>
      </c>
      <c r="H14237" s="4" t="str">
        <f>HYPERLINK("https://portal.gdc.cancer.gov/cases/9ac44381-5d43-4f63-aa3f-7703bfc923c9","TCGA-E2-A10C-01A")</f>
        <v>TCGA-E2-A10C-01A</v>
      </c>
      <c r="I14237" t="s">
        <v>17</v>
      </c>
      <c r="J14237" t="s">
        <v>524</v>
      </c>
      <c r="K14237" t="s">
        <v>33</v>
      </c>
      <c r="L14237" t="s">
        <v>20</v>
      </c>
      <c r="N14237" t="s">
        <v>29</v>
      </c>
    </row>
    <row r="14238" spans="1:14">
      <c r="A14238" s="4" t="str">
        <f t="shared" si="1154"/>
        <v>EXP00414</v>
      </c>
      <c r="B14238" s="3" t="s">
        <v>66</v>
      </c>
      <c r="C14238" s="4" t="str">
        <f t="shared" si="1153"/>
        <v>TCGA-BRCA</v>
      </c>
      <c r="D14238" s="1" t="s">
        <v>493</v>
      </c>
      <c r="E14238" t="s">
        <v>532</v>
      </c>
      <c r="F14238" s="1">
        <v>2</v>
      </c>
      <c r="G14238" s="1" t="s">
        <v>32</v>
      </c>
      <c r="H14238" s="4" t="str">
        <f>HYPERLINK("https://portal.gdc.cancer.gov/cases/dc15a8ae-991e-421c-bc70-70e94f79dd17","TCGA-E2-A10E-01A")</f>
        <v>TCGA-E2-A10E-01A</v>
      </c>
      <c r="I14238" t="s">
        <v>17</v>
      </c>
      <c r="J14238" t="s">
        <v>524</v>
      </c>
      <c r="K14238" t="s">
        <v>33</v>
      </c>
      <c r="L14238" t="s">
        <v>20</v>
      </c>
      <c r="N14238" t="s">
        <v>29</v>
      </c>
    </row>
    <row r="14239" spans="1:14">
      <c r="A14239" s="4" t="str">
        <f t="shared" si="1154"/>
        <v>EXP00414</v>
      </c>
      <c r="B14239" s="3" t="s">
        <v>66</v>
      </c>
      <c r="C14239" s="4" t="str">
        <f t="shared" si="1153"/>
        <v>TCGA-BRCA</v>
      </c>
      <c r="D14239" s="1" t="s">
        <v>493</v>
      </c>
      <c r="E14239" t="s">
        <v>532</v>
      </c>
      <c r="F14239" s="1">
        <v>2</v>
      </c>
      <c r="G14239" s="1" t="s">
        <v>32</v>
      </c>
      <c r="H14239" s="4" t="str">
        <f>HYPERLINK("https://portal.gdc.cancer.gov/cases/8e159b50-8136-42d4-b9c7-d579a74e4931","TCGA-E2-A10F-01A")</f>
        <v>TCGA-E2-A10F-01A</v>
      </c>
      <c r="I14239" t="s">
        <v>17</v>
      </c>
      <c r="J14239" t="s">
        <v>524</v>
      </c>
      <c r="K14239" t="s">
        <v>33</v>
      </c>
      <c r="L14239" t="s">
        <v>20</v>
      </c>
      <c r="N14239" t="s">
        <v>29</v>
      </c>
    </row>
    <row r="14240" spans="1:14">
      <c r="A14240" s="4" t="str">
        <f t="shared" si="1154"/>
        <v>EXP00414</v>
      </c>
      <c r="B14240" s="3" t="s">
        <v>66</v>
      </c>
      <c r="C14240" s="4" t="str">
        <f t="shared" si="1153"/>
        <v>TCGA-BRCA</v>
      </c>
      <c r="D14240" s="1" t="s">
        <v>493</v>
      </c>
      <c r="E14240" t="s">
        <v>532</v>
      </c>
      <c r="F14240" s="1">
        <v>2</v>
      </c>
      <c r="G14240" s="1" t="s">
        <v>32</v>
      </c>
      <c r="H14240" s="4" t="str">
        <f>HYPERLINK("https://portal.gdc.cancer.gov/cases/752ad011-79e0-494f-9868-98bf6feb28f8","TCGA-E2-A14N-01A")</f>
        <v>TCGA-E2-A14N-01A</v>
      </c>
      <c r="I14240" t="s">
        <v>17</v>
      </c>
      <c r="J14240" t="s">
        <v>524</v>
      </c>
      <c r="K14240" t="s">
        <v>33</v>
      </c>
      <c r="L14240" t="s">
        <v>20</v>
      </c>
      <c r="N14240" t="s">
        <v>29</v>
      </c>
    </row>
    <row r="14241" spans="1:14">
      <c r="A14241" s="4" t="str">
        <f t="shared" si="1154"/>
        <v>EXP00414</v>
      </c>
      <c r="B14241" s="3" t="s">
        <v>66</v>
      </c>
      <c r="C14241" s="4" t="str">
        <f t="shared" si="1153"/>
        <v>TCGA-BRCA</v>
      </c>
      <c r="D14241" s="1" t="s">
        <v>493</v>
      </c>
      <c r="E14241" t="s">
        <v>532</v>
      </c>
      <c r="F14241" s="1">
        <v>2</v>
      </c>
      <c r="G14241" s="1" t="s">
        <v>32</v>
      </c>
      <c r="H14241" s="4" t="str">
        <f>HYPERLINK("https://portal.gdc.cancer.gov/cases/fb356957-f620-4d99-b675-1355a1d9f932","TCGA-E2-A14O-01A")</f>
        <v>TCGA-E2-A14O-01A</v>
      </c>
      <c r="I14241" t="s">
        <v>17</v>
      </c>
      <c r="J14241" t="s">
        <v>524</v>
      </c>
      <c r="K14241" t="s">
        <v>33</v>
      </c>
      <c r="L14241" t="s">
        <v>20</v>
      </c>
      <c r="N14241" t="s">
        <v>29</v>
      </c>
    </row>
    <row r="14242" spans="1:14">
      <c r="A14242" s="4" t="str">
        <f t="shared" si="1154"/>
        <v>EXP00414</v>
      </c>
      <c r="B14242" s="3" t="s">
        <v>66</v>
      </c>
      <c r="C14242" s="4" t="str">
        <f t="shared" si="1153"/>
        <v>TCGA-BRCA</v>
      </c>
      <c r="D14242" s="1" t="s">
        <v>493</v>
      </c>
      <c r="E14242" t="s">
        <v>532</v>
      </c>
      <c r="F14242" s="1">
        <v>2</v>
      </c>
      <c r="G14242" s="1" t="s">
        <v>32</v>
      </c>
      <c r="H14242" s="4" t="str">
        <f>HYPERLINK("https://portal.gdc.cancer.gov/cases/e4fc0909-f284-4471-866d-d8967b6adcbc","TCGA-E2-A14P-01A")</f>
        <v>TCGA-E2-A14P-01A</v>
      </c>
      <c r="I14242" t="s">
        <v>17</v>
      </c>
      <c r="J14242" t="s">
        <v>524</v>
      </c>
      <c r="K14242" t="s">
        <v>33</v>
      </c>
      <c r="L14242" t="s">
        <v>20</v>
      </c>
      <c r="N14242" t="s">
        <v>29</v>
      </c>
    </row>
    <row r="14243" spans="1:14">
      <c r="A14243" s="4" t="str">
        <f t="shared" si="1154"/>
        <v>EXP00414</v>
      </c>
      <c r="B14243" s="3" t="s">
        <v>66</v>
      </c>
      <c r="C14243" s="4" t="str">
        <f t="shared" si="1153"/>
        <v>TCGA-BRCA</v>
      </c>
      <c r="D14243" s="1" t="s">
        <v>493</v>
      </c>
      <c r="E14243" t="s">
        <v>532</v>
      </c>
      <c r="F14243" s="1">
        <v>2</v>
      </c>
      <c r="G14243" s="1" t="s">
        <v>32</v>
      </c>
      <c r="H14243" s="4" t="str">
        <f>HYPERLINK("https://portal.gdc.cancer.gov/cases/303a1d77-a37a-4966-a4a4-9981d99ba1b4","TCGA-E2-A14Q-01A")</f>
        <v>TCGA-E2-A14Q-01A</v>
      </c>
      <c r="I14243" t="s">
        <v>17</v>
      </c>
      <c r="J14243" t="s">
        <v>524</v>
      </c>
      <c r="K14243" t="s">
        <v>33</v>
      </c>
      <c r="L14243" t="s">
        <v>20</v>
      </c>
      <c r="N14243" t="s">
        <v>29</v>
      </c>
    </row>
    <row r="14244" spans="1:14">
      <c r="A14244" s="4" t="str">
        <f t="shared" si="1154"/>
        <v>EXP00414</v>
      </c>
      <c r="B14244" s="3" t="s">
        <v>66</v>
      </c>
      <c r="C14244" s="4" t="str">
        <f t="shared" si="1153"/>
        <v>TCGA-BRCA</v>
      </c>
      <c r="D14244" s="1" t="s">
        <v>493</v>
      </c>
      <c r="E14244" t="s">
        <v>532</v>
      </c>
      <c r="F14244" s="1">
        <v>2</v>
      </c>
      <c r="G14244" s="1" t="s">
        <v>32</v>
      </c>
      <c r="H14244" s="4" t="str">
        <f>HYPERLINK("https://portal.gdc.cancer.gov/cases/4fba3deb-db94-44b5-a0f2-a575d270779e","TCGA-E2-A14R-01A")</f>
        <v>TCGA-E2-A14R-01A</v>
      </c>
      <c r="I14244" t="s">
        <v>17</v>
      </c>
      <c r="J14244" t="s">
        <v>524</v>
      </c>
      <c r="K14244" t="s">
        <v>33</v>
      </c>
      <c r="L14244" t="s">
        <v>20</v>
      </c>
      <c r="N14244" t="s">
        <v>29</v>
      </c>
    </row>
    <row r="14245" spans="1:14">
      <c r="A14245" s="4" t="str">
        <f t="shared" si="1154"/>
        <v>EXP00414</v>
      </c>
      <c r="B14245" s="3" t="s">
        <v>66</v>
      </c>
      <c r="C14245" s="4" t="str">
        <f t="shared" si="1153"/>
        <v>TCGA-BRCA</v>
      </c>
      <c r="D14245" s="1" t="s">
        <v>493</v>
      </c>
      <c r="E14245" t="s">
        <v>532</v>
      </c>
      <c r="F14245" s="1">
        <v>2</v>
      </c>
      <c r="G14245" s="1" t="s">
        <v>32</v>
      </c>
      <c r="H14245" s="4" t="str">
        <f>HYPERLINK("https://portal.gdc.cancer.gov/cases/e0929c47-cff3-4518-a188-8764af01073a","TCGA-E2-A14T-01A")</f>
        <v>TCGA-E2-A14T-01A</v>
      </c>
      <c r="I14245" t="s">
        <v>17</v>
      </c>
      <c r="J14245" t="s">
        <v>524</v>
      </c>
      <c r="K14245" t="s">
        <v>33</v>
      </c>
      <c r="L14245" t="s">
        <v>20</v>
      </c>
      <c r="N14245" t="s">
        <v>29</v>
      </c>
    </row>
    <row r="14246" spans="1:14">
      <c r="A14246" s="4" t="str">
        <f t="shared" si="1154"/>
        <v>EXP00414</v>
      </c>
      <c r="B14246" s="3" t="s">
        <v>66</v>
      </c>
      <c r="C14246" s="4" t="str">
        <f t="shared" si="1153"/>
        <v>TCGA-BRCA</v>
      </c>
      <c r="D14246" s="1" t="s">
        <v>493</v>
      </c>
      <c r="E14246" t="s">
        <v>532</v>
      </c>
      <c r="F14246" s="1">
        <v>2</v>
      </c>
      <c r="G14246" s="1" t="s">
        <v>32</v>
      </c>
      <c r="H14246" s="4" t="str">
        <f>HYPERLINK("https://portal.gdc.cancer.gov/cases/23b7aaea-1119-4b10-aa1a-0ae255d2f2a6","TCGA-E2-A14U-01A")</f>
        <v>TCGA-E2-A14U-01A</v>
      </c>
      <c r="I14246" t="s">
        <v>17</v>
      </c>
      <c r="J14246" t="s">
        <v>524</v>
      </c>
      <c r="K14246" t="s">
        <v>33</v>
      </c>
      <c r="L14246" t="s">
        <v>20</v>
      </c>
      <c r="N14246" t="s">
        <v>29</v>
      </c>
    </row>
    <row r="14247" spans="1:14">
      <c r="A14247" s="4" t="str">
        <f t="shared" si="1154"/>
        <v>EXP00414</v>
      </c>
      <c r="B14247" s="3" t="s">
        <v>66</v>
      </c>
      <c r="C14247" s="4" t="str">
        <f t="shared" si="1153"/>
        <v>TCGA-BRCA</v>
      </c>
      <c r="D14247" s="1" t="s">
        <v>493</v>
      </c>
      <c r="E14247" t="s">
        <v>532</v>
      </c>
      <c r="F14247" s="1">
        <v>2</v>
      </c>
      <c r="G14247" s="1" t="s">
        <v>32</v>
      </c>
      <c r="H14247" s="4" t="str">
        <f>HYPERLINK("https://portal.gdc.cancer.gov/cases/3144f1fb-4342-4079-bfe8-940da4bfd88e","TCGA-E2-A14V-01A")</f>
        <v>TCGA-E2-A14V-01A</v>
      </c>
      <c r="I14247" t="s">
        <v>17</v>
      </c>
      <c r="J14247" t="s">
        <v>524</v>
      </c>
      <c r="K14247" t="s">
        <v>33</v>
      </c>
      <c r="L14247" t="s">
        <v>20</v>
      </c>
      <c r="N14247" t="s">
        <v>29</v>
      </c>
    </row>
    <row r="14248" spans="1:14">
      <c r="A14248" s="4" t="str">
        <f t="shared" si="1154"/>
        <v>EXP00414</v>
      </c>
      <c r="B14248" s="3" t="s">
        <v>66</v>
      </c>
      <c r="C14248" s="4" t="str">
        <f t="shared" si="1153"/>
        <v>TCGA-BRCA</v>
      </c>
      <c r="D14248" s="1" t="s">
        <v>493</v>
      </c>
      <c r="E14248" t="s">
        <v>532</v>
      </c>
      <c r="F14248" s="1">
        <v>2</v>
      </c>
      <c r="G14248" s="1" t="s">
        <v>32</v>
      </c>
      <c r="H14248" s="4" t="str">
        <f>HYPERLINK("https://portal.gdc.cancer.gov/cases/eadb0562-2165-4adb-ad58-018e73f82780","TCGA-E2-A14W-01A")</f>
        <v>TCGA-E2-A14W-01A</v>
      </c>
      <c r="I14248" t="s">
        <v>17</v>
      </c>
      <c r="J14248" t="s">
        <v>524</v>
      </c>
      <c r="K14248" t="s">
        <v>33</v>
      </c>
      <c r="L14248" t="s">
        <v>20</v>
      </c>
      <c r="N14248" t="s">
        <v>29</v>
      </c>
    </row>
    <row r="14249" spans="1:14">
      <c r="A14249" s="4" t="str">
        <f t="shared" si="1154"/>
        <v>EXP00414</v>
      </c>
      <c r="B14249" s="3" t="s">
        <v>66</v>
      </c>
      <c r="C14249" s="4" t="str">
        <f t="shared" si="1153"/>
        <v>TCGA-BRCA</v>
      </c>
      <c r="D14249" s="1" t="s">
        <v>493</v>
      </c>
      <c r="E14249" t="s">
        <v>532</v>
      </c>
      <c r="F14249" s="1">
        <v>2</v>
      </c>
      <c r="G14249" s="1" t="s">
        <v>32</v>
      </c>
      <c r="H14249" s="4" t="str">
        <f>HYPERLINK("https://portal.gdc.cancer.gov/cases/60df7543-6da5-4c75-943b-5800c1e08234","TCGA-E2-A14X-01A")</f>
        <v>TCGA-E2-A14X-01A</v>
      </c>
      <c r="I14249" t="s">
        <v>17</v>
      </c>
      <c r="J14249" t="s">
        <v>524</v>
      </c>
      <c r="K14249" t="s">
        <v>33</v>
      </c>
      <c r="L14249" t="s">
        <v>20</v>
      </c>
      <c r="N14249" t="s">
        <v>29</v>
      </c>
    </row>
    <row r="14250" spans="1:14">
      <c r="A14250" s="4" t="str">
        <f t="shared" si="1154"/>
        <v>EXP00414</v>
      </c>
      <c r="B14250" s="3" t="s">
        <v>66</v>
      </c>
      <c r="C14250" s="4" t="str">
        <f t="shared" si="1153"/>
        <v>TCGA-BRCA</v>
      </c>
      <c r="D14250" s="1" t="s">
        <v>493</v>
      </c>
      <c r="E14250" t="s">
        <v>532</v>
      </c>
      <c r="F14250" s="1">
        <v>2</v>
      </c>
      <c r="G14250" s="1" t="s">
        <v>32</v>
      </c>
      <c r="H14250" s="4" t="str">
        <f>HYPERLINK("https://portal.gdc.cancer.gov/cases/a0576d44-9add-429b-9eeb-f7b234b7385f","TCGA-E2-A14Y-01A")</f>
        <v>TCGA-E2-A14Y-01A</v>
      </c>
      <c r="I14250" t="s">
        <v>17</v>
      </c>
      <c r="J14250" t="s">
        <v>524</v>
      </c>
      <c r="K14250" t="s">
        <v>33</v>
      </c>
      <c r="L14250" t="s">
        <v>20</v>
      </c>
      <c r="N14250" t="s">
        <v>29</v>
      </c>
    </row>
    <row r="14251" spans="1:14">
      <c r="A14251" s="4" t="str">
        <f t="shared" si="1154"/>
        <v>EXP00414</v>
      </c>
      <c r="B14251" s="3" t="s">
        <v>66</v>
      </c>
      <c r="C14251" s="4" t="str">
        <f t="shared" si="1153"/>
        <v>TCGA-BRCA</v>
      </c>
      <c r="D14251" s="1" t="s">
        <v>493</v>
      </c>
      <c r="E14251" t="s">
        <v>532</v>
      </c>
      <c r="F14251" s="1">
        <v>2</v>
      </c>
      <c r="G14251" s="1" t="s">
        <v>32</v>
      </c>
      <c r="H14251" s="4" t="str">
        <f>HYPERLINK("https://portal.gdc.cancer.gov/cases/d7ce6b79-f7c0-481e-9dbd-6273f01c9786","TCGA-E2-A14Z-01A")</f>
        <v>TCGA-E2-A14Z-01A</v>
      </c>
      <c r="I14251" t="s">
        <v>17</v>
      </c>
      <c r="J14251" t="s">
        <v>524</v>
      </c>
      <c r="K14251" t="s">
        <v>33</v>
      </c>
      <c r="L14251" t="s">
        <v>20</v>
      </c>
      <c r="N14251" t="s">
        <v>29</v>
      </c>
    </row>
    <row r="14252" spans="1:14">
      <c r="A14252" s="4" t="str">
        <f t="shared" si="1154"/>
        <v>EXP00414</v>
      </c>
      <c r="B14252" s="3" t="s">
        <v>66</v>
      </c>
      <c r="C14252" s="4" t="str">
        <f t="shared" si="1153"/>
        <v>TCGA-BRCA</v>
      </c>
      <c r="D14252" s="1" t="s">
        <v>493</v>
      </c>
      <c r="E14252" t="s">
        <v>532</v>
      </c>
      <c r="F14252" s="1">
        <v>2</v>
      </c>
      <c r="G14252" s="1" t="s">
        <v>32</v>
      </c>
      <c r="H14252" s="4" t="str">
        <f>HYPERLINK("https://portal.gdc.cancer.gov/cases/4ac693e9-10f3-46b3-9d46-df3af7b0d259","TCGA-E2-A150-01A")</f>
        <v>TCGA-E2-A150-01A</v>
      </c>
      <c r="I14252" t="s">
        <v>17</v>
      </c>
      <c r="J14252" t="s">
        <v>524</v>
      </c>
      <c r="K14252" t="s">
        <v>33</v>
      </c>
      <c r="L14252" t="s">
        <v>20</v>
      </c>
      <c r="N14252" t="s">
        <v>29</v>
      </c>
    </row>
    <row r="14253" spans="1:14">
      <c r="A14253" s="4" t="str">
        <f t="shared" si="1154"/>
        <v>EXP00414</v>
      </c>
      <c r="B14253" s="3" t="s">
        <v>66</v>
      </c>
      <c r="C14253" s="4" t="str">
        <f t="shared" si="1153"/>
        <v>TCGA-BRCA</v>
      </c>
      <c r="D14253" s="1" t="s">
        <v>493</v>
      </c>
      <c r="E14253" t="s">
        <v>532</v>
      </c>
      <c r="F14253" s="1">
        <v>2</v>
      </c>
      <c r="G14253" s="1" t="s">
        <v>32</v>
      </c>
      <c r="H14253" s="4" t="str">
        <f>HYPERLINK("https://portal.gdc.cancer.gov/cases/a8015490-9740-45c9-8bd2-eb6d1beefc2e","TCGA-E2-A152-01A")</f>
        <v>TCGA-E2-A152-01A</v>
      </c>
      <c r="I14253" t="s">
        <v>17</v>
      </c>
      <c r="J14253" t="s">
        <v>524</v>
      </c>
      <c r="K14253" t="s">
        <v>33</v>
      </c>
      <c r="L14253" t="s">
        <v>20</v>
      </c>
      <c r="N14253" t="s">
        <v>29</v>
      </c>
    </row>
    <row r="14254" spans="1:14">
      <c r="A14254" s="4" t="str">
        <f t="shared" si="1154"/>
        <v>EXP00414</v>
      </c>
      <c r="B14254" s="3" t="s">
        <v>66</v>
      </c>
      <c r="C14254" s="4" t="str">
        <f t="shared" si="1153"/>
        <v>TCGA-BRCA</v>
      </c>
      <c r="D14254" s="1" t="s">
        <v>493</v>
      </c>
      <c r="E14254" t="s">
        <v>532</v>
      </c>
      <c r="F14254" s="1">
        <v>2</v>
      </c>
      <c r="G14254" s="1" t="s">
        <v>32</v>
      </c>
      <c r="H14254" s="4" t="str">
        <f>HYPERLINK("https://portal.gdc.cancer.gov/cases/be9bf36a-12e1-4386-addf-1686dc8b49de","TCGA-E2-A153-01A")</f>
        <v>TCGA-E2-A153-01A</v>
      </c>
      <c r="I14254" t="s">
        <v>17</v>
      </c>
      <c r="J14254" t="s">
        <v>524</v>
      </c>
      <c r="K14254" t="s">
        <v>33</v>
      </c>
      <c r="L14254" t="s">
        <v>20</v>
      </c>
      <c r="N14254" t="s">
        <v>29</v>
      </c>
    </row>
    <row r="14255" spans="1:14">
      <c r="A14255" s="4" t="str">
        <f t="shared" si="1154"/>
        <v>EXP00414</v>
      </c>
      <c r="B14255" s="3" t="s">
        <v>66</v>
      </c>
      <c r="C14255" s="4" t="str">
        <f t="shared" si="1153"/>
        <v>TCGA-BRCA</v>
      </c>
      <c r="D14255" s="1" t="s">
        <v>493</v>
      </c>
      <c r="E14255" t="s">
        <v>532</v>
      </c>
      <c r="F14255" s="1">
        <v>2</v>
      </c>
      <c r="G14255" s="1" t="s">
        <v>32</v>
      </c>
      <c r="H14255" s="4" t="str">
        <f>HYPERLINK("https://portal.gdc.cancer.gov/cases/24e39609-9645-43e5-960b-db5446eaea65","TCGA-E2-A154-01A")</f>
        <v>TCGA-E2-A154-01A</v>
      </c>
      <c r="I14255" t="s">
        <v>17</v>
      </c>
      <c r="J14255" t="s">
        <v>524</v>
      </c>
      <c r="K14255" t="s">
        <v>33</v>
      </c>
      <c r="L14255" t="s">
        <v>20</v>
      </c>
      <c r="N14255" t="s">
        <v>29</v>
      </c>
    </row>
    <row r="14256" spans="1:14">
      <c r="A14256" s="4" t="str">
        <f t="shared" si="1154"/>
        <v>EXP00414</v>
      </c>
      <c r="B14256" s="3" t="s">
        <v>66</v>
      </c>
      <c r="C14256" s="4" t="str">
        <f t="shared" si="1153"/>
        <v>TCGA-BRCA</v>
      </c>
      <c r="D14256" s="1" t="s">
        <v>493</v>
      </c>
      <c r="E14256" t="s">
        <v>532</v>
      </c>
      <c r="F14256" s="1">
        <v>2</v>
      </c>
      <c r="G14256" s="1" t="s">
        <v>32</v>
      </c>
      <c r="H14256" s="4" t="str">
        <f>HYPERLINK("https://portal.gdc.cancer.gov/cases/01f50abf-fc15-446e-9d07-edeecc545a32","TCGA-E2-A155-01A")</f>
        <v>TCGA-E2-A155-01A</v>
      </c>
      <c r="I14256" t="s">
        <v>17</v>
      </c>
      <c r="J14256" t="s">
        <v>524</v>
      </c>
      <c r="K14256" t="s">
        <v>33</v>
      </c>
      <c r="L14256" t="s">
        <v>20</v>
      </c>
      <c r="N14256" t="s">
        <v>29</v>
      </c>
    </row>
    <row r="14257" spans="1:14">
      <c r="A14257" s="4" t="str">
        <f t="shared" si="1154"/>
        <v>EXP00414</v>
      </c>
      <c r="B14257" s="3" t="s">
        <v>66</v>
      </c>
      <c r="C14257" s="4" t="str">
        <f t="shared" si="1153"/>
        <v>TCGA-BRCA</v>
      </c>
      <c r="D14257" s="1" t="s">
        <v>493</v>
      </c>
      <c r="E14257" t="s">
        <v>532</v>
      </c>
      <c r="F14257" s="1">
        <v>2</v>
      </c>
      <c r="G14257" s="1" t="s">
        <v>32</v>
      </c>
      <c r="H14257" s="4" t="str">
        <f>HYPERLINK("https://portal.gdc.cancer.gov/cases/f05d314c-5ec5-4e2a-b785-9a702716f111","TCGA-E2-A156-01A")</f>
        <v>TCGA-E2-A156-01A</v>
      </c>
      <c r="I14257" t="s">
        <v>17</v>
      </c>
      <c r="J14257" t="s">
        <v>524</v>
      </c>
      <c r="K14257" t="s">
        <v>33</v>
      </c>
      <c r="L14257" t="s">
        <v>20</v>
      </c>
      <c r="N14257" t="s">
        <v>29</v>
      </c>
    </row>
    <row r="14258" spans="1:14">
      <c r="A14258" s="4" t="str">
        <f t="shared" si="1154"/>
        <v>EXP00414</v>
      </c>
      <c r="B14258" s="3" t="s">
        <v>66</v>
      </c>
      <c r="C14258" s="4" t="str">
        <f t="shared" si="1153"/>
        <v>TCGA-BRCA</v>
      </c>
      <c r="D14258" s="1" t="s">
        <v>493</v>
      </c>
      <c r="E14258" t="s">
        <v>532</v>
      </c>
      <c r="F14258" s="1">
        <v>2</v>
      </c>
      <c r="G14258" s="1" t="s">
        <v>32</v>
      </c>
      <c r="H14258" s="4" t="str">
        <f>HYPERLINK("https://portal.gdc.cancer.gov/cases/a6edb6ca-ae9f-4da7-8ebe-92d83d2987fb","TCGA-E2-A158-01A")</f>
        <v>TCGA-E2-A158-01A</v>
      </c>
      <c r="I14258" t="s">
        <v>17</v>
      </c>
      <c r="J14258" t="s">
        <v>524</v>
      </c>
      <c r="K14258" t="s">
        <v>33</v>
      </c>
      <c r="L14258" t="s">
        <v>20</v>
      </c>
      <c r="N14258" t="s">
        <v>29</v>
      </c>
    </row>
    <row r="14259" spans="1:14">
      <c r="A14259" s="4" t="str">
        <f t="shared" si="1154"/>
        <v>EXP00414</v>
      </c>
      <c r="B14259" s="3" t="s">
        <v>66</v>
      </c>
      <c r="C14259" s="4" t="str">
        <f t="shared" si="1153"/>
        <v>TCGA-BRCA</v>
      </c>
      <c r="D14259" s="1" t="s">
        <v>493</v>
      </c>
      <c r="E14259" t="s">
        <v>532</v>
      </c>
      <c r="F14259" s="1">
        <v>2</v>
      </c>
      <c r="G14259" s="1" t="s">
        <v>32</v>
      </c>
      <c r="H14259" s="4" t="str">
        <f>HYPERLINK("https://portal.gdc.cancer.gov/cases/d7308344-5bab-4073-bb4f-4d8cd8d7bd17","TCGA-E2-A159-01A")</f>
        <v>TCGA-E2-A159-01A</v>
      </c>
      <c r="I14259" t="s">
        <v>17</v>
      </c>
      <c r="J14259" t="s">
        <v>524</v>
      </c>
      <c r="K14259" t="s">
        <v>33</v>
      </c>
      <c r="L14259" t="s">
        <v>20</v>
      </c>
      <c r="N14259" t="s">
        <v>29</v>
      </c>
    </row>
    <row r="14260" spans="1:14">
      <c r="A14260" s="4" t="str">
        <f t="shared" si="1154"/>
        <v>EXP00414</v>
      </c>
      <c r="B14260" s="3" t="s">
        <v>66</v>
      </c>
      <c r="C14260" s="4" t="str">
        <f t="shared" si="1153"/>
        <v>TCGA-BRCA</v>
      </c>
      <c r="D14260" s="1" t="s">
        <v>493</v>
      </c>
      <c r="E14260" t="s">
        <v>532</v>
      </c>
      <c r="F14260" s="1">
        <v>2</v>
      </c>
      <c r="G14260" s="1" t="s">
        <v>32</v>
      </c>
      <c r="H14260" s="4" t="str">
        <f>HYPERLINK("https://portal.gdc.cancer.gov/cases/da840a22-8d30-4682-bbd0-8fa87bd40528","TCGA-E2-A15C-01A")</f>
        <v>TCGA-E2-A15C-01A</v>
      </c>
      <c r="I14260" t="s">
        <v>17</v>
      </c>
      <c r="J14260" t="s">
        <v>524</v>
      </c>
      <c r="K14260" t="s">
        <v>33</v>
      </c>
      <c r="L14260" t="s">
        <v>20</v>
      </c>
      <c r="N14260" t="s">
        <v>29</v>
      </c>
    </row>
    <row r="14261" spans="1:14">
      <c r="A14261" s="4" t="str">
        <f t="shared" si="1154"/>
        <v>EXP00414</v>
      </c>
      <c r="B14261" s="3" t="s">
        <v>66</v>
      </c>
      <c r="C14261" s="4" t="str">
        <f t="shared" si="1153"/>
        <v>TCGA-BRCA</v>
      </c>
      <c r="D14261" s="1" t="s">
        <v>493</v>
      </c>
      <c r="E14261" t="s">
        <v>532</v>
      </c>
      <c r="F14261" s="1">
        <v>2</v>
      </c>
      <c r="G14261" s="1" t="s">
        <v>32</v>
      </c>
      <c r="H14261" s="4" t="str">
        <f>HYPERLINK("https://portal.gdc.cancer.gov/cases/c85f080a-1075-41df-959f-1b514a11b3c4","TCGA-E2-A15D-01A")</f>
        <v>TCGA-E2-A15D-01A</v>
      </c>
      <c r="I14261" t="s">
        <v>17</v>
      </c>
      <c r="J14261" t="s">
        <v>524</v>
      </c>
      <c r="K14261" t="s">
        <v>33</v>
      </c>
      <c r="L14261" t="s">
        <v>20</v>
      </c>
      <c r="N14261" t="s">
        <v>29</v>
      </c>
    </row>
    <row r="14262" spans="1:14">
      <c r="A14262" s="4" t="str">
        <f t="shared" si="1154"/>
        <v>EXP00414</v>
      </c>
      <c r="B14262" s="3" t="s">
        <v>66</v>
      </c>
      <c r="C14262" s="4" t="str">
        <f t="shared" si="1153"/>
        <v>TCGA-BRCA</v>
      </c>
      <c r="D14262" s="1" t="s">
        <v>493</v>
      </c>
      <c r="E14262" t="s">
        <v>532</v>
      </c>
      <c r="F14262" s="1">
        <v>2</v>
      </c>
      <c r="G14262" s="1" t="s">
        <v>32</v>
      </c>
      <c r="H14262" s="4" t="str">
        <f>HYPERLINK("https://portal.gdc.cancer.gov/cases/ec77a23d-84f5-47e4-bf2a-fa1c03baf3db","TCGA-E2-A15F-01A")</f>
        <v>TCGA-E2-A15F-01A</v>
      </c>
      <c r="I14262" t="s">
        <v>17</v>
      </c>
      <c r="J14262" t="s">
        <v>524</v>
      </c>
      <c r="K14262" t="s">
        <v>33</v>
      </c>
      <c r="L14262" t="s">
        <v>20</v>
      </c>
      <c r="N14262" t="s">
        <v>29</v>
      </c>
    </row>
    <row r="14263" spans="1:14">
      <c r="A14263" s="4" t="str">
        <f t="shared" si="1154"/>
        <v>EXP00414</v>
      </c>
      <c r="B14263" s="3" t="s">
        <v>66</v>
      </c>
      <c r="C14263" s="4" t="str">
        <f t="shared" si="1153"/>
        <v>TCGA-BRCA</v>
      </c>
      <c r="D14263" s="1" t="s">
        <v>493</v>
      </c>
      <c r="E14263" t="s">
        <v>532</v>
      </c>
      <c r="F14263" s="1">
        <v>2</v>
      </c>
      <c r="G14263" s="1" t="s">
        <v>32</v>
      </c>
      <c r="H14263" s="4" t="str">
        <f>HYPERLINK("https://portal.gdc.cancer.gov/cases/271e8024-a008-4bf0-9f6e-177f60096b1b","TCGA-E2-A15G-01A")</f>
        <v>TCGA-E2-A15G-01A</v>
      </c>
      <c r="I14263" t="s">
        <v>17</v>
      </c>
      <c r="J14263" t="s">
        <v>524</v>
      </c>
      <c r="K14263" t="s">
        <v>33</v>
      </c>
      <c r="L14263" t="s">
        <v>20</v>
      </c>
      <c r="N14263" t="s">
        <v>29</v>
      </c>
    </row>
    <row r="14264" spans="1:14">
      <c r="A14264" s="4" t="str">
        <f t="shared" si="1154"/>
        <v>EXP00414</v>
      </c>
      <c r="B14264" s="3" t="s">
        <v>66</v>
      </c>
      <c r="C14264" s="4" t="str">
        <f t="shared" si="1153"/>
        <v>TCGA-BRCA</v>
      </c>
      <c r="D14264" s="1" t="s">
        <v>493</v>
      </c>
      <c r="E14264" t="s">
        <v>532</v>
      </c>
      <c r="F14264" s="1">
        <v>2</v>
      </c>
      <c r="G14264" s="1" t="s">
        <v>32</v>
      </c>
      <c r="H14264" s="4" t="str">
        <f>HYPERLINK("https://portal.gdc.cancer.gov/cases/5580b21a-2cdb-4777-ad79-6e06654144f5","TCGA-E2-A15H-01A")</f>
        <v>TCGA-E2-A15H-01A</v>
      </c>
      <c r="I14264" t="s">
        <v>17</v>
      </c>
      <c r="J14264" t="s">
        <v>524</v>
      </c>
      <c r="K14264" t="s">
        <v>33</v>
      </c>
      <c r="L14264" t="s">
        <v>20</v>
      </c>
      <c r="N14264" t="s">
        <v>29</v>
      </c>
    </row>
    <row r="14265" spans="1:14">
      <c r="A14265" s="4" t="str">
        <f t="shared" si="1154"/>
        <v>EXP00414</v>
      </c>
      <c r="B14265" s="3" t="s">
        <v>66</v>
      </c>
      <c r="C14265" s="4" t="str">
        <f t="shared" si="1153"/>
        <v>TCGA-BRCA</v>
      </c>
      <c r="D14265" s="1" t="s">
        <v>493</v>
      </c>
      <c r="E14265" t="s">
        <v>532</v>
      </c>
      <c r="F14265" s="1">
        <v>2</v>
      </c>
      <c r="G14265" s="1" t="s">
        <v>32</v>
      </c>
      <c r="H14265" s="4" t="str">
        <f>HYPERLINK("https://portal.gdc.cancer.gov/cases/64089c20-939f-48b4-ae8b-904ad0597145","TCGA-E2-A15I-01A")</f>
        <v>TCGA-E2-A15I-01A</v>
      </c>
      <c r="I14265" t="s">
        <v>17</v>
      </c>
      <c r="J14265" t="s">
        <v>524</v>
      </c>
      <c r="K14265" t="s">
        <v>33</v>
      </c>
      <c r="L14265" t="s">
        <v>20</v>
      </c>
      <c r="N14265" t="s">
        <v>29</v>
      </c>
    </row>
    <row r="14266" spans="1:14">
      <c r="A14266" s="4" t="str">
        <f t="shared" si="1154"/>
        <v>EXP00414</v>
      </c>
      <c r="B14266" s="3" t="s">
        <v>66</v>
      </c>
      <c r="C14266" s="4" t="str">
        <f t="shared" ref="C14266:C14329" si="1155">HYPERLINK("https://portal.gdc.cancer.gov/projects/TCGA-BRCA","TCGA-BRCA")</f>
        <v>TCGA-BRCA</v>
      </c>
      <c r="D14266" s="1" t="s">
        <v>493</v>
      </c>
      <c r="E14266" t="s">
        <v>532</v>
      </c>
      <c r="F14266" s="1">
        <v>2</v>
      </c>
      <c r="G14266" s="1" t="s">
        <v>32</v>
      </c>
      <c r="H14266" s="4" t="str">
        <f>HYPERLINK("https://portal.gdc.cancer.gov/cases/1fef9454-b3e8-4d9d-a9aa-aa1f1a32b80c","TCGA-E2-A15J-01A")</f>
        <v>TCGA-E2-A15J-01A</v>
      </c>
      <c r="I14266" t="s">
        <v>17</v>
      </c>
      <c r="J14266" t="s">
        <v>524</v>
      </c>
      <c r="K14266" t="s">
        <v>33</v>
      </c>
      <c r="L14266" t="s">
        <v>20</v>
      </c>
      <c r="N14266" t="s">
        <v>29</v>
      </c>
    </row>
    <row r="14267" spans="1:14">
      <c r="A14267" s="4" t="str">
        <f t="shared" si="1154"/>
        <v>EXP00414</v>
      </c>
      <c r="B14267" s="3" t="s">
        <v>66</v>
      </c>
      <c r="C14267" s="4" t="str">
        <f t="shared" si="1155"/>
        <v>TCGA-BRCA</v>
      </c>
      <c r="D14267" s="1" t="s">
        <v>493</v>
      </c>
      <c r="E14267" t="s">
        <v>532</v>
      </c>
      <c r="F14267" s="1">
        <v>2</v>
      </c>
      <c r="G14267" s="1" t="s">
        <v>32</v>
      </c>
      <c r="H14267" s="4" t="str">
        <f>HYPERLINK("https://portal.gdc.cancer.gov/cases/37242f5a-25ae-4b1f-9ce6-09ce1dc92539","TCGA-E2-A15L-01A")</f>
        <v>TCGA-E2-A15L-01A</v>
      </c>
      <c r="I14267" t="s">
        <v>17</v>
      </c>
      <c r="J14267" t="s">
        <v>524</v>
      </c>
      <c r="K14267" t="s">
        <v>33</v>
      </c>
      <c r="L14267" t="s">
        <v>20</v>
      </c>
      <c r="N14267" t="s">
        <v>29</v>
      </c>
    </row>
    <row r="14268" spans="1:14">
      <c r="A14268" s="4" t="str">
        <f t="shared" si="1154"/>
        <v>EXP00414</v>
      </c>
      <c r="B14268" s="3" t="s">
        <v>66</v>
      </c>
      <c r="C14268" s="4" t="str">
        <f t="shared" si="1155"/>
        <v>TCGA-BRCA</v>
      </c>
      <c r="D14268" s="1" t="s">
        <v>493</v>
      </c>
      <c r="E14268" t="s">
        <v>532</v>
      </c>
      <c r="F14268" s="1">
        <v>2</v>
      </c>
      <c r="G14268" s="1" t="s">
        <v>32</v>
      </c>
      <c r="H14268" s="4" t="str">
        <f>HYPERLINK("https://portal.gdc.cancer.gov/cases/59be60a3-e0f6-4d63-b98c-574ef92428c4","TCGA-E2-A15M-01A")</f>
        <v>TCGA-E2-A15M-01A</v>
      </c>
      <c r="I14268" t="s">
        <v>17</v>
      </c>
      <c r="J14268" t="s">
        <v>524</v>
      </c>
      <c r="K14268" t="s">
        <v>33</v>
      </c>
      <c r="L14268" t="s">
        <v>20</v>
      </c>
      <c r="N14268" t="s">
        <v>29</v>
      </c>
    </row>
    <row r="14269" spans="1:14">
      <c r="A14269" s="4" t="str">
        <f t="shared" si="1154"/>
        <v>EXP00414</v>
      </c>
      <c r="B14269" s="3" t="s">
        <v>66</v>
      </c>
      <c r="C14269" s="4" t="str">
        <f t="shared" si="1155"/>
        <v>TCGA-BRCA</v>
      </c>
      <c r="D14269" s="1" t="s">
        <v>493</v>
      </c>
      <c r="E14269" t="s">
        <v>532</v>
      </c>
      <c r="F14269" s="1">
        <v>2</v>
      </c>
      <c r="G14269" s="1" t="s">
        <v>32</v>
      </c>
      <c r="H14269" s="4" t="str">
        <f>HYPERLINK("https://portal.gdc.cancer.gov/cases/eafa45a4-2fd1-4fa3-860c-9d52ed382b7d","TCGA-E2-A15O-01A")</f>
        <v>TCGA-E2-A15O-01A</v>
      </c>
      <c r="I14269" t="s">
        <v>17</v>
      </c>
      <c r="J14269" t="s">
        <v>524</v>
      </c>
      <c r="K14269" t="s">
        <v>33</v>
      </c>
      <c r="L14269" t="s">
        <v>20</v>
      </c>
      <c r="N14269" t="s">
        <v>29</v>
      </c>
    </row>
    <row r="14270" spans="1:14">
      <c r="A14270" s="4" t="str">
        <f t="shared" si="1154"/>
        <v>EXP00414</v>
      </c>
      <c r="B14270" s="3" t="s">
        <v>66</v>
      </c>
      <c r="C14270" s="4" t="str">
        <f t="shared" si="1155"/>
        <v>TCGA-BRCA</v>
      </c>
      <c r="D14270" s="1" t="s">
        <v>493</v>
      </c>
      <c r="E14270" t="s">
        <v>532</v>
      </c>
      <c r="F14270" s="1">
        <v>2</v>
      </c>
      <c r="G14270" s="1" t="s">
        <v>32</v>
      </c>
      <c r="H14270" s="4" t="str">
        <f>HYPERLINK("https://portal.gdc.cancer.gov/cases/a1674d7b-787a-45c4-bf16-1b7d0efce207","TCGA-E2-A15P-01A")</f>
        <v>TCGA-E2-A15P-01A</v>
      </c>
      <c r="I14270" t="s">
        <v>17</v>
      </c>
      <c r="J14270" t="s">
        <v>524</v>
      </c>
      <c r="K14270" t="s">
        <v>33</v>
      </c>
      <c r="L14270" t="s">
        <v>20</v>
      </c>
      <c r="N14270" t="s">
        <v>29</v>
      </c>
    </row>
    <row r="14271" spans="1:14">
      <c r="A14271" s="4" t="str">
        <f t="shared" si="1154"/>
        <v>EXP00414</v>
      </c>
      <c r="B14271" s="3" t="s">
        <v>66</v>
      </c>
      <c r="C14271" s="4" t="str">
        <f t="shared" si="1155"/>
        <v>TCGA-BRCA</v>
      </c>
      <c r="D14271" s="1" t="s">
        <v>493</v>
      </c>
      <c r="E14271" t="s">
        <v>532</v>
      </c>
      <c r="F14271" s="1">
        <v>2</v>
      </c>
      <c r="G14271" s="1" t="s">
        <v>32</v>
      </c>
      <c r="H14271" s="4" t="str">
        <f>HYPERLINK("https://portal.gdc.cancer.gov/cases/33b7bf50-53f4-4839-aa83-9665f85671d8","TCGA-E2-A15R-01A")</f>
        <v>TCGA-E2-A15R-01A</v>
      </c>
      <c r="I14271" t="s">
        <v>17</v>
      </c>
      <c r="J14271" t="s">
        <v>524</v>
      </c>
      <c r="K14271" t="s">
        <v>33</v>
      </c>
      <c r="L14271" t="s">
        <v>20</v>
      </c>
      <c r="N14271" t="s">
        <v>29</v>
      </c>
    </row>
    <row r="14272" spans="1:14">
      <c r="A14272" s="4" t="str">
        <f t="shared" si="1154"/>
        <v>EXP00414</v>
      </c>
      <c r="B14272" s="3" t="s">
        <v>66</v>
      </c>
      <c r="C14272" s="4" t="str">
        <f t="shared" si="1155"/>
        <v>TCGA-BRCA</v>
      </c>
      <c r="D14272" s="1" t="s">
        <v>493</v>
      </c>
      <c r="E14272" t="s">
        <v>532</v>
      </c>
      <c r="F14272" s="1">
        <v>2</v>
      </c>
      <c r="G14272" s="1" t="s">
        <v>32</v>
      </c>
      <c r="H14272" s="4" t="str">
        <f>HYPERLINK("https://portal.gdc.cancer.gov/cases/0f7ab21b-1fd0-45e0-9a47-17c4691eb84f","TCGA-E2-A15S-01A")</f>
        <v>TCGA-E2-A15S-01A</v>
      </c>
      <c r="I14272" t="s">
        <v>17</v>
      </c>
      <c r="J14272" t="s">
        <v>524</v>
      </c>
      <c r="K14272" t="s">
        <v>33</v>
      </c>
      <c r="L14272" t="s">
        <v>20</v>
      </c>
      <c r="N14272" t="s">
        <v>29</v>
      </c>
    </row>
    <row r="14273" spans="1:14">
      <c r="A14273" s="4" t="str">
        <f t="shared" si="1154"/>
        <v>EXP00414</v>
      </c>
      <c r="B14273" s="3" t="s">
        <v>66</v>
      </c>
      <c r="C14273" s="4" t="str">
        <f t="shared" si="1155"/>
        <v>TCGA-BRCA</v>
      </c>
      <c r="D14273" s="1" t="s">
        <v>493</v>
      </c>
      <c r="E14273" t="s">
        <v>532</v>
      </c>
      <c r="F14273" s="1">
        <v>2</v>
      </c>
      <c r="G14273" s="1" t="s">
        <v>32</v>
      </c>
      <c r="H14273" s="4" t="str">
        <f>HYPERLINK("https://portal.gdc.cancer.gov/cases/e68ebfd4-3688-4caa-9e38-7764f9258c30","TCGA-E2-A15T-01A")</f>
        <v>TCGA-E2-A15T-01A</v>
      </c>
      <c r="I14273" t="s">
        <v>17</v>
      </c>
      <c r="J14273" t="s">
        <v>524</v>
      </c>
      <c r="K14273" t="s">
        <v>33</v>
      </c>
      <c r="L14273" t="s">
        <v>20</v>
      </c>
      <c r="N14273" t="s">
        <v>29</v>
      </c>
    </row>
    <row r="14274" spans="1:14">
      <c r="A14274" s="4" t="str">
        <f t="shared" si="1154"/>
        <v>EXP00414</v>
      </c>
      <c r="B14274" s="3" t="s">
        <v>66</v>
      </c>
      <c r="C14274" s="4" t="str">
        <f t="shared" si="1155"/>
        <v>TCGA-BRCA</v>
      </c>
      <c r="D14274" s="1" t="s">
        <v>493</v>
      </c>
      <c r="E14274" t="s">
        <v>532</v>
      </c>
      <c r="F14274" s="1">
        <v>2</v>
      </c>
      <c r="G14274" s="1" t="s">
        <v>32</v>
      </c>
      <c r="H14274" s="4" t="str">
        <f>HYPERLINK("https://portal.gdc.cancer.gov/cases/89128dba-403f-4a96-bb3b-23ed0d5e2147","TCGA-E2-A1AZ-01A")</f>
        <v>TCGA-E2-A1AZ-01A</v>
      </c>
      <c r="I14274" t="s">
        <v>17</v>
      </c>
      <c r="J14274" t="s">
        <v>524</v>
      </c>
      <c r="K14274" t="s">
        <v>33</v>
      </c>
      <c r="L14274" t="s">
        <v>20</v>
      </c>
      <c r="N14274" t="s">
        <v>29</v>
      </c>
    </row>
    <row r="14275" spans="1:14">
      <c r="A14275" s="4" t="str">
        <f t="shared" ref="A14275:A14338" si="1156">HYPERLINK("http://hcmdb.i-sanger.com/experiment/details/experiment_id/EXP00414","EXP00414")</f>
        <v>EXP00414</v>
      </c>
      <c r="B14275" s="3" t="s">
        <v>66</v>
      </c>
      <c r="C14275" s="4" t="str">
        <f t="shared" si="1155"/>
        <v>TCGA-BRCA</v>
      </c>
      <c r="D14275" s="1" t="s">
        <v>493</v>
      </c>
      <c r="E14275" t="s">
        <v>532</v>
      </c>
      <c r="F14275" s="1">
        <v>2</v>
      </c>
      <c r="G14275" s="1" t="s">
        <v>32</v>
      </c>
      <c r="H14275" s="4" t="str">
        <f>HYPERLINK("https://portal.gdc.cancer.gov/cases/996bd3f0-d767-4eff-9c82-99fcb5a3006a","TCGA-E2-A1B0-01A")</f>
        <v>TCGA-E2-A1B0-01A</v>
      </c>
      <c r="I14275" t="s">
        <v>17</v>
      </c>
      <c r="J14275" t="s">
        <v>524</v>
      </c>
      <c r="K14275" t="s">
        <v>33</v>
      </c>
      <c r="L14275" t="s">
        <v>20</v>
      </c>
      <c r="N14275" t="s">
        <v>29</v>
      </c>
    </row>
    <row r="14276" spans="1:14">
      <c r="A14276" s="4" t="str">
        <f t="shared" si="1156"/>
        <v>EXP00414</v>
      </c>
      <c r="B14276" s="3" t="s">
        <v>66</v>
      </c>
      <c r="C14276" s="4" t="str">
        <f t="shared" si="1155"/>
        <v>TCGA-BRCA</v>
      </c>
      <c r="D14276" s="1" t="s">
        <v>493</v>
      </c>
      <c r="E14276" t="s">
        <v>532</v>
      </c>
      <c r="F14276" s="1">
        <v>2</v>
      </c>
      <c r="G14276" s="1" t="s">
        <v>32</v>
      </c>
      <c r="H14276" s="4" t="str">
        <f>HYPERLINK("https://portal.gdc.cancer.gov/cases/8a0ef221-8070-43fc-9d98-def90abe4871","TCGA-E2-A1B1-01A")</f>
        <v>TCGA-E2-A1B1-01A</v>
      </c>
      <c r="I14276" t="s">
        <v>17</v>
      </c>
      <c r="J14276" t="s">
        <v>524</v>
      </c>
      <c r="K14276" t="s">
        <v>33</v>
      </c>
      <c r="L14276" t="s">
        <v>20</v>
      </c>
      <c r="N14276" t="s">
        <v>29</v>
      </c>
    </row>
    <row r="14277" spans="1:14">
      <c r="A14277" s="4" t="str">
        <f t="shared" si="1156"/>
        <v>EXP00414</v>
      </c>
      <c r="B14277" s="3" t="s">
        <v>66</v>
      </c>
      <c r="C14277" s="4" t="str">
        <f t="shared" si="1155"/>
        <v>TCGA-BRCA</v>
      </c>
      <c r="D14277" s="1" t="s">
        <v>493</v>
      </c>
      <c r="E14277" t="s">
        <v>532</v>
      </c>
      <c r="F14277" s="1">
        <v>2</v>
      </c>
      <c r="G14277" s="1" t="s">
        <v>32</v>
      </c>
      <c r="H14277" s="4" t="str">
        <f>HYPERLINK("https://portal.gdc.cancer.gov/cases/dbb2da92-99dd-400c-bc05-e87d7273656c","TCGA-E2-A1B4-01A")</f>
        <v>TCGA-E2-A1B4-01A</v>
      </c>
      <c r="I14277" t="s">
        <v>17</v>
      </c>
      <c r="J14277" t="s">
        <v>524</v>
      </c>
      <c r="K14277" t="s">
        <v>33</v>
      </c>
      <c r="L14277" t="s">
        <v>20</v>
      </c>
      <c r="N14277" t="s">
        <v>29</v>
      </c>
    </row>
    <row r="14278" spans="1:14">
      <c r="A14278" s="4" t="str">
        <f t="shared" si="1156"/>
        <v>EXP00414</v>
      </c>
      <c r="B14278" s="3" t="s">
        <v>66</v>
      </c>
      <c r="C14278" s="4" t="str">
        <f t="shared" si="1155"/>
        <v>TCGA-BRCA</v>
      </c>
      <c r="D14278" s="1" t="s">
        <v>493</v>
      </c>
      <c r="E14278" t="s">
        <v>532</v>
      </c>
      <c r="F14278" s="1">
        <v>2</v>
      </c>
      <c r="G14278" s="1" t="s">
        <v>32</v>
      </c>
      <c r="H14278" s="4" t="str">
        <f>HYPERLINK("https://portal.gdc.cancer.gov/cases/7241b3d4-31ee-4fd2-a4a5-35a9d5f37d6a","TCGA-E2-A1B5-01A")</f>
        <v>TCGA-E2-A1B5-01A</v>
      </c>
      <c r="I14278" t="s">
        <v>17</v>
      </c>
      <c r="J14278" t="s">
        <v>524</v>
      </c>
      <c r="K14278" t="s">
        <v>33</v>
      </c>
      <c r="L14278" t="s">
        <v>20</v>
      </c>
      <c r="N14278" t="s">
        <v>29</v>
      </c>
    </row>
    <row r="14279" spans="1:14">
      <c r="A14279" s="4" t="str">
        <f t="shared" si="1156"/>
        <v>EXP00414</v>
      </c>
      <c r="B14279" s="3" t="s">
        <v>66</v>
      </c>
      <c r="C14279" s="4" t="str">
        <f t="shared" si="1155"/>
        <v>TCGA-BRCA</v>
      </c>
      <c r="D14279" s="1" t="s">
        <v>493</v>
      </c>
      <c r="E14279" t="s">
        <v>532</v>
      </c>
      <c r="F14279" s="1">
        <v>2</v>
      </c>
      <c r="G14279" s="1" t="s">
        <v>32</v>
      </c>
      <c r="H14279" s="4" t="str">
        <f>HYPERLINK("https://portal.gdc.cancer.gov/cases/e0b1bcd2-1139-44b9-98b3-67bcf92bcc39","TCGA-E2-A1B6-01A")</f>
        <v>TCGA-E2-A1B6-01A</v>
      </c>
      <c r="I14279" t="s">
        <v>17</v>
      </c>
      <c r="J14279" t="s">
        <v>524</v>
      </c>
      <c r="K14279" t="s">
        <v>33</v>
      </c>
      <c r="L14279" t="s">
        <v>20</v>
      </c>
      <c r="N14279" t="s">
        <v>29</v>
      </c>
    </row>
    <row r="14280" spans="1:14">
      <c r="A14280" s="4" t="str">
        <f t="shared" si="1156"/>
        <v>EXP00414</v>
      </c>
      <c r="B14280" s="3" t="s">
        <v>66</v>
      </c>
      <c r="C14280" s="4" t="str">
        <f t="shared" si="1155"/>
        <v>TCGA-BRCA</v>
      </c>
      <c r="D14280" s="1" t="s">
        <v>493</v>
      </c>
      <c r="E14280" t="s">
        <v>532</v>
      </c>
      <c r="F14280" s="1">
        <v>2</v>
      </c>
      <c r="G14280" s="1" t="s">
        <v>32</v>
      </c>
      <c r="H14280" s="4" t="str">
        <f>HYPERLINK("https://portal.gdc.cancer.gov/cases/d8492ebd-3d94-4a4b-8de7-386526691cc2","TCGA-E2-A1BC-01A")</f>
        <v>TCGA-E2-A1BC-01A</v>
      </c>
      <c r="I14280" t="s">
        <v>17</v>
      </c>
      <c r="J14280" t="s">
        <v>524</v>
      </c>
      <c r="K14280" t="s">
        <v>33</v>
      </c>
      <c r="L14280" t="s">
        <v>20</v>
      </c>
      <c r="N14280" t="s">
        <v>29</v>
      </c>
    </row>
    <row r="14281" spans="1:14">
      <c r="A14281" s="4" t="str">
        <f t="shared" si="1156"/>
        <v>EXP00414</v>
      </c>
      <c r="B14281" s="3" t="s">
        <v>66</v>
      </c>
      <c r="C14281" s="4" t="str">
        <f t="shared" si="1155"/>
        <v>TCGA-BRCA</v>
      </c>
      <c r="D14281" s="1" t="s">
        <v>493</v>
      </c>
      <c r="E14281" t="s">
        <v>532</v>
      </c>
      <c r="F14281" s="1">
        <v>2</v>
      </c>
      <c r="G14281" s="1" t="s">
        <v>32</v>
      </c>
      <c r="H14281" s="4" t="str">
        <f>HYPERLINK("https://portal.gdc.cancer.gov/cases/0e1d0d46-7a7b-4538-95dd-b9fc20a15aec","TCGA-E2-A1BD-01A")</f>
        <v>TCGA-E2-A1BD-01A</v>
      </c>
      <c r="I14281" t="s">
        <v>17</v>
      </c>
      <c r="J14281" t="s">
        <v>524</v>
      </c>
      <c r="K14281" t="s">
        <v>33</v>
      </c>
      <c r="L14281" t="s">
        <v>20</v>
      </c>
      <c r="N14281" t="s">
        <v>29</v>
      </c>
    </row>
    <row r="14282" spans="1:14">
      <c r="A14282" s="4" t="str">
        <f t="shared" si="1156"/>
        <v>EXP00414</v>
      </c>
      <c r="B14282" s="3" t="s">
        <v>66</v>
      </c>
      <c r="C14282" s="4" t="str">
        <f t="shared" si="1155"/>
        <v>TCGA-BRCA</v>
      </c>
      <c r="D14282" s="1" t="s">
        <v>493</v>
      </c>
      <c r="E14282" t="s">
        <v>532</v>
      </c>
      <c r="F14282" s="1">
        <v>2</v>
      </c>
      <c r="G14282" s="1" t="s">
        <v>32</v>
      </c>
      <c r="H14282" s="4" t="str">
        <f>HYPERLINK("https://portal.gdc.cancer.gov/cases/2d0d7ff4-7866-4ae1-9cf1-a3c7f4cbe48d","TCGA-E2-A1IE-01A")</f>
        <v>TCGA-E2-A1IE-01A</v>
      </c>
      <c r="I14282" t="s">
        <v>17</v>
      </c>
      <c r="J14282" t="s">
        <v>524</v>
      </c>
      <c r="K14282" t="s">
        <v>33</v>
      </c>
      <c r="L14282" t="s">
        <v>20</v>
      </c>
      <c r="N14282" t="s">
        <v>29</v>
      </c>
    </row>
    <row r="14283" spans="1:14">
      <c r="A14283" s="4" t="str">
        <f t="shared" si="1156"/>
        <v>EXP00414</v>
      </c>
      <c r="B14283" s="3" t="s">
        <v>66</v>
      </c>
      <c r="C14283" s="4" t="str">
        <f t="shared" si="1155"/>
        <v>TCGA-BRCA</v>
      </c>
      <c r="D14283" s="1" t="s">
        <v>493</v>
      </c>
      <c r="E14283" t="s">
        <v>532</v>
      </c>
      <c r="F14283" s="1">
        <v>2</v>
      </c>
      <c r="G14283" s="1" t="s">
        <v>32</v>
      </c>
      <c r="H14283" s="4" t="str">
        <f>HYPERLINK("https://portal.gdc.cancer.gov/cases/718db047-9f32-48c4-98c9-515218441bca","TCGA-E2-A1IF-01A")</f>
        <v>TCGA-E2-A1IF-01A</v>
      </c>
      <c r="I14283" t="s">
        <v>17</v>
      </c>
      <c r="J14283" t="s">
        <v>524</v>
      </c>
      <c r="K14283" t="s">
        <v>33</v>
      </c>
      <c r="L14283" t="s">
        <v>20</v>
      </c>
      <c r="N14283" t="s">
        <v>29</v>
      </c>
    </row>
    <row r="14284" spans="1:14">
      <c r="A14284" s="4" t="str">
        <f t="shared" si="1156"/>
        <v>EXP00414</v>
      </c>
      <c r="B14284" s="3" t="s">
        <v>66</v>
      </c>
      <c r="C14284" s="4" t="str">
        <f t="shared" si="1155"/>
        <v>TCGA-BRCA</v>
      </c>
      <c r="D14284" s="1" t="s">
        <v>493</v>
      </c>
      <c r="E14284" t="s">
        <v>532</v>
      </c>
      <c r="F14284" s="1">
        <v>2</v>
      </c>
      <c r="G14284" s="1" t="s">
        <v>32</v>
      </c>
      <c r="H14284" s="4" t="str">
        <f>HYPERLINK("https://portal.gdc.cancer.gov/cases/bc0bc70f-c6cf-4dbc-9dc3-8b7bc5f381a4","TCGA-E2-A1IG-01A")</f>
        <v>TCGA-E2-A1IG-01A</v>
      </c>
      <c r="I14284" t="s">
        <v>17</v>
      </c>
      <c r="J14284" t="s">
        <v>524</v>
      </c>
      <c r="K14284" t="s">
        <v>33</v>
      </c>
      <c r="L14284" t="s">
        <v>20</v>
      </c>
      <c r="N14284" t="s">
        <v>29</v>
      </c>
    </row>
    <row r="14285" spans="1:14">
      <c r="A14285" s="4" t="str">
        <f t="shared" si="1156"/>
        <v>EXP00414</v>
      </c>
      <c r="B14285" s="3" t="s">
        <v>66</v>
      </c>
      <c r="C14285" s="4" t="str">
        <f t="shared" si="1155"/>
        <v>TCGA-BRCA</v>
      </c>
      <c r="D14285" s="1" t="s">
        <v>493</v>
      </c>
      <c r="E14285" t="s">
        <v>532</v>
      </c>
      <c r="F14285" s="1">
        <v>2</v>
      </c>
      <c r="G14285" s="1" t="s">
        <v>32</v>
      </c>
      <c r="H14285" s="4" t="str">
        <f>HYPERLINK("https://portal.gdc.cancer.gov/cases/ec0155ab-1b14-498d-8fa9-9f63e3ccb990","TCGA-E2-A1IH-01A")</f>
        <v>TCGA-E2-A1IH-01A</v>
      </c>
      <c r="I14285" t="s">
        <v>17</v>
      </c>
      <c r="J14285" t="s">
        <v>524</v>
      </c>
      <c r="K14285" t="s">
        <v>33</v>
      </c>
      <c r="L14285" t="s">
        <v>20</v>
      </c>
      <c r="N14285" t="s">
        <v>29</v>
      </c>
    </row>
    <row r="14286" spans="1:14">
      <c r="A14286" s="4" t="str">
        <f t="shared" si="1156"/>
        <v>EXP00414</v>
      </c>
      <c r="B14286" s="3" t="s">
        <v>66</v>
      </c>
      <c r="C14286" s="4" t="str">
        <f t="shared" si="1155"/>
        <v>TCGA-BRCA</v>
      </c>
      <c r="D14286" s="1" t="s">
        <v>493</v>
      </c>
      <c r="E14286" t="s">
        <v>532</v>
      </c>
      <c r="F14286" s="1">
        <v>2</v>
      </c>
      <c r="G14286" s="1" t="s">
        <v>32</v>
      </c>
      <c r="H14286" s="4" t="str">
        <f>HYPERLINK("https://portal.gdc.cancer.gov/cases/0fe1419e-a005-407c-8ae7-15c4c1579539","TCGA-E2-A1II-01A")</f>
        <v>TCGA-E2-A1II-01A</v>
      </c>
      <c r="I14286" t="s">
        <v>17</v>
      </c>
      <c r="J14286" t="s">
        <v>524</v>
      </c>
      <c r="K14286" t="s">
        <v>33</v>
      </c>
      <c r="L14286" t="s">
        <v>20</v>
      </c>
      <c r="N14286" t="s">
        <v>29</v>
      </c>
    </row>
    <row r="14287" spans="1:14">
      <c r="A14287" s="4" t="str">
        <f t="shared" si="1156"/>
        <v>EXP00414</v>
      </c>
      <c r="B14287" s="3" t="s">
        <v>66</v>
      </c>
      <c r="C14287" s="4" t="str">
        <f t="shared" si="1155"/>
        <v>TCGA-BRCA</v>
      </c>
      <c r="D14287" s="1" t="s">
        <v>493</v>
      </c>
      <c r="E14287" t="s">
        <v>532</v>
      </c>
      <c r="F14287" s="1">
        <v>2</v>
      </c>
      <c r="G14287" s="1" t="s">
        <v>32</v>
      </c>
      <c r="H14287" s="4" t="str">
        <f>HYPERLINK("https://portal.gdc.cancer.gov/cases/b09643c2-ded5-4346-b3c5-90a48f88a02e","TCGA-E2-A1IJ-01A")</f>
        <v>TCGA-E2-A1IJ-01A</v>
      </c>
      <c r="I14287" t="s">
        <v>17</v>
      </c>
      <c r="J14287" t="s">
        <v>524</v>
      </c>
      <c r="K14287" t="s">
        <v>33</v>
      </c>
      <c r="L14287" t="s">
        <v>20</v>
      </c>
      <c r="N14287" t="s">
        <v>29</v>
      </c>
    </row>
    <row r="14288" spans="1:14">
      <c r="A14288" s="4" t="str">
        <f t="shared" si="1156"/>
        <v>EXP00414</v>
      </c>
      <c r="B14288" s="3" t="s">
        <v>66</v>
      </c>
      <c r="C14288" s="4" t="str">
        <f t="shared" si="1155"/>
        <v>TCGA-BRCA</v>
      </c>
      <c r="D14288" s="1" t="s">
        <v>493</v>
      </c>
      <c r="E14288" t="s">
        <v>532</v>
      </c>
      <c r="F14288" s="1">
        <v>2</v>
      </c>
      <c r="G14288" s="1" t="s">
        <v>32</v>
      </c>
      <c r="H14288" s="4" t="str">
        <f>HYPERLINK("https://portal.gdc.cancer.gov/cases/becedbfd-b2aa-4dde-b7f4-29e6f59ec32c","TCGA-E2-A1IK-01A")</f>
        <v>TCGA-E2-A1IK-01A</v>
      </c>
      <c r="I14288" t="s">
        <v>17</v>
      </c>
      <c r="J14288" t="s">
        <v>524</v>
      </c>
      <c r="K14288" t="s">
        <v>33</v>
      </c>
      <c r="L14288" t="s">
        <v>20</v>
      </c>
      <c r="N14288" t="s">
        <v>29</v>
      </c>
    </row>
    <row r="14289" spans="1:14">
      <c r="A14289" s="4" t="str">
        <f t="shared" si="1156"/>
        <v>EXP00414</v>
      </c>
      <c r="B14289" s="3" t="s">
        <v>66</v>
      </c>
      <c r="C14289" s="4" t="str">
        <f t="shared" si="1155"/>
        <v>TCGA-BRCA</v>
      </c>
      <c r="D14289" s="1" t="s">
        <v>493</v>
      </c>
      <c r="E14289" t="s">
        <v>532</v>
      </c>
      <c r="F14289" s="1">
        <v>2</v>
      </c>
      <c r="G14289" s="1" t="s">
        <v>32</v>
      </c>
      <c r="H14289" s="4" t="str">
        <f>HYPERLINK("https://portal.gdc.cancer.gov/cases/b63391a0-73f8-4544-9e94-f6529245ca2a","TCGA-E2-A1IL-01A")</f>
        <v>TCGA-E2-A1IL-01A</v>
      </c>
      <c r="I14289" t="s">
        <v>17</v>
      </c>
      <c r="J14289" t="s">
        <v>524</v>
      </c>
      <c r="K14289" t="s">
        <v>33</v>
      </c>
      <c r="L14289" t="s">
        <v>20</v>
      </c>
      <c r="N14289" t="s">
        <v>29</v>
      </c>
    </row>
    <row r="14290" spans="1:14">
      <c r="A14290" s="4" t="str">
        <f t="shared" si="1156"/>
        <v>EXP00414</v>
      </c>
      <c r="B14290" s="3" t="s">
        <v>66</v>
      </c>
      <c r="C14290" s="4" t="str">
        <f t="shared" si="1155"/>
        <v>TCGA-BRCA</v>
      </c>
      <c r="D14290" s="1" t="s">
        <v>493</v>
      </c>
      <c r="E14290" t="s">
        <v>532</v>
      </c>
      <c r="F14290" s="1">
        <v>2</v>
      </c>
      <c r="G14290" s="1" t="s">
        <v>32</v>
      </c>
      <c r="H14290" s="4" t="str">
        <f>HYPERLINK("https://portal.gdc.cancer.gov/cases/f43d622f-eed5-4933-adc6-ae9ad1e33028","TCGA-E2-A1IN-01A")</f>
        <v>TCGA-E2-A1IN-01A</v>
      </c>
      <c r="I14290" t="s">
        <v>17</v>
      </c>
      <c r="J14290" t="s">
        <v>524</v>
      </c>
      <c r="K14290" t="s">
        <v>33</v>
      </c>
      <c r="L14290" t="s">
        <v>20</v>
      </c>
      <c r="N14290" t="s">
        <v>29</v>
      </c>
    </row>
    <row r="14291" spans="1:14">
      <c r="A14291" s="4" t="str">
        <f t="shared" si="1156"/>
        <v>EXP00414</v>
      </c>
      <c r="B14291" s="3" t="s">
        <v>66</v>
      </c>
      <c r="C14291" s="4" t="str">
        <f t="shared" si="1155"/>
        <v>TCGA-BRCA</v>
      </c>
      <c r="D14291" s="1" t="s">
        <v>493</v>
      </c>
      <c r="E14291" t="s">
        <v>532</v>
      </c>
      <c r="F14291" s="1">
        <v>2</v>
      </c>
      <c r="G14291" s="1" t="s">
        <v>32</v>
      </c>
      <c r="H14291" s="4" t="str">
        <f>HYPERLINK("https://portal.gdc.cancer.gov/cases/71fc8941-4cfb-47ea-a533-873d38f8c95c","TCGA-E2-A1IO-01A")</f>
        <v>TCGA-E2-A1IO-01A</v>
      </c>
      <c r="I14291" t="s">
        <v>17</v>
      </c>
      <c r="J14291" t="s">
        <v>524</v>
      </c>
      <c r="K14291" t="s">
        <v>33</v>
      </c>
      <c r="L14291" t="s">
        <v>20</v>
      </c>
      <c r="N14291" t="s">
        <v>29</v>
      </c>
    </row>
    <row r="14292" spans="1:14">
      <c r="A14292" s="4" t="str">
        <f t="shared" si="1156"/>
        <v>EXP00414</v>
      </c>
      <c r="B14292" s="3" t="s">
        <v>66</v>
      </c>
      <c r="C14292" s="4" t="str">
        <f t="shared" si="1155"/>
        <v>TCGA-BRCA</v>
      </c>
      <c r="D14292" s="1" t="s">
        <v>493</v>
      </c>
      <c r="E14292" t="s">
        <v>532</v>
      </c>
      <c r="F14292" s="1">
        <v>2</v>
      </c>
      <c r="G14292" s="1" t="s">
        <v>32</v>
      </c>
      <c r="H14292" s="4" t="str">
        <f>HYPERLINK("https://portal.gdc.cancer.gov/cases/001cef41-ff86-4d3f-a140-a647ac4b10a1","TCGA-E2-A1IU-01A")</f>
        <v>TCGA-E2-A1IU-01A</v>
      </c>
      <c r="I14292" t="s">
        <v>17</v>
      </c>
      <c r="J14292" t="s">
        <v>524</v>
      </c>
      <c r="K14292" t="s">
        <v>33</v>
      </c>
      <c r="L14292" t="s">
        <v>20</v>
      </c>
      <c r="N14292" t="s">
        <v>29</v>
      </c>
    </row>
    <row r="14293" spans="1:14">
      <c r="A14293" s="4" t="str">
        <f t="shared" si="1156"/>
        <v>EXP00414</v>
      </c>
      <c r="B14293" s="3" t="s">
        <v>66</v>
      </c>
      <c r="C14293" s="4" t="str">
        <f t="shared" si="1155"/>
        <v>TCGA-BRCA</v>
      </c>
      <c r="D14293" s="1" t="s">
        <v>493</v>
      </c>
      <c r="E14293" t="s">
        <v>532</v>
      </c>
      <c r="F14293" s="1">
        <v>2</v>
      </c>
      <c r="G14293" s="1" t="s">
        <v>32</v>
      </c>
      <c r="H14293" s="4" t="str">
        <f>HYPERLINK("https://portal.gdc.cancer.gov/cases/2e32f31f-9817-4935-b259-96c59936ee33","TCGA-E2-A1L6-01A")</f>
        <v>TCGA-E2-A1L6-01A</v>
      </c>
      <c r="I14293" t="s">
        <v>17</v>
      </c>
      <c r="J14293" t="s">
        <v>524</v>
      </c>
      <c r="K14293" t="s">
        <v>33</v>
      </c>
      <c r="L14293" t="s">
        <v>20</v>
      </c>
      <c r="N14293" t="s">
        <v>29</v>
      </c>
    </row>
    <row r="14294" spans="1:14">
      <c r="A14294" s="4" t="str">
        <f t="shared" si="1156"/>
        <v>EXP00414</v>
      </c>
      <c r="B14294" s="3" t="s">
        <v>66</v>
      </c>
      <c r="C14294" s="4" t="str">
        <f t="shared" si="1155"/>
        <v>TCGA-BRCA</v>
      </c>
      <c r="D14294" s="1" t="s">
        <v>493</v>
      </c>
      <c r="E14294" t="s">
        <v>532</v>
      </c>
      <c r="F14294" s="1">
        <v>2</v>
      </c>
      <c r="G14294" s="1" t="s">
        <v>32</v>
      </c>
      <c r="H14294" s="4" t="str">
        <f>HYPERLINK("https://portal.gdc.cancer.gov/cases/791c5768-f0f5-4ab6-86eb-998e5c4b49e3","TCGA-E2-A1L7-01A")</f>
        <v>TCGA-E2-A1L7-01A</v>
      </c>
      <c r="I14294" t="s">
        <v>17</v>
      </c>
      <c r="J14294" t="s">
        <v>524</v>
      </c>
      <c r="K14294" t="s">
        <v>33</v>
      </c>
      <c r="L14294" t="s">
        <v>20</v>
      </c>
      <c r="N14294" t="s">
        <v>29</v>
      </c>
    </row>
    <row r="14295" spans="1:14">
      <c r="A14295" s="4" t="str">
        <f t="shared" si="1156"/>
        <v>EXP00414</v>
      </c>
      <c r="B14295" s="3" t="s">
        <v>66</v>
      </c>
      <c r="C14295" s="4" t="str">
        <f t="shared" si="1155"/>
        <v>TCGA-BRCA</v>
      </c>
      <c r="D14295" s="1" t="s">
        <v>493</v>
      </c>
      <c r="E14295" t="s">
        <v>532</v>
      </c>
      <c r="F14295" s="1">
        <v>2</v>
      </c>
      <c r="G14295" s="1" t="s">
        <v>32</v>
      </c>
      <c r="H14295" s="4" t="str">
        <f>HYPERLINK("https://portal.gdc.cancer.gov/cases/eebad74f-5961-4e91-b0eb-157a2f6f952b","TCGA-E2-A1L8-01A")</f>
        <v>TCGA-E2-A1L8-01A</v>
      </c>
      <c r="I14295" t="s">
        <v>17</v>
      </c>
      <c r="J14295" t="s">
        <v>524</v>
      </c>
      <c r="K14295" t="s">
        <v>33</v>
      </c>
      <c r="L14295" t="s">
        <v>20</v>
      </c>
      <c r="N14295" t="s">
        <v>29</v>
      </c>
    </row>
    <row r="14296" spans="1:14">
      <c r="A14296" s="4" t="str">
        <f t="shared" si="1156"/>
        <v>EXP00414</v>
      </c>
      <c r="B14296" s="3" t="s">
        <v>66</v>
      </c>
      <c r="C14296" s="4" t="str">
        <f t="shared" si="1155"/>
        <v>TCGA-BRCA</v>
      </c>
      <c r="D14296" s="1" t="s">
        <v>493</v>
      </c>
      <c r="E14296" t="s">
        <v>532</v>
      </c>
      <c r="F14296" s="1">
        <v>2</v>
      </c>
      <c r="G14296" s="1" t="s">
        <v>32</v>
      </c>
      <c r="H14296" s="4" t="str">
        <f>HYPERLINK("https://portal.gdc.cancer.gov/cases/5ea18514-51ad-4844-abea-15e82f0b10c9","TCGA-E2-A1L9-01A")</f>
        <v>TCGA-E2-A1L9-01A</v>
      </c>
      <c r="I14296" t="s">
        <v>17</v>
      </c>
      <c r="J14296" t="s">
        <v>524</v>
      </c>
      <c r="K14296" t="s">
        <v>33</v>
      </c>
      <c r="L14296" t="s">
        <v>20</v>
      </c>
      <c r="N14296" t="s">
        <v>29</v>
      </c>
    </row>
    <row r="14297" spans="1:14">
      <c r="A14297" s="4" t="str">
        <f t="shared" si="1156"/>
        <v>EXP00414</v>
      </c>
      <c r="B14297" s="3" t="s">
        <v>66</v>
      </c>
      <c r="C14297" s="4" t="str">
        <f t="shared" si="1155"/>
        <v>TCGA-BRCA</v>
      </c>
      <c r="D14297" s="1" t="s">
        <v>493</v>
      </c>
      <c r="E14297" t="s">
        <v>532</v>
      </c>
      <c r="F14297" s="1">
        <v>2</v>
      </c>
      <c r="G14297" s="1" t="s">
        <v>32</v>
      </c>
      <c r="H14297" s="4" t="str">
        <f>HYPERLINK("https://portal.gdc.cancer.gov/cases/ce9e0309-9756-42d2-ae94-d91264a79498","TCGA-E2-A1LA-01A")</f>
        <v>TCGA-E2-A1LA-01A</v>
      </c>
      <c r="I14297" t="s">
        <v>17</v>
      </c>
      <c r="J14297" t="s">
        <v>524</v>
      </c>
      <c r="K14297" t="s">
        <v>33</v>
      </c>
      <c r="L14297" t="s">
        <v>20</v>
      </c>
      <c r="N14297" t="s">
        <v>29</v>
      </c>
    </row>
    <row r="14298" spans="1:14">
      <c r="A14298" s="4" t="str">
        <f t="shared" si="1156"/>
        <v>EXP00414</v>
      </c>
      <c r="B14298" s="3" t="s">
        <v>66</v>
      </c>
      <c r="C14298" s="4" t="str">
        <f t="shared" si="1155"/>
        <v>TCGA-BRCA</v>
      </c>
      <c r="D14298" s="1" t="s">
        <v>493</v>
      </c>
      <c r="E14298" t="s">
        <v>532</v>
      </c>
      <c r="F14298" s="1">
        <v>2</v>
      </c>
      <c r="G14298" s="1" t="s">
        <v>32</v>
      </c>
      <c r="H14298" s="4" t="str">
        <f>HYPERLINK("https://portal.gdc.cancer.gov/cases/fa176764-a76f-44c7-b97a-cd6d21e052be","TCGA-E2-A1LB-01A")</f>
        <v>TCGA-E2-A1LB-01A</v>
      </c>
      <c r="I14298" t="s">
        <v>17</v>
      </c>
      <c r="J14298" t="s">
        <v>524</v>
      </c>
      <c r="K14298" t="s">
        <v>33</v>
      </c>
      <c r="L14298" t="s">
        <v>20</v>
      </c>
      <c r="N14298" t="s">
        <v>29</v>
      </c>
    </row>
    <row r="14299" spans="1:14">
      <c r="A14299" s="4" t="str">
        <f t="shared" si="1156"/>
        <v>EXP00414</v>
      </c>
      <c r="B14299" s="3" t="s">
        <v>66</v>
      </c>
      <c r="C14299" s="4" t="str">
        <f t="shared" si="1155"/>
        <v>TCGA-BRCA</v>
      </c>
      <c r="D14299" s="1" t="s">
        <v>493</v>
      </c>
      <c r="E14299" t="s">
        <v>532</v>
      </c>
      <c r="F14299" s="1">
        <v>2</v>
      </c>
      <c r="G14299" s="1" t="s">
        <v>32</v>
      </c>
      <c r="H14299" s="4" t="str">
        <f>HYPERLINK("https://portal.gdc.cancer.gov/cases/7317e605-93ba-49a9-8743-20613b02767a","TCGA-E2-A1LE-01A")</f>
        <v>TCGA-E2-A1LE-01A</v>
      </c>
      <c r="I14299" t="s">
        <v>17</v>
      </c>
      <c r="J14299" t="s">
        <v>524</v>
      </c>
      <c r="K14299" t="s">
        <v>33</v>
      </c>
      <c r="L14299" t="s">
        <v>20</v>
      </c>
      <c r="N14299" t="s">
        <v>29</v>
      </c>
    </row>
    <row r="14300" spans="1:14">
      <c r="A14300" s="4" t="str">
        <f t="shared" si="1156"/>
        <v>EXP00414</v>
      </c>
      <c r="B14300" s="3" t="s">
        <v>66</v>
      </c>
      <c r="C14300" s="4" t="str">
        <f t="shared" si="1155"/>
        <v>TCGA-BRCA</v>
      </c>
      <c r="D14300" s="1" t="s">
        <v>493</v>
      </c>
      <c r="E14300" t="s">
        <v>532</v>
      </c>
      <c r="F14300" s="1">
        <v>2</v>
      </c>
      <c r="G14300" s="1" t="s">
        <v>32</v>
      </c>
      <c r="H14300" s="4" t="str">
        <f>HYPERLINK("https://portal.gdc.cancer.gov/cases/ef4cbd38-bc79-4d60-a715-647edd2ebe9e","TCGA-E2-A1LG-01A")</f>
        <v>TCGA-E2-A1LG-01A</v>
      </c>
      <c r="I14300" t="s">
        <v>17</v>
      </c>
      <c r="J14300" t="s">
        <v>524</v>
      </c>
      <c r="K14300" t="s">
        <v>33</v>
      </c>
      <c r="L14300" t="s">
        <v>20</v>
      </c>
      <c r="N14300" t="s">
        <v>29</v>
      </c>
    </row>
    <row r="14301" spans="1:14">
      <c r="A14301" s="4" t="str">
        <f t="shared" si="1156"/>
        <v>EXP00414</v>
      </c>
      <c r="B14301" s="3" t="s">
        <v>66</v>
      </c>
      <c r="C14301" s="4" t="str">
        <f t="shared" si="1155"/>
        <v>TCGA-BRCA</v>
      </c>
      <c r="D14301" s="1" t="s">
        <v>493</v>
      </c>
      <c r="E14301" t="s">
        <v>532</v>
      </c>
      <c r="F14301" s="1">
        <v>2</v>
      </c>
      <c r="G14301" s="1" t="s">
        <v>32</v>
      </c>
      <c r="H14301" s="4" t="str">
        <f>HYPERLINK("https://portal.gdc.cancer.gov/cases/d8ecba6a-9fff-4993-a799-9a8d2aea524e","TCGA-E2-A1LH-01A")</f>
        <v>TCGA-E2-A1LH-01A</v>
      </c>
      <c r="I14301" t="s">
        <v>17</v>
      </c>
      <c r="J14301" t="s">
        <v>524</v>
      </c>
      <c r="K14301" t="s">
        <v>33</v>
      </c>
      <c r="L14301" t="s">
        <v>20</v>
      </c>
      <c r="N14301" t="s">
        <v>29</v>
      </c>
    </row>
    <row r="14302" spans="1:14">
      <c r="A14302" s="4" t="str">
        <f t="shared" si="1156"/>
        <v>EXP00414</v>
      </c>
      <c r="B14302" s="3" t="s">
        <v>66</v>
      </c>
      <c r="C14302" s="4" t="str">
        <f t="shared" si="1155"/>
        <v>TCGA-BRCA</v>
      </c>
      <c r="D14302" s="1" t="s">
        <v>493</v>
      </c>
      <c r="E14302" t="s">
        <v>532</v>
      </c>
      <c r="F14302" s="1">
        <v>2</v>
      </c>
      <c r="G14302" s="1" t="s">
        <v>32</v>
      </c>
      <c r="H14302" s="4" t="str">
        <f>HYPERLINK("https://portal.gdc.cancer.gov/cases/3558dec7-eae3-4a41-a217-266c6a4535fb","TCGA-E2-A1LI-01A")</f>
        <v>TCGA-E2-A1LI-01A</v>
      </c>
      <c r="I14302" t="s">
        <v>17</v>
      </c>
      <c r="J14302" t="s">
        <v>524</v>
      </c>
      <c r="K14302" t="s">
        <v>33</v>
      </c>
      <c r="L14302" t="s">
        <v>20</v>
      </c>
      <c r="N14302" t="s">
        <v>29</v>
      </c>
    </row>
    <row r="14303" spans="1:14">
      <c r="A14303" s="4" t="str">
        <f t="shared" si="1156"/>
        <v>EXP00414</v>
      </c>
      <c r="B14303" s="3" t="s">
        <v>66</v>
      </c>
      <c r="C14303" s="4" t="str">
        <f t="shared" si="1155"/>
        <v>TCGA-BRCA</v>
      </c>
      <c r="D14303" s="1" t="s">
        <v>493</v>
      </c>
      <c r="E14303" t="s">
        <v>532</v>
      </c>
      <c r="F14303" s="1">
        <v>2</v>
      </c>
      <c r="G14303" s="1" t="s">
        <v>32</v>
      </c>
      <c r="H14303" s="4" t="str">
        <f>HYPERLINK("https://portal.gdc.cancer.gov/cases/1d27253f-b036-44e7-a04d-8da5bbf57419","TCGA-E2-A1LK-01A")</f>
        <v>TCGA-E2-A1LK-01A</v>
      </c>
      <c r="I14303" t="s">
        <v>17</v>
      </c>
      <c r="J14303" t="s">
        <v>524</v>
      </c>
      <c r="K14303" t="s">
        <v>33</v>
      </c>
      <c r="L14303" t="s">
        <v>20</v>
      </c>
      <c r="N14303" t="s">
        <v>29</v>
      </c>
    </row>
    <row r="14304" spans="1:14">
      <c r="A14304" s="4" t="str">
        <f t="shared" si="1156"/>
        <v>EXP00414</v>
      </c>
      <c r="B14304" s="3" t="s">
        <v>66</v>
      </c>
      <c r="C14304" s="4" t="str">
        <f t="shared" si="1155"/>
        <v>TCGA-BRCA</v>
      </c>
      <c r="D14304" s="1" t="s">
        <v>493</v>
      </c>
      <c r="E14304" t="s">
        <v>532</v>
      </c>
      <c r="F14304" s="1">
        <v>2</v>
      </c>
      <c r="G14304" s="1" t="s">
        <v>32</v>
      </c>
      <c r="H14304" s="4" t="str">
        <f>HYPERLINK("https://portal.gdc.cancer.gov/cases/2a84997d-ccee-4f46-bea2-752534f26416","TCGA-E2-A1LL-01A")</f>
        <v>TCGA-E2-A1LL-01A</v>
      </c>
      <c r="I14304" t="s">
        <v>17</v>
      </c>
      <c r="J14304" t="s">
        <v>524</v>
      </c>
      <c r="K14304" t="s">
        <v>33</v>
      </c>
      <c r="L14304" t="s">
        <v>20</v>
      </c>
      <c r="N14304" t="s">
        <v>29</v>
      </c>
    </row>
    <row r="14305" spans="1:14">
      <c r="A14305" s="4" t="str">
        <f t="shared" si="1156"/>
        <v>EXP00414</v>
      </c>
      <c r="B14305" s="3" t="s">
        <v>66</v>
      </c>
      <c r="C14305" s="4" t="str">
        <f t="shared" si="1155"/>
        <v>TCGA-BRCA</v>
      </c>
      <c r="D14305" s="1" t="s">
        <v>493</v>
      </c>
      <c r="E14305" t="s">
        <v>532</v>
      </c>
      <c r="F14305" s="1">
        <v>2</v>
      </c>
      <c r="G14305" s="1" t="s">
        <v>32</v>
      </c>
      <c r="H14305" s="4" t="str">
        <f>HYPERLINK("https://portal.gdc.cancer.gov/cases/91a2f2af-e4b1-4a0b-ab20-6a36ce63c533","TCGA-E2-A1LS-01A")</f>
        <v>TCGA-E2-A1LS-01A</v>
      </c>
      <c r="I14305" t="s">
        <v>17</v>
      </c>
      <c r="J14305" t="s">
        <v>524</v>
      </c>
      <c r="K14305" t="s">
        <v>33</v>
      </c>
      <c r="L14305" t="s">
        <v>20</v>
      </c>
      <c r="N14305" t="s">
        <v>29</v>
      </c>
    </row>
    <row r="14306" spans="1:14">
      <c r="A14306" s="4" t="str">
        <f t="shared" si="1156"/>
        <v>EXP00414</v>
      </c>
      <c r="B14306" s="3" t="s">
        <v>66</v>
      </c>
      <c r="C14306" s="4" t="str">
        <f t="shared" si="1155"/>
        <v>TCGA-BRCA</v>
      </c>
      <c r="D14306" s="1" t="s">
        <v>493</v>
      </c>
      <c r="E14306" t="s">
        <v>532</v>
      </c>
      <c r="F14306" s="1">
        <v>2</v>
      </c>
      <c r="G14306" s="1" t="s">
        <v>32</v>
      </c>
      <c r="H14306" s="4" t="str">
        <f>HYPERLINK("https://portal.gdc.cancer.gov/cases/f0de67ff-8967-4fce-9c12-0e07193285cd","TCGA-E2-A2P5-01A")</f>
        <v>TCGA-E2-A2P5-01A</v>
      </c>
      <c r="I14306" t="s">
        <v>17</v>
      </c>
      <c r="J14306" t="s">
        <v>524</v>
      </c>
      <c r="K14306" t="s">
        <v>33</v>
      </c>
      <c r="L14306" t="s">
        <v>20</v>
      </c>
      <c r="N14306" t="s">
        <v>29</v>
      </c>
    </row>
    <row r="14307" spans="1:14">
      <c r="A14307" s="4" t="str">
        <f t="shared" si="1156"/>
        <v>EXP00414</v>
      </c>
      <c r="B14307" s="3" t="s">
        <v>66</v>
      </c>
      <c r="C14307" s="4" t="str">
        <f t="shared" si="1155"/>
        <v>TCGA-BRCA</v>
      </c>
      <c r="D14307" s="1" t="s">
        <v>493</v>
      </c>
      <c r="E14307" t="s">
        <v>532</v>
      </c>
      <c r="F14307" s="1">
        <v>2</v>
      </c>
      <c r="G14307" s="1" t="s">
        <v>32</v>
      </c>
      <c r="H14307" s="4" t="str">
        <f>HYPERLINK("https://portal.gdc.cancer.gov/cases/f83b866b-0b2e-4bba-9367-be6dccf56232","TCGA-E2-A2P6-01A")</f>
        <v>TCGA-E2-A2P6-01A</v>
      </c>
      <c r="I14307" t="s">
        <v>17</v>
      </c>
      <c r="J14307" t="s">
        <v>524</v>
      </c>
      <c r="K14307" t="s">
        <v>33</v>
      </c>
      <c r="L14307" t="s">
        <v>20</v>
      </c>
      <c r="N14307" t="s">
        <v>29</v>
      </c>
    </row>
    <row r="14308" spans="1:14">
      <c r="A14308" s="4" t="str">
        <f t="shared" si="1156"/>
        <v>EXP00414</v>
      </c>
      <c r="B14308" s="3" t="s">
        <v>66</v>
      </c>
      <c r="C14308" s="4" t="str">
        <f t="shared" si="1155"/>
        <v>TCGA-BRCA</v>
      </c>
      <c r="D14308" s="1" t="s">
        <v>493</v>
      </c>
      <c r="E14308" t="s">
        <v>532</v>
      </c>
      <c r="F14308" s="1">
        <v>2</v>
      </c>
      <c r="G14308" s="1" t="s">
        <v>32</v>
      </c>
      <c r="H14308" s="4" t="str">
        <f>HYPERLINK("https://portal.gdc.cancer.gov/cases/31427699-e27a-4035-8925-6d8d6900d097","TCGA-E2-A3DX-01A")</f>
        <v>TCGA-E2-A3DX-01A</v>
      </c>
      <c r="I14308" t="s">
        <v>17</v>
      </c>
      <c r="J14308" t="s">
        <v>524</v>
      </c>
      <c r="K14308" t="s">
        <v>33</v>
      </c>
      <c r="L14308" t="s">
        <v>20</v>
      </c>
      <c r="N14308" t="s">
        <v>29</v>
      </c>
    </row>
    <row r="14309" spans="1:14">
      <c r="A14309" s="4" t="str">
        <f t="shared" si="1156"/>
        <v>EXP00414</v>
      </c>
      <c r="B14309" s="3" t="s">
        <v>66</v>
      </c>
      <c r="C14309" s="4" t="str">
        <f t="shared" si="1155"/>
        <v>TCGA-BRCA</v>
      </c>
      <c r="D14309" s="1" t="s">
        <v>493</v>
      </c>
      <c r="E14309" t="s">
        <v>532</v>
      </c>
      <c r="F14309" s="1">
        <v>2</v>
      </c>
      <c r="G14309" s="1" t="s">
        <v>32</v>
      </c>
      <c r="H14309" s="4" t="str">
        <f>HYPERLINK("https://portal.gdc.cancer.gov/cases/45c3975c-d333-4237-93f7-e12dc2451c38","TCGA-E2-A56Z-01A")</f>
        <v>TCGA-E2-A56Z-01A</v>
      </c>
      <c r="I14309" t="s">
        <v>17</v>
      </c>
      <c r="J14309" t="s">
        <v>524</v>
      </c>
      <c r="K14309" t="s">
        <v>33</v>
      </c>
      <c r="L14309" t="s">
        <v>20</v>
      </c>
      <c r="N14309" t="s">
        <v>29</v>
      </c>
    </row>
    <row r="14310" spans="1:14">
      <c r="A14310" s="4" t="str">
        <f t="shared" si="1156"/>
        <v>EXP00414</v>
      </c>
      <c r="B14310" s="3" t="s">
        <v>66</v>
      </c>
      <c r="C14310" s="4" t="str">
        <f t="shared" si="1155"/>
        <v>TCGA-BRCA</v>
      </c>
      <c r="D14310" s="1" t="s">
        <v>493</v>
      </c>
      <c r="E14310" t="s">
        <v>532</v>
      </c>
      <c r="F14310" s="1">
        <v>2</v>
      </c>
      <c r="G14310" s="1" t="s">
        <v>32</v>
      </c>
      <c r="H14310" s="4" t="str">
        <f>HYPERLINK("https://portal.gdc.cancer.gov/cases/cdd8c046-fd97-482a-a11f-2217b321c4d1","TCGA-E2-A570-01A")</f>
        <v>TCGA-E2-A570-01A</v>
      </c>
      <c r="I14310" t="s">
        <v>17</v>
      </c>
      <c r="J14310" t="s">
        <v>524</v>
      </c>
      <c r="K14310" t="s">
        <v>33</v>
      </c>
      <c r="L14310" t="s">
        <v>20</v>
      </c>
      <c r="N14310" t="s">
        <v>29</v>
      </c>
    </row>
    <row r="14311" spans="1:14">
      <c r="A14311" s="4" t="str">
        <f t="shared" si="1156"/>
        <v>EXP00414</v>
      </c>
      <c r="B14311" s="3" t="s">
        <v>66</v>
      </c>
      <c r="C14311" s="4" t="str">
        <f t="shared" si="1155"/>
        <v>TCGA-BRCA</v>
      </c>
      <c r="D14311" s="1" t="s">
        <v>493</v>
      </c>
      <c r="E14311" t="s">
        <v>532</v>
      </c>
      <c r="F14311" s="1">
        <v>2</v>
      </c>
      <c r="G14311" s="1" t="s">
        <v>32</v>
      </c>
      <c r="H14311" s="4" t="str">
        <f>HYPERLINK("https://portal.gdc.cancer.gov/cases/06ef6e83-5583-45b9-a0bd-edea68943083","TCGA-E2-A572-01A")</f>
        <v>TCGA-E2-A572-01A</v>
      </c>
      <c r="I14311" t="s">
        <v>17</v>
      </c>
      <c r="J14311" t="s">
        <v>524</v>
      </c>
      <c r="K14311" t="s">
        <v>33</v>
      </c>
      <c r="L14311" t="s">
        <v>20</v>
      </c>
      <c r="N14311" t="s">
        <v>29</v>
      </c>
    </row>
    <row r="14312" spans="1:14">
      <c r="A14312" s="4" t="str">
        <f t="shared" si="1156"/>
        <v>EXP00414</v>
      </c>
      <c r="B14312" s="3" t="s">
        <v>66</v>
      </c>
      <c r="C14312" s="4" t="str">
        <f t="shared" si="1155"/>
        <v>TCGA-BRCA</v>
      </c>
      <c r="D14312" s="1" t="s">
        <v>493</v>
      </c>
      <c r="E14312" t="s">
        <v>532</v>
      </c>
      <c r="F14312" s="1">
        <v>2</v>
      </c>
      <c r="G14312" s="1" t="s">
        <v>32</v>
      </c>
      <c r="H14312" s="4" t="str">
        <f>HYPERLINK("https://portal.gdc.cancer.gov/cases/6429c443-8ac3-407f-bb9c-66420b904bbf","TCGA-E2-A573-01A")</f>
        <v>TCGA-E2-A573-01A</v>
      </c>
      <c r="I14312" t="s">
        <v>17</v>
      </c>
      <c r="J14312" t="s">
        <v>524</v>
      </c>
      <c r="K14312" t="s">
        <v>33</v>
      </c>
      <c r="L14312" t="s">
        <v>20</v>
      </c>
      <c r="N14312" t="s">
        <v>29</v>
      </c>
    </row>
    <row r="14313" spans="1:14">
      <c r="A14313" s="4" t="str">
        <f t="shared" si="1156"/>
        <v>EXP00414</v>
      </c>
      <c r="B14313" s="3" t="s">
        <v>66</v>
      </c>
      <c r="C14313" s="4" t="str">
        <f t="shared" si="1155"/>
        <v>TCGA-BRCA</v>
      </c>
      <c r="D14313" s="1" t="s">
        <v>493</v>
      </c>
      <c r="E14313" t="s">
        <v>532</v>
      </c>
      <c r="F14313" s="1">
        <v>2</v>
      </c>
      <c r="G14313" s="1" t="s">
        <v>32</v>
      </c>
      <c r="H14313" s="4" t="str">
        <f>HYPERLINK("https://portal.gdc.cancer.gov/cases/029ce650-5e5a-4100-8596-cd94300e7ef5","TCGA-E2-A574-01A")</f>
        <v>TCGA-E2-A574-01A</v>
      </c>
      <c r="I14313" t="s">
        <v>17</v>
      </c>
      <c r="J14313" t="s">
        <v>524</v>
      </c>
      <c r="K14313" t="s">
        <v>33</v>
      </c>
      <c r="L14313" t="s">
        <v>20</v>
      </c>
      <c r="N14313" t="s">
        <v>29</v>
      </c>
    </row>
    <row r="14314" spans="1:14">
      <c r="A14314" s="4" t="str">
        <f t="shared" si="1156"/>
        <v>EXP00414</v>
      </c>
      <c r="B14314" s="3" t="s">
        <v>66</v>
      </c>
      <c r="C14314" s="4" t="str">
        <f t="shared" si="1155"/>
        <v>TCGA-BRCA</v>
      </c>
      <c r="D14314" s="1" t="s">
        <v>493</v>
      </c>
      <c r="E14314" t="s">
        <v>532</v>
      </c>
      <c r="F14314" s="1">
        <v>2</v>
      </c>
      <c r="G14314" s="1" t="s">
        <v>32</v>
      </c>
      <c r="H14314" s="4" t="str">
        <f>HYPERLINK("https://portal.gdc.cancer.gov/cases/f04dca9e-409b-4300-b11d-12243e5d361d","TCGA-E2-A576-01A")</f>
        <v>TCGA-E2-A576-01A</v>
      </c>
      <c r="I14314" t="s">
        <v>17</v>
      </c>
      <c r="J14314" t="s">
        <v>524</v>
      </c>
      <c r="K14314" t="s">
        <v>33</v>
      </c>
      <c r="L14314" t="s">
        <v>20</v>
      </c>
      <c r="N14314" t="s">
        <v>29</v>
      </c>
    </row>
    <row r="14315" spans="1:14">
      <c r="A14315" s="4" t="str">
        <f t="shared" si="1156"/>
        <v>EXP00414</v>
      </c>
      <c r="B14315" s="3" t="s">
        <v>66</v>
      </c>
      <c r="C14315" s="4" t="str">
        <f t="shared" si="1155"/>
        <v>TCGA-BRCA</v>
      </c>
      <c r="D14315" s="1" t="s">
        <v>493</v>
      </c>
      <c r="E14315" t="s">
        <v>532</v>
      </c>
      <c r="F14315" s="1">
        <v>2</v>
      </c>
      <c r="G14315" s="1" t="s">
        <v>32</v>
      </c>
      <c r="H14315" s="4" t="str">
        <f>HYPERLINK("https://portal.gdc.cancer.gov/cases/6f18f96e-c0c9-4cc4-9fb2-cba8949d5402","TCGA-E2-A9RU-01A")</f>
        <v>TCGA-E2-A9RU-01A</v>
      </c>
      <c r="I14315" t="s">
        <v>17</v>
      </c>
      <c r="J14315" t="s">
        <v>524</v>
      </c>
      <c r="K14315" t="s">
        <v>33</v>
      </c>
      <c r="L14315" t="s">
        <v>20</v>
      </c>
      <c r="N14315" t="s">
        <v>29</v>
      </c>
    </row>
    <row r="14316" spans="1:14">
      <c r="A14316" s="4" t="str">
        <f t="shared" si="1156"/>
        <v>EXP00414</v>
      </c>
      <c r="B14316" s="3" t="s">
        <v>66</v>
      </c>
      <c r="C14316" s="4" t="str">
        <f t="shared" si="1155"/>
        <v>TCGA-BRCA</v>
      </c>
      <c r="D14316" s="1" t="s">
        <v>493</v>
      </c>
      <c r="E14316" t="s">
        <v>532</v>
      </c>
      <c r="F14316" s="1">
        <v>2</v>
      </c>
      <c r="G14316" s="1" t="s">
        <v>32</v>
      </c>
      <c r="H14316" s="4" t="str">
        <f>HYPERLINK("https://portal.gdc.cancer.gov/cases/03c143e0-d8a1-4d60-a4a3-df0501fc6b6e","TCGA-E9-A1N3-01A")</f>
        <v>TCGA-E9-A1N3-01A</v>
      </c>
      <c r="I14316" t="s">
        <v>17</v>
      </c>
      <c r="J14316" t="s">
        <v>524</v>
      </c>
      <c r="K14316" t="s">
        <v>33</v>
      </c>
      <c r="L14316" t="s">
        <v>20</v>
      </c>
      <c r="N14316" t="s">
        <v>29</v>
      </c>
    </row>
    <row r="14317" spans="1:14">
      <c r="A14317" s="4" t="str">
        <f t="shared" si="1156"/>
        <v>EXP00414</v>
      </c>
      <c r="B14317" s="3" t="s">
        <v>66</v>
      </c>
      <c r="C14317" s="4" t="str">
        <f t="shared" si="1155"/>
        <v>TCGA-BRCA</v>
      </c>
      <c r="D14317" s="1" t="s">
        <v>493</v>
      </c>
      <c r="E14317" t="s">
        <v>532</v>
      </c>
      <c r="F14317" s="1">
        <v>2</v>
      </c>
      <c r="G14317" s="1" t="s">
        <v>32</v>
      </c>
      <c r="H14317" s="4" t="str">
        <f>HYPERLINK("https://portal.gdc.cancer.gov/cases/69a68fbc-e43d-4652-85ee-693211bded47","TCGA-E9-A1N4-01A")</f>
        <v>TCGA-E9-A1N4-01A</v>
      </c>
      <c r="I14317" t="s">
        <v>17</v>
      </c>
      <c r="J14317" t="s">
        <v>524</v>
      </c>
      <c r="K14317" t="s">
        <v>33</v>
      </c>
      <c r="L14317" t="s">
        <v>20</v>
      </c>
      <c r="N14317" t="s">
        <v>29</v>
      </c>
    </row>
    <row r="14318" spans="1:14">
      <c r="A14318" s="4" t="str">
        <f t="shared" si="1156"/>
        <v>EXP00414</v>
      </c>
      <c r="B14318" s="3" t="s">
        <v>66</v>
      </c>
      <c r="C14318" s="4" t="str">
        <f t="shared" si="1155"/>
        <v>TCGA-BRCA</v>
      </c>
      <c r="D14318" s="1" t="s">
        <v>493</v>
      </c>
      <c r="E14318" t="s">
        <v>532</v>
      </c>
      <c r="F14318" s="1">
        <v>2</v>
      </c>
      <c r="G14318" s="1" t="s">
        <v>32</v>
      </c>
      <c r="H14318" s="4" t="str">
        <f>HYPERLINK("https://portal.gdc.cancer.gov/cases/f954de05-1b44-4087-8933-6cc72d81028d","TCGA-E9-A1N5-01A")</f>
        <v>TCGA-E9-A1N5-01A</v>
      </c>
      <c r="I14318" t="s">
        <v>17</v>
      </c>
      <c r="J14318" t="s">
        <v>524</v>
      </c>
      <c r="K14318" t="s">
        <v>33</v>
      </c>
      <c r="L14318" t="s">
        <v>20</v>
      </c>
      <c r="N14318" t="s">
        <v>29</v>
      </c>
    </row>
    <row r="14319" spans="1:14">
      <c r="A14319" s="4" t="str">
        <f t="shared" si="1156"/>
        <v>EXP00414</v>
      </c>
      <c r="B14319" s="3" t="s">
        <v>66</v>
      </c>
      <c r="C14319" s="4" t="str">
        <f t="shared" si="1155"/>
        <v>TCGA-BRCA</v>
      </c>
      <c r="D14319" s="1" t="s">
        <v>493</v>
      </c>
      <c r="E14319" t="s">
        <v>532</v>
      </c>
      <c r="F14319" s="1">
        <v>2</v>
      </c>
      <c r="G14319" s="1" t="s">
        <v>32</v>
      </c>
      <c r="H14319" s="4" t="str">
        <f>HYPERLINK("https://portal.gdc.cancer.gov/cases/955d4263-61f7-42e8-8a6e-772a0d6c209d","TCGA-E9-A1N6-01A")</f>
        <v>TCGA-E9-A1N6-01A</v>
      </c>
      <c r="I14319" t="s">
        <v>17</v>
      </c>
      <c r="J14319" t="s">
        <v>524</v>
      </c>
      <c r="K14319" t="s">
        <v>33</v>
      </c>
      <c r="L14319" t="s">
        <v>20</v>
      </c>
      <c r="N14319" t="s">
        <v>29</v>
      </c>
    </row>
    <row r="14320" spans="1:14">
      <c r="A14320" s="4" t="str">
        <f t="shared" si="1156"/>
        <v>EXP00414</v>
      </c>
      <c r="B14320" s="3" t="s">
        <v>66</v>
      </c>
      <c r="C14320" s="4" t="str">
        <f t="shared" si="1155"/>
        <v>TCGA-BRCA</v>
      </c>
      <c r="D14320" s="1" t="s">
        <v>493</v>
      </c>
      <c r="E14320" t="s">
        <v>532</v>
      </c>
      <c r="F14320" s="1">
        <v>2</v>
      </c>
      <c r="G14320" s="1" t="s">
        <v>32</v>
      </c>
      <c r="H14320" s="4" t="str">
        <f>HYPERLINK("https://portal.gdc.cancer.gov/cases/ac075bc0-1b59-4557-beea-541694faee03","TCGA-E9-A1N8-01A")</f>
        <v>TCGA-E9-A1N8-01A</v>
      </c>
      <c r="I14320" t="s">
        <v>17</v>
      </c>
      <c r="J14320" t="s">
        <v>524</v>
      </c>
      <c r="K14320" t="s">
        <v>33</v>
      </c>
      <c r="L14320" t="s">
        <v>20</v>
      </c>
      <c r="N14320" t="s">
        <v>29</v>
      </c>
    </row>
    <row r="14321" spans="1:14">
      <c r="A14321" s="4" t="str">
        <f t="shared" si="1156"/>
        <v>EXP00414</v>
      </c>
      <c r="B14321" s="3" t="s">
        <v>66</v>
      </c>
      <c r="C14321" s="4" t="str">
        <f t="shared" si="1155"/>
        <v>TCGA-BRCA</v>
      </c>
      <c r="D14321" s="1" t="s">
        <v>493</v>
      </c>
      <c r="E14321" t="s">
        <v>532</v>
      </c>
      <c r="F14321" s="1">
        <v>2</v>
      </c>
      <c r="G14321" s="1" t="s">
        <v>32</v>
      </c>
      <c r="H14321" s="4" t="str">
        <f>HYPERLINK("https://portal.gdc.cancer.gov/cases/994ca1f5-ad10-44ec-aa21-71fc2940653b","TCGA-E9-A1N9-01A")</f>
        <v>TCGA-E9-A1N9-01A</v>
      </c>
      <c r="I14321" t="s">
        <v>17</v>
      </c>
      <c r="J14321" t="s">
        <v>524</v>
      </c>
      <c r="K14321" t="s">
        <v>33</v>
      </c>
      <c r="L14321" t="s">
        <v>20</v>
      </c>
      <c r="N14321" t="s">
        <v>29</v>
      </c>
    </row>
    <row r="14322" spans="1:14">
      <c r="A14322" s="4" t="str">
        <f t="shared" si="1156"/>
        <v>EXP00414</v>
      </c>
      <c r="B14322" s="3" t="s">
        <v>66</v>
      </c>
      <c r="C14322" s="4" t="str">
        <f t="shared" si="1155"/>
        <v>TCGA-BRCA</v>
      </c>
      <c r="D14322" s="1" t="s">
        <v>493</v>
      </c>
      <c r="E14322" t="s">
        <v>532</v>
      </c>
      <c r="F14322" s="1">
        <v>2</v>
      </c>
      <c r="G14322" s="1" t="s">
        <v>32</v>
      </c>
      <c r="H14322" s="4" t="str">
        <f>HYPERLINK("https://portal.gdc.cancer.gov/cases/af577366-0258-49e7-b6af-e70056c081a4","TCGA-E9-A1NA-01A")</f>
        <v>TCGA-E9-A1NA-01A</v>
      </c>
      <c r="I14322" t="s">
        <v>17</v>
      </c>
      <c r="J14322" t="s">
        <v>524</v>
      </c>
      <c r="K14322" t="s">
        <v>33</v>
      </c>
      <c r="L14322" t="s">
        <v>20</v>
      </c>
      <c r="N14322" t="s">
        <v>29</v>
      </c>
    </row>
    <row r="14323" spans="1:14">
      <c r="A14323" s="4" t="str">
        <f t="shared" si="1156"/>
        <v>EXP00414</v>
      </c>
      <c r="B14323" s="3" t="s">
        <v>66</v>
      </c>
      <c r="C14323" s="4" t="str">
        <f t="shared" si="1155"/>
        <v>TCGA-BRCA</v>
      </c>
      <c r="D14323" s="1" t="s">
        <v>493</v>
      </c>
      <c r="E14323" t="s">
        <v>532</v>
      </c>
      <c r="F14323" s="1">
        <v>2</v>
      </c>
      <c r="G14323" s="1" t="s">
        <v>32</v>
      </c>
      <c r="H14323" s="4" t="str">
        <f>HYPERLINK("https://portal.gdc.cancer.gov/cases/f06f09f3-8133-4a92-ac86-fbe64295e0d8","TCGA-E9-A1ND-01A")</f>
        <v>TCGA-E9-A1ND-01A</v>
      </c>
      <c r="I14323" t="s">
        <v>17</v>
      </c>
      <c r="J14323" t="s">
        <v>524</v>
      </c>
      <c r="K14323" t="s">
        <v>33</v>
      </c>
      <c r="L14323" t="s">
        <v>20</v>
      </c>
      <c r="N14323" t="s">
        <v>29</v>
      </c>
    </row>
    <row r="14324" spans="1:14">
      <c r="A14324" s="4" t="str">
        <f t="shared" si="1156"/>
        <v>EXP00414</v>
      </c>
      <c r="B14324" s="3" t="s">
        <v>66</v>
      </c>
      <c r="C14324" s="4" t="str">
        <f t="shared" si="1155"/>
        <v>TCGA-BRCA</v>
      </c>
      <c r="D14324" s="1" t="s">
        <v>493</v>
      </c>
      <c r="E14324" t="s">
        <v>532</v>
      </c>
      <c r="F14324" s="1">
        <v>2</v>
      </c>
      <c r="G14324" s="1" t="s">
        <v>32</v>
      </c>
      <c r="H14324" s="4" t="str">
        <f>HYPERLINK("https://portal.gdc.cancer.gov/cases/3d676bba-154b-4d22-ab59-d4d4da051b94","TCGA-E9-A1NE-01A")</f>
        <v>TCGA-E9-A1NE-01A</v>
      </c>
      <c r="I14324" t="s">
        <v>17</v>
      </c>
      <c r="J14324" t="s">
        <v>524</v>
      </c>
      <c r="K14324" t="s">
        <v>33</v>
      </c>
      <c r="L14324" t="s">
        <v>20</v>
      </c>
      <c r="N14324" t="s">
        <v>29</v>
      </c>
    </row>
    <row r="14325" spans="1:14">
      <c r="A14325" s="4" t="str">
        <f t="shared" si="1156"/>
        <v>EXP00414</v>
      </c>
      <c r="B14325" s="3" t="s">
        <v>66</v>
      </c>
      <c r="C14325" s="4" t="str">
        <f t="shared" si="1155"/>
        <v>TCGA-BRCA</v>
      </c>
      <c r="D14325" s="1" t="s">
        <v>493</v>
      </c>
      <c r="E14325" t="s">
        <v>532</v>
      </c>
      <c r="F14325" s="1">
        <v>2</v>
      </c>
      <c r="G14325" s="1" t="s">
        <v>32</v>
      </c>
      <c r="H14325" s="4" t="str">
        <f>HYPERLINK("https://portal.gdc.cancer.gov/cases/a8b1f6e7-2bcf-460d-b1c6-1792a9801119","TCGA-E9-A1NF-01A")</f>
        <v>TCGA-E9-A1NF-01A</v>
      </c>
      <c r="I14325" t="s">
        <v>17</v>
      </c>
      <c r="J14325" t="s">
        <v>524</v>
      </c>
      <c r="K14325" t="s">
        <v>33</v>
      </c>
      <c r="L14325" t="s">
        <v>20</v>
      </c>
      <c r="N14325" t="s">
        <v>29</v>
      </c>
    </row>
    <row r="14326" spans="1:14">
      <c r="A14326" s="4" t="str">
        <f t="shared" si="1156"/>
        <v>EXP00414</v>
      </c>
      <c r="B14326" s="3" t="s">
        <v>66</v>
      </c>
      <c r="C14326" s="4" t="str">
        <f t="shared" si="1155"/>
        <v>TCGA-BRCA</v>
      </c>
      <c r="D14326" s="1" t="s">
        <v>493</v>
      </c>
      <c r="E14326" t="s">
        <v>532</v>
      </c>
      <c r="F14326" s="1">
        <v>2</v>
      </c>
      <c r="G14326" s="1" t="s">
        <v>32</v>
      </c>
      <c r="H14326" s="4" t="str">
        <f>HYPERLINK("https://portal.gdc.cancer.gov/cases/659b0170-e914-45ff-aa55-fcb8d3dc7b8a","TCGA-E9-A1NG-01A")</f>
        <v>TCGA-E9-A1NG-01A</v>
      </c>
      <c r="I14326" t="s">
        <v>17</v>
      </c>
      <c r="J14326" t="s">
        <v>524</v>
      </c>
      <c r="K14326" t="s">
        <v>33</v>
      </c>
      <c r="L14326" t="s">
        <v>20</v>
      </c>
      <c r="N14326" t="s">
        <v>29</v>
      </c>
    </row>
    <row r="14327" spans="1:14">
      <c r="A14327" s="4" t="str">
        <f t="shared" si="1156"/>
        <v>EXP00414</v>
      </c>
      <c r="B14327" s="3" t="s">
        <v>66</v>
      </c>
      <c r="C14327" s="4" t="str">
        <f t="shared" si="1155"/>
        <v>TCGA-BRCA</v>
      </c>
      <c r="D14327" s="1" t="s">
        <v>493</v>
      </c>
      <c r="E14327" t="s">
        <v>532</v>
      </c>
      <c r="F14327" s="1">
        <v>2</v>
      </c>
      <c r="G14327" s="1" t="s">
        <v>32</v>
      </c>
      <c r="H14327" s="4" t="str">
        <f>HYPERLINK("https://portal.gdc.cancer.gov/cases/b2aac45b-2073-4c7a-adb9-769a4fdcc111","TCGA-E9-A1NH-01A")</f>
        <v>TCGA-E9-A1NH-01A</v>
      </c>
      <c r="I14327" t="s">
        <v>17</v>
      </c>
      <c r="J14327" t="s">
        <v>524</v>
      </c>
      <c r="K14327" t="s">
        <v>33</v>
      </c>
      <c r="L14327" t="s">
        <v>20</v>
      </c>
      <c r="N14327" t="s">
        <v>29</v>
      </c>
    </row>
    <row r="14328" spans="1:14">
      <c r="A14328" s="4" t="str">
        <f t="shared" si="1156"/>
        <v>EXP00414</v>
      </c>
      <c r="B14328" s="3" t="s">
        <v>66</v>
      </c>
      <c r="C14328" s="4" t="str">
        <f t="shared" si="1155"/>
        <v>TCGA-BRCA</v>
      </c>
      <c r="D14328" s="1" t="s">
        <v>493</v>
      </c>
      <c r="E14328" t="s">
        <v>532</v>
      </c>
      <c r="F14328" s="1">
        <v>2</v>
      </c>
      <c r="G14328" s="1" t="s">
        <v>32</v>
      </c>
      <c r="H14328" s="4" t="str">
        <f>HYPERLINK("https://portal.gdc.cancer.gov/cases/c65b835a-2d38-4250-a173-0780d2c2cf58","TCGA-E9-A1NI-01A")</f>
        <v>TCGA-E9-A1NI-01A</v>
      </c>
      <c r="I14328" t="s">
        <v>17</v>
      </c>
      <c r="J14328" t="s">
        <v>524</v>
      </c>
      <c r="K14328" t="s">
        <v>33</v>
      </c>
      <c r="L14328" t="s">
        <v>20</v>
      </c>
      <c r="N14328" t="s">
        <v>29</v>
      </c>
    </row>
    <row r="14329" spans="1:14">
      <c r="A14329" s="4" t="str">
        <f t="shared" si="1156"/>
        <v>EXP00414</v>
      </c>
      <c r="B14329" s="3" t="s">
        <v>66</v>
      </c>
      <c r="C14329" s="4" t="str">
        <f t="shared" si="1155"/>
        <v>TCGA-BRCA</v>
      </c>
      <c r="D14329" s="1" t="s">
        <v>493</v>
      </c>
      <c r="E14329" t="s">
        <v>532</v>
      </c>
      <c r="F14329" s="1">
        <v>2</v>
      </c>
      <c r="G14329" s="1" t="s">
        <v>32</v>
      </c>
      <c r="H14329" s="4" t="str">
        <f>HYPERLINK("https://portal.gdc.cancer.gov/cases/b6b932ce-6856-4d94-9e6c-16dfbe51906f","TCGA-E9-A1QZ-01A")</f>
        <v>TCGA-E9-A1QZ-01A</v>
      </c>
      <c r="I14329" t="s">
        <v>17</v>
      </c>
      <c r="J14329" t="s">
        <v>524</v>
      </c>
      <c r="K14329" t="s">
        <v>33</v>
      </c>
      <c r="L14329" t="s">
        <v>20</v>
      </c>
      <c r="N14329" t="s">
        <v>29</v>
      </c>
    </row>
    <row r="14330" spans="1:14">
      <c r="A14330" s="4" t="str">
        <f t="shared" si="1156"/>
        <v>EXP00414</v>
      </c>
      <c r="B14330" s="3" t="s">
        <v>66</v>
      </c>
      <c r="C14330" s="4" t="str">
        <f t="shared" ref="C14330:C14393" si="1157">HYPERLINK("https://portal.gdc.cancer.gov/projects/TCGA-BRCA","TCGA-BRCA")</f>
        <v>TCGA-BRCA</v>
      </c>
      <c r="D14330" s="1" t="s">
        <v>493</v>
      </c>
      <c r="E14330" t="s">
        <v>532</v>
      </c>
      <c r="F14330" s="1">
        <v>2</v>
      </c>
      <c r="G14330" s="1" t="s">
        <v>32</v>
      </c>
      <c r="H14330" s="4" t="str">
        <f>HYPERLINK("https://portal.gdc.cancer.gov/cases/f2da1d3f-f226-4c99-a97e-9b26f67d7a5d","TCGA-E9-A1R0-01A")</f>
        <v>TCGA-E9-A1R0-01A</v>
      </c>
      <c r="I14330" t="s">
        <v>17</v>
      </c>
      <c r="J14330" t="s">
        <v>524</v>
      </c>
      <c r="K14330" t="s">
        <v>33</v>
      </c>
      <c r="L14330" t="s">
        <v>20</v>
      </c>
      <c r="N14330" t="s">
        <v>29</v>
      </c>
    </row>
    <row r="14331" spans="1:14">
      <c r="A14331" s="4" t="str">
        <f t="shared" si="1156"/>
        <v>EXP00414</v>
      </c>
      <c r="B14331" s="3" t="s">
        <v>66</v>
      </c>
      <c r="C14331" s="4" t="str">
        <f t="shared" si="1157"/>
        <v>TCGA-BRCA</v>
      </c>
      <c r="D14331" s="1" t="s">
        <v>493</v>
      </c>
      <c r="E14331" t="s">
        <v>532</v>
      </c>
      <c r="F14331" s="1">
        <v>2</v>
      </c>
      <c r="G14331" s="1" t="s">
        <v>32</v>
      </c>
      <c r="H14331" s="4" t="str">
        <f>HYPERLINK("https://portal.gdc.cancer.gov/cases/8631969d-4ac6-4fe1-9db3-d47db604494a","TCGA-E9-A1R2-01A")</f>
        <v>TCGA-E9-A1R2-01A</v>
      </c>
      <c r="I14331" t="s">
        <v>17</v>
      </c>
      <c r="J14331" t="s">
        <v>524</v>
      </c>
      <c r="K14331" t="s">
        <v>33</v>
      </c>
      <c r="L14331" t="s">
        <v>20</v>
      </c>
      <c r="N14331" t="s">
        <v>29</v>
      </c>
    </row>
    <row r="14332" spans="1:14">
      <c r="A14332" s="4" t="str">
        <f t="shared" si="1156"/>
        <v>EXP00414</v>
      </c>
      <c r="B14332" s="3" t="s">
        <v>66</v>
      </c>
      <c r="C14332" s="4" t="str">
        <f t="shared" si="1157"/>
        <v>TCGA-BRCA</v>
      </c>
      <c r="D14332" s="1" t="s">
        <v>493</v>
      </c>
      <c r="E14332" t="s">
        <v>532</v>
      </c>
      <c r="F14332" s="1">
        <v>2</v>
      </c>
      <c r="G14332" s="1" t="s">
        <v>32</v>
      </c>
      <c r="H14332" s="4" t="str">
        <f>HYPERLINK("https://portal.gdc.cancer.gov/cases/4922cddc-575c-4b8a-8245-ce5f6876760c","TCGA-E9-A1R3-01A")</f>
        <v>TCGA-E9-A1R3-01A</v>
      </c>
      <c r="I14332" t="s">
        <v>17</v>
      </c>
      <c r="J14332" t="s">
        <v>524</v>
      </c>
      <c r="K14332" t="s">
        <v>33</v>
      </c>
      <c r="L14332" t="s">
        <v>20</v>
      </c>
      <c r="N14332" t="s">
        <v>29</v>
      </c>
    </row>
    <row r="14333" spans="1:14">
      <c r="A14333" s="4" t="str">
        <f t="shared" si="1156"/>
        <v>EXP00414</v>
      </c>
      <c r="B14333" s="3" t="s">
        <v>66</v>
      </c>
      <c r="C14333" s="4" t="str">
        <f t="shared" si="1157"/>
        <v>TCGA-BRCA</v>
      </c>
      <c r="D14333" s="1" t="s">
        <v>493</v>
      </c>
      <c r="E14333" t="s">
        <v>532</v>
      </c>
      <c r="F14333" s="1">
        <v>2</v>
      </c>
      <c r="G14333" s="1" t="s">
        <v>32</v>
      </c>
      <c r="H14333" s="4" t="str">
        <f>HYPERLINK("https://portal.gdc.cancer.gov/cases/b7a4df9a-4e25-4550-9c10-338ca1921c2f","TCGA-E9-A1R4-01A")</f>
        <v>TCGA-E9-A1R4-01A</v>
      </c>
      <c r="I14333" t="s">
        <v>17</v>
      </c>
      <c r="J14333" t="s">
        <v>524</v>
      </c>
      <c r="K14333" t="s">
        <v>33</v>
      </c>
      <c r="L14333" t="s">
        <v>20</v>
      </c>
      <c r="N14333" t="s">
        <v>29</v>
      </c>
    </row>
    <row r="14334" spans="1:14">
      <c r="A14334" s="4" t="str">
        <f t="shared" si="1156"/>
        <v>EXP00414</v>
      </c>
      <c r="B14334" s="3" t="s">
        <v>66</v>
      </c>
      <c r="C14334" s="4" t="str">
        <f t="shared" si="1157"/>
        <v>TCGA-BRCA</v>
      </c>
      <c r="D14334" s="1" t="s">
        <v>493</v>
      </c>
      <c r="E14334" t="s">
        <v>532</v>
      </c>
      <c r="F14334" s="1">
        <v>2</v>
      </c>
      <c r="G14334" s="1" t="s">
        <v>32</v>
      </c>
      <c r="H14334" s="4" t="str">
        <f>HYPERLINK("https://portal.gdc.cancer.gov/cases/23c21dea-3713-408f-ba56-f7c586e9f206","TCGA-E9-A1R5-01A")</f>
        <v>TCGA-E9-A1R5-01A</v>
      </c>
      <c r="I14334" t="s">
        <v>17</v>
      </c>
      <c r="J14334" t="s">
        <v>524</v>
      </c>
      <c r="K14334" t="s">
        <v>33</v>
      </c>
      <c r="L14334" t="s">
        <v>20</v>
      </c>
      <c r="N14334" t="s">
        <v>29</v>
      </c>
    </row>
    <row r="14335" spans="1:14">
      <c r="A14335" s="4" t="str">
        <f t="shared" si="1156"/>
        <v>EXP00414</v>
      </c>
      <c r="B14335" s="3" t="s">
        <v>66</v>
      </c>
      <c r="C14335" s="4" t="str">
        <f t="shared" si="1157"/>
        <v>TCGA-BRCA</v>
      </c>
      <c r="D14335" s="1" t="s">
        <v>493</v>
      </c>
      <c r="E14335" t="s">
        <v>532</v>
      </c>
      <c r="F14335" s="1">
        <v>2</v>
      </c>
      <c r="G14335" s="1" t="s">
        <v>32</v>
      </c>
      <c r="H14335" s="4" t="str">
        <f>HYPERLINK("https://portal.gdc.cancer.gov/cases/4842bac3-abaa-4900-871f-f2c3ba6457f5","TCGA-E9-A1R6-01A")</f>
        <v>TCGA-E9-A1R6-01A</v>
      </c>
      <c r="I14335" t="s">
        <v>17</v>
      </c>
      <c r="J14335" t="s">
        <v>524</v>
      </c>
      <c r="K14335" t="s">
        <v>33</v>
      </c>
      <c r="L14335" t="s">
        <v>20</v>
      </c>
      <c r="N14335" t="s">
        <v>29</v>
      </c>
    </row>
    <row r="14336" spans="1:14">
      <c r="A14336" s="4" t="str">
        <f t="shared" si="1156"/>
        <v>EXP00414</v>
      </c>
      <c r="B14336" s="3" t="s">
        <v>66</v>
      </c>
      <c r="C14336" s="4" t="str">
        <f t="shared" si="1157"/>
        <v>TCGA-BRCA</v>
      </c>
      <c r="D14336" s="1" t="s">
        <v>493</v>
      </c>
      <c r="E14336" t="s">
        <v>532</v>
      </c>
      <c r="F14336" s="1">
        <v>2</v>
      </c>
      <c r="G14336" s="1" t="s">
        <v>32</v>
      </c>
      <c r="H14336" s="4" t="str">
        <f>HYPERLINK("https://portal.gdc.cancer.gov/cases/2680da86-c977-4611-b75f-df015283c023","TCGA-E9-A1R7-01A")</f>
        <v>TCGA-E9-A1R7-01A</v>
      </c>
      <c r="I14336" t="s">
        <v>17</v>
      </c>
      <c r="J14336" t="s">
        <v>524</v>
      </c>
      <c r="K14336" t="s">
        <v>33</v>
      </c>
      <c r="L14336" t="s">
        <v>20</v>
      </c>
      <c r="N14336" t="s">
        <v>29</v>
      </c>
    </row>
    <row r="14337" spans="1:14">
      <c r="A14337" s="4" t="str">
        <f t="shared" si="1156"/>
        <v>EXP00414</v>
      </c>
      <c r="B14337" s="3" t="s">
        <v>66</v>
      </c>
      <c r="C14337" s="4" t="str">
        <f t="shared" si="1157"/>
        <v>TCGA-BRCA</v>
      </c>
      <c r="D14337" s="1" t="s">
        <v>493</v>
      </c>
      <c r="E14337" t="s">
        <v>532</v>
      </c>
      <c r="F14337" s="1">
        <v>2</v>
      </c>
      <c r="G14337" s="1" t="s">
        <v>32</v>
      </c>
      <c r="H14337" s="4" t="str">
        <f>HYPERLINK("https://portal.gdc.cancer.gov/cases/4b4e4ea8-6eb9-49ad-b880-c5065fe6517f","TCGA-E9-A1RA-01A")</f>
        <v>TCGA-E9-A1RA-01A</v>
      </c>
      <c r="I14337" t="s">
        <v>17</v>
      </c>
      <c r="J14337" t="s">
        <v>524</v>
      </c>
      <c r="K14337" t="s">
        <v>33</v>
      </c>
      <c r="L14337" t="s">
        <v>20</v>
      </c>
      <c r="N14337" t="s">
        <v>29</v>
      </c>
    </row>
    <row r="14338" spans="1:14">
      <c r="A14338" s="4" t="str">
        <f t="shared" si="1156"/>
        <v>EXP00414</v>
      </c>
      <c r="B14338" s="3" t="s">
        <v>66</v>
      </c>
      <c r="C14338" s="4" t="str">
        <f t="shared" si="1157"/>
        <v>TCGA-BRCA</v>
      </c>
      <c r="D14338" s="1" t="s">
        <v>493</v>
      </c>
      <c r="E14338" t="s">
        <v>532</v>
      </c>
      <c r="F14338" s="1">
        <v>2</v>
      </c>
      <c r="G14338" s="1" t="s">
        <v>32</v>
      </c>
      <c r="H14338" s="4" t="str">
        <f>HYPERLINK("https://portal.gdc.cancer.gov/cases/94b95984-b2fb-4e42-8887-45e7086c3179","TCGA-E9-A1RB-01A")</f>
        <v>TCGA-E9-A1RB-01A</v>
      </c>
      <c r="I14338" t="s">
        <v>17</v>
      </c>
      <c r="J14338" t="s">
        <v>524</v>
      </c>
      <c r="K14338" t="s">
        <v>33</v>
      </c>
      <c r="L14338" t="s">
        <v>20</v>
      </c>
      <c r="N14338" t="s">
        <v>29</v>
      </c>
    </row>
    <row r="14339" spans="1:14">
      <c r="A14339" s="4" t="str">
        <f t="shared" ref="A14339:A14402" si="1158">HYPERLINK("http://hcmdb.i-sanger.com/experiment/details/experiment_id/EXP00414","EXP00414")</f>
        <v>EXP00414</v>
      </c>
      <c r="B14339" s="3" t="s">
        <v>66</v>
      </c>
      <c r="C14339" s="4" t="str">
        <f t="shared" si="1157"/>
        <v>TCGA-BRCA</v>
      </c>
      <c r="D14339" s="1" t="s">
        <v>493</v>
      </c>
      <c r="E14339" t="s">
        <v>532</v>
      </c>
      <c r="F14339" s="1">
        <v>2</v>
      </c>
      <c r="G14339" s="1" t="s">
        <v>32</v>
      </c>
      <c r="H14339" s="4" t="str">
        <f>HYPERLINK("https://portal.gdc.cancer.gov/cases/5cdae21d-eee5-478f-932a-0f51fcf5f031","TCGA-E9-A1RC-01A")</f>
        <v>TCGA-E9-A1RC-01A</v>
      </c>
      <c r="I14339" t="s">
        <v>17</v>
      </c>
      <c r="J14339" t="s">
        <v>524</v>
      </c>
      <c r="K14339" t="s">
        <v>33</v>
      </c>
      <c r="L14339" t="s">
        <v>20</v>
      </c>
      <c r="N14339" t="s">
        <v>29</v>
      </c>
    </row>
    <row r="14340" spans="1:14">
      <c r="A14340" s="4" t="str">
        <f t="shared" si="1158"/>
        <v>EXP00414</v>
      </c>
      <c r="B14340" s="3" t="s">
        <v>66</v>
      </c>
      <c r="C14340" s="4" t="str">
        <f t="shared" si="1157"/>
        <v>TCGA-BRCA</v>
      </c>
      <c r="D14340" s="1" t="s">
        <v>493</v>
      </c>
      <c r="E14340" t="s">
        <v>532</v>
      </c>
      <c r="F14340" s="1">
        <v>2</v>
      </c>
      <c r="G14340" s="1" t="s">
        <v>32</v>
      </c>
      <c r="H14340" s="4" t="str">
        <f>HYPERLINK("https://portal.gdc.cancer.gov/cases/5fe3c51f-65e2-4da6-8924-a6fae17c022d","TCGA-E9-A1RD-01A")</f>
        <v>TCGA-E9-A1RD-01A</v>
      </c>
      <c r="I14340" t="s">
        <v>17</v>
      </c>
      <c r="J14340" t="s">
        <v>524</v>
      </c>
      <c r="K14340" t="s">
        <v>33</v>
      </c>
      <c r="L14340" t="s">
        <v>20</v>
      </c>
      <c r="N14340" t="s">
        <v>29</v>
      </c>
    </row>
    <row r="14341" spans="1:14">
      <c r="A14341" s="4" t="str">
        <f t="shared" si="1158"/>
        <v>EXP00414</v>
      </c>
      <c r="B14341" s="3" t="s">
        <v>66</v>
      </c>
      <c r="C14341" s="4" t="str">
        <f t="shared" si="1157"/>
        <v>TCGA-BRCA</v>
      </c>
      <c r="D14341" s="1" t="s">
        <v>493</v>
      </c>
      <c r="E14341" t="s">
        <v>532</v>
      </c>
      <c r="F14341" s="1">
        <v>2</v>
      </c>
      <c r="G14341" s="1" t="s">
        <v>32</v>
      </c>
      <c r="H14341" s="4" t="str">
        <f>HYPERLINK("https://portal.gdc.cancer.gov/cases/24046547-d038-4616-b190-52ac93f4965f","TCGA-E9-A1RE-01A")</f>
        <v>TCGA-E9-A1RE-01A</v>
      </c>
      <c r="I14341" t="s">
        <v>17</v>
      </c>
      <c r="J14341" t="s">
        <v>524</v>
      </c>
      <c r="K14341" t="s">
        <v>33</v>
      </c>
      <c r="L14341" t="s">
        <v>20</v>
      </c>
      <c r="N14341" t="s">
        <v>29</v>
      </c>
    </row>
    <row r="14342" spans="1:14">
      <c r="A14342" s="4" t="str">
        <f t="shared" si="1158"/>
        <v>EXP00414</v>
      </c>
      <c r="B14342" s="3" t="s">
        <v>66</v>
      </c>
      <c r="C14342" s="4" t="str">
        <f t="shared" si="1157"/>
        <v>TCGA-BRCA</v>
      </c>
      <c r="D14342" s="1" t="s">
        <v>493</v>
      </c>
      <c r="E14342" t="s">
        <v>532</v>
      </c>
      <c r="F14342" s="1">
        <v>2</v>
      </c>
      <c r="G14342" s="1" t="s">
        <v>32</v>
      </c>
      <c r="H14342" s="4" t="str">
        <f>HYPERLINK("https://portal.gdc.cancer.gov/cases/c694615c-b1c6-499c-8058-995633ebf948","TCGA-E9-A1RF-01A")</f>
        <v>TCGA-E9-A1RF-01A</v>
      </c>
      <c r="I14342" t="s">
        <v>17</v>
      </c>
      <c r="J14342" t="s">
        <v>524</v>
      </c>
      <c r="K14342" t="s">
        <v>33</v>
      </c>
      <c r="L14342" t="s">
        <v>20</v>
      </c>
      <c r="N14342" t="s">
        <v>29</v>
      </c>
    </row>
    <row r="14343" spans="1:14">
      <c r="A14343" s="4" t="str">
        <f t="shared" si="1158"/>
        <v>EXP00414</v>
      </c>
      <c r="B14343" s="3" t="s">
        <v>66</v>
      </c>
      <c r="C14343" s="4" t="str">
        <f t="shared" si="1157"/>
        <v>TCGA-BRCA</v>
      </c>
      <c r="D14343" s="1" t="s">
        <v>493</v>
      </c>
      <c r="E14343" t="s">
        <v>532</v>
      </c>
      <c r="F14343" s="1">
        <v>2</v>
      </c>
      <c r="G14343" s="1" t="s">
        <v>32</v>
      </c>
      <c r="H14343" s="4" t="str">
        <f>HYPERLINK("https://portal.gdc.cancer.gov/cases/8744733a-7b46-43aa-bdef-64876816adbb","TCGA-E9-A1RG-01A")</f>
        <v>TCGA-E9-A1RG-01A</v>
      </c>
      <c r="I14343" t="s">
        <v>17</v>
      </c>
      <c r="J14343" t="s">
        <v>524</v>
      </c>
      <c r="K14343" t="s">
        <v>33</v>
      </c>
      <c r="L14343" t="s">
        <v>20</v>
      </c>
      <c r="N14343" t="s">
        <v>29</v>
      </c>
    </row>
    <row r="14344" spans="1:14">
      <c r="A14344" s="4" t="str">
        <f t="shared" si="1158"/>
        <v>EXP00414</v>
      </c>
      <c r="B14344" s="3" t="s">
        <v>66</v>
      </c>
      <c r="C14344" s="4" t="str">
        <f t="shared" si="1157"/>
        <v>TCGA-BRCA</v>
      </c>
      <c r="D14344" s="1" t="s">
        <v>493</v>
      </c>
      <c r="E14344" t="s">
        <v>532</v>
      </c>
      <c r="F14344" s="1">
        <v>2</v>
      </c>
      <c r="G14344" s="1" t="s">
        <v>32</v>
      </c>
      <c r="H14344" s="4" t="str">
        <f>HYPERLINK("https://portal.gdc.cancer.gov/cases/408cb583-6dc3-4698-8bd2-e284042bd5ef","TCGA-E9-A1RH-01A")</f>
        <v>TCGA-E9-A1RH-01A</v>
      </c>
      <c r="I14344" t="s">
        <v>17</v>
      </c>
      <c r="J14344" t="s">
        <v>524</v>
      </c>
      <c r="K14344" t="s">
        <v>33</v>
      </c>
      <c r="L14344" t="s">
        <v>20</v>
      </c>
      <c r="N14344" t="s">
        <v>29</v>
      </c>
    </row>
    <row r="14345" spans="1:14">
      <c r="A14345" s="4" t="str">
        <f t="shared" si="1158"/>
        <v>EXP00414</v>
      </c>
      <c r="B14345" s="3" t="s">
        <v>66</v>
      </c>
      <c r="C14345" s="4" t="str">
        <f t="shared" si="1157"/>
        <v>TCGA-BRCA</v>
      </c>
      <c r="D14345" s="1" t="s">
        <v>493</v>
      </c>
      <c r="E14345" t="s">
        <v>532</v>
      </c>
      <c r="F14345" s="1">
        <v>2</v>
      </c>
      <c r="G14345" s="1" t="s">
        <v>32</v>
      </c>
      <c r="H14345" s="4" t="str">
        <f>HYPERLINK("https://portal.gdc.cancer.gov/cases/dd3bfb26-b534-4917-9c4d-9fe7b6477762","TCGA-E9-A1RI-01A")</f>
        <v>TCGA-E9-A1RI-01A</v>
      </c>
      <c r="I14345" t="s">
        <v>17</v>
      </c>
      <c r="J14345" t="s">
        <v>524</v>
      </c>
      <c r="K14345" t="s">
        <v>33</v>
      </c>
      <c r="L14345" t="s">
        <v>20</v>
      </c>
      <c r="N14345" t="s">
        <v>29</v>
      </c>
    </row>
    <row r="14346" spans="1:14">
      <c r="A14346" s="4" t="str">
        <f t="shared" si="1158"/>
        <v>EXP00414</v>
      </c>
      <c r="B14346" s="3" t="s">
        <v>66</v>
      </c>
      <c r="C14346" s="4" t="str">
        <f t="shared" si="1157"/>
        <v>TCGA-BRCA</v>
      </c>
      <c r="D14346" s="1" t="s">
        <v>493</v>
      </c>
      <c r="E14346" t="s">
        <v>532</v>
      </c>
      <c r="F14346" s="1">
        <v>2</v>
      </c>
      <c r="G14346" s="1" t="s">
        <v>32</v>
      </c>
      <c r="H14346" s="4" t="str">
        <f>HYPERLINK("https://portal.gdc.cancer.gov/cases/dd67408e-46ba-4573-9415-d4814e9f84de","TCGA-E9-A226-01A")</f>
        <v>TCGA-E9-A226-01A</v>
      </c>
      <c r="I14346" t="s">
        <v>17</v>
      </c>
      <c r="J14346" t="s">
        <v>524</v>
      </c>
      <c r="K14346" t="s">
        <v>33</v>
      </c>
      <c r="L14346" t="s">
        <v>20</v>
      </c>
      <c r="N14346" t="s">
        <v>29</v>
      </c>
    </row>
    <row r="14347" spans="1:14">
      <c r="A14347" s="4" t="str">
        <f t="shared" si="1158"/>
        <v>EXP00414</v>
      </c>
      <c r="B14347" s="3" t="s">
        <v>66</v>
      </c>
      <c r="C14347" s="4" t="str">
        <f t="shared" si="1157"/>
        <v>TCGA-BRCA</v>
      </c>
      <c r="D14347" s="1" t="s">
        <v>493</v>
      </c>
      <c r="E14347" t="s">
        <v>532</v>
      </c>
      <c r="F14347" s="1">
        <v>2</v>
      </c>
      <c r="G14347" s="1" t="s">
        <v>32</v>
      </c>
      <c r="H14347" s="4" t="str">
        <f>HYPERLINK("https://portal.gdc.cancer.gov/cases/89a8da07-4487-47c6-8d3c-442a87e4f632","TCGA-E9-A227-01A")</f>
        <v>TCGA-E9-A227-01A</v>
      </c>
      <c r="I14347" t="s">
        <v>17</v>
      </c>
      <c r="J14347" t="s">
        <v>524</v>
      </c>
      <c r="K14347" t="s">
        <v>33</v>
      </c>
      <c r="L14347" t="s">
        <v>20</v>
      </c>
      <c r="N14347" t="s">
        <v>29</v>
      </c>
    </row>
    <row r="14348" spans="1:14">
      <c r="A14348" s="4" t="str">
        <f t="shared" si="1158"/>
        <v>EXP00414</v>
      </c>
      <c r="B14348" s="3" t="s">
        <v>66</v>
      </c>
      <c r="C14348" s="4" t="str">
        <f t="shared" si="1157"/>
        <v>TCGA-BRCA</v>
      </c>
      <c r="D14348" s="1" t="s">
        <v>493</v>
      </c>
      <c r="E14348" t="s">
        <v>532</v>
      </c>
      <c r="F14348" s="1">
        <v>2</v>
      </c>
      <c r="G14348" s="1" t="s">
        <v>32</v>
      </c>
      <c r="H14348" s="4" t="str">
        <f>HYPERLINK("https://portal.gdc.cancer.gov/cases/b95eef8a-205f-4cf8-9d3c-ae51d406e1e0","TCGA-E9-A228-01A")</f>
        <v>TCGA-E9-A228-01A</v>
      </c>
      <c r="I14348" t="s">
        <v>17</v>
      </c>
      <c r="J14348" t="s">
        <v>524</v>
      </c>
      <c r="K14348" t="s">
        <v>33</v>
      </c>
      <c r="L14348" t="s">
        <v>20</v>
      </c>
      <c r="N14348" t="s">
        <v>29</v>
      </c>
    </row>
    <row r="14349" spans="1:14">
      <c r="A14349" s="4" t="str">
        <f t="shared" si="1158"/>
        <v>EXP00414</v>
      </c>
      <c r="B14349" s="3" t="s">
        <v>66</v>
      </c>
      <c r="C14349" s="4" t="str">
        <f t="shared" si="1157"/>
        <v>TCGA-BRCA</v>
      </c>
      <c r="D14349" s="1" t="s">
        <v>493</v>
      </c>
      <c r="E14349" t="s">
        <v>532</v>
      </c>
      <c r="F14349" s="1">
        <v>2</v>
      </c>
      <c r="G14349" s="1" t="s">
        <v>32</v>
      </c>
      <c r="H14349" s="4" t="str">
        <f>HYPERLINK("https://portal.gdc.cancer.gov/cases/cea9d8f9-e18c-4947-a461-5f712e3c1e6d","TCGA-E9-A229-01A")</f>
        <v>TCGA-E9-A229-01A</v>
      </c>
      <c r="I14349" t="s">
        <v>17</v>
      </c>
      <c r="J14349" t="s">
        <v>524</v>
      </c>
      <c r="K14349" t="s">
        <v>33</v>
      </c>
      <c r="L14349" t="s">
        <v>20</v>
      </c>
      <c r="N14349" t="s">
        <v>29</v>
      </c>
    </row>
    <row r="14350" spans="1:14">
      <c r="A14350" s="4" t="str">
        <f t="shared" si="1158"/>
        <v>EXP00414</v>
      </c>
      <c r="B14350" s="3" t="s">
        <v>66</v>
      </c>
      <c r="C14350" s="4" t="str">
        <f t="shared" si="1157"/>
        <v>TCGA-BRCA</v>
      </c>
      <c r="D14350" s="1" t="s">
        <v>493</v>
      </c>
      <c r="E14350" t="s">
        <v>532</v>
      </c>
      <c r="F14350" s="1">
        <v>2</v>
      </c>
      <c r="G14350" s="1" t="s">
        <v>32</v>
      </c>
      <c r="H14350" s="4" t="str">
        <f>HYPERLINK("https://portal.gdc.cancer.gov/cases/4aacbc42-5ac5-4339-b9fa-c6e812084837","TCGA-E9-A22A-01A")</f>
        <v>TCGA-E9-A22A-01A</v>
      </c>
      <c r="I14350" t="s">
        <v>17</v>
      </c>
      <c r="J14350" t="s">
        <v>524</v>
      </c>
      <c r="K14350" t="s">
        <v>33</v>
      </c>
      <c r="L14350" t="s">
        <v>20</v>
      </c>
      <c r="N14350" t="s">
        <v>29</v>
      </c>
    </row>
    <row r="14351" spans="1:14">
      <c r="A14351" s="4" t="str">
        <f t="shared" si="1158"/>
        <v>EXP00414</v>
      </c>
      <c r="B14351" s="3" t="s">
        <v>66</v>
      </c>
      <c r="C14351" s="4" t="str">
        <f t="shared" si="1157"/>
        <v>TCGA-BRCA</v>
      </c>
      <c r="D14351" s="1" t="s">
        <v>493</v>
      </c>
      <c r="E14351" t="s">
        <v>532</v>
      </c>
      <c r="F14351" s="1">
        <v>2</v>
      </c>
      <c r="G14351" s="1" t="s">
        <v>32</v>
      </c>
      <c r="H14351" s="4" t="str">
        <f>HYPERLINK("https://portal.gdc.cancer.gov/cases/b956df1b-bc77-4bdb-a5bd-5dda7b4c8da7","TCGA-E9-A22B-01A")</f>
        <v>TCGA-E9-A22B-01A</v>
      </c>
      <c r="I14351" t="s">
        <v>17</v>
      </c>
      <c r="J14351" t="s">
        <v>524</v>
      </c>
      <c r="K14351" t="s">
        <v>33</v>
      </c>
      <c r="L14351" t="s">
        <v>20</v>
      </c>
      <c r="N14351" t="s">
        <v>29</v>
      </c>
    </row>
    <row r="14352" spans="1:14">
      <c r="A14352" s="4" t="str">
        <f t="shared" si="1158"/>
        <v>EXP00414</v>
      </c>
      <c r="B14352" s="3" t="s">
        <v>66</v>
      </c>
      <c r="C14352" s="4" t="str">
        <f t="shared" si="1157"/>
        <v>TCGA-BRCA</v>
      </c>
      <c r="D14352" s="1" t="s">
        <v>493</v>
      </c>
      <c r="E14352" t="s">
        <v>532</v>
      </c>
      <c r="F14352" s="1">
        <v>2</v>
      </c>
      <c r="G14352" s="1" t="s">
        <v>32</v>
      </c>
      <c r="H14352" s="4" t="str">
        <f>HYPERLINK("https://portal.gdc.cancer.gov/cases/cf0a3f38-5850-44e1-8574-808bd37d84a3","TCGA-E9-A22D-01A")</f>
        <v>TCGA-E9-A22D-01A</v>
      </c>
      <c r="I14352" t="s">
        <v>17</v>
      </c>
      <c r="J14352" t="s">
        <v>524</v>
      </c>
      <c r="K14352" t="s">
        <v>33</v>
      </c>
      <c r="L14352" t="s">
        <v>20</v>
      </c>
      <c r="N14352" t="s">
        <v>29</v>
      </c>
    </row>
    <row r="14353" spans="1:14">
      <c r="A14353" s="4" t="str">
        <f t="shared" si="1158"/>
        <v>EXP00414</v>
      </c>
      <c r="B14353" s="3" t="s">
        <v>66</v>
      </c>
      <c r="C14353" s="4" t="str">
        <f t="shared" si="1157"/>
        <v>TCGA-BRCA</v>
      </c>
      <c r="D14353" s="1" t="s">
        <v>493</v>
      </c>
      <c r="E14353" t="s">
        <v>532</v>
      </c>
      <c r="F14353" s="1">
        <v>2</v>
      </c>
      <c r="G14353" s="1" t="s">
        <v>32</v>
      </c>
      <c r="H14353" s="4" t="str">
        <f>HYPERLINK("https://portal.gdc.cancer.gov/cases/64d4dfae-8d91-464b-adc3-80ba7caf54ae","TCGA-E9-A22E-01A")</f>
        <v>TCGA-E9-A22E-01A</v>
      </c>
      <c r="I14353" t="s">
        <v>17</v>
      </c>
      <c r="J14353" t="s">
        <v>524</v>
      </c>
      <c r="K14353" t="s">
        <v>33</v>
      </c>
      <c r="L14353" t="s">
        <v>20</v>
      </c>
      <c r="N14353" t="s">
        <v>29</v>
      </c>
    </row>
    <row r="14354" spans="1:14">
      <c r="A14354" s="4" t="str">
        <f t="shared" si="1158"/>
        <v>EXP00414</v>
      </c>
      <c r="B14354" s="3" t="s">
        <v>66</v>
      </c>
      <c r="C14354" s="4" t="str">
        <f t="shared" si="1157"/>
        <v>TCGA-BRCA</v>
      </c>
      <c r="D14354" s="1" t="s">
        <v>493</v>
      </c>
      <c r="E14354" t="s">
        <v>532</v>
      </c>
      <c r="F14354" s="1">
        <v>2</v>
      </c>
      <c r="G14354" s="1" t="s">
        <v>32</v>
      </c>
      <c r="H14354" s="4" t="str">
        <f>HYPERLINK("https://portal.gdc.cancer.gov/cases/56033839-35d5-4d72-8b8c-400cb345263d","TCGA-E9-A22G-01A")</f>
        <v>TCGA-E9-A22G-01A</v>
      </c>
      <c r="I14354" t="s">
        <v>17</v>
      </c>
      <c r="J14354" t="s">
        <v>524</v>
      </c>
      <c r="K14354" t="s">
        <v>33</v>
      </c>
      <c r="L14354" t="s">
        <v>20</v>
      </c>
      <c r="N14354" t="s">
        <v>29</v>
      </c>
    </row>
    <row r="14355" spans="1:14">
      <c r="A14355" s="4" t="str">
        <f t="shared" si="1158"/>
        <v>EXP00414</v>
      </c>
      <c r="B14355" s="3" t="s">
        <v>66</v>
      </c>
      <c r="C14355" s="4" t="str">
        <f t="shared" si="1157"/>
        <v>TCGA-BRCA</v>
      </c>
      <c r="D14355" s="1" t="s">
        <v>493</v>
      </c>
      <c r="E14355" t="s">
        <v>532</v>
      </c>
      <c r="F14355" s="1">
        <v>2</v>
      </c>
      <c r="G14355" s="1" t="s">
        <v>32</v>
      </c>
      <c r="H14355" s="4" t="str">
        <f>HYPERLINK("https://portal.gdc.cancer.gov/cases/161917b8-88ad-407b-ade6-d6b98478b359","TCGA-E9-A22H-01A")</f>
        <v>TCGA-E9-A22H-01A</v>
      </c>
      <c r="I14355" t="s">
        <v>17</v>
      </c>
      <c r="J14355" t="s">
        <v>524</v>
      </c>
      <c r="K14355" t="s">
        <v>33</v>
      </c>
      <c r="L14355" t="s">
        <v>20</v>
      </c>
      <c r="N14355" t="s">
        <v>29</v>
      </c>
    </row>
    <row r="14356" spans="1:14">
      <c r="A14356" s="4" t="str">
        <f t="shared" si="1158"/>
        <v>EXP00414</v>
      </c>
      <c r="B14356" s="3" t="s">
        <v>66</v>
      </c>
      <c r="C14356" s="4" t="str">
        <f t="shared" si="1157"/>
        <v>TCGA-BRCA</v>
      </c>
      <c r="D14356" s="1" t="s">
        <v>493</v>
      </c>
      <c r="E14356" t="s">
        <v>532</v>
      </c>
      <c r="F14356" s="1">
        <v>2</v>
      </c>
      <c r="G14356" s="1" t="s">
        <v>32</v>
      </c>
      <c r="H14356" s="4" t="str">
        <f>HYPERLINK("https://portal.gdc.cancer.gov/cases/d4a1ecdc-399c-4f82-aa7a-68a0c82ded3f","TCGA-E9-A243-01A")</f>
        <v>TCGA-E9-A243-01A</v>
      </c>
      <c r="I14356" t="s">
        <v>17</v>
      </c>
      <c r="J14356" t="s">
        <v>524</v>
      </c>
      <c r="K14356" t="s">
        <v>33</v>
      </c>
      <c r="L14356" t="s">
        <v>20</v>
      </c>
      <c r="N14356" t="s">
        <v>29</v>
      </c>
    </row>
    <row r="14357" spans="1:14">
      <c r="A14357" s="4" t="str">
        <f t="shared" si="1158"/>
        <v>EXP00414</v>
      </c>
      <c r="B14357" s="3" t="s">
        <v>66</v>
      </c>
      <c r="C14357" s="4" t="str">
        <f t="shared" si="1157"/>
        <v>TCGA-BRCA</v>
      </c>
      <c r="D14357" s="1" t="s">
        <v>493</v>
      </c>
      <c r="E14357" t="s">
        <v>532</v>
      </c>
      <c r="F14357" s="1">
        <v>2</v>
      </c>
      <c r="G14357" s="1" t="s">
        <v>32</v>
      </c>
      <c r="H14357" s="4" t="str">
        <f>HYPERLINK("https://portal.gdc.cancer.gov/cases/a4c59287-1ad5-46a5-8040-e591e6ce064f","TCGA-E9-A244-01A")</f>
        <v>TCGA-E9-A244-01A</v>
      </c>
      <c r="I14357" t="s">
        <v>17</v>
      </c>
      <c r="J14357" t="s">
        <v>524</v>
      </c>
      <c r="K14357" t="s">
        <v>33</v>
      </c>
      <c r="L14357" t="s">
        <v>20</v>
      </c>
      <c r="N14357" t="s">
        <v>29</v>
      </c>
    </row>
    <row r="14358" spans="1:14">
      <c r="A14358" s="4" t="str">
        <f t="shared" si="1158"/>
        <v>EXP00414</v>
      </c>
      <c r="B14358" s="3" t="s">
        <v>66</v>
      </c>
      <c r="C14358" s="4" t="str">
        <f t="shared" si="1157"/>
        <v>TCGA-BRCA</v>
      </c>
      <c r="D14358" s="1" t="s">
        <v>493</v>
      </c>
      <c r="E14358" t="s">
        <v>532</v>
      </c>
      <c r="F14358" s="1">
        <v>2</v>
      </c>
      <c r="G14358" s="1" t="s">
        <v>32</v>
      </c>
      <c r="H14358" s="4" t="str">
        <f>HYPERLINK("https://portal.gdc.cancer.gov/cases/8218119a-f68b-4ea7-9ee4-5e2edc2ae342","TCGA-E9-A245-01A")</f>
        <v>TCGA-E9-A245-01A</v>
      </c>
      <c r="I14358" t="s">
        <v>17</v>
      </c>
      <c r="J14358" t="s">
        <v>524</v>
      </c>
      <c r="K14358" t="s">
        <v>33</v>
      </c>
      <c r="L14358" t="s">
        <v>20</v>
      </c>
      <c r="N14358" t="s">
        <v>29</v>
      </c>
    </row>
    <row r="14359" spans="1:14">
      <c r="A14359" s="4" t="str">
        <f t="shared" si="1158"/>
        <v>EXP00414</v>
      </c>
      <c r="B14359" s="3" t="s">
        <v>66</v>
      </c>
      <c r="C14359" s="4" t="str">
        <f t="shared" si="1157"/>
        <v>TCGA-BRCA</v>
      </c>
      <c r="D14359" s="1" t="s">
        <v>493</v>
      </c>
      <c r="E14359" t="s">
        <v>532</v>
      </c>
      <c r="F14359" s="1">
        <v>2</v>
      </c>
      <c r="G14359" s="1" t="s">
        <v>32</v>
      </c>
      <c r="H14359" s="4" t="str">
        <f>HYPERLINK("https://portal.gdc.cancer.gov/cases/636b0a90-c8c2-4ad6-a77d-6cd428a826d1","TCGA-E9-A247-01A")</f>
        <v>TCGA-E9-A247-01A</v>
      </c>
      <c r="I14359" t="s">
        <v>17</v>
      </c>
      <c r="J14359" t="s">
        <v>524</v>
      </c>
      <c r="K14359" t="s">
        <v>33</v>
      </c>
      <c r="L14359" t="s">
        <v>20</v>
      </c>
      <c r="N14359" t="s">
        <v>29</v>
      </c>
    </row>
    <row r="14360" spans="1:14">
      <c r="A14360" s="4" t="str">
        <f t="shared" si="1158"/>
        <v>EXP00414</v>
      </c>
      <c r="B14360" s="3" t="s">
        <v>66</v>
      </c>
      <c r="C14360" s="4" t="str">
        <f t="shared" si="1157"/>
        <v>TCGA-BRCA</v>
      </c>
      <c r="D14360" s="1" t="s">
        <v>493</v>
      </c>
      <c r="E14360" t="s">
        <v>532</v>
      </c>
      <c r="F14360" s="1">
        <v>2</v>
      </c>
      <c r="G14360" s="1" t="s">
        <v>32</v>
      </c>
      <c r="H14360" s="4" t="str">
        <f>HYPERLINK("https://portal.gdc.cancer.gov/cases/539bbbed-43fb-4fef-9c67-6406f58b186a","TCGA-E9-A248-01A")</f>
        <v>TCGA-E9-A248-01A</v>
      </c>
      <c r="I14360" t="s">
        <v>17</v>
      </c>
      <c r="J14360" t="s">
        <v>524</v>
      </c>
      <c r="K14360" t="s">
        <v>33</v>
      </c>
      <c r="L14360" t="s">
        <v>20</v>
      </c>
      <c r="N14360" t="s">
        <v>29</v>
      </c>
    </row>
    <row r="14361" spans="1:14">
      <c r="A14361" s="4" t="str">
        <f t="shared" si="1158"/>
        <v>EXP00414</v>
      </c>
      <c r="B14361" s="3" t="s">
        <v>66</v>
      </c>
      <c r="C14361" s="4" t="str">
        <f t="shared" si="1157"/>
        <v>TCGA-BRCA</v>
      </c>
      <c r="D14361" s="1" t="s">
        <v>493</v>
      </c>
      <c r="E14361" t="s">
        <v>532</v>
      </c>
      <c r="F14361" s="1">
        <v>2</v>
      </c>
      <c r="G14361" s="1" t="s">
        <v>32</v>
      </c>
      <c r="H14361" s="4" t="str">
        <f>HYPERLINK("https://portal.gdc.cancer.gov/cases/fb3607eb-858e-4ecd-8477-95140658c6d2","TCGA-E9-A249-01A")</f>
        <v>TCGA-E9-A249-01A</v>
      </c>
      <c r="I14361" t="s">
        <v>17</v>
      </c>
      <c r="J14361" t="s">
        <v>524</v>
      </c>
      <c r="K14361" t="s">
        <v>33</v>
      </c>
      <c r="L14361" t="s">
        <v>20</v>
      </c>
      <c r="N14361" t="s">
        <v>29</v>
      </c>
    </row>
    <row r="14362" spans="1:14">
      <c r="A14362" s="4" t="str">
        <f t="shared" si="1158"/>
        <v>EXP00414</v>
      </c>
      <c r="B14362" s="3" t="s">
        <v>66</v>
      </c>
      <c r="C14362" s="4" t="str">
        <f t="shared" si="1157"/>
        <v>TCGA-BRCA</v>
      </c>
      <c r="D14362" s="1" t="s">
        <v>493</v>
      </c>
      <c r="E14362" t="s">
        <v>532</v>
      </c>
      <c r="F14362" s="1">
        <v>2</v>
      </c>
      <c r="G14362" s="1" t="s">
        <v>32</v>
      </c>
      <c r="H14362" s="4" t="str">
        <f>HYPERLINK("https://portal.gdc.cancer.gov/cases/9f3cc92b-fa22-478e-a2e4-6b4c8afb93d6","TCGA-E9-A24A-01A")</f>
        <v>TCGA-E9-A24A-01A</v>
      </c>
      <c r="I14362" t="s">
        <v>17</v>
      </c>
      <c r="J14362" t="s">
        <v>524</v>
      </c>
      <c r="K14362" t="s">
        <v>33</v>
      </c>
      <c r="L14362" t="s">
        <v>20</v>
      </c>
      <c r="N14362" t="s">
        <v>29</v>
      </c>
    </row>
    <row r="14363" spans="1:14">
      <c r="A14363" s="4" t="str">
        <f t="shared" si="1158"/>
        <v>EXP00414</v>
      </c>
      <c r="B14363" s="3" t="s">
        <v>66</v>
      </c>
      <c r="C14363" s="4" t="str">
        <f t="shared" si="1157"/>
        <v>TCGA-BRCA</v>
      </c>
      <c r="D14363" s="1" t="s">
        <v>493</v>
      </c>
      <c r="E14363" t="s">
        <v>532</v>
      </c>
      <c r="F14363" s="1">
        <v>2</v>
      </c>
      <c r="G14363" s="1" t="s">
        <v>32</v>
      </c>
      <c r="H14363" s="4" t="str">
        <f>HYPERLINK("https://portal.gdc.cancer.gov/cases/fec0da58-1047-44d2-b6d1-c18cceed43dc","TCGA-E9-A295-01A")</f>
        <v>TCGA-E9-A295-01A</v>
      </c>
      <c r="I14363" t="s">
        <v>17</v>
      </c>
      <c r="J14363" t="s">
        <v>524</v>
      </c>
      <c r="K14363" t="s">
        <v>33</v>
      </c>
      <c r="L14363" t="s">
        <v>20</v>
      </c>
      <c r="N14363" t="s">
        <v>29</v>
      </c>
    </row>
    <row r="14364" spans="1:14">
      <c r="A14364" s="4" t="str">
        <f t="shared" si="1158"/>
        <v>EXP00414</v>
      </c>
      <c r="B14364" s="3" t="s">
        <v>66</v>
      </c>
      <c r="C14364" s="4" t="str">
        <f t="shared" si="1157"/>
        <v>TCGA-BRCA</v>
      </c>
      <c r="D14364" s="1" t="s">
        <v>493</v>
      </c>
      <c r="E14364" t="s">
        <v>532</v>
      </c>
      <c r="F14364" s="1">
        <v>2</v>
      </c>
      <c r="G14364" s="1" t="s">
        <v>32</v>
      </c>
      <c r="H14364" s="4" t="str">
        <f>HYPERLINK("https://portal.gdc.cancer.gov/cases/4a831893-f4ca-4357-a756-b5e954e35dd7","TCGA-E9-A2JS-01A")</f>
        <v>TCGA-E9-A2JS-01A</v>
      </c>
      <c r="I14364" t="s">
        <v>17</v>
      </c>
      <c r="J14364" t="s">
        <v>524</v>
      </c>
      <c r="K14364" t="s">
        <v>33</v>
      </c>
      <c r="L14364" t="s">
        <v>20</v>
      </c>
      <c r="N14364" t="s">
        <v>29</v>
      </c>
    </row>
    <row r="14365" spans="1:14">
      <c r="A14365" s="4" t="str">
        <f t="shared" si="1158"/>
        <v>EXP00414</v>
      </c>
      <c r="B14365" s="3" t="s">
        <v>66</v>
      </c>
      <c r="C14365" s="4" t="str">
        <f t="shared" si="1157"/>
        <v>TCGA-BRCA</v>
      </c>
      <c r="D14365" s="1" t="s">
        <v>493</v>
      </c>
      <c r="E14365" t="s">
        <v>532</v>
      </c>
      <c r="F14365" s="1">
        <v>2</v>
      </c>
      <c r="G14365" s="1" t="s">
        <v>32</v>
      </c>
      <c r="H14365" s="4" t="str">
        <f>HYPERLINK("https://portal.gdc.cancer.gov/cases/b35fbe19-0e6d-427e-b9be-ee3527b5fca6","TCGA-E9-A2JT-01A")</f>
        <v>TCGA-E9-A2JT-01A</v>
      </c>
      <c r="I14365" t="s">
        <v>17</v>
      </c>
      <c r="J14365" t="s">
        <v>524</v>
      </c>
      <c r="K14365" t="s">
        <v>33</v>
      </c>
      <c r="L14365" t="s">
        <v>20</v>
      </c>
      <c r="N14365" t="s">
        <v>29</v>
      </c>
    </row>
    <row r="14366" spans="1:14">
      <c r="A14366" s="4" t="str">
        <f t="shared" si="1158"/>
        <v>EXP00414</v>
      </c>
      <c r="B14366" s="3" t="s">
        <v>66</v>
      </c>
      <c r="C14366" s="4" t="str">
        <f t="shared" si="1157"/>
        <v>TCGA-BRCA</v>
      </c>
      <c r="D14366" s="1" t="s">
        <v>493</v>
      </c>
      <c r="E14366" t="s">
        <v>532</v>
      </c>
      <c r="F14366" s="1">
        <v>2</v>
      </c>
      <c r="G14366" s="1" t="s">
        <v>32</v>
      </c>
      <c r="H14366" s="4" t="str">
        <f>HYPERLINK("https://portal.gdc.cancer.gov/cases/e36e985d-2c44-4e14-854a-7dbca4bb0304","TCGA-E9-A3Q9-01A")</f>
        <v>TCGA-E9-A3Q9-01A</v>
      </c>
      <c r="I14366" t="s">
        <v>17</v>
      </c>
      <c r="J14366" t="s">
        <v>524</v>
      </c>
      <c r="K14366" t="s">
        <v>33</v>
      </c>
      <c r="L14366" t="s">
        <v>20</v>
      </c>
      <c r="N14366" t="s">
        <v>29</v>
      </c>
    </row>
    <row r="14367" spans="1:14">
      <c r="A14367" s="4" t="str">
        <f t="shared" si="1158"/>
        <v>EXP00414</v>
      </c>
      <c r="B14367" s="3" t="s">
        <v>66</v>
      </c>
      <c r="C14367" s="4" t="str">
        <f t="shared" si="1157"/>
        <v>TCGA-BRCA</v>
      </c>
      <c r="D14367" s="1" t="s">
        <v>493</v>
      </c>
      <c r="E14367" t="s">
        <v>532</v>
      </c>
      <c r="F14367" s="1">
        <v>2</v>
      </c>
      <c r="G14367" s="1" t="s">
        <v>32</v>
      </c>
      <c r="H14367" s="4" t="str">
        <f>HYPERLINK("https://portal.gdc.cancer.gov/cases/f3cb557d-23e4-4fd1-81ca-db1a3f56d56e","TCGA-E9-A3QA-01A")</f>
        <v>TCGA-E9-A3QA-01A</v>
      </c>
      <c r="I14367" t="s">
        <v>17</v>
      </c>
      <c r="J14367" t="s">
        <v>524</v>
      </c>
      <c r="K14367" t="s">
        <v>33</v>
      </c>
      <c r="L14367" t="s">
        <v>20</v>
      </c>
      <c r="N14367" t="s">
        <v>29</v>
      </c>
    </row>
    <row r="14368" spans="1:14">
      <c r="A14368" s="4" t="str">
        <f t="shared" si="1158"/>
        <v>EXP00414</v>
      </c>
      <c r="B14368" s="3" t="s">
        <v>66</v>
      </c>
      <c r="C14368" s="4" t="str">
        <f t="shared" si="1157"/>
        <v>TCGA-BRCA</v>
      </c>
      <c r="D14368" s="1" t="s">
        <v>493</v>
      </c>
      <c r="E14368" t="s">
        <v>532</v>
      </c>
      <c r="F14368" s="1">
        <v>2</v>
      </c>
      <c r="G14368" s="1" t="s">
        <v>32</v>
      </c>
      <c r="H14368" s="4" t="str">
        <f>HYPERLINK("https://portal.gdc.cancer.gov/cases/95873e61-afdb-496c-9f77-3f9beb008cda","TCGA-E9-A3X8-01A")</f>
        <v>TCGA-E9-A3X8-01A</v>
      </c>
      <c r="I14368" t="s">
        <v>17</v>
      </c>
      <c r="J14368" t="s">
        <v>524</v>
      </c>
      <c r="K14368" t="s">
        <v>33</v>
      </c>
      <c r="L14368" t="s">
        <v>20</v>
      </c>
      <c r="N14368" t="s">
        <v>29</v>
      </c>
    </row>
    <row r="14369" spans="1:14">
      <c r="A14369" s="4" t="str">
        <f t="shared" si="1158"/>
        <v>EXP00414</v>
      </c>
      <c r="B14369" s="3" t="s">
        <v>66</v>
      </c>
      <c r="C14369" s="4" t="str">
        <f t="shared" si="1157"/>
        <v>TCGA-BRCA</v>
      </c>
      <c r="D14369" s="1" t="s">
        <v>493</v>
      </c>
      <c r="E14369" t="s">
        <v>532</v>
      </c>
      <c r="F14369" s="1">
        <v>2</v>
      </c>
      <c r="G14369" s="1" t="s">
        <v>32</v>
      </c>
      <c r="H14369" s="4" t="str">
        <f>HYPERLINK("https://portal.gdc.cancer.gov/cases/3dbc8d60-3a97-47b2-91d0-c18fb46b4365","TCGA-E9-A54X-01A")</f>
        <v>TCGA-E9-A54X-01A</v>
      </c>
      <c r="I14369" t="s">
        <v>17</v>
      </c>
      <c r="J14369" t="s">
        <v>524</v>
      </c>
      <c r="K14369" t="s">
        <v>33</v>
      </c>
      <c r="L14369" t="s">
        <v>20</v>
      </c>
      <c r="N14369" t="s">
        <v>29</v>
      </c>
    </row>
    <row r="14370" spans="1:14">
      <c r="A14370" s="4" t="str">
        <f t="shared" si="1158"/>
        <v>EXP00414</v>
      </c>
      <c r="B14370" s="3" t="s">
        <v>66</v>
      </c>
      <c r="C14370" s="4" t="str">
        <f t="shared" si="1157"/>
        <v>TCGA-BRCA</v>
      </c>
      <c r="D14370" s="1" t="s">
        <v>493</v>
      </c>
      <c r="E14370" t="s">
        <v>532</v>
      </c>
      <c r="F14370" s="1">
        <v>2</v>
      </c>
      <c r="G14370" s="1" t="s">
        <v>32</v>
      </c>
      <c r="H14370" s="4" t="str">
        <f>HYPERLINK("https://portal.gdc.cancer.gov/cases/182c4bdf-2c58-4303-b034-459da86b9d90","TCGA-E9-A54Y-01A")</f>
        <v>TCGA-E9-A54Y-01A</v>
      </c>
      <c r="I14370" t="s">
        <v>17</v>
      </c>
      <c r="J14370" t="s">
        <v>524</v>
      </c>
      <c r="K14370" t="s">
        <v>33</v>
      </c>
      <c r="L14370" t="s">
        <v>20</v>
      </c>
      <c r="N14370" t="s">
        <v>29</v>
      </c>
    </row>
    <row r="14371" spans="1:14">
      <c r="A14371" s="4" t="str">
        <f t="shared" si="1158"/>
        <v>EXP00414</v>
      </c>
      <c r="B14371" s="3" t="s">
        <v>66</v>
      </c>
      <c r="C14371" s="4" t="str">
        <f t="shared" si="1157"/>
        <v>TCGA-BRCA</v>
      </c>
      <c r="D14371" s="1" t="s">
        <v>493</v>
      </c>
      <c r="E14371" t="s">
        <v>532</v>
      </c>
      <c r="F14371" s="1">
        <v>2</v>
      </c>
      <c r="G14371" s="1" t="s">
        <v>32</v>
      </c>
      <c r="H14371" s="4" t="str">
        <f>HYPERLINK("https://portal.gdc.cancer.gov/cases/b304302a-f2b9-4cd7-ab14-c21edf7778ea","TCGA-E9-A5FK-01A")</f>
        <v>TCGA-E9-A5FK-01A</v>
      </c>
      <c r="I14371" t="s">
        <v>17</v>
      </c>
      <c r="J14371" t="s">
        <v>524</v>
      </c>
      <c r="K14371" t="s">
        <v>33</v>
      </c>
      <c r="L14371" t="s">
        <v>20</v>
      </c>
      <c r="N14371" t="s">
        <v>29</v>
      </c>
    </row>
    <row r="14372" spans="1:14">
      <c r="A14372" s="4" t="str">
        <f t="shared" si="1158"/>
        <v>EXP00414</v>
      </c>
      <c r="B14372" s="3" t="s">
        <v>66</v>
      </c>
      <c r="C14372" s="4" t="str">
        <f t="shared" si="1157"/>
        <v>TCGA-BRCA</v>
      </c>
      <c r="D14372" s="1" t="s">
        <v>493</v>
      </c>
      <c r="E14372" t="s">
        <v>532</v>
      </c>
      <c r="F14372" s="1">
        <v>2</v>
      </c>
      <c r="G14372" s="1" t="s">
        <v>32</v>
      </c>
      <c r="H14372" s="4" t="str">
        <f>HYPERLINK("https://portal.gdc.cancer.gov/cases/e3935ce4-64d3-4a66-ba11-d308b844b410","TCGA-E9-A5FL-01A")</f>
        <v>TCGA-E9-A5FL-01A</v>
      </c>
      <c r="I14372" t="s">
        <v>17</v>
      </c>
      <c r="J14372" t="s">
        <v>524</v>
      </c>
      <c r="K14372" t="s">
        <v>33</v>
      </c>
      <c r="L14372" t="s">
        <v>20</v>
      </c>
      <c r="N14372" t="s">
        <v>29</v>
      </c>
    </row>
    <row r="14373" spans="1:14">
      <c r="A14373" s="4" t="str">
        <f t="shared" si="1158"/>
        <v>EXP00414</v>
      </c>
      <c r="B14373" s="3" t="s">
        <v>66</v>
      </c>
      <c r="C14373" s="4" t="str">
        <f t="shared" si="1157"/>
        <v>TCGA-BRCA</v>
      </c>
      <c r="D14373" s="1" t="s">
        <v>493</v>
      </c>
      <c r="E14373" t="s">
        <v>532</v>
      </c>
      <c r="F14373" s="1">
        <v>2</v>
      </c>
      <c r="G14373" s="1" t="s">
        <v>32</v>
      </c>
      <c r="H14373" s="4" t="str">
        <f>HYPERLINK("https://portal.gdc.cancer.gov/cases/ed2617c3-5d3b-4688-9283-0f8a10e0b10d","TCGA-E9-A5UO-01A")</f>
        <v>TCGA-E9-A5UO-01A</v>
      </c>
      <c r="I14373" t="s">
        <v>17</v>
      </c>
      <c r="J14373" t="s">
        <v>524</v>
      </c>
      <c r="K14373" t="s">
        <v>33</v>
      </c>
      <c r="L14373" t="s">
        <v>20</v>
      </c>
      <c r="N14373" t="s">
        <v>29</v>
      </c>
    </row>
    <row r="14374" spans="1:14">
      <c r="A14374" s="4" t="str">
        <f t="shared" si="1158"/>
        <v>EXP00414</v>
      </c>
      <c r="B14374" s="3" t="s">
        <v>66</v>
      </c>
      <c r="C14374" s="4" t="str">
        <f t="shared" si="1157"/>
        <v>TCGA-BRCA</v>
      </c>
      <c r="D14374" s="1" t="s">
        <v>493</v>
      </c>
      <c r="E14374" t="s">
        <v>532</v>
      </c>
      <c r="F14374" s="1">
        <v>2</v>
      </c>
      <c r="G14374" s="1" t="s">
        <v>32</v>
      </c>
      <c r="H14374" s="4" t="str">
        <f>HYPERLINK("https://portal.gdc.cancer.gov/cases/a412b374-4d25-491f-b76f-ddaa989acf59","TCGA-E9-A5UP-01A")</f>
        <v>TCGA-E9-A5UP-01A</v>
      </c>
      <c r="I14374" t="s">
        <v>17</v>
      </c>
      <c r="J14374" t="s">
        <v>524</v>
      </c>
      <c r="K14374" t="s">
        <v>33</v>
      </c>
      <c r="L14374" t="s">
        <v>20</v>
      </c>
      <c r="N14374" t="s">
        <v>29</v>
      </c>
    </row>
    <row r="14375" spans="1:14">
      <c r="A14375" s="4" t="str">
        <f t="shared" si="1158"/>
        <v>EXP00414</v>
      </c>
      <c r="B14375" s="3" t="s">
        <v>66</v>
      </c>
      <c r="C14375" s="4" t="str">
        <f t="shared" si="1157"/>
        <v>TCGA-BRCA</v>
      </c>
      <c r="D14375" s="1" t="s">
        <v>493</v>
      </c>
      <c r="E14375" t="s">
        <v>532</v>
      </c>
      <c r="F14375" s="1">
        <v>2</v>
      </c>
      <c r="G14375" s="1" t="s">
        <v>32</v>
      </c>
      <c r="H14375" s="4" t="str">
        <f>HYPERLINK("https://portal.gdc.cancer.gov/cases/7e9c8d3c-790c-46ad-8f31-b557b7c26f69","TCGA-E9-A6HE-01A")</f>
        <v>TCGA-E9-A6HE-01A</v>
      </c>
      <c r="I14375" t="s">
        <v>17</v>
      </c>
      <c r="J14375" t="s">
        <v>524</v>
      </c>
      <c r="K14375" t="s">
        <v>33</v>
      </c>
      <c r="L14375" t="s">
        <v>20</v>
      </c>
      <c r="N14375" t="s">
        <v>29</v>
      </c>
    </row>
    <row r="14376" spans="1:14">
      <c r="A14376" s="4" t="str">
        <f t="shared" si="1158"/>
        <v>EXP00414</v>
      </c>
      <c r="B14376" s="3" t="s">
        <v>66</v>
      </c>
      <c r="C14376" s="4" t="str">
        <f t="shared" si="1157"/>
        <v>TCGA-BRCA</v>
      </c>
      <c r="D14376" s="1" t="s">
        <v>493</v>
      </c>
      <c r="E14376" t="s">
        <v>532</v>
      </c>
      <c r="F14376" s="1">
        <v>2</v>
      </c>
      <c r="G14376" s="1" t="s">
        <v>32</v>
      </c>
      <c r="H14376" s="4" t="str">
        <f>HYPERLINK("https://portal.gdc.cancer.gov/cases/5e2cbc56-97f9-4b94-ade2-a3f739bcc7be","TCGA-EW-A1IW-01A")</f>
        <v>TCGA-EW-A1IW-01A</v>
      </c>
      <c r="I14376" t="s">
        <v>17</v>
      </c>
      <c r="J14376" t="s">
        <v>524</v>
      </c>
      <c r="K14376" t="s">
        <v>33</v>
      </c>
      <c r="L14376" t="s">
        <v>20</v>
      </c>
      <c r="N14376" t="s">
        <v>29</v>
      </c>
    </row>
    <row r="14377" spans="1:14">
      <c r="A14377" s="4" t="str">
        <f t="shared" si="1158"/>
        <v>EXP00414</v>
      </c>
      <c r="B14377" s="3" t="s">
        <v>66</v>
      </c>
      <c r="C14377" s="4" t="str">
        <f t="shared" si="1157"/>
        <v>TCGA-BRCA</v>
      </c>
      <c r="D14377" s="1" t="s">
        <v>493</v>
      </c>
      <c r="E14377" t="s">
        <v>532</v>
      </c>
      <c r="F14377" s="1">
        <v>2</v>
      </c>
      <c r="G14377" s="1" t="s">
        <v>32</v>
      </c>
      <c r="H14377" s="4" t="str">
        <f>HYPERLINK("https://portal.gdc.cancer.gov/cases/e8614b7d-132e-4b4e-b1ae-df8bb4f2d4d4","TCGA-EW-A1IX-01A")</f>
        <v>TCGA-EW-A1IX-01A</v>
      </c>
      <c r="I14377" t="s">
        <v>17</v>
      </c>
      <c r="J14377" t="s">
        <v>524</v>
      </c>
      <c r="K14377" t="s">
        <v>33</v>
      </c>
      <c r="L14377" t="s">
        <v>20</v>
      </c>
      <c r="N14377" t="s">
        <v>29</v>
      </c>
    </row>
    <row r="14378" spans="1:14">
      <c r="A14378" s="4" t="str">
        <f t="shared" si="1158"/>
        <v>EXP00414</v>
      </c>
      <c r="B14378" s="3" t="s">
        <v>66</v>
      </c>
      <c r="C14378" s="4" t="str">
        <f t="shared" si="1157"/>
        <v>TCGA-BRCA</v>
      </c>
      <c r="D14378" s="1" t="s">
        <v>493</v>
      </c>
      <c r="E14378" t="s">
        <v>532</v>
      </c>
      <c r="F14378" s="1">
        <v>2</v>
      </c>
      <c r="G14378" s="1" t="s">
        <v>32</v>
      </c>
      <c r="H14378" s="4" t="str">
        <f>HYPERLINK("https://portal.gdc.cancer.gov/cases/5ff12cbe-a3e0-4ce6-8452-12b984a1baaf","TCGA-EW-A1IY-01A")</f>
        <v>TCGA-EW-A1IY-01A</v>
      </c>
      <c r="I14378" t="s">
        <v>17</v>
      </c>
      <c r="J14378" t="s">
        <v>524</v>
      </c>
      <c r="K14378" t="s">
        <v>33</v>
      </c>
      <c r="L14378" t="s">
        <v>20</v>
      </c>
      <c r="N14378" t="s">
        <v>29</v>
      </c>
    </row>
    <row r="14379" spans="1:14">
      <c r="A14379" s="4" t="str">
        <f t="shared" si="1158"/>
        <v>EXP00414</v>
      </c>
      <c r="B14379" s="3" t="s">
        <v>66</v>
      </c>
      <c r="C14379" s="4" t="str">
        <f t="shared" si="1157"/>
        <v>TCGA-BRCA</v>
      </c>
      <c r="D14379" s="1" t="s">
        <v>493</v>
      </c>
      <c r="E14379" t="s">
        <v>532</v>
      </c>
      <c r="F14379" s="1">
        <v>2</v>
      </c>
      <c r="G14379" s="1" t="s">
        <v>32</v>
      </c>
      <c r="H14379" s="4" t="str">
        <f>HYPERLINK("https://portal.gdc.cancer.gov/cases/c0f88fc5-56b0-4255-bbd1-9a21ced8b37b","TCGA-EW-A1IZ-01A")</f>
        <v>TCGA-EW-A1IZ-01A</v>
      </c>
      <c r="I14379" t="s">
        <v>17</v>
      </c>
      <c r="J14379" t="s">
        <v>524</v>
      </c>
      <c r="K14379" t="s">
        <v>33</v>
      </c>
      <c r="L14379" t="s">
        <v>20</v>
      </c>
      <c r="N14379" t="s">
        <v>29</v>
      </c>
    </row>
    <row r="14380" spans="1:14">
      <c r="A14380" s="4" t="str">
        <f t="shared" si="1158"/>
        <v>EXP00414</v>
      </c>
      <c r="B14380" s="3" t="s">
        <v>66</v>
      </c>
      <c r="C14380" s="4" t="str">
        <f t="shared" si="1157"/>
        <v>TCGA-BRCA</v>
      </c>
      <c r="D14380" s="1" t="s">
        <v>493</v>
      </c>
      <c r="E14380" t="s">
        <v>532</v>
      </c>
      <c r="F14380" s="1">
        <v>2</v>
      </c>
      <c r="G14380" s="1" t="s">
        <v>32</v>
      </c>
      <c r="H14380" s="4" t="str">
        <f>HYPERLINK("https://portal.gdc.cancer.gov/cases/ed6cef77-1bd9-4e3b-b576-550a91e4253a","TCGA-EW-A1J1-01A")</f>
        <v>TCGA-EW-A1J1-01A</v>
      </c>
      <c r="I14380" t="s">
        <v>17</v>
      </c>
      <c r="J14380" t="s">
        <v>524</v>
      </c>
      <c r="K14380" t="s">
        <v>33</v>
      </c>
      <c r="L14380" t="s">
        <v>20</v>
      </c>
      <c r="N14380" t="s">
        <v>29</v>
      </c>
    </row>
    <row r="14381" spans="1:14">
      <c r="A14381" s="4" t="str">
        <f t="shared" si="1158"/>
        <v>EXP00414</v>
      </c>
      <c r="B14381" s="3" t="s">
        <v>66</v>
      </c>
      <c r="C14381" s="4" t="str">
        <f t="shared" si="1157"/>
        <v>TCGA-BRCA</v>
      </c>
      <c r="D14381" s="1" t="s">
        <v>493</v>
      </c>
      <c r="E14381" t="s">
        <v>532</v>
      </c>
      <c r="F14381" s="1">
        <v>2</v>
      </c>
      <c r="G14381" s="1" t="s">
        <v>32</v>
      </c>
      <c r="H14381" s="4" t="str">
        <f>HYPERLINK("https://portal.gdc.cancer.gov/cases/a381275f-8858-4793-a8a2-0ca9db7274c8","TCGA-EW-A1J2-01A")</f>
        <v>TCGA-EW-A1J2-01A</v>
      </c>
      <c r="I14381" t="s">
        <v>17</v>
      </c>
      <c r="J14381" t="s">
        <v>524</v>
      </c>
      <c r="K14381" t="s">
        <v>33</v>
      </c>
      <c r="L14381" t="s">
        <v>20</v>
      </c>
      <c r="N14381" t="s">
        <v>29</v>
      </c>
    </row>
    <row r="14382" spans="1:14">
      <c r="A14382" s="4" t="str">
        <f t="shared" si="1158"/>
        <v>EXP00414</v>
      </c>
      <c r="B14382" s="3" t="s">
        <v>66</v>
      </c>
      <c r="C14382" s="4" t="str">
        <f t="shared" si="1157"/>
        <v>TCGA-BRCA</v>
      </c>
      <c r="D14382" s="1" t="s">
        <v>493</v>
      </c>
      <c r="E14382" t="s">
        <v>532</v>
      </c>
      <c r="F14382" s="1">
        <v>2</v>
      </c>
      <c r="G14382" s="1" t="s">
        <v>32</v>
      </c>
      <c r="H14382" s="4" t="str">
        <f>HYPERLINK("https://portal.gdc.cancer.gov/cases/bb1de798-0c02-437e-b539-33cb556d3993","TCGA-EW-A1J3-01A")</f>
        <v>TCGA-EW-A1J3-01A</v>
      </c>
      <c r="I14382" t="s">
        <v>17</v>
      </c>
      <c r="J14382" t="s">
        <v>524</v>
      </c>
      <c r="K14382" t="s">
        <v>33</v>
      </c>
      <c r="L14382" t="s">
        <v>20</v>
      </c>
      <c r="N14382" t="s">
        <v>29</v>
      </c>
    </row>
    <row r="14383" spans="1:14">
      <c r="A14383" s="4" t="str">
        <f t="shared" si="1158"/>
        <v>EXP00414</v>
      </c>
      <c r="B14383" s="3" t="s">
        <v>66</v>
      </c>
      <c r="C14383" s="4" t="str">
        <f t="shared" si="1157"/>
        <v>TCGA-BRCA</v>
      </c>
      <c r="D14383" s="1" t="s">
        <v>493</v>
      </c>
      <c r="E14383" t="s">
        <v>532</v>
      </c>
      <c r="F14383" s="1">
        <v>2</v>
      </c>
      <c r="G14383" s="1" t="s">
        <v>32</v>
      </c>
      <c r="H14383" s="4" t="str">
        <f>HYPERLINK("https://portal.gdc.cancer.gov/cases/5d8ed961-a012-4b6b-bffb-9468d3953646","TCGA-EW-A1J5-01A")</f>
        <v>TCGA-EW-A1J5-01A</v>
      </c>
      <c r="I14383" t="s">
        <v>17</v>
      </c>
      <c r="J14383" t="s">
        <v>524</v>
      </c>
      <c r="K14383" t="s">
        <v>33</v>
      </c>
      <c r="L14383" t="s">
        <v>20</v>
      </c>
      <c r="N14383" t="s">
        <v>29</v>
      </c>
    </row>
    <row r="14384" spans="1:14">
      <c r="A14384" s="4" t="str">
        <f t="shared" si="1158"/>
        <v>EXP00414</v>
      </c>
      <c r="B14384" s="3" t="s">
        <v>66</v>
      </c>
      <c r="C14384" s="4" t="str">
        <f t="shared" si="1157"/>
        <v>TCGA-BRCA</v>
      </c>
      <c r="D14384" s="1" t="s">
        <v>493</v>
      </c>
      <c r="E14384" t="s">
        <v>532</v>
      </c>
      <c r="F14384" s="1">
        <v>2</v>
      </c>
      <c r="G14384" s="1" t="s">
        <v>32</v>
      </c>
      <c r="H14384" s="4" t="str">
        <f>HYPERLINK("https://portal.gdc.cancer.gov/cases/87281a89-91d2-44f7-9f80-668567ad5c72","TCGA-EW-A1J6-01A")</f>
        <v>TCGA-EW-A1J6-01A</v>
      </c>
      <c r="I14384" t="s">
        <v>17</v>
      </c>
      <c r="J14384" t="s">
        <v>524</v>
      </c>
      <c r="K14384" t="s">
        <v>33</v>
      </c>
      <c r="L14384" t="s">
        <v>20</v>
      </c>
      <c r="N14384" t="s">
        <v>29</v>
      </c>
    </row>
    <row r="14385" spans="1:14">
      <c r="A14385" s="4" t="str">
        <f t="shared" si="1158"/>
        <v>EXP00414</v>
      </c>
      <c r="B14385" s="3" t="s">
        <v>66</v>
      </c>
      <c r="C14385" s="4" t="str">
        <f t="shared" si="1157"/>
        <v>TCGA-BRCA</v>
      </c>
      <c r="D14385" s="1" t="s">
        <v>493</v>
      </c>
      <c r="E14385" t="s">
        <v>532</v>
      </c>
      <c r="F14385" s="1">
        <v>2</v>
      </c>
      <c r="G14385" s="1" t="s">
        <v>32</v>
      </c>
      <c r="H14385" s="4" t="str">
        <f>HYPERLINK("https://portal.gdc.cancer.gov/cases/ac68d219-5670-4ddd-8df6-8aa7ad59e5c7","TCGA-EW-A1OV-01A")</f>
        <v>TCGA-EW-A1OV-01A</v>
      </c>
      <c r="I14385" t="s">
        <v>17</v>
      </c>
      <c r="J14385" t="s">
        <v>524</v>
      </c>
      <c r="K14385" t="s">
        <v>33</v>
      </c>
      <c r="L14385" t="s">
        <v>20</v>
      </c>
      <c r="N14385" t="s">
        <v>29</v>
      </c>
    </row>
    <row r="14386" spans="1:14">
      <c r="A14386" s="4" t="str">
        <f t="shared" si="1158"/>
        <v>EXP00414</v>
      </c>
      <c r="B14386" s="3" t="s">
        <v>66</v>
      </c>
      <c r="C14386" s="4" t="str">
        <f t="shared" si="1157"/>
        <v>TCGA-BRCA</v>
      </c>
      <c r="D14386" s="1" t="s">
        <v>493</v>
      </c>
      <c r="E14386" t="s">
        <v>532</v>
      </c>
      <c r="F14386" s="1">
        <v>2</v>
      </c>
      <c r="G14386" s="1" t="s">
        <v>32</v>
      </c>
      <c r="H14386" s="4" t="str">
        <f>HYPERLINK("https://portal.gdc.cancer.gov/cases/f55dd73d-8c36-440b-84e5-9aae53107775","TCGA-EW-A1OW-01A")</f>
        <v>TCGA-EW-A1OW-01A</v>
      </c>
      <c r="I14386" t="s">
        <v>17</v>
      </c>
      <c r="J14386" t="s">
        <v>524</v>
      </c>
      <c r="K14386" t="s">
        <v>33</v>
      </c>
      <c r="L14386" t="s">
        <v>20</v>
      </c>
      <c r="N14386" t="s">
        <v>29</v>
      </c>
    </row>
    <row r="14387" spans="1:14">
      <c r="A14387" s="4" t="str">
        <f t="shared" si="1158"/>
        <v>EXP00414</v>
      </c>
      <c r="B14387" s="3" t="s">
        <v>66</v>
      </c>
      <c r="C14387" s="4" t="str">
        <f t="shared" si="1157"/>
        <v>TCGA-BRCA</v>
      </c>
      <c r="D14387" s="1" t="s">
        <v>493</v>
      </c>
      <c r="E14387" t="s">
        <v>532</v>
      </c>
      <c r="F14387" s="1">
        <v>2</v>
      </c>
      <c r="G14387" s="1" t="s">
        <v>32</v>
      </c>
      <c r="H14387" s="4" t="str">
        <f>HYPERLINK("https://portal.gdc.cancer.gov/cases/5fc7ff35-d3f7-4687-8759-3542bd58e988","TCGA-EW-A1OX-01A")</f>
        <v>TCGA-EW-A1OX-01A</v>
      </c>
      <c r="I14387" t="s">
        <v>17</v>
      </c>
      <c r="J14387" t="s">
        <v>524</v>
      </c>
      <c r="K14387" t="s">
        <v>33</v>
      </c>
      <c r="L14387" t="s">
        <v>20</v>
      </c>
      <c r="N14387" t="s">
        <v>29</v>
      </c>
    </row>
    <row r="14388" spans="1:14">
      <c r="A14388" s="4" t="str">
        <f t="shared" si="1158"/>
        <v>EXP00414</v>
      </c>
      <c r="B14388" s="3" t="s">
        <v>66</v>
      </c>
      <c r="C14388" s="4" t="str">
        <f t="shared" si="1157"/>
        <v>TCGA-BRCA</v>
      </c>
      <c r="D14388" s="1" t="s">
        <v>493</v>
      </c>
      <c r="E14388" t="s">
        <v>532</v>
      </c>
      <c r="F14388" s="1">
        <v>2</v>
      </c>
      <c r="G14388" s="1" t="s">
        <v>32</v>
      </c>
      <c r="H14388" s="4" t="str">
        <f>HYPERLINK("https://portal.gdc.cancer.gov/cases/53ff5893-7d5e-4bcb-be9c-665fa34b7824","TCGA-EW-A1OY-01A")</f>
        <v>TCGA-EW-A1OY-01A</v>
      </c>
      <c r="I14388" t="s">
        <v>17</v>
      </c>
      <c r="J14388" t="s">
        <v>524</v>
      </c>
      <c r="K14388" t="s">
        <v>33</v>
      </c>
      <c r="L14388" t="s">
        <v>20</v>
      </c>
      <c r="N14388" t="s">
        <v>29</v>
      </c>
    </row>
    <row r="14389" spans="1:14">
      <c r="A14389" s="4" t="str">
        <f t="shared" si="1158"/>
        <v>EXP00414</v>
      </c>
      <c r="B14389" s="3" t="s">
        <v>66</v>
      </c>
      <c r="C14389" s="4" t="str">
        <f t="shared" si="1157"/>
        <v>TCGA-BRCA</v>
      </c>
      <c r="D14389" s="1" t="s">
        <v>493</v>
      </c>
      <c r="E14389" t="s">
        <v>532</v>
      </c>
      <c r="F14389" s="1">
        <v>2</v>
      </c>
      <c r="G14389" s="1" t="s">
        <v>32</v>
      </c>
      <c r="H14389" s="4" t="str">
        <f>HYPERLINK("https://portal.gdc.cancer.gov/cases/8f912a40-3251-4e1f-ae65-1f93d71f9881","TCGA-EW-A1OZ-01A")</f>
        <v>TCGA-EW-A1OZ-01A</v>
      </c>
      <c r="I14389" t="s">
        <v>17</v>
      </c>
      <c r="J14389" t="s">
        <v>524</v>
      </c>
      <c r="K14389" t="s">
        <v>33</v>
      </c>
      <c r="L14389" t="s">
        <v>20</v>
      </c>
      <c r="N14389" t="s">
        <v>29</v>
      </c>
    </row>
    <row r="14390" spans="1:14">
      <c r="A14390" s="4" t="str">
        <f t="shared" si="1158"/>
        <v>EXP00414</v>
      </c>
      <c r="B14390" s="3" t="s">
        <v>66</v>
      </c>
      <c r="C14390" s="4" t="str">
        <f t="shared" si="1157"/>
        <v>TCGA-BRCA</v>
      </c>
      <c r="D14390" s="1" t="s">
        <v>493</v>
      </c>
      <c r="E14390" t="s">
        <v>532</v>
      </c>
      <c r="F14390" s="1">
        <v>2</v>
      </c>
      <c r="G14390" s="1" t="s">
        <v>32</v>
      </c>
      <c r="H14390" s="4" t="str">
        <f>HYPERLINK("https://portal.gdc.cancer.gov/cases/81e32f39-3aa0-468b-87ed-dd2eb6165ddf","TCGA-EW-A1P0-01A")</f>
        <v>TCGA-EW-A1P0-01A</v>
      </c>
      <c r="I14390" t="s">
        <v>17</v>
      </c>
      <c r="J14390" t="s">
        <v>524</v>
      </c>
      <c r="K14390" t="s">
        <v>33</v>
      </c>
      <c r="L14390" t="s">
        <v>20</v>
      </c>
      <c r="N14390" t="s">
        <v>29</v>
      </c>
    </row>
    <row r="14391" spans="1:14">
      <c r="A14391" s="4" t="str">
        <f t="shared" si="1158"/>
        <v>EXP00414</v>
      </c>
      <c r="B14391" s="3" t="s">
        <v>66</v>
      </c>
      <c r="C14391" s="4" t="str">
        <f t="shared" si="1157"/>
        <v>TCGA-BRCA</v>
      </c>
      <c r="D14391" s="1" t="s">
        <v>493</v>
      </c>
      <c r="E14391" t="s">
        <v>532</v>
      </c>
      <c r="F14391" s="1">
        <v>2</v>
      </c>
      <c r="G14391" s="1" t="s">
        <v>32</v>
      </c>
      <c r="H14391" s="4" t="str">
        <f>HYPERLINK("https://portal.gdc.cancer.gov/cases/f2e28af9-c40e-41c4-9e82-205cca38f26a","TCGA-EW-A1P1-01A")</f>
        <v>TCGA-EW-A1P1-01A</v>
      </c>
      <c r="I14391" t="s">
        <v>17</v>
      </c>
      <c r="J14391" t="s">
        <v>524</v>
      </c>
      <c r="K14391" t="s">
        <v>33</v>
      </c>
      <c r="L14391" t="s">
        <v>20</v>
      </c>
      <c r="N14391" t="s">
        <v>29</v>
      </c>
    </row>
    <row r="14392" spans="1:14">
      <c r="A14392" s="4" t="str">
        <f t="shared" si="1158"/>
        <v>EXP00414</v>
      </c>
      <c r="B14392" s="3" t="s">
        <v>66</v>
      </c>
      <c r="C14392" s="4" t="str">
        <f t="shared" si="1157"/>
        <v>TCGA-BRCA</v>
      </c>
      <c r="D14392" s="1" t="s">
        <v>493</v>
      </c>
      <c r="E14392" t="s">
        <v>532</v>
      </c>
      <c r="F14392" s="1">
        <v>2</v>
      </c>
      <c r="G14392" s="1" t="s">
        <v>32</v>
      </c>
      <c r="H14392" s="4" t="str">
        <f>HYPERLINK("https://portal.gdc.cancer.gov/cases/1ff85ada-3cdd-4afb-b311-2c7befb52702","TCGA-EW-A1P3-01A")</f>
        <v>TCGA-EW-A1P3-01A</v>
      </c>
      <c r="I14392" t="s">
        <v>17</v>
      </c>
      <c r="J14392" t="s">
        <v>524</v>
      </c>
      <c r="K14392" t="s">
        <v>33</v>
      </c>
      <c r="L14392" t="s">
        <v>20</v>
      </c>
      <c r="N14392" t="s">
        <v>29</v>
      </c>
    </row>
    <row r="14393" spans="1:14">
      <c r="A14393" s="4" t="str">
        <f t="shared" si="1158"/>
        <v>EXP00414</v>
      </c>
      <c r="B14393" s="3" t="s">
        <v>66</v>
      </c>
      <c r="C14393" s="4" t="str">
        <f t="shared" si="1157"/>
        <v>TCGA-BRCA</v>
      </c>
      <c r="D14393" s="1" t="s">
        <v>493</v>
      </c>
      <c r="E14393" t="s">
        <v>532</v>
      </c>
      <c r="F14393" s="1">
        <v>2</v>
      </c>
      <c r="G14393" s="1" t="s">
        <v>32</v>
      </c>
      <c r="H14393" s="4" t="str">
        <f>HYPERLINK("https://portal.gdc.cancer.gov/cases/521e2140-ae5b-456f-8699-97398d009687","TCGA-EW-A1P4-01A")</f>
        <v>TCGA-EW-A1P4-01A</v>
      </c>
      <c r="I14393" t="s">
        <v>17</v>
      </c>
      <c r="J14393" t="s">
        <v>524</v>
      </c>
      <c r="K14393" t="s">
        <v>33</v>
      </c>
      <c r="L14393" t="s">
        <v>20</v>
      </c>
      <c r="N14393" t="s">
        <v>29</v>
      </c>
    </row>
    <row r="14394" spans="1:14">
      <c r="A14394" s="4" t="str">
        <f t="shared" si="1158"/>
        <v>EXP00414</v>
      </c>
      <c r="B14394" s="3" t="s">
        <v>66</v>
      </c>
      <c r="C14394" s="4" t="str">
        <f t="shared" ref="C14394:C14457" si="1159">HYPERLINK("https://portal.gdc.cancer.gov/projects/TCGA-BRCA","TCGA-BRCA")</f>
        <v>TCGA-BRCA</v>
      </c>
      <c r="D14394" s="1" t="s">
        <v>493</v>
      </c>
      <c r="E14394" t="s">
        <v>532</v>
      </c>
      <c r="F14394" s="1">
        <v>2</v>
      </c>
      <c r="G14394" s="1" t="s">
        <v>32</v>
      </c>
      <c r="H14394" s="4" t="str">
        <f>HYPERLINK("https://portal.gdc.cancer.gov/cases/53d0af48-d7ea-42c9-8695-c614b89b415b","TCGA-EW-A1P5-01A")</f>
        <v>TCGA-EW-A1P5-01A</v>
      </c>
      <c r="I14394" t="s">
        <v>17</v>
      </c>
      <c r="J14394" t="s">
        <v>524</v>
      </c>
      <c r="K14394" t="s">
        <v>33</v>
      </c>
      <c r="L14394" t="s">
        <v>20</v>
      </c>
      <c r="N14394" t="s">
        <v>29</v>
      </c>
    </row>
    <row r="14395" spans="1:14">
      <c r="A14395" s="4" t="str">
        <f t="shared" si="1158"/>
        <v>EXP00414</v>
      </c>
      <c r="B14395" s="3" t="s">
        <v>66</v>
      </c>
      <c r="C14395" s="4" t="str">
        <f t="shared" si="1159"/>
        <v>TCGA-BRCA</v>
      </c>
      <c r="D14395" s="1" t="s">
        <v>493</v>
      </c>
      <c r="E14395" t="s">
        <v>532</v>
      </c>
      <c r="F14395" s="1">
        <v>2</v>
      </c>
      <c r="G14395" s="1" t="s">
        <v>32</v>
      </c>
      <c r="H14395" s="4" t="str">
        <f>HYPERLINK("https://portal.gdc.cancer.gov/cases/ee5744c0-a8dc-43f2-abdd-0b5529a3e9fb","TCGA-EW-A1P6-01A")</f>
        <v>TCGA-EW-A1P6-01A</v>
      </c>
      <c r="I14395" t="s">
        <v>17</v>
      </c>
      <c r="J14395" t="s">
        <v>524</v>
      </c>
      <c r="K14395" t="s">
        <v>33</v>
      </c>
      <c r="L14395" t="s">
        <v>20</v>
      </c>
      <c r="N14395" t="s">
        <v>29</v>
      </c>
    </row>
    <row r="14396" spans="1:14">
      <c r="A14396" s="4" t="str">
        <f t="shared" si="1158"/>
        <v>EXP00414</v>
      </c>
      <c r="B14396" s="3" t="s">
        <v>66</v>
      </c>
      <c r="C14396" s="4" t="str">
        <f t="shared" si="1159"/>
        <v>TCGA-BRCA</v>
      </c>
      <c r="D14396" s="1" t="s">
        <v>493</v>
      </c>
      <c r="E14396" t="s">
        <v>532</v>
      </c>
      <c r="F14396" s="1">
        <v>2</v>
      </c>
      <c r="G14396" s="1" t="s">
        <v>32</v>
      </c>
      <c r="H14396" s="4" t="str">
        <f>HYPERLINK("https://portal.gdc.cancer.gov/cases/01674b2c-5cf2-478f-84a1-f69c39f47bd4","TCGA-EW-A1P7-01A")</f>
        <v>TCGA-EW-A1P7-01A</v>
      </c>
      <c r="I14396" t="s">
        <v>17</v>
      </c>
      <c r="J14396" t="s">
        <v>524</v>
      </c>
      <c r="K14396" t="s">
        <v>33</v>
      </c>
      <c r="L14396" t="s">
        <v>20</v>
      </c>
      <c r="N14396" t="s">
        <v>29</v>
      </c>
    </row>
    <row r="14397" spans="1:14">
      <c r="A14397" s="4" t="str">
        <f t="shared" si="1158"/>
        <v>EXP00414</v>
      </c>
      <c r="B14397" s="3" t="s">
        <v>66</v>
      </c>
      <c r="C14397" s="4" t="str">
        <f t="shared" si="1159"/>
        <v>TCGA-BRCA</v>
      </c>
      <c r="D14397" s="1" t="s">
        <v>493</v>
      </c>
      <c r="E14397" t="s">
        <v>532</v>
      </c>
      <c r="F14397" s="1">
        <v>2</v>
      </c>
      <c r="G14397" s="1" t="s">
        <v>32</v>
      </c>
      <c r="H14397" s="4" t="str">
        <f>HYPERLINK("https://portal.gdc.cancer.gov/cases/359f12f9-5c41-48a4-85bc-fd7e307bf7d8","TCGA-EW-A1P8-01A")</f>
        <v>TCGA-EW-A1P8-01A</v>
      </c>
      <c r="I14397" t="s">
        <v>17</v>
      </c>
      <c r="J14397" t="s">
        <v>524</v>
      </c>
      <c r="K14397" t="s">
        <v>33</v>
      </c>
      <c r="L14397" t="s">
        <v>20</v>
      </c>
      <c r="N14397" t="s">
        <v>29</v>
      </c>
    </row>
    <row r="14398" spans="1:14">
      <c r="A14398" s="4" t="str">
        <f t="shared" si="1158"/>
        <v>EXP00414</v>
      </c>
      <c r="B14398" s="3" t="s">
        <v>66</v>
      </c>
      <c r="C14398" s="4" t="str">
        <f t="shared" si="1159"/>
        <v>TCGA-BRCA</v>
      </c>
      <c r="D14398" s="1" t="s">
        <v>493</v>
      </c>
      <c r="E14398" t="s">
        <v>532</v>
      </c>
      <c r="F14398" s="1">
        <v>2</v>
      </c>
      <c r="G14398" s="1" t="s">
        <v>32</v>
      </c>
      <c r="H14398" s="4" t="str">
        <f>HYPERLINK("https://portal.gdc.cancer.gov/cases/4cfef7f9-f1ee-401c-a2a3-c225d4adc3b6","TCGA-EW-A1PA-01A")</f>
        <v>TCGA-EW-A1PA-01A</v>
      </c>
      <c r="I14398" t="s">
        <v>17</v>
      </c>
      <c r="J14398" t="s">
        <v>524</v>
      </c>
      <c r="K14398" t="s">
        <v>33</v>
      </c>
      <c r="L14398" t="s">
        <v>20</v>
      </c>
      <c r="N14398" t="s">
        <v>29</v>
      </c>
    </row>
    <row r="14399" spans="1:14">
      <c r="A14399" s="4" t="str">
        <f t="shared" si="1158"/>
        <v>EXP00414</v>
      </c>
      <c r="B14399" s="3" t="s">
        <v>66</v>
      </c>
      <c r="C14399" s="4" t="str">
        <f t="shared" si="1159"/>
        <v>TCGA-BRCA</v>
      </c>
      <c r="D14399" s="1" t="s">
        <v>493</v>
      </c>
      <c r="E14399" t="s">
        <v>532</v>
      </c>
      <c r="F14399" s="1">
        <v>2</v>
      </c>
      <c r="G14399" s="1" t="s">
        <v>32</v>
      </c>
      <c r="H14399" s="4" t="str">
        <f>HYPERLINK("https://portal.gdc.cancer.gov/cases/88db1340-e4bf-451a-87c0-6e9168296f5e","TCGA-EW-A1PB-01A")</f>
        <v>TCGA-EW-A1PB-01A</v>
      </c>
      <c r="I14399" t="s">
        <v>17</v>
      </c>
      <c r="J14399" t="s">
        <v>524</v>
      </c>
      <c r="K14399" t="s">
        <v>33</v>
      </c>
      <c r="L14399" t="s">
        <v>20</v>
      </c>
      <c r="N14399" t="s">
        <v>29</v>
      </c>
    </row>
    <row r="14400" spans="1:14">
      <c r="A14400" s="4" t="str">
        <f t="shared" si="1158"/>
        <v>EXP00414</v>
      </c>
      <c r="B14400" s="3" t="s">
        <v>66</v>
      </c>
      <c r="C14400" s="4" t="str">
        <f t="shared" si="1159"/>
        <v>TCGA-BRCA</v>
      </c>
      <c r="D14400" s="1" t="s">
        <v>493</v>
      </c>
      <c r="E14400" t="s">
        <v>532</v>
      </c>
      <c r="F14400" s="1">
        <v>2</v>
      </c>
      <c r="G14400" s="1" t="s">
        <v>32</v>
      </c>
      <c r="H14400" s="4" t="str">
        <f>HYPERLINK("https://portal.gdc.cancer.gov/cases/f45210d3-9e66-4f5e-bef1-5ee5547cc893","TCGA-EW-A1PC-01B")</f>
        <v>TCGA-EW-A1PC-01B</v>
      </c>
      <c r="I14400" t="s">
        <v>17</v>
      </c>
      <c r="J14400" t="s">
        <v>524</v>
      </c>
      <c r="K14400" t="s">
        <v>33</v>
      </c>
      <c r="L14400" t="s">
        <v>20</v>
      </c>
      <c r="N14400" t="s">
        <v>29</v>
      </c>
    </row>
    <row r="14401" spans="1:14">
      <c r="A14401" s="4" t="str">
        <f t="shared" si="1158"/>
        <v>EXP00414</v>
      </c>
      <c r="B14401" s="3" t="s">
        <v>66</v>
      </c>
      <c r="C14401" s="4" t="str">
        <f t="shared" si="1159"/>
        <v>TCGA-BRCA</v>
      </c>
      <c r="D14401" s="1" t="s">
        <v>493</v>
      </c>
      <c r="E14401" t="s">
        <v>532</v>
      </c>
      <c r="F14401" s="1">
        <v>2</v>
      </c>
      <c r="G14401" s="1" t="s">
        <v>32</v>
      </c>
      <c r="H14401" s="4" t="str">
        <f>HYPERLINK("https://portal.gdc.cancer.gov/cases/4dfc233b-ed03-4825-8089-e04cdee99996","TCGA-EW-A1PD-01A")</f>
        <v>TCGA-EW-A1PD-01A</v>
      </c>
      <c r="I14401" t="s">
        <v>17</v>
      </c>
      <c r="J14401" t="s">
        <v>524</v>
      </c>
      <c r="K14401" t="s">
        <v>33</v>
      </c>
      <c r="L14401" t="s">
        <v>20</v>
      </c>
      <c r="N14401" t="s">
        <v>29</v>
      </c>
    </row>
    <row r="14402" spans="1:14">
      <c r="A14402" s="4" t="str">
        <f t="shared" si="1158"/>
        <v>EXP00414</v>
      </c>
      <c r="B14402" s="3" t="s">
        <v>66</v>
      </c>
      <c r="C14402" s="4" t="str">
        <f t="shared" si="1159"/>
        <v>TCGA-BRCA</v>
      </c>
      <c r="D14402" s="1" t="s">
        <v>493</v>
      </c>
      <c r="E14402" t="s">
        <v>532</v>
      </c>
      <c r="F14402" s="1">
        <v>2</v>
      </c>
      <c r="G14402" s="1" t="s">
        <v>32</v>
      </c>
      <c r="H14402" s="4" t="str">
        <f>HYPERLINK("https://portal.gdc.cancer.gov/cases/f3b86c02-09a5-4e97-aa7a-86f13f7cda4b","TCGA-EW-A1PE-01A")</f>
        <v>TCGA-EW-A1PE-01A</v>
      </c>
      <c r="I14402" t="s">
        <v>17</v>
      </c>
      <c r="J14402" t="s">
        <v>524</v>
      </c>
      <c r="K14402" t="s">
        <v>33</v>
      </c>
      <c r="L14402" t="s">
        <v>20</v>
      </c>
      <c r="N14402" t="s">
        <v>29</v>
      </c>
    </row>
    <row r="14403" spans="1:14">
      <c r="A14403" s="4" t="str">
        <f t="shared" ref="A14403:A14466" si="1160">HYPERLINK("http://hcmdb.i-sanger.com/experiment/details/experiment_id/EXP00414","EXP00414")</f>
        <v>EXP00414</v>
      </c>
      <c r="B14403" s="3" t="s">
        <v>66</v>
      </c>
      <c r="C14403" s="4" t="str">
        <f t="shared" si="1159"/>
        <v>TCGA-BRCA</v>
      </c>
      <c r="D14403" s="1" t="s">
        <v>493</v>
      </c>
      <c r="E14403" t="s">
        <v>532</v>
      </c>
      <c r="F14403" s="1">
        <v>2</v>
      </c>
      <c r="G14403" s="1" t="s">
        <v>32</v>
      </c>
      <c r="H14403" s="4" t="str">
        <f>HYPERLINK("https://portal.gdc.cancer.gov/cases/848773a3-2f4a-4186-ab3f-de667129accf","TCGA-EW-A1PF-01A")</f>
        <v>TCGA-EW-A1PF-01A</v>
      </c>
      <c r="I14403" t="s">
        <v>17</v>
      </c>
      <c r="J14403" t="s">
        <v>524</v>
      </c>
      <c r="K14403" t="s">
        <v>33</v>
      </c>
      <c r="L14403" t="s">
        <v>20</v>
      </c>
      <c r="N14403" t="s">
        <v>29</v>
      </c>
    </row>
    <row r="14404" spans="1:14">
      <c r="A14404" s="4" t="str">
        <f t="shared" si="1160"/>
        <v>EXP00414</v>
      </c>
      <c r="B14404" s="3" t="s">
        <v>66</v>
      </c>
      <c r="C14404" s="4" t="str">
        <f t="shared" si="1159"/>
        <v>TCGA-BRCA</v>
      </c>
      <c r="D14404" s="1" t="s">
        <v>493</v>
      </c>
      <c r="E14404" t="s">
        <v>532</v>
      </c>
      <c r="F14404" s="1">
        <v>2</v>
      </c>
      <c r="G14404" s="1" t="s">
        <v>32</v>
      </c>
      <c r="H14404" s="4" t="str">
        <f>HYPERLINK("https://portal.gdc.cancer.gov/cases/da286247-e8bb-4941-a2af-2453fe61cd02","TCGA-EW-A1PG-01A")</f>
        <v>TCGA-EW-A1PG-01A</v>
      </c>
      <c r="I14404" t="s">
        <v>17</v>
      </c>
      <c r="J14404" t="s">
        <v>524</v>
      </c>
      <c r="K14404" t="s">
        <v>33</v>
      </c>
      <c r="L14404" t="s">
        <v>20</v>
      </c>
      <c r="N14404" t="s">
        <v>29</v>
      </c>
    </row>
    <row r="14405" spans="1:14">
      <c r="A14405" s="4" t="str">
        <f t="shared" si="1160"/>
        <v>EXP00414</v>
      </c>
      <c r="B14405" s="3" t="s">
        <v>66</v>
      </c>
      <c r="C14405" s="4" t="str">
        <f t="shared" si="1159"/>
        <v>TCGA-BRCA</v>
      </c>
      <c r="D14405" s="1" t="s">
        <v>493</v>
      </c>
      <c r="E14405" t="s">
        <v>532</v>
      </c>
      <c r="F14405" s="1">
        <v>2</v>
      </c>
      <c r="G14405" s="1" t="s">
        <v>32</v>
      </c>
      <c r="H14405" s="4" t="str">
        <f>HYPERLINK("https://portal.gdc.cancer.gov/cases/4da999a0-ef41-4a0b-b1d1-446b39cc855a","TCGA-EW-A1PH-01A")</f>
        <v>TCGA-EW-A1PH-01A</v>
      </c>
      <c r="I14405" t="s">
        <v>17</v>
      </c>
      <c r="J14405" t="s">
        <v>524</v>
      </c>
      <c r="K14405" t="s">
        <v>33</v>
      </c>
      <c r="L14405" t="s">
        <v>20</v>
      </c>
      <c r="N14405" t="s">
        <v>29</v>
      </c>
    </row>
    <row r="14406" spans="1:14">
      <c r="A14406" s="4" t="str">
        <f t="shared" si="1160"/>
        <v>EXP00414</v>
      </c>
      <c r="B14406" s="3" t="s">
        <v>66</v>
      </c>
      <c r="C14406" s="4" t="str">
        <f t="shared" si="1159"/>
        <v>TCGA-BRCA</v>
      </c>
      <c r="D14406" s="1" t="s">
        <v>493</v>
      </c>
      <c r="E14406" t="s">
        <v>532</v>
      </c>
      <c r="F14406" s="1">
        <v>2</v>
      </c>
      <c r="G14406" s="1" t="s">
        <v>32</v>
      </c>
      <c r="H14406" s="4" t="str">
        <f>HYPERLINK("https://portal.gdc.cancer.gov/cases/af97e043-88cb-4f99-8f8b-9bcbcccdf842","TCGA-EW-A2FR-01A")</f>
        <v>TCGA-EW-A2FR-01A</v>
      </c>
      <c r="I14406" t="s">
        <v>17</v>
      </c>
      <c r="J14406" t="s">
        <v>524</v>
      </c>
      <c r="K14406" t="s">
        <v>33</v>
      </c>
      <c r="L14406" t="s">
        <v>20</v>
      </c>
      <c r="N14406" t="s">
        <v>29</v>
      </c>
    </row>
    <row r="14407" spans="1:14">
      <c r="A14407" s="4" t="str">
        <f t="shared" si="1160"/>
        <v>EXP00414</v>
      </c>
      <c r="B14407" s="3" t="s">
        <v>66</v>
      </c>
      <c r="C14407" s="4" t="str">
        <f t="shared" si="1159"/>
        <v>TCGA-BRCA</v>
      </c>
      <c r="D14407" s="1" t="s">
        <v>493</v>
      </c>
      <c r="E14407" t="s">
        <v>532</v>
      </c>
      <c r="F14407" s="1">
        <v>2</v>
      </c>
      <c r="G14407" s="1" t="s">
        <v>32</v>
      </c>
      <c r="H14407" s="4" t="str">
        <f>HYPERLINK("https://portal.gdc.cancer.gov/cases/d34471a1-b367-4f8a-b35a-c5901c4f5503","TCGA-EW-A2FS-01A")</f>
        <v>TCGA-EW-A2FS-01A</v>
      </c>
      <c r="I14407" t="s">
        <v>17</v>
      </c>
      <c r="J14407" t="s">
        <v>524</v>
      </c>
      <c r="K14407" t="s">
        <v>33</v>
      </c>
      <c r="L14407" t="s">
        <v>20</v>
      </c>
      <c r="N14407" t="s">
        <v>29</v>
      </c>
    </row>
    <row r="14408" spans="1:14">
      <c r="A14408" s="4" t="str">
        <f t="shared" si="1160"/>
        <v>EXP00414</v>
      </c>
      <c r="B14408" s="3" t="s">
        <v>66</v>
      </c>
      <c r="C14408" s="4" t="str">
        <f t="shared" si="1159"/>
        <v>TCGA-BRCA</v>
      </c>
      <c r="D14408" s="1" t="s">
        <v>493</v>
      </c>
      <c r="E14408" t="s">
        <v>532</v>
      </c>
      <c r="F14408" s="1">
        <v>2</v>
      </c>
      <c r="G14408" s="1" t="s">
        <v>32</v>
      </c>
      <c r="H14408" s="4" t="str">
        <f>HYPERLINK("https://portal.gdc.cancer.gov/cases/f45aa0b2-f3de-4db5-9730-e5c6c4e2ed3a","TCGA-EW-A2FV-01A")</f>
        <v>TCGA-EW-A2FV-01A</v>
      </c>
      <c r="I14408" t="s">
        <v>17</v>
      </c>
      <c r="J14408" t="s">
        <v>524</v>
      </c>
      <c r="K14408" t="s">
        <v>33</v>
      </c>
      <c r="L14408" t="s">
        <v>20</v>
      </c>
      <c r="N14408" t="s">
        <v>29</v>
      </c>
    </row>
    <row r="14409" spans="1:14">
      <c r="A14409" s="4" t="str">
        <f t="shared" si="1160"/>
        <v>EXP00414</v>
      </c>
      <c r="B14409" s="3" t="s">
        <v>66</v>
      </c>
      <c r="C14409" s="4" t="str">
        <f t="shared" si="1159"/>
        <v>TCGA-BRCA</v>
      </c>
      <c r="D14409" s="1" t="s">
        <v>493</v>
      </c>
      <c r="E14409" t="s">
        <v>532</v>
      </c>
      <c r="F14409" s="1">
        <v>2</v>
      </c>
      <c r="G14409" s="1" t="s">
        <v>32</v>
      </c>
      <c r="H14409" s="4" t="str">
        <f>HYPERLINK("https://portal.gdc.cancer.gov/cases/e6f527a2-38eb-457e-bb39-3c5b9c0bcbec","TCGA-EW-A2FW-01A")</f>
        <v>TCGA-EW-A2FW-01A</v>
      </c>
      <c r="I14409" t="s">
        <v>17</v>
      </c>
      <c r="J14409" t="s">
        <v>524</v>
      </c>
      <c r="K14409" t="s">
        <v>33</v>
      </c>
      <c r="L14409" t="s">
        <v>20</v>
      </c>
      <c r="N14409" t="s">
        <v>29</v>
      </c>
    </row>
    <row r="14410" spans="1:14">
      <c r="A14410" s="4" t="str">
        <f t="shared" si="1160"/>
        <v>EXP00414</v>
      </c>
      <c r="B14410" s="3" t="s">
        <v>66</v>
      </c>
      <c r="C14410" s="4" t="str">
        <f t="shared" si="1159"/>
        <v>TCGA-BRCA</v>
      </c>
      <c r="D14410" s="1" t="s">
        <v>493</v>
      </c>
      <c r="E14410" t="s">
        <v>532</v>
      </c>
      <c r="F14410" s="1">
        <v>2</v>
      </c>
      <c r="G14410" s="1" t="s">
        <v>32</v>
      </c>
      <c r="H14410" s="4" t="str">
        <f>HYPERLINK("https://portal.gdc.cancer.gov/cases/c0b7b798-3383-4a45-a455-9eca5810739e","TCGA-EW-A3E8-01B")</f>
        <v>TCGA-EW-A3E8-01B</v>
      </c>
      <c r="I14410" t="s">
        <v>17</v>
      </c>
      <c r="J14410" t="s">
        <v>524</v>
      </c>
      <c r="K14410" t="s">
        <v>33</v>
      </c>
      <c r="L14410" t="s">
        <v>20</v>
      </c>
      <c r="N14410" t="s">
        <v>29</v>
      </c>
    </row>
    <row r="14411" spans="1:14">
      <c r="A14411" s="4" t="str">
        <f t="shared" si="1160"/>
        <v>EXP00414</v>
      </c>
      <c r="B14411" s="3" t="s">
        <v>66</v>
      </c>
      <c r="C14411" s="4" t="str">
        <f t="shared" si="1159"/>
        <v>TCGA-BRCA</v>
      </c>
      <c r="D14411" s="1" t="s">
        <v>493</v>
      </c>
      <c r="E14411" t="s">
        <v>532</v>
      </c>
      <c r="F14411" s="1">
        <v>2</v>
      </c>
      <c r="G14411" s="1" t="s">
        <v>32</v>
      </c>
      <c r="H14411" s="4" t="str">
        <f>HYPERLINK("https://portal.gdc.cancer.gov/cases/d9dc3b59-613d-469e-8b4f-6c5a557eb26a","TCGA-EW-A3U0-01A")</f>
        <v>TCGA-EW-A3U0-01A</v>
      </c>
      <c r="I14411" t="s">
        <v>17</v>
      </c>
      <c r="J14411" t="s">
        <v>524</v>
      </c>
      <c r="K14411" t="s">
        <v>33</v>
      </c>
      <c r="L14411" t="s">
        <v>20</v>
      </c>
      <c r="N14411" t="s">
        <v>29</v>
      </c>
    </row>
    <row r="14412" spans="1:14">
      <c r="A14412" s="4" t="str">
        <f t="shared" si="1160"/>
        <v>EXP00414</v>
      </c>
      <c r="B14412" s="3" t="s">
        <v>66</v>
      </c>
      <c r="C14412" s="4" t="str">
        <f t="shared" si="1159"/>
        <v>TCGA-BRCA</v>
      </c>
      <c r="D14412" s="1" t="s">
        <v>493</v>
      </c>
      <c r="E14412" t="s">
        <v>532</v>
      </c>
      <c r="F14412" s="1">
        <v>2</v>
      </c>
      <c r="G14412" s="1" t="s">
        <v>32</v>
      </c>
      <c r="H14412" s="4" t="str">
        <f>HYPERLINK("https://portal.gdc.cancer.gov/cases/bdd08ec8-8892-4273-8f21-6fde0f23c52d","TCGA-EW-A423-01A")</f>
        <v>TCGA-EW-A423-01A</v>
      </c>
      <c r="I14412" t="s">
        <v>17</v>
      </c>
      <c r="J14412" t="s">
        <v>524</v>
      </c>
      <c r="K14412" t="s">
        <v>33</v>
      </c>
      <c r="L14412" t="s">
        <v>20</v>
      </c>
      <c r="N14412" t="s">
        <v>29</v>
      </c>
    </row>
    <row r="14413" spans="1:14">
      <c r="A14413" s="4" t="str">
        <f t="shared" si="1160"/>
        <v>EXP00414</v>
      </c>
      <c r="B14413" s="3" t="s">
        <v>66</v>
      </c>
      <c r="C14413" s="4" t="str">
        <f t="shared" si="1159"/>
        <v>TCGA-BRCA</v>
      </c>
      <c r="D14413" s="1" t="s">
        <v>493</v>
      </c>
      <c r="E14413" t="s">
        <v>532</v>
      </c>
      <c r="F14413" s="1">
        <v>2</v>
      </c>
      <c r="G14413" s="1" t="s">
        <v>32</v>
      </c>
      <c r="H14413" s="4" t="str">
        <f>HYPERLINK("https://portal.gdc.cancer.gov/cases/a6502f17-6bee-4d5a-8520-06364593d39c","TCGA-EW-A424-01A")</f>
        <v>TCGA-EW-A424-01A</v>
      </c>
      <c r="I14413" t="s">
        <v>17</v>
      </c>
      <c r="J14413" t="s">
        <v>524</v>
      </c>
      <c r="K14413" t="s">
        <v>33</v>
      </c>
      <c r="L14413" t="s">
        <v>20</v>
      </c>
      <c r="N14413" t="s">
        <v>29</v>
      </c>
    </row>
    <row r="14414" spans="1:14">
      <c r="A14414" s="4" t="str">
        <f t="shared" si="1160"/>
        <v>EXP00414</v>
      </c>
      <c r="B14414" s="3" t="s">
        <v>66</v>
      </c>
      <c r="C14414" s="4" t="str">
        <f t="shared" si="1159"/>
        <v>TCGA-BRCA</v>
      </c>
      <c r="D14414" s="1" t="s">
        <v>493</v>
      </c>
      <c r="E14414" t="s">
        <v>532</v>
      </c>
      <c r="F14414" s="1">
        <v>2</v>
      </c>
      <c r="G14414" s="1" t="s">
        <v>32</v>
      </c>
      <c r="H14414" s="4" t="str">
        <f>HYPERLINK("https://portal.gdc.cancer.gov/cases/9676e46b-8f29-43cd-ab65-eb6a535cced4","TCGA-EW-A6S9-01A")</f>
        <v>TCGA-EW-A6S9-01A</v>
      </c>
      <c r="I14414" t="s">
        <v>17</v>
      </c>
      <c r="J14414" t="s">
        <v>524</v>
      </c>
      <c r="K14414" t="s">
        <v>33</v>
      </c>
      <c r="L14414" t="s">
        <v>20</v>
      </c>
      <c r="N14414" t="s">
        <v>29</v>
      </c>
    </row>
    <row r="14415" spans="1:14">
      <c r="A14415" s="4" t="str">
        <f t="shared" si="1160"/>
        <v>EXP00414</v>
      </c>
      <c r="B14415" s="3" t="s">
        <v>66</v>
      </c>
      <c r="C14415" s="4" t="str">
        <f t="shared" si="1159"/>
        <v>TCGA-BRCA</v>
      </c>
      <c r="D14415" s="1" t="s">
        <v>493</v>
      </c>
      <c r="E14415" t="s">
        <v>532</v>
      </c>
      <c r="F14415" s="1">
        <v>2</v>
      </c>
      <c r="G14415" s="1" t="s">
        <v>32</v>
      </c>
      <c r="H14415" s="4" t="str">
        <f>HYPERLINK("https://portal.gdc.cancer.gov/cases/aba5f46a-e67a-4cd2-9c52-c0686968ff04","TCGA-EW-A6SA-01A")</f>
        <v>TCGA-EW-A6SA-01A</v>
      </c>
      <c r="I14415" t="s">
        <v>17</v>
      </c>
      <c r="J14415" t="s">
        <v>524</v>
      </c>
      <c r="K14415" t="s">
        <v>33</v>
      </c>
      <c r="L14415" t="s">
        <v>20</v>
      </c>
      <c r="N14415" t="s">
        <v>29</v>
      </c>
    </row>
    <row r="14416" spans="1:14">
      <c r="A14416" s="4" t="str">
        <f t="shared" si="1160"/>
        <v>EXP00414</v>
      </c>
      <c r="B14416" s="3" t="s">
        <v>66</v>
      </c>
      <c r="C14416" s="4" t="str">
        <f t="shared" si="1159"/>
        <v>TCGA-BRCA</v>
      </c>
      <c r="D14416" s="1" t="s">
        <v>493</v>
      </c>
      <c r="E14416" t="s">
        <v>532</v>
      </c>
      <c r="F14416" s="1">
        <v>2</v>
      </c>
      <c r="G14416" s="1" t="s">
        <v>32</v>
      </c>
      <c r="H14416" s="4" t="str">
        <f>HYPERLINK("https://portal.gdc.cancer.gov/cases/5c59028f-b8fa-4811-8314-be3eaed5f364","TCGA-EW-A6SB-01A")</f>
        <v>TCGA-EW-A6SB-01A</v>
      </c>
      <c r="I14416" t="s">
        <v>17</v>
      </c>
      <c r="J14416" t="s">
        <v>524</v>
      </c>
      <c r="K14416" t="s">
        <v>33</v>
      </c>
      <c r="L14416" t="s">
        <v>20</v>
      </c>
      <c r="N14416" t="s">
        <v>29</v>
      </c>
    </row>
    <row r="14417" spans="1:14">
      <c r="A14417" s="4" t="str">
        <f t="shared" si="1160"/>
        <v>EXP00414</v>
      </c>
      <c r="B14417" s="3" t="s">
        <v>66</v>
      </c>
      <c r="C14417" s="4" t="str">
        <f t="shared" si="1159"/>
        <v>TCGA-BRCA</v>
      </c>
      <c r="D14417" s="1" t="s">
        <v>493</v>
      </c>
      <c r="E14417" t="s">
        <v>532</v>
      </c>
      <c r="F14417" s="1">
        <v>2</v>
      </c>
      <c r="G14417" s="1" t="s">
        <v>32</v>
      </c>
      <c r="H14417" s="4" t="str">
        <f>HYPERLINK("https://portal.gdc.cancer.gov/cases/97862b8e-9f76-4b19-a865-156a9c00fb1e","TCGA-EW-A6SC-01A")</f>
        <v>TCGA-EW-A6SC-01A</v>
      </c>
      <c r="I14417" t="s">
        <v>17</v>
      </c>
      <c r="J14417" t="s">
        <v>524</v>
      </c>
      <c r="K14417" t="s">
        <v>33</v>
      </c>
      <c r="L14417" t="s">
        <v>20</v>
      </c>
      <c r="N14417" t="s">
        <v>29</v>
      </c>
    </row>
    <row r="14418" spans="1:14">
      <c r="A14418" s="4" t="str">
        <f t="shared" si="1160"/>
        <v>EXP00414</v>
      </c>
      <c r="B14418" s="3" t="s">
        <v>66</v>
      </c>
      <c r="C14418" s="4" t="str">
        <f t="shared" si="1159"/>
        <v>TCGA-BRCA</v>
      </c>
      <c r="D14418" s="1" t="s">
        <v>493</v>
      </c>
      <c r="E14418" t="s">
        <v>532</v>
      </c>
      <c r="F14418" s="1">
        <v>2</v>
      </c>
      <c r="G14418" s="1" t="s">
        <v>32</v>
      </c>
      <c r="H14418" s="4" t="str">
        <f>HYPERLINK("https://portal.gdc.cancer.gov/cases/42378dbc-a123-4cf9-8502-165e89fda271","TCGA-EW-A6SD-01A")</f>
        <v>TCGA-EW-A6SD-01A</v>
      </c>
      <c r="I14418" t="s">
        <v>17</v>
      </c>
      <c r="J14418" t="s">
        <v>524</v>
      </c>
      <c r="K14418" t="s">
        <v>33</v>
      </c>
      <c r="L14418" t="s">
        <v>20</v>
      </c>
      <c r="N14418" t="s">
        <v>29</v>
      </c>
    </row>
    <row r="14419" spans="1:14">
      <c r="A14419" s="4" t="str">
        <f t="shared" si="1160"/>
        <v>EXP00414</v>
      </c>
      <c r="B14419" s="3" t="s">
        <v>66</v>
      </c>
      <c r="C14419" s="4" t="str">
        <f t="shared" si="1159"/>
        <v>TCGA-BRCA</v>
      </c>
      <c r="D14419" s="1" t="s">
        <v>493</v>
      </c>
      <c r="E14419" t="s">
        <v>532</v>
      </c>
      <c r="F14419" s="1">
        <v>2</v>
      </c>
      <c r="G14419" s="1" t="s">
        <v>32</v>
      </c>
      <c r="H14419" s="4" t="str">
        <f>HYPERLINK("https://portal.gdc.cancer.gov/cases/33fe5833-d7a0-43d7-a03d-56985ea448a6","TCGA-GI-A2C8-01A")</f>
        <v>TCGA-GI-A2C8-01A</v>
      </c>
      <c r="I14419" t="s">
        <v>17</v>
      </c>
      <c r="J14419" t="s">
        <v>524</v>
      </c>
      <c r="K14419" t="s">
        <v>33</v>
      </c>
      <c r="L14419" t="s">
        <v>20</v>
      </c>
      <c r="N14419" t="s">
        <v>29</v>
      </c>
    </row>
    <row r="14420" spans="1:14">
      <c r="A14420" s="4" t="str">
        <f t="shared" si="1160"/>
        <v>EXP00414</v>
      </c>
      <c r="B14420" s="3" t="s">
        <v>66</v>
      </c>
      <c r="C14420" s="4" t="str">
        <f t="shared" si="1159"/>
        <v>TCGA-BRCA</v>
      </c>
      <c r="D14420" s="1" t="s">
        <v>493</v>
      </c>
      <c r="E14420" t="s">
        <v>532</v>
      </c>
      <c r="F14420" s="1">
        <v>2</v>
      </c>
      <c r="G14420" s="1" t="s">
        <v>32</v>
      </c>
      <c r="H14420" s="4" t="str">
        <f>HYPERLINK("https://portal.gdc.cancer.gov/cases/9f6be944-83de-42ab-8738-f0022f475e61","TCGA-GI-A2C9-01A")</f>
        <v>TCGA-GI-A2C9-01A</v>
      </c>
      <c r="I14420" t="s">
        <v>17</v>
      </c>
      <c r="J14420" t="s">
        <v>524</v>
      </c>
      <c r="K14420" t="s">
        <v>33</v>
      </c>
      <c r="L14420" t="s">
        <v>20</v>
      </c>
      <c r="N14420" t="s">
        <v>29</v>
      </c>
    </row>
    <row r="14421" spans="1:14">
      <c r="A14421" s="4" t="str">
        <f t="shared" si="1160"/>
        <v>EXP00414</v>
      </c>
      <c r="B14421" s="3" t="s">
        <v>66</v>
      </c>
      <c r="C14421" s="4" t="str">
        <f t="shared" si="1159"/>
        <v>TCGA-BRCA</v>
      </c>
      <c r="D14421" s="1" t="s">
        <v>493</v>
      </c>
      <c r="E14421" t="s">
        <v>532</v>
      </c>
      <c r="F14421" s="1">
        <v>2</v>
      </c>
      <c r="G14421" s="1" t="s">
        <v>32</v>
      </c>
      <c r="H14421" s="4" t="str">
        <f>HYPERLINK("https://portal.gdc.cancer.gov/cases/1133b8a9-6b11-4511-b70a-f200e3b8b5db","TCGA-GM-A2D9-01A")</f>
        <v>TCGA-GM-A2D9-01A</v>
      </c>
      <c r="I14421" t="s">
        <v>17</v>
      </c>
      <c r="J14421" t="s">
        <v>524</v>
      </c>
      <c r="K14421" t="s">
        <v>33</v>
      </c>
      <c r="L14421" t="s">
        <v>20</v>
      </c>
      <c r="N14421" t="s">
        <v>29</v>
      </c>
    </row>
    <row r="14422" spans="1:14">
      <c r="A14422" s="4" t="str">
        <f t="shared" si="1160"/>
        <v>EXP00414</v>
      </c>
      <c r="B14422" s="3" t="s">
        <v>66</v>
      </c>
      <c r="C14422" s="4" t="str">
        <f t="shared" si="1159"/>
        <v>TCGA-BRCA</v>
      </c>
      <c r="D14422" s="1" t="s">
        <v>493</v>
      </c>
      <c r="E14422" t="s">
        <v>532</v>
      </c>
      <c r="F14422" s="1">
        <v>2</v>
      </c>
      <c r="G14422" s="1" t="s">
        <v>32</v>
      </c>
      <c r="H14422" s="4" t="str">
        <f>HYPERLINK("https://portal.gdc.cancer.gov/cases/c07b122e-ac50-4db2-add2-5617a5d0e976","TCGA-GM-A2DA-01A")</f>
        <v>TCGA-GM-A2DA-01A</v>
      </c>
      <c r="I14422" t="s">
        <v>17</v>
      </c>
      <c r="J14422" t="s">
        <v>524</v>
      </c>
      <c r="K14422" t="s">
        <v>33</v>
      </c>
      <c r="L14422" t="s">
        <v>20</v>
      </c>
      <c r="N14422" t="s">
        <v>29</v>
      </c>
    </row>
    <row r="14423" spans="1:14">
      <c r="A14423" s="4" t="str">
        <f t="shared" si="1160"/>
        <v>EXP00414</v>
      </c>
      <c r="B14423" s="3" t="s">
        <v>66</v>
      </c>
      <c r="C14423" s="4" t="str">
        <f t="shared" si="1159"/>
        <v>TCGA-BRCA</v>
      </c>
      <c r="D14423" s="1" t="s">
        <v>493</v>
      </c>
      <c r="E14423" t="s">
        <v>532</v>
      </c>
      <c r="F14423" s="1">
        <v>2</v>
      </c>
      <c r="G14423" s="1" t="s">
        <v>32</v>
      </c>
      <c r="H14423" s="4" t="str">
        <f>HYPERLINK("https://portal.gdc.cancer.gov/cases/6e6b7742-a562-490b-bb72-04a5653852e4","TCGA-GM-A2DB-01A")</f>
        <v>TCGA-GM-A2DB-01A</v>
      </c>
      <c r="I14423" t="s">
        <v>17</v>
      </c>
      <c r="J14423" t="s">
        <v>524</v>
      </c>
      <c r="K14423" t="s">
        <v>33</v>
      </c>
      <c r="L14423" t="s">
        <v>20</v>
      </c>
      <c r="N14423" t="s">
        <v>29</v>
      </c>
    </row>
    <row r="14424" spans="1:14">
      <c r="A14424" s="4" t="str">
        <f t="shared" si="1160"/>
        <v>EXP00414</v>
      </c>
      <c r="B14424" s="3" t="s">
        <v>66</v>
      </c>
      <c r="C14424" s="4" t="str">
        <f t="shared" si="1159"/>
        <v>TCGA-BRCA</v>
      </c>
      <c r="D14424" s="1" t="s">
        <v>493</v>
      </c>
      <c r="E14424" t="s">
        <v>532</v>
      </c>
      <c r="F14424" s="1">
        <v>2</v>
      </c>
      <c r="G14424" s="1" t="s">
        <v>32</v>
      </c>
      <c r="H14424" s="4" t="str">
        <f>HYPERLINK("https://portal.gdc.cancer.gov/cases/dd43ffd9-da18-4ad3-abe7-6f443c76a717","TCGA-GM-A2DC-01A")</f>
        <v>TCGA-GM-A2DC-01A</v>
      </c>
      <c r="I14424" t="s">
        <v>17</v>
      </c>
      <c r="J14424" t="s">
        <v>524</v>
      </c>
      <c r="K14424" t="s">
        <v>33</v>
      </c>
      <c r="L14424" t="s">
        <v>20</v>
      </c>
      <c r="N14424" t="s">
        <v>29</v>
      </c>
    </row>
    <row r="14425" spans="1:14">
      <c r="A14425" s="4" t="str">
        <f t="shared" si="1160"/>
        <v>EXP00414</v>
      </c>
      <c r="B14425" s="3" t="s">
        <v>66</v>
      </c>
      <c r="C14425" s="4" t="str">
        <f t="shared" si="1159"/>
        <v>TCGA-BRCA</v>
      </c>
      <c r="D14425" s="1" t="s">
        <v>493</v>
      </c>
      <c r="E14425" t="s">
        <v>532</v>
      </c>
      <c r="F14425" s="1">
        <v>2</v>
      </c>
      <c r="G14425" s="1" t="s">
        <v>32</v>
      </c>
      <c r="H14425" s="4" t="str">
        <f>HYPERLINK("https://portal.gdc.cancer.gov/cases/b343bfe0-7c23-4c6a-8c84-9ee39db2ecda","TCGA-GM-A2DD-01A")</f>
        <v>TCGA-GM-A2DD-01A</v>
      </c>
      <c r="I14425" t="s">
        <v>17</v>
      </c>
      <c r="J14425" t="s">
        <v>524</v>
      </c>
      <c r="K14425" t="s">
        <v>33</v>
      </c>
      <c r="L14425" t="s">
        <v>20</v>
      </c>
      <c r="N14425" t="s">
        <v>29</v>
      </c>
    </row>
    <row r="14426" spans="1:14">
      <c r="A14426" s="4" t="str">
        <f t="shared" si="1160"/>
        <v>EXP00414</v>
      </c>
      <c r="B14426" s="3" t="s">
        <v>66</v>
      </c>
      <c r="C14426" s="4" t="str">
        <f t="shared" si="1159"/>
        <v>TCGA-BRCA</v>
      </c>
      <c r="D14426" s="1" t="s">
        <v>493</v>
      </c>
      <c r="E14426" t="s">
        <v>532</v>
      </c>
      <c r="F14426" s="1">
        <v>2</v>
      </c>
      <c r="G14426" s="1" t="s">
        <v>32</v>
      </c>
      <c r="H14426" s="4" t="str">
        <f>HYPERLINK("https://portal.gdc.cancer.gov/cases/d6f7afc0-1558-43ad-acb1-2b5311ed2264","TCGA-GM-A2DF-01A")</f>
        <v>TCGA-GM-A2DF-01A</v>
      </c>
      <c r="I14426" t="s">
        <v>17</v>
      </c>
      <c r="J14426" t="s">
        <v>524</v>
      </c>
      <c r="K14426" t="s">
        <v>33</v>
      </c>
      <c r="L14426" t="s">
        <v>20</v>
      </c>
      <c r="N14426" t="s">
        <v>29</v>
      </c>
    </row>
    <row r="14427" spans="1:14">
      <c r="A14427" s="4" t="str">
        <f t="shared" si="1160"/>
        <v>EXP00414</v>
      </c>
      <c r="B14427" s="3" t="s">
        <v>66</v>
      </c>
      <c r="C14427" s="4" t="str">
        <f t="shared" si="1159"/>
        <v>TCGA-BRCA</v>
      </c>
      <c r="D14427" s="1" t="s">
        <v>493</v>
      </c>
      <c r="E14427" t="s">
        <v>532</v>
      </c>
      <c r="F14427" s="1">
        <v>2</v>
      </c>
      <c r="G14427" s="1" t="s">
        <v>32</v>
      </c>
      <c r="H14427" s="4" t="str">
        <f>HYPERLINK("https://portal.gdc.cancer.gov/cases/5700c1b3-922a-4401-8ab8-89028908d696","TCGA-GM-A2DH-01A")</f>
        <v>TCGA-GM-A2DH-01A</v>
      </c>
      <c r="I14427" t="s">
        <v>17</v>
      </c>
      <c r="J14427" t="s">
        <v>524</v>
      </c>
      <c r="K14427" t="s">
        <v>33</v>
      </c>
      <c r="L14427" t="s">
        <v>20</v>
      </c>
      <c r="N14427" t="s">
        <v>29</v>
      </c>
    </row>
    <row r="14428" spans="1:14">
      <c r="A14428" s="4" t="str">
        <f t="shared" si="1160"/>
        <v>EXP00414</v>
      </c>
      <c r="B14428" s="3" t="s">
        <v>66</v>
      </c>
      <c r="C14428" s="4" t="str">
        <f t="shared" si="1159"/>
        <v>TCGA-BRCA</v>
      </c>
      <c r="D14428" s="1" t="s">
        <v>493</v>
      </c>
      <c r="E14428" t="s">
        <v>532</v>
      </c>
      <c r="F14428" s="1">
        <v>2</v>
      </c>
      <c r="G14428" s="1" t="s">
        <v>32</v>
      </c>
      <c r="H14428" s="4" t="str">
        <f>HYPERLINK("https://portal.gdc.cancer.gov/cases/66fa504c-4ae4-49ac-9355-1e063776dc0d","TCGA-GM-A2DI-01A")</f>
        <v>TCGA-GM-A2DI-01A</v>
      </c>
      <c r="I14428" t="s">
        <v>17</v>
      </c>
      <c r="J14428" t="s">
        <v>524</v>
      </c>
      <c r="K14428" t="s">
        <v>33</v>
      </c>
      <c r="L14428" t="s">
        <v>20</v>
      </c>
      <c r="N14428" t="s">
        <v>29</v>
      </c>
    </row>
    <row r="14429" spans="1:14">
      <c r="A14429" s="4" t="str">
        <f t="shared" si="1160"/>
        <v>EXP00414</v>
      </c>
      <c r="B14429" s="3" t="s">
        <v>66</v>
      </c>
      <c r="C14429" s="4" t="str">
        <f t="shared" si="1159"/>
        <v>TCGA-BRCA</v>
      </c>
      <c r="D14429" s="1" t="s">
        <v>493</v>
      </c>
      <c r="E14429" t="s">
        <v>532</v>
      </c>
      <c r="F14429" s="1">
        <v>2</v>
      </c>
      <c r="G14429" s="1" t="s">
        <v>32</v>
      </c>
      <c r="H14429" s="4" t="str">
        <f>HYPERLINK("https://portal.gdc.cancer.gov/cases/3a0775a0-61ae-43f2-b5f6-629a44355c2f","TCGA-GM-A2DK-01A")</f>
        <v>TCGA-GM-A2DK-01A</v>
      </c>
      <c r="I14429" t="s">
        <v>17</v>
      </c>
      <c r="J14429" t="s">
        <v>524</v>
      </c>
      <c r="K14429" t="s">
        <v>33</v>
      </c>
      <c r="L14429" t="s">
        <v>20</v>
      </c>
      <c r="N14429" t="s">
        <v>29</v>
      </c>
    </row>
    <row r="14430" spans="1:14">
      <c r="A14430" s="4" t="str">
        <f t="shared" si="1160"/>
        <v>EXP00414</v>
      </c>
      <c r="B14430" s="3" t="s">
        <v>66</v>
      </c>
      <c r="C14430" s="4" t="str">
        <f t="shared" si="1159"/>
        <v>TCGA-BRCA</v>
      </c>
      <c r="D14430" s="1" t="s">
        <v>493</v>
      </c>
      <c r="E14430" t="s">
        <v>532</v>
      </c>
      <c r="F14430" s="1">
        <v>2</v>
      </c>
      <c r="G14430" s="1" t="s">
        <v>32</v>
      </c>
      <c r="H14430" s="4" t="str">
        <f>HYPERLINK("https://portal.gdc.cancer.gov/cases/a76774fe-7298-4d68-a2b2-c1bad93f0c31","TCGA-GM-A2DL-01A")</f>
        <v>TCGA-GM-A2DL-01A</v>
      </c>
      <c r="I14430" t="s">
        <v>17</v>
      </c>
      <c r="J14430" t="s">
        <v>524</v>
      </c>
      <c r="K14430" t="s">
        <v>33</v>
      </c>
      <c r="L14430" t="s">
        <v>20</v>
      </c>
      <c r="N14430" t="s">
        <v>29</v>
      </c>
    </row>
    <row r="14431" spans="1:14">
      <c r="A14431" s="4" t="str">
        <f t="shared" si="1160"/>
        <v>EXP00414</v>
      </c>
      <c r="B14431" s="3" t="s">
        <v>66</v>
      </c>
      <c r="C14431" s="4" t="str">
        <f t="shared" si="1159"/>
        <v>TCGA-BRCA</v>
      </c>
      <c r="D14431" s="1" t="s">
        <v>493</v>
      </c>
      <c r="E14431" t="s">
        <v>532</v>
      </c>
      <c r="F14431" s="1">
        <v>2</v>
      </c>
      <c r="G14431" s="1" t="s">
        <v>32</v>
      </c>
      <c r="H14431" s="4" t="str">
        <f>HYPERLINK("https://portal.gdc.cancer.gov/cases/753d5d49-3b40-4737-9d4c-b1ec29cc2692","TCGA-GM-A2DM-01A")</f>
        <v>TCGA-GM-A2DM-01A</v>
      </c>
      <c r="I14431" t="s">
        <v>17</v>
      </c>
      <c r="J14431" t="s">
        <v>524</v>
      </c>
      <c r="K14431" t="s">
        <v>33</v>
      </c>
      <c r="L14431" t="s">
        <v>20</v>
      </c>
      <c r="N14431" t="s">
        <v>29</v>
      </c>
    </row>
    <row r="14432" spans="1:14">
      <c r="A14432" s="4" t="str">
        <f t="shared" si="1160"/>
        <v>EXP00414</v>
      </c>
      <c r="B14432" s="3" t="s">
        <v>66</v>
      </c>
      <c r="C14432" s="4" t="str">
        <f t="shared" si="1159"/>
        <v>TCGA-BRCA</v>
      </c>
      <c r="D14432" s="1" t="s">
        <v>493</v>
      </c>
      <c r="E14432" t="s">
        <v>532</v>
      </c>
      <c r="F14432" s="1">
        <v>2</v>
      </c>
      <c r="G14432" s="1" t="s">
        <v>32</v>
      </c>
      <c r="H14432" s="4" t="str">
        <f>HYPERLINK("https://portal.gdc.cancer.gov/cases/56bbd282-b88d-4730-9242-ab97d08dc83a","TCGA-GM-A2DN-01A")</f>
        <v>TCGA-GM-A2DN-01A</v>
      </c>
      <c r="I14432" t="s">
        <v>17</v>
      </c>
      <c r="J14432" t="s">
        <v>524</v>
      </c>
      <c r="K14432" t="s">
        <v>33</v>
      </c>
      <c r="L14432" t="s">
        <v>20</v>
      </c>
      <c r="N14432" t="s">
        <v>29</v>
      </c>
    </row>
    <row r="14433" spans="1:14">
      <c r="A14433" s="4" t="str">
        <f t="shared" si="1160"/>
        <v>EXP00414</v>
      </c>
      <c r="B14433" s="3" t="s">
        <v>66</v>
      </c>
      <c r="C14433" s="4" t="str">
        <f t="shared" si="1159"/>
        <v>TCGA-BRCA</v>
      </c>
      <c r="D14433" s="1" t="s">
        <v>493</v>
      </c>
      <c r="E14433" t="s">
        <v>532</v>
      </c>
      <c r="F14433" s="1">
        <v>2</v>
      </c>
      <c r="G14433" s="1" t="s">
        <v>32</v>
      </c>
      <c r="H14433" s="4" t="str">
        <f>HYPERLINK("https://portal.gdc.cancer.gov/cases/5fd37868-4762-4109-9dcf-6fdbab5b645d","TCGA-GM-A2DO-01A")</f>
        <v>TCGA-GM-A2DO-01A</v>
      </c>
      <c r="I14433" t="s">
        <v>17</v>
      </c>
      <c r="J14433" t="s">
        <v>524</v>
      </c>
      <c r="K14433" t="s">
        <v>33</v>
      </c>
      <c r="L14433" t="s">
        <v>20</v>
      </c>
      <c r="N14433" t="s">
        <v>29</v>
      </c>
    </row>
    <row r="14434" spans="1:14">
      <c r="A14434" s="4" t="str">
        <f t="shared" si="1160"/>
        <v>EXP00414</v>
      </c>
      <c r="B14434" s="3" t="s">
        <v>66</v>
      </c>
      <c r="C14434" s="4" t="str">
        <f t="shared" si="1159"/>
        <v>TCGA-BRCA</v>
      </c>
      <c r="D14434" s="1" t="s">
        <v>493</v>
      </c>
      <c r="E14434" t="s">
        <v>532</v>
      </c>
      <c r="F14434" s="1">
        <v>2</v>
      </c>
      <c r="G14434" s="1" t="s">
        <v>32</v>
      </c>
      <c r="H14434" s="4" t="str">
        <f>HYPERLINK("https://portal.gdc.cancer.gov/cases/6ddaee34-46eb-490c-bd13-f0ab963c4322","TCGA-GM-A3NW-01A")</f>
        <v>TCGA-GM-A3NW-01A</v>
      </c>
      <c r="I14434" t="s">
        <v>17</v>
      </c>
      <c r="J14434" t="s">
        <v>524</v>
      </c>
      <c r="K14434" t="s">
        <v>33</v>
      </c>
      <c r="L14434" t="s">
        <v>20</v>
      </c>
      <c r="N14434" t="s">
        <v>29</v>
      </c>
    </row>
    <row r="14435" spans="1:14">
      <c r="A14435" s="4" t="str">
        <f t="shared" si="1160"/>
        <v>EXP00414</v>
      </c>
      <c r="B14435" s="3" t="s">
        <v>66</v>
      </c>
      <c r="C14435" s="4" t="str">
        <f t="shared" si="1159"/>
        <v>TCGA-BRCA</v>
      </c>
      <c r="D14435" s="1" t="s">
        <v>493</v>
      </c>
      <c r="E14435" t="s">
        <v>532</v>
      </c>
      <c r="F14435" s="1">
        <v>2</v>
      </c>
      <c r="G14435" s="1" t="s">
        <v>32</v>
      </c>
      <c r="H14435" s="4" t="str">
        <f>HYPERLINK("https://portal.gdc.cancer.gov/cases/bd5374c9-7f36-457f-b66b-7cc7ff64224e","TCGA-GM-A3NY-01A")</f>
        <v>TCGA-GM-A3NY-01A</v>
      </c>
      <c r="I14435" t="s">
        <v>17</v>
      </c>
      <c r="J14435" t="s">
        <v>524</v>
      </c>
      <c r="K14435" t="s">
        <v>33</v>
      </c>
      <c r="L14435" t="s">
        <v>20</v>
      </c>
      <c r="N14435" t="s">
        <v>29</v>
      </c>
    </row>
    <row r="14436" spans="1:14">
      <c r="A14436" s="4" t="str">
        <f t="shared" si="1160"/>
        <v>EXP00414</v>
      </c>
      <c r="B14436" s="3" t="s">
        <v>66</v>
      </c>
      <c r="C14436" s="4" t="str">
        <f t="shared" si="1159"/>
        <v>TCGA-BRCA</v>
      </c>
      <c r="D14436" s="1" t="s">
        <v>493</v>
      </c>
      <c r="E14436" t="s">
        <v>532</v>
      </c>
      <c r="F14436" s="1">
        <v>2</v>
      </c>
      <c r="G14436" s="1" t="s">
        <v>32</v>
      </c>
      <c r="H14436" s="4" t="str">
        <f>HYPERLINK("https://portal.gdc.cancer.gov/cases/6f0fd68f-ed6a-4c9e-be02-c97ba4950f76","TCGA-GM-A3XG-01A")</f>
        <v>TCGA-GM-A3XG-01A</v>
      </c>
      <c r="I14436" t="s">
        <v>17</v>
      </c>
      <c r="J14436" t="s">
        <v>524</v>
      </c>
      <c r="K14436" t="s">
        <v>33</v>
      </c>
      <c r="L14436" t="s">
        <v>20</v>
      </c>
      <c r="N14436" t="s">
        <v>29</v>
      </c>
    </row>
    <row r="14437" spans="1:14">
      <c r="A14437" s="4" t="str">
        <f t="shared" si="1160"/>
        <v>EXP00414</v>
      </c>
      <c r="B14437" s="3" t="s">
        <v>66</v>
      </c>
      <c r="C14437" s="4" t="str">
        <f t="shared" si="1159"/>
        <v>TCGA-BRCA</v>
      </c>
      <c r="D14437" s="1" t="s">
        <v>493</v>
      </c>
      <c r="E14437" t="s">
        <v>532</v>
      </c>
      <c r="F14437" s="1">
        <v>2</v>
      </c>
      <c r="G14437" s="1" t="s">
        <v>32</v>
      </c>
      <c r="H14437" s="4" t="str">
        <f>HYPERLINK("https://portal.gdc.cancer.gov/cases/65cac997-4d39-4501-85ec-4fcb328a8eb5","TCGA-GM-A3XL-01A")</f>
        <v>TCGA-GM-A3XL-01A</v>
      </c>
      <c r="I14437" t="s">
        <v>17</v>
      </c>
      <c r="J14437" t="s">
        <v>524</v>
      </c>
      <c r="K14437" t="s">
        <v>33</v>
      </c>
      <c r="L14437" t="s">
        <v>20</v>
      </c>
      <c r="N14437" t="s">
        <v>29</v>
      </c>
    </row>
    <row r="14438" spans="1:14">
      <c r="A14438" s="4" t="str">
        <f t="shared" si="1160"/>
        <v>EXP00414</v>
      </c>
      <c r="B14438" s="3" t="s">
        <v>66</v>
      </c>
      <c r="C14438" s="4" t="str">
        <f t="shared" si="1159"/>
        <v>TCGA-BRCA</v>
      </c>
      <c r="D14438" s="1" t="s">
        <v>493</v>
      </c>
      <c r="E14438" t="s">
        <v>532</v>
      </c>
      <c r="F14438" s="1">
        <v>2</v>
      </c>
      <c r="G14438" s="1" t="s">
        <v>32</v>
      </c>
      <c r="H14438" s="4" t="str">
        <f>HYPERLINK("https://portal.gdc.cancer.gov/cases/0930e97a-72ea-4bd5-b2f0-50c76af695f3","TCGA-GM-A3XN-01A")</f>
        <v>TCGA-GM-A3XN-01A</v>
      </c>
      <c r="I14438" t="s">
        <v>17</v>
      </c>
      <c r="J14438" t="s">
        <v>524</v>
      </c>
      <c r="K14438" t="s">
        <v>33</v>
      </c>
      <c r="L14438" t="s">
        <v>20</v>
      </c>
      <c r="N14438" t="s">
        <v>29</v>
      </c>
    </row>
    <row r="14439" spans="1:14">
      <c r="A14439" s="4" t="str">
        <f t="shared" si="1160"/>
        <v>EXP00414</v>
      </c>
      <c r="B14439" s="3" t="s">
        <v>66</v>
      </c>
      <c r="C14439" s="4" t="str">
        <f t="shared" si="1159"/>
        <v>TCGA-BRCA</v>
      </c>
      <c r="D14439" s="1" t="s">
        <v>493</v>
      </c>
      <c r="E14439" t="s">
        <v>532</v>
      </c>
      <c r="F14439" s="1">
        <v>2</v>
      </c>
      <c r="G14439" s="1" t="s">
        <v>32</v>
      </c>
      <c r="H14439" s="4" t="str">
        <f>HYPERLINK("https://portal.gdc.cancer.gov/cases/6397d7bc-9cb1-4a84-81ad-76954e0a8cee","TCGA-GM-A4E0-01A")</f>
        <v>TCGA-GM-A4E0-01A</v>
      </c>
      <c r="I14439" t="s">
        <v>17</v>
      </c>
      <c r="J14439" t="s">
        <v>524</v>
      </c>
      <c r="K14439" t="s">
        <v>33</v>
      </c>
      <c r="L14439" t="s">
        <v>20</v>
      </c>
      <c r="N14439" t="s">
        <v>29</v>
      </c>
    </row>
    <row r="14440" spans="1:14">
      <c r="A14440" s="4" t="str">
        <f t="shared" si="1160"/>
        <v>EXP00414</v>
      </c>
      <c r="B14440" s="3" t="s">
        <v>66</v>
      </c>
      <c r="C14440" s="4" t="str">
        <f t="shared" si="1159"/>
        <v>TCGA-BRCA</v>
      </c>
      <c r="D14440" s="1" t="s">
        <v>493</v>
      </c>
      <c r="E14440" t="s">
        <v>532</v>
      </c>
      <c r="F14440" s="1">
        <v>2</v>
      </c>
      <c r="G14440" s="1" t="s">
        <v>32</v>
      </c>
      <c r="H14440" s="4" t="str">
        <f>HYPERLINK("https://portal.gdc.cancer.gov/cases/67c8dc41-edcb-4563-96b3-3f93f9edcbe9","TCGA-GM-A5PV-01A")</f>
        <v>TCGA-GM-A5PV-01A</v>
      </c>
      <c r="I14440" t="s">
        <v>17</v>
      </c>
      <c r="J14440" t="s">
        <v>524</v>
      </c>
      <c r="K14440" t="s">
        <v>33</v>
      </c>
      <c r="L14440" t="s">
        <v>20</v>
      </c>
      <c r="N14440" t="s">
        <v>29</v>
      </c>
    </row>
    <row r="14441" spans="1:14">
      <c r="A14441" s="4" t="str">
        <f t="shared" si="1160"/>
        <v>EXP00414</v>
      </c>
      <c r="B14441" s="3" t="s">
        <v>66</v>
      </c>
      <c r="C14441" s="4" t="str">
        <f t="shared" si="1159"/>
        <v>TCGA-BRCA</v>
      </c>
      <c r="D14441" s="1" t="s">
        <v>493</v>
      </c>
      <c r="E14441" t="s">
        <v>532</v>
      </c>
      <c r="F14441" s="1">
        <v>2</v>
      </c>
      <c r="G14441" s="1" t="s">
        <v>32</v>
      </c>
      <c r="H14441" s="4" t="str">
        <f>HYPERLINK("https://portal.gdc.cancer.gov/cases/f7064d01-29d8-49a2-ad60-1e0c5f148f3e","TCGA-GM-A5PX-01A")</f>
        <v>TCGA-GM-A5PX-01A</v>
      </c>
      <c r="I14441" t="s">
        <v>17</v>
      </c>
      <c r="J14441" t="s">
        <v>524</v>
      </c>
      <c r="K14441" t="s">
        <v>33</v>
      </c>
      <c r="L14441" t="s">
        <v>20</v>
      </c>
      <c r="N14441" t="s">
        <v>29</v>
      </c>
    </row>
    <row r="14442" spans="1:14">
      <c r="A14442" s="4" t="str">
        <f t="shared" si="1160"/>
        <v>EXP00414</v>
      </c>
      <c r="B14442" s="3" t="s">
        <v>66</v>
      </c>
      <c r="C14442" s="4" t="str">
        <f t="shared" si="1159"/>
        <v>TCGA-BRCA</v>
      </c>
      <c r="D14442" s="1" t="s">
        <v>493</v>
      </c>
      <c r="E14442" t="s">
        <v>532</v>
      </c>
      <c r="F14442" s="1">
        <v>2</v>
      </c>
      <c r="G14442" s="1" t="s">
        <v>32</v>
      </c>
      <c r="H14442" s="4" t="str">
        <f>HYPERLINK("https://portal.gdc.cancer.gov/cases/124b693c-77dc-4fa8-b703-54e8b5054a92","TCGA-HN-A2NL-01A")</f>
        <v>TCGA-HN-A2NL-01A</v>
      </c>
      <c r="I14442" t="s">
        <v>17</v>
      </c>
      <c r="J14442" t="s">
        <v>524</v>
      </c>
      <c r="K14442" t="s">
        <v>33</v>
      </c>
      <c r="L14442" t="s">
        <v>20</v>
      </c>
      <c r="N14442" t="s">
        <v>29</v>
      </c>
    </row>
    <row r="14443" spans="1:14">
      <c r="A14443" s="4" t="str">
        <f t="shared" si="1160"/>
        <v>EXP00414</v>
      </c>
      <c r="B14443" s="3" t="s">
        <v>66</v>
      </c>
      <c r="C14443" s="4" t="str">
        <f t="shared" si="1159"/>
        <v>TCGA-BRCA</v>
      </c>
      <c r="D14443" s="1" t="s">
        <v>493</v>
      </c>
      <c r="E14443" t="s">
        <v>532</v>
      </c>
      <c r="F14443" s="1">
        <v>2</v>
      </c>
      <c r="G14443" s="1" t="s">
        <v>32</v>
      </c>
      <c r="H14443" s="4" t="str">
        <f>HYPERLINK("https://portal.gdc.cancer.gov/cases/a2434f47-2168-47d0-9bbb-981071597843","TCGA-JL-A3YW-01A")</f>
        <v>TCGA-JL-A3YW-01A</v>
      </c>
      <c r="I14443" t="s">
        <v>17</v>
      </c>
      <c r="J14443" t="s">
        <v>524</v>
      </c>
      <c r="K14443" t="s">
        <v>33</v>
      </c>
      <c r="L14443" t="s">
        <v>20</v>
      </c>
      <c r="N14443" t="s">
        <v>29</v>
      </c>
    </row>
    <row r="14444" spans="1:14">
      <c r="A14444" s="4" t="str">
        <f t="shared" si="1160"/>
        <v>EXP00414</v>
      </c>
      <c r="B14444" s="3" t="s">
        <v>66</v>
      </c>
      <c r="C14444" s="4" t="str">
        <f t="shared" si="1159"/>
        <v>TCGA-BRCA</v>
      </c>
      <c r="D14444" s="1" t="s">
        <v>493</v>
      </c>
      <c r="E14444" t="s">
        <v>532</v>
      </c>
      <c r="F14444" s="1">
        <v>2</v>
      </c>
      <c r="G14444" s="1" t="s">
        <v>32</v>
      </c>
      <c r="H14444" s="4" t="str">
        <f>HYPERLINK("https://portal.gdc.cancer.gov/cases/75f6e476-233a-409c-a3ef-0240be569813","TCGA-JL-A3YX-01A")</f>
        <v>TCGA-JL-A3YX-01A</v>
      </c>
      <c r="I14444" t="s">
        <v>17</v>
      </c>
      <c r="J14444" t="s">
        <v>524</v>
      </c>
      <c r="K14444" t="s">
        <v>33</v>
      </c>
      <c r="L14444" t="s">
        <v>20</v>
      </c>
      <c r="N14444" t="s">
        <v>29</v>
      </c>
    </row>
    <row r="14445" spans="1:14">
      <c r="A14445" s="4" t="str">
        <f t="shared" si="1160"/>
        <v>EXP00414</v>
      </c>
      <c r="B14445" s="3" t="s">
        <v>66</v>
      </c>
      <c r="C14445" s="4" t="str">
        <f t="shared" si="1159"/>
        <v>TCGA-BRCA</v>
      </c>
      <c r="D14445" s="1" t="s">
        <v>493</v>
      </c>
      <c r="E14445" t="s">
        <v>532</v>
      </c>
      <c r="F14445" s="1">
        <v>2</v>
      </c>
      <c r="G14445" s="1" t="s">
        <v>32</v>
      </c>
      <c r="H14445" s="4" t="str">
        <f>HYPERLINK("https://portal.gdc.cancer.gov/cases/38dc3e09-0b0e-4a29-b318-cc0352013dae","TCGA-LD-A66U-01A")</f>
        <v>TCGA-LD-A66U-01A</v>
      </c>
      <c r="I14445" t="s">
        <v>17</v>
      </c>
      <c r="J14445" t="s">
        <v>524</v>
      </c>
      <c r="K14445" t="s">
        <v>33</v>
      </c>
      <c r="L14445" t="s">
        <v>20</v>
      </c>
      <c r="N14445" t="s">
        <v>29</v>
      </c>
    </row>
    <row r="14446" spans="1:14">
      <c r="A14446" s="4" t="str">
        <f t="shared" si="1160"/>
        <v>EXP00414</v>
      </c>
      <c r="B14446" s="3" t="s">
        <v>66</v>
      </c>
      <c r="C14446" s="4" t="str">
        <f t="shared" si="1159"/>
        <v>TCGA-BRCA</v>
      </c>
      <c r="D14446" s="1" t="s">
        <v>493</v>
      </c>
      <c r="E14446" t="s">
        <v>532</v>
      </c>
      <c r="F14446" s="1">
        <v>2</v>
      </c>
      <c r="G14446" s="1" t="s">
        <v>32</v>
      </c>
      <c r="H14446" s="4" t="str">
        <f>HYPERLINK("https://portal.gdc.cancer.gov/cases/38a4e9bd-93e9-432d-a756-3b1055b823bd","TCGA-LD-A74U-01A")</f>
        <v>TCGA-LD-A74U-01A</v>
      </c>
      <c r="I14446" t="s">
        <v>17</v>
      </c>
      <c r="J14446" t="s">
        <v>524</v>
      </c>
      <c r="K14446" t="s">
        <v>33</v>
      </c>
      <c r="L14446" t="s">
        <v>20</v>
      </c>
      <c r="N14446" t="s">
        <v>29</v>
      </c>
    </row>
    <row r="14447" spans="1:14">
      <c r="A14447" s="4" t="str">
        <f t="shared" si="1160"/>
        <v>EXP00414</v>
      </c>
      <c r="B14447" s="3" t="s">
        <v>66</v>
      </c>
      <c r="C14447" s="4" t="str">
        <f t="shared" si="1159"/>
        <v>TCGA-BRCA</v>
      </c>
      <c r="D14447" s="1" t="s">
        <v>493</v>
      </c>
      <c r="E14447" t="s">
        <v>532</v>
      </c>
      <c r="F14447" s="1">
        <v>2</v>
      </c>
      <c r="G14447" s="1" t="s">
        <v>32</v>
      </c>
      <c r="H14447" s="4" t="str">
        <f>HYPERLINK("https://portal.gdc.cancer.gov/cases/0b0f9938-ce1e-4814-8821-0132d137eb9e","TCGA-LD-A7W6-01A")</f>
        <v>TCGA-LD-A7W6-01A</v>
      </c>
      <c r="I14447" t="s">
        <v>17</v>
      </c>
      <c r="J14447" t="s">
        <v>524</v>
      </c>
      <c r="K14447" t="s">
        <v>33</v>
      </c>
      <c r="L14447" t="s">
        <v>20</v>
      </c>
      <c r="N14447" t="s">
        <v>29</v>
      </c>
    </row>
    <row r="14448" spans="1:14">
      <c r="A14448" s="4" t="str">
        <f t="shared" si="1160"/>
        <v>EXP00414</v>
      </c>
      <c r="B14448" s="3" t="s">
        <v>66</v>
      </c>
      <c r="C14448" s="4" t="str">
        <f t="shared" si="1159"/>
        <v>TCGA-BRCA</v>
      </c>
      <c r="D14448" s="1" t="s">
        <v>493</v>
      </c>
      <c r="E14448" t="s">
        <v>532</v>
      </c>
      <c r="F14448" s="1">
        <v>2</v>
      </c>
      <c r="G14448" s="1" t="s">
        <v>32</v>
      </c>
      <c r="H14448" s="4" t="str">
        <f>HYPERLINK("https://portal.gdc.cancer.gov/cases/95c53ecf-d8f1-4bcb-9b1a-c9a0542939f0","TCGA-LD-A9QF-01A")</f>
        <v>TCGA-LD-A9QF-01A</v>
      </c>
      <c r="I14448" t="s">
        <v>17</v>
      </c>
      <c r="J14448" t="s">
        <v>524</v>
      </c>
      <c r="K14448" t="s">
        <v>33</v>
      </c>
      <c r="L14448" t="s">
        <v>20</v>
      </c>
      <c r="N14448" t="s">
        <v>29</v>
      </c>
    </row>
    <row r="14449" spans="1:14">
      <c r="A14449" s="4" t="str">
        <f t="shared" si="1160"/>
        <v>EXP00414</v>
      </c>
      <c r="B14449" s="3" t="s">
        <v>66</v>
      </c>
      <c r="C14449" s="4" t="str">
        <f t="shared" si="1159"/>
        <v>TCGA-BRCA</v>
      </c>
      <c r="D14449" s="1" t="s">
        <v>493</v>
      </c>
      <c r="E14449" t="s">
        <v>532</v>
      </c>
      <c r="F14449" s="1">
        <v>2</v>
      </c>
      <c r="G14449" s="1" t="s">
        <v>32</v>
      </c>
      <c r="H14449" s="4" t="str">
        <f>HYPERLINK("https://portal.gdc.cancer.gov/cases/00b11ca8-8540-4a3d-b602-ec754b00230b","TCGA-LL-A440-01A")</f>
        <v>TCGA-LL-A440-01A</v>
      </c>
      <c r="I14449" t="s">
        <v>17</v>
      </c>
      <c r="J14449" t="s">
        <v>524</v>
      </c>
      <c r="K14449" t="s">
        <v>33</v>
      </c>
      <c r="L14449" t="s">
        <v>20</v>
      </c>
      <c r="N14449" t="s">
        <v>29</v>
      </c>
    </row>
    <row r="14450" spans="1:14">
      <c r="A14450" s="4" t="str">
        <f t="shared" si="1160"/>
        <v>EXP00414</v>
      </c>
      <c r="B14450" s="3" t="s">
        <v>66</v>
      </c>
      <c r="C14450" s="4" t="str">
        <f t="shared" si="1159"/>
        <v>TCGA-BRCA</v>
      </c>
      <c r="D14450" s="1" t="s">
        <v>493</v>
      </c>
      <c r="E14450" t="s">
        <v>532</v>
      </c>
      <c r="F14450" s="1">
        <v>2</v>
      </c>
      <c r="G14450" s="1" t="s">
        <v>32</v>
      </c>
      <c r="H14450" s="4" t="str">
        <f>HYPERLINK("https://portal.gdc.cancer.gov/cases/69fc24fc-cfe2-487a-935f-1a954b30b709","TCGA-LL-A441-01A")</f>
        <v>TCGA-LL-A441-01A</v>
      </c>
      <c r="I14450" t="s">
        <v>17</v>
      </c>
      <c r="J14450" t="s">
        <v>524</v>
      </c>
      <c r="K14450" t="s">
        <v>33</v>
      </c>
      <c r="L14450" t="s">
        <v>20</v>
      </c>
      <c r="N14450" t="s">
        <v>29</v>
      </c>
    </row>
    <row r="14451" spans="1:14">
      <c r="A14451" s="4" t="str">
        <f t="shared" si="1160"/>
        <v>EXP00414</v>
      </c>
      <c r="B14451" s="3" t="s">
        <v>66</v>
      </c>
      <c r="C14451" s="4" t="str">
        <f t="shared" si="1159"/>
        <v>TCGA-BRCA</v>
      </c>
      <c r="D14451" s="1" t="s">
        <v>493</v>
      </c>
      <c r="E14451" t="s">
        <v>532</v>
      </c>
      <c r="F14451" s="1">
        <v>2</v>
      </c>
      <c r="G14451" s="1" t="s">
        <v>32</v>
      </c>
      <c r="H14451" s="4" t="str">
        <f>HYPERLINK("https://portal.gdc.cancer.gov/cases/3f56d67f-5a9c-4353-9408-e7f60eb6477b","TCGA-LL-A442-01A")</f>
        <v>TCGA-LL-A442-01A</v>
      </c>
      <c r="I14451" t="s">
        <v>17</v>
      </c>
      <c r="J14451" t="s">
        <v>524</v>
      </c>
      <c r="K14451" t="s">
        <v>33</v>
      </c>
      <c r="L14451" t="s">
        <v>20</v>
      </c>
      <c r="N14451" t="s">
        <v>29</v>
      </c>
    </row>
    <row r="14452" spans="1:14">
      <c r="A14452" s="4" t="str">
        <f t="shared" si="1160"/>
        <v>EXP00414</v>
      </c>
      <c r="B14452" s="3" t="s">
        <v>66</v>
      </c>
      <c r="C14452" s="4" t="str">
        <f t="shared" si="1159"/>
        <v>TCGA-BRCA</v>
      </c>
      <c r="D14452" s="1" t="s">
        <v>493</v>
      </c>
      <c r="E14452" t="s">
        <v>532</v>
      </c>
      <c r="F14452" s="1">
        <v>2</v>
      </c>
      <c r="G14452" s="1" t="s">
        <v>32</v>
      </c>
      <c r="H14452" s="4" t="str">
        <f>HYPERLINK("https://portal.gdc.cancer.gov/cases/91da548b-5c64-49c3-a44a-1ef115f53311","TCGA-LL-A50Y-01A")</f>
        <v>TCGA-LL-A50Y-01A</v>
      </c>
      <c r="I14452" t="s">
        <v>17</v>
      </c>
      <c r="J14452" t="s">
        <v>524</v>
      </c>
      <c r="K14452" t="s">
        <v>33</v>
      </c>
      <c r="L14452" t="s">
        <v>20</v>
      </c>
      <c r="N14452" t="s">
        <v>29</v>
      </c>
    </row>
    <row r="14453" spans="1:14">
      <c r="A14453" s="4" t="str">
        <f t="shared" si="1160"/>
        <v>EXP00414</v>
      </c>
      <c r="B14453" s="3" t="s">
        <v>66</v>
      </c>
      <c r="C14453" s="4" t="str">
        <f t="shared" si="1159"/>
        <v>TCGA-BRCA</v>
      </c>
      <c r="D14453" s="1" t="s">
        <v>493</v>
      </c>
      <c r="E14453" t="s">
        <v>532</v>
      </c>
      <c r="F14453" s="1">
        <v>2</v>
      </c>
      <c r="G14453" s="1" t="s">
        <v>32</v>
      </c>
      <c r="H14453" s="4" t="str">
        <f>HYPERLINK("https://portal.gdc.cancer.gov/cases/1d75e89d-4b01-443c-be54-749c7a667bf4","TCGA-LL-A5YL-01A")</f>
        <v>TCGA-LL-A5YL-01A</v>
      </c>
      <c r="I14453" t="s">
        <v>17</v>
      </c>
      <c r="J14453" t="s">
        <v>524</v>
      </c>
      <c r="K14453" t="s">
        <v>33</v>
      </c>
      <c r="L14453" t="s">
        <v>20</v>
      </c>
      <c r="N14453" t="s">
        <v>29</v>
      </c>
    </row>
    <row r="14454" spans="1:14">
      <c r="A14454" s="4" t="str">
        <f t="shared" si="1160"/>
        <v>EXP00414</v>
      </c>
      <c r="B14454" s="3" t="s">
        <v>66</v>
      </c>
      <c r="C14454" s="4" t="str">
        <f t="shared" si="1159"/>
        <v>TCGA-BRCA</v>
      </c>
      <c r="D14454" s="1" t="s">
        <v>493</v>
      </c>
      <c r="E14454" t="s">
        <v>532</v>
      </c>
      <c r="F14454" s="1">
        <v>2</v>
      </c>
      <c r="G14454" s="1" t="s">
        <v>32</v>
      </c>
      <c r="H14454" s="4" t="str">
        <f>HYPERLINK("https://portal.gdc.cancer.gov/cases/e9a12df9-024e-4cbc-b6bf-e4e87485fa90","TCGA-LL-A5YM-01A")</f>
        <v>TCGA-LL-A5YM-01A</v>
      </c>
      <c r="I14454" t="s">
        <v>17</v>
      </c>
      <c r="J14454" t="s">
        <v>524</v>
      </c>
      <c r="K14454" t="s">
        <v>33</v>
      </c>
      <c r="L14454" t="s">
        <v>20</v>
      </c>
      <c r="N14454" t="s">
        <v>29</v>
      </c>
    </row>
    <row r="14455" spans="1:14">
      <c r="A14455" s="4" t="str">
        <f t="shared" si="1160"/>
        <v>EXP00414</v>
      </c>
      <c r="B14455" s="3" t="s">
        <v>66</v>
      </c>
      <c r="C14455" s="4" t="str">
        <f t="shared" si="1159"/>
        <v>TCGA-BRCA</v>
      </c>
      <c r="D14455" s="1" t="s">
        <v>493</v>
      </c>
      <c r="E14455" t="s">
        <v>532</v>
      </c>
      <c r="F14455" s="1">
        <v>2</v>
      </c>
      <c r="G14455" s="1" t="s">
        <v>32</v>
      </c>
      <c r="H14455" s="4" t="str">
        <f>HYPERLINK("https://portal.gdc.cancer.gov/cases/ef1b3332-cd7f-41bb-a2d3-2538e7becc5c","TCGA-LL-A5YN-01A")</f>
        <v>TCGA-LL-A5YN-01A</v>
      </c>
      <c r="I14455" t="s">
        <v>17</v>
      </c>
      <c r="J14455" t="s">
        <v>524</v>
      </c>
      <c r="K14455" t="s">
        <v>33</v>
      </c>
      <c r="L14455" t="s">
        <v>20</v>
      </c>
      <c r="N14455" t="s">
        <v>29</v>
      </c>
    </row>
    <row r="14456" spans="1:14">
      <c r="A14456" s="4" t="str">
        <f t="shared" si="1160"/>
        <v>EXP00414</v>
      </c>
      <c r="B14456" s="3" t="s">
        <v>66</v>
      </c>
      <c r="C14456" s="4" t="str">
        <f t="shared" si="1159"/>
        <v>TCGA-BRCA</v>
      </c>
      <c r="D14456" s="1" t="s">
        <v>493</v>
      </c>
      <c r="E14456" t="s">
        <v>532</v>
      </c>
      <c r="F14456" s="1">
        <v>2</v>
      </c>
      <c r="G14456" s="1" t="s">
        <v>32</v>
      </c>
      <c r="H14456" s="4" t="str">
        <f>HYPERLINK("https://portal.gdc.cancer.gov/cases/b8aefc48-4a6e-4254-a57f-5f688399b582","TCGA-LL-A5YO-01A")</f>
        <v>TCGA-LL-A5YO-01A</v>
      </c>
      <c r="I14456" t="s">
        <v>17</v>
      </c>
      <c r="J14456" t="s">
        <v>524</v>
      </c>
      <c r="K14456" t="s">
        <v>33</v>
      </c>
      <c r="L14456" t="s">
        <v>20</v>
      </c>
      <c r="N14456" t="s">
        <v>29</v>
      </c>
    </row>
    <row r="14457" spans="1:14">
      <c r="A14457" s="4" t="str">
        <f t="shared" si="1160"/>
        <v>EXP00414</v>
      </c>
      <c r="B14457" s="3" t="s">
        <v>66</v>
      </c>
      <c r="C14457" s="4" t="str">
        <f t="shared" si="1159"/>
        <v>TCGA-BRCA</v>
      </c>
      <c r="D14457" s="1" t="s">
        <v>493</v>
      </c>
      <c r="E14457" t="s">
        <v>532</v>
      </c>
      <c r="F14457" s="1">
        <v>2</v>
      </c>
      <c r="G14457" s="1" t="s">
        <v>32</v>
      </c>
      <c r="H14457" s="4" t="str">
        <f>HYPERLINK("https://portal.gdc.cancer.gov/cases/6d24e675-2fa4-4102-861f-7516650b3049","TCGA-LL-A5YP-01A")</f>
        <v>TCGA-LL-A5YP-01A</v>
      </c>
      <c r="I14457" t="s">
        <v>17</v>
      </c>
      <c r="J14457" t="s">
        <v>524</v>
      </c>
      <c r="K14457" t="s">
        <v>33</v>
      </c>
      <c r="L14457" t="s">
        <v>20</v>
      </c>
      <c r="N14457" t="s">
        <v>29</v>
      </c>
    </row>
    <row r="14458" spans="1:14">
      <c r="A14458" s="4" t="str">
        <f t="shared" si="1160"/>
        <v>EXP00414</v>
      </c>
      <c r="B14458" s="3" t="s">
        <v>66</v>
      </c>
      <c r="C14458" s="4" t="str">
        <f t="shared" ref="C14458:C14521" si="1161">HYPERLINK("https://portal.gdc.cancer.gov/projects/TCGA-BRCA","TCGA-BRCA")</f>
        <v>TCGA-BRCA</v>
      </c>
      <c r="D14458" s="1" t="s">
        <v>493</v>
      </c>
      <c r="E14458" t="s">
        <v>532</v>
      </c>
      <c r="F14458" s="1">
        <v>2</v>
      </c>
      <c r="G14458" s="1" t="s">
        <v>32</v>
      </c>
      <c r="H14458" s="4" t="str">
        <f>HYPERLINK("https://portal.gdc.cancer.gov/cases/5c9d8163-a68e-43ce-9cba-effb7405761e","TCGA-LL-A6FP-01A")</f>
        <v>TCGA-LL-A6FP-01A</v>
      </c>
      <c r="I14458" t="s">
        <v>17</v>
      </c>
      <c r="J14458" t="s">
        <v>524</v>
      </c>
      <c r="K14458" t="s">
        <v>33</v>
      </c>
      <c r="L14458" t="s">
        <v>20</v>
      </c>
      <c r="N14458" t="s">
        <v>29</v>
      </c>
    </row>
    <row r="14459" spans="1:14">
      <c r="A14459" s="4" t="str">
        <f t="shared" si="1160"/>
        <v>EXP00414</v>
      </c>
      <c r="B14459" s="3" t="s">
        <v>66</v>
      </c>
      <c r="C14459" s="4" t="str">
        <f t="shared" si="1161"/>
        <v>TCGA-BRCA</v>
      </c>
      <c r="D14459" s="1" t="s">
        <v>493</v>
      </c>
      <c r="E14459" t="s">
        <v>532</v>
      </c>
      <c r="F14459" s="1">
        <v>2</v>
      </c>
      <c r="G14459" s="1" t="s">
        <v>32</v>
      </c>
      <c r="H14459" s="4" t="str">
        <f>HYPERLINK("https://portal.gdc.cancer.gov/cases/92b842c5-f71b-4ef7-ba86-358d28e0966f","TCGA-LL-A6FQ-01A")</f>
        <v>TCGA-LL-A6FQ-01A</v>
      </c>
      <c r="I14459" t="s">
        <v>17</v>
      </c>
      <c r="J14459" t="s">
        <v>524</v>
      </c>
      <c r="K14459" t="s">
        <v>33</v>
      </c>
      <c r="L14459" t="s">
        <v>20</v>
      </c>
      <c r="N14459" t="s">
        <v>29</v>
      </c>
    </row>
    <row r="14460" spans="1:14">
      <c r="A14460" s="4" t="str">
        <f t="shared" si="1160"/>
        <v>EXP00414</v>
      </c>
      <c r="B14460" s="3" t="s">
        <v>66</v>
      </c>
      <c r="C14460" s="4" t="str">
        <f t="shared" si="1161"/>
        <v>TCGA-BRCA</v>
      </c>
      <c r="D14460" s="1" t="s">
        <v>493</v>
      </c>
      <c r="E14460" t="s">
        <v>532</v>
      </c>
      <c r="F14460" s="1">
        <v>2</v>
      </c>
      <c r="G14460" s="1" t="s">
        <v>32</v>
      </c>
      <c r="H14460" s="4" t="str">
        <f>HYPERLINK("https://portal.gdc.cancer.gov/cases/1347c23d-8d6e-4c15-9461-640249838c96","TCGA-LL-A6FR-01A")</f>
        <v>TCGA-LL-A6FR-01A</v>
      </c>
      <c r="I14460" t="s">
        <v>17</v>
      </c>
      <c r="J14460" t="s">
        <v>524</v>
      </c>
      <c r="K14460" t="s">
        <v>33</v>
      </c>
      <c r="L14460" t="s">
        <v>20</v>
      </c>
      <c r="N14460" t="s">
        <v>29</v>
      </c>
    </row>
    <row r="14461" spans="1:14">
      <c r="A14461" s="4" t="str">
        <f t="shared" si="1160"/>
        <v>EXP00414</v>
      </c>
      <c r="B14461" s="3" t="s">
        <v>66</v>
      </c>
      <c r="C14461" s="4" t="str">
        <f t="shared" si="1161"/>
        <v>TCGA-BRCA</v>
      </c>
      <c r="D14461" s="1" t="s">
        <v>493</v>
      </c>
      <c r="E14461" t="s">
        <v>532</v>
      </c>
      <c r="F14461" s="1">
        <v>2</v>
      </c>
      <c r="G14461" s="1" t="s">
        <v>32</v>
      </c>
      <c r="H14461" s="4" t="str">
        <f>HYPERLINK("https://portal.gdc.cancer.gov/cases/ea645243-df49-4466-a255-9f3d4321e357","TCGA-LL-A73Y-01A")</f>
        <v>TCGA-LL-A73Y-01A</v>
      </c>
      <c r="I14461" t="s">
        <v>17</v>
      </c>
      <c r="J14461" t="s">
        <v>524</v>
      </c>
      <c r="K14461" t="s">
        <v>33</v>
      </c>
      <c r="L14461" t="s">
        <v>20</v>
      </c>
      <c r="N14461" t="s">
        <v>29</v>
      </c>
    </row>
    <row r="14462" spans="1:14">
      <c r="A14462" s="4" t="str">
        <f t="shared" si="1160"/>
        <v>EXP00414</v>
      </c>
      <c r="B14462" s="3" t="s">
        <v>66</v>
      </c>
      <c r="C14462" s="4" t="str">
        <f t="shared" si="1161"/>
        <v>TCGA-BRCA</v>
      </c>
      <c r="D14462" s="1" t="s">
        <v>493</v>
      </c>
      <c r="E14462" t="s">
        <v>532</v>
      </c>
      <c r="F14462" s="1">
        <v>2</v>
      </c>
      <c r="G14462" s="1" t="s">
        <v>32</v>
      </c>
      <c r="H14462" s="4" t="str">
        <f>HYPERLINK("https://portal.gdc.cancer.gov/cases/3e637872-f5e5-49d3-bb0d-9c16b8713382","TCGA-LL-A73Z-01A")</f>
        <v>TCGA-LL-A73Z-01A</v>
      </c>
      <c r="I14462" t="s">
        <v>17</v>
      </c>
      <c r="J14462" t="s">
        <v>524</v>
      </c>
      <c r="K14462" t="s">
        <v>33</v>
      </c>
      <c r="L14462" t="s">
        <v>20</v>
      </c>
      <c r="N14462" t="s">
        <v>29</v>
      </c>
    </row>
    <row r="14463" spans="1:14">
      <c r="A14463" s="4" t="str">
        <f t="shared" si="1160"/>
        <v>EXP00414</v>
      </c>
      <c r="B14463" s="3" t="s">
        <v>66</v>
      </c>
      <c r="C14463" s="4" t="str">
        <f t="shared" si="1161"/>
        <v>TCGA-BRCA</v>
      </c>
      <c r="D14463" s="1" t="s">
        <v>493</v>
      </c>
      <c r="E14463" t="s">
        <v>532</v>
      </c>
      <c r="F14463" s="1">
        <v>2</v>
      </c>
      <c r="G14463" s="1" t="s">
        <v>32</v>
      </c>
      <c r="H14463" s="4" t="str">
        <f>HYPERLINK("https://portal.gdc.cancer.gov/cases/aa60fa8d-c374-40e0-af2d-b007701e67e3","TCGA-LL-A740-01A")</f>
        <v>TCGA-LL-A740-01A</v>
      </c>
      <c r="I14463" t="s">
        <v>17</v>
      </c>
      <c r="J14463" t="s">
        <v>524</v>
      </c>
      <c r="K14463" t="s">
        <v>33</v>
      </c>
      <c r="L14463" t="s">
        <v>20</v>
      </c>
      <c r="N14463" t="s">
        <v>29</v>
      </c>
    </row>
    <row r="14464" spans="1:14">
      <c r="A14464" s="4" t="str">
        <f t="shared" si="1160"/>
        <v>EXP00414</v>
      </c>
      <c r="B14464" s="3" t="s">
        <v>66</v>
      </c>
      <c r="C14464" s="4" t="str">
        <f t="shared" si="1161"/>
        <v>TCGA-BRCA</v>
      </c>
      <c r="D14464" s="1" t="s">
        <v>493</v>
      </c>
      <c r="E14464" t="s">
        <v>532</v>
      </c>
      <c r="F14464" s="1">
        <v>2</v>
      </c>
      <c r="G14464" s="1" t="s">
        <v>32</v>
      </c>
      <c r="H14464" s="4" t="str">
        <f>HYPERLINK("https://portal.gdc.cancer.gov/cases/09a5e9fd-d816-4f8c-baa9-0e40ba607b16","TCGA-LL-A7SZ-01A")</f>
        <v>TCGA-LL-A7SZ-01A</v>
      </c>
      <c r="I14464" t="s">
        <v>17</v>
      </c>
      <c r="J14464" t="s">
        <v>524</v>
      </c>
      <c r="K14464" t="s">
        <v>33</v>
      </c>
      <c r="L14464" t="s">
        <v>20</v>
      </c>
      <c r="N14464" t="s">
        <v>29</v>
      </c>
    </row>
    <row r="14465" spans="1:14">
      <c r="A14465" s="4" t="str">
        <f t="shared" si="1160"/>
        <v>EXP00414</v>
      </c>
      <c r="B14465" s="3" t="s">
        <v>66</v>
      </c>
      <c r="C14465" s="4" t="str">
        <f t="shared" si="1161"/>
        <v>TCGA-BRCA</v>
      </c>
      <c r="D14465" s="1" t="s">
        <v>493</v>
      </c>
      <c r="E14465" t="s">
        <v>532</v>
      </c>
      <c r="F14465" s="1">
        <v>2</v>
      </c>
      <c r="G14465" s="1" t="s">
        <v>32</v>
      </c>
      <c r="H14465" s="4" t="str">
        <f>HYPERLINK("https://portal.gdc.cancer.gov/cases/d8f8064f-02ef-4fed-942b-714cbe5e8455","TCGA-LL-A7T0-01A")</f>
        <v>TCGA-LL-A7T0-01A</v>
      </c>
      <c r="I14465" t="s">
        <v>17</v>
      </c>
      <c r="J14465" t="s">
        <v>524</v>
      </c>
      <c r="K14465" t="s">
        <v>33</v>
      </c>
      <c r="L14465" t="s">
        <v>20</v>
      </c>
      <c r="N14465" t="s">
        <v>29</v>
      </c>
    </row>
    <row r="14466" spans="1:14">
      <c r="A14466" s="4" t="str">
        <f t="shared" si="1160"/>
        <v>EXP00414</v>
      </c>
      <c r="B14466" s="3" t="s">
        <v>66</v>
      </c>
      <c r="C14466" s="4" t="str">
        <f t="shared" si="1161"/>
        <v>TCGA-BRCA</v>
      </c>
      <c r="D14466" s="1" t="s">
        <v>493</v>
      </c>
      <c r="E14466" t="s">
        <v>532</v>
      </c>
      <c r="F14466" s="1">
        <v>2</v>
      </c>
      <c r="G14466" s="1" t="s">
        <v>32</v>
      </c>
      <c r="H14466" s="4" t="str">
        <f>HYPERLINK("https://portal.gdc.cancer.gov/cases/e1786e78-ac46-46fd-8ce0-8f7456e46082","TCGA-LL-A8F5-01A")</f>
        <v>TCGA-LL-A8F5-01A</v>
      </c>
      <c r="I14466" t="s">
        <v>17</v>
      </c>
      <c r="J14466" t="s">
        <v>524</v>
      </c>
      <c r="K14466" t="s">
        <v>33</v>
      </c>
      <c r="L14466" t="s">
        <v>20</v>
      </c>
      <c r="N14466" t="s">
        <v>29</v>
      </c>
    </row>
    <row r="14467" spans="1:14">
      <c r="A14467" s="4" t="str">
        <f t="shared" ref="A14467:A14519" si="1162">HYPERLINK("http://hcmdb.i-sanger.com/experiment/details/experiment_id/EXP00414","EXP00414")</f>
        <v>EXP00414</v>
      </c>
      <c r="B14467" s="3" t="s">
        <v>66</v>
      </c>
      <c r="C14467" s="4" t="str">
        <f t="shared" si="1161"/>
        <v>TCGA-BRCA</v>
      </c>
      <c r="D14467" s="1" t="s">
        <v>493</v>
      </c>
      <c r="E14467" t="s">
        <v>532</v>
      </c>
      <c r="F14467" s="1">
        <v>2</v>
      </c>
      <c r="G14467" s="1" t="s">
        <v>32</v>
      </c>
      <c r="H14467" s="4" t="str">
        <f>HYPERLINK("https://portal.gdc.cancer.gov/cases/6af6d256-a753-46d2-b611-e4094ff265aa","TCGA-LL-A9Q3-01A")</f>
        <v>TCGA-LL-A9Q3-01A</v>
      </c>
      <c r="I14467" t="s">
        <v>17</v>
      </c>
      <c r="J14467" t="s">
        <v>524</v>
      </c>
      <c r="K14467" t="s">
        <v>33</v>
      </c>
      <c r="L14467" t="s">
        <v>20</v>
      </c>
      <c r="N14467" t="s">
        <v>29</v>
      </c>
    </row>
    <row r="14468" spans="1:14">
      <c r="A14468" s="4" t="str">
        <f t="shared" si="1162"/>
        <v>EXP00414</v>
      </c>
      <c r="B14468" s="3" t="s">
        <v>66</v>
      </c>
      <c r="C14468" s="4" t="str">
        <f t="shared" si="1161"/>
        <v>TCGA-BRCA</v>
      </c>
      <c r="D14468" s="1" t="s">
        <v>493</v>
      </c>
      <c r="E14468" t="s">
        <v>532</v>
      </c>
      <c r="F14468" s="1">
        <v>2</v>
      </c>
      <c r="G14468" s="1" t="s">
        <v>32</v>
      </c>
      <c r="H14468" s="4" t="str">
        <f>HYPERLINK("https://portal.gdc.cancer.gov/cases/4f321d41-3255-46a4-ae0d-1cf39699e624","TCGA-LQ-A4E4-01A")</f>
        <v>TCGA-LQ-A4E4-01A</v>
      </c>
      <c r="I14468" t="s">
        <v>17</v>
      </c>
      <c r="J14468" t="s">
        <v>524</v>
      </c>
      <c r="K14468" t="s">
        <v>33</v>
      </c>
      <c r="L14468" t="s">
        <v>20</v>
      </c>
      <c r="N14468" t="s">
        <v>29</v>
      </c>
    </row>
    <row r="14469" spans="1:14">
      <c r="A14469" s="4" t="str">
        <f t="shared" si="1162"/>
        <v>EXP00414</v>
      </c>
      <c r="B14469" s="3" t="s">
        <v>66</v>
      </c>
      <c r="C14469" s="4" t="str">
        <f t="shared" si="1161"/>
        <v>TCGA-BRCA</v>
      </c>
      <c r="D14469" s="1" t="s">
        <v>493</v>
      </c>
      <c r="E14469" t="s">
        <v>532</v>
      </c>
      <c r="F14469" s="1">
        <v>2</v>
      </c>
      <c r="G14469" s="1" t="s">
        <v>32</v>
      </c>
      <c r="H14469" s="4" t="str">
        <f>HYPERLINK("https://portal.gdc.cancer.gov/cases/910655da-2c12-4572-96b7-ded616e69b4b","TCGA-MS-A51U-01A")</f>
        <v>TCGA-MS-A51U-01A</v>
      </c>
      <c r="I14469" t="s">
        <v>17</v>
      </c>
      <c r="J14469" t="s">
        <v>524</v>
      </c>
      <c r="K14469" t="s">
        <v>33</v>
      </c>
      <c r="L14469" t="s">
        <v>20</v>
      </c>
      <c r="N14469" t="s">
        <v>29</v>
      </c>
    </row>
    <row r="14470" spans="1:14">
      <c r="A14470" s="4" t="str">
        <f t="shared" si="1162"/>
        <v>EXP00414</v>
      </c>
      <c r="B14470" s="3" t="s">
        <v>66</v>
      </c>
      <c r="C14470" s="4" t="str">
        <f t="shared" si="1161"/>
        <v>TCGA-BRCA</v>
      </c>
      <c r="D14470" s="1" t="s">
        <v>493</v>
      </c>
      <c r="E14470" t="s">
        <v>532</v>
      </c>
      <c r="F14470" s="1">
        <v>2</v>
      </c>
      <c r="G14470" s="1" t="s">
        <v>32</v>
      </c>
      <c r="H14470" s="4" t="str">
        <f>HYPERLINK("https://portal.gdc.cancer.gov/cases/cd7fb75e-1c2e-4201-86d3-b3ba21f476bf","TCGA-OK-A5Q2-01A")</f>
        <v>TCGA-OK-A5Q2-01A</v>
      </c>
      <c r="I14470" t="s">
        <v>17</v>
      </c>
      <c r="J14470" t="s">
        <v>524</v>
      </c>
      <c r="K14470" t="s">
        <v>33</v>
      </c>
      <c r="L14470" t="s">
        <v>20</v>
      </c>
      <c r="N14470" t="s">
        <v>29</v>
      </c>
    </row>
    <row r="14471" spans="1:14">
      <c r="A14471" s="4" t="str">
        <f t="shared" si="1162"/>
        <v>EXP00414</v>
      </c>
      <c r="B14471" s="3" t="s">
        <v>66</v>
      </c>
      <c r="C14471" s="4" t="str">
        <f t="shared" si="1161"/>
        <v>TCGA-BRCA</v>
      </c>
      <c r="D14471" s="1" t="s">
        <v>493</v>
      </c>
      <c r="E14471" t="s">
        <v>532</v>
      </c>
      <c r="F14471" s="1">
        <v>2</v>
      </c>
      <c r="G14471" s="1" t="s">
        <v>32</v>
      </c>
      <c r="H14471" s="4" t="str">
        <f>HYPERLINK("https://portal.gdc.cancer.gov/cases/c3a981c7-f148-4252-bd50-af8a49ec0df8","TCGA-OL-A5D6-01A")</f>
        <v>TCGA-OL-A5D6-01A</v>
      </c>
      <c r="I14471" t="s">
        <v>17</v>
      </c>
      <c r="J14471" t="s">
        <v>524</v>
      </c>
      <c r="K14471" t="s">
        <v>33</v>
      </c>
      <c r="L14471" t="s">
        <v>20</v>
      </c>
      <c r="N14471" t="s">
        <v>29</v>
      </c>
    </row>
    <row r="14472" spans="1:14">
      <c r="A14472" s="4" t="str">
        <f t="shared" si="1162"/>
        <v>EXP00414</v>
      </c>
      <c r="B14472" s="3" t="s">
        <v>66</v>
      </c>
      <c r="C14472" s="4" t="str">
        <f t="shared" si="1161"/>
        <v>TCGA-BRCA</v>
      </c>
      <c r="D14472" s="1" t="s">
        <v>493</v>
      </c>
      <c r="E14472" t="s">
        <v>532</v>
      </c>
      <c r="F14472" s="1">
        <v>2</v>
      </c>
      <c r="G14472" s="1" t="s">
        <v>32</v>
      </c>
      <c r="H14472" s="4" t="str">
        <f>HYPERLINK("https://portal.gdc.cancer.gov/cases/c8f39325-5382-447c-9291-a6915fc978b8","TCGA-OL-A5D7-01A")</f>
        <v>TCGA-OL-A5D7-01A</v>
      </c>
      <c r="I14472" t="s">
        <v>17</v>
      </c>
      <c r="J14472" t="s">
        <v>524</v>
      </c>
      <c r="K14472" t="s">
        <v>33</v>
      </c>
      <c r="L14472" t="s">
        <v>20</v>
      </c>
      <c r="N14472" t="s">
        <v>29</v>
      </c>
    </row>
    <row r="14473" spans="1:14">
      <c r="A14473" s="4" t="str">
        <f t="shared" si="1162"/>
        <v>EXP00414</v>
      </c>
      <c r="B14473" s="3" t="s">
        <v>66</v>
      </c>
      <c r="C14473" s="4" t="str">
        <f t="shared" si="1161"/>
        <v>TCGA-BRCA</v>
      </c>
      <c r="D14473" s="1" t="s">
        <v>493</v>
      </c>
      <c r="E14473" t="s">
        <v>532</v>
      </c>
      <c r="F14473" s="1">
        <v>2</v>
      </c>
      <c r="G14473" s="1" t="s">
        <v>32</v>
      </c>
      <c r="H14473" s="4" t="str">
        <f>HYPERLINK("https://portal.gdc.cancer.gov/cases/6d4860b2-21c6-4b7b-9093-2f32700d0612","TCGA-OL-A5D8-01A")</f>
        <v>TCGA-OL-A5D8-01A</v>
      </c>
      <c r="I14473" t="s">
        <v>17</v>
      </c>
      <c r="J14473" t="s">
        <v>524</v>
      </c>
      <c r="K14473" t="s">
        <v>33</v>
      </c>
      <c r="L14473" t="s">
        <v>20</v>
      </c>
      <c r="N14473" t="s">
        <v>29</v>
      </c>
    </row>
    <row r="14474" spans="1:14">
      <c r="A14474" s="4" t="str">
        <f t="shared" si="1162"/>
        <v>EXP00414</v>
      </c>
      <c r="B14474" s="3" t="s">
        <v>66</v>
      </c>
      <c r="C14474" s="4" t="str">
        <f t="shared" si="1161"/>
        <v>TCGA-BRCA</v>
      </c>
      <c r="D14474" s="1" t="s">
        <v>493</v>
      </c>
      <c r="E14474" t="s">
        <v>532</v>
      </c>
      <c r="F14474" s="1">
        <v>2</v>
      </c>
      <c r="G14474" s="1" t="s">
        <v>32</v>
      </c>
      <c r="H14474" s="4" t="str">
        <f>HYPERLINK("https://portal.gdc.cancer.gov/cases/4e509f73-99c7-48eb-a3a4-d34e3bface33","TCGA-OL-A5DA-01A")</f>
        <v>TCGA-OL-A5DA-01A</v>
      </c>
      <c r="I14474" t="s">
        <v>17</v>
      </c>
      <c r="J14474" t="s">
        <v>524</v>
      </c>
      <c r="K14474" t="s">
        <v>33</v>
      </c>
      <c r="L14474" t="s">
        <v>20</v>
      </c>
      <c r="N14474" t="s">
        <v>29</v>
      </c>
    </row>
    <row r="14475" spans="1:14">
      <c r="A14475" s="4" t="str">
        <f t="shared" si="1162"/>
        <v>EXP00414</v>
      </c>
      <c r="B14475" s="3" t="s">
        <v>66</v>
      </c>
      <c r="C14475" s="4" t="str">
        <f t="shared" si="1161"/>
        <v>TCGA-BRCA</v>
      </c>
      <c r="D14475" s="1" t="s">
        <v>493</v>
      </c>
      <c r="E14475" t="s">
        <v>532</v>
      </c>
      <c r="F14475" s="1">
        <v>2</v>
      </c>
      <c r="G14475" s="1" t="s">
        <v>32</v>
      </c>
      <c r="H14475" s="4" t="str">
        <f>HYPERLINK("https://portal.gdc.cancer.gov/cases/b8a44fdf-9cb9-4123-9ab0-4bc198921fee","TCGA-OL-A5RU-01A")</f>
        <v>TCGA-OL-A5RU-01A</v>
      </c>
      <c r="I14475" t="s">
        <v>17</v>
      </c>
      <c r="J14475" t="s">
        <v>524</v>
      </c>
      <c r="K14475" t="s">
        <v>33</v>
      </c>
      <c r="L14475" t="s">
        <v>20</v>
      </c>
      <c r="N14475" t="s">
        <v>29</v>
      </c>
    </row>
    <row r="14476" spans="1:14">
      <c r="A14476" s="4" t="str">
        <f t="shared" si="1162"/>
        <v>EXP00414</v>
      </c>
      <c r="B14476" s="3" t="s">
        <v>66</v>
      </c>
      <c r="C14476" s="4" t="str">
        <f t="shared" si="1161"/>
        <v>TCGA-BRCA</v>
      </c>
      <c r="D14476" s="1" t="s">
        <v>493</v>
      </c>
      <c r="E14476" t="s">
        <v>532</v>
      </c>
      <c r="F14476" s="1">
        <v>2</v>
      </c>
      <c r="G14476" s="1" t="s">
        <v>32</v>
      </c>
      <c r="H14476" s="4" t="str">
        <f>HYPERLINK("https://portal.gdc.cancer.gov/cases/1d38d356-d126-4476-94d0-26616b9375b1","TCGA-OL-A5RV-01A")</f>
        <v>TCGA-OL-A5RV-01A</v>
      </c>
      <c r="I14476" t="s">
        <v>17</v>
      </c>
      <c r="J14476" t="s">
        <v>524</v>
      </c>
      <c r="K14476" t="s">
        <v>33</v>
      </c>
      <c r="L14476" t="s">
        <v>20</v>
      </c>
      <c r="N14476" t="s">
        <v>29</v>
      </c>
    </row>
    <row r="14477" spans="1:14">
      <c r="A14477" s="4" t="str">
        <f t="shared" si="1162"/>
        <v>EXP00414</v>
      </c>
      <c r="B14477" s="3" t="s">
        <v>66</v>
      </c>
      <c r="C14477" s="4" t="str">
        <f t="shared" si="1161"/>
        <v>TCGA-BRCA</v>
      </c>
      <c r="D14477" s="1" t="s">
        <v>493</v>
      </c>
      <c r="E14477" t="s">
        <v>532</v>
      </c>
      <c r="F14477" s="1">
        <v>2</v>
      </c>
      <c r="G14477" s="1" t="s">
        <v>32</v>
      </c>
      <c r="H14477" s="4" t="str">
        <f>HYPERLINK("https://portal.gdc.cancer.gov/cases/a82d0a57-4383-473d-b334-d13b278404b1","TCGA-OL-A5RW-01A")</f>
        <v>TCGA-OL-A5RW-01A</v>
      </c>
      <c r="I14477" t="s">
        <v>17</v>
      </c>
      <c r="J14477" t="s">
        <v>524</v>
      </c>
      <c r="K14477" t="s">
        <v>33</v>
      </c>
      <c r="L14477" t="s">
        <v>20</v>
      </c>
      <c r="N14477" t="s">
        <v>29</v>
      </c>
    </row>
    <row r="14478" spans="1:14">
      <c r="A14478" s="4" t="str">
        <f t="shared" si="1162"/>
        <v>EXP00414</v>
      </c>
      <c r="B14478" s="3" t="s">
        <v>66</v>
      </c>
      <c r="C14478" s="4" t="str">
        <f t="shared" si="1161"/>
        <v>TCGA-BRCA</v>
      </c>
      <c r="D14478" s="1" t="s">
        <v>493</v>
      </c>
      <c r="E14478" t="s">
        <v>532</v>
      </c>
      <c r="F14478" s="1">
        <v>2</v>
      </c>
      <c r="G14478" s="1" t="s">
        <v>32</v>
      </c>
      <c r="H14478" s="4" t="str">
        <f>HYPERLINK("https://portal.gdc.cancer.gov/cases/43c0bec6-6fac-47b1-83cb-200a15a932be","TCGA-OL-A5RX-01A")</f>
        <v>TCGA-OL-A5RX-01A</v>
      </c>
      <c r="I14478" t="s">
        <v>17</v>
      </c>
      <c r="J14478" t="s">
        <v>524</v>
      </c>
      <c r="K14478" t="s">
        <v>33</v>
      </c>
      <c r="L14478" t="s">
        <v>20</v>
      </c>
      <c r="N14478" t="s">
        <v>29</v>
      </c>
    </row>
    <row r="14479" spans="1:14">
      <c r="A14479" s="4" t="str">
        <f t="shared" si="1162"/>
        <v>EXP00414</v>
      </c>
      <c r="B14479" s="3" t="s">
        <v>66</v>
      </c>
      <c r="C14479" s="4" t="str">
        <f t="shared" si="1161"/>
        <v>TCGA-BRCA</v>
      </c>
      <c r="D14479" s="1" t="s">
        <v>493</v>
      </c>
      <c r="E14479" t="s">
        <v>532</v>
      </c>
      <c r="F14479" s="1">
        <v>2</v>
      </c>
      <c r="G14479" s="1" t="s">
        <v>32</v>
      </c>
      <c r="H14479" s="4" t="str">
        <f>HYPERLINK("https://portal.gdc.cancer.gov/cases/8360cec6-daf6-41c9-9a4f-7fc03c958dcc","TCGA-OL-A5RY-01A")</f>
        <v>TCGA-OL-A5RY-01A</v>
      </c>
      <c r="I14479" t="s">
        <v>17</v>
      </c>
      <c r="J14479" t="s">
        <v>524</v>
      </c>
      <c r="K14479" t="s">
        <v>33</v>
      </c>
      <c r="L14479" t="s">
        <v>20</v>
      </c>
      <c r="N14479" t="s">
        <v>29</v>
      </c>
    </row>
    <row r="14480" spans="1:14">
      <c r="A14480" s="4" t="str">
        <f t="shared" si="1162"/>
        <v>EXP00414</v>
      </c>
      <c r="B14480" s="3" t="s">
        <v>66</v>
      </c>
      <c r="C14480" s="4" t="str">
        <f t="shared" si="1161"/>
        <v>TCGA-BRCA</v>
      </c>
      <c r="D14480" s="1" t="s">
        <v>493</v>
      </c>
      <c r="E14480" t="s">
        <v>532</v>
      </c>
      <c r="F14480" s="1">
        <v>2</v>
      </c>
      <c r="G14480" s="1" t="s">
        <v>32</v>
      </c>
      <c r="H14480" s="4" t="str">
        <f>HYPERLINK("https://portal.gdc.cancer.gov/cases/7e8713bd-0b17-4f09-9696-bc29707d862b","TCGA-OL-A5RZ-01A")</f>
        <v>TCGA-OL-A5RZ-01A</v>
      </c>
      <c r="I14480" t="s">
        <v>17</v>
      </c>
      <c r="J14480" t="s">
        <v>524</v>
      </c>
      <c r="K14480" t="s">
        <v>33</v>
      </c>
      <c r="L14480" t="s">
        <v>20</v>
      </c>
      <c r="N14480" t="s">
        <v>29</v>
      </c>
    </row>
    <row r="14481" spans="1:14">
      <c r="A14481" s="4" t="str">
        <f t="shared" si="1162"/>
        <v>EXP00414</v>
      </c>
      <c r="B14481" s="3" t="s">
        <v>66</v>
      </c>
      <c r="C14481" s="4" t="str">
        <f t="shared" si="1161"/>
        <v>TCGA-BRCA</v>
      </c>
      <c r="D14481" s="1" t="s">
        <v>493</v>
      </c>
      <c r="E14481" t="s">
        <v>532</v>
      </c>
      <c r="F14481" s="1">
        <v>2</v>
      </c>
      <c r="G14481" s="1" t="s">
        <v>32</v>
      </c>
      <c r="H14481" s="4" t="str">
        <f>HYPERLINK("https://portal.gdc.cancer.gov/cases/43b3bf47-7313-4dfb-952a-ec0b9d48e16c","TCGA-OL-A5S0-01A")</f>
        <v>TCGA-OL-A5S0-01A</v>
      </c>
      <c r="I14481" t="s">
        <v>17</v>
      </c>
      <c r="J14481" t="s">
        <v>524</v>
      </c>
      <c r="K14481" t="s">
        <v>33</v>
      </c>
      <c r="L14481" t="s">
        <v>20</v>
      </c>
      <c r="N14481" t="s">
        <v>29</v>
      </c>
    </row>
    <row r="14482" spans="1:14">
      <c r="A14482" s="4" t="str">
        <f t="shared" si="1162"/>
        <v>EXP00414</v>
      </c>
      <c r="B14482" s="3" t="s">
        <v>66</v>
      </c>
      <c r="C14482" s="4" t="str">
        <f t="shared" si="1161"/>
        <v>TCGA-BRCA</v>
      </c>
      <c r="D14482" s="1" t="s">
        <v>493</v>
      </c>
      <c r="E14482" t="s">
        <v>532</v>
      </c>
      <c r="F14482" s="1">
        <v>2</v>
      </c>
      <c r="G14482" s="1" t="s">
        <v>32</v>
      </c>
      <c r="H14482" s="4" t="str">
        <f>HYPERLINK("https://portal.gdc.cancer.gov/cases/76bd9bb9-9a8b-4a90-bb7c-eafe76472ee4","TCGA-OL-A66H-01A")</f>
        <v>TCGA-OL-A66H-01A</v>
      </c>
      <c r="I14482" t="s">
        <v>17</v>
      </c>
      <c r="J14482" t="s">
        <v>524</v>
      </c>
      <c r="K14482" t="s">
        <v>33</v>
      </c>
      <c r="L14482" t="s">
        <v>20</v>
      </c>
      <c r="N14482" t="s">
        <v>29</v>
      </c>
    </row>
    <row r="14483" spans="1:14">
      <c r="A14483" s="4" t="str">
        <f t="shared" si="1162"/>
        <v>EXP00414</v>
      </c>
      <c r="B14483" s="3" t="s">
        <v>66</v>
      </c>
      <c r="C14483" s="4" t="str">
        <f t="shared" si="1161"/>
        <v>TCGA-BRCA</v>
      </c>
      <c r="D14483" s="1" t="s">
        <v>493</v>
      </c>
      <c r="E14483" t="s">
        <v>532</v>
      </c>
      <c r="F14483" s="1">
        <v>2</v>
      </c>
      <c r="G14483" s="1" t="s">
        <v>32</v>
      </c>
      <c r="H14483" s="4" t="str">
        <f>HYPERLINK("https://portal.gdc.cancer.gov/cases/35bd694d-1dd2-466f-ab27-03320614b40e","TCGA-OL-A66I-01A")</f>
        <v>TCGA-OL-A66I-01A</v>
      </c>
      <c r="I14483" t="s">
        <v>17</v>
      </c>
      <c r="J14483" t="s">
        <v>524</v>
      </c>
      <c r="K14483" t="s">
        <v>33</v>
      </c>
      <c r="L14483" t="s">
        <v>20</v>
      </c>
      <c r="N14483" t="s">
        <v>29</v>
      </c>
    </row>
    <row r="14484" spans="1:14">
      <c r="A14484" s="4" t="str">
        <f t="shared" si="1162"/>
        <v>EXP00414</v>
      </c>
      <c r="B14484" s="3" t="s">
        <v>66</v>
      </c>
      <c r="C14484" s="4" t="str">
        <f t="shared" si="1161"/>
        <v>TCGA-BRCA</v>
      </c>
      <c r="D14484" s="1" t="s">
        <v>493</v>
      </c>
      <c r="E14484" t="s">
        <v>532</v>
      </c>
      <c r="F14484" s="1">
        <v>2</v>
      </c>
      <c r="G14484" s="1" t="s">
        <v>32</v>
      </c>
      <c r="H14484" s="4" t="str">
        <f>HYPERLINK("https://portal.gdc.cancer.gov/cases/96e1fc6d-693f-4f4f-b5f7-8d6e1c6c43f8","TCGA-OL-A66J-01A")</f>
        <v>TCGA-OL-A66J-01A</v>
      </c>
      <c r="I14484" t="s">
        <v>17</v>
      </c>
      <c r="J14484" t="s">
        <v>524</v>
      </c>
      <c r="K14484" t="s">
        <v>33</v>
      </c>
      <c r="L14484" t="s">
        <v>20</v>
      </c>
      <c r="N14484" t="s">
        <v>29</v>
      </c>
    </row>
    <row r="14485" spans="1:14">
      <c r="A14485" s="4" t="str">
        <f t="shared" si="1162"/>
        <v>EXP00414</v>
      </c>
      <c r="B14485" s="3" t="s">
        <v>66</v>
      </c>
      <c r="C14485" s="4" t="str">
        <f t="shared" si="1161"/>
        <v>TCGA-BRCA</v>
      </c>
      <c r="D14485" s="1" t="s">
        <v>493</v>
      </c>
      <c r="E14485" t="s">
        <v>532</v>
      </c>
      <c r="F14485" s="1">
        <v>2</v>
      </c>
      <c r="G14485" s="1" t="s">
        <v>32</v>
      </c>
      <c r="H14485" s="4" t="str">
        <f>HYPERLINK("https://portal.gdc.cancer.gov/cases/2ab1b35b-9e56-475c-ac9b-15ed0a422683","TCGA-OL-A66K-01A")</f>
        <v>TCGA-OL-A66K-01A</v>
      </c>
      <c r="I14485" t="s">
        <v>17</v>
      </c>
      <c r="J14485" t="s">
        <v>524</v>
      </c>
      <c r="K14485" t="s">
        <v>33</v>
      </c>
      <c r="L14485" t="s">
        <v>20</v>
      </c>
      <c r="N14485" t="s">
        <v>29</v>
      </c>
    </row>
    <row r="14486" spans="1:14">
      <c r="A14486" s="4" t="str">
        <f t="shared" si="1162"/>
        <v>EXP00414</v>
      </c>
      <c r="B14486" s="3" t="s">
        <v>66</v>
      </c>
      <c r="C14486" s="4" t="str">
        <f t="shared" si="1161"/>
        <v>TCGA-BRCA</v>
      </c>
      <c r="D14486" s="1" t="s">
        <v>493</v>
      </c>
      <c r="E14486" t="s">
        <v>532</v>
      </c>
      <c r="F14486" s="1">
        <v>2</v>
      </c>
      <c r="G14486" s="1" t="s">
        <v>32</v>
      </c>
      <c r="H14486" s="4" t="str">
        <f>HYPERLINK("https://portal.gdc.cancer.gov/cases/af0acaa9-a61c-4e57-bc0d-453ad5bf193a","TCGA-OL-A66L-01A")</f>
        <v>TCGA-OL-A66L-01A</v>
      </c>
      <c r="I14486" t="s">
        <v>17</v>
      </c>
      <c r="J14486" t="s">
        <v>524</v>
      </c>
      <c r="K14486" t="s">
        <v>33</v>
      </c>
      <c r="L14486" t="s">
        <v>20</v>
      </c>
      <c r="N14486" t="s">
        <v>29</v>
      </c>
    </row>
    <row r="14487" spans="1:14">
      <c r="A14487" s="4" t="str">
        <f t="shared" si="1162"/>
        <v>EXP00414</v>
      </c>
      <c r="B14487" s="3" t="s">
        <v>66</v>
      </c>
      <c r="C14487" s="4" t="str">
        <f t="shared" si="1161"/>
        <v>TCGA-BRCA</v>
      </c>
      <c r="D14487" s="1" t="s">
        <v>493</v>
      </c>
      <c r="E14487" t="s">
        <v>532</v>
      </c>
      <c r="F14487" s="1">
        <v>2</v>
      </c>
      <c r="G14487" s="1" t="s">
        <v>32</v>
      </c>
      <c r="H14487" s="4" t="str">
        <f>HYPERLINK("https://portal.gdc.cancer.gov/cases/e9002f4e-ba0b-4738-9368-dd9614a5da8a","TCGA-OL-A66N-01A")</f>
        <v>TCGA-OL-A66N-01A</v>
      </c>
      <c r="I14487" t="s">
        <v>17</v>
      </c>
      <c r="J14487" t="s">
        <v>524</v>
      </c>
      <c r="K14487" t="s">
        <v>33</v>
      </c>
      <c r="L14487" t="s">
        <v>20</v>
      </c>
      <c r="N14487" t="s">
        <v>29</v>
      </c>
    </row>
    <row r="14488" spans="1:14">
      <c r="A14488" s="4" t="str">
        <f t="shared" si="1162"/>
        <v>EXP00414</v>
      </c>
      <c r="B14488" s="3" t="s">
        <v>66</v>
      </c>
      <c r="C14488" s="4" t="str">
        <f t="shared" si="1161"/>
        <v>TCGA-BRCA</v>
      </c>
      <c r="D14488" s="1" t="s">
        <v>493</v>
      </c>
      <c r="E14488" t="s">
        <v>532</v>
      </c>
      <c r="F14488" s="1">
        <v>2</v>
      </c>
      <c r="G14488" s="1" t="s">
        <v>32</v>
      </c>
      <c r="H14488" s="4" t="str">
        <f>HYPERLINK("https://portal.gdc.cancer.gov/cases/a45833e1-7cc9-4273-b408-620f74679a12","TCGA-OL-A66O-01A")</f>
        <v>TCGA-OL-A66O-01A</v>
      </c>
      <c r="I14488" t="s">
        <v>17</v>
      </c>
      <c r="J14488" t="s">
        <v>524</v>
      </c>
      <c r="K14488" t="s">
        <v>33</v>
      </c>
      <c r="L14488" t="s">
        <v>20</v>
      </c>
      <c r="N14488" t="s">
        <v>29</v>
      </c>
    </row>
    <row r="14489" spans="1:14">
      <c r="A14489" s="4" t="str">
        <f t="shared" si="1162"/>
        <v>EXP00414</v>
      </c>
      <c r="B14489" s="3" t="s">
        <v>66</v>
      </c>
      <c r="C14489" s="4" t="str">
        <f t="shared" si="1161"/>
        <v>TCGA-BRCA</v>
      </c>
      <c r="D14489" s="1" t="s">
        <v>493</v>
      </c>
      <c r="E14489" t="s">
        <v>532</v>
      </c>
      <c r="F14489" s="1">
        <v>2</v>
      </c>
      <c r="G14489" s="1" t="s">
        <v>32</v>
      </c>
      <c r="H14489" s="4" t="str">
        <f>HYPERLINK("https://portal.gdc.cancer.gov/cases/f81ac8a2-4ce6-439e-b027-1c0bfc88ceaa","TCGA-OL-A66P-01A")</f>
        <v>TCGA-OL-A66P-01A</v>
      </c>
      <c r="I14489" t="s">
        <v>17</v>
      </c>
      <c r="J14489" t="s">
        <v>524</v>
      </c>
      <c r="K14489" t="s">
        <v>33</v>
      </c>
      <c r="L14489" t="s">
        <v>20</v>
      </c>
      <c r="N14489" t="s">
        <v>29</v>
      </c>
    </row>
    <row r="14490" spans="1:14">
      <c r="A14490" s="4" t="str">
        <f t="shared" si="1162"/>
        <v>EXP00414</v>
      </c>
      <c r="B14490" s="3" t="s">
        <v>66</v>
      </c>
      <c r="C14490" s="4" t="str">
        <f t="shared" si="1161"/>
        <v>TCGA-BRCA</v>
      </c>
      <c r="D14490" s="1" t="s">
        <v>493</v>
      </c>
      <c r="E14490" t="s">
        <v>532</v>
      </c>
      <c r="F14490" s="1">
        <v>2</v>
      </c>
      <c r="G14490" s="1" t="s">
        <v>32</v>
      </c>
      <c r="H14490" s="4" t="str">
        <f>HYPERLINK("https://portal.gdc.cancer.gov/cases/398fb71b-ca83-44e7-bf0d-b1ca464b0283","TCGA-OL-A6VO-01A")</f>
        <v>TCGA-OL-A6VO-01A</v>
      </c>
      <c r="I14490" t="s">
        <v>17</v>
      </c>
      <c r="J14490" t="s">
        <v>524</v>
      </c>
      <c r="K14490" t="s">
        <v>33</v>
      </c>
      <c r="L14490" t="s">
        <v>20</v>
      </c>
      <c r="N14490" t="s">
        <v>29</v>
      </c>
    </row>
    <row r="14491" spans="1:14">
      <c r="A14491" s="4" t="str">
        <f t="shared" si="1162"/>
        <v>EXP00414</v>
      </c>
      <c r="B14491" s="3" t="s">
        <v>66</v>
      </c>
      <c r="C14491" s="4" t="str">
        <f t="shared" si="1161"/>
        <v>TCGA-BRCA</v>
      </c>
      <c r="D14491" s="1" t="s">
        <v>493</v>
      </c>
      <c r="E14491" t="s">
        <v>532</v>
      </c>
      <c r="F14491" s="1">
        <v>2</v>
      </c>
      <c r="G14491" s="1" t="s">
        <v>32</v>
      </c>
      <c r="H14491" s="4" t="str">
        <f>HYPERLINK("https://portal.gdc.cancer.gov/cases/34126cd5-cc38-4198-8582-c14fb5db7acb","TCGA-OL-A6VQ-01A")</f>
        <v>TCGA-OL-A6VQ-01A</v>
      </c>
      <c r="I14491" t="s">
        <v>17</v>
      </c>
      <c r="J14491" t="s">
        <v>524</v>
      </c>
      <c r="K14491" t="s">
        <v>33</v>
      </c>
      <c r="L14491" t="s">
        <v>20</v>
      </c>
      <c r="N14491" t="s">
        <v>29</v>
      </c>
    </row>
    <row r="14492" spans="1:14">
      <c r="A14492" s="4" t="str">
        <f t="shared" si="1162"/>
        <v>EXP00414</v>
      </c>
      <c r="B14492" s="3" t="s">
        <v>66</v>
      </c>
      <c r="C14492" s="4" t="str">
        <f t="shared" si="1161"/>
        <v>TCGA-BRCA</v>
      </c>
      <c r="D14492" s="1" t="s">
        <v>493</v>
      </c>
      <c r="E14492" t="s">
        <v>532</v>
      </c>
      <c r="F14492" s="1">
        <v>2</v>
      </c>
      <c r="G14492" s="1" t="s">
        <v>32</v>
      </c>
      <c r="H14492" s="4" t="str">
        <f>HYPERLINK("https://portal.gdc.cancer.gov/cases/db3e1ce8-4a05-4bfc-b5ae-13cf789369e1","TCGA-OL-A6VR-01A")</f>
        <v>TCGA-OL-A6VR-01A</v>
      </c>
      <c r="I14492" t="s">
        <v>17</v>
      </c>
      <c r="J14492" t="s">
        <v>524</v>
      </c>
      <c r="K14492" t="s">
        <v>33</v>
      </c>
      <c r="L14492" t="s">
        <v>20</v>
      </c>
      <c r="N14492" t="s">
        <v>29</v>
      </c>
    </row>
    <row r="14493" spans="1:14">
      <c r="A14493" s="4" t="str">
        <f t="shared" si="1162"/>
        <v>EXP00414</v>
      </c>
      <c r="B14493" s="3" t="s">
        <v>66</v>
      </c>
      <c r="C14493" s="4" t="str">
        <f t="shared" si="1161"/>
        <v>TCGA-BRCA</v>
      </c>
      <c r="D14493" s="1" t="s">
        <v>493</v>
      </c>
      <c r="E14493" t="s">
        <v>532</v>
      </c>
      <c r="F14493" s="1">
        <v>2</v>
      </c>
      <c r="G14493" s="1" t="s">
        <v>32</v>
      </c>
      <c r="H14493" s="4" t="str">
        <f>HYPERLINK("https://portal.gdc.cancer.gov/cases/76099beb-0abe-4b56-8b4e-e4485e0402e6","TCGA-PE-A5DC-01A")</f>
        <v>TCGA-PE-A5DC-01A</v>
      </c>
      <c r="I14493" t="s">
        <v>17</v>
      </c>
      <c r="J14493" t="s">
        <v>524</v>
      </c>
      <c r="K14493" t="s">
        <v>33</v>
      </c>
      <c r="L14493" t="s">
        <v>20</v>
      </c>
      <c r="N14493" t="s">
        <v>29</v>
      </c>
    </row>
    <row r="14494" spans="1:14">
      <c r="A14494" s="4" t="str">
        <f t="shared" si="1162"/>
        <v>EXP00414</v>
      </c>
      <c r="B14494" s="3" t="s">
        <v>66</v>
      </c>
      <c r="C14494" s="4" t="str">
        <f t="shared" si="1161"/>
        <v>TCGA-BRCA</v>
      </c>
      <c r="D14494" s="1" t="s">
        <v>493</v>
      </c>
      <c r="E14494" t="s">
        <v>532</v>
      </c>
      <c r="F14494" s="1">
        <v>2</v>
      </c>
      <c r="G14494" s="1" t="s">
        <v>32</v>
      </c>
      <c r="H14494" s="4" t="str">
        <f>HYPERLINK("https://portal.gdc.cancer.gov/cases/b0700958-5f90-4546-b35f-635cd506889b","TCGA-PE-A5DD-01A")</f>
        <v>TCGA-PE-A5DD-01A</v>
      </c>
      <c r="I14494" t="s">
        <v>17</v>
      </c>
      <c r="J14494" t="s">
        <v>524</v>
      </c>
      <c r="K14494" t="s">
        <v>33</v>
      </c>
      <c r="L14494" t="s">
        <v>20</v>
      </c>
      <c r="N14494" t="s">
        <v>29</v>
      </c>
    </row>
    <row r="14495" spans="1:14">
      <c r="A14495" s="4" t="str">
        <f t="shared" si="1162"/>
        <v>EXP00414</v>
      </c>
      <c r="B14495" s="3" t="s">
        <v>66</v>
      </c>
      <c r="C14495" s="4" t="str">
        <f t="shared" si="1161"/>
        <v>TCGA-BRCA</v>
      </c>
      <c r="D14495" s="1" t="s">
        <v>493</v>
      </c>
      <c r="E14495" t="s">
        <v>532</v>
      </c>
      <c r="F14495" s="1">
        <v>2</v>
      </c>
      <c r="G14495" s="1" t="s">
        <v>32</v>
      </c>
      <c r="H14495" s="4" t="str">
        <f>HYPERLINK("https://portal.gdc.cancer.gov/cases/89c128b9-1c6b-4c04-a4af-7066772e783c","TCGA-PE-A5DE-01A")</f>
        <v>TCGA-PE-A5DE-01A</v>
      </c>
      <c r="I14495" t="s">
        <v>17</v>
      </c>
      <c r="J14495" t="s">
        <v>524</v>
      </c>
      <c r="K14495" t="s">
        <v>33</v>
      </c>
      <c r="L14495" t="s">
        <v>20</v>
      </c>
      <c r="N14495" t="s">
        <v>29</v>
      </c>
    </row>
    <row r="14496" spans="1:14">
      <c r="A14496" s="4" t="str">
        <f t="shared" si="1162"/>
        <v>EXP00414</v>
      </c>
      <c r="B14496" s="3" t="s">
        <v>66</v>
      </c>
      <c r="C14496" s="4" t="str">
        <f t="shared" si="1161"/>
        <v>TCGA-BRCA</v>
      </c>
      <c r="D14496" s="1" t="s">
        <v>493</v>
      </c>
      <c r="E14496" t="s">
        <v>532</v>
      </c>
      <c r="F14496" s="1">
        <v>2</v>
      </c>
      <c r="G14496" s="1" t="s">
        <v>32</v>
      </c>
      <c r="H14496" s="4" t="str">
        <f>HYPERLINK("https://portal.gdc.cancer.gov/cases/389e5b18-8f89-41a9-9fa5-efd4172836e2","TCGA-PL-A8LV-01A")</f>
        <v>TCGA-PL-A8LV-01A</v>
      </c>
      <c r="I14496" t="s">
        <v>17</v>
      </c>
      <c r="J14496" t="s">
        <v>524</v>
      </c>
      <c r="K14496" t="s">
        <v>33</v>
      </c>
      <c r="L14496" t="s">
        <v>20</v>
      </c>
      <c r="N14496" t="s">
        <v>29</v>
      </c>
    </row>
    <row r="14497" spans="1:14">
      <c r="A14497" s="4" t="str">
        <f t="shared" si="1162"/>
        <v>EXP00414</v>
      </c>
      <c r="B14497" s="3" t="s">
        <v>66</v>
      </c>
      <c r="C14497" s="4" t="str">
        <f t="shared" si="1161"/>
        <v>TCGA-BRCA</v>
      </c>
      <c r="D14497" s="1" t="s">
        <v>493</v>
      </c>
      <c r="E14497" t="s">
        <v>532</v>
      </c>
      <c r="F14497" s="1">
        <v>2</v>
      </c>
      <c r="G14497" s="1" t="s">
        <v>32</v>
      </c>
      <c r="H14497" s="4" t="str">
        <f>HYPERLINK("https://portal.gdc.cancer.gov/cases/fe2cd610-aa52-4789-ac62-7683281bb22f","TCGA-PL-A8LX-01A")</f>
        <v>TCGA-PL-A8LX-01A</v>
      </c>
      <c r="I14497" t="s">
        <v>17</v>
      </c>
      <c r="J14497" t="s">
        <v>524</v>
      </c>
      <c r="K14497" t="s">
        <v>33</v>
      </c>
      <c r="L14497" t="s">
        <v>20</v>
      </c>
      <c r="N14497" t="s">
        <v>29</v>
      </c>
    </row>
    <row r="14498" spans="1:14">
      <c r="A14498" s="4" t="str">
        <f t="shared" si="1162"/>
        <v>EXP00414</v>
      </c>
      <c r="B14498" s="3" t="s">
        <v>66</v>
      </c>
      <c r="C14498" s="4" t="str">
        <f t="shared" si="1161"/>
        <v>TCGA-BRCA</v>
      </c>
      <c r="D14498" s="1" t="s">
        <v>493</v>
      </c>
      <c r="E14498" t="s">
        <v>532</v>
      </c>
      <c r="F14498" s="1">
        <v>2</v>
      </c>
      <c r="G14498" s="1" t="s">
        <v>32</v>
      </c>
      <c r="H14498" s="4" t="str">
        <f>HYPERLINK("https://portal.gdc.cancer.gov/cases/9ba11ea8-97d3-464a-90a4-ec1151be9088","TCGA-PL-A8LY-01A")</f>
        <v>TCGA-PL-A8LY-01A</v>
      </c>
      <c r="I14498" t="s">
        <v>17</v>
      </c>
      <c r="J14498" t="s">
        <v>524</v>
      </c>
      <c r="K14498" t="s">
        <v>33</v>
      </c>
      <c r="L14498" t="s">
        <v>20</v>
      </c>
      <c r="N14498" t="s">
        <v>29</v>
      </c>
    </row>
    <row r="14499" spans="1:14">
      <c r="A14499" s="4" t="str">
        <f t="shared" si="1162"/>
        <v>EXP00414</v>
      </c>
      <c r="B14499" s="3" t="s">
        <v>66</v>
      </c>
      <c r="C14499" s="4" t="str">
        <f t="shared" si="1161"/>
        <v>TCGA-BRCA</v>
      </c>
      <c r="D14499" s="1" t="s">
        <v>493</v>
      </c>
      <c r="E14499" t="s">
        <v>532</v>
      </c>
      <c r="F14499" s="1">
        <v>2</v>
      </c>
      <c r="G14499" s="1" t="s">
        <v>32</v>
      </c>
      <c r="H14499" s="4" t="str">
        <f>HYPERLINK("https://portal.gdc.cancer.gov/cases/9087585f-e792-4f33-baaa-56ffe0f745be","TCGA-PL-A8LZ-01A")</f>
        <v>TCGA-PL-A8LZ-01A</v>
      </c>
      <c r="I14499" t="s">
        <v>17</v>
      </c>
      <c r="J14499" t="s">
        <v>524</v>
      </c>
      <c r="K14499" t="s">
        <v>33</v>
      </c>
      <c r="L14499" t="s">
        <v>20</v>
      </c>
      <c r="N14499" t="s">
        <v>29</v>
      </c>
    </row>
    <row r="14500" spans="1:14">
      <c r="A14500" s="4" t="str">
        <f t="shared" si="1162"/>
        <v>EXP00414</v>
      </c>
      <c r="B14500" s="3" t="s">
        <v>66</v>
      </c>
      <c r="C14500" s="4" t="str">
        <f t="shared" si="1161"/>
        <v>TCGA-BRCA</v>
      </c>
      <c r="D14500" s="1" t="s">
        <v>493</v>
      </c>
      <c r="E14500" t="s">
        <v>532</v>
      </c>
      <c r="F14500" s="1">
        <v>2</v>
      </c>
      <c r="G14500" s="1" t="s">
        <v>32</v>
      </c>
      <c r="H14500" s="4" t="str">
        <f>HYPERLINK("https://portal.gdc.cancer.gov/cases/fbee40f1-d6d8-4156-8d42-36e09bb9f095","TCGA-S3-A6ZF-01A")</f>
        <v>TCGA-S3-A6ZF-01A</v>
      </c>
      <c r="I14500" t="s">
        <v>17</v>
      </c>
      <c r="J14500" t="s">
        <v>524</v>
      </c>
      <c r="K14500" t="s">
        <v>33</v>
      </c>
      <c r="L14500" t="s">
        <v>20</v>
      </c>
      <c r="N14500" t="s">
        <v>29</v>
      </c>
    </row>
    <row r="14501" spans="1:14">
      <c r="A14501" s="4" t="str">
        <f t="shared" si="1162"/>
        <v>EXP00414</v>
      </c>
      <c r="B14501" s="3" t="s">
        <v>66</v>
      </c>
      <c r="C14501" s="4" t="str">
        <f t="shared" si="1161"/>
        <v>TCGA-BRCA</v>
      </c>
      <c r="D14501" s="1" t="s">
        <v>493</v>
      </c>
      <c r="E14501" t="s">
        <v>532</v>
      </c>
      <c r="F14501" s="1">
        <v>2</v>
      </c>
      <c r="G14501" s="1" t="s">
        <v>32</v>
      </c>
      <c r="H14501" s="4" t="str">
        <f>HYPERLINK("https://portal.gdc.cancer.gov/cases/1a679332-30a3-4495-a2e5-39d299e14333","TCGA-S3-A6ZG-01A")</f>
        <v>TCGA-S3-A6ZG-01A</v>
      </c>
      <c r="I14501" t="s">
        <v>17</v>
      </c>
      <c r="J14501" t="s">
        <v>524</v>
      </c>
      <c r="K14501" t="s">
        <v>33</v>
      </c>
      <c r="L14501" t="s">
        <v>20</v>
      </c>
      <c r="N14501" t="s">
        <v>29</v>
      </c>
    </row>
    <row r="14502" spans="1:14">
      <c r="A14502" s="4" t="str">
        <f t="shared" si="1162"/>
        <v>EXP00414</v>
      </c>
      <c r="B14502" s="3" t="s">
        <v>66</v>
      </c>
      <c r="C14502" s="4" t="str">
        <f t="shared" si="1161"/>
        <v>TCGA-BRCA</v>
      </c>
      <c r="D14502" s="1" t="s">
        <v>493</v>
      </c>
      <c r="E14502" t="s">
        <v>532</v>
      </c>
      <c r="F14502" s="1">
        <v>2</v>
      </c>
      <c r="G14502" s="1" t="s">
        <v>32</v>
      </c>
      <c r="H14502" s="4" t="str">
        <f>HYPERLINK("https://portal.gdc.cancer.gov/cases/ec461eaf-f5cb-4225-a9a0-59d8e6c17ea6","TCGA-S3-A6ZH-01A")</f>
        <v>TCGA-S3-A6ZH-01A</v>
      </c>
      <c r="I14502" t="s">
        <v>17</v>
      </c>
      <c r="J14502" t="s">
        <v>524</v>
      </c>
      <c r="K14502" t="s">
        <v>33</v>
      </c>
      <c r="L14502" t="s">
        <v>20</v>
      </c>
      <c r="N14502" t="s">
        <v>29</v>
      </c>
    </row>
    <row r="14503" spans="1:14">
      <c r="A14503" s="4" t="str">
        <f t="shared" si="1162"/>
        <v>EXP00414</v>
      </c>
      <c r="B14503" s="3" t="s">
        <v>66</v>
      </c>
      <c r="C14503" s="4" t="str">
        <f t="shared" si="1161"/>
        <v>TCGA-BRCA</v>
      </c>
      <c r="D14503" s="1" t="s">
        <v>493</v>
      </c>
      <c r="E14503" t="s">
        <v>532</v>
      </c>
      <c r="F14503" s="1">
        <v>2</v>
      </c>
      <c r="G14503" s="1" t="s">
        <v>32</v>
      </c>
      <c r="H14503" s="4" t="str">
        <f>HYPERLINK("https://portal.gdc.cancer.gov/cases/cffe832c-8a81-4cdb-8b25-df7f35afafdc","TCGA-S3-AA0Z-01A")</f>
        <v>TCGA-S3-AA0Z-01A</v>
      </c>
      <c r="I14503" t="s">
        <v>17</v>
      </c>
      <c r="J14503" t="s">
        <v>524</v>
      </c>
      <c r="K14503" t="s">
        <v>33</v>
      </c>
      <c r="L14503" t="s">
        <v>20</v>
      </c>
      <c r="N14503" t="s">
        <v>29</v>
      </c>
    </row>
    <row r="14504" spans="1:14">
      <c r="A14504" s="4" t="str">
        <f t="shared" si="1162"/>
        <v>EXP00414</v>
      </c>
      <c r="B14504" s="3" t="s">
        <v>66</v>
      </c>
      <c r="C14504" s="4" t="str">
        <f t="shared" si="1161"/>
        <v>TCGA-BRCA</v>
      </c>
      <c r="D14504" s="1" t="s">
        <v>493</v>
      </c>
      <c r="E14504" t="s">
        <v>532</v>
      </c>
      <c r="F14504" s="1">
        <v>2</v>
      </c>
      <c r="G14504" s="1" t="s">
        <v>32</v>
      </c>
      <c r="H14504" s="4" t="str">
        <f>HYPERLINK("https://portal.gdc.cancer.gov/cases/23c31c2e-336c-4878-a476-cf8d811b4875","TCGA-S3-AA10-01A")</f>
        <v>TCGA-S3-AA10-01A</v>
      </c>
      <c r="I14504" t="s">
        <v>17</v>
      </c>
      <c r="J14504" t="s">
        <v>524</v>
      </c>
      <c r="K14504" t="s">
        <v>33</v>
      </c>
      <c r="L14504" t="s">
        <v>20</v>
      </c>
      <c r="N14504" t="s">
        <v>29</v>
      </c>
    </row>
    <row r="14505" spans="1:14">
      <c r="A14505" s="4" t="str">
        <f t="shared" si="1162"/>
        <v>EXP00414</v>
      </c>
      <c r="B14505" s="3" t="s">
        <v>66</v>
      </c>
      <c r="C14505" s="4" t="str">
        <f t="shared" si="1161"/>
        <v>TCGA-BRCA</v>
      </c>
      <c r="D14505" s="1" t="s">
        <v>493</v>
      </c>
      <c r="E14505" t="s">
        <v>532</v>
      </c>
      <c r="F14505" s="1">
        <v>2</v>
      </c>
      <c r="G14505" s="1" t="s">
        <v>32</v>
      </c>
      <c r="H14505" s="4" t="str">
        <f>HYPERLINK("https://portal.gdc.cancer.gov/cases/0dd8dbc1-c48b-4e7c-b401-57101f724967","TCGA-S3-AA11-01A")</f>
        <v>TCGA-S3-AA11-01A</v>
      </c>
      <c r="I14505" t="s">
        <v>17</v>
      </c>
      <c r="J14505" t="s">
        <v>524</v>
      </c>
      <c r="K14505" t="s">
        <v>33</v>
      </c>
      <c r="L14505" t="s">
        <v>20</v>
      </c>
      <c r="N14505" t="s">
        <v>29</v>
      </c>
    </row>
    <row r="14506" spans="1:14">
      <c r="A14506" s="4" t="str">
        <f t="shared" si="1162"/>
        <v>EXP00414</v>
      </c>
      <c r="B14506" s="3" t="s">
        <v>66</v>
      </c>
      <c r="C14506" s="4" t="str">
        <f t="shared" si="1161"/>
        <v>TCGA-BRCA</v>
      </c>
      <c r="D14506" s="1" t="s">
        <v>493</v>
      </c>
      <c r="E14506" t="s">
        <v>532</v>
      </c>
      <c r="F14506" s="1">
        <v>2</v>
      </c>
      <c r="G14506" s="1" t="s">
        <v>32</v>
      </c>
      <c r="H14506" s="4" t="str">
        <f>HYPERLINK("https://portal.gdc.cancer.gov/cases/2bcacfd1-6a45-4b96-9b80-2ad569b1ab45","TCGA-S3-AA12-01A")</f>
        <v>TCGA-S3-AA12-01A</v>
      </c>
      <c r="I14506" t="s">
        <v>17</v>
      </c>
      <c r="J14506" t="s">
        <v>524</v>
      </c>
      <c r="K14506" t="s">
        <v>33</v>
      </c>
      <c r="L14506" t="s">
        <v>20</v>
      </c>
      <c r="N14506" t="s">
        <v>29</v>
      </c>
    </row>
    <row r="14507" spans="1:14">
      <c r="A14507" s="4" t="str">
        <f t="shared" si="1162"/>
        <v>EXP00414</v>
      </c>
      <c r="B14507" s="3" t="s">
        <v>66</v>
      </c>
      <c r="C14507" s="4" t="str">
        <f t="shared" si="1161"/>
        <v>TCGA-BRCA</v>
      </c>
      <c r="D14507" s="1" t="s">
        <v>493</v>
      </c>
      <c r="E14507" t="s">
        <v>532</v>
      </c>
      <c r="F14507" s="1">
        <v>2</v>
      </c>
      <c r="G14507" s="1" t="s">
        <v>32</v>
      </c>
      <c r="H14507" s="4" t="str">
        <f>HYPERLINK("https://portal.gdc.cancer.gov/cases/929acc67-b8bf-4f65-9110-380e44ab66b7","TCGA-S3-AA14-01A")</f>
        <v>TCGA-S3-AA14-01A</v>
      </c>
      <c r="I14507" t="s">
        <v>17</v>
      </c>
      <c r="J14507" t="s">
        <v>524</v>
      </c>
      <c r="K14507" t="s">
        <v>33</v>
      </c>
      <c r="L14507" t="s">
        <v>20</v>
      </c>
      <c r="N14507" t="s">
        <v>29</v>
      </c>
    </row>
    <row r="14508" spans="1:14">
      <c r="A14508" s="4" t="str">
        <f t="shared" si="1162"/>
        <v>EXP00414</v>
      </c>
      <c r="B14508" s="3" t="s">
        <v>66</v>
      </c>
      <c r="C14508" s="4" t="str">
        <f t="shared" si="1161"/>
        <v>TCGA-BRCA</v>
      </c>
      <c r="D14508" s="1" t="s">
        <v>493</v>
      </c>
      <c r="E14508" t="s">
        <v>532</v>
      </c>
      <c r="F14508" s="1">
        <v>2</v>
      </c>
      <c r="G14508" s="1" t="s">
        <v>32</v>
      </c>
      <c r="H14508" s="4" t="str">
        <f>HYPERLINK("https://portal.gdc.cancer.gov/cases/e783e518-c1e5-4eac-8eaf-e2d65ccd9692","TCGA-S3-AA15-01A")</f>
        <v>TCGA-S3-AA15-01A</v>
      </c>
      <c r="I14508" t="s">
        <v>17</v>
      </c>
      <c r="J14508" t="s">
        <v>524</v>
      </c>
      <c r="K14508" t="s">
        <v>33</v>
      </c>
      <c r="L14508" t="s">
        <v>20</v>
      </c>
      <c r="N14508" t="s">
        <v>29</v>
      </c>
    </row>
    <row r="14509" spans="1:14">
      <c r="A14509" s="4" t="str">
        <f t="shared" si="1162"/>
        <v>EXP00414</v>
      </c>
      <c r="B14509" s="3" t="s">
        <v>66</v>
      </c>
      <c r="C14509" s="4" t="str">
        <f t="shared" si="1161"/>
        <v>TCGA-BRCA</v>
      </c>
      <c r="D14509" s="1" t="s">
        <v>493</v>
      </c>
      <c r="E14509" t="s">
        <v>532</v>
      </c>
      <c r="F14509" s="1">
        <v>2</v>
      </c>
      <c r="G14509" s="1" t="s">
        <v>32</v>
      </c>
      <c r="H14509" s="4" t="str">
        <f>HYPERLINK("https://portal.gdc.cancer.gov/cases/49a2fd48-744d-4d88-b9b4-8c778d4f48fd","TCGA-S3-AA17-01A")</f>
        <v>TCGA-S3-AA17-01A</v>
      </c>
      <c r="I14509" t="s">
        <v>17</v>
      </c>
      <c r="J14509" t="s">
        <v>524</v>
      </c>
      <c r="K14509" t="s">
        <v>33</v>
      </c>
      <c r="L14509" t="s">
        <v>20</v>
      </c>
      <c r="N14509" t="s">
        <v>29</v>
      </c>
    </row>
    <row r="14510" spans="1:14">
      <c r="A14510" s="4" t="str">
        <f t="shared" si="1162"/>
        <v>EXP00414</v>
      </c>
      <c r="B14510" s="3" t="s">
        <v>66</v>
      </c>
      <c r="C14510" s="4" t="str">
        <f t="shared" si="1161"/>
        <v>TCGA-BRCA</v>
      </c>
      <c r="D14510" s="1" t="s">
        <v>493</v>
      </c>
      <c r="E14510" t="s">
        <v>532</v>
      </c>
      <c r="F14510" s="1">
        <v>2</v>
      </c>
      <c r="G14510" s="1" t="s">
        <v>32</v>
      </c>
      <c r="H14510" s="4" t="str">
        <f>HYPERLINK("https://portal.gdc.cancer.gov/cases/4b54e06e-a280-4981-a4e1-9aea154341b4","TCGA-UL-AAZ6-01A")</f>
        <v>TCGA-UL-AAZ6-01A</v>
      </c>
      <c r="I14510" t="s">
        <v>17</v>
      </c>
      <c r="J14510" t="s">
        <v>524</v>
      </c>
      <c r="K14510" t="s">
        <v>33</v>
      </c>
      <c r="L14510" t="s">
        <v>20</v>
      </c>
      <c r="N14510" t="s">
        <v>29</v>
      </c>
    </row>
    <row r="14511" spans="1:14">
      <c r="A14511" s="4" t="str">
        <f t="shared" si="1162"/>
        <v>EXP00414</v>
      </c>
      <c r="B14511" s="3" t="s">
        <v>66</v>
      </c>
      <c r="C14511" s="4" t="str">
        <f t="shared" si="1161"/>
        <v>TCGA-BRCA</v>
      </c>
      <c r="D14511" s="1" t="s">
        <v>493</v>
      </c>
      <c r="E14511" t="s">
        <v>532</v>
      </c>
      <c r="F14511" s="1">
        <v>2</v>
      </c>
      <c r="G14511" s="1" t="s">
        <v>32</v>
      </c>
      <c r="H14511" s="4" t="str">
        <f>HYPERLINK("https://portal.gdc.cancer.gov/cases/45013972-2dfd-4f82-a076-e3e4af1b43b8","TCGA-UU-A93S-01A")</f>
        <v>TCGA-UU-A93S-01A</v>
      </c>
      <c r="I14511" t="s">
        <v>17</v>
      </c>
      <c r="J14511" t="s">
        <v>524</v>
      </c>
      <c r="K14511" t="s">
        <v>33</v>
      </c>
      <c r="L14511" t="s">
        <v>20</v>
      </c>
      <c r="N14511" t="s">
        <v>29</v>
      </c>
    </row>
    <row r="14512" spans="1:14">
      <c r="A14512" s="4" t="str">
        <f t="shared" si="1162"/>
        <v>EXP00414</v>
      </c>
      <c r="B14512" s="3" t="s">
        <v>66</v>
      </c>
      <c r="C14512" s="4" t="str">
        <f t="shared" si="1161"/>
        <v>TCGA-BRCA</v>
      </c>
      <c r="D14512" s="1" t="s">
        <v>493</v>
      </c>
      <c r="E14512" t="s">
        <v>532</v>
      </c>
      <c r="F14512" s="1">
        <v>2</v>
      </c>
      <c r="G14512" s="1" t="s">
        <v>32</v>
      </c>
      <c r="H14512" s="4" t="str">
        <f>HYPERLINK("https://portal.gdc.cancer.gov/cases/1285eb55-415c-494a-aa58-936f0427cdd0","TCGA-V7-A7HQ-01A")</f>
        <v>TCGA-V7-A7HQ-01A</v>
      </c>
      <c r="I14512" t="s">
        <v>17</v>
      </c>
      <c r="J14512" t="s">
        <v>524</v>
      </c>
      <c r="K14512" t="s">
        <v>33</v>
      </c>
      <c r="L14512" t="s">
        <v>20</v>
      </c>
      <c r="N14512" t="s">
        <v>29</v>
      </c>
    </row>
    <row r="14513" spans="1:14">
      <c r="A14513" s="4" t="str">
        <f t="shared" si="1162"/>
        <v>EXP00414</v>
      </c>
      <c r="B14513" s="3" t="s">
        <v>66</v>
      </c>
      <c r="C14513" s="4" t="str">
        <f t="shared" si="1161"/>
        <v>TCGA-BRCA</v>
      </c>
      <c r="D14513" s="1" t="s">
        <v>493</v>
      </c>
      <c r="E14513" t="s">
        <v>532</v>
      </c>
      <c r="F14513" s="1">
        <v>2</v>
      </c>
      <c r="G14513" s="1" t="s">
        <v>32</v>
      </c>
      <c r="H14513" s="4" t="str">
        <f>HYPERLINK("https://portal.gdc.cancer.gov/cases/90ff48c3-b14b-4a8b-94a1-98c0bab0d27b","TCGA-W8-A86G-01A")</f>
        <v>TCGA-W8-A86G-01A</v>
      </c>
      <c r="I14513" t="s">
        <v>17</v>
      </c>
      <c r="J14513" t="s">
        <v>524</v>
      </c>
      <c r="K14513" t="s">
        <v>33</v>
      </c>
      <c r="L14513" t="s">
        <v>20</v>
      </c>
      <c r="N14513" t="s">
        <v>29</v>
      </c>
    </row>
    <row r="14514" spans="1:14">
      <c r="A14514" s="4" t="str">
        <f t="shared" si="1162"/>
        <v>EXP00414</v>
      </c>
      <c r="B14514" s="3" t="s">
        <v>66</v>
      </c>
      <c r="C14514" s="4" t="str">
        <f t="shared" si="1161"/>
        <v>TCGA-BRCA</v>
      </c>
      <c r="D14514" s="1" t="s">
        <v>493</v>
      </c>
      <c r="E14514" t="s">
        <v>532</v>
      </c>
      <c r="F14514" s="1">
        <v>2</v>
      </c>
      <c r="G14514" s="1" t="s">
        <v>32</v>
      </c>
      <c r="H14514" s="4" t="str">
        <f>HYPERLINK("https://portal.gdc.cancer.gov/cases/e7db08a7-b439-4230-8dc4-1b54af4736c4","TCGA-WT-AB41-01A")</f>
        <v>TCGA-WT-AB41-01A</v>
      </c>
      <c r="I14514" t="s">
        <v>17</v>
      </c>
      <c r="J14514" t="s">
        <v>524</v>
      </c>
      <c r="K14514" t="s">
        <v>33</v>
      </c>
      <c r="L14514" t="s">
        <v>20</v>
      </c>
      <c r="N14514" t="s">
        <v>29</v>
      </c>
    </row>
    <row r="14515" spans="1:14">
      <c r="A14515" s="4" t="str">
        <f t="shared" si="1162"/>
        <v>EXP00414</v>
      </c>
      <c r="B14515" s="3" t="s">
        <v>66</v>
      </c>
      <c r="C14515" s="4" t="str">
        <f t="shared" si="1161"/>
        <v>TCGA-BRCA</v>
      </c>
      <c r="D14515" s="1" t="s">
        <v>493</v>
      </c>
      <c r="E14515" t="s">
        <v>532</v>
      </c>
      <c r="F14515" s="1">
        <v>2</v>
      </c>
      <c r="G14515" s="1" t="s">
        <v>32</v>
      </c>
      <c r="H14515" s="4" t="str">
        <f>HYPERLINK("https://portal.gdc.cancer.gov/cases/5cd79093-1571-4f71-8136-0d84ccabdcac","TCGA-WT-AB44-01A")</f>
        <v>TCGA-WT-AB44-01A</v>
      </c>
      <c r="I14515" t="s">
        <v>17</v>
      </c>
      <c r="J14515" t="s">
        <v>524</v>
      </c>
      <c r="K14515" t="s">
        <v>33</v>
      </c>
      <c r="L14515" t="s">
        <v>20</v>
      </c>
      <c r="N14515" t="s">
        <v>29</v>
      </c>
    </row>
    <row r="14516" spans="1:14">
      <c r="A14516" s="4" t="str">
        <f t="shared" si="1162"/>
        <v>EXP00414</v>
      </c>
      <c r="B14516" s="3" t="s">
        <v>66</v>
      </c>
      <c r="C14516" s="4" t="str">
        <f t="shared" si="1161"/>
        <v>TCGA-BRCA</v>
      </c>
      <c r="D14516" s="1" t="s">
        <v>493</v>
      </c>
      <c r="E14516" t="s">
        <v>532</v>
      </c>
      <c r="F14516" s="1">
        <v>2</v>
      </c>
      <c r="G14516" s="1" t="s">
        <v>32</v>
      </c>
      <c r="H14516" s="4" t="str">
        <f>HYPERLINK("https://portal.gdc.cancer.gov/cases/f89588e9-ca73-4465-a7fb-7246edb45e3a","TCGA-XX-A899-01A")</f>
        <v>TCGA-XX-A899-01A</v>
      </c>
      <c r="I14516" t="s">
        <v>17</v>
      </c>
      <c r="J14516" t="s">
        <v>524</v>
      </c>
      <c r="K14516" t="s">
        <v>33</v>
      </c>
      <c r="L14516" t="s">
        <v>20</v>
      </c>
      <c r="N14516" t="s">
        <v>29</v>
      </c>
    </row>
    <row r="14517" spans="1:14">
      <c r="A14517" s="4" t="str">
        <f t="shared" si="1162"/>
        <v>EXP00414</v>
      </c>
      <c r="B14517" s="3" t="s">
        <v>66</v>
      </c>
      <c r="C14517" s="4" t="str">
        <f t="shared" si="1161"/>
        <v>TCGA-BRCA</v>
      </c>
      <c r="D14517" s="1" t="s">
        <v>493</v>
      </c>
      <c r="E14517" t="s">
        <v>532</v>
      </c>
      <c r="F14517" s="1">
        <v>2</v>
      </c>
      <c r="G14517" s="1" t="s">
        <v>32</v>
      </c>
      <c r="H14517" s="4" t="str">
        <f>HYPERLINK("https://portal.gdc.cancer.gov/cases/ca20249f-b7ea-4fd9-9ecb-34f74755ae35","TCGA-XX-A89A-01A")</f>
        <v>TCGA-XX-A89A-01A</v>
      </c>
      <c r="I14517" t="s">
        <v>17</v>
      </c>
      <c r="J14517" t="s">
        <v>524</v>
      </c>
      <c r="K14517" t="s">
        <v>33</v>
      </c>
      <c r="L14517" t="s">
        <v>20</v>
      </c>
      <c r="N14517" t="s">
        <v>29</v>
      </c>
    </row>
    <row r="14518" spans="1:14">
      <c r="A14518" s="4" t="str">
        <f t="shared" si="1162"/>
        <v>EXP00414</v>
      </c>
      <c r="B14518" s="3" t="s">
        <v>66</v>
      </c>
      <c r="C14518" s="4" t="str">
        <f t="shared" si="1161"/>
        <v>TCGA-BRCA</v>
      </c>
      <c r="D14518" s="1" t="s">
        <v>493</v>
      </c>
      <c r="E14518" t="s">
        <v>532</v>
      </c>
      <c r="F14518" s="1">
        <v>2</v>
      </c>
      <c r="G14518" s="1" t="s">
        <v>32</v>
      </c>
      <c r="H14518" s="4" t="str">
        <f>HYPERLINK("https://portal.gdc.cancer.gov/cases/23f438bd-1dbb-4d46-972f-1e8e74ddbd37","TCGA-Z7-A8R5-01A")</f>
        <v>TCGA-Z7-A8R5-01A</v>
      </c>
      <c r="I14518" t="s">
        <v>17</v>
      </c>
      <c r="J14518" t="s">
        <v>524</v>
      </c>
      <c r="K14518" t="s">
        <v>33</v>
      </c>
      <c r="L14518" t="s">
        <v>20</v>
      </c>
      <c r="N14518" t="s">
        <v>29</v>
      </c>
    </row>
    <row r="14519" spans="1:14">
      <c r="A14519" s="4" t="str">
        <f t="shared" si="1162"/>
        <v>EXP00414</v>
      </c>
      <c r="B14519" s="3" t="s">
        <v>66</v>
      </c>
      <c r="C14519" s="4" t="str">
        <f t="shared" si="1161"/>
        <v>TCGA-BRCA</v>
      </c>
      <c r="D14519" s="1" t="s">
        <v>493</v>
      </c>
      <c r="E14519" t="s">
        <v>532</v>
      </c>
      <c r="F14519" s="1">
        <v>2</v>
      </c>
      <c r="G14519" s="1" t="s">
        <v>32</v>
      </c>
      <c r="H14519" s="4" t="str">
        <f>HYPERLINK("https://portal.gdc.cancer.gov/cases/b1d44c81-747d-471f-9093-aeb262a17975","TCGA-Z7-A8R6-01A")</f>
        <v>TCGA-Z7-A8R6-01A</v>
      </c>
      <c r="I14519" t="s">
        <v>17</v>
      </c>
      <c r="J14519" t="s">
        <v>524</v>
      </c>
      <c r="K14519" t="s">
        <v>33</v>
      </c>
      <c r="L14519" t="s">
        <v>20</v>
      </c>
      <c r="N14519" t="s">
        <v>29</v>
      </c>
    </row>
    <row r="14520" spans="1:14">
      <c r="A14520" s="4" t="str">
        <f t="shared" ref="A14520:A14583" si="1163">HYPERLINK("http://hcmdb.i-sanger.com/experiment/details/experiment_id/EXP00415","EXP00415")</f>
        <v>EXP00415</v>
      </c>
      <c r="B14520" s="3" t="s">
        <v>66</v>
      </c>
      <c r="C14520" s="4" t="str">
        <f t="shared" si="1161"/>
        <v>TCGA-BRCA</v>
      </c>
      <c r="D14520" s="1" t="s">
        <v>493</v>
      </c>
      <c r="E14520" t="s">
        <v>533</v>
      </c>
      <c r="F14520" s="1">
        <v>1</v>
      </c>
      <c r="G14520" s="1" t="s">
        <v>36</v>
      </c>
      <c r="H14520" s="4" t="str">
        <f>HYPERLINK("https://portal.gdc.cancer.gov/cases/9d95a65b-e41d-4f93-92d4-99dce29ff40d","TCGA-A7-A0CE-11A")</f>
        <v>TCGA-A7-A0CE-11A</v>
      </c>
      <c r="I14520" t="s">
        <v>17</v>
      </c>
      <c r="J14520" t="s">
        <v>524</v>
      </c>
      <c r="K14520" t="s">
        <v>33</v>
      </c>
      <c r="L14520" t="s">
        <v>20</v>
      </c>
      <c r="N14520" t="s">
        <v>37</v>
      </c>
    </row>
    <row r="14521" spans="1:14">
      <c r="A14521" s="4" t="str">
        <f t="shared" si="1163"/>
        <v>EXP00415</v>
      </c>
      <c r="B14521" s="3" t="s">
        <v>66</v>
      </c>
      <c r="C14521" s="4" t="str">
        <f t="shared" si="1161"/>
        <v>TCGA-BRCA</v>
      </c>
      <c r="D14521" s="1" t="s">
        <v>493</v>
      </c>
      <c r="E14521" t="s">
        <v>533</v>
      </c>
      <c r="F14521" s="1">
        <v>1</v>
      </c>
      <c r="G14521" s="1" t="s">
        <v>36</v>
      </c>
      <c r="H14521" s="4" t="str">
        <f>HYPERLINK("https://portal.gdc.cancer.gov/cases/17baef7c-d97d-4b98-ab53-503ef856523d","TCGA-A7-A0D9-11A")</f>
        <v>TCGA-A7-A0D9-11A</v>
      </c>
      <c r="I14521" t="s">
        <v>17</v>
      </c>
      <c r="J14521" t="s">
        <v>524</v>
      </c>
      <c r="K14521" t="s">
        <v>33</v>
      </c>
      <c r="L14521" t="s">
        <v>20</v>
      </c>
      <c r="N14521" t="s">
        <v>37</v>
      </c>
    </row>
    <row r="14522" spans="1:14">
      <c r="A14522" s="4" t="str">
        <f t="shared" si="1163"/>
        <v>EXP00415</v>
      </c>
      <c r="B14522" s="3" t="s">
        <v>66</v>
      </c>
      <c r="C14522" s="4" t="str">
        <f t="shared" ref="C14522:C14585" si="1164">HYPERLINK("https://portal.gdc.cancer.gov/projects/TCGA-BRCA","TCGA-BRCA")</f>
        <v>TCGA-BRCA</v>
      </c>
      <c r="D14522" s="1" t="s">
        <v>493</v>
      </c>
      <c r="E14522" t="s">
        <v>533</v>
      </c>
      <c r="F14522" s="1">
        <v>1</v>
      </c>
      <c r="G14522" s="1" t="s">
        <v>36</v>
      </c>
      <c r="H14522" s="4" t="str">
        <f>HYPERLINK("https://portal.gdc.cancer.gov/cases/f130f376-5801-40f9-975d-a7e2f7b5670d","TCGA-A7-A0DB-11A")</f>
        <v>TCGA-A7-A0DB-11A</v>
      </c>
      <c r="I14522" t="s">
        <v>17</v>
      </c>
      <c r="J14522" t="s">
        <v>524</v>
      </c>
      <c r="K14522" t="s">
        <v>33</v>
      </c>
      <c r="L14522" t="s">
        <v>20</v>
      </c>
      <c r="N14522" t="s">
        <v>37</v>
      </c>
    </row>
    <row r="14523" spans="1:14">
      <c r="A14523" s="4" t="str">
        <f t="shared" si="1163"/>
        <v>EXP00415</v>
      </c>
      <c r="B14523" s="3" t="s">
        <v>66</v>
      </c>
      <c r="C14523" s="4" t="str">
        <f t="shared" si="1164"/>
        <v>TCGA-BRCA</v>
      </c>
      <c r="D14523" s="1" t="s">
        <v>493</v>
      </c>
      <c r="E14523" t="s">
        <v>533</v>
      </c>
      <c r="F14523" s="1">
        <v>1</v>
      </c>
      <c r="G14523" s="1" t="s">
        <v>36</v>
      </c>
      <c r="H14523" s="4" t="str">
        <f>HYPERLINK("https://portal.gdc.cancer.gov/cases/cb9f5e50-f49d-4899-8895-9367afcc1015","TCGA-A7-A0DC-11A")</f>
        <v>TCGA-A7-A0DC-11A</v>
      </c>
      <c r="I14523" t="s">
        <v>17</v>
      </c>
      <c r="J14523" t="s">
        <v>524</v>
      </c>
      <c r="K14523" t="s">
        <v>33</v>
      </c>
      <c r="L14523" t="s">
        <v>20</v>
      </c>
      <c r="N14523" t="s">
        <v>37</v>
      </c>
    </row>
    <row r="14524" spans="1:14">
      <c r="A14524" s="4" t="str">
        <f t="shared" si="1163"/>
        <v>EXP00415</v>
      </c>
      <c r="B14524" s="3" t="s">
        <v>66</v>
      </c>
      <c r="C14524" s="4" t="str">
        <f t="shared" si="1164"/>
        <v>TCGA-BRCA</v>
      </c>
      <c r="D14524" s="1" t="s">
        <v>493</v>
      </c>
      <c r="E14524" t="s">
        <v>533</v>
      </c>
      <c r="F14524" s="1">
        <v>1</v>
      </c>
      <c r="G14524" s="1" t="s">
        <v>36</v>
      </c>
      <c r="H14524" s="4" t="str">
        <f>HYPERLINK("https://portal.gdc.cancer.gov/cases/8c7e74e0-71ef-49b8-9217-94b8ef740ef9","TCGA-A7-A13E-11A")</f>
        <v>TCGA-A7-A13E-11A</v>
      </c>
      <c r="I14524" t="s">
        <v>17</v>
      </c>
      <c r="J14524" t="s">
        <v>524</v>
      </c>
      <c r="K14524" t="s">
        <v>33</v>
      </c>
      <c r="L14524" t="s">
        <v>20</v>
      </c>
      <c r="N14524" t="s">
        <v>37</v>
      </c>
    </row>
    <row r="14525" spans="1:14">
      <c r="A14525" s="4" t="str">
        <f t="shared" si="1163"/>
        <v>EXP00415</v>
      </c>
      <c r="B14525" s="3" t="s">
        <v>66</v>
      </c>
      <c r="C14525" s="4" t="str">
        <f t="shared" si="1164"/>
        <v>TCGA-BRCA</v>
      </c>
      <c r="D14525" s="1" t="s">
        <v>493</v>
      </c>
      <c r="E14525" t="s">
        <v>533</v>
      </c>
      <c r="F14525" s="1">
        <v>1</v>
      </c>
      <c r="G14525" s="1" t="s">
        <v>36</v>
      </c>
      <c r="H14525" s="4" t="str">
        <f>HYPERLINK("https://portal.gdc.cancer.gov/cases/2cf68894-168b-458b-af4f-53cad72989a8","TCGA-A7-A13F-11A")</f>
        <v>TCGA-A7-A13F-11A</v>
      </c>
      <c r="I14525" t="s">
        <v>17</v>
      </c>
      <c r="J14525" t="s">
        <v>524</v>
      </c>
      <c r="K14525" t="s">
        <v>33</v>
      </c>
      <c r="L14525" t="s">
        <v>20</v>
      </c>
      <c r="N14525" t="s">
        <v>37</v>
      </c>
    </row>
    <row r="14526" spans="1:14">
      <c r="A14526" s="4" t="str">
        <f t="shared" si="1163"/>
        <v>EXP00415</v>
      </c>
      <c r="B14526" s="3" t="s">
        <v>66</v>
      </c>
      <c r="C14526" s="4" t="str">
        <f t="shared" si="1164"/>
        <v>TCGA-BRCA</v>
      </c>
      <c r="D14526" s="1" t="s">
        <v>493</v>
      </c>
      <c r="E14526" t="s">
        <v>533</v>
      </c>
      <c r="F14526" s="1">
        <v>1</v>
      </c>
      <c r="G14526" s="1" t="s">
        <v>36</v>
      </c>
      <c r="H14526" s="4" t="str">
        <f>HYPERLINK("https://portal.gdc.cancer.gov/cases/6cd9baf5-bbe0-4c1e-a87f-c53b3af22890","TCGA-A7-A13G-11A")</f>
        <v>TCGA-A7-A13G-11A</v>
      </c>
      <c r="I14526" t="s">
        <v>17</v>
      </c>
      <c r="J14526" t="s">
        <v>524</v>
      </c>
      <c r="K14526" t="s">
        <v>33</v>
      </c>
      <c r="L14526" t="s">
        <v>20</v>
      </c>
      <c r="N14526" t="s">
        <v>37</v>
      </c>
    </row>
    <row r="14527" spans="1:14">
      <c r="A14527" s="4" t="str">
        <f t="shared" si="1163"/>
        <v>EXP00415</v>
      </c>
      <c r="B14527" s="3" t="s">
        <v>66</v>
      </c>
      <c r="C14527" s="4" t="str">
        <f t="shared" si="1164"/>
        <v>TCGA-BRCA</v>
      </c>
      <c r="D14527" s="1" t="s">
        <v>493</v>
      </c>
      <c r="E14527" t="s">
        <v>533</v>
      </c>
      <c r="F14527" s="1">
        <v>1</v>
      </c>
      <c r="G14527" s="1" t="s">
        <v>36</v>
      </c>
      <c r="H14527" s="4" t="str">
        <f>HYPERLINK("https://portal.gdc.cancer.gov/cases/7dcf550c-90ce-4f63-aecd-0e46897e2a3e","TCGA-AC-A23H-11A")</f>
        <v>TCGA-AC-A23H-11A</v>
      </c>
      <c r="I14527" t="s">
        <v>17</v>
      </c>
      <c r="J14527" t="s">
        <v>524</v>
      </c>
      <c r="K14527" t="s">
        <v>33</v>
      </c>
      <c r="L14527" t="s">
        <v>20</v>
      </c>
      <c r="N14527" t="s">
        <v>37</v>
      </c>
    </row>
    <row r="14528" spans="1:14">
      <c r="A14528" s="4" t="str">
        <f t="shared" si="1163"/>
        <v>EXP00415</v>
      </c>
      <c r="B14528" s="3" t="s">
        <v>66</v>
      </c>
      <c r="C14528" s="4" t="str">
        <f t="shared" si="1164"/>
        <v>TCGA-BRCA</v>
      </c>
      <c r="D14528" s="1" t="s">
        <v>493</v>
      </c>
      <c r="E14528" t="s">
        <v>533</v>
      </c>
      <c r="F14528" s="1">
        <v>1</v>
      </c>
      <c r="G14528" s="1" t="s">
        <v>36</v>
      </c>
      <c r="H14528" s="4" t="str">
        <f>HYPERLINK("https://portal.gdc.cancer.gov/cases/02bbb632-0f7f-439d-b8f0-c86a06237424","TCGA-AC-A2FB-11A")</f>
        <v>TCGA-AC-A2FB-11A</v>
      </c>
      <c r="I14528" t="s">
        <v>17</v>
      </c>
      <c r="J14528" t="s">
        <v>524</v>
      </c>
      <c r="K14528" t="s">
        <v>33</v>
      </c>
      <c r="L14528" t="s">
        <v>20</v>
      </c>
      <c r="N14528" t="s">
        <v>37</v>
      </c>
    </row>
    <row r="14529" spans="1:14">
      <c r="A14529" s="4" t="str">
        <f t="shared" si="1163"/>
        <v>EXP00415</v>
      </c>
      <c r="B14529" s="3" t="s">
        <v>66</v>
      </c>
      <c r="C14529" s="4" t="str">
        <f t="shared" si="1164"/>
        <v>TCGA-BRCA</v>
      </c>
      <c r="D14529" s="1" t="s">
        <v>493</v>
      </c>
      <c r="E14529" t="s">
        <v>533</v>
      </c>
      <c r="F14529" s="1">
        <v>1</v>
      </c>
      <c r="G14529" s="1" t="s">
        <v>36</v>
      </c>
      <c r="H14529" s="4" t="str">
        <f>HYPERLINK("https://portal.gdc.cancer.gov/cases/b6b1dc9a-91f4-4b0a-afd5-62c9a90c0d5e","TCGA-AC-A2FM-11B")</f>
        <v>TCGA-AC-A2FM-11B</v>
      </c>
      <c r="I14529" t="s">
        <v>17</v>
      </c>
      <c r="J14529" t="s">
        <v>524</v>
      </c>
      <c r="K14529" t="s">
        <v>33</v>
      </c>
      <c r="L14529" t="s">
        <v>20</v>
      </c>
      <c r="N14529" t="s">
        <v>37</v>
      </c>
    </row>
    <row r="14530" spans="1:14">
      <c r="A14530" s="4" t="str">
        <f t="shared" si="1163"/>
        <v>EXP00415</v>
      </c>
      <c r="B14530" s="3" t="s">
        <v>66</v>
      </c>
      <c r="C14530" s="4" t="str">
        <f t="shared" si="1164"/>
        <v>TCGA-BRCA</v>
      </c>
      <c r="D14530" s="1" t="s">
        <v>493</v>
      </c>
      <c r="E14530" t="s">
        <v>533</v>
      </c>
      <c r="F14530" s="1">
        <v>1</v>
      </c>
      <c r="G14530" s="1" t="s">
        <v>36</v>
      </c>
      <c r="H14530" s="4" t="str">
        <f>HYPERLINK("https://portal.gdc.cancer.gov/cases/360d1d6d-cf3e-4c78-b36f-ef5e3160aa6b","TCGA-BH-A0AU-11A")</f>
        <v>TCGA-BH-A0AU-11A</v>
      </c>
      <c r="I14530" t="s">
        <v>17</v>
      </c>
      <c r="J14530" t="s">
        <v>524</v>
      </c>
      <c r="K14530" t="s">
        <v>33</v>
      </c>
      <c r="L14530" t="s">
        <v>20</v>
      </c>
      <c r="N14530" t="s">
        <v>37</v>
      </c>
    </row>
    <row r="14531" spans="1:14">
      <c r="A14531" s="4" t="str">
        <f t="shared" si="1163"/>
        <v>EXP00415</v>
      </c>
      <c r="B14531" s="3" t="s">
        <v>66</v>
      </c>
      <c r="C14531" s="4" t="str">
        <f t="shared" si="1164"/>
        <v>TCGA-BRCA</v>
      </c>
      <c r="D14531" s="1" t="s">
        <v>493</v>
      </c>
      <c r="E14531" t="s">
        <v>533</v>
      </c>
      <c r="F14531" s="1">
        <v>1</v>
      </c>
      <c r="G14531" s="1" t="s">
        <v>36</v>
      </c>
      <c r="H14531" s="4" t="str">
        <f>HYPERLINK("https://portal.gdc.cancer.gov/cases/93ed6066-b567-4e1c-ab81-23370f9d3452","TCGA-BH-A0AY-11A")</f>
        <v>TCGA-BH-A0AY-11A</v>
      </c>
      <c r="I14531" t="s">
        <v>17</v>
      </c>
      <c r="J14531" t="s">
        <v>524</v>
      </c>
      <c r="K14531" t="s">
        <v>33</v>
      </c>
      <c r="L14531" t="s">
        <v>20</v>
      </c>
      <c r="N14531" t="s">
        <v>37</v>
      </c>
    </row>
    <row r="14532" spans="1:14">
      <c r="A14532" s="4" t="str">
        <f t="shared" si="1163"/>
        <v>EXP00415</v>
      </c>
      <c r="B14532" s="3" t="s">
        <v>66</v>
      </c>
      <c r="C14532" s="4" t="str">
        <f t="shared" si="1164"/>
        <v>TCGA-BRCA</v>
      </c>
      <c r="D14532" s="1" t="s">
        <v>493</v>
      </c>
      <c r="E14532" t="s">
        <v>533</v>
      </c>
      <c r="F14532" s="1">
        <v>1</v>
      </c>
      <c r="G14532" s="1" t="s">
        <v>36</v>
      </c>
      <c r="H14532" s="4" t="str">
        <f>HYPERLINK("https://portal.gdc.cancer.gov/cases/518f231c-f5f9-4a39-a97b-7fd5666d3e50","TCGA-BH-A0AZ-11A")</f>
        <v>TCGA-BH-A0AZ-11A</v>
      </c>
      <c r="I14532" t="s">
        <v>17</v>
      </c>
      <c r="J14532" t="s">
        <v>524</v>
      </c>
      <c r="K14532" t="s">
        <v>33</v>
      </c>
      <c r="L14532" t="s">
        <v>20</v>
      </c>
      <c r="N14532" t="s">
        <v>37</v>
      </c>
    </row>
    <row r="14533" spans="1:14">
      <c r="A14533" s="4" t="str">
        <f t="shared" si="1163"/>
        <v>EXP00415</v>
      </c>
      <c r="B14533" s="3" t="s">
        <v>66</v>
      </c>
      <c r="C14533" s="4" t="str">
        <f t="shared" si="1164"/>
        <v>TCGA-BRCA</v>
      </c>
      <c r="D14533" s="1" t="s">
        <v>493</v>
      </c>
      <c r="E14533" t="s">
        <v>533</v>
      </c>
      <c r="F14533" s="1">
        <v>1</v>
      </c>
      <c r="G14533" s="1" t="s">
        <v>36</v>
      </c>
      <c r="H14533" s="4" t="str">
        <f>HYPERLINK("https://portal.gdc.cancer.gov/cases/18eb4dfc-556f-4bf3-a411-4780209ed1e0","TCGA-BH-A0B3-11B")</f>
        <v>TCGA-BH-A0B3-11B</v>
      </c>
      <c r="I14533" t="s">
        <v>17</v>
      </c>
      <c r="J14533" t="s">
        <v>524</v>
      </c>
      <c r="K14533" t="s">
        <v>33</v>
      </c>
      <c r="L14533" t="s">
        <v>20</v>
      </c>
      <c r="N14533" t="s">
        <v>37</v>
      </c>
    </row>
    <row r="14534" spans="1:14">
      <c r="A14534" s="4" t="str">
        <f t="shared" si="1163"/>
        <v>EXP00415</v>
      </c>
      <c r="B14534" s="3" t="s">
        <v>66</v>
      </c>
      <c r="C14534" s="4" t="str">
        <f t="shared" si="1164"/>
        <v>TCGA-BRCA</v>
      </c>
      <c r="D14534" s="1" t="s">
        <v>493</v>
      </c>
      <c r="E14534" t="s">
        <v>533</v>
      </c>
      <c r="F14534" s="1">
        <v>1</v>
      </c>
      <c r="G14534" s="1" t="s">
        <v>36</v>
      </c>
      <c r="H14534" s="4" t="str">
        <f>HYPERLINK("https://portal.gdc.cancer.gov/cases/9da462b0-93c2-4305-89f6-7199a30399a7","TCGA-BH-A0B5-11A")</f>
        <v>TCGA-BH-A0B5-11A</v>
      </c>
      <c r="I14534" t="s">
        <v>17</v>
      </c>
      <c r="J14534" t="s">
        <v>524</v>
      </c>
      <c r="K14534" t="s">
        <v>33</v>
      </c>
      <c r="L14534" t="s">
        <v>20</v>
      </c>
      <c r="N14534" t="s">
        <v>37</v>
      </c>
    </row>
    <row r="14535" spans="1:14">
      <c r="A14535" s="4" t="str">
        <f t="shared" si="1163"/>
        <v>EXP00415</v>
      </c>
      <c r="B14535" s="3" t="s">
        <v>66</v>
      </c>
      <c r="C14535" s="4" t="str">
        <f t="shared" si="1164"/>
        <v>TCGA-BRCA</v>
      </c>
      <c r="D14535" s="1" t="s">
        <v>493</v>
      </c>
      <c r="E14535" t="s">
        <v>533</v>
      </c>
      <c r="F14535" s="1">
        <v>1</v>
      </c>
      <c r="G14535" s="1" t="s">
        <v>36</v>
      </c>
      <c r="H14535" s="4" t="str">
        <f>HYPERLINK("https://portal.gdc.cancer.gov/cases/214a4507-d974-4b3e-8525-7408fccc6a0f","TCGA-BH-A0B7-11A")</f>
        <v>TCGA-BH-A0B7-11A</v>
      </c>
      <c r="I14535" t="s">
        <v>17</v>
      </c>
      <c r="J14535" t="s">
        <v>524</v>
      </c>
      <c r="K14535" t="s">
        <v>33</v>
      </c>
      <c r="L14535" t="s">
        <v>20</v>
      </c>
      <c r="N14535" t="s">
        <v>37</v>
      </c>
    </row>
    <row r="14536" spans="1:14">
      <c r="A14536" s="4" t="str">
        <f t="shared" si="1163"/>
        <v>EXP00415</v>
      </c>
      <c r="B14536" s="3" t="s">
        <v>66</v>
      </c>
      <c r="C14536" s="4" t="str">
        <f t="shared" si="1164"/>
        <v>TCGA-BRCA</v>
      </c>
      <c r="D14536" s="1" t="s">
        <v>493</v>
      </c>
      <c r="E14536" t="s">
        <v>533</v>
      </c>
      <c r="F14536" s="1">
        <v>1</v>
      </c>
      <c r="G14536" s="1" t="s">
        <v>36</v>
      </c>
      <c r="H14536" s="4" t="str">
        <f>HYPERLINK("https://portal.gdc.cancer.gov/cases/327a2395-85c8-42e1-9638-8e037a1723ed","TCGA-BH-A0BC-11A")</f>
        <v>TCGA-BH-A0BC-11A</v>
      </c>
      <c r="I14536" t="s">
        <v>17</v>
      </c>
      <c r="J14536" t="s">
        <v>524</v>
      </c>
      <c r="K14536" t="s">
        <v>33</v>
      </c>
      <c r="L14536" t="s">
        <v>20</v>
      </c>
      <c r="N14536" t="s">
        <v>37</v>
      </c>
    </row>
    <row r="14537" spans="1:14">
      <c r="A14537" s="4" t="str">
        <f t="shared" si="1163"/>
        <v>EXP00415</v>
      </c>
      <c r="B14537" s="3" t="s">
        <v>66</v>
      </c>
      <c r="C14537" s="4" t="str">
        <f t="shared" si="1164"/>
        <v>TCGA-BRCA</v>
      </c>
      <c r="D14537" s="1" t="s">
        <v>493</v>
      </c>
      <c r="E14537" t="s">
        <v>533</v>
      </c>
      <c r="F14537" s="1">
        <v>1</v>
      </c>
      <c r="G14537" s="1" t="s">
        <v>36</v>
      </c>
      <c r="H14537" s="4" t="str">
        <f>HYPERLINK("https://portal.gdc.cancer.gov/cases/d6f911b5-e895-43f8-8f86-0ac2f1bc6fae","TCGA-BH-A0BJ-11A")</f>
        <v>TCGA-BH-A0BJ-11A</v>
      </c>
      <c r="I14537" t="s">
        <v>17</v>
      </c>
      <c r="J14537" t="s">
        <v>524</v>
      </c>
      <c r="K14537" t="s">
        <v>33</v>
      </c>
      <c r="L14537" t="s">
        <v>20</v>
      </c>
      <c r="N14537" t="s">
        <v>37</v>
      </c>
    </row>
    <row r="14538" spans="1:14">
      <c r="A14538" s="4" t="str">
        <f t="shared" si="1163"/>
        <v>EXP00415</v>
      </c>
      <c r="B14538" s="3" t="s">
        <v>66</v>
      </c>
      <c r="C14538" s="4" t="str">
        <f t="shared" si="1164"/>
        <v>TCGA-BRCA</v>
      </c>
      <c r="D14538" s="1" t="s">
        <v>493</v>
      </c>
      <c r="E14538" t="s">
        <v>533</v>
      </c>
      <c r="F14538" s="1">
        <v>1</v>
      </c>
      <c r="G14538" s="1" t="s">
        <v>36</v>
      </c>
      <c r="H14538" s="4" t="str">
        <f>HYPERLINK("https://portal.gdc.cancer.gov/cases/b3bb8fd6-ee54-4813-b042-2bbe70115382","TCGA-BH-A0BQ-11A")</f>
        <v>TCGA-BH-A0BQ-11A</v>
      </c>
      <c r="I14538" t="s">
        <v>17</v>
      </c>
      <c r="J14538" t="s">
        <v>524</v>
      </c>
      <c r="K14538" t="s">
        <v>33</v>
      </c>
      <c r="L14538" t="s">
        <v>20</v>
      </c>
      <c r="N14538" t="s">
        <v>37</v>
      </c>
    </row>
    <row r="14539" spans="1:14">
      <c r="A14539" s="4" t="str">
        <f t="shared" si="1163"/>
        <v>EXP00415</v>
      </c>
      <c r="B14539" s="3" t="s">
        <v>66</v>
      </c>
      <c r="C14539" s="4" t="str">
        <f t="shared" si="1164"/>
        <v>TCGA-BRCA</v>
      </c>
      <c r="D14539" s="1" t="s">
        <v>493</v>
      </c>
      <c r="E14539" t="s">
        <v>533</v>
      </c>
      <c r="F14539" s="1">
        <v>1</v>
      </c>
      <c r="G14539" s="1" t="s">
        <v>36</v>
      </c>
      <c r="H14539" s="4" t="str">
        <f>HYPERLINK("https://portal.gdc.cancer.gov/cases/2b22db1d-54a1-4b9e-a86e-a174cf51d95c","TCGA-BH-A0BS-11A")</f>
        <v>TCGA-BH-A0BS-11A</v>
      </c>
      <c r="I14539" t="s">
        <v>17</v>
      </c>
      <c r="J14539" t="s">
        <v>524</v>
      </c>
      <c r="K14539" t="s">
        <v>33</v>
      </c>
      <c r="L14539" t="s">
        <v>20</v>
      </c>
      <c r="N14539" t="s">
        <v>37</v>
      </c>
    </row>
    <row r="14540" spans="1:14">
      <c r="A14540" s="4" t="str">
        <f t="shared" si="1163"/>
        <v>EXP00415</v>
      </c>
      <c r="B14540" s="3" t="s">
        <v>66</v>
      </c>
      <c r="C14540" s="4" t="str">
        <f t="shared" si="1164"/>
        <v>TCGA-BRCA</v>
      </c>
      <c r="D14540" s="1" t="s">
        <v>493</v>
      </c>
      <c r="E14540" t="s">
        <v>533</v>
      </c>
      <c r="F14540" s="1">
        <v>1</v>
      </c>
      <c r="G14540" s="1" t="s">
        <v>36</v>
      </c>
      <c r="H14540" s="4" t="str">
        <f>HYPERLINK("https://portal.gdc.cancer.gov/cases/a32cb96a-78bf-456e-a6ab-2d47b2c67ad4","TCGA-BH-A0BT-11A")</f>
        <v>TCGA-BH-A0BT-11A</v>
      </c>
      <c r="I14540" t="s">
        <v>17</v>
      </c>
      <c r="J14540" t="s">
        <v>524</v>
      </c>
      <c r="K14540" t="s">
        <v>33</v>
      </c>
      <c r="L14540" t="s">
        <v>20</v>
      </c>
      <c r="N14540" t="s">
        <v>37</v>
      </c>
    </row>
    <row r="14541" spans="1:14">
      <c r="A14541" s="4" t="str">
        <f t="shared" si="1163"/>
        <v>EXP00415</v>
      </c>
      <c r="B14541" s="3" t="s">
        <v>66</v>
      </c>
      <c r="C14541" s="4" t="str">
        <f t="shared" si="1164"/>
        <v>TCGA-BRCA</v>
      </c>
      <c r="D14541" s="1" t="s">
        <v>493</v>
      </c>
      <c r="E14541" t="s">
        <v>533</v>
      </c>
      <c r="F14541" s="1">
        <v>1</v>
      </c>
      <c r="G14541" s="1" t="s">
        <v>36</v>
      </c>
      <c r="H14541" s="4" t="str">
        <f>HYPERLINK("https://portal.gdc.cancer.gov/cases/87f03d04-e651-4a6e-aea6-1c946aa46202","TCGA-BH-A0BV-11A")</f>
        <v>TCGA-BH-A0BV-11A</v>
      </c>
      <c r="I14541" t="s">
        <v>17</v>
      </c>
      <c r="J14541" t="s">
        <v>524</v>
      </c>
      <c r="K14541" t="s">
        <v>33</v>
      </c>
      <c r="L14541" t="s">
        <v>20</v>
      </c>
      <c r="N14541" t="s">
        <v>37</v>
      </c>
    </row>
    <row r="14542" spans="1:14">
      <c r="A14542" s="4" t="str">
        <f t="shared" si="1163"/>
        <v>EXP00415</v>
      </c>
      <c r="B14542" s="3" t="s">
        <v>66</v>
      </c>
      <c r="C14542" s="4" t="str">
        <f t="shared" si="1164"/>
        <v>TCGA-BRCA</v>
      </c>
      <c r="D14542" s="1" t="s">
        <v>493</v>
      </c>
      <c r="E14542" t="s">
        <v>533</v>
      </c>
      <c r="F14542" s="1">
        <v>1</v>
      </c>
      <c r="G14542" s="1" t="s">
        <v>36</v>
      </c>
      <c r="H14542" s="4" t="str">
        <f>HYPERLINK("https://portal.gdc.cancer.gov/cases/5d1d00c6-fcae-479e-ae1e-de76efd41d98","TCGA-BH-A0BW-11A")</f>
        <v>TCGA-BH-A0BW-11A</v>
      </c>
      <c r="I14542" t="s">
        <v>17</v>
      </c>
      <c r="J14542" t="s">
        <v>524</v>
      </c>
      <c r="K14542" t="s">
        <v>33</v>
      </c>
      <c r="L14542" t="s">
        <v>20</v>
      </c>
      <c r="N14542" t="s">
        <v>37</v>
      </c>
    </row>
    <row r="14543" spans="1:14">
      <c r="A14543" s="4" t="str">
        <f t="shared" si="1163"/>
        <v>EXP00415</v>
      </c>
      <c r="B14543" s="3" t="s">
        <v>66</v>
      </c>
      <c r="C14543" s="4" t="str">
        <f t="shared" si="1164"/>
        <v>TCGA-BRCA</v>
      </c>
      <c r="D14543" s="1" t="s">
        <v>493</v>
      </c>
      <c r="E14543" t="s">
        <v>533</v>
      </c>
      <c r="F14543" s="1">
        <v>1</v>
      </c>
      <c r="G14543" s="1" t="s">
        <v>36</v>
      </c>
      <c r="H14543" s="4" t="str">
        <f>HYPERLINK("https://portal.gdc.cancer.gov/cases/4a032bad-e726-48f2-8f39-e3acc109cc91","TCGA-BH-A0BZ-11A")</f>
        <v>TCGA-BH-A0BZ-11A</v>
      </c>
      <c r="I14543" t="s">
        <v>17</v>
      </c>
      <c r="J14543" t="s">
        <v>524</v>
      </c>
      <c r="K14543" t="s">
        <v>33</v>
      </c>
      <c r="L14543" t="s">
        <v>20</v>
      </c>
      <c r="N14543" t="s">
        <v>37</v>
      </c>
    </row>
    <row r="14544" spans="1:14">
      <c r="A14544" s="4" t="str">
        <f t="shared" si="1163"/>
        <v>EXP00415</v>
      </c>
      <c r="B14544" s="3" t="s">
        <v>66</v>
      </c>
      <c r="C14544" s="4" t="str">
        <f t="shared" si="1164"/>
        <v>TCGA-BRCA</v>
      </c>
      <c r="D14544" s="1" t="s">
        <v>493</v>
      </c>
      <c r="E14544" t="s">
        <v>533</v>
      </c>
      <c r="F14544" s="1">
        <v>1</v>
      </c>
      <c r="G14544" s="1" t="s">
        <v>36</v>
      </c>
      <c r="H14544" s="4" t="str">
        <f>HYPERLINK("https://portal.gdc.cancer.gov/cases/7875018b-91dc-4ab1-83b0-ee3883e2816e","TCGA-BH-A0C0-11A")</f>
        <v>TCGA-BH-A0C0-11A</v>
      </c>
      <c r="I14544" t="s">
        <v>17</v>
      </c>
      <c r="J14544" t="s">
        <v>524</v>
      </c>
      <c r="K14544" t="s">
        <v>33</v>
      </c>
      <c r="L14544" t="s">
        <v>20</v>
      </c>
      <c r="N14544" t="s">
        <v>37</v>
      </c>
    </row>
    <row r="14545" spans="1:14">
      <c r="A14545" s="4" t="str">
        <f t="shared" si="1163"/>
        <v>EXP00415</v>
      </c>
      <c r="B14545" s="3" t="s">
        <v>66</v>
      </c>
      <c r="C14545" s="4" t="str">
        <f t="shared" si="1164"/>
        <v>TCGA-BRCA</v>
      </c>
      <c r="D14545" s="1" t="s">
        <v>493</v>
      </c>
      <c r="E14545" t="s">
        <v>533</v>
      </c>
      <c r="F14545" s="1">
        <v>1</v>
      </c>
      <c r="G14545" s="1" t="s">
        <v>36</v>
      </c>
      <c r="H14545" s="4" t="str">
        <f>HYPERLINK("https://portal.gdc.cancer.gov/cases/7bcf6d42-eb8f-4aa2-825b-38671d4f9e3a","TCGA-BH-A0C3-11A")</f>
        <v>TCGA-BH-A0C3-11A</v>
      </c>
      <c r="I14545" t="s">
        <v>17</v>
      </c>
      <c r="J14545" t="s">
        <v>524</v>
      </c>
      <c r="K14545" t="s">
        <v>33</v>
      </c>
      <c r="L14545" t="s">
        <v>20</v>
      </c>
      <c r="N14545" t="s">
        <v>37</v>
      </c>
    </row>
    <row r="14546" spans="1:14">
      <c r="A14546" s="4" t="str">
        <f t="shared" si="1163"/>
        <v>EXP00415</v>
      </c>
      <c r="B14546" s="3" t="s">
        <v>66</v>
      </c>
      <c r="C14546" s="4" t="str">
        <f t="shared" si="1164"/>
        <v>TCGA-BRCA</v>
      </c>
      <c r="D14546" s="1" t="s">
        <v>493</v>
      </c>
      <c r="E14546" t="s">
        <v>533</v>
      </c>
      <c r="F14546" s="1">
        <v>1</v>
      </c>
      <c r="G14546" s="1" t="s">
        <v>36</v>
      </c>
      <c r="H14546" s="4" t="str">
        <f>HYPERLINK("https://portal.gdc.cancer.gov/cases/dba9beec-5e51-48c0-9229-0ee286a02a1a","TCGA-BH-A0DD-11A")</f>
        <v>TCGA-BH-A0DD-11A</v>
      </c>
      <c r="I14546" t="s">
        <v>17</v>
      </c>
      <c r="J14546" t="s">
        <v>524</v>
      </c>
      <c r="K14546" t="s">
        <v>33</v>
      </c>
      <c r="L14546" t="s">
        <v>20</v>
      </c>
      <c r="N14546" t="s">
        <v>37</v>
      </c>
    </row>
    <row r="14547" spans="1:14">
      <c r="A14547" s="4" t="str">
        <f t="shared" si="1163"/>
        <v>EXP00415</v>
      </c>
      <c r="B14547" s="3" t="s">
        <v>66</v>
      </c>
      <c r="C14547" s="4" t="str">
        <f t="shared" si="1164"/>
        <v>TCGA-BRCA</v>
      </c>
      <c r="D14547" s="1" t="s">
        <v>493</v>
      </c>
      <c r="E14547" t="s">
        <v>533</v>
      </c>
      <c r="F14547" s="1">
        <v>1</v>
      </c>
      <c r="G14547" s="1" t="s">
        <v>36</v>
      </c>
      <c r="H14547" s="4" t="str">
        <f>HYPERLINK("https://portal.gdc.cancer.gov/cases/0bc5744c-5fa3-45bb-87d0-70a02068b392","TCGA-BH-A0DG-11A")</f>
        <v>TCGA-BH-A0DG-11A</v>
      </c>
      <c r="I14547" t="s">
        <v>17</v>
      </c>
      <c r="J14547" t="s">
        <v>524</v>
      </c>
      <c r="K14547" t="s">
        <v>33</v>
      </c>
      <c r="L14547" t="s">
        <v>20</v>
      </c>
      <c r="N14547" t="s">
        <v>37</v>
      </c>
    </row>
    <row r="14548" spans="1:14">
      <c r="A14548" s="4" t="str">
        <f t="shared" si="1163"/>
        <v>EXP00415</v>
      </c>
      <c r="B14548" s="3" t="s">
        <v>66</v>
      </c>
      <c r="C14548" s="4" t="str">
        <f t="shared" si="1164"/>
        <v>TCGA-BRCA</v>
      </c>
      <c r="D14548" s="1" t="s">
        <v>493</v>
      </c>
      <c r="E14548" t="s">
        <v>533</v>
      </c>
      <c r="F14548" s="1">
        <v>1</v>
      </c>
      <c r="G14548" s="1" t="s">
        <v>36</v>
      </c>
      <c r="H14548" s="4" t="str">
        <f>HYPERLINK("https://portal.gdc.cancer.gov/cases/f2bbfa9d-9a9d-4f46-9fde-378e4c44e2ad","TCGA-BH-A0DK-11A")</f>
        <v>TCGA-BH-A0DK-11A</v>
      </c>
      <c r="I14548" t="s">
        <v>17</v>
      </c>
      <c r="J14548" t="s">
        <v>524</v>
      </c>
      <c r="K14548" t="s">
        <v>33</v>
      </c>
      <c r="L14548" t="s">
        <v>20</v>
      </c>
      <c r="N14548" t="s">
        <v>37</v>
      </c>
    </row>
    <row r="14549" spans="1:14">
      <c r="A14549" s="4" t="str">
        <f t="shared" si="1163"/>
        <v>EXP00415</v>
      </c>
      <c r="B14549" s="3" t="s">
        <v>66</v>
      </c>
      <c r="C14549" s="4" t="str">
        <f t="shared" si="1164"/>
        <v>TCGA-BRCA</v>
      </c>
      <c r="D14549" s="1" t="s">
        <v>493</v>
      </c>
      <c r="E14549" t="s">
        <v>533</v>
      </c>
      <c r="F14549" s="1">
        <v>1</v>
      </c>
      <c r="G14549" s="1" t="s">
        <v>36</v>
      </c>
      <c r="H14549" s="4" t="str">
        <f>HYPERLINK("https://portal.gdc.cancer.gov/cases/ba39bfbc-5cac-4f6c-b55c-4eee3466ee93","TCGA-BH-A0DL-11A")</f>
        <v>TCGA-BH-A0DL-11A</v>
      </c>
      <c r="I14549" t="s">
        <v>17</v>
      </c>
      <c r="J14549" t="s">
        <v>524</v>
      </c>
      <c r="K14549" t="s">
        <v>33</v>
      </c>
      <c r="L14549" t="s">
        <v>20</v>
      </c>
      <c r="N14549" t="s">
        <v>37</v>
      </c>
    </row>
    <row r="14550" spans="1:14">
      <c r="A14550" s="4" t="str">
        <f t="shared" si="1163"/>
        <v>EXP00415</v>
      </c>
      <c r="B14550" s="3" t="s">
        <v>66</v>
      </c>
      <c r="C14550" s="4" t="str">
        <f t="shared" si="1164"/>
        <v>TCGA-BRCA</v>
      </c>
      <c r="D14550" s="1" t="s">
        <v>493</v>
      </c>
      <c r="E14550" t="s">
        <v>533</v>
      </c>
      <c r="F14550" s="1">
        <v>1</v>
      </c>
      <c r="G14550" s="1" t="s">
        <v>36</v>
      </c>
      <c r="H14550" s="4" t="str">
        <f>HYPERLINK("https://portal.gdc.cancer.gov/cases/d3d4d709-ab34-4617-aa8c-51a3d0a3efe6","TCGA-BH-A0DO-11A")</f>
        <v>TCGA-BH-A0DO-11A</v>
      </c>
      <c r="I14550" t="s">
        <v>17</v>
      </c>
      <c r="J14550" t="s">
        <v>524</v>
      </c>
      <c r="K14550" t="s">
        <v>33</v>
      </c>
      <c r="L14550" t="s">
        <v>20</v>
      </c>
      <c r="N14550" t="s">
        <v>37</v>
      </c>
    </row>
    <row r="14551" spans="1:14">
      <c r="A14551" s="4" t="str">
        <f t="shared" si="1163"/>
        <v>EXP00415</v>
      </c>
      <c r="B14551" s="3" t="s">
        <v>66</v>
      </c>
      <c r="C14551" s="4" t="str">
        <f t="shared" si="1164"/>
        <v>TCGA-BRCA</v>
      </c>
      <c r="D14551" s="1" t="s">
        <v>493</v>
      </c>
      <c r="E14551" t="s">
        <v>533</v>
      </c>
      <c r="F14551" s="1">
        <v>1</v>
      </c>
      <c r="G14551" s="1" t="s">
        <v>36</v>
      </c>
      <c r="H14551" s="4" t="str">
        <f>HYPERLINK("https://portal.gdc.cancer.gov/cases/14267783-5624-4fe5-ba81-9d67f1017474","TCGA-BH-A0DP-11A")</f>
        <v>TCGA-BH-A0DP-11A</v>
      </c>
      <c r="I14551" t="s">
        <v>17</v>
      </c>
      <c r="J14551" t="s">
        <v>524</v>
      </c>
      <c r="K14551" t="s">
        <v>33</v>
      </c>
      <c r="L14551" t="s">
        <v>20</v>
      </c>
      <c r="N14551" t="s">
        <v>37</v>
      </c>
    </row>
    <row r="14552" spans="1:14">
      <c r="A14552" s="4" t="str">
        <f t="shared" si="1163"/>
        <v>EXP00415</v>
      </c>
      <c r="B14552" s="3" t="s">
        <v>66</v>
      </c>
      <c r="C14552" s="4" t="str">
        <f t="shared" si="1164"/>
        <v>TCGA-BRCA</v>
      </c>
      <c r="D14552" s="1" t="s">
        <v>493</v>
      </c>
      <c r="E14552" t="s">
        <v>533</v>
      </c>
      <c r="F14552" s="1">
        <v>1</v>
      </c>
      <c r="G14552" s="1" t="s">
        <v>36</v>
      </c>
      <c r="H14552" s="4" t="str">
        <f>HYPERLINK("https://portal.gdc.cancer.gov/cases/a851ca14-7bbf-455b-a054-ec03979a4247","TCGA-BH-A0DQ-11A")</f>
        <v>TCGA-BH-A0DQ-11A</v>
      </c>
      <c r="I14552" t="s">
        <v>17</v>
      </c>
      <c r="J14552" t="s">
        <v>524</v>
      </c>
      <c r="K14552" t="s">
        <v>33</v>
      </c>
      <c r="L14552" t="s">
        <v>20</v>
      </c>
      <c r="N14552" t="s">
        <v>37</v>
      </c>
    </row>
    <row r="14553" spans="1:14">
      <c r="A14553" s="4" t="str">
        <f t="shared" si="1163"/>
        <v>EXP00415</v>
      </c>
      <c r="B14553" s="3" t="s">
        <v>66</v>
      </c>
      <c r="C14553" s="4" t="str">
        <f t="shared" si="1164"/>
        <v>TCGA-BRCA</v>
      </c>
      <c r="D14553" s="1" t="s">
        <v>493</v>
      </c>
      <c r="E14553" t="s">
        <v>533</v>
      </c>
      <c r="F14553" s="1">
        <v>1</v>
      </c>
      <c r="G14553" s="1" t="s">
        <v>36</v>
      </c>
      <c r="H14553" s="4" t="str">
        <f>HYPERLINK("https://portal.gdc.cancer.gov/cases/74f31744-0aed-4633-beec-4e203315f0b7","TCGA-BH-A0DT-11A")</f>
        <v>TCGA-BH-A0DT-11A</v>
      </c>
      <c r="I14553" t="s">
        <v>17</v>
      </c>
      <c r="J14553" t="s">
        <v>524</v>
      </c>
      <c r="K14553" t="s">
        <v>33</v>
      </c>
      <c r="L14553" t="s">
        <v>20</v>
      </c>
      <c r="N14553" t="s">
        <v>37</v>
      </c>
    </row>
    <row r="14554" spans="1:14">
      <c r="A14554" s="4" t="str">
        <f t="shared" si="1163"/>
        <v>EXP00415</v>
      </c>
      <c r="B14554" s="3" t="s">
        <v>66</v>
      </c>
      <c r="C14554" s="4" t="str">
        <f t="shared" si="1164"/>
        <v>TCGA-BRCA</v>
      </c>
      <c r="D14554" s="1" t="s">
        <v>493</v>
      </c>
      <c r="E14554" t="s">
        <v>533</v>
      </c>
      <c r="F14554" s="1">
        <v>1</v>
      </c>
      <c r="G14554" s="1" t="s">
        <v>36</v>
      </c>
      <c r="H14554" s="4" t="str">
        <f>HYPERLINK("https://portal.gdc.cancer.gov/cases/96b9c7db-1be1-4b60-b47c-26b654c3d64c","TCGA-BH-A0DV-11A")</f>
        <v>TCGA-BH-A0DV-11A</v>
      </c>
      <c r="I14554" t="s">
        <v>17</v>
      </c>
      <c r="J14554" t="s">
        <v>524</v>
      </c>
      <c r="K14554" t="s">
        <v>33</v>
      </c>
      <c r="L14554" t="s">
        <v>20</v>
      </c>
      <c r="N14554" t="s">
        <v>37</v>
      </c>
    </row>
    <row r="14555" spans="1:14">
      <c r="A14555" s="4" t="str">
        <f t="shared" si="1163"/>
        <v>EXP00415</v>
      </c>
      <c r="B14555" s="3" t="s">
        <v>66</v>
      </c>
      <c r="C14555" s="4" t="str">
        <f t="shared" si="1164"/>
        <v>TCGA-BRCA</v>
      </c>
      <c r="D14555" s="1" t="s">
        <v>493</v>
      </c>
      <c r="E14555" t="s">
        <v>533</v>
      </c>
      <c r="F14555" s="1">
        <v>1</v>
      </c>
      <c r="G14555" s="1" t="s">
        <v>36</v>
      </c>
      <c r="H14555" s="4" t="str">
        <f>HYPERLINK("https://portal.gdc.cancer.gov/cases/478eb8aa-50b8-4ce5-98e4-d518ede4b174","TCGA-BH-A0DZ-11A")</f>
        <v>TCGA-BH-A0DZ-11A</v>
      </c>
      <c r="I14555" t="s">
        <v>17</v>
      </c>
      <c r="J14555" t="s">
        <v>524</v>
      </c>
      <c r="K14555" t="s">
        <v>33</v>
      </c>
      <c r="L14555" t="s">
        <v>20</v>
      </c>
      <c r="N14555" t="s">
        <v>37</v>
      </c>
    </row>
    <row r="14556" spans="1:14">
      <c r="A14556" s="4" t="str">
        <f t="shared" si="1163"/>
        <v>EXP00415</v>
      </c>
      <c r="B14556" s="3" t="s">
        <v>66</v>
      </c>
      <c r="C14556" s="4" t="str">
        <f t="shared" si="1164"/>
        <v>TCGA-BRCA</v>
      </c>
      <c r="D14556" s="1" t="s">
        <v>493</v>
      </c>
      <c r="E14556" t="s">
        <v>533</v>
      </c>
      <c r="F14556" s="1">
        <v>1</v>
      </c>
      <c r="G14556" s="1" t="s">
        <v>36</v>
      </c>
      <c r="H14556" s="4" t="str">
        <f>HYPERLINK("https://portal.gdc.cancer.gov/cases/606fbc6a-b41b-441d-9401-51e54912bf5e","TCGA-BH-A0E1-11A")</f>
        <v>TCGA-BH-A0E1-11A</v>
      </c>
      <c r="I14556" t="s">
        <v>17</v>
      </c>
      <c r="J14556" t="s">
        <v>524</v>
      </c>
      <c r="K14556" t="s">
        <v>33</v>
      </c>
      <c r="L14556" t="s">
        <v>20</v>
      </c>
      <c r="N14556" t="s">
        <v>37</v>
      </c>
    </row>
    <row r="14557" spans="1:14">
      <c r="A14557" s="4" t="str">
        <f t="shared" si="1163"/>
        <v>EXP00415</v>
      </c>
      <c r="B14557" s="3" t="s">
        <v>66</v>
      </c>
      <c r="C14557" s="4" t="str">
        <f t="shared" si="1164"/>
        <v>TCGA-BRCA</v>
      </c>
      <c r="D14557" s="1" t="s">
        <v>493</v>
      </c>
      <c r="E14557" t="s">
        <v>533</v>
      </c>
      <c r="F14557" s="1">
        <v>1</v>
      </c>
      <c r="G14557" s="1" t="s">
        <v>36</v>
      </c>
      <c r="H14557" s="4" t="str">
        <f>HYPERLINK("https://portal.gdc.cancer.gov/cases/cab38ea8-4555-413c-b81e-4621aac4ef85","TCGA-BH-A0H5-11A")</f>
        <v>TCGA-BH-A0H5-11A</v>
      </c>
      <c r="I14557" t="s">
        <v>17</v>
      </c>
      <c r="J14557" t="s">
        <v>524</v>
      </c>
      <c r="K14557" t="s">
        <v>33</v>
      </c>
      <c r="L14557" t="s">
        <v>20</v>
      </c>
      <c r="N14557" t="s">
        <v>37</v>
      </c>
    </row>
    <row r="14558" spans="1:14">
      <c r="A14558" s="4" t="str">
        <f t="shared" si="1163"/>
        <v>EXP00415</v>
      </c>
      <c r="B14558" s="3" t="s">
        <v>66</v>
      </c>
      <c r="C14558" s="4" t="str">
        <f t="shared" si="1164"/>
        <v>TCGA-BRCA</v>
      </c>
      <c r="D14558" s="1" t="s">
        <v>493</v>
      </c>
      <c r="E14558" t="s">
        <v>533</v>
      </c>
      <c r="F14558" s="1">
        <v>1</v>
      </c>
      <c r="G14558" s="1" t="s">
        <v>36</v>
      </c>
      <c r="H14558" s="4" t="str">
        <f>HYPERLINK("https://portal.gdc.cancer.gov/cases/2021ed1f-dc75-4701-b8b8-1386466e4802","TCGA-BH-A0H7-11A")</f>
        <v>TCGA-BH-A0H7-11A</v>
      </c>
      <c r="I14558" t="s">
        <v>17</v>
      </c>
      <c r="J14558" t="s">
        <v>524</v>
      </c>
      <c r="K14558" t="s">
        <v>33</v>
      </c>
      <c r="L14558" t="s">
        <v>20</v>
      </c>
      <c r="N14558" t="s">
        <v>37</v>
      </c>
    </row>
    <row r="14559" spans="1:14">
      <c r="A14559" s="4" t="str">
        <f t="shared" si="1163"/>
        <v>EXP00415</v>
      </c>
      <c r="B14559" s="3" t="s">
        <v>66</v>
      </c>
      <c r="C14559" s="4" t="str">
        <f t="shared" si="1164"/>
        <v>TCGA-BRCA</v>
      </c>
      <c r="D14559" s="1" t="s">
        <v>493</v>
      </c>
      <c r="E14559" t="s">
        <v>533</v>
      </c>
      <c r="F14559" s="1">
        <v>1</v>
      </c>
      <c r="G14559" s="1" t="s">
        <v>36</v>
      </c>
      <c r="H14559" s="4" t="str">
        <f>HYPERLINK("https://portal.gdc.cancer.gov/cases/e666081b-caaf-4e8b-9446-807be71201a5","TCGA-BH-A0HA-11A")</f>
        <v>TCGA-BH-A0HA-11A</v>
      </c>
      <c r="I14559" t="s">
        <v>17</v>
      </c>
      <c r="J14559" t="s">
        <v>524</v>
      </c>
      <c r="K14559" t="s">
        <v>33</v>
      </c>
      <c r="L14559" t="s">
        <v>20</v>
      </c>
      <c r="N14559" t="s">
        <v>37</v>
      </c>
    </row>
    <row r="14560" spans="1:14">
      <c r="A14560" s="4" t="str">
        <f t="shared" si="1163"/>
        <v>EXP00415</v>
      </c>
      <c r="B14560" s="3" t="s">
        <v>66</v>
      </c>
      <c r="C14560" s="4" t="str">
        <f t="shared" si="1164"/>
        <v>TCGA-BRCA</v>
      </c>
      <c r="D14560" s="1" t="s">
        <v>493</v>
      </c>
      <c r="E14560" t="s">
        <v>533</v>
      </c>
      <c r="F14560" s="1">
        <v>1</v>
      </c>
      <c r="G14560" s="1" t="s">
        <v>36</v>
      </c>
      <c r="H14560" s="4" t="str">
        <f>HYPERLINK("https://portal.gdc.cancer.gov/cases/24334ac1-28a3-4b61-b590-3f51e375b247","TCGA-BH-A0HK-11A")</f>
        <v>TCGA-BH-A0HK-11A</v>
      </c>
      <c r="I14560" t="s">
        <v>17</v>
      </c>
      <c r="J14560" t="s">
        <v>524</v>
      </c>
      <c r="K14560" t="s">
        <v>33</v>
      </c>
      <c r="L14560" t="s">
        <v>20</v>
      </c>
      <c r="N14560" t="s">
        <v>37</v>
      </c>
    </row>
    <row r="14561" spans="1:14">
      <c r="A14561" s="4" t="str">
        <f t="shared" si="1163"/>
        <v>EXP00415</v>
      </c>
      <c r="B14561" s="3" t="s">
        <v>66</v>
      </c>
      <c r="C14561" s="4" t="str">
        <f t="shared" si="1164"/>
        <v>TCGA-BRCA</v>
      </c>
      <c r="D14561" s="1" t="s">
        <v>493</v>
      </c>
      <c r="E14561" t="s">
        <v>533</v>
      </c>
      <c r="F14561" s="1">
        <v>1</v>
      </c>
      <c r="G14561" s="1" t="s">
        <v>36</v>
      </c>
      <c r="H14561" s="4" t="str">
        <f>HYPERLINK("https://portal.gdc.cancer.gov/cases/cc074b7f-d3b2-4880-902e-bf10e667b665","TCGA-BH-A18J-11A")</f>
        <v>TCGA-BH-A18J-11A</v>
      </c>
      <c r="I14561" t="s">
        <v>17</v>
      </c>
      <c r="J14561" t="s">
        <v>524</v>
      </c>
      <c r="K14561" t="s">
        <v>33</v>
      </c>
      <c r="L14561" t="s">
        <v>20</v>
      </c>
      <c r="N14561" t="s">
        <v>37</v>
      </c>
    </row>
    <row r="14562" spans="1:14">
      <c r="A14562" s="4" t="str">
        <f t="shared" si="1163"/>
        <v>EXP00415</v>
      </c>
      <c r="B14562" s="3" t="s">
        <v>66</v>
      </c>
      <c r="C14562" s="4" t="str">
        <f t="shared" si="1164"/>
        <v>TCGA-BRCA</v>
      </c>
      <c r="D14562" s="1" t="s">
        <v>493</v>
      </c>
      <c r="E14562" t="s">
        <v>533</v>
      </c>
      <c r="F14562" s="1">
        <v>1</v>
      </c>
      <c r="G14562" s="1" t="s">
        <v>36</v>
      </c>
      <c r="H14562" s="4" t="str">
        <f>HYPERLINK("https://portal.gdc.cancer.gov/cases/50619f8c-10aa-464a-a227-90a7aa6ffd43","TCGA-BH-A18K-11A")</f>
        <v>TCGA-BH-A18K-11A</v>
      </c>
      <c r="I14562" t="s">
        <v>17</v>
      </c>
      <c r="J14562" t="s">
        <v>524</v>
      </c>
      <c r="K14562" t="s">
        <v>33</v>
      </c>
      <c r="L14562" t="s">
        <v>20</v>
      </c>
      <c r="N14562" t="s">
        <v>37</v>
      </c>
    </row>
    <row r="14563" spans="1:14">
      <c r="A14563" s="4" t="str">
        <f t="shared" si="1163"/>
        <v>EXP00415</v>
      </c>
      <c r="B14563" s="3" t="s">
        <v>66</v>
      </c>
      <c r="C14563" s="4" t="str">
        <f t="shared" si="1164"/>
        <v>TCGA-BRCA</v>
      </c>
      <c r="D14563" s="1" t="s">
        <v>493</v>
      </c>
      <c r="E14563" t="s">
        <v>533</v>
      </c>
      <c r="F14563" s="1">
        <v>1</v>
      </c>
      <c r="G14563" s="1" t="s">
        <v>36</v>
      </c>
      <c r="H14563" s="4" t="str">
        <f>HYPERLINK("https://portal.gdc.cancer.gov/cases/9ddc3e7b-8b54-4a83-8335-8053940f56c1","TCGA-BH-A18L-11A")</f>
        <v>TCGA-BH-A18L-11A</v>
      </c>
      <c r="I14563" t="s">
        <v>17</v>
      </c>
      <c r="J14563" t="s">
        <v>524</v>
      </c>
      <c r="K14563" t="s">
        <v>33</v>
      </c>
      <c r="L14563" t="s">
        <v>20</v>
      </c>
      <c r="N14563" t="s">
        <v>37</v>
      </c>
    </row>
    <row r="14564" spans="1:14">
      <c r="A14564" s="4" t="str">
        <f t="shared" si="1163"/>
        <v>EXP00415</v>
      </c>
      <c r="B14564" s="3" t="s">
        <v>66</v>
      </c>
      <c r="C14564" s="4" t="str">
        <f t="shared" si="1164"/>
        <v>TCGA-BRCA</v>
      </c>
      <c r="D14564" s="1" t="s">
        <v>493</v>
      </c>
      <c r="E14564" t="s">
        <v>533</v>
      </c>
      <c r="F14564" s="1">
        <v>1</v>
      </c>
      <c r="G14564" s="1" t="s">
        <v>36</v>
      </c>
      <c r="H14564" s="4" t="str">
        <f>HYPERLINK("https://portal.gdc.cancer.gov/cases/f63722c1-a0bb-4bf9-8a10-1d76a8e1a0ba","TCGA-BH-A18M-11A")</f>
        <v>TCGA-BH-A18M-11A</v>
      </c>
      <c r="I14564" t="s">
        <v>17</v>
      </c>
      <c r="J14564" t="s">
        <v>524</v>
      </c>
      <c r="K14564" t="s">
        <v>33</v>
      </c>
      <c r="L14564" t="s">
        <v>20</v>
      </c>
      <c r="N14564" t="s">
        <v>37</v>
      </c>
    </row>
    <row r="14565" spans="1:14">
      <c r="A14565" s="4" t="str">
        <f t="shared" si="1163"/>
        <v>EXP00415</v>
      </c>
      <c r="B14565" s="3" t="s">
        <v>66</v>
      </c>
      <c r="C14565" s="4" t="str">
        <f t="shared" si="1164"/>
        <v>TCGA-BRCA</v>
      </c>
      <c r="D14565" s="1" t="s">
        <v>493</v>
      </c>
      <c r="E14565" t="s">
        <v>533</v>
      </c>
      <c r="F14565" s="1">
        <v>1</v>
      </c>
      <c r="G14565" s="1" t="s">
        <v>36</v>
      </c>
      <c r="H14565" s="4" t="str">
        <f>HYPERLINK("https://portal.gdc.cancer.gov/cases/665dd3d3-779c-4abd-b5d7-13342340451d","TCGA-BH-A18N-11A")</f>
        <v>TCGA-BH-A18N-11A</v>
      </c>
      <c r="I14565" t="s">
        <v>17</v>
      </c>
      <c r="J14565" t="s">
        <v>524</v>
      </c>
      <c r="K14565" t="s">
        <v>33</v>
      </c>
      <c r="L14565" t="s">
        <v>20</v>
      </c>
      <c r="N14565" t="s">
        <v>37</v>
      </c>
    </row>
    <row r="14566" spans="1:14">
      <c r="A14566" s="4" t="str">
        <f t="shared" si="1163"/>
        <v>EXP00415</v>
      </c>
      <c r="B14566" s="3" t="s">
        <v>66</v>
      </c>
      <c r="C14566" s="4" t="str">
        <f t="shared" si="1164"/>
        <v>TCGA-BRCA</v>
      </c>
      <c r="D14566" s="1" t="s">
        <v>493</v>
      </c>
      <c r="E14566" t="s">
        <v>533</v>
      </c>
      <c r="F14566" s="1">
        <v>1</v>
      </c>
      <c r="G14566" s="1" t="s">
        <v>36</v>
      </c>
      <c r="H14566" s="4" t="str">
        <f>HYPERLINK("https://portal.gdc.cancer.gov/cases/557cb0a3-6f1b-4faf-8296-0a15c24158f9","TCGA-BH-A18P-11A")</f>
        <v>TCGA-BH-A18P-11A</v>
      </c>
      <c r="I14566" t="s">
        <v>17</v>
      </c>
      <c r="J14566" t="s">
        <v>524</v>
      </c>
      <c r="K14566" t="s">
        <v>33</v>
      </c>
      <c r="L14566" t="s">
        <v>20</v>
      </c>
      <c r="N14566" t="s">
        <v>37</v>
      </c>
    </row>
    <row r="14567" spans="1:14">
      <c r="A14567" s="4" t="str">
        <f t="shared" si="1163"/>
        <v>EXP00415</v>
      </c>
      <c r="B14567" s="3" t="s">
        <v>66</v>
      </c>
      <c r="C14567" s="4" t="str">
        <f t="shared" si="1164"/>
        <v>TCGA-BRCA</v>
      </c>
      <c r="D14567" s="1" t="s">
        <v>493</v>
      </c>
      <c r="E14567" t="s">
        <v>533</v>
      </c>
      <c r="F14567" s="1">
        <v>1</v>
      </c>
      <c r="G14567" s="1" t="s">
        <v>36</v>
      </c>
      <c r="H14567" s="4" t="str">
        <f>HYPERLINK("https://portal.gdc.cancer.gov/cases/db4bc6aa-2e7d-4bcb-8519-a455f624d33b","TCGA-BH-A18Q-11A")</f>
        <v>TCGA-BH-A18Q-11A</v>
      </c>
      <c r="I14567" t="s">
        <v>17</v>
      </c>
      <c r="J14567" t="s">
        <v>524</v>
      </c>
      <c r="K14567" t="s">
        <v>33</v>
      </c>
      <c r="L14567" t="s">
        <v>20</v>
      </c>
      <c r="N14567" t="s">
        <v>37</v>
      </c>
    </row>
    <row r="14568" spans="1:14">
      <c r="A14568" s="4" t="str">
        <f t="shared" si="1163"/>
        <v>EXP00415</v>
      </c>
      <c r="B14568" s="3" t="s">
        <v>66</v>
      </c>
      <c r="C14568" s="4" t="str">
        <f t="shared" si="1164"/>
        <v>TCGA-BRCA</v>
      </c>
      <c r="D14568" s="1" t="s">
        <v>493</v>
      </c>
      <c r="E14568" t="s">
        <v>533</v>
      </c>
      <c r="F14568" s="1">
        <v>1</v>
      </c>
      <c r="G14568" s="1" t="s">
        <v>36</v>
      </c>
      <c r="H14568" s="4" t="str">
        <f>HYPERLINK("https://portal.gdc.cancer.gov/cases/f6e1ec78-5ad9-4879-9b7e-262d17b166ad","TCGA-BH-A18R-11A")</f>
        <v>TCGA-BH-A18R-11A</v>
      </c>
      <c r="I14568" t="s">
        <v>17</v>
      </c>
      <c r="J14568" t="s">
        <v>524</v>
      </c>
      <c r="K14568" t="s">
        <v>33</v>
      </c>
      <c r="L14568" t="s">
        <v>20</v>
      </c>
      <c r="N14568" t="s">
        <v>37</v>
      </c>
    </row>
    <row r="14569" spans="1:14">
      <c r="A14569" s="4" t="str">
        <f t="shared" si="1163"/>
        <v>EXP00415</v>
      </c>
      <c r="B14569" s="3" t="s">
        <v>66</v>
      </c>
      <c r="C14569" s="4" t="str">
        <f t="shared" si="1164"/>
        <v>TCGA-BRCA</v>
      </c>
      <c r="D14569" s="1" t="s">
        <v>493</v>
      </c>
      <c r="E14569" t="s">
        <v>533</v>
      </c>
      <c r="F14569" s="1">
        <v>1</v>
      </c>
      <c r="G14569" s="1" t="s">
        <v>36</v>
      </c>
      <c r="H14569" s="4" t="str">
        <f>HYPERLINK("https://portal.gdc.cancer.gov/cases/433427a1-bacf-4381-91ba-5fec8a0953f9","TCGA-BH-A18S-11A")</f>
        <v>TCGA-BH-A18S-11A</v>
      </c>
      <c r="I14569" t="s">
        <v>17</v>
      </c>
      <c r="J14569" t="s">
        <v>524</v>
      </c>
      <c r="K14569" t="s">
        <v>33</v>
      </c>
      <c r="L14569" t="s">
        <v>20</v>
      </c>
      <c r="N14569" t="s">
        <v>37</v>
      </c>
    </row>
    <row r="14570" spans="1:14">
      <c r="A14570" s="4" t="str">
        <f t="shared" si="1163"/>
        <v>EXP00415</v>
      </c>
      <c r="B14570" s="3" t="s">
        <v>66</v>
      </c>
      <c r="C14570" s="4" t="str">
        <f t="shared" si="1164"/>
        <v>TCGA-BRCA</v>
      </c>
      <c r="D14570" s="1" t="s">
        <v>493</v>
      </c>
      <c r="E14570" t="s">
        <v>533</v>
      </c>
      <c r="F14570" s="1">
        <v>1</v>
      </c>
      <c r="G14570" s="1" t="s">
        <v>36</v>
      </c>
      <c r="H14570" s="4" t="str">
        <f>HYPERLINK("https://portal.gdc.cancer.gov/cases/233b02f3-c4f0-4a67-9db5-e68d5cdaccb6","TCGA-BH-A18U-11A")</f>
        <v>TCGA-BH-A18U-11A</v>
      </c>
      <c r="I14570" t="s">
        <v>17</v>
      </c>
      <c r="J14570" t="s">
        <v>524</v>
      </c>
      <c r="K14570" t="s">
        <v>33</v>
      </c>
      <c r="L14570" t="s">
        <v>20</v>
      </c>
      <c r="N14570" t="s">
        <v>37</v>
      </c>
    </row>
    <row r="14571" spans="1:14">
      <c r="A14571" s="4" t="str">
        <f t="shared" si="1163"/>
        <v>EXP00415</v>
      </c>
      <c r="B14571" s="3" t="s">
        <v>66</v>
      </c>
      <c r="C14571" s="4" t="str">
        <f t="shared" si="1164"/>
        <v>TCGA-BRCA</v>
      </c>
      <c r="D14571" s="1" t="s">
        <v>493</v>
      </c>
      <c r="E14571" t="s">
        <v>533</v>
      </c>
      <c r="F14571" s="1">
        <v>1</v>
      </c>
      <c r="G14571" s="1" t="s">
        <v>36</v>
      </c>
      <c r="H14571" s="4" t="str">
        <f>HYPERLINK("https://portal.gdc.cancer.gov/cases/858652b8-c4c2-41d8-be32-fdc88e1a7bb0","TCGA-BH-A1EN-11A")</f>
        <v>TCGA-BH-A1EN-11A</v>
      </c>
      <c r="I14571" t="s">
        <v>17</v>
      </c>
      <c r="J14571" t="s">
        <v>524</v>
      </c>
      <c r="K14571" t="s">
        <v>33</v>
      </c>
      <c r="L14571" t="s">
        <v>20</v>
      </c>
      <c r="N14571" t="s">
        <v>37</v>
      </c>
    </row>
    <row r="14572" spans="1:14">
      <c r="A14572" s="4" t="str">
        <f t="shared" si="1163"/>
        <v>EXP00415</v>
      </c>
      <c r="B14572" s="3" t="s">
        <v>66</v>
      </c>
      <c r="C14572" s="4" t="str">
        <f t="shared" si="1164"/>
        <v>TCGA-BRCA</v>
      </c>
      <c r="D14572" s="1" t="s">
        <v>493</v>
      </c>
      <c r="E14572" t="s">
        <v>533</v>
      </c>
      <c r="F14572" s="1">
        <v>1</v>
      </c>
      <c r="G14572" s="1" t="s">
        <v>36</v>
      </c>
      <c r="H14572" s="4" t="str">
        <f>HYPERLINK("https://portal.gdc.cancer.gov/cases/4510295e-8aa7-4ef1-b2b7-91cc902f8200","TCGA-BH-A1EO-11A")</f>
        <v>TCGA-BH-A1EO-11A</v>
      </c>
      <c r="I14572" t="s">
        <v>17</v>
      </c>
      <c r="J14572" t="s">
        <v>524</v>
      </c>
      <c r="K14572" t="s">
        <v>33</v>
      </c>
      <c r="L14572" t="s">
        <v>20</v>
      </c>
      <c r="N14572" t="s">
        <v>37</v>
      </c>
    </row>
    <row r="14573" spans="1:14">
      <c r="A14573" s="4" t="str">
        <f t="shared" si="1163"/>
        <v>EXP00415</v>
      </c>
      <c r="B14573" s="3" t="s">
        <v>66</v>
      </c>
      <c r="C14573" s="4" t="str">
        <f t="shared" si="1164"/>
        <v>TCGA-BRCA</v>
      </c>
      <c r="D14573" s="1" t="s">
        <v>493</v>
      </c>
      <c r="E14573" t="s">
        <v>533</v>
      </c>
      <c r="F14573" s="1">
        <v>1</v>
      </c>
      <c r="G14573" s="1" t="s">
        <v>36</v>
      </c>
      <c r="H14573" s="4" t="str">
        <f>HYPERLINK("https://portal.gdc.cancer.gov/cases/8986a141-eae7-4157-b695-02cc6fc3b071","TCGA-BH-A1ET-11B")</f>
        <v>TCGA-BH-A1ET-11B</v>
      </c>
      <c r="I14573" t="s">
        <v>17</v>
      </c>
      <c r="J14573" t="s">
        <v>524</v>
      </c>
      <c r="K14573" t="s">
        <v>33</v>
      </c>
      <c r="L14573" t="s">
        <v>20</v>
      </c>
      <c r="N14573" t="s">
        <v>37</v>
      </c>
    </row>
    <row r="14574" spans="1:14">
      <c r="A14574" s="4" t="str">
        <f t="shared" si="1163"/>
        <v>EXP00415</v>
      </c>
      <c r="B14574" s="3" t="s">
        <v>66</v>
      </c>
      <c r="C14574" s="4" t="str">
        <f t="shared" si="1164"/>
        <v>TCGA-BRCA</v>
      </c>
      <c r="D14574" s="1" t="s">
        <v>493</v>
      </c>
      <c r="E14574" t="s">
        <v>533</v>
      </c>
      <c r="F14574" s="1">
        <v>1</v>
      </c>
      <c r="G14574" s="1" t="s">
        <v>36</v>
      </c>
      <c r="H14574" s="4" t="str">
        <f>HYPERLINK("https://portal.gdc.cancer.gov/cases/a1093598-d3a8-4ffe-83fc-bc7d1faff7e5","TCGA-BH-A1EU-11A")</f>
        <v>TCGA-BH-A1EU-11A</v>
      </c>
      <c r="I14574" t="s">
        <v>17</v>
      </c>
      <c r="J14574" t="s">
        <v>524</v>
      </c>
      <c r="K14574" t="s">
        <v>33</v>
      </c>
      <c r="L14574" t="s">
        <v>20</v>
      </c>
      <c r="N14574" t="s">
        <v>37</v>
      </c>
    </row>
    <row r="14575" spans="1:14">
      <c r="A14575" s="4" t="str">
        <f t="shared" si="1163"/>
        <v>EXP00415</v>
      </c>
      <c r="B14575" s="3" t="s">
        <v>66</v>
      </c>
      <c r="C14575" s="4" t="str">
        <f t="shared" si="1164"/>
        <v>TCGA-BRCA</v>
      </c>
      <c r="D14575" s="1" t="s">
        <v>493</v>
      </c>
      <c r="E14575" t="s">
        <v>533</v>
      </c>
      <c r="F14575" s="1">
        <v>1</v>
      </c>
      <c r="G14575" s="1" t="s">
        <v>36</v>
      </c>
      <c r="H14575" s="4" t="str">
        <f>HYPERLINK("https://portal.gdc.cancer.gov/cases/417dea5f-f68e-4dab-940e-43ae8c67e5e6","TCGA-BH-A1EV-11A")</f>
        <v>TCGA-BH-A1EV-11A</v>
      </c>
      <c r="I14575" t="s">
        <v>17</v>
      </c>
      <c r="J14575" t="s">
        <v>524</v>
      </c>
      <c r="K14575" t="s">
        <v>33</v>
      </c>
      <c r="L14575" t="s">
        <v>20</v>
      </c>
      <c r="N14575" t="s">
        <v>37</v>
      </c>
    </row>
    <row r="14576" spans="1:14">
      <c r="A14576" s="4" t="str">
        <f t="shared" si="1163"/>
        <v>EXP00415</v>
      </c>
      <c r="B14576" s="3" t="s">
        <v>66</v>
      </c>
      <c r="C14576" s="4" t="str">
        <f t="shared" si="1164"/>
        <v>TCGA-BRCA</v>
      </c>
      <c r="D14576" s="1" t="s">
        <v>493</v>
      </c>
      <c r="E14576" t="s">
        <v>533</v>
      </c>
      <c r="F14576" s="1">
        <v>1</v>
      </c>
      <c r="G14576" s="1" t="s">
        <v>36</v>
      </c>
      <c r="H14576" s="4" t="str">
        <f>HYPERLINK("https://portal.gdc.cancer.gov/cases/9d166970-07c8-4ca3-9cfa-ed0049df9ecc","TCGA-BH-A1EW-11B")</f>
        <v>TCGA-BH-A1EW-11B</v>
      </c>
      <c r="I14576" t="s">
        <v>17</v>
      </c>
      <c r="J14576" t="s">
        <v>524</v>
      </c>
      <c r="K14576" t="s">
        <v>33</v>
      </c>
      <c r="L14576" t="s">
        <v>20</v>
      </c>
      <c r="N14576" t="s">
        <v>37</v>
      </c>
    </row>
    <row r="14577" spans="1:14">
      <c r="A14577" s="4" t="str">
        <f t="shared" si="1163"/>
        <v>EXP00415</v>
      </c>
      <c r="B14577" s="3" t="s">
        <v>66</v>
      </c>
      <c r="C14577" s="4" t="str">
        <f t="shared" si="1164"/>
        <v>TCGA-BRCA</v>
      </c>
      <c r="D14577" s="1" t="s">
        <v>493</v>
      </c>
      <c r="E14577" t="s">
        <v>533</v>
      </c>
      <c r="F14577" s="1">
        <v>1</v>
      </c>
      <c r="G14577" s="1" t="s">
        <v>36</v>
      </c>
      <c r="H14577" s="4" t="str">
        <f>HYPERLINK("https://portal.gdc.cancer.gov/cases/21ef1730-e5a7-47ce-b419-d000bb59ae15","TCGA-BH-A1F0-11B")</f>
        <v>TCGA-BH-A1F0-11B</v>
      </c>
      <c r="I14577" t="s">
        <v>17</v>
      </c>
      <c r="J14577" t="s">
        <v>524</v>
      </c>
      <c r="K14577" t="s">
        <v>33</v>
      </c>
      <c r="L14577" t="s">
        <v>20</v>
      </c>
      <c r="N14577" t="s">
        <v>37</v>
      </c>
    </row>
    <row r="14578" spans="1:14">
      <c r="A14578" s="4" t="str">
        <f t="shared" si="1163"/>
        <v>EXP00415</v>
      </c>
      <c r="B14578" s="3" t="s">
        <v>66</v>
      </c>
      <c r="C14578" s="4" t="str">
        <f t="shared" si="1164"/>
        <v>TCGA-BRCA</v>
      </c>
      <c r="D14578" s="1" t="s">
        <v>493</v>
      </c>
      <c r="E14578" t="s">
        <v>533</v>
      </c>
      <c r="F14578" s="1">
        <v>1</v>
      </c>
      <c r="G14578" s="1" t="s">
        <v>36</v>
      </c>
      <c r="H14578" s="4" t="str">
        <f>HYPERLINK("https://portal.gdc.cancer.gov/cases/6a2972e3-cca9-47e5-aac0-b770f2399eeb","TCGA-BH-A1F2-11A")</f>
        <v>TCGA-BH-A1F2-11A</v>
      </c>
      <c r="I14578" t="s">
        <v>17</v>
      </c>
      <c r="J14578" t="s">
        <v>524</v>
      </c>
      <c r="K14578" t="s">
        <v>33</v>
      </c>
      <c r="L14578" t="s">
        <v>20</v>
      </c>
      <c r="N14578" t="s">
        <v>37</v>
      </c>
    </row>
    <row r="14579" spans="1:14">
      <c r="A14579" s="4" t="str">
        <f t="shared" si="1163"/>
        <v>EXP00415</v>
      </c>
      <c r="B14579" s="3" t="s">
        <v>66</v>
      </c>
      <c r="C14579" s="4" t="str">
        <f t="shared" si="1164"/>
        <v>TCGA-BRCA</v>
      </c>
      <c r="D14579" s="1" t="s">
        <v>493</v>
      </c>
      <c r="E14579" t="s">
        <v>533</v>
      </c>
      <c r="F14579" s="1">
        <v>1</v>
      </c>
      <c r="G14579" s="1" t="s">
        <v>36</v>
      </c>
      <c r="H14579" s="4" t="str">
        <f>HYPERLINK("https://portal.gdc.cancer.gov/cases/ad18820b-a804-49c0-ba8a-86c09fa6bce2","TCGA-BH-A1F6-11B")</f>
        <v>TCGA-BH-A1F6-11B</v>
      </c>
      <c r="I14579" t="s">
        <v>17</v>
      </c>
      <c r="J14579" t="s">
        <v>524</v>
      </c>
      <c r="K14579" t="s">
        <v>33</v>
      </c>
      <c r="L14579" t="s">
        <v>20</v>
      </c>
      <c r="N14579" t="s">
        <v>37</v>
      </c>
    </row>
    <row r="14580" spans="1:14">
      <c r="A14580" s="4" t="str">
        <f t="shared" si="1163"/>
        <v>EXP00415</v>
      </c>
      <c r="B14580" s="3" t="s">
        <v>66</v>
      </c>
      <c r="C14580" s="4" t="str">
        <f t="shared" si="1164"/>
        <v>TCGA-BRCA</v>
      </c>
      <c r="D14580" s="1" t="s">
        <v>493</v>
      </c>
      <c r="E14580" t="s">
        <v>533</v>
      </c>
      <c r="F14580" s="1">
        <v>1</v>
      </c>
      <c r="G14580" s="1" t="s">
        <v>36</v>
      </c>
      <c r="H14580" s="4" t="str">
        <f>HYPERLINK("https://portal.gdc.cancer.gov/cases/ee554215-bea2-4268-aaf9-784e68cdb969","TCGA-BH-A1F8-11B")</f>
        <v>TCGA-BH-A1F8-11B</v>
      </c>
      <c r="I14580" t="s">
        <v>17</v>
      </c>
      <c r="J14580" t="s">
        <v>524</v>
      </c>
      <c r="K14580" t="s">
        <v>33</v>
      </c>
      <c r="L14580" t="s">
        <v>20</v>
      </c>
      <c r="N14580" t="s">
        <v>37</v>
      </c>
    </row>
    <row r="14581" spans="1:14">
      <c r="A14581" s="4" t="str">
        <f t="shared" si="1163"/>
        <v>EXP00415</v>
      </c>
      <c r="B14581" s="3" t="s">
        <v>66</v>
      </c>
      <c r="C14581" s="4" t="str">
        <f t="shared" si="1164"/>
        <v>TCGA-BRCA</v>
      </c>
      <c r="D14581" s="1" t="s">
        <v>493</v>
      </c>
      <c r="E14581" t="s">
        <v>533</v>
      </c>
      <c r="F14581" s="1">
        <v>1</v>
      </c>
      <c r="G14581" s="1" t="s">
        <v>36</v>
      </c>
      <c r="H14581" s="4" t="str">
        <f>HYPERLINK("https://portal.gdc.cancer.gov/cases/ecab16bc-28d5-4c3a-8735-3c785bd047c4","TCGA-BH-A1FB-11A")</f>
        <v>TCGA-BH-A1FB-11A</v>
      </c>
      <c r="I14581" t="s">
        <v>17</v>
      </c>
      <c r="J14581" t="s">
        <v>524</v>
      </c>
      <c r="K14581" t="s">
        <v>33</v>
      </c>
      <c r="L14581" t="s">
        <v>20</v>
      </c>
      <c r="N14581" t="s">
        <v>37</v>
      </c>
    </row>
    <row r="14582" spans="1:14">
      <c r="A14582" s="4" t="str">
        <f t="shared" si="1163"/>
        <v>EXP00415</v>
      </c>
      <c r="B14582" s="3" t="s">
        <v>66</v>
      </c>
      <c r="C14582" s="4" t="str">
        <f t="shared" si="1164"/>
        <v>TCGA-BRCA</v>
      </c>
      <c r="D14582" s="1" t="s">
        <v>493</v>
      </c>
      <c r="E14582" t="s">
        <v>533</v>
      </c>
      <c r="F14582" s="1">
        <v>1</v>
      </c>
      <c r="G14582" s="1" t="s">
        <v>36</v>
      </c>
      <c r="H14582" s="4" t="str">
        <f>HYPERLINK("https://portal.gdc.cancer.gov/cases/b97bf89a-7a85-4eef-ae7e-f787aead1f0a","TCGA-BH-A1FC-11A")</f>
        <v>TCGA-BH-A1FC-11A</v>
      </c>
      <c r="I14582" t="s">
        <v>17</v>
      </c>
      <c r="J14582" t="s">
        <v>524</v>
      </c>
      <c r="K14582" t="s">
        <v>33</v>
      </c>
      <c r="L14582" t="s">
        <v>20</v>
      </c>
      <c r="N14582" t="s">
        <v>37</v>
      </c>
    </row>
    <row r="14583" spans="1:14">
      <c r="A14583" s="4" t="str">
        <f t="shared" si="1163"/>
        <v>EXP00415</v>
      </c>
      <c r="B14583" s="3" t="s">
        <v>66</v>
      </c>
      <c r="C14583" s="4" t="str">
        <f t="shared" si="1164"/>
        <v>TCGA-BRCA</v>
      </c>
      <c r="D14583" s="1" t="s">
        <v>493</v>
      </c>
      <c r="E14583" t="s">
        <v>533</v>
      </c>
      <c r="F14583" s="1">
        <v>1</v>
      </c>
      <c r="G14583" s="1" t="s">
        <v>36</v>
      </c>
      <c r="H14583" s="4" t="str">
        <f>HYPERLINK("https://portal.gdc.cancer.gov/cases/3c8b5af9-c34d-43c2-b8c9-39ea11e44fa6","TCGA-BH-A1FD-11B")</f>
        <v>TCGA-BH-A1FD-11B</v>
      </c>
      <c r="I14583" t="s">
        <v>17</v>
      </c>
      <c r="J14583" t="s">
        <v>524</v>
      </c>
      <c r="K14583" t="s">
        <v>33</v>
      </c>
      <c r="L14583" t="s">
        <v>20</v>
      </c>
      <c r="N14583" t="s">
        <v>37</v>
      </c>
    </row>
    <row r="14584" spans="1:14">
      <c r="A14584" s="4" t="str">
        <f t="shared" ref="A14584:A14647" si="1165">HYPERLINK("http://hcmdb.i-sanger.com/experiment/details/experiment_id/EXP00415","EXP00415")</f>
        <v>EXP00415</v>
      </c>
      <c r="B14584" s="3" t="s">
        <v>66</v>
      </c>
      <c r="C14584" s="4" t="str">
        <f t="shared" si="1164"/>
        <v>TCGA-BRCA</v>
      </c>
      <c r="D14584" s="1" t="s">
        <v>493</v>
      </c>
      <c r="E14584" t="s">
        <v>533</v>
      </c>
      <c r="F14584" s="1">
        <v>1</v>
      </c>
      <c r="G14584" s="1" t="s">
        <v>36</v>
      </c>
      <c r="H14584" s="4" t="str">
        <f>HYPERLINK("https://portal.gdc.cancer.gov/cases/d4e7426c-9739-4585-9114-e564b13c7c02","TCGA-BH-A1FG-11B")</f>
        <v>TCGA-BH-A1FG-11B</v>
      </c>
      <c r="I14584" t="s">
        <v>17</v>
      </c>
      <c r="J14584" t="s">
        <v>524</v>
      </c>
      <c r="K14584" t="s">
        <v>33</v>
      </c>
      <c r="L14584" t="s">
        <v>20</v>
      </c>
      <c r="N14584" t="s">
        <v>37</v>
      </c>
    </row>
    <row r="14585" spans="1:14">
      <c r="A14585" s="4" t="str">
        <f t="shared" si="1165"/>
        <v>EXP00415</v>
      </c>
      <c r="B14585" s="3" t="s">
        <v>66</v>
      </c>
      <c r="C14585" s="4" t="str">
        <f t="shared" si="1164"/>
        <v>TCGA-BRCA</v>
      </c>
      <c r="D14585" s="1" t="s">
        <v>493</v>
      </c>
      <c r="E14585" t="s">
        <v>533</v>
      </c>
      <c r="F14585" s="1">
        <v>1</v>
      </c>
      <c r="G14585" s="1" t="s">
        <v>36</v>
      </c>
      <c r="H14585" s="4" t="str">
        <f>HYPERLINK("https://portal.gdc.cancer.gov/cases/1783cac1-253a-40af-a9ac-48dfb20e1ab8","TCGA-BH-A1FH-11B")</f>
        <v>TCGA-BH-A1FH-11B</v>
      </c>
      <c r="I14585" t="s">
        <v>17</v>
      </c>
      <c r="J14585" t="s">
        <v>524</v>
      </c>
      <c r="K14585" t="s">
        <v>33</v>
      </c>
      <c r="L14585" t="s">
        <v>20</v>
      </c>
      <c r="N14585" t="s">
        <v>37</v>
      </c>
    </row>
    <row r="14586" spans="1:14">
      <c r="A14586" s="4" t="str">
        <f t="shared" si="1165"/>
        <v>EXP00415</v>
      </c>
      <c r="B14586" s="3" t="s">
        <v>66</v>
      </c>
      <c r="C14586" s="4" t="str">
        <f t="shared" ref="C14586:C14649" si="1166">HYPERLINK("https://portal.gdc.cancer.gov/projects/TCGA-BRCA","TCGA-BRCA")</f>
        <v>TCGA-BRCA</v>
      </c>
      <c r="D14586" s="1" t="s">
        <v>493</v>
      </c>
      <c r="E14586" t="s">
        <v>533</v>
      </c>
      <c r="F14586" s="1">
        <v>1</v>
      </c>
      <c r="G14586" s="1" t="s">
        <v>36</v>
      </c>
      <c r="H14586" s="4" t="str">
        <f>HYPERLINK("https://portal.gdc.cancer.gov/cases/f6581eee-61b9-43d4-ab0d-ce5ce3ba1c74","TCGA-BH-A1FJ-11B")</f>
        <v>TCGA-BH-A1FJ-11B</v>
      </c>
      <c r="I14586" t="s">
        <v>17</v>
      </c>
      <c r="J14586" t="s">
        <v>524</v>
      </c>
      <c r="K14586" t="s">
        <v>33</v>
      </c>
      <c r="L14586" t="s">
        <v>20</v>
      </c>
      <c r="N14586" t="s">
        <v>37</v>
      </c>
    </row>
    <row r="14587" spans="1:14">
      <c r="A14587" s="4" t="str">
        <f t="shared" si="1165"/>
        <v>EXP00415</v>
      </c>
      <c r="B14587" s="3" t="s">
        <v>66</v>
      </c>
      <c r="C14587" s="4" t="str">
        <f t="shared" si="1166"/>
        <v>TCGA-BRCA</v>
      </c>
      <c r="D14587" s="1" t="s">
        <v>493</v>
      </c>
      <c r="E14587" t="s">
        <v>533</v>
      </c>
      <c r="F14587" s="1">
        <v>1</v>
      </c>
      <c r="G14587" s="1" t="s">
        <v>36</v>
      </c>
      <c r="H14587" s="4" t="str">
        <f>HYPERLINK("https://portal.gdc.cancer.gov/cases/7eb18190-5a41-4637-9783-f81bbde499e4","TCGA-BH-A1FM-11B")</f>
        <v>TCGA-BH-A1FM-11B</v>
      </c>
      <c r="I14587" t="s">
        <v>17</v>
      </c>
      <c r="J14587" t="s">
        <v>524</v>
      </c>
      <c r="K14587" t="s">
        <v>33</v>
      </c>
      <c r="L14587" t="s">
        <v>20</v>
      </c>
      <c r="N14587" t="s">
        <v>37</v>
      </c>
    </row>
    <row r="14588" spans="1:14">
      <c r="A14588" s="4" t="str">
        <f t="shared" si="1165"/>
        <v>EXP00415</v>
      </c>
      <c r="B14588" s="3" t="s">
        <v>66</v>
      </c>
      <c r="C14588" s="4" t="str">
        <f t="shared" si="1166"/>
        <v>TCGA-BRCA</v>
      </c>
      <c r="D14588" s="1" t="s">
        <v>493</v>
      </c>
      <c r="E14588" t="s">
        <v>533</v>
      </c>
      <c r="F14588" s="1">
        <v>1</v>
      </c>
      <c r="G14588" s="1" t="s">
        <v>36</v>
      </c>
      <c r="H14588" s="4" t="str">
        <f>HYPERLINK("https://portal.gdc.cancer.gov/cases/6dd0dd7b-62ff-4fd1-a99a-b265f1a91dca","TCGA-BH-A1FN-11A")</f>
        <v>TCGA-BH-A1FN-11A</v>
      </c>
      <c r="I14588" t="s">
        <v>17</v>
      </c>
      <c r="J14588" t="s">
        <v>524</v>
      </c>
      <c r="K14588" t="s">
        <v>33</v>
      </c>
      <c r="L14588" t="s">
        <v>20</v>
      </c>
      <c r="N14588" t="s">
        <v>37</v>
      </c>
    </row>
    <row r="14589" spans="1:14">
      <c r="A14589" s="4" t="str">
        <f t="shared" si="1165"/>
        <v>EXP00415</v>
      </c>
      <c r="B14589" s="3" t="s">
        <v>66</v>
      </c>
      <c r="C14589" s="4" t="str">
        <f t="shared" si="1166"/>
        <v>TCGA-BRCA</v>
      </c>
      <c r="D14589" s="1" t="s">
        <v>493</v>
      </c>
      <c r="E14589" t="s">
        <v>533</v>
      </c>
      <c r="F14589" s="1">
        <v>1</v>
      </c>
      <c r="G14589" s="1" t="s">
        <v>36</v>
      </c>
      <c r="H14589" s="4" t="str">
        <f>HYPERLINK("https://portal.gdc.cancer.gov/cases/bf3b1481-ae31-4406-b084-b6cc1d7163e3","TCGA-BH-A1FR-11B")</f>
        <v>TCGA-BH-A1FR-11B</v>
      </c>
      <c r="I14589" t="s">
        <v>17</v>
      </c>
      <c r="J14589" t="s">
        <v>524</v>
      </c>
      <c r="K14589" t="s">
        <v>33</v>
      </c>
      <c r="L14589" t="s">
        <v>20</v>
      </c>
      <c r="N14589" t="s">
        <v>37</v>
      </c>
    </row>
    <row r="14590" spans="1:14">
      <c r="A14590" s="4" t="str">
        <f t="shared" si="1165"/>
        <v>EXP00415</v>
      </c>
      <c r="B14590" s="3" t="s">
        <v>66</v>
      </c>
      <c r="C14590" s="4" t="str">
        <f t="shared" si="1166"/>
        <v>TCGA-BRCA</v>
      </c>
      <c r="D14590" s="1" t="s">
        <v>493</v>
      </c>
      <c r="E14590" t="s">
        <v>533</v>
      </c>
      <c r="F14590" s="1">
        <v>1</v>
      </c>
      <c r="G14590" s="1" t="s">
        <v>36</v>
      </c>
      <c r="H14590" s="4" t="str">
        <f>HYPERLINK("https://portal.gdc.cancer.gov/cases/c348a9b3-c901-4384-a222-144387bac0c5","TCGA-BH-A1FU-11A")</f>
        <v>TCGA-BH-A1FU-11A</v>
      </c>
      <c r="I14590" t="s">
        <v>17</v>
      </c>
      <c r="J14590" t="s">
        <v>524</v>
      </c>
      <c r="K14590" t="s">
        <v>33</v>
      </c>
      <c r="L14590" t="s">
        <v>20</v>
      </c>
      <c r="N14590" t="s">
        <v>37</v>
      </c>
    </row>
    <row r="14591" spans="1:14">
      <c r="A14591" s="4" t="str">
        <f t="shared" si="1165"/>
        <v>EXP00415</v>
      </c>
      <c r="B14591" s="3" t="s">
        <v>66</v>
      </c>
      <c r="C14591" s="4" t="str">
        <f t="shared" si="1166"/>
        <v>TCGA-BRCA</v>
      </c>
      <c r="D14591" s="1" t="s">
        <v>493</v>
      </c>
      <c r="E14591" t="s">
        <v>533</v>
      </c>
      <c r="F14591" s="1">
        <v>1</v>
      </c>
      <c r="G14591" s="1" t="s">
        <v>36</v>
      </c>
      <c r="H14591" s="4" t="str">
        <f>HYPERLINK("https://portal.gdc.cancer.gov/cases/b3264748-947a-43aa-b227-b294fbcc8447","TCGA-BH-A203-11A")</f>
        <v>TCGA-BH-A203-11A</v>
      </c>
      <c r="I14591" t="s">
        <v>17</v>
      </c>
      <c r="J14591" t="s">
        <v>524</v>
      </c>
      <c r="K14591" t="s">
        <v>33</v>
      </c>
      <c r="L14591" t="s">
        <v>20</v>
      </c>
      <c r="N14591" t="s">
        <v>37</v>
      </c>
    </row>
    <row r="14592" spans="1:14">
      <c r="A14592" s="4" t="str">
        <f t="shared" si="1165"/>
        <v>EXP00415</v>
      </c>
      <c r="B14592" s="3" t="s">
        <v>66</v>
      </c>
      <c r="C14592" s="4" t="str">
        <f t="shared" si="1166"/>
        <v>TCGA-BRCA</v>
      </c>
      <c r="D14592" s="1" t="s">
        <v>493</v>
      </c>
      <c r="E14592" t="s">
        <v>533</v>
      </c>
      <c r="F14592" s="1">
        <v>1</v>
      </c>
      <c r="G14592" s="1" t="s">
        <v>36</v>
      </c>
      <c r="H14592" s="4" t="str">
        <f>HYPERLINK("https://portal.gdc.cancer.gov/cases/05135396-df5c-49db-b34e-f4add5b65a2b","TCGA-BH-A204-11A")</f>
        <v>TCGA-BH-A204-11A</v>
      </c>
      <c r="I14592" t="s">
        <v>17</v>
      </c>
      <c r="J14592" t="s">
        <v>524</v>
      </c>
      <c r="K14592" t="s">
        <v>33</v>
      </c>
      <c r="L14592" t="s">
        <v>20</v>
      </c>
      <c r="N14592" t="s">
        <v>37</v>
      </c>
    </row>
    <row r="14593" spans="1:14">
      <c r="A14593" s="4" t="str">
        <f t="shared" si="1165"/>
        <v>EXP00415</v>
      </c>
      <c r="B14593" s="3" t="s">
        <v>66</v>
      </c>
      <c r="C14593" s="4" t="str">
        <f t="shared" si="1166"/>
        <v>TCGA-BRCA</v>
      </c>
      <c r="D14593" s="1" t="s">
        <v>493</v>
      </c>
      <c r="E14593" t="s">
        <v>533</v>
      </c>
      <c r="F14593" s="1">
        <v>1</v>
      </c>
      <c r="G14593" s="1" t="s">
        <v>36</v>
      </c>
      <c r="H14593" s="4" t="str">
        <f>HYPERLINK("https://portal.gdc.cancer.gov/cases/ddcbdac6-9e43-4146-a611-d033125eba14","TCGA-BH-A208-11A")</f>
        <v>TCGA-BH-A208-11A</v>
      </c>
      <c r="I14593" t="s">
        <v>17</v>
      </c>
      <c r="J14593" t="s">
        <v>524</v>
      </c>
      <c r="K14593" t="s">
        <v>33</v>
      </c>
      <c r="L14593" t="s">
        <v>20</v>
      </c>
      <c r="N14593" t="s">
        <v>37</v>
      </c>
    </row>
    <row r="14594" spans="1:14">
      <c r="A14594" s="4" t="str">
        <f t="shared" si="1165"/>
        <v>EXP00415</v>
      </c>
      <c r="B14594" s="3" t="s">
        <v>66</v>
      </c>
      <c r="C14594" s="4" t="str">
        <f t="shared" si="1166"/>
        <v>TCGA-BRCA</v>
      </c>
      <c r="D14594" s="1" t="s">
        <v>493</v>
      </c>
      <c r="E14594" t="s">
        <v>533</v>
      </c>
      <c r="F14594" s="1">
        <v>1</v>
      </c>
      <c r="G14594" s="1" t="s">
        <v>36</v>
      </c>
      <c r="H14594" s="4" t="str">
        <f>HYPERLINK("https://portal.gdc.cancer.gov/cases/5258294f-ef5b-4091-9183-6bcc545d54b2","TCGA-BH-A209-11A")</f>
        <v>TCGA-BH-A209-11A</v>
      </c>
      <c r="I14594" t="s">
        <v>17</v>
      </c>
      <c r="J14594" t="s">
        <v>524</v>
      </c>
      <c r="K14594" t="s">
        <v>33</v>
      </c>
      <c r="L14594" t="s">
        <v>20</v>
      </c>
      <c r="N14594" t="s">
        <v>37</v>
      </c>
    </row>
    <row r="14595" spans="1:14">
      <c r="A14595" s="4" t="str">
        <f t="shared" si="1165"/>
        <v>EXP00415</v>
      </c>
      <c r="B14595" s="3" t="s">
        <v>66</v>
      </c>
      <c r="C14595" s="4" t="str">
        <f t="shared" si="1166"/>
        <v>TCGA-BRCA</v>
      </c>
      <c r="D14595" s="1" t="s">
        <v>493</v>
      </c>
      <c r="E14595" t="s">
        <v>533</v>
      </c>
      <c r="F14595" s="1">
        <v>1</v>
      </c>
      <c r="G14595" s="1" t="s">
        <v>36</v>
      </c>
      <c r="H14595" s="4" t="str">
        <f>HYPERLINK("https://portal.gdc.cancer.gov/cases/be9bf36a-12e1-4386-addf-1686dc8b49de","TCGA-E2-A153-11A")</f>
        <v>TCGA-E2-A153-11A</v>
      </c>
      <c r="I14595" t="s">
        <v>17</v>
      </c>
      <c r="J14595" t="s">
        <v>524</v>
      </c>
      <c r="K14595" t="s">
        <v>33</v>
      </c>
      <c r="L14595" t="s">
        <v>20</v>
      </c>
      <c r="N14595" t="s">
        <v>37</v>
      </c>
    </row>
    <row r="14596" spans="1:14">
      <c r="A14596" s="4" t="str">
        <f t="shared" si="1165"/>
        <v>EXP00415</v>
      </c>
      <c r="B14596" s="3" t="s">
        <v>66</v>
      </c>
      <c r="C14596" s="4" t="str">
        <f t="shared" si="1166"/>
        <v>TCGA-BRCA</v>
      </c>
      <c r="D14596" s="1" t="s">
        <v>493</v>
      </c>
      <c r="E14596" t="s">
        <v>533</v>
      </c>
      <c r="F14596" s="1">
        <v>1</v>
      </c>
      <c r="G14596" s="1" t="s">
        <v>36</v>
      </c>
      <c r="H14596" s="4" t="str">
        <f>HYPERLINK("https://portal.gdc.cancer.gov/cases/a6edb6ca-ae9f-4da7-8ebe-92d83d2987fb","TCGA-E2-A158-11A")</f>
        <v>TCGA-E2-A158-11A</v>
      </c>
      <c r="I14596" t="s">
        <v>17</v>
      </c>
      <c r="J14596" t="s">
        <v>524</v>
      </c>
      <c r="K14596" t="s">
        <v>33</v>
      </c>
      <c r="L14596" t="s">
        <v>20</v>
      </c>
      <c r="N14596" t="s">
        <v>37</v>
      </c>
    </row>
    <row r="14597" spans="1:14">
      <c r="A14597" s="4" t="str">
        <f t="shared" si="1165"/>
        <v>EXP00415</v>
      </c>
      <c r="B14597" s="3" t="s">
        <v>66</v>
      </c>
      <c r="C14597" s="4" t="str">
        <f t="shared" si="1166"/>
        <v>TCGA-BRCA</v>
      </c>
      <c r="D14597" s="1" t="s">
        <v>493</v>
      </c>
      <c r="E14597" t="s">
        <v>533</v>
      </c>
      <c r="F14597" s="1">
        <v>1</v>
      </c>
      <c r="G14597" s="1" t="s">
        <v>36</v>
      </c>
      <c r="H14597" s="4" t="str">
        <f>HYPERLINK("https://portal.gdc.cancer.gov/cases/64089c20-939f-48b4-ae8b-904ad0597145","TCGA-E2-A15I-11A")</f>
        <v>TCGA-E2-A15I-11A</v>
      </c>
      <c r="I14597" t="s">
        <v>17</v>
      </c>
      <c r="J14597" t="s">
        <v>524</v>
      </c>
      <c r="K14597" t="s">
        <v>33</v>
      </c>
      <c r="L14597" t="s">
        <v>20</v>
      </c>
      <c r="N14597" t="s">
        <v>37</v>
      </c>
    </row>
    <row r="14598" spans="1:14">
      <c r="A14598" s="4" t="str">
        <f t="shared" si="1165"/>
        <v>EXP00415</v>
      </c>
      <c r="B14598" s="3" t="s">
        <v>66</v>
      </c>
      <c r="C14598" s="4" t="str">
        <f t="shared" si="1166"/>
        <v>TCGA-BRCA</v>
      </c>
      <c r="D14598" s="1" t="s">
        <v>493</v>
      </c>
      <c r="E14598" t="s">
        <v>533</v>
      </c>
      <c r="F14598" s="1">
        <v>1</v>
      </c>
      <c r="G14598" s="1" t="s">
        <v>36</v>
      </c>
      <c r="H14598" s="4" t="str">
        <f>HYPERLINK("https://portal.gdc.cancer.gov/cases/59be60a3-e0f6-4d63-b98c-574ef92428c4","TCGA-E2-A15M-11A")</f>
        <v>TCGA-E2-A15M-11A</v>
      </c>
      <c r="I14598" t="s">
        <v>17</v>
      </c>
      <c r="J14598" t="s">
        <v>524</v>
      </c>
      <c r="K14598" t="s">
        <v>33</v>
      </c>
      <c r="L14598" t="s">
        <v>20</v>
      </c>
      <c r="N14598" t="s">
        <v>37</v>
      </c>
    </row>
    <row r="14599" spans="1:14">
      <c r="A14599" s="4" t="str">
        <f t="shared" si="1165"/>
        <v>EXP00415</v>
      </c>
      <c r="B14599" s="3" t="s">
        <v>66</v>
      </c>
      <c r="C14599" s="4" t="str">
        <f t="shared" si="1166"/>
        <v>TCGA-BRCA</v>
      </c>
      <c r="D14599" s="1" t="s">
        <v>493</v>
      </c>
      <c r="E14599" t="s">
        <v>533</v>
      </c>
      <c r="F14599" s="1">
        <v>1</v>
      </c>
      <c r="G14599" s="1" t="s">
        <v>36</v>
      </c>
      <c r="H14599" s="4" t="str">
        <f>HYPERLINK("https://portal.gdc.cancer.gov/cases/d8492ebd-3d94-4a4b-8de7-386526691cc2","TCGA-E2-A1BC-11A")</f>
        <v>TCGA-E2-A1BC-11A</v>
      </c>
      <c r="I14599" t="s">
        <v>17</v>
      </c>
      <c r="J14599" t="s">
        <v>524</v>
      </c>
      <c r="K14599" t="s">
        <v>33</v>
      </c>
      <c r="L14599" t="s">
        <v>20</v>
      </c>
      <c r="N14599" t="s">
        <v>37</v>
      </c>
    </row>
    <row r="14600" spans="1:14">
      <c r="A14600" s="4" t="str">
        <f t="shared" si="1165"/>
        <v>EXP00415</v>
      </c>
      <c r="B14600" s="3" t="s">
        <v>66</v>
      </c>
      <c r="C14600" s="4" t="str">
        <f t="shared" si="1166"/>
        <v>TCGA-BRCA</v>
      </c>
      <c r="D14600" s="1" t="s">
        <v>493</v>
      </c>
      <c r="E14600" t="s">
        <v>533</v>
      </c>
      <c r="F14600" s="1">
        <v>1</v>
      </c>
      <c r="G14600" s="1" t="s">
        <v>36</v>
      </c>
      <c r="H14600" s="4" t="str">
        <f>HYPERLINK("https://portal.gdc.cancer.gov/cases/bc0bc70f-c6cf-4dbc-9dc3-8b7bc5f381a4","TCGA-E2-A1IG-11A")</f>
        <v>TCGA-E2-A1IG-11A</v>
      </c>
      <c r="I14600" t="s">
        <v>17</v>
      </c>
      <c r="J14600" t="s">
        <v>524</v>
      </c>
      <c r="K14600" t="s">
        <v>33</v>
      </c>
      <c r="L14600" t="s">
        <v>20</v>
      </c>
      <c r="N14600" t="s">
        <v>37</v>
      </c>
    </row>
    <row r="14601" spans="1:14">
      <c r="A14601" s="4" t="str">
        <f t="shared" si="1165"/>
        <v>EXP00415</v>
      </c>
      <c r="B14601" s="3" t="s">
        <v>66</v>
      </c>
      <c r="C14601" s="4" t="str">
        <f t="shared" si="1166"/>
        <v>TCGA-BRCA</v>
      </c>
      <c r="D14601" s="1" t="s">
        <v>493</v>
      </c>
      <c r="E14601" t="s">
        <v>533</v>
      </c>
      <c r="F14601" s="1">
        <v>1</v>
      </c>
      <c r="G14601" s="1" t="s">
        <v>36</v>
      </c>
      <c r="H14601" s="4" t="str">
        <f>HYPERLINK("https://portal.gdc.cancer.gov/cases/791c5768-f0f5-4ab6-86eb-998e5c4b49e3","TCGA-E2-A1L7-11A")</f>
        <v>TCGA-E2-A1L7-11A</v>
      </c>
      <c r="I14601" t="s">
        <v>17</v>
      </c>
      <c r="J14601" t="s">
        <v>524</v>
      </c>
      <c r="K14601" t="s">
        <v>33</v>
      </c>
      <c r="L14601" t="s">
        <v>20</v>
      </c>
      <c r="N14601" t="s">
        <v>37</v>
      </c>
    </row>
    <row r="14602" spans="1:14">
      <c r="A14602" s="4" t="str">
        <f t="shared" si="1165"/>
        <v>EXP00415</v>
      </c>
      <c r="B14602" s="3" t="s">
        <v>66</v>
      </c>
      <c r="C14602" s="4" t="str">
        <f t="shared" si="1166"/>
        <v>TCGA-BRCA</v>
      </c>
      <c r="D14602" s="1" t="s">
        <v>493</v>
      </c>
      <c r="E14602" t="s">
        <v>533</v>
      </c>
      <c r="F14602" s="1">
        <v>1</v>
      </c>
      <c r="G14602" s="1" t="s">
        <v>36</v>
      </c>
      <c r="H14602" s="4" t="str">
        <f>HYPERLINK("https://portal.gdc.cancer.gov/cases/fa176764-a76f-44c7-b97a-cd6d21e052be","TCGA-E2-A1LB-11A")</f>
        <v>TCGA-E2-A1LB-11A</v>
      </c>
      <c r="I14602" t="s">
        <v>17</v>
      </c>
      <c r="J14602" t="s">
        <v>524</v>
      </c>
      <c r="K14602" t="s">
        <v>33</v>
      </c>
      <c r="L14602" t="s">
        <v>20</v>
      </c>
      <c r="N14602" t="s">
        <v>37</v>
      </c>
    </row>
    <row r="14603" spans="1:14">
      <c r="A14603" s="4" t="str">
        <f t="shared" si="1165"/>
        <v>EXP00415</v>
      </c>
      <c r="B14603" s="3" t="s">
        <v>66</v>
      </c>
      <c r="C14603" s="4" t="str">
        <f t="shared" si="1166"/>
        <v>TCGA-BRCA</v>
      </c>
      <c r="D14603" s="1" t="s">
        <v>493</v>
      </c>
      <c r="E14603" t="s">
        <v>533</v>
      </c>
      <c r="F14603" s="1">
        <v>1</v>
      </c>
      <c r="G14603" s="1" t="s">
        <v>36</v>
      </c>
      <c r="H14603" s="4" t="str">
        <f>HYPERLINK("https://portal.gdc.cancer.gov/cases/d8ecba6a-9fff-4993-a799-9a8d2aea524e","TCGA-E2-A1LH-11A")</f>
        <v>TCGA-E2-A1LH-11A</v>
      </c>
      <c r="I14603" t="s">
        <v>17</v>
      </c>
      <c r="J14603" t="s">
        <v>524</v>
      </c>
      <c r="K14603" t="s">
        <v>33</v>
      </c>
      <c r="L14603" t="s">
        <v>20</v>
      </c>
      <c r="N14603" t="s">
        <v>37</v>
      </c>
    </row>
    <row r="14604" spans="1:14">
      <c r="A14604" s="4" t="str">
        <f t="shared" si="1165"/>
        <v>EXP00415</v>
      </c>
      <c r="B14604" s="3" t="s">
        <v>66</v>
      </c>
      <c r="C14604" s="4" t="str">
        <f t="shared" si="1166"/>
        <v>TCGA-BRCA</v>
      </c>
      <c r="D14604" s="1" t="s">
        <v>493</v>
      </c>
      <c r="E14604" t="s">
        <v>533</v>
      </c>
      <c r="F14604" s="1">
        <v>1</v>
      </c>
      <c r="G14604" s="1" t="s">
        <v>36</v>
      </c>
      <c r="H14604" s="4" t="str">
        <f>HYPERLINK("https://portal.gdc.cancer.gov/cases/91a2f2af-e4b1-4a0b-ab20-6a36ce63c533","TCGA-E2-A1LS-11A")</f>
        <v>TCGA-E2-A1LS-11A</v>
      </c>
      <c r="I14604" t="s">
        <v>17</v>
      </c>
      <c r="J14604" t="s">
        <v>524</v>
      </c>
      <c r="K14604" t="s">
        <v>33</v>
      </c>
      <c r="L14604" t="s">
        <v>20</v>
      </c>
      <c r="N14604" t="s">
        <v>37</v>
      </c>
    </row>
    <row r="14605" spans="1:14">
      <c r="A14605" s="4" t="str">
        <f t="shared" si="1165"/>
        <v>EXP00415</v>
      </c>
      <c r="B14605" s="3" t="s">
        <v>66</v>
      </c>
      <c r="C14605" s="4" t="str">
        <f t="shared" si="1166"/>
        <v>TCGA-BRCA</v>
      </c>
      <c r="D14605" s="1" t="s">
        <v>493</v>
      </c>
      <c r="E14605" t="s">
        <v>533</v>
      </c>
      <c r="F14605" s="1">
        <v>1</v>
      </c>
      <c r="G14605" s="1" t="s">
        <v>36</v>
      </c>
      <c r="H14605" s="4" t="str">
        <f>HYPERLINK("https://portal.gdc.cancer.gov/cases/69a68fbc-e43d-4652-85ee-693211bded47","TCGA-E9-A1N4-11A")</f>
        <v>TCGA-E9-A1N4-11A</v>
      </c>
      <c r="I14605" t="s">
        <v>17</v>
      </c>
      <c r="J14605" t="s">
        <v>524</v>
      </c>
      <c r="K14605" t="s">
        <v>33</v>
      </c>
      <c r="L14605" t="s">
        <v>20</v>
      </c>
      <c r="N14605" t="s">
        <v>37</v>
      </c>
    </row>
    <row r="14606" spans="1:14">
      <c r="A14606" s="4" t="str">
        <f t="shared" si="1165"/>
        <v>EXP00415</v>
      </c>
      <c r="B14606" s="3" t="s">
        <v>66</v>
      </c>
      <c r="C14606" s="4" t="str">
        <f t="shared" si="1166"/>
        <v>TCGA-BRCA</v>
      </c>
      <c r="D14606" s="1" t="s">
        <v>493</v>
      </c>
      <c r="E14606" t="s">
        <v>533</v>
      </c>
      <c r="F14606" s="1">
        <v>1</v>
      </c>
      <c r="G14606" s="1" t="s">
        <v>36</v>
      </c>
      <c r="H14606" s="4" t="str">
        <f>HYPERLINK("https://portal.gdc.cancer.gov/cases/f954de05-1b44-4087-8933-6cc72d81028d","TCGA-E9-A1N5-11A")</f>
        <v>TCGA-E9-A1N5-11A</v>
      </c>
      <c r="I14606" t="s">
        <v>17</v>
      </c>
      <c r="J14606" t="s">
        <v>524</v>
      </c>
      <c r="K14606" t="s">
        <v>33</v>
      </c>
      <c r="L14606" t="s">
        <v>20</v>
      </c>
      <c r="N14606" t="s">
        <v>37</v>
      </c>
    </row>
    <row r="14607" spans="1:14">
      <c r="A14607" s="4" t="str">
        <f t="shared" si="1165"/>
        <v>EXP00415</v>
      </c>
      <c r="B14607" s="3" t="s">
        <v>66</v>
      </c>
      <c r="C14607" s="4" t="str">
        <f t="shared" si="1166"/>
        <v>TCGA-BRCA</v>
      </c>
      <c r="D14607" s="1" t="s">
        <v>493</v>
      </c>
      <c r="E14607" t="s">
        <v>533</v>
      </c>
      <c r="F14607" s="1">
        <v>1</v>
      </c>
      <c r="G14607" s="1" t="s">
        <v>36</v>
      </c>
      <c r="H14607" s="4" t="str">
        <f>HYPERLINK("https://portal.gdc.cancer.gov/cases/955d4263-61f7-42e8-8a6e-772a0d6c209d","TCGA-E9-A1N6-11A")</f>
        <v>TCGA-E9-A1N6-11A</v>
      </c>
      <c r="I14607" t="s">
        <v>17</v>
      </c>
      <c r="J14607" t="s">
        <v>524</v>
      </c>
      <c r="K14607" t="s">
        <v>33</v>
      </c>
      <c r="L14607" t="s">
        <v>20</v>
      </c>
      <c r="N14607" t="s">
        <v>37</v>
      </c>
    </row>
    <row r="14608" spans="1:14">
      <c r="A14608" s="4" t="str">
        <f t="shared" si="1165"/>
        <v>EXP00415</v>
      </c>
      <c r="B14608" s="3" t="s">
        <v>66</v>
      </c>
      <c r="C14608" s="4" t="str">
        <f t="shared" si="1166"/>
        <v>TCGA-BRCA</v>
      </c>
      <c r="D14608" s="1" t="s">
        <v>493</v>
      </c>
      <c r="E14608" t="s">
        <v>533</v>
      </c>
      <c r="F14608" s="1">
        <v>1</v>
      </c>
      <c r="G14608" s="1" t="s">
        <v>36</v>
      </c>
      <c r="H14608" s="4" t="str">
        <f>HYPERLINK("https://portal.gdc.cancer.gov/cases/994ca1f5-ad10-44ec-aa21-71fc2940653b","TCGA-E9-A1N9-11A")</f>
        <v>TCGA-E9-A1N9-11A</v>
      </c>
      <c r="I14608" t="s">
        <v>17</v>
      </c>
      <c r="J14608" t="s">
        <v>524</v>
      </c>
      <c r="K14608" t="s">
        <v>33</v>
      </c>
      <c r="L14608" t="s">
        <v>20</v>
      </c>
      <c r="N14608" t="s">
        <v>37</v>
      </c>
    </row>
    <row r="14609" spans="1:14">
      <c r="A14609" s="4" t="str">
        <f t="shared" si="1165"/>
        <v>EXP00415</v>
      </c>
      <c r="B14609" s="3" t="s">
        <v>66</v>
      </c>
      <c r="C14609" s="4" t="str">
        <f t="shared" si="1166"/>
        <v>TCGA-BRCA</v>
      </c>
      <c r="D14609" s="1" t="s">
        <v>493</v>
      </c>
      <c r="E14609" t="s">
        <v>533</v>
      </c>
      <c r="F14609" s="1">
        <v>1</v>
      </c>
      <c r="G14609" s="1" t="s">
        <v>36</v>
      </c>
      <c r="H14609" s="4" t="str">
        <f>HYPERLINK("https://portal.gdc.cancer.gov/cases/af577366-0258-49e7-b6af-e70056c081a4","TCGA-E9-A1NA-11A")</f>
        <v>TCGA-E9-A1NA-11A</v>
      </c>
      <c r="I14609" t="s">
        <v>17</v>
      </c>
      <c r="J14609" t="s">
        <v>524</v>
      </c>
      <c r="K14609" t="s">
        <v>33</v>
      </c>
      <c r="L14609" t="s">
        <v>20</v>
      </c>
      <c r="N14609" t="s">
        <v>37</v>
      </c>
    </row>
    <row r="14610" spans="1:14">
      <c r="A14610" s="4" t="str">
        <f t="shared" si="1165"/>
        <v>EXP00415</v>
      </c>
      <c r="B14610" s="3" t="s">
        <v>66</v>
      </c>
      <c r="C14610" s="4" t="str">
        <f t="shared" si="1166"/>
        <v>TCGA-BRCA</v>
      </c>
      <c r="D14610" s="1" t="s">
        <v>493</v>
      </c>
      <c r="E14610" t="s">
        <v>533</v>
      </c>
      <c r="F14610" s="1">
        <v>1</v>
      </c>
      <c r="G14610" s="1" t="s">
        <v>36</v>
      </c>
      <c r="H14610" s="4" t="str">
        <f>HYPERLINK("https://portal.gdc.cancer.gov/cases/f06f09f3-8133-4a92-ac86-fbe64295e0d8","TCGA-E9-A1ND-11A")</f>
        <v>TCGA-E9-A1ND-11A</v>
      </c>
      <c r="I14610" t="s">
        <v>17</v>
      </c>
      <c r="J14610" t="s">
        <v>524</v>
      </c>
      <c r="K14610" t="s">
        <v>33</v>
      </c>
      <c r="L14610" t="s">
        <v>20</v>
      </c>
      <c r="N14610" t="s">
        <v>37</v>
      </c>
    </row>
    <row r="14611" spans="1:14">
      <c r="A14611" s="4" t="str">
        <f t="shared" si="1165"/>
        <v>EXP00415</v>
      </c>
      <c r="B14611" s="3" t="s">
        <v>66</v>
      </c>
      <c r="C14611" s="4" t="str">
        <f t="shared" si="1166"/>
        <v>TCGA-BRCA</v>
      </c>
      <c r="D14611" s="1" t="s">
        <v>493</v>
      </c>
      <c r="E14611" t="s">
        <v>533</v>
      </c>
      <c r="F14611" s="1">
        <v>1</v>
      </c>
      <c r="G14611" s="1" t="s">
        <v>36</v>
      </c>
      <c r="H14611" s="4" t="str">
        <f>HYPERLINK("https://portal.gdc.cancer.gov/cases/a8b1f6e7-2bcf-460d-b1c6-1792a9801119","TCGA-E9-A1NF-11A")</f>
        <v>TCGA-E9-A1NF-11A</v>
      </c>
      <c r="I14611" t="s">
        <v>17</v>
      </c>
      <c r="J14611" t="s">
        <v>524</v>
      </c>
      <c r="K14611" t="s">
        <v>33</v>
      </c>
      <c r="L14611" t="s">
        <v>20</v>
      </c>
      <c r="N14611" t="s">
        <v>37</v>
      </c>
    </row>
    <row r="14612" spans="1:14">
      <c r="A14612" s="4" t="str">
        <f t="shared" si="1165"/>
        <v>EXP00415</v>
      </c>
      <c r="B14612" s="3" t="s">
        <v>66</v>
      </c>
      <c r="C14612" s="4" t="str">
        <f t="shared" si="1166"/>
        <v>TCGA-BRCA</v>
      </c>
      <c r="D14612" s="1" t="s">
        <v>493</v>
      </c>
      <c r="E14612" t="s">
        <v>533</v>
      </c>
      <c r="F14612" s="1">
        <v>1</v>
      </c>
      <c r="G14612" s="1" t="s">
        <v>36</v>
      </c>
      <c r="H14612" s="4" t="str">
        <f>HYPERLINK("https://portal.gdc.cancer.gov/cases/659b0170-e914-45ff-aa55-fcb8d3dc7b8a","TCGA-E9-A1NG-11A")</f>
        <v>TCGA-E9-A1NG-11A</v>
      </c>
      <c r="I14612" t="s">
        <v>17</v>
      </c>
      <c r="J14612" t="s">
        <v>524</v>
      </c>
      <c r="K14612" t="s">
        <v>33</v>
      </c>
      <c r="L14612" t="s">
        <v>20</v>
      </c>
      <c r="N14612" t="s">
        <v>37</v>
      </c>
    </row>
    <row r="14613" spans="1:14">
      <c r="A14613" s="4" t="str">
        <f t="shared" si="1165"/>
        <v>EXP00415</v>
      </c>
      <c r="B14613" s="3" t="s">
        <v>66</v>
      </c>
      <c r="C14613" s="4" t="str">
        <f t="shared" si="1166"/>
        <v>TCGA-BRCA</v>
      </c>
      <c r="D14613" s="1" t="s">
        <v>493</v>
      </c>
      <c r="E14613" t="s">
        <v>533</v>
      </c>
      <c r="F14613" s="1">
        <v>1</v>
      </c>
      <c r="G14613" s="1" t="s">
        <v>36</v>
      </c>
      <c r="H14613" s="4" t="str">
        <f>HYPERLINK("https://portal.gdc.cancer.gov/cases/2680da86-c977-4611-b75f-df015283c023","TCGA-E9-A1R7-11A")</f>
        <v>TCGA-E9-A1R7-11A</v>
      </c>
      <c r="I14613" t="s">
        <v>17</v>
      </c>
      <c r="J14613" t="s">
        <v>524</v>
      </c>
      <c r="K14613" t="s">
        <v>33</v>
      </c>
      <c r="L14613" t="s">
        <v>20</v>
      </c>
      <c r="N14613" t="s">
        <v>37</v>
      </c>
    </row>
    <row r="14614" spans="1:14">
      <c r="A14614" s="4" t="str">
        <f t="shared" si="1165"/>
        <v>EXP00415</v>
      </c>
      <c r="B14614" s="3" t="s">
        <v>66</v>
      </c>
      <c r="C14614" s="4" t="str">
        <f t="shared" si="1166"/>
        <v>TCGA-BRCA</v>
      </c>
      <c r="D14614" s="1" t="s">
        <v>493</v>
      </c>
      <c r="E14614" t="s">
        <v>533</v>
      </c>
      <c r="F14614" s="1">
        <v>1</v>
      </c>
      <c r="G14614" s="1" t="s">
        <v>36</v>
      </c>
      <c r="H14614" s="4" t="str">
        <f>HYPERLINK("https://portal.gdc.cancer.gov/cases/94b95984-b2fb-4e42-8887-45e7086c3179","TCGA-E9-A1RB-11A")</f>
        <v>TCGA-E9-A1RB-11A</v>
      </c>
      <c r="I14614" t="s">
        <v>17</v>
      </c>
      <c r="J14614" t="s">
        <v>524</v>
      </c>
      <c r="K14614" t="s">
        <v>33</v>
      </c>
      <c r="L14614" t="s">
        <v>20</v>
      </c>
      <c r="N14614" t="s">
        <v>37</v>
      </c>
    </row>
    <row r="14615" spans="1:14">
      <c r="A14615" s="4" t="str">
        <f t="shared" si="1165"/>
        <v>EXP00415</v>
      </c>
      <c r="B14615" s="3" t="s">
        <v>66</v>
      </c>
      <c r="C14615" s="4" t="str">
        <f t="shared" si="1166"/>
        <v>TCGA-BRCA</v>
      </c>
      <c r="D14615" s="1" t="s">
        <v>493</v>
      </c>
      <c r="E14615" t="s">
        <v>533</v>
      </c>
      <c r="F14615" s="1">
        <v>1</v>
      </c>
      <c r="G14615" s="1" t="s">
        <v>36</v>
      </c>
      <c r="H14615" s="4" t="str">
        <f>HYPERLINK("https://portal.gdc.cancer.gov/cases/5cdae21d-eee5-478f-932a-0f51fcf5f031","TCGA-E9-A1RC-11A")</f>
        <v>TCGA-E9-A1RC-11A</v>
      </c>
      <c r="I14615" t="s">
        <v>17</v>
      </c>
      <c r="J14615" t="s">
        <v>524</v>
      </c>
      <c r="K14615" t="s">
        <v>33</v>
      </c>
      <c r="L14615" t="s">
        <v>20</v>
      </c>
      <c r="N14615" t="s">
        <v>37</v>
      </c>
    </row>
    <row r="14616" spans="1:14">
      <c r="A14616" s="4" t="str">
        <f t="shared" si="1165"/>
        <v>EXP00415</v>
      </c>
      <c r="B14616" s="3" t="s">
        <v>66</v>
      </c>
      <c r="C14616" s="4" t="str">
        <f t="shared" si="1166"/>
        <v>TCGA-BRCA</v>
      </c>
      <c r="D14616" s="1" t="s">
        <v>493</v>
      </c>
      <c r="E14616" t="s">
        <v>533</v>
      </c>
      <c r="F14616" s="1">
        <v>1</v>
      </c>
      <c r="G14616" s="1" t="s">
        <v>36</v>
      </c>
      <c r="H14616" s="4" t="str">
        <f>HYPERLINK("https://portal.gdc.cancer.gov/cases/5fe3c51f-65e2-4da6-8924-a6fae17c022d","TCGA-E9-A1RD-11A")</f>
        <v>TCGA-E9-A1RD-11A</v>
      </c>
      <c r="I14616" t="s">
        <v>17</v>
      </c>
      <c r="J14616" t="s">
        <v>524</v>
      </c>
      <c r="K14616" t="s">
        <v>33</v>
      </c>
      <c r="L14616" t="s">
        <v>20</v>
      </c>
      <c r="N14616" t="s">
        <v>37</v>
      </c>
    </row>
    <row r="14617" spans="1:14">
      <c r="A14617" s="4" t="str">
        <f t="shared" si="1165"/>
        <v>EXP00415</v>
      </c>
      <c r="B14617" s="3" t="s">
        <v>66</v>
      </c>
      <c r="C14617" s="4" t="str">
        <f t="shared" si="1166"/>
        <v>TCGA-BRCA</v>
      </c>
      <c r="D14617" s="1" t="s">
        <v>493</v>
      </c>
      <c r="E14617" t="s">
        <v>533</v>
      </c>
      <c r="F14617" s="1">
        <v>1</v>
      </c>
      <c r="G14617" s="1" t="s">
        <v>36</v>
      </c>
      <c r="H14617" s="4" t="str">
        <f>HYPERLINK("https://portal.gdc.cancer.gov/cases/c694615c-b1c6-499c-8058-995633ebf948","TCGA-E9-A1RF-11A")</f>
        <v>TCGA-E9-A1RF-11A</v>
      </c>
      <c r="I14617" t="s">
        <v>17</v>
      </c>
      <c r="J14617" t="s">
        <v>524</v>
      </c>
      <c r="K14617" t="s">
        <v>33</v>
      </c>
      <c r="L14617" t="s">
        <v>20</v>
      </c>
      <c r="N14617" t="s">
        <v>37</v>
      </c>
    </row>
    <row r="14618" spans="1:14">
      <c r="A14618" s="4" t="str">
        <f t="shared" si="1165"/>
        <v>EXP00415</v>
      </c>
      <c r="B14618" s="3" t="s">
        <v>66</v>
      </c>
      <c r="C14618" s="4" t="str">
        <f t="shared" si="1166"/>
        <v>TCGA-BRCA</v>
      </c>
      <c r="D14618" s="1" t="s">
        <v>493</v>
      </c>
      <c r="E14618" t="s">
        <v>533</v>
      </c>
      <c r="F14618" s="1">
        <v>1</v>
      </c>
      <c r="G14618" s="1" t="s">
        <v>36</v>
      </c>
      <c r="H14618" s="4" t="str">
        <f>HYPERLINK("https://portal.gdc.cancer.gov/cases/408cb583-6dc3-4698-8bd2-e284042bd5ef","TCGA-E9-A1RH-11A")</f>
        <v>TCGA-E9-A1RH-11A</v>
      </c>
      <c r="I14618" t="s">
        <v>17</v>
      </c>
      <c r="J14618" t="s">
        <v>524</v>
      </c>
      <c r="K14618" t="s">
        <v>33</v>
      </c>
      <c r="L14618" t="s">
        <v>20</v>
      </c>
      <c r="N14618" t="s">
        <v>37</v>
      </c>
    </row>
    <row r="14619" spans="1:14">
      <c r="A14619" s="4" t="str">
        <f t="shared" si="1165"/>
        <v>EXP00415</v>
      </c>
      <c r="B14619" s="3" t="s">
        <v>66</v>
      </c>
      <c r="C14619" s="4" t="str">
        <f t="shared" si="1166"/>
        <v>TCGA-BRCA</v>
      </c>
      <c r="D14619" s="1" t="s">
        <v>493</v>
      </c>
      <c r="E14619" t="s">
        <v>533</v>
      </c>
      <c r="F14619" s="1">
        <v>1</v>
      </c>
      <c r="G14619" s="1" t="s">
        <v>36</v>
      </c>
      <c r="H14619" s="4" t="str">
        <f>HYPERLINK("https://portal.gdc.cancer.gov/cases/dd3bfb26-b534-4917-9c4d-9fe7b6477762","TCGA-E9-A1RI-11A")</f>
        <v>TCGA-E9-A1RI-11A</v>
      </c>
      <c r="I14619" t="s">
        <v>17</v>
      </c>
      <c r="J14619" t="s">
        <v>524</v>
      </c>
      <c r="K14619" t="s">
        <v>33</v>
      </c>
      <c r="L14619" t="s">
        <v>20</v>
      </c>
      <c r="N14619" t="s">
        <v>37</v>
      </c>
    </row>
    <row r="14620" spans="1:14">
      <c r="A14620" s="4" t="str">
        <f t="shared" si="1165"/>
        <v>EXP00415</v>
      </c>
      <c r="B14620" s="3" t="s">
        <v>66</v>
      </c>
      <c r="C14620" s="4" t="str">
        <f t="shared" si="1166"/>
        <v>TCGA-BRCA</v>
      </c>
      <c r="D14620" s="1" t="s">
        <v>493</v>
      </c>
      <c r="E14620" t="s">
        <v>533</v>
      </c>
      <c r="F14620" s="1">
        <v>1</v>
      </c>
      <c r="G14620" s="1" t="s">
        <v>36</v>
      </c>
      <c r="H14620" s="4" t="str">
        <f>HYPERLINK("https://portal.gdc.cancer.gov/cases/33fe5833-d7a0-43d7-a03d-56985ea448a6","TCGA-GI-A2C8-11A")</f>
        <v>TCGA-GI-A2C8-11A</v>
      </c>
      <c r="I14620" t="s">
        <v>17</v>
      </c>
      <c r="J14620" t="s">
        <v>524</v>
      </c>
      <c r="K14620" t="s">
        <v>33</v>
      </c>
      <c r="L14620" t="s">
        <v>20</v>
      </c>
      <c r="N14620" t="s">
        <v>37</v>
      </c>
    </row>
    <row r="14621" spans="1:14">
      <c r="A14621" s="4" t="str">
        <f t="shared" si="1165"/>
        <v>EXP00415</v>
      </c>
      <c r="B14621" s="3" t="s">
        <v>66</v>
      </c>
      <c r="C14621" s="4" t="str">
        <f t="shared" si="1166"/>
        <v>TCGA-BRCA</v>
      </c>
      <c r="D14621" s="1" t="s">
        <v>493</v>
      </c>
      <c r="E14621" t="s">
        <v>533</v>
      </c>
      <c r="F14621" s="1">
        <v>1</v>
      </c>
      <c r="G14621" s="1" t="s">
        <v>36</v>
      </c>
      <c r="H14621" s="4" t="str">
        <f>HYPERLINK("https://portal.gdc.cancer.gov/cases/9f6be944-83de-42ab-8738-f0022f475e61","TCGA-GI-A2C9-11A")</f>
        <v>TCGA-GI-A2C9-11A</v>
      </c>
      <c r="I14621" t="s">
        <v>17</v>
      </c>
      <c r="J14621" t="s">
        <v>524</v>
      </c>
      <c r="K14621" t="s">
        <v>33</v>
      </c>
      <c r="L14621" t="s">
        <v>20</v>
      </c>
      <c r="N14621" t="s">
        <v>37</v>
      </c>
    </row>
    <row r="14622" spans="1:14">
      <c r="A14622" s="4" t="str">
        <f t="shared" si="1165"/>
        <v>EXP00415</v>
      </c>
      <c r="B14622" s="3" t="s">
        <v>66</v>
      </c>
      <c r="C14622" s="4" t="str">
        <f t="shared" si="1166"/>
        <v>TCGA-BRCA</v>
      </c>
      <c r="D14622" s="1" t="s">
        <v>493</v>
      </c>
      <c r="E14622" t="s">
        <v>533</v>
      </c>
      <c r="F14622" s="1">
        <v>2</v>
      </c>
      <c r="G14622" s="1" t="s">
        <v>28</v>
      </c>
      <c r="H14622" s="4" t="str">
        <f>HYPERLINK("https://portal.gdc.cancer.gov/cases/6e7d5ec6-a469-467c-b748-237353c23416","TCGA-3C-AAAU-01A")</f>
        <v>TCGA-3C-AAAU-01A</v>
      </c>
      <c r="I14622" t="s">
        <v>17</v>
      </c>
      <c r="J14622" t="s">
        <v>524</v>
      </c>
      <c r="K14622" t="s">
        <v>33</v>
      </c>
      <c r="L14622" t="s">
        <v>20</v>
      </c>
      <c r="N14622" t="s">
        <v>29</v>
      </c>
    </row>
    <row r="14623" spans="1:14">
      <c r="A14623" s="4" t="str">
        <f t="shared" si="1165"/>
        <v>EXP00415</v>
      </c>
      <c r="B14623" s="3" t="s">
        <v>66</v>
      </c>
      <c r="C14623" s="4" t="str">
        <f t="shared" si="1166"/>
        <v>TCGA-BRCA</v>
      </c>
      <c r="D14623" s="1" t="s">
        <v>493</v>
      </c>
      <c r="E14623" t="s">
        <v>533</v>
      </c>
      <c r="F14623" s="1">
        <v>2</v>
      </c>
      <c r="G14623" s="1" t="s">
        <v>28</v>
      </c>
      <c r="H14623" s="4" t="str">
        <f>HYPERLINK("https://portal.gdc.cancer.gov/cases/55262fcb-1b01-4480-b322-36570430c917","TCGA-3C-AALI-01A")</f>
        <v>TCGA-3C-AALI-01A</v>
      </c>
      <c r="I14623" t="s">
        <v>17</v>
      </c>
      <c r="J14623" t="s">
        <v>524</v>
      </c>
      <c r="K14623" t="s">
        <v>33</v>
      </c>
      <c r="L14623" t="s">
        <v>20</v>
      </c>
      <c r="N14623" t="s">
        <v>29</v>
      </c>
    </row>
    <row r="14624" spans="1:14">
      <c r="A14624" s="4" t="str">
        <f t="shared" si="1165"/>
        <v>EXP00415</v>
      </c>
      <c r="B14624" s="3" t="s">
        <v>66</v>
      </c>
      <c r="C14624" s="4" t="str">
        <f t="shared" si="1166"/>
        <v>TCGA-BRCA</v>
      </c>
      <c r="D14624" s="1" t="s">
        <v>493</v>
      </c>
      <c r="E14624" t="s">
        <v>533</v>
      </c>
      <c r="F14624" s="1">
        <v>2</v>
      </c>
      <c r="G14624" s="1" t="s">
        <v>28</v>
      </c>
      <c r="H14624" s="4" t="str">
        <f>HYPERLINK("https://portal.gdc.cancer.gov/cases/427d0648-3f77-4ffc-b52c-89855426d647","TCGA-3C-AALJ-01A")</f>
        <v>TCGA-3C-AALJ-01A</v>
      </c>
      <c r="I14624" t="s">
        <v>17</v>
      </c>
      <c r="J14624" t="s">
        <v>524</v>
      </c>
      <c r="K14624" t="s">
        <v>33</v>
      </c>
      <c r="L14624" t="s">
        <v>20</v>
      </c>
      <c r="N14624" t="s">
        <v>29</v>
      </c>
    </row>
    <row r="14625" spans="1:14">
      <c r="A14625" s="4" t="str">
        <f t="shared" si="1165"/>
        <v>EXP00415</v>
      </c>
      <c r="B14625" s="3" t="s">
        <v>66</v>
      </c>
      <c r="C14625" s="4" t="str">
        <f t="shared" si="1166"/>
        <v>TCGA-BRCA</v>
      </c>
      <c r="D14625" s="1" t="s">
        <v>493</v>
      </c>
      <c r="E14625" t="s">
        <v>533</v>
      </c>
      <c r="F14625" s="1">
        <v>2</v>
      </c>
      <c r="G14625" s="1" t="s">
        <v>28</v>
      </c>
      <c r="H14625" s="4" t="str">
        <f>HYPERLINK("https://portal.gdc.cancer.gov/cases/c31900a4-5dcd-4022-97ac-638e86e889e4","TCGA-3C-AALK-01A")</f>
        <v>TCGA-3C-AALK-01A</v>
      </c>
      <c r="I14625" t="s">
        <v>17</v>
      </c>
      <c r="J14625" t="s">
        <v>524</v>
      </c>
      <c r="K14625" t="s">
        <v>33</v>
      </c>
      <c r="L14625" t="s">
        <v>20</v>
      </c>
      <c r="N14625" t="s">
        <v>29</v>
      </c>
    </row>
    <row r="14626" spans="1:14">
      <c r="A14626" s="4" t="str">
        <f t="shared" si="1165"/>
        <v>EXP00415</v>
      </c>
      <c r="B14626" s="3" t="s">
        <v>66</v>
      </c>
      <c r="C14626" s="4" t="str">
        <f t="shared" si="1166"/>
        <v>TCGA-BRCA</v>
      </c>
      <c r="D14626" s="1" t="s">
        <v>493</v>
      </c>
      <c r="E14626" t="s">
        <v>533</v>
      </c>
      <c r="F14626" s="1">
        <v>2</v>
      </c>
      <c r="G14626" s="1" t="s">
        <v>28</v>
      </c>
      <c r="H14626" s="4" t="str">
        <f>HYPERLINK("https://portal.gdc.cancer.gov/cases/6623fc5e-00be-4476-967a-cbd55f676ea6","TCGA-4H-AAAK-01A")</f>
        <v>TCGA-4H-AAAK-01A</v>
      </c>
      <c r="I14626" t="s">
        <v>17</v>
      </c>
      <c r="J14626" t="s">
        <v>524</v>
      </c>
      <c r="K14626" t="s">
        <v>33</v>
      </c>
      <c r="L14626" t="s">
        <v>20</v>
      </c>
      <c r="N14626" t="s">
        <v>29</v>
      </c>
    </row>
    <row r="14627" spans="1:14">
      <c r="A14627" s="4" t="str">
        <f t="shared" si="1165"/>
        <v>EXP00415</v>
      </c>
      <c r="B14627" s="3" t="s">
        <v>66</v>
      </c>
      <c r="C14627" s="4" t="str">
        <f t="shared" si="1166"/>
        <v>TCGA-BRCA</v>
      </c>
      <c r="D14627" s="1" t="s">
        <v>493</v>
      </c>
      <c r="E14627" t="s">
        <v>533</v>
      </c>
      <c r="F14627" s="1">
        <v>2</v>
      </c>
      <c r="G14627" s="1" t="s">
        <v>28</v>
      </c>
      <c r="H14627" s="4" t="str">
        <f>HYPERLINK("https://portal.gdc.cancer.gov/cases/86c6f993-327f-4525-9983-29c55625593a","TCGA-5L-AAT0-01A")</f>
        <v>TCGA-5L-AAT0-01A</v>
      </c>
      <c r="I14627" t="s">
        <v>17</v>
      </c>
      <c r="J14627" t="s">
        <v>524</v>
      </c>
      <c r="K14627" t="s">
        <v>33</v>
      </c>
      <c r="L14627" t="s">
        <v>20</v>
      </c>
      <c r="N14627" t="s">
        <v>29</v>
      </c>
    </row>
    <row r="14628" spans="1:14">
      <c r="A14628" s="4" t="str">
        <f t="shared" si="1165"/>
        <v>EXP00415</v>
      </c>
      <c r="B14628" s="3" t="s">
        <v>66</v>
      </c>
      <c r="C14628" s="4" t="str">
        <f t="shared" si="1166"/>
        <v>TCGA-BRCA</v>
      </c>
      <c r="D14628" s="1" t="s">
        <v>493</v>
      </c>
      <c r="E14628" t="s">
        <v>533</v>
      </c>
      <c r="F14628" s="1">
        <v>2</v>
      </c>
      <c r="G14628" s="1" t="s">
        <v>28</v>
      </c>
      <c r="H14628" s="4" t="str">
        <f>HYPERLINK("https://portal.gdc.cancer.gov/cases/16fc3677-0393-4ed1-ad3f-c8355f056369","TCGA-5L-AAT1-01A")</f>
        <v>TCGA-5L-AAT1-01A</v>
      </c>
      <c r="I14628" t="s">
        <v>17</v>
      </c>
      <c r="J14628" t="s">
        <v>524</v>
      </c>
      <c r="K14628" t="s">
        <v>33</v>
      </c>
      <c r="L14628" t="s">
        <v>20</v>
      </c>
      <c r="N14628" t="s">
        <v>29</v>
      </c>
    </row>
    <row r="14629" spans="1:14">
      <c r="A14629" s="4" t="str">
        <f t="shared" si="1165"/>
        <v>EXP00415</v>
      </c>
      <c r="B14629" s="3" t="s">
        <v>66</v>
      </c>
      <c r="C14629" s="4" t="str">
        <f t="shared" si="1166"/>
        <v>TCGA-BRCA</v>
      </c>
      <c r="D14629" s="1" t="s">
        <v>493</v>
      </c>
      <c r="E14629" t="s">
        <v>533</v>
      </c>
      <c r="F14629" s="1">
        <v>2</v>
      </c>
      <c r="G14629" s="1" t="s">
        <v>28</v>
      </c>
      <c r="H14629" s="4" t="str">
        <f>HYPERLINK("https://portal.gdc.cancer.gov/cases/2fd36838-5a83-433e-ac80-b1f77448e5aa","TCGA-5T-A9QA-01A")</f>
        <v>TCGA-5T-A9QA-01A</v>
      </c>
      <c r="I14629" t="s">
        <v>17</v>
      </c>
      <c r="J14629" t="s">
        <v>524</v>
      </c>
      <c r="K14629" t="s">
        <v>33</v>
      </c>
      <c r="L14629" t="s">
        <v>20</v>
      </c>
      <c r="N14629" t="s">
        <v>29</v>
      </c>
    </row>
    <row r="14630" spans="1:14">
      <c r="A14630" s="4" t="str">
        <f t="shared" si="1165"/>
        <v>EXP00415</v>
      </c>
      <c r="B14630" s="3" t="s">
        <v>66</v>
      </c>
      <c r="C14630" s="4" t="str">
        <f t="shared" si="1166"/>
        <v>TCGA-BRCA</v>
      </c>
      <c r="D14630" s="1" t="s">
        <v>493</v>
      </c>
      <c r="E14630" t="s">
        <v>533</v>
      </c>
      <c r="F14630" s="1">
        <v>2</v>
      </c>
      <c r="G14630" s="1" t="s">
        <v>28</v>
      </c>
      <c r="H14630" s="4" t="str">
        <f>HYPERLINK("https://portal.gdc.cancer.gov/cases/0045349c-69d9-4306-a403-c9c1fa836644","TCGA-A1-A0SB-01A")</f>
        <v>TCGA-A1-A0SB-01A</v>
      </c>
      <c r="I14630" t="s">
        <v>17</v>
      </c>
      <c r="J14630" t="s">
        <v>524</v>
      </c>
      <c r="K14630" t="s">
        <v>33</v>
      </c>
      <c r="L14630" t="s">
        <v>20</v>
      </c>
      <c r="N14630" t="s">
        <v>29</v>
      </c>
    </row>
    <row r="14631" spans="1:14">
      <c r="A14631" s="4" t="str">
        <f t="shared" si="1165"/>
        <v>EXP00415</v>
      </c>
      <c r="B14631" s="3" t="s">
        <v>66</v>
      </c>
      <c r="C14631" s="4" t="str">
        <f t="shared" si="1166"/>
        <v>TCGA-BRCA</v>
      </c>
      <c r="D14631" s="1" t="s">
        <v>493</v>
      </c>
      <c r="E14631" t="s">
        <v>533</v>
      </c>
      <c r="F14631" s="1">
        <v>2</v>
      </c>
      <c r="G14631" s="1" t="s">
        <v>28</v>
      </c>
      <c r="H14631" s="4" t="str">
        <f>HYPERLINK("https://portal.gdc.cancer.gov/cases/c462e422-eb8d-4daf-9897-2a9c6cbd783a","TCGA-A1-A0SD-01A")</f>
        <v>TCGA-A1-A0SD-01A</v>
      </c>
      <c r="I14631" t="s">
        <v>17</v>
      </c>
      <c r="J14631" t="s">
        <v>524</v>
      </c>
      <c r="K14631" t="s">
        <v>33</v>
      </c>
      <c r="L14631" t="s">
        <v>20</v>
      </c>
      <c r="N14631" t="s">
        <v>29</v>
      </c>
    </row>
    <row r="14632" spans="1:14">
      <c r="A14632" s="4" t="str">
        <f t="shared" si="1165"/>
        <v>EXP00415</v>
      </c>
      <c r="B14632" s="3" t="s">
        <v>66</v>
      </c>
      <c r="C14632" s="4" t="str">
        <f t="shared" si="1166"/>
        <v>TCGA-BRCA</v>
      </c>
      <c r="D14632" s="1" t="s">
        <v>493</v>
      </c>
      <c r="E14632" t="s">
        <v>533</v>
      </c>
      <c r="F14632" s="1">
        <v>2</v>
      </c>
      <c r="G14632" s="1" t="s">
        <v>28</v>
      </c>
      <c r="H14632" s="4" t="str">
        <f>HYPERLINK("https://portal.gdc.cancer.gov/cases/c397e6c2-ba3a-4f5e-a258-c140611192fe","TCGA-A1-A0SE-01A")</f>
        <v>TCGA-A1-A0SE-01A</v>
      </c>
      <c r="I14632" t="s">
        <v>17</v>
      </c>
      <c r="J14632" t="s">
        <v>524</v>
      </c>
      <c r="K14632" t="s">
        <v>33</v>
      </c>
      <c r="L14632" t="s">
        <v>20</v>
      </c>
      <c r="N14632" t="s">
        <v>29</v>
      </c>
    </row>
    <row r="14633" spans="1:14">
      <c r="A14633" s="4" t="str">
        <f t="shared" si="1165"/>
        <v>EXP00415</v>
      </c>
      <c r="B14633" s="3" t="s">
        <v>66</v>
      </c>
      <c r="C14633" s="4" t="str">
        <f t="shared" si="1166"/>
        <v>TCGA-BRCA</v>
      </c>
      <c r="D14633" s="1" t="s">
        <v>493</v>
      </c>
      <c r="E14633" t="s">
        <v>533</v>
      </c>
      <c r="F14633" s="1">
        <v>2</v>
      </c>
      <c r="G14633" s="1" t="s">
        <v>28</v>
      </c>
      <c r="H14633" s="4" t="str">
        <f>HYPERLINK("https://portal.gdc.cancer.gov/cases/4b620966-b4c7-4615-bf58-ca9d3226b9bd","TCGA-A1-A0SF-01A")</f>
        <v>TCGA-A1-A0SF-01A</v>
      </c>
      <c r="I14633" t="s">
        <v>17</v>
      </c>
      <c r="J14633" t="s">
        <v>524</v>
      </c>
      <c r="K14633" t="s">
        <v>33</v>
      </c>
      <c r="L14633" t="s">
        <v>20</v>
      </c>
      <c r="N14633" t="s">
        <v>29</v>
      </c>
    </row>
    <row r="14634" spans="1:14">
      <c r="A14634" s="4" t="str">
        <f t="shared" si="1165"/>
        <v>EXP00415</v>
      </c>
      <c r="B14634" s="3" t="s">
        <v>66</v>
      </c>
      <c r="C14634" s="4" t="str">
        <f t="shared" si="1166"/>
        <v>TCGA-BRCA</v>
      </c>
      <c r="D14634" s="1" t="s">
        <v>493</v>
      </c>
      <c r="E14634" t="s">
        <v>533</v>
      </c>
      <c r="F14634" s="1">
        <v>2</v>
      </c>
      <c r="G14634" s="1" t="s">
        <v>28</v>
      </c>
      <c r="H14634" s="4" t="str">
        <f>HYPERLINK("https://portal.gdc.cancer.gov/cases/0ed9ad26-7fdc-4d75-93f9-d029eee94993","TCGA-A1-A0SG-01A")</f>
        <v>TCGA-A1-A0SG-01A</v>
      </c>
      <c r="I14634" t="s">
        <v>17</v>
      </c>
      <c r="J14634" t="s">
        <v>524</v>
      </c>
      <c r="K14634" t="s">
        <v>33</v>
      </c>
      <c r="L14634" t="s">
        <v>20</v>
      </c>
      <c r="N14634" t="s">
        <v>29</v>
      </c>
    </row>
    <row r="14635" spans="1:14">
      <c r="A14635" s="4" t="str">
        <f t="shared" si="1165"/>
        <v>EXP00415</v>
      </c>
      <c r="B14635" s="3" t="s">
        <v>66</v>
      </c>
      <c r="C14635" s="4" t="str">
        <f t="shared" si="1166"/>
        <v>TCGA-BRCA</v>
      </c>
      <c r="D14635" s="1" t="s">
        <v>493</v>
      </c>
      <c r="E14635" t="s">
        <v>533</v>
      </c>
      <c r="F14635" s="1">
        <v>2</v>
      </c>
      <c r="G14635" s="1" t="s">
        <v>28</v>
      </c>
      <c r="H14635" s="4" t="str">
        <f>HYPERLINK("https://portal.gdc.cancer.gov/cases/a6a863d9-b39d-4965-b47f-79a1bcf3c976","TCGA-A1-A0SH-01A")</f>
        <v>TCGA-A1-A0SH-01A</v>
      </c>
      <c r="I14635" t="s">
        <v>17</v>
      </c>
      <c r="J14635" t="s">
        <v>524</v>
      </c>
      <c r="K14635" t="s">
        <v>33</v>
      </c>
      <c r="L14635" t="s">
        <v>20</v>
      </c>
      <c r="N14635" t="s">
        <v>29</v>
      </c>
    </row>
    <row r="14636" spans="1:14">
      <c r="A14636" s="4" t="str">
        <f t="shared" si="1165"/>
        <v>EXP00415</v>
      </c>
      <c r="B14636" s="3" t="s">
        <v>66</v>
      </c>
      <c r="C14636" s="4" t="str">
        <f t="shared" si="1166"/>
        <v>TCGA-BRCA</v>
      </c>
      <c r="D14636" s="1" t="s">
        <v>493</v>
      </c>
      <c r="E14636" t="s">
        <v>533</v>
      </c>
      <c r="F14636" s="1">
        <v>2</v>
      </c>
      <c r="G14636" s="1" t="s">
        <v>28</v>
      </c>
      <c r="H14636" s="4" t="str">
        <f>HYPERLINK("https://portal.gdc.cancer.gov/cases/16368c32-2118-4fcf-8693-6c89995e49d8","TCGA-A1-A0SI-01A")</f>
        <v>TCGA-A1-A0SI-01A</v>
      </c>
      <c r="I14636" t="s">
        <v>17</v>
      </c>
      <c r="J14636" t="s">
        <v>524</v>
      </c>
      <c r="K14636" t="s">
        <v>33</v>
      </c>
      <c r="L14636" t="s">
        <v>20</v>
      </c>
      <c r="N14636" t="s">
        <v>29</v>
      </c>
    </row>
    <row r="14637" spans="1:14">
      <c r="A14637" s="4" t="str">
        <f t="shared" si="1165"/>
        <v>EXP00415</v>
      </c>
      <c r="B14637" s="3" t="s">
        <v>66</v>
      </c>
      <c r="C14637" s="4" t="str">
        <f t="shared" si="1166"/>
        <v>TCGA-BRCA</v>
      </c>
      <c r="D14637" s="1" t="s">
        <v>493</v>
      </c>
      <c r="E14637" t="s">
        <v>533</v>
      </c>
      <c r="F14637" s="1">
        <v>2</v>
      </c>
      <c r="G14637" s="1" t="s">
        <v>28</v>
      </c>
      <c r="H14637" s="4" t="str">
        <f>HYPERLINK("https://portal.gdc.cancer.gov/cases/a2db9dd1-44d5-48b5-817c-a21a85fadb21","TCGA-A1-A0SJ-01A")</f>
        <v>TCGA-A1-A0SJ-01A</v>
      </c>
      <c r="I14637" t="s">
        <v>17</v>
      </c>
      <c r="J14637" t="s">
        <v>524</v>
      </c>
      <c r="K14637" t="s">
        <v>33</v>
      </c>
      <c r="L14637" t="s">
        <v>20</v>
      </c>
      <c r="N14637" t="s">
        <v>29</v>
      </c>
    </row>
    <row r="14638" spans="1:14">
      <c r="A14638" s="4" t="str">
        <f t="shared" si="1165"/>
        <v>EXP00415</v>
      </c>
      <c r="B14638" s="3" t="s">
        <v>66</v>
      </c>
      <c r="C14638" s="4" t="str">
        <f t="shared" si="1166"/>
        <v>TCGA-BRCA</v>
      </c>
      <c r="D14638" s="1" t="s">
        <v>493</v>
      </c>
      <c r="E14638" t="s">
        <v>533</v>
      </c>
      <c r="F14638" s="1">
        <v>2</v>
      </c>
      <c r="G14638" s="1" t="s">
        <v>28</v>
      </c>
      <c r="H14638" s="4" t="str">
        <f>HYPERLINK("https://portal.gdc.cancer.gov/cases/a5b44d66-c162-46b5-9df2-86305f0385c5","TCGA-A1-A0SK-01A")</f>
        <v>TCGA-A1-A0SK-01A</v>
      </c>
      <c r="I14638" t="s">
        <v>17</v>
      </c>
      <c r="J14638" t="s">
        <v>524</v>
      </c>
      <c r="K14638" t="s">
        <v>33</v>
      </c>
      <c r="L14638" t="s">
        <v>20</v>
      </c>
      <c r="N14638" t="s">
        <v>29</v>
      </c>
    </row>
    <row r="14639" spans="1:14">
      <c r="A14639" s="4" t="str">
        <f t="shared" si="1165"/>
        <v>EXP00415</v>
      </c>
      <c r="B14639" s="3" t="s">
        <v>66</v>
      </c>
      <c r="C14639" s="4" t="str">
        <f t="shared" si="1166"/>
        <v>TCGA-BRCA</v>
      </c>
      <c r="D14639" s="1" t="s">
        <v>493</v>
      </c>
      <c r="E14639" t="s">
        <v>533</v>
      </c>
      <c r="F14639" s="1">
        <v>2</v>
      </c>
      <c r="G14639" s="1" t="s">
        <v>28</v>
      </c>
      <c r="H14639" s="4" t="str">
        <f>HYPERLINK("https://portal.gdc.cancer.gov/cases/784de7ac-8424-42eb-83d4-a1bebaa42b97","TCGA-A1-A0SM-01A")</f>
        <v>TCGA-A1-A0SM-01A</v>
      </c>
      <c r="I14639" t="s">
        <v>17</v>
      </c>
      <c r="J14639" t="s">
        <v>524</v>
      </c>
      <c r="K14639" t="s">
        <v>33</v>
      </c>
      <c r="L14639" t="s">
        <v>20</v>
      </c>
      <c r="N14639" t="s">
        <v>29</v>
      </c>
    </row>
    <row r="14640" spans="1:14">
      <c r="A14640" s="4" t="str">
        <f t="shared" si="1165"/>
        <v>EXP00415</v>
      </c>
      <c r="B14640" s="3" t="s">
        <v>66</v>
      </c>
      <c r="C14640" s="4" t="str">
        <f t="shared" si="1166"/>
        <v>TCGA-BRCA</v>
      </c>
      <c r="D14640" s="1" t="s">
        <v>493</v>
      </c>
      <c r="E14640" t="s">
        <v>533</v>
      </c>
      <c r="F14640" s="1">
        <v>2</v>
      </c>
      <c r="G14640" s="1" t="s">
        <v>28</v>
      </c>
      <c r="H14640" s="4" t="str">
        <f>HYPERLINK("https://portal.gdc.cancer.gov/cases/0dc337fa-da8b-42c4-b9a7-fb76d81c161f","TCGA-A1-A0SN-01A")</f>
        <v>TCGA-A1-A0SN-01A</v>
      </c>
      <c r="I14640" t="s">
        <v>17</v>
      </c>
      <c r="J14640" t="s">
        <v>524</v>
      </c>
      <c r="K14640" t="s">
        <v>33</v>
      </c>
      <c r="L14640" t="s">
        <v>20</v>
      </c>
      <c r="N14640" t="s">
        <v>29</v>
      </c>
    </row>
    <row r="14641" spans="1:14">
      <c r="A14641" s="4" t="str">
        <f t="shared" si="1165"/>
        <v>EXP00415</v>
      </c>
      <c r="B14641" s="3" t="s">
        <v>66</v>
      </c>
      <c r="C14641" s="4" t="str">
        <f t="shared" si="1166"/>
        <v>TCGA-BRCA</v>
      </c>
      <c r="D14641" s="1" t="s">
        <v>493</v>
      </c>
      <c r="E14641" t="s">
        <v>533</v>
      </c>
      <c r="F14641" s="1">
        <v>2</v>
      </c>
      <c r="G14641" s="1" t="s">
        <v>28</v>
      </c>
      <c r="H14641" s="4" t="str">
        <f>HYPERLINK("https://portal.gdc.cancer.gov/cases/6644fd4e-d2fe-4785-a73c-0f36fcc740e2","TCGA-A1-A0SO-01A")</f>
        <v>TCGA-A1-A0SO-01A</v>
      </c>
      <c r="I14641" t="s">
        <v>17</v>
      </c>
      <c r="J14641" t="s">
        <v>524</v>
      </c>
      <c r="K14641" t="s">
        <v>33</v>
      </c>
      <c r="L14641" t="s">
        <v>20</v>
      </c>
      <c r="N14641" t="s">
        <v>29</v>
      </c>
    </row>
    <row r="14642" spans="1:14">
      <c r="A14642" s="4" t="str">
        <f t="shared" si="1165"/>
        <v>EXP00415</v>
      </c>
      <c r="B14642" s="3" t="s">
        <v>66</v>
      </c>
      <c r="C14642" s="4" t="str">
        <f t="shared" si="1166"/>
        <v>TCGA-BRCA</v>
      </c>
      <c r="D14642" s="1" t="s">
        <v>493</v>
      </c>
      <c r="E14642" t="s">
        <v>533</v>
      </c>
      <c r="F14642" s="1">
        <v>2</v>
      </c>
      <c r="G14642" s="1" t="s">
        <v>28</v>
      </c>
      <c r="H14642" s="4" t="str">
        <f>HYPERLINK("https://portal.gdc.cancer.gov/cases/a9bb8159-32f0-454c-a946-b3286a52b9d5","TCGA-A1-A0SP-01A")</f>
        <v>TCGA-A1-A0SP-01A</v>
      </c>
      <c r="I14642" t="s">
        <v>17</v>
      </c>
      <c r="J14642" t="s">
        <v>524</v>
      </c>
      <c r="K14642" t="s">
        <v>33</v>
      </c>
      <c r="L14642" t="s">
        <v>20</v>
      </c>
      <c r="N14642" t="s">
        <v>29</v>
      </c>
    </row>
    <row r="14643" spans="1:14">
      <c r="A14643" s="4" t="str">
        <f t="shared" si="1165"/>
        <v>EXP00415</v>
      </c>
      <c r="B14643" s="3" t="s">
        <v>66</v>
      </c>
      <c r="C14643" s="4" t="str">
        <f t="shared" si="1166"/>
        <v>TCGA-BRCA</v>
      </c>
      <c r="D14643" s="1" t="s">
        <v>493</v>
      </c>
      <c r="E14643" t="s">
        <v>533</v>
      </c>
      <c r="F14643" s="1">
        <v>2</v>
      </c>
      <c r="G14643" s="1" t="s">
        <v>28</v>
      </c>
      <c r="H14643" s="4" t="str">
        <f>HYPERLINK("https://portal.gdc.cancer.gov/cases/08de63a2-7b76-43c3-80dc-df748b1d81bc","TCGA-A1-A0SQ-01A")</f>
        <v>TCGA-A1-A0SQ-01A</v>
      </c>
      <c r="I14643" t="s">
        <v>17</v>
      </c>
      <c r="J14643" t="s">
        <v>524</v>
      </c>
      <c r="K14643" t="s">
        <v>33</v>
      </c>
      <c r="L14643" t="s">
        <v>20</v>
      </c>
      <c r="N14643" t="s">
        <v>29</v>
      </c>
    </row>
    <row r="14644" spans="1:14">
      <c r="A14644" s="4" t="str">
        <f t="shared" si="1165"/>
        <v>EXP00415</v>
      </c>
      <c r="B14644" s="3" t="s">
        <v>66</v>
      </c>
      <c r="C14644" s="4" t="str">
        <f t="shared" si="1166"/>
        <v>TCGA-BRCA</v>
      </c>
      <c r="D14644" s="1" t="s">
        <v>493</v>
      </c>
      <c r="E14644" t="s">
        <v>533</v>
      </c>
      <c r="F14644" s="1">
        <v>2</v>
      </c>
      <c r="G14644" s="1" t="s">
        <v>28</v>
      </c>
      <c r="H14644" s="4" t="str">
        <f>HYPERLINK("https://portal.gdc.cancer.gov/cases/197428f7-bd77-4c5f-8119-87157b5c35b9","TCGA-A2-A04N-01A")</f>
        <v>TCGA-A2-A04N-01A</v>
      </c>
      <c r="I14644" t="s">
        <v>17</v>
      </c>
      <c r="J14644" t="s">
        <v>524</v>
      </c>
      <c r="K14644" t="s">
        <v>33</v>
      </c>
      <c r="L14644" t="s">
        <v>20</v>
      </c>
      <c r="N14644" t="s">
        <v>29</v>
      </c>
    </row>
    <row r="14645" spans="1:14">
      <c r="A14645" s="4" t="str">
        <f t="shared" si="1165"/>
        <v>EXP00415</v>
      </c>
      <c r="B14645" s="3" t="s">
        <v>66</v>
      </c>
      <c r="C14645" s="4" t="str">
        <f t="shared" si="1166"/>
        <v>TCGA-BRCA</v>
      </c>
      <c r="D14645" s="1" t="s">
        <v>493</v>
      </c>
      <c r="E14645" t="s">
        <v>533</v>
      </c>
      <c r="F14645" s="1">
        <v>2</v>
      </c>
      <c r="G14645" s="1" t="s">
        <v>28</v>
      </c>
      <c r="H14645" s="4" t="str">
        <f>HYPERLINK("https://portal.gdc.cancer.gov/cases/ccd4a24b-d8cc-4686-9dee-c98b0c5a8d21","TCGA-A2-A04P-01A")</f>
        <v>TCGA-A2-A04P-01A</v>
      </c>
      <c r="I14645" t="s">
        <v>17</v>
      </c>
      <c r="J14645" t="s">
        <v>524</v>
      </c>
      <c r="K14645" t="s">
        <v>33</v>
      </c>
      <c r="L14645" t="s">
        <v>20</v>
      </c>
      <c r="N14645" t="s">
        <v>29</v>
      </c>
    </row>
    <row r="14646" spans="1:14">
      <c r="A14646" s="4" t="str">
        <f t="shared" si="1165"/>
        <v>EXP00415</v>
      </c>
      <c r="B14646" s="3" t="s">
        <v>66</v>
      </c>
      <c r="C14646" s="4" t="str">
        <f t="shared" si="1166"/>
        <v>TCGA-BRCA</v>
      </c>
      <c r="D14646" s="1" t="s">
        <v>493</v>
      </c>
      <c r="E14646" t="s">
        <v>533</v>
      </c>
      <c r="F14646" s="1">
        <v>2</v>
      </c>
      <c r="G14646" s="1" t="s">
        <v>28</v>
      </c>
      <c r="H14646" s="4" t="str">
        <f>HYPERLINK("https://portal.gdc.cancer.gov/cases/b5fba77b-1f50-4e71-95b2-566afba4bdd7","TCGA-A2-A04Q-01A")</f>
        <v>TCGA-A2-A04Q-01A</v>
      </c>
      <c r="I14646" t="s">
        <v>17</v>
      </c>
      <c r="J14646" t="s">
        <v>524</v>
      </c>
      <c r="K14646" t="s">
        <v>33</v>
      </c>
      <c r="L14646" t="s">
        <v>20</v>
      </c>
      <c r="N14646" t="s">
        <v>29</v>
      </c>
    </row>
    <row r="14647" spans="1:14">
      <c r="A14647" s="4" t="str">
        <f t="shared" si="1165"/>
        <v>EXP00415</v>
      </c>
      <c r="B14647" s="3" t="s">
        <v>66</v>
      </c>
      <c r="C14647" s="4" t="str">
        <f t="shared" si="1166"/>
        <v>TCGA-BRCA</v>
      </c>
      <c r="D14647" s="1" t="s">
        <v>493</v>
      </c>
      <c r="E14647" t="s">
        <v>533</v>
      </c>
      <c r="F14647" s="1">
        <v>2</v>
      </c>
      <c r="G14647" s="1" t="s">
        <v>28</v>
      </c>
      <c r="H14647" s="4" t="str">
        <f>HYPERLINK("https://portal.gdc.cancer.gov/cases/f3a058b9-fb7f-4098-8f0e-83c2acfa1ed5","TCGA-A2-A04R-01A")</f>
        <v>TCGA-A2-A04R-01A</v>
      </c>
      <c r="I14647" t="s">
        <v>17</v>
      </c>
      <c r="J14647" t="s">
        <v>524</v>
      </c>
      <c r="K14647" t="s">
        <v>33</v>
      </c>
      <c r="L14647" t="s">
        <v>20</v>
      </c>
      <c r="N14647" t="s">
        <v>29</v>
      </c>
    </row>
    <row r="14648" spans="1:14">
      <c r="A14648" s="4" t="str">
        <f t="shared" ref="A14648:A14711" si="1167">HYPERLINK("http://hcmdb.i-sanger.com/experiment/details/experiment_id/EXP00415","EXP00415")</f>
        <v>EXP00415</v>
      </c>
      <c r="B14648" s="3" t="s">
        <v>66</v>
      </c>
      <c r="C14648" s="4" t="str">
        <f t="shared" si="1166"/>
        <v>TCGA-BRCA</v>
      </c>
      <c r="D14648" s="1" t="s">
        <v>493</v>
      </c>
      <c r="E14648" t="s">
        <v>533</v>
      </c>
      <c r="F14648" s="1">
        <v>2</v>
      </c>
      <c r="G14648" s="1" t="s">
        <v>28</v>
      </c>
      <c r="H14648" s="4" t="str">
        <f>HYPERLINK("https://portal.gdc.cancer.gov/cases/b58ad350-5140-4fa8-bc2c-24bca8395f3a","TCGA-A2-A04T-01A")</f>
        <v>TCGA-A2-A04T-01A</v>
      </c>
      <c r="I14648" t="s">
        <v>17</v>
      </c>
      <c r="J14648" t="s">
        <v>524</v>
      </c>
      <c r="K14648" t="s">
        <v>33</v>
      </c>
      <c r="L14648" t="s">
        <v>20</v>
      </c>
      <c r="N14648" t="s">
        <v>29</v>
      </c>
    </row>
    <row r="14649" spans="1:14">
      <c r="A14649" s="4" t="str">
        <f t="shared" si="1167"/>
        <v>EXP00415</v>
      </c>
      <c r="B14649" s="3" t="s">
        <v>66</v>
      </c>
      <c r="C14649" s="4" t="str">
        <f t="shared" si="1166"/>
        <v>TCGA-BRCA</v>
      </c>
      <c r="D14649" s="1" t="s">
        <v>493</v>
      </c>
      <c r="E14649" t="s">
        <v>533</v>
      </c>
      <c r="F14649" s="1">
        <v>2</v>
      </c>
      <c r="G14649" s="1" t="s">
        <v>28</v>
      </c>
      <c r="H14649" s="4" t="str">
        <f>HYPERLINK("https://portal.gdc.cancer.gov/cases/1c3610f7-e0aa-48d7-9a27-0dbaf6e244f9","TCGA-A2-A04U-01A")</f>
        <v>TCGA-A2-A04U-01A</v>
      </c>
      <c r="I14649" t="s">
        <v>17</v>
      </c>
      <c r="J14649" t="s">
        <v>524</v>
      </c>
      <c r="K14649" t="s">
        <v>33</v>
      </c>
      <c r="L14649" t="s">
        <v>20</v>
      </c>
      <c r="N14649" t="s">
        <v>29</v>
      </c>
    </row>
    <row r="14650" spans="1:14">
      <c r="A14650" s="4" t="str">
        <f t="shared" si="1167"/>
        <v>EXP00415</v>
      </c>
      <c r="B14650" s="3" t="s">
        <v>66</v>
      </c>
      <c r="C14650" s="4" t="str">
        <f t="shared" ref="C14650:C14713" si="1168">HYPERLINK("https://portal.gdc.cancer.gov/projects/TCGA-BRCA","TCGA-BRCA")</f>
        <v>TCGA-BRCA</v>
      </c>
      <c r="D14650" s="1" t="s">
        <v>493</v>
      </c>
      <c r="E14650" t="s">
        <v>533</v>
      </c>
      <c r="F14650" s="1">
        <v>2</v>
      </c>
      <c r="G14650" s="1" t="s">
        <v>28</v>
      </c>
      <c r="H14650" s="4" t="str">
        <f>HYPERLINK("https://portal.gdc.cancer.gov/cases/64f67506-f2df-4f0a-b7be-29b4949e986a","TCGA-A2-A04V-01A")</f>
        <v>TCGA-A2-A04V-01A</v>
      </c>
      <c r="I14650" t="s">
        <v>17</v>
      </c>
      <c r="J14650" t="s">
        <v>524</v>
      </c>
      <c r="K14650" t="s">
        <v>33</v>
      </c>
      <c r="L14650" t="s">
        <v>20</v>
      </c>
      <c r="N14650" t="s">
        <v>29</v>
      </c>
    </row>
    <row r="14651" spans="1:14">
      <c r="A14651" s="4" t="str">
        <f t="shared" si="1167"/>
        <v>EXP00415</v>
      </c>
      <c r="B14651" s="3" t="s">
        <v>66</v>
      </c>
      <c r="C14651" s="4" t="str">
        <f t="shared" si="1168"/>
        <v>TCGA-BRCA</v>
      </c>
      <c r="D14651" s="1" t="s">
        <v>493</v>
      </c>
      <c r="E14651" t="s">
        <v>533</v>
      </c>
      <c r="F14651" s="1">
        <v>2</v>
      </c>
      <c r="G14651" s="1" t="s">
        <v>28</v>
      </c>
      <c r="H14651" s="4" t="str">
        <f>HYPERLINK("https://portal.gdc.cancer.gov/cases/00807dae-9f4a-4fd1-aac2-82eb11bf2afb","TCGA-A2-A04W-01A")</f>
        <v>TCGA-A2-A04W-01A</v>
      </c>
      <c r="I14651" t="s">
        <v>17</v>
      </c>
      <c r="J14651" t="s">
        <v>524</v>
      </c>
      <c r="K14651" t="s">
        <v>33</v>
      </c>
      <c r="L14651" t="s">
        <v>20</v>
      </c>
      <c r="N14651" t="s">
        <v>29</v>
      </c>
    </row>
    <row r="14652" spans="1:14">
      <c r="A14652" s="4" t="str">
        <f t="shared" si="1167"/>
        <v>EXP00415</v>
      </c>
      <c r="B14652" s="3" t="s">
        <v>66</v>
      </c>
      <c r="C14652" s="4" t="str">
        <f t="shared" si="1168"/>
        <v>TCGA-BRCA</v>
      </c>
      <c r="D14652" s="1" t="s">
        <v>493</v>
      </c>
      <c r="E14652" t="s">
        <v>533</v>
      </c>
      <c r="F14652" s="1">
        <v>2</v>
      </c>
      <c r="G14652" s="1" t="s">
        <v>28</v>
      </c>
      <c r="H14652" s="4" t="str">
        <f>HYPERLINK("https://portal.gdc.cancer.gov/cases/733a2a0f-b37a-4b81-b49e-3c0f30d1eb37","TCGA-A2-A04X-01A")</f>
        <v>TCGA-A2-A04X-01A</v>
      </c>
      <c r="I14652" t="s">
        <v>17</v>
      </c>
      <c r="J14652" t="s">
        <v>524</v>
      </c>
      <c r="K14652" t="s">
        <v>33</v>
      </c>
      <c r="L14652" t="s">
        <v>20</v>
      </c>
      <c r="N14652" t="s">
        <v>29</v>
      </c>
    </row>
    <row r="14653" spans="1:14">
      <c r="A14653" s="4" t="str">
        <f t="shared" si="1167"/>
        <v>EXP00415</v>
      </c>
      <c r="B14653" s="3" t="s">
        <v>66</v>
      </c>
      <c r="C14653" s="4" t="str">
        <f t="shared" si="1168"/>
        <v>TCGA-BRCA</v>
      </c>
      <c r="D14653" s="1" t="s">
        <v>493</v>
      </c>
      <c r="E14653" t="s">
        <v>533</v>
      </c>
      <c r="F14653" s="1">
        <v>2</v>
      </c>
      <c r="G14653" s="1" t="s">
        <v>28</v>
      </c>
      <c r="H14653" s="4" t="str">
        <f>HYPERLINK("https://portal.gdc.cancer.gov/cases/9ce7ce09-4409-4fa3-9f78-b2b24716f860","TCGA-A2-A04Y-01A")</f>
        <v>TCGA-A2-A04Y-01A</v>
      </c>
      <c r="I14653" t="s">
        <v>17</v>
      </c>
      <c r="J14653" t="s">
        <v>524</v>
      </c>
      <c r="K14653" t="s">
        <v>33</v>
      </c>
      <c r="L14653" t="s">
        <v>20</v>
      </c>
      <c r="N14653" t="s">
        <v>29</v>
      </c>
    </row>
    <row r="14654" spans="1:14">
      <c r="A14654" s="4" t="str">
        <f t="shared" si="1167"/>
        <v>EXP00415</v>
      </c>
      <c r="B14654" s="3" t="s">
        <v>66</v>
      </c>
      <c r="C14654" s="4" t="str">
        <f t="shared" si="1168"/>
        <v>TCGA-BRCA</v>
      </c>
      <c r="D14654" s="1" t="s">
        <v>493</v>
      </c>
      <c r="E14654" t="s">
        <v>533</v>
      </c>
      <c r="F14654" s="1">
        <v>2</v>
      </c>
      <c r="G14654" s="1" t="s">
        <v>28</v>
      </c>
      <c r="H14654" s="4" t="str">
        <f>HYPERLINK("https://portal.gdc.cancer.gov/cases/5aca16ca-4516-4e27-8249-6914029a7ebf","TCGA-A2-A0CK-01A")</f>
        <v>TCGA-A2-A0CK-01A</v>
      </c>
      <c r="I14654" t="s">
        <v>17</v>
      </c>
      <c r="J14654" t="s">
        <v>524</v>
      </c>
      <c r="K14654" t="s">
        <v>33</v>
      </c>
      <c r="L14654" t="s">
        <v>20</v>
      </c>
      <c r="N14654" t="s">
        <v>29</v>
      </c>
    </row>
    <row r="14655" spans="1:14">
      <c r="A14655" s="4" t="str">
        <f t="shared" si="1167"/>
        <v>EXP00415</v>
      </c>
      <c r="B14655" s="3" t="s">
        <v>66</v>
      </c>
      <c r="C14655" s="4" t="str">
        <f t="shared" si="1168"/>
        <v>TCGA-BRCA</v>
      </c>
      <c r="D14655" s="1" t="s">
        <v>493</v>
      </c>
      <c r="E14655" t="s">
        <v>533</v>
      </c>
      <c r="F14655" s="1">
        <v>2</v>
      </c>
      <c r="G14655" s="1" t="s">
        <v>28</v>
      </c>
      <c r="H14655" s="4" t="str">
        <f>HYPERLINK("https://portal.gdc.cancer.gov/cases/5c8983f2-9788-4dfa-971c-3ec457b6166e","TCGA-A2-A0CL-01A")</f>
        <v>TCGA-A2-A0CL-01A</v>
      </c>
      <c r="I14655" t="s">
        <v>17</v>
      </c>
      <c r="J14655" t="s">
        <v>524</v>
      </c>
      <c r="K14655" t="s">
        <v>33</v>
      </c>
      <c r="L14655" t="s">
        <v>20</v>
      </c>
      <c r="N14655" t="s">
        <v>29</v>
      </c>
    </row>
    <row r="14656" spans="1:14">
      <c r="A14656" s="4" t="str">
        <f t="shared" si="1167"/>
        <v>EXP00415</v>
      </c>
      <c r="B14656" s="3" t="s">
        <v>66</v>
      </c>
      <c r="C14656" s="4" t="str">
        <f t="shared" si="1168"/>
        <v>TCGA-BRCA</v>
      </c>
      <c r="D14656" s="1" t="s">
        <v>493</v>
      </c>
      <c r="E14656" t="s">
        <v>533</v>
      </c>
      <c r="F14656" s="1">
        <v>2</v>
      </c>
      <c r="G14656" s="1" t="s">
        <v>28</v>
      </c>
      <c r="H14656" s="4" t="str">
        <f>HYPERLINK("https://portal.gdc.cancer.gov/cases/eb2dbb4f-66b6-4525-8323-431970f7a64e","TCGA-A2-A0CM-01A")</f>
        <v>TCGA-A2-A0CM-01A</v>
      </c>
      <c r="I14656" t="s">
        <v>17</v>
      </c>
      <c r="J14656" t="s">
        <v>524</v>
      </c>
      <c r="K14656" t="s">
        <v>33</v>
      </c>
      <c r="L14656" t="s">
        <v>20</v>
      </c>
      <c r="N14656" t="s">
        <v>29</v>
      </c>
    </row>
    <row r="14657" spans="1:14">
      <c r="A14657" s="4" t="str">
        <f t="shared" si="1167"/>
        <v>EXP00415</v>
      </c>
      <c r="B14657" s="3" t="s">
        <v>66</v>
      </c>
      <c r="C14657" s="4" t="str">
        <f t="shared" si="1168"/>
        <v>TCGA-BRCA</v>
      </c>
      <c r="D14657" s="1" t="s">
        <v>493</v>
      </c>
      <c r="E14657" t="s">
        <v>533</v>
      </c>
      <c r="F14657" s="1">
        <v>2</v>
      </c>
      <c r="G14657" s="1" t="s">
        <v>28</v>
      </c>
      <c r="H14657" s="4" t="str">
        <f>HYPERLINK("https://portal.gdc.cancer.gov/cases/8e54232d-d8bb-4612-8b0e-4feb076a60f9","TCGA-A2-A0CO-01A")</f>
        <v>TCGA-A2-A0CO-01A</v>
      </c>
      <c r="I14657" t="s">
        <v>17</v>
      </c>
      <c r="J14657" t="s">
        <v>524</v>
      </c>
      <c r="K14657" t="s">
        <v>33</v>
      </c>
      <c r="L14657" t="s">
        <v>20</v>
      </c>
      <c r="N14657" t="s">
        <v>29</v>
      </c>
    </row>
    <row r="14658" spans="1:14">
      <c r="A14658" s="4" t="str">
        <f t="shared" si="1167"/>
        <v>EXP00415</v>
      </c>
      <c r="B14658" s="3" t="s">
        <v>66</v>
      </c>
      <c r="C14658" s="4" t="str">
        <f t="shared" si="1168"/>
        <v>TCGA-BRCA</v>
      </c>
      <c r="D14658" s="1" t="s">
        <v>493</v>
      </c>
      <c r="E14658" t="s">
        <v>533</v>
      </c>
      <c r="F14658" s="1">
        <v>2</v>
      </c>
      <c r="G14658" s="1" t="s">
        <v>28</v>
      </c>
      <c r="H14658" s="4" t="str">
        <f>HYPERLINK("https://portal.gdc.cancer.gov/cases/fe15c48b-116d-461e-9b40-68514730fd18","TCGA-A2-A0CP-01A")</f>
        <v>TCGA-A2-A0CP-01A</v>
      </c>
      <c r="I14658" t="s">
        <v>17</v>
      </c>
      <c r="J14658" t="s">
        <v>524</v>
      </c>
      <c r="K14658" t="s">
        <v>33</v>
      </c>
      <c r="L14658" t="s">
        <v>20</v>
      </c>
      <c r="N14658" t="s">
        <v>29</v>
      </c>
    </row>
    <row r="14659" spans="1:14">
      <c r="A14659" s="4" t="str">
        <f t="shared" si="1167"/>
        <v>EXP00415</v>
      </c>
      <c r="B14659" s="3" t="s">
        <v>66</v>
      </c>
      <c r="C14659" s="4" t="str">
        <f t="shared" si="1168"/>
        <v>TCGA-BRCA</v>
      </c>
      <c r="D14659" s="1" t="s">
        <v>493</v>
      </c>
      <c r="E14659" t="s">
        <v>533</v>
      </c>
      <c r="F14659" s="1">
        <v>2</v>
      </c>
      <c r="G14659" s="1" t="s">
        <v>28</v>
      </c>
      <c r="H14659" s="4" t="str">
        <f>HYPERLINK("https://portal.gdc.cancer.gov/cases/ab34a9a2-d72d-4106-94fb-118844b1b60b","TCGA-A2-A0CQ-01A")</f>
        <v>TCGA-A2-A0CQ-01A</v>
      </c>
      <c r="I14659" t="s">
        <v>17</v>
      </c>
      <c r="J14659" t="s">
        <v>524</v>
      </c>
      <c r="K14659" t="s">
        <v>33</v>
      </c>
      <c r="L14659" t="s">
        <v>20</v>
      </c>
      <c r="N14659" t="s">
        <v>29</v>
      </c>
    </row>
    <row r="14660" spans="1:14">
      <c r="A14660" s="4" t="str">
        <f t="shared" si="1167"/>
        <v>EXP00415</v>
      </c>
      <c r="B14660" s="3" t="s">
        <v>66</v>
      </c>
      <c r="C14660" s="4" t="str">
        <f t="shared" si="1168"/>
        <v>TCGA-BRCA</v>
      </c>
      <c r="D14660" s="1" t="s">
        <v>493</v>
      </c>
      <c r="E14660" t="s">
        <v>533</v>
      </c>
      <c r="F14660" s="1">
        <v>2</v>
      </c>
      <c r="G14660" s="1" t="s">
        <v>28</v>
      </c>
      <c r="H14660" s="4" t="str">
        <f>HYPERLINK("https://portal.gdc.cancer.gov/cases/4cf0f639-7940-48b6-8ea1-2a3494097cdb","TCGA-A2-A0CR-01A")</f>
        <v>TCGA-A2-A0CR-01A</v>
      </c>
      <c r="I14660" t="s">
        <v>17</v>
      </c>
      <c r="J14660" t="s">
        <v>524</v>
      </c>
      <c r="K14660" t="s">
        <v>33</v>
      </c>
      <c r="L14660" t="s">
        <v>20</v>
      </c>
      <c r="N14660" t="s">
        <v>29</v>
      </c>
    </row>
    <row r="14661" spans="1:14">
      <c r="A14661" s="4" t="str">
        <f t="shared" si="1167"/>
        <v>EXP00415</v>
      </c>
      <c r="B14661" s="3" t="s">
        <v>66</v>
      </c>
      <c r="C14661" s="4" t="str">
        <f t="shared" si="1168"/>
        <v>TCGA-BRCA</v>
      </c>
      <c r="D14661" s="1" t="s">
        <v>493</v>
      </c>
      <c r="E14661" t="s">
        <v>533</v>
      </c>
      <c r="F14661" s="1">
        <v>2</v>
      </c>
      <c r="G14661" s="1" t="s">
        <v>28</v>
      </c>
      <c r="H14661" s="4" t="str">
        <f>HYPERLINK("https://portal.gdc.cancer.gov/cases/d071c16b-7cee-45ed-8ec9-612418143815","TCGA-A2-A0CS-01A")</f>
        <v>TCGA-A2-A0CS-01A</v>
      </c>
      <c r="I14661" t="s">
        <v>17</v>
      </c>
      <c r="J14661" t="s">
        <v>524</v>
      </c>
      <c r="K14661" t="s">
        <v>33</v>
      </c>
      <c r="L14661" t="s">
        <v>20</v>
      </c>
      <c r="N14661" t="s">
        <v>29</v>
      </c>
    </row>
    <row r="14662" spans="1:14">
      <c r="A14662" s="4" t="str">
        <f t="shared" si="1167"/>
        <v>EXP00415</v>
      </c>
      <c r="B14662" s="3" t="s">
        <v>66</v>
      </c>
      <c r="C14662" s="4" t="str">
        <f t="shared" si="1168"/>
        <v>TCGA-BRCA</v>
      </c>
      <c r="D14662" s="1" t="s">
        <v>493</v>
      </c>
      <c r="E14662" t="s">
        <v>533</v>
      </c>
      <c r="F14662" s="1">
        <v>2</v>
      </c>
      <c r="G14662" s="1" t="s">
        <v>28</v>
      </c>
      <c r="H14662" s="4" t="str">
        <f>HYPERLINK("https://portal.gdc.cancer.gov/cases/378778d2-b331-4867-a93b-c64028c8b4c7","TCGA-A2-A0CT-01A")</f>
        <v>TCGA-A2-A0CT-01A</v>
      </c>
      <c r="I14662" t="s">
        <v>17</v>
      </c>
      <c r="J14662" t="s">
        <v>524</v>
      </c>
      <c r="K14662" t="s">
        <v>33</v>
      </c>
      <c r="L14662" t="s">
        <v>20</v>
      </c>
      <c r="N14662" t="s">
        <v>29</v>
      </c>
    </row>
    <row r="14663" spans="1:14">
      <c r="A14663" s="4" t="str">
        <f t="shared" si="1167"/>
        <v>EXP00415</v>
      </c>
      <c r="B14663" s="3" t="s">
        <v>66</v>
      </c>
      <c r="C14663" s="4" t="str">
        <f t="shared" si="1168"/>
        <v>TCGA-BRCA</v>
      </c>
      <c r="D14663" s="1" t="s">
        <v>493</v>
      </c>
      <c r="E14663" t="s">
        <v>533</v>
      </c>
      <c r="F14663" s="1">
        <v>2</v>
      </c>
      <c r="G14663" s="1" t="s">
        <v>28</v>
      </c>
      <c r="H14663" s="4" t="str">
        <f>HYPERLINK("https://portal.gdc.cancer.gov/cases/332423a7-8866-4ee3-b08f-3c8d7c16af80","TCGA-A2-A0CU-01A")</f>
        <v>TCGA-A2-A0CU-01A</v>
      </c>
      <c r="I14663" t="s">
        <v>17</v>
      </c>
      <c r="J14663" t="s">
        <v>524</v>
      </c>
      <c r="K14663" t="s">
        <v>33</v>
      </c>
      <c r="L14663" t="s">
        <v>20</v>
      </c>
      <c r="N14663" t="s">
        <v>29</v>
      </c>
    </row>
    <row r="14664" spans="1:14">
      <c r="A14664" s="4" t="str">
        <f t="shared" si="1167"/>
        <v>EXP00415</v>
      </c>
      <c r="B14664" s="3" t="s">
        <v>66</v>
      </c>
      <c r="C14664" s="4" t="str">
        <f t="shared" si="1168"/>
        <v>TCGA-BRCA</v>
      </c>
      <c r="D14664" s="1" t="s">
        <v>493</v>
      </c>
      <c r="E14664" t="s">
        <v>533</v>
      </c>
      <c r="F14664" s="1">
        <v>2</v>
      </c>
      <c r="G14664" s="1" t="s">
        <v>28</v>
      </c>
      <c r="H14664" s="4" t="str">
        <f>HYPERLINK("https://portal.gdc.cancer.gov/cases/ad7fcc89-82a3-48aa-8461-581c1a857677","TCGA-A2-A0CV-01A")</f>
        <v>TCGA-A2-A0CV-01A</v>
      </c>
      <c r="I14664" t="s">
        <v>17</v>
      </c>
      <c r="J14664" t="s">
        <v>524</v>
      </c>
      <c r="K14664" t="s">
        <v>33</v>
      </c>
      <c r="L14664" t="s">
        <v>20</v>
      </c>
      <c r="N14664" t="s">
        <v>29</v>
      </c>
    </row>
    <row r="14665" spans="1:14">
      <c r="A14665" s="4" t="str">
        <f t="shared" si="1167"/>
        <v>EXP00415</v>
      </c>
      <c r="B14665" s="3" t="s">
        <v>66</v>
      </c>
      <c r="C14665" s="4" t="str">
        <f t="shared" si="1168"/>
        <v>TCGA-BRCA</v>
      </c>
      <c r="D14665" s="1" t="s">
        <v>493</v>
      </c>
      <c r="E14665" t="s">
        <v>533</v>
      </c>
      <c r="F14665" s="1">
        <v>2</v>
      </c>
      <c r="G14665" s="1" t="s">
        <v>28</v>
      </c>
      <c r="H14665" s="4" t="str">
        <f>HYPERLINK("https://portal.gdc.cancer.gov/cases/32efa6e8-6b19-480a-9d04-ace02e93318a","TCGA-A2-A0CW-01A")</f>
        <v>TCGA-A2-A0CW-01A</v>
      </c>
      <c r="I14665" t="s">
        <v>17</v>
      </c>
      <c r="J14665" t="s">
        <v>524</v>
      </c>
      <c r="K14665" t="s">
        <v>33</v>
      </c>
      <c r="L14665" t="s">
        <v>20</v>
      </c>
      <c r="N14665" t="s">
        <v>29</v>
      </c>
    </row>
    <row r="14666" spans="1:14">
      <c r="A14666" s="4" t="str">
        <f t="shared" si="1167"/>
        <v>EXP00415</v>
      </c>
      <c r="B14666" s="3" t="s">
        <v>66</v>
      </c>
      <c r="C14666" s="4" t="str">
        <f t="shared" si="1168"/>
        <v>TCGA-BRCA</v>
      </c>
      <c r="D14666" s="1" t="s">
        <v>493</v>
      </c>
      <c r="E14666" t="s">
        <v>533</v>
      </c>
      <c r="F14666" s="1">
        <v>2</v>
      </c>
      <c r="G14666" s="1" t="s">
        <v>28</v>
      </c>
      <c r="H14666" s="4" t="str">
        <f>HYPERLINK("https://portal.gdc.cancer.gov/cases/757df7b0-4774-4493-98bf-999ded9ac86e","TCGA-A2-A0CY-01A")</f>
        <v>TCGA-A2-A0CY-01A</v>
      </c>
      <c r="I14666" t="s">
        <v>17</v>
      </c>
      <c r="J14666" t="s">
        <v>524</v>
      </c>
      <c r="K14666" t="s">
        <v>33</v>
      </c>
      <c r="L14666" t="s">
        <v>20</v>
      </c>
      <c r="N14666" t="s">
        <v>29</v>
      </c>
    </row>
    <row r="14667" spans="1:14">
      <c r="A14667" s="4" t="str">
        <f t="shared" si="1167"/>
        <v>EXP00415</v>
      </c>
      <c r="B14667" s="3" t="s">
        <v>66</v>
      </c>
      <c r="C14667" s="4" t="str">
        <f t="shared" si="1168"/>
        <v>TCGA-BRCA</v>
      </c>
      <c r="D14667" s="1" t="s">
        <v>493</v>
      </c>
      <c r="E14667" t="s">
        <v>533</v>
      </c>
      <c r="F14667" s="1">
        <v>2</v>
      </c>
      <c r="G14667" s="1" t="s">
        <v>28</v>
      </c>
      <c r="H14667" s="4" t="str">
        <f>HYPERLINK("https://portal.gdc.cancer.gov/cases/9f93ea0a-1687-44e0-9e8a-eeb4097d471c","TCGA-A2-A0CZ-01A")</f>
        <v>TCGA-A2-A0CZ-01A</v>
      </c>
      <c r="I14667" t="s">
        <v>17</v>
      </c>
      <c r="J14667" t="s">
        <v>524</v>
      </c>
      <c r="K14667" t="s">
        <v>33</v>
      </c>
      <c r="L14667" t="s">
        <v>20</v>
      </c>
      <c r="N14667" t="s">
        <v>29</v>
      </c>
    </row>
    <row r="14668" spans="1:14">
      <c r="A14668" s="4" t="str">
        <f t="shared" si="1167"/>
        <v>EXP00415</v>
      </c>
      <c r="B14668" s="3" t="s">
        <v>66</v>
      </c>
      <c r="C14668" s="4" t="str">
        <f t="shared" si="1168"/>
        <v>TCGA-BRCA</v>
      </c>
      <c r="D14668" s="1" t="s">
        <v>493</v>
      </c>
      <c r="E14668" t="s">
        <v>533</v>
      </c>
      <c r="F14668" s="1">
        <v>2</v>
      </c>
      <c r="G14668" s="1" t="s">
        <v>28</v>
      </c>
      <c r="H14668" s="4" t="str">
        <f>HYPERLINK("https://portal.gdc.cancer.gov/cases/324bcba2-f6a4-45a6-807c-215bdffcca21","TCGA-A2-A0D0-01A")</f>
        <v>TCGA-A2-A0D0-01A</v>
      </c>
      <c r="I14668" t="s">
        <v>17</v>
      </c>
      <c r="J14668" t="s">
        <v>524</v>
      </c>
      <c r="K14668" t="s">
        <v>33</v>
      </c>
      <c r="L14668" t="s">
        <v>20</v>
      </c>
      <c r="N14668" t="s">
        <v>29</v>
      </c>
    </row>
    <row r="14669" spans="1:14">
      <c r="A14669" s="4" t="str">
        <f t="shared" si="1167"/>
        <v>EXP00415</v>
      </c>
      <c r="B14669" s="3" t="s">
        <v>66</v>
      </c>
      <c r="C14669" s="4" t="str">
        <f t="shared" si="1168"/>
        <v>TCGA-BRCA</v>
      </c>
      <c r="D14669" s="1" t="s">
        <v>493</v>
      </c>
      <c r="E14669" t="s">
        <v>533</v>
      </c>
      <c r="F14669" s="1">
        <v>2</v>
      </c>
      <c r="G14669" s="1" t="s">
        <v>28</v>
      </c>
      <c r="H14669" s="4" t="str">
        <f>HYPERLINK("https://portal.gdc.cancer.gov/cases/084c6aec-94f7-4090-8f3f-59fa9e89721a","TCGA-A2-A0D1-01A")</f>
        <v>TCGA-A2-A0D1-01A</v>
      </c>
      <c r="I14669" t="s">
        <v>17</v>
      </c>
      <c r="J14669" t="s">
        <v>524</v>
      </c>
      <c r="K14669" t="s">
        <v>33</v>
      </c>
      <c r="L14669" t="s">
        <v>20</v>
      </c>
      <c r="N14669" t="s">
        <v>29</v>
      </c>
    </row>
    <row r="14670" spans="1:14">
      <c r="A14670" s="4" t="str">
        <f t="shared" si="1167"/>
        <v>EXP00415</v>
      </c>
      <c r="B14670" s="3" t="s">
        <v>66</v>
      </c>
      <c r="C14670" s="4" t="str">
        <f t="shared" si="1168"/>
        <v>TCGA-BRCA</v>
      </c>
      <c r="D14670" s="1" t="s">
        <v>493</v>
      </c>
      <c r="E14670" t="s">
        <v>533</v>
      </c>
      <c r="F14670" s="1">
        <v>2</v>
      </c>
      <c r="G14670" s="1" t="s">
        <v>28</v>
      </c>
      <c r="H14670" s="4" t="str">
        <f>HYPERLINK("https://portal.gdc.cancer.gov/cases/99e32c59-aa73-43fa-88c9-399ddadb2c72","TCGA-A2-A0D2-01A")</f>
        <v>TCGA-A2-A0D2-01A</v>
      </c>
      <c r="I14670" t="s">
        <v>17</v>
      </c>
      <c r="J14670" t="s">
        <v>524</v>
      </c>
      <c r="K14670" t="s">
        <v>33</v>
      </c>
      <c r="L14670" t="s">
        <v>20</v>
      </c>
      <c r="N14670" t="s">
        <v>29</v>
      </c>
    </row>
    <row r="14671" spans="1:14">
      <c r="A14671" s="4" t="str">
        <f t="shared" si="1167"/>
        <v>EXP00415</v>
      </c>
      <c r="B14671" s="3" t="s">
        <v>66</v>
      </c>
      <c r="C14671" s="4" t="str">
        <f t="shared" si="1168"/>
        <v>TCGA-BRCA</v>
      </c>
      <c r="D14671" s="1" t="s">
        <v>493</v>
      </c>
      <c r="E14671" t="s">
        <v>533</v>
      </c>
      <c r="F14671" s="1">
        <v>2</v>
      </c>
      <c r="G14671" s="1" t="s">
        <v>28</v>
      </c>
      <c r="H14671" s="4" t="str">
        <f>HYPERLINK("https://portal.gdc.cancer.gov/cases/4a16429b-884f-4c95-8683-feeedf0d6a55","TCGA-A2-A0D3-01A")</f>
        <v>TCGA-A2-A0D3-01A</v>
      </c>
      <c r="I14671" t="s">
        <v>17</v>
      </c>
      <c r="J14671" t="s">
        <v>524</v>
      </c>
      <c r="K14671" t="s">
        <v>33</v>
      </c>
      <c r="L14671" t="s">
        <v>20</v>
      </c>
      <c r="N14671" t="s">
        <v>29</v>
      </c>
    </row>
    <row r="14672" spans="1:14">
      <c r="A14672" s="4" t="str">
        <f t="shared" si="1167"/>
        <v>EXP00415</v>
      </c>
      <c r="B14672" s="3" t="s">
        <v>66</v>
      </c>
      <c r="C14672" s="4" t="str">
        <f t="shared" si="1168"/>
        <v>TCGA-BRCA</v>
      </c>
      <c r="D14672" s="1" t="s">
        <v>493</v>
      </c>
      <c r="E14672" t="s">
        <v>533</v>
      </c>
      <c r="F14672" s="1">
        <v>2</v>
      </c>
      <c r="G14672" s="1" t="s">
        <v>28</v>
      </c>
      <c r="H14672" s="4" t="str">
        <f>HYPERLINK("https://portal.gdc.cancer.gov/cases/75113445-d2d6-44a0-866c-c9175e6d214b","TCGA-A2-A0D4-01A")</f>
        <v>TCGA-A2-A0D4-01A</v>
      </c>
      <c r="I14672" t="s">
        <v>17</v>
      </c>
      <c r="J14672" t="s">
        <v>524</v>
      </c>
      <c r="K14672" t="s">
        <v>33</v>
      </c>
      <c r="L14672" t="s">
        <v>20</v>
      </c>
      <c r="N14672" t="s">
        <v>29</v>
      </c>
    </row>
    <row r="14673" spans="1:14">
      <c r="A14673" s="4" t="str">
        <f t="shared" si="1167"/>
        <v>EXP00415</v>
      </c>
      <c r="B14673" s="3" t="s">
        <v>66</v>
      </c>
      <c r="C14673" s="4" t="str">
        <f t="shared" si="1168"/>
        <v>TCGA-BRCA</v>
      </c>
      <c r="D14673" s="1" t="s">
        <v>493</v>
      </c>
      <c r="E14673" t="s">
        <v>533</v>
      </c>
      <c r="F14673" s="1">
        <v>2</v>
      </c>
      <c r="G14673" s="1" t="s">
        <v>28</v>
      </c>
      <c r="H14673" s="4" t="str">
        <f>HYPERLINK("https://portal.gdc.cancer.gov/cases/2fdfd287-d13c-4910-9788-73987d45908a","TCGA-A2-A0EM-01A")</f>
        <v>TCGA-A2-A0EM-01A</v>
      </c>
      <c r="I14673" t="s">
        <v>17</v>
      </c>
      <c r="J14673" t="s">
        <v>524</v>
      </c>
      <c r="K14673" t="s">
        <v>33</v>
      </c>
      <c r="L14673" t="s">
        <v>20</v>
      </c>
      <c r="N14673" t="s">
        <v>29</v>
      </c>
    </row>
    <row r="14674" spans="1:14">
      <c r="A14674" s="4" t="str">
        <f t="shared" si="1167"/>
        <v>EXP00415</v>
      </c>
      <c r="B14674" s="3" t="s">
        <v>66</v>
      </c>
      <c r="C14674" s="4" t="str">
        <f t="shared" si="1168"/>
        <v>TCGA-BRCA</v>
      </c>
      <c r="D14674" s="1" t="s">
        <v>493</v>
      </c>
      <c r="E14674" t="s">
        <v>533</v>
      </c>
      <c r="F14674" s="1">
        <v>2</v>
      </c>
      <c r="G14674" s="1" t="s">
        <v>28</v>
      </c>
      <c r="H14674" s="4" t="str">
        <f>HYPERLINK("https://portal.gdc.cancer.gov/cases/5e670fec-8992-44bf-8657-f7f9a272306b","TCGA-A2-A0EN-01A")</f>
        <v>TCGA-A2-A0EN-01A</v>
      </c>
      <c r="I14674" t="s">
        <v>17</v>
      </c>
      <c r="J14674" t="s">
        <v>524</v>
      </c>
      <c r="K14674" t="s">
        <v>33</v>
      </c>
      <c r="L14674" t="s">
        <v>20</v>
      </c>
      <c r="N14674" t="s">
        <v>29</v>
      </c>
    </row>
    <row r="14675" spans="1:14">
      <c r="A14675" s="4" t="str">
        <f t="shared" si="1167"/>
        <v>EXP00415</v>
      </c>
      <c r="B14675" s="3" t="s">
        <v>66</v>
      </c>
      <c r="C14675" s="4" t="str">
        <f t="shared" si="1168"/>
        <v>TCGA-BRCA</v>
      </c>
      <c r="D14675" s="1" t="s">
        <v>493</v>
      </c>
      <c r="E14675" t="s">
        <v>533</v>
      </c>
      <c r="F14675" s="1">
        <v>2</v>
      </c>
      <c r="G14675" s="1" t="s">
        <v>28</v>
      </c>
      <c r="H14675" s="4" t="str">
        <f>HYPERLINK("https://portal.gdc.cancer.gov/cases/bf88ddf5-a6d4-498c-bf7f-db9bfabff72d","TCGA-A2-A0EO-01A")</f>
        <v>TCGA-A2-A0EO-01A</v>
      </c>
      <c r="I14675" t="s">
        <v>17</v>
      </c>
      <c r="J14675" t="s">
        <v>524</v>
      </c>
      <c r="K14675" t="s">
        <v>33</v>
      </c>
      <c r="L14675" t="s">
        <v>20</v>
      </c>
      <c r="N14675" t="s">
        <v>29</v>
      </c>
    </row>
    <row r="14676" spans="1:14">
      <c r="A14676" s="4" t="str">
        <f t="shared" si="1167"/>
        <v>EXP00415</v>
      </c>
      <c r="B14676" s="3" t="s">
        <v>66</v>
      </c>
      <c r="C14676" s="4" t="str">
        <f t="shared" si="1168"/>
        <v>TCGA-BRCA</v>
      </c>
      <c r="D14676" s="1" t="s">
        <v>493</v>
      </c>
      <c r="E14676" t="s">
        <v>533</v>
      </c>
      <c r="F14676" s="1">
        <v>2</v>
      </c>
      <c r="G14676" s="1" t="s">
        <v>28</v>
      </c>
      <c r="H14676" s="4" t="str">
        <f>HYPERLINK("https://portal.gdc.cancer.gov/cases/670f5022-5066-48f1-8472-5670129a1e0f","TCGA-A2-A0EP-01A")</f>
        <v>TCGA-A2-A0EP-01A</v>
      </c>
      <c r="I14676" t="s">
        <v>17</v>
      </c>
      <c r="J14676" t="s">
        <v>524</v>
      </c>
      <c r="K14676" t="s">
        <v>33</v>
      </c>
      <c r="L14676" t="s">
        <v>20</v>
      </c>
      <c r="N14676" t="s">
        <v>29</v>
      </c>
    </row>
    <row r="14677" spans="1:14">
      <c r="A14677" s="4" t="str">
        <f t="shared" si="1167"/>
        <v>EXP00415</v>
      </c>
      <c r="B14677" s="3" t="s">
        <v>66</v>
      </c>
      <c r="C14677" s="4" t="str">
        <f t="shared" si="1168"/>
        <v>TCGA-BRCA</v>
      </c>
      <c r="D14677" s="1" t="s">
        <v>493</v>
      </c>
      <c r="E14677" t="s">
        <v>533</v>
      </c>
      <c r="F14677" s="1">
        <v>2</v>
      </c>
      <c r="G14677" s="1" t="s">
        <v>28</v>
      </c>
      <c r="H14677" s="4" t="str">
        <f>HYPERLINK("https://portal.gdc.cancer.gov/cases/2192c1db-4718-4254-ba42-3ae7f30ad5a8","TCGA-A2-A0EQ-01A")</f>
        <v>TCGA-A2-A0EQ-01A</v>
      </c>
      <c r="I14677" t="s">
        <v>17</v>
      </c>
      <c r="J14677" t="s">
        <v>524</v>
      </c>
      <c r="K14677" t="s">
        <v>33</v>
      </c>
      <c r="L14677" t="s">
        <v>20</v>
      </c>
      <c r="N14677" t="s">
        <v>29</v>
      </c>
    </row>
    <row r="14678" spans="1:14">
      <c r="A14678" s="4" t="str">
        <f t="shared" si="1167"/>
        <v>EXP00415</v>
      </c>
      <c r="B14678" s="3" t="s">
        <v>66</v>
      </c>
      <c r="C14678" s="4" t="str">
        <f t="shared" si="1168"/>
        <v>TCGA-BRCA</v>
      </c>
      <c r="D14678" s="1" t="s">
        <v>493</v>
      </c>
      <c r="E14678" t="s">
        <v>533</v>
      </c>
      <c r="F14678" s="1">
        <v>2</v>
      </c>
      <c r="G14678" s="1" t="s">
        <v>28</v>
      </c>
      <c r="H14678" s="4" t="str">
        <f>HYPERLINK("https://portal.gdc.cancer.gov/cases/7455d832-ad66-40df-85d7-3a7051c4498d","TCGA-A2-A0ER-01A")</f>
        <v>TCGA-A2-A0ER-01A</v>
      </c>
      <c r="I14678" t="s">
        <v>17</v>
      </c>
      <c r="J14678" t="s">
        <v>524</v>
      </c>
      <c r="K14678" t="s">
        <v>33</v>
      </c>
      <c r="L14678" t="s">
        <v>20</v>
      </c>
      <c r="N14678" t="s">
        <v>29</v>
      </c>
    </row>
    <row r="14679" spans="1:14">
      <c r="A14679" s="4" t="str">
        <f t="shared" si="1167"/>
        <v>EXP00415</v>
      </c>
      <c r="B14679" s="3" t="s">
        <v>66</v>
      </c>
      <c r="C14679" s="4" t="str">
        <f t="shared" si="1168"/>
        <v>TCGA-BRCA</v>
      </c>
      <c r="D14679" s="1" t="s">
        <v>493</v>
      </c>
      <c r="E14679" t="s">
        <v>533</v>
      </c>
      <c r="F14679" s="1">
        <v>2</v>
      </c>
      <c r="G14679" s="1" t="s">
        <v>28</v>
      </c>
      <c r="H14679" s="4" t="str">
        <f>HYPERLINK("https://portal.gdc.cancer.gov/cases/a2934508-3daf-49e2-b14f-ed9b7693f96f","TCGA-A2-A0ES-01A")</f>
        <v>TCGA-A2-A0ES-01A</v>
      </c>
      <c r="I14679" t="s">
        <v>17</v>
      </c>
      <c r="J14679" t="s">
        <v>524</v>
      </c>
      <c r="K14679" t="s">
        <v>33</v>
      </c>
      <c r="L14679" t="s">
        <v>20</v>
      </c>
      <c r="N14679" t="s">
        <v>29</v>
      </c>
    </row>
    <row r="14680" spans="1:14">
      <c r="A14680" s="4" t="str">
        <f t="shared" si="1167"/>
        <v>EXP00415</v>
      </c>
      <c r="B14680" s="3" t="s">
        <v>66</v>
      </c>
      <c r="C14680" s="4" t="str">
        <f t="shared" si="1168"/>
        <v>TCGA-BRCA</v>
      </c>
      <c r="D14680" s="1" t="s">
        <v>493</v>
      </c>
      <c r="E14680" t="s">
        <v>533</v>
      </c>
      <c r="F14680" s="1">
        <v>2</v>
      </c>
      <c r="G14680" s="1" t="s">
        <v>28</v>
      </c>
      <c r="H14680" s="4" t="str">
        <f>HYPERLINK("https://portal.gdc.cancer.gov/cases/96f23d8a-be0f-4925-ba00-805dc293414c","TCGA-A2-A0ET-01A")</f>
        <v>TCGA-A2-A0ET-01A</v>
      </c>
      <c r="I14680" t="s">
        <v>17</v>
      </c>
      <c r="J14680" t="s">
        <v>524</v>
      </c>
      <c r="K14680" t="s">
        <v>33</v>
      </c>
      <c r="L14680" t="s">
        <v>20</v>
      </c>
      <c r="N14680" t="s">
        <v>29</v>
      </c>
    </row>
    <row r="14681" spans="1:14">
      <c r="A14681" s="4" t="str">
        <f t="shared" si="1167"/>
        <v>EXP00415</v>
      </c>
      <c r="B14681" s="3" t="s">
        <v>66</v>
      </c>
      <c r="C14681" s="4" t="str">
        <f t="shared" si="1168"/>
        <v>TCGA-BRCA</v>
      </c>
      <c r="D14681" s="1" t="s">
        <v>493</v>
      </c>
      <c r="E14681" t="s">
        <v>533</v>
      </c>
      <c r="F14681" s="1">
        <v>2</v>
      </c>
      <c r="G14681" s="1" t="s">
        <v>28</v>
      </c>
      <c r="H14681" s="4" t="str">
        <f>HYPERLINK("https://portal.gdc.cancer.gov/cases/c0427237-b476-4af4-b664-7bd479922ea5","TCGA-A2-A0EU-01A")</f>
        <v>TCGA-A2-A0EU-01A</v>
      </c>
      <c r="I14681" t="s">
        <v>17</v>
      </c>
      <c r="J14681" t="s">
        <v>524</v>
      </c>
      <c r="K14681" t="s">
        <v>33</v>
      </c>
      <c r="L14681" t="s">
        <v>20</v>
      </c>
      <c r="N14681" t="s">
        <v>29</v>
      </c>
    </row>
    <row r="14682" spans="1:14">
      <c r="A14682" s="4" t="str">
        <f t="shared" si="1167"/>
        <v>EXP00415</v>
      </c>
      <c r="B14682" s="3" t="s">
        <v>66</v>
      </c>
      <c r="C14682" s="4" t="str">
        <f t="shared" si="1168"/>
        <v>TCGA-BRCA</v>
      </c>
      <c r="D14682" s="1" t="s">
        <v>493</v>
      </c>
      <c r="E14682" t="s">
        <v>533</v>
      </c>
      <c r="F14682" s="1">
        <v>2</v>
      </c>
      <c r="G14682" s="1" t="s">
        <v>28</v>
      </c>
      <c r="H14682" s="4" t="str">
        <f>HYPERLINK("https://portal.gdc.cancer.gov/cases/7032ec9c-e96b-4642-a7b6-d0aee7a3add2","TCGA-A2-A0EV-01A")</f>
        <v>TCGA-A2-A0EV-01A</v>
      </c>
      <c r="I14682" t="s">
        <v>17</v>
      </c>
      <c r="J14682" t="s">
        <v>524</v>
      </c>
      <c r="K14682" t="s">
        <v>33</v>
      </c>
      <c r="L14682" t="s">
        <v>20</v>
      </c>
      <c r="N14682" t="s">
        <v>29</v>
      </c>
    </row>
    <row r="14683" spans="1:14">
      <c r="A14683" s="4" t="str">
        <f t="shared" si="1167"/>
        <v>EXP00415</v>
      </c>
      <c r="B14683" s="3" t="s">
        <v>66</v>
      </c>
      <c r="C14683" s="4" t="str">
        <f t="shared" si="1168"/>
        <v>TCGA-BRCA</v>
      </c>
      <c r="D14683" s="1" t="s">
        <v>493</v>
      </c>
      <c r="E14683" t="s">
        <v>533</v>
      </c>
      <c r="F14683" s="1">
        <v>2</v>
      </c>
      <c r="G14683" s="1" t="s">
        <v>28</v>
      </c>
      <c r="H14683" s="4" t="str">
        <f>HYPERLINK("https://portal.gdc.cancer.gov/cases/8d5fe6e8-d2cc-481f-a6a1-9cb6e7982cde","TCGA-A2-A0EW-01A")</f>
        <v>TCGA-A2-A0EW-01A</v>
      </c>
      <c r="I14683" t="s">
        <v>17</v>
      </c>
      <c r="J14683" t="s">
        <v>524</v>
      </c>
      <c r="K14683" t="s">
        <v>33</v>
      </c>
      <c r="L14683" t="s">
        <v>20</v>
      </c>
      <c r="N14683" t="s">
        <v>29</v>
      </c>
    </row>
    <row r="14684" spans="1:14">
      <c r="A14684" s="4" t="str">
        <f t="shared" si="1167"/>
        <v>EXP00415</v>
      </c>
      <c r="B14684" s="3" t="s">
        <v>66</v>
      </c>
      <c r="C14684" s="4" t="str">
        <f t="shared" si="1168"/>
        <v>TCGA-BRCA</v>
      </c>
      <c r="D14684" s="1" t="s">
        <v>493</v>
      </c>
      <c r="E14684" t="s">
        <v>533</v>
      </c>
      <c r="F14684" s="1">
        <v>2</v>
      </c>
      <c r="G14684" s="1" t="s">
        <v>28</v>
      </c>
      <c r="H14684" s="4" t="str">
        <f>HYPERLINK("https://portal.gdc.cancer.gov/cases/9d8702e1-1a36-4bca-85ab-5f11d58d7953","TCGA-A2-A0EX-01A")</f>
        <v>TCGA-A2-A0EX-01A</v>
      </c>
      <c r="I14684" t="s">
        <v>17</v>
      </c>
      <c r="J14684" t="s">
        <v>524</v>
      </c>
      <c r="K14684" t="s">
        <v>33</v>
      </c>
      <c r="L14684" t="s">
        <v>20</v>
      </c>
      <c r="N14684" t="s">
        <v>29</v>
      </c>
    </row>
    <row r="14685" spans="1:14">
      <c r="A14685" s="4" t="str">
        <f t="shared" si="1167"/>
        <v>EXP00415</v>
      </c>
      <c r="B14685" s="3" t="s">
        <v>66</v>
      </c>
      <c r="C14685" s="4" t="str">
        <f t="shared" si="1168"/>
        <v>TCGA-BRCA</v>
      </c>
      <c r="D14685" s="1" t="s">
        <v>493</v>
      </c>
      <c r="E14685" t="s">
        <v>533</v>
      </c>
      <c r="F14685" s="1">
        <v>2</v>
      </c>
      <c r="G14685" s="1" t="s">
        <v>28</v>
      </c>
      <c r="H14685" s="4" t="str">
        <f>HYPERLINK("https://portal.gdc.cancer.gov/cases/d67cd793-2931-429a-9084-2f3c4c8be7ad","TCGA-A2-A0EY-01A")</f>
        <v>TCGA-A2-A0EY-01A</v>
      </c>
      <c r="I14685" t="s">
        <v>17</v>
      </c>
      <c r="J14685" t="s">
        <v>524</v>
      </c>
      <c r="K14685" t="s">
        <v>33</v>
      </c>
      <c r="L14685" t="s">
        <v>20</v>
      </c>
      <c r="N14685" t="s">
        <v>29</v>
      </c>
    </row>
    <row r="14686" spans="1:14">
      <c r="A14686" s="4" t="str">
        <f t="shared" si="1167"/>
        <v>EXP00415</v>
      </c>
      <c r="B14686" s="3" t="s">
        <v>66</v>
      </c>
      <c r="C14686" s="4" t="str">
        <f t="shared" si="1168"/>
        <v>TCGA-BRCA</v>
      </c>
      <c r="D14686" s="1" t="s">
        <v>493</v>
      </c>
      <c r="E14686" t="s">
        <v>533</v>
      </c>
      <c r="F14686" s="1">
        <v>2</v>
      </c>
      <c r="G14686" s="1" t="s">
        <v>28</v>
      </c>
      <c r="H14686" s="4" t="str">
        <f>HYPERLINK("https://portal.gdc.cancer.gov/cases/12d31787-e54d-4729-ace8-9141043c92b8","TCGA-A2-A0ST-01A")</f>
        <v>TCGA-A2-A0ST-01A</v>
      </c>
      <c r="I14686" t="s">
        <v>17</v>
      </c>
      <c r="J14686" t="s">
        <v>524</v>
      </c>
      <c r="K14686" t="s">
        <v>33</v>
      </c>
      <c r="L14686" t="s">
        <v>20</v>
      </c>
      <c r="N14686" t="s">
        <v>29</v>
      </c>
    </row>
    <row r="14687" spans="1:14">
      <c r="A14687" s="4" t="str">
        <f t="shared" si="1167"/>
        <v>EXP00415</v>
      </c>
      <c r="B14687" s="3" t="s">
        <v>66</v>
      </c>
      <c r="C14687" s="4" t="str">
        <f t="shared" si="1168"/>
        <v>TCGA-BRCA</v>
      </c>
      <c r="D14687" s="1" t="s">
        <v>493</v>
      </c>
      <c r="E14687" t="s">
        <v>533</v>
      </c>
      <c r="F14687" s="1">
        <v>2</v>
      </c>
      <c r="G14687" s="1" t="s">
        <v>28</v>
      </c>
      <c r="H14687" s="4" t="str">
        <f>HYPERLINK("https://portal.gdc.cancer.gov/cases/c632675e-e8af-43cd-8744-5be3754c1c14","TCGA-A2-A0SU-01A")</f>
        <v>TCGA-A2-A0SU-01A</v>
      </c>
      <c r="I14687" t="s">
        <v>17</v>
      </c>
      <c r="J14687" t="s">
        <v>524</v>
      </c>
      <c r="K14687" t="s">
        <v>33</v>
      </c>
      <c r="L14687" t="s">
        <v>20</v>
      </c>
      <c r="N14687" t="s">
        <v>29</v>
      </c>
    </row>
    <row r="14688" spans="1:14">
      <c r="A14688" s="4" t="str">
        <f t="shared" si="1167"/>
        <v>EXP00415</v>
      </c>
      <c r="B14688" s="3" t="s">
        <v>66</v>
      </c>
      <c r="C14688" s="4" t="str">
        <f t="shared" si="1168"/>
        <v>TCGA-BRCA</v>
      </c>
      <c r="D14688" s="1" t="s">
        <v>493</v>
      </c>
      <c r="E14688" t="s">
        <v>533</v>
      </c>
      <c r="F14688" s="1">
        <v>2</v>
      </c>
      <c r="G14688" s="1" t="s">
        <v>28</v>
      </c>
      <c r="H14688" s="4" t="str">
        <f>HYPERLINK("https://portal.gdc.cancer.gov/cases/ad01259b-d858-40bc-a6ba-0bb06e996afb","TCGA-A2-A0SV-01A")</f>
        <v>TCGA-A2-A0SV-01A</v>
      </c>
      <c r="I14688" t="s">
        <v>17</v>
      </c>
      <c r="J14688" t="s">
        <v>524</v>
      </c>
      <c r="K14688" t="s">
        <v>33</v>
      </c>
      <c r="L14688" t="s">
        <v>20</v>
      </c>
      <c r="N14688" t="s">
        <v>29</v>
      </c>
    </row>
    <row r="14689" spans="1:14">
      <c r="A14689" s="4" t="str">
        <f t="shared" si="1167"/>
        <v>EXP00415</v>
      </c>
      <c r="B14689" s="3" t="s">
        <v>66</v>
      </c>
      <c r="C14689" s="4" t="str">
        <f t="shared" si="1168"/>
        <v>TCGA-BRCA</v>
      </c>
      <c r="D14689" s="1" t="s">
        <v>493</v>
      </c>
      <c r="E14689" t="s">
        <v>533</v>
      </c>
      <c r="F14689" s="1">
        <v>2</v>
      </c>
      <c r="G14689" s="1" t="s">
        <v>28</v>
      </c>
      <c r="H14689" s="4" t="str">
        <f>HYPERLINK("https://portal.gdc.cancer.gov/cases/991e1427-3c01-423d-abfd-4584302ca72c","TCGA-A2-A0SW-01A")</f>
        <v>TCGA-A2-A0SW-01A</v>
      </c>
      <c r="I14689" t="s">
        <v>17</v>
      </c>
      <c r="J14689" t="s">
        <v>524</v>
      </c>
      <c r="K14689" t="s">
        <v>33</v>
      </c>
      <c r="L14689" t="s">
        <v>20</v>
      </c>
      <c r="N14689" t="s">
        <v>29</v>
      </c>
    </row>
    <row r="14690" spans="1:14">
      <c r="A14690" s="4" t="str">
        <f t="shared" si="1167"/>
        <v>EXP00415</v>
      </c>
      <c r="B14690" s="3" t="s">
        <v>66</v>
      </c>
      <c r="C14690" s="4" t="str">
        <f t="shared" si="1168"/>
        <v>TCGA-BRCA</v>
      </c>
      <c r="D14690" s="1" t="s">
        <v>493</v>
      </c>
      <c r="E14690" t="s">
        <v>533</v>
      </c>
      <c r="F14690" s="1">
        <v>2</v>
      </c>
      <c r="G14690" s="1" t="s">
        <v>28</v>
      </c>
      <c r="H14690" s="4" t="str">
        <f>HYPERLINK("https://portal.gdc.cancer.gov/cases/18d35983-ea6a-4b70-a209-9bef37595956","TCGA-A2-A0SX-01A")</f>
        <v>TCGA-A2-A0SX-01A</v>
      </c>
      <c r="I14690" t="s">
        <v>17</v>
      </c>
      <c r="J14690" t="s">
        <v>524</v>
      </c>
      <c r="K14690" t="s">
        <v>33</v>
      </c>
      <c r="L14690" t="s">
        <v>20</v>
      </c>
      <c r="N14690" t="s">
        <v>29</v>
      </c>
    </row>
    <row r="14691" spans="1:14">
      <c r="A14691" s="4" t="str">
        <f t="shared" si="1167"/>
        <v>EXP00415</v>
      </c>
      <c r="B14691" s="3" t="s">
        <v>66</v>
      </c>
      <c r="C14691" s="4" t="str">
        <f t="shared" si="1168"/>
        <v>TCGA-BRCA</v>
      </c>
      <c r="D14691" s="1" t="s">
        <v>493</v>
      </c>
      <c r="E14691" t="s">
        <v>533</v>
      </c>
      <c r="F14691" s="1">
        <v>2</v>
      </c>
      <c r="G14691" s="1" t="s">
        <v>28</v>
      </c>
      <c r="H14691" s="4" t="str">
        <f>HYPERLINK("https://portal.gdc.cancer.gov/cases/dc696e3c-f448-468f-a576-f4429be0338a","TCGA-A2-A0SY-01A")</f>
        <v>TCGA-A2-A0SY-01A</v>
      </c>
      <c r="I14691" t="s">
        <v>17</v>
      </c>
      <c r="J14691" t="s">
        <v>524</v>
      </c>
      <c r="K14691" t="s">
        <v>33</v>
      </c>
      <c r="L14691" t="s">
        <v>20</v>
      </c>
      <c r="N14691" t="s">
        <v>29</v>
      </c>
    </row>
    <row r="14692" spans="1:14">
      <c r="A14692" s="4" t="str">
        <f t="shared" si="1167"/>
        <v>EXP00415</v>
      </c>
      <c r="B14692" s="3" t="s">
        <v>66</v>
      </c>
      <c r="C14692" s="4" t="str">
        <f t="shared" si="1168"/>
        <v>TCGA-BRCA</v>
      </c>
      <c r="D14692" s="1" t="s">
        <v>493</v>
      </c>
      <c r="E14692" t="s">
        <v>533</v>
      </c>
      <c r="F14692" s="1">
        <v>2</v>
      </c>
      <c r="G14692" s="1" t="s">
        <v>28</v>
      </c>
      <c r="H14692" s="4" t="str">
        <f>HYPERLINK("https://portal.gdc.cancer.gov/cases/95c53f69-0f05-4348-822a-571f3d757001","TCGA-A2-A0T0-01A")</f>
        <v>TCGA-A2-A0T0-01A</v>
      </c>
      <c r="I14692" t="s">
        <v>17</v>
      </c>
      <c r="J14692" t="s">
        <v>524</v>
      </c>
      <c r="K14692" t="s">
        <v>33</v>
      </c>
      <c r="L14692" t="s">
        <v>20</v>
      </c>
      <c r="N14692" t="s">
        <v>29</v>
      </c>
    </row>
    <row r="14693" spans="1:14">
      <c r="A14693" s="4" t="str">
        <f t="shared" si="1167"/>
        <v>EXP00415</v>
      </c>
      <c r="B14693" s="3" t="s">
        <v>66</v>
      </c>
      <c r="C14693" s="4" t="str">
        <f t="shared" si="1168"/>
        <v>TCGA-BRCA</v>
      </c>
      <c r="D14693" s="1" t="s">
        <v>493</v>
      </c>
      <c r="E14693" t="s">
        <v>533</v>
      </c>
      <c r="F14693" s="1">
        <v>2</v>
      </c>
      <c r="G14693" s="1" t="s">
        <v>28</v>
      </c>
      <c r="H14693" s="4" t="str">
        <f>HYPERLINK("https://portal.gdc.cancer.gov/cases/02bed00f-bef7-4fb7-b243-540354990e45","TCGA-A2-A0T1-01A")</f>
        <v>TCGA-A2-A0T1-01A</v>
      </c>
      <c r="I14693" t="s">
        <v>17</v>
      </c>
      <c r="J14693" t="s">
        <v>524</v>
      </c>
      <c r="K14693" t="s">
        <v>33</v>
      </c>
      <c r="L14693" t="s">
        <v>20</v>
      </c>
      <c r="N14693" t="s">
        <v>29</v>
      </c>
    </row>
    <row r="14694" spans="1:14">
      <c r="A14694" s="4" t="str">
        <f t="shared" si="1167"/>
        <v>EXP00415</v>
      </c>
      <c r="B14694" s="3" t="s">
        <v>66</v>
      </c>
      <c r="C14694" s="4" t="str">
        <f t="shared" si="1168"/>
        <v>TCGA-BRCA</v>
      </c>
      <c r="D14694" s="1" t="s">
        <v>493</v>
      </c>
      <c r="E14694" t="s">
        <v>533</v>
      </c>
      <c r="F14694" s="1">
        <v>2</v>
      </c>
      <c r="G14694" s="1" t="s">
        <v>28</v>
      </c>
      <c r="H14694" s="4" t="str">
        <f>HYPERLINK("https://portal.gdc.cancer.gov/cases/128d198e-9b22-427c-90db-3714455f3a17","TCGA-A2-A0T2-01A")</f>
        <v>TCGA-A2-A0T2-01A</v>
      </c>
      <c r="I14694" t="s">
        <v>17</v>
      </c>
      <c r="J14694" t="s">
        <v>524</v>
      </c>
      <c r="K14694" t="s">
        <v>33</v>
      </c>
      <c r="L14694" t="s">
        <v>20</v>
      </c>
      <c r="N14694" t="s">
        <v>29</v>
      </c>
    </row>
    <row r="14695" spans="1:14">
      <c r="A14695" s="4" t="str">
        <f t="shared" si="1167"/>
        <v>EXP00415</v>
      </c>
      <c r="B14695" s="3" t="s">
        <v>66</v>
      </c>
      <c r="C14695" s="4" t="str">
        <f t="shared" si="1168"/>
        <v>TCGA-BRCA</v>
      </c>
      <c r="D14695" s="1" t="s">
        <v>493</v>
      </c>
      <c r="E14695" t="s">
        <v>533</v>
      </c>
      <c r="F14695" s="1">
        <v>2</v>
      </c>
      <c r="G14695" s="1" t="s">
        <v>28</v>
      </c>
      <c r="H14695" s="4" t="str">
        <f>HYPERLINK("https://portal.gdc.cancer.gov/cases/058dcb78-bed1-40c3-a6c2-a0cc40065531","TCGA-A2-A0T3-01A")</f>
        <v>TCGA-A2-A0T3-01A</v>
      </c>
      <c r="I14695" t="s">
        <v>17</v>
      </c>
      <c r="J14695" t="s">
        <v>524</v>
      </c>
      <c r="K14695" t="s">
        <v>33</v>
      </c>
      <c r="L14695" t="s">
        <v>20</v>
      </c>
      <c r="N14695" t="s">
        <v>29</v>
      </c>
    </row>
    <row r="14696" spans="1:14">
      <c r="A14696" s="4" t="str">
        <f t="shared" si="1167"/>
        <v>EXP00415</v>
      </c>
      <c r="B14696" s="3" t="s">
        <v>66</v>
      </c>
      <c r="C14696" s="4" t="str">
        <f t="shared" si="1168"/>
        <v>TCGA-BRCA</v>
      </c>
      <c r="D14696" s="1" t="s">
        <v>493</v>
      </c>
      <c r="E14696" t="s">
        <v>533</v>
      </c>
      <c r="F14696" s="1">
        <v>2</v>
      </c>
      <c r="G14696" s="1" t="s">
        <v>28</v>
      </c>
      <c r="H14696" s="4" t="str">
        <f>HYPERLINK("https://portal.gdc.cancer.gov/cases/b0f8d698-a30e-4d8d-b0a2-a5a01fac8406","TCGA-A2-A0T4-01A")</f>
        <v>TCGA-A2-A0T4-01A</v>
      </c>
      <c r="I14696" t="s">
        <v>17</v>
      </c>
      <c r="J14696" t="s">
        <v>524</v>
      </c>
      <c r="K14696" t="s">
        <v>33</v>
      </c>
      <c r="L14696" t="s">
        <v>20</v>
      </c>
      <c r="N14696" t="s">
        <v>29</v>
      </c>
    </row>
    <row r="14697" spans="1:14">
      <c r="A14697" s="4" t="str">
        <f t="shared" si="1167"/>
        <v>EXP00415</v>
      </c>
      <c r="B14697" s="3" t="s">
        <v>66</v>
      </c>
      <c r="C14697" s="4" t="str">
        <f t="shared" si="1168"/>
        <v>TCGA-BRCA</v>
      </c>
      <c r="D14697" s="1" t="s">
        <v>493</v>
      </c>
      <c r="E14697" t="s">
        <v>533</v>
      </c>
      <c r="F14697" s="1">
        <v>2</v>
      </c>
      <c r="G14697" s="1" t="s">
        <v>28</v>
      </c>
      <c r="H14697" s="4" t="str">
        <f>HYPERLINK("https://portal.gdc.cancer.gov/cases/36d77496-99f8-4911-ba7c-89fae32662aa","TCGA-A2-A0T5-01A")</f>
        <v>TCGA-A2-A0T5-01A</v>
      </c>
      <c r="I14697" t="s">
        <v>17</v>
      </c>
      <c r="J14697" t="s">
        <v>524</v>
      </c>
      <c r="K14697" t="s">
        <v>33</v>
      </c>
      <c r="L14697" t="s">
        <v>20</v>
      </c>
      <c r="N14697" t="s">
        <v>29</v>
      </c>
    </row>
    <row r="14698" spans="1:14">
      <c r="A14698" s="4" t="str">
        <f t="shared" si="1167"/>
        <v>EXP00415</v>
      </c>
      <c r="B14698" s="3" t="s">
        <v>66</v>
      </c>
      <c r="C14698" s="4" t="str">
        <f t="shared" si="1168"/>
        <v>TCGA-BRCA</v>
      </c>
      <c r="D14698" s="1" t="s">
        <v>493</v>
      </c>
      <c r="E14698" t="s">
        <v>533</v>
      </c>
      <c r="F14698" s="1">
        <v>2</v>
      </c>
      <c r="G14698" s="1" t="s">
        <v>28</v>
      </c>
      <c r="H14698" s="4" t="str">
        <f>HYPERLINK("https://portal.gdc.cancer.gov/cases/08306ede-e74b-4be9-b768-7fd98647b6ac","TCGA-A2-A0T6-01A")</f>
        <v>TCGA-A2-A0T6-01A</v>
      </c>
      <c r="I14698" t="s">
        <v>17</v>
      </c>
      <c r="J14698" t="s">
        <v>524</v>
      </c>
      <c r="K14698" t="s">
        <v>33</v>
      </c>
      <c r="L14698" t="s">
        <v>20</v>
      </c>
      <c r="N14698" t="s">
        <v>29</v>
      </c>
    </row>
    <row r="14699" spans="1:14">
      <c r="A14699" s="4" t="str">
        <f t="shared" si="1167"/>
        <v>EXP00415</v>
      </c>
      <c r="B14699" s="3" t="s">
        <v>66</v>
      </c>
      <c r="C14699" s="4" t="str">
        <f t="shared" si="1168"/>
        <v>TCGA-BRCA</v>
      </c>
      <c r="D14699" s="1" t="s">
        <v>493</v>
      </c>
      <c r="E14699" t="s">
        <v>533</v>
      </c>
      <c r="F14699" s="1">
        <v>2</v>
      </c>
      <c r="G14699" s="1" t="s">
        <v>28</v>
      </c>
      <c r="H14699" s="4" t="str">
        <f>HYPERLINK("https://portal.gdc.cancer.gov/cases/43d5632e-7272-4aad-9496-7f5a99671223","TCGA-A2-A0T7-01A")</f>
        <v>TCGA-A2-A0T7-01A</v>
      </c>
      <c r="I14699" t="s">
        <v>17</v>
      </c>
      <c r="J14699" t="s">
        <v>524</v>
      </c>
      <c r="K14699" t="s">
        <v>33</v>
      </c>
      <c r="L14699" t="s">
        <v>20</v>
      </c>
      <c r="N14699" t="s">
        <v>29</v>
      </c>
    </row>
    <row r="14700" spans="1:14">
      <c r="A14700" s="4" t="str">
        <f t="shared" si="1167"/>
        <v>EXP00415</v>
      </c>
      <c r="B14700" s="3" t="s">
        <v>66</v>
      </c>
      <c r="C14700" s="4" t="str">
        <f t="shared" si="1168"/>
        <v>TCGA-BRCA</v>
      </c>
      <c r="D14700" s="1" t="s">
        <v>493</v>
      </c>
      <c r="E14700" t="s">
        <v>533</v>
      </c>
      <c r="F14700" s="1">
        <v>2</v>
      </c>
      <c r="G14700" s="1" t="s">
        <v>28</v>
      </c>
      <c r="H14700" s="4" t="str">
        <f>HYPERLINK("https://portal.gdc.cancer.gov/cases/a1872011-b928-4189-ac02-e87506c20bca","TCGA-A2-A0YC-01A")</f>
        <v>TCGA-A2-A0YC-01A</v>
      </c>
      <c r="I14700" t="s">
        <v>17</v>
      </c>
      <c r="J14700" t="s">
        <v>524</v>
      </c>
      <c r="K14700" t="s">
        <v>33</v>
      </c>
      <c r="L14700" t="s">
        <v>20</v>
      </c>
      <c r="N14700" t="s">
        <v>29</v>
      </c>
    </row>
    <row r="14701" spans="1:14">
      <c r="A14701" s="4" t="str">
        <f t="shared" si="1167"/>
        <v>EXP00415</v>
      </c>
      <c r="B14701" s="3" t="s">
        <v>66</v>
      </c>
      <c r="C14701" s="4" t="str">
        <f t="shared" si="1168"/>
        <v>TCGA-BRCA</v>
      </c>
      <c r="D14701" s="1" t="s">
        <v>493</v>
      </c>
      <c r="E14701" t="s">
        <v>533</v>
      </c>
      <c r="F14701" s="1">
        <v>2</v>
      </c>
      <c r="G14701" s="1" t="s">
        <v>28</v>
      </c>
      <c r="H14701" s="4" t="str">
        <f>HYPERLINK("https://portal.gdc.cancer.gov/cases/2c6adb12-380d-4710-a7e6-93d5a0e53289","TCGA-A2-A0YD-01A")</f>
        <v>TCGA-A2-A0YD-01A</v>
      </c>
      <c r="I14701" t="s">
        <v>17</v>
      </c>
      <c r="J14701" t="s">
        <v>524</v>
      </c>
      <c r="K14701" t="s">
        <v>33</v>
      </c>
      <c r="L14701" t="s">
        <v>20</v>
      </c>
      <c r="N14701" t="s">
        <v>29</v>
      </c>
    </row>
    <row r="14702" spans="1:14">
      <c r="A14702" s="4" t="str">
        <f t="shared" si="1167"/>
        <v>EXP00415</v>
      </c>
      <c r="B14702" s="3" t="s">
        <v>66</v>
      </c>
      <c r="C14702" s="4" t="str">
        <f t="shared" si="1168"/>
        <v>TCGA-BRCA</v>
      </c>
      <c r="D14702" s="1" t="s">
        <v>493</v>
      </c>
      <c r="E14702" t="s">
        <v>533</v>
      </c>
      <c r="F14702" s="1">
        <v>2</v>
      </c>
      <c r="G14702" s="1" t="s">
        <v>28</v>
      </c>
      <c r="H14702" s="4" t="str">
        <f>HYPERLINK("https://portal.gdc.cancer.gov/cases/ae8c77fe-e6c8-44d5-8265-4a38c637bbef","TCGA-A2-A0YF-01A")</f>
        <v>TCGA-A2-A0YF-01A</v>
      </c>
      <c r="I14702" t="s">
        <v>17</v>
      </c>
      <c r="J14702" t="s">
        <v>524</v>
      </c>
      <c r="K14702" t="s">
        <v>33</v>
      </c>
      <c r="L14702" t="s">
        <v>20</v>
      </c>
      <c r="N14702" t="s">
        <v>29</v>
      </c>
    </row>
    <row r="14703" spans="1:14">
      <c r="A14703" s="4" t="str">
        <f t="shared" si="1167"/>
        <v>EXP00415</v>
      </c>
      <c r="B14703" s="3" t="s">
        <v>66</v>
      </c>
      <c r="C14703" s="4" t="str">
        <f t="shared" si="1168"/>
        <v>TCGA-BRCA</v>
      </c>
      <c r="D14703" s="1" t="s">
        <v>493</v>
      </c>
      <c r="E14703" t="s">
        <v>533</v>
      </c>
      <c r="F14703" s="1">
        <v>2</v>
      </c>
      <c r="G14703" s="1" t="s">
        <v>28</v>
      </c>
      <c r="H14703" s="4" t="str">
        <f>HYPERLINK("https://portal.gdc.cancer.gov/cases/c0892598-1f7b-4f23-9cd8-731f797753d5","TCGA-A2-A0YG-01A")</f>
        <v>TCGA-A2-A0YG-01A</v>
      </c>
      <c r="I14703" t="s">
        <v>17</v>
      </c>
      <c r="J14703" t="s">
        <v>524</v>
      </c>
      <c r="K14703" t="s">
        <v>33</v>
      </c>
      <c r="L14703" t="s">
        <v>20</v>
      </c>
      <c r="N14703" t="s">
        <v>29</v>
      </c>
    </row>
    <row r="14704" spans="1:14">
      <c r="A14704" s="4" t="str">
        <f t="shared" si="1167"/>
        <v>EXP00415</v>
      </c>
      <c r="B14704" s="3" t="s">
        <v>66</v>
      </c>
      <c r="C14704" s="4" t="str">
        <f t="shared" si="1168"/>
        <v>TCGA-BRCA</v>
      </c>
      <c r="D14704" s="1" t="s">
        <v>493</v>
      </c>
      <c r="E14704" t="s">
        <v>533</v>
      </c>
      <c r="F14704" s="1">
        <v>2</v>
      </c>
      <c r="G14704" s="1" t="s">
        <v>28</v>
      </c>
      <c r="H14704" s="4" t="str">
        <f>HYPERLINK("https://portal.gdc.cancer.gov/cases/298d33da-15af-48cb-b30f-eaf54e7baa43","TCGA-A2-A0YH-01A")</f>
        <v>TCGA-A2-A0YH-01A</v>
      </c>
      <c r="I14704" t="s">
        <v>17</v>
      </c>
      <c r="J14704" t="s">
        <v>524</v>
      </c>
      <c r="K14704" t="s">
        <v>33</v>
      </c>
      <c r="L14704" t="s">
        <v>20</v>
      </c>
      <c r="N14704" t="s">
        <v>29</v>
      </c>
    </row>
    <row r="14705" spans="1:14">
      <c r="A14705" s="4" t="str">
        <f t="shared" si="1167"/>
        <v>EXP00415</v>
      </c>
      <c r="B14705" s="3" t="s">
        <v>66</v>
      </c>
      <c r="C14705" s="4" t="str">
        <f t="shared" si="1168"/>
        <v>TCGA-BRCA</v>
      </c>
      <c r="D14705" s="1" t="s">
        <v>493</v>
      </c>
      <c r="E14705" t="s">
        <v>533</v>
      </c>
      <c r="F14705" s="1">
        <v>2</v>
      </c>
      <c r="G14705" s="1" t="s">
        <v>28</v>
      </c>
      <c r="H14705" s="4" t="str">
        <f>HYPERLINK("https://portal.gdc.cancer.gov/cases/72cd1b17-d349-4551-83f7-3062ce9db865","TCGA-A2-A0YI-01A")</f>
        <v>TCGA-A2-A0YI-01A</v>
      </c>
      <c r="I14705" t="s">
        <v>17</v>
      </c>
      <c r="J14705" t="s">
        <v>524</v>
      </c>
      <c r="K14705" t="s">
        <v>33</v>
      </c>
      <c r="L14705" t="s">
        <v>20</v>
      </c>
      <c r="N14705" t="s">
        <v>29</v>
      </c>
    </row>
    <row r="14706" spans="1:14">
      <c r="A14706" s="4" t="str">
        <f t="shared" si="1167"/>
        <v>EXP00415</v>
      </c>
      <c r="B14706" s="3" t="s">
        <v>66</v>
      </c>
      <c r="C14706" s="4" t="str">
        <f t="shared" si="1168"/>
        <v>TCGA-BRCA</v>
      </c>
      <c r="D14706" s="1" t="s">
        <v>493</v>
      </c>
      <c r="E14706" t="s">
        <v>533</v>
      </c>
      <c r="F14706" s="1">
        <v>2</v>
      </c>
      <c r="G14706" s="1" t="s">
        <v>28</v>
      </c>
      <c r="H14706" s="4" t="str">
        <f>HYPERLINK("https://portal.gdc.cancer.gov/cases/8f34cb4c-5798-47a0-89a1-f0ee26a8ae93","TCGA-A2-A0YK-01A")</f>
        <v>TCGA-A2-A0YK-01A</v>
      </c>
      <c r="I14706" t="s">
        <v>17</v>
      </c>
      <c r="J14706" t="s">
        <v>524</v>
      </c>
      <c r="K14706" t="s">
        <v>33</v>
      </c>
      <c r="L14706" t="s">
        <v>20</v>
      </c>
      <c r="N14706" t="s">
        <v>29</v>
      </c>
    </row>
    <row r="14707" spans="1:14">
      <c r="A14707" s="4" t="str">
        <f t="shared" si="1167"/>
        <v>EXP00415</v>
      </c>
      <c r="B14707" s="3" t="s">
        <v>66</v>
      </c>
      <c r="C14707" s="4" t="str">
        <f t="shared" si="1168"/>
        <v>TCGA-BRCA</v>
      </c>
      <c r="D14707" s="1" t="s">
        <v>493</v>
      </c>
      <c r="E14707" t="s">
        <v>533</v>
      </c>
      <c r="F14707" s="1">
        <v>2</v>
      </c>
      <c r="G14707" s="1" t="s">
        <v>28</v>
      </c>
      <c r="H14707" s="4" t="str">
        <f>HYPERLINK("https://portal.gdc.cancer.gov/cases/b205c89f-af62-4186-acad-ed23d243fa98","TCGA-A2-A0YL-01A")</f>
        <v>TCGA-A2-A0YL-01A</v>
      </c>
      <c r="I14707" t="s">
        <v>17</v>
      </c>
      <c r="J14707" t="s">
        <v>524</v>
      </c>
      <c r="K14707" t="s">
        <v>33</v>
      </c>
      <c r="L14707" t="s">
        <v>20</v>
      </c>
      <c r="N14707" t="s">
        <v>29</v>
      </c>
    </row>
    <row r="14708" spans="1:14">
      <c r="A14708" s="4" t="str">
        <f t="shared" si="1167"/>
        <v>EXP00415</v>
      </c>
      <c r="B14708" s="3" t="s">
        <v>66</v>
      </c>
      <c r="C14708" s="4" t="str">
        <f t="shared" si="1168"/>
        <v>TCGA-BRCA</v>
      </c>
      <c r="D14708" s="1" t="s">
        <v>493</v>
      </c>
      <c r="E14708" t="s">
        <v>533</v>
      </c>
      <c r="F14708" s="1">
        <v>2</v>
      </c>
      <c r="G14708" s="1" t="s">
        <v>28</v>
      </c>
      <c r="H14708" s="4" t="str">
        <f>HYPERLINK("https://portal.gdc.cancer.gov/cases/5cbf0aea-ebb4-4005-bdd5-14ef2dc6826c","TCGA-A2-A0YM-01A")</f>
        <v>TCGA-A2-A0YM-01A</v>
      </c>
      <c r="I14708" t="s">
        <v>17</v>
      </c>
      <c r="J14708" t="s">
        <v>524</v>
      </c>
      <c r="K14708" t="s">
        <v>33</v>
      </c>
      <c r="L14708" t="s">
        <v>20</v>
      </c>
      <c r="N14708" t="s">
        <v>29</v>
      </c>
    </row>
    <row r="14709" spans="1:14">
      <c r="A14709" s="4" t="str">
        <f t="shared" si="1167"/>
        <v>EXP00415</v>
      </c>
      <c r="B14709" s="3" t="s">
        <v>66</v>
      </c>
      <c r="C14709" s="4" t="str">
        <f t="shared" si="1168"/>
        <v>TCGA-BRCA</v>
      </c>
      <c r="D14709" s="1" t="s">
        <v>493</v>
      </c>
      <c r="E14709" t="s">
        <v>533</v>
      </c>
      <c r="F14709" s="1">
        <v>2</v>
      </c>
      <c r="G14709" s="1" t="s">
        <v>28</v>
      </c>
      <c r="H14709" s="4" t="str">
        <f>HYPERLINK("https://portal.gdc.cancer.gov/cases/14b95463-2108-4921-afc2-e29eef52b18f","TCGA-A2-A0YT-01A")</f>
        <v>TCGA-A2-A0YT-01A</v>
      </c>
      <c r="I14709" t="s">
        <v>17</v>
      </c>
      <c r="J14709" t="s">
        <v>524</v>
      </c>
      <c r="K14709" t="s">
        <v>33</v>
      </c>
      <c r="L14709" t="s">
        <v>20</v>
      </c>
      <c r="N14709" t="s">
        <v>29</v>
      </c>
    </row>
    <row r="14710" spans="1:14">
      <c r="A14710" s="4" t="str">
        <f t="shared" si="1167"/>
        <v>EXP00415</v>
      </c>
      <c r="B14710" s="3" t="s">
        <v>66</v>
      </c>
      <c r="C14710" s="4" t="str">
        <f t="shared" si="1168"/>
        <v>TCGA-BRCA</v>
      </c>
      <c r="D14710" s="1" t="s">
        <v>493</v>
      </c>
      <c r="E14710" t="s">
        <v>533</v>
      </c>
      <c r="F14710" s="1">
        <v>2</v>
      </c>
      <c r="G14710" s="1" t="s">
        <v>28</v>
      </c>
      <c r="H14710" s="4" t="str">
        <f>HYPERLINK("https://portal.gdc.cancer.gov/cases/cd0c96a4-6414-4efb-879b-7408b62ed5b6","TCGA-A2-A1FV-01A")</f>
        <v>TCGA-A2-A1FV-01A</v>
      </c>
      <c r="I14710" t="s">
        <v>17</v>
      </c>
      <c r="J14710" t="s">
        <v>524</v>
      </c>
      <c r="K14710" t="s">
        <v>33</v>
      </c>
      <c r="L14710" t="s">
        <v>20</v>
      </c>
      <c r="N14710" t="s">
        <v>29</v>
      </c>
    </row>
    <row r="14711" spans="1:14">
      <c r="A14711" s="4" t="str">
        <f t="shared" si="1167"/>
        <v>EXP00415</v>
      </c>
      <c r="B14711" s="3" t="s">
        <v>66</v>
      </c>
      <c r="C14711" s="4" t="str">
        <f t="shared" si="1168"/>
        <v>TCGA-BRCA</v>
      </c>
      <c r="D14711" s="1" t="s">
        <v>493</v>
      </c>
      <c r="E14711" t="s">
        <v>533</v>
      </c>
      <c r="F14711" s="1">
        <v>2</v>
      </c>
      <c r="G14711" s="1" t="s">
        <v>28</v>
      </c>
      <c r="H14711" s="4" t="str">
        <f>HYPERLINK("https://portal.gdc.cancer.gov/cases/54883111-d475-4515-ba3f-fece8a71e79e","TCGA-A2-A1FW-01A")</f>
        <v>TCGA-A2-A1FW-01A</v>
      </c>
      <c r="I14711" t="s">
        <v>17</v>
      </c>
      <c r="J14711" t="s">
        <v>524</v>
      </c>
      <c r="K14711" t="s">
        <v>33</v>
      </c>
      <c r="L14711" t="s">
        <v>20</v>
      </c>
      <c r="N14711" t="s">
        <v>29</v>
      </c>
    </row>
    <row r="14712" spans="1:14">
      <c r="A14712" s="4" t="str">
        <f t="shared" ref="A14712:A14775" si="1169">HYPERLINK("http://hcmdb.i-sanger.com/experiment/details/experiment_id/EXP00415","EXP00415")</f>
        <v>EXP00415</v>
      </c>
      <c r="B14712" s="3" t="s">
        <v>66</v>
      </c>
      <c r="C14712" s="4" t="str">
        <f t="shared" si="1168"/>
        <v>TCGA-BRCA</v>
      </c>
      <c r="D14712" s="1" t="s">
        <v>493</v>
      </c>
      <c r="E14712" t="s">
        <v>533</v>
      </c>
      <c r="F14712" s="1">
        <v>2</v>
      </c>
      <c r="G14712" s="1" t="s">
        <v>28</v>
      </c>
      <c r="H14712" s="4" t="str">
        <f>HYPERLINK("https://portal.gdc.cancer.gov/cases/ac6d3ba9-f84f-4657-aa85-4d66fb7c09da","TCGA-A2-A1FX-01A")</f>
        <v>TCGA-A2-A1FX-01A</v>
      </c>
      <c r="I14712" t="s">
        <v>17</v>
      </c>
      <c r="J14712" t="s">
        <v>524</v>
      </c>
      <c r="K14712" t="s">
        <v>33</v>
      </c>
      <c r="L14712" t="s">
        <v>20</v>
      </c>
      <c r="N14712" t="s">
        <v>29</v>
      </c>
    </row>
    <row r="14713" spans="1:14">
      <c r="A14713" s="4" t="str">
        <f t="shared" si="1169"/>
        <v>EXP00415</v>
      </c>
      <c r="B14713" s="3" t="s">
        <v>66</v>
      </c>
      <c r="C14713" s="4" t="str">
        <f t="shared" si="1168"/>
        <v>TCGA-BRCA</v>
      </c>
      <c r="D14713" s="1" t="s">
        <v>493</v>
      </c>
      <c r="E14713" t="s">
        <v>533</v>
      </c>
      <c r="F14713" s="1">
        <v>2</v>
      </c>
      <c r="G14713" s="1" t="s">
        <v>28</v>
      </c>
      <c r="H14713" s="4" t="str">
        <f>HYPERLINK("https://portal.gdc.cancer.gov/cases/805bfe39-3695-43c2-93e4-d66d0559b89f","TCGA-A2-A1FZ-01A")</f>
        <v>TCGA-A2-A1FZ-01A</v>
      </c>
      <c r="I14713" t="s">
        <v>17</v>
      </c>
      <c r="J14713" t="s">
        <v>524</v>
      </c>
      <c r="K14713" t="s">
        <v>33</v>
      </c>
      <c r="L14713" t="s">
        <v>20</v>
      </c>
      <c r="N14713" t="s">
        <v>29</v>
      </c>
    </row>
    <row r="14714" spans="1:14">
      <c r="A14714" s="4" t="str">
        <f t="shared" si="1169"/>
        <v>EXP00415</v>
      </c>
      <c r="B14714" s="3" t="s">
        <v>66</v>
      </c>
      <c r="C14714" s="4" t="str">
        <f t="shared" ref="C14714:C14777" si="1170">HYPERLINK("https://portal.gdc.cancer.gov/projects/TCGA-BRCA","TCGA-BRCA")</f>
        <v>TCGA-BRCA</v>
      </c>
      <c r="D14714" s="1" t="s">
        <v>493</v>
      </c>
      <c r="E14714" t="s">
        <v>533</v>
      </c>
      <c r="F14714" s="1">
        <v>2</v>
      </c>
      <c r="G14714" s="1" t="s">
        <v>28</v>
      </c>
      <c r="H14714" s="4" t="str">
        <f>HYPERLINK("https://portal.gdc.cancer.gov/cases/2e538802-2a31-4774-89a8-c6e4381a887d","TCGA-A2-A1G0-01A")</f>
        <v>TCGA-A2-A1G0-01A</v>
      </c>
      <c r="I14714" t="s">
        <v>17</v>
      </c>
      <c r="J14714" t="s">
        <v>524</v>
      </c>
      <c r="K14714" t="s">
        <v>33</v>
      </c>
      <c r="L14714" t="s">
        <v>20</v>
      </c>
      <c r="N14714" t="s">
        <v>29</v>
      </c>
    </row>
    <row r="14715" spans="1:14">
      <c r="A14715" s="4" t="str">
        <f t="shared" si="1169"/>
        <v>EXP00415</v>
      </c>
      <c r="B14715" s="3" t="s">
        <v>66</v>
      </c>
      <c r="C14715" s="4" t="str">
        <f t="shared" si="1170"/>
        <v>TCGA-BRCA</v>
      </c>
      <c r="D14715" s="1" t="s">
        <v>493</v>
      </c>
      <c r="E14715" t="s">
        <v>533</v>
      </c>
      <c r="F14715" s="1">
        <v>2</v>
      </c>
      <c r="G14715" s="1" t="s">
        <v>28</v>
      </c>
      <c r="H14715" s="4" t="str">
        <f>HYPERLINK("https://portal.gdc.cancer.gov/cases/75b5529b-565a-4eba-918a-910b2f441d32","TCGA-A2-A1G1-01A")</f>
        <v>TCGA-A2-A1G1-01A</v>
      </c>
      <c r="I14715" t="s">
        <v>17</v>
      </c>
      <c r="J14715" t="s">
        <v>524</v>
      </c>
      <c r="K14715" t="s">
        <v>33</v>
      </c>
      <c r="L14715" t="s">
        <v>20</v>
      </c>
      <c r="N14715" t="s">
        <v>29</v>
      </c>
    </row>
    <row r="14716" spans="1:14">
      <c r="A14716" s="4" t="str">
        <f t="shared" si="1169"/>
        <v>EXP00415</v>
      </c>
      <c r="B14716" s="3" t="s">
        <v>66</v>
      </c>
      <c r="C14716" s="4" t="str">
        <f t="shared" si="1170"/>
        <v>TCGA-BRCA</v>
      </c>
      <c r="D14716" s="1" t="s">
        <v>493</v>
      </c>
      <c r="E14716" t="s">
        <v>533</v>
      </c>
      <c r="F14716" s="1">
        <v>2</v>
      </c>
      <c r="G14716" s="1" t="s">
        <v>28</v>
      </c>
      <c r="H14716" s="4" t="str">
        <f>HYPERLINK("https://portal.gdc.cancer.gov/cases/e3b555aa-7f0a-49c6-9b13-182c61a144c1","TCGA-A2-A1G4-01A")</f>
        <v>TCGA-A2-A1G4-01A</v>
      </c>
      <c r="I14716" t="s">
        <v>17</v>
      </c>
      <c r="J14716" t="s">
        <v>524</v>
      </c>
      <c r="K14716" t="s">
        <v>33</v>
      </c>
      <c r="L14716" t="s">
        <v>20</v>
      </c>
      <c r="N14716" t="s">
        <v>29</v>
      </c>
    </row>
    <row r="14717" spans="1:14">
      <c r="A14717" s="4" t="str">
        <f t="shared" si="1169"/>
        <v>EXP00415</v>
      </c>
      <c r="B14717" s="3" t="s">
        <v>66</v>
      </c>
      <c r="C14717" s="4" t="str">
        <f t="shared" si="1170"/>
        <v>TCGA-BRCA</v>
      </c>
      <c r="D14717" s="1" t="s">
        <v>493</v>
      </c>
      <c r="E14717" t="s">
        <v>533</v>
      </c>
      <c r="F14717" s="1">
        <v>2</v>
      </c>
      <c r="G14717" s="1" t="s">
        <v>28</v>
      </c>
      <c r="H14717" s="4" t="str">
        <f>HYPERLINK("https://portal.gdc.cancer.gov/cases/295cf595-4a29-46a3-a0c5-e5f08f947031","TCGA-A2-A1G6-01A")</f>
        <v>TCGA-A2-A1G6-01A</v>
      </c>
      <c r="I14717" t="s">
        <v>17</v>
      </c>
      <c r="J14717" t="s">
        <v>524</v>
      </c>
      <c r="K14717" t="s">
        <v>33</v>
      </c>
      <c r="L14717" t="s">
        <v>20</v>
      </c>
      <c r="N14717" t="s">
        <v>29</v>
      </c>
    </row>
    <row r="14718" spans="1:14">
      <c r="A14718" s="4" t="str">
        <f t="shared" si="1169"/>
        <v>EXP00415</v>
      </c>
      <c r="B14718" s="3" t="s">
        <v>66</v>
      </c>
      <c r="C14718" s="4" t="str">
        <f t="shared" si="1170"/>
        <v>TCGA-BRCA</v>
      </c>
      <c r="D14718" s="1" t="s">
        <v>493</v>
      </c>
      <c r="E14718" t="s">
        <v>533</v>
      </c>
      <c r="F14718" s="1">
        <v>2</v>
      </c>
      <c r="G14718" s="1" t="s">
        <v>28</v>
      </c>
      <c r="H14718" s="4" t="str">
        <f>HYPERLINK("https://portal.gdc.cancer.gov/cases/3fc3755d-a3f8-4e2c-813f-ff124f2a75c1","TCGA-A2-A259-01A")</f>
        <v>TCGA-A2-A259-01A</v>
      </c>
      <c r="I14718" t="s">
        <v>17</v>
      </c>
      <c r="J14718" t="s">
        <v>524</v>
      </c>
      <c r="K14718" t="s">
        <v>33</v>
      </c>
      <c r="L14718" t="s">
        <v>20</v>
      </c>
      <c r="N14718" t="s">
        <v>29</v>
      </c>
    </row>
    <row r="14719" spans="1:14">
      <c r="A14719" s="4" t="str">
        <f t="shared" si="1169"/>
        <v>EXP00415</v>
      </c>
      <c r="B14719" s="3" t="s">
        <v>66</v>
      </c>
      <c r="C14719" s="4" t="str">
        <f t="shared" si="1170"/>
        <v>TCGA-BRCA</v>
      </c>
      <c r="D14719" s="1" t="s">
        <v>493</v>
      </c>
      <c r="E14719" t="s">
        <v>533</v>
      </c>
      <c r="F14719" s="1">
        <v>2</v>
      </c>
      <c r="G14719" s="1" t="s">
        <v>28</v>
      </c>
      <c r="H14719" s="4" t="str">
        <f>HYPERLINK("https://portal.gdc.cancer.gov/cases/aaea5f9c-b35b-47f8-93cb-bdc7b81844ff","TCGA-A2-A25A-01A")</f>
        <v>TCGA-A2-A25A-01A</v>
      </c>
      <c r="I14719" t="s">
        <v>17</v>
      </c>
      <c r="J14719" t="s">
        <v>524</v>
      </c>
      <c r="K14719" t="s">
        <v>33</v>
      </c>
      <c r="L14719" t="s">
        <v>20</v>
      </c>
      <c r="N14719" t="s">
        <v>29</v>
      </c>
    </row>
    <row r="14720" spans="1:14">
      <c r="A14720" s="4" t="str">
        <f t="shared" si="1169"/>
        <v>EXP00415</v>
      </c>
      <c r="B14720" s="3" t="s">
        <v>66</v>
      </c>
      <c r="C14720" s="4" t="str">
        <f t="shared" si="1170"/>
        <v>TCGA-BRCA</v>
      </c>
      <c r="D14720" s="1" t="s">
        <v>493</v>
      </c>
      <c r="E14720" t="s">
        <v>533</v>
      </c>
      <c r="F14720" s="1">
        <v>2</v>
      </c>
      <c r="G14720" s="1" t="s">
        <v>28</v>
      </c>
      <c r="H14720" s="4" t="str">
        <f>HYPERLINK("https://portal.gdc.cancer.gov/cases/eadf8482-e60e-4307-adb7-d5c3b9fa6cae","TCGA-A2-A25B-01A")</f>
        <v>TCGA-A2-A25B-01A</v>
      </c>
      <c r="I14720" t="s">
        <v>17</v>
      </c>
      <c r="J14720" t="s">
        <v>524</v>
      </c>
      <c r="K14720" t="s">
        <v>33</v>
      </c>
      <c r="L14720" t="s">
        <v>20</v>
      </c>
      <c r="N14720" t="s">
        <v>29</v>
      </c>
    </row>
    <row r="14721" spans="1:14">
      <c r="A14721" s="4" t="str">
        <f t="shared" si="1169"/>
        <v>EXP00415</v>
      </c>
      <c r="B14721" s="3" t="s">
        <v>66</v>
      </c>
      <c r="C14721" s="4" t="str">
        <f t="shared" si="1170"/>
        <v>TCGA-BRCA</v>
      </c>
      <c r="D14721" s="1" t="s">
        <v>493</v>
      </c>
      <c r="E14721" t="s">
        <v>533</v>
      </c>
      <c r="F14721" s="1">
        <v>2</v>
      </c>
      <c r="G14721" s="1" t="s">
        <v>28</v>
      </c>
      <c r="H14721" s="4" t="str">
        <f>HYPERLINK("https://portal.gdc.cancer.gov/cases/7aedb46a-48ec-4e0e-8baa-c9ea4c4a7cf1","TCGA-A2-A25C-01A")</f>
        <v>TCGA-A2-A25C-01A</v>
      </c>
      <c r="I14721" t="s">
        <v>17</v>
      </c>
      <c r="J14721" t="s">
        <v>524</v>
      </c>
      <c r="K14721" t="s">
        <v>33</v>
      </c>
      <c r="L14721" t="s">
        <v>20</v>
      </c>
      <c r="N14721" t="s">
        <v>29</v>
      </c>
    </row>
    <row r="14722" spans="1:14">
      <c r="A14722" s="4" t="str">
        <f t="shared" si="1169"/>
        <v>EXP00415</v>
      </c>
      <c r="B14722" s="3" t="s">
        <v>66</v>
      </c>
      <c r="C14722" s="4" t="str">
        <f t="shared" si="1170"/>
        <v>TCGA-BRCA</v>
      </c>
      <c r="D14722" s="1" t="s">
        <v>493</v>
      </c>
      <c r="E14722" t="s">
        <v>533</v>
      </c>
      <c r="F14722" s="1">
        <v>2</v>
      </c>
      <c r="G14722" s="1" t="s">
        <v>28</v>
      </c>
      <c r="H14722" s="4" t="str">
        <f>HYPERLINK("https://portal.gdc.cancer.gov/cases/3b963d72-ba5c-467b-83c9-fbdb462510a3","TCGA-A2-A25D-01A")</f>
        <v>TCGA-A2-A25D-01A</v>
      </c>
      <c r="I14722" t="s">
        <v>17</v>
      </c>
      <c r="J14722" t="s">
        <v>524</v>
      </c>
      <c r="K14722" t="s">
        <v>33</v>
      </c>
      <c r="L14722" t="s">
        <v>20</v>
      </c>
      <c r="N14722" t="s">
        <v>29</v>
      </c>
    </row>
    <row r="14723" spans="1:14">
      <c r="A14723" s="4" t="str">
        <f t="shared" si="1169"/>
        <v>EXP00415</v>
      </c>
      <c r="B14723" s="3" t="s">
        <v>66</v>
      </c>
      <c r="C14723" s="4" t="str">
        <f t="shared" si="1170"/>
        <v>TCGA-BRCA</v>
      </c>
      <c r="D14723" s="1" t="s">
        <v>493</v>
      </c>
      <c r="E14723" t="s">
        <v>533</v>
      </c>
      <c r="F14723" s="1">
        <v>2</v>
      </c>
      <c r="G14723" s="1" t="s">
        <v>28</v>
      </c>
      <c r="H14723" s="4" t="str">
        <f>HYPERLINK("https://portal.gdc.cancer.gov/cases/ba89cb4f-cd63-47b1-9550-76fdaff89f2e","TCGA-A2-A25E-01A")</f>
        <v>TCGA-A2-A25E-01A</v>
      </c>
      <c r="I14723" t="s">
        <v>17</v>
      </c>
      <c r="J14723" t="s">
        <v>524</v>
      </c>
      <c r="K14723" t="s">
        <v>33</v>
      </c>
      <c r="L14723" t="s">
        <v>20</v>
      </c>
      <c r="N14723" t="s">
        <v>29</v>
      </c>
    </row>
    <row r="14724" spans="1:14">
      <c r="A14724" s="4" t="str">
        <f t="shared" si="1169"/>
        <v>EXP00415</v>
      </c>
      <c r="B14724" s="3" t="s">
        <v>66</v>
      </c>
      <c r="C14724" s="4" t="str">
        <f t="shared" si="1170"/>
        <v>TCGA-BRCA</v>
      </c>
      <c r="D14724" s="1" t="s">
        <v>493</v>
      </c>
      <c r="E14724" t="s">
        <v>533</v>
      </c>
      <c r="F14724" s="1">
        <v>2</v>
      </c>
      <c r="G14724" s="1" t="s">
        <v>28</v>
      </c>
      <c r="H14724" s="4" t="str">
        <f>HYPERLINK("https://portal.gdc.cancer.gov/cases/c836951b-3ffb-4e20-8504-0eccb7d50dd4","TCGA-A2-A25F-01A")</f>
        <v>TCGA-A2-A25F-01A</v>
      </c>
      <c r="I14724" t="s">
        <v>17</v>
      </c>
      <c r="J14724" t="s">
        <v>524</v>
      </c>
      <c r="K14724" t="s">
        <v>33</v>
      </c>
      <c r="L14724" t="s">
        <v>20</v>
      </c>
      <c r="N14724" t="s">
        <v>29</v>
      </c>
    </row>
    <row r="14725" spans="1:14">
      <c r="A14725" s="4" t="str">
        <f t="shared" si="1169"/>
        <v>EXP00415</v>
      </c>
      <c r="B14725" s="3" t="s">
        <v>66</v>
      </c>
      <c r="C14725" s="4" t="str">
        <f t="shared" si="1170"/>
        <v>TCGA-BRCA</v>
      </c>
      <c r="D14725" s="1" t="s">
        <v>493</v>
      </c>
      <c r="E14725" t="s">
        <v>533</v>
      </c>
      <c r="F14725" s="1">
        <v>2</v>
      </c>
      <c r="G14725" s="1" t="s">
        <v>28</v>
      </c>
      <c r="H14725" s="4" t="str">
        <f>HYPERLINK("https://portal.gdc.cancer.gov/cases/2d29a4ac-98e7-4663-9dd6-5681bc32ac2e","TCGA-A2-A3KC-01A")</f>
        <v>TCGA-A2-A3KC-01A</v>
      </c>
      <c r="I14725" t="s">
        <v>17</v>
      </c>
      <c r="J14725" t="s">
        <v>524</v>
      </c>
      <c r="K14725" t="s">
        <v>33</v>
      </c>
      <c r="L14725" t="s">
        <v>20</v>
      </c>
      <c r="N14725" t="s">
        <v>29</v>
      </c>
    </row>
    <row r="14726" spans="1:14">
      <c r="A14726" s="4" t="str">
        <f t="shared" si="1169"/>
        <v>EXP00415</v>
      </c>
      <c r="B14726" s="3" t="s">
        <v>66</v>
      </c>
      <c r="C14726" s="4" t="str">
        <f t="shared" si="1170"/>
        <v>TCGA-BRCA</v>
      </c>
      <c r="D14726" s="1" t="s">
        <v>493</v>
      </c>
      <c r="E14726" t="s">
        <v>533</v>
      </c>
      <c r="F14726" s="1">
        <v>2</v>
      </c>
      <c r="G14726" s="1" t="s">
        <v>28</v>
      </c>
      <c r="H14726" s="4" t="str">
        <f>HYPERLINK("https://portal.gdc.cancer.gov/cases/bb026999-0aab-4232-96d7-2c93b6c9691d","TCGA-A2-A3KD-01A")</f>
        <v>TCGA-A2-A3KD-01A</v>
      </c>
      <c r="I14726" t="s">
        <v>17</v>
      </c>
      <c r="J14726" t="s">
        <v>524</v>
      </c>
      <c r="K14726" t="s">
        <v>33</v>
      </c>
      <c r="L14726" t="s">
        <v>20</v>
      </c>
      <c r="N14726" t="s">
        <v>29</v>
      </c>
    </row>
    <row r="14727" spans="1:14">
      <c r="A14727" s="4" t="str">
        <f t="shared" si="1169"/>
        <v>EXP00415</v>
      </c>
      <c r="B14727" s="3" t="s">
        <v>66</v>
      </c>
      <c r="C14727" s="4" t="str">
        <f t="shared" si="1170"/>
        <v>TCGA-BRCA</v>
      </c>
      <c r="D14727" s="1" t="s">
        <v>493</v>
      </c>
      <c r="E14727" t="s">
        <v>533</v>
      </c>
      <c r="F14727" s="1">
        <v>2</v>
      </c>
      <c r="G14727" s="1" t="s">
        <v>28</v>
      </c>
      <c r="H14727" s="4" t="str">
        <f>HYPERLINK("https://portal.gdc.cancer.gov/cases/a78b04b4-2380-4803-963e-e4e633cd69ab","TCGA-A2-A3XS-01A")</f>
        <v>TCGA-A2-A3XS-01A</v>
      </c>
      <c r="I14727" t="s">
        <v>17</v>
      </c>
      <c r="J14727" t="s">
        <v>524</v>
      </c>
      <c r="K14727" t="s">
        <v>33</v>
      </c>
      <c r="L14727" t="s">
        <v>20</v>
      </c>
      <c r="N14727" t="s">
        <v>29</v>
      </c>
    </row>
    <row r="14728" spans="1:14">
      <c r="A14728" s="4" t="str">
        <f t="shared" si="1169"/>
        <v>EXP00415</v>
      </c>
      <c r="B14728" s="3" t="s">
        <v>66</v>
      </c>
      <c r="C14728" s="4" t="str">
        <f t="shared" si="1170"/>
        <v>TCGA-BRCA</v>
      </c>
      <c r="D14728" s="1" t="s">
        <v>493</v>
      </c>
      <c r="E14728" t="s">
        <v>533</v>
      </c>
      <c r="F14728" s="1">
        <v>2</v>
      </c>
      <c r="G14728" s="1" t="s">
        <v>28</v>
      </c>
      <c r="H14728" s="4" t="str">
        <f>HYPERLINK("https://portal.gdc.cancer.gov/cases/c72cb184-462d-4009-9cdb-848782ff8a76","TCGA-A2-A3XT-01A")</f>
        <v>TCGA-A2-A3XT-01A</v>
      </c>
      <c r="I14728" t="s">
        <v>17</v>
      </c>
      <c r="J14728" t="s">
        <v>524</v>
      </c>
      <c r="K14728" t="s">
        <v>33</v>
      </c>
      <c r="L14728" t="s">
        <v>20</v>
      </c>
      <c r="N14728" t="s">
        <v>29</v>
      </c>
    </row>
    <row r="14729" spans="1:14">
      <c r="A14729" s="4" t="str">
        <f t="shared" si="1169"/>
        <v>EXP00415</v>
      </c>
      <c r="B14729" s="3" t="s">
        <v>66</v>
      </c>
      <c r="C14729" s="4" t="str">
        <f t="shared" si="1170"/>
        <v>TCGA-BRCA</v>
      </c>
      <c r="D14729" s="1" t="s">
        <v>493</v>
      </c>
      <c r="E14729" t="s">
        <v>533</v>
      </c>
      <c r="F14729" s="1">
        <v>2</v>
      </c>
      <c r="G14729" s="1" t="s">
        <v>28</v>
      </c>
      <c r="H14729" s="4" t="str">
        <f>HYPERLINK("https://portal.gdc.cancer.gov/cases/189e1f27-7738-413a-a4d4-97d41d592a13","TCGA-A2-A3XV-01A")</f>
        <v>TCGA-A2-A3XV-01A</v>
      </c>
      <c r="I14729" t="s">
        <v>17</v>
      </c>
      <c r="J14729" t="s">
        <v>524</v>
      </c>
      <c r="K14729" t="s">
        <v>33</v>
      </c>
      <c r="L14729" t="s">
        <v>20</v>
      </c>
      <c r="N14729" t="s">
        <v>29</v>
      </c>
    </row>
    <row r="14730" spans="1:14">
      <c r="A14730" s="4" t="str">
        <f t="shared" si="1169"/>
        <v>EXP00415</v>
      </c>
      <c r="B14730" s="3" t="s">
        <v>66</v>
      </c>
      <c r="C14730" s="4" t="str">
        <f t="shared" si="1170"/>
        <v>TCGA-BRCA</v>
      </c>
      <c r="D14730" s="1" t="s">
        <v>493</v>
      </c>
      <c r="E14730" t="s">
        <v>533</v>
      </c>
      <c r="F14730" s="1">
        <v>2</v>
      </c>
      <c r="G14730" s="1" t="s">
        <v>28</v>
      </c>
      <c r="H14730" s="4" t="str">
        <f>HYPERLINK("https://portal.gdc.cancer.gov/cases/c02699b5-580a-4d55-971e-f4692b2cce57","TCGA-A2-A3XW-01A")</f>
        <v>TCGA-A2-A3XW-01A</v>
      </c>
      <c r="I14730" t="s">
        <v>17</v>
      </c>
      <c r="J14730" t="s">
        <v>524</v>
      </c>
      <c r="K14730" t="s">
        <v>33</v>
      </c>
      <c r="L14730" t="s">
        <v>20</v>
      </c>
      <c r="N14730" t="s">
        <v>29</v>
      </c>
    </row>
    <row r="14731" spans="1:14">
      <c r="A14731" s="4" t="str">
        <f t="shared" si="1169"/>
        <v>EXP00415</v>
      </c>
      <c r="B14731" s="3" t="s">
        <v>66</v>
      </c>
      <c r="C14731" s="4" t="str">
        <f t="shared" si="1170"/>
        <v>TCGA-BRCA</v>
      </c>
      <c r="D14731" s="1" t="s">
        <v>493</v>
      </c>
      <c r="E14731" t="s">
        <v>533</v>
      </c>
      <c r="F14731" s="1">
        <v>2</v>
      </c>
      <c r="G14731" s="1" t="s">
        <v>28</v>
      </c>
      <c r="H14731" s="4" t="str">
        <f>HYPERLINK("https://portal.gdc.cancer.gov/cases/53886143-c1c6-40e9-88e6-e4e5e0271fc8","TCGA-A2-A3XX-01A")</f>
        <v>TCGA-A2-A3XX-01A</v>
      </c>
      <c r="I14731" t="s">
        <v>17</v>
      </c>
      <c r="J14731" t="s">
        <v>524</v>
      </c>
      <c r="K14731" t="s">
        <v>33</v>
      </c>
      <c r="L14731" t="s">
        <v>20</v>
      </c>
      <c r="N14731" t="s">
        <v>29</v>
      </c>
    </row>
    <row r="14732" spans="1:14">
      <c r="A14732" s="4" t="str">
        <f t="shared" si="1169"/>
        <v>EXP00415</v>
      </c>
      <c r="B14732" s="3" t="s">
        <v>66</v>
      </c>
      <c r="C14732" s="4" t="str">
        <f t="shared" si="1170"/>
        <v>TCGA-BRCA</v>
      </c>
      <c r="D14732" s="1" t="s">
        <v>493</v>
      </c>
      <c r="E14732" t="s">
        <v>533</v>
      </c>
      <c r="F14732" s="1">
        <v>2</v>
      </c>
      <c r="G14732" s="1" t="s">
        <v>28</v>
      </c>
      <c r="H14732" s="4" t="str">
        <f>HYPERLINK("https://portal.gdc.cancer.gov/cases/deba32e4-0e68-4711-941b-3b63bd965afb","TCGA-A2-A3XY-01A")</f>
        <v>TCGA-A2-A3XY-01A</v>
      </c>
      <c r="I14732" t="s">
        <v>17</v>
      </c>
      <c r="J14732" t="s">
        <v>524</v>
      </c>
      <c r="K14732" t="s">
        <v>33</v>
      </c>
      <c r="L14732" t="s">
        <v>20</v>
      </c>
      <c r="N14732" t="s">
        <v>29</v>
      </c>
    </row>
    <row r="14733" spans="1:14">
      <c r="A14733" s="4" t="str">
        <f t="shared" si="1169"/>
        <v>EXP00415</v>
      </c>
      <c r="B14733" s="3" t="s">
        <v>66</v>
      </c>
      <c r="C14733" s="4" t="str">
        <f t="shared" si="1170"/>
        <v>TCGA-BRCA</v>
      </c>
      <c r="D14733" s="1" t="s">
        <v>493</v>
      </c>
      <c r="E14733" t="s">
        <v>533</v>
      </c>
      <c r="F14733" s="1">
        <v>2</v>
      </c>
      <c r="G14733" s="1" t="s">
        <v>28</v>
      </c>
      <c r="H14733" s="4" t="str">
        <f>HYPERLINK("https://portal.gdc.cancer.gov/cases/fe7f74b8-20f4-4471-91dc-4cca8c68e5c0","TCGA-A2-A3XZ-01A")</f>
        <v>TCGA-A2-A3XZ-01A</v>
      </c>
      <c r="I14733" t="s">
        <v>17</v>
      </c>
      <c r="J14733" t="s">
        <v>524</v>
      </c>
      <c r="K14733" t="s">
        <v>33</v>
      </c>
      <c r="L14733" t="s">
        <v>20</v>
      </c>
      <c r="N14733" t="s">
        <v>29</v>
      </c>
    </row>
    <row r="14734" spans="1:14">
      <c r="A14734" s="4" t="str">
        <f t="shared" si="1169"/>
        <v>EXP00415</v>
      </c>
      <c r="B14734" s="3" t="s">
        <v>66</v>
      </c>
      <c r="C14734" s="4" t="str">
        <f t="shared" si="1170"/>
        <v>TCGA-BRCA</v>
      </c>
      <c r="D14734" s="1" t="s">
        <v>493</v>
      </c>
      <c r="E14734" t="s">
        <v>533</v>
      </c>
      <c r="F14734" s="1">
        <v>2</v>
      </c>
      <c r="G14734" s="1" t="s">
        <v>28</v>
      </c>
      <c r="H14734" s="4" t="str">
        <f>HYPERLINK("https://portal.gdc.cancer.gov/cases/174850b4-5ec2-462b-a890-89bd1716b3c2","TCGA-A2-A3Y0-01A")</f>
        <v>TCGA-A2-A3Y0-01A</v>
      </c>
      <c r="I14734" t="s">
        <v>17</v>
      </c>
      <c r="J14734" t="s">
        <v>524</v>
      </c>
      <c r="K14734" t="s">
        <v>33</v>
      </c>
      <c r="L14734" t="s">
        <v>20</v>
      </c>
      <c r="N14734" t="s">
        <v>29</v>
      </c>
    </row>
    <row r="14735" spans="1:14">
      <c r="A14735" s="4" t="str">
        <f t="shared" si="1169"/>
        <v>EXP00415</v>
      </c>
      <c r="B14735" s="3" t="s">
        <v>66</v>
      </c>
      <c r="C14735" s="4" t="str">
        <f t="shared" si="1170"/>
        <v>TCGA-BRCA</v>
      </c>
      <c r="D14735" s="1" t="s">
        <v>493</v>
      </c>
      <c r="E14735" t="s">
        <v>533</v>
      </c>
      <c r="F14735" s="1">
        <v>2</v>
      </c>
      <c r="G14735" s="1" t="s">
        <v>28</v>
      </c>
      <c r="H14735" s="4" t="str">
        <f>HYPERLINK("https://portal.gdc.cancer.gov/cases/0d146997-cfdc-4587-888c-e876fc455c80","TCGA-A2-A4RW-01A")</f>
        <v>TCGA-A2-A4RW-01A</v>
      </c>
      <c r="I14735" t="s">
        <v>17</v>
      </c>
      <c r="J14735" t="s">
        <v>524</v>
      </c>
      <c r="K14735" t="s">
        <v>33</v>
      </c>
      <c r="L14735" t="s">
        <v>20</v>
      </c>
      <c r="N14735" t="s">
        <v>29</v>
      </c>
    </row>
    <row r="14736" spans="1:14">
      <c r="A14736" s="4" t="str">
        <f t="shared" si="1169"/>
        <v>EXP00415</v>
      </c>
      <c r="B14736" s="3" t="s">
        <v>66</v>
      </c>
      <c r="C14736" s="4" t="str">
        <f t="shared" si="1170"/>
        <v>TCGA-BRCA</v>
      </c>
      <c r="D14736" s="1" t="s">
        <v>493</v>
      </c>
      <c r="E14736" t="s">
        <v>533</v>
      </c>
      <c r="F14736" s="1">
        <v>2</v>
      </c>
      <c r="G14736" s="1" t="s">
        <v>28</v>
      </c>
      <c r="H14736" s="4" t="str">
        <f>HYPERLINK("https://portal.gdc.cancer.gov/cases/d111c4ab-b39a-4a7c-8d8e-cb342bc10627","TCGA-A2-A4RX-01A")</f>
        <v>TCGA-A2-A4RX-01A</v>
      </c>
      <c r="I14736" t="s">
        <v>17</v>
      </c>
      <c r="J14736" t="s">
        <v>524</v>
      </c>
      <c r="K14736" t="s">
        <v>33</v>
      </c>
      <c r="L14736" t="s">
        <v>20</v>
      </c>
      <c r="N14736" t="s">
        <v>29</v>
      </c>
    </row>
    <row r="14737" spans="1:14">
      <c r="A14737" s="4" t="str">
        <f t="shared" si="1169"/>
        <v>EXP00415</v>
      </c>
      <c r="B14737" s="3" t="s">
        <v>66</v>
      </c>
      <c r="C14737" s="4" t="str">
        <f t="shared" si="1170"/>
        <v>TCGA-BRCA</v>
      </c>
      <c r="D14737" s="1" t="s">
        <v>493</v>
      </c>
      <c r="E14737" t="s">
        <v>533</v>
      </c>
      <c r="F14737" s="1">
        <v>2</v>
      </c>
      <c r="G14737" s="1" t="s">
        <v>28</v>
      </c>
      <c r="H14737" s="4" t="str">
        <f>HYPERLINK("https://portal.gdc.cancer.gov/cases/5a53ec47-e63f-44a2-8078-87659544fb04","TCGA-A2-A4RY-01A")</f>
        <v>TCGA-A2-A4RY-01A</v>
      </c>
      <c r="I14737" t="s">
        <v>17</v>
      </c>
      <c r="J14737" t="s">
        <v>524</v>
      </c>
      <c r="K14737" t="s">
        <v>33</v>
      </c>
      <c r="L14737" t="s">
        <v>20</v>
      </c>
      <c r="N14737" t="s">
        <v>29</v>
      </c>
    </row>
    <row r="14738" spans="1:14">
      <c r="A14738" s="4" t="str">
        <f t="shared" si="1169"/>
        <v>EXP00415</v>
      </c>
      <c r="B14738" s="3" t="s">
        <v>66</v>
      </c>
      <c r="C14738" s="4" t="str">
        <f t="shared" si="1170"/>
        <v>TCGA-BRCA</v>
      </c>
      <c r="D14738" s="1" t="s">
        <v>493</v>
      </c>
      <c r="E14738" t="s">
        <v>533</v>
      </c>
      <c r="F14738" s="1">
        <v>2</v>
      </c>
      <c r="G14738" s="1" t="s">
        <v>28</v>
      </c>
      <c r="H14738" s="4" t="str">
        <f>HYPERLINK("https://portal.gdc.cancer.gov/cases/a53dd490-e0ba-419a-90c6-b905e241a8e5","TCGA-A2-A4S0-01A")</f>
        <v>TCGA-A2-A4S0-01A</v>
      </c>
      <c r="I14738" t="s">
        <v>17</v>
      </c>
      <c r="J14738" t="s">
        <v>524</v>
      </c>
      <c r="K14738" t="s">
        <v>33</v>
      </c>
      <c r="L14738" t="s">
        <v>20</v>
      </c>
      <c r="N14738" t="s">
        <v>29</v>
      </c>
    </row>
    <row r="14739" spans="1:14">
      <c r="A14739" s="4" t="str">
        <f t="shared" si="1169"/>
        <v>EXP00415</v>
      </c>
      <c r="B14739" s="3" t="s">
        <v>66</v>
      </c>
      <c r="C14739" s="4" t="str">
        <f t="shared" si="1170"/>
        <v>TCGA-BRCA</v>
      </c>
      <c r="D14739" s="1" t="s">
        <v>493</v>
      </c>
      <c r="E14739" t="s">
        <v>533</v>
      </c>
      <c r="F14739" s="1">
        <v>2</v>
      </c>
      <c r="G14739" s="1" t="s">
        <v>28</v>
      </c>
      <c r="H14739" s="4" t="str">
        <f>HYPERLINK("https://portal.gdc.cancer.gov/cases/843c8f16-5e59-40d4-9ecc-8a75375156f6","TCGA-A2-A4S1-01A")</f>
        <v>TCGA-A2-A4S1-01A</v>
      </c>
      <c r="I14739" t="s">
        <v>17</v>
      </c>
      <c r="J14739" t="s">
        <v>524</v>
      </c>
      <c r="K14739" t="s">
        <v>33</v>
      </c>
      <c r="L14739" t="s">
        <v>20</v>
      </c>
      <c r="N14739" t="s">
        <v>29</v>
      </c>
    </row>
    <row r="14740" spans="1:14">
      <c r="A14740" s="4" t="str">
        <f t="shared" si="1169"/>
        <v>EXP00415</v>
      </c>
      <c r="B14740" s="3" t="s">
        <v>66</v>
      </c>
      <c r="C14740" s="4" t="str">
        <f t="shared" si="1170"/>
        <v>TCGA-BRCA</v>
      </c>
      <c r="D14740" s="1" t="s">
        <v>493</v>
      </c>
      <c r="E14740" t="s">
        <v>533</v>
      </c>
      <c r="F14740" s="1">
        <v>2</v>
      </c>
      <c r="G14740" s="1" t="s">
        <v>28</v>
      </c>
      <c r="H14740" s="4" t="str">
        <f>HYPERLINK("https://portal.gdc.cancer.gov/cases/9ddc014d-9a8b-407b-845f-452a73f08e5e","TCGA-A2-A4S2-01A")</f>
        <v>TCGA-A2-A4S2-01A</v>
      </c>
      <c r="I14740" t="s">
        <v>17</v>
      </c>
      <c r="J14740" t="s">
        <v>524</v>
      </c>
      <c r="K14740" t="s">
        <v>33</v>
      </c>
      <c r="L14740" t="s">
        <v>20</v>
      </c>
      <c r="N14740" t="s">
        <v>29</v>
      </c>
    </row>
    <row r="14741" spans="1:14">
      <c r="A14741" s="4" t="str">
        <f t="shared" si="1169"/>
        <v>EXP00415</v>
      </c>
      <c r="B14741" s="3" t="s">
        <v>66</v>
      </c>
      <c r="C14741" s="4" t="str">
        <f t="shared" si="1170"/>
        <v>TCGA-BRCA</v>
      </c>
      <c r="D14741" s="1" t="s">
        <v>493</v>
      </c>
      <c r="E14741" t="s">
        <v>533</v>
      </c>
      <c r="F14741" s="1">
        <v>2</v>
      </c>
      <c r="G14741" s="1" t="s">
        <v>28</v>
      </c>
      <c r="H14741" s="4" t="str">
        <f>HYPERLINK("https://portal.gdc.cancer.gov/cases/418c11e8-2670-48d5-bbf5-95b46bff1201","TCGA-A2-A4S3-01A")</f>
        <v>TCGA-A2-A4S3-01A</v>
      </c>
      <c r="I14741" t="s">
        <v>17</v>
      </c>
      <c r="J14741" t="s">
        <v>524</v>
      </c>
      <c r="K14741" t="s">
        <v>33</v>
      </c>
      <c r="L14741" t="s">
        <v>20</v>
      </c>
      <c r="N14741" t="s">
        <v>29</v>
      </c>
    </row>
    <row r="14742" spans="1:14">
      <c r="A14742" s="4" t="str">
        <f t="shared" si="1169"/>
        <v>EXP00415</v>
      </c>
      <c r="B14742" s="3" t="s">
        <v>66</v>
      </c>
      <c r="C14742" s="4" t="str">
        <f t="shared" si="1170"/>
        <v>TCGA-BRCA</v>
      </c>
      <c r="D14742" s="1" t="s">
        <v>493</v>
      </c>
      <c r="E14742" t="s">
        <v>533</v>
      </c>
      <c r="F14742" s="1">
        <v>2</v>
      </c>
      <c r="G14742" s="1" t="s">
        <v>28</v>
      </c>
      <c r="H14742" s="4" t="str">
        <f>HYPERLINK("https://portal.gdc.cancer.gov/cases/09765b0a-94f6-47d2-af56-93368084ac3a","TCGA-A7-A0CD-01A")</f>
        <v>TCGA-A7-A0CD-01A</v>
      </c>
      <c r="I14742" t="s">
        <v>17</v>
      </c>
      <c r="J14742" t="s">
        <v>524</v>
      </c>
      <c r="K14742" t="s">
        <v>33</v>
      </c>
      <c r="L14742" t="s">
        <v>20</v>
      </c>
      <c r="N14742" t="s">
        <v>29</v>
      </c>
    </row>
    <row r="14743" spans="1:14">
      <c r="A14743" s="4" t="str">
        <f t="shared" si="1169"/>
        <v>EXP00415</v>
      </c>
      <c r="B14743" s="3" t="s">
        <v>66</v>
      </c>
      <c r="C14743" s="4" t="str">
        <f t="shared" si="1170"/>
        <v>TCGA-BRCA</v>
      </c>
      <c r="D14743" s="1" t="s">
        <v>493</v>
      </c>
      <c r="E14743" t="s">
        <v>533</v>
      </c>
      <c r="F14743" s="1">
        <v>2</v>
      </c>
      <c r="G14743" s="1" t="s">
        <v>28</v>
      </c>
      <c r="H14743" s="4" t="str">
        <f>HYPERLINK("https://portal.gdc.cancer.gov/cases/9d95a65b-e41d-4f93-92d4-99dce29ff40d","TCGA-A7-A0CE-01A")</f>
        <v>TCGA-A7-A0CE-01A</v>
      </c>
      <c r="I14743" t="s">
        <v>17</v>
      </c>
      <c r="J14743" t="s">
        <v>524</v>
      </c>
      <c r="K14743" t="s">
        <v>33</v>
      </c>
      <c r="L14743" t="s">
        <v>20</v>
      </c>
      <c r="N14743" t="s">
        <v>29</v>
      </c>
    </row>
    <row r="14744" spans="1:14">
      <c r="A14744" s="4" t="str">
        <f t="shared" si="1169"/>
        <v>EXP00415</v>
      </c>
      <c r="B14744" s="3" t="s">
        <v>66</v>
      </c>
      <c r="C14744" s="4" t="str">
        <f t="shared" si="1170"/>
        <v>TCGA-BRCA</v>
      </c>
      <c r="D14744" s="1" t="s">
        <v>493</v>
      </c>
      <c r="E14744" t="s">
        <v>533</v>
      </c>
      <c r="F14744" s="1">
        <v>2</v>
      </c>
      <c r="G14744" s="1" t="s">
        <v>28</v>
      </c>
      <c r="H14744" s="4" t="str">
        <f>HYPERLINK("https://portal.gdc.cancer.gov/cases/67eef990-5ff4-45d1-843d-d22d7848f130","TCGA-A7-A0CG-01A")</f>
        <v>TCGA-A7-A0CG-01A</v>
      </c>
      <c r="I14744" t="s">
        <v>17</v>
      </c>
      <c r="J14744" t="s">
        <v>524</v>
      </c>
      <c r="K14744" t="s">
        <v>33</v>
      </c>
      <c r="L14744" t="s">
        <v>20</v>
      </c>
      <c r="N14744" t="s">
        <v>29</v>
      </c>
    </row>
    <row r="14745" spans="1:14">
      <c r="A14745" s="4" t="str">
        <f t="shared" si="1169"/>
        <v>EXP00415</v>
      </c>
      <c r="B14745" s="3" t="s">
        <v>66</v>
      </c>
      <c r="C14745" s="4" t="str">
        <f t="shared" si="1170"/>
        <v>TCGA-BRCA</v>
      </c>
      <c r="D14745" s="1" t="s">
        <v>493</v>
      </c>
      <c r="E14745" t="s">
        <v>533</v>
      </c>
      <c r="F14745" s="1">
        <v>2</v>
      </c>
      <c r="G14745" s="1" t="s">
        <v>28</v>
      </c>
      <c r="H14745" s="4" t="str">
        <f>HYPERLINK("https://portal.gdc.cancer.gov/cases/9de678e5-67ed-4453-a98b-7ac351d5d0f1","TCGA-A7-A0CH-01A")</f>
        <v>TCGA-A7-A0CH-01A</v>
      </c>
      <c r="I14745" t="s">
        <v>17</v>
      </c>
      <c r="J14745" t="s">
        <v>524</v>
      </c>
      <c r="K14745" t="s">
        <v>33</v>
      </c>
      <c r="L14745" t="s">
        <v>20</v>
      </c>
      <c r="N14745" t="s">
        <v>29</v>
      </c>
    </row>
    <row r="14746" spans="1:14">
      <c r="A14746" s="4" t="str">
        <f t="shared" si="1169"/>
        <v>EXP00415</v>
      </c>
      <c r="B14746" s="3" t="s">
        <v>66</v>
      </c>
      <c r="C14746" s="4" t="str">
        <f t="shared" si="1170"/>
        <v>TCGA-BRCA</v>
      </c>
      <c r="D14746" s="1" t="s">
        <v>493</v>
      </c>
      <c r="E14746" t="s">
        <v>533</v>
      </c>
      <c r="F14746" s="1">
        <v>2</v>
      </c>
      <c r="G14746" s="1" t="s">
        <v>28</v>
      </c>
      <c r="H14746" s="4" t="str">
        <f>HYPERLINK("https://portal.gdc.cancer.gov/cases/d69e59a8-b10b-46f5-b859-b6c178d90506","TCGA-A7-A0CJ-01A")</f>
        <v>TCGA-A7-A0CJ-01A</v>
      </c>
      <c r="I14746" t="s">
        <v>17</v>
      </c>
      <c r="J14746" t="s">
        <v>524</v>
      </c>
      <c r="K14746" t="s">
        <v>33</v>
      </c>
      <c r="L14746" t="s">
        <v>20</v>
      </c>
      <c r="N14746" t="s">
        <v>29</v>
      </c>
    </row>
    <row r="14747" spans="1:14">
      <c r="A14747" s="4" t="str">
        <f t="shared" si="1169"/>
        <v>EXP00415</v>
      </c>
      <c r="B14747" s="3" t="s">
        <v>66</v>
      </c>
      <c r="C14747" s="4" t="str">
        <f t="shared" si="1170"/>
        <v>TCGA-BRCA</v>
      </c>
      <c r="D14747" s="1" t="s">
        <v>493</v>
      </c>
      <c r="E14747" t="s">
        <v>533</v>
      </c>
      <c r="F14747" s="1">
        <v>2</v>
      </c>
      <c r="G14747" s="1" t="s">
        <v>28</v>
      </c>
      <c r="H14747" s="4" t="str">
        <f>HYPERLINK("https://portal.gdc.cancer.gov/cases/17baef7c-d97d-4b98-ab53-503ef856523d","TCGA-A7-A0D9-01A")</f>
        <v>TCGA-A7-A0D9-01A</v>
      </c>
      <c r="I14747" t="s">
        <v>17</v>
      </c>
      <c r="J14747" t="s">
        <v>524</v>
      </c>
      <c r="K14747" t="s">
        <v>33</v>
      </c>
      <c r="L14747" t="s">
        <v>20</v>
      </c>
      <c r="N14747" t="s">
        <v>29</v>
      </c>
    </row>
    <row r="14748" spans="1:14">
      <c r="A14748" s="4" t="str">
        <f t="shared" si="1169"/>
        <v>EXP00415</v>
      </c>
      <c r="B14748" s="3" t="s">
        <v>66</v>
      </c>
      <c r="C14748" s="4" t="str">
        <f t="shared" si="1170"/>
        <v>TCGA-BRCA</v>
      </c>
      <c r="D14748" s="1" t="s">
        <v>493</v>
      </c>
      <c r="E14748" t="s">
        <v>533</v>
      </c>
      <c r="F14748" s="1">
        <v>2</v>
      </c>
      <c r="G14748" s="1" t="s">
        <v>28</v>
      </c>
      <c r="H14748" s="4" t="str">
        <f>HYPERLINK("https://portal.gdc.cancer.gov/cases/3afa1e93-1df8-4e4c-aaa4-557463f4bb77","TCGA-A7-A0DA-01A")</f>
        <v>TCGA-A7-A0DA-01A</v>
      </c>
      <c r="I14748" t="s">
        <v>17</v>
      </c>
      <c r="J14748" t="s">
        <v>524</v>
      </c>
      <c r="K14748" t="s">
        <v>33</v>
      </c>
      <c r="L14748" t="s">
        <v>20</v>
      </c>
      <c r="N14748" t="s">
        <v>29</v>
      </c>
    </row>
    <row r="14749" spans="1:14">
      <c r="A14749" s="4" t="str">
        <f t="shared" si="1169"/>
        <v>EXP00415</v>
      </c>
      <c r="B14749" s="3" t="s">
        <v>66</v>
      </c>
      <c r="C14749" s="4" t="str">
        <f t="shared" si="1170"/>
        <v>TCGA-BRCA</v>
      </c>
      <c r="D14749" s="1" t="s">
        <v>493</v>
      </c>
      <c r="E14749" t="s">
        <v>533</v>
      </c>
      <c r="F14749" s="1">
        <v>2</v>
      </c>
      <c r="G14749" s="1" t="s">
        <v>28</v>
      </c>
      <c r="H14749" s="4" t="str">
        <f>HYPERLINK("https://portal.gdc.cancer.gov/cases/f130f376-5801-40f9-975d-a7e2f7b5670d","TCGA-A7-A0DB-01A")</f>
        <v>TCGA-A7-A0DB-01A</v>
      </c>
      <c r="I14749" t="s">
        <v>17</v>
      </c>
      <c r="J14749" t="s">
        <v>524</v>
      </c>
      <c r="K14749" t="s">
        <v>33</v>
      </c>
      <c r="L14749" t="s">
        <v>20</v>
      </c>
      <c r="N14749" t="s">
        <v>29</v>
      </c>
    </row>
    <row r="14750" spans="1:14">
      <c r="A14750" s="4" t="str">
        <f t="shared" si="1169"/>
        <v>EXP00415</v>
      </c>
      <c r="B14750" s="3" t="s">
        <v>66</v>
      </c>
      <c r="C14750" s="4" t="str">
        <f t="shared" si="1170"/>
        <v>TCGA-BRCA</v>
      </c>
      <c r="D14750" s="1" t="s">
        <v>493</v>
      </c>
      <c r="E14750" t="s">
        <v>533</v>
      </c>
      <c r="F14750" s="1">
        <v>2</v>
      </c>
      <c r="G14750" s="1" t="s">
        <v>28</v>
      </c>
      <c r="H14750" s="4" t="str">
        <f>HYPERLINK("https://portal.gdc.cancer.gov/cases/f130f376-5801-40f9-975d-a7e2f7b5670d","TCGA-A7-A0DB-01C")</f>
        <v>TCGA-A7-A0DB-01C</v>
      </c>
      <c r="I14750" t="s">
        <v>17</v>
      </c>
      <c r="J14750" t="s">
        <v>524</v>
      </c>
      <c r="K14750" t="s">
        <v>33</v>
      </c>
      <c r="L14750" t="s">
        <v>20</v>
      </c>
      <c r="N14750" t="s">
        <v>29</v>
      </c>
    </row>
    <row r="14751" spans="1:14">
      <c r="A14751" s="4" t="str">
        <f t="shared" si="1169"/>
        <v>EXP00415</v>
      </c>
      <c r="B14751" s="3" t="s">
        <v>66</v>
      </c>
      <c r="C14751" s="4" t="str">
        <f t="shared" si="1170"/>
        <v>TCGA-BRCA</v>
      </c>
      <c r="D14751" s="1" t="s">
        <v>493</v>
      </c>
      <c r="E14751" t="s">
        <v>533</v>
      </c>
      <c r="F14751" s="1">
        <v>2</v>
      </c>
      <c r="G14751" s="1" t="s">
        <v>28</v>
      </c>
      <c r="H14751" s="4" t="str">
        <f>HYPERLINK("https://portal.gdc.cancer.gov/cases/cb9f5e50-f49d-4899-8895-9367afcc1015","TCGA-A7-A0DC-01A")</f>
        <v>TCGA-A7-A0DC-01A</v>
      </c>
      <c r="I14751" t="s">
        <v>17</v>
      </c>
      <c r="J14751" t="s">
        <v>524</v>
      </c>
      <c r="K14751" t="s">
        <v>33</v>
      </c>
      <c r="L14751" t="s">
        <v>20</v>
      </c>
      <c r="N14751" t="s">
        <v>29</v>
      </c>
    </row>
    <row r="14752" spans="1:14">
      <c r="A14752" s="4" t="str">
        <f t="shared" si="1169"/>
        <v>EXP00415</v>
      </c>
      <c r="B14752" s="3" t="s">
        <v>66</v>
      </c>
      <c r="C14752" s="4" t="str">
        <f t="shared" si="1170"/>
        <v>TCGA-BRCA</v>
      </c>
      <c r="D14752" s="1" t="s">
        <v>493</v>
      </c>
      <c r="E14752" t="s">
        <v>533</v>
      </c>
      <c r="F14752" s="1">
        <v>2</v>
      </c>
      <c r="G14752" s="1" t="s">
        <v>28</v>
      </c>
      <c r="H14752" s="4" t="str">
        <f>HYPERLINK("https://portal.gdc.cancer.gov/cases/cb9f5e50-f49d-4899-8895-9367afcc1015","TCGA-A7-A0DC-01B")</f>
        <v>TCGA-A7-A0DC-01B</v>
      </c>
      <c r="I14752" t="s">
        <v>17</v>
      </c>
      <c r="J14752" t="s">
        <v>524</v>
      </c>
      <c r="K14752" t="s">
        <v>33</v>
      </c>
      <c r="L14752" t="s">
        <v>20</v>
      </c>
      <c r="N14752" t="s">
        <v>29</v>
      </c>
    </row>
    <row r="14753" spans="1:14">
      <c r="A14753" s="4" t="str">
        <f t="shared" si="1169"/>
        <v>EXP00415</v>
      </c>
      <c r="B14753" s="3" t="s">
        <v>66</v>
      </c>
      <c r="C14753" s="4" t="str">
        <f t="shared" si="1170"/>
        <v>TCGA-BRCA</v>
      </c>
      <c r="D14753" s="1" t="s">
        <v>493</v>
      </c>
      <c r="E14753" t="s">
        <v>533</v>
      </c>
      <c r="F14753" s="1">
        <v>2</v>
      </c>
      <c r="G14753" s="1" t="s">
        <v>28</v>
      </c>
      <c r="H14753" s="4" t="str">
        <f>HYPERLINK("https://portal.gdc.cancer.gov/cases/8785012f-f73e-4d68-87cf-1d804af32782","TCGA-A7-A13D-01A")</f>
        <v>TCGA-A7-A13D-01A</v>
      </c>
      <c r="I14753" t="s">
        <v>17</v>
      </c>
      <c r="J14753" t="s">
        <v>524</v>
      </c>
      <c r="K14753" t="s">
        <v>33</v>
      </c>
      <c r="L14753" t="s">
        <v>20</v>
      </c>
      <c r="N14753" t="s">
        <v>29</v>
      </c>
    </row>
    <row r="14754" spans="1:14">
      <c r="A14754" s="4" t="str">
        <f t="shared" si="1169"/>
        <v>EXP00415</v>
      </c>
      <c r="B14754" s="3" t="s">
        <v>66</v>
      </c>
      <c r="C14754" s="4" t="str">
        <f t="shared" si="1170"/>
        <v>TCGA-BRCA</v>
      </c>
      <c r="D14754" s="1" t="s">
        <v>493</v>
      </c>
      <c r="E14754" t="s">
        <v>533</v>
      </c>
      <c r="F14754" s="1">
        <v>2</v>
      </c>
      <c r="G14754" s="1" t="s">
        <v>28</v>
      </c>
      <c r="H14754" s="4" t="str">
        <f>HYPERLINK("https://portal.gdc.cancer.gov/cases/8785012f-f73e-4d68-87cf-1d804af32782","TCGA-A7-A13D-01B")</f>
        <v>TCGA-A7-A13D-01B</v>
      </c>
      <c r="I14754" t="s">
        <v>17</v>
      </c>
      <c r="J14754" t="s">
        <v>524</v>
      </c>
      <c r="K14754" t="s">
        <v>33</v>
      </c>
      <c r="L14754" t="s">
        <v>20</v>
      </c>
      <c r="N14754" t="s">
        <v>29</v>
      </c>
    </row>
    <row r="14755" spans="1:14">
      <c r="A14755" s="4" t="str">
        <f t="shared" si="1169"/>
        <v>EXP00415</v>
      </c>
      <c r="B14755" s="3" t="s">
        <v>66</v>
      </c>
      <c r="C14755" s="4" t="str">
        <f t="shared" si="1170"/>
        <v>TCGA-BRCA</v>
      </c>
      <c r="D14755" s="1" t="s">
        <v>493</v>
      </c>
      <c r="E14755" t="s">
        <v>533</v>
      </c>
      <c r="F14755" s="1">
        <v>2</v>
      </c>
      <c r="G14755" s="1" t="s">
        <v>28</v>
      </c>
      <c r="H14755" s="4" t="str">
        <f>HYPERLINK("https://portal.gdc.cancer.gov/cases/8c7e74e0-71ef-49b8-9217-94b8ef740ef9","TCGA-A7-A13E-01A")</f>
        <v>TCGA-A7-A13E-01A</v>
      </c>
      <c r="I14755" t="s">
        <v>17</v>
      </c>
      <c r="J14755" t="s">
        <v>524</v>
      </c>
      <c r="K14755" t="s">
        <v>33</v>
      </c>
      <c r="L14755" t="s">
        <v>20</v>
      </c>
      <c r="N14755" t="s">
        <v>29</v>
      </c>
    </row>
    <row r="14756" spans="1:14">
      <c r="A14756" s="4" t="str">
        <f t="shared" si="1169"/>
        <v>EXP00415</v>
      </c>
      <c r="B14756" s="3" t="s">
        <v>66</v>
      </c>
      <c r="C14756" s="4" t="str">
        <f t="shared" si="1170"/>
        <v>TCGA-BRCA</v>
      </c>
      <c r="D14756" s="1" t="s">
        <v>493</v>
      </c>
      <c r="E14756" t="s">
        <v>533</v>
      </c>
      <c r="F14756" s="1">
        <v>2</v>
      </c>
      <c r="G14756" s="1" t="s">
        <v>28</v>
      </c>
      <c r="H14756" s="4" t="str">
        <f>HYPERLINK("https://portal.gdc.cancer.gov/cases/8c7e74e0-71ef-49b8-9217-94b8ef740ef9","TCGA-A7-A13E-01B")</f>
        <v>TCGA-A7-A13E-01B</v>
      </c>
      <c r="I14756" t="s">
        <v>17</v>
      </c>
      <c r="J14756" t="s">
        <v>524</v>
      </c>
      <c r="K14756" t="s">
        <v>33</v>
      </c>
      <c r="L14756" t="s">
        <v>20</v>
      </c>
      <c r="N14756" t="s">
        <v>29</v>
      </c>
    </row>
    <row r="14757" spans="1:14">
      <c r="A14757" s="4" t="str">
        <f t="shared" si="1169"/>
        <v>EXP00415</v>
      </c>
      <c r="B14757" s="3" t="s">
        <v>66</v>
      </c>
      <c r="C14757" s="4" t="str">
        <f t="shared" si="1170"/>
        <v>TCGA-BRCA</v>
      </c>
      <c r="D14757" s="1" t="s">
        <v>493</v>
      </c>
      <c r="E14757" t="s">
        <v>533</v>
      </c>
      <c r="F14757" s="1">
        <v>2</v>
      </c>
      <c r="G14757" s="1" t="s">
        <v>28</v>
      </c>
      <c r="H14757" s="4" t="str">
        <f>HYPERLINK("https://portal.gdc.cancer.gov/cases/2cf68894-168b-458b-af4f-53cad72989a8","TCGA-A7-A13F-01A")</f>
        <v>TCGA-A7-A13F-01A</v>
      </c>
      <c r="I14757" t="s">
        <v>17</v>
      </c>
      <c r="J14757" t="s">
        <v>524</v>
      </c>
      <c r="K14757" t="s">
        <v>33</v>
      </c>
      <c r="L14757" t="s">
        <v>20</v>
      </c>
      <c r="N14757" t="s">
        <v>29</v>
      </c>
    </row>
    <row r="14758" spans="1:14">
      <c r="A14758" s="4" t="str">
        <f t="shared" si="1169"/>
        <v>EXP00415</v>
      </c>
      <c r="B14758" s="3" t="s">
        <v>66</v>
      </c>
      <c r="C14758" s="4" t="str">
        <f t="shared" si="1170"/>
        <v>TCGA-BRCA</v>
      </c>
      <c r="D14758" s="1" t="s">
        <v>493</v>
      </c>
      <c r="E14758" t="s">
        <v>533</v>
      </c>
      <c r="F14758" s="1">
        <v>2</v>
      </c>
      <c r="G14758" s="1" t="s">
        <v>28</v>
      </c>
      <c r="H14758" s="4" t="str">
        <f>HYPERLINK("https://portal.gdc.cancer.gov/cases/6cd9baf5-bbe0-4c1e-a87f-c53b3af22890","TCGA-A7-A13G-01B")</f>
        <v>TCGA-A7-A13G-01B</v>
      </c>
      <c r="I14758" t="s">
        <v>17</v>
      </c>
      <c r="J14758" t="s">
        <v>524</v>
      </c>
      <c r="K14758" t="s">
        <v>33</v>
      </c>
      <c r="L14758" t="s">
        <v>20</v>
      </c>
      <c r="N14758" t="s">
        <v>29</v>
      </c>
    </row>
    <row r="14759" spans="1:14">
      <c r="A14759" s="4" t="str">
        <f t="shared" si="1169"/>
        <v>EXP00415</v>
      </c>
      <c r="B14759" s="3" t="s">
        <v>66</v>
      </c>
      <c r="C14759" s="4" t="str">
        <f t="shared" si="1170"/>
        <v>TCGA-BRCA</v>
      </c>
      <c r="D14759" s="1" t="s">
        <v>493</v>
      </c>
      <c r="E14759" t="s">
        <v>533</v>
      </c>
      <c r="F14759" s="1">
        <v>2</v>
      </c>
      <c r="G14759" s="1" t="s">
        <v>28</v>
      </c>
      <c r="H14759" s="4" t="str">
        <f>HYPERLINK("https://portal.gdc.cancer.gov/cases/2e243f0e-9d7d-4cb0-9678-70607f90430a","TCGA-A7-A13H-01A")</f>
        <v>TCGA-A7-A13H-01A</v>
      </c>
      <c r="I14759" t="s">
        <v>17</v>
      </c>
      <c r="J14759" t="s">
        <v>524</v>
      </c>
      <c r="K14759" t="s">
        <v>33</v>
      </c>
      <c r="L14759" t="s">
        <v>20</v>
      </c>
      <c r="N14759" t="s">
        <v>29</v>
      </c>
    </row>
    <row r="14760" spans="1:14">
      <c r="A14760" s="4" t="str">
        <f t="shared" si="1169"/>
        <v>EXP00415</v>
      </c>
      <c r="B14760" s="3" t="s">
        <v>66</v>
      </c>
      <c r="C14760" s="4" t="str">
        <f t="shared" si="1170"/>
        <v>TCGA-BRCA</v>
      </c>
      <c r="D14760" s="1" t="s">
        <v>493</v>
      </c>
      <c r="E14760" t="s">
        <v>533</v>
      </c>
      <c r="F14760" s="1">
        <v>2</v>
      </c>
      <c r="G14760" s="1" t="s">
        <v>28</v>
      </c>
      <c r="H14760" s="4" t="str">
        <f>HYPERLINK("https://portal.gdc.cancer.gov/cases/011b9b2d-ebe5-42bf-9662-d922faccc7a1","TCGA-A7-A26E-01A")</f>
        <v>TCGA-A7-A26E-01A</v>
      </c>
      <c r="I14760" t="s">
        <v>17</v>
      </c>
      <c r="J14760" t="s">
        <v>524</v>
      </c>
      <c r="K14760" t="s">
        <v>33</v>
      </c>
      <c r="L14760" t="s">
        <v>20</v>
      </c>
      <c r="N14760" t="s">
        <v>29</v>
      </c>
    </row>
    <row r="14761" spans="1:14">
      <c r="A14761" s="4" t="str">
        <f t="shared" si="1169"/>
        <v>EXP00415</v>
      </c>
      <c r="B14761" s="3" t="s">
        <v>66</v>
      </c>
      <c r="C14761" s="4" t="str">
        <f t="shared" si="1170"/>
        <v>TCGA-BRCA</v>
      </c>
      <c r="D14761" s="1" t="s">
        <v>493</v>
      </c>
      <c r="E14761" t="s">
        <v>533</v>
      </c>
      <c r="F14761" s="1">
        <v>2</v>
      </c>
      <c r="G14761" s="1" t="s">
        <v>28</v>
      </c>
      <c r="H14761" s="4" t="str">
        <f>HYPERLINK("https://portal.gdc.cancer.gov/cases/011b9b2d-ebe5-42bf-9662-d922faccc7a1","TCGA-A7-A26E-01B")</f>
        <v>TCGA-A7-A26E-01B</v>
      </c>
      <c r="I14761" t="s">
        <v>17</v>
      </c>
      <c r="J14761" t="s">
        <v>524</v>
      </c>
      <c r="K14761" t="s">
        <v>33</v>
      </c>
      <c r="L14761" t="s">
        <v>20</v>
      </c>
      <c r="N14761" t="s">
        <v>29</v>
      </c>
    </row>
    <row r="14762" spans="1:14">
      <c r="A14762" s="4" t="str">
        <f t="shared" si="1169"/>
        <v>EXP00415</v>
      </c>
      <c r="B14762" s="3" t="s">
        <v>66</v>
      </c>
      <c r="C14762" s="4" t="str">
        <f t="shared" si="1170"/>
        <v>TCGA-BRCA</v>
      </c>
      <c r="D14762" s="1" t="s">
        <v>493</v>
      </c>
      <c r="E14762" t="s">
        <v>533</v>
      </c>
      <c r="F14762" s="1">
        <v>2</v>
      </c>
      <c r="G14762" s="1" t="s">
        <v>28</v>
      </c>
      <c r="H14762" s="4" t="str">
        <f>HYPERLINK("https://portal.gdc.cancer.gov/cases/3b7b9c1e-a84c-47ed-983c-9e4b00cbf01a","TCGA-A7-A26F-01B")</f>
        <v>TCGA-A7-A26F-01B</v>
      </c>
      <c r="I14762" t="s">
        <v>17</v>
      </c>
      <c r="J14762" t="s">
        <v>524</v>
      </c>
      <c r="K14762" t="s">
        <v>33</v>
      </c>
      <c r="L14762" t="s">
        <v>20</v>
      </c>
      <c r="N14762" t="s">
        <v>29</v>
      </c>
    </row>
    <row r="14763" spans="1:14">
      <c r="A14763" s="4" t="str">
        <f t="shared" si="1169"/>
        <v>EXP00415</v>
      </c>
      <c r="B14763" s="3" t="s">
        <v>66</v>
      </c>
      <c r="C14763" s="4" t="str">
        <f t="shared" si="1170"/>
        <v>TCGA-BRCA</v>
      </c>
      <c r="D14763" s="1" t="s">
        <v>493</v>
      </c>
      <c r="E14763" t="s">
        <v>533</v>
      </c>
      <c r="F14763" s="1">
        <v>2</v>
      </c>
      <c r="G14763" s="1" t="s">
        <v>28</v>
      </c>
      <c r="H14763" s="4" t="str">
        <f>HYPERLINK("https://portal.gdc.cancer.gov/cases/5ed024e8-d05e-4c65-9441-eda9930ccc82","TCGA-A7-A26G-01A")</f>
        <v>TCGA-A7-A26G-01A</v>
      </c>
      <c r="I14763" t="s">
        <v>17</v>
      </c>
      <c r="J14763" t="s">
        <v>524</v>
      </c>
      <c r="K14763" t="s">
        <v>33</v>
      </c>
      <c r="L14763" t="s">
        <v>20</v>
      </c>
      <c r="N14763" t="s">
        <v>29</v>
      </c>
    </row>
    <row r="14764" spans="1:14">
      <c r="A14764" s="4" t="str">
        <f t="shared" si="1169"/>
        <v>EXP00415</v>
      </c>
      <c r="B14764" s="3" t="s">
        <v>66</v>
      </c>
      <c r="C14764" s="4" t="str">
        <f t="shared" si="1170"/>
        <v>TCGA-BRCA</v>
      </c>
      <c r="D14764" s="1" t="s">
        <v>493</v>
      </c>
      <c r="E14764" t="s">
        <v>533</v>
      </c>
      <c r="F14764" s="1">
        <v>2</v>
      </c>
      <c r="G14764" s="1" t="s">
        <v>28</v>
      </c>
      <c r="H14764" s="4" t="str">
        <f>HYPERLINK("https://portal.gdc.cancer.gov/cases/dddd8e2f-e540-418a-b02e-698d18a12c14","TCGA-A7-A26H-01A")</f>
        <v>TCGA-A7-A26H-01A</v>
      </c>
      <c r="I14764" t="s">
        <v>17</v>
      </c>
      <c r="J14764" t="s">
        <v>524</v>
      </c>
      <c r="K14764" t="s">
        <v>33</v>
      </c>
      <c r="L14764" t="s">
        <v>20</v>
      </c>
      <c r="N14764" t="s">
        <v>29</v>
      </c>
    </row>
    <row r="14765" spans="1:14">
      <c r="A14765" s="4" t="str">
        <f t="shared" si="1169"/>
        <v>EXP00415</v>
      </c>
      <c r="B14765" s="3" t="s">
        <v>66</v>
      </c>
      <c r="C14765" s="4" t="str">
        <f t="shared" si="1170"/>
        <v>TCGA-BRCA</v>
      </c>
      <c r="D14765" s="1" t="s">
        <v>493</v>
      </c>
      <c r="E14765" t="s">
        <v>533</v>
      </c>
      <c r="F14765" s="1">
        <v>2</v>
      </c>
      <c r="G14765" s="1" t="s">
        <v>28</v>
      </c>
      <c r="H14765" s="4" t="str">
        <f>HYPERLINK("https://portal.gdc.cancer.gov/cases/b2ecbc0f-2c30-4200-8d5e-7b95424bcadb","TCGA-A7-A26I-01B")</f>
        <v>TCGA-A7-A26I-01B</v>
      </c>
      <c r="I14765" t="s">
        <v>17</v>
      </c>
      <c r="J14765" t="s">
        <v>524</v>
      </c>
      <c r="K14765" t="s">
        <v>33</v>
      </c>
      <c r="L14765" t="s">
        <v>20</v>
      </c>
      <c r="N14765" t="s">
        <v>29</v>
      </c>
    </row>
    <row r="14766" spans="1:14">
      <c r="A14766" s="4" t="str">
        <f t="shared" si="1169"/>
        <v>EXP00415</v>
      </c>
      <c r="B14766" s="3" t="s">
        <v>66</v>
      </c>
      <c r="C14766" s="4" t="str">
        <f t="shared" si="1170"/>
        <v>TCGA-BRCA</v>
      </c>
      <c r="D14766" s="1" t="s">
        <v>493</v>
      </c>
      <c r="E14766" t="s">
        <v>533</v>
      </c>
      <c r="F14766" s="1">
        <v>2</v>
      </c>
      <c r="G14766" s="1" t="s">
        <v>28</v>
      </c>
      <c r="H14766" s="4" t="str">
        <f>HYPERLINK("https://portal.gdc.cancer.gov/cases/6cb6f179-defd-4661-af0a-c353b74c0c49","TCGA-A7-A26J-01A")</f>
        <v>TCGA-A7-A26J-01A</v>
      </c>
      <c r="I14766" t="s">
        <v>17</v>
      </c>
      <c r="J14766" t="s">
        <v>524</v>
      </c>
      <c r="K14766" t="s">
        <v>33</v>
      </c>
      <c r="L14766" t="s">
        <v>20</v>
      </c>
      <c r="N14766" t="s">
        <v>29</v>
      </c>
    </row>
    <row r="14767" spans="1:14">
      <c r="A14767" s="4" t="str">
        <f t="shared" si="1169"/>
        <v>EXP00415</v>
      </c>
      <c r="B14767" s="3" t="s">
        <v>66</v>
      </c>
      <c r="C14767" s="4" t="str">
        <f t="shared" si="1170"/>
        <v>TCGA-BRCA</v>
      </c>
      <c r="D14767" s="1" t="s">
        <v>493</v>
      </c>
      <c r="E14767" t="s">
        <v>533</v>
      </c>
      <c r="F14767" s="1">
        <v>2</v>
      </c>
      <c r="G14767" s="1" t="s">
        <v>28</v>
      </c>
      <c r="H14767" s="4" t="str">
        <f>HYPERLINK("https://portal.gdc.cancer.gov/cases/6cb6f179-defd-4661-af0a-c353b74c0c49","TCGA-A7-A26J-01B")</f>
        <v>TCGA-A7-A26J-01B</v>
      </c>
      <c r="I14767" t="s">
        <v>17</v>
      </c>
      <c r="J14767" t="s">
        <v>524</v>
      </c>
      <c r="K14767" t="s">
        <v>33</v>
      </c>
      <c r="L14767" t="s">
        <v>20</v>
      </c>
      <c r="N14767" t="s">
        <v>29</v>
      </c>
    </row>
    <row r="14768" spans="1:14">
      <c r="A14768" s="4" t="str">
        <f t="shared" si="1169"/>
        <v>EXP00415</v>
      </c>
      <c r="B14768" s="3" t="s">
        <v>66</v>
      </c>
      <c r="C14768" s="4" t="str">
        <f t="shared" si="1170"/>
        <v>TCGA-BRCA</v>
      </c>
      <c r="D14768" s="1" t="s">
        <v>493</v>
      </c>
      <c r="E14768" t="s">
        <v>533</v>
      </c>
      <c r="F14768" s="1">
        <v>2</v>
      </c>
      <c r="G14768" s="1" t="s">
        <v>28</v>
      </c>
      <c r="H14768" s="4" t="str">
        <f>HYPERLINK("https://portal.gdc.cancer.gov/cases/92654f8d-5137-4ffd-aaa3-5ae38eb88226","TCGA-A7-A2KD-01A")</f>
        <v>TCGA-A7-A2KD-01A</v>
      </c>
      <c r="I14768" t="s">
        <v>17</v>
      </c>
      <c r="J14768" t="s">
        <v>524</v>
      </c>
      <c r="K14768" t="s">
        <v>33</v>
      </c>
      <c r="L14768" t="s">
        <v>20</v>
      </c>
      <c r="N14768" t="s">
        <v>29</v>
      </c>
    </row>
    <row r="14769" spans="1:14">
      <c r="A14769" s="4" t="str">
        <f t="shared" si="1169"/>
        <v>EXP00415</v>
      </c>
      <c r="B14769" s="3" t="s">
        <v>66</v>
      </c>
      <c r="C14769" s="4" t="str">
        <f t="shared" si="1170"/>
        <v>TCGA-BRCA</v>
      </c>
      <c r="D14769" s="1" t="s">
        <v>493</v>
      </c>
      <c r="E14769" t="s">
        <v>533</v>
      </c>
      <c r="F14769" s="1">
        <v>2</v>
      </c>
      <c r="G14769" s="1" t="s">
        <v>28</v>
      </c>
      <c r="H14769" s="4" t="str">
        <f>HYPERLINK("https://portal.gdc.cancer.gov/cases/6b4e0262-f589-4532-b578-9f2d76c19d90","TCGA-A7-A3IY-01A")</f>
        <v>TCGA-A7-A3IY-01A</v>
      </c>
      <c r="I14769" t="s">
        <v>17</v>
      </c>
      <c r="J14769" t="s">
        <v>524</v>
      </c>
      <c r="K14769" t="s">
        <v>33</v>
      </c>
      <c r="L14769" t="s">
        <v>20</v>
      </c>
      <c r="N14769" t="s">
        <v>29</v>
      </c>
    </row>
    <row r="14770" spans="1:14">
      <c r="A14770" s="4" t="str">
        <f t="shared" si="1169"/>
        <v>EXP00415</v>
      </c>
      <c r="B14770" s="3" t="s">
        <v>66</v>
      </c>
      <c r="C14770" s="4" t="str">
        <f t="shared" si="1170"/>
        <v>TCGA-BRCA</v>
      </c>
      <c r="D14770" s="1" t="s">
        <v>493</v>
      </c>
      <c r="E14770" t="s">
        <v>533</v>
      </c>
      <c r="F14770" s="1">
        <v>2</v>
      </c>
      <c r="G14770" s="1" t="s">
        <v>28</v>
      </c>
      <c r="H14770" s="4" t="str">
        <f>HYPERLINK("https://portal.gdc.cancer.gov/cases/15ff4b02-bb69-4d24-8a07-b82f428e428d","TCGA-A7-A3IZ-01A")</f>
        <v>TCGA-A7-A3IZ-01A</v>
      </c>
      <c r="I14770" t="s">
        <v>17</v>
      </c>
      <c r="J14770" t="s">
        <v>524</v>
      </c>
      <c r="K14770" t="s">
        <v>33</v>
      </c>
      <c r="L14770" t="s">
        <v>20</v>
      </c>
      <c r="N14770" t="s">
        <v>29</v>
      </c>
    </row>
    <row r="14771" spans="1:14">
      <c r="A14771" s="4" t="str">
        <f t="shared" si="1169"/>
        <v>EXP00415</v>
      </c>
      <c r="B14771" s="3" t="s">
        <v>66</v>
      </c>
      <c r="C14771" s="4" t="str">
        <f t="shared" si="1170"/>
        <v>TCGA-BRCA</v>
      </c>
      <c r="D14771" s="1" t="s">
        <v>493</v>
      </c>
      <c r="E14771" t="s">
        <v>533</v>
      </c>
      <c r="F14771" s="1">
        <v>2</v>
      </c>
      <c r="G14771" s="1" t="s">
        <v>28</v>
      </c>
      <c r="H14771" s="4" t="str">
        <f>HYPERLINK("https://portal.gdc.cancer.gov/cases/da70cf7e-0e61-4c72-b4c5-c408569d11b8","TCGA-A7-A3J0-01A")</f>
        <v>TCGA-A7-A3J0-01A</v>
      </c>
      <c r="I14771" t="s">
        <v>17</v>
      </c>
      <c r="J14771" t="s">
        <v>524</v>
      </c>
      <c r="K14771" t="s">
        <v>33</v>
      </c>
      <c r="L14771" t="s">
        <v>20</v>
      </c>
      <c r="N14771" t="s">
        <v>29</v>
      </c>
    </row>
    <row r="14772" spans="1:14">
      <c r="A14772" s="4" t="str">
        <f t="shared" si="1169"/>
        <v>EXP00415</v>
      </c>
      <c r="B14772" s="3" t="s">
        <v>66</v>
      </c>
      <c r="C14772" s="4" t="str">
        <f t="shared" si="1170"/>
        <v>TCGA-BRCA</v>
      </c>
      <c r="D14772" s="1" t="s">
        <v>493</v>
      </c>
      <c r="E14772" t="s">
        <v>533</v>
      </c>
      <c r="F14772" s="1">
        <v>2</v>
      </c>
      <c r="G14772" s="1" t="s">
        <v>28</v>
      </c>
      <c r="H14772" s="4" t="str">
        <f>HYPERLINK("https://portal.gdc.cancer.gov/cases/8f9ad301-6699-4078-a80d-886e40894af7","TCGA-A7-A3J1-01A")</f>
        <v>TCGA-A7-A3J1-01A</v>
      </c>
      <c r="I14772" t="s">
        <v>17</v>
      </c>
      <c r="J14772" t="s">
        <v>524</v>
      </c>
      <c r="K14772" t="s">
        <v>33</v>
      </c>
      <c r="L14772" t="s">
        <v>20</v>
      </c>
      <c r="N14772" t="s">
        <v>29</v>
      </c>
    </row>
    <row r="14773" spans="1:14">
      <c r="A14773" s="4" t="str">
        <f t="shared" si="1169"/>
        <v>EXP00415</v>
      </c>
      <c r="B14773" s="3" t="s">
        <v>66</v>
      </c>
      <c r="C14773" s="4" t="str">
        <f t="shared" si="1170"/>
        <v>TCGA-BRCA</v>
      </c>
      <c r="D14773" s="1" t="s">
        <v>493</v>
      </c>
      <c r="E14773" t="s">
        <v>533</v>
      </c>
      <c r="F14773" s="1">
        <v>2</v>
      </c>
      <c r="G14773" s="1" t="s">
        <v>28</v>
      </c>
      <c r="H14773" s="4" t="str">
        <f>HYPERLINK("https://portal.gdc.cancer.gov/cases/7451af3c-acc0-4d79-8429-6b8be96911d8","TCGA-A7-A3RF-01A")</f>
        <v>TCGA-A7-A3RF-01A</v>
      </c>
      <c r="I14773" t="s">
        <v>17</v>
      </c>
      <c r="J14773" t="s">
        <v>524</v>
      </c>
      <c r="K14773" t="s">
        <v>33</v>
      </c>
      <c r="L14773" t="s">
        <v>20</v>
      </c>
      <c r="N14773" t="s">
        <v>29</v>
      </c>
    </row>
    <row r="14774" spans="1:14">
      <c r="A14774" s="4" t="str">
        <f t="shared" si="1169"/>
        <v>EXP00415</v>
      </c>
      <c r="B14774" s="3" t="s">
        <v>66</v>
      </c>
      <c r="C14774" s="4" t="str">
        <f t="shared" si="1170"/>
        <v>TCGA-BRCA</v>
      </c>
      <c r="D14774" s="1" t="s">
        <v>493</v>
      </c>
      <c r="E14774" t="s">
        <v>533</v>
      </c>
      <c r="F14774" s="1">
        <v>2</v>
      </c>
      <c r="G14774" s="1" t="s">
        <v>28</v>
      </c>
      <c r="H14774" s="4" t="str">
        <f>HYPERLINK("https://portal.gdc.cancer.gov/cases/a8f5c479-8685-4e2d-bb60-63f1cc651083","TCGA-A7-A425-01A")</f>
        <v>TCGA-A7-A425-01A</v>
      </c>
      <c r="I14774" t="s">
        <v>17</v>
      </c>
      <c r="J14774" t="s">
        <v>524</v>
      </c>
      <c r="K14774" t="s">
        <v>33</v>
      </c>
      <c r="L14774" t="s">
        <v>20</v>
      </c>
      <c r="N14774" t="s">
        <v>29</v>
      </c>
    </row>
    <row r="14775" spans="1:14">
      <c r="A14775" s="4" t="str">
        <f t="shared" si="1169"/>
        <v>EXP00415</v>
      </c>
      <c r="B14775" s="3" t="s">
        <v>66</v>
      </c>
      <c r="C14775" s="4" t="str">
        <f t="shared" si="1170"/>
        <v>TCGA-BRCA</v>
      </c>
      <c r="D14775" s="1" t="s">
        <v>493</v>
      </c>
      <c r="E14775" t="s">
        <v>533</v>
      </c>
      <c r="F14775" s="1">
        <v>2</v>
      </c>
      <c r="G14775" s="1" t="s">
        <v>28</v>
      </c>
      <c r="H14775" s="4" t="str">
        <f>HYPERLINK("https://portal.gdc.cancer.gov/cases/d48e9f25-f083-4f88-a92d-c12d9f765ba6","TCGA-A7-A426-01A")</f>
        <v>TCGA-A7-A426-01A</v>
      </c>
      <c r="I14775" t="s">
        <v>17</v>
      </c>
      <c r="J14775" t="s">
        <v>524</v>
      </c>
      <c r="K14775" t="s">
        <v>33</v>
      </c>
      <c r="L14775" t="s">
        <v>20</v>
      </c>
      <c r="N14775" t="s">
        <v>29</v>
      </c>
    </row>
    <row r="14776" spans="1:14">
      <c r="A14776" s="4" t="str">
        <f t="shared" ref="A14776:A14839" si="1171">HYPERLINK("http://hcmdb.i-sanger.com/experiment/details/experiment_id/EXP00415","EXP00415")</f>
        <v>EXP00415</v>
      </c>
      <c r="B14776" s="3" t="s">
        <v>66</v>
      </c>
      <c r="C14776" s="4" t="str">
        <f t="shared" si="1170"/>
        <v>TCGA-BRCA</v>
      </c>
      <c r="D14776" s="1" t="s">
        <v>493</v>
      </c>
      <c r="E14776" t="s">
        <v>533</v>
      </c>
      <c r="F14776" s="1">
        <v>2</v>
      </c>
      <c r="G14776" s="1" t="s">
        <v>28</v>
      </c>
      <c r="H14776" s="4" t="str">
        <f>HYPERLINK("https://portal.gdc.cancer.gov/cases/a2efe7e1-aca3-440f-825f-ed621edca69f","TCGA-A7-A4SA-01A")</f>
        <v>TCGA-A7-A4SA-01A</v>
      </c>
      <c r="I14776" t="s">
        <v>17</v>
      </c>
      <c r="J14776" t="s">
        <v>524</v>
      </c>
      <c r="K14776" t="s">
        <v>33</v>
      </c>
      <c r="L14776" t="s">
        <v>20</v>
      </c>
      <c r="N14776" t="s">
        <v>29</v>
      </c>
    </row>
    <row r="14777" spans="1:14">
      <c r="A14777" s="4" t="str">
        <f t="shared" si="1171"/>
        <v>EXP00415</v>
      </c>
      <c r="B14777" s="3" t="s">
        <v>66</v>
      </c>
      <c r="C14777" s="4" t="str">
        <f t="shared" si="1170"/>
        <v>TCGA-BRCA</v>
      </c>
      <c r="D14777" s="1" t="s">
        <v>493</v>
      </c>
      <c r="E14777" t="s">
        <v>533</v>
      </c>
      <c r="F14777" s="1">
        <v>2</v>
      </c>
      <c r="G14777" s="1" t="s">
        <v>28</v>
      </c>
      <c r="H14777" s="4" t="str">
        <f>HYPERLINK("https://portal.gdc.cancer.gov/cases/a947a945-4721-45cc-bc45-13b8ea41c10e","TCGA-A7-A4SB-01A")</f>
        <v>TCGA-A7-A4SB-01A</v>
      </c>
      <c r="I14777" t="s">
        <v>17</v>
      </c>
      <c r="J14777" t="s">
        <v>524</v>
      </c>
      <c r="K14777" t="s">
        <v>33</v>
      </c>
      <c r="L14777" t="s">
        <v>20</v>
      </c>
      <c r="N14777" t="s">
        <v>29</v>
      </c>
    </row>
    <row r="14778" spans="1:14">
      <c r="A14778" s="4" t="str">
        <f t="shared" si="1171"/>
        <v>EXP00415</v>
      </c>
      <c r="B14778" s="3" t="s">
        <v>66</v>
      </c>
      <c r="C14778" s="4" t="str">
        <f t="shared" ref="C14778:C14841" si="1172">HYPERLINK("https://portal.gdc.cancer.gov/projects/TCGA-BRCA","TCGA-BRCA")</f>
        <v>TCGA-BRCA</v>
      </c>
      <c r="D14778" s="1" t="s">
        <v>493</v>
      </c>
      <c r="E14778" t="s">
        <v>533</v>
      </c>
      <c r="F14778" s="1">
        <v>2</v>
      </c>
      <c r="G14778" s="1" t="s">
        <v>28</v>
      </c>
      <c r="H14778" s="4" t="str">
        <f>HYPERLINK("https://portal.gdc.cancer.gov/cases/ec0ab947-9341-4fff-bda4-fdfb9434d508","TCGA-A7-A4SC-01A")</f>
        <v>TCGA-A7-A4SC-01A</v>
      </c>
      <c r="I14778" t="s">
        <v>17</v>
      </c>
      <c r="J14778" t="s">
        <v>524</v>
      </c>
      <c r="K14778" t="s">
        <v>33</v>
      </c>
      <c r="L14778" t="s">
        <v>20</v>
      </c>
      <c r="N14778" t="s">
        <v>29</v>
      </c>
    </row>
    <row r="14779" spans="1:14">
      <c r="A14779" s="4" t="str">
        <f t="shared" si="1171"/>
        <v>EXP00415</v>
      </c>
      <c r="B14779" s="3" t="s">
        <v>66</v>
      </c>
      <c r="C14779" s="4" t="str">
        <f t="shared" si="1172"/>
        <v>TCGA-BRCA</v>
      </c>
      <c r="D14779" s="1" t="s">
        <v>493</v>
      </c>
      <c r="E14779" t="s">
        <v>533</v>
      </c>
      <c r="F14779" s="1">
        <v>2</v>
      </c>
      <c r="G14779" s="1" t="s">
        <v>28</v>
      </c>
      <c r="H14779" s="4" t="str">
        <f>HYPERLINK("https://portal.gdc.cancer.gov/cases/8c09f413-e938-4f2e-a414-84f0e7fcfe41","TCGA-A7-A4SD-01A")</f>
        <v>TCGA-A7-A4SD-01A</v>
      </c>
      <c r="I14779" t="s">
        <v>17</v>
      </c>
      <c r="J14779" t="s">
        <v>524</v>
      </c>
      <c r="K14779" t="s">
        <v>33</v>
      </c>
      <c r="L14779" t="s">
        <v>20</v>
      </c>
      <c r="N14779" t="s">
        <v>29</v>
      </c>
    </row>
    <row r="14780" spans="1:14">
      <c r="A14780" s="4" t="str">
        <f t="shared" si="1171"/>
        <v>EXP00415</v>
      </c>
      <c r="B14780" s="3" t="s">
        <v>66</v>
      </c>
      <c r="C14780" s="4" t="str">
        <f t="shared" si="1172"/>
        <v>TCGA-BRCA</v>
      </c>
      <c r="D14780" s="1" t="s">
        <v>493</v>
      </c>
      <c r="E14780" t="s">
        <v>533</v>
      </c>
      <c r="F14780" s="1">
        <v>2</v>
      </c>
      <c r="G14780" s="1" t="s">
        <v>28</v>
      </c>
      <c r="H14780" s="4" t="str">
        <f>HYPERLINK("https://portal.gdc.cancer.gov/cases/dbf6f981-15cc-40ad-91ac-a66360405fbd","TCGA-A7-A4SE-01A")</f>
        <v>TCGA-A7-A4SE-01A</v>
      </c>
      <c r="I14780" t="s">
        <v>17</v>
      </c>
      <c r="J14780" t="s">
        <v>524</v>
      </c>
      <c r="K14780" t="s">
        <v>33</v>
      </c>
      <c r="L14780" t="s">
        <v>20</v>
      </c>
      <c r="N14780" t="s">
        <v>29</v>
      </c>
    </row>
    <row r="14781" spans="1:14">
      <c r="A14781" s="4" t="str">
        <f t="shared" si="1171"/>
        <v>EXP00415</v>
      </c>
      <c r="B14781" s="3" t="s">
        <v>66</v>
      </c>
      <c r="C14781" s="4" t="str">
        <f t="shared" si="1172"/>
        <v>TCGA-BRCA</v>
      </c>
      <c r="D14781" s="1" t="s">
        <v>493</v>
      </c>
      <c r="E14781" t="s">
        <v>533</v>
      </c>
      <c r="F14781" s="1">
        <v>2</v>
      </c>
      <c r="G14781" s="1" t="s">
        <v>28</v>
      </c>
      <c r="H14781" s="4" t="str">
        <f>HYPERLINK("https://portal.gdc.cancer.gov/cases/d81594d9-dd6a-45c3-8bad-61960611d78d","TCGA-A7-A4SF-01A")</f>
        <v>TCGA-A7-A4SF-01A</v>
      </c>
      <c r="I14781" t="s">
        <v>17</v>
      </c>
      <c r="J14781" t="s">
        <v>524</v>
      </c>
      <c r="K14781" t="s">
        <v>33</v>
      </c>
      <c r="L14781" t="s">
        <v>20</v>
      </c>
      <c r="N14781" t="s">
        <v>29</v>
      </c>
    </row>
    <row r="14782" spans="1:14">
      <c r="A14782" s="4" t="str">
        <f t="shared" si="1171"/>
        <v>EXP00415</v>
      </c>
      <c r="B14782" s="3" t="s">
        <v>66</v>
      </c>
      <c r="C14782" s="4" t="str">
        <f t="shared" si="1172"/>
        <v>TCGA-BRCA</v>
      </c>
      <c r="D14782" s="1" t="s">
        <v>493</v>
      </c>
      <c r="E14782" t="s">
        <v>533</v>
      </c>
      <c r="F14782" s="1">
        <v>2</v>
      </c>
      <c r="G14782" s="1" t="s">
        <v>28</v>
      </c>
      <c r="H14782" s="4" t="str">
        <f>HYPERLINK("https://portal.gdc.cancer.gov/cases/f062cbd0-2426-40ac-a4be-e74ac61fa2a7","TCGA-A7-A56D-01A")</f>
        <v>TCGA-A7-A56D-01A</v>
      </c>
      <c r="I14782" t="s">
        <v>17</v>
      </c>
      <c r="J14782" t="s">
        <v>524</v>
      </c>
      <c r="K14782" t="s">
        <v>33</v>
      </c>
      <c r="L14782" t="s">
        <v>20</v>
      </c>
      <c r="N14782" t="s">
        <v>29</v>
      </c>
    </row>
    <row r="14783" spans="1:14">
      <c r="A14783" s="4" t="str">
        <f t="shared" si="1171"/>
        <v>EXP00415</v>
      </c>
      <c r="B14783" s="3" t="s">
        <v>66</v>
      </c>
      <c r="C14783" s="4" t="str">
        <f t="shared" si="1172"/>
        <v>TCGA-BRCA</v>
      </c>
      <c r="D14783" s="1" t="s">
        <v>493</v>
      </c>
      <c r="E14783" t="s">
        <v>533</v>
      </c>
      <c r="F14783" s="1">
        <v>2</v>
      </c>
      <c r="G14783" s="1" t="s">
        <v>28</v>
      </c>
      <c r="H14783" s="4" t="str">
        <f>HYPERLINK("https://portal.gdc.cancer.gov/cases/0ec70e40-07df-461d-8ff9-351240a0d454","TCGA-A7-A5ZV-01A")</f>
        <v>TCGA-A7-A5ZV-01A</v>
      </c>
      <c r="I14783" t="s">
        <v>17</v>
      </c>
      <c r="J14783" t="s">
        <v>524</v>
      </c>
      <c r="K14783" t="s">
        <v>33</v>
      </c>
      <c r="L14783" t="s">
        <v>20</v>
      </c>
      <c r="N14783" t="s">
        <v>29</v>
      </c>
    </row>
    <row r="14784" spans="1:14">
      <c r="A14784" s="4" t="str">
        <f t="shared" si="1171"/>
        <v>EXP00415</v>
      </c>
      <c r="B14784" s="3" t="s">
        <v>66</v>
      </c>
      <c r="C14784" s="4" t="str">
        <f t="shared" si="1172"/>
        <v>TCGA-BRCA</v>
      </c>
      <c r="D14784" s="1" t="s">
        <v>493</v>
      </c>
      <c r="E14784" t="s">
        <v>533</v>
      </c>
      <c r="F14784" s="1">
        <v>2</v>
      </c>
      <c r="G14784" s="1" t="s">
        <v>28</v>
      </c>
      <c r="H14784" s="4" t="str">
        <f>HYPERLINK("https://portal.gdc.cancer.gov/cases/523e24a2-51b9-4658-be2f-42e5fccebb17","TCGA-A7-A5ZW-01A")</f>
        <v>TCGA-A7-A5ZW-01A</v>
      </c>
      <c r="I14784" t="s">
        <v>17</v>
      </c>
      <c r="J14784" t="s">
        <v>524</v>
      </c>
      <c r="K14784" t="s">
        <v>33</v>
      </c>
      <c r="L14784" t="s">
        <v>20</v>
      </c>
      <c r="N14784" t="s">
        <v>29</v>
      </c>
    </row>
    <row r="14785" spans="1:14">
      <c r="A14785" s="4" t="str">
        <f t="shared" si="1171"/>
        <v>EXP00415</v>
      </c>
      <c r="B14785" s="3" t="s">
        <v>66</v>
      </c>
      <c r="C14785" s="4" t="str">
        <f t="shared" si="1172"/>
        <v>TCGA-BRCA</v>
      </c>
      <c r="D14785" s="1" t="s">
        <v>493</v>
      </c>
      <c r="E14785" t="s">
        <v>533</v>
      </c>
      <c r="F14785" s="1">
        <v>2</v>
      </c>
      <c r="G14785" s="1" t="s">
        <v>28</v>
      </c>
      <c r="H14785" s="4" t="str">
        <f>HYPERLINK("https://portal.gdc.cancer.gov/cases/ba80db4e-d899-4da4-ae49-5263d98e1530","TCGA-A7-A5ZX-01A")</f>
        <v>TCGA-A7-A5ZX-01A</v>
      </c>
      <c r="I14785" t="s">
        <v>17</v>
      </c>
      <c r="J14785" t="s">
        <v>524</v>
      </c>
      <c r="K14785" t="s">
        <v>33</v>
      </c>
      <c r="L14785" t="s">
        <v>20</v>
      </c>
      <c r="N14785" t="s">
        <v>29</v>
      </c>
    </row>
    <row r="14786" spans="1:14">
      <c r="A14786" s="4" t="str">
        <f t="shared" si="1171"/>
        <v>EXP00415</v>
      </c>
      <c r="B14786" s="3" t="s">
        <v>66</v>
      </c>
      <c r="C14786" s="4" t="str">
        <f t="shared" si="1172"/>
        <v>TCGA-BRCA</v>
      </c>
      <c r="D14786" s="1" t="s">
        <v>493</v>
      </c>
      <c r="E14786" t="s">
        <v>533</v>
      </c>
      <c r="F14786" s="1">
        <v>2</v>
      </c>
      <c r="G14786" s="1" t="s">
        <v>28</v>
      </c>
      <c r="H14786" s="4" t="str">
        <f>HYPERLINK("https://portal.gdc.cancer.gov/cases/57af5c72-0d60-4a6b-b1b4-ec6dab90f80f","TCGA-A7-A6VV-01A")</f>
        <v>TCGA-A7-A6VV-01A</v>
      </c>
      <c r="I14786" t="s">
        <v>17</v>
      </c>
      <c r="J14786" t="s">
        <v>524</v>
      </c>
      <c r="K14786" t="s">
        <v>33</v>
      </c>
      <c r="L14786" t="s">
        <v>20</v>
      </c>
      <c r="N14786" t="s">
        <v>29</v>
      </c>
    </row>
    <row r="14787" spans="1:14">
      <c r="A14787" s="4" t="str">
        <f t="shared" si="1171"/>
        <v>EXP00415</v>
      </c>
      <c r="B14787" s="3" t="s">
        <v>66</v>
      </c>
      <c r="C14787" s="4" t="str">
        <f t="shared" si="1172"/>
        <v>TCGA-BRCA</v>
      </c>
      <c r="D14787" s="1" t="s">
        <v>493</v>
      </c>
      <c r="E14787" t="s">
        <v>533</v>
      </c>
      <c r="F14787" s="1">
        <v>2</v>
      </c>
      <c r="G14787" s="1" t="s">
        <v>28</v>
      </c>
      <c r="H14787" s="4" t="str">
        <f>HYPERLINK("https://portal.gdc.cancer.gov/cases/98e709e7-e195-4b37-9537-f6081affb609","TCGA-A7-A6VW-01A")</f>
        <v>TCGA-A7-A6VW-01A</v>
      </c>
      <c r="I14787" t="s">
        <v>17</v>
      </c>
      <c r="J14787" t="s">
        <v>524</v>
      </c>
      <c r="K14787" t="s">
        <v>33</v>
      </c>
      <c r="L14787" t="s">
        <v>20</v>
      </c>
      <c r="N14787" t="s">
        <v>29</v>
      </c>
    </row>
    <row r="14788" spans="1:14">
      <c r="A14788" s="4" t="str">
        <f t="shared" si="1171"/>
        <v>EXP00415</v>
      </c>
      <c r="B14788" s="3" t="s">
        <v>66</v>
      </c>
      <c r="C14788" s="4" t="str">
        <f t="shared" si="1172"/>
        <v>TCGA-BRCA</v>
      </c>
      <c r="D14788" s="1" t="s">
        <v>493</v>
      </c>
      <c r="E14788" t="s">
        <v>533</v>
      </c>
      <c r="F14788" s="1">
        <v>2</v>
      </c>
      <c r="G14788" s="1" t="s">
        <v>28</v>
      </c>
      <c r="H14788" s="4" t="str">
        <f>HYPERLINK("https://portal.gdc.cancer.gov/cases/7eea2b6e-771f-44c0-9350-38f45c8dbe87","TCGA-A7-A6VX-01A")</f>
        <v>TCGA-A7-A6VX-01A</v>
      </c>
      <c r="I14788" t="s">
        <v>17</v>
      </c>
      <c r="J14788" t="s">
        <v>524</v>
      </c>
      <c r="K14788" t="s">
        <v>33</v>
      </c>
      <c r="L14788" t="s">
        <v>20</v>
      </c>
      <c r="N14788" t="s">
        <v>29</v>
      </c>
    </row>
    <row r="14789" spans="1:14">
      <c r="A14789" s="4" t="str">
        <f t="shared" si="1171"/>
        <v>EXP00415</v>
      </c>
      <c r="B14789" s="3" t="s">
        <v>66</v>
      </c>
      <c r="C14789" s="4" t="str">
        <f t="shared" si="1172"/>
        <v>TCGA-BRCA</v>
      </c>
      <c r="D14789" s="1" t="s">
        <v>493</v>
      </c>
      <c r="E14789" t="s">
        <v>533</v>
      </c>
      <c r="F14789" s="1">
        <v>2</v>
      </c>
      <c r="G14789" s="1" t="s">
        <v>28</v>
      </c>
      <c r="H14789" s="4" t="str">
        <f>HYPERLINK("https://portal.gdc.cancer.gov/cases/e8ea576b-eb16-44f7-b241-daefc1375388","TCGA-A7-A6VY-01A")</f>
        <v>TCGA-A7-A6VY-01A</v>
      </c>
      <c r="I14789" t="s">
        <v>17</v>
      </c>
      <c r="J14789" t="s">
        <v>524</v>
      </c>
      <c r="K14789" t="s">
        <v>33</v>
      </c>
      <c r="L14789" t="s">
        <v>20</v>
      </c>
      <c r="N14789" t="s">
        <v>29</v>
      </c>
    </row>
    <row r="14790" spans="1:14">
      <c r="A14790" s="4" t="str">
        <f t="shared" si="1171"/>
        <v>EXP00415</v>
      </c>
      <c r="B14790" s="3" t="s">
        <v>66</v>
      </c>
      <c r="C14790" s="4" t="str">
        <f t="shared" si="1172"/>
        <v>TCGA-BRCA</v>
      </c>
      <c r="D14790" s="1" t="s">
        <v>493</v>
      </c>
      <c r="E14790" t="s">
        <v>533</v>
      </c>
      <c r="F14790" s="1">
        <v>2</v>
      </c>
      <c r="G14790" s="1" t="s">
        <v>28</v>
      </c>
      <c r="H14790" s="4" t="str">
        <f>HYPERLINK("https://portal.gdc.cancer.gov/cases/3a711140-1b89-4611-9992-3861e3d0e01a","TCGA-A8-A06N-01A")</f>
        <v>TCGA-A8-A06N-01A</v>
      </c>
      <c r="I14790" t="s">
        <v>17</v>
      </c>
      <c r="J14790" t="s">
        <v>524</v>
      </c>
      <c r="K14790" t="s">
        <v>33</v>
      </c>
      <c r="L14790" t="s">
        <v>20</v>
      </c>
      <c r="N14790" t="s">
        <v>29</v>
      </c>
    </row>
    <row r="14791" spans="1:14">
      <c r="A14791" s="4" t="str">
        <f t="shared" si="1171"/>
        <v>EXP00415</v>
      </c>
      <c r="B14791" s="3" t="s">
        <v>66</v>
      </c>
      <c r="C14791" s="4" t="str">
        <f t="shared" si="1172"/>
        <v>TCGA-BRCA</v>
      </c>
      <c r="D14791" s="1" t="s">
        <v>493</v>
      </c>
      <c r="E14791" t="s">
        <v>533</v>
      </c>
      <c r="F14791" s="1">
        <v>2</v>
      </c>
      <c r="G14791" s="1" t="s">
        <v>28</v>
      </c>
      <c r="H14791" s="4" t="str">
        <f>HYPERLINK("https://portal.gdc.cancer.gov/cases/69054195-9e93-49e5-b820-69b0091cc2d4","TCGA-A8-A06O-01A")</f>
        <v>TCGA-A8-A06O-01A</v>
      </c>
      <c r="I14791" t="s">
        <v>17</v>
      </c>
      <c r="J14791" t="s">
        <v>524</v>
      </c>
      <c r="K14791" t="s">
        <v>33</v>
      </c>
      <c r="L14791" t="s">
        <v>20</v>
      </c>
      <c r="N14791" t="s">
        <v>29</v>
      </c>
    </row>
    <row r="14792" spans="1:14">
      <c r="A14792" s="4" t="str">
        <f t="shared" si="1171"/>
        <v>EXP00415</v>
      </c>
      <c r="B14792" s="3" t="s">
        <v>66</v>
      </c>
      <c r="C14792" s="4" t="str">
        <f t="shared" si="1172"/>
        <v>TCGA-BRCA</v>
      </c>
      <c r="D14792" s="1" t="s">
        <v>493</v>
      </c>
      <c r="E14792" t="s">
        <v>533</v>
      </c>
      <c r="F14792" s="1">
        <v>2</v>
      </c>
      <c r="G14792" s="1" t="s">
        <v>28</v>
      </c>
      <c r="H14792" s="4" t="str">
        <f>HYPERLINK("https://portal.gdc.cancer.gov/cases/5f90d955-bbb0-4b44-a5ac-ba6fda9ca0fb","TCGA-A8-A06P-01A")</f>
        <v>TCGA-A8-A06P-01A</v>
      </c>
      <c r="I14792" t="s">
        <v>17</v>
      </c>
      <c r="J14792" t="s">
        <v>524</v>
      </c>
      <c r="K14792" t="s">
        <v>33</v>
      </c>
      <c r="L14792" t="s">
        <v>20</v>
      </c>
      <c r="N14792" t="s">
        <v>29</v>
      </c>
    </row>
    <row r="14793" spans="1:14">
      <c r="A14793" s="4" t="str">
        <f t="shared" si="1171"/>
        <v>EXP00415</v>
      </c>
      <c r="B14793" s="3" t="s">
        <v>66</v>
      </c>
      <c r="C14793" s="4" t="str">
        <f t="shared" si="1172"/>
        <v>TCGA-BRCA</v>
      </c>
      <c r="D14793" s="1" t="s">
        <v>493</v>
      </c>
      <c r="E14793" t="s">
        <v>533</v>
      </c>
      <c r="F14793" s="1">
        <v>2</v>
      </c>
      <c r="G14793" s="1" t="s">
        <v>28</v>
      </c>
      <c r="H14793" s="4" t="str">
        <f>HYPERLINK("https://portal.gdc.cancer.gov/cases/281f70c5-876f-44b3-84fb-f2302f85e74c","TCGA-A8-A06Q-01A")</f>
        <v>TCGA-A8-A06Q-01A</v>
      </c>
      <c r="I14793" t="s">
        <v>17</v>
      </c>
      <c r="J14793" t="s">
        <v>524</v>
      </c>
      <c r="K14793" t="s">
        <v>33</v>
      </c>
      <c r="L14793" t="s">
        <v>20</v>
      </c>
      <c r="N14793" t="s">
        <v>29</v>
      </c>
    </row>
    <row r="14794" spans="1:14">
      <c r="A14794" s="4" t="str">
        <f t="shared" si="1171"/>
        <v>EXP00415</v>
      </c>
      <c r="B14794" s="3" t="s">
        <v>66</v>
      </c>
      <c r="C14794" s="4" t="str">
        <f t="shared" si="1172"/>
        <v>TCGA-BRCA</v>
      </c>
      <c r="D14794" s="1" t="s">
        <v>493</v>
      </c>
      <c r="E14794" t="s">
        <v>533</v>
      </c>
      <c r="F14794" s="1">
        <v>2</v>
      </c>
      <c r="G14794" s="1" t="s">
        <v>28</v>
      </c>
      <c r="H14794" s="4" t="str">
        <f>HYPERLINK("https://portal.gdc.cancer.gov/cases/f3ba71f9-25f3-4784-bf2d-3aa522a0cba8","TCGA-A8-A06R-01A")</f>
        <v>TCGA-A8-A06R-01A</v>
      </c>
      <c r="I14794" t="s">
        <v>17</v>
      </c>
      <c r="J14794" t="s">
        <v>524</v>
      </c>
      <c r="K14794" t="s">
        <v>33</v>
      </c>
      <c r="L14794" t="s">
        <v>20</v>
      </c>
      <c r="N14794" t="s">
        <v>29</v>
      </c>
    </row>
    <row r="14795" spans="1:14">
      <c r="A14795" s="4" t="str">
        <f t="shared" si="1171"/>
        <v>EXP00415</v>
      </c>
      <c r="B14795" s="3" t="s">
        <v>66</v>
      </c>
      <c r="C14795" s="4" t="str">
        <f t="shared" si="1172"/>
        <v>TCGA-BRCA</v>
      </c>
      <c r="D14795" s="1" t="s">
        <v>493</v>
      </c>
      <c r="E14795" t="s">
        <v>533</v>
      </c>
      <c r="F14795" s="1">
        <v>2</v>
      </c>
      <c r="G14795" s="1" t="s">
        <v>28</v>
      </c>
      <c r="H14795" s="4" t="str">
        <f>HYPERLINK("https://portal.gdc.cancer.gov/cases/2c04a2f5-321e-4dea-8e00-268325da65cb","TCGA-A8-A06T-01A")</f>
        <v>TCGA-A8-A06T-01A</v>
      </c>
      <c r="I14795" t="s">
        <v>17</v>
      </c>
      <c r="J14795" t="s">
        <v>524</v>
      </c>
      <c r="K14795" t="s">
        <v>33</v>
      </c>
      <c r="L14795" t="s">
        <v>20</v>
      </c>
      <c r="N14795" t="s">
        <v>29</v>
      </c>
    </row>
    <row r="14796" spans="1:14">
      <c r="A14796" s="4" t="str">
        <f t="shared" si="1171"/>
        <v>EXP00415</v>
      </c>
      <c r="B14796" s="3" t="s">
        <v>66</v>
      </c>
      <c r="C14796" s="4" t="str">
        <f t="shared" si="1172"/>
        <v>TCGA-BRCA</v>
      </c>
      <c r="D14796" s="1" t="s">
        <v>493</v>
      </c>
      <c r="E14796" t="s">
        <v>533</v>
      </c>
      <c r="F14796" s="1">
        <v>2</v>
      </c>
      <c r="G14796" s="1" t="s">
        <v>28</v>
      </c>
      <c r="H14796" s="4" t="str">
        <f>HYPERLINK("https://portal.gdc.cancer.gov/cases/6bc4c56d-aac5-49a2-9913-9538d06d898f","TCGA-A8-A06U-01A")</f>
        <v>TCGA-A8-A06U-01A</v>
      </c>
      <c r="I14796" t="s">
        <v>17</v>
      </c>
      <c r="J14796" t="s">
        <v>524</v>
      </c>
      <c r="K14796" t="s">
        <v>33</v>
      </c>
      <c r="L14796" t="s">
        <v>20</v>
      </c>
      <c r="N14796" t="s">
        <v>29</v>
      </c>
    </row>
    <row r="14797" spans="1:14">
      <c r="A14797" s="4" t="str">
        <f t="shared" si="1171"/>
        <v>EXP00415</v>
      </c>
      <c r="B14797" s="3" t="s">
        <v>66</v>
      </c>
      <c r="C14797" s="4" t="str">
        <f t="shared" si="1172"/>
        <v>TCGA-BRCA</v>
      </c>
      <c r="D14797" s="1" t="s">
        <v>493</v>
      </c>
      <c r="E14797" t="s">
        <v>533</v>
      </c>
      <c r="F14797" s="1">
        <v>2</v>
      </c>
      <c r="G14797" s="1" t="s">
        <v>28</v>
      </c>
      <c r="H14797" s="4" t="str">
        <f>HYPERLINK("https://portal.gdc.cancer.gov/cases/515b1400-e896-4f2a-81bd-70895441a0bd","TCGA-A8-A06Y-01A")</f>
        <v>TCGA-A8-A06Y-01A</v>
      </c>
      <c r="I14797" t="s">
        <v>17</v>
      </c>
      <c r="J14797" t="s">
        <v>524</v>
      </c>
      <c r="K14797" t="s">
        <v>33</v>
      </c>
      <c r="L14797" t="s">
        <v>20</v>
      </c>
      <c r="N14797" t="s">
        <v>29</v>
      </c>
    </row>
    <row r="14798" spans="1:14">
      <c r="A14798" s="4" t="str">
        <f t="shared" si="1171"/>
        <v>EXP00415</v>
      </c>
      <c r="B14798" s="3" t="s">
        <v>66</v>
      </c>
      <c r="C14798" s="4" t="str">
        <f t="shared" si="1172"/>
        <v>TCGA-BRCA</v>
      </c>
      <c r="D14798" s="1" t="s">
        <v>493</v>
      </c>
      <c r="E14798" t="s">
        <v>533</v>
      </c>
      <c r="F14798" s="1">
        <v>2</v>
      </c>
      <c r="G14798" s="1" t="s">
        <v>28</v>
      </c>
      <c r="H14798" s="4" t="str">
        <f>HYPERLINK("https://portal.gdc.cancer.gov/cases/2399caeb-ead2-4003-af38-809db4ac2e2b","TCGA-A8-A06Z-01A")</f>
        <v>TCGA-A8-A06Z-01A</v>
      </c>
      <c r="I14798" t="s">
        <v>17</v>
      </c>
      <c r="J14798" t="s">
        <v>524</v>
      </c>
      <c r="K14798" t="s">
        <v>33</v>
      </c>
      <c r="L14798" t="s">
        <v>20</v>
      </c>
      <c r="N14798" t="s">
        <v>29</v>
      </c>
    </row>
    <row r="14799" spans="1:14">
      <c r="A14799" s="4" t="str">
        <f t="shared" si="1171"/>
        <v>EXP00415</v>
      </c>
      <c r="B14799" s="3" t="s">
        <v>66</v>
      </c>
      <c r="C14799" s="4" t="str">
        <f t="shared" si="1172"/>
        <v>TCGA-BRCA</v>
      </c>
      <c r="D14799" s="1" t="s">
        <v>493</v>
      </c>
      <c r="E14799" t="s">
        <v>533</v>
      </c>
      <c r="F14799" s="1">
        <v>2</v>
      </c>
      <c r="G14799" s="1" t="s">
        <v>28</v>
      </c>
      <c r="H14799" s="4" t="str">
        <f>HYPERLINK("https://portal.gdc.cancer.gov/cases/7861a5f2-8910-4bcb-9c34-f79c5acd6e21","TCGA-A8-A075-01A")</f>
        <v>TCGA-A8-A075-01A</v>
      </c>
      <c r="I14799" t="s">
        <v>17</v>
      </c>
      <c r="J14799" t="s">
        <v>524</v>
      </c>
      <c r="K14799" t="s">
        <v>33</v>
      </c>
      <c r="L14799" t="s">
        <v>20</v>
      </c>
      <c r="N14799" t="s">
        <v>29</v>
      </c>
    </row>
    <row r="14800" spans="1:14">
      <c r="A14800" s="4" t="str">
        <f t="shared" si="1171"/>
        <v>EXP00415</v>
      </c>
      <c r="B14800" s="3" t="s">
        <v>66</v>
      </c>
      <c r="C14800" s="4" t="str">
        <f t="shared" si="1172"/>
        <v>TCGA-BRCA</v>
      </c>
      <c r="D14800" s="1" t="s">
        <v>493</v>
      </c>
      <c r="E14800" t="s">
        <v>533</v>
      </c>
      <c r="F14800" s="1">
        <v>2</v>
      </c>
      <c r="G14800" s="1" t="s">
        <v>28</v>
      </c>
      <c r="H14800" s="4" t="str">
        <f>HYPERLINK("https://portal.gdc.cancer.gov/cases/23dabeef-8e3c-44bc-9a12-a9522d17be5c","TCGA-A8-A076-01A")</f>
        <v>TCGA-A8-A076-01A</v>
      </c>
      <c r="I14800" t="s">
        <v>17</v>
      </c>
      <c r="J14800" t="s">
        <v>524</v>
      </c>
      <c r="K14800" t="s">
        <v>33</v>
      </c>
      <c r="L14800" t="s">
        <v>20</v>
      </c>
      <c r="N14800" t="s">
        <v>29</v>
      </c>
    </row>
    <row r="14801" spans="1:14">
      <c r="A14801" s="4" t="str">
        <f t="shared" si="1171"/>
        <v>EXP00415</v>
      </c>
      <c r="B14801" s="3" t="s">
        <v>66</v>
      </c>
      <c r="C14801" s="4" t="str">
        <f t="shared" si="1172"/>
        <v>TCGA-BRCA</v>
      </c>
      <c r="D14801" s="1" t="s">
        <v>493</v>
      </c>
      <c r="E14801" t="s">
        <v>533</v>
      </c>
      <c r="F14801" s="1">
        <v>2</v>
      </c>
      <c r="G14801" s="1" t="s">
        <v>28</v>
      </c>
      <c r="H14801" s="4" t="str">
        <f>HYPERLINK("https://portal.gdc.cancer.gov/cases/31c31cce-1b4d-4f12-922f-84f389403170","TCGA-A8-A079-01A")</f>
        <v>TCGA-A8-A079-01A</v>
      </c>
      <c r="I14801" t="s">
        <v>17</v>
      </c>
      <c r="J14801" t="s">
        <v>524</v>
      </c>
      <c r="K14801" t="s">
        <v>33</v>
      </c>
      <c r="L14801" t="s">
        <v>20</v>
      </c>
      <c r="N14801" t="s">
        <v>29</v>
      </c>
    </row>
    <row r="14802" spans="1:14">
      <c r="A14802" s="4" t="str">
        <f t="shared" si="1171"/>
        <v>EXP00415</v>
      </c>
      <c r="B14802" s="3" t="s">
        <v>66</v>
      </c>
      <c r="C14802" s="4" t="str">
        <f t="shared" si="1172"/>
        <v>TCGA-BRCA</v>
      </c>
      <c r="D14802" s="1" t="s">
        <v>493</v>
      </c>
      <c r="E14802" t="s">
        <v>533</v>
      </c>
      <c r="F14802" s="1">
        <v>2</v>
      </c>
      <c r="G14802" s="1" t="s">
        <v>28</v>
      </c>
      <c r="H14802" s="4" t="str">
        <f>HYPERLINK("https://portal.gdc.cancer.gov/cases/b43e41af-1d82-4b5f-b8f1-add0510e6b86","TCGA-A8-A07B-01A")</f>
        <v>TCGA-A8-A07B-01A</v>
      </c>
      <c r="I14802" t="s">
        <v>17</v>
      </c>
      <c r="J14802" t="s">
        <v>524</v>
      </c>
      <c r="K14802" t="s">
        <v>33</v>
      </c>
      <c r="L14802" t="s">
        <v>20</v>
      </c>
      <c r="N14802" t="s">
        <v>29</v>
      </c>
    </row>
    <row r="14803" spans="1:14">
      <c r="A14803" s="4" t="str">
        <f t="shared" si="1171"/>
        <v>EXP00415</v>
      </c>
      <c r="B14803" s="3" t="s">
        <v>66</v>
      </c>
      <c r="C14803" s="4" t="str">
        <f t="shared" si="1172"/>
        <v>TCGA-BRCA</v>
      </c>
      <c r="D14803" s="1" t="s">
        <v>493</v>
      </c>
      <c r="E14803" t="s">
        <v>533</v>
      </c>
      <c r="F14803" s="1">
        <v>2</v>
      </c>
      <c r="G14803" s="1" t="s">
        <v>28</v>
      </c>
      <c r="H14803" s="4" t="str">
        <f>HYPERLINK("https://portal.gdc.cancer.gov/cases/b6633c36-7ce4-4b69-9bf6-30b64d46c66f","TCGA-A8-A07C-01A")</f>
        <v>TCGA-A8-A07C-01A</v>
      </c>
      <c r="I14803" t="s">
        <v>17</v>
      </c>
      <c r="J14803" t="s">
        <v>524</v>
      </c>
      <c r="K14803" t="s">
        <v>33</v>
      </c>
      <c r="L14803" t="s">
        <v>20</v>
      </c>
      <c r="N14803" t="s">
        <v>29</v>
      </c>
    </row>
    <row r="14804" spans="1:14">
      <c r="A14804" s="4" t="str">
        <f t="shared" si="1171"/>
        <v>EXP00415</v>
      </c>
      <c r="B14804" s="3" t="s">
        <v>66</v>
      </c>
      <c r="C14804" s="4" t="str">
        <f t="shared" si="1172"/>
        <v>TCGA-BRCA</v>
      </c>
      <c r="D14804" s="1" t="s">
        <v>493</v>
      </c>
      <c r="E14804" t="s">
        <v>533</v>
      </c>
      <c r="F14804" s="1">
        <v>2</v>
      </c>
      <c r="G14804" s="1" t="s">
        <v>28</v>
      </c>
      <c r="H14804" s="4" t="str">
        <f>HYPERLINK("https://portal.gdc.cancer.gov/cases/853456d8-2367-404e-abc9-020fe8bbd209","TCGA-A8-A07E-01A")</f>
        <v>TCGA-A8-A07E-01A</v>
      </c>
      <c r="I14804" t="s">
        <v>17</v>
      </c>
      <c r="J14804" t="s">
        <v>524</v>
      </c>
      <c r="K14804" t="s">
        <v>33</v>
      </c>
      <c r="L14804" t="s">
        <v>20</v>
      </c>
      <c r="N14804" t="s">
        <v>29</v>
      </c>
    </row>
    <row r="14805" spans="1:14">
      <c r="A14805" s="4" t="str">
        <f t="shared" si="1171"/>
        <v>EXP00415</v>
      </c>
      <c r="B14805" s="3" t="s">
        <v>66</v>
      </c>
      <c r="C14805" s="4" t="str">
        <f t="shared" si="1172"/>
        <v>TCGA-BRCA</v>
      </c>
      <c r="D14805" s="1" t="s">
        <v>493</v>
      </c>
      <c r="E14805" t="s">
        <v>533</v>
      </c>
      <c r="F14805" s="1">
        <v>2</v>
      </c>
      <c r="G14805" s="1" t="s">
        <v>28</v>
      </c>
      <c r="H14805" s="4" t="str">
        <f>HYPERLINK("https://portal.gdc.cancer.gov/cases/5d688049-f271-40ef-813a-d37240ffe21c","TCGA-A8-A07F-01A")</f>
        <v>TCGA-A8-A07F-01A</v>
      </c>
      <c r="I14805" t="s">
        <v>17</v>
      </c>
      <c r="J14805" t="s">
        <v>524</v>
      </c>
      <c r="K14805" t="s">
        <v>33</v>
      </c>
      <c r="L14805" t="s">
        <v>20</v>
      </c>
      <c r="N14805" t="s">
        <v>29</v>
      </c>
    </row>
    <row r="14806" spans="1:14">
      <c r="A14806" s="4" t="str">
        <f t="shared" si="1171"/>
        <v>EXP00415</v>
      </c>
      <c r="B14806" s="3" t="s">
        <v>66</v>
      </c>
      <c r="C14806" s="4" t="str">
        <f t="shared" si="1172"/>
        <v>TCGA-BRCA</v>
      </c>
      <c r="D14806" s="1" t="s">
        <v>493</v>
      </c>
      <c r="E14806" t="s">
        <v>533</v>
      </c>
      <c r="F14806" s="1">
        <v>2</v>
      </c>
      <c r="G14806" s="1" t="s">
        <v>28</v>
      </c>
      <c r="H14806" s="4" t="str">
        <f>HYPERLINK("https://portal.gdc.cancer.gov/cases/8cf8b620-7ab6-4b6e-84bc-ff5a83f381fa","TCGA-A8-A07G-01A")</f>
        <v>TCGA-A8-A07G-01A</v>
      </c>
      <c r="I14806" t="s">
        <v>17</v>
      </c>
      <c r="J14806" t="s">
        <v>524</v>
      </c>
      <c r="K14806" t="s">
        <v>33</v>
      </c>
      <c r="L14806" t="s">
        <v>20</v>
      </c>
      <c r="N14806" t="s">
        <v>29</v>
      </c>
    </row>
    <row r="14807" spans="1:14">
      <c r="A14807" s="4" t="str">
        <f t="shared" si="1171"/>
        <v>EXP00415</v>
      </c>
      <c r="B14807" s="3" t="s">
        <v>66</v>
      </c>
      <c r="C14807" s="4" t="str">
        <f t="shared" si="1172"/>
        <v>TCGA-BRCA</v>
      </c>
      <c r="D14807" s="1" t="s">
        <v>493</v>
      </c>
      <c r="E14807" t="s">
        <v>533</v>
      </c>
      <c r="F14807" s="1">
        <v>2</v>
      </c>
      <c r="G14807" s="1" t="s">
        <v>28</v>
      </c>
      <c r="H14807" s="4" t="str">
        <f>HYPERLINK("https://portal.gdc.cancer.gov/cases/566792ae-f853-4a47-856d-f02cdcfcb18a","TCGA-A8-A07I-01A")</f>
        <v>TCGA-A8-A07I-01A</v>
      </c>
      <c r="I14807" t="s">
        <v>17</v>
      </c>
      <c r="J14807" t="s">
        <v>524</v>
      </c>
      <c r="K14807" t="s">
        <v>33</v>
      </c>
      <c r="L14807" t="s">
        <v>20</v>
      </c>
      <c r="N14807" t="s">
        <v>29</v>
      </c>
    </row>
    <row r="14808" spans="1:14">
      <c r="A14808" s="4" t="str">
        <f t="shared" si="1171"/>
        <v>EXP00415</v>
      </c>
      <c r="B14808" s="3" t="s">
        <v>66</v>
      </c>
      <c r="C14808" s="4" t="str">
        <f t="shared" si="1172"/>
        <v>TCGA-BRCA</v>
      </c>
      <c r="D14808" s="1" t="s">
        <v>493</v>
      </c>
      <c r="E14808" t="s">
        <v>533</v>
      </c>
      <c r="F14808" s="1">
        <v>2</v>
      </c>
      <c r="G14808" s="1" t="s">
        <v>28</v>
      </c>
      <c r="H14808" s="4" t="str">
        <f>HYPERLINK("https://portal.gdc.cancer.gov/cases/316625b8-a217-4829-90d1-dfd9cb7e4bc3","TCGA-A8-A07J-01A")</f>
        <v>TCGA-A8-A07J-01A</v>
      </c>
      <c r="I14808" t="s">
        <v>17</v>
      </c>
      <c r="J14808" t="s">
        <v>524</v>
      </c>
      <c r="K14808" t="s">
        <v>33</v>
      </c>
      <c r="L14808" t="s">
        <v>20</v>
      </c>
      <c r="N14808" t="s">
        <v>29</v>
      </c>
    </row>
    <row r="14809" spans="1:14">
      <c r="A14809" s="4" t="str">
        <f t="shared" si="1171"/>
        <v>EXP00415</v>
      </c>
      <c r="B14809" s="3" t="s">
        <v>66</v>
      </c>
      <c r="C14809" s="4" t="str">
        <f t="shared" si="1172"/>
        <v>TCGA-BRCA</v>
      </c>
      <c r="D14809" s="1" t="s">
        <v>493</v>
      </c>
      <c r="E14809" t="s">
        <v>533</v>
      </c>
      <c r="F14809" s="1">
        <v>2</v>
      </c>
      <c r="G14809" s="1" t="s">
        <v>28</v>
      </c>
      <c r="H14809" s="4" t="str">
        <f>HYPERLINK("https://portal.gdc.cancer.gov/cases/e89a9deb-6321-4e61-b412-b4993d4277dd","TCGA-A8-A07L-01A")</f>
        <v>TCGA-A8-A07L-01A</v>
      </c>
      <c r="I14809" t="s">
        <v>17</v>
      </c>
      <c r="J14809" t="s">
        <v>524</v>
      </c>
      <c r="K14809" t="s">
        <v>33</v>
      </c>
      <c r="L14809" t="s">
        <v>20</v>
      </c>
      <c r="N14809" t="s">
        <v>29</v>
      </c>
    </row>
    <row r="14810" spans="1:14">
      <c r="A14810" s="4" t="str">
        <f t="shared" si="1171"/>
        <v>EXP00415</v>
      </c>
      <c r="B14810" s="3" t="s">
        <v>66</v>
      </c>
      <c r="C14810" s="4" t="str">
        <f t="shared" si="1172"/>
        <v>TCGA-BRCA</v>
      </c>
      <c r="D14810" s="1" t="s">
        <v>493</v>
      </c>
      <c r="E14810" t="s">
        <v>533</v>
      </c>
      <c r="F14810" s="1">
        <v>2</v>
      </c>
      <c r="G14810" s="1" t="s">
        <v>28</v>
      </c>
      <c r="H14810" s="4" t="str">
        <f>HYPERLINK("https://portal.gdc.cancer.gov/cases/cf9db1af-17f0-490e-8139-142bd704763a","TCGA-A8-A07O-01A")</f>
        <v>TCGA-A8-A07O-01A</v>
      </c>
      <c r="I14810" t="s">
        <v>17</v>
      </c>
      <c r="J14810" t="s">
        <v>524</v>
      </c>
      <c r="K14810" t="s">
        <v>33</v>
      </c>
      <c r="L14810" t="s">
        <v>20</v>
      </c>
      <c r="N14810" t="s">
        <v>29</v>
      </c>
    </row>
    <row r="14811" spans="1:14">
      <c r="A14811" s="4" t="str">
        <f t="shared" si="1171"/>
        <v>EXP00415</v>
      </c>
      <c r="B14811" s="3" t="s">
        <v>66</v>
      </c>
      <c r="C14811" s="4" t="str">
        <f t="shared" si="1172"/>
        <v>TCGA-BRCA</v>
      </c>
      <c r="D14811" s="1" t="s">
        <v>493</v>
      </c>
      <c r="E14811" t="s">
        <v>533</v>
      </c>
      <c r="F14811" s="1">
        <v>2</v>
      </c>
      <c r="G14811" s="1" t="s">
        <v>28</v>
      </c>
      <c r="H14811" s="4" t="str">
        <f>HYPERLINK("https://portal.gdc.cancer.gov/cases/8cccf160-93e9-48a5-9b8b-54aa50153142","TCGA-A8-A07P-01A")</f>
        <v>TCGA-A8-A07P-01A</v>
      </c>
      <c r="I14811" t="s">
        <v>17</v>
      </c>
      <c r="J14811" t="s">
        <v>524</v>
      </c>
      <c r="K14811" t="s">
        <v>33</v>
      </c>
      <c r="L14811" t="s">
        <v>20</v>
      </c>
      <c r="N14811" t="s">
        <v>29</v>
      </c>
    </row>
    <row r="14812" spans="1:14">
      <c r="A14812" s="4" t="str">
        <f t="shared" si="1171"/>
        <v>EXP00415</v>
      </c>
      <c r="B14812" s="3" t="s">
        <v>66</v>
      </c>
      <c r="C14812" s="4" t="str">
        <f t="shared" si="1172"/>
        <v>TCGA-BRCA</v>
      </c>
      <c r="D14812" s="1" t="s">
        <v>493</v>
      </c>
      <c r="E14812" t="s">
        <v>533</v>
      </c>
      <c r="F14812" s="1">
        <v>2</v>
      </c>
      <c r="G14812" s="1" t="s">
        <v>28</v>
      </c>
      <c r="H14812" s="4" t="str">
        <f>HYPERLINK("https://portal.gdc.cancer.gov/cases/72e486b8-a866-4916-b2e4-8b4bb5dcd92d","TCGA-A8-A07R-01A")</f>
        <v>TCGA-A8-A07R-01A</v>
      </c>
      <c r="I14812" t="s">
        <v>17</v>
      </c>
      <c r="J14812" t="s">
        <v>524</v>
      </c>
      <c r="K14812" t="s">
        <v>33</v>
      </c>
      <c r="L14812" t="s">
        <v>20</v>
      </c>
      <c r="N14812" t="s">
        <v>29</v>
      </c>
    </row>
    <row r="14813" spans="1:14">
      <c r="A14813" s="4" t="str">
        <f t="shared" si="1171"/>
        <v>EXP00415</v>
      </c>
      <c r="B14813" s="3" t="s">
        <v>66</v>
      </c>
      <c r="C14813" s="4" t="str">
        <f t="shared" si="1172"/>
        <v>TCGA-BRCA</v>
      </c>
      <c r="D14813" s="1" t="s">
        <v>493</v>
      </c>
      <c r="E14813" t="s">
        <v>533</v>
      </c>
      <c r="F14813" s="1">
        <v>2</v>
      </c>
      <c r="G14813" s="1" t="s">
        <v>28</v>
      </c>
      <c r="H14813" s="4" t="str">
        <f>HYPERLINK("https://portal.gdc.cancer.gov/cases/a20fa2c4-a502-47e3-bfaa-2ec4cce3a859","TCGA-A8-A07S-01A")</f>
        <v>TCGA-A8-A07S-01A</v>
      </c>
      <c r="I14813" t="s">
        <v>17</v>
      </c>
      <c r="J14813" t="s">
        <v>524</v>
      </c>
      <c r="K14813" t="s">
        <v>33</v>
      </c>
      <c r="L14813" t="s">
        <v>20</v>
      </c>
      <c r="N14813" t="s">
        <v>29</v>
      </c>
    </row>
    <row r="14814" spans="1:14">
      <c r="A14814" s="4" t="str">
        <f t="shared" si="1171"/>
        <v>EXP00415</v>
      </c>
      <c r="B14814" s="3" t="s">
        <v>66</v>
      </c>
      <c r="C14814" s="4" t="str">
        <f t="shared" si="1172"/>
        <v>TCGA-BRCA</v>
      </c>
      <c r="D14814" s="1" t="s">
        <v>493</v>
      </c>
      <c r="E14814" t="s">
        <v>533</v>
      </c>
      <c r="F14814" s="1">
        <v>2</v>
      </c>
      <c r="G14814" s="1" t="s">
        <v>28</v>
      </c>
      <c r="H14814" s="4" t="str">
        <f>HYPERLINK("https://portal.gdc.cancer.gov/cases/59bf0ce4-715a-4017-bccb-c59916e78324","TCGA-A8-A07U-01A")</f>
        <v>TCGA-A8-A07U-01A</v>
      </c>
      <c r="I14814" t="s">
        <v>17</v>
      </c>
      <c r="J14814" t="s">
        <v>524</v>
      </c>
      <c r="K14814" t="s">
        <v>33</v>
      </c>
      <c r="L14814" t="s">
        <v>20</v>
      </c>
      <c r="N14814" t="s">
        <v>29</v>
      </c>
    </row>
    <row r="14815" spans="1:14">
      <c r="A14815" s="4" t="str">
        <f t="shared" si="1171"/>
        <v>EXP00415</v>
      </c>
      <c r="B14815" s="3" t="s">
        <v>66</v>
      </c>
      <c r="C14815" s="4" t="str">
        <f t="shared" si="1172"/>
        <v>TCGA-BRCA</v>
      </c>
      <c r="D14815" s="1" t="s">
        <v>493</v>
      </c>
      <c r="E14815" t="s">
        <v>533</v>
      </c>
      <c r="F14815" s="1">
        <v>2</v>
      </c>
      <c r="G14815" s="1" t="s">
        <v>28</v>
      </c>
      <c r="H14815" s="4" t="str">
        <f>HYPERLINK("https://portal.gdc.cancer.gov/cases/01263518-5f7c-49dc-8d7e-84b0c03a6a63","TCGA-A8-A07W-01A")</f>
        <v>TCGA-A8-A07W-01A</v>
      </c>
      <c r="I14815" t="s">
        <v>17</v>
      </c>
      <c r="J14815" t="s">
        <v>524</v>
      </c>
      <c r="K14815" t="s">
        <v>33</v>
      </c>
      <c r="L14815" t="s">
        <v>20</v>
      </c>
      <c r="N14815" t="s">
        <v>29</v>
      </c>
    </row>
    <row r="14816" spans="1:14">
      <c r="A14816" s="4" t="str">
        <f t="shared" si="1171"/>
        <v>EXP00415</v>
      </c>
      <c r="B14816" s="3" t="s">
        <v>66</v>
      </c>
      <c r="C14816" s="4" t="str">
        <f t="shared" si="1172"/>
        <v>TCGA-BRCA</v>
      </c>
      <c r="D14816" s="1" t="s">
        <v>493</v>
      </c>
      <c r="E14816" t="s">
        <v>533</v>
      </c>
      <c r="F14816" s="1">
        <v>2</v>
      </c>
      <c r="G14816" s="1" t="s">
        <v>28</v>
      </c>
      <c r="H14816" s="4" t="str">
        <f>HYPERLINK("https://portal.gdc.cancer.gov/cases/a272171b-44f5-47a5-89be-7520413c01ad","TCGA-A8-A07Z-01A")</f>
        <v>TCGA-A8-A07Z-01A</v>
      </c>
      <c r="I14816" t="s">
        <v>17</v>
      </c>
      <c r="J14816" t="s">
        <v>524</v>
      </c>
      <c r="K14816" t="s">
        <v>33</v>
      </c>
      <c r="L14816" t="s">
        <v>20</v>
      </c>
      <c r="N14816" t="s">
        <v>29</v>
      </c>
    </row>
    <row r="14817" spans="1:14">
      <c r="A14817" s="4" t="str">
        <f t="shared" si="1171"/>
        <v>EXP00415</v>
      </c>
      <c r="B14817" s="3" t="s">
        <v>66</v>
      </c>
      <c r="C14817" s="4" t="str">
        <f t="shared" si="1172"/>
        <v>TCGA-BRCA</v>
      </c>
      <c r="D14817" s="1" t="s">
        <v>493</v>
      </c>
      <c r="E14817" t="s">
        <v>533</v>
      </c>
      <c r="F14817" s="1">
        <v>2</v>
      </c>
      <c r="G14817" s="1" t="s">
        <v>28</v>
      </c>
      <c r="H14817" s="4" t="str">
        <f>HYPERLINK("https://portal.gdc.cancer.gov/cases/9d876f05-5080-4c4e-9bf5-45f631d381e5","TCGA-A8-A081-01A")</f>
        <v>TCGA-A8-A081-01A</v>
      </c>
      <c r="I14817" t="s">
        <v>17</v>
      </c>
      <c r="J14817" t="s">
        <v>524</v>
      </c>
      <c r="K14817" t="s">
        <v>33</v>
      </c>
      <c r="L14817" t="s">
        <v>20</v>
      </c>
      <c r="N14817" t="s">
        <v>29</v>
      </c>
    </row>
    <row r="14818" spans="1:14">
      <c r="A14818" s="4" t="str">
        <f t="shared" si="1171"/>
        <v>EXP00415</v>
      </c>
      <c r="B14818" s="3" t="s">
        <v>66</v>
      </c>
      <c r="C14818" s="4" t="str">
        <f t="shared" si="1172"/>
        <v>TCGA-BRCA</v>
      </c>
      <c r="D14818" s="1" t="s">
        <v>493</v>
      </c>
      <c r="E14818" t="s">
        <v>533</v>
      </c>
      <c r="F14818" s="1">
        <v>2</v>
      </c>
      <c r="G14818" s="1" t="s">
        <v>28</v>
      </c>
      <c r="H14818" s="4" t="str">
        <f>HYPERLINK("https://portal.gdc.cancer.gov/cases/5e4187c9-98f8-4bdb-a8da-6a914e96f47a","TCGA-A8-A082-01A")</f>
        <v>TCGA-A8-A082-01A</v>
      </c>
      <c r="I14818" t="s">
        <v>17</v>
      </c>
      <c r="J14818" t="s">
        <v>524</v>
      </c>
      <c r="K14818" t="s">
        <v>33</v>
      </c>
      <c r="L14818" t="s">
        <v>20</v>
      </c>
      <c r="N14818" t="s">
        <v>29</v>
      </c>
    </row>
    <row r="14819" spans="1:14">
      <c r="A14819" s="4" t="str">
        <f t="shared" si="1171"/>
        <v>EXP00415</v>
      </c>
      <c r="B14819" s="3" t="s">
        <v>66</v>
      </c>
      <c r="C14819" s="4" t="str">
        <f t="shared" si="1172"/>
        <v>TCGA-BRCA</v>
      </c>
      <c r="D14819" s="1" t="s">
        <v>493</v>
      </c>
      <c r="E14819" t="s">
        <v>533</v>
      </c>
      <c r="F14819" s="1">
        <v>2</v>
      </c>
      <c r="G14819" s="1" t="s">
        <v>28</v>
      </c>
      <c r="H14819" s="4" t="str">
        <f>HYPERLINK("https://portal.gdc.cancer.gov/cases/afb9418e-91eb-4db1-aacf-12bd946c9ba0","TCGA-A8-A083-01A")</f>
        <v>TCGA-A8-A083-01A</v>
      </c>
      <c r="I14819" t="s">
        <v>17</v>
      </c>
      <c r="J14819" t="s">
        <v>524</v>
      </c>
      <c r="K14819" t="s">
        <v>33</v>
      </c>
      <c r="L14819" t="s">
        <v>20</v>
      </c>
      <c r="N14819" t="s">
        <v>29</v>
      </c>
    </row>
    <row r="14820" spans="1:14">
      <c r="A14820" s="4" t="str">
        <f t="shared" si="1171"/>
        <v>EXP00415</v>
      </c>
      <c r="B14820" s="3" t="s">
        <v>66</v>
      </c>
      <c r="C14820" s="4" t="str">
        <f t="shared" si="1172"/>
        <v>TCGA-BRCA</v>
      </c>
      <c r="D14820" s="1" t="s">
        <v>493</v>
      </c>
      <c r="E14820" t="s">
        <v>533</v>
      </c>
      <c r="F14820" s="1">
        <v>2</v>
      </c>
      <c r="G14820" s="1" t="s">
        <v>28</v>
      </c>
      <c r="H14820" s="4" t="str">
        <f>HYPERLINK("https://portal.gdc.cancer.gov/cases/3dbe99d1-e3b8-4ee2-b6a8-2e2e12c6fbe9","TCGA-A8-A084-01A")</f>
        <v>TCGA-A8-A084-01A</v>
      </c>
      <c r="I14820" t="s">
        <v>17</v>
      </c>
      <c r="J14820" t="s">
        <v>524</v>
      </c>
      <c r="K14820" t="s">
        <v>33</v>
      </c>
      <c r="L14820" t="s">
        <v>20</v>
      </c>
      <c r="N14820" t="s">
        <v>29</v>
      </c>
    </row>
    <row r="14821" spans="1:14">
      <c r="A14821" s="4" t="str">
        <f t="shared" si="1171"/>
        <v>EXP00415</v>
      </c>
      <c r="B14821" s="3" t="s">
        <v>66</v>
      </c>
      <c r="C14821" s="4" t="str">
        <f t="shared" si="1172"/>
        <v>TCGA-BRCA</v>
      </c>
      <c r="D14821" s="1" t="s">
        <v>493</v>
      </c>
      <c r="E14821" t="s">
        <v>533</v>
      </c>
      <c r="F14821" s="1">
        <v>2</v>
      </c>
      <c r="G14821" s="1" t="s">
        <v>28</v>
      </c>
      <c r="H14821" s="4" t="str">
        <f>HYPERLINK("https://portal.gdc.cancer.gov/cases/3c08aabd-d5b5-4bbe-857c-38a7527b2163","TCGA-A8-A085-01A")</f>
        <v>TCGA-A8-A085-01A</v>
      </c>
      <c r="I14821" t="s">
        <v>17</v>
      </c>
      <c r="J14821" t="s">
        <v>524</v>
      </c>
      <c r="K14821" t="s">
        <v>33</v>
      </c>
      <c r="L14821" t="s">
        <v>20</v>
      </c>
      <c r="N14821" t="s">
        <v>29</v>
      </c>
    </row>
    <row r="14822" spans="1:14">
      <c r="A14822" s="4" t="str">
        <f t="shared" si="1171"/>
        <v>EXP00415</v>
      </c>
      <c r="B14822" s="3" t="s">
        <v>66</v>
      </c>
      <c r="C14822" s="4" t="str">
        <f t="shared" si="1172"/>
        <v>TCGA-BRCA</v>
      </c>
      <c r="D14822" s="1" t="s">
        <v>493</v>
      </c>
      <c r="E14822" t="s">
        <v>533</v>
      </c>
      <c r="F14822" s="1">
        <v>2</v>
      </c>
      <c r="G14822" s="1" t="s">
        <v>28</v>
      </c>
      <c r="H14822" s="4" t="str">
        <f>HYPERLINK("https://portal.gdc.cancer.gov/cases/f9eb88f7-9293-46bf-ace4-a746e4ff80dc","TCGA-A8-A086-01A")</f>
        <v>TCGA-A8-A086-01A</v>
      </c>
      <c r="I14822" t="s">
        <v>17</v>
      </c>
      <c r="J14822" t="s">
        <v>524</v>
      </c>
      <c r="K14822" t="s">
        <v>33</v>
      </c>
      <c r="L14822" t="s">
        <v>20</v>
      </c>
      <c r="N14822" t="s">
        <v>29</v>
      </c>
    </row>
    <row r="14823" spans="1:14">
      <c r="A14823" s="4" t="str">
        <f t="shared" si="1171"/>
        <v>EXP00415</v>
      </c>
      <c r="B14823" s="3" t="s">
        <v>66</v>
      </c>
      <c r="C14823" s="4" t="str">
        <f t="shared" si="1172"/>
        <v>TCGA-BRCA</v>
      </c>
      <c r="D14823" s="1" t="s">
        <v>493</v>
      </c>
      <c r="E14823" t="s">
        <v>533</v>
      </c>
      <c r="F14823" s="1">
        <v>2</v>
      </c>
      <c r="G14823" s="1" t="s">
        <v>28</v>
      </c>
      <c r="H14823" s="4" t="str">
        <f>HYPERLINK("https://portal.gdc.cancer.gov/cases/7fe4670d-4626-459d-869b-ab15f478c6a7","TCGA-A8-A08A-01A")</f>
        <v>TCGA-A8-A08A-01A</v>
      </c>
      <c r="I14823" t="s">
        <v>17</v>
      </c>
      <c r="J14823" t="s">
        <v>524</v>
      </c>
      <c r="K14823" t="s">
        <v>33</v>
      </c>
      <c r="L14823" t="s">
        <v>20</v>
      </c>
      <c r="N14823" t="s">
        <v>29</v>
      </c>
    </row>
    <row r="14824" spans="1:14">
      <c r="A14824" s="4" t="str">
        <f t="shared" si="1171"/>
        <v>EXP00415</v>
      </c>
      <c r="B14824" s="3" t="s">
        <v>66</v>
      </c>
      <c r="C14824" s="4" t="str">
        <f t="shared" si="1172"/>
        <v>TCGA-BRCA</v>
      </c>
      <c r="D14824" s="1" t="s">
        <v>493</v>
      </c>
      <c r="E14824" t="s">
        <v>533</v>
      </c>
      <c r="F14824" s="1">
        <v>2</v>
      </c>
      <c r="G14824" s="1" t="s">
        <v>28</v>
      </c>
      <c r="H14824" s="4" t="str">
        <f>HYPERLINK("https://portal.gdc.cancer.gov/cases/d8d7a6c2-6427-4f47-968c-6c3affba4617","TCGA-A8-A08B-01A")</f>
        <v>TCGA-A8-A08B-01A</v>
      </c>
      <c r="I14824" t="s">
        <v>17</v>
      </c>
      <c r="J14824" t="s">
        <v>524</v>
      </c>
      <c r="K14824" t="s">
        <v>33</v>
      </c>
      <c r="L14824" t="s">
        <v>20</v>
      </c>
      <c r="N14824" t="s">
        <v>29</v>
      </c>
    </row>
    <row r="14825" spans="1:14">
      <c r="A14825" s="4" t="str">
        <f t="shared" si="1171"/>
        <v>EXP00415</v>
      </c>
      <c r="B14825" s="3" t="s">
        <v>66</v>
      </c>
      <c r="C14825" s="4" t="str">
        <f t="shared" si="1172"/>
        <v>TCGA-BRCA</v>
      </c>
      <c r="D14825" s="1" t="s">
        <v>493</v>
      </c>
      <c r="E14825" t="s">
        <v>533</v>
      </c>
      <c r="F14825" s="1">
        <v>2</v>
      </c>
      <c r="G14825" s="1" t="s">
        <v>28</v>
      </c>
      <c r="H14825" s="4" t="str">
        <f>HYPERLINK("https://portal.gdc.cancer.gov/cases/719082cc-1ebe-4a51-a659-85a59db1d77d","TCGA-A8-A08G-01A")</f>
        <v>TCGA-A8-A08G-01A</v>
      </c>
      <c r="I14825" t="s">
        <v>17</v>
      </c>
      <c r="J14825" t="s">
        <v>524</v>
      </c>
      <c r="K14825" t="s">
        <v>33</v>
      </c>
      <c r="L14825" t="s">
        <v>20</v>
      </c>
      <c r="N14825" t="s">
        <v>29</v>
      </c>
    </row>
    <row r="14826" spans="1:14">
      <c r="A14826" s="4" t="str">
        <f t="shared" si="1171"/>
        <v>EXP00415</v>
      </c>
      <c r="B14826" s="3" t="s">
        <v>66</v>
      </c>
      <c r="C14826" s="4" t="str">
        <f t="shared" si="1172"/>
        <v>TCGA-BRCA</v>
      </c>
      <c r="D14826" s="1" t="s">
        <v>493</v>
      </c>
      <c r="E14826" t="s">
        <v>533</v>
      </c>
      <c r="F14826" s="1">
        <v>2</v>
      </c>
      <c r="G14826" s="1" t="s">
        <v>28</v>
      </c>
      <c r="H14826" s="4" t="str">
        <f>HYPERLINK("https://portal.gdc.cancer.gov/cases/db8d38ab-cc61-49ee-863d-40060112f2af","TCGA-A8-A08H-01A")</f>
        <v>TCGA-A8-A08H-01A</v>
      </c>
      <c r="I14826" t="s">
        <v>17</v>
      </c>
      <c r="J14826" t="s">
        <v>524</v>
      </c>
      <c r="K14826" t="s">
        <v>33</v>
      </c>
      <c r="L14826" t="s">
        <v>20</v>
      </c>
      <c r="N14826" t="s">
        <v>29</v>
      </c>
    </row>
    <row r="14827" spans="1:14">
      <c r="A14827" s="4" t="str">
        <f t="shared" si="1171"/>
        <v>EXP00415</v>
      </c>
      <c r="B14827" s="3" t="s">
        <v>66</v>
      </c>
      <c r="C14827" s="4" t="str">
        <f t="shared" si="1172"/>
        <v>TCGA-BRCA</v>
      </c>
      <c r="D14827" s="1" t="s">
        <v>493</v>
      </c>
      <c r="E14827" t="s">
        <v>533</v>
      </c>
      <c r="F14827" s="1">
        <v>2</v>
      </c>
      <c r="G14827" s="1" t="s">
        <v>28</v>
      </c>
      <c r="H14827" s="4" t="str">
        <f>HYPERLINK("https://portal.gdc.cancer.gov/cases/7acf33e7-c386-45fd-8c9a-469600378687","TCGA-A8-A08I-01A")</f>
        <v>TCGA-A8-A08I-01A</v>
      </c>
      <c r="I14827" t="s">
        <v>17</v>
      </c>
      <c r="J14827" t="s">
        <v>524</v>
      </c>
      <c r="K14827" t="s">
        <v>33</v>
      </c>
      <c r="L14827" t="s">
        <v>20</v>
      </c>
      <c r="N14827" t="s">
        <v>29</v>
      </c>
    </row>
    <row r="14828" spans="1:14">
      <c r="A14828" s="4" t="str">
        <f t="shared" si="1171"/>
        <v>EXP00415</v>
      </c>
      <c r="B14828" s="3" t="s">
        <v>66</v>
      </c>
      <c r="C14828" s="4" t="str">
        <f t="shared" si="1172"/>
        <v>TCGA-BRCA</v>
      </c>
      <c r="D14828" s="1" t="s">
        <v>493</v>
      </c>
      <c r="E14828" t="s">
        <v>533</v>
      </c>
      <c r="F14828" s="1">
        <v>2</v>
      </c>
      <c r="G14828" s="1" t="s">
        <v>28</v>
      </c>
      <c r="H14828" s="4" t="str">
        <f>HYPERLINK("https://portal.gdc.cancer.gov/cases/68177e92-4784-45d9-af14-4ce0c00eae74","TCGA-A8-A08J-01A")</f>
        <v>TCGA-A8-A08J-01A</v>
      </c>
      <c r="I14828" t="s">
        <v>17</v>
      </c>
      <c r="J14828" t="s">
        <v>524</v>
      </c>
      <c r="K14828" t="s">
        <v>33</v>
      </c>
      <c r="L14828" t="s">
        <v>20</v>
      </c>
      <c r="N14828" t="s">
        <v>29</v>
      </c>
    </row>
    <row r="14829" spans="1:14">
      <c r="A14829" s="4" t="str">
        <f t="shared" si="1171"/>
        <v>EXP00415</v>
      </c>
      <c r="B14829" s="3" t="s">
        <v>66</v>
      </c>
      <c r="C14829" s="4" t="str">
        <f t="shared" si="1172"/>
        <v>TCGA-BRCA</v>
      </c>
      <c r="D14829" s="1" t="s">
        <v>493</v>
      </c>
      <c r="E14829" t="s">
        <v>533</v>
      </c>
      <c r="F14829" s="1">
        <v>2</v>
      </c>
      <c r="G14829" s="1" t="s">
        <v>28</v>
      </c>
      <c r="H14829" s="4" t="str">
        <f>HYPERLINK("https://portal.gdc.cancer.gov/cases/8bd68696-5eeb-46d7-9dc6-c39c849029a4","TCGA-A8-A08L-01A")</f>
        <v>TCGA-A8-A08L-01A</v>
      </c>
      <c r="I14829" t="s">
        <v>17</v>
      </c>
      <c r="J14829" t="s">
        <v>524</v>
      </c>
      <c r="K14829" t="s">
        <v>33</v>
      </c>
      <c r="L14829" t="s">
        <v>20</v>
      </c>
      <c r="N14829" t="s">
        <v>29</v>
      </c>
    </row>
    <row r="14830" spans="1:14">
      <c r="A14830" s="4" t="str">
        <f t="shared" si="1171"/>
        <v>EXP00415</v>
      </c>
      <c r="B14830" s="3" t="s">
        <v>66</v>
      </c>
      <c r="C14830" s="4" t="str">
        <f t="shared" si="1172"/>
        <v>TCGA-BRCA</v>
      </c>
      <c r="D14830" s="1" t="s">
        <v>493</v>
      </c>
      <c r="E14830" t="s">
        <v>533</v>
      </c>
      <c r="F14830" s="1">
        <v>2</v>
      </c>
      <c r="G14830" s="1" t="s">
        <v>28</v>
      </c>
      <c r="H14830" s="4" t="str">
        <f>HYPERLINK("https://portal.gdc.cancer.gov/cases/5f5964a8-8e07-4620-98f0-93d162dbc31e","TCGA-A8-A08O-01A")</f>
        <v>TCGA-A8-A08O-01A</v>
      </c>
      <c r="I14830" t="s">
        <v>17</v>
      </c>
      <c r="J14830" t="s">
        <v>524</v>
      </c>
      <c r="K14830" t="s">
        <v>33</v>
      </c>
      <c r="L14830" t="s">
        <v>20</v>
      </c>
      <c r="N14830" t="s">
        <v>29</v>
      </c>
    </row>
    <row r="14831" spans="1:14">
      <c r="A14831" s="4" t="str">
        <f t="shared" si="1171"/>
        <v>EXP00415</v>
      </c>
      <c r="B14831" s="3" t="s">
        <v>66</v>
      </c>
      <c r="C14831" s="4" t="str">
        <f t="shared" si="1172"/>
        <v>TCGA-BRCA</v>
      </c>
      <c r="D14831" s="1" t="s">
        <v>493</v>
      </c>
      <c r="E14831" t="s">
        <v>533</v>
      </c>
      <c r="F14831" s="1">
        <v>2</v>
      </c>
      <c r="G14831" s="1" t="s">
        <v>28</v>
      </c>
      <c r="H14831" s="4" t="str">
        <f>HYPERLINK("https://portal.gdc.cancer.gov/cases/6412854a-f874-469e-9d1f-8bd3ae5bd41d","TCGA-A8-A08R-01A")</f>
        <v>TCGA-A8-A08R-01A</v>
      </c>
      <c r="I14831" t="s">
        <v>17</v>
      </c>
      <c r="J14831" t="s">
        <v>524</v>
      </c>
      <c r="K14831" t="s">
        <v>33</v>
      </c>
      <c r="L14831" t="s">
        <v>20</v>
      </c>
      <c r="N14831" t="s">
        <v>29</v>
      </c>
    </row>
    <row r="14832" spans="1:14">
      <c r="A14832" s="4" t="str">
        <f t="shared" si="1171"/>
        <v>EXP00415</v>
      </c>
      <c r="B14832" s="3" t="s">
        <v>66</v>
      </c>
      <c r="C14832" s="4" t="str">
        <f t="shared" si="1172"/>
        <v>TCGA-BRCA</v>
      </c>
      <c r="D14832" s="1" t="s">
        <v>493</v>
      </c>
      <c r="E14832" t="s">
        <v>533</v>
      </c>
      <c r="F14832" s="1">
        <v>2</v>
      </c>
      <c r="G14832" s="1" t="s">
        <v>28</v>
      </c>
      <c r="H14832" s="4" t="str">
        <f>HYPERLINK("https://portal.gdc.cancer.gov/cases/2779fa01-ac93-4e80-a997-3385f72172c3","TCGA-A8-A08S-01A")</f>
        <v>TCGA-A8-A08S-01A</v>
      </c>
      <c r="I14832" t="s">
        <v>17</v>
      </c>
      <c r="J14832" t="s">
        <v>524</v>
      </c>
      <c r="K14832" t="s">
        <v>33</v>
      </c>
      <c r="L14832" t="s">
        <v>20</v>
      </c>
      <c r="N14832" t="s">
        <v>29</v>
      </c>
    </row>
    <row r="14833" spans="1:14">
      <c r="A14833" s="4" t="str">
        <f t="shared" si="1171"/>
        <v>EXP00415</v>
      </c>
      <c r="B14833" s="3" t="s">
        <v>66</v>
      </c>
      <c r="C14833" s="4" t="str">
        <f t="shared" si="1172"/>
        <v>TCGA-BRCA</v>
      </c>
      <c r="D14833" s="1" t="s">
        <v>493</v>
      </c>
      <c r="E14833" t="s">
        <v>533</v>
      </c>
      <c r="F14833" s="1">
        <v>2</v>
      </c>
      <c r="G14833" s="1" t="s">
        <v>28</v>
      </c>
      <c r="H14833" s="4" t="str">
        <f>HYPERLINK("https://portal.gdc.cancer.gov/cases/32bc7cc4-d185-4594-bbee-4b96410be512","TCGA-A8-A08T-01A")</f>
        <v>TCGA-A8-A08T-01A</v>
      </c>
      <c r="I14833" t="s">
        <v>17</v>
      </c>
      <c r="J14833" t="s">
        <v>524</v>
      </c>
      <c r="K14833" t="s">
        <v>33</v>
      </c>
      <c r="L14833" t="s">
        <v>20</v>
      </c>
      <c r="N14833" t="s">
        <v>29</v>
      </c>
    </row>
    <row r="14834" spans="1:14">
      <c r="A14834" s="4" t="str">
        <f t="shared" si="1171"/>
        <v>EXP00415</v>
      </c>
      <c r="B14834" s="3" t="s">
        <v>66</v>
      </c>
      <c r="C14834" s="4" t="str">
        <f t="shared" si="1172"/>
        <v>TCGA-BRCA</v>
      </c>
      <c r="D14834" s="1" t="s">
        <v>493</v>
      </c>
      <c r="E14834" t="s">
        <v>533</v>
      </c>
      <c r="F14834" s="1">
        <v>2</v>
      </c>
      <c r="G14834" s="1" t="s">
        <v>28</v>
      </c>
      <c r="H14834" s="4" t="str">
        <f>HYPERLINK("https://portal.gdc.cancer.gov/cases/f5539207-6534-4edc-a5a5-7666b5d16ba4","TCGA-A8-A08X-01A")</f>
        <v>TCGA-A8-A08X-01A</v>
      </c>
      <c r="I14834" t="s">
        <v>17</v>
      </c>
      <c r="J14834" t="s">
        <v>524</v>
      </c>
      <c r="K14834" t="s">
        <v>33</v>
      </c>
      <c r="L14834" t="s">
        <v>20</v>
      </c>
      <c r="N14834" t="s">
        <v>29</v>
      </c>
    </row>
    <row r="14835" spans="1:14">
      <c r="A14835" s="4" t="str">
        <f t="shared" si="1171"/>
        <v>EXP00415</v>
      </c>
      <c r="B14835" s="3" t="s">
        <v>66</v>
      </c>
      <c r="C14835" s="4" t="str">
        <f t="shared" si="1172"/>
        <v>TCGA-BRCA</v>
      </c>
      <c r="D14835" s="1" t="s">
        <v>493</v>
      </c>
      <c r="E14835" t="s">
        <v>533</v>
      </c>
      <c r="F14835" s="1">
        <v>2</v>
      </c>
      <c r="G14835" s="1" t="s">
        <v>28</v>
      </c>
      <c r="H14835" s="4" t="str">
        <f>HYPERLINK("https://portal.gdc.cancer.gov/cases/d7808cbc-4b8c-467b-b2c3-f48d05b9ecab","TCGA-A8-A08Z-01A")</f>
        <v>TCGA-A8-A08Z-01A</v>
      </c>
      <c r="I14835" t="s">
        <v>17</v>
      </c>
      <c r="J14835" t="s">
        <v>524</v>
      </c>
      <c r="K14835" t="s">
        <v>33</v>
      </c>
      <c r="L14835" t="s">
        <v>20</v>
      </c>
      <c r="N14835" t="s">
        <v>29</v>
      </c>
    </row>
    <row r="14836" spans="1:14">
      <c r="A14836" s="4" t="str">
        <f t="shared" si="1171"/>
        <v>EXP00415</v>
      </c>
      <c r="B14836" s="3" t="s">
        <v>66</v>
      </c>
      <c r="C14836" s="4" t="str">
        <f t="shared" si="1172"/>
        <v>TCGA-BRCA</v>
      </c>
      <c r="D14836" s="1" t="s">
        <v>493</v>
      </c>
      <c r="E14836" t="s">
        <v>533</v>
      </c>
      <c r="F14836" s="1">
        <v>2</v>
      </c>
      <c r="G14836" s="1" t="s">
        <v>28</v>
      </c>
      <c r="H14836" s="4" t="str">
        <f>HYPERLINK("https://portal.gdc.cancer.gov/cases/f4b69043-4a67-48e3-a4d1-72a21ae2d175","TCGA-A8-A090-01A")</f>
        <v>TCGA-A8-A090-01A</v>
      </c>
      <c r="I14836" t="s">
        <v>17</v>
      </c>
      <c r="J14836" t="s">
        <v>524</v>
      </c>
      <c r="K14836" t="s">
        <v>33</v>
      </c>
      <c r="L14836" t="s">
        <v>20</v>
      </c>
      <c r="N14836" t="s">
        <v>29</v>
      </c>
    </row>
    <row r="14837" spans="1:14">
      <c r="A14837" s="4" t="str">
        <f t="shared" si="1171"/>
        <v>EXP00415</v>
      </c>
      <c r="B14837" s="3" t="s">
        <v>66</v>
      </c>
      <c r="C14837" s="4" t="str">
        <f t="shared" si="1172"/>
        <v>TCGA-BRCA</v>
      </c>
      <c r="D14837" s="1" t="s">
        <v>493</v>
      </c>
      <c r="E14837" t="s">
        <v>533</v>
      </c>
      <c r="F14837" s="1">
        <v>2</v>
      </c>
      <c r="G14837" s="1" t="s">
        <v>28</v>
      </c>
      <c r="H14837" s="4" t="str">
        <f>HYPERLINK("https://portal.gdc.cancer.gov/cases/f39edd06-1016-4e8e-a42e-12f7e699ddc5","TCGA-A8-A091-01A")</f>
        <v>TCGA-A8-A091-01A</v>
      </c>
      <c r="I14837" t="s">
        <v>17</v>
      </c>
      <c r="J14837" t="s">
        <v>524</v>
      </c>
      <c r="K14837" t="s">
        <v>33</v>
      </c>
      <c r="L14837" t="s">
        <v>20</v>
      </c>
      <c r="N14837" t="s">
        <v>29</v>
      </c>
    </row>
    <row r="14838" spans="1:14">
      <c r="A14838" s="4" t="str">
        <f t="shared" si="1171"/>
        <v>EXP00415</v>
      </c>
      <c r="B14838" s="3" t="s">
        <v>66</v>
      </c>
      <c r="C14838" s="4" t="str">
        <f t="shared" si="1172"/>
        <v>TCGA-BRCA</v>
      </c>
      <c r="D14838" s="1" t="s">
        <v>493</v>
      </c>
      <c r="E14838" t="s">
        <v>533</v>
      </c>
      <c r="F14838" s="1">
        <v>2</v>
      </c>
      <c r="G14838" s="1" t="s">
        <v>28</v>
      </c>
      <c r="H14838" s="4" t="str">
        <f>HYPERLINK("https://portal.gdc.cancer.gov/cases/38a8b734-9acc-42f9-b5b7-e51b0dfc6504","TCGA-A8-A092-01A")</f>
        <v>TCGA-A8-A092-01A</v>
      </c>
      <c r="I14838" t="s">
        <v>17</v>
      </c>
      <c r="J14838" t="s">
        <v>524</v>
      </c>
      <c r="K14838" t="s">
        <v>33</v>
      </c>
      <c r="L14838" t="s">
        <v>20</v>
      </c>
      <c r="N14838" t="s">
        <v>29</v>
      </c>
    </row>
    <row r="14839" spans="1:14">
      <c r="A14839" s="4" t="str">
        <f t="shared" si="1171"/>
        <v>EXP00415</v>
      </c>
      <c r="B14839" s="3" t="s">
        <v>66</v>
      </c>
      <c r="C14839" s="4" t="str">
        <f t="shared" si="1172"/>
        <v>TCGA-BRCA</v>
      </c>
      <c r="D14839" s="1" t="s">
        <v>493</v>
      </c>
      <c r="E14839" t="s">
        <v>533</v>
      </c>
      <c r="F14839" s="1">
        <v>2</v>
      </c>
      <c r="G14839" s="1" t="s">
        <v>28</v>
      </c>
      <c r="H14839" s="4" t="str">
        <f>HYPERLINK("https://portal.gdc.cancer.gov/cases/02f5ae33-a563-4ecb-9e33-dfa500a44931","TCGA-A8-A093-01A")</f>
        <v>TCGA-A8-A093-01A</v>
      </c>
      <c r="I14839" t="s">
        <v>17</v>
      </c>
      <c r="J14839" t="s">
        <v>524</v>
      </c>
      <c r="K14839" t="s">
        <v>33</v>
      </c>
      <c r="L14839" t="s">
        <v>20</v>
      </c>
      <c r="N14839" t="s">
        <v>29</v>
      </c>
    </row>
    <row r="14840" spans="1:14">
      <c r="A14840" s="4" t="str">
        <f t="shared" ref="A14840:A14903" si="1173">HYPERLINK("http://hcmdb.i-sanger.com/experiment/details/experiment_id/EXP00415","EXP00415")</f>
        <v>EXP00415</v>
      </c>
      <c r="B14840" s="3" t="s">
        <v>66</v>
      </c>
      <c r="C14840" s="4" t="str">
        <f t="shared" si="1172"/>
        <v>TCGA-BRCA</v>
      </c>
      <c r="D14840" s="1" t="s">
        <v>493</v>
      </c>
      <c r="E14840" t="s">
        <v>533</v>
      </c>
      <c r="F14840" s="1">
        <v>2</v>
      </c>
      <c r="G14840" s="1" t="s">
        <v>28</v>
      </c>
      <c r="H14840" s="4" t="str">
        <f>HYPERLINK("https://portal.gdc.cancer.gov/cases/993103b1-e5a1-4c33-8629-be53ebc41d64","TCGA-A8-A094-01A")</f>
        <v>TCGA-A8-A094-01A</v>
      </c>
      <c r="I14840" t="s">
        <v>17</v>
      </c>
      <c r="J14840" t="s">
        <v>524</v>
      </c>
      <c r="K14840" t="s">
        <v>33</v>
      </c>
      <c r="L14840" t="s">
        <v>20</v>
      </c>
      <c r="N14840" t="s">
        <v>29</v>
      </c>
    </row>
    <row r="14841" spans="1:14">
      <c r="A14841" s="4" t="str">
        <f t="shared" si="1173"/>
        <v>EXP00415</v>
      </c>
      <c r="B14841" s="3" t="s">
        <v>66</v>
      </c>
      <c r="C14841" s="4" t="str">
        <f t="shared" si="1172"/>
        <v>TCGA-BRCA</v>
      </c>
      <c r="D14841" s="1" t="s">
        <v>493</v>
      </c>
      <c r="E14841" t="s">
        <v>533</v>
      </c>
      <c r="F14841" s="1">
        <v>2</v>
      </c>
      <c r="G14841" s="1" t="s">
        <v>28</v>
      </c>
      <c r="H14841" s="4" t="str">
        <f>HYPERLINK("https://portal.gdc.cancer.gov/cases/29df128d-ace2-40cf-88ee-3f6f2170f159","TCGA-A8-A095-01A")</f>
        <v>TCGA-A8-A095-01A</v>
      </c>
      <c r="I14841" t="s">
        <v>17</v>
      </c>
      <c r="J14841" t="s">
        <v>524</v>
      </c>
      <c r="K14841" t="s">
        <v>33</v>
      </c>
      <c r="L14841" t="s">
        <v>20</v>
      </c>
      <c r="N14841" t="s">
        <v>29</v>
      </c>
    </row>
    <row r="14842" spans="1:14">
      <c r="A14842" s="4" t="str">
        <f t="shared" si="1173"/>
        <v>EXP00415</v>
      </c>
      <c r="B14842" s="3" t="s">
        <v>66</v>
      </c>
      <c r="C14842" s="4" t="str">
        <f t="shared" ref="C14842:C14905" si="1174">HYPERLINK("https://portal.gdc.cancer.gov/projects/TCGA-BRCA","TCGA-BRCA")</f>
        <v>TCGA-BRCA</v>
      </c>
      <c r="D14842" s="1" t="s">
        <v>493</v>
      </c>
      <c r="E14842" t="s">
        <v>533</v>
      </c>
      <c r="F14842" s="1">
        <v>2</v>
      </c>
      <c r="G14842" s="1" t="s">
        <v>28</v>
      </c>
      <c r="H14842" s="4" t="str">
        <f>HYPERLINK("https://portal.gdc.cancer.gov/cases/d7cac141-9269-4733-83ce-e1bc0b503254","TCGA-A8-A096-01A")</f>
        <v>TCGA-A8-A096-01A</v>
      </c>
      <c r="I14842" t="s">
        <v>17</v>
      </c>
      <c r="J14842" t="s">
        <v>524</v>
      </c>
      <c r="K14842" t="s">
        <v>33</v>
      </c>
      <c r="L14842" t="s">
        <v>20</v>
      </c>
      <c r="N14842" t="s">
        <v>29</v>
      </c>
    </row>
    <row r="14843" spans="1:14">
      <c r="A14843" s="4" t="str">
        <f t="shared" si="1173"/>
        <v>EXP00415</v>
      </c>
      <c r="B14843" s="3" t="s">
        <v>66</v>
      </c>
      <c r="C14843" s="4" t="str">
        <f t="shared" si="1174"/>
        <v>TCGA-BRCA</v>
      </c>
      <c r="D14843" s="1" t="s">
        <v>493</v>
      </c>
      <c r="E14843" t="s">
        <v>533</v>
      </c>
      <c r="F14843" s="1">
        <v>2</v>
      </c>
      <c r="G14843" s="1" t="s">
        <v>28</v>
      </c>
      <c r="H14843" s="4" t="str">
        <f>HYPERLINK("https://portal.gdc.cancer.gov/cases/dcfd0b1d-5707-44a6-b225-5e8f7cea5ca1","TCGA-A8-A097-01A")</f>
        <v>TCGA-A8-A097-01A</v>
      </c>
      <c r="I14843" t="s">
        <v>17</v>
      </c>
      <c r="J14843" t="s">
        <v>524</v>
      </c>
      <c r="K14843" t="s">
        <v>33</v>
      </c>
      <c r="L14843" t="s">
        <v>20</v>
      </c>
      <c r="N14843" t="s">
        <v>29</v>
      </c>
    </row>
    <row r="14844" spans="1:14">
      <c r="A14844" s="4" t="str">
        <f t="shared" si="1173"/>
        <v>EXP00415</v>
      </c>
      <c r="B14844" s="3" t="s">
        <v>66</v>
      </c>
      <c r="C14844" s="4" t="str">
        <f t="shared" si="1174"/>
        <v>TCGA-BRCA</v>
      </c>
      <c r="D14844" s="1" t="s">
        <v>493</v>
      </c>
      <c r="E14844" t="s">
        <v>533</v>
      </c>
      <c r="F14844" s="1">
        <v>2</v>
      </c>
      <c r="G14844" s="1" t="s">
        <v>28</v>
      </c>
      <c r="H14844" s="4" t="str">
        <f>HYPERLINK("https://portal.gdc.cancer.gov/cases/e98b69bc-766a-485f-b5e8-9166b8d457b3","TCGA-A8-A099-01A")</f>
        <v>TCGA-A8-A099-01A</v>
      </c>
      <c r="I14844" t="s">
        <v>17</v>
      </c>
      <c r="J14844" t="s">
        <v>524</v>
      </c>
      <c r="K14844" t="s">
        <v>33</v>
      </c>
      <c r="L14844" t="s">
        <v>20</v>
      </c>
      <c r="N14844" t="s">
        <v>29</v>
      </c>
    </row>
    <row r="14845" spans="1:14">
      <c r="A14845" s="4" t="str">
        <f t="shared" si="1173"/>
        <v>EXP00415</v>
      </c>
      <c r="B14845" s="3" t="s">
        <v>66</v>
      </c>
      <c r="C14845" s="4" t="str">
        <f t="shared" si="1174"/>
        <v>TCGA-BRCA</v>
      </c>
      <c r="D14845" s="1" t="s">
        <v>493</v>
      </c>
      <c r="E14845" t="s">
        <v>533</v>
      </c>
      <c r="F14845" s="1">
        <v>2</v>
      </c>
      <c r="G14845" s="1" t="s">
        <v>28</v>
      </c>
      <c r="H14845" s="4" t="str">
        <f>HYPERLINK("https://portal.gdc.cancer.gov/cases/b205bba0-1870-4458-9088-8817e20389fe","TCGA-A8-A09A-01A")</f>
        <v>TCGA-A8-A09A-01A</v>
      </c>
      <c r="I14845" t="s">
        <v>17</v>
      </c>
      <c r="J14845" t="s">
        <v>524</v>
      </c>
      <c r="K14845" t="s">
        <v>33</v>
      </c>
      <c r="L14845" t="s">
        <v>20</v>
      </c>
      <c r="N14845" t="s">
        <v>29</v>
      </c>
    </row>
    <row r="14846" spans="1:14">
      <c r="A14846" s="4" t="str">
        <f t="shared" si="1173"/>
        <v>EXP00415</v>
      </c>
      <c r="B14846" s="3" t="s">
        <v>66</v>
      </c>
      <c r="C14846" s="4" t="str">
        <f t="shared" si="1174"/>
        <v>TCGA-BRCA</v>
      </c>
      <c r="D14846" s="1" t="s">
        <v>493</v>
      </c>
      <c r="E14846" t="s">
        <v>533</v>
      </c>
      <c r="F14846" s="1">
        <v>2</v>
      </c>
      <c r="G14846" s="1" t="s">
        <v>28</v>
      </c>
      <c r="H14846" s="4" t="str">
        <f>HYPERLINK("https://portal.gdc.cancer.gov/cases/3828b534-908e-4953-a3fb-07d01cf49c7d","TCGA-A8-A09B-01A")</f>
        <v>TCGA-A8-A09B-01A</v>
      </c>
      <c r="I14846" t="s">
        <v>17</v>
      </c>
      <c r="J14846" t="s">
        <v>524</v>
      </c>
      <c r="K14846" t="s">
        <v>33</v>
      </c>
      <c r="L14846" t="s">
        <v>20</v>
      </c>
      <c r="N14846" t="s">
        <v>29</v>
      </c>
    </row>
    <row r="14847" spans="1:14">
      <c r="A14847" s="4" t="str">
        <f t="shared" si="1173"/>
        <v>EXP00415</v>
      </c>
      <c r="B14847" s="3" t="s">
        <v>66</v>
      </c>
      <c r="C14847" s="4" t="str">
        <f t="shared" si="1174"/>
        <v>TCGA-BRCA</v>
      </c>
      <c r="D14847" s="1" t="s">
        <v>493</v>
      </c>
      <c r="E14847" t="s">
        <v>533</v>
      </c>
      <c r="F14847" s="1">
        <v>2</v>
      </c>
      <c r="G14847" s="1" t="s">
        <v>28</v>
      </c>
      <c r="H14847" s="4" t="str">
        <f>HYPERLINK("https://portal.gdc.cancer.gov/cases/36449392-de76-4ee9-bc09-627a07e18727","TCGA-A8-A09D-01A")</f>
        <v>TCGA-A8-A09D-01A</v>
      </c>
      <c r="I14847" t="s">
        <v>17</v>
      </c>
      <c r="J14847" t="s">
        <v>524</v>
      </c>
      <c r="K14847" t="s">
        <v>33</v>
      </c>
      <c r="L14847" t="s">
        <v>20</v>
      </c>
      <c r="N14847" t="s">
        <v>29</v>
      </c>
    </row>
    <row r="14848" spans="1:14">
      <c r="A14848" s="4" t="str">
        <f t="shared" si="1173"/>
        <v>EXP00415</v>
      </c>
      <c r="B14848" s="3" t="s">
        <v>66</v>
      </c>
      <c r="C14848" s="4" t="str">
        <f t="shared" si="1174"/>
        <v>TCGA-BRCA</v>
      </c>
      <c r="D14848" s="1" t="s">
        <v>493</v>
      </c>
      <c r="E14848" t="s">
        <v>533</v>
      </c>
      <c r="F14848" s="1">
        <v>2</v>
      </c>
      <c r="G14848" s="1" t="s">
        <v>28</v>
      </c>
      <c r="H14848" s="4" t="str">
        <f>HYPERLINK("https://portal.gdc.cancer.gov/cases/dfefb76a-ec6b-4cd2-9d45-2e1e4befc7ea","TCGA-A8-A09E-01A")</f>
        <v>TCGA-A8-A09E-01A</v>
      </c>
      <c r="I14848" t="s">
        <v>17</v>
      </c>
      <c r="J14848" t="s">
        <v>524</v>
      </c>
      <c r="K14848" t="s">
        <v>33</v>
      </c>
      <c r="L14848" t="s">
        <v>20</v>
      </c>
      <c r="N14848" t="s">
        <v>29</v>
      </c>
    </row>
    <row r="14849" spans="1:14">
      <c r="A14849" s="4" t="str">
        <f t="shared" si="1173"/>
        <v>EXP00415</v>
      </c>
      <c r="B14849" s="3" t="s">
        <v>66</v>
      </c>
      <c r="C14849" s="4" t="str">
        <f t="shared" si="1174"/>
        <v>TCGA-BRCA</v>
      </c>
      <c r="D14849" s="1" t="s">
        <v>493</v>
      </c>
      <c r="E14849" t="s">
        <v>533</v>
      </c>
      <c r="F14849" s="1">
        <v>2</v>
      </c>
      <c r="G14849" s="1" t="s">
        <v>28</v>
      </c>
      <c r="H14849" s="4" t="str">
        <f>HYPERLINK("https://portal.gdc.cancer.gov/cases/3927f736-3b5c-48c8-9d9e-83669ec44770","TCGA-A8-A09G-01A")</f>
        <v>TCGA-A8-A09G-01A</v>
      </c>
      <c r="I14849" t="s">
        <v>17</v>
      </c>
      <c r="J14849" t="s">
        <v>524</v>
      </c>
      <c r="K14849" t="s">
        <v>33</v>
      </c>
      <c r="L14849" t="s">
        <v>20</v>
      </c>
      <c r="N14849" t="s">
        <v>29</v>
      </c>
    </row>
    <row r="14850" spans="1:14">
      <c r="A14850" s="4" t="str">
        <f t="shared" si="1173"/>
        <v>EXP00415</v>
      </c>
      <c r="B14850" s="3" t="s">
        <v>66</v>
      </c>
      <c r="C14850" s="4" t="str">
        <f t="shared" si="1174"/>
        <v>TCGA-BRCA</v>
      </c>
      <c r="D14850" s="1" t="s">
        <v>493</v>
      </c>
      <c r="E14850" t="s">
        <v>533</v>
      </c>
      <c r="F14850" s="1">
        <v>2</v>
      </c>
      <c r="G14850" s="1" t="s">
        <v>28</v>
      </c>
      <c r="H14850" s="4" t="str">
        <f>HYPERLINK("https://portal.gdc.cancer.gov/cases/1557183c-aedd-4df6-b98a-3654667f7b69","TCGA-A8-A09I-01A")</f>
        <v>TCGA-A8-A09I-01A</v>
      </c>
      <c r="I14850" t="s">
        <v>17</v>
      </c>
      <c r="J14850" t="s">
        <v>524</v>
      </c>
      <c r="K14850" t="s">
        <v>33</v>
      </c>
      <c r="L14850" t="s">
        <v>20</v>
      </c>
      <c r="N14850" t="s">
        <v>29</v>
      </c>
    </row>
    <row r="14851" spans="1:14">
      <c r="A14851" s="4" t="str">
        <f t="shared" si="1173"/>
        <v>EXP00415</v>
      </c>
      <c r="B14851" s="3" t="s">
        <v>66</v>
      </c>
      <c r="C14851" s="4" t="str">
        <f t="shared" si="1174"/>
        <v>TCGA-BRCA</v>
      </c>
      <c r="D14851" s="1" t="s">
        <v>493</v>
      </c>
      <c r="E14851" t="s">
        <v>533</v>
      </c>
      <c r="F14851" s="1">
        <v>2</v>
      </c>
      <c r="G14851" s="1" t="s">
        <v>28</v>
      </c>
      <c r="H14851" s="4" t="str">
        <f>HYPERLINK("https://portal.gdc.cancer.gov/cases/6f959c92-b79f-4f84-9ee5-d07d3212d52d","TCGA-A8-A09K-01A")</f>
        <v>TCGA-A8-A09K-01A</v>
      </c>
      <c r="I14851" t="s">
        <v>17</v>
      </c>
      <c r="J14851" t="s">
        <v>524</v>
      </c>
      <c r="K14851" t="s">
        <v>33</v>
      </c>
      <c r="L14851" t="s">
        <v>20</v>
      </c>
      <c r="N14851" t="s">
        <v>29</v>
      </c>
    </row>
    <row r="14852" spans="1:14">
      <c r="A14852" s="4" t="str">
        <f t="shared" si="1173"/>
        <v>EXP00415</v>
      </c>
      <c r="B14852" s="3" t="s">
        <v>66</v>
      </c>
      <c r="C14852" s="4" t="str">
        <f t="shared" si="1174"/>
        <v>TCGA-BRCA</v>
      </c>
      <c r="D14852" s="1" t="s">
        <v>493</v>
      </c>
      <c r="E14852" t="s">
        <v>533</v>
      </c>
      <c r="F14852" s="1">
        <v>2</v>
      </c>
      <c r="G14852" s="1" t="s">
        <v>28</v>
      </c>
      <c r="H14852" s="4" t="str">
        <f>HYPERLINK("https://portal.gdc.cancer.gov/cases/626b4ff0-2188-4a14-aac8-6703c624917f","TCGA-A8-A09M-01A")</f>
        <v>TCGA-A8-A09M-01A</v>
      </c>
      <c r="I14852" t="s">
        <v>17</v>
      </c>
      <c r="J14852" t="s">
        <v>524</v>
      </c>
      <c r="K14852" t="s">
        <v>33</v>
      </c>
      <c r="L14852" t="s">
        <v>20</v>
      </c>
      <c r="N14852" t="s">
        <v>29</v>
      </c>
    </row>
    <row r="14853" spans="1:14">
      <c r="A14853" s="4" t="str">
        <f t="shared" si="1173"/>
        <v>EXP00415</v>
      </c>
      <c r="B14853" s="3" t="s">
        <v>66</v>
      </c>
      <c r="C14853" s="4" t="str">
        <f t="shared" si="1174"/>
        <v>TCGA-BRCA</v>
      </c>
      <c r="D14853" s="1" t="s">
        <v>493</v>
      </c>
      <c r="E14853" t="s">
        <v>533</v>
      </c>
      <c r="F14853" s="1">
        <v>2</v>
      </c>
      <c r="G14853" s="1" t="s">
        <v>28</v>
      </c>
      <c r="H14853" s="4" t="str">
        <f>HYPERLINK("https://portal.gdc.cancer.gov/cases/33919e92-4ea9-47e5-a6f4-36e51845d50f","TCGA-A8-A09N-01A")</f>
        <v>TCGA-A8-A09N-01A</v>
      </c>
      <c r="I14853" t="s">
        <v>17</v>
      </c>
      <c r="J14853" t="s">
        <v>524</v>
      </c>
      <c r="K14853" t="s">
        <v>33</v>
      </c>
      <c r="L14853" t="s">
        <v>20</v>
      </c>
      <c r="N14853" t="s">
        <v>29</v>
      </c>
    </row>
    <row r="14854" spans="1:14">
      <c r="A14854" s="4" t="str">
        <f t="shared" si="1173"/>
        <v>EXP00415</v>
      </c>
      <c r="B14854" s="3" t="s">
        <v>66</v>
      </c>
      <c r="C14854" s="4" t="str">
        <f t="shared" si="1174"/>
        <v>TCGA-BRCA</v>
      </c>
      <c r="D14854" s="1" t="s">
        <v>493</v>
      </c>
      <c r="E14854" t="s">
        <v>533</v>
      </c>
      <c r="F14854" s="1">
        <v>2</v>
      </c>
      <c r="G14854" s="1" t="s">
        <v>28</v>
      </c>
      <c r="H14854" s="4" t="str">
        <f>HYPERLINK("https://portal.gdc.cancer.gov/cases/09c2bc35-c21f-4aa4-ac30-0d8db02ad811","TCGA-A8-A09Q-01A")</f>
        <v>TCGA-A8-A09Q-01A</v>
      </c>
      <c r="I14854" t="s">
        <v>17</v>
      </c>
      <c r="J14854" t="s">
        <v>524</v>
      </c>
      <c r="K14854" t="s">
        <v>33</v>
      </c>
      <c r="L14854" t="s">
        <v>20</v>
      </c>
      <c r="N14854" t="s">
        <v>29</v>
      </c>
    </row>
    <row r="14855" spans="1:14">
      <c r="A14855" s="4" t="str">
        <f t="shared" si="1173"/>
        <v>EXP00415</v>
      </c>
      <c r="B14855" s="3" t="s">
        <v>66</v>
      </c>
      <c r="C14855" s="4" t="str">
        <f t="shared" si="1174"/>
        <v>TCGA-BRCA</v>
      </c>
      <c r="D14855" s="1" t="s">
        <v>493</v>
      </c>
      <c r="E14855" t="s">
        <v>533</v>
      </c>
      <c r="F14855" s="1">
        <v>2</v>
      </c>
      <c r="G14855" s="1" t="s">
        <v>28</v>
      </c>
      <c r="H14855" s="4" t="str">
        <f>HYPERLINK("https://portal.gdc.cancer.gov/cases/cb0a2055-2168-4454-8755-47dd613db36f","TCGA-A8-A09R-01A")</f>
        <v>TCGA-A8-A09R-01A</v>
      </c>
      <c r="I14855" t="s">
        <v>17</v>
      </c>
      <c r="J14855" t="s">
        <v>524</v>
      </c>
      <c r="K14855" t="s">
        <v>33</v>
      </c>
      <c r="L14855" t="s">
        <v>20</v>
      </c>
      <c r="N14855" t="s">
        <v>29</v>
      </c>
    </row>
    <row r="14856" spans="1:14">
      <c r="A14856" s="4" t="str">
        <f t="shared" si="1173"/>
        <v>EXP00415</v>
      </c>
      <c r="B14856" s="3" t="s">
        <v>66</v>
      </c>
      <c r="C14856" s="4" t="str">
        <f t="shared" si="1174"/>
        <v>TCGA-BRCA</v>
      </c>
      <c r="D14856" s="1" t="s">
        <v>493</v>
      </c>
      <c r="E14856" t="s">
        <v>533</v>
      </c>
      <c r="F14856" s="1">
        <v>2</v>
      </c>
      <c r="G14856" s="1" t="s">
        <v>28</v>
      </c>
      <c r="H14856" s="4" t="str">
        <f>HYPERLINK("https://portal.gdc.cancer.gov/cases/0adf59c6-581a-475d-a2f4-40aa40060b5b","TCGA-A8-A09T-01A")</f>
        <v>TCGA-A8-A09T-01A</v>
      </c>
      <c r="I14856" t="s">
        <v>17</v>
      </c>
      <c r="J14856" t="s">
        <v>524</v>
      </c>
      <c r="K14856" t="s">
        <v>33</v>
      </c>
      <c r="L14856" t="s">
        <v>20</v>
      </c>
      <c r="N14856" t="s">
        <v>29</v>
      </c>
    </row>
    <row r="14857" spans="1:14">
      <c r="A14857" s="4" t="str">
        <f t="shared" si="1173"/>
        <v>EXP00415</v>
      </c>
      <c r="B14857" s="3" t="s">
        <v>66</v>
      </c>
      <c r="C14857" s="4" t="str">
        <f t="shared" si="1174"/>
        <v>TCGA-BRCA</v>
      </c>
      <c r="D14857" s="1" t="s">
        <v>493</v>
      </c>
      <c r="E14857" t="s">
        <v>533</v>
      </c>
      <c r="F14857" s="1">
        <v>2</v>
      </c>
      <c r="G14857" s="1" t="s">
        <v>28</v>
      </c>
      <c r="H14857" s="4" t="str">
        <f>HYPERLINK("https://portal.gdc.cancer.gov/cases/27b05b15-a44b-45ed-a6e3-e7d1ca488ea9","TCGA-A8-A09X-01A")</f>
        <v>TCGA-A8-A09X-01A</v>
      </c>
      <c r="I14857" t="s">
        <v>17</v>
      </c>
      <c r="J14857" t="s">
        <v>524</v>
      </c>
      <c r="K14857" t="s">
        <v>33</v>
      </c>
      <c r="L14857" t="s">
        <v>20</v>
      </c>
      <c r="N14857" t="s">
        <v>29</v>
      </c>
    </row>
    <row r="14858" spans="1:14">
      <c r="A14858" s="4" t="str">
        <f t="shared" si="1173"/>
        <v>EXP00415</v>
      </c>
      <c r="B14858" s="3" t="s">
        <v>66</v>
      </c>
      <c r="C14858" s="4" t="str">
        <f t="shared" si="1174"/>
        <v>TCGA-BRCA</v>
      </c>
      <c r="D14858" s="1" t="s">
        <v>493</v>
      </c>
      <c r="E14858" t="s">
        <v>533</v>
      </c>
      <c r="F14858" s="1">
        <v>2</v>
      </c>
      <c r="G14858" s="1" t="s">
        <v>28</v>
      </c>
      <c r="H14858" s="4" t="str">
        <f>HYPERLINK("https://portal.gdc.cancer.gov/cases/81e7a3d3-be70-4834-8018-4d2cc077a4e6","TCGA-A8-A09Z-01A")</f>
        <v>TCGA-A8-A09Z-01A</v>
      </c>
      <c r="I14858" t="s">
        <v>17</v>
      </c>
      <c r="J14858" t="s">
        <v>524</v>
      </c>
      <c r="K14858" t="s">
        <v>33</v>
      </c>
      <c r="L14858" t="s">
        <v>20</v>
      </c>
      <c r="N14858" t="s">
        <v>29</v>
      </c>
    </row>
    <row r="14859" spans="1:14">
      <c r="A14859" s="4" t="str">
        <f t="shared" si="1173"/>
        <v>EXP00415</v>
      </c>
      <c r="B14859" s="3" t="s">
        <v>66</v>
      </c>
      <c r="C14859" s="4" t="str">
        <f t="shared" si="1174"/>
        <v>TCGA-BRCA</v>
      </c>
      <c r="D14859" s="1" t="s">
        <v>493</v>
      </c>
      <c r="E14859" t="s">
        <v>533</v>
      </c>
      <c r="F14859" s="1">
        <v>2</v>
      </c>
      <c r="G14859" s="1" t="s">
        <v>28</v>
      </c>
      <c r="H14859" s="4" t="str">
        <f>HYPERLINK("https://portal.gdc.cancer.gov/cases/3efa245d-177d-4ef9-94f7-f554c54e345e","TCGA-A8-A0A1-01A")</f>
        <v>TCGA-A8-A0A1-01A</v>
      </c>
      <c r="I14859" t="s">
        <v>17</v>
      </c>
      <c r="J14859" t="s">
        <v>524</v>
      </c>
      <c r="K14859" t="s">
        <v>33</v>
      </c>
      <c r="L14859" t="s">
        <v>20</v>
      </c>
      <c r="N14859" t="s">
        <v>29</v>
      </c>
    </row>
    <row r="14860" spans="1:14">
      <c r="A14860" s="4" t="str">
        <f t="shared" si="1173"/>
        <v>EXP00415</v>
      </c>
      <c r="B14860" s="3" t="s">
        <v>66</v>
      </c>
      <c r="C14860" s="4" t="str">
        <f t="shared" si="1174"/>
        <v>TCGA-BRCA</v>
      </c>
      <c r="D14860" s="1" t="s">
        <v>493</v>
      </c>
      <c r="E14860" t="s">
        <v>533</v>
      </c>
      <c r="F14860" s="1">
        <v>2</v>
      </c>
      <c r="G14860" s="1" t="s">
        <v>28</v>
      </c>
      <c r="H14860" s="4" t="str">
        <f>HYPERLINK("https://portal.gdc.cancer.gov/cases/34d5a193-85e5-4399-8a9b-e92858eafdfe","TCGA-A8-A0A2-01A")</f>
        <v>TCGA-A8-A0A2-01A</v>
      </c>
      <c r="I14860" t="s">
        <v>17</v>
      </c>
      <c r="J14860" t="s">
        <v>524</v>
      </c>
      <c r="K14860" t="s">
        <v>33</v>
      </c>
      <c r="L14860" t="s">
        <v>20</v>
      </c>
      <c r="N14860" t="s">
        <v>29</v>
      </c>
    </row>
    <row r="14861" spans="1:14">
      <c r="A14861" s="4" t="str">
        <f t="shared" si="1173"/>
        <v>EXP00415</v>
      </c>
      <c r="B14861" s="3" t="s">
        <v>66</v>
      </c>
      <c r="C14861" s="4" t="str">
        <f t="shared" si="1174"/>
        <v>TCGA-BRCA</v>
      </c>
      <c r="D14861" s="1" t="s">
        <v>493</v>
      </c>
      <c r="E14861" t="s">
        <v>533</v>
      </c>
      <c r="F14861" s="1">
        <v>2</v>
      </c>
      <c r="G14861" s="1" t="s">
        <v>28</v>
      </c>
      <c r="H14861" s="4" t="str">
        <f>HYPERLINK("https://portal.gdc.cancer.gov/cases/2cb8c866-9296-4c70-a3ea-f9a9b707895c","TCGA-A8-A0A4-01A")</f>
        <v>TCGA-A8-A0A4-01A</v>
      </c>
      <c r="I14861" t="s">
        <v>17</v>
      </c>
      <c r="J14861" t="s">
        <v>524</v>
      </c>
      <c r="K14861" t="s">
        <v>33</v>
      </c>
      <c r="L14861" t="s">
        <v>20</v>
      </c>
      <c r="N14861" t="s">
        <v>29</v>
      </c>
    </row>
    <row r="14862" spans="1:14">
      <c r="A14862" s="4" t="str">
        <f t="shared" si="1173"/>
        <v>EXP00415</v>
      </c>
      <c r="B14862" s="3" t="s">
        <v>66</v>
      </c>
      <c r="C14862" s="4" t="str">
        <f t="shared" si="1174"/>
        <v>TCGA-BRCA</v>
      </c>
      <c r="D14862" s="1" t="s">
        <v>493</v>
      </c>
      <c r="E14862" t="s">
        <v>533</v>
      </c>
      <c r="F14862" s="1">
        <v>2</v>
      </c>
      <c r="G14862" s="1" t="s">
        <v>28</v>
      </c>
      <c r="H14862" s="4" t="str">
        <f>HYPERLINK("https://portal.gdc.cancer.gov/cases/4b0d295c-e185-4b52-9752-178e5bc1d47d","TCGA-A8-A0A6-01A")</f>
        <v>TCGA-A8-A0A6-01A</v>
      </c>
      <c r="I14862" t="s">
        <v>17</v>
      </c>
      <c r="J14862" t="s">
        <v>524</v>
      </c>
      <c r="K14862" t="s">
        <v>33</v>
      </c>
      <c r="L14862" t="s">
        <v>20</v>
      </c>
      <c r="N14862" t="s">
        <v>29</v>
      </c>
    </row>
    <row r="14863" spans="1:14">
      <c r="A14863" s="4" t="str">
        <f t="shared" si="1173"/>
        <v>EXP00415</v>
      </c>
      <c r="B14863" s="3" t="s">
        <v>66</v>
      </c>
      <c r="C14863" s="4" t="str">
        <f t="shared" si="1174"/>
        <v>TCGA-BRCA</v>
      </c>
      <c r="D14863" s="1" t="s">
        <v>493</v>
      </c>
      <c r="E14863" t="s">
        <v>533</v>
      </c>
      <c r="F14863" s="1">
        <v>2</v>
      </c>
      <c r="G14863" s="1" t="s">
        <v>28</v>
      </c>
      <c r="H14863" s="4" t="str">
        <f>HYPERLINK("https://portal.gdc.cancer.gov/cases/995fdab7-7284-4d33-befa-ec22aa7c6479","TCGA-A8-A0A7-01A")</f>
        <v>TCGA-A8-A0A7-01A</v>
      </c>
      <c r="I14863" t="s">
        <v>17</v>
      </c>
      <c r="J14863" t="s">
        <v>524</v>
      </c>
      <c r="K14863" t="s">
        <v>33</v>
      </c>
      <c r="L14863" t="s">
        <v>20</v>
      </c>
      <c r="N14863" t="s">
        <v>29</v>
      </c>
    </row>
    <row r="14864" spans="1:14">
      <c r="A14864" s="4" t="str">
        <f t="shared" si="1173"/>
        <v>EXP00415</v>
      </c>
      <c r="B14864" s="3" t="s">
        <v>66</v>
      </c>
      <c r="C14864" s="4" t="str">
        <f t="shared" si="1174"/>
        <v>TCGA-BRCA</v>
      </c>
      <c r="D14864" s="1" t="s">
        <v>493</v>
      </c>
      <c r="E14864" t="s">
        <v>533</v>
      </c>
      <c r="F14864" s="1">
        <v>2</v>
      </c>
      <c r="G14864" s="1" t="s">
        <v>28</v>
      </c>
      <c r="H14864" s="4" t="str">
        <f>HYPERLINK("https://portal.gdc.cancer.gov/cases/7b605fb6-d077-401e-b870-b87ddf505f82","TCGA-A8-A0A9-01A")</f>
        <v>TCGA-A8-A0A9-01A</v>
      </c>
      <c r="I14864" t="s">
        <v>17</v>
      </c>
      <c r="J14864" t="s">
        <v>524</v>
      </c>
      <c r="K14864" t="s">
        <v>33</v>
      </c>
      <c r="L14864" t="s">
        <v>20</v>
      </c>
      <c r="N14864" t="s">
        <v>29</v>
      </c>
    </row>
    <row r="14865" spans="1:14">
      <c r="A14865" s="4" t="str">
        <f t="shared" si="1173"/>
        <v>EXP00415</v>
      </c>
      <c r="B14865" s="3" t="s">
        <v>66</v>
      </c>
      <c r="C14865" s="4" t="str">
        <f t="shared" si="1174"/>
        <v>TCGA-BRCA</v>
      </c>
      <c r="D14865" s="1" t="s">
        <v>493</v>
      </c>
      <c r="E14865" t="s">
        <v>533</v>
      </c>
      <c r="F14865" s="1">
        <v>2</v>
      </c>
      <c r="G14865" s="1" t="s">
        <v>28</v>
      </c>
      <c r="H14865" s="4" t="str">
        <f>HYPERLINK("https://portal.gdc.cancer.gov/cases/22eaba28-be67-4730-9846-860bc1fca29a","TCGA-A8-A0AB-01A")</f>
        <v>TCGA-A8-A0AB-01A</v>
      </c>
      <c r="I14865" t="s">
        <v>17</v>
      </c>
      <c r="J14865" t="s">
        <v>524</v>
      </c>
      <c r="K14865" t="s">
        <v>33</v>
      </c>
      <c r="L14865" t="s">
        <v>20</v>
      </c>
      <c r="N14865" t="s">
        <v>29</v>
      </c>
    </row>
    <row r="14866" spans="1:14">
      <c r="A14866" s="4" t="str">
        <f t="shared" si="1173"/>
        <v>EXP00415</v>
      </c>
      <c r="B14866" s="3" t="s">
        <v>66</v>
      </c>
      <c r="C14866" s="4" t="str">
        <f t="shared" si="1174"/>
        <v>TCGA-BRCA</v>
      </c>
      <c r="D14866" s="1" t="s">
        <v>493</v>
      </c>
      <c r="E14866" t="s">
        <v>533</v>
      </c>
      <c r="F14866" s="1">
        <v>2</v>
      </c>
      <c r="G14866" s="1" t="s">
        <v>28</v>
      </c>
      <c r="H14866" s="4" t="str">
        <f>HYPERLINK("https://portal.gdc.cancer.gov/cases/af5453a9-cf1f-40de-aec4-0e0710908fb7","TCGA-A8-A0AD-01A")</f>
        <v>TCGA-A8-A0AD-01A</v>
      </c>
      <c r="I14866" t="s">
        <v>17</v>
      </c>
      <c r="J14866" t="s">
        <v>524</v>
      </c>
      <c r="K14866" t="s">
        <v>33</v>
      </c>
      <c r="L14866" t="s">
        <v>20</v>
      </c>
      <c r="N14866" t="s">
        <v>29</v>
      </c>
    </row>
    <row r="14867" spans="1:14">
      <c r="A14867" s="4" t="str">
        <f t="shared" si="1173"/>
        <v>EXP00415</v>
      </c>
      <c r="B14867" s="3" t="s">
        <v>66</v>
      </c>
      <c r="C14867" s="4" t="str">
        <f t="shared" si="1174"/>
        <v>TCGA-BRCA</v>
      </c>
      <c r="D14867" s="1" t="s">
        <v>493</v>
      </c>
      <c r="E14867" t="s">
        <v>533</v>
      </c>
      <c r="F14867" s="1">
        <v>2</v>
      </c>
      <c r="G14867" s="1" t="s">
        <v>28</v>
      </c>
      <c r="H14867" s="4" t="str">
        <f>HYPERLINK("https://portal.gdc.cancer.gov/cases/dfd0b7ba-c7d3-498e-b455-346301865452","TCGA-AC-A23C-01A")</f>
        <v>TCGA-AC-A23C-01A</v>
      </c>
      <c r="I14867" t="s">
        <v>17</v>
      </c>
      <c r="J14867" t="s">
        <v>524</v>
      </c>
      <c r="K14867" t="s">
        <v>33</v>
      </c>
      <c r="L14867" t="s">
        <v>20</v>
      </c>
      <c r="N14867" t="s">
        <v>29</v>
      </c>
    </row>
    <row r="14868" spans="1:14">
      <c r="A14868" s="4" t="str">
        <f t="shared" si="1173"/>
        <v>EXP00415</v>
      </c>
      <c r="B14868" s="3" t="s">
        <v>66</v>
      </c>
      <c r="C14868" s="4" t="str">
        <f t="shared" si="1174"/>
        <v>TCGA-BRCA</v>
      </c>
      <c r="D14868" s="1" t="s">
        <v>493</v>
      </c>
      <c r="E14868" t="s">
        <v>533</v>
      </c>
      <c r="F14868" s="1">
        <v>2</v>
      </c>
      <c r="G14868" s="1" t="s">
        <v>28</v>
      </c>
      <c r="H14868" s="4" t="str">
        <f>HYPERLINK("https://portal.gdc.cancer.gov/cases/e7bae6e7-f779-449d-92b9-66996041e00d","TCGA-AC-A23E-01A")</f>
        <v>TCGA-AC-A23E-01A</v>
      </c>
      <c r="I14868" t="s">
        <v>17</v>
      </c>
      <c r="J14868" t="s">
        <v>524</v>
      </c>
      <c r="K14868" t="s">
        <v>33</v>
      </c>
      <c r="L14868" t="s">
        <v>20</v>
      </c>
      <c r="N14868" t="s">
        <v>29</v>
      </c>
    </row>
    <row r="14869" spans="1:14">
      <c r="A14869" s="4" t="str">
        <f t="shared" si="1173"/>
        <v>EXP00415</v>
      </c>
      <c r="B14869" s="3" t="s">
        <v>66</v>
      </c>
      <c r="C14869" s="4" t="str">
        <f t="shared" si="1174"/>
        <v>TCGA-BRCA</v>
      </c>
      <c r="D14869" s="1" t="s">
        <v>493</v>
      </c>
      <c r="E14869" t="s">
        <v>533</v>
      </c>
      <c r="F14869" s="1">
        <v>2</v>
      </c>
      <c r="G14869" s="1" t="s">
        <v>28</v>
      </c>
      <c r="H14869" s="4" t="str">
        <f>HYPERLINK("https://portal.gdc.cancer.gov/cases/a721dac6-0126-476c-b2d4-2dbf7406454b","TCGA-AC-A23G-01A")</f>
        <v>TCGA-AC-A23G-01A</v>
      </c>
      <c r="I14869" t="s">
        <v>17</v>
      </c>
      <c r="J14869" t="s">
        <v>524</v>
      </c>
      <c r="K14869" t="s">
        <v>33</v>
      </c>
      <c r="L14869" t="s">
        <v>20</v>
      </c>
      <c r="N14869" t="s">
        <v>29</v>
      </c>
    </row>
    <row r="14870" spans="1:14">
      <c r="A14870" s="4" t="str">
        <f t="shared" si="1173"/>
        <v>EXP00415</v>
      </c>
      <c r="B14870" s="3" t="s">
        <v>66</v>
      </c>
      <c r="C14870" s="4" t="str">
        <f t="shared" si="1174"/>
        <v>TCGA-BRCA</v>
      </c>
      <c r="D14870" s="1" t="s">
        <v>493</v>
      </c>
      <c r="E14870" t="s">
        <v>533</v>
      </c>
      <c r="F14870" s="1">
        <v>2</v>
      </c>
      <c r="G14870" s="1" t="s">
        <v>28</v>
      </c>
      <c r="H14870" s="4" t="str">
        <f>HYPERLINK("https://portal.gdc.cancer.gov/cases/7dcf550c-90ce-4f63-aecd-0e46897e2a3e","TCGA-AC-A23H-01A")</f>
        <v>TCGA-AC-A23H-01A</v>
      </c>
      <c r="I14870" t="s">
        <v>17</v>
      </c>
      <c r="J14870" t="s">
        <v>524</v>
      </c>
      <c r="K14870" t="s">
        <v>33</v>
      </c>
      <c r="L14870" t="s">
        <v>20</v>
      </c>
      <c r="N14870" t="s">
        <v>29</v>
      </c>
    </row>
    <row r="14871" spans="1:14">
      <c r="A14871" s="4" t="str">
        <f t="shared" si="1173"/>
        <v>EXP00415</v>
      </c>
      <c r="B14871" s="3" t="s">
        <v>66</v>
      </c>
      <c r="C14871" s="4" t="str">
        <f t="shared" si="1174"/>
        <v>TCGA-BRCA</v>
      </c>
      <c r="D14871" s="1" t="s">
        <v>493</v>
      </c>
      <c r="E14871" t="s">
        <v>533</v>
      </c>
      <c r="F14871" s="1">
        <v>2</v>
      </c>
      <c r="G14871" s="1" t="s">
        <v>28</v>
      </c>
      <c r="H14871" s="4" t="str">
        <f>HYPERLINK("https://portal.gdc.cancer.gov/cases/6e126b73-d3e8-4641-a128-306f3b313e40","TCGA-AC-A2B8-01A")</f>
        <v>TCGA-AC-A2B8-01A</v>
      </c>
      <c r="I14871" t="s">
        <v>17</v>
      </c>
      <c r="J14871" t="s">
        <v>524</v>
      </c>
      <c r="K14871" t="s">
        <v>33</v>
      </c>
      <c r="L14871" t="s">
        <v>20</v>
      </c>
      <c r="N14871" t="s">
        <v>29</v>
      </c>
    </row>
    <row r="14872" spans="1:14">
      <c r="A14872" s="4" t="str">
        <f t="shared" si="1173"/>
        <v>EXP00415</v>
      </c>
      <c r="B14872" s="3" t="s">
        <v>66</v>
      </c>
      <c r="C14872" s="4" t="str">
        <f t="shared" si="1174"/>
        <v>TCGA-BRCA</v>
      </c>
      <c r="D14872" s="1" t="s">
        <v>493</v>
      </c>
      <c r="E14872" t="s">
        <v>533</v>
      </c>
      <c r="F14872" s="1">
        <v>2</v>
      </c>
      <c r="G14872" s="1" t="s">
        <v>28</v>
      </c>
      <c r="H14872" s="4" t="str">
        <f>HYPERLINK("https://portal.gdc.cancer.gov/cases/6fa2a667-9c36-4526-8a58-1975e863a806","TCGA-AC-A2BK-01A")</f>
        <v>TCGA-AC-A2BK-01A</v>
      </c>
      <c r="I14872" t="s">
        <v>17</v>
      </c>
      <c r="J14872" t="s">
        <v>524</v>
      </c>
      <c r="K14872" t="s">
        <v>33</v>
      </c>
      <c r="L14872" t="s">
        <v>20</v>
      </c>
      <c r="N14872" t="s">
        <v>29</v>
      </c>
    </row>
    <row r="14873" spans="1:14">
      <c r="A14873" s="4" t="str">
        <f t="shared" si="1173"/>
        <v>EXP00415</v>
      </c>
      <c r="B14873" s="3" t="s">
        <v>66</v>
      </c>
      <c r="C14873" s="4" t="str">
        <f t="shared" si="1174"/>
        <v>TCGA-BRCA</v>
      </c>
      <c r="D14873" s="1" t="s">
        <v>493</v>
      </c>
      <c r="E14873" t="s">
        <v>533</v>
      </c>
      <c r="F14873" s="1">
        <v>2</v>
      </c>
      <c r="G14873" s="1" t="s">
        <v>28</v>
      </c>
      <c r="H14873" s="4" t="str">
        <f>HYPERLINK("https://portal.gdc.cancer.gov/cases/8159ff7b-89f4-411a-9b9c-491f1cb3eb34","TCGA-AC-A2BM-01A")</f>
        <v>TCGA-AC-A2BM-01A</v>
      </c>
      <c r="I14873" t="s">
        <v>17</v>
      </c>
      <c r="J14873" t="s">
        <v>524</v>
      </c>
      <c r="K14873" t="s">
        <v>33</v>
      </c>
      <c r="L14873" t="s">
        <v>20</v>
      </c>
      <c r="N14873" t="s">
        <v>29</v>
      </c>
    </row>
    <row r="14874" spans="1:14">
      <c r="A14874" s="4" t="str">
        <f t="shared" si="1173"/>
        <v>EXP00415</v>
      </c>
      <c r="B14874" s="3" t="s">
        <v>66</v>
      </c>
      <c r="C14874" s="4" t="str">
        <f t="shared" si="1174"/>
        <v>TCGA-BRCA</v>
      </c>
      <c r="D14874" s="1" t="s">
        <v>493</v>
      </c>
      <c r="E14874" t="s">
        <v>533</v>
      </c>
      <c r="F14874" s="1">
        <v>2</v>
      </c>
      <c r="G14874" s="1" t="s">
        <v>28</v>
      </c>
      <c r="H14874" s="4" t="str">
        <f>HYPERLINK("https://portal.gdc.cancer.gov/cases/02bbb632-0f7f-439d-b8f0-c86a06237424","TCGA-AC-A2FB-01A")</f>
        <v>TCGA-AC-A2FB-01A</v>
      </c>
      <c r="I14874" t="s">
        <v>17</v>
      </c>
      <c r="J14874" t="s">
        <v>524</v>
      </c>
      <c r="K14874" t="s">
        <v>33</v>
      </c>
      <c r="L14874" t="s">
        <v>20</v>
      </c>
      <c r="N14874" t="s">
        <v>29</v>
      </c>
    </row>
    <row r="14875" spans="1:14">
      <c r="A14875" s="4" t="str">
        <f t="shared" si="1173"/>
        <v>EXP00415</v>
      </c>
      <c r="B14875" s="3" t="s">
        <v>66</v>
      </c>
      <c r="C14875" s="4" t="str">
        <f t="shared" si="1174"/>
        <v>TCGA-BRCA</v>
      </c>
      <c r="D14875" s="1" t="s">
        <v>493</v>
      </c>
      <c r="E14875" t="s">
        <v>533</v>
      </c>
      <c r="F14875" s="1">
        <v>2</v>
      </c>
      <c r="G14875" s="1" t="s">
        <v>28</v>
      </c>
      <c r="H14875" s="4" t="str">
        <f>HYPERLINK("https://portal.gdc.cancer.gov/cases/3ca67cd0-81da-4f68-a9fa-f1a8c013c28d","TCGA-AC-A2FF-01A")</f>
        <v>TCGA-AC-A2FF-01A</v>
      </c>
      <c r="I14875" t="s">
        <v>17</v>
      </c>
      <c r="J14875" t="s">
        <v>524</v>
      </c>
      <c r="K14875" t="s">
        <v>33</v>
      </c>
      <c r="L14875" t="s">
        <v>20</v>
      </c>
      <c r="N14875" t="s">
        <v>29</v>
      </c>
    </row>
    <row r="14876" spans="1:14">
      <c r="A14876" s="4" t="str">
        <f t="shared" si="1173"/>
        <v>EXP00415</v>
      </c>
      <c r="B14876" s="3" t="s">
        <v>66</v>
      </c>
      <c r="C14876" s="4" t="str">
        <f t="shared" si="1174"/>
        <v>TCGA-BRCA</v>
      </c>
      <c r="D14876" s="1" t="s">
        <v>493</v>
      </c>
      <c r="E14876" t="s">
        <v>533</v>
      </c>
      <c r="F14876" s="1">
        <v>2</v>
      </c>
      <c r="G14876" s="1" t="s">
        <v>28</v>
      </c>
      <c r="H14876" s="4" t="str">
        <f>HYPERLINK("https://portal.gdc.cancer.gov/cases/39cda4c9-e1c8-44c2-bab7-f5849c12f879","TCGA-AC-A2FG-01A")</f>
        <v>TCGA-AC-A2FG-01A</v>
      </c>
      <c r="I14876" t="s">
        <v>17</v>
      </c>
      <c r="J14876" t="s">
        <v>524</v>
      </c>
      <c r="K14876" t="s">
        <v>33</v>
      </c>
      <c r="L14876" t="s">
        <v>20</v>
      </c>
      <c r="N14876" t="s">
        <v>29</v>
      </c>
    </row>
    <row r="14877" spans="1:14">
      <c r="A14877" s="4" t="str">
        <f t="shared" si="1173"/>
        <v>EXP00415</v>
      </c>
      <c r="B14877" s="3" t="s">
        <v>66</v>
      </c>
      <c r="C14877" s="4" t="str">
        <f t="shared" si="1174"/>
        <v>TCGA-BRCA</v>
      </c>
      <c r="D14877" s="1" t="s">
        <v>493</v>
      </c>
      <c r="E14877" t="s">
        <v>533</v>
      </c>
      <c r="F14877" s="1">
        <v>2</v>
      </c>
      <c r="G14877" s="1" t="s">
        <v>28</v>
      </c>
      <c r="H14877" s="4" t="str">
        <f>HYPERLINK("https://portal.gdc.cancer.gov/cases/79126e88-9cf8-45ff-bf91-a98da3b304d7","TCGA-AC-A2FK-01A")</f>
        <v>TCGA-AC-A2FK-01A</v>
      </c>
      <c r="I14877" t="s">
        <v>17</v>
      </c>
      <c r="J14877" t="s">
        <v>524</v>
      </c>
      <c r="K14877" t="s">
        <v>33</v>
      </c>
      <c r="L14877" t="s">
        <v>20</v>
      </c>
      <c r="N14877" t="s">
        <v>29</v>
      </c>
    </row>
    <row r="14878" spans="1:14">
      <c r="A14878" s="4" t="str">
        <f t="shared" si="1173"/>
        <v>EXP00415</v>
      </c>
      <c r="B14878" s="3" t="s">
        <v>66</v>
      </c>
      <c r="C14878" s="4" t="str">
        <f t="shared" si="1174"/>
        <v>TCGA-BRCA</v>
      </c>
      <c r="D14878" s="1" t="s">
        <v>493</v>
      </c>
      <c r="E14878" t="s">
        <v>533</v>
      </c>
      <c r="F14878" s="1">
        <v>2</v>
      </c>
      <c r="G14878" s="1" t="s">
        <v>28</v>
      </c>
      <c r="H14878" s="4" t="str">
        <f>HYPERLINK("https://portal.gdc.cancer.gov/cases/b6b1dc9a-91f4-4b0a-afd5-62c9a90c0d5e","TCGA-AC-A2FM-01A")</f>
        <v>TCGA-AC-A2FM-01A</v>
      </c>
      <c r="I14878" t="s">
        <v>17</v>
      </c>
      <c r="J14878" t="s">
        <v>524</v>
      </c>
      <c r="K14878" t="s">
        <v>33</v>
      </c>
      <c r="L14878" t="s">
        <v>20</v>
      </c>
      <c r="N14878" t="s">
        <v>29</v>
      </c>
    </row>
    <row r="14879" spans="1:14">
      <c r="A14879" s="4" t="str">
        <f t="shared" si="1173"/>
        <v>EXP00415</v>
      </c>
      <c r="B14879" s="3" t="s">
        <v>66</v>
      </c>
      <c r="C14879" s="4" t="str">
        <f t="shared" si="1174"/>
        <v>TCGA-BRCA</v>
      </c>
      <c r="D14879" s="1" t="s">
        <v>493</v>
      </c>
      <c r="E14879" t="s">
        <v>533</v>
      </c>
      <c r="F14879" s="1">
        <v>2</v>
      </c>
      <c r="G14879" s="1" t="s">
        <v>28</v>
      </c>
      <c r="H14879" s="4" t="str">
        <f>HYPERLINK("https://portal.gdc.cancer.gov/cases/f5d4c2d3-cc69-4b38-8551-0917e3622a68","TCGA-AC-A2FO-01A")</f>
        <v>TCGA-AC-A2FO-01A</v>
      </c>
      <c r="I14879" t="s">
        <v>17</v>
      </c>
      <c r="J14879" t="s">
        <v>524</v>
      </c>
      <c r="K14879" t="s">
        <v>33</v>
      </c>
      <c r="L14879" t="s">
        <v>20</v>
      </c>
      <c r="N14879" t="s">
        <v>29</v>
      </c>
    </row>
    <row r="14880" spans="1:14">
      <c r="A14880" s="4" t="str">
        <f t="shared" si="1173"/>
        <v>EXP00415</v>
      </c>
      <c r="B14880" s="3" t="s">
        <v>66</v>
      </c>
      <c r="C14880" s="4" t="str">
        <f t="shared" si="1174"/>
        <v>TCGA-BRCA</v>
      </c>
      <c r="D14880" s="1" t="s">
        <v>493</v>
      </c>
      <c r="E14880" t="s">
        <v>533</v>
      </c>
      <c r="F14880" s="1">
        <v>2</v>
      </c>
      <c r="G14880" s="1" t="s">
        <v>28</v>
      </c>
      <c r="H14880" s="4" t="str">
        <f>HYPERLINK("https://portal.gdc.cancer.gov/cases/67c5f371-3fa9-47c5-8b15-c2dd9acc8519","TCGA-AC-A2QH-01B")</f>
        <v>TCGA-AC-A2QH-01B</v>
      </c>
      <c r="I14880" t="s">
        <v>17</v>
      </c>
      <c r="J14880" t="s">
        <v>524</v>
      </c>
      <c r="K14880" t="s">
        <v>33</v>
      </c>
      <c r="L14880" t="s">
        <v>20</v>
      </c>
      <c r="N14880" t="s">
        <v>29</v>
      </c>
    </row>
    <row r="14881" spans="1:14">
      <c r="A14881" s="4" t="str">
        <f t="shared" si="1173"/>
        <v>EXP00415</v>
      </c>
      <c r="B14881" s="3" t="s">
        <v>66</v>
      </c>
      <c r="C14881" s="4" t="str">
        <f t="shared" si="1174"/>
        <v>TCGA-BRCA</v>
      </c>
      <c r="D14881" s="1" t="s">
        <v>493</v>
      </c>
      <c r="E14881" t="s">
        <v>533</v>
      </c>
      <c r="F14881" s="1">
        <v>2</v>
      </c>
      <c r="G14881" s="1" t="s">
        <v>28</v>
      </c>
      <c r="H14881" s="4" t="str">
        <f>HYPERLINK("https://portal.gdc.cancer.gov/cases/c57835be-77ab-4cf5-9b23-62c11a7b2eaf","TCGA-AC-A2QI-01A")</f>
        <v>TCGA-AC-A2QI-01A</v>
      </c>
      <c r="I14881" t="s">
        <v>17</v>
      </c>
      <c r="J14881" t="s">
        <v>524</v>
      </c>
      <c r="K14881" t="s">
        <v>33</v>
      </c>
      <c r="L14881" t="s">
        <v>20</v>
      </c>
      <c r="N14881" t="s">
        <v>29</v>
      </c>
    </row>
    <row r="14882" spans="1:14">
      <c r="A14882" s="4" t="str">
        <f t="shared" si="1173"/>
        <v>EXP00415</v>
      </c>
      <c r="B14882" s="3" t="s">
        <v>66</v>
      </c>
      <c r="C14882" s="4" t="str">
        <f t="shared" si="1174"/>
        <v>TCGA-BRCA</v>
      </c>
      <c r="D14882" s="1" t="s">
        <v>493</v>
      </c>
      <c r="E14882" t="s">
        <v>533</v>
      </c>
      <c r="F14882" s="1">
        <v>2</v>
      </c>
      <c r="G14882" s="1" t="s">
        <v>28</v>
      </c>
      <c r="H14882" s="4" t="str">
        <f>HYPERLINK("https://portal.gdc.cancer.gov/cases/d9fd2724-7db0-4af3-ac14-217bdfa5203f","TCGA-AC-A2QJ-01A")</f>
        <v>TCGA-AC-A2QJ-01A</v>
      </c>
      <c r="I14882" t="s">
        <v>17</v>
      </c>
      <c r="J14882" t="s">
        <v>524</v>
      </c>
      <c r="K14882" t="s">
        <v>33</v>
      </c>
      <c r="L14882" t="s">
        <v>20</v>
      </c>
      <c r="N14882" t="s">
        <v>29</v>
      </c>
    </row>
    <row r="14883" spans="1:14">
      <c r="A14883" s="4" t="str">
        <f t="shared" si="1173"/>
        <v>EXP00415</v>
      </c>
      <c r="B14883" s="3" t="s">
        <v>66</v>
      </c>
      <c r="C14883" s="4" t="str">
        <f t="shared" si="1174"/>
        <v>TCGA-BRCA</v>
      </c>
      <c r="D14883" s="1" t="s">
        <v>493</v>
      </c>
      <c r="E14883" t="s">
        <v>533</v>
      </c>
      <c r="F14883" s="1">
        <v>2</v>
      </c>
      <c r="G14883" s="1" t="s">
        <v>28</v>
      </c>
      <c r="H14883" s="4" t="str">
        <f>HYPERLINK("https://portal.gdc.cancer.gov/cases/048549cf-d0a5-4743-a0a1-2004f7cc2b08","TCGA-AC-A3BB-01A")</f>
        <v>TCGA-AC-A3BB-01A</v>
      </c>
      <c r="I14883" t="s">
        <v>17</v>
      </c>
      <c r="J14883" t="s">
        <v>524</v>
      </c>
      <c r="K14883" t="s">
        <v>33</v>
      </c>
      <c r="L14883" t="s">
        <v>20</v>
      </c>
      <c r="N14883" t="s">
        <v>29</v>
      </c>
    </row>
    <row r="14884" spans="1:14">
      <c r="A14884" s="4" t="str">
        <f t="shared" si="1173"/>
        <v>EXP00415</v>
      </c>
      <c r="B14884" s="3" t="s">
        <v>66</v>
      </c>
      <c r="C14884" s="4" t="str">
        <f t="shared" si="1174"/>
        <v>TCGA-BRCA</v>
      </c>
      <c r="D14884" s="1" t="s">
        <v>493</v>
      </c>
      <c r="E14884" t="s">
        <v>533</v>
      </c>
      <c r="F14884" s="1">
        <v>2</v>
      </c>
      <c r="G14884" s="1" t="s">
        <v>28</v>
      </c>
      <c r="H14884" s="4" t="str">
        <f>HYPERLINK("https://portal.gdc.cancer.gov/cases/fac173a8-1613-4bd4-87ba-83a2cfe8a37d","TCGA-AC-A3EH-01A")</f>
        <v>TCGA-AC-A3EH-01A</v>
      </c>
      <c r="I14884" t="s">
        <v>17</v>
      </c>
      <c r="J14884" t="s">
        <v>524</v>
      </c>
      <c r="K14884" t="s">
        <v>33</v>
      </c>
      <c r="L14884" t="s">
        <v>20</v>
      </c>
      <c r="N14884" t="s">
        <v>29</v>
      </c>
    </row>
    <row r="14885" spans="1:14">
      <c r="A14885" s="4" t="str">
        <f t="shared" si="1173"/>
        <v>EXP00415</v>
      </c>
      <c r="B14885" s="3" t="s">
        <v>66</v>
      </c>
      <c r="C14885" s="4" t="str">
        <f t="shared" si="1174"/>
        <v>TCGA-BRCA</v>
      </c>
      <c r="D14885" s="1" t="s">
        <v>493</v>
      </c>
      <c r="E14885" t="s">
        <v>533</v>
      </c>
      <c r="F14885" s="1">
        <v>2</v>
      </c>
      <c r="G14885" s="1" t="s">
        <v>28</v>
      </c>
      <c r="H14885" s="4" t="str">
        <f>HYPERLINK("https://portal.gdc.cancer.gov/cases/e37ae674-a107-4eb3-94d8-b86b0035a9f7","TCGA-AC-A3HN-01A")</f>
        <v>TCGA-AC-A3HN-01A</v>
      </c>
      <c r="I14885" t="s">
        <v>17</v>
      </c>
      <c r="J14885" t="s">
        <v>524</v>
      </c>
      <c r="K14885" t="s">
        <v>33</v>
      </c>
      <c r="L14885" t="s">
        <v>20</v>
      </c>
      <c r="N14885" t="s">
        <v>29</v>
      </c>
    </row>
    <row r="14886" spans="1:14">
      <c r="A14886" s="4" t="str">
        <f t="shared" si="1173"/>
        <v>EXP00415</v>
      </c>
      <c r="B14886" s="3" t="s">
        <v>66</v>
      </c>
      <c r="C14886" s="4" t="str">
        <f t="shared" si="1174"/>
        <v>TCGA-BRCA</v>
      </c>
      <c r="D14886" s="1" t="s">
        <v>493</v>
      </c>
      <c r="E14886" t="s">
        <v>533</v>
      </c>
      <c r="F14886" s="1">
        <v>2</v>
      </c>
      <c r="G14886" s="1" t="s">
        <v>28</v>
      </c>
      <c r="H14886" s="4" t="str">
        <f>HYPERLINK("https://portal.gdc.cancer.gov/cases/f2622cdb-ac92-42b3-a1ca-67e133c3dd4a","TCGA-AC-A3OD-01B")</f>
        <v>TCGA-AC-A3OD-01B</v>
      </c>
      <c r="I14886" t="s">
        <v>17</v>
      </c>
      <c r="J14886" t="s">
        <v>524</v>
      </c>
      <c r="K14886" t="s">
        <v>33</v>
      </c>
      <c r="L14886" t="s">
        <v>20</v>
      </c>
      <c r="N14886" t="s">
        <v>29</v>
      </c>
    </row>
    <row r="14887" spans="1:14">
      <c r="A14887" s="4" t="str">
        <f t="shared" si="1173"/>
        <v>EXP00415</v>
      </c>
      <c r="B14887" s="3" t="s">
        <v>66</v>
      </c>
      <c r="C14887" s="4" t="str">
        <f t="shared" si="1174"/>
        <v>TCGA-BRCA</v>
      </c>
      <c r="D14887" s="1" t="s">
        <v>493</v>
      </c>
      <c r="E14887" t="s">
        <v>533</v>
      </c>
      <c r="F14887" s="1">
        <v>2</v>
      </c>
      <c r="G14887" s="1" t="s">
        <v>28</v>
      </c>
      <c r="H14887" s="4" t="str">
        <f>HYPERLINK("https://portal.gdc.cancer.gov/cases/6f4c8d30-47fb-47df-9eb7-4e5881e3711e","TCGA-AC-A3QP-01A")</f>
        <v>TCGA-AC-A3QP-01A</v>
      </c>
      <c r="I14887" t="s">
        <v>17</v>
      </c>
      <c r="J14887" t="s">
        <v>524</v>
      </c>
      <c r="K14887" t="s">
        <v>33</v>
      </c>
      <c r="L14887" t="s">
        <v>20</v>
      </c>
      <c r="N14887" t="s">
        <v>29</v>
      </c>
    </row>
    <row r="14888" spans="1:14">
      <c r="A14888" s="4" t="str">
        <f t="shared" si="1173"/>
        <v>EXP00415</v>
      </c>
      <c r="B14888" s="3" t="s">
        <v>66</v>
      </c>
      <c r="C14888" s="4" t="str">
        <f t="shared" si="1174"/>
        <v>TCGA-BRCA</v>
      </c>
      <c r="D14888" s="1" t="s">
        <v>493</v>
      </c>
      <c r="E14888" t="s">
        <v>533</v>
      </c>
      <c r="F14888" s="1">
        <v>2</v>
      </c>
      <c r="G14888" s="1" t="s">
        <v>28</v>
      </c>
      <c r="H14888" s="4" t="str">
        <f>HYPERLINK("https://portal.gdc.cancer.gov/cases/95cef916-5545-455b-920c-773a54fc7676","TCGA-AC-A3QQ-01B")</f>
        <v>TCGA-AC-A3QQ-01B</v>
      </c>
      <c r="I14888" t="s">
        <v>17</v>
      </c>
      <c r="J14888" t="s">
        <v>524</v>
      </c>
      <c r="K14888" t="s">
        <v>33</v>
      </c>
      <c r="L14888" t="s">
        <v>20</v>
      </c>
      <c r="N14888" t="s">
        <v>29</v>
      </c>
    </row>
    <row r="14889" spans="1:14">
      <c r="A14889" s="4" t="str">
        <f t="shared" si="1173"/>
        <v>EXP00415</v>
      </c>
      <c r="B14889" s="3" t="s">
        <v>66</v>
      </c>
      <c r="C14889" s="4" t="str">
        <f t="shared" si="1174"/>
        <v>TCGA-BRCA</v>
      </c>
      <c r="D14889" s="1" t="s">
        <v>493</v>
      </c>
      <c r="E14889" t="s">
        <v>533</v>
      </c>
      <c r="F14889" s="1">
        <v>2</v>
      </c>
      <c r="G14889" s="1" t="s">
        <v>28</v>
      </c>
      <c r="H14889" s="4" t="str">
        <f>HYPERLINK("https://portal.gdc.cancer.gov/cases/67c73260-a242-4bba-87c5-d2302556dff7","TCGA-AC-A3TM-01A")</f>
        <v>TCGA-AC-A3TM-01A</v>
      </c>
      <c r="I14889" t="s">
        <v>17</v>
      </c>
      <c r="J14889" t="s">
        <v>524</v>
      </c>
      <c r="K14889" t="s">
        <v>33</v>
      </c>
      <c r="L14889" t="s">
        <v>20</v>
      </c>
      <c r="N14889" t="s">
        <v>29</v>
      </c>
    </row>
    <row r="14890" spans="1:14">
      <c r="A14890" s="4" t="str">
        <f t="shared" si="1173"/>
        <v>EXP00415</v>
      </c>
      <c r="B14890" s="3" t="s">
        <v>66</v>
      </c>
      <c r="C14890" s="4" t="str">
        <f t="shared" si="1174"/>
        <v>TCGA-BRCA</v>
      </c>
      <c r="D14890" s="1" t="s">
        <v>493</v>
      </c>
      <c r="E14890" t="s">
        <v>533</v>
      </c>
      <c r="F14890" s="1">
        <v>2</v>
      </c>
      <c r="G14890" s="1" t="s">
        <v>28</v>
      </c>
      <c r="H14890" s="4" t="str">
        <f>HYPERLINK("https://portal.gdc.cancer.gov/cases/81b70c58-4a12-448c-a594-2ade44f6a0ae","TCGA-AC-A3TN-01A")</f>
        <v>TCGA-AC-A3TN-01A</v>
      </c>
      <c r="I14890" t="s">
        <v>17</v>
      </c>
      <c r="J14890" t="s">
        <v>524</v>
      </c>
      <c r="K14890" t="s">
        <v>33</v>
      </c>
      <c r="L14890" t="s">
        <v>20</v>
      </c>
      <c r="N14890" t="s">
        <v>29</v>
      </c>
    </row>
    <row r="14891" spans="1:14">
      <c r="A14891" s="4" t="str">
        <f t="shared" si="1173"/>
        <v>EXP00415</v>
      </c>
      <c r="B14891" s="3" t="s">
        <v>66</v>
      </c>
      <c r="C14891" s="4" t="str">
        <f t="shared" si="1174"/>
        <v>TCGA-BRCA</v>
      </c>
      <c r="D14891" s="1" t="s">
        <v>493</v>
      </c>
      <c r="E14891" t="s">
        <v>533</v>
      </c>
      <c r="F14891" s="1">
        <v>2</v>
      </c>
      <c r="G14891" s="1" t="s">
        <v>28</v>
      </c>
      <c r="H14891" s="4" t="str">
        <f>HYPERLINK("https://portal.gdc.cancer.gov/cases/4c313e5b-4dc3-408e-8e92-22427f74743e","TCGA-AC-A3W5-01A")</f>
        <v>TCGA-AC-A3W5-01A</v>
      </c>
      <c r="I14891" t="s">
        <v>17</v>
      </c>
      <c r="J14891" t="s">
        <v>524</v>
      </c>
      <c r="K14891" t="s">
        <v>33</v>
      </c>
      <c r="L14891" t="s">
        <v>20</v>
      </c>
      <c r="N14891" t="s">
        <v>29</v>
      </c>
    </row>
    <row r="14892" spans="1:14">
      <c r="A14892" s="4" t="str">
        <f t="shared" si="1173"/>
        <v>EXP00415</v>
      </c>
      <c r="B14892" s="3" t="s">
        <v>66</v>
      </c>
      <c r="C14892" s="4" t="str">
        <f t="shared" si="1174"/>
        <v>TCGA-BRCA</v>
      </c>
      <c r="D14892" s="1" t="s">
        <v>493</v>
      </c>
      <c r="E14892" t="s">
        <v>533</v>
      </c>
      <c r="F14892" s="1">
        <v>2</v>
      </c>
      <c r="G14892" s="1" t="s">
        <v>28</v>
      </c>
      <c r="H14892" s="4" t="str">
        <f>HYPERLINK("https://portal.gdc.cancer.gov/cases/1b4cfad1-e353-4411-97b6-2b7b9309e95e","TCGA-AC-A3W6-01A")</f>
        <v>TCGA-AC-A3W6-01A</v>
      </c>
      <c r="I14892" t="s">
        <v>17</v>
      </c>
      <c r="J14892" t="s">
        <v>524</v>
      </c>
      <c r="K14892" t="s">
        <v>33</v>
      </c>
      <c r="L14892" t="s">
        <v>20</v>
      </c>
      <c r="N14892" t="s">
        <v>29</v>
      </c>
    </row>
    <row r="14893" spans="1:14">
      <c r="A14893" s="4" t="str">
        <f t="shared" si="1173"/>
        <v>EXP00415</v>
      </c>
      <c r="B14893" s="3" t="s">
        <v>66</v>
      </c>
      <c r="C14893" s="4" t="str">
        <f t="shared" si="1174"/>
        <v>TCGA-BRCA</v>
      </c>
      <c r="D14893" s="1" t="s">
        <v>493</v>
      </c>
      <c r="E14893" t="s">
        <v>533</v>
      </c>
      <c r="F14893" s="1">
        <v>2</v>
      </c>
      <c r="G14893" s="1" t="s">
        <v>28</v>
      </c>
      <c r="H14893" s="4" t="str">
        <f>HYPERLINK("https://portal.gdc.cancer.gov/cases/2481a671-760b-428c-968d-42e25fd42ac5","TCGA-AC-A3W7-01A")</f>
        <v>TCGA-AC-A3W7-01A</v>
      </c>
      <c r="I14893" t="s">
        <v>17</v>
      </c>
      <c r="J14893" t="s">
        <v>524</v>
      </c>
      <c r="K14893" t="s">
        <v>33</v>
      </c>
      <c r="L14893" t="s">
        <v>20</v>
      </c>
      <c r="N14893" t="s">
        <v>29</v>
      </c>
    </row>
    <row r="14894" spans="1:14">
      <c r="A14894" s="4" t="str">
        <f t="shared" si="1173"/>
        <v>EXP00415</v>
      </c>
      <c r="B14894" s="3" t="s">
        <v>66</v>
      </c>
      <c r="C14894" s="4" t="str">
        <f t="shared" si="1174"/>
        <v>TCGA-BRCA</v>
      </c>
      <c r="D14894" s="1" t="s">
        <v>493</v>
      </c>
      <c r="E14894" t="s">
        <v>533</v>
      </c>
      <c r="F14894" s="1">
        <v>2</v>
      </c>
      <c r="G14894" s="1" t="s">
        <v>28</v>
      </c>
      <c r="H14894" s="4" t="str">
        <f>HYPERLINK("https://portal.gdc.cancer.gov/cases/a45d296e-efc0-479e-b2f6-bad834668cdf","TCGA-AC-A3YI-01A")</f>
        <v>TCGA-AC-A3YI-01A</v>
      </c>
      <c r="I14894" t="s">
        <v>17</v>
      </c>
      <c r="J14894" t="s">
        <v>524</v>
      </c>
      <c r="K14894" t="s">
        <v>33</v>
      </c>
      <c r="L14894" t="s">
        <v>20</v>
      </c>
      <c r="N14894" t="s">
        <v>29</v>
      </c>
    </row>
    <row r="14895" spans="1:14">
      <c r="A14895" s="4" t="str">
        <f t="shared" si="1173"/>
        <v>EXP00415</v>
      </c>
      <c r="B14895" s="3" t="s">
        <v>66</v>
      </c>
      <c r="C14895" s="4" t="str">
        <f t="shared" si="1174"/>
        <v>TCGA-BRCA</v>
      </c>
      <c r="D14895" s="1" t="s">
        <v>493</v>
      </c>
      <c r="E14895" t="s">
        <v>533</v>
      </c>
      <c r="F14895" s="1">
        <v>2</v>
      </c>
      <c r="G14895" s="1" t="s">
        <v>28</v>
      </c>
      <c r="H14895" s="4" t="str">
        <f>HYPERLINK("https://portal.gdc.cancer.gov/cases/86cf879e-3b40-44dd-aaa7-6f49f54a15d9","TCGA-AC-A3YJ-01A")</f>
        <v>TCGA-AC-A3YJ-01A</v>
      </c>
      <c r="I14895" t="s">
        <v>17</v>
      </c>
      <c r="J14895" t="s">
        <v>524</v>
      </c>
      <c r="K14895" t="s">
        <v>33</v>
      </c>
      <c r="L14895" t="s">
        <v>20</v>
      </c>
      <c r="N14895" t="s">
        <v>29</v>
      </c>
    </row>
    <row r="14896" spans="1:14">
      <c r="A14896" s="4" t="str">
        <f t="shared" si="1173"/>
        <v>EXP00415</v>
      </c>
      <c r="B14896" s="3" t="s">
        <v>66</v>
      </c>
      <c r="C14896" s="4" t="str">
        <f t="shared" si="1174"/>
        <v>TCGA-BRCA</v>
      </c>
      <c r="D14896" s="1" t="s">
        <v>493</v>
      </c>
      <c r="E14896" t="s">
        <v>533</v>
      </c>
      <c r="F14896" s="1">
        <v>2</v>
      </c>
      <c r="G14896" s="1" t="s">
        <v>28</v>
      </c>
      <c r="H14896" s="4" t="str">
        <f>HYPERLINK("https://portal.gdc.cancer.gov/cases/0cf0d67c-2f7f-42a6-94f3-407d0ec46c88","TCGA-AC-A4ZE-01A")</f>
        <v>TCGA-AC-A4ZE-01A</v>
      </c>
      <c r="I14896" t="s">
        <v>17</v>
      </c>
      <c r="J14896" t="s">
        <v>524</v>
      </c>
      <c r="K14896" t="s">
        <v>33</v>
      </c>
      <c r="L14896" t="s">
        <v>20</v>
      </c>
      <c r="N14896" t="s">
        <v>29</v>
      </c>
    </row>
    <row r="14897" spans="1:14">
      <c r="A14897" s="4" t="str">
        <f t="shared" si="1173"/>
        <v>EXP00415</v>
      </c>
      <c r="B14897" s="3" t="s">
        <v>66</v>
      </c>
      <c r="C14897" s="4" t="str">
        <f t="shared" si="1174"/>
        <v>TCGA-BRCA</v>
      </c>
      <c r="D14897" s="1" t="s">
        <v>493</v>
      </c>
      <c r="E14897" t="s">
        <v>533</v>
      </c>
      <c r="F14897" s="1">
        <v>2</v>
      </c>
      <c r="G14897" s="1" t="s">
        <v>28</v>
      </c>
      <c r="H14897" s="4" t="str">
        <f>HYPERLINK("https://portal.gdc.cancer.gov/cases/d13fb44b-291b-4ea4-920c-142daa8d1989","TCGA-AC-A5EH-01A")</f>
        <v>TCGA-AC-A5EH-01A</v>
      </c>
      <c r="I14897" t="s">
        <v>17</v>
      </c>
      <c r="J14897" t="s">
        <v>524</v>
      </c>
      <c r="K14897" t="s">
        <v>33</v>
      </c>
      <c r="L14897" t="s">
        <v>20</v>
      </c>
      <c r="N14897" t="s">
        <v>29</v>
      </c>
    </row>
    <row r="14898" spans="1:14">
      <c r="A14898" s="4" t="str">
        <f t="shared" si="1173"/>
        <v>EXP00415</v>
      </c>
      <c r="B14898" s="3" t="s">
        <v>66</v>
      </c>
      <c r="C14898" s="4" t="str">
        <f t="shared" si="1174"/>
        <v>TCGA-BRCA</v>
      </c>
      <c r="D14898" s="1" t="s">
        <v>493</v>
      </c>
      <c r="E14898" t="s">
        <v>533</v>
      </c>
      <c r="F14898" s="1">
        <v>2</v>
      </c>
      <c r="G14898" s="1" t="s">
        <v>28</v>
      </c>
      <c r="H14898" s="4" t="str">
        <f>HYPERLINK("https://portal.gdc.cancer.gov/cases/d9627184-b972-4e00-8c11-b0b946ac357a","TCGA-AC-A5XS-01A")</f>
        <v>TCGA-AC-A5XS-01A</v>
      </c>
      <c r="I14898" t="s">
        <v>17</v>
      </c>
      <c r="J14898" t="s">
        <v>524</v>
      </c>
      <c r="K14898" t="s">
        <v>33</v>
      </c>
      <c r="L14898" t="s">
        <v>20</v>
      </c>
      <c r="N14898" t="s">
        <v>29</v>
      </c>
    </row>
    <row r="14899" spans="1:14">
      <c r="A14899" s="4" t="str">
        <f t="shared" si="1173"/>
        <v>EXP00415</v>
      </c>
      <c r="B14899" s="3" t="s">
        <v>66</v>
      </c>
      <c r="C14899" s="4" t="str">
        <f t="shared" si="1174"/>
        <v>TCGA-BRCA</v>
      </c>
      <c r="D14899" s="1" t="s">
        <v>493</v>
      </c>
      <c r="E14899" t="s">
        <v>533</v>
      </c>
      <c r="F14899" s="1">
        <v>2</v>
      </c>
      <c r="G14899" s="1" t="s">
        <v>28</v>
      </c>
      <c r="H14899" s="4" t="str">
        <f>HYPERLINK("https://portal.gdc.cancer.gov/cases/97677fd7-8523-48c5-a8ce-614fd4010551","TCGA-AC-A5XU-01A")</f>
        <v>TCGA-AC-A5XU-01A</v>
      </c>
      <c r="I14899" t="s">
        <v>17</v>
      </c>
      <c r="J14899" t="s">
        <v>524</v>
      </c>
      <c r="K14899" t="s">
        <v>33</v>
      </c>
      <c r="L14899" t="s">
        <v>20</v>
      </c>
      <c r="N14899" t="s">
        <v>29</v>
      </c>
    </row>
    <row r="14900" spans="1:14">
      <c r="A14900" s="4" t="str">
        <f t="shared" si="1173"/>
        <v>EXP00415</v>
      </c>
      <c r="B14900" s="3" t="s">
        <v>66</v>
      </c>
      <c r="C14900" s="4" t="str">
        <f t="shared" si="1174"/>
        <v>TCGA-BRCA</v>
      </c>
      <c r="D14900" s="1" t="s">
        <v>493</v>
      </c>
      <c r="E14900" t="s">
        <v>533</v>
      </c>
      <c r="F14900" s="1">
        <v>2</v>
      </c>
      <c r="G14900" s="1" t="s">
        <v>28</v>
      </c>
      <c r="H14900" s="4" t="str">
        <f>HYPERLINK("https://portal.gdc.cancer.gov/cases/d5f2b85a-94a9-4168-bbe8-149ec71342b0","TCGA-AC-A62V-01A")</f>
        <v>TCGA-AC-A62V-01A</v>
      </c>
      <c r="I14900" t="s">
        <v>17</v>
      </c>
      <c r="J14900" t="s">
        <v>524</v>
      </c>
      <c r="K14900" t="s">
        <v>33</v>
      </c>
      <c r="L14900" t="s">
        <v>20</v>
      </c>
      <c r="N14900" t="s">
        <v>29</v>
      </c>
    </row>
    <row r="14901" spans="1:14">
      <c r="A14901" s="4" t="str">
        <f t="shared" si="1173"/>
        <v>EXP00415</v>
      </c>
      <c r="B14901" s="3" t="s">
        <v>66</v>
      </c>
      <c r="C14901" s="4" t="str">
        <f t="shared" si="1174"/>
        <v>TCGA-BRCA</v>
      </c>
      <c r="D14901" s="1" t="s">
        <v>493</v>
      </c>
      <c r="E14901" t="s">
        <v>533</v>
      </c>
      <c r="F14901" s="1">
        <v>2</v>
      </c>
      <c r="G14901" s="1" t="s">
        <v>28</v>
      </c>
      <c r="H14901" s="4" t="str">
        <f>HYPERLINK("https://portal.gdc.cancer.gov/cases/5b2a4f11-ca46-4974-9420-59b4820920bf","TCGA-AC-A62X-01A")</f>
        <v>TCGA-AC-A62X-01A</v>
      </c>
      <c r="I14901" t="s">
        <v>17</v>
      </c>
      <c r="J14901" t="s">
        <v>524</v>
      </c>
      <c r="K14901" t="s">
        <v>33</v>
      </c>
      <c r="L14901" t="s">
        <v>20</v>
      </c>
      <c r="N14901" t="s">
        <v>29</v>
      </c>
    </row>
    <row r="14902" spans="1:14">
      <c r="A14902" s="4" t="str">
        <f t="shared" si="1173"/>
        <v>EXP00415</v>
      </c>
      <c r="B14902" s="3" t="s">
        <v>66</v>
      </c>
      <c r="C14902" s="4" t="str">
        <f t="shared" si="1174"/>
        <v>TCGA-BRCA</v>
      </c>
      <c r="D14902" s="1" t="s">
        <v>493</v>
      </c>
      <c r="E14902" t="s">
        <v>533</v>
      </c>
      <c r="F14902" s="1">
        <v>2</v>
      </c>
      <c r="G14902" s="1" t="s">
        <v>28</v>
      </c>
      <c r="H14902" s="4" t="str">
        <f>HYPERLINK("https://portal.gdc.cancer.gov/cases/05af737d-89aa-49b6-97b2-28b8ac8bd2cf","TCGA-AC-A62Y-01A")</f>
        <v>TCGA-AC-A62Y-01A</v>
      </c>
      <c r="I14902" t="s">
        <v>17</v>
      </c>
      <c r="J14902" t="s">
        <v>524</v>
      </c>
      <c r="K14902" t="s">
        <v>33</v>
      </c>
      <c r="L14902" t="s">
        <v>20</v>
      </c>
      <c r="N14902" t="s">
        <v>29</v>
      </c>
    </row>
    <row r="14903" spans="1:14">
      <c r="A14903" s="4" t="str">
        <f t="shared" si="1173"/>
        <v>EXP00415</v>
      </c>
      <c r="B14903" s="3" t="s">
        <v>66</v>
      </c>
      <c r="C14903" s="4" t="str">
        <f t="shared" si="1174"/>
        <v>TCGA-BRCA</v>
      </c>
      <c r="D14903" s="1" t="s">
        <v>493</v>
      </c>
      <c r="E14903" t="s">
        <v>533</v>
      </c>
      <c r="F14903" s="1">
        <v>2</v>
      </c>
      <c r="G14903" s="1" t="s">
        <v>28</v>
      </c>
      <c r="H14903" s="4" t="str">
        <f>HYPERLINK("https://portal.gdc.cancer.gov/cases/8e11c5ec-c15a-48d4-85ac-b7b08a9ed827","TCGA-AC-A6IV-01A")</f>
        <v>TCGA-AC-A6IV-01A</v>
      </c>
      <c r="I14903" t="s">
        <v>17</v>
      </c>
      <c r="J14903" t="s">
        <v>524</v>
      </c>
      <c r="K14903" t="s">
        <v>33</v>
      </c>
      <c r="L14903" t="s">
        <v>20</v>
      </c>
      <c r="N14903" t="s">
        <v>29</v>
      </c>
    </row>
    <row r="14904" spans="1:14">
      <c r="A14904" s="4" t="str">
        <f t="shared" ref="A14904:A14967" si="1175">HYPERLINK("http://hcmdb.i-sanger.com/experiment/details/experiment_id/EXP00415","EXP00415")</f>
        <v>EXP00415</v>
      </c>
      <c r="B14904" s="3" t="s">
        <v>66</v>
      </c>
      <c r="C14904" s="4" t="str">
        <f t="shared" si="1174"/>
        <v>TCGA-BRCA</v>
      </c>
      <c r="D14904" s="1" t="s">
        <v>493</v>
      </c>
      <c r="E14904" t="s">
        <v>533</v>
      </c>
      <c r="F14904" s="1">
        <v>2</v>
      </c>
      <c r="G14904" s="1" t="s">
        <v>28</v>
      </c>
      <c r="H14904" s="4" t="str">
        <f>HYPERLINK("https://portal.gdc.cancer.gov/cases/8183f0fb-2303-4d7b-bccd-55e5031fc7df","TCGA-AC-A6IW-01A")</f>
        <v>TCGA-AC-A6IW-01A</v>
      </c>
      <c r="I14904" t="s">
        <v>17</v>
      </c>
      <c r="J14904" t="s">
        <v>524</v>
      </c>
      <c r="K14904" t="s">
        <v>33</v>
      </c>
      <c r="L14904" t="s">
        <v>20</v>
      </c>
      <c r="N14904" t="s">
        <v>29</v>
      </c>
    </row>
    <row r="14905" spans="1:14">
      <c r="A14905" s="4" t="str">
        <f t="shared" si="1175"/>
        <v>EXP00415</v>
      </c>
      <c r="B14905" s="3" t="s">
        <v>66</v>
      </c>
      <c r="C14905" s="4" t="str">
        <f t="shared" si="1174"/>
        <v>TCGA-BRCA</v>
      </c>
      <c r="D14905" s="1" t="s">
        <v>493</v>
      </c>
      <c r="E14905" t="s">
        <v>533</v>
      </c>
      <c r="F14905" s="1">
        <v>2</v>
      </c>
      <c r="G14905" s="1" t="s">
        <v>28</v>
      </c>
      <c r="H14905" s="4" t="str">
        <f>HYPERLINK("https://portal.gdc.cancer.gov/cases/8d9b50d1-139b-4447-ae9c-e54764d9e2a7","TCGA-AC-A6NO-01A")</f>
        <v>TCGA-AC-A6NO-01A</v>
      </c>
      <c r="I14905" t="s">
        <v>17</v>
      </c>
      <c r="J14905" t="s">
        <v>524</v>
      </c>
      <c r="K14905" t="s">
        <v>33</v>
      </c>
      <c r="L14905" t="s">
        <v>20</v>
      </c>
      <c r="N14905" t="s">
        <v>29</v>
      </c>
    </row>
    <row r="14906" spans="1:14">
      <c r="A14906" s="4" t="str">
        <f t="shared" si="1175"/>
        <v>EXP00415</v>
      </c>
      <c r="B14906" s="3" t="s">
        <v>66</v>
      </c>
      <c r="C14906" s="4" t="str">
        <f t="shared" ref="C14906:C14969" si="1176">HYPERLINK("https://portal.gdc.cancer.gov/projects/TCGA-BRCA","TCGA-BRCA")</f>
        <v>TCGA-BRCA</v>
      </c>
      <c r="D14906" s="1" t="s">
        <v>493</v>
      </c>
      <c r="E14906" t="s">
        <v>533</v>
      </c>
      <c r="F14906" s="1">
        <v>2</v>
      </c>
      <c r="G14906" s="1" t="s">
        <v>28</v>
      </c>
      <c r="H14906" s="4" t="str">
        <f>HYPERLINK("https://portal.gdc.cancer.gov/cases/56230e4a-29ca-4f37-a0f9-730dbdfb6fa2","TCGA-AC-A7VB-01A")</f>
        <v>TCGA-AC-A7VB-01A</v>
      </c>
      <c r="I14906" t="s">
        <v>17</v>
      </c>
      <c r="J14906" t="s">
        <v>524</v>
      </c>
      <c r="K14906" t="s">
        <v>33</v>
      </c>
      <c r="L14906" t="s">
        <v>20</v>
      </c>
      <c r="N14906" t="s">
        <v>29</v>
      </c>
    </row>
    <row r="14907" spans="1:14">
      <c r="A14907" s="4" t="str">
        <f t="shared" si="1175"/>
        <v>EXP00415</v>
      </c>
      <c r="B14907" s="3" t="s">
        <v>66</v>
      </c>
      <c r="C14907" s="4" t="str">
        <f t="shared" si="1176"/>
        <v>TCGA-BRCA</v>
      </c>
      <c r="D14907" s="1" t="s">
        <v>493</v>
      </c>
      <c r="E14907" t="s">
        <v>533</v>
      </c>
      <c r="F14907" s="1">
        <v>2</v>
      </c>
      <c r="G14907" s="1" t="s">
        <v>28</v>
      </c>
      <c r="H14907" s="4" t="str">
        <f>HYPERLINK("https://portal.gdc.cancer.gov/cases/2b36853f-34d3-47c5-ba6a-e5a93233d2b1","TCGA-AC-A7VC-01A")</f>
        <v>TCGA-AC-A7VC-01A</v>
      </c>
      <c r="I14907" t="s">
        <v>17</v>
      </c>
      <c r="J14907" t="s">
        <v>524</v>
      </c>
      <c r="K14907" t="s">
        <v>33</v>
      </c>
      <c r="L14907" t="s">
        <v>20</v>
      </c>
      <c r="N14907" t="s">
        <v>29</v>
      </c>
    </row>
    <row r="14908" spans="1:14">
      <c r="A14908" s="4" t="str">
        <f t="shared" si="1175"/>
        <v>EXP00415</v>
      </c>
      <c r="B14908" s="3" t="s">
        <v>66</v>
      </c>
      <c r="C14908" s="4" t="str">
        <f t="shared" si="1176"/>
        <v>TCGA-BRCA</v>
      </c>
      <c r="D14908" s="1" t="s">
        <v>493</v>
      </c>
      <c r="E14908" t="s">
        <v>533</v>
      </c>
      <c r="F14908" s="1">
        <v>2</v>
      </c>
      <c r="G14908" s="1" t="s">
        <v>28</v>
      </c>
      <c r="H14908" s="4" t="str">
        <f>HYPERLINK("https://portal.gdc.cancer.gov/cases/b9c6c069-2a2b-4cc7-a398-dc45c132d979","TCGA-AC-A8OP-01A")</f>
        <v>TCGA-AC-A8OP-01A</v>
      </c>
      <c r="I14908" t="s">
        <v>17</v>
      </c>
      <c r="J14908" t="s">
        <v>524</v>
      </c>
      <c r="K14908" t="s">
        <v>33</v>
      </c>
      <c r="L14908" t="s">
        <v>20</v>
      </c>
      <c r="N14908" t="s">
        <v>29</v>
      </c>
    </row>
    <row r="14909" spans="1:14">
      <c r="A14909" s="4" t="str">
        <f t="shared" si="1175"/>
        <v>EXP00415</v>
      </c>
      <c r="B14909" s="3" t="s">
        <v>66</v>
      </c>
      <c r="C14909" s="4" t="str">
        <f t="shared" si="1176"/>
        <v>TCGA-BRCA</v>
      </c>
      <c r="D14909" s="1" t="s">
        <v>493</v>
      </c>
      <c r="E14909" t="s">
        <v>533</v>
      </c>
      <c r="F14909" s="1">
        <v>2</v>
      </c>
      <c r="G14909" s="1" t="s">
        <v>28</v>
      </c>
      <c r="H14909" s="4" t="str">
        <f>HYPERLINK("https://portal.gdc.cancer.gov/cases/dfaabd03-2d40-4422-b210-caf112ff4229","TCGA-AC-A8OQ-01A")</f>
        <v>TCGA-AC-A8OQ-01A</v>
      </c>
      <c r="I14909" t="s">
        <v>17</v>
      </c>
      <c r="J14909" t="s">
        <v>524</v>
      </c>
      <c r="K14909" t="s">
        <v>33</v>
      </c>
      <c r="L14909" t="s">
        <v>20</v>
      </c>
      <c r="N14909" t="s">
        <v>29</v>
      </c>
    </row>
    <row r="14910" spans="1:14">
      <c r="A14910" s="4" t="str">
        <f t="shared" si="1175"/>
        <v>EXP00415</v>
      </c>
      <c r="B14910" s="3" t="s">
        <v>66</v>
      </c>
      <c r="C14910" s="4" t="str">
        <f t="shared" si="1176"/>
        <v>TCGA-BRCA</v>
      </c>
      <c r="D14910" s="1" t="s">
        <v>493</v>
      </c>
      <c r="E14910" t="s">
        <v>533</v>
      </c>
      <c r="F14910" s="1">
        <v>2</v>
      </c>
      <c r="G14910" s="1" t="s">
        <v>28</v>
      </c>
      <c r="H14910" s="4" t="str">
        <f>HYPERLINK("https://portal.gdc.cancer.gov/cases/8cd1ba0b-ead9-4661-a796-6c9dbf1c42cd","TCGA-AC-A8OR-01A")</f>
        <v>TCGA-AC-A8OR-01A</v>
      </c>
      <c r="I14910" t="s">
        <v>17</v>
      </c>
      <c r="J14910" t="s">
        <v>524</v>
      </c>
      <c r="K14910" t="s">
        <v>33</v>
      </c>
      <c r="L14910" t="s">
        <v>20</v>
      </c>
      <c r="N14910" t="s">
        <v>29</v>
      </c>
    </row>
    <row r="14911" spans="1:14">
      <c r="A14911" s="4" t="str">
        <f t="shared" si="1175"/>
        <v>EXP00415</v>
      </c>
      <c r="B14911" s="3" t="s">
        <v>66</v>
      </c>
      <c r="C14911" s="4" t="str">
        <f t="shared" si="1176"/>
        <v>TCGA-BRCA</v>
      </c>
      <c r="D14911" s="1" t="s">
        <v>493</v>
      </c>
      <c r="E14911" t="s">
        <v>533</v>
      </c>
      <c r="F14911" s="1">
        <v>2</v>
      </c>
      <c r="G14911" s="1" t="s">
        <v>28</v>
      </c>
      <c r="H14911" s="4" t="str">
        <f>HYPERLINK("https://portal.gdc.cancer.gov/cases/d5e655fe-3fbc-47b0-ba23-1d1dd01d591c","TCGA-AC-A8OS-01A")</f>
        <v>TCGA-AC-A8OS-01A</v>
      </c>
      <c r="I14911" t="s">
        <v>17</v>
      </c>
      <c r="J14911" t="s">
        <v>524</v>
      </c>
      <c r="K14911" t="s">
        <v>33</v>
      </c>
      <c r="L14911" t="s">
        <v>20</v>
      </c>
      <c r="N14911" t="s">
        <v>29</v>
      </c>
    </row>
    <row r="14912" spans="1:14">
      <c r="A14912" s="4" t="str">
        <f t="shared" si="1175"/>
        <v>EXP00415</v>
      </c>
      <c r="B14912" s="3" t="s">
        <v>66</v>
      </c>
      <c r="C14912" s="4" t="str">
        <f t="shared" si="1176"/>
        <v>TCGA-BRCA</v>
      </c>
      <c r="D14912" s="1" t="s">
        <v>493</v>
      </c>
      <c r="E14912" t="s">
        <v>533</v>
      </c>
      <c r="F14912" s="1">
        <v>2</v>
      </c>
      <c r="G14912" s="1" t="s">
        <v>28</v>
      </c>
      <c r="H14912" s="4" t="str">
        <f>HYPERLINK("https://portal.gdc.cancer.gov/cases/88cd6ccc-70f7-436e-a99c-039b9d31e335","TCGA-AN-A03X-01A")</f>
        <v>TCGA-AN-A03X-01A</v>
      </c>
      <c r="I14912" t="s">
        <v>17</v>
      </c>
      <c r="J14912" t="s">
        <v>524</v>
      </c>
      <c r="K14912" t="s">
        <v>33</v>
      </c>
      <c r="L14912" t="s">
        <v>20</v>
      </c>
      <c r="N14912" t="s">
        <v>29</v>
      </c>
    </row>
    <row r="14913" spans="1:14">
      <c r="A14913" s="4" t="str">
        <f t="shared" si="1175"/>
        <v>EXP00415</v>
      </c>
      <c r="B14913" s="3" t="s">
        <v>66</v>
      </c>
      <c r="C14913" s="4" t="str">
        <f t="shared" si="1176"/>
        <v>TCGA-BRCA</v>
      </c>
      <c r="D14913" s="1" t="s">
        <v>493</v>
      </c>
      <c r="E14913" t="s">
        <v>533</v>
      </c>
      <c r="F14913" s="1">
        <v>2</v>
      </c>
      <c r="G14913" s="1" t="s">
        <v>28</v>
      </c>
      <c r="H14913" s="4" t="str">
        <f>HYPERLINK("https://portal.gdc.cancer.gov/cases/a991644b-3ee6-4cda-acf0-e37de48a49fc","TCGA-AN-A03Y-01A")</f>
        <v>TCGA-AN-A03Y-01A</v>
      </c>
      <c r="I14913" t="s">
        <v>17</v>
      </c>
      <c r="J14913" t="s">
        <v>524</v>
      </c>
      <c r="K14913" t="s">
        <v>33</v>
      </c>
      <c r="L14913" t="s">
        <v>20</v>
      </c>
      <c r="N14913" t="s">
        <v>29</v>
      </c>
    </row>
    <row r="14914" spans="1:14">
      <c r="A14914" s="4" t="str">
        <f t="shared" si="1175"/>
        <v>EXP00415</v>
      </c>
      <c r="B14914" s="3" t="s">
        <v>66</v>
      </c>
      <c r="C14914" s="4" t="str">
        <f t="shared" si="1176"/>
        <v>TCGA-BRCA</v>
      </c>
      <c r="D14914" s="1" t="s">
        <v>493</v>
      </c>
      <c r="E14914" t="s">
        <v>533</v>
      </c>
      <c r="F14914" s="1">
        <v>2</v>
      </c>
      <c r="G14914" s="1" t="s">
        <v>28</v>
      </c>
      <c r="H14914" s="4" t="str">
        <f>HYPERLINK("https://portal.gdc.cancer.gov/cases/316e021c-5175-4ab3-bdb6-2bf9683f657a","TCGA-AN-A041-01A")</f>
        <v>TCGA-AN-A041-01A</v>
      </c>
      <c r="I14914" t="s">
        <v>17</v>
      </c>
      <c r="J14914" t="s">
        <v>524</v>
      </c>
      <c r="K14914" t="s">
        <v>33</v>
      </c>
      <c r="L14914" t="s">
        <v>20</v>
      </c>
      <c r="N14914" t="s">
        <v>29</v>
      </c>
    </row>
    <row r="14915" spans="1:14">
      <c r="A14915" s="4" t="str">
        <f t="shared" si="1175"/>
        <v>EXP00415</v>
      </c>
      <c r="B14915" s="3" t="s">
        <v>66</v>
      </c>
      <c r="C14915" s="4" t="str">
        <f t="shared" si="1176"/>
        <v>TCGA-BRCA</v>
      </c>
      <c r="D14915" s="1" t="s">
        <v>493</v>
      </c>
      <c r="E14915" t="s">
        <v>533</v>
      </c>
      <c r="F14915" s="1">
        <v>2</v>
      </c>
      <c r="G14915" s="1" t="s">
        <v>28</v>
      </c>
      <c r="H14915" s="4" t="str">
        <f>HYPERLINK("https://portal.gdc.cancer.gov/cases/dcd5860c-7e3a-44f3-a732-fe92fe3fe300","TCGA-AN-A046-01A")</f>
        <v>TCGA-AN-A046-01A</v>
      </c>
      <c r="I14915" t="s">
        <v>17</v>
      </c>
      <c r="J14915" t="s">
        <v>524</v>
      </c>
      <c r="K14915" t="s">
        <v>33</v>
      </c>
      <c r="L14915" t="s">
        <v>20</v>
      </c>
      <c r="N14915" t="s">
        <v>29</v>
      </c>
    </row>
    <row r="14916" spans="1:14">
      <c r="A14916" s="4" t="str">
        <f t="shared" si="1175"/>
        <v>EXP00415</v>
      </c>
      <c r="B14916" s="3" t="s">
        <v>66</v>
      </c>
      <c r="C14916" s="4" t="str">
        <f t="shared" si="1176"/>
        <v>TCGA-BRCA</v>
      </c>
      <c r="D14916" s="1" t="s">
        <v>493</v>
      </c>
      <c r="E14916" t="s">
        <v>533</v>
      </c>
      <c r="F14916" s="1">
        <v>2</v>
      </c>
      <c r="G14916" s="1" t="s">
        <v>28</v>
      </c>
      <c r="H14916" s="4" t="str">
        <f>HYPERLINK("https://portal.gdc.cancer.gov/cases/2e1e3bf0-1708-4b65-936c-48b89eb8966a","TCGA-AN-A049-01A")</f>
        <v>TCGA-AN-A049-01A</v>
      </c>
      <c r="I14916" t="s">
        <v>17</v>
      </c>
      <c r="J14916" t="s">
        <v>524</v>
      </c>
      <c r="K14916" t="s">
        <v>33</v>
      </c>
      <c r="L14916" t="s">
        <v>20</v>
      </c>
      <c r="N14916" t="s">
        <v>29</v>
      </c>
    </row>
    <row r="14917" spans="1:14">
      <c r="A14917" s="4" t="str">
        <f t="shared" si="1175"/>
        <v>EXP00415</v>
      </c>
      <c r="B14917" s="3" t="s">
        <v>66</v>
      </c>
      <c r="C14917" s="4" t="str">
        <f t="shared" si="1176"/>
        <v>TCGA-BRCA</v>
      </c>
      <c r="D14917" s="1" t="s">
        <v>493</v>
      </c>
      <c r="E14917" t="s">
        <v>533</v>
      </c>
      <c r="F14917" s="1">
        <v>2</v>
      </c>
      <c r="G14917" s="1" t="s">
        <v>28</v>
      </c>
      <c r="H14917" s="4" t="str">
        <f>HYPERLINK("https://portal.gdc.cancer.gov/cases/e5aae05a-478e-4a55-a27c-12b2b4be302a","TCGA-AN-A04A-01A")</f>
        <v>TCGA-AN-A04A-01A</v>
      </c>
      <c r="I14917" t="s">
        <v>17</v>
      </c>
      <c r="J14917" t="s">
        <v>524</v>
      </c>
      <c r="K14917" t="s">
        <v>33</v>
      </c>
      <c r="L14917" t="s">
        <v>20</v>
      </c>
      <c r="N14917" t="s">
        <v>29</v>
      </c>
    </row>
    <row r="14918" spans="1:14">
      <c r="A14918" s="4" t="str">
        <f t="shared" si="1175"/>
        <v>EXP00415</v>
      </c>
      <c r="B14918" s="3" t="s">
        <v>66</v>
      </c>
      <c r="C14918" s="4" t="str">
        <f t="shared" si="1176"/>
        <v>TCGA-BRCA</v>
      </c>
      <c r="D14918" s="1" t="s">
        <v>493</v>
      </c>
      <c r="E14918" t="s">
        <v>533</v>
      </c>
      <c r="F14918" s="1">
        <v>2</v>
      </c>
      <c r="G14918" s="1" t="s">
        <v>28</v>
      </c>
      <c r="H14918" s="4" t="str">
        <f>HYPERLINK("https://portal.gdc.cancer.gov/cases/66072c06-f251-4f0b-b6ae-12b407c52cc6","TCGA-AN-A04C-01A")</f>
        <v>TCGA-AN-A04C-01A</v>
      </c>
      <c r="I14918" t="s">
        <v>17</v>
      </c>
      <c r="J14918" t="s">
        <v>524</v>
      </c>
      <c r="K14918" t="s">
        <v>33</v>
      </c>
      <c r="L14918" t="s">
        <v>20</v>
      </c>
      <c r="N14918" t="s">
        <v>29</v>
      </c>
    </row>
    <row r="14919" spans="1:14">
      <c r="A14919" s="4" t="str">
        <f t="shared" si="1175"/>
        <v>EXP00415</v>
      </c>
      <c r="B14919" s="3" t="s">
        <v>66</v>
      </c>
      <c r="C14919" s="4" t="str">
        <f t="shared" si="1176"/>
        <v>TCGA-BRCA</v>
      </c>
      <c r="D14919" s="1" t="s">
        <v>493</v>
      </c>
      <c r="E14919" t="s">
        <v>533</v>
      </c>
      <c r="F14919" s="1">
        <v>2</v>
      </c>
      <c r="G14919" s="1" t="s">
        <v>28</v>
      </c>
      <c r="H14919" s="4" t="str">
        <f>HYPERLINK("https://portal.gdc.cancer.gov/cases/49717f75-0f2d-4e1c-9a12-f1cd7877b80a","TCGA-AN-A04D-01A")</f>
        <v>TCGA-AN-A04D-01A</v>
      </c>
      <c r="I14919" t="s">
        <v>17</v>
      </c>
      <c r="J14919" t="s">
        <v>524</v>
      </c>
      <c r="K14919" t="s">
        <v>33</v>
      </c>
      <c r="L14919" t="s">
        <v>20</v>
      </c>
      <c r="N14919" t="s">
        <v>29</v>
      </c>
    </row>
    <row r="14920" spans="1:14">
      <c r="A14920" s="4" t="str">
        <f t="shared" si="1175"/>
        <v>EXP00415</v>
      </c>
      <c r="B14920" s="3" t="s">
        <v>66</v>
      </c>
      <c r="C14920" s="4" t="str">
        <f t="shared" si="1176"/>
        <v>TCGA-BRCA</v>
      </c>
      <c r="D14920" s="1" t="s">
        <v>493</v>
      </c>
      <c r="E14920" t="s">
        <v>533</v>
      </c>
      <c r="F14920" s="1">
        <v>2</v>
      </c>
      <c r="G14920" s="1" t="s">
        <v>28</v>
      </c>
      <c r="H14920" s="4" t="str">
        <f>HYPERLINK("https://portal.gdc.cancer.gov/cases/9646160a-f1f9-437b-8c7d-efb0b57bfb97","TCGA-AN-A0AJ-01A")</f>
        <v>TCGA-AN-A0AJ-01A</v>
      </c>
      <c r="I14920" t="s">
        <v>17</v>
      </c>
      <c r="J14920" t="s">
        <v>524</v>
      </c>
      <c r="K14920" t="s">
        <v>33</v>
      </c>
      <c r="L14920" t="s">
        <v>20</v>
      </c>
      <c r="N14920" t="s">
        <v>29</v>
      </c>
    </row>
    <row r="14921" spans="1:14">
      <c r="A14921" s="4" t="str">
        <f t="shared" si="1175"/>
        <v>EXP00415</v>
      </c>
      <c r="B14921" s="3" t="s">
        <v>66</v>
      </c>
      <c r="C14921" s="4" t="str">
        <f t="shared" si="1176"/>
        <v>TCGA-BRCA</v>
      </c>
      <c r="D14921" s="1" t="s">
        <v>493</v>
      </c>
      <c r="E14921" t="s">
        <v>533</v>
      </c>
      <c r="F14921" s="1">
        <v>2</v>
      </c>
      <c r="G14921" s="1" t="s">
        <v>28</v>
      </c>
      <c r="H14921" s="4" t="str">
        <f>HYPERLINK("https://portal.gdc.cancer.gov/cases/9e894662-b718-40f8-8899-b5e036cfbd76","TCGA-AN-A0AK-01A")</f>
        <v>TCGA-AN-A0AK-01A</v>
      </c>
      <c r="I14921" t="s">
        <v>17</v>
      </c>
      <c r="J14921" t="s">
        <v>524</v>
      </c>
      <c r="K14921" t="s">
        <v>33</v>
      </c>
      <c r="L14921" t="s">
        <v>20</v>
      </c>
      <c r="N14921" t="s">
        <v>29</v>
      </c>
    </row>
    <row r="14922" spans="1:14">
      <c r="A14922" s="4" t="str">
        <f t="shared" si="1175"/>
        <v>EXP00415</v>
      </c>
      <c r="B14922" s="3" t="s">
        <v>66</v>
      </c>
      <c r="C14922" s="4" t="str">
        <f t="shared" si="1176"/>
        <v>TCGA-BRCA</v>
      </c>
      <c r="D14922" s="1" t="s">
        <v>493</v>
      </c>
      <c r="E14922" t="s">
        <v>533</v>
      </c>
      <c r="F14922" s="1">
        <v>2</v>
      </c>
      <c r="G14922" s="1" t="s">
        <v>28</v>
      </c>
      <c r="H14922" s="4" t="str">
        <f>HYPERLINK("https://portal.gdc.cancer.gov/cases/3e9f93c0-aa79-4b4c-bd6c-b3325912362a","TCGA-AN-A0AL-01A")</f>
        <v>TCGA-AN-A0AL-01A</v>
      </c>
      <c r="I14922" t="s">
        <v>17</v>
      </c>
      <c r="J14922" t="s">
        <v>524</v>
      </c>
      <c r="K14922" t="s">
        <v>33</v>
      </c>
      <c r="L14922" t="s">
        <v>20</v>
      </c>
      <c r="N14922" t="s">
        <v>29</v>
      </c>
    </row>
    <row r="14923" spans="1:14">
      <c r="A14923" s="4" t="str">
        <f t="shared" si="1175"/>
        <v>EXP00415</v>
      </c>
      <c r="B14923" s="3" t="s">
        <v>66</v>
      </c>
      <c r="C14923" s="4" t="str">
        <f t="shared" si="1176"/>
        <v>TCGA-BRCA</v>
      </c>
      <c r="D14923" s="1" t="s">
        <v>493</v>
      </c>
      <c r="E14923" t="s">
        <v>533</v>
      </c>
      <c r="F14923" s="1">
        <v>2</v>
      </c>
      <c r="G14923" s="1" t="s">
        <v>28</v>
      </c>
      <c r="H14923" s="4" t="str">
        <f>HYPERLINK("https://portal.gdc.cancer.gov/cases/00a2d166-78c9-4687-a195-3d6315c27574","TCGA-AN-A0AM-01A")</f>
        <v>TCGA-AN-A0AM-01A</v>
      </c>
      <c r="I14923" t="s">
        <v>17</v>
      </c>
      <c r="J14923" t="s">
        <v>524</v>
      </c>
      <c r="K14923" t="s">
        <v>33</v>
      </c>
      <c r="L14923" t="s">
        <v>20</v>
      </c>
      <c r="N14923" t="s">
        <v>29</v>
      </c>
    </row>
    <row r="14924" spans="1:14">
      <c r="A14924" s="4" t="str">
        <f t="shared" si="1175"/>
        <v>EXP00415</v>
      </c>
      <c r="B14924" s="3" t="s">
        <v>66</v>
      </c>
      <c r="C14924" s="4" t="str">
        <f t="shared" si="1176"/>
        <v>TCGA-BRCA</v>
      </c>
      <c r="D14924" s="1" t="s">
        <v>493</v>
      </c>
      <c r="E14924" t="s">
        <v>533</v>
      </c>
      <c r="F14924" s="1">
        <v>2</v>
      </c>
      <c r="G14924" s="1" t="s">
        <v>28</v>
      </c>
      <c r="H14924" s="4" t="str">
        <f>HYPERLINK("https://portal.gdc.cancer.gov/cases/ebc460c2-df88-4dc0-a2c0-aca8072b75ad","TCGA-AN-A0AR-01A")</f>
        <v>TCGA-AN-A0AR-01A</v>
      </c>
      <c r="I14924" t="s">
        <v>17</v>
      </c>
      <c r="J14924" t="s">
        <v>524</v>
      </c>
      <c r="K14924" t="s">
        <v>33</v>
      </c>
      <c r="L14924" t="s">
        <v>20</v>
      </c>
      <c r="N14924" t="s">
        <v>29</v>
      </c>
    </row>
    <row r="14925" spans="1:14">
      <c r="A14925" s="4" t="str">
        <f t="shared" si="1175"/>
        <v>EXP00415</v>
      </c>
      <c r="B14925" s="3" t="s">
        <v>66</v>
      </c>
      <c r="C14925" s="4" t="str">
        <f t="shared" si="1176"/>
        <v>TCGA-BRCA</v>
      </c>
      <c r="D14925" s="1" t="s">
        <v>493</v>
      </c>
      <c r="E14925" t="s">
        <v>533</v>
      </c>
      <c r="F14925" s="1">
        <v>2</v>
      </c>
      <c r="G14925" s="1" t="s">
        <v>28</v>
      </c>
      <c r="H14925" s="4" t="str">
        <f>HYPERLINK("https://portal.gdc.cancer.gov/cases/7c2a8440-0206-4039-8474-8d62f6c7de0c","TCGA-AN-A0AS-01A")</f>
        <v>TCGA-AN-A0AS-01A</v>
      </c>
      <c r="I14925" t="s">
        <v>17</v>
      </c>
      <c r="J14925" t="s">
        <v>524</v>
      </c>
      <c r="K14925" t="s">
        <v>33</v>
      </c>
      <c r="L14925" t="s">
        <v>20</v>
      </c>
      <c r="N14925" t="s">
        <v>29</v>
      </c>
    </row>
    <row r="14926" spans="1:14">
      <c r="A14926" s="4" t="str">
        <f t="shared" si="1175"/>
        <v>EXP00415</v>
      </c>
      <c r="B14926" s="3" t="s">
        <v>66</v>
      </c>
      <c r="C14926" s="4" t="str">
        <f t="shared" si="1176"/>
        <v>TCGA-BRCA</v>
      </c>
      <c r="D14926" s="1" t="s">
        <v>493</v>
      </c>
      <c r="E14926" t="s">
        <v>533</v>
      </c>
      <c r="F14926" s="1">
        <v>2</v>
      </c>
      <c r="G14926" s="1" t="s">
        <v>28</v>
      </c>
      <c r="H14926" s="4" t="str">
        <f>HYPERLINK("https://portal.gdc.cancer.gov/cases/05506f4c-e701-4a9d-ae06-97f066aade43","TCGA-AN-A0AT-01A")</f>
        <v>TCGA-AN-A0AT-01A</v>
      </c>
      <c r="I14926" t="s">
        <v>17</v>
      </c>
      <c r="J14926" t="s">
        <v>524</v>
      </c>
      <c r="K14926" t="s">
        <v>33</v>
      </c>
      <c r="L14926" t="s">
        <v>20</v>
      </c>
      <c r="N14926" t="s">
        <v>29</v>
      </c>
    </row>
    <row r="14927" spans="1:14">
      <c r="A14927" s="4" t="str">
        <f t="shared" si="1175"/>
        <v>EXP00415</v>
      </c>
      <c r="B14927" s="3" t="s">
        <v>66</v>
      </c>
      <c r="C14927" s="4" t="str">
        <f t="shared" si="1176"/>
        <v>TCGA-BRCA</v>
      </c>
      <c r="D14927" s="1" t="s">
        <v>493</v>
      </c>
      <c r="E14927" t="s">
        <v>533</v>
      </c>
      <c r="F14927" s="1">
        <v>2</v>
      </c>
      <c r="G14927" s="1" t="s">
        <v>28</v>
      </c>
      <c r="H14927" s="4" t="str">
        <f>HYPERLINK("https://portal.gdc.cancer.gov/cases/c6086936-7544-4da0-8c0c-114166848483","TCGA-AN-A0FD-01A")</f>
        <v>TCGA-AN-A0FD-01A</v>
      </c>
      <c r="I14927" t="s">
        <v>17</v>
      </c>
      <c r="J14927" t="s">
        <v>524</v>
      </c>
      <c r="K14927" t="s">
        <v>33</v>
      </c>
      <c r="L14927" t="s">
        <v>20</v>
      </c>
      <c r="N14927" t="s">
        <v>29</v>
      </c>
    </row>
    <row r="14928" spans="1:14">
      <c r="A14928" s="4" t="str">
        <f t="shared" si="1175"/>
        <v>EXP00415</v>
      </c>
      <c r="B14928" s="3" t="s">
        <v>66</v>
      </c>
      <c r="C14928" s="4" t="str">
        <f t="shared" si="1176"/>
        <v>TCGA-BRCA</v>
      </c>
      <c r="D14928" s="1" t="s">
        <v>493</v>
      </c>
      <c r="E14928" t="s">
        <v>533</v>
      </c>
      <c r="F14928" s="1">
        <v>2</v>
      </c>
      <c r="G14928" s="1" t="s">
        <v>28</v>
      </c>
      <c r="H14928" s="4" t="str">
        <f>HYPERLINK("https://portal.gdc.cancer.gov/cases/d5cab7f5-e4f1-40ee-a0c8-4c8004c1c9a0","TCGA-AN-A0FF-01A")</f>
        <v>TCGA-AN-A0FF-01A</v>
      </c>
      <c r="I14928" t="s">
        <v>17</v>
      </c>
      <c r="J14928" t="s">
        <v>524</v>
      </c>
      <c r="K14928" t="s">
        <v>33</v>
      </c>
      <c r="L14928" t="s">
        <v>20</v>
      </c>
      <c r="N14928" t="s">
        <v>29</v>
      </c>
    </row>
    <row r="14929" spans="1:14">
      <c r="A14929" s="4" t="str">
        <f t="shared" si="1175"/>
        <v>EXP00415</v>
      </c>
      <c r="B14929" s="3" t="s">
        <v>66</v>
      </c>
      <c r="C14929" s="4" t="str">
        <f t="shared" si="1176"/>
        <v>TCGA-BRCA</v>
      </c>
      <c r="D14929" s="1" t="s">
        <v>493</v>
      </c>
      <c r="E14929" t="s">
        <v>533</v>
      </c>
      <c r="F14929" s="1">
        <v>2</v>
      </c>
      <c r="G14929" s="1" t="s">
        <v>28</v>
      </c>
      <c r="H14929" s="4" t="str">
        <f>HYPERLINK("https://portal.gdc.cancer.gov/cases/546248b0-22a0-4b70-a437-76fb0a238a0d","TCGA-AN-A0FJ-01A")</f>
        <v>TCGA-AN-A0FJ-01A</v>
      </c>
      <c r="I14929" t="s">
        <v>17</v>
      </c>
      <c r="J14929" t="s">
        <v>524</v>
      </c>
      <c r="K14929" t="s">
        <v>33</v>
      </c>
      <c r="L14929" t="s">
        <v>20</v>
      </c>
      <c r="N14929" t="s">
        <v>29</v>
      </c>
    </row>
    <row r="14930" spans="1:14">
      <c r="A14930" s="4" t="str">
        <f t="shared" si="1175"/>
        <v>EXP00415</v>
      </c>
      <c r="B14930" s="3" t="s">
        <v>66</v>
      </c>
      <c r="C14930" s="4" t="str">
        <f t="shared" si="1176"/>
        <v>TCGA-BRCA</v>
      </c>
      <c r="D14930" s="1" t="s">
        <v>493</v>
      </c>
      <c r="E14930" t="s">
        <v>533</v>
      </c>
      <c r="F14930" s="1">
        <v>2</v>
      </c>
      <c r="G14930" s="1" t="s">
        <v>28</v>
      </c>
      <c r="H14930" s="4" t="str">
        <f>HYPERLINK("https://portal.gdc.cancer.gov/cases/2f4cbedf-ed7e-45a2-bf34-f1d1e696bdde","TCGA-AN-A0FK-01A")</f>
        <v>TCGA-AN-A0FK-01A</v>
      </c>
      <c r="I14930" t="s">
        <v>17</v>
      </c>
      <c r="J14930" t="s">
        <v>524</v>
      </c>
      <c r="K14930" t="s">
        <v>33</v>
      </c>
      <c r="L14930" t="s">
        <v>20</v>
      </c>
      <c r="N14930" t="s">
        <v>29</v>
      </c>
    </row>
    <row r="14931" spans="1:14">
      <c r="A14931" s="4" t="str">
        <f t="shared" si="1175"/>
        <v>EXP00415</v>
      </c>
      <c r="B14931" s="3" t="s">
        <v>66</v>
      </c>
      <c r="C14931" s="4" t="str">
        <f t="shared" si="1176"/>
        <v>TCGA-BRCA</v>
      </c>
      <c r="D14931" s="1" t="s">
        <v>493</v>
      </c>
      <c r="E14931" t="s">
        <v>533</v>
      </c>
      <c r="F14931" s="1">
        <v>2</v>
      </c>
      <c r="G14931" s="1" t="s">
        <v>28</v>
      </c>
      <c r="H14931" s="4" t="str">
        <f>HYPERLINK("https://portal.gdc.cancer.gov/cases/baf1207d-7d1a-4cad-ba58-62c26be2415e","TCGA-AN-A0FL-01A")</f>
        <v>TCGA-AN-A0FL-01A</v>
      </c>
      <c r="I14931" t="s">
        <v>17</v>
      </c>
      <c r="J14931" t="s">
        <v>524</v>
      </c>
      <c r="K14931" t="s">
        <v>33</v>
      </c>
      <c r="L14931" t="s">
        <v>20</v>
      </c>
      <c r="N14931" t="s">
        <v>29</v>
      </c>
    </row>
    <row r="14932" spans="1:14">
      <c r="A14932" s="4" t="str">
        <f t="shared" si="1175"/>
        <v>EXP00415</v>
      </c>
      <c r="B14932" s="3" t="s">
        <v>66</v>
      </c>
      <c r="C14932" s="4" t="str">
        <f t="shared" si="1176"/>
        <v>TCGA-BRCA</v>
      </c>
      <c r="D14932" s="1" t="s">
        <v>493</v>
      </c>
      <c r="E14932" t="s">
        <v>533</v>
      </c>
      <c r="F14932" s="1">
        <v>2</v>
      </c>
      <c r="G14932" s="1" t="s">
        <v>28</v>
      </c>
      <c r="H14932" s="4" t="str">
        <f>HYPERLINK("https://portal.gdc.cancer.gov/cases/c2a742fe-3e8b-4210-85a6-7191a1123609","TCGA-AN-A0FN-01A")</f>
        <v>TCGA-AN-A0FN-01A</v>
      </c>
      <c r="I14932" t="s">
        <v>17</v>
      </c>
      <c r="J14932" t="s">
        <v>524</v>
      </c>
      <c r="K14932" t="s">
        <v>33</v>
      </c>
      <c r="L14932" t="s">
        <v>20</v>
      </c>
      <c r="N14932" t="s">
        <v>29</v>
      </c>
    </row>
    <row r="14933" spans="1:14">
      <c r="A14933" s="4" t="str">
        <f t="shared" si="1175"/>
        <v>EXP00415</v>
      </c>
      <c r="B14933" s="3" t="s">
        <v>66</v>
      </c>
      <c r="C14933" s="4" t="str">
        <f t="shared" si="1176"/>
        <v>TCGA-BRCA</v>
      </c>
      <c r="D14933" s="1" t="s">
        <v>493</v>
      </c>
      <c r="E14933" t="s">
        <v>533</v>
      </c>
      <c r="F14933" s="1">
        <v>2</v>
      </c>
      <c r="G14933" s="1" t="s">
        <v>28</v>
      </c>
      <c r="H14933" s="4" t="str">
        <f>HYPERLINK("https://portal.gdc.cancer.gov/cases/10c9be1e-2cc0-45e4-8d2c-c013ea63ef05","TCGA-AN-A0FS-01A")</f>
        <v>TCGA-AN-A0FS-01A</v>
      </c>
      <c r="I14933" t="s">
        <v>17</v>
      </c>
      <c r="J14933" t="s">
        <v>524</v>
      </c>
      <c r="K14933" t="s">
        <v>33</v>
      </c>
      <c r="L14933" t="s">
        <v>20</v>
      </c>
      <c r="N14933" t="s">
        <v>29</v>
      </c>
    </row>
    <row r="14934" spans="1:14">
      <c r="A14934" s="4" t="str">
        <f t="shared" si="1175"/>
        <v>EXP00415</v>
      </c>
      <c r="B14934" s="3" t="s">
        <v>66</v>
      </c>
      <c r="C14934" s="4" t="str">
        <f t="shared" si="1176"/>
        <v>TCGA-BRCA</v>
      </c>
      <c r="D14934" s="1" t="s">
        <v>493</v>
      </c>
      <c r="E14934" t="s">
        <v>533</v>
      </c>
      <c r="F14934" s="1">
        <v>2</v>
      </c>
      <c r="G14934" s="1" t="s">
        <v>28</v>
      </c>
      <c r="H14934" s="4" t="str">
        <f>HYPERLINK("https://portal.gdc.cancer.gov/cases/baf5e81f-2322-41ec-9053-b9559a7993bc","TCGA-AN-A0FT-01A")</f>
        <v>TCGA-AN-A0FT-01A</v>
      </c>
      <c r="I14934" t="s">
        <v>17</v>
      </c>
      <c r="J14934" t="s">
        <v>524</v>
      </c>
      <c r="K14934" t="s">
        <v>33</v>
      </c>
      <c r="L14934" t="s">
        <v>20</v>
      </c>
      <c r="N14934" t="s">
        <v>29</v>
      </c>
    </row>
    <row r="14935" spans="1:14">
      <c r="A14935" s="4" t="str">
        <f t="shared" si="1175"/>
        <v>EXP00415</v>
      </c>
      <c r="B14935" s="3" t="s">
        <v>66</v>
      </c>
      <c r="C14935" s="4" t="str">
        <f t="shared" si="1176"/>
        <v>TCGA-BRCA</v>
      </c>
      <c r="D14935" s="1" t="s">
        <v>493</v>
      </c>
      <c r="E14935" t="s">
        <v>533</v>
      </c>
      <c r="F14935" s="1">
        <v>2</v>
      </c>
      <c r="G14935" s="1" t="s">
        <v>28</v>
      </c>
      <c r="H14935" s="4" t="str">
        <f>HYPERLINK("https://portal.gdc.cancer.gov/cases/2e8e70f2-c781-44c2-8f12-1f8c2f536aa3","TCGA-AN-A0FV-01A")</f>
        <v>TCGA-AN-A0FV-01A</v>
      </c>
      <c r="I14935" t="s">
        <v>17</v>
      </c>
      <c r="J14935" t="s">
        <v>524</v>
      </c>
      <c r="K14935" t="s">
        <v>33</v>
      </c>
      <c r="L14935" t="s">
        <v>20</v>
      </c>
      <c r="N14935" t="s">
        <v>29</v>
      </c>
    </row>
    <row r="14936" spans="1:14">
      <c r="A14936" s="4" t="str">
        <f t="shared" si="1175"/>
        <v>EXP00415</v>
      </c>
      <c r="B14936" s="3" t="s">
        <v>66</v>
      </c>
      <c r="C14936" s="4" t="str">
        <f t="shared" si="1176"/>
        <v>TCGA-BRCA</v>
      </c>
      <c r="D14936" s="1" t="s">
        <v>493</v>
      </c>
      <c r="E14936" t="s">
        <v>533</v>
      </c>
      <c r="F14936" s="1">
        <v>2</v>
      </c>
      <c r="G14936" s="1" t="s">
        <v>28</v>
      </c>
      <c r="H14936" s="4" t="str">
        <f>HYPERLINK("https://portal.gdc.cancer.gov/cases/e112b452-8850-4353-bfed-0dbdc243290b","TCGA-AN-A0FW-01A")</f>
        <v>TCGA-AN-A0FW-01A</v>
      </c>
      <c r="I14936" t="s">
        <v>17</v>
      </c>
      <c r="J14936" t="s">
        <v>524</v>
      </c>
      <c r="K14936" t="s">
        <v>33</v>
      </c>
      <c r="L14936" t="s">
        <v>20</v>
      </c>
      <c r="N14936" t="s">
        <v>29</v>
      </c>
    </row>
    <row r="14937" spans="1:14">
      <c r="A14937" s="4" t="str">
        <f t="shared" si="1175"/>
        <v>EXP00415</v>
      </c>
      <c r="B14937" s="3" t="s">
        <v>66</v>
      </c>
      <c r="C14937" s="4" t="str">
        <f t="shared" si="1176"/>
        <v>TCGA-BRCA</v>
      </c>
      <c r="D14937" s="1" t="s">
        <v>493</v>
      </c>
      <c r="E14937" t="s">
        <v>533</v>
      </c>
      <c r="F14937" s="1">
        <v>2</v>
      </c>
      <c r="G14937" s="1" t="s">
        <v>28</v>
      </c>
      <c r="H14937" s="4" t="str">
        <f>HYPERLINK("https://portal.gdc.cancer.gov/cases/13b860c3-8048-4dc9-9eb0-7480bc660837","TCGA-AN-A0FX-01A")</f>
        <v>TCGA-AN-A0FX-01A</v>
      </c>
      <c r="I14937" t="s">
        <v>17</v>
      </c>
      <c r="J14937" t="s">
        <v>524</v>
      </c>
      <c r="K14937" t="s">
        <v>33</v>
      </c>
      <c r="L14937" t="s">
        <v>20</v>
      </c>
      <c r="N14937" t="s">
        <v>29</v>
      </c>
    </row>
    <row r="14938" spans="1:14">
      <c r="A14938" s="4" t="str">
        <f t="shared" si="1175"/>
        <v>EXP00415</v>
      </c>
      <c r="B14938" s="3" t="s">
        <v>66</v>
      </c>
      <c r="C14938" s="4" t="str">
        <f t="shared" si="1176"/>
        <v>TCGA-BRCA</v>
      </c>
      <c r="D14938" s="1" t="s">
        <v>493</v>
      </c>
      <c r="E14938" t="s">
        <v>533</v>
      </c>
      <c r="F14938" s="1">
        <v>2</v>
      </c>
      <c r="G14938" s="1" t="s">
        <v>28</v>
      </c>
      <c r="H14938" s="4" t="str">
        <f>HYPERLINK("https://portal.gdc.cancer.gov/cases/de75d0b9-0f47-4732-8df5-05c350cfcd32","TCGA-AN-A0FY-01A")</f>
        <v>TCGA-AN-A0FY-01A</v>
      </c>
      <c r="I14938" t="s">
        <v>17</v>
      </c>
      <c r="J14938" t="s">
        <v>524</v>
      </c>
      <c r="K14938" t="s">
        <v>33</v>
      </c>
      <c r="L14938" t="s">
        <v>20</v>
      </c>
      <c r="N14938" t="s">
        <v>29</v>
      </c>
    </row>
    <row r="14939" spans="1:14">
      <c r="A14939" s="4" t="str">
        <f t="shared" si="1175"/>
        <v>EXP00415</v>
      </c>
      <c r="B14939" s="3" t="s">
        <v>66</v>
      </c>
      <c r="C14939" s="4" t="str">
        <f t="shared" si="1176"/>
        <v>TCGA-BRCA</v>
      </c>
      <c r="D14939" s="1" t="s">
        <v>493</v>
      </c>
      <c r="E14939" t="s">
        <v>533</v>
      </c>
      <c r="F14939" s="1">
        <v>2</v>
      </c>
      <c r="G14939" s="1" t="s">
        <v>28</v>
      </c>
      <c r="H14939" s="4" t="str">
        <f>HYPERLINK("https://portal.gdc.cancer.gov/cases/8240c4ae-f878-4882-aa07-7857c7ac52cf","TCGA-AN-A0FZ-01A")</f>
        <v>TCGA-AN-A0FZ-01A</v>
      </c>
      <c r="I14939" t="s">
        <v>17</v>
      </c>
      <c r="J14939" t="s">
        <v>524</v>
      </c>
      <c r="K14939" t="s">
        <v>33</v>
      </c>
      <c r="L14939" t="s">
        <v>20</v>
      </c>
      <c r="N14939" t="s">
        <v>29</v>
      </c>
    </row>
    <row r="14940" spans="1:14">
      <c r="A14940" s="4" t="str">
        <f t="shared" si="1175"/>
        <v>EXP00415</v>
      </c>
      <c r="B14940" s="3" t="s">
        <v>66</v>
      </c>
      <c r="C14940" s="4" t="str">
        <f t="shared" si="1176"/>
        <v>TCGA-BRCA</v>
      </c>
      <c r="D14940" s="1" t="s">
        <v>493</v>
      </c>
      <c r="E14940" t="s">
        <v>533</v>
      </c>
      <c r="F14940" s="1">
        <v>2</v>
      </c>
      <c r="G14940" s="1" t="s">
        <v>28</v>
      </c>
      <c r="H14940" s="4" t="str">
        <f>HYPERLINK("https://portal.gdc.cancer.gov/cases/96312510-c126-485d-8109-ed81844a1dc3","TCGA-AN-A0G0-01A")</f>
        <v>TCGA-AN-A0G0-01A</v>
      </c>
      <c r="I14940" t="s">
        <v>17</v>
      </c>
      <c r="J14940" t="s">
        <v>524</v>
      </c>
      <c r="K14940" t="s">
        <v>33</v>
      </c>
      <c r="L14940" t="s">
        <v>20</v>
      </c>
      <c r="N14940" t="s">
        <v>29</v>
      </c>
    </row>
    <row r="14941" spans="1:14">
      <c r="A14941" s="4" t="str">
        <f t="shared" si="1175"/>
        <v>EXP00415</v>
      </c>
      <c r="B14941" s="3" t="s">
        <v>66</v>
      </c>
      <c r="C14941" s="4" t="str">
        <f t="shared" si="1176"/>
        <v>TCGA-BRCA</v>
      </c>
      <c r="D14941" s="1" t="s">
        <v>493</v>
      </c>
      <c r="E14941" t="s">
        <v>533</v>
      </c>
      <c r="F14941" s="1">
        <v>2</v>
      </c>
      <c r="G14941" s="1" t="s">
        <v>28</v>
      </c>
      <c r="H14941" s="4" t="str">
        <f>HYPERLINK("https://portal.gdc.cancer.gov/cases/4649dee3-b668-44cd-ab97-3834de3ef8f8","TCGA-AN-A0XL-01A")</f>
        <v>TCGA-AN-A0XL-01A</v>
      </c>
      <c r="I14941" t="s">
        <v>17</v>
      </c>
      <c r="J14941" t="s">
        <v>524</v>
      </c>
      <c r="K14941" t="s">
        <v>33</v>
      </c>
      <c r="L14941" t="s">
        <v>20</v>
      </c>
      <c r="N14941" t="s">
        <v>29</v>
      </c>
    </row>
    <row r="14942" spans="1:14">
      <c r="A14942" s="4" t="str">
        <f t="shared" si="1175"/>
        <v>EXP00415</v>
      </c>
      <c r="B14942" s="3" t="s">
        <v>66</v>
      </c>
      <c r="C14942" s="4" t="str">
        <f t="shared" si="1176"/>
        <v>TCGA-BRCA</v>
      </c>
      <c r="D14942" s="1" t="s">
        <v>493</v>
      </c>
      <c r="E14942" t="s">
        <v>533</v>
      </c>
      <c r="F14942" s="1">
        <v>2</v>
      </c>
      <c r="G14942" s="1" t="s">
        <v>28</v>
      </c>
      <c r="H14942" s="4" t="str">
        <f>HYPERLINK("https://portal.gdc.cancer.gov/cases/4e3699da-4367-4a43-9d66-a117d3ad460d","TCGA-AN-A0XN-01A")</f>
        <v>TCGA-AN-A0XN-01A</v>
      </c>
      <c r="I14942" t="s">
        <v>17</v>
      </c>
      <c r="J14942" t="s">
        <v>524</v>
      </c>
      <c r="K14942" t="s">
        <v>33</v>
      </c>
      <c r="L14942" t="s">
        <v>20</v>
      </c>
      <c r="N14942" t="s">
        <v>29</v>
      </c>
    </row>
    <row r="14943" spans="1:14">
      <c r="A14943" s="4" t="str">
        <f t="shared" si="1175"/>
        <v>EXP00415</v>
      </c>
      <c r="B14943" s="3" t="s">
        <v>66</v>
      </c>
      <c r="C14943" s="4" t="str">
        <f t="shared" si="1176"/>
        <v>TCGA-BRCA</v>
      </c>
      <c r="D14943" s="1" t="s">
        <v>493</v>
      </c>
      <c r="E14943" t="s">
        <v>533</v>
      </c>
      <c r="F14943" s="1">
        <v>2</v>
      </c>
      <c r="G14943" s="1" t="s">
        <v>28</v>
      </c>
      <c r="H14943" s="4" t="str">
        <f>HYPERLINK("https://portal.gdc.cancer.gov/cases/195b6731-6ae6-416e-a345-0eb8874a0ca2","TCGA-AN-A0XO-01A")</f>
        <v>TCGA-AN-A0XO-01A</v>
      </c>
      <c r="I14943" t="s">
        <v>17</v>
      </c>
      <c r="J14943" t="s">
        <v>524</v>
      </c>
      <c r="K14943" t="s">
        <v>33</v>
      </c>
      <c r="L14943" t="s">
        <v>20</v>
      </c>
      <c r="N14943" t="s">
        <v>29</v>
      </c>
    </row>
    <row r="14944" spans="1:14">
      <c r="A14944" s="4" t="str">
        <f t="shared" si="1175"/>
        <v>EXP00415</v>
      </c>
      <c r="B14944" s="3" t="s">
        <v>66</v>
      </c>
      <c r="C14944" s="4" t="str">
        <f t="shared" si="1176"/>
        <v>TCGA-BRCA</v>
      </c>
      <c r="D14944" s="1" t="s">
        <v>493</v>
      </c>
      <c r="E14944" t="s">
        <v>533</v>
      </c>
      <c r="F14944" s="1">
        <v>2</v>
      </c>
      <c r="G14944" s="1" t="s">
        <v>28</v>
      </c>
      <c r="H14944" s="4" t="str">
        <f>HYPERLINK("https://portal.gdc.cancer.gov/cases/cf0e7e4e-b857-4db5-9ae2-551a899f77be","TCGA-AN-A0XP-01A")</f>
        <v>TCGA-AN-A0XP-01A</v>
      </c>
      <c r="I14944" t="s">
        <v>17</v>
      </c>
      <c r="J14944" t="s">
        <v>524</v>
      </c>
      <c r="K14944" t="s">
        <v>33</v>
      </c>
      <c r="L14944" t="s">
        <v>20</v>
      </c>
      <c r="N14944" t="s">
        <v>29</v>
      </c>
    </row>
    <row r="14945" spans="1:14">
      <c r="A14945" s="4" t="str">
        <f t="shared" si="1175"/>
        <v>EXP00415</v>
      </c>
      <c r="B14945" s="3" t="s">
        <v>66</v>
      </c>
      <c r="C14945" s="4" t="str">
        <f t="shared" si="1176"/>
        <v>TCGA-BRCA</v>
      </c>
      <c r="D14945" s="1" t="s">
        <v>493</v>
      </c>
      <c r="E14945" t="s">
        <v>533</v>
      </c>
      <c r="F14945" s="1">
        <v>2</v>
      </c>
      <c r="G14945" s="1" t="s">
        <v>28</v>
      </c>
      <c r="H14945" s="4" t="str">
        <f>HYPERLINK("https://portal.gdc.cancer.gov/cases/f51af6db-2655-47fb-9ffc-83a503a728ea","TCGA-AN-A0XR-01A")</f>
        <v>TCGA-AN-A0XR-01A</v>
      </c>
      <c r="I14945" t="s">
        <v>17</v>
      </c>
      <c r="J14945" t="s">
        <v>524</v>
      </c>
      <c r="K14945" t="s">
        <v>33</v>
      </c>
      <c r="L14945" t="s">
        <v>20</v>
      </c>
      <c r="N14945" t="s">
        <v>29</v>
      </c>
    </row>
    <row r="14946" spans="1:14">
      <c r="A14946" s="4" t="str">
        <f t="shared" si="1175"/>
        <v>EXP00415</v>
      </c>
      <c r="B14946" s="3" t="s">
        <v>66</v>
      </c>
      <c r="C14946" s="4" t="str">
        <f t="shared" si="1176"/>
        <v>TCGA-BRCA</v>
      </c>
      <c r="D14946" s="1" t="s">
        <v>493</v>
      </c>
      <c r="E14946" t="s">
        <v>533</v>
      </c>
      <c r="F14946" s="1">
        <v>2</v>
      </c>
      <c r="G14946" s="1" t="s">
        <v>28</v>
      </c>
      <c r="H14946" s="4" t="str">
        <f>HYPERLINK("https://portal.gdc.cancer.gov/cases/95e949d3-b1f3-46c6-9451-8fe92c99e4cf","TCGA-AN-A0XS-01A")</f>
        <v>TCGA-AN-A0XS-01A</v>
      </c>
      <c r="I14946" t="s">
        <v>17</v>
      </c>
      <c r="J14946" t="s">
        <v>524</v>
      </c>
      <c r="K14946" t="s">
        <v>33</v>
      </c>
      <c r="L14946" t="s">
        <v>20</v>
      </c>
      <c r="N14946" t="s">
        <v>29</v>
      </c>
    </row>
    <row r="14947" spans="1:14">
      <c r="A14947" s="4" t="str">
        <f t="shared" si="1175"/>
        <v>EXP00415</v>
      </c>
      <c r="B14947" s="3" t="s">
        <v>66</v>
      </c>
      <c r="C14947" s="4" t="str">
        <f t="shared" si="1176"/>
        <v>TCGA-BRCA</v>
      </c>
      <c r="D14947" s="1" t="s">
        <v>493</v>
      </c>
      <c r="E14947" t="s">
        <v>533</v>
      </c>
      <c r="F14947" s="1">
        <v>2</v>
      </c>
      <c r="G14947" s="1" t="s">
        <v>28</v>
      </c>
      <c r="H14947" s="4" t="str">
        <f>HYPERLINK("https://portal.gdc.cancer.gov/cases/3e25056d-d137-49f5-abaa-f68509426600","TCGA-AN-A0XT-01A")</f>
        <v>TCGA-AN-A0XT-01A</v>
      </c>
      <c r="I14947" t="s">
        <v>17</v>
      </c>
      <c r="J14947" t="s">
        <v>524</v>
      </c>
      <c r="K14947" t="s">
        <v>33</v>
      </c>
      <c r="L14947" t="s">
        <v>20</v>
      </c>
      <c r="N14947" t="s">
        <v>29</v>
      </c>
    </row>
    <row r="14948" spans="1:14">
      <c r="A14948" s="4" t="str">
        <f t="shared" si="1175"/>
        <v>EXP00415</v>
      </c>
      <c r="B14948" s="3" t="s">
        <v>66</v>
      </c>
      <c r="C14948" s="4" t="str">
        <f t="shared" si="1176"/>
        <v>TCGA-BRCA</v>
      </c>
      <c r="D14948" s="1" t="s">
        <v>493</v>
      </c>
      <c r="E14948" t="s">
        <v>533</v>
      </c>
      <c r="F14948" s="1">
        <v>2</v>
      </c>
      <c r="G14948" s="1" t="s">
        <v>28</v>
      </c>
      <c r="H14948" s="4" t="str">
        <f>HYPERLINK("https://portal.gdc.cancer.gov/cases/a1da9db1-db11-4f4d-a249-c738db81b87e","TCGA-AN-A0XU-01A")</f>
        <v>TCGA-AN-A0XU-01A</v>
      </c>
      <c r="I14948" t="s">
        <v>17</v>
      </c>
      <c r="J14948" t="s">
        <v>524</v>
      </c>
      <c r="K14948" t="s">
        <v>33</v>
      </c>
      <c r="L14948" t="s">
        <v>20</v>
      </c>
      <c r="N14948" t="s">
        <v>29</v>
      </c>
    </row>
    <row r="14949" spans="1:14">
      <c r="A14949" s="4" t="str">
        <f t="shared" si="1175"/>
        <v>EXP00415</v>
      </c>
      <c r="B14949" s="3" t="s">
        <v>66</v>
      </c>
      <c r="C14949" s="4" t="str">
        <f t="shared" si="1176"/>
        <v>TCGA-BRCA</v>
      </c>
      <c r="D14949" s="1" t="s">
        <v>493</v>
      </c>
      <c r="E14949" t="s">
        <v>533</v>
      </c>
      <c r="F14949" s="1">
        <v>2</v>
      </c>
      <c r="G14949" s="1" t="s">
        <v>28</v>
      </c>
      <c r="H14949" s="4" t="str">
        <f>HYPERLINK("https://portal.gdc.cancer.gov/cases/ac18b3a3-8d52-4e35-8625-673171a7fd92","TCGA-AN-A0XV-01A")</f>
        <v>TCGA-AN-A0XV-01A</v>
      </c>
      <c r="I14949" t="s">
        <v>17</v>
      </c>
      <c r="J14949" t="s">
        <v>524</v>
      </c>
      <c r="K14949" t="s">
        <v>33</v>
      </c>
      <c r="L14949" t="s">
        <v>20</v>
      </c>
      <c r="N14949" t="s">
        <v>29</v>
      </c>
    </row>
    <row r="14950" spans="1:14">
      <c r="A14950" s="4" t="str">
        <f t="shared" si="1175"/>
        <v>EXP00415</v>
      </c>
      <c r="B14950" s="3" t="s">
        <v>66</v>
      </c>
      <c r="C14950" s="4" t="str">
        <f t="shared" si="1176"/>
        <v>TCGA-BRCA</v>
      </c>
      <c r="D14950" s="1" t="s">
        <v>493</v>
      </c>
      <c r="E14950" t="s">
        <v>533</v>
      </c>
      <c r="F14950" s="1">
        <v>2</v>
      </c>
      <c r="G14950" s="1" t="s">
        <v>28</v>
      </c>
      <c r="H14950" s="4" t="str">
        <f>HYPERLINK("https://portal.gdc.cancer.gov/cases/39de7761-e762-4811-b95c-8216b79ae06b","TCGA-AN-A0XW-01A")</f>
        <v>TCGA-AN-A0XW-01A</v>
      </c>
      <c r="I14950" t="s">
        <v>17</v>
      </c>
      <c r="J14950" t="s">
        <v>524</v>
      </c>
      <c r="K14950" t="s">
        <v>33</v>
      </c>
      <c r="L14950" t="s">
        <v>20</v>
      </c>
      <c r="N14950" t="s">
        <v>29</v>
      </c>
    </row>
    <row r="14951" spans="1:14">
      <c r="A14951" s="4" t="str">
        <f t="shared" si="1175"/>
        <v>EXP00415</v>
      </c>
      <c r="B14951" s="3" t="s">
        <v>66</v>
      </c>
      <c r="C14951" s="4" t="str">
        <f t="shared" si="1176"/>
        <v>TCGA-BRCA</v>
      </c>
      <c r="D14951" s="1" t="s">
        <v>493</v>
      </c>
      <c r="E14951" t="s">
        <v>533</v>
      </c>
      <c r="F14951" s="1">
        <v>2</v>
      </c>
      <c r="G14951" s="1" t="s">
        <v>28</v>
      </c>
      <c r="H14951" s="4" t="str">
        <f>HYPERLINK("https://portal.gdc.cancer.gov/cases/1174f6e4-ffbe-4e59-a000-8d861c968369","TCGA-AO-A03L-01A")</f>
        <v>TCGA-AO-A03L-01A</v>
      </c>
      <c r="I14951" t="s">
        <v>17</v>
      </c>
      <c r="J14951" t="s">
        <v>524</v>
      </c>
      <c r="K14951" t="s">
        <v>33</v>
      </c>
      <c r="L14951" t="s">
        <v>20</v>
      </c>
      <c r="N14951" t="s">
        <v>29</v>
      </c>
    </row>
    <row r="14952" spans="1:14">
      <c r="A14952" s="4" t="str">
        <f t="shared" si="1175"/>
        <v>EXP00415</v>
      </c>
      <c r="B14952" s="3" t="s">
        <v>66</v>
      </c>
      <c r="C14952" s="4" t="str">
        <f t="shared" si="1176"/>
        <v>TCGA-BRCA</v>
      </c>
      <c r="D14952" s="1" t="s">
        <v>493</v>
      </c>
      <c r="E14952" t="s">
        <v>533</v>
      </c>
      <c r="F14952" s="1">
        <v>2</v>
      </c>
      <c r="G14952" s="1" t="s">
        <v>28</v>
      </c>
      <c r="H14952" s="4" t="str">
        <f>HYPERLINK("https://portal.gdc.cancer.gov/cases/095c7985-3842-494f-b591-706ad1cd2133","TCGA-AO-A03M-01B")</f>
        <v>TCGA-AO-A03M-01B</v>
      </c>
      <c r="I14952" t="s">
        <v>17</v>
      </c>
      <c r="J14952" t="s">
        <v>524</v>
      </c>
      <c r="K14952" t="s">
        <v>33</v>
      </c>
      <c r="L14952" t="s">
        <v>20</v>
      </c>
      <c r="N14952" t="s">
        <v>29</v>
      </c>
    </row>
    <row r="14953" spans="1:14">
      <c r="A14953" s="4" t="str">
        <f t="shared" si="1175"/>
        <v>EXP00415</v>
      </c>
      <c r="B14953" s="3" t="s">
        <v>66</v>
      </c>
      <c r="C14953" s="4" t="str">
        <f t="shared" si="1176"/>
        <v>TCGA-BRCA</v>
      </c>
      <c r="D14953" s="1" t="s">
        <v>493</v>
      </c>
      <c r="E14953" t="s">
        <v>533</v>
      </c>
      <c r="F14953" s="1">
        <v>2</v>
      </c>
      <c r="G14953" s="1" t="s">
        <v>28</v>
      </c>
      <c r="H14953" s="4" t="str">
        <f>HYPERLINK("https://portal.gdc.cancer.gov/cases/9435447e-d65f-408b-863b-6576b1d652dd","TCGA-AO-A03N-01B")</f>
        <v>TCGA-AO-A03N-01B</v>
      </c>
      <c r="I14953" t="s">
        <v>17</v>
      </c>
      <c r="J14953" t="s">
        <v>524</v>
      </c>
      <c r="K14953" t="s">
        <v>33</v>
      </c>
      <c r="L14953" t="s">
        <v>20</v>
      </c>
      <c r="N14953" t="s">
        <v>29</v>
      </c>
    </row>
    <row r="14954" spans="1:14">
      <c r="A14954" s="4" t="str">
        <f t="shared" si="1175"/>
        <v>EXP00415</v>
      </c>
      <c r="B14954" s="3" t="s">
        <v>66</v>
      </c>
      <c r="C14954" s="4" t="str">
        <f t="shared" si="1176"/>
        <v>TCGA-BRCA</v>
      </c>
      <c r="D14954" s="1" t="s">
        <v>493</v>
      </c>
      <c r="E14954" t="s">
        <v>533</v>
      </c>
      <c r="F14954" s="1">
        <v>2</v>
      </c>
      <c r="G14954" s="1" t="s">
        <v>28</v>
      </c>
      <c r="H14954" s="4" t="str">
        <f>HYPERLINK("https://portal.gdc.cancer.gov/cases/1111fb30-46ce-4722-98da-ec9ba2323d90","TCGA-AO-A03O-01A")</f>
        <v>TCGA-AO-A03O-01A</v>
      </c>
      <c r="I14954" t="s">
        <v>17</v>
      </c>
      <c r="J14954" t="s">
        <v>524</v>
      </c>
      <c r="K14954" t="s">
        <v>33</v>
      </c>
      <c r="L14954" t="s">
        <v>20</v>
      </c>
      <c r="N14954" t="s">
        <v>29</v>
      </c>
    </row>
    <row r="14955" spans="1:14">
      <c r="A14955" s="4" t="str">
        <f t="shared" si="1175"/>
        <v>EXP00415</v>
      </c>
      <c r="B14955" s="3" t="s">
        <v>66</v>
      </c>
      <c r="C14955" s="4" t="str">
        <f t="shared" si="1176"/>
        <v>TCGA-BRCA</v>
      </c>
      <c r="D14955" s="1" t="s">
        <v>493</v>
      </c>
      <c r="E14955" t="s">
        <v>533</v>
      </c>
      <c r="F14955" s="1">
        <v>2</v>
      </c>
      <c r="G14955" s="1" t="s">
        <v>28</v>
      </c>
      <c r="H14955" s="4" t="str">
        <f>HYPERLINK("https://portal.gdc.cancer.gov/cases/2e82e576-3095-4aee-9853-65f676647c34","TCGA-AO-A03R-01A")</f>
        <v>TCGA-AO-A03R-01A</v>
      </c>
      <c r="I14955" t="s">
        <v>17</v>
      </c>
      <c r="J14955" t="s">
        <v>524</v>
      </c>
      <c r="K14955" t="s">
        <v>33</v>
      </c>
      <c r="L14955" t="s">
        <v>20</v>
      </c>
      <c r="N14955" t="s">
        <v>29</v>
      </c>
    </row>
    <row r="14956" spans="1:14">
      <c r="A14956" s="4" t="str">
        <f t="shared" si="1175"/>
        <v>EXP00415</v>
      </c>
      <c r="B14956" s="3" t="s">
        <v>66</v>
      </c>
      <c r="C14956" s="4" t="str">
        <f t="shared" si="1176"/>
        <v>TCGA-BRCA</v>
      </c>
      <c r="D14956" s="1" t="s">
        <v>493</v>
      </c>
      <c r="E14956" t="s">
        <v>533</v>
      </c>
      <c r="F14956" s="1">
        <v>2</v>
      </c>
      <c r="G14956" s="1" t="s">
        <v>28</v>
      </c>
      <c r="H14956" s="4" t="str">
        <f>HYPERLINK("https://portal.gdc.cancer.gov/cases/dd6b64a8-d546-4fd1-bbbd-ac9703791cae","TCGA-AO-A03T-01A")</f>
        <v>TCGA-AO-A03T-01A</v>
      </c>
      <c r="I14956" t="s">
        <v>17</v>
      </c>
      <c r="J14956" t="s">
        <v>524</v>
      </c>
      <c r="K14956" t="s">
        <v>33</v>
      </c>
      <c r="L14956" t="s">
        <v>20</v>
      </c>
      <c r="N14956" t="s">
        <v>29</v>
      </c>
    </row>
    <row r="14957" spans="1:14">
      <c r="A14957" s="4" t="str">
        <f t="shared" si="1175"/>
        <v>EXP00415</v>
      </c>
      <c r="B14957" s="3" t="s">
        <v>66</v>
      </c>
      <c r="C14957" s="4" t="str">
        <f t="shared" si="1176"/>
        <v>TCGA-BRCA</v>
      </c>
      <c r="D14957" s="1" t="s">
        <v>493</v>
      </c>
      <c r="E14957" t="s">
        <v>533</v>
      </c>
      <c r="F14957" s="1">
        <v>2</v>
      </c>
      <c r="G14957" s="1" t="s">
        <v>28</v>
      </c>
      <c r="H14957" s="4" t="str">
        <f>HYPERLINK("https://portal.gdc.cancer.gov/cases/0685edd2-ce1c-4e0e-8dda-393139af4223","TCGA-AO-A03U-01B")</f>
        <v>TCGA-AO-A03U-01B</v>
      </c>
      <c r="I14957" t="s">
        <v>17</v>
      </c>
      <c r="J14957" t="s">
        <v>524</v>
      </c>
      <c r="K14957" t="s">
        <v>33</v>
      </c>
      <c r="L14957" t="s">
        <v>20</v>
      </c>
      <c r="N14957" t="s">
        <v>29</v>
      </c>
    </row>
    <row r="14958" spans="1:14">
      <c r="A14958" s="4" t="str">
        <f t="shared" si="1175"/>
        <v>EXP00415</v>
      </c>
      <c r="B14958" s="3" t="s">
        <v>66</v>
      </c>
      <c r="C14958" s="4" t="str">
        <f t="shared" si="1176"/>
        <v>TCGA-BRCA</v>
      </c>
      <c r="D14958" s="1" t="s">
        <v>493</v>
      </c>
      <c r="E14958" t="s">
        <v>533</v>
      </c>
      <c r="F14958" s="1">
        <v>2</v>
      </c>
      <c r="G14958" s="1" t="s">
        <v>28</v>
      </c>
      <c r="H14958" s="4" t="str">
        <f>HYPERLINK("https://portal.gdc.cancer.gov/cases/a6cb373a-1604-4e25-bd81-da6c3e4f06ee","TCGA-AO-A03V-01A")</f>
        <v>TCGA-AO-A03V-01A</v>
      </c>
      <c r="I14958" t="s">
        <v>17</v>
      </c>
      <c r="J14958" t="s">
        <v>524</v>
      </c>
      <c r="K14958" t="s">
        <v>33</v>
      </c>
      <c r="L14958" t="s">
        <v>20</v>
      </c>
      <c r="N14958" t="s">
        <v>29</v>
      </c>
    </row>
    <row r="14959" spans="1:14">
      <c r="A14959" s="4" t="str">
        <f t="shared" si="1175"/>
        <v>EXP00415</v>
      </c>
      <c r="B14959" s="3" t="s">
        <v>66</v>
      </c>
      <c r="C14959" s="4" t="str">
        <f t="shared" si="1176"/>
        <v>TCGA-BRCA</v>
      </c>
      <c r="D14959" s="1" t="s">
        <v>493</v>
      </c>
      <c r="E14959" t="s">
        <v>533</v>
      </c>
      <c r="F14959" s="1">
        <v>2</v>
      </c>
      <c r="G14959" s="1" t="s">
        <v>28</v>
      </c>
      <c r="H14959" s="4" t="str">
        <f>HYPERLINK("https://portal.gdc.cancer.gov/cases/d2f2560c-ec80-4fea-9474-c47a2e85ea95","TCGA-AO-A0J2-01A")</f>
        <v>TCGA-AO-A0J2-01A</v>
      </c>
      <c r="I14959" t="s">
        <v>17</v>
      </c>
      <c r="J14959" t="s">
        <v>524</v>
      </c>
      <c r="K14959" t="s">
        <v>33</v>
      </c>
      <c r="L14959" t="s">
        <v>20</v>
      </c>
      <c r="N14959" t="s">
        <v>29</v>
      </c>
    </row>
    <row r="14960" spans="1:14">
      <c r="A14960" s="4" t="str">
        <f t="shared" si="1175"/>
        <v>EXP00415</v>
      </c>
      <c r="B14960" s="3" t="s">
        <v>66</v>
      </c>
      <c r="C14960" s="4" t="str">
        <f t="shared" si="1176"/>
        <v>TCGA-BRCA</v>
      </c>
      <c r="D14960" s="1" t="s">
        <v>493</v>
      </c>
      <c r="E14960" t="s">
        <v>533</v>
      </c>
      <c r="F14960" s="1">
        <v>2</v>
      </c>
      <c r="G14960" s="1" t="s">
        <v>28</v>
      </c>
      <c r="H14960" s="4" t="str">
        <f>HYPERLINK("https://portal.gdc.cancer.gov/cases/39cde586-df95-435f-b9a6-73b0c0ee5e92","TCGA-AO-A0J3-01A")</f>
        <v>TCGA-AO-A0J3-01A</v>
      </c>
      <c r="I14960" t="s">
        <v>17</v>
      </c>
      <c r="J14960" t="s">
        <v>524</v>
      </c>
      <c r="K14960" t="s">
        <v>33</v>
      </c>
      <c r="L14960" t="s">
        <v>20</v>
      </c>
      <c r="N14960" t="s">
        <v>29</v>
      </c>
    </row>
    <row r="14961" spans="1:14">
      <c r="A14961" s="4" t="str">
        <f t="shared" si="1175"/>
        <v>EXP00415</v>
      </c>
      <c r="B14961" s="3" t="s">
        <v>66</v>
      </c>
      <c r="C14961" s="4" t="str">
        <f t="shared" si="1176"/>
        <v>TCGA-BRCA</v>
      </c>
      <c r="D14961" s="1" t="s">
        <v>493</v>
      </c>
      <c r="E14961" t="s">
        <v>533</v>
      </c>
      <c r="F14961" s="1">
        <v>2</v>
      </c>
      <c r="G14961" s="1" t="s">
        <v>28</v>
      </c>
      <c r="H14961" s="4" t="str">
        <f>HYPERLINK("https://portal.gdc.cancer.gov/cases/a9b7d7fe-be31-4f71-afee-c1bfdf511888","TCGA-AO-A0J4-01A")</f>
        <v>TCGA-AO-A0J4-01A</v>
      </c>
      <c r="I14961" t="s">
        <v>17</v>
      </c>
      <c r="J14961" t="s">
        <v>524</v>
      </c>
      <c r="K14961" t="s">
        <v>33</v>
      </c>
      <c r="L14961" t="s">
        <v>20</v>
      </c>
      <c r="N14961" t="s">
        <v>29</v>
      </c>
    </row>
    <row r="14962" spans="1:14">
      <c r="A14962" s="4" t="str">
        <f t="shared" si="1175"/>
        <v>EXP00415</v>
      </c>
      <c r="B14962" s="3" t="s">
        <v>66</v>
      </c>
      <c r="C14962" s="4" t="str">
        <f t="shared" si="1176"/>
        <v>TCGA-BRCA</v>
      </c>
      <c r="D14962" s="1" t="s">
        <v>493</v>
      </c>
      <c r="E14962" t="s">
        <v>533</v>
      </c>
      <c r="F14962" s="1">
        <v>2</v>
      </c>
      <c r="G14962" s="1" t="s">
        <v>28</v>
      </c>
      <c r="H14962" s="4" t="str">
        <f>HYPERLINK("https://portal.gdc.cancer.gov/cases/c1442467-d618-435f-8792-b1a18f696f1a","TCGA-AO-A0J5-01A")</f>
        <v>TCGA-AO-A0J5-01A</v>
      </c>
      <c r="I14962" t="s">
        <v>17</v>
      </c>
      <c r="J14962" t="s">
        <v>524</v>
      </c>
      <c r="K14962" t="s">
        <v>33</v>
      </c>
      <c r="L14962" t="s">
        <v>20</v>
      </c>
      <c r="N14962" t="s">
        <v>29</v>
      </c>
    </row>
    <row r="14963" spans="1:14">
      <c r="A14963" s="4" t="str">
        <f t="shared" si="1175"/>
        <v>EXP00415</v>
      </c>
      <c r="B14963" s="3" t="s">
        <v>66</v>
      </c>
      <c r="C14963" s="4" t="str">
        <f t="shared" si="1176"/>
        <v>TCGA-BRCA</v>
      </c>
      <c r="D14963" s="1" t="s">
        <v>493</v>
      </c>
      <c r="E14963" t="s">
        <v>533</v>
      </c>
      <c r="F14963" s="1">
        <v>2</v>
      </c>
      <c r="G14963" s="1" t="s">
        <v>28</v>
      </c>
      <c r="H14963" s="4" t="str">
        <f>HYPERLINK("https://portal.gdc.cancer.gov/cases/e9f4f373-37a5-48ad-a1a0-b0d47820111a","TCGA-AO-A0J6-01A")</f>
        <v>TCGA-AO-A0J6-01A</v>
      </c>
      <c r="I14963" t="s">
        <v>17</v>
      </c>
      <c r="J14963" t="s">
        <v>524</v>
      </c>
      <c r="K14963" t="s">
        <v>33</v>
      </c>
      <c r="L14963" t="s">
        <v>20</v>
      </c>
      <c r="N14963" t="s">
        <v>29</v>
      </c>
    </row>
    <row r="14964" spans="1:14">
      <c r="A14964" s="4" t="str">
        <f t="shared" si="1175"/>
        <v>EXP00415</v>
      </c>
      <c r="B14964" s="3" t="s">
        <v>66</v>
      </c>
      <c r="C14964" s="4" t="str">
        <f t="shared" si="1176"/>
        <v>TCGA-BRCA</v>
      </c>
      <c r="D14964" s="1" t="s">
        <v>493</v>
      </c>
      <c r="E14964" t="s">
        <v>533</v>
      </c>
      <c r="F14964" s="1">
        <v>2</v>
      </c>
      <c r="G14964" s="1" t="s">
        <v>28</v>
      </c>
      <c r="H14964" s="4" t="str">
        <f>HYPERLINK("https://portal.gdc.cancer.gov/cases/9536bec0-dae0-4d63-a1b3-956741835243","TCGA-AO-A0J7-01A")</f>
        <v>TCGA-AO-A0J7-01A</v>
      </c>
      <c r="I14964" t="s">
        <v>17</v>
      </c>
      <c r="J14964" t="s">
        <v>524</v>
      </c>
      <c r="K14964" t="s">
        <v>33</v>
      </c>
      <c r="L14964" t="s">
        <v>20</v>
      </c>
      <c r="N14964" t="s">
        <v>29</v>
      </c>
    </row>
    <row r="14965" spans="1:14">
      <c r="A14965" s="4" t="str">
        <f t="shared" si="1175"/>
        <v>EXP00415</v>
      </c>
      <c r="B14965" s="3" t="s">
        <v>66</v>
      </c>
      <c r="C14965" s="4" t="str">
        <f t="shared" si="1176"/>
        <v>TCGA-BRCA</v>
      </c>
      <c r="D14965" s="1" t="s">
        <v>493</v>
      </c>
      <c r="E14965" t="s">
        <v>533</v>
      </c>
      <c r="F14965" s="1">
        <v>2</v>
      </c>
      <c r="G14965" s="1" t="s">
        <v>28</v>
      </c>
      <c r="H14965" s="4" t="str">
        <f>HYPERLINK("https://portal.gdc.cancer.gov/cases/02bf5203-f9cd-4c5a-97b4-e5584dc22325","TCGA-AO-A0J8-01A")</f>
        <v>TCGA-AO-A0J8-01A</v>
      </c>
      <c r="I14965" t="s">
        <v>17</v>
      </c>
      <c r="J14965" t="s">
        <v>524</v>
      </c>
      <c r="K14965" t="s">
        <v>33</v>
      </c>
      <c r="L14965" t="s">
        <v>20</v>
      </c>
      <c r="N14965" t="s">
        <v>29</v>
      </c>
    </row>
    <row r="14966" spans="1:14">
      <c r="A14966" s="4" t="str">
        <f t="shared" si="1175"/>
        <v>EXP00415</v>
      </c>
      <c r="B14966" s="3" t="s">
        <v>66</v>
      </c>
      <c r="C14966" s="4" t="str">
        <f t="shared" si="1176"/>
        <v>TCGA-BRCA</v>
      </c>
      <c r="D14966" s="1" t="s">
        <v>493</v>
      </c>
      <c r="E14966" t="s">
        <v>533</v>
      </c>
      <c r="F14966" s="1">
        <v>2</v>
      </c>
      <c r="G14966" s="1" t="s">
        <v>28</v>
      </c>
      <c r="H14966" s="4" t="str">
        <f>HYPERLINK("https://portal.gdc.cancer.gov/cases/a4903de8-6cf5-4541-8ec7-065beace8b44","TCGA-AO-A0J9-01A")</f>
        <v>TCGA-AO-A0J9-01A</v>
      </c>
      <c r="I14966" t="s">
        <v>17</v>
      </c>
      <c r="J14966" t="s">
        <v>524</v>
      </c>
      <c r="K14966" t="s">
        <v>33</v>
      </c>
      <c r="L14966" t="s">
        <v>20</v>
      </c>
      <c r="N14966" t="s">
        <v>29</v>
      </c>
    </row>
    <row r="14967" spans="1:14">
      <c r="A14967" s="4" t="str">
        <f t="shared" si="1175"/>
        <v>EXP00415</v>
      </c>
      <c r="B14967" s="3" t="s">
        <v>66</v>
      </c>
      <c r="C14967" s="4" t="str">
        <f t="shared" si="1176"/>
        <v>TCGA-BRCA</v>
      </c>
      <c r="D14967" s="1" t="s">
        <v>493</v>
      </c>
      <c r="E14967" t="s">
        <v>533</v>
      </c>
      <c r="F14967" s="1">
        <v>2</v>
      </c>
      <c r="G14967" s="1" t="s">
        <v>28</v>
      </c>
      <c r="H14967" s="4" t="str">
        <f>HYPERLINK("https://portal.gdc.cancer.gov/cases/86b7b206-8e69-432d-acc9-bccce710955e","TCGA-AO-A0JA-01A")</f>
        <v>TCGA-AO-A0JA-01A</v>
      </c>
      <c r="I14967" t="s">
        <v>17</v>
      </c>
      <c r="J14967" t="s">
        <v>524</v>
      </c>
      <c r="K14967" t="s">
        <v>33</v>
      </c>
      <c r="L14967" t="s">
        <v>20</v>
      </c>
      <c r="N14967" t="s">
        <v>29</v>
      </c>
    </row>
    <row r="14968" spans="1:14">
      <c r="A14968" s="4" t="str">
        <f t="shared" ref="A14968:A15031" si="1177">HYPERLINK("http://hcmdb.i-sanger.com/experiment/details/experiment_id/EXP00415","EXP00415")</f>
        <v>EXP00415</v>
      </c>
      <c r="B14968" s="3" t="s">
        <v>66</v>
      </c>
      <c r="C14968" s="4" t="str">
        <f t="shared" si="1176"/>
        <v>TCGA-BRCA</v>
      </c>
      <c r="D14968" s="1" t="s">
        <v>493</v>
      </c>
      <c r="E14968" t="s">
        <v>533</v>
      </c>
      <c r="F14968" s="1">
        <v>2</v>
      </c>
      <c r="G14968" s="1" t="s">
        <v>28</v>
      </c>
      <c r="H14968" s="4" t="str">
        <f>HYPERLINK("https://portal.gdc.cancer.gov/cases/3ea9412b-429e-4dcf-90cd-c53be06885a1","TCGA-AO-A0JB-01A")</f>
        <v>TCGA-AO-A0JB-01A</v>
      </c>
      <c r="I14968" t="s">
        <v>17</v>
      </c>
      <c r="J14968" t="s">
        <v>524</v>
      </c>
      <c r="K14968" t="s">
        <v>33</v>
      </c>
      <c r="L14968" t="s">
        <v>20</v>
      </c>
      <c r="N14968" t="s">
        <v>29</v>
      </c>
    </row>
    <row r="14969" spans="1:14">
      <c r="A14969" s="4" t="str">
        <f t="shared" si="1177"/>
        <v>EXP00415</v>
      </c>
      <c r="B14969" s="3" t="s">
        <v>66</v>
      </c>
      <c r="C14969" s="4" t="str">
        <f t="shared" si="1176"/>
        <v>TCGA-BRCA</v>
      </c>
      <c r="D14969" s="1" t="s">
        <v>493</v>
      </c>
      <c r="E14969" t="s">
        <v>533</v>
      </c>
      <c r="F14969" s="1">
        <v>2</v>
      </c>
      <c r="G14969" s="1" t="s">
        <v>28</v>
      </c>
      <c r="H14969" s="4" t="str">
        <f>HYPERLINK("https://portal.gdc.cancer.gov/cases/03565036-b6d3-432f-8d9a-7099818e0788","TCGA-AO-A0JC-01A")</f>
        <v>TCGA-AO-A0JC-01A</v>
      </c>
      <c r="I14969" t="s">
        <v>17</v>
      </c>
      <c r="J14969" t="s">
        <v>524</v>
      </c>
      <c r="K14969" t="s">
        <v>33</v>
      </c>
      <c r="L14969" t="s">
        <v>20</v>
      </c>
      <c r="N14969" t="s">
        <v>29</v>
      </c>
    </row>
    <row r="14970" spans="1:14">
      <c r="A14970" s="4" t="str">
        <f t="shared" si="1177"/>
        <v>EXP00415</v>
      </c>
      <c r="B14970" s="3" t="s">
        <v>66</v>
      </c>
      <c r="C14970" s="4" t="str">
        <f t="shared" ref="C14970:C15033" si="1178">HYPERLINK("https://portal.gdc.cancer.gov/projects/TCGA-BRCA","TCGA-BRCA")</f>
        <v>TCGA-BRCA</v>
      </c>
      <c r="D14970" s="1" t="s">
        <v>493</v>
      </c>
      <c r="E14970" t="s">
        <v>533</v>
      </c>
      <c r="F14970" s="1">
        <v>2</v>
      </c>
      <c r="G14970" s="1" t="s">
        <v>28</v>
      </c>
      <c r="H14970" s="4" t="str">
        <f>HYPERLINK("https://portal.gdc.cancer.gov/cases/0a229f95-0ea1-4d63-953e-74f5ec2f3028","TCGA-AO-A0JD-01A")</f>
        <v>TCGA-AO-A0JD-01A</v>
      </c>
      <c r="I14970" t="s">
        <v>17</v>
      </c>
      <c r="J14970" t="s">
        <v>524</v>
      </c>
      <c r="K14970" t="s">
        <v>33</v>
      </c>
      <c r="L14970" t="s">
        <v>20</v>
      </c>
      <c r="N14970" t="s">
        <v>29</v>
      </c>
    </row>
    <row r="14971" spans="1:14">
      <c r="A14971" s="4" t="str">
        <f t="shared" si="1177"/>
        <v>EXP00415</v>
      </c>
      <c r="B14971" s="3" t="s">
        <v>66</v>
      </c>
      <c r="C14971" s="4" t="str">
        <f t="shared" si="1178"/>
        <v>TCGA-BRCA</v>
      </c>
      <c r="D14971" s="1" t="s">
        <v>493</v>
      </c>
      <c r="E14971" t="s">
        <v>533</v>
      </c>
      <c r="F14971" s="1">
        <v>2</v>
      </c>
      <c r="G14971" s="1" t="s">
        <v>28</v>
      </c>
      <c r="H14971" s="4" t="str">
        <f>HYPERLINK("https://portal.gdc.cancer.gov/cases/36fe6152-f61e-4948-9ccc-23ac01a9d77d","TCGA-AO-A0JE-01A")</f>
        <v>TCGA-AO-A0JE-01A</v>
      </c>
      <c r="I14971" t="s">
        <v>17</v>
      </c>
      <c r="J14971" t="s">
        <v>524</v>
      </c>
      <c r="K14971" t="s">
        <v>33</v>
      </c>
      <c r="L14971" t="s">
        <v>20</v>
      </c>
      <c r="N14971" t="s">
        <v>29</v>
      </c>
    </row>
    <row r="14972" spans="1:14">
      <c r="A14972" s="4" t="str">
        <f t="shared" si="1177"/>
        <v>EXP00415</v>
      </c>
      <c r="B14972" s="3" t="s">
        <v>66</v>
      </c>
      <c r="C14972" s="4" t="str">
        <f t="shared" si="1178"/>
        <v>TCGA-BRCA</v>
      </c>
      <c r="D14972" s="1" t="s">
        <v>493</v>
      </c>
      <c r="E14972" t="s">
        <v>533</v>
      </c>
      <c r="F14972" s="1">
        <v>2</v>
      </c>
      <c r="G14972" s="1" t="s">
        <v>28</v>
      </c>
      <c r="H14972" s="4" t="str">
        <f>HYPERLINK("https://portal.gdc.cancer.gov/cases/f357fe19-5359-4662-8ce9-aa996132283b","TCGA-AO-A0JF-01A")</f>
        <v>TCGA-AO-A0JF-01A</v>
      </c>
      <c r="I14972" t="s">
        <v>17</v>
      </c>
      <c r="J14972" t="s">
        <v>524</v>
      </c>
      <c r="K14972" t="s">
        <v>33</v>
      </c>
      <c r="L14972" t="s">
        <v>20</v>
      </c>
      <c r="N14972" t="s">
        <v>29</v>
      </c>
    </row>
    <row r="14973" spans="1:14">
      <c r="A14973" s="4" t="str">
        <f t="shared" si="1177"/>
        <v>EXP00415</v>
      </c>
      <c r="B14973" s="3" t="s">
        <v>66</v>
      </c>
      <c r="C14973" s="4" t="str">
        <f t="shared" si="1178"/>
        <v>TCGA-BRCA</v>
      </c>
      <c r="D14973" s="1" t="s">
        <v>493</v>
      </c>
      <c r="E14973" t="s">
        <v>533</v>
      </c>
      <c r="F14973" s="1">
        <v>2</v>
      </c>
      <c r="G14973" s="1" t="s">
        <v>28</v>
      </c>
      <c r="H14973" s="4" t="str">
        <f>HYPERLINK("https://portal.gdc.cancer.gov/cases/58959e88-54e2-4558-9664-2effda7403dc","TCGA-AO-A0JG-01A")</f>
        <v>TCGA-AO-A0JG-01A</v>
      </c>
      <c r="I14973" t="s">
        <v>17</v>
      </c>
      <c r="J14973" t="s">
        <v>524</v>
      </c>
      <c r="K14973" t="s">
        <v>33</v>
      </c>
      <c r="L14973" t="s">
        <v>20</v>
      </c>
      <c r="N14973" t="s">
        <v>29</v>
      </c>
    </row>
    <row r="14974" spans="1:14">
      <c r="A14974" s="4" t="str">
        <f t="shared" si="1177"/>
        <v>EXP00415</v>
      </c>
      <c r="B14974" s="3" t="s">
        <v>66</v>
      </c>
      <c r="C14974" s="4" t="str">
        <f t="shared" si="1178"/>
        <v>TCGA-BRCA</v>
      </c>
      <c r="D14974" s="1" t="s">
        <v>493</v>
      </c>
      <c r="E14974" t="s">
        <v>533</v>
      </c>
      <c r="F14974" s="1">
        <v>2</v>
      </c>
      <c r="G14974" s="1" t="s">
        <v>28</v>
      </c>
      <c r="H14974" s="4" t="str">
        <f>HYPERLINK("https://portal.gdc.cancer.gov/cases/e17c565c-9857-4df3-a352-903b53093c85","TCGA-AO-A0JI-01A")</f>
        <v>TCGA-AO-A0JI-01A</v>
      </c>
      <c r="I14974" t="s">
        <v>17</v>
      </c>
      <c r="J14974" t="s">
        <v>524</v>
      </c>
      <c r="K14974" t="s">
        <v>33</v>
      </c>
      <c r="L14974" t="s">
        <v>20</v>
      </c>
      <c r="N14974" t="s">
        <v>29</v>
      </c>
    </row>
    <row r="14975" spans="1:14">
      <c r="A14975" s="4" t="str">
        <f t="shared" si="1177"/>
        <v>EXP00415</v>
      </c>
      <c r="B14975" s="3" t="s">
        <v>66</v>
      </c>
      <c r="C14975" s="4" t="str">
        <f t="shared" si="1178"/>
        <v>TCGA-BRCA</v>
      </c>
      <c r="D14975" s="1" t="s">
        <v>493</v>
      </c>
      <c r="E14975" t="s">
        <v>533</v>
      </c>
      <c r="F14975" s="1">
        <v>2</v>
      </c>
      <c r="G14975" s="1" t="s">
        <v>28</v>
      </c>
      <c r="H14975" s="4" t="str">
        <f>HYPERLINK("https://portal.gdc.cancer.gov/cases/bef7b135-a727-45e8-850a-cc4cd56c49aa","TCGA-AO-A0JJ-01A")</f>
        <v>TCGA-AO-A0JJ-01A</v>
      </c>
      <c r="I14975" t="s">
        <v>17</v>
      </c>
      <c r="J14975" t="s">
        <v>524</v>
      </c>
      <c r="K14975" t="s">
        <v>33</v>
      </c>
      <c r="L14975" t="s">
        <v>20</v>
      </c>
      <c r="N14975" t="s">
        <v>29</v>
      </c>
    </row>
    <row r="14976" spans="1:14">
      <c r="A14976" s="4" t="str">
        <f t="shared" si="1177"/>
        <v>EXP00415</v>
      </c>
      <c r="B14976" s="3" t="s">
        <v>66</v>
      </c>
      <c r="C14976" s="4" t="str">
        <f t="shared" si="1178"/>
        <v>TCGA-BRCA</v>
      </c>
      <c r="D14976" s="1" t="s">
        <v>493</v>
      </c>
      <c r="E14976" t="s">
        <v>533</v>
      </c>
      <c r="F14976" s="1">
        <v>2</v>
      </c>
      <c r="G14976" s="1" t="s">
        <v>28</v>
      </c>
      <c r="H14976" s="4" t="str">
        <f>HYPERLINK("https://portal.gdc.cancer.gov/cases/d5d8e76e-2f2a-49bc-ba0a-d51283611b16","TCGA-AO-A0JL-01A")</f>
        <v>TCGA-AO-A0JL-01A</v>
      </c>
      <c r="I14976" t="s">
        <v>17</v>
      </c>
      <c r="J14976" t="s">
        <v>524</v>
      </c>
      <c r="K14976" t="s">
        <v>33</v>
      </c>
      <c r="L14976" t="s">
        <v>20</v>
      </c>
      <c r="N14976" t="s">
        <v>29</v>
      </c>
    </row>
    <row r="14977" spans="1:14">
      <c r="A14977" s="4" t="str">
        <f t="shared" si="1177"/>
        <v>EXP00415</v>
      </c>
      <c r="B14977" s="3" t="s">
        <v>66</v>
      </c>
      <c r="C14977" s="4" t="str">
        <f t="shared" si="1178"/>
        <v>TCGA-BRCA</v>
      </c>
      <c r="D14977" s="1" t="s">
        <v>493</v>
      </c>
      <c r="E14977" t="s">
        <v>533</v>
      </c>
      <c r="F14977" s="1">
        <v>2</v>
      </c>
      <c r="G14977" s="1" t="s">
        <v>28</v>
      </c>
      <c r="H14977" s="4" t="str">
        <f>HYPERLINK("https://portal.gdc.cancer.gov/cases/44bec761-b603-49c0-8634-f6bfe0319bb1","TCGA-AO-A0JM-01A")</f>
        <v>TCGA-AO-A0JM-01A</v>
      </c>
      <c r="I14977" t="s">
        <v>17</v>
      </c>
      <c r="J14977" t="s">
        <v>524</v>
      </c>
      <c r="K14977" t="s">
        <v>33</v>
      </c>
      <c r="L14977" t="s">
        <v>20</v>
      </c>
      <c r="N14977" t="s">
        <v>29</v>
      </c>
    </row>
    <row r="14978" spans="1:14">
      <c r="A14978" s="4" t="str">
        <f t="shared" si="1177"/>
        <v>EXP00415</v>
      </c>
      <c r="B14978" s="3" t="s">
        <v>66</v>
      </c>
      <c r="C14978" s="4" t="str">
        <f t="shared" si="1178"/>
        <v>TCGA-BRCA</v>
      </c>
      <c r="D14978" s="1" t="s">
        <v>493</v>
      </c>
      <c r="E14978" t="s">
        <v>533</v>
      </c>
      <c r="F14978" s="1">
        <v>2</v>
      </c>
      <c r="G14978" s="1" t="s">
        <v>28</v>
      </c>
      <c r="H14978" s="4" t="str">
        <f>HYPERLINK("https://portal.gdc.cancer.gov/cases/b094e8b2-8ece-4b36-8025-18073a8b873c","TCGA-AO-A124-01A")</f>
        <v>TCGA-AO-A124-01A</v>
      </c>
      <c r="I14978" t="s">
        <v>17</v>
      </c>
      <c r="J14978" t="s">
        <v>524</v>
      </c>
      <c r="K14978" t="s">
        <v>33</v>
      </c>
      <c r="L14978" t="s">
        <v>20</v>
      </c>
      <c r="N14978" t="s">
        <v>29</v>
      </c>
    </row>
    <row r="14979" spans="1:14">
      <c r="A14979" s="4" t="str">
        <f t="shared" si="1177"/>
        <v>EXP00415</v>
      </c>
      <c r="B14979" s="3" t="s">
        <v>66</v>
      </c>
      <c r="C14979" s="4" t="str">
        <f t="shared" si="1178"/>
        <v>TCGA-BRCA</v>
      </c>
      <c r="D14979" s="1" t="s">
        <v>493</v>
      </c>
      <c r="E14979" t="s">
        <v>533</v>
      </c>
      <c r="F14979" s="1">
        <v>2</v>
      </c>
      <c r="G14979" s="1" t="s">
        <v>28</v>
      </c>
      <c r="H14979" s="4" t="str">
        <f>HYPERLINK("https://portal.gdc.cancer.gov/cases/8577ffcb-242e-40e2-98d4-2831d952be34","TCGA-AO-A125-01A")</f>
        <v>TCGA-AO-A125-01A</v>
      </c>
      <c r="I14979" t="s">
        <v>17</v>
      </c>
      <c r="J14979" t="s">
        <v>524</v>
      </c>
      <c r="K14979" t="s">
        <v>33</v>
      </c>
      <c r="L14979" t="s">
        <v>20</v>
      </c>
      <c r="N14979" t="s">
        <v>29</v>
      </c>
    </row>
    <row r="14980" spans="1:14">
      <c r="A14980" s="4" t="str">
        <f t="shared" si="1177"/>
        <v>EXP00415</v>
      </c>
      <c r="B14980" s="3" t="s">
        <v>66</v>
      </c>
      <c r="C14980" s="4" t="str">
        <f t="shared" si="1178"/>
        <v>TCGA-BRCA</v>
      </c>
      <c r="D14980" s="1" t="s">
        <v>493</v>
      </c>
      <c r="E14980" t="s">
        <v>533</v>
      </c>
      <c r="F14980" s="1">
        <v>2</v>
      </c>
      <c r="G14980" s="1" t="s">
        <v>28</v>
      </c>
      <c r="H14980" s="4" t="str">
        <f>HYPERLINK("https://portal.gdc.cancer.gov/cases/cc0902fd-a2fc-4327-929e-d4219e32e1d7","TCGA-AO-A126-01A")</f>
        <v>TCGA-AO-A126-01A</v>
      </c>
      <c r="I14980" t="s">
        <v>17</v>
      </c>
      <c r="J14980" t="s">
        <v>524</v>
      </c>
      <c r="K14980" t="s">
        <v>33</v>
      </c>
      <c r="L14980" t="s">
        <v>20</v>
      </c>
      <c r="N14980" t="s">
        <v>29</v>
      </c>
    </row>
    <row r="14981" spans="1:14">
      <c r="A14981" s="4" t="str">
        <f t="shared" si="1177"/>
        <v>EXP00415</v>
      </c>
      <c r="B14981" s="3" t="s">
        <v>66</v>
      </c>
      <c r="C14981" s="4" t="str">
        <f t="shared" si="1178"/>
        <v>TCGA-BRCA</v>
      </c>
      <c r="D14981" s="1" t="s">
        <v>493</v>
      </c>
      <c r="E14981" t="s">
        <v>533</v>
      </c>
      <c r="F14981" s="1">
        <v>2</v>
      </c>
      <c r="G14981" s="1" t="s">
        <v>28</v>
      </c>
      <c r="H14981" s="4" t="str">
        <f>HYPERLINK("https://portal.gdc.cancer.gov/cases/016caf42-4e19-4444-ab5d-6cf1e76c4afa","TCGA-AO-A128-01A")</f>
        <v>TCGA-AO-A128-01A</v>
      </c>
      <c r="I14981" t="s">
        <v>17</v>
      </c>
      <c r="J14981" t="s">
        <v>524</v>
      </c>
      <c r="K14981" t="s">
        <v>33</v>
      </c>
      <c r="L14981" t="s">
        <v>20</v>
      </c>
      <c r="N14981" t="s">
        <v>29</v>
      </c>
    </row>
    <row r="14982" spans="1:14">
      <c r="A14982" s="4" t="str">
        <f t="shared" si="1177"/>
        <v>EXP00415</v>
      </c>
      <c r="B14982" s="3" t="s">
        <v>66</v>
      </c>
      <c r="C14982" s="4" t="str">
        <f t="shared" si="1178"/>
        <v>TCGA-BRCA</v>
      </c>
      <c r="D14982" s="1" t="s">
        <v>493</v>
      </c>
      <c r="E14982" t="s">
        <v>533</v>
      </c>
      <c r="F14982" s="1">
        <v>2</v>
      </c>
      <c r="G14982" s="1" t="s">
        <v>28</v>
      </c>
      <c r="H14982" s="4" t="str">
        <f>HYPERLINK("https://portal.gdc.cancer.gov/cases/c70ee5e1-4703-4996-bb5c-f4cca0fb53ba","TCGA-AO-A129-01A")</f>
        <v>TCGA-AO-A129-01A</v>
      </c>
      <c r="I14982" t="s">
        <v>17</v>
      </c>
      <c r="J14982" t="s">
        <v>524</v>
      </c>
      <c r="K14982" t="s">
        <v>33</v>
      </c>
      <c r="L14982" t="s">
        <v>20</v>
      </c>
      <c r="N14982" t="s">
        <v>29</v>
      </c>
    </row>
    <row r="14983" spans="1:14">
      <c r="A14983" s="4" t="str">
        <f t="shared" si="1177"/>
        <v>EXP00415</v>
      </c>
      <c r="B14983" s="3" t="s">
        <v>66</v>
      </c>
      <c r="C14983" s="4" t="str">
        <f t="shared" si="1178"/>
        <v>TCGA-BRCA</v>
      </c>
      <c r="D14983" s="1" t="s">
        <v>493</v>
      </c>
      <c r="E14983" t="s">
        <v>533</v>
      </c>
      <c r="F14983" s="1">
        <v>2</v>
      </c>
      <c r="G14983" s="1" t="s">
        <v>28</v>
      </c>
      <c r="H14983" s="4" t="str">
        <f>HYPERLINK("https://portal.gdc.cancer.gov/cases/99927651-34be-4795-893a-128d8a1fdb30","TCGA-AO-A12A-01A")</f>
        <v>TCGA-AO-A12A-01A</v>
      </c>
      <c r="I14983" t="s">
        <v>17</v>
      </c>
      <c r="J14983" t="s">
        <v>524</v>
      </c>
      <c r="K14983" t="s">
        <v>33</v>
      </c>
      <c r="L14983" t="s">
        <v>20</v>
      </c>
      <c r="N14983" t="s">
        <v>29</v>
      </c>
    </row>
    <row r="14984" spans="1:14">
      <c r="A14984" s="4" t="str">
        <f t="shared" si="1177"/>
        <v>EXP00415</v>
      </c>
      <c r="B14984" s="3" t="s">
        <v>66</v>
      </c>
      <c r="C14984" s="4" t="str">
        <f t="shared" si="1178"/>
        <v>TCGA-BRCA</v>
      </c>
      <c r="D14984" s="1" t="s">
        <v>493</v>
      </c>
      <c r="E14984" t="s">
        <v>533</v>
      </c>
      <c r="F14984" s="1">
        <v>2</v>
      </c>
      <c r="G14984" s="1" t="s">
        <v>28</v>
      </c>
      <c r="H14984" s="4" t="str">
        <f>HYPERLINK("https://portal.gdc.cancer.gov/cases/f6ed684f-ee7a-496c-80d5-6eacd494d16a","TCGA-AO-A12B-01A")</f>
        <v>TCGA-AO-A12B-01A</v>
      </c>
      <c r="I14984" t="s">
        <v>17</v>
      </c>
      <c r="J14984" t="s">
        <v>524</v>
      </c>
      <c r="K14984" t="s">
        <v>33</v>
      </c>
      <c r="L14984" t="s">
        <v>20</v>
      </c>
      <c r="N14984" t="s">
        <v>29</v>
      </c>
    </row>
    <row r="14985" spans="1:14">
      <c r="A14985" s="4" t="str">
        <f t="shared" si="1177"/>
        <v>EXP00415</v>
      </c>
      <c r="B14985" s="3" t="s">
        <v>66</v>
      </c>
      <c r="C14985" s="4" t="str">
        <f t="shared" si="1178"/>
        <v>TCGA-BRCA</v>
      </c>
      <c r="D14985" s="1" t="s">
        <v>493</v>
      </c>
      <c r="E14985" t="s">
        <v>533</v>
      </c>
      <c r="F14985" s="1">
        <v>2</v>
      </c>
      <c r="G14985" s="1" t="s">
        <v>28</v>
      </c>
      <c r="H14985" s="4" t="str">
        <f>HYPERLINK("https://portal.gdc.cancer.gov/cases/71626753-cc34-4731-abc0-ae188b0964e7","TCGA-AO-A12C-01A")</f>
        <v>TCGA-AO-A12C-01A</v>
      </c>
      <c r="I14985" t="s">
        <v>17</v>
      </c>
      <c r="J14985" t="s">
        <v>524</v>
      </c>
      <c r="K14985" t="s">
        <v>33</v>
      </c>
      <c r="L14985" t="s">
        <v>20</v>
      </c>
      <c r="N14985" t="s">
        <v>29</v>
      </c>
    </row>
    <row r="14986" spans="1:14">
      <c r="A14986" s="4" t="str">
        <f t="shared" si="1177"/>
        <v>EXP00415</v>
      </c>
      <c r="B14986" s="3" t="s">
        <v>66</v>
      </c>
      <c r="C14986" s="4" t="str">
        <f t="shared" si="1178"/>
        <v>TCGA-BRCA</v>
      </c>
      <c r="D14986" s="1" t="s">
        <v>493</v>
      </c>
      <c r="E14986" t="s">
        <v>533</v>
      </c>
      <c r="F14986" s="1">
        <v>2</v>
      </c>
      <c r="G14986" s="1" t="s">
        <v>28</v>
      </c>
      <c r="H14986" s="4" t="str">
        <f>HYPERLINK("https://portal.gdc.cancer.gov/cases/2fe854b4-bac9-4801-9a1c-ee99388e8082","TCGA-AO-A12D-01A")</f>
        <v>TCGA-AO-A12D-01A</v>
      </c>
      <c r="I14986" t="s">
        <v>17</v>
      </c>
      <c r="J14986" t="s">
        <v>524</v>
      </c>
      <c r="K14986" t="s">
        <v>33</v>
      </c>
      <c r="L14986" t="s">
        <v>20</v>
      </c>
      <c r="N14986" t="s">
        <v>29</v>
      </c>
    </row>
    <row r="14987" spans="1:14">
      <c r="A14987" s="4" t="str">
        <f t="shared" si="1177"/>
        <v>EXP00415</v>
      </c>
      <c r="B14987" s="3" t="s">
        <v>66</v>
      </c>
      <c r="C14987" s="4" t="str">
        <f t="shared" si="1178"/>
        <v>TCGA-BRCA</v>
      </c>
      <c r="D14987" s="1" t="s">
        <v>493</v>
      </c>
      <c r="E14987" t="s">
        <v>533</v>
      </c>
      <c r="F14987" s="1">
        <v>2</v>
      </c>
      <c r="G14987" s="1" t="s">
        <v>28</v>
      </c>
      <c r="H14987" s="4" t="str">
        <f>HYPERLINK("https://portal.gdc.cancer.gov/cases/2cbeadff-a8a3-4787-9d4e-f6b74c3ab5d9","TCGA-AO-A12E-01A")</f>
        <v>TCGA-AO-A12E-01A</v>
      </c>
      <c r="I14987" t="s">
        <v>17</v>
      </c>
      <c r="J14987" t="s">
        <v>524</v>
      </c>
      <c r="K14987" t="s">
        <v>33</v>
      </c>
      <c r="L14987" t="s">
        <v>20</v>
      </c>
      <c r="N14987" t="s">
        <v>29</v>
      </c>
    </row>
    <row r="14988" spans="1:14">
      <c r="A14988" s="4" t="str">
        <f t="shared" si="1177"/>
        <v>EXP00415</v>
      </c>
      <c r="B14988" s="3" t="s">
        <v>66</v>
      </c>
      <c r="C14988" s="4" t="str">
        <f t="shared" si="1178"/>
        <v>TCGA-BRCA</v>
      </c>
      <c r="D14988" s="1" t="s">
        <v>493</v>
      </c>
      <c r="E14988" t="s">
        <v>533</v>
      </c>
      <c r="F14988" s="1">
        <v>2</v>
      </c>
      <c r="G14988" s="1" t="s">
        <v>28</v>
      </c>
      <c r="H14988" s="4" t="str">
        <f>HYPERLINK("https://portal.gdc.cancer.gov/cases/495f9eda-b9be-4eef-bae1-766a4bfbd68e","TCGA-AO-A12F-01A")</f>
        <v>TCGA-AO-A12F-01A</v>
      </c>
      <c r="I14988" t="s">
        <v>17</v>
      </c>
      <c r="J14988" t="s">
        <v>524</v>
      </c>
      <c r="K14988" t="s">
        <v>33</v>
      </c>
      <c r="L14988" t="s">
        <v>20</v>
      </c>
      <c r="N14988" t="s">
        <v>29</v>
      </c>
    </row>
    <row r="14989" spans="1:14">
      <c r="A14989" s="4" t="str">
        <f t="shared" si="1177"/>
        <v>EXP00415</v>
      </c>
      <c r="B14989" s="3" t="s">
        <v>66</v>
      </c>
      <c r="C14989" s="4" t="str">
        <f t="shared" si="1178"/>
        <v>TCGA-BRCA</v>
      </c>
      <c r="D14989" s="1" t="s">
        <v>493</v>
      </c>
      <c r="E14989" t="s">
        <v>533</v>
      </c>
      <c r="F14989" s="1">
        <v>2</v>
      </c>
      <c r="G14989" s="1" t="s">
        <v>28</v>
      </c>
      <c r="H14989" s="4" t="str">
        <f>HYPERLINK("https://portal.gdc.cancer.gov/cases/58c56d4b-3f85-4aad-a779-5f9e1791677d","TCGA-AO-A12G-01A")</f>
        <v>TCGA-AO-A12G-01A</v>
      </c>
      <c r="I14989" t="s">
        <v>17</v>
      </c>
      <c r="J14989" t="s">
        <v>524</v>
      </c>
      <c r="K14989" t="s">
        <v>33</v>
      </c>
      <c r="L14989" t="s">
        <v>20</v>
      </c>
      <c r="N14989" t="s">
        <v>29</v>
      </c>
    </row>
    <row r="14990" spans="1:14">
      <c r="A14990" s="4" t="str">
        <f t="shared" si="1177"/>
        <v>EXP00415</v>
      </c>
      <c r="B14990" s="3" t="s">
        <v>66</v>
      </c>
      <c r="C14990" s="4" t="str">
        <f t="shared" si="1178"/>
        <v>TCGA-BRCA</v>
      </c>
      <c r="D14990" s="1" t="s">
        <v>493</v>
      </c>
      <c r="E14990" t="s">
        <v>533</v>
      </c>
      <c r="F14990" s="1">
        <v>2</v>
      </c>
      <c r="G14990" s="1" t="s">
        <v>28</v>
      </c>
      <c r="H14990" s="4" t="str">
        <f>HYPERLINK("https://portal.gdc.cancer.gov/cases/b5b99291-507e-4b68-a039-9a0f571f55df","TCGA-AO-A12H-01A")</f>
        <v>TCGA-AO-A12H-01A</v>
      </c>
      <c r="I14990" t="s">
        <v>17</v>
      </c>
      <c r="J14990" t="s">
        <v>524</v>
      </c>
      <c r="K14990" t="s">
        <v>33</v>
      </c>
      <c r="L14990" t="s">
        <v>20</v>
      </c>
      <c r="N14990" t="s">
        <v>29</v>
      </c>
    </row>
    <row r="14991" spans="1:14">
      <c r="A14991" s="4" t="str">
        <f t="shared" si="1177"/>
        <v>EXP00415</v>
      </c>
      <c r="B14991" s="3" t="s">
        <v>66</v>
      </c>
      <c r="C14991" s="4" t="str">
        <f t="shared" si="1178"/>
        <v>TCGA-BRCA</v>
      </c>
      <c r="D14991" s="1" t="s">
        <v>493</v>
      </c>
      <c r="E14991" t="s">
        <v>533</v>
      </c>
      <c r="F14991" s="1">
        <v>2</v>
      </c>
      <c r="G14991" s="1" t="s">
        <v>28</v>
      </c>
      <c r="H14991" s="4" t="str">
        <f>HYPERLINK("https://portal.gdc.cancer.gov/cases/c25898b4-eb33-42f4-bf3f-bf532a929e7d","TCGA-AO-A1KO-01A")</f>
        <v>TCGA-AO-A1KO-01A</v>
      </c>
      <c r="I14991" t="s">
        <v>17</v>
      </c>
      <c r="J14991" t="s">
        <v>524</v>
      </c>
      <c r="K14991" t="s">
        <v>33</v>
      </c>
      <c r="L14991" t="s">
        <v>20</v>
      </c>
      <c r="N14991" t="s">
        <v>29</v>
      </c>
    </row>
    <row r="14992" spans="1:14">
      <c r="A14992" s="4" t="str">
        <f t="shared" si="1177"/>
        <v>EXP00415</v>
      </c>
      <c r="B14992" s="3" t="s">
        <v>66</v>
      </c>
      <c r="C14992" s="4" t="str">
        <f t="shared" si="1178"/>
        <v>TCGA-BRCA</v>
      </c>
      <c r="D14992" s="1" t="s">
        <v>493</v>
      </c>
      <c r="E14992" t="s">
        <v>533</v>
      </c>
      <c r="F14992" s="1">
        <v>2</v>
      </c>
      <c r="G14992" s="1" t="s">
        <v>28</v>
      </c>
      <c r="H14992" s="4" t="str">
        <f>HYPERLINK("https://portal.gdc.cancer.gov/cases/3aaabc62-f5a4-4025-9b29-5adf82c86c84","TCGA-AO-A1KP-01A")</f>
        <v>TCGA-AO-A1KP-01A</v>
      </c>
      <c r="I14992" t="s">
        <v>17</v>
      </c>
      <c r="J14992" t="s">
        <v>524</v>
      </c>
      <c r="K14992" t="s">
        <v>33</v>
      </c>
      <c r="L14992" t="s">
        <v>20</v>
      </c>
      <c r="N14992" t="s">
        <v>29</v>
      </c>
    </row>
    <row r="14993" spans="1:14">
      <c r="A14993" s="4" t="str">
        <f t="shared" si="1177"/>
        <v>EXP00415</v>
      </c>
      <c r="B14993" s="3" t="s">
        <v>66</v>
      </c>
      <c r="C14993" s="4" t="str">
        <f t="shared" si="1178"/>
        <v>TCGA-BRCA</v>
      </c>
      <c r="D14993" s="1" t="s">
        <v>493</v>
      </c>
      <c r="E14993" t="s">
        <v>533</v>
      </c>
      <c r="F14993" s="1">
        <v>2</v>
      </c>
      <c r="G14993" s="1" t="s">
        <v>28</v>
      </c>
      <c r="H14993" s="4" t="str">
        <f>HYPERLINK("https://portal.gdc.cancer.gov/cases/d2219a3f-4c55-4dee-9b08-c6f330dd1acf","TCGA-AO-A1KQ-01A")</f>
        <v>TCGA-AO-A1KQ-01A</v>
      </c>
      <c r="I14993" t="s">
        <v>17</v>
      </c>
      <c r="J14993" t="s">
        <v>524</v>
      </c>
      <c r="K14993" t="s">
        <v>33</v>
      </c>
      <c r="L14993" t="s">
        <v>20</v>
      </c>
      <c r="N14993" t="s">
        <v>29</v>
      </c>
    </row>
    <row r="14994" spans="1:14">
      <c r="A14994" s="4" t="str">
        <f t="shared" si="1177"/>
        <v>EXP00415</v>
      </c>
      <c r="B14994" s="3" t="s">
        <v>66</v>
      </c>
      <c r="C14994" s="4" t="str">
        <f t="shared" si="1178"/>
        <v>TCGA-BRCA</v>
      </c>
      <c r="D14994" s="1" t="s">
        <v>493</v>
      </c>
      <c r="E14994" t="s">
        <v>533</v>
      </c>
      <c r="F14994" s="1">
        <v>2</v>
      </c>
      <c r="G14994" s="1" t="s">
        <v>28</v>
      </c>
      <c r="H14994" s="4" t="str">
        <f>HYPERLINK("https://portal.gdc.cancer.gov/cases/b7f74ae1-6f58-447c-be50-a7666eb19d9a","TCGA-AO-A1KR-01A")</f>
        <v>TCGA-AO-A1KR-01A</v>
      </c>
      <c r="I14994" t="s">
        <v>17</v>
      </c>
      <c r="J14994" t="s">
        <v>524</v>
      </c>
      <c r="K14994" t="s">
        <v>33</v>
      </c>
      <c r="L14994" t="s">
        <v>20</v>
      </c>
      <c r="N14994" t="s">
        <v>29</v>
      </c>
    </row>
    <row r="14995" spans="1:14">
      <c r="A14995" s="4" t="str">
        <f t="shared" si="1177"/>
        <v>EXP00415</v>
      </c>
      <c r="B14995" s="3" t="s">
        <v>66</v>
      </c>
      <c r="C14995" s="4" t="str">
        <f t="shared" si="1178"/>
        <v>TCGA-BRCA</v>
      </c>
      <c r="D14995" s="1" t="s">
        <v>493</v>
      </c>
      <c r="E14995" t="s">
        <v>533</v>
      </c>
      <c r="F14995" s="1">
        <v>2</v>
      </c>
      <c r="G14995" s="1" t="s">
        <v>28</v>
      </c>
      <c r="H14995" s="4" t="str">
        <f>HYPERLINK("https://portal.gdc.cancer.gov/cases/bb8d42d3-ad65-4d88-ae1d-f9aadfc7962d","TCGA-AO-A1KS-01A")</f>
        <v>TCGA-AO-A1KS-01A</v>
      </c>
      <c r="I14995" t="s">
        <v>17</v>
      </c>
      <c r="J14995" t="s">
        <v>524</v>
      </c>
      <c r="K14995" t="s">
        <v>33</v>
      </c>
      <c r="L14995" t="s">
        <v>20</v>
      </c>
      <c r="N14995" t="s">
        <v>29</v>
      </c>
    </row>
    <row r="14996" spans="1:14">
      <c r="A14996" s="4" t="str">
        <f t="shared" si="1177"/>
        <v>EXP00415</v>
      </c>
      <c r="B14996" s="3" t="s">
        <v>66</v>
      </c>
      <c r="C14996" s="4" t="str">
        <f t="shared" si="1178"/>
        <v>TCGA-BRCA</v>
      </c>
      <c r="D14996" s="1" t="s">
        <v>493</v>
      </c>
      <c r="E14996" t="s">
        <v>533</v>
      </c>
      <c r="F14996" s="1">
        <v>2</v>
      </c>
      <c r="G14996" s="1" t="s">
        <v>28</v>
      </c>
      <c r="H14996" s="4" t="str">
        <f>HYPERLINK("https://portal.gdc.cancer.gov/cases/1f8f87cb-8a0b-474c-97fb-c71b4fd88d97","TCGA-AO-A1KT-01A")</f>
        <v>TCGA-AO-A1KT-01A</v>
      </c>
      <c r="I14996" t="s">
        <v>17</v>
      </c>
      <c r="J14996" t="s">
        <v>524</v>
      </c>
      <c r="K14996" t="s">
        <v>33</v>
      </c>
      <c r="L14996" t="s">
        <v>20</v>
      </c>
      <c r="N14996" t="s">
        <v>29</v>
      </c>
    </row>
    <row r="14997" spans="1:14">
      <c r="A14997" s="4" t="str">
        <f t="shared" si="1177"/>
        <v>EXP00415</v>
      </c>
      <c r="B14997" s="3" t="s">
        <v>66</v>
      </c>
      <c r="C14997" s="4" t="str">
        <f t="shared" si="1178"/>
        <v>TCGA-BRCA</v>
      </c>
      <c r="D14997" s="1" t="s">
        <v>493</v>
      </c>
      <c r="E14997" t="s">
        <v>533</v>
      </c>
      <c r="F14997" s="1">
        <v>2</v>
      </c>
      <c r="G14997" s="1" t="s">
        <v>28</v>
      </c>
      <c r="H14997" s="4" t="str">
        <f>HYPERLINK("https://portal.gdc.cancer.gov/cases/83f943c7-3975-4b4f-985d-9c057741793b","TCGA-AQ-A04H-01B")</f>
        <v>TCGA-AQ-A04H-01B</v>
      </c>
      <c r="I14997" t="s">
        <v>17</v>
      </c>
      <c r="J14997" t="s">
        <v>524</v>
      </c>
      <c r="K14997" t="s">
        <v>33</v>
      </c>
      <c r="L14997" t="s">
        <v>20</v>
      </c>
      <c r="N14997" t="s">
        <v>29</v>
      </c>
    </row>
    <row r="14998" spans="1:14">
      <c r="A14998" s="4" t="str">
        <f t="shared" si="1177"/>
        <v>EXP00415</v>
      </c>
      <c r="B14998" s="3" t="s">
        <v>66</v>
      </c>
      <c r="C14998" s="4" t="str">
        <f t="shared" si="1178"/>
        <v>TCGA-BRCA</v>
      </c>
      <c r="D14998" s="1" t="s">
        <v>493</v>
      </c>
      <c r="E14998" t="s">
        <v>533</v>
      </c>
      <c r="F14998" s="1">
        <v>2</v>
      </c>
      <c r="G14998" s="1" t="s">
        <v>28</v>
      </c>
      <c r="H14998" s="4" t="str">
        <f>HYPERLINK("https://portal.gdc.cancer.gov/cases/9938ce5c-e74e-446e-a932-f096f85cc3b1","TCGA-AQ-A04J-01A")</f>
        <v>TCGA-AQ-A04J-01A</v>
      </c>
      <c r="I14998" t="s">
        <v>17</v>
      </c>
      <c r="J14998" t="s">
        <v>524</v>
      </c>
      <c r="K14998" t="s">
        <v>33</v>
      </c>
      <c r="L14998" t="s">
        <v>20</v>
      </c>
      <c r="N14998" t="s">
        <v>29</v>
      </c>
    </row>
    <row r="14999" spans="1:14">
      <c r="A14999" s="4" t="str">
        <f t="shared" si="1177"/>
        <v>EXP00415</v>
      </c>
      <c r="B14999" s="3" t="s">
        <v>66</v>
      </c>
      <c r="C14999" s="4" t="str">
        <f t="shared" si="1178"/>
        <v>TCGA-BRCA</v>
      </c>
      <c r="D14999" s="1" t="s">
        <v>493</v>
      </c>
      <c r="E14999" t="s">
        <v>533</v>
      </c>
      <c r="F14999" s="1">
        <v>2</v>
      </c>
      <c r="G14999" s="1" t="s">
        <v>28</v>
      </c>
      <c r="H14999" s="4" t="str">
        <f>HYPERLINK("https://portal.gdc.cancer.gov/cases/78582fbc-dcc7-48ae-9f95-5271c9bc5b72","TCGA-AQ-A04L-01B")</f>
        <v>TCGA-AQ-A04L-01B</v>
      </c>
      <c r="I14999" t="s">
        <v>17</v>
      </c>
      <c r="J14999" t="s">
        <v>524</v>
      </c>
      <c r="K14999" t="s">
        <v>33</v>
      </c>
      <c r="L14999" t="s">
        <v>20</v>
      </c>
      <c r="N14999" t="s">
        <v>29</v>
      </c>
    </row>
    <row r="15000" spans="1:14">
      <c r="A15000" s="4" t="str">
        <f t="shared" si="1177"/>
        <v>EXP00415</v>
      </c>
      <c r="B15000" s="3" t="s">
        <v>66</v>
      </c>
      <c r="C15000" s="4" t="str">
        <f t="shared" si="1178"/>
        <v>TCGA-BRCA</v>
      </c>
      <c r="D15000" s="1" t="s">
        <v>493</v>
      </c>
      <c r="E15000" t="s">
        <v>533</v>
      </c>
      <c r="F15000" s="1">
        <v>2</v>
      </c>
      <c r="G15000" s="1" t="s">
        <v>28</v>
      </c>
      <c r="H15000" s="4" t="str">
        <f>HYPERLINK("https://portal.gdc.cancer.gov/cases/d0b78f3f-a198-437a-ab8c-204345d3b75d","TCGA-AQ-A0Y5-01A")</f>
        <v>TCGA-AQ-A0Y5-01A</v>
      </c>
      <c r="I15000" t="s">
        <v>17</v>
      </c>
      <c r="J15000" t="s">
        <v>524</v>
      </c>
      <c r="K15000" t="s">
        <v>33</v>
      </c>
      <c r="L15000" t="s">
        <v>20</v>
      </c>
      <c r="N15000" t="s">
        <v>29</v>
      </c>
    </row>
    <row r="15001" spans="1:14">
      <c r="A15001" s="4" t="str">
        <f t="shared" si="1177"/>
        <v>EXP00415</v>
      </c>
      <c r="B15001" s="3" t="s">
        <v>66</v>
      </c>
      <c r="C15001" s="4" t="str">
        <f t="shared" si="1178"/>
        <v>TCGA-BRCA</v>
      </c>
      <c r="D15001" s="1" t="s">
        <v>493</v>
      </c>
      <c r="E15001" t="s">
        <v>533</v>
      </c>
      <c r="F15001" s="1">
        <v>2</v>
      </c>
      <c r="G15001" s="1" t="s">
        <v>28</v>
      </c>
      <c r="H15001" s="4" t="str">
        <f>HYPERLINK("https://portal.gdc.cancer.gov/cases/4d120899-9a80-4736-b097-285e9e261bcb","TCGA-AQ-A1H2-01A")</f>
        <v>TCGA-AQ-A1H2-01A</v>
      </c>
      <c r="I15001" t="s">
        <v>17</v>
      </c>
      <c r="J15001" t="s">
        <v>524</v>
      </c>
      <c r="K15001" t="s">
        <v>33</v>
      </c>
      <c r="L15001" t="s">
        <v>20</v>
      </c>
      <c r="N15001" t="s">
        <v>29</v>
      </c>
    </row>
    <row r="15002" spans="1:14">
      <c r="A15002" s="4" t="str">
        <f t="shared" si="1177"/>
        <v>EXP00415</v>
      </c>
      <c r="B15002" s="3" t="s">
        <v>66</v>
      </c>
      <c r="C15002" s="4" t="str">
        <f t="shared" si="1178"/>
        <v>TCGA-BRCA</v>
      </c>
      <c r="D15002" s="1" t="s">
        <v>493</v>
      </c>
      <c r="E15002" t="s">
        <v>533</v>
      </c>
      <c r="F15002" s="1">
        <v>2</v>
      </c>
      <c r="G15002" s="1" t="s">
        <v>28</v>
      </c>
      <c r="H15002" s="4" t="str">
        <f>HYPERLINK("https://portal.gdc.cancer.gov/cases/82ec33dd-e783-4c74-9a87-797a699e11df","TCGA-AQ-A1H3-01A")</f>
        <v>TCGA-AQ-A1H3-01A</v>
      </c>
      <c r="I15002" t="s">
        <v>17</v>
      </c>
      <c r="J15002" t="s">
        <v>524</v>
      </c>
      <c r="K15002" t="s">
        <v>33</v>
      </c>
      <c r="L15002" t="s">
        <v>20</v>
      </c>
      <c r="N15002" t="s">
        <v>29</v>
      </c>
    </row>
    <row r="15003" spans="1:14">
      <c r="A15003" s="4" t="str">
        <f t="shared" si="1177"/>
        <v>EXP00415</v>
      </c>
      <c r="B15003" s="3" t="s">
        <v>66</v>
      </c>
      <c r="C15003" s="4" t="str">
        <f t="shared" si="1178"/>
        <v>TCGA-BRCA</v>
      </c>
      <c r="D15003" s="1" t="s">
        <v>493</v>
      </c>
      <c r="E15003" t="s">
        <v>533</v>
      </c>
      <c r="F15003" s="1">
        <v>2</v>
      </c>
      <c r="G15003" s="1" t="s">
        <v>28</v>
      </c>
      <c r="H15003" s="4" t="str">
        <f>HYPERLINK("https://portal.gdc.cancer.gov/cases/58090433-d8d1-4499-a235-810c3e9d5b74","TCGA-AQ-A54N-01A")</f>
        <v>TCGA-AQ-A54N-01A</v>
      </c>
      <c r="I15003" t="s">
        <v>17</v>
      </c>
      <c r="J15003" t="s">
        <v>524</v>
      </c>
      <c r="K15003" t="s">
        <v>33</v>
      </c>
      <c r="L15003" t="s">
        <v>20</v>
      </c>
      <c r="N15003" t="s">
        <v>29</v>
      </c>
    </row>
    <row r="15004" spans="1:14">
      <c r="A15004" s="4" t="str">
        <f t="shared" si="1177"/>
        <v>EXP00415</v>
      </c>
      <c r="B15004" s="3" t="s">
        <v>66</v>
      </c>
      <c r="C15004" s="4" t="str">
        <f t="shared" si="1178"/>
        <v>TCGA-BRCA</v>
      </c>
      <c r="D15004" s="1" t="s">
        <v>493</v>
      </c>
      <c r="E15004" t="s">
        <v>533</v>
      </c>
      <c r="F15004" s="1">
        <v>2</v>
      </c>
      <c r="G15004" s="1" t="s">
        <v>28</v>
      </c>
      <c r="H15004" s="4" t="str">
        <f>HYPERLINK("https://portal.gdc.cancer.gov/cases/35ca5e2a-861a-4dd2-a4ce-d294cf080da3","TCGA-AQ-A54O-01A")</f>
        <v>TCGA-AQ-A54O-01A</v>
      </c>
      <c r="I15004" t="s">
        <v>17</v>
      </c>
      <c r="J15004" t="s">
        <v>524</v>
      </c>
      <c r="K15004" t="s">
        <v>33</v>
      </c>
      <c r="L15004" t="s">
        <v>20</v>
      </c>
      <c r="N15004" t="s">
        <v>29</v>
      </c>
    </row>
    <row r="15005" spans="1:14">
      <c r="A15005" s="4" t="str">
        <f t="shared" si="1177"/>
        <v>EXP00415</v>
      </c>
      <c r="B15005" s="3" t="s">
        <v>66</v>
      </c>
      <c r="C15005" s="4" t="str">
        <f t="shared" si="1178"/>
        <v>TCGA-BRCA</v>
      </c>
      <c r="D15005" s="1" t="s">
        <v>493</v>
      </c>
      <c r="E15005" t="s">
        <v>533</v>
      </c>
      <c r="F15005" s="1">
        <v>2</v>
      </c>
      <c r="G15005" s="1" t="s">
        <v>28</v>
      </c>
      <c r="H15005" s="4" t="str">
        <f>HYPERLINK("https://portal.gdc.cancer.gov/cases/19015644-9c17-4ae7-a656-0fe8623c04ae","TCGA-AQ-A7U7-01A")</f>
        <v>TCGA-AQ-A7U7-01A</v>
      </c>
      <c r="I15005" t="s">
        <v>17</v>
      </c>
      <c r="J15005" t="s">
        <v>524</v>
      </c>
      <c r="K15005" t="s">
        <v>33</v>
      </c>
      <c r="L15005" t="s">
        <v>20</v>
      </c>
      <c r="N15005" t="s">
        <v>29</v>
      </c>
    </row>
    <row r="15006" spans="1:14">
      <c r="A15006" s="4" t="str">
        <f t="shared" si="1177"/>
        <v>EXP00415</v>
      </c>
      <c r="B15006" s="3" t="s">
        <v>66</v>
      </c>
      <c r="C15006" s="4" t="str">
        <f t="shared" si="1178"/>
        <v>TCGA-BRCA</v>
      </c>
      <c r="D15006" s="1" t="s">
        <v>493</v>
      </c>
      <c r="E15006" t="s">
        <v>533</v>
      </c>
      <c r="F15006" s="1">
        <v>2</v>
      </c>
      <c r="G15006" s="1" t="s">
        <v>28</v>
      </c>
      <c r="H15006" s="4" t="str">
        <f>HYPERLINK("https://portal.gdc.cancer.gov/cases/ab89bb2e-da84-4116-a8cd-49aad7bbfd4d","TCGA-AR-A0TP-01A")</f>
        <v>TCGA-AR-A0TP-01A</v>
      </c>
      <c r="I15006" t="s">
        <v>17</v>
      </c>
      <c r="J15006" t="s">
        <v>524</v>
      </c>
      <c r="K15006" t="s">
        <v>33</v>
      </c>
      <c r="L15006" t="s">
        <v>20</v>
      </c>
      <c r="N15006" t="s">
        <v>29</v>
      </c>
    </row>
    <row r="15007" spans="1:14">
      <c r="A15007" s="4" t="str">
        <f t="shared" si="1177"/>
        <v>EXP00415</v>
      </c>
      <c r="B15007" s="3" t="s">
        <v>66</v>
      </c>
      <c r="C15007" s="4" t="str">
        <f t="shared" si="1178"/>
        <v>TCGA-BRCA</v>
      </c>
      <c r="D15007" s="1" t="s">
        <v>493</v>
      </c>
      <c r="E15007" t="s">
        <v>533</v>
      </c>
      <c r="F15007" s="1">
        <v>2</v>
      </c>
      <c r="G15007" s="1" t="s">
        <v>28</v>
      </c>
      <c r="H15007" s="4" t="str">
        <f>HYPERLINK("https://portal.gdc.cancer.gov/cases/5dc1bee9-c44d-4fdc-9ae5-83426c4d6880","TCGA-AR-A0TQ-01A")</f>
        <v>TCGA-AR-A0TQ-01A</v>
      </c>
      <c r="I15007" t="s">
        <v>17</v>
      </c>
      <c r="J15007" t="s">
        <v>524</v>
      </c>
      <c r="K15007" t="s">
        <v>33</v>
      </c>
      <c r="L15007" t="s">
        <v>20</v>
      </c>
      <c r="N15007" t="s">
        <v>29</v>
      </c>
    </row>
    <row r="15008" spans="1:14">
      <c r="A15008" s="4" t="str">
        <f t="shared" si="1177"/>
        <v>EXP00415</v>
      </c>
      <c r="B15008" s="3" t="s">
        <v>66</v>
      </c>
      <c r="C15008" s="4" t="str">
        <f t="shared" si="1178"/>
        <v>TCGA-BRCA</v>
      </c>
      <c r="D15008" s="1" t="s">
        <v>493</v>
      </c>
      <c r="E15008" t="s">
        <v>533</v>
      </c>
      <c r="F15008" s="1">
        <v>2</v>
      </c>
      <c r="G15008" s="1" t="s">
        <v>28</v>
      </c>
      <c r="H15008" s="4" t="str">
        <f>HYPERLINK("https://portal.gdc.cancer.gov/cases/d1703dbd-5c93-4cf2-a4d1-0d90640882bd","TCGA-AR-A0TR-01A")</f>
        <v>TCGA-AR-A0TR-01A</v>
      </c>
      <c r="I15008" t="s">
        <v>17</v>
      </c>
      <c r="J15008" t="s">
        <v>524</v>
      </c>
      <c r="K15008" t="s">
        <v>33</v>
      </c>
      <c r="L15008" t="s">
        <v>20</v>
      </c>
      <c r="N15008" t="s">
        <v>29</v>
      </c>
    </row>
    <row r="15009" spans="1:14">
      <c r="A15009" s="4" t="str">
        <f t="shared" si="1177"/>
        <v>EXP00415</v>
      </c>
      <c r="B15009" s="3" t="s">
        <v>66</v>
      </c>
      <c r="C15009" s="4" t="str">
        <f t="shared" si="1178"/>
        <v>TCGA-BRCA</v>
      </c>
      <c r="D15009" s="1" t="s">
        <v>493</v>
      </c>
      <c r="E15009" t="s">
        <v>533</v>
      </c>
      <c r="F15009" s="1">
        <v>2</v>
      </c>
      <c r="G15009" s="1" t="s">
        <v>28</v>
      </c>
      <c r="H15009" s="4" t="str">
        <f>HYPERLINK("https://portal.gdc.cancer.gov/cases/972447aa-4332-47e7-bddd-2eb699dbb664","TCGA-AR-A0TS-01A")</f>
        <v>TCGA-AR-A0TS-01A</v>
      </c>
      <c r="I15009" t="s">
        <v>17</v>
      </c>
      <c r="J15009" t="s">
        <v>524</v>
      </c>
      <c r="K15009" t="s">
        <v>33</v>
      </c>
      <c r="L15009" t="s">
        <v>20</v>
      </c>
      <c r="N15009" t="s">
        <v>29</v>
      </c>
    </row>
    <row r="15010" spans="1:14">
      <c r="A15010" s="4" t="str">
        <f t="shared" si="1177"/>
        <v>EXP00415</v>
      </c>
      <c r="B15010" s="3" t="s">
        <v>66</v>
      </c>
      <c r="C15010" s="4" t="str">
        <f t="shared" si="1178"/>
        <v>TCGA-BRCA</v>
      </c>
      <c r="D15010" s="1" t="s">
        <v>493</v>
      </c>
      <c r="E15010" t="s">
        <v>533</v>
      </c>
      <c r="F15010" s="1">
        <v>2</v>
      </c>
      <c r="G15010" s="1" t="s">
        <v>28</v>
      </c>
      <c r="H15010" s="4" t="str">
        <f>HYPERLINK("https://portal.gdc.cancer.gov/cases/13ca97a1-75bb-4a49-b8c3-181e5b2c9e86","TCGA-AR-A0TT-01A")</f>
        <v>TCGA-AR-A0TT-01A</v>
      </c>
      <c r="I15010" t="s">
        <v>17</v>
      </c>
      <c r="J15010" t="s">
        <v>524</v>
      </c>
      <c r="K15010" t="s">
        <v>33</v>
      </c>
      <c r="L15010" t="s">
        <v>20</v>
      </c>
      <c r="N15010" t="s">
        <v>29</v>
      </c>
    </row>
    <row r="15011" spans="1:14">
      <c r="A15011" s="4" t="str">
        <f t="shared" si="1177"/>
        <v>EXP00415</v>
      </c>
      <c r="B15011" s="3" t="s">
        <v>66</v>
      </c>
      <c r="C15011" s="4" t="str">
        <f t="shared" si="1178"/>
        <v>TCGA-BRCA</v>
      </c>
      <c r="D15011" s="1" t="s">
        <v>493</v>
      </c>
      <c r="E15011" t="s">
        <v>533</v>
      </c>
      <c r="F15011" s="1">
        <v>2</v>
      </c>
      <c r="G15011" s="1" t="s">
        <v>28</v>
      </c>
      <c r="H15011" s="4" t="str">
        <f>HYPERLINK("https://portal.gdc.cancer.gov/cases/6439621e-da61-4723-91cc-c5d87d0a4abc","TCGA-AR-A0TV-01A")</f>
        <v>TCGA-AR-A0TV-01A</v>
      </c>
      <c r="I15011" t="s">
        <v>17</v>
      </c>
      <c r="J15011" t="s">
        <v>524</v>
      </c>
      <c r="K15011" t="s">
        <v>33</v>
      </c>
      <c r="L15011" t="s">
        <v>20</v>
      </c>
      <c r="N15011" t="s">
        <v>29</v>
      </c>
    </row>
    <row r="15012" spans="1:14">
      <c r="A15012" s="4" t="str">
        <f t="shared" si="1177"/>
        <v>EXP00415</v>
      </c>
      <c r="B15012" s="3" t="s">
        <v>66</v>
      </c>
      <c r="C15012" s="4" t="str">
        <f t="shared" si="1178"/>
        <v>TCGA-BRCA</v>
      </c>
      <c r="D15012" s="1" t="s">
        <v>493</v>
      </c>
      <c r="E15012" t="s">
        <v>533</v>
      </c>
      <c r="F15012" s="1">
        <v>2</v>
      </c>
      <c r="G15012" s="1" t="s">
        <v>28</v>
      </c>
      <c r="H15012" s="4" t="str">
        <f>HYPERLINK("https://portal.gdc.cancer.gov/cases/c364e81c-eb1e-4870-ab37-9c661f5f2e3d","TCGA-AR-A0TX-01A")</f>
        <v>TCGA-AR-A0TX-01A</v>
      </c>
      <c r="I15012" t="s">
        <v>17</v>
      </c>
      <c r="J15012" t="s">
        <v>524</v>
      </c>
      <c r="K15012" t="s">
        <v>33</v>
      </c>
      <c r="L15012" t="s">
        <v>20</v>
      </c>
      <c r="N15012" t="s">
        <v>29</v>
      </c>
    </row>
    <row r="15013" spans="1:14">
      <c r="A15013" s="4" t="str">
        <f t="shared" si="1177"/>
        <v>EXP00415</v>
      </c>
      <c r="B15013" s="3" t="s">
        <v>66</v>
      </c>
      <c r="C15013" s="4" t="str">
        <f t="shared" si="1178"/>
        <v>TCGA-BRCA</v>
      </c>
      <c r="D15013" s="1" t="s">
        <v>493</v>
      </c>
      <c r="E15013" t="s">
        <v>533</v>
      </c>
      <c r="F15013" s="1">
        <v>2</v>
      </c>
      <c r="G15013" s="1" t="s">
        <v>28</v>
      </c>
      <c r="H15013" s="4" t="str">
        <f>HYPERLINK("https://portal.gdc.cancer.gov/cases/da1c58a7-c6bd-47d9-95c2-8d2ac70e20e4","TCGA-AR-A0TY-01A")</f>
        <v>TCGA-AR-A0TY-01A</v>
      </c>
      <c r="I15013" t="s">
        <v>17</v>
      </c>
      <c r="J15013" t="s">
        <v>524</v>
      </c>
      <c r="K15013" t="s">
        <v>33</v>
      </c>
      <c r="L15013" t="s">
        <v>20</v>
      </c>
      <c r="N15013" t="s">
        <v>29</v>
      </c>
    </row>
    <row r="15014" spans="1:14">
      <c r="A15014" s="4" t="str">
        <f t="shared" si="1177"/>
        <v>EXP00415</v>
      </c>
      <c r="B15014" s="3" t="s">
        <v>66</v>
      </c>
      <c r="C15014" s="4" t="str">
        <f t="shared" si="1178"/>
        <v>TCGA-BRCA</v>
      </c>
      <c r="D15014" s="1" t="s">
        <v>493</v>
      </c>
      <c r="E15014" t="s">
        <v>533</v>
      </c>
      <c r="F15014" s="1">
        <v>2</v>
      </c>
      <c r="G15014" s="1" t="s">
        <v>28</v>
      </c>
      <c r="H15014" s="4" t="str">
        <f>HYPERLINK("https://portal.gdc.cancer.gov/cases/c7c34fd9-3021-45b7-b6ff-30b4196585a8","TCGA-AR-A0TZ-01A")</f>
        <v>TCGA-AR-A0TZ-01A</v>
      </c>
      <c r="I15014" t="s">
        <v>17</v>
      </c>
      <c r="J15014" t="s">
        <v>524</v>
      </c>
      <c r="K15014" t="s">
        <v>33</v>
      </c>
      <c r="L15014" t="s">
        <v>20</v>
      </c>
      <c r="N15014" t="s">
        <v>29</v>
      </c>
    </row>
    <row r="15015" spans="1:14">
      <c r="A15015" s="4" t="str">
        <f t="shared" si="1177"/>
        <v>EXP00415</v>
      </c>
      <c r="B15015" s="3" t="s">
        <v>66</v>
      </c>
      <c r="C15015" s="4" t="str">
        <f t="shared" si="1178"/>
        <v>TCGA-BRCA</v>
      </c>
      <c r="D15015" s="1" t="s">
        <v>493</v>
      </c>
      <c r="E15015" t="s">
        <v>533</v>
      </c>
      <c r="F15015" s="1">
        <v>2</v>
      </c>
      <c r="G15015" s="1" t="s">
        <v>28</v>
      </c>
      <c r="H15015" s="4" t="str">
        <f>HYPERLINK("https://portal.gdc.cancer.gov/cases/9ad603dc-3fd0-44f5-ae4e-64eeb1ae8d6d","TCGA-AR-A0U2-01A")</f>
        <v>TCGA-AR-A0U2-01A</v>
      </c>
      <c r="I15015" t="s">
        <v>17</v>
      </c>
      <c r="J15015" t="s">
        <v>524</v>
      </c>
      <c r="K15015" t="s">
        <v>33</v>
      </c>
      <c r="L15015" t="s">
        <v>20</v>
      </c>
      <c r="N15015" t="s">
        <v>29</v>
      </c>
    </row>
    <row r="15016" spans="1:14">
      <c r="A15016" s="4" t="str">
        <f t="shared" si="1177"/>
        <v>EXP00415</v>
      </c>
      <c r="B15016" s="3" t="s">
        <v>66</v>
      </c>
      <c r="C15016" s="4" t="str">
        <f t="shared" si="1178"/>
        <v>TCGA-BRCA</v>
      </c>
      <c r="D15016" s="1" t="s">
        <v>493</v>
      </c>
      <c r="E15016" t="s">
        <v>533</v>
      </c>
      <c r="F15016" s="1">
        <v>2</v>
      </c>
      <c r="G15016" s="1" t="s">
        <v>28</v>
      </c>
      <c r="H15016" s="4" t="str">
        <f>HYPERLINK("https://portal.gdc.cancer.gov/cases/c5f00132-1c6b-4337-af6f-596c652665cc","TCGA-AR-A0U3-01A")</f>
        <v>TCGA-AR-A0U3-01A</v>
      </c>
      <c r="I15016" t="s">
        <v>17</v>
      </c>
      <c r="J15016" t="s">
        <v>524</v>
      </c>
      <c r="K15016" t="s">
        <v>33</v>
      </c>
      <c r="L15016" t="s">
        <v>20</v>
      </c>
      <c r="N15016" t="s">
        <v>29</v>
      </c>
    </row>
    <row r="15017" spans="1:14">
      <c r="A15017" s="4" t="str">
        <f t="shared" si="1177"/>
        <v>EXP00415</v>
      </c>
      <c r="B15017" s="3" t="s">
        <v>66</v>
      </c>
      <c r="C15017" s="4" t="str">
        <f t="shared" si="1178"/>
        <v>TCGA-BRCA</v>
      </c>
      <c r="D15017" s="1" t="s">
        <v>493</v>
      </c>
      <c r="E15017" t="s">
        <v>533</v>
      </c>
      <c r="F15017" s="1">
        <v>2</v>
      </c>
      <c r="G15017" s="1" t="s">
        <v>28</v>
      </c>
      <c r="H15017" s="4" t="str">
        <f>HYPERLINK("https://portal.gdc.cancer.gov/cases/71f97b63-c970-44ee-98c2-e02e663d5a40","TCGA-AR-A0U4-01A")</f>
        <v>TCGA-AR-A0U4-01A</v>
      </c>
      <c r="I15017" t="s">
        <v>17</v>
      </c>
      <c r="J15017" t="s">
        <v>524</v>
      </c>
      <c r="K15017" t="s">
        <v>33</v>
      </c>
      <c r="L15017" t="s">
        <v>20</v>
      </c>
      <c r="N15017" t="s">
        <v>29</v>
      </c>
    </row>
    <row r="15018" spans="1:14">
      <c r="A15018" s="4" t="str">
        <f t="shared" si="1177"/>
        <v>EXP00415</v>
      </c>
      <c r="B15018" s="3" t="s">
        <v>66</v>
      </c>
      <c r="C15018" s="4" t="str">
        <f t="shared" si="1178"/>
        <v>TCGA-BRCA</v>
      </c>
      <c r="D15018" s="1" t="s">
        <v>493</v>
      </c>
      <c r="E15018" t="s">
        <v>533</v>
      </c>
      <c r="F15018" s="1">
        <v>2</v>
      </c>
      <c r="G15018" s="1" t="s">
        <v>28</v>
      </c>
      <c r="H15018" s="4" t="str">
        <f>HYPERLINK("https://portal.gdc.cancer.gov/cases/a6e11b30-3ae8-4dd1-b04c-a730c6a79746","TCGA-AR-A1AH-01A")</f>
        <v>TCGA-AR-A1AH-01A</v>
      </c>
      <c r="I15018" t="s">
        <v>17</v>
      </c>
      <c r="J15018" t="s">
        <v>524</v>
      </c>
      <c r="K15018" t="s">
        <v>33</v>
      </c>
      <c r="L15018" t="s">
        <v>20</v>
      </c>
      <c r="N15018" t="s">
        <v>29</v>
      </c>
    </row>
    <row r="15019" spans="1:14">
      <c r="A15019" s="4" t="str">
        <f t="shared" si="1177"/>
        <v>EXP00415</v>
      </c>
      <c r="B15019" s="3" t="s">
        <v>66</v>
      </c>
      <c r="C15019" s="4" t="str">
        <f t="shared" si="1178"/>
        <v>TCGA-BRCA</v>
      </c>
      <c r="D15019" s="1" t="s">
        <v>493</v>
      </c>
      <c r="E15019" t="s">
        <v>533</v>
      </c>
      <c r="F15019" s="1">
        <v>2</v>
      </c>
      <c r="G15019" s="1" t="s">
        <v>28</v>
      </c>
      <c r="H15019" s="4" t="str">
        <f>HYPERLINK("https://portal.gdc.cancer.gov/cases/9848307d-1bd5-40c1-b655-a33297aaf74f","TCGA-AR-A1AI-01A")</f>
        <v>TCGA-AR-A1AI-01A</v>
      </c>
      <c r="I15019" t="s">
        <v>17</v>
      </c>
      <c r="J15019" t="s">
        <v>524</v>
      </c>
      <c r="K15019" t="s">
        <v>33</v>
      </c>
      <c r="L15019" t="s">
        <v>20</v>
      </c>
      <c r="N15019" t="s">
        <v>29</v>
      </c>
    </row>
    <row r="15020" spans="1:14">
      <c r="A15020" s="4" t="str">
        <f t="shared" si="1177"/>
        <v>EXP00415</v>
      </c>
      <c r="B15020" s="3" t="s">
        <v>66</v>
      </c>
      <c r="C15020" s="4" t="str">
        <f t="shared" si="1178"/>
        <v>TCGA-BRCA</v>
      </c>
      <c r="D15020" s="1" t="s">
        <v>493</v>
      </c>
      <c r="E15020" t="s">
        <v>533</v>
      </c>
      <c r="F15020" s="1">
        <v>2</v>
      </c>
      <c r="G15020" s="1" t="s">
        <v>28</v>
      </c>
      <c r="H15020" s="4" t="str">
        <f>HYPERLINK("https://portal.gdc.cancer.gov/cases/23e7a78a-1d56-4ad1-9bb4-72ec0178aff2","TCGA-AR-A1AJ-01A")</f>
        <v>TCGA-AR-A1AJ-01A</v>
      </c>
      <c r="I15020" t="s">
        <v>17</v>
      </c>
      <c r="J15020" t="s">
        <v>524</v>
      </c>
      <c r="K15020" t="s">
        <v>33</v>
      </c>
      <c r="L15020" t="s">
        <v>20</v>
      </c>
      <c r="N15020" t="s">
        <v>29</v>
      </c>
    </row>
    <row r="15021" spans="1:14">
      <c r="A15021" s="4" t="str">
        <f t="shared" si="1177"/>
        <v>EXP00415</v>
      </c>
      <c r="B15021" s="3" t="s">
        <v>66</v>
      </c>
      <c r="C15021" s="4" t="str">
        <f t="shared" si="1178"/>
        <v>TCGA-BRCA</v>
      </c>
      <c r="D15021" s="1" t="s">
        <v>493</v>
      </c>
      <c r="E15021" t="s">
        <v>533</v>
      </c>
      <c r="F15021" s="1">
        <v>2</v>
      </c>
      <c r="G15021" s="1" t="s">
        <v>28</v>
      </c>
      <c r="H15021" s="4" t="str">
        <f>HYPERLINK("https://portal.gdc.cancer.gov/cases/94b03e1d-50ec-4680-bffd-7086d1536ff2","TCGA-AR-A1AK-01A")</f>
        <v>TCGA-AR-A1AK-01A</v>
      </c>
      <c r="I15021" t="s">
        <v>17</v>
      </c>
      <c r="J15021" t="s">
        <v>524</v>
      </c>
      <c r="K15021" t="s">
        <v>33</v>
      </c>
      <c r="L15021" t="s">
        <v>20</v>
      </c>
      <c r="N15021" t="s">
        <v>29</v>
      </c>
    </row>
    <row r="15022" spans="1:14">
      <c r="A15022" s="4" t="str">
        <f t="shared" si="1177"/>
        <v>EXP00415</v>
      </c>
      <c r="B15022" s="3" t="s">
        <v>66</v>
      </c>
      <c r="C15022" s="4" t="str">
        <f t="shared" si="1178"/>
        <v>TCGA-BRCA</v>
      </c>
      <c r="D15022" s="1" t="s">
        <v>493</v>
      </c>
      <c r="E15022" t="s">
        <v>533</v>
      </c>
      <c r="F15022" s="1">
        <v>2</v>
      </c>
      <c r="G15022" s="1" t="s">
        <v>28</v>
      </c>
      <c r="H15022" s="4" t="str">
        <f>HYPERLINK("https://portal.gdc.cancer.gov/cases/1f99e4d4-4e8b-4cc1-a129-227a2a82780e","TCGA-AR-A1AL-01A")</f>
        <v>TCGA-AR-A1AL-01A</v>
      </c>
      <c r="I15022" t="s">
        <v>17</v>
      </c>
      <c r="J15022" t="s">
        <v>524</v>
      </c>
      <c r="K15022" t="s">
        <v>33</v>
      </c>
      <c r="L15022" t="s">
        <v>20</v>
      </c>
      <c r="N15022" t="s">
        <v>29</v>
      </c>
    </row>
    <row r="15023" spans="1:14">
      <c r="A15023" s="4" t="str">
        <f t="shared" si="1177"/>
        <v>EXP00415</v>
      </c>
      <c r="B15023" s="3" t="s">
        <v>66</v>
      </c>
      <c r="C15023" s="4" t="str">
        <f t="shared" si="1178"/>
        <v>TCGA-BRCA</v>
      </c>
      <c r="D15023" s="1" t="s">
        <v>493</v>
      </c>
      <c r="E15023" t="s">
        <v>533</v>
      </c>
      <c r="F15023" s="1">
        <v>2</v>
      </c>
      <c r="G15023" s="1" t="s">
        <v>28</v>
      </c>
      <c r="H15023" s="4" t="str">
        <f>HYPERLINK("https://portal.gdc.cancer.gov/cases/ebd1512a-4865-4193-97b3-f599d555759a","TCGA-AR-A1AM-01A")</f>
        <v>TCGA-AR-A1AM-01A</v>
      </c>
      <c r="I15023" t="s">
        <v>17</v>
      </c>
      <c r="J15023" t="s">
        <v>524</v>
      </c>
      <c r="K15023" t="s">
        <v>33</v>
      </c>
      <c r="L15023" t="s">
        <v>20</v>
      </c>
      <c r="N15023" t="s">
        <v>29</v>
      </c>
    </row>
    <row r="15024" spans="1:14">
      <c r="A15024" s="4" t="str">
        <f t="shared" si="1177"/>
        <v>EXP00415</v>
      </c>
      <c r="B15024" s="3" t="s">
        <v>66</v>
      </c>
      <c r="C15024" s="4" t="str">
        <f t="shared" si="1178"/>
        <v>TCGA-BRCA</v>
      </c>
      <c r="D15024" s="1" t="s">
        <v>493</v>
      </c>
      <c r="E15024" t="s">
        <v>533</v>
      </c>
      <c r="F15024" s="1">
        <v>2</v>
      </c>
      <c r="G15024" s="1" t="s">
        <v>28</v>
      </c>
      <c r="H15024" s="4" t="str">
        <f>HYPERLINK("https://portal.gdc.cancer.gov/cases/43029932-feb0-4658-97fa-645c1e775009","TCGA-AR-A1AN-01A")</f>
        <v>TCGA-AR-A1AN-01A</v>
      </c>
      <c r="I15024" t="s">
        <v>17</v>
      </c>
      <c r="J15024" t="s">
        <v>524</v>
      </c>
      <c r="K15024" t="s">
        <v>33</v>
      </c>
      <c r="L15024" t="s">
        <v>20</v>
      </c>
      <c r="N15024" t="s">
        <v>29</v>
      </c>
    </row>
    <row r="15025" spans="1:14">
      <c r="A15025" s="4" t="str">
        <f t="shared" si="1177"/>
        <v>EXP00415</v>
      </c>
      <c r="B15025" s="3" t="s">
        <v>66</v>
      </c>
      <c r="C15025" s="4" t="str">
        <f t="shared" si="1178"/>
        <v>TCGA-BRCA</v>
      </c>
      <c r="D15025" s="1" t="s">
        <v>493</v>
      </c>
      <c r="E15025" t="s">
        <v>533</v>
      </c>
      <c r="F15025" s="1">
        <v>2</v>
      </c>
      <c r="G15025" s="1" t="s">
        <v>28</v>
      </c>
      <c r="H15025" s="4" t="str">
        <f>HYPERLINK("https://portal.gdc.cancer.gov/cases/623befd6-0ca4-4a6c-9cf5-d9385c3b718f","TCGA-AR-A1AO-01A")</f>
        <v>TCGA-AR-A1AO-01A</v>
      </c>
      <c r="I15025" t="s">
        <v>17</v>
      </c>
      <c r="J15025" t="s">
        <v>524</v>
      </c>
      <c r="K15025" t="s">
        <v>33</v>
      </c>
      <c r="L15025" t="s">
        <v>20</v>
      </c>
      <c r="N15025" t="s">
        <v>29</v>
      </c>
    </row>
    <row r="15026" spans="1:14">
      <c r="A15026" s="4" t="str">
        <f t="shared" si="1177"/>
        <v>EXP00415</v>
      </c>
      <c r="B15026" s="3" t="s">
        <v>66</v>
      </c>
      <c r="C15026" s="4" t="str">
        <f t="shared" si="1178"/>
        <v>TCGA-BRCA</v>
      </c>
      <c r="D15026" s="1" t="s">
        <v>493</v>
      </c>
      <c r="E15026" t="s">
        <v>533</v>
      </c>
      <c r="F15026" s="1">
        <v>2</v>
      </c>
      <c r="G15026" s="1" t="s">
        <v>28</v>
      </c>
      <c r="H15026" s="4" t="str">
        <f>HYPERLINK("https://portal.gdc.cancer.gov/cases/9495f029-9882-4c9b-a557-b3aec9e91698","TCGA-AR-A1AP-01A")</f>
        <v>TCGA-AR-A1AP-01A</v>
      </c>
      <c r="I15026" t="s">
        <v>17</v>
      </c>
      <c r="J15026" t="s">
        <v>524</v>
      </c>
      <c r="K15026" t="s">
        <v>33</v>
      </c>
      <c r="L15026" t="s">
        <v>20</v>
      </c>
      <c r="N15026" t="s">
        <v>29</v>
      </c>
    </row>
    <row r="15027" spans="1:14">
      <c r="A15027" s="4" t="str">
        <f t="shared" si="1177"/>
        <v>EXP00415</v>
      </c>
      <c r="B15027" s="3" t="s">
        <v>66</v>
      </c>
      <c r="C15027" s="4" t="str">
        <f t="shared" si="1178"/>
        <v>TCGA-BRCA</v>
      </c>
      <c r="D15027" s="1" t="s">
        <v>493</v>
      </c>
      <c r="E15027" t="s">
        <v>533</v>
      </c>
      <c r="F15027" s="1">
        <v>2</v>
      </c>
      <c r="G15027" s="1" t="s">
        <v>28</v>
      </c>
      <c r="H15027" s="4" t="str">
        <f>HYPERLINK("https://portal.gdc.cancer.gov/cases/98e0b4de-52fc-4945-9bf5-11e29368f939","TCGA-AR-A1AQ-01A")</f>
        <v>TCGA-AR-A1AQ-01A</v>
      </c>
      <c r="I15027" t="s">
        <v>17</v>
      </c>
      <c r="J15027" t="s">
        <v>524</v>
      </c>
      <c r="K15027" t="s">
        <v>33</v>
      </c>
      <c r="L15027" t="s">
        <v>20</v>
      </c>
      <c r="N15027" t="s">
        <v>29</v>
      </c>
    </row>
    <row r="15028" spans="1:14">
      <c r="A15028" s="4" t="str">
        <f t="shared" si="1177"/>
        <v>EXP00415</v>
      </c>
      <c r="B15028" s="3" t="s">
        <v>66</v>
      </c>
      <c r="C15028" s="4" t="str">
        <f t="shared" si="1178"/>
        <v>TCGA-BRCA</v>
      </c>
      <c r="D15028" s="1" t="s">
        <v>493</v>
      </c>
      <c r="E15028" t="s">
        <v>533</v>
      </c>
      <c r="F15028" s="1">
        <v>2</v>
      </c>
      <c r="G15028" s="1" t="s">
        <v>28</v>
      </c>
      <c r="H15028" s="4" t="str">
        <f>HYPERLINK("https://portal.gdc.cancer.gov/cases/eda6d2d5-4199-4f76-a45b-1d0401b4e54c","TCGA-AR-A1AR-01A")</f>
        <v>TCGA-AR-A1AR-01A</v>
      </c>
      <c r="I15028" t="s">
        <v>17</v>
      </c>
      <c r="J15028" t="s">
        <v>524</v>
      </c>
      <c r="K15028" t="s">
        <v>33</v>
      </c>
      <c r="L15028" t="s">
        <v>20</v>
      </c>
      <c r="N15028" t="s">
        <v>29</v>
      </c>
    </row>
    <row r="15029" spans="1:14">
      <c r="A15029" s="4" t="str">
        <f t="shared" si="1177"/>
        <v>EXP00415</v>
      </c>
      <c r="B15029" s="3" t="s">
        <v>66</v>
      </c>
      <c r="C15029" s="4" t="str">
        <f t="shared" si="1178"/>
        <v>TCGA-BRCA</v>
      </c>
      <c r="D15029" s="1" t="s">
        <v>493</v>
      </c>
      <c r="E15029" t="s">
        <v>533</v>
      </c>
      <c r="F15029" s="1">
        <v>2</v>
      </c>
      <c r="G15029" s="1" t="s">
        <v>28</v>
      </c>
      <c r="H15029" s="4" t="str">
        <f>HYPERLINK("https://portal.gdc.cancer.gov/cases/7d681cc6-689d-41c8-9e84-e13733089ec9","TCGA-AR-A1AS-01A")</f>
        <v>TCGA-AR-A1AS-01A</v>
      </c>
      <c r="I15029" t="s">
        <v>17</v>
      </c>
      <c r="J15029" t="s">
        <v>524</v>
      </c>
      <c r="K15029" t="s">
        <v>33</v>
      </c>
      <c r="L15029" t="s">
        <v>20</v>
      </c>
      <c r="N15029" t="s">
        <v>29</v>
      </c>
    </row>
    <row r="15030" spans="1:14">
      <c r="A15030" s="4" t="str">
        <f t="shared" si="1177"/>
        <v>EXP00415</v>
      </c>
      <c r="B15030" s="3" t="s">
        <v>66</v>
      </c>
      <c r="C15030" s="4" t="str">
        <f t="shared" si="1178"/>
        <v>TCGA-BRCA</v>
      </c>
      <c r="D15030" s="1" t="s">
        <v>493</v>
      </c>
      <c r="E15030" t="s">
        <v>533</v>
      </c>
      <c r="F15030" s="1">
        <v>2</v>
      </c>
      <c r="G15030" s="1" t="s">
        <v>28</v>
      </c>
      <c r="H15030" s="4" t="str">
        <f>HYPERLINK("https://portal.gdc.cancer.gov/cases/4d26dada-5eb7-4d4e-8eb8-f5465c5c3428","TCGA-AR-A1AT-01A")</f>
        <v>TCGA-AR-A1AT-01A</v>
      </c>
      <c r="I15030" t="s">
        <v>17</v>
      </c>
      <c r="J15030" t="s">
        <v>524</v>
      </c>
      <c r="K15030" t="s">
        <v>33</v>
      </c>
      <c r="L15030" t="s">
        <v>20</v>
      </c>
      <c r="N15030" t="s">
        <v>29</v>
      </c>
    </row>
    <row r="15031" spans="1:14">
      <c r="A15031" s="4" t="str">
        <f t="shared" si="1177"/>
        <v>EXP00415</v>
      </c>
      <c r="B15031" s="3" t="s">
        <v>66</v>
      </c>
      <c r="C15031" s="4" t="str">
        <f t="shared" si="1178"/>
        <v>TCGA-BRCA</v>
      </c>
      <c r="D15031" s="1" t="s">
        <v>493</v>
      </c>
      <c r="E15031" t="s">
        <v>533</v>
      </c>
      <c r="F15031" s="1">
        <v>2</v>
      </c>
      <c r="G15031" s="1" t="s">
        <v>28</v>
      </c>
      <c r="H15031" s="4" t="str">
        <f>HYPERLINK("https://portal.gdc.cancer.gov/cases/36220587-1c1c-4f92-b177-3b2155e7e273","TCGA-AR-A1AU-01A")</f>
        <v>TCGA-AR-A1AU-01A</v>
      </c>
      <c r="I15031" t="s">
        <v>17</v>
      </c>
      <c r="J15031" t="s">
        <v>524</v>
      </c>
      <c r="K15031" t="s">
        <v>33</v>
      </c>
      <c r="L15031" t="s">
        <v>20</v>
      </c>
      <c r="N15031" t="s">
        <v>29</v>
      </c>
    </row>
    <row r="15032" spans="1:14">
      <c r="A15032" s="4" t="str">
        <f t="shared" ref="A15032:A15095" si="1179">HYPERLINK("http://hcmdb.i-sanger.com/experiment/details/experiment_id/EXP00415","EXP00415")</f>
        <v>EXP00415</v>
      </c>
      <c r="B15032" s="3" t="s">
        <v>66</v>
      </c>
      <c r="C15032" s="4" t="str">
        <f t="shared" si="1178"/>
        <v>TCGA-BRCA</v>
      </c>
      <c r="D15032" s="1" t="s">
        <v>493</v>
      </c>
      <c r="E15032" t="s">
        <v>533</v>
      </c>
      <c r="F15032" s="1">
        <v>2</v>
      </c>
      <c r="G15032" s="1" t="s">
        <v>28</v>
      </c>
      <c r="H15032" s="4" t="str">
        <f>HYPERLINK("https://portal.gdc.cancer.gov/cases/daf62b56-6dd2-4ab7-adaa-f296bb86a0a5","TCGA-AR-A1AV-01A")</f>
        <v>TCGA-AR-A1AV-01A</v>
      </c>
      <c r="I15032" t="s">
        <v>17</v>
      </c>
      <c r="J15032" t="s">
        <v>524</v>
      </c>
      <c r="K15032" t="s">
        <v>33</v>
      </c>
      <c r="L15032" t="s">
        <v>20</v>
      </c>
      <c r="N15032" t="s">
        <v>29</v>
      </c>
    </row>
    <row r="15033" spans="1:14">
      <c r="A15033" s="4" t="str">
        <f t="shared" si="1179"/>
        <v>EXP00415</v>
      </c>
      <c r="B15033" s="3" t="s">
        <v>66</v>
      </c>
      <c r="C15033" s="4" t="str">
        <f t="shared" si="1178"/>
        <v>TCGA-BRCA</v>
      </c>
      <c r="D15033" s="1" t="s">
        <v>493</v>
      </c>
      <c r="E15033" t="s">
        <v>533</v>
      </c>
      <c r="F15033" s="1">
        <v>2</v>
      </c>
      <c r="G15033" s="1" t="s">
        <v>28</v>
      </c>
      <c r="H15033" s="4" t="str">
        <f>HYPERLINK("https://portal.gdc.cancer.gov/cases/a12fd22a-7f84-4b6e-b6d8-012e38eb73d7","TCGA-AR-A1AW-01A")</f>
        <v>TCGA-AR-A1AW-01A</v>
      </c>
      <c r="I15033" t="s">
        <v>17</v>
      </c>
      <c r="J15033" t="s">
        <v>524</v>
      </c>
      <c r="K15033" t="s">
        <v>33</v>
      </c>
      <c r="L15033" t="s">
        <v>20</v>
      </c>
      <c r="N15033" t="s">
        <v>29</v>
      </c>
    </row>
    <row r="15034" spans="1:14">
      <c r="A15034" s="4" t="str">
        <f t="shared" si="1179"/>
        <v>EXP00415</v>
      </c>
      <c r="B15034" s="3" t="s">
        <v>66</v>
      </c>
      <c r="C15034" s="4" t="str">
        <f t="shared" ref="C15034:C15097" si="1180">HYPERLINK("https://portal.gdc.cancer.gov/projects/TCGA-BRCA","TCGA-BRCA")</f>
        <v>TCGA-BRCA</v>
      </c>
      <c r="D15034" s="1" t="s">
        <v>493</v>
      </c>
      <c r="E15034" t="s">
        <v>533</v>
      </c>
      <c r="F15034" s="1">
        <v>2</v>
      </c>
      <c r="G15034" s="1" t="s">
        <v>28</v>
      </c>
      <c r="H15034" s="4" t="str">
        <f>HYPERLINK("https://portal.gdc.cancer.gov/cases/f72c1d69-da35-459f-8542-59bfd6c09c23","TCGA-AR-A1AX-01A")</f>
        <v>TCGA-AR-A1AX-01A</v>
      </c>
      <c r="I15034" t="s">
        <v>17</v>
      </c>
      <c r="J15034" t="s">
        <v>524</v>
      </c>
      <c r="K15034" t="s">
        <v>33</v>
      </c>
      <c r="L15034" t="s">
        <v>20</v>
      </c>
      <c r="N15034" t="s">
        <v>29</v>
      </c>
    </row>
    <row r="15035" spans="1:14">
      <c r="A15035" s="4" t="str">
        <f t="shared" si="1179"/>
        <v>EXP00415</v>
      </c>
      <c r="B15035" s="3" t="s">
        <v>66</v>
      </c>
      <c r="C15035" s="4" t="str">
        <f t="shared" si="1180"/>
        <v>TCGA-BRCA</v>
      </c>
      <c r="D15035" s="1" t="s">
        <v>493</v>
      </c>
      <c r="E15035" t="s">
        <v>533</v>
      </c>
      <c r="F15035" s="1">
        <v>2</v>
      </c>
      <c r="G15035" s="1" t="s">
        <v>28</v>
      </c>
      <c r="H15035" s="4" t="str">
        <f>HYPERLINK("https://portal.gdc.cancer.gov/cases/5fd9552a-c742-4388-940d-295d1107ae00","TCGA-AR-A1AY-01A")</f>
        <v>TCGA-AR-A1AY-01A</v>
      </c>
      <c r="I15035" t="s">
        <v>17</v>
      </c>
      <c r="J15035" t="s">
        <v>524</v>
      </c>
      <c r="K15035" t="s">
        <v>33</v>
      </c>
      <c r="L15035" t="s">
        <v>20</v>
      </c>
      <c r="N15035" t="s">
        <v>29</v>
      </c>
    </row>
    <row r="15036" spans="1:14">
      <c r="A15036" s="4" t="str">
        <f t="shared" si="1179"/>
        <v>EXP00415</v>
      </c>
      <c r="B15036" s="3" t="s">
        <v>66</v>
      </c>
      <c r="C15036" s="4" t="str">
        <f t="shared" si="1180"/>
        <v>TCGA-BRCA</v>
      </c>
      <c r="D15036" s="1" t="s">
        <v>493</v>
      </c>
      <c r="E15036" t="s">
        <v>533</v>
      </c>
      <c r="F15036" s="1">
        <v>2</v>
      </c>
      <c r="G15036" s="1" t="s">
        <v>28</v>
      </c>
      <c r="H15036" s="4" t="str">
        <f>HYPERLINK("https://portal.gdc.cancer.gov/cases/6f89509c-f802-482e-b4da-94553aa76fe9","TCGA-AR-A24H-01A")</f>
        <v>TCGA-AR-A24H-01A</v>
      </c>
      <c r="I15036" t="s">
        <v>17</v>
      </c>
      <c r="J15036" t="s">
        <v>524</v>
      </c>
      <c r="K15036" t="s">
        <v>33</v>
      </c>
      <c r="L15036" t="s">
        <v>20</v>
      </c>
      <c r="N15036" t="s">
        <v>29</v>
      </c>
    </row>
    <row r="15037" spans="1:14">
      <c r="A15037" s="4" t="str">
        <f t="shared" si="1179"/>
        <v>EXP00415</v>
      </c>
      <c r="B15037" s="3" t="s">
        <v>66</v>
      </c>
      <c r="C15037" s="4" t="str">
        <f t="shared" si="1180"/>
        <v>TCGA-BRCA</v>
      </c>
      <c r="D15037" s="1" t="s">
        <v>493</v>
      </c>
      <c r="E15037" t="s">
        <v>533</v>
      </c>
      <c r="F15037" s="1">
        <v>2</v>
      </c>
      <c r="G15037" s="1" t="s">
        <v>28</v>
      </c>
      <c r="H15037" s="4" t="str">
        <f>HYPERLINK("https://portal.gdc.cancer.gov/cases/599c3701-df7a-4a75-a347-fa9b510dd242","TCGA-AR-A24K-01A")</f>
        <v>TCGA-AR-A24K-01A</v>
      </c>
      <c r="I15037" t="s">
        <v>17</v>
      </c>
      <c r="J15037" t="s">
        <v>524</v>
      </c>
      <c r="K15037" t="s">
        <v>33</v>
      </c>
      <c r="L15037" t="s">
        <v>20</v>
      </c>
      <c r="N15037" t="s">
        <v>29</v>
      </c>
    </row>
    <row r="15038" spans="1:14">
      <c r="A15038" s="4" t="str">
        <f t="shared" si="1179"/>
        <v>EXP00415</v>
      </c>
      <c r="B15038" s="3" t="s">
        <v>66</v>
      </c>
      <c r="C15038" s="4" t="str">
        <f t="shared" si="1180"/>
        <v>TCGA-BRCA</v>
      </c>
      <c r="D15038" s="1" t="s">
        <v>493</v>
      </c>
      <c r="E15038" t="s">
        <v>533</v>
      </c>
      <c r="F15038" s="1">
        <v>2</v>
      </c>
      <c r="G15038" s="1" t="s">
        <v>28</v>
      </c>
      <c r="H15038" s="4" t="str">
        <f>HYPERLINK("https://portal.gdc.cancer.gov/cases/de646f6a-6d50-4be2-b3cd-f17554b234df","TCGA-AR-A24L-01A")</f>
        <v>TCGA-AR-A24L-01A</v>
      </c>
      <c r="I15038" t="s">
        <v>17</v>
      </c>
      <c r="J15038" t="s">
        <v>524</v>
      </c>
      <c r="K15038" t="s">
        <v>33</v>
      </c>
      <c r="L15038" t="s">
        <v>20</v>
      </c>
      <c r="N15038" t="s">
        <v>29</v>
      </c>
    </row>
    <row r="15039" spans="1:14">
      <c r="A15039" s="4" t="str">
        <f t="shared" si="1179"/>
        <v>EXP00415</v>
      </c>
      <c r="B15039" s="3" t="s">
        <v>66</v>
      </c>
      <c r="C15039" s="4" t="str">
        <f t="shared" si="1180"/>
        <v>TCGA-BRCA</v>
      </c>
      <c r="D15039" s="1" t="s">
        <v>493</v>
      </c>
      <c r="E15039" t="s">
        <v>533</v>
      </c>
      <c r="F15039" s="1">
        <v>2</v>
      </c>
      <c r="G15039" s="1" t="s">
        <v>28</v>
      </c>
      <c r="H15039" s="4" t="str">
        <f>HYPERLINK("https://portal.gdc.cancer.gov/cases/aa30ac3d-4216-45dd-a314-1ae192fafcb2","TCGA-AR-A24M-01A")</f>
        <v>TCGA-AR-A24M-01A</v>
      </c>
      <c r="I15039" t="s">
        <v>17</v>
      </c>
      <c r="J15039" t="s">
        <v>524</v>
      </c>
      <c r="K15039" t="s">
        <v>33</v>
      </c>
      <c r="L15039" t="s">
        <v>20</v>
      </c>
      <c r="N15039" t="s">
        <v>29</v>
      </c>
    </row>
    <row r="15040" spans="1:14">
      <c r="A15040" s="4" t="str">
        <f t="shared" si="1179"/>
        <v>EXP00415</v>
      </c>
      <c r="B15040" s="3" t="s">
        <v>66</v>
      </c>
      <c r="C15040" s="4" t="str">
        <f t="shared" si="1180"/>
        <v>TCGA-BRCA</v>
      </c>
      <c r="D15040" s="1" t="s">
        <v>493</v>
      </c>
      <c r="E15040" t="s">
        <v>533</v>
      </c>
      <c r="F15040" s="1">
        <v>2</v>
      </c>
      <c r="G15040" s="1" t="s">
        <v>28</v>
      </c>
      <c r="H15040" s="4" t="str">
        <f>HYPERLINK("https://portal.gdc.cancer.gov/cases/30047d32-0833-4aca-98d1-3b9ab7122863","TCGA-AR-A24N-01A")</f>
        <v>TCGA-AR-A24N-01A</v>
      </c>
      <c r="I15040" t="s">
        <v>17</v>
      </c>
      <c r="J15040" t="s">
        <v>524</v>
      </c>
      <c r="K15040" t="s">
        <v>33</v>
      </c>
      <c r="L15040" t="s">
        <v>20</v>
      </c>
      <c r="N15040" t="s">
        <v>29</v>
      </c>
    </row>
    <row r="15041" spans="1:14">
      <c r="A15041" s="4" t="str">
        <f t="shared" si="1179"/>
        <v>EXP00415</v>
      </c>
      <c r="B15041" s="3" t="s">
        <v>66</v>
      </c>
      <c r="C15041" s="4" t="str">
        <f t="shared" si="1180"/>
        <v>TCGA-BRCA</v>
      </c>
      <c r="D15041" s="1" t="s">
        <v>493</v>
      </c>
      <c r="E15041" t="s">
        <v>533</v>
      </c>
      <c r="F15041" s="1">
        <v>2</v>
      </c>
      <c r="G15041" s="1" t="s">
        <v>28</v>
      </c>
      <c r="H15041" s="4" t="str">
        <f>HYPERLINK("https://portal.gdc.cancer.gov/cases/125b0a9a-6cbe-4207-9178-e7ff03487e87","TCGA-AR-A24O-01A")</f>
        <v>TCGA-AR-A24O-01A</v>
      </c>
      <c r="I15041" t="s">
        <v>17</v>
      </c>
      <c r="J15041" t="s">
        <v>524</v>
      </c>
      <c r="K15041" t="s">
        <v>33</v>
      </c>
      <c r="L15041" t="s">
        <v>20</v>
      </c>
      <c r="N15041" t="s">
        <v>29</v>
      </c>
    </row>
    <row r="15042" spans="1:14">
      <c r="A15042" s="4" t="str">
        <f t="shared" si="1179"/>
        <v>EXP00415</v>
      </c>
      <c r="B15042" s="3" t="s">
        <v>66</v>
      </c>
      <c r="C15042" s="4" t="str">
        <f t="shared" si="1180"/>
        <v>TCGA-BRCA</v>
      </c>
      <c r="D15042" s="1" t="s">
        <v>493</v>
      </c>
      <c r="E15042" t="s">
        <v>533</v>
      </c>
      <c r="F15042" s="1">
        <v>2</v>
      </c>
      <c r="G15042" s="1" t="s">
        <v>28</v>
      </c>
      <c r="H15042" s="4" t="str">
        <f>HYPERLINK("https://portal.gdc.cancer.gov/cases/d1fd8ed2-be13-4272-b31e-df86911db3b1","TCGA-AR-A24P-01A")</f>
        <v>TCGA-AR-A24P-01A</v>
      </c>
      <c r="I15042" t="s">
        <v>17</v>
      </c>
      <c r="J15042" t="s">
        <v>524</v>
      </c>
      <c r="K15042" t="s">
        <v>33</v>
      </c>
      <c r="L15042" t="s">
        <v>20</v>
      </c>
      <c r="N15042" t="s">
        <v>29</v>
      </c>
    </row>
    <row r="15043" spans="1:14">
      <c r="A15043" s="4" t="str">
        <f t="shared" si="1179"/>
        <v>EXP00415</v>
      </c>
      <c r="B15043" s="3" t="s">
        <v>66</v>
      </c>
      <c r="C15043" s="4" t="str">
        <f t="shared" si="1180"/>
        <v>TCGA-BRCA</v>
      </c>
      <c r="D15043" s="1" t="s">
        <v>493</v>
      </c>
      <c r="E15043" t="s">
        <v>533</v>
      </c>
      <c r="F15043" s="1">
        <v>2</v>
      </c>
      <c r="G15043" s="1" t="s">
        <v>28</v>
      </c>
      <c r="H15043" s="4" t="str">
        <f>HYPERLINK("https://portal.gdc.cancer.gov/cases/28e9048a-e540-42de-a1f4-4ef894fccc4c","TCGA-AR-A24Q-01A")</f>
        <v>TCGA-AR-A24Q-01A</v>
      </c>
      <c r="I15043" t="s">
        <v>17</v>
      </c>
      <c r="J15043" t="s">
        <v>524</v>
      </c>
      <c r="K15043" t="s">
        <v>33</v>
      </c>
      <c r="L15043" t="s">
        <v>20</v>
      </c>
      <c r="N15043" t="s">
        <v>29</v>
      </c>
    </row>
    <row r="15044" spans="1:14">
      <c r="A15044" s="4" t="str">
        <f t="shared" si="1179"/>
        <v>EXP00415</v>
      </c>
      <c r="B15044" s="3" t="s">
        <v>66</v>
      </c>
      <c r="C15044" s="4" t="str">
        <f t="shared" si="1180"/>
        <v>TCGA-BRCA</v>
      </c>
      <c r="D15044" s="1" t="s">
        <v>493</v>
      </c>
      <c r="E15044" t="s">
        <v>533</v>
      </c>
      <c r="F15044" s="1">
        <v>2</v>
      </c>
      <c r="G15044" s="1" t="s">
        <v>28</v>
      </c>
      <c r="H15044" s="4" t="str">
        <f>HYPERLINK("https://portal.gdc.cancer.gov/cases/db62d9c7-8343-4771-84fc-146d2e307bb8","TCGA-AR-A24R-01A")</f>
        <v>TCGA-AR-A24R-01A</v>
      </c>
      <c r="I15044" t="s">
        <v>17</v>
      </c>
      <c r="J15044" t="s">
        <v>524</v>
      </c>
      <c r="K15044" t="s">
        <v>33</v>
      </c>
      <c r="L15044" t="s">
        <v>20</v>
      </c>
      <c r="N15044" t="s">
        <v>29</v>
      </c>
    </row>
    <row r="15045" spans="1:14">
      <c r="A15045" s="4" t="str">
        <f t="shared" si="1179"/>
        <v>EXP00415</v>
      </c>
      <c r="B15045" s="3" t="s">
        <v>66</v>
      </c>
      <c r="C15045" s="4" t="str">
        <f t="shared" si="1180"/>
        <v>TCGA-BRCA</v>
      </c>
      <c r="D15045" s="1" t="s">
        <v>493</v>
      </c>
      <c r="E15045" t="s">
        <v>533</v>
      </c>
      <c r="F15045" s="1">
        <v>2</v>
      </c>
      <c r="G15045" s="1" t="s">
        <v>28</v>
      </c>
      <c r="H15045" s="4" t="str">
        <f>HYPERLINK("https://portal.gdc.cancer.gov/cases/074e8b06-3929-4896-9263-3b80ad6a355b","TCGA-AR-A24S-01A")</f>
        <v>TCGA-AR-A24S-01A</v>
      </c>
      <c r="I15045" t="s">
        <v>17</v>
      </c>
      <c r="J15045" t="s">
        <v>524</v>
      </c>
      <c r="K15045" t="s">
        <v>33</v>
      </c>
      <c r="L15045" t="s">
        <v>20</v>
      </c>
      <c r="N15045" t="s">
        <v>29</v>
      </c>
    </row>
    <row r="15046" spans="1:14">
      <c r="A15046" s="4" t="str">
        <f t="shared" si="1179"/>
        <v>EXP00415</v>
      </c>
      <c r="B15046" s="3" t="s">
        <v>66</v>
      </c>
      <c r="C15046" s="4" t="str">
        <f t="shared" si="1180"/>
        <v>TCGA-BRCA</v>
      </c>
      <c r="D15046" s="1" t="s">
        <v>493</v>
      </c>
      <c r="E15046" t="s">
        <v>533</v>
      </c>
      <c r="F15046" s="1">
        <v>2</v>
      </c>
      <c r="G15046" s="1" t="s">
        <v>28</v>
      </c>
      <c r="H15046" s="4" t="str">
        <f>HYPERLINK("https://portal.gdc.cancer.gov/cases/9e3de467-fb0d-4021-89f8-b34968a7c7bc","TCGA-AR-A24T-01A")</f>
        <v>TCGA-AR-A24T-01A</v>
      </c>
      <c r="I15046" t="s">
        <v>17</v>
      </c>
      <c r="J15046" t="s">
        <v>524</v>
      </c>
      <c r="K15046" t="s">
        <v>33</v>
      </c>
      <c r="L15046" t="s">
        <v>20</v>
      </c>
      <c r="N15046" t="s">
        <v>29</v>
      </c>
    </row>
    <row r="15047" spans="1:14">
      <c r="A15047" s="4" t="str">
        <f t="shared" si="1179"/>
        <v>EXP00415</v>
      </c>
      <c r="B15047" s="3" t="s">
        <v>66</v>
      </c>
      <c r="C15047" s="4" t="str">
        <f t="shared" si="1180"/>
        <v>TCGA-BRCA</v>
      </c>
      <c r="D15047" s="1" t="s">
        <v>493</v>
      </c>
      <c r="E15047" t="s">
        <v>533</v>
      </c>
      <c r="F15047" s="1">
        <v>2</v>
      </c>
      <c r="G15047" s="1" t="s">
        <v>28</v>
      </c>
      <c r="H15047" s="4" t="str">
        <f>HYPERLINK("https://portal.gdc.cancer.gov/cases/241fffc8-4250-4cfa-b2e7-e68c33ae07dc","TCGA-AR-A24U-01A")</f>
        <v>TCGA-AR-A24U-01A</v>
      </c>
      <c r="I15047" t="s">
        <v>17</v>
      </c>
      <c r="J15047" t="s">
        <v>524</v>
      </c>
      <c r="K15047" t="s">
        <v>33</v>
      </c>
      <c r="L15047" t="s">
        <v>20</v>
      </c>
      <c r="N15047" t="s">
        <v>29</v>
      </c>
    </row>
    <row r="15048" spans="1:14">
      <c r="A15048" s="4" t="str">
        <f t="shared" si="1179"/>
        <v>EXP00415</v>
      </c>
      <c r="B15048" s="3" t="s">
        <v>66</v>
      </c>
      <c r="C15048" s="4" t="str">
        <f t="shared" si="1180"/>
        <v>TCGA-BRCA</v>
      </c>
      <c r="D15048" s="1" t="s">
        <v>493</v>
      </c>
      <c r="E15048" t="s">
        <v>533</v>
      </c>
      <c r="F15048" s="1">
        <v>2</v>
      </c>
      <c r="G15048" s="1" t="s">
        <v>28</v>
      </c>
      <c r="H15048" s="4" t="str">
        <f>HYPERLINK("https://portal.gdc.cancer.gov/cases/3cb06c7a-f2a8-448b-91a8-dd201bbf2ddd","TCGA-AR-A24V-01A")</f>
        <v>TCGA-AR-A24V-01A</v>
      </c>
      <c r="I15048" t="s">
        <v>17</v>
      </c>
      <c r="J15048" t="s">
        <v>524</v>
      </c>
      <c r="K15048" t="s">
        <v>33</v>
      </c>
      <c r="L15048" t="s">
        <v>20</v>
      </c>
      <c r="N15048" t="s">
        <v>29</v>
      </c>
    </row>
    <row r="15049" spans="1:14">
      <c r="A15049" s="4" t="str">
        <f t="shared" si="1179"/>
        <v>EXP00415</v>
      </c>
      <c r="B15049" s="3" t="s">
        <v>66</v>
      </c>
      <c r="C15049" s="4" t="str">
        <f t="shared" si="1180"/>
        <v>TCGA-BRCA</v>
      </c>
      <c r="D15049" s="1" t="s">
        <v>493</v>
      </c>
      <c r="E15049" t="s">
        <v>533</v>
      </c>
      <c r="F15049" s="1">
        <v>2</v>
      </c>
      <c r="G15049" s="1" t="s">
        <v>28</v>
      </c>
      <c r="H15049" s="4" t="str">
        <f>HYPERLINK("https://portal.gdc.cancer.gov/cases/67526f5a-3a30-45b2-aeab-2b21a855063e","TCGA-AR-A24W-01A")</f>
        <v>TCGA-AR-A24W-01A</v>
      </c>
      <c r="I15049" t="s">
        <v>17</v>
      </c>
      <c r="J15049" t="s">
        <v>524</v>
      </c>
      <c r="K15049" t="s">
        <v>33</v>
      </c>
      <c r="L15049" t="s">
        <v>20</v>
      </c>
      <c r="N15049" t="s">
        <v>29</v>
      </c>
    </row>
    <row r="15050" spans="1:14">
      <c r="A15050" s="4" t="str">
        <f t="shared" si="1179"/>
        <v>EXP00415</v>
      </c>
      <c r="B15050" s="3" t="s">
        <v>66</v>
      </c>
      <c r="C15050" s="4" t="str">
        <f t="shared" si="1180"/>
        <v>TCGA-BRCA</v>
      </c>
      <c r="D15050" s="1" t="s">
        <v>493</v>
      </c>
      <c r="E15050" t="s">
        <v>533</v>
      </c>
      <c r="F15050" s="1">
        <v>2</v>
      </c>
      <c r="G15050" s="1" t="s">
        <v>28</v>
      </c>
      <c r="H15050" s="4" t="str">
        <f>HYPERLINK("https://portal.gdc.cancer.gov/cases/491d5ebb-e9ab-4b17-acb8-630ff9fef0f2","TCGA-AR-A24X-01A")</f>
        <v>TCGA-AR-A24X-01A</v>
      </c>
      <c r="I15050" t="s">
        <v>17</v>
      </c>
      <c r="J15050" t="s">
        <v>524</v>
      </c>
      <c r="K15050" t="s">
        <v>33</v>
      </c>
      <c r="L15050" t="s">
        <v>20</v>
      </c>
      <c r="N15050" t="s">
        <v>29</v>
      </c>
    </row>
    <row r="15051" spans="1:14">
      <c r="A15051" s="4" t="str">
        <f t="shared" si="1179"/>
        <v>EXP00415</v>
      </c>
      <c r="B15051" s="3" t="s">
        <v>66</v>
      </c>
      <c r="C15051" s="4" t="str">
        <f t="shared" si="1180"/>
        <v>TCGA-BRCA</v>
      </c>
      <c r="D15051" s="1" t="s">
        <v>493</v>
      </c>
      <c r="E15051" t="s">
        <v>533</v>
      </c>
      <c r="F15051" s="1">
        <v>2</v>
      </c>
      <c r="G15051" s="1" t="s">
        <v>28</v>
      </c>
      <c r="H15051" s="4" t="str">
        <f>HYPERLINK("https://portal.gdc.cancer.gov/cases/9fefbe7c-f66a-4940-843e-285cb7b392c1","TCGA-AR-A24Z-01A")</f>
        <v>TCGA-AR-A24Z-01A</v>
      </c>
      <c r="I15051" t="s">
        <v>17</v>
      </c>
      <c r="J15051" t="s">
        <v>524</v>
      </c>
      <c r="K15051" t="s">
        <v>33</v>
      </c>
      <c r="L15051" t="s">
        <v>20</v>
      </c>
      <c r="N15051" t="s">
        <v>29</v>
      </c>
    </row>
    <row r="15052" spans="1:14">
      <c r="A15052" s="4" t="str">
        <f t="shared" si="1179"/>
        <v>EXP00415</v>
      </c>
      <c r="B15052" s="3" t="s">
        <v>66</v>
      </c>
      <c r="C15052" s="4" t="str">
        <f t="shared" si="1180"/>
        <v>TCGA-BRCA</v>
      </c>
      <c r="D15052" s="1" t="s">
        <v>493</v>
      </c>
      <c r="E15052" t="s">
        <v>533</v>
      </c>
      <c r="F15052" s="1">
        <v>2</v>
      </c>
      <c r="G15052" s="1" t="s">
        <v>28</v>
      </c>
      <c r="H15052" s="4" t="str">
        <f>HYPERLINK("https://portal.gdc.cancer.gov/cases/a0963e93-b63e-4de2-86c1-81302e271d3e","TCGA-AR-A250-01A")</f>
        <v>TCGA-AR-A250-01A</v>
      </c>
      <c r="I15052" t="s">
        <v>17</v>
      </c>
      <c r="J15052" t="s">
        <v>524</v>
      </c>
      <c r="K15052" t="s">
        <v>33</v>
      </c>
      <c r="L15052" t="s">
        <v>20</v>
      </c>
      <c r="N15052" t="s">
        <v>29</v>
      </c>
    </row>
    <row r="15053" spans="1:14">
      <c r="A15053" s="4" t="str">
        <f t="shared" si="1179"/>
        <v>EXP00415</v>
      </c>
      <c r="B15053" s="3" t="s">
        <v>66</v>
      </c>
      <c r="C15053" s="4" t="str">
        <f t="shared" si="1180"/>
        <v>TCGA-BRCA</v>
      </c>
      <c r="D15053" s="1" t="s">
        <v>493</v>
      </c>
      <c r="E15053" t="s">
        <v>533</v>
      </c>
      <c r="F15053" s="1">
        <v>2</v>
      </c>
      <c r="G15053" s="1" t="s">
        <v>28</v>
      </c>
      <c r="H15053" s="4" t="str">
        <f>HYPERLINK("https://portal.gdc.cancer.gov/cases/8c51bbcb-7c8d-47ad-9193-70ca157c6900","TCGA-AR-A251-01A")</f>
        <v>TCGA-AR-A251-01A</v>
      </c>
      <c r="I15053" t="s">
        <v>17</v>
      </c>
      <c r="J15053" t="s">
        <v>524</v>
      </c>
      <c r="K15053" t="s">
        <v>33</v>
      </c>
      <c r="L15053" t="s">
        <v>20</v>
      </c>
      <c r="N15053" t="s">
        <v>29</v>
      </c>
    </row>
    <row r="15054" spans="1:14">
      <c r="A15054" s="4" t="str">
        <f t="shared" si="1179"/>
        <v>EXP00415</v>
      </c>
      <c r="B15054" s="3" t="s">
        <v>66</v>
      </c>
      <c r="C15054" s="4" t="str">
        <f t="shared" si="1180"/>
        <v>TCGA-BRCA</v>
      </c>
      <c r="D15054" s="1" t="s">
        <v>493</v>
      </c>
      <c r="E15054" t="s">
        <v>533</v>
      </c>
      <c r="F15054" s="1">
        <v>2</v>
      </c>
      <c r="G15054" s="1" t="s">
        <v>28</v>
      </c>
      <c r="H15054" s="4" t="str">
        <f>HYPERLINK("https://portal.gdc.cancer.gov/cases/4d0fec97-e024-4608-a0cc-426a3decc7b1","TCGA-AR-A252-01A")</f>
        <v>TCGA-AR-A252-01A</v>
      </c>
      <c r="I15054" t="s">
        <v>17</v>
      </c>
      <c r="J15054" t="s">
        <v>524</v>
      </c>
      <c r="K15054" t="s">
        <v>33</v>
      </c>
      <c r="L15054" t="s">
        <v>20</v>
      </c>
      <c r="N15054" t="s">
        <v>29</v>
      </c>
    </row>
    <row r="15055" spans="1:14">
      <c r="A15055" s="4" t="str">
        <f t="shared" si="1179"/>
        <v>EXP00415</v>
      </c>
      <c r="B15055" s="3" t="s">
        <v>66</v>
      </c>
      <c r="C15055" s="4" t="str">
        <f t="shared" si="1180"/>
        <v>TCGA-BRCA</v>
      </c>
      <c r="D15055" s="1" t="s">
        <v>493</v>
      </c>
      <c r="E15055" t="s">
        <v>533</v>
      </c>
      <c r="F15055" s="1">
        <v>2</v>
      </c>
      <c r="G15055" s="1" t="s">
        <v>28</v>
      </c>
      <c r="H15055" s="4" t="str">
        <f>HYPERLINK("https://portal.gdc.cancer.gov/cases/6014a582-d22e-46e1-9000-c8e2fbad7acf","TCGA-AR-A254-01A")</f>
        <v>TCGA-AR-A254-01A</v>
      </c>
      <c r="I15055" t="s">
        <v>17</v>
      </c>
      <c r="J15055" t="s">
        <v>524</v>
      </c>
      <c r="K15055" t="s">
        <v>33</v>
      </c>
      <c r="L15055" t="s">
        <v>20</v>
      </c>
      <c r="N15055" t="s">
        <v>29</v>
      </c>
    </row>
    <row r="15056" spans="1:14">
      <c r="A15056" s="4" t="str">
        <f t="shared" si="1179"/>
        <v>EXP00415</v>
      </c>
      <c r="B15056" s="3" t="s">
        <v>66</v>
      </c>
      <c r="C15056" s="4" t="str">
        <f t="shared" si="1180"/>
        <v>TCGA-BRCA</v>
      </c>
      <c r="D15056" s="1" t="s">
        <v>493</v>
      </c>
      <c r="E15056" t="s">
        <v>533</v>
      </c>
      <c r="F15056" s="1">
        <v>2</v>
      </c>
      <c r="G15056" s="1" t="s">
        <v>28</v>
      </c>
      <c r="H15056" s="4" t="str">
        <f>HYPERLINK("https://portal.gdc.cancer.gov/cases/e8f3cc64-5e15-4f4d-b73e-5c9b250a664c","TCGA-AR-A255-01A")</f>
        <v>TCGA-AR-A255-01A</v>
      </c>
      <c r="I15056" t="s">
        <v>17</v>
      </c>
      <c r="J15056" t="s">
        <v>524</v>
      </c>
      <c r="K15056" t="s">
        <v>33</v>
      </c>
      <c r="L15056" t="s">
        <v>20</v>
      </c>
      <c r="N15056" t="s">
        <v>29</v>
      </c>
    </row>
    <row r="15057" spans="1:14">
      <c r="A15057" s="4" t="str">
        <f t="shared" si="1179"/>
        <v>EXP00415</v>
      </c>
      <c r="B15057" s="3" t="s">
        <v>66</v>
      </c>
      <c r="C15057" s="4" t="str">
        <f t="shared" si="1180"/>
        <v>TCGA-BRCA</v>
      </c>
      <c r="D15057" s="1" t="s">
        <v>493</v>
      </c>
      <c r="E15057" t="s">
        <v>533</v>
      </c>
      <c r="F15057" s="1">
        <v>2</v>
      </c>
      <c r="G15057" s="1" t="s">
        <v>28</v>
      </c>
      <c r="H15057" s="4" t="str">
        <f>HYPERLINK("https://portal.gdc.cancer.gov/cases/d3d545b3-457f-4389-821f-704cb24aff7f","TCGA-AR-A256-01A")</f>
        <v>TCGA-AR-A256-01A</v>
      </c>
      <c r="I15057" t="s">
        <v>17</v>
      </c>
      <c r="J15057" t="s">
        <v>524</v>
      </c>
      <c r="K15057" t="s">
        <v>33</v>
      </c>
      <c r="L15057" t="s">
        <v>20</v>
      </c>
      <c r="N15057" t="s">
        <v>29</v>
      </c>
    </row>
    <row r="15058" spans="1:14">
      <c r="A15058" s="4" t="str">
        <f t="shared" si="1179"/>
        <v>EXP00415</v>
      </c>
      <c r="B15058" s="3" t="s">
        <v>66</v>
      </c>
      <c r="C15058" s="4" t="str">
        <f t="shared" si="1180"/>
        <v>TCGA-BRCA</v>
      </c>
      <c r="D15058" s="1" t="s">
        <v>493</v>
      </c>
      <c r="E15058" t="s">
        <v>533</v>
      </c>
      <c r="F15058" s="1">
        <v>2</v>
      </c>
      <c r="G15058" s="1" t="s">
        <v>28</v>
      </c>
      <c r="H15058" s="4" t="str">
        <f>HYPERLINK("https://portal.gdc.cancer.gov/cases/e3fcbf94-d3ef-4a37-aa45-5297f96af9eb","TCGA-AR-A2LE-01A")</f>
        <v>TCGA-AR-A2LE-01A</v>
      </c>
      <c r="I15058" t="s">
        <v>17</v>
      </c>
      <c r="J15058" t="s">
        <v>524</v>
      </c>
      <c r="K15058" t="s">
        <v>33</v>
      </c>
      <c r="L15058" t="s">
        <v>20</v>
      </c>
      <c r="N15058" t="s">
        <v>29</v>
      </c>
    </row>
    <row r="15059" spans="1:14">
      <c r="A15059" s="4" t="str">
        <f t="shared" si="1179"/>
        <v>EXP00415</v>
      </c>
      <c r="B15059" s="3" t="s">
        <v>66</v>
      </c>
      <c r="C15059" s="4" t="str">
        <f t="shared" si="1180"/>
        <v>TCGA-BRCA</v>
      </c>
      <c r="D15059" s="1" t="s">
        <v>493</v>
      </c>
      <c r="E15059" t="s">
        <v>533</v>
      </c>
      <c r="F15059" s="1">
        <v>2</v>
      </c>
      <c r="G15059" s="1" t="s">
        <v>28</v>
      </c>
      <c r="H15059" s="4" t="str">
        <f>HYPERLINK("https://portal.gdc.cancer.gov/cases/376ffe63-efd7-42af-90e1-261255b28bb7","TCGA-AR-A2LH-01A")</f>
        <v>TCGA-AR-A2LH-01A</v>
      </c>
      <c r="I15059" t="s">
        <v>17</v>
      </c>
      <c r="J15059" t="s">
        <v>524</v>
      </c>
      <c r="K15059" t="s">
        <v>33</v>
      </c>
      <c r="L15059" t="s">
        <v>20</v>
      </c>
      <c r="N15059" t="s">
        <v>29</v>
      </c>
    </row>
    <row r="15060" spans="1:14">
      <c r="A15060" s="4" t="str">
        <f t="shared" si="1179"/>
        <v>EXP00415</v>
      </c>
      <c r="B15060" s="3" t="s">
        <v>66</v>
      </c>
      <c r="C15060" s="4" t="str">
        <f t="shared" si="1180"/>
        <v>TCGA-BRCA</v>
      </c>
      <c r="D15060" s="1" t="s">
        <v>493</v>
      </c>
      <c r="E15060" t="s">
        <v>533</v>
      </c>
      <c r="F15060" s="1">
        <v>2</v>
      </c>
      <c r="G15060" s="1" t="s">
        <v>28</v>
      </c>
      <c r="H15060" s="4" t="str">
        <f>HYPERLINK("https://portal.gdc.cancer.gov/cases/738e1acc-1f0c-4a96-9c8a-222727ef5af8","TCGA-AR-A2LJ-01A")</f>
        <v>TCGA-AR-A2LJ-01A</v>
      </c>
      <c r="I15060" t="s">
        <v>17</v>
      </c>
      <c r="J15060" t="s">
        <v>524</v>
      </c>
      <c r="K15060" t="s">
        <v>33</v>
      </c>
      <c r="L15060" t="s">
        <v>20</v>
      </c>
      <c r="N15060" t="s">
        <v>29</v>
      </c>
    </row>
    <row r="15061" spans="1:14">
      <c r="A15061" s="4" t="str">
        <f t="shared" si="1179"/>
        <v>EXP00415</v>
      </c>
      <c r="B15061" s="3" t="s">
        <v>66</v>
      </c>
      <c r="C15061" s="4" t="str">
        <f t="shared" si="1180"/>
        <v>TCGA-BRCA</v>
      </c>
      <c r="D15061" s="1" t="s">
        <v>493</v>
      </c>
      <c r="E15061" t="s">
        <v>533</v>
      </c>
      <c r="F15061" s="1">
        <v>2</v>
      </c>
      <c r="G15061" s="1" t="s">
        <v>28</v>
      </c>
      <c r="H15061" s="4" t="str">
        <f>HYPERLINK("https://portal.gdc.cancer.gov/cases/1b703058-e596-45bc-80fe-8b98d545c2e2","TCGA-AR-A2LK-01A")</f>
        <v>TCGA-AR-A2LK-01A</v>
      </c>
      <c r="I15061" t="s">
        <v>17</v>
      </c>
      <c r="J15061" t="s">
        <v>524</v>
      </c>
      <c r="K15061" t="s">
        <v>33</v>
      </c>
      <c r="L15061" t="s">
        <v>20</v>
      </c>
      <c r="N15061" t="s">
        <v>29</v>
      </c>
    </row>
    <row r="15062" spans="1:14">
      <c r="A15062" s="4" t="str">
        <f t="shared" si="1179"/>
        <v>EXP00415</v>
      </c>
      <c r="B15062" s="3" t="s">
        <v>66</v>
      </c>
      <c r="C15062" s="4" t="str">
        <f t="shared" si="1180"/>
        <v>TCGA-BRCA</v>
      </c>
      <c r="D15062" s="1" t="s">
        <v>493</v>
      </c>
      <c r="E15062" t="s">
        <v>533</v>
      </c>
      <c r="F15062" s="1">
        <v>2</v>
      </c>
      <c r="G15062" s="1" t="s">
        <v>28</v>
      </c>
      <c r="H15062" s="4" t="str">
        <f>HYPERLINK("https://portal.gdc.cancer.gov/cases/70fc011c-0f22-4026-9d72-87351126203a","TCGA-AR-A2LL-01A")</f>
        <v>TCGA-AR-A2LL-01A</v>
      </c>
      <c r="I15062" t="s">
        <v>17</v>
      </c>
      <c r="J15062" t="s">
        <v>524</v>
      </c>
      <c r="K15062" t="s">
        <v>33</v>
      </c>
      <c r="L15062" t="s">
        <v>20</v>
      </c>
      <c r="N15062" t="s">
        <v>29</v>
      </c>
    </row>
    <row r="15063" spans="1:14">
      <c r="A15063" s="4" t="str">
        <f t="shared" si="1179"/>
        <v>EXP00415</v>
      </c>
      <c r="B15063" s="3" t="s">
        <v>66</v>
      </c>
      <c r="C15063" s="4" t="str">
        <f t="shared" si="1180"/>
        <v>TCGA-BRCA</v>
      </c>
      <c r="D15063" s="1" t="s">
        <v>493</v>
      </c>
      <c r="E15063" t="s">
        <v>533</v>
      </c>
      <c r="F15063" s="1">
        <v>2</v>
      </c>
      <c r="G15063" s="1" t="s">
        <v>28</v>
      </c>
      <c r="H15063" s="4" t="str">
        <f>HYPERLINK("https://portal.gdc.cancer.gov/cases/0bf6e772-1aa1-4f54-9a50-c1414e2f22f3","TCGA-AR-A2LM-01A")</f>
        <v>TCGA-AR-A2LM-01A</v>
      </c>
      <c r="I15063" t="s">
        <v>17</v>
      </c>
      <c r="J15063" t="s">
        <v>524</v>
      </c>
      <c r="K15063" t="s">
        <v>33</v>
      </c>
      <c r="L15063" t="s">
        <v>20</v>
      </c>
      <c r="N15063" t="s">
        <v>29</v>
      </c>
    </row>
    <row r="15064" spans="1:14">
      <c r="A15064" s="4" t="str">
        <f t="shared" si="1179"/>
        <v>EXP00415</v>
      </c>
      <c r="B15064" s="3" t="s">
        <v>66</v>
      </c>
      <c r="C15064" s="4" t="str">
        <f t="shared" si="1180"/>
        <v>TCGA-BRCA</v>
      </c>
      <c r="D15064" s="1" t="s">
        <v>493</v>
      </c>
      <c r="E15064" t="s">
        <v>533</v>
      </c>
      <c r="F15064" s="1">
        <v>2</v>
      </c>
      <c r="G15064" s="1" t="s">
        <v>28</v>
      </c>
      <c r="H15064" s="4" t="str">
        <f>HYPERLINK("https://portal.gdc.cancer.gov/cases/a076f135-be82-40fa-8516-285ed355c965","TCGA-AR-A2LN-01A")</f>
        <v>TCGA-AR-A2LN-01A</v>
      </c>
      <c r="I15064" t="s">
        <v>17</v>
      </c>
      <c r="J15064" t="s">
        <v>524</v>
      </c>
      <c r="K15064" t="s">
        <v>33</v>
      </c>
      <c r="L15064" t="s">
        <v>20</v>
      </c>
      <c r="N15064" t="s">
        <v>29</v>
      </c>
    </row>
    <row r="15065" spans="1:14">
      <c r="A15065" s="4" t="str">
        <f t="shared" si="1179"/>
        <v>EXP00415</v>
      </c>
      <c r="B15065" s="3" t="s">
        <v>66</v>
      </c>
      <c r="C15065" s="4" t="str">
        <f t="shared" si="1180"/>
        <v>TCGA-BRCA</v>
      </c>
      <c r="D15065" s="1" t="s">
        <v>493</v>
      </c>
      <c r="E15065" t="s">
        <v>533</v>
      </c>
      <c r="F15065" s="1">
        <v>2</v>
      </c>
      <c r="G15065" s="1" t="s">
        <v>28</v>
      </c>
      <c r="H15065" s="4" t="str">
        <f>HYPERLINK("https://portal.gdc.cancer.gov/cases/ad0fa961-c085-4f38-b3db-5fc0cbf6b64f","TCGA-AR-A2LO-01A")</f>
        <v>TCGA-AR-A2LO-01A</v>
      </c>
      <c r="I15065" t="s">
        <v>17</v>
      </c>
      <c r="J15065" t="s">
        <v>524</v>
      </c>
      <c r="K15065" t="s">
        <v>33</v>
      </c>
      <c r="L15065" t="s">
        <v>20</v>
      </c>
      <c r="N15065" t="s">
        <v>29</v>
      </c>
    </row>
    <row r="15066" spans="1:14">
      <c r="A15066" s="4" t="str">
        <f t="shared" si="1179"/>
        <v>EXP00415</v>
      </c>
      <c r="B15066" s="3" t="s">
        <v>66</v>
      </c>
      <c r="C15066" s="4" t="str">
        <f t="shared" si="1180"/>
        <v>TCGA-BRCA</v>
      </c>
      <c r="D15066" s="1" t="s">
        <v>493</v>
      </c>
      <c r="E15066" t="s">
        <v>533</v>
      </c>
      <c r="F15066" s="1">
        <v>2</v>
      </c>
      <c r="G15066" s="1" t="s">
        <v>28</v>
      </c>
      <c r="H15066" s="4" t="str">
        <f>HYPERLINK("https://portal.gdc.cancer.gov/cases/4229e432-6ac5-49d2-b58a-e8713ddb79bd","TCGA-AR-A2LQ-01A")</f>
        <v>TCGA-AR-A2LQ-01A</v>
      </c>
      <c r="I15066" t="s">
        <v>17</v>
      </c>
      <c r="J15066" t="s">
        <v>524</v>
      </c>
      <c r="K15066" t="s">
        <v>33</v>
      </c>
      <c r="L15066" t="s">
        <v>20</v>
      </c>
      <c r="N15066" t="s">
        <v>29</v>
      </c>
    </row>
    <row r="15067" spans="1:14">
      <c r="A15067" s="4" t="str">
        <f t="shared" si="1179"/>
        <v>EXP00415</v>
      </c>
      <c r="B15067" s="3" t="s">
        <v>66</v>
      </c>
      <c r="C15067" s="4" t="str">
        <f t="shared" si="1180"/>
        <v>TCGA-BRCA</v>
      </c>
      <c r="D15067" s="1" t="s">
        <v>493</v>
      </c>
      <c r="E15067" t="s">
        <v>533</v>
      </c>
      <c r="F15067" s="1">
        <v>2</v>
      </c>
      <c r="G15067" s="1" t="s">
        <v>28</v>
      </c>
      <c r="H15067" s="4" t="str">
        <f>HYPERLINK("https://portal.gdc.cancer.gov/cases/d093173f-08ab-4138-bf3c-399c45a6e163","TCGA-AR-A2LR-01A")</f>
        <v>TCGA-AR-A2LR-01A</v>
      </c>
      <c r="I15067" t="s">
        <v>17</v>
      </c>
      <c r="J15067" t="s">
        <v>524</v>
      </c>
      <c r="K15067" t="s">
        <v>33</v>
      </c>
      <c r="L15067" t="s">
        <v>20</v>
      </c>
      <c r="N15067" t="s">
        <v>29</v>
      </c>
    </row>
    <row r="15068" spans="1:14">
      <c r="A15068" s="4" t="str">
        <f t="shared" si="1179"/>
        <v>EXP00415</v>
      </c>
      <c r="B15068" s="3" t="s">
        <v>66</v>
      </c>
      <c r="C15068" s="4" t="str">
        <f t="shared" si="1180"/>
        <v>TCGA-BRCA</v>
      </c>
      <c r="D15068" s="1" t="s">
        <v>493</v>
      </c>
      <c r="E15068" t="s">
        <v>533</v>
      </c>
      <c r="F15068" s="1">
        <v>2</v>
      </c>
      <c r="G15068" s="1" t="s">
        <v>28</v>
      </c>
      <c r="H15068" s="4" t="str">
        <f>HYPERLINK("https://portal.gdc.cancer.gov/cases/9c895825-d6f6-4d14-a662-23212200f6e5","TCGA-AR-A5QM-01A")</f>
        <v>TCGA-AR-A5QM-01A</v>
      </c>
      <c r="I15068" t="s">
        <v>17</v>
      </c>
      <c r="J15068" t="s">
        <v>524</v>
      </c>
      <c r="K15068" t="s">
        <v>33</v>
      </c>
      <c r="L15068" t="s">
        <v>20</v>
      </c>
      <c r="N15068" t="s">
        <v>29</v>
      </c>
    </row>
    <row r="15069" spans="1:14">
      <c r="A15069" s="4" t="str">
        <f t="shared" si="1179"/>
        <v>EXP00415</v>
      </c>
      <c r="B15069" s="3" t="s">
        <v>66</v>
      </c>
      <c r="C15069" s="4" t="str">
        <f t="shared" si="1180"/>
        <v>TCGA-BRCA</v>
      </c>
      <c r="D15069" s="1" t="s">
        <v>493</v>
      </c>
      <c r="E15069" t="s">
        <v>533</v>
      </c>
      <c r="F15069" s="1">
        <v>2</v>
      </c>
      <c r="G15069" s="1" t="s">
        <v>28</v>
      </c>
      <c r="H15069" s="4" t="str">
        <f>HYPERLINK("https://portal.gdc.cancer.gov/cases/077506ea-8f11-405d-bb8e-3c9924fe54d0","TCGA-AR-A5QN-01A")</f>
        <v>TCGA-AR-A5QN-01A</v>
      </c>
      <c r="I15069" t="s">
        <v>17</v>
      </c>
      <c r="J15069" t="s">
        <v>524</v>
      </c>
      <c r="K15069" t="s">
        <v>33</v>
      </c>
      <c r="L15069" t="s">
        <v>20</v>
      </c>
      <c r="N15069" t="s">
        <v>29</v>
      </c>
    </row>
    <row r="15070" spans="1:14">
      <c r="A15070" s="4" t="str">
        <f t="shared" si="1179"/>
        <v>EXP00415</v>
      </c>
      <c r="B15070" s="3" t="s">
        <v>66</v>
      </c>
      <c r="C15070" s="4" t="str">
        <f t="shared" si="1180"/>
        <v>TCGA-BRCA</v>
      </c>
      <c r="D15070" s="1" t="s">
        <v>493</v>
      </c>
      <c r="E15070" t="s">
        <v>533</v>
      </c>
      <c r="F15070" s="1">
        <v>2</v>
      </c>
      <c r="G15070" s="1" t="s">
        <v>28</v>
      </c>
      <c r="H15070" s="4" t="str">
        <f>HYPERLINK("https://portal.gdc.cancer.gov/cases/3c275152-d04b-440c-9621-2fc05ea977b6","TCGA-AR-A5QP-01A")</f>
        <v>TCGA-AR-A5QP-01A</v>
      </c>
      <c r="I15070" t="s">
        <v>17</v>
      </c>
      <c r="J15070" t="s">
        <v>524</v>
      </c>
      <c r="K15070" t="s">
        <v>33</v>
      </c>
      <c r="L15070" t="s">
        <v>20</v>
      </c>
      <c r="N15070" t="s">
        <v>29</v>
      </c>
    </row>
    <row r="15071" spans="1:14">
      <c r="A15071" s="4" t="str">
        <f t="shared" si="1179"/>
        <v>EXP00415</v>
      </c>
      <c r="B15071" s="3" t="s">
        <v>66</v>
      </c>
      <c r="C15071" s="4" t="str">
        <f t="shared" si="1180"/>
        <v>TCGA-BRCA</v>
      </c>
      <c r="D15071" s="1" t="s">
        <v>493</v>
      </c>
      <c r="E15071" t="s">
        <v>533</v>
      </c>
      <c r="F15071" s="1">
        <v>2</v>
      </c>
      <c r="G15071" s="1" t="s">
        <v>28</v>
      </c>
      <c r="H15071" s="4" t="str">
        <f>HYPERLINK("https://portal.gdc.cancer.gov/cases/5dd423e8-feaa-4568-a750-500948c41d6c","TCGA-B6-A0I1-01A")</f>
        <v>TCGA-B6-A0I1-01A</v>
      </c>
      <c r="I15071" t="s">
        <v>17</v>
      </c>
      <c r="J15071" t="s">
        <v>524</v>
      </c>
      <c r="K15071" t="s">
        <v>33</v>
      </c>
      <c r="L15071" t="s">
        <v>20</v>
      </c>
      <c r="N15071" t="s">
        <v>29</v>
      </c>
    </row>
    <row r="15072" spans="1:14">
      <c r="A15072" s="4" t="str">
        <f t="shared" si="1179"/>
        <v>EXP00415</v>
      </c>
      <c r="B15072" s="3" t="s">
        <v>66</v>
      </c>
      <c r="C15072" s="4" t="str">
        <f t="shared" si="1180"/>
        <v>TCGA-BRCA</v>
      </c>
      <c r="D15072" s="1" t="s">
        <v>493</v>
      </c>
      <c r="E15072" t="s">
        <v>533</v>
      </c>
      <c r="F15072" s="1">
        <v>2</v>
      </c>
      <c r="G15072" s="1" t="s">
        <v>28</v>
      </c>
      <c r="H15072" s="4" t="str">
        <f>HYPERLINK("https://portal.gdc.cancer.gov/cases/328dfcb0-b5ae-43f2-bc87-dad0ab3df9e7","TCGA-B6-A0I2-01A")</f>
        <v>TCGA-B6-A0I2-01A</v>
      </c>
      <c r="I15072" t="s">
        <v>17</v>
      </c>
      <c r="J15072" t="s">
        <v>524</v>
      </c>
      <c r="K15072" t="s">
        <v>33</v>
      </c>
      <c r="L15072" t="s">
        <v>20</v>
      </c>
      <c r="N15072" t="s">
        <v>29</v>
      </c>
    </row>
    <row r="15073" spans="1:14">
      <c r="A15073" s="4" t="str">
        <f t="shared" si="1179"/>
        <v>EXP00415</v>
      </c>
      <c r="B15073" s="3" t="s">
        <v>66</v>
      </c>
      <c r="C15073" s="4" t="str">
        <f t="shared" si="1180"/>
        <v>TCGA-BRCA</v>
      </c>
      <c r="D15073" s="1" t="s">
        <v>493</v>
      </c>
      <c r="E15073" t="s">
        <v>533</v>
      </c>
      <c r="F15073" s="1">
        <v>2</v>
      </c>
      <c r="G15073" s="1" t="s">
        <v>28</v>
      </c>
      <c r="H15073" s="4" t="str">
        <f>HYPERLINK("https://portal.gdc.cancer.gov/cases/1a18974d-967c-4727-b42e-12ae7be66589","TCGA-B6-A0I5-01A")</f>
        <v>TCGA-B6-A0I5-01A</v>
      </c>
      <c r="I15073" t="s">
        <v>17</v>
      </c>
      <c r="J15073" t="s">
        <v>524</v>
      </c>
      <c r="K15073" t="s">
        <v>33</v>
      </c>
      <c r="L15073" t="s">
        <v>20</v>
      </c>
      <c r="N15073" t="s">
        <v>29</v>
      </c>
    </row>
    <row r="15074" spans="1:14">
      <c r="A15074" s="4" t="str">
        <f t="shared" si="1179"/>
        <v>EXP00415</v>
      </c>
      <c r="B15074" s="3" t="s">
        <v>66</v>
      </c>
      <c r="C15074" s="4" t="str">
        <f t="shared" si="1180"/>
        <v>TCGA-BRCA</v>
      </c>
      <c r="D15074" s="1" t="s">
        <v>493</v>
      </c>
      <c r="E15074" t="s">
        <v>533</v>
      </c>
      <c r="F15074" s="1">
        <v>2</v>
      </c>
      <c r="G15074" s="1" t="s">
        <v>28</v>
      </c>
      <c r="H15074" s="4" t="str">
        <f>HYPERLINK("https://portal.gdc.cancer.gov/cases/045c13ef-3db7-4adf-b0a3-23338f0479f3","TCGA-B6-A0I6-01A")</f>
        <v>TCGA-B6-A0I6-01A</v>
      </c>
      <c r="I15074" t="s">
        <v>17</v>
      </c>
      <c r="J15074" t="s">
        <v>524</v>
      </c>
      <c r="K15074" t="s">
        <v>33</v>
      </c>
      <c r="L15074" t="s">
        <v>20</v>
      </c>
      <c r="N15074" t="s">
        <v>29</v>
      </c>
    </row>
    <row r="15075" spans="1:14">
      <c r="A15075" s="4" t="str">
        <f t="shared" si="1179"/>
        <v>EXP00415</v>
      </c>
      <c r="B15075" s="3" t="s">
        <v>66</v>
      </c>
      <c r="C15075" s="4" t="str">
        <f t="shared" si="1180"/>
        <v>TCGA-BRCA</v>
      </c>
      <c r="D15075" s="1" t="s">
        <v>493</v>
      </c>
      <c r="E15075" t="s">
        <v>533</v>
      </c>
      <c r="F15075" s="1">
        <v>2</v>
      </c>
      <c r="G15075" s="1" t="s">
        <v>28</v>
      </c>
      <c r="H15075" s="4" t="str">
        <f>HYPERLINK("https://portal.gdc.cancer.gov/cases/6e6408d6-6c48-4dfc-9f1c-28b7386e87b4","TCGA-B6-A0I8-01A")</f>
        <v>TCGA-B6-A0I8-01A</v>
      </c>
      <c r="I15075" t="s">
        <v>17</v>
      </c>
      <c r="J15075" t="s">
        <v>524</v>
      </c>
      <c r="K15075" t="s">
        <v>33</v>
      </c>
      <c r="L15075" t="s">
        <v>20</v>
      </c>
      <c r="N15075" t="s">
        <v>29</v>
      </c>
    </row>
    <row r="15076" spans="1:14">
      <c r="A15076" s="4" t="str">
        <f t="shared" si="1179"/>
        <v>EXP00415</v>
      </c>
      <c r="B15076" s="3" t="s">
        <v>66</v>
      </c>
      <c r="C15076" s="4" t="str">
        <f t="shared" si="1180"/>
        <v>TCGA-BRCA</v>
      </c>
      <c r="D15076" s="1" t="s">
        <v>493</v>
      </c>
      <c r="E15076" t="s">
        <v>533</v>
      </c>
      <c r="F15076" s="1">
        <v>2</v>
      </c>
      <c r="G15076" s="1" t="s">
        <v>28</v>
      </c>
      <c r="H15076" s="4" t="str">
        <f>HYPERLINK("https://portal.gdc.cancer.gov/cases/44954053-0b93-4577-a436-42777e442300","TCGA-B6-A0I9-01A")</f>
        <v>TCGA-B6-A0I9-01A</v>
      </c>
      <c r="I15076" t="s">
        <v>17</v>
      </c>
      <c r="J15076" t="s">
        <v>524</v>
      </c>
      <c r="K15076" t="s">
        <v>33</v>
      </c>
      <c r="L15076" t="s">
        <v>20</v>
      </c>
      <c r="N15076" t="s">
        <v>29</v>
      </c>
    </row>
    <row r="15077" spans="1:14">
      <c r="A15077" s="4" t="str">
        <f t="shared" si="1179"/>
        <v>EXP00415</v>
      </c>
      <c r="B15077" s="3" t="s">
        <v>66</v>
      </c>
      <c r="C15077" s="4" t="str">
        <f t="shared" si="1180"/>
        <v>TCGA-BRCA</v>
      </c>
      <c r="D15077" s="1" t="s">
        <v>493</v>
      </c>
      <c r="E15077" t="s">
        <v>533</v>
      </c>
      <c r="F15077" s="1">
        <v>2</v>
      </c>
      <c r="G15077" s="1" t="s">
        <v>28</v>
      </c>
      <c r="H15077" s="4" t="str">
        <f>HYPERLINK("https://portal.gdc.cancer.gov/cases/0807435a-e75e-4e04-8e45-ed0cd49a841a","TCGA-B6-A0IA-01A")</f>
        <v>TCGA-B6-A0IA-01A</v>
      </c>
      <c r="I15077" t="s">
        <v>17</v>
      </c>
      <c r="J15077" t="s">
        <v>524</v>
      </c>
      <c r="K15077" t="s">
        <v>33</v>
      </c>
      <c r="L15077" t="s">
        <v>20</v>
      </c>
      <c r="N15077" t="s">
        <v>29</v>
      </c>
    </row>
    <row r="15078" spans="1:14">
      <c r="A15078" s="4" t="str">
        <f t="shared" si="1179"/>
        <v>EXP00415</v>
      </c>
      <c r="B15078" s="3" t="s">
        <v>66</v>
      </c>
      <c r="C15078" s="4" t="str">
        <f t="shared" si="1180"/>
        <v>TCGA-BRCA</v>
      </c>
      <c r="D15078" s="1" t="s">
        <v>493</v>
      </c>
      <c r="E15078" t="s">
        <v>533</v>
      </c>
      <c r="F15078" s="1">
        <v>2</v>
      </c>
      <c r="G15078" s="1" t="s">
        <v>28</v>
      </c>
      <c r="H15078" s="4" t="str">
        <f>HYPERLINK("https://portal.gdc.cancer.gov/cases/157ec9e0-ca6e-4da1-9233-f976cf0db433","TCGA-B6-A0IB-01A")</f>
        <v>TCGA-B6-A0IB-01A</v>
      </c>
      <c r="I15078" t="s">
        <v>17</v>
      </c>
      <c r="J15078" t="s">
        <v>524</v>
      </c>
      <c r="K15078" t="s">
        <v>33</v>
      </c>
      <c r="L15078" t="s">
        <v>20</v>
      </c>
      <c r="N15078" t="s">
        <v>29</v>
      </c>
    </row>
    <row r="15079" spans="1:14">
      <c r="A15079" s="4" t="str">
        <f t="shared" si="1179"/>
        <v>EXP00415</v>
      </c>
      <c r="B15079" s="3" t="s">
        <v>66</v>
      </c>
      <c r="C15079" s="4" t="str">
        <f t="shared" si="1180"/>
        <v>TCGA-BRCA</v>
      </c>
      <c r="D15079" s="1" t="s">
        <v>493</v>
      </c>
      <c r="E15079" t="s">
        <v>533</v>
      </c>
      <c r="F15079" s="1">
        <v>2</v>
      </c>
      <c r="G15079" s="1" t="s">
        <v>28</v>
      </c>
      <c r="H15079" s="4" t="str">
        <f>HYPERLINK("https://portal.gdc.cancer.gov/cases/b804f7ae-da8f-4414-be11-f880f1859160","TCGA-B6-A0IC-01A")</f>
        <v>TCGA-B6-A0IC-01A</v>
      </c>
      <c r="I15079" t="s">
        <v>17</v>
      </c>
      <c r="J15079" t="s">
        <v>524</v>
      </c>
      <c r="K15079" t="s">
        <v>33</v>
      </c>
      <c r="L15079" t="s">
        <v>20</v>
      </c>
      <c r="N15079" t="s">
        <v>29</v>
      </c>
    </row>
    <row r="15080" spans="1:14">
      <c r="A15080" s="4" t="str">
        <f t="shared" si="1179"/>
        <v>EXP00415</v>
      </c>
      <c r="B15080" s="3" t="s">
        <v>66</v>
      </c>
      <c r="C15080" s="4" t="str">
        <f t="shared" si="1180"/>
        <v>TCGA-BRCA</v>
      </c>
      <c r="D15080" s="1" t="s">
        <v>493</v>
      </c>
      <c r="E15080" t="s">
        <v>533</v>
      </c>
      <c r="F15080" s="1">
        <v>2</v>
      </c>
      <c r="G15080" s="1" t="s">
        <v>28</v>
      </c>
      <c r="H15080" s="4" t="str">
        <f>HYPERLINK("https://portal.gdc.cancer.gov/cases/3f834fa7-6d7b-4b85-98c0-5c55d55b6c95","TCGA-B6-A0IE-01A")</f>
        <v>TCGA-B6-A0IE-01A</v>
      </c>
      <c r="I15080" t="s">
        <v>17</v>
      </c>
      <c r="J15080" t="s">
        <v>524</v>
      </c>
      <c r="K15080" t="s">
        <v>33</v>
      </c>
      <c r="L15080" t="s">
        <v>20</v>
      </c>
      <c r="N15080" t="s">
        <v>29</v>
      </c>
    </row>
    <row r="15081" spans="1:14">
      <c r="A15081" s="4" t="str">
        <f t="shared" si="1179"/>
        <v>EXP00415</v>
      </c>
      <c r="B15081" s="3" t="s">
        <v>66</v>
      </c>
      <c r="C15081" s="4" t="str">
        <f t="shared" si="1180"/>
        <v>TCGA-BRCA</v>
      </c>
      <c r="D15081" s="1" t="s">
        <v>493</v>
      </c>
      <c r="E15081" t="s">
        <v>533</v>
      </c>
      <c r="F15081" s="1">
        <v>2</v>
      </c>
      <c r="G15081" s="1" t="s">
        <v>28</v>
      </c>
      <c r="H15081" s="4" t="str">
        <f>HYPERLINK("https://portal.gdc.cancer.gov/cases/34ab0cb8-bf19-4cbb-b4eb-3c45ee5aa60b","TCGA-B6-A0IG-01A")</f>
        <v>TCGA-B6-A0IG-01A</v>
      </c>
      <c r="I15081" t="s">
        <v>17</v>
      </c>
      <c r="J15081" t="s">
        <v>524</v>
      </c>
      <c r="K15081" t="s">
        <v>33</v>
      </c>
      <c r="L15081" t="s">
        <v>20</v>
      </c>
      <c r="N15081" t="s">
        <v>29</v>
      </c>
    </row>
    <row r="15082" spans="1:14">
      <c r="A15082" s="4" t="str">
        <f t="shared" si="1179"/>
        <v>EXP00415</v>
      </c>
      <c r="B15082" s="3" t="s">
        <v>66</v>
      </c>
      <c r="C15082" s="4" t="str">
        <f t="shared" si="1180"/>
        <v>TCGA-BRCA</v>
      </c>
      <c r="D15082" s="1" t="s">
        <v>493</v>
      </c>
      <c r="E15082" t="s">
        <v>533</v>
      </c>
      <c r="F15082" s="1">
        <v>2</v>
      </c>
      <c r="G15082" s="1" t="s">
        <v>28</v>
      </c>
      <c r="H15082" s="4" t="str">
        <f>HYPERLINK("https://portal.gdc.cancer.gov/cases/2476dda9-da2a-4242-9642-b92b8b9b1c79","TCGA-B6-A0IH-01A")</f>
        <v>TCGA-B6-A0IH-01A</v>
      </c>
      <c r="I15082" t="s">
        <v>17</v>
      </c>
      <c r="J15082" t="s">
        <v>524</v>
      </c>
      <c r="K15082" t="s">
        <v>33</v>
      </c>
      <c r="L15082" t="s">
        <v>20</v>
      </c>
      <c r="N15082" t="s">
        <v>29</v>
      </c>
    </row>
    <row r="15083" spans="1:14">
      <c r="A15083" s="4" t="str">
        <f t="shared" si="1179"/>
        <v>EXP00415</v>
      </c>
      <c r="B15083" s="3" t="s">
        <v>66</v>
      </c>
      <c r="C15083" s="4" t="str">
        <f t="shared" si="1180"/>
        <v>TCGA-BRCA</v>
      </c>
      <c r="D15083" s="1" t="s">
        <v>493</v>
      </c>
      <c r="E15083" t="s">
        <v>533</v>
      </c>
      <c r="F15083" s="1">
        <v>2</v>
      </c>
      <c r="G15083" s="1" t="s">
        <v>28</v>
      </c>
      <c r="H15083" s="4" t="str">
        <f>HYPERLINK("https://portal.gdc.cancer.gov/cases/2c86c3ea-d926-4d39-a5ae-39ece4774287","TCGA-B6-A0IJ-01A")</f>
        <v>TCGA-B6-A0IJ-01A</v>
      </c>
      <c r="I15083" t="s">
        <v>17</v>
      </c>
      <c r="J15083" t="s">
        <v>524</v>
      </c>
      <c r="K15083" t="s">
        <v>33</v>
      </c>
      <c r="L15083" t="s">
        <v>20</v>
      </c>
      <c r="N15083" t="s">
        <v>29</v>
      </c>
    </row>
    <row r="15084" spans="1:14">
      <c r="A15084" s="4" t="str">
        <f t="shared" si="1179"/>
        <v>EXP00415</v>
      </c>
      <c r="B15084" s="3" t="s">
        <v>66</v>
      </c>
      <c r="C15084" s="4" t="str">
        <f t="shared" si="1180"/>
        <v>TCGA-BRCA</v>
      </c>
      <c r="D15084" s="1" t="s">
        <v>493</v>
      </c>
      <c r="E15084" t="s">
        <v>533</v>
      </c>
      <c r="F15084" s="1">
        <v>2</v>
      </c>
      <c r="G15084" s="1" t="s">
        <v>28</v>
      </c>
      <c r="H15084" s="4" t="str">
        <f>HYPERLINK("https://portal.gdc.cancer.gov/cases/0491063c-14a7-4104-8002-1459126332f3","TCGA-B6-A0IK-01A")</f>
        <v>TCGA-B6-A0IK-01A</v>
      </c>
      <c r="I15084" t="s">
        <v>17</v>
      </c>
      <c r="J15084" t="s">
        <v>524</v>
      </c>
      <c r="K15084" t="s">
        <v>33</v>
      </c>
      <c r="L15084" t="s">
        <v>20</v>
      </c>
      <c r="N15084" t="s">
        <v>29</v>
      </c>
    </row>
    <row r="15085" spans="1:14">
      <c r="A15085" s="4" t="str">
        <f t="shared" si="1179"/>
        <v>EXP00415</v>
      </c>
      <c r="B15085" s="3" t="s">
        <v>66</v>
      </c>
      <c r="C15085" s="4" t="str">
        <f t="shared" si="1180"/>
        <v>TCGA-BRCA</v>
      </c>
      <c r="D15085" s="1" t="s">
        <v>493</v>
      </c>
      <c r="E15085" t="s">
        <v>533</v>
      </c>
      <c r="F15085" s="1">
        <v>2</v>
      </c>
      <c r="G15085" s="1" t="s">
        <v>28</v>
      </c>
      <c r="H15085" s="4" t="str">
        <f>HYPERLINK("https://portal.gdc.cancer.gov/cases/5a4b7098-1f6a-49e9-b364-29d6d34f5bd5","TCGA-B6-A0IM-01A")</f>
        <v>TCGA-B6-A0IM-01A</v>
      </c>
      <c r="I15085" t="s">
        <v>17</v>
      </c>
      <c r="J15085" t="s">
        <v>524</v>
      </c>
      <c r="K15085" t="s">
        <v>33</v>
      </c>
      <c r="L15085" t="s">
        <v>20</v>
      </c>
      <c r="N15085" t="s">
        <v>29</v>
      </c>
    </row>
    <row r="15086" spans="1:14">
      <c r="A15086" s="4" t="str">
        <f t="shared" si="1179"/>
        <v>EXP00415</v>
      </c>
      <c r="B15086" s="3" t="s">
        <v>66</v>
      </c>
      <c r="C15086" s="4" t="str">
        <f t="shared" si="1180"/>
        <v>TCGA-BRCA</v>
      </c>
      <c r="D15086" s="1" t="s">
        <v>493</v>
      </c>
      <c r="E15086" t="s">
        <v>533</v>
      </c>
      <c r="F15086" s="1">
        <v>2</v>
      </c>
      <c r="G15086" s="1" t="s">
        <v>28</v>
      </c>
      <c r="H15086" s="4" t="str">
        <f>HYPERLINK("https://portal.gdc.cancer.gov/cases/16a8d916-ad46-4690-b1a5-3b2b323f4336","TCGA-B6-A0IN-01A")</f>
        <v>TCGA-B6-A0IN-01A</v>
      </c>
      <c r="I15086" t="s">
        <v>17</v>
      </c>
      <c r="J15086" t="s">
        <v>524</v>
      </c>
      <c r="K15086" t="s">
        <v>33</v>
      </c>
      <c r="L15086" t="s">
        <v>20</v>
      </c>
      <c r="N15086" t="s">
        <v>29</v>
      </c>
    </row>
    <row r="15087" spans="1:14">
      <c r="A15087" s="4" t="str">
        <f t="shared" si="1179"/>
        <v>EXP00415</v>
      </c>
      <c r="B15087" s="3" t="s">
        <v>66</v>
      </c>
      <c r="C15087" s="4" t="str">
        <f t="shared" si="1180"/>
        <v>TCGA-BRCA</v>
      </c>
      <c r="D15087" s="1" t="s">
        <v>493</v>
      </c>
      <c r="E15087" t="s">
        <v>533</v>
      </c>
      <c r="F15087" s="1">
        <v>2</v>
      </c>
      <c r="G15087" s="1" t="s">
        <v>28</v>
      </c>
      <c r="H15087" s="4" t="str">
        <f>HYPERLINK("https://portal.gdc.cancer.gov/cases/04af44fc-c487-4005-b3cb-cb64815824a2","TCGA-B6-A0IO-01A")</f>
        <v>TCGA-B6-A0IO-01A</v>
      </c>
      <c r="I15087" t="s">
        <v>17</v>
      </c>
      <c r="J15087" t="s">
        <v>524</v>
      </c>
      <c r="K15087" t="s">
        <v>33</v>
      </c>
      <c r="L15087" t="s">
        <v>20</v>
      </c>
      <c r="N15087" t="s">
        <v>29</v>
      </c>
    </row>
    <row r="15088" spans="1:14">
      <c r="A15088" s="4" t="str">
        <f t="shared" si="1179"/>
        <v>EXP00415</v>
      </c>
      <c r="B15088" s="3" t="s">
        <v>66</v>
      </c>
      <c r="C15088" s="4" t="str">
        <f t="shared" si="1180"/>
        <v>TCGA-BRCA</v>
      </c>
      <c r="D15088" s="1" t="s">
        <v>493</v>
      </c>
      <c r="E15088" t="s">
        <v>533</v>
      </c>
      <c r="F15088" s="1">
        <v>2</v>
      </c>
      <c r="G15088" s="1" t="s">
        <v>28</v>
      </c>
      <c r="H15088" s="4" t="str">
        <f>HYPERLINK("https://portal.gdc.cancer.gov/cases/1402082d-25c9-4148-8a1e-f58450b706bb","TCGA-B6-A0IP-01A")</f>
        <v>TCGA-B6-A0IP-01A</v>
      </c>
      <c r="I15088" t="s">
        <v>17</v>
      </c>
      <c r="J15088" t="s">
        <v>524</v>
      </c>
      <c r="K15088" t="s">
        <v>33</v>
      </c>
      <c r="L15088" t="s">
        <v>20</v>
      </c>
      <c r="N15088" t="s">
        <v>29</v>
      </c>
    </row>
    <row r="15089" spans="1:14">
      <c r="A15089" s="4" t="str">
        <f t="shared" si="1179"/>
        <v>EXP00415</v>
      </c>
      <c r="B15089" s="3" t="s">
        <v>66</v>
      </c>
      <c r="C15089" s="4" t="str">
        <f t="shared" si="1180"/>
        <v>TCGA-BRCA</v>
      </c>
      <c r="D15089" s="1" t="s">
        <v>493</v>
      </c>
      <c r="E15089" t="s">
        <v>533</v>
      </c>
      <c r="F15089" s="1">
        <v>2</v>
      </c>
      <c r="G15089" s="1" t="s">
        <v>28</v>
      </c>
      <c r="H15089" s="4" t="str">
        <f>HYPERLINK("https://portal.gdc.cancer.gov/cases/01eef340-598c-4205-a990-cec190ac2ca5","TCGA-B6-A0IQ-01A")</f>
        <v>TCGA-B6-A0IQ-01A</v>
      </c>
      <c r="I15089" t="s">
        <v>17</v>
      </c>
      <c r="J15089" t="s">
        <v>524</v>
      </c>
      <c r="K15089" t="s">
        <v>33</v>
      </c>
      <c r="L15089" t="s">
        <v>20</v>
      </c>
      <c r="N15089" t="s">
        <v>29</v>
      </c>
    </row>
    <row r="15090" spans="1:14">
      <c r="A15090" s="4" t="str">
        <f t="shared" si="1179"/>
        <v>EXP00415</v>
      </c>
      <c r="B15090" s="3" t="s">
        <v>66</v>
      </c>
      <c r="C15090" s="4" t="str">
        <f t="shared" si="1180"/>
        <v>TCGA-BRCA</v>
      </c>
      <c r="D15090" s="1" t="s">
        <v>493</v>
      </c>
      <c r="E15090" t="s">
        <v>533</v>
      </c>
      <c r="F15090" s="1">
        <v>2</v>
      </c>
      <c r="G15090" s="1" t="s">
        <v>28</v>
      </c>
      <c r="H15090" s="4" t="str">
        <f>HYPERLINK("https://portal.gdc.cancer.gov/cases/08da7c4c-3067-4bcf-9d7a-78566df72e69","TCGA-B6-A0RE-01A")</f>
        <v>TCGA-B6-A0RE-01A</v>
      </c>
      <c r="I15090" t="s">
        <v>17</v>
      </c>
      <c r="J15090" t="s">
        <v>524</v>
      </c>
      <c r="K15090" t="s">
        <v>33</v>
      </c>
      <c r="L15090" t="s">
        <v>20</v>
      </c>
      <c r="N15090" t="s">
        <v>29</v>
      </c>
    </row>
    <row r="15091" spans="1:14">
      <c r="A15091" s="4" t="str">
        <f t="shared" si="1179"/>
        <v>EXP00415</v>
      </c>
      <c r="B15091" s="3" t="s">
        <v>66</v>
      </c>
      <c r="C15091" s="4" t="str">
        <f t="shared" si="1180"/>
        <v>TCGA-BRCA</v>
      </c>
      <c r="D15091" s="1" t="s">
        <v>493</v>
      </c>
      <c r="E15091" t="s">
        <v>533</v>
      </c>
      <c r="F15091" s="1">
        <v>2</v>
      </c>
      <c r="G15091" s="1" t="s">
        <v>28</v>
      </c>
      <c r="H15091" s="4" t="str">
        <f>HYPERLINK("https://portal.gdc.cancer.gov/cases/9b13927c-7357-44fd-8385-92ae6a656b7d","TCGA-B6-A0RG-01A")</f>
        <v>TCGA-B6-A0RG-01A</v>
      </c>
      <c r="I15091" t="s">
        <v>17</v>
      </c>
      <c r="J15091" t="s">
        <v>524</v>
      </c>
      <c r="K15091" t="s">
        <v>33</v>
      </c>
      <c r="L15091" t="s">
        <v>20</v>
      </c>
      <c r="N15091" t="s">
        <v>29</v>
      </c>
    </row>
    <row r="15092" spans="1:14">
      <c r="A15092" s="4" t="str">
        <f t="shared" si="1179"/>
        <v>EXP00415</v>
      </c>
      <c r="B15092" s="3" t="s">
        <v>66</v>
      </c>
      <c r="C15092" s="4" t="str">
        <f t="shared" si="1180"/>
        <v>TCGA-BRCA</v>
      </c>
      <c r="D15092" s="1" t="s">
        <v>493</v>
      </c>
      <c r="E15092" t="s">
        <v>533</v>
      </c>
      <c r="F15092" s="1">
        <v>2</v>
      </c>
      <c r="G15092" s="1" t="s">
        <v>28</v>
      </c>
      <c r="H15092" s="4" t="str">
        <f>HYPERLINK("https://portal.gdc.cancer.gov/cases/c3148e68-1739-4334-abda-1dcbc2166846","TCGA-B6-A0RH-01A")</f>
        <v>TCGA-B6-A0RH-01A</v>
      </c>
      <c r="I15092" t="s">
        <v>17</v>
      </c>
      <c r="J15092" t="s">
        <v>524</v>
      </c>
      <c r="K15092" t="s">
        <v>33</v>
      </c>
      <c r="L15092" t="s">
        <v>20</v>
      </c>
      <c r="N15092" t="s">
        <v>29</v>
      </c>
    </row>
    <row r="15093" spans="1:14">
      <c r="A15093" s="4" t="str">
        <f t="shared" si="1179"/>
        <v>EXP00415</v>
      </c>
      <c r="B15093" s="3" t="s">
        <v>66</v>
      </c>
      <c r="C15093" s="4" t="str">
        <f t="shared" si="1180"/>
        <v>TCGA-BRCA</v>
      </c>
      <c r="D15093" s="1" t="s">
        <v>493</v>
      </c>
      <c r="E15093" t="s">
        <v>533</v>
      </c>
      <c r="F15093" s="1">
        <v>2</v>
      </c>
      <c r="G15093" s="1" t="s">
        <v>28</v>
      </c>
      <c r="H15093" s="4" t="str">
        <f>HYPERLINK("https://portal.gdc.cancer.gov/cases/bfd55808-dddd-44c3-97d7-41600497b992","TCGA-B6-A0RI-01A")</f>
        <v>TCGA-B6-A0RI-01A</v>
      </c>
      <c r="I15093" t="s">
        <v>17</v>
      </c>
      <c r="J15093" t="s">
        <v>524</v>
      </c>
      <c r="K15093" t="s">
        <v>33</v>
      </c>
      <c r="L15093" t="s">
        <v>20</v>
      </c>
      <c r="N15093" t="s">
        <v>29</v>
      </c>
    </row>
    <row r="15094" spans="1:14">
      <c r="A15094" s="4" t="str">
        <f t="shared" si="1179"/>
        <v>EXP00415</v>
      </c>
      <c r="B15094" s="3" t="s">
        <v>66</v>
      </c>
      <c r="C15094" s="4" t="str">
        <f t="shared" si="1180"/>
        <v>TCGA-BRCA</v>
      </c>
      <c r="D15094" s="1" t="s">
        <v>493</v>
      </c>
      <c r="E15094" t="s">
        <v>533</v>
      </c>
      <c r="F15094" s="1">
        <v>2</v>
      </c>
      <c r="G15094" s="1" t="s">
        <v>28</v>
      </c>
      <c r="H15094" s="4" t="str">
        <f>HYPERLINK("https://portal.gdc.cancer.gov/cases/5562455d-bbb8-46eb-a510-e8c6e1e26789","TCGA-B6-A0RL-01A")</f>
        <v>TCGA-B6-A0RL-01A</v>
      </c>
      <c r="I15094" t="s">
        <v>17</v>
      </c>
      <c r="J15094" t="s">
        <v>524</v>
      </c>
      <c r="K15094" t="s">
        <v>33</v>
      </c>
      <c r="L15094" t="s">
        <v>20</v>
      </c>
      <c r="N15094" t="s">
        <v>29</v>
      </c>
    </row>
    <row r="15095" spans="1:14">
      <c r="A15095" s="4" t="str">
        <f t="shared" si="1179"/>
        <v>EXP00415</v>
      </c>
      <c r="B15095" s="3" t="s">
        <v>66</v>
      </c>
      <c r="C15095" s="4" t="str">
        <f t="shared" si="1180"/>
        <v>TCGA-BRCA</v>
      </c>
      <c r="D15095" s="1" t="s">
        <v>493</v>
      </c>
      <c r="E15095" t="s">
        <v>533</v>
      </c>
      <c r="F15095" s="1">
        <v>2</v>
      </c>
      <c r="G15095" s="1" t="s">
        <v>28</v>
      </c>
      <c r="H15095" s="4" t="str">
        <f>HYPERLINK("https://portal.gdc.cancer.gov/cases/151f3677-6854-4265-9126-d92c646c67ae","TCGA-B6-A0RM-01A")</f>
        <v>TCGA-B6-A0RM-01A</v>
      </c>
      <c r="I15095" t="s">
        <v>17</v>
      </c>
      <c r="J15095" t="s">
        <v>524</v>
      </c>
      <c r="K15095" t="s">
        <v>33</v>
      </c>
      <c r="L15095" t="s">
        <v>20</v>
      </c>
      <c r="N15095" t="s">
        <v>29</v>
      </c>
    </row>
    <row r="15096" spans="1:14">
      <c r="A15096" s="4" t="str">
        <f t="shared" ref="A15096:A15159" si="1181">HYPERLINK("http://hcmdb.i-sanger.com/experiment/details/experiment_id/EXP00415","EXP00415")</f>
        <v>EXP00415</v>
      </c>
      <c r="B15096" s="3" t="s">
        <v>66</v>
      </c>
      <c r="C15096" s="4" t="str">
        <f t="shared" si="1180"/>
        <v>TCGA-BRCA</v>
      </c>
      <c r="D15096" s="1" t="s">
        <v>493</v>
      </c>
      <c r="E15096" t="s">
        <v>533</v>
      </c>
      <c r="F15096" s="1">
        <v>2</v>
      </c>
      <c r="G15096" s="1" t="s">
        <v>28</v>
      </c>
      <c r="H15096" s="4" t="str">
        <f>HYPERLINK("https://portal.gdc.cancer.gov/cases/2199b7a1-bd47-4bb5-b36a-a3e291e3e259","TCGA-B6-A0RN-01A")</f>
        <v>TCGA-B6-A0RN-01A</v>
      </c>
      <c r="I15096" t="s">
        <v>17</v>
      </c>
      <c r="J15096" t="s">
        <v>524</v>
      </c>
      <c r="K15096" t="s">
        <v>33</v>
      </c>
      <c r="L15096" t="s">
        <v>20</v>
      </c>
      <c r="N15096" t="s">
        <v>29</v>
      </c>
    </row>
    <row r="15097" spans="1:14">
      <c r="A15097" s="4" t="str">
        <f t="shared" si="1181"/>
        <v>EXP00415</v>
      </c>
      <c r="B15097" s="3" t="s">
        <v>66</v>
      </c>
      <c r="C15097" s="4" t="str">
        <f t="shared" si="1180"/>
        <v>TCGA-BRCA</v>
      </c>
      <c r="D15097" s="1" t="s">
        <v>493</v>
      </c>
      <c r="E15097" t="s">
        <v>533</v>
      </c>
      <c r="F15097" s="1">
        <v>2</v>
      </c>
      <c r="G15097" s="1" t="s">
        <v>28</v>
      </c>
      <c r="H15097" s="4" t="str">
        <f>HYPERLINK("https://portal.gdc.cancer.gov/cases/0b172e29-6166-4863-803d-a0a010887c11","TCGA-B6-A0RO-01A")</f>
        <v>TCGA-B6-A0RO-01A</v>
      </c>
      <c r="I15097" t="s">
        <v>17</v>
      </c>
      <c r="J15097" t="s">
        <v>524</v>
      </c>
      <c r="K15097" t="s">
        <v>33</v>
      </c>
      <c r="L15097" t="s">
        <v>20</v>
      </c>
      <c r="N15097" t="s">
        <v>29</v>
      </c>
    </row>
    <row r="15098" spans="1:14">
      <c r="A15098" s="4" t="str">
        <f t="shared" si="1181"/>
        <v>EXP00415</v>
      </c>
      <c r="B15098" s="3" t="s">
        <v>66</v>
      </c>
      <c r="C15098" s="4" t="str">
        <f t="shared" ref="C15098:C15161" si="1182">HYPERLINK("https://portal.gdc.cancer.gov/projects/TCGA-BRCA","TCGA-BRCA")</f>
        <v>TCGA-BRCA</v>
      </c>
      <c r="D15098" s="1" t="s">
        <v>493</v>
      </c>
      <c r="E15098" t="s">
        <v>533</v>
      </c>
      <c r="F15098" s="1">
        <v>2</v>
      </c>
      <c r="G15098" s="1" t="s">
        <v>28</v>
      </c>
      <c r="H15098" s="4" t="str">
        <f>HYPERLINK("https://portal.gdc.cancer.gov/cases/451e1a67-47e6-4738-99d7-fb7771ef61a3","TCGA-B6-A0RP-01A")</f>
        <v>TCGA-B6-A0RP-01A</v>
      </c>
      <c r="I15098" t="s">
        <v>17</v>
      </c>
      <c r="J15098" t="s">
        <v>524</v>
      </c>
      <c r="K15098" t="s">
        <v>33</v>
      </c>
      <c r="L15098" t="s">
        <v>20</v>
      </c>
      <c r="N15098" t="s">
        <v>29</v>
      </c>
    </row>
    <row r="15099" spans="1:14">
      <c r="A15099" s="4" t="str">
        <f t="shared" si="1181"/>
        <v>EXP00415</v>
      </c>
      <c r="B15099" s="3" t="s">
        <v>66</v>
      </c>
      <c r="C15099" s="4" t="str">
        <f t="shared" si="1182"/>
        <v>TCGA-BRCA</v>
      </c>
      <c r="D15099" s="1" t="s">
        <v>493</v>
      </c>
      <c r="E15099" t="s">
        <v>533</v>
      </c>
      <c r="F15099" s="1">
        <v>2</v>
      </c>
      <c r="G15099" s="1" t="s">
        <v>28</v>
      </c>
      <c r="H15099" s="4" t="str">
        <f>HYPERLINK("https://portal.gdc.cancer.gov/cases/caa9b533-24b4-4ecd-9159-c165de049f6a","TCGA-B6-A0RQ-01A")</f>
        <v>TCGA-B6-A0RQ-01A</v>
      </c>
      <c r="I15099" t="s">
        <v>17</v>
      </c>
      <c r="J15099" t="s">
        <v>524</v>
      </c>
      <c r="K15099" t="s">
        <v>33</v>
      </c>
      <c r="L15099" t="s">
        <v>20</v>
      </c>
      <c r="N15099" t="s">
        <v>29</v>
      </c>
    </row>
    <row r="15100" spans="1:14">
      <c r="A15100" s="4" t="str">
        <f t="shared" si="1181"/>
        <v>EXP00415</v>
      </c>
      <c r="B15100" s="3" t="s">
        <v>66</v>
      </c>
      <c r="C15100" s="4" t="str">
        <f t="shared" si="1182"/>
        <v>TCGA-BRCA</v>
      </c>
      <c r="D15100" s="1" t="s">
        <v>493</v>
      </c>
      <c r="E15100" t="s">
        <v>533</v>
      </c>
      <c r="F15100" s="1">
        <v>2</v>
      </c>
      <c r="G15100" s="1" t="s">
        <v>28</v>
      </c>
      <c r="H15100" s="4" t="str">
        <f>HYPERLINK("https://portal.gdc.cancer.gov/cases/9416ff9b-6f29-4554-b04d-b537a3ae3969","TCGA-B6-A0RS-01A")</f>
        <v>TCGA-B6-A0RS-01A</v>
      </c>
      <c r="I15100" t="s">
        <v>17</v>
      </c>
      <c r="J15100" t="s">
        <v>524</v>
      </c>
      <c r="K15100" t="s">
        <v>33</v>
      </c>
      <c r="L15100" t="s">
        <v>20</v>
      </c>
      <c r="N15100" t="s">
        <v>29</v>
      </c>
    </row>
    <row r="15101" spans="1:14">
      <c r="A15101" s="4" t="str">
        <f t="shared" si="1181"/>
        <v>EXP00415</v>
      </c>
      <c r="B15101" s="3" t="s">
        <v>66</v>
      </c>
      <c r="C15101" s="4" t="str">
        <f t="shared" si="1182"/>
        <v>TCGA-BRCA</v>
      </c>
      <c r="D15101" s="1" t="s">
        <v>493</v>
      </c>
      <c r="E15101" t="s">
        <v>533</v>
      </c>
      <c r="F15101" s="1">
        <v>2</v>
      </c>
      <c r="G15101" s="1" t="s">
        <v>28</v>
      </c>
      <c r="H15101" s="4" t="str">
        <f>HYPERLINK("https://portal.gdc.cancer.gov/cases/4bf50455-9ab7-4521-a791-089f66d3b877","TCGA-B6-A0RT-01A")</f>
        <v>TCGA-B6-A0RT-01A</v>
      </c>
      <c r="I15101" t="s">
        <v>17</v>
      </c>
      <c r="J15101" t="s">
        <v>524</v>
      </c>
      <c r="K15101" t="s">
        <v>33</v>
      </c>
      <c r="L15101" t="s">
        <v>20</v>
      </c>
      <c r="N15101" t="s">
        <v>29</v>
      </c>
    </row>
    <row r="15102" spans="1:14">
      <c r="A15102" s="4" t="str">
        <f t="shared" si="1181"/>
        <v>EXP00415</v>
      </c>
      <c r="B15102" s="3" t="s">
        <v>66</v>
      </c>
      <c r="C15102" s="4" t="str">
        <f t="shared" si="1182"/>
        <v>TCGA-BRCA</v>
      </c>
      <c r="D15102" s="1" t="s">
        <v>493</v>
      </c>
      <c r="E15102" t="s">
        <v>533</v>
      </c>
      <c r="F15102" s="1">
        <v>2</v>
      </c>
      <c r="G15102" s="1" t="s">
        <v>28</v>
      </c>
      <c r="H15102" s="4" t="str">
        <f>HYPERLINK("https://portal.gdc.cancer.gov/cases/6956473b-92e5-4069-a26b-b48e280e76f2","TCGA-B6-A0RU-01A")</f>
        <v>TCGA-B6-A0RU-01A</v>
      </c>
      <c r="I15102" t="s">
        <v>17</v>
      </c>
      <c r="J15102" t="s">
        <v>524</v>
      </c>
      <c r="K15102" t="s">
        <v>33</v>
      </c>
      <c r="L15102" t="s">
        <v>20</v>
      </c>
      <c r="N15102" t="s">
        <v>29</v>
      </c>
    </row>
    <row r="15103" spans="1:14">
      <c r="A15103" s="4" t="str">
        <f t="shared" si="1181"/>
        <v>EXP00415</v>
      </c>
      <c r="B15103" s="3" t="s">
        <v>66</v>
      </c>
      <c r="C15103" s="4" t="str">
        <f t="shared" si="1182"/>
        <v>TCGA-BRCA</v>
      </c>
      <c r="D15103" s="1" t="s">
        <v>493</v>
      </c>
      <c r="E15103" t="s">
        <v>533</v>
      </c>
      <c r="F15103" s="1">
        <v>2</v>
      </c>
      <c r="G15103" s="1" t="s">
        <v>28</v>
      </c>
      <c r="H15103" s="4" t="str">
        <f>HYPERLINK("https://portal.gdc.cancer.gov/cases/cd3faa15-743c-476f-ab0d-f205b14126b6","TCGA-B6-A0RV-01A")</f>
        <v>TCGA-B6-A0RV-01A</v>
      </c>
      <c r="I15103" t="s">
        <v>17</v>
      </c>
      <c r="J15103" t="s">
        <v>524</v>
      </c>
      <c r="K15103" t="s">
        <v>33</v>
      </c>
      <c r="L15103" t="s">
        <v>20</v>
      </c>
      <c r="N15103" t="s">
        <v>29</v>
      </c>
    </row>
    <row r="15104" spans="1:14">
      <c r="A15104" s="4" t="str">
        <f t="shared" si="1181"/>
        <v>EXP00415</v>
      </c>
      <c r="B15104" s="3" t="s">
        <v>66</v>
      </c>
      <c r="C15104" s="4" t="str">
        <f t="shared" si="1182"/>
        <v>TCGA-BRCA</v>
      </c>
      <c r="D15104" s="1" t="s">
        <v>493</v>
      </c>
      <c r="E15104" t="s">
        <v>533</v>
      </c>
      <c r="F15104" s="1">
        <v>2</v>
      </c>
      <c r="G15104" s="1" t="s">
        <v>28</v>
      </c>
      <c r="H15104" s="4" t="str">
        <f>HYPERLINK("https://portal.gdc.cancer.gov/cases/197741de-a098-4f04-bb37-8ea8b3bb39bc","TCGA-B6-A0WS-01A")</f>
        <v>TCGA-B6-A0WS-01A</v>
      </c>
      <c r="I15104" t="s">
        <v>17</v>
      </c>
      <c r="J15104" t="s">
        <v>524</v>
      </c>
      <c r="K15104" t="s">
        <v>33</v>
      </c>
      <c r="L15104" t="s">
        <v>20</v>
      </c>
      <c r="N15104" t="s">
        <v>29</v>
      </c>
    </row>
    <row r="15105" spans="1:14">
      <c r="A15105" s="4" t="str">
        <f t="shared" si="1181"/>
        <v>EXP00415</v>
      </c>
      <c r="B15105" s="3" t="s">
        <v>66</v>
      </c>
      <c r="C15105" s="4" t="str">
        <f t="shared" si="1182"/>
        <v>TCGA-BRCA</v>
      </c>
      <c r="D15105" s="1" t="s">
        <v>493</v>
      </c>
      <c r="E15105" t="s">
        <v>533</v>
      </c>
      <c r="F15105" s="1">
        <v>2</v>
      </c>
      <c r="G15105" s="1" t="s">
        <v>28</v>
      </c>
      <c r="H15105" s="4" t="str">
        <f>HYPERLINK("https://portal.gdc.cancer.gov/cases/d7195183-9fe4-4b17-bcfd-9367d2e539ce","TCGA-B6-A0WT-01A")</f>
        <v>TCGA-B6-A0WT-01A</v>
      </c>
      <c r="I15105" t="s">
        <v>17</v>
      </c>
      <c r="J15105" t="s">
        <v>524</v>
      </c>
      <c r="K15105" t="s">
        <v>33</v>
      </c>
      <c r="L15105" t="s">
        <v>20</v>
      </c>
      <c r="N15105" t="s">
        <v>29</v>
      </c>
    </row>
    <row r="15106" spans="1:14">
      <c r="A15106" s="4" t="str">
        <f t="shared" si="1181"/>
        <v>EXP00415</v>
      </c>
      <c r="B15106" s="3" t="s">
        <v>66</v>
      </c>
      <c r="C15106" s="4" t="str">
        <f t="shared" si="1182"/>
        <v>TCGA-BRCA</v>
      </c>
      <c r="D15106" s="1" t="s">
        <v>493</v>
      </c>
      <c r="E15106" t="s">
        <v>533</v>
      </c>
      <c r="F15106" s="1">
        <v>2</v>
      </c>
      <c r="G15106" s="1" t="s">
        <v>28</v>
      </c>
      <c r="H15106" s="4" t="str">
        <f>HYPERLINK("https://portal.gdc.cancer.gov/cases/7588a286-6935-424a-bc5f-92e24c83eb37","TCGA-B6-A0WV-01A")</f>
        <v>TCGA-B6-A0WV-01A</v>
      </c>
      <c r="I15106" t="s">
        <v>17</v>
      </c>
      <c r="J15106" t="s">
        <v>524</v>
      </c>
      <c r="K15106" t="s">
        <v>33</v>
      </c>
      <c r="L15106" t="s">
        <v>20</v>
      </c>
      <c r="N15106" t="s">
        <v>29</v>
      </c>
    </row>
    <row r="15107" spans="1:14">
      <c r="A15107" s="4" t="str">
        <f t="shared" si="1181"/>
        <v>EXP00415</v>
      </c>
      <c r="B15107" s="3" t="s">
        <v>66</v>
      </c>
      <c r="C15107" s="4" t="str">
        <f t="shared" si="1182"/>
        <v>TCGA-BRCA</v>
      </c>
      <c r="D15107" s="1" t="s">
        <v>493</v>
      </c>
      <c r="E15107" t="s">
        <v>533</v>
      </c>
      <c r="F15107" s="1">
        <v>2</v>
      </c>
      <c r="G15107" s="1" t="s">
        <v>28</v>
      </c>
      <c r="H15107" s="4" t="str">
        <f>HYPERLINK("https://portal.gdc.cancer.gov/cases/f02931f8-d72a-481d-b532-8b141dab115f","TCGA-B6-A0WW-01A")</f>
        <v>TCGA-B6-A0WW-01A</v>
      </c>
      <c r="I15107" t="s">
        <v>17</v>
      </c>
      <c r="J15107" t="s">
        <v>524</v>
      </c>
      <c r="K15107" t="s">
        <v>33</v>
      </c>
      <c r="L15107" t="s">
        <v>20</v>
      </c>
      <c r="N15107" t="s">
        <v>29</v>
      </c>
    </row>
    <row r="15108" spans="1:14">
      <c r="A15108" s="4" t="str">
        <f t="shared" si="1181"/>
        <v>EXP00415</v>
      </c>
      <c r="B15108" s="3" t="s">
        <v>66</v>
      </c>
      <c r="C15108" s="4" t="str">
        <f t="shared" si="1182"/>
        <v>TCGA-BRCA</v>
      </c>
      <c r="D15108" s="1" t="s">
        <v>493</v>
      </c>
      <c r="E15108" t="s">
        <v>533</v>
      </c>
      <c r="F15108" s="1">
        <v>2</v>
      </c>
      <c r="G15108" s="1" t="s">
        <v>28</v>
      </c>
      <c r="H15108" s="4" t="str">
        <f>HYPERLINK("https://portal.gdc.cancer.gov/cases/a482fc4c-ff1d-46a0-a968-7df06422cc4b","TCGA-B6-A0WX-01A")</f>
        <v>TCGA-B6-A0WX-01A</v>
      </c>
      <c r="I15108" t="s">
        <v>17</v>
      </c>
      <c r="J15108" t="s">
        <v>524</v>
      </c>
      <c r="K15108" t="s">
        <v>33</v>
      </c>
      <c r="L15108" t="s">
        <v>20</v>
      </c>
      <c r="N15108" t="s">
        <v>29</v>
      </c>
    </row>
    <row r="15109" spans="1:14">
      <c r="A15109" s="4" t="str">
        <f t="shared" si="1181"/>
        <v>EXP00415</v>
      </c>
      <c r="B15109" s="3" t="s">
        <v>66</v>
      </c>
      <c r="C15109" s="4" t="str">
        <f t="shared" si="1182"/>
        <v>TCGA-BRCA</v>
      </c>
      <c r="D15109" s="1" t="s">
        <v>493</v>
      </c>
      <c r="E15109" t="s">
        <v>533</v>
      </c>
      <c r="F15109" s="1">
        <v>2</v>
      </c>
      <c r="G15109" s="1" t="s">
        <v>28</v>
      </c>
      <c r="H15109" s="4" t="str">
        <f>HYPERLINK("https://portal.gdc.cancer.gov/cases/f475d460-75cd-4fe9-aa54-c90be12b4ef8","TCGA-B6-A0WY-01A")</f>
        <v>TCGA-B6-A0WY-01A</v>
      </c>
      <c r="I15109" t="s">
        <v>17</v>
      </c>
      <c r="J15109" t="s">
        <v>524</v>
      </c>
      <c r="K15109" t="s">
        <v>33</v>
      </c>
      <c r="L15109" t="s">
        <v>20</v>
      </c>
      <c r="N15109" t="s">
        <v>29</v>
      </c>
    </row>
    <row r="15110" spans="1:14">
      <c r="A15110" s="4" t="str">
        <f t="shared" si="1181"/>
        <v>EXP00415</v>
      </c>
      <c r="B15110" s="3" t="s">
        <v>66</v>
      </c>
      <c r="C15110" s="4" t="str">
        <f t="shared" si="1182"/>
        <v>TCGA-BRCA</v>
      </c>
      <c r="D15110" s="1" t="s">
        <v>493</v>
      </c>
      <c r="E15110" t="s">
        <v>533</v>
      </c>
      <c r="F15110" s="1">
        <v>2</v>
      </c>
      <c r="G15110" s="1" t="s">
        <v>28</v>
      </c>
      <c r="H15110" s="4" t="str">
        <f>HYPERLINK("https://portal.gdc.cancer.gov/cases/08740d7f-5a5e-4dfa-bd48-7fbf228a7a28","TCGA-B6-A0WZ-01A")</f>
        <v>TCGA-B6-A0WZ-01A</v>
      </c>
      <c r="I15110" t="s">
        <v>17</v>
      </c>
      <c r="J15110" t="s">
        <v>524</v>
      </c>
      <c r="K15110" t="s">
        <v>33</v>
      </c>
      <c r="L15110" t="s">
        <v>20</v>
      </c>
      <c r="N15110" t="s">
        <v>29</v>
      </c>
    </row>
    <row r="15111" spans="1:14">
      <c r="A15111" s="4" t="str">
        <f t="shared" si="1181"/>
        <v>EXP00415</v>
      </c>
      <c r="B15111" s="3" t="s">
        <v>66</v>
      </c>
      <c r="C15111" s="4" t="str">
        <f t="shared" si="1182"/>
        <v>TCGA-BRCA</v>
      </c>
      <c r="D15111" s="1" t="s">
        <v>493</v>
      </c>
      <c r="E15111" t="s">
        <v>533</v>
      </c>
      <c r="F15111" s="1">
        <v>2</v>
      </c>
      <c r="G15111" s="1" t="s">
        <v>28</v>
      </c>
      <c r="H15111" s="4" t="str">
        <f>HYPERLINK("https://portal.gdc.cancer.gov/cases/1e68e760-a4cf-4100-bf9c-e50fa8d126f6","TCGA-B6-A0X0-01A")</f>
        <v>TCGA-B6-A0X0-01A</v>
      </c>
      <c r="I15111" t="s">
        <v>17</v>
      </c>
      <c r="J15111" t="s">
        <v>524</v>
      </c>
      <c r="K15111" t="s">
        <v>33</v>
      </c>
      <c r="L15111" t="s">
        <v>20</v>
      </c>
      <c r="N15111" t="s">
        <v>29</v>
      </c>
    </row>
    <row r="15112" spans="1:14">
      <c r="A15112" s="4" t="str">
        <f t="shared" si="1181"/>
        <v>EXP00415</v>
      </c>
      <c r="B15112" s="3" t="s">
        <v>66</v>
      </c>
      <c r="C15112" s="4" t="str">
        <f t="shared" si="1182"/>
        <v>TCGA-BRCA</v>
      </c>
      <c r="D15112" s="1" t="s">
        <v>493</v>
      </c>
      <c r="E15112" t="s">
        <v>533</v>
      </c>
      <c r="F15112" s="1">
        <v>2</v>
      </c>
      <c r="G15112" s="1" t="s">
        <v>28</v>
      </c>
      <c r="H15112" s="4" t="str">
        <f>HYPERLINK("https://portal.gdc.cancer.gov/cases/4e42fdc5-2a8b-49e9-87ef-6db7a6692d08","TCGA-B6-A0X4-01A")</f>
        <v>TCGA-B6-A0X4-01A</v>
      </c>
      <c r="I15112" t="s">
        <v>17</v>
      </c>
      <c r="J15112" t="s">
        <v>524</v>
      </c>
      <c r="K15112" t="s">
        <v>33</v>
      </c>
      <c r="L15112" t="s">
        <v>20</v>
      </c>
      <c r="N15112" t="s">
        <v>29</v>
      </c>
    </row>
    <row r="15113" spans="1:14">
      <c r="A15113" s="4" t="str">
        <f t="shared" si="1181"/>
        <v>EXP00415</v>
      </c>
      <c r="B15113" s="3" t="s">
        <v>66</v>
      </c>
      <c r="C15113" s="4" t="str">
        <f t="shared" si="1182"/>
        <v>TCGA-BRCA</v>
      </c>
      <c r="D15113" s="1" t="s">
        <v>493</v>
      </c>
      <c r="E15113" t="s">
        <v>533</v>
      </c>
      <c r="F15113" s="1">
        <v>2</v>
      </c>
      <c r="G15113" s="1" t="s">
        <v>28</v>
      </c>
      <c r="H15113" s="4" t="str">
        <f>HYPERLINK("https://portal.gdc.cancer.gov/cases/4e6edfe6-adcb-4c12-8ff4-38a79f5887e8","TCGA-B6-A0X5-01A")</f>
        <v>TCGA-B6-A0X5-01A</v>
      </c>
      <c r="I15113" t="s">
        <v>17</v>
      </c>
      <c r="J15113" t="s">
        <v>524</v>
      </c>
      <c r="K15113" t="s">
        <v>33</v>
      </c>
      <c r="L15113" t="s">
        <v>20</v>
      </c>
      <c r="N15113" t="s">
        <v>29</v>
      </c>
    </row>
    <row r="15114" spans="1:14">
      <c r="A15114" s="4" t="str">
        <f t="shared" si="1181"/>
        <v>EXP00415</v>
      </c>
      <c r="B15114" s="3" t="s">
        <v>66</v>
      </c>
      <c r="C15114" s="4" t="str">
        <f t="shared" si="1182"/>
        <v>TCGA-BRCA</v>
      </c>
      <c r="D15114" s="1" t="s">
        <v>493</v>
      </c>
      <c r="E15114" t="s">
        <v>533</v>
      </c>
      <c r="F15114" s="1">
        <v>2</v>
      </c>
      <c r="G15114" s="1" t="s">
        <v>28</v>
      </c>
      <c r="H15114" s="4" t="str">
        <f>HYPERLINK("https://portal.gdc.cancer.gov/cases/5b9a5cd2-5ec8-48a0-b9f2-da9bede0b089","TCGA-B6-A0X7-01A")</f>
        <v>TCGA-B6-A0X7-01A</v>
      </c>
      <c r="I15114" t="s">
        <v>17</v>
      </c>
      <c r="J15114" t="s">
        <v>524</v>
      </c>
      <c r="K15114" t="s">
        <v>33</v>
      </c>
      <c r="L15114" t="s">
        <v>20</v>
      </c>
      <c r="N15114" t="s">
        <v>29</v>
      </c>
    </row>
    <row r="15115" spans="1:14">
      <c r="A15115" s="4" t="str">
        <f t="shared" si="1181"/>
        <v>EXP00415</v>
      </c>
      <c r="B15115" s="3" t="s">
        <v>66</v>
      </c>
      <c r="C15115" s="4" t="str">
        <f t="shared" si="1182"/>
        <v>TCGA-BRCA</v>
      </c>
      <c r="D15115" s="1" t="s">
        <v>493</v>
      </c>
      <c r="E15115" t="s">
        <v>533</v>
      </c>
      <c r="F15115" s="1">
        <v>2</v>
      </c>
      <c r="G15115" s="1" t="s">
        <v>28</v>
      </c>
      <c r="H15115" s="4" t="str">
        <f>HYPERLINK("https://portal.gdc.cancer.gov/cases/1502c7d7-1535-4e56-9f34-30623acd50d5","TCGA-B6-A1KC-01B")</f>
        <v>TCGA-B6-A1KC-01B</v>
      </c>
      <c r="I15115" t="s">
        <v>17</v>
      </c>
      <c r="J15115" t="s">
        <v>524</v>
      </c>
      <c r="K15115" t="s">
        <v>33</v>
      </c>
      <c r="L15115" t="s">
        <v>20</v>
      </c>
      <c r="N15115" t="s">
        <v>29</v>
      </c>
    </row>
    <row r="15116" spans="1:14">
      <c r="A15116" s="4" t="str">
        <f t="shared" si="1181"/>
        <v>EXP00415</v>
      </c>
      <c r="B15116" s="3" t="s">
        <v>66</v>
      </c>
      <c r="C15116" s="4" t="str">
        <f t="shared" si="1182"/>
        <v>TCGA-BRCA</v>
      </c>
      <c r="D15116" s="1" t="s">
        <v>493</v>
      </c>
      <c r="E15116" t="s">
        <v>533</v>
      </c>
      <c r="F15116" s="1">
        <v>2</v>
      </c>
      <c r="G15116" s="1" t="s">
        <v>28</v>
      </c>
      <c r="H15116" s="4" t="str">
        <f>HYPERLINK("https://portal.gdc.cancer.gov/cases/f30eb65f-fb44-4062-ac39-a38d072f655f","TCGA-B6-A1KF-01A")</f>
        <v>TCGA-B6-A1KF-01A</v>
      </c>
      <c r="I15116" t="s">
        <v>17</v>
      </c>
      <c r="J15116" t="s">
        <v>524</v>
      </c>
      <c r="K15116" t="s">
        <v>33</v>
      </c>
      <c r="L15116" t="s">
        <v>20</v>
      </c>
      <c r="N15116" t="s">
        <v>29</v>
      </c>
    </row>
    <row r="15117" spans="1:14">
      <c r="A15117" s="4" t="str">
        <f t="shared" si="1181"/>
        <v>EXP00415</v>
      </c>
      <c r="B15117" s="3" t="s">
        <v>66</v>
      </c>
      <c r="C15117" s="4" t="str">
        <f t="shared" si="1182"/>
        <v>TCGA-BRCA</v>
      </c>
      <c r="D15117" s="1" t="s">
        <v>493</v>
      </c>
      <c r="E15117" t="s">
        <v>533</v>
      </c>
      <c r="F15117" s="1">
        <v>2</v>
      </c>
      <c r="G15117" s="1" t="s">
        <v>28</v>
      </c>
      <c r="H15117" s="4" t="str">
        <f>HYPERLINK("https://portal.gdc.cancer.gov/cases/1dafdd64-527d-4d46-bbdf-7a97774f881b","TCGA-B6-A1KI-01A")</f>
        <v>TCGA-B6-A1KI-01A</v>
      </c>
      <c r="I15117" t="s">
        <v>17</v>
      </c>
      <c r="J15117" t="s">
        <v>524</v>
      </c>
      <c r="K15117" t="s">
        <v>33</v>
      </c>
      <c r="L15117" t="s">
        <v>20</v>
      </c>
      <c r="N15117" t="s">
        <v>29</v>
      </c>
    </row>
    <row r="15118" spans="1:14">
      <c r="A15118" s="4" t="str">
        <f t="shared" si="1181"/>
        <v>EXP00415</v>
      </c>
      <c r="B15118" s="3" t="s">
        <v>66</v>
      </c>
      <c r="C15118" s="4" t="str">
        <f t="shared" si="1182"/>
        <v>TCGA-BRCA</v>
      </c>
      <c r="D15118" s="1" t="s">
        <v>493</v>
      </c>
      <c r="E15118" t="s">
        <v>533</v>
      </c>
      <c r="F15118" s="1">
        <v>2</v>
      </c>
      <c r="G15118" s="1" t="s">
        <v>28</v>
      </c>
      <c r="H15118" s="4" t="str">
        <f>HYPERLINK("https://portal.gdc.cancer.gov/cases/271404de-24e8-43f6-806b-fb510c1124c4","TCGA-B6-A1KN-01A")</f>
        <v>TCGA-B6-A1KN-01A</v>
      </c>
      <c r="I15118" t="s">
        <v>17</v>
      </c>
      <c r="J15118" t="s">
        <v>524</v>
      </c>
      <c r="K15118" t="s">
        <v>33</v>
      </c>
      <c r="L15118" t="s">
        <v>20</v>
      </c>
      <c r="N15118" t="s">
        <v>29</v>
      </c>
    </row>
    <row r="15119" spans="1:14">
      <c r="A15119" s="4" t="str">
        <f t="shared" si="1181"/>
        <v>EXP00415</v>
      </c>
      <c r="B15119" s="3" t="s">
        <v>66</v>
      </c>
      <c r="C15119" s="4" t="str">
        <f t="shared" si="1182"/>
        <v>TCGA-BRCA</v>
      </c>
      <c r="D15119" s="1" t="s">
        <v>493</v>
      </c>
      <c r="E15119" t="s">
        <v>533</v>
      </c>
      <c r="F15119" s="1">
        <v>2</v>
      </c>
      <c r="G15119" s="1" t="s">
        <v>28</v>
      </c>
      <c r="H15119" s="4" t="str">
        <f>HYPERLINK("https://portal.gdc.cancer.gov/cases/9857be0c-aeca-4a43-90b1-0535bd08e086","TCGA-B6-A2IU-01A")</f>
        <v>TCGA-B6-A2IU-01A</v>
      </c>
      <c r="I15119" t="s">
        <v>17</v>
      </c>
      <c r="J15119" t="s">
        <v>524</v>
      </c>
      <c r="K15119" t="s">
        <v>33</v>
      </c>
      <c r="L15119" t="s">
        <v>20</v>
      </c>
      <c r="N15119" t="s">
        <v>29</v>
      </c>
    </row>
    <row r="15120" spans="1:14">
      <c r="A15120" s="4" t="str">
        <f t="shared" si="1181"/>
        <v>EXP00415</v>
      </c>
      <c r="B15120" s="3" t="s">
        <v>66</v>
      </c>
      <c r="C15120" s="4" t="str">
        <f t="shared" si="1182"/>
        <v>TCGA-BRCA</v>
      </c>
      <c r="D15120" s="1" t="s">
        <v>493</v>
      </c>
      <c r="E15120" t="s">
        <v>533</v>
      </c>
      <c r="F15120" s="1">
        <v>2</v>
      </c>
      <c r="G15120" s="1" t="s">
        <v>28</v>
      </c>
      <c r="H15120" s="4" t="str">
        <f>HYPERLINK("https://portal.gdc.cancer.gov/cases/d9a1c06f-7b50-46b0-878e-89e8c31863ae","TCGA-B6-A400-01A")</f>
        <v>TCGA-B6-A400-01A</v>
      </c>
      <c r="I15120" t="s">
        <v>17</v>
      </c>
      <c r="J15120" t="s">
        <v>524</v>
      </c>
      <c r="K15120" t="s">
        <v>33</v>
      </c>
      <c r="L15120" t="s">
        <v>20</v>
      </c>
      <c r="N15120" t="s">
        <v>29</v>
      </c>
    </row>
    <row r="15121" spans="1:14">
      <c r="A15121" s="4" t="str">
        <f t="shared" si="1181"/>
        <v>EXP00415</v>
      </c>
      <c r="B15121" s="3" t="s">
        <v>66</v>
      </c>
      <c r="C15121" s="4" t="str">
        <f t="shared" si="1182"/>
        <v>TCGA-BRCA</v>
      </c>
      <c r="D15121" s="1" t="s">
        <v>493</v>
      </c>
      <c r="E15121" t="s">
        <v>533</v>
      </c>
      <c r="F15121" s="1">
        <v>2</v>
      </c>
      <c r="G15121" s="1" t="s">
        <v>28</v>
      </c>
      <c r="H15121" s="4" t="str">
        <f>HYPERLINK("https://portal.gdc.cancer.gov/cases/48ff0420-0f19-4e9d-a75d-6c54949a461a","TCGA-B6-A401-01A")</f>
        <v>TCGA-B6-A401-01A</v>
      </c>
      <c r="I15121" t="s">
        <v>17</v>
      </c>
      <c r="J15121" t="s">
        <v>524</v>
      </c>
      <c r="K15121" t="s">
        <v>33</v>
      </c>
      <c r="L15121" t="s">
        <v>20</v>
      </c>
      <c r="N15121" t="s">
        <v>29</v>
      </c>
    </row>
    <row r="15122" spans="1:14">
      <c r="A15122" s="4" t="str">
        <f t="shared" si="1181"/>
        <v>EXP00415</v>
      </c>
      <c r="B15122" s="3" t="s">
        <v>66</v>
      </c>
      <c r="C15122" s="4" t="str">
        <f t="shared" si="1182"/>
        <v>TCGA-BRCA</v>
      </c>
      <c r="D15122" s="1" t="s">
        <v>493</v>
      </c>
      <c r="E15122" t="s">
        <v>533</v>
      </c>
      <c r="F15122" s="1">
        <v>2</v>
      </c>
      <c r="G15122" s="1" t="s">
        <v>28</v>
      </c>
      <c r="H15122" s="4" t="str">
        <f>HYPERLINK("https://portal.gdc.cancer.gov/cases/75b3fe55-1a63-426e-867e-2ef52f54778d","TCGA-B6-A402-01A")</f>
        <v>TCGA-B6-A402-01A</v>
      </c>
      <c r="I15122" t="s">
        <v>17</v>
      </c>
      <c r="J15122" t="s">
        <v>524</v>
      </c>
      <c r="K15122" t="s">
        <v>33</v>
      </c>
      <c r="L15122" t="s">
        <v>20</v>
      </c>
      <c r="N15122" t="s">
        <v>29</v>
      </c>
    </row>
    <row r="15123" spans="1:14">
      <c r="A15123" s="4" t="str">
        <f t="shared" si="1181"/>
        <v>EXP00415</v>
      </c>
      <c r="B15123" s="3" t="s">
        <v>66</v>
      </c>
      <c r="C15123" s="4" t="str">
        <f t="shared" si="1182"/>
        <v>TCGA-BRCA</v>
      </c>
      <c r="D15123" s="1" t="s">
        <v>493</v>
      </c>
      <c r="E15123" t="s">
        <v>533</v>
      </c>
      <c r="F15123" s="1">
        <v>2</v>
      </c>
      <c r="G15123" s="1" t="s">
        <v>28</v>
      </c>
      <c r="H15123" s="4" t="str">
        <f>HYPERLINK("https://portal.gdc.cancer.gov/cases/9964f447-92ad-4d1e-af20-11cf84fab7b0","TCGA-B6-A408-01A")</f>
        <v>TCGA-B6-A408-01A</v>
      </c>
      <c r="I15123" t="s">
        <v>17</v>
      </c>
      <c r="J15123" t="s">
        <v>524</v>
      </c>
      <c r="K15123" t="s">
        <v>33</v>
      </c>
      <c r="L15123" t="s">
        <v>20</v>
      </c>
      <c r="N15123" t="s">
        <v>29</v>
      </c>
    </row>
    <row r="15124" spans="1:14">
      <c r="A15124" s="4" t="str">
        <f t="shared" si="1181"/>
        <v>EXP00415</v>
      </c>
      <c r="B15124" s="3" t="s">
        <v>66</v>
      </c>
      <c r="C15124" s="4" t="str">
        <f t="shared" si="1182"/>
        <v>TCGA-BRCA</v>
      </c>
      <c r="D15124" s="1" t="s">
        <v>493</v>
      </c>
      <c r="E15124" t="s">
        <v>533</v>
      </c>
      <c r="F15124" s="1">
        <v>2</v>
      </c>
      <c r="G15124" s="1" t="s">
        <v>28</v>
      </c>
      <c r="H15124" s="4" t="str">
        <f>HYPERLINK("https://portal.gdc.cancer.gov/cases/8539e15f-ba40-4219-aaeb-08d0ab101311","TCGA-B6-A40B-01A")</f>
        <v>TCGA-B6-A40B-01A</v>
      </c>
      <c r="I15124" t="s">
        <v>17</v>
      </c>
      <c r="J15124" t="s">
        <v>524</v>
      </c>
      <c r="K15124" t="s">
        <v>33</v>
      </c>
      <c r="L15124" t="s">
        <v>20</v>
      </c>
      <c r="N15124" t="s">
        <v>29</v>
      </c>
    </row>
    <row r="15125" spans="1:14">
      <c r="A15125" s="4" t="str">
        <f t="shared" si="1181"/>
        <v>EXP00415</v>
      </c>
      <c r="B15125" s="3" t="s">
        <v>66</v>
      </c>
      <c r="C15125" s="4" t="str">
        <f t="shared" si="1182"/>
        <v>TCGA-BRCA</v>
      </c>
      <c r="D15125" s="1" t="s">
        <v>493</v>
      </c>
      <c r="E15125" t="s">
        <v>533</v>
      </c>
      <c r="F15125" s="1">
        <v>2</v>
      </c>
      <c r="G15125" s="1" t="s">
        <v>28</v>
      </c>
      <c r="H15125" s="4" t="str">
        <f>HYPERLINK("https://portal.gdc.cancer.gov/cases/fd0b1b8b-1a76-480a-b61c-d176e4e02c6b","TCGA-B6-A40C-01A")</f>
        <v>TCGA-B6-A40C-01A</v>
      </c>
      <c r="I15125" t="s">
        <v>17</v>
      </c>
      <c r="J15125" t="s">
        <v>524</v>
      </c>
      <c r="K15125" t="s">
        <v>33</v>
      </c>
      <c r="L15125" t="s">
        <v>20</v>
      </c>
      <c r="N15125" t="s">
        <v>29</v>
      </c>
    </row>
    <row r="15126" spans="1:14">
      <c r="A15126" s="4" t="str">
        <f t="shared" si="1181"/>
        <v>EXP00415</v>
      </c>
      <c r="B15126" s="3" t="s">
        <v>66</v>
      </c>
      <c r="C15126" s="4" t="str">
        <f t="shared" si="1182"/>
        <v>TCGA-BRCA</v>
      </c>
      <c r="D15126" s="1" t="s">
        <v>493</v>
      </c>
      <c r="E15126" t="s">
        <v>533</v>
      </c>
      <c r="F15126" s="1">
        <v>2</v>
      </c>
      <c r="G15126" s="1" t="s">
        <v>28</v>
      </c>
      <c r="H15126" s="4" t="str">
        <f>HYPERLINK("https://portal.gdc.cancer.gov/cases/360d1d6d-cf3e-4c78-b36f-ef5e3160aa6b","TCGA-BH-A0AU-01A")</f>
        <v>TCGA-BH-A0AU-01A</v>
      </c>
      <c r="I15126" t="s">
        <v>17</v>
      </c>
      <c r="J15126" t="s">
        <v>524</v>
      </c>
      <c r="K15126" t="s">
        <v>33</v>
      </c>
      <c r="L15126" t="s">
        <v>20</v>
      </c>
      <c r="N15126" t="s">
        <v>29</v>
      </c>
    </row>
    <row r="15127" spans="1:14">
      <c r="A15127" s="4" t="str">
        <f t="shared" si="1181"/>
        <v>EXP00415</v>
      </c>
      <c r="B15127" s="3" t="s">
        <v>66</v>
      </c>
      <c r="C15127" s="4" t="str">
        <f t="shared" si="1182"/>
        <v>TCGA-BRCA</v>
      </c>
      <c r="D15127" s="1" t="s">
        <v>493</v>
      </c>
      <c r="E15127" t="s">
        <v>533</v>
      </c>
      <c r="F15127" s="1">
        <v>2</v>
      </c>
      <c r="G15127" s="1" t="s">
        <v>28</v>
      </c>
      <c r="H15127" s="4" t="str">
        <f>HYPERLINK("https://portal.gdc.cancer.gov/cases/790ff5db-b7f3-4946-aaed-305f66b1dd6a","TCGA-BH-A0AV-01A")</f>
        <v>TCGA-BH-A0AV-01A</v>
      </c>
      <c r="I15127" t="s">
        <v>17</v>
      </c>
      <c r="J15127" t="s">
        <v>524</v>
      </c>
      <c r="K15127" t="s">
        <v>33</v>
      </c>
      <c r="L15127" t="s">
        <v>20</v>
      </c>
      <c r="N15127" t="s">
        <v>29</v>
      </c>
    </row>
    <row r="15128" spans="1:14">
      <c r="A15128" s="4" t="str">
        <f t="shared" si="1181"/>
        <v>EXP00415</v>
      </c>
      <c r="B15128" s="3" t="s">
        <v>66</v>
      </c>
      <c r="C15128" s="4" t="str">
        <f t="shared" si="1182"/>
        <v>TCGA-BRCA</v>
      </c>
      <c r="D15128" s="1" t="s">
        <v>493</v>
      </c>
      <c r="E15128" t="s">
        <v>533</v>
      </c>
      <c r="F15128" s="1">
        <v>2</v>
      </c>
      <c r="G15128" s="1" t="s">
        <v>28</v>
      </c>
      <c r="H15128" s="4" t="str">
        <f>HYPERLINK("https://portal.gdc.cancer.gov/cases/c5891c7a-fd24-4891-8f51-373967e4a6dd","TCGA-BH-A0AW-01A")</f>
        <v>TCGA-BH-A0AW-01A</v>
      </c>
      <c r="I15128" t="s">
        <v>17</v>
      </c>
      <c r="J15128" t="s">
        <v>524</v>
      </c>
      <c r="K15128" t="s">
        <v>33</v>
      </c>
      <c r="L15128" t="s">
        <v>20</v>
      </c>
      <c r="N15128" t="s">
        <v>29</v>
      </c>
    </row>
    <row r="15129" spans="1:14">
      <c r="A15129" s="4" t="str">
        <f t="shared" si="1181"/>
        <v>EXP00415</v>
      </c>
      <c r="B15129" s="3" t="s">
        <v>66</v>
      </c>
      <c r="C15129" s="4" t="str">
        <f t="shared" si="1182"/>
        <v>TCGA-BRCA</v>
      </c>
      <c r="D15129" s="1" t="s">
        <v>493</v>
      </c>
      <c r="E15129" t="s">
        <v>533</v>
      </c>
      <c r="F15129" s="1">
        <v>2</v>
      </c>
      <c r="G15129" s="1" t="s">
        <v>28</v>
      </c>
      <c r="H15129" s="4" t="str">
        <f>HYPERLINK("https://portal.gdc.cancer.gov/cases/93ed6066-b567-4e1c-ab81-23370f9d3452","TCGA-BH-A0AY-01A")</f>
        <v>TCGA-BH-A0AY-01A</v>
      </c>
      <c r="I15129" t="s">
        <v>17</v>
      </c>
      <c r="J15129" t="s">
        <v>524</v>
      </c>
      <c r="K15129" t="s">
        <v>33</v>
      </c>
      <c r="L15129" t="s">
        <v>20</v>
      </c>
      <c r="N15129" t="s">
        <v>29</v>
      </c>
    </row>
    <row r="15130" spans="1:14">
      <c r="A15130" s="4" t="str">
        <f t="shared" si="1181"/>
        <v>EXP00415</v>
      </c>
      <c r="B15130" s="3" t="s">
        <v>66</v>
      </c>
      <c r="C15130" s="4" t="str">
        <f t="shared" si="1182"/>
        <v>TCGA-BRCA</v>
      </c>
      <c r="D15130" s="1" t="s">
        <v>493</v>
      </c>
      <c r="E15130" t="s">
        <v>533</v>
      </c>
      <c r="F15130" s="1">
        <v>2</v>
      </c>
      <c r="G15130" s="1" t="s">
        <v>28</v>
      </c>
      <c r="H15130" s="4" t="str">
        <f>HYPERLINK("https://portal.gdc.cancer.gov/cases/518f231c-f5f9-4a39-a97b-7fd5666d3e50","TCGA-BH-A0AZ-01A")</f>
        <v>TCGA-BH-A0AZ-01A</v>
      </c>
      <c r="I15130" t="s">
        <v>17</v>
      </c>
      <c r="J15130" t="s">
        <v>524</v>
      </c>
      <c r="K15130" t="s">
        <v>33</v>
      </c>
      <c r="L15130" t="s">
        <v>20</v>
      </c>
      <c r="N15130" t="s">
        <v>29</v>
      </c>
    </row>
    <row r="15131" spans="1:14">
      <c r="A15131" s="4" t="str">
        <f t="shared" si="1181"/>
        <v>EXP00415</v>
      </c>
      <c r="B15131" s="3" t="s">
        <v>66</v>
      </c>
      <c r="C15131" s="4" t="str">
        <f t="shared" si="1182"/>
        <v>TCGA-BRCA</v>
      </c>
      <c r="D15131" s="1" t="s">
        <v>493</v>
      </c>
      <c r="E15131" t="s">
        <v>533</v>
      </c>
      <c r="F15131" s="1">
        <v>2</v>
      </c>
      <c r="G15131" s="1" t="s">
        <v>28</v>
      </c>
      <c r="H15131" s="4" t="str">
        <f>HYPERLINK("https://portal.gdc.cancer.gov/cases/66af34ea-f471-4092-aff6-9ac9a5b75b11","TCGA-BH-A0B0-01A")</f>
        <v>TCGA-BH-A0B0-01A</v>
      </c>
      <c r="I15131" t="s">
        <v>17</v>
      </c>
      <c r="J15131" t="s">
        <v>524</v>
      </c>
      <c r="K15131" t="s">
        <v>33</v>
      </c>
      <c r="L15131" t="s">
        <v>20</v>
      </c>
      <c r="N15131" t="s">
        <v>29</v>
      </c>
    </row>
    <row r="15132" spans="1:14">
      <c r="A15132" s="4" t="str">
        <f t="shared" si="1181"/>
        <v>EXP00415</v>
      </c>
      <c r="B15132" s="3" t="s">
        <v>66</v>
      </c>
      <c r="C15132" s="4" t="str">
        <f t="shared" si="1182"/>
        <v>TCGA-BRCA</v>
      </c>
      <c r="D15132" s="1" t="s">
        <v>493</v>
      </c>
      <c r="E15132" t="s">
        <v>533</v>
      </c>
      <c r="F15132" s="1">
        <v>2</v>
      </c>
      <c r="G15132" s="1" t="s">
        <v>28</v>
      </c>
      <c r="H15132" s="4" t="str">
        <f>HYPERLINK("https://portal.gdc.cancer.gov/cases/b4e4fea2-b802-4a86-923e-3fcbd3c708fe","TCGA-BH-A0B1-01A")</f>
        <v>TCGA-BH-A0B1-01A</v>
      </c>
      <c r="I15132" t="s">
        <v>17</v>
      </c>
      <c r="J15132" t="s">
        <v>524</v>
      </c>
      <c r="K15132" t="s">
        <v>33</v>
      </c>
      <c r="L15132" t="s">
        <v>20</v>
      </c>
      <c r="N15132" t="s">
        <v>29</v>
      </c>
    </row>
    <row r="15133" spans="1:14">
      <c r="A15133" s="4" t="str">
        <f t="shared" si="1181"/>
        <v>EXP00415</v>
      </c>
      <c r="B15133" s="3" t="s">
        <v>66</v>
      </c>
      <c r="C15133" s="4" t="str">
        <f t="shared" si="1182"/>
        <v>TCGA-BRCA</v>
      </c>
      <c r="D15133" s="1" t="s">
        <v>493</v>
      </c>
      <c r="E15133" t="s">
        <v>533</v>
      </c>
      <c r="F15133" s="1">
        <v>2</v>
      </c>
      <c r="G15133" s="1" t="s">
        <v>28</v>
      </c>
      <c r="H15133" s="4" t="str">
        <f>HYPERLINK("https://portal.gdc.cancer.gov/cases/18eb4dfc-556f-4bf3-a411-4780209ed1e0","TCGA-BH-A0B3-01A")</f>
        <v>TCGA-BH-A0B3-01A</v>
      </c>
      <c r="I15133" t="s">
        <v>17</v>
      </c>
      <c r="J15133" t="s">
        <v>524</v>
      </c>
      <c r="K15133" t="s">
        <v>33</v>
      </c>
      <c r="L15133" t="s">
        <v>20</v>
      </c>
      <c r="N15133" t="s">
        <v>29</v>
      </c>
    </row>
    <row r="15134" spans="1:14">
      <c r="A15134" s="4" t="str">
        <f t="shared" si="1181"/>
        <v>EXP00415</v>
      </c>
      <c r="B15134" s="3" t="s">
        <v>66</v>
      </c>
      <c r="C15134" s="4" t="str">
        <f t="shared" si="1182"/>
        <v>TCGA-BRCA</v>
      </c>
      <c r="D15134" s="1" t="s">
        <v>493</v>
      </c>
      <c r="E15134" t="s">
        <v>533</v>
      </c>
      <c r="F15134" s="1">
        <v>2</v>
      </c>
      <c r="G15134" s="1" t="s">
        <v>28</v>
      </c>
      <c r="H15134" s="4" t="str">
        <f>HYPERLINK("https://portal.gdc.cancer.gov/cases/c710f4ab-fbd9-42ed-95d4-4e6d51207f38","TCGA-BH-A0B4-01A")</f>
        <v>TCGA-BH-A0B4-01A</v>
      </c>
      <c r="I15134" t="s">
        <v>17</v>
      </c>
      <c r="J15134" t="s">
        <v>524</v>
      </c>
      <c r="K15134" t="s">
        <v>33</v>
      </c>
      <c r="L15134" t="s">
        <v>20</v>
      </c>
      <c r="N15134" t="s">
        <v>29</v>
      </c>
    </row>
    <row r="15135" spans="1:14">
      <c r="A15135" s="4" t="str">
        <f t="shared" si="1181"/>
        <v>EXP00415</v>
      </c>
      <c r="B15135" s="3" t="s">
        <v>66</v>
      </c>
      <c r="C15135" s="4" t="str">
        <f t="shared" si="1182"/>
        <v>TCGA-BRCA</v>
      </c>
      <c r="D15135" s="1" t="s">
        <v>493</v>
      </c>
      <c r="E15135" t="s">
        <v>533</v>
      </c>
      <c r="F15135" s="1">
        <v>2</v>
      </c>
      <c r="G15135" s="1" t="s">
        <v>28</v>
      </c>
      <c r="H15135" s="4" t="str">
        <f>HYPERLINK("https://portal.gdc.cancer.gov/cases/9da462b0-93c2-4305-89f6-7199a30399a7","TCGA-BH-A0B5-01A")</f>
        <v>TCGA-BH-A0B5-01A</v>
      </c>
      <c r="I15135" t="s">
        <v>17</v>
      </c>
      <c r="J15135" t="s">
        <v>524</v>
      </c>
      <c r="K15135" t="s">
        <v>33</v>
      </c>
      <c r="L15135" t="s">
        <v>20</v>
      </c>
      <c r="N15135" t="s">
        <v>29</v>
      </c>
    </row>
    <row r="15136" spans="1:14">
      <c r="A15136" s="4" t="str">
        <f t="shared" si="1181"/>
        <v>EXP00415</v>
      </c>
      <c r="B15136" s="3" t="s">
        <v>66</v>
      </c>
      <c r="C15136" s="4" t="str">
        <f t="shared" si="1182"/>
        <v>TCGA-BRCA</v>
      </c>
      <c r="D15136" s="1" t="s">
        <v>493</v>
      </c>
      <c r="E15136" t="s">
        <v>533</v>
      </c>
      <c r="F15136" s="1">
        <v>2</v>
      </c>
      <c r="G15136" s="1" t="s">
        <v>28</v>
      </c>
      <c r="H15136" s="4" t="str">
        <f>HYPERLINK("https://portal.gdc.cancer.gov/cases/fa4e082a-d213-412e-8d91-842a6f4bef12","TCGA-BH-A0B6-01A")</f>
        <v>TCGA-BH-A0B6-01A</v>
      </c>
      <c r="I15136" t="s">
        <v>17</v>
      </c>
      <c r="J15136" t="s">
        <v>524</v>
      </c>
      <c r="K15136" t="s">
        <v>33</v>
      </c>
      <c r="L15136" t="s">
        <v>20</v>
      </c>
      <c r="N15136" t="s">
        <v>29</v>
      </c>
    </row>
    <row r="15137" spans="1:14">
      <c r="A15137" s="4" t="str">
        <f t="shared" si="1181"/>
        <v>EXP00415</v>
      </c>
      <c r="B15137" s="3" t="s">
        <v>66</v>
      </c>
      <c r="C15137" s="4" t="str">
        <f t="shared" si="1182"/>
        <v>TCGA-BRCA</v>
      </c>
      <c r="D15137" s="1" t="s">
        <v>493</v>
      </c>
      <c r="E15137" t="s">
        <v>533</v>
      </c>
      <c r="F15137" s="1">
        <v>2</v>
      </c>
      <c r="G15137" s="1" t="s">
        <v>28</v>
      </c>
      <c r="H15137" s="4" t="str">
        <f>HYPERLINK("https://portal.gdc.cancer.gov/cases/214a4507-d974-4b3e-8525-7408fccc6a0f","TCGA-BH-A0B7-01A")</f>
        <v>TCGA-BH-A0B7-01A</v>
      </c>
      <c r="I15137" t="s">
        <v>17</v>
      </c>
      <c r="J15137" t="s">
        <v>524</v>
      </c>
      <c r="K15137" t="s">
        <v>33</v>
      </c>
      <c r="L15137" t="s">
        <v>20</v>
      </c>
      <c r="N15137" t="s">
        <v>29</v>
      </c>
    </row>
    <row r="15138" spans="1:14">
      <c r="A15138" s="4" t="str">
        <f t="shared" si="1181"/>
        <v>EXP00415</v>
      </c>
      <c r="B15138" s="3" t="s">
        <v>66</v>
      </c>
      <c r="C15138" s="4" t="str">
        <f t="shared" si="1182"/>
        <v>TCGA-BRCA</v>
      </c>
      <c r="D15138" s="1" t="s">
        <v>493</v>
      </c>
      <c r="E15138" t="s">
        <v>533</v>
      </c>
      <c r="F15138" s="1">
        <v>2</v>
      </c>
      <c r="G15138" s="1" t="s">
        <v>28</v>
      </c>
      <c r="H15138" s="4" t="str">
        <f>HYPERLINK("https://portal.gdc.cancer.gov/cases/d3a75976-67d3-40fa-9f6f-cf2a3d7b773c","TCGA-BH-A0B8-01A")</f>
        <v>TCGA-BH-A0B8-01A</v>
      </c>
      <c r="I15138" t="s">
        <v>17</v>
      </c>
      <c r="J15138" t="s">
        <v>524</v>
      </c>
      <c r="K15138" t="s">
        <v>33</v>
      </c>
      <c r="L15138" t="s">
        <v>20</v>
      </c>
      <c r="N15138" t="s">
        <v>29</v>
      </c>
    </row>
    <row r="15139" spans="1:14">
      <c r="A15139" s="4" t="str">
        <f t="shared" si="1181"/>
        <v>EXP00415</v>
      </c>
      <c r="B15139" s="3" t="s">
        <v>66</v>
      </c>
      <c r="C15139" s="4" t="str">
        <f t="shared" si="1182"/>
        <v>TCGA-BRCA</v>
      </c>
      <c r="D15139" s="1" t="s">
        <v>493</v>
      </c>
      <c r="E15139" t="s">
        <v>533</v>
      </c>
      <c r="F15139" s="1">
        <v>2</v>
      </c>
      <c r="G15139" s="1" t="s">
        <v>28</v>
      </c>
      <c r="H15139" s="4" t="str">
        <f>HYPERLINK("https://portal.gdc.cancer.gov/cases/5a57dc25-d252-4b22-b192-4de630d7002f","TCGA-BH-A0B9-01A")</f>
        <v>TCGA-BH-A0B9-01A</v>
      </c>
      <c r="I15139" t="s">
        <v>17</v>
      </c>
      <c r="J15139" t="s">
        <v>524</v>
      </c>
      <c r="K15139" t="s">
        <v>33</v>
      </c>
      <c r="L15139" t="s">
        <v>20</v>
      </c>
      <c r="N15139" t="s">
        <v>29</v>
      </c>
    </row>
    <row r="15140" spans="1:14">
      <c r="A15140" s="4" t="str">
        <f t="shared" si="1181"/>
        <v>EXP00415</v>
      </c>
      <c r="B15140" s="3" t="s">
        <v>66</v>
      </c>
      <c r="C15140" s="4" t="str">
        <f t="shared" si="1182"/>
        <v>TCGA-BRCA</v>
      </c>
      <c r="D15140" s="1" t="s">
        <v>493</v>
      </c>
      <c r="E15140" t="s">
        <v>533</v>
      </c>
      <c r="F15140" s="1">
        <v>2</v>
      </c>
      <c r="G15140" s="1" t="s">
        <v>28</v>
      </c>
      <c r="H15140" s="4" t="str">
        <f>HYPERLINK("https://portal.gdc.cancer.gov/cases/49dc3e68-6206-4f16-969f-a758cc7be8ed","TCGA-BH-A0BA-01A")</f>
        <v>TCGA-BH-A0BA-01A</v>
      </c>
      <c r="I15140" t="s">
        <v>17</v>
      </c>
      <c r="J15140" t="s">
        <v>524</v>
      </c>
      <c r="K15140" t="s">
        <v>33</v>
      </c>
      <c r="L15140" t="s">
        <v>20</v>
      </c>
      <c r="N15140" t="s">
        <v>29</v>
      </c>
    </row>
    <row r="15141" spans="1:14">
      <c r="A15141" s="4" t="str">
        <f t="shared" si="1181"/>
        <v>EXP00415</v>
      </c>
      <c r="B15141" s="3" t="s">
        <v>66</v>
      </c>
      <c r="C15141" s="4" t="str">
        <f t="shared" si="1182"/>
        <v>TCGA-BRCA</v>
      </c>
      <c r="D15141" s="1" t="s">
        <v>493</v>
      </c>
      <c r="E15141" t="s">
        <v>533</v>
      </c>
      <c r="F15141" s="1">
        <v>2</v>
      </c>
      <c r="G15141" s="1" t="s">
        <v>28</v>
      </c>
      <c r="H15141" s="4" t="str">
        <f>HYPERLINK("https://portal.gdc.cancer.gov/cases/327a2395-85c8-42e1-9638-8e037a1723ed","TCGA-BH-A0BC-01A")</f>
        <v>TCGA-BH-A0BC-01A</v>
      </c>
      <c r="I15141" t="s">
        <v>17</v>
      </c>
      <c r="J15141" t="s">
        <v>524</v>
      </c>
      <c r="K15141" t="s">
        <v>33</v>
      </c>
      <c r="L15141" t="s">
        <v>20</v>
      </c>
      <c r="N15141" t="s">
        <v>29</v>
      </c>
    </row>
    <row r="15142" spans="1:14">
      <c r="A15142" s="4" t="str">
        <f t="shared" si="1181"/>
        <v>EXP00415</v>
      </c>
      <c r="B15142" s="3" t="s">
        <v>66</v>
      </c>
      <c r="C15142" s="4" t="str">
        <f t="shared" si="1182"/>
        <v>TCGA-BRCA</v>
      </c>
      <c r="D15142" s="1" t="s">
        <v>493</v>
      </c>
      <c r="E15142" t="s">
        <v>533</v>
      </c>
      <c r="F15142" s="1">
        <v>2</v>
      </c>
      <c r="G15142" s="1" t="s">
        <v>28</v>
      </c>
      <c r="H15142" s="4" t="str">
        <f>HYPERLINK("https://portal.gdc.cancer.gov/cases/b379bfb8-284e-4300-8325-85cfd6809cb8","TCGA-BH-A0BD-01A")</f>
        <v>TCGA-BH-A0BD-01A</v>
      </c>
      <c r="I15142" t="s">
        <v>17</v>
      </c>
      <c r="J15142" t="s">
        <v>524</v>
      </c>
      <c r="K15142" t="s">
        <v>33</v>
      </c>
      <c r="L15142" t="s">
        <v>20</v>
      </c>
      <c r="N15142" t="s">
        <v>29</v>
      </c>
    </row>
    <row r="15143" spans="1:14">
      <c r="A15143" s="4" t="str">
        <f t="shared" si="1181"/>
        <v>EXP00415</v>
      </c>
      <c r="B15143" s="3" t="s">
        <v>66</v>
      </c>
      <c r="C15143" s="4" t="str">
        <f t="shared" si="1182"/>
        <v>TCGA-BRCA</v>
      </c>
      <c r="D15143" s="1" t="s">
        <v>493</v>
      </c>
      <c r="E15143" t="s">
        <v>533</v>
      </c>
      <c r="F15143" s="1">
        <v>2</v>
      </c>
      <c r="G15143" s="1" t="s">
        <v>28</v>
      </c>
      <c r="H15143" s="4" t="str">
        <f>HYPERLINK("https://portal.gdc.cancer.gov/cases/e6b79d7a-ed6b-459a-b040-d142616e7ab4","TCGA-BH-A0BF-01A")</f>
        <v>TCGA-BH-A0BF-01A</v>
      </c>
      <c r="I15143" t="s">
        <v>17</v>
      </c>
      <c r="J15143" t="s">
        <v>524</v>
      </c>
      <c r="K15143" t="s">
        <v>33</v>
      </c>
      <c r="L15143" t="s">
        <v>20</v>
      </c>
      <c r="N15143" t="s">
        <v>29</v>
      </c>
    </row>
    <row r="15144" spans="1:14">
      <c r="A15144" s="4" t="str">
        <f t="shared" si="1181"/>
        <v>EXP00415</v>
      </c>
      <c r="B15144" s="3" t="s">
        <v>66</v>
      </c>
      <c r="C15144" s="4" t="str">
        <f t="shared" si="1182"/>
        <v>TCGA-BRCA</v>
      </c>
      <c r="D15144" s="1" t="s">
        <v>493</v>
      </c>
      <c r="E15144" t="s">
        <v>533</v>
      </c>
      <c r="F15144" s="1">
        <v>2</v>
      </c>
      <c r="G15144" s="1" t="s">
        <v>28</v>
      </c>
      <c r="H15144" s="4" t="str">
        <f>HYPERLINK("https://portal.gdc.cancer.gov/cases/4f608829-ffc4-4527-886e-6bc764ab29f5","TCGA-BH-A0BG-01A")</f>
        <v>TCGA-BH-A0BG-01A</v>
      </c>
      <c r="I15144" t="s">
        <v>17</v>
      </c>
      <c r="J15144" t="s">
        <v>524</v>
      </c>
      <c r="K15144" t="s">
        <v>33</v>
      </c>
      <c r="L15144" t="s">
        <v>20</v>
      </c>
      <c r="N15144" t="s">
        <v>29</v>
      </c>
    </row>
    <row r="15145" spans="1:14">
      <c r="A15145" s="4" t="str">
        <f t="shared" si="1181"/>
        <v>EXP00415</v>
      </c>
      <c r="B15145" s="3" t="s">
        <v>66</v>
      </c>
      <c r="C15145" s="4" t="str">
        <f t="shared" si="1182"/>
        <v>TCGA-BRCA</v>
      </c>
      <c r="D15145" s="1" t="s">
        <v>493</v>
      </c>
      <c r="E15145" t="s">
        <v>533</v>
      </c>
      <c r="F15145" s="1">
        <v>2</v>
      </c>
      <c r="G15145" s="1" t="s">
        <v>28</v>
      </c>
      <c r="H15145" s="4" t="str">
        <f>HYPERLINK("https://portal.gdc.cancer.gov/cases/d6f911b5-e895-43f8-8f86-0ac2f1bc6fae","TCGA-BH-A0BJ-01A")</f>
        <v>TCGA-BH-A0BJ-01A</v>
      </c>
      <c r="I15145" t="s">
        <v>17</v>
      </c>
      <c r="J15145" t="s">
        <v>524</v>
      </c>
      <c r="K15145" t="s">
        <v>33</v>
      </c>
      <c r="L15145" t="s">
        <v>20</v>
      </c>
      <c r="N15145" t="s">
        <v>29</v>
      </c>
    </row>
    <row r="15146" spans="1:14">
      <c r="A15146" s="4" t="str">
        <f t="shared" si="1181"/>
        <v>EXP00415</v>
      </c>
      <c r="B15146" s="3" t="s">
        <v>66</v>
      </c>
      <c r="C15146" s="4" t="str">
        <f t="shared" si="1182"/>
        <v>TCGA-BRCA</v>
      </c>
      <c r="D15146" s="1" t="s">
        <v>493</v>
      </c>
      <c r="E15146" t="s">
        <v>533</v>
      </c>
      <c r="F15146" s="1">
        <v>2</v>
      </c>
      <c r="G15146" s="1" t="s">
        <v>28</v>
      </c>
      <c r="H15146" s="4" t="str">
        <f>HYPERLINK("https://portal.gdc.cancer.gov/cases/92b5de82-0221-4df1-8094-80f40c0bb4fa","TCGA-BH-A0BL-01A")</f>
        <v>TCGA-BH-A0BL-01A</v>
      </c>
      <c r="I15146" t="s">
        <v>17</v>
      </c>
      <c r="J15146" t="s">
        <v>524</v>
      </c>
      <c r="K15146" t="s">
        <v>33</v>
      </c>
      <c r="L15146" t="s">
        <v>20</v>
      </c>
      <c r="N15146" t="s">
        <v>29</v>
      </c>
    </row>
    <row r="15147" spans="1:14">
      <c r="A15147" s="4" t="str">
        <f t="shared" si="1181"/>
        <v>EXP00415</v>
      </c>
      <c r="B15147" s="3" t="s">
        <v>66</v>
      </c>
      <c r="C15147" s="4" t="str">
        <f t="shared" si="1182"/>
        <v>TCGA-BRCA</v>
      </c>
      <c r="D15147" s="1" t="s">
        <v>493</v>
      </c>
      <c r="E15147" t="s">
        <v>533</v>
      </c>
      <c r="F15147" s="1">
        <v>2</v>
      </c>
      <c r="G15147" s="1" t="s">
        <v>28</v>
      </c>
      <c r="H15147" s="4" t="str">
        <f>HYPERLINK("https://portal.gdc.cancer.gov/cases/c2aeee6c-ba10-4cf9-b560-c739580f7bf3","TCGA-BH-A0BM-01A")</f>
        <v>TCGA-BH-A0BM-01A</v>
      </c>
      <c r="I15147" t="s">
        <v>17</v>
      </c>
      <c r="J15147" t="s">
        <v>524</v>
      </c>
      <c r="K15147" t="s">
        <v>33</v>
      </c>
      <c r="L15147" t="s">
        <v>20</v>
      </c>
      <c r="N15147" t="s">
        <v>29</v>
      </c>
    </row>
    <row r="15148" spans="1:14">
      <c r="A15148" s="4" t="str">
        <f t="shared" si="1181"/>
        <v>EXP00415</v>
      </c>
      <c r="B15148" s="3" t="s">
        <v>66</v>
      </c>
      <c r="C15148" s="4" t="str">
        <f t="shared" si="1182"/>
        <v>TCGA-BRCA</v>
      </c>
      <c r="D15148" s="1" t="s">
        <v>493</v>
      </c>
      <c r="E15148" t="s">
        <v>533</v>
      </c>
      <c r="F15148" s="1">
        <v>2</v>
      </c>
      <c r="G15148" s="1" t="s">
        <v>28</v>
      </c>
      <c r="H15148" s="4" t="str">
        <f>HYPERLINK("https://portal.gdc.cancer.gov/cases/26573441-eedb-4364-966c-e7f803deef19","TCGA-BH-A0BO-01A")</f>
        <v>TCGA-BH-A0BO-01A</v>
      </c>
      <c r="I15148" t="s">
        <v>17</v>
      </c>
      <c r="J15148" t="s">
        <v>524</v>
      </c>
      <c r="K15148" t="s">
        <v>33</v>
      </c>
      <c r="L15148" t="s">
        <v>20</v>
      </c>
      <c r="N15148" t="s">
        <v>29</v>
      </c>
    </row>
    <row r="15149" spans="1:14">
      <c r="A15149" s="4" t="str">
        <f t="shared" si="1181"/>
        <v>EXP00415</v>
      </c>
      <c r="B15149" s="3" t="s">
        <v>66</v>
      </c>
      <c r="C15149" s="4" t="str">
        <f t="shared" si="1182"/>
        <v>TCGA-BRCA</v>
      </c>
      <c r="D15149" s="1" t="s">
        <v>493</v>
      </c>
      <c r="E15149" t="s">
        <v>533</v>
      </c>
      <c r="F15149" s="1">
        <v>2</v>
      </c>
      <c r="G15149" s="1" t="s">
        <v>28</v>
      </c>
      <c r="H15149" s="4" t="str">
        <f>HYPERLINK("https://portal.gdc.cancer.gov/cases/f251cb6c-d18e-4691-9c82-24ed1ac0abf9","TCGA-BH-A0BP-01A")</f>
        <v>TCGA-BH-A0BP-01A</v>
      </c>
      <c r="I15149" t="s">
        <v>17</v>
      </c>
      <c r="J15149" t="s">
        <v>524</v>
      </c>
      <c r="K15149" t="s">
        <v>33</v>
      </c>
      <c r="L15149" t="s">
        <v>20</v>
      </c>
      <c r="N15149" t="s">
        <v>29</v>
      </c>
    </row>
    <row r="15150" spans="1:14">
      <c r="A15150" s="4" t="str">
        <f t="shared" si="1181"/>
        <v>EXP00415</v>
      </c>
      <c r="B15150" s="3" t="s">
        <v>66</v>
      </c>
      <c r="C15150" s="4" t="str">
        <f t="shared" si="1182"/>
        <v>TCGA-BRCA</v>
      </c>
      <c r="D15150" s="1" t="s">
        <v>493</v>
      </c>
      <c r="E15150" t="s">
        <v>533</v>
      </c>
      <c r="F15150" s="1">
        <v>2</v>
      </c>
      <c r="G15150" s="1" t="s">
        <v>28</v>
      </c>
      <c r="H15150" s="4" t="str">
        <f>HYPERLINK("https://portal.gdc.cancer.gov/cases/b3bb8fd6-ee54-4813-b042-2bbe70115382","TCGA-BH-A0BQ-01A")</f>
        <v>TCGA-BH-A0BQ-01A</v>
      </c>
      <c r="I15150" t="s">
        <v>17</v>
      </c>
      <c r="J15150" t="s">
        <v>524</v>
      </c>
      <c r="K15150" t="s">
        <v>33</v>
      </c>
      <c r="L15150" t="s">
        <v>20</v>
      </c>
      <c r="N15150" t="s">
        <v>29</v>
      </c>
    </row>
    <row r="15151" spans="1:14">
      <c r="A15151" s="4" t="str">
        <f t="shared" si="1181"/>
        <v>EXP00415</v>
      </c>
      <c r="B15151" s="3" t="s">
        <v>66</v>
      </c>
      <c r="C15151" s="4" t="str">
        <f t="shared" si="1182"/>
        <v>TCGA-BRCA</v>
      </c>
      <c r="D15151" s="1" t="s">
        <v>493</v>
      </c>
      <c r="E15151" t="s">
        <v>533</v>
      </c>
      <c r="F15151" s="1">
        <v>2</v>
      </c>
      <c r="G15151" s="1" t="s">
        <v>28</v>
      </c>
      <c r="H15151" s="4" t="str">
        <f>HYPERLINK("https://portal.gdc.cancer.gov/cases/3ecb0147-276d-486c-9af0-ce437c24ba83","TCGA-BH-A0BR-01A")</f>
        <v>TCGA-BH-A0BR-01A</v>
      </c>
      <c r="I15151" t="s">
        <v>17</v>
      </c>
      <c r="J15151" t="s">
        <v>524</v>
      </c>
      <c r="K15151" t="s">
        <v>33</v>
      </c>
      <c r="L15151" t="s">
        <v>20</v>
      </c>
      <c r="N15151" t="s">
        <v>29</v>
      </c>
    </row>
    <row r="15152" spans="1:14">
      <c r="A15152" s="4" t="str">
        <f t="shared" si="1181"/>
        <v>EXP00415</v>
      </c>
      <c r="B15152" s="3" t="s">
        <v>66</v>
      </c>
      <c r="C15152" s="4" t="str">
        <f t="shared" si="1182"/>
        <v>TCGA-BRCA</v>
      </c>
      <c r="D15152" s="1" t="s">
        <v>493</v>
      </c>
      <c r="E15152" t="s">
        <v>533</v>
      </c>
      <c r="F15152" s="1">
        <v>2</v>
      </c>
      <c r="G15152" s="1" t="s">
        <v>28</v>
      </c>
      <c r="H15152" s="4" t="str">
        <f>HYPERLINK("https://portal.gdc.cancer.gov/cases/a32cb96a-78bf-456e-a6ab-2d47b2c67ad4","TCGA-BH-A0BT-01A")</f>
        <v>TCGA-BH-A0BT-01A</v>
      </c>
      <c r="I15152" t="s">
        <v>17</v>
      </c>
      <c r="J15152" t="s">
        <v>524</v>
      </c>
      <c r="K15152" t="s">
        <v>33</v>
      </c>
      <c r="L15152" t="s">
        <v>20</v>
      </c>
      <c r="N15152" t="s">
        <v>29</v>
      </c>
    </row>
    <row r="15153" spans="1:14">
      <c r="A15153" s="4" t="str">
        <f t="shared" si="1181"/>
        <v>EXP00415</v>
      </c>
      <c r="B15153" s="3" t="s">
        <v>66</v>
      </c>
      <c r="C15153" s="4" t="str">
        <f t="shared" si="1182"/>
        <v>TCGA-BRCA</v>
      </c>
      <c r="D15153" s="1" t="s">
        <v>493</v>
      </c>
      <c r="E15153" t="s">
        <v>533</v>
      </c>
      <c r="F15153" s="1">
        <v>2</v>
      </c>
      <c r="G15153" s="1" t="s">
        <v>28</v>
      </c>
      <c r="H15153" s="4" t="str">
        <f>HYPERLINK("https://portal.gdc.cancer.gov/cases/87f03d04-e651-4a6e-aea6-1c946aa46202","TCGA-BH-A0BV-01A")</f>
        <v>TCGA-BH-A0BV-01A</v>
      </c>
      <c r="I15153" t="s">
        <v>17</v>
      </c>
      <c r="J15153" t="s">
        <v>524</v>
      </c>
      <c r="K15153" t="s">
        <v>33</v>
      </c>
      <c r="L15153" t="s">
        <v>20</v>
      </c>
      <c r="N15153" t="s">
        <v>29</v>
      </c>
    </row>
    <row r="15154" spans="1:14">
      <c r="A15154" s="4" t="str">
        <f t="shared" si="1181"/>
        <v>EXP00415</v>
      </c>
      <c r="B15154" s="3" t="s">
        <v>66</v>
      </c>
      <c r="C15154" s="4" t="str">
        <f t="shared" si="1182"/>
        <v>TCGA-BRCA</v>
      </c>
      <c r="D15154" s="1" t="s">
        <v>493</v>
      </c>
      <c r="E15154" t="s">
        <v>533</v>
      </c>
      <c r="F15154" s="1">
        <v>2</v>
      </c>
      <c r="G15154" s="1" t="s">
        <v>28</v>
      </c>
      <c r="H15154" s="4" t="str">
        <f>HYPERLINK("https://portal.gdc.cancer.gov/cases/5d1d00c6-fcae-479e-ae1e-de76efd41d98","TCGA-BH-A0BW-01A")</f>
        <v>TCGA-BH-A0BW-01A</v>
      </c>
      <c r="I15154" t="s">
        <v>17</v>
      </c>
      <c r="J15154" t="s">
        <v>524</v>
      </c>
      <c r="K15154" t="s">
        <v>33</v>
      </c>
      <c r="L15154" t="s">
        <v>20</v>
      </c>
      <c r="N15154" t="s">
        <v>29</v>
      </c>
    </row>
    <row r="15155" spans="1:14">
      <c r="A15155" s="4" t="str">
        <f t="shared" si="1181"/>
        <v>EXP00415</v>
      </c>
      <c r="B15155" s="3" t="s">
        <v>66</v>
      </c>
      <c r="C15155" s="4" t="str">
        <f t="shared" si="1182"/>
        <v>TCGA-BRCA</v>
      </c>
      <c r="D15155" s="1" t="s">
        <v>493</v>
      </c>
      <c r="E15155" t="s">
        <v>533</v>
      </c>
      <c r="F15155" s="1">
        <v>2</v>
      </c>
      <c r="G15155" s="1" t="s">
        <v>28</v>
      </c>
      <c r="H15155" s="4" t="str">
        <f>HYPERLINK("https://portal.gdc.cancer.gov/cases/4a032bad-e726-48f2-8f39-e3acc109cc91","TCGA-BH-A0BZ-01A")</f>
        <v>TCGA-BH-A0BZ-01A</v>
      </c>
      <c r="I15155" t="s">
        <v>17</v>
      </c>
      <c r="J15155" t="s">
        <v>524</v>
      </c>
      <c r="K15155" t="s">
        <v>33</v>
      </c>
      <c r="L15155" t="s">
        <v>20</v>
      </c>
      <c r="N15155" t="s">
        <v>29</v>
      </c>
    </row>
    <row r="15156" spans="1:14">
      <c r="A15156" s="4" t="str">
        <f t="shared" si="1181"/>
        <v>EXP00415</v>
      </c>
      <c r="B15156" s="3" t="s">
        <v>66</v>
      </c>
      <c r="C15156" s="4" t="str">
        <f t="shared" si="1182"/>
        <v>TCGA-BRCA</v>
      </c>
      <c r="D15156" s="1" t="s">
        <v>493</v>
      </c>
      <c r="E15156" t="s">
        <v>533</v>
      </c>
      <c r="F15156" s="1">
        <v>2</v>
      </c>
      <c r="G15156" s="1" t="s">
        <v>28</v>
      </c>
      <c r="H15156" s="4" t="str">
        <f>HYPERLINK("https://portal.gdc.cancer.gov/cases/7875018b-91dc-4ab1-83b0-ee3883e2816e","TCGA-BH-A0C0-01A")</f>
        <v>TCGA-BH-A0C0-01A</v>
      </c>
      <c r="I15156" t="s">
        <v>17</v>
      </c>
      <c r="J15156" t="s">
        <v>524</v>
      </c>
      <c r="K15156" t="s">
        <v>33</v>
      </c>
      <c r="L15156" t="s">
        <v>20</v>
      </c>
      <c r="N15156" t="s">
        <v>29</v>
      </c>
    </row>
    <row r="15157" spans="1:14">
      <c r="A15157" s="4" t="str">
        <f t="shared" si="1181"/>
        <v>EXP00415</v>
      </c>
      <c r="B15157" s="3" t="s">
        <v>66</v>
      </c>
      <c r="C15157" s="4" t="str">
        <f t="shared" si="1182"/>
        <v>TCGA-BRCA</v>
      </c>
      <c r="D15157" s="1" t="s">
        <v>493</v>
      </c>
      <c r="E15157" t="s">
        <v>533</v>
      </c>
      <c r="F15157" s="1">
        <v>2</v>
      </c>
      <c r="G15157" s="1" t="s">
        <v>28</v>
      </c>
      <c r="H15157" s="4" t="str">
        <f>HYPERLINK("https://portal.gdc.cancer.gov/cases/d10a4887-373b-4726-a61d-126f950e4a06","TCGA-BH-A0C1-01B")</f>
        <v>TCGA-BH-A0C1-01B</v>
      </c>
      <c r="I15157" t="s">
        <v>17</v>
      </c>
      <c r="J15157" t="s">
        <v>524</v>
      </c>
      <c r="K15157" t="s">
        <v>33</v>
      </c>
      <c r="L15157" t="s">
        <v>20</v>
      </c>
      <c r="N15157" t="s">
        <v>29</v>
      </c>
    </row>
    <row r="15158" spans="1:14">
      <c r="A15158" s="4" t="str">
        <f t="shared" si="1181"/>
        <v>EXP00415</v>
      </c>
      <c r="B15158" s="3" t="s">
        <v>66</v>
      </c>
      <c r="C15158" s="4" t="str">
        <f t="shared" si="1182"/>
        <v>TCGA-BRCA</v>
      </c>
      <c r="D15158" s="1" t="s">
        <v>493</v>
      </c>
      <c r="E15158" t="s">
        <v>533</v>
      </c>
      <c r="F15158" s="1">
        <v>2</v>
      </c>
      <c r="G15158" s="1" t="s">
        <v>28</v>
      </c>
      <c r="H15158" s="4" t="str">
        <f>HYPERLINK("https://portal.gdc.cancer.gov/cases/7bcf6d42-eb8f-4aa2-825b-38671d4f9e3a","TCGA-BH-A0C3-01A")</f>
        <v>TCGA-BH-A0C3-01A</v>
      </c>
      <c r="I15158" t="s">
        <v>17</v>
      </c>
      <c r="J15158" t="s">
        <v>524</v>
      </c>
      <c r="K15158" t="s">
        <v>33</v>
      </c>
      <c r="L15158" t="s">
        <v>20</v>
      </c>
      <c r="N15158" t="s">
        <v>29</v>
      </c>
    </row>
    <row r="15159" spans="1:14">
      <c r="A15159" s="4" t="str">
        <f t="shared" si="1181"/>
        <v>EXP00415</v>
      </c>
      <c r="B15159" s="3" t="s">
        <v>66</v>
      </c>
      <c r="C15159" s="4" t="str">
        <f t="shared" si="1182"/>
        <v>TCGA-BRCA</v>
      </c>
      <c r="D15159" s="1" t="s">
        <v>493</v>
      </c>
      <c r="E15159" t="s">
        <v>533</v>
      </c>
      <c r="F15159" s="1">
        <v>2</v>
      </c>
      <c r="G15159" s="1" t="s">
        <v>28</v>
      </c>
      <c r="H15159" s="4" t="str">
        <f>HYPERLINK("https://portal.gdc.cancer.gov/cases/e1119732-3e97-4259-bc69-dc4269d9496d","TCGA-BH-A0C7-01B")</f>
        <v>TCGA-BH-A0C7-01B</v>
      </c>
      <c r="I15159" t="s">
        <v>17</v>
      </c>
      <c r="J15159" t="s">
        <v>524</v>
      </c>
      <c r="K15159" t="s">
        <v>33</v>
      </c>
      <c r="L15159" t="s">
        <v>20</v>
      </c>
      <c r="N15159" t="s">
        <v>29</v>
      </c>
    </row>
    <row r="15160" spans="1:14">
      <c r="A15160" s="4" t="str">
        <f t="shared" ref="A15160:A15223" si="1183">HYPERLINK("http://hcmdb.i-sanger.com/experiment/details/experiment_id/EXP00415","EXP00415")</f>
        <v>EXP00415</v>
      </c>
      <c r="B15160" s="3" t="s">
        <v>66</v>
      </c>
      <c r="C15160" s="4" t="str">
        <f t="shared" si="1182"/>
        <v>TCGA-BRCA</v>
      </c>
      <c r="D15160" s="1" t="s">
        <v>493</v>
      </c>
      <c r="E15160" t="s">
        <v>533</v>
      </c>
      <c r="F15160" s="1">
        <v>2</v>
      </c>
      <c r="G15160" s="1" t="s">
        <v>28</v>
      </c>
      <c r="H15160" s="4" t="str">
        <f>HYPERLINK("https://portal.gdc.cancer.gov/cases/dba9beec-5e51-48c0-9229-0ee286a02a1a","TCGA-BH-A0DD-01A")</f>
        <v>TCGA-BH-A0DD-01A</v>
      </c>
      <c r="I15160" t="s">
        <v>17</v>
      </c>
      <c r="J15160" t="s">
        <v>524</v>
      </c>
      <c r="K15160" t="s">
        <v>33</v>
      </c>
      <c r="L15160" t="s">
        <v>20</v>
      </c>
      <c r="N15160" t="s">
        <v>29</v>
      </c>
    </row>
    <row r="15161" spans="1:14">
      <c r="A15161" s="4" t="str">
        <f t="shared" si="1183"/>
        <v>EXP00415</v>
      </c>
      <c r="B15161" s="3" t="s">
        <v>66</v>
      </c>
      <c r="C15161" s="4" t="str">
        <f t="shared" si="1182"/>
        <v>TCGA-BRCA</v>
      </c>
      <c r="D15161" s="1" t="s">
        <v>493</v>
      </c>
      <c r="E15161" t="s">
        <v>533</v>
      </c>
      <c r="F15161" s="1">
        <v>2</v>
      </c>
      <c r="G15161" s="1" t="s">
        <v>28</v>
      </c>
      <c r="H15161" s="4" t="str">
        <f>HYPERLINK("https://portal.gdc.cancer.gov/cases/7f0bbba1-9bc3-45db-bdda-eb3319bb15d2","TCGA-BH-A0DE-01A")</f>
        <v>TCGA-BH-A0DE-01A</v>
      </c>
      <c r="I15161" t="s">
        <v>17</v>
      </c>
      <c r="J15161" t="s">
        <v>524</v>
      </c>
      <c r="K15161" t="s">
        <v>33</v>
      </c>
      <c r="L15161" t="s">
        <v>20</v>
      </c>
      <c r="N15161" t="s">
        <v>29</v>
      </c>
    </row>
    <row r="15162" spans="1:14">
      <c r="A15162" s="4" t="str">
        <f t="shared" si="1183"/>
        <v>EXP00415</v>
      </c>
      <c r="B15162" s="3" t="s">
        <v>66</v>
      </c>
      <c r="C15162" s="4" t="str">
        <f t="shared" ref="C15162:C15225" si="1184">HYPERLINK("https://portal.gdc.cancer.gov/projects/TCGA-BRCA","TCGA-BRCA")</f>
        <v>TCGA-BRCA</v>
      </c>
      <c r="D15162" s="1" t="s">
        <v>493</v>
      </c>
      <c r="E15162" t="s">
        <v>533</v>
      </c>
      <c r="F15162" s="1">
        <v>2</v>
      </c>
      <c r="G15162" s="1" t="s">
        <v>28</v>
      </c>
      <c r="H15162" s="4" t="str">
        <f>HYPERLINK("https://portal.gdc.cancer.gov/cases/0bc5744c-5fa3-45bb-87d0-70a02068b392","TCGA-BH-A0DG-01A")</f>
        <v>TCGA-BH-A0DG-01A</v>
      </c>
      <c r="I15162" t="s">
        <v>17</v>
      </c>
      <c r="J15162" t="s">
        <v>524</v>
      </c>
      <c r="K15162" t="s">
        <v>33</v>
      </c>
      <c r="L15162" t="s">
        <v>20</v>
      </c>
      <c r="N15162" t="s">
        <v>29</v>
      </c>
    </row>
    <row r="15163" spans="1:14">
      <c r="A15163" s="4" t="str">
        <f t="shared" si="1183"/>
        <v>EXP00415</v>
      </c>
      <c r="B15163" s="3" t="s">
        <v>66</v>
      </c>
      <c r="C15163" s="4" t="str">
        <f t="shared" si="1184"/>
        <v>TCGA-BRCA</v>
      </c>
      <c r="D15163" s="1" t="s">
        <v>493</v>
      </c>
      <c r="E15163" t="s">
        <v>533</v>
      </c>
      <c r="F15163" s="1">
        <v>2</v>
      </c>
      <c r="G15163" s="1" t="s">
        <v>28</v>
      </c>
      <c r="H15163" s="4" t="str">
        <f>HYPERLINK("https://portal.gdc.cancer.gov/cases/491b6364-1223-474f-816f-e248c8c841e2","TCGA-BH-A0DH-01A")</f>
        <v>TCGA-BH-A0DH-01A</v>
      </c>
      <c r="I15163" t="s">
        <v>17</v>
      </c>
      <c r="J15163" t="s">
        <v>524</v>
      </c>
      <c r="K15163" t="s">
        <v>33</v>
      </c>
      <c r="L15163" t="s">
        <v>20</v>
      </c>
      <c r="N15163" t="s">
        <v>29</v>
      </c>
    </row>
    <row r="15164" spans="1:14">
      <c r="A15164" s="4" t="str">
        <f t="shared" si="1183"/>
        <v>EXP00415</v>
      </c>
      <c r="B15164" s="3" t="s">
        <v>66</v>
      </c>
      <c r="C15164" s="4" t="str">
        <f t="shared" si="1184"/>
        <v>TCGA-BRCA</v>
      </c>
      <c r="D15164" s="1" t="s">
        <v>493</v>
      </c>
      <c r="E15164" t="s">
        <v>533</v>
      </c>
      <c r="F15164" s="1">
        <v>2</v>
      </c>
      <c r="G15164" s="1" t="s">
        <v>28</v>
      </c>
      <c r="H15164" s="4" t="str">
        <f>HYPERLINK("https://portal.gdc.cancer.gov/cases/27ba717a-5cd8-440a-9345-4ae086f6efca","TCGA-BH-A0DI-01A")</f>
        <v>TCGA-BH-A0DI-01A</v>
      </c>
      <c r="I15164" t="s">
        <v>17</v>
      </c>
      <c r="J15164" t="s">
        <v>524</v>
      </c>
      <c r="K15164" t="s">
        <v>33</v>
      </c>
      <c r="L15164" t="s">
        <v>20</v>
      </c>
      <c r="N15164" t="s">
        <v>29</v>
      </c>
    </row>
    <row r="15165" spans="1:14">
      <c r="A15165" s="4" t="str">
        <f t="shared" si="1183"/>
        <v>EXP00415</v>
      </c>
      <c r="B15165" s="3" t="s">
        <v>66</v>
      </c>
      <c r="C15165" s="4" t="str">
        <f t="shared" si="1184"/>
        <v>TCGA-BRCA</v>
      </c>
      <c r="D15165" s="1" t="s">
        <v>493</v>
      </c>
      <c r="E15165" t="s">
        <v>533</v>
      </c>
      <c r="F15165" s="1">
        <v>2</v>
      </c>
      <c r="G15165" s="1" t="s">
        <v>28</v>
      </c>
      <c r="H15165" s="4" t="str">
        <f>HYPERLINK("https://portal.gdc.cancer.gov/cases/f2bbfa9d-9a9d-4f46-9fde-378e4c44e2ad","TCGA-BH-A0DK-01A")</f>
        <v>TCGA-BH-A0DK-01A</v>
      </c>
      <c r="I15165" t="s">
        <v>17</v>
      </c>
      <c r="J15165" t="s">
        <v>524</v>
      </c>
      <c r="K15165" t="s">
        <v>33</v>
      </c>
      <c r="L15165" t="s">
        <v>20</v>
      </c>
      <c r="N15165" t="s">
        <v>29</v>
      </c>
    </row>
    <row r="15166" spans="1:14">
      <c r="A15166" s="4" t="str">
        <f t="shared" si="1183"/>
        <v>EXP00415</v>
      </c>
      <c r="B15166" s="3" t="s">
        <v>66</v>
      </c>
      <c r="C15166" s="4" t="str">
        <f t="shared" si="1184"/>
        <v>TCGA-BRCA</v>
      </c>
      <c r="D15166" s="1" t="s">
        <v>493</v>
      </c>
      <c r="E15166" t="s">
        <v>533</v>
      </c>
      <c r="F15166" s="1">
        <v>2</v>
      </c>
      <c r="G15166" s="1" t="s">
        <v>28</v>
      </c>
      <c r="H15166" s="4" t="str">
        <f>HYPERLINK("https://portal.gdc.cancer.gov/cases/ba39bfbc-5cac-4f6c-b55c-4eee3466ee93","TCGA-BH-A0DL-01A")</f>
        <v>TCGA-BH-A0DL-01A</v>
      </c>
      <c r="I15166" t="s">
        <v>17</v>
      </c>
      <c r="J15166" t="s">
        <v>524</v>
      </c>
      <c r="K15166" t="s">
        <v>33</v>
      </c>
      <c r="L15166" t="s">
        <v>20</v>
      </c>
      <c r="N15166" t="s">
        <v>29</v>
      </c>
    </row>
    <row r="15167" spans="1:14">
      <c r="A15167" s="4" t="str">
        <f t="shared" si="1183"/>
        <v>EXP00415</v>
      </c>
      <c r="B15167" s="3" t="s">
        <v>66</v>
      </c>
      <c r="C15167" s="4" t="str">
        <f t="shared" si="1184"/>
        <v>TCGA-BRCA</v>
      </c>
      <c r="D15167" s="1" t="s">
        <v>493</v>
      </c>
      <c r="E15167" t="s">
        <v>533</v>
      </c>
      <c r="F15167" s="1">
        <v>2</v>
      </c>
      <c r="G15167" s="1" t="s">
        <v>28</v>
      </c>
      <c r="H15167" s="4" t="str">
        <f>HYPERLINK("https://portal.gdc.cancer.gov/cases/d3d4d709-ab34-4617-aa8c-51a3d0a3efe6","TCGA-BH-A0DO-01B")</f>
        <v>TCGA-BH-A0DO-01B</v>
      </c>
      <c r="I15167" t="s">
        <v>17</v>
      </c>
      <c r="J15167" t="s">
        <v>524</v>
      </c>
      <c r="K15167" t="s">
        <v>33</v>
      </c>
      <c r="L15167" t="s">
        <v>20</v>
      </c>
      <c r="N15167" t="s">
        <v>29</v>
      </c>
    </row>
    <row r="15168" spans="1:14">
      <c r="A15168" s="4" t="str">
        <f t="shared" si="1183"/>
        <v>EXP00415</v>
      </c>
      <c r="B15168" s="3" t="s">
        <v>66</v>
      </c>
      <c r="C15168" s="4" t="str">
        <f t="shared" si="1184"/>
        <v>TCGA-BRCA</v>
      </c>
      <c r="D15168" s="1" t="s">
        <v>493</v>
      </c>
      <c r="E15168" t="s">
        <v>533</v>
      </c>
      <c r="F15168" s="1">
        <v>2</v>
      </c>
      <c r="G15168" s="1" t="s">
        <v>28</v>
      </c>
      <c r="H15168" s="4" t="str">
        <f>HYPERLINK("https://portal.gdc.cancer.gov/cases/14267783-5624-4fe5-ba81-9d67f1017474","TCGA-BH-A0DP-01A")</f>
        <v>TCGA-BH-A0DP-01A</v>
      </c>
      <c r="I15168" t="s">
        <v>17</v>
      </c>
      <c r="J15168" t="s">
        <v>524</v>
      </c>
      <c r="K15168" t="s">
        <v>33</v>
      </c>
      <c r="L15168" t="s">
        <v>20</v>
      </c>
      <c r="N15168" t="s">
        <v>29</v>
      </c>
    </row>
    <row r="15169" spans="1:14">
      <c r="A15169" s="4" t="str">
        <f t="shared" si="1183"/>
        <v>EXP00415</v>
      </c>
      <c r="B15169" s="3" t="s">
        <v>66</v>
      </c>
      <c r="C15169" s="4" t="str">
        <f t="shared" si="1184"/>
        <v>TCGA-BRCA</v>
      </c>
      <c r="D15169" s="1" t="s">
        <v>493</v>
      </c>
      <c r="E15169" t="s">
        <v>533</v>
      </c>
      <c r="F15169" s="1">
        <v>2</v>
      </c>
      <c r="G15169" s="1" t="s">
        <v>28</v>
      </c>
      <c r="H15169" s="4" t="str">
        <f>HYPERLINK("https://portal.gdc.cancer.gov/cases/a851ca14-7bbf-455b-a054-ec03979a4247","TCGA-BH-A0DQ-01A")</f>
        <v>TCGA-BH-A0DQ-01A</v>
      </c>
      <c r="I15169" t="s">
        <v>17</v>
      </c>
      <c r="J15169" t="s">
        <v>524</v>
      </c>
      <c r="K15169" t="s">
        <v>33</v>
      </c>
      <c r="L15169" t="s">
        <v>20</v>
      </c>
      <c r="N15169" t="s">
        <v>29</v>
      </c>
    </row>
    <row r="15170" spans="1:14">
      <c r="A15170" s="4" t="str">
        <f t="shared" si="1183"/>
        <v>EXP00415</v>
      </c>
      <c r="B15170" s="3" t="s">
        <v>66</v>
      </c>
      <c r="C15170" s="4" t="str">
        <f t="shared" si="1184"/>
        <v>TCGA-BRCA</v>
      </c>
      <c r="D15170" s="1" t="s">
        <v>493</v>
      </c>
      <c r="E15170" t="s">
        <v>533</v>
      </c>
      <c r="F15170" s="1">
        <v>2</v>
      </c>
      <c r="G15170" s="1" t="s">
        <v>28</v>
      </c>
      <c r="H15170" s="4" t="str">
        <f>HYPERLINK("https://portal.gdc.cancer.gov/cases/fb57c598-b45b-478a-9d34-ca1f050d5b7c","TCGA-BH-A0DS-01A")</f>
        <v>TCGA-BH-A0DS-01A</v>
      </c>
      <c r="I15170" t="s">
        <v>17</v>
      </c>
      <c r="J15170" t="s">
        <v>524</v>
      </c>
      <c r="K15170" t="s">
        <v>33</v>
      </c>
      <c r="L15170" t="s">
        <v>20</v>
      </c>
      <c r="N15170" t="s">
        <v>29</v>
      </c>
    </row>
    <row r="15171" spans="1:14">
      <c r="A15171" s="4" t="str">
        <f t="shared" si="1183"/>
        <v>EXP00415</v>
      </c>
      <c r="B15171" s="3" t="s">
        <v>66</v>
      </c>
      <c r="C15171" s="4" t="str">
        <f t="shared" si="1184"/>
        <v>TCGA-BRCA</v>
      </c>
      <c r="D15171" s="1" t="s">
        <v>493</v>
      </c>
      <c r="E15171" t="s">
        <v>533</v>
      </c>
      <c r="F15171" s="1">
        <v>2</v>
      </c>
      <c r="G15171" s="1" t="s">
        <v>28</v>
      </c>
      <c r="H15171" s="4" t="str">
        <f>HYPERLINK("https://portal.gdc.cancer.gov/cases/74f31744-0aed-4633-beec-4e203315f0b7","TCGA-BH-A0DT-01A")</f>
        <v>TCGA-BH-A0DT-01A</v>
      </c>
      <c r="I15171" t="s">
        <v>17</v>
      </c>
      <c r="J15171" t="s">
        <v>524</v>
      </c>
      <c r="K15171" t="s">
        <v>33</v>
      </c>
      <c r="L15171" t="s">
        <v>20</v>
      </c>
      <c r="N15171" t="s">
        <v>29</v>
      </c>
    </row>
    <row r="15172" spans="1:14">
      <c r="A15172" s="4" t="str">
        <f t="shared" si="1183"/>
        <v>EXP00415</v>
      </c>
      <c r="B15172" s="3" t="s">
        <v>66</v>
      </c>
      <c r="C15172" s="4" t="str">
        <f t="shared" si="1184"/>
        <v>TCGA-BRCA</v>
      </c>
      <c r="D15172" s="1" t="s">
        <v>493</v>
      </c>
      <c r="E15172" t="s">
        <v>533</v>
      </c>
      <c r="F15172" s="1">
        <v>2</v>
      </c>
      <c r="G15172" s="1" t="s">
        <v>28</v>
      </c>
      <c r="H15172" s="4" t="str">
        <f>HYPERLINK("https://portal.gdc.cancer.gov/cases/96b9c7db-1be1-4b60-b47c-26b654c3d64c","TCGA-BH-A0DV-01A")</f>
        <v>TCGA-BH-A0DV-01A</v>
      </c>
      <c r="I15172" t="s">
        <v>17</v>
      </c>
      <c r="J15172" t="s">
        <v>524</v>
      </c>
      <c r="K15172" t="s">
        <v>33</v>
      </c>
      <c r="L15172" t="s">
        <v>20</v>
      </c>
      <c r="N15172" t="s">
        <v>29</v>
      </c>
    </row>
    <row r="15173" spans="1:14">
      <c r="A15173" s="4" t="str">
        <f t="shared" si="1183"/>
        <v>EXP00415</v>
      </c>
      <c r="B15173" s="3" t="s">
        <v>66</v>
      </c>
      <c r="C15173" s="4" t="str">
        <f t="shared" si="1184"/>
        <v>TCGA-BRCA</v>
      </c>
      <c r="D15173" s="1" t="s">
        <v>493</v>
      </c>
      <c r="E15173" t="s">
        <v>533</v>
      </c>
      <c r="F15173" s="1">
        <v>2</v>
      </c>
      <c r="G15173" s="1" t="s">
        <v>28</v>
      </c>
      <c r="H15173" s="4" t="str">
        <f>HYPERLINK("https://portal.gdc.cancer.gov/cases/035cb359-eac3-484a-9e88-3ddc739440a3","TCGA-BH-A0DX-01A")</f>
        <v>TCGA-BH-A0DX-01A</v>
      </c>
      <c r="I15173" t="s">
        <v>17</v>
      </c>
      <c r="J15173" t="s">
        <v>524</v>
      </c>
      <c r="K15173" t="s">
        <v>33</v>
      </c>
      <c r="L15173" t="s">
        <v>20</v>
      </c>
      <c r="N15173" t="s">
        <v>29</v>
      </c>
    </row>
    <row r="15174" spans="1:14">
      <c r="A15174" s="4" t="str">
        <f t="shared" si="1183"/>
        <v>EXP00415</v>
      </c>
      <c r="B15174" s="3" t="s">
        <v>66</v>
      </c>
      <c r="C15174" s="4" t="str">
        <f t="shared" si="1184"/>
        <v>TCGA-BRCA</v>
      </c>
      <c r="D15174" s="1" t="s">
        <v>493</v>
      </c>
      <c r="E15174" t="s">
        <v>533</v>
      </c>
      <c r="F15174" s="1">
        <v>2</v>
      </c>
      <c r="G15174" s="1" t="s">
        <v>28</v>
      </c>
      <c r="H15174" s="4" t="str">
        <f>HYPERLINK("https://portal.gdc.cancer.gov/cases/478eb8aa-50b8-4ce5-98e4-d518ede4b174","TCGA-BH-A0DZ-01A")</f>
        <v>TCGA-BH-A0DZ-01A</v>
      </c>
      <c r="I15174" t="s">
        <v>17</v>
      </c>
      <c r="J15174" t="s">
        <v>524</v>
      </c>
      <c r="K15174" t="s">
        <v>33</v>
      </c>
      <c r="L15174" t="s">
        <v>20</v>
      </c>
      <c r="N15174" t="s">
        <v>29</v>
      </c>
    </row>
    <row r="15175" spans="1:14">
      <c r="A15175" s="4" t="str">
        <f t="shared" si="1183"/>
        <v>EXP00415</v>
      </c>
      <c r="B15175" s="3" t="s">
        <v>66</v>
      </c>
      <c r="C15175" s="4" t="str">
        <f t="shared" si="1184"/>
        <v>TCGA-BRCA</v>
      </c>
      <c r="D15175" s="1" t="s">
        <v>493</v>
      </c>
      <c r="E15175" t="s">
        <v>533</v>
      </c>
      <c r="F15175" s="1">
        <v>2</v>
      </c>
      <c r="G15175" s="1" t="s">
        <v>28</v>
      </c>
      <c r="H15175" s="4" t="str">
        <f>HYPERLINK("https://portal.gdc.cancer.gov/cases/20e8106b-1290-4735-abe4-7621e08e3dc8","TCGA-BH-A0E0-01A")</f>
        <v>TCGA-BH-A0E0-01A</v>
      </c>
      <c r="I15175" t="s">
        <v>17</v>
      </c>
      <c r="J15175" t="s">
        <v>524</v>
      </c>
      <c r="K15175" t="s">
        <v>33</v>
      </c>
      <c r="L15175" t="s">
        <v>20</v>
      </c>
      <c r="N15175" t="s">
        <v>29</v>
      </c>
    </row>
    <row r="15176" spans="1:14">
      <c r="A15176" s="4" t="str">
        <f t="shared" si="1183"/>
        <v>EXP00415</v>
      </c>
      <c r="B15176" s="3" t="s">
        <v>66</v>
      </c>
      <c r="C15176" s="4" t="str">
        <f t="shared" si="1184"/>
        <v>TCGA-BRCA</v>
      </c>
      <c r="D15176" s="1" t="s">
        <v>493</v>
      </c>
      <c r="E15176" t="s">
        <v>533</v>
      </c>
      <c r="F15176" s="1">
        <v>2</v>
      </c>
      <c r="G15176" s="1" t="s">
        <v>28</v>
      </c>
      <c r="H15176" s="4" t="str">
        <f>HYPERLINK("https://portal.gdc.cancer.gov/cases/606fbc6a-b41b-441d-9401-51e54912bf5e","TCGA-BH-A0E1-01A")</f>
        <v>TCGA-BH-A0E1-01A</v>
      </c>
      <c r="I15176" t="s">
        <v>17</v>
      </c>
      <c r="J15176" t="s">
        <v>524</v>
      </c>
      <c r="K15176" t="s">
        <v>33</v>
      </c>
      <c r="L15176" t="s">
        <v>20</v>
      </c>
      <c r="N15176" t="s">
        <v>29</v>
      </c>
    </row>
    <row r="15177" spans="1:14">
      <c r="A15177" s="4" t="str">
        <f t="shared" si="1183"/>
        <v>EXP00415</v>
      </c>
      <c r="B15177" s="3" t="s">
        <v>66</v>
      </c>
      <c r="C15177" s="4" t="str">
        <f t="shared" si="1184"/>
        <v>TCGA-BRCA</v>
      </c>
      <c r="D15177" s="1" t="s">
        <v>493</v>
      </c>
      <c r="E15177" t="s">
        <v>533</v>
      </c>
      <c r="F15177" s="1">
        <v>2</v>
      </c>
      <c r="G15177" s="1" t="s">
        <v>28</v>
      </c>
      <c r="H15177" s="4" t="str">
        <f>HYPERLINK("https://portal.gdc.cancer.gov/cases/8ace3b8c-f23e-48a9-a137-9e046bd9549b","TCGA-BH-A0E2-01A")</f>
        <v>TCGA-BH-A0E2-01A</v>
      </c>
      <c r="I15177" t="s">
        <v>17</v>
      </c>
      <c r="J15177" t="s">
        <v>524</v>
      </c>
      <c r="K15177" t="s">
        <v>33</v>
      </c>
      <c r="L15177" t="s">
        <v>20</v>
      </c>
      <c r="N15177" t="s">
        <v>29</v>
      </c>
    </row>
    <row r="15178" spans="1:14">
      <c r="A15178" s="4" t="str">
        <f t="shared" si="1183"/>
        <v>EXP00415</v>
      </c>
      <c r="B15178" s="3" t="s">
        <v>66</v>
      </c>
      <c r="C15178" s="4" t="str">
        <f t="shared" si="1184"/>
        <v>TCGA-BRCA</v>
      </c>
      <c r="D15178" s="1" t="s">
        <v>493</v>
      </c>
      <c r="E15178" t="s">
        <v>533</v>
      </c>
      <c r="F15178" s="1">
        <v>2</v>
      </c>
      <c r="G15178" s="1" t="s">
        <v>28</v>
      </c>
      <c r="H15178" s="4" t="str">
        <f>HYPERLINK("https://portal.gdc.cancer.gov/cases/6c0066e3-96df-4870-bcd3-98cda64082e9","TCGA-BH-A0E6-01A")</f>
        <v>TCGA-BH-A0E6-01A</v>
      </c>
      <c r="I15178" t="s">
        <v>17</v>
      </c>
      <c r="J15178" t="s">
        <v>524</v>
      </c>
      <c r="K15178" t="s">
        <v>33</v>
      </c>
      <c r="L15178" t="s">
        <v>20</v>
      </c>
      <c r="N15178" t="s">
        <v>29</v>
      </c>
    </row>
    <row r="15179" spans="1:14">
      <c r="A15179" s="4" t="str">
        <f t="shared" si="1183"/>
        <v>EXP00415</v>
      </c>
      <c r="B15179" s="3" t="s">
        <v>66</v>
      </c>
      <c r="C15179" s="4" t="str">
        <f t="shared" si="1184"/>
        <v>TCGA-BRCA</v>
      </c>
      <c r="D15179" s="1" t="s">
        <v>493</v>
      </c>
      <c r="E15179" t="s">
        <v>533</v>
      </c>
      <c r="F15179" s="1">
        <v>2</v>
      </c>
      <c r="G15179" s="1" t="s">
        <v>28</v>
      </c>
      <c r="H15179" s="4" t="str">
        <f>HYPERLINK("https://portal.gdc.cancer.gov/cases/d3b9d925-ae04-4721-8bfc-50b41225bc74","TCGA-BH-A0E7-01A")</f>
        <v>TCGA-BH-A0E7-01A</v>
      </c>
      <c r="I15179" t="s">
        <v>17</v>
      </c>
      <c r="J15179" t="s">
        <v>524</v>
      </c>
      <c r="K15179" t="s">
        <v>33</v>
      </c>
      <c r="L15179" t="s">
        <v>20</v>
      </c>
      <c r="N15179" t="s">
        <v>29</v>
      </c>
    </row>
    <row r="15180" spans="1:14">
      <c r="A15180" s="4" t="str">
        <f t="shared" si="1183"/>
        <v>EXP00415</v>
      </c>
      <c r="B15180" s="3" t="s">
        <v>66</v>
      </c>
      <c r="C15180" s="4" t="str">
        <f t="shared" si="1184"/>
        <v>TCGA-BRCA</v>
      </c>
      <c r="D15180" s="1" t="s">
        <v>493</v>
      </c>
      <c r="E15180" t="s">
        <v>533</v>
      </c>
      <c r="F15180" s="1">
        <v>2</v>
      </c>
      <c r="G15180" s="1" t="s">
        <v>28</v>
      </c>
      <c r="H15180" s="4" t="str">
        <f>HYPERLINK("https://portal.gdc.cancer.gov/cases/76ace6aa-0505-442c-978a-f889cf2d44bb","TCGA-BH-A0E9-01B")</f>
        <v>TCGA-BH-A0E9-01B</v>
      </c>
      <c r="I15180" t="s">
        <v>17</v>
      </c>
      <c r="J15180" t="s">
        <v>524</v>
      </c>
      <c r="K15180" t="s">
        <v>33</v>
      </c>
      <c r="L15180" t="s">
        <v>20</v>
      </c>
      <c r="N15180" t="s">
        <v>29</v>
      </c>
    </row>
    <row r="15181" spans="1:14">
      <c r="A15181" s="4" t="str">
        <f t="shared" si="1183"/>
        <v>EXP00415</v>
      </c>
      <c r="B15181" s="3" t="s">
        <v>66</v>
      </c>
      <c r="C15181" s="4" t="str">
        <f t="shared" si="1184"/>
        <v>TCGA-BRCA</v>
      </c>
      <c r="D15181" s="1" t="s">
        <v>493</v>
      </c>
      <c r="E15181" t="s">
        <v>533</v>
      </c>
      <c r="F15181" s="1">
        <v>2</v>
      </c>
      <c r="G15181" s="1" t="s">
        <v>28</v>
      </c>
      <c r="H15181" s="4" t="str">
        <f>HYPERLINK("https://portal.gdc.cancer.gov/cases/1f601832-eee3-48fb-acf5-80c4a454f26e","TCGA-BH-A0EA-01A")</f>
        <v>TCGA-BH-A0EA-01A</v>
      </c>
      <c r="I15181" t="s">
        <v>17</v>
      </c>
      <c r="J15181" t="s">
        <v>524</v>
      </c>
      <c r="K15181" t="s">
        <v>33</v>
      </c>
      <c r="L15181" t="s">
        <v>20</v>
      </c>
      <c r="N15181" t="s">
        <v>29</v>
      </c>
    </row>
    <row r="15182" spans="1:14">
      <c r="A15182" s="4" t="str">
        <f t="shared" si="1183"/>
        <v>EXP00415</v>
      </c>
      <c r="B15182" s="3" t="s">
        <v>66</v>
      </c>
      <c r="C15182" s="4" t="str">
        <f t="shared" si="1184"/>
        <v>TCGA-BRCA</v>
      </c>
      <c r="D15182" s="1" t="s">
        <v>493</v>
      </c>
      <c r="E15182" t="s">
        <v>533</v>
      </c>
      <c r="F15182" s="1">
        <v>2</v>
      </c>
      <c r="G15182" s="1" t="s">
        <v>28</v>
      </c>
      <c r="H15182" s="4" t="str">
        <f>HYPERLINK("https://portal.gdc.cancer.gov/cases/ca76c6fc-ff30-4833-884d-3a94fe53ff17","TCGA-BH-A0EE-01A")</f>
        <v>TCGA-BH-A0EE-01A</v>
      </c>
      <c r="I15182" t="s">
        <v>17</v>
      </c>
      <c r="J15182" t="s">
        <v>524</v>
      </c>
      <c r="K15182" t="s">
        <v>33</v>
      </c>
      <c r="L15182" t="s">
        <v>20</v>
      </c>
      <c r="N15182" t="s">
        <v>29</v>
      </c>
    </row>
    <row r="15183" spans="1:14">
      <c r="A15183" s="4" t="str">
        <f t="shared" si="1183"/>
        <v>EXP00415</v>
      </c>
      <c r="B15183" s="3" t="s">
        <v>66</v>
      </c>
      <c r="C15183" s="4" t="str">
        <f t="shared" si="1184"/>
        <v>TCGA-BRCA</v>
      </c>
      <c r="D15183" s="1" t="s">
        <v>493</v>
      </c>
      <c r="E15183" t="s">
        <v>533</v>
      </c>
      <c r="F15183" s="1">
        <v>2</v>
      </c>
      <c r="G15183" s="1" t="s">
        <v>28</v>
      </c>
      <c r="H15183" s="4" t="str">
        <f>HYPERLINK("https://portal.gdc.cancer.gov/cases/22b35927-1c3f-4f98-ba42-deafc56b677a","TCGA-BH-A0EI-01A")</f>
        <v>TCGA-BH-A0EI-01A</v>
      </c>
      <c r="I15183" t="s">
        <v>17</v>
      </c>
      <c r="J15183" t="s">
        <v>524</v>
      </c>
      <c r="K15183" t="s">
        <v>33</v>
      </c>
      <c r="L15183" t="s">
        <v>20</v>
      </c>
      <c r="N15183" t="s">
        <v>29</v>
      </c>
    </row>
    <row r="15184" spans="1:14">
      <c r="A15184" s="4" t="str">
        <f t="shared" si="1183"/>
        <v>EXP00415</v>
      </c>
      <c r="B15184" s="3" t="s">
        <v>66</v>
      </c>
      <c r="C15184" s="4" t="str">
        <f t="shared" si="1184"/>
        <v>TCGA-BRCA</v>
      </c>
      <c r="D15184" s="1" t="s">
        <v>493</v>
      </c>
      <c r="E15184" t="s">
        <v>533</v>
      </c>
      <c r="F15184" s="1">
        <v>2</v>
      </c>
      <c r="G15184" s="1" t="s">
        <v>28</v>
      </c>
      <c r="H15184" s="4" t="str">
        <f>HYPERLINK("https://portal.gdc.cancer.gov/cases/7d9d3522-ec3b-4efe-8c8e-c0e675276ef5","TCGA-BH-A0GY-01A")</f>
        <v>TCGA-BH-A0GY-01A</v>
      </c>
      <c r="I15184" t="s">
        <v>17</v>
      </c>
      <c r="J15184" t="s">
        <v>524</v>
      </c>
      <c r="K15184" t="s">
        <v>33</v>
      </c>
      <c r="L15184" t="s">
        <v>20</v>
      </c>
      <c r="N15184" t="s">
        <v>29</v>
      </c>
    </row>
    <row r="15185" spans="1:14">
      <c r="A15185" s="4" t="str">
        <f t="shared" si="1183"/>
        <v>EXP00415</v>
      </c>
      <c r="B15185" s="3" t="s">
        <v>66</v>
      </c>
      <c r="C15185" s="4" t="str">
        <f t="shared" si="1184"/>
        <v>TCGA-BRCA</v>
      </c>
      <c r="D15185" s="1" t="s">
        <v>493</v>
      </c>
      <c r="E15185" t="s">
        <v>533</v>
      </c>
      <c r="F15185" s="1">
        <v>2</v>
      </c>
      <c r="G15185" s="1" t="s">
        <v>28</v>
      </c>
      <c r="H15185" s="4" t="str">
        <f>HYPERLINK("https://portal.gdc.cancer.gov/cases/27dfb9d4-3a2c-44bc-9acf-8f638d3f3004","TCGA-BH-A0GZ-01A")</f>
        <v>TCGA-BH-A0GZ-01A</v>
      </c>
      <c r="I15185" t="s">
        <v>17</v>
      </c>
      <c r="J15185" t="s">
        <v>524</v>
      </c>
      <c r="K15185" t="s">
        <v>33</v>
      </c>
      <c r="L15185" t="s">
        <v>20</v>
      </c>
      <c r="N15185" t="s">
        <v>29</v>
      </c>
    </row>
    <row r="15186" spans="1:14">
      <c r="A15186" s="4" t="str">
        <f t="shared" si="1183"/>
        <v>EXP00415</v>
      </c>
      <c r="B15186" s="3" t="s">
        <v>66</v>
      </c>
      <c r="C15186" s="4" t="str">
        <f t="shared" si="1184"/>
        <v>TCGA-BRCA</v>
      </c>
      <c r="D15186" s="1" t="s">
        <v>493</v>
      </c>
      <c r="E15186" t="s">
        <v>533</v>
      </c>
      <c r="F15186" s="1">
        <v>2</v>
      </c>
      <c r="G15186" s="1" t="s">
        <v>28</v>
      </c>
      <c r="H15186" s="4" t="str">
        <f>HYPERLINK("https://portal.gdc.cancer.gov/cases/96457ebf-ae88-41f4-97e5-cdc3163418aa","TCGA-BH-A0H0-01A")</f>
        <v>TCGA-BH-A0H0-01A</v>
      </c>
      <c r="I15186" t="s">
        <v>17</v>
      </c>
      <c r="J15186" t="s">
        <v>524</v>
      </c>
      <c r="K15186" t="s">
        <v>33</v>
      </c>
      <c r="L15186" t="s">
        <v>20</v>
      </c>
      <c r="N15186" t="s">
        <v>29</v>
      </c>
    </row>
    <row r="15187" spans="1:14">
      <c r="A15187" s="4" t="str">
        <f t="shared" si="1183"/>
        <v>EXP00415</v>
      </c>
      <c r="B15187" s="3" t="s">
        <v>66</v>
      </c>
      <c r="C15187" s="4" t="str">
        <f t="shared" si="1184"/>
        <v>TCGA-BRCA</v>
      </c>
      <c r="D15187" s="1" t="s">
        <v>493</v>
      </c>
      <c r="E15187" t="s">
        <v>533</v>
      </c>
      <c r="F15187" s="1">
        <v>2</v>
      </c>
      <c r="G15187" s="1" t="s">
        <v>28</v>
      </c>
      <c r="H15187" s="4" t="str">
        <f>HYPERLINK("https://portal.gdc.cancer.gov/cases/6cdc0d53-f813-4101-81e5-9bee68270536","TCGA-BH-A0H3-01A")</f>
        <v>TCGA-BH-A0H3-01A</v>
      </c>
      <c r="I15187" t="s">
        <v>17</v>
      </c>
      <c r="J15187" t="s">
        <v>524</v>
      </c>
      <c r="K15187" t="s">
        <v>33</v>
      </c>
      <c r="L15187" t="s">
        <v>20</v>
      </c>
      <c r="N15187" t="s">
        <v>29</v>
      </c>
    </row>
    <row r="15188" spans="1:14">
      <c r="A15188" s="4" t="str">
        <f t="shared" si="1183"/>
        <v>EXP00415</v>
      </c>
      <c r="B15188" s="3" t="s">
        <v>66</v>
      </c>
      <c r="C15188" s="4" t="str">
        <f t="shared" si="1184"/>
        <v>TCGA-BRCA</v>
      </c>
      <c r="D15188" s="1" t="s">
        <v>493</v>
      </c>
      <c r="E15188" t="s">
        <v>533</v>
      </c>
      <c r="F15188" s="1">
        <v>2</v>
      </c>
      <c r="G15188" s="1" t="s">
        <v>28</v>
      </c>
      <c r="H15188" s="4" t="str">
        <f>HYPERLINK("https://portal.gdc.cancer.gov/cases/cab38ea8-4555-413c-b81e-4621aac4ef85","TCGA-BH-A0H5-01A")</f>
        <v>TCGA-BH-A0H5-01A</v>
      </c>
      <c r="I15188" t="s">
        <v>17</v>
      </c>
      <c r="J15188" t="s">
        <v>524</v>
      </c>
      <c r="K15188" t="s">
        <v>33</v>
      </c>
      <c r="L15188" t="s">
        <v>20</v>
      </c>
      <c r="N15188" t="s">
        <v>29</v>
      </c>
    </row>
    <row r="15189" spans="1:14">
      <c r="A15189" s="4" t="str">
        <f t="shared" si="1183"/>
        <v>EXP00415</v>
      </c>
      <c r="B15189" s="3" t="s">
        <v>66</v>
      </c>
      <c r="C15189" s="4" t="str">
        <f t="shared" si="1184"/>
        <v>TCGA-BRCA</v>
      </c>
      <c r="D15189" s="1" t="s">
        <v>493</v>
      </c>
      <c r="E15189" t="s">
        <v>533</v>
      </c>
      <c r="F15189" s="1">
        <v>2</v>
      </c>
      <c r="G15189" s="1" t="s">
        <v>28</v>
      </c>
      <c r="H15189" s="4" t="str">
        <f>HYPERLINK("https://portal.gdc.cancer.gov/cases/aeb6a3a6-b57a-4c53-90e6-e833777dd2a1","TCGA-BH-A0H6-01A")</f>
        <v>TCGA-BH-A0H6-01A</v>
      </c>
      <c r="I15189" t="s">
        <v>17</v>
      </c>
      <c r="J15189" t="s">
        <v>524</v>
      </c>
      <c r="K15189" t="s">
        <v>33</v>
      </c>
      <c r="L15189" t="s">
        <v>20</v>
      </c>
      <c r="N15189" t="s">
        <v>29</v>
      </c>
    </row>
    <row r="15190" spans="1:14">
      <c r="A15190" s="4" t="str">
        <f t="shared" si="1183"/>
        <v>EXP00415</v>
      </c>
      <c r="B15190" s="3" t="s">
        <v>66</v>
      </c>
      <c r="C15190" s="4" t="str">
        <f t="shared" si="1184"/>
        <v>TCGA-BRCA</v>
      </c>
      <c r="D15190" s="1" t="s">
        <v>493</v>
      </c>
      <c r="E15190" t="s">
        <v>533</v>
      </c>
      <c r="F15190" s="1">
        <v>2</v>
      </c>
      <c r="G15190" s="1" t="s">
        <v>28</v>
      </c>
      <c r="H15190" s="4" t="str">
        <f>HYPERLINK("https://portal.gdc.cancer.gov/cases/2021ed1f-dc75-4701-b8b8-1386466e4802","TCGA-BH-A0H7-01A")</f>
        <v>TCGA-BH-A0H7-01A</v>
      </c>
      <c r="I15190" t="s">
        <v>17</v>
      </c>
      <c r="J15190" t="s">
        <v>524</v>
      </c>
      <c r="K15190" t="s">
        <v>33</v>
      </c>
      <c r="L15190" t="s">
        <v>20</v>
      </c>
      <c r="N15190" t="s">
        <v>29</v>
      </c>
    </row>
    <row r="15191" spans="1:14">
      <c r="A15191" s="4" t="str">
        <f t="shared" si="1183"/>
        <v>EXP00415</v>
      </c>
      <c r="B15191" s="3" t="s">
        <v>66</v>
      </c>
      <c r="C15191" s="4" t="str">
        <f t="shared" si="1184"/>
        <v>TCGA-BRCA</v>
      </c>
      <c r="D15191" s="1" t="s">
        <v>493</v>
      </c>
      <c r="E15191" t="s">
        <v>533</v>
      </c>
      <c r="F15191" s="1">
        <v>2</v>
      </c>
      <c r="G15191" s="1" t="s">
        <v>28</v>
      </c>
      <c r="H15191" s="4" t="str">
        <f>HYPERLINK("https://portal.gdc.cancer.gov/cases/0f64edec-0f1f-4025-8a53-75f9534f7828","TCGA-BH-A0H9-01A")</f>
        <v>TCGA-BH-A0H9-01A</v>
      </c>
      <c r="I15191" t="s">
        <v>17</v>
      </c>
      <c r="J15191" t="s">
        <v>524</v>
      </c>
      <c r="K15191" t="s">
        <v>33</v>
      </c>
      <c r="L15191" t="s">
        <v>20</v>
      </c>
      <c r="N15191" t="s">
        <v>29</v>
      </c>
    </row>
    <row r="15192" spans="1:14">
      <c r="A15192" s="4" t="str">
        <f t="shared" si="1183"/>
        <v>EXP00415</v>
      </c>
      <c r="B15192" s="3" t="s">
        <v>66</v>
      </c>
      <c r="C15192" s="4" t="str">
        <f t="shared" si="1184"/>
        <v>TCGA-BRCA</v>
      </c>
      <c r="D15192" s="1" t="s">
        <v>493</v>
      </c>
      <c r="E15192" t="s">
        <v>533</v>
      </c>
      <c r="F15192" s="1">
        <v>2</v>
      </c>
      <c r="G15192" s="1" t="s">
        <v>28</v>
      </c>
      <c r="H15192" s="4" t="str">
        <f>HYPERLINK("https://portal.gdc.cancer.gov/cases/e666081b-caaf-4e8b-9446-807be71201a5","TCGA-BH-A0HA-01A")</f>
        <v>TCGA-BH-A0HA-01A</v>
      </c>
      <c r="I15192" t="s">
        <v>17</v>
      </c>
      <c r="J15192" t="s">
        <v>524</v>
      </c>
      <c r="K15192" t="s">
        <v>33</v>
      </c>
      <c r="L15192" t="s">
        <v>20</v>
      </c>
      <c r="N15192" t="s">
        <v>29</v>
      </c>
    </row>
    <row r="15193" spans="1:14">
      <c r="A15193" s="4" t="str">
        <f t="shared" si="1183"/>
        <v>EXP00415</v>
      </c>
      <c r="B15193" s="3" t="s">
        <v>66</v>
      </c>
      <c r="C15193" s="4" t="str">
        <f t="shared" si="1184"/>
        <v>TCGA-BRCA</v>
      </c>
      <c r="D15193" s="1" t="s">
        <v>493</v>
      </c>
      <c r="E15193" t="s">
        <v>533</v>
      </c>
      <c r="F15193" s="1">
        <v>2</v>
      </c>
      <c r="G15193" s="1" t="s">
        <v>28</v>
      </c>
      <c r="H15193" s="4" t="str">
        <f>HYPERLINK("https://portal.gdc.cancer.gov/cases/0c1023c0-d2ce-4940-8047-7642f1dc3965","TCGA-BH-A0HB-01A")</f>
        <v>TCGA-BH-A0HB-01A</v>
      </c>
      <c r="I15193" t="s">
        <v>17</v>
      </c>
      <c r="J15193" t="s">
        <v>524</v>
      </c>
      <c r="K15193" t="s">
        <v>33</v>
      </c>
      <c r="L15193" t="s">
        <v>20</v>
      </c>
      <c r="N15193" t="s">
        <v>29</v>
      </c>
    </row>
    <row r="15194" spans="1:14">
      <c r="A15194" s="4" t="str">
        <f t="shared" si="1183"/>
        <v>EXP00415</v>
      </c>
      <c r="B15194" s="3" t="s">
        <v>66</v>
      </c>
      <c r="C15194" s="4" t="str">
        <f t="shared" si="1184"/>
        <v>TCGA-BRCA</v>
      </c>
      <c r="D15194" s="1" t="s">
        <v>493</v>
      </c>
      <c r="E15194" t="s">
        <v>533</v>
      </c>
      <c r="F15194" s="1">
        <v>2</v>
      </c>
      <c r="G15194" s="1" t="s">
        <v>28</v>
      </c>
      <c r="H15194" s="4" t="str">
        <f>HYPERLINK("https://portal.gdc.cancer.gov/cases/17ca61a2-607a-45ff-88fa-ef72e80bf891","TCGA-BH-A0HF-01A")</f>
        <v>TCGA-BH-A0HF-01A</v>
      </c>
      <c r="I15194" t="s">
        <v>17</v>
      </c>
      <c r="J15194" t="s">
        <v>524</v>
      </c>
      <c r="K15194" t="s">
        <v>33</v>
      </c>
      <c r="L15194" t="s">
        <v>20</v>
      </c>
      <c r="N15194" t="s">
        <v>29</v>
      </c>
    </row>
    <row r="15195" spans="1:14">
      <c r="A15195" s="4" t="str">
        <f t="shared" si="1183"/>
        <v>EXP00415</v>
      </c>
      <c r="B15195" s="3" t="s">
        <v>66</v>
      </c>
      <c r="C15195" s="4" t="str">
        <f t="shared" si="1184"/>
        <v>TCGA-BRCA</v>
      </c>
      <c r="D15195" s="1" t="s">
        <v>493</v>
      </c>
      <c r="E15195" t="s">
        <v>533</v>
      </c>
      <c r="F15195" s="1">
        <v>2</v>
      </c>
      <c r="G15195" s="1" t="s">
        <v>28</v>
      </c>
      <c r="H15195" s="4" t="str">
        <f>HYPERLINK("https://portal.gdc.cancer.gov/cases/e0375a8b-a135-4103-a59d-39063fcf4a6f","TCGA-BH-A0HI-01A")</f>
        <v>TCGA-BH-A0HI-01A</v>
      </c>
      <c r="I15195" t="s">
        <v>17</v>
      </c>
      <c r="J15195" t="s">
        <v>524</v>
      </c>
      <c r="K15195" t="s">
        <v>33</v>
      </c>
      <c r="L15195" t="s">
        <v>20</v>
      </c>
      <c r="N15195" t="s">
        <v>29</v>
      </c>
    </row>
    <row r="15196" spans="1:14">
      <c r="A15196" s="4" t="str">
        <f t="shared" si="1183"/>
        <v>EXP00415</v>
      </c>
      <c r="B15196" s="3" t="s">
        <v>66</v>
      </c>
      <c r="C15196" s="4" t="str">
        <f t="shared" si="1184"/>
        <v>TCGA-BRCA</v>
      </c>
      <c r="D15196" s="1" t="s">
        <v>493</v>
      </c>
      <c r="E15196" t="s">
        <v>533</v>
      </c>
      <c r="F15196" s="1">
        <v>2</v>
      </c>
      <c r="G15196" s="1" t="s">
        <v>28</v>
      </c>
      <c r="H15196" s="4" t="str">
        <f>HYPERLINK("https://portal.gdc.cancer.gov/cases/24334ac1-28a3-4b61-b590-3f51e375b247","TCGA-BH-A0HK-01A")</f>
        <v>TCGA-BH-A0HK-01A</v>
      </c>
      <c r="I15196" t="s">
        <v>17</v>
      </c>
      <c r="J15196" t="s">
        <v>524</v>
      </c>
      <c r="K15196" t="s">
        <v>33</v>
      </c>
      <c r="L15196" t="s">
        <v>20</v>
      </c>
      <c r="N15196" t="s">
        <v>29</v>
      </c>
    </row>
    <row r="15197" spans="1:14">
      <c r="A15197" s="4" t="str">
        <f t="shared" si="1183"/>
        <v>EXP00415</v>
      </c>
      <c r="B15197" s="3" t="s">
        <v>66</v>
      </c>
      <c r="C15197" s="4" t="str">
        <f t="shared" si="1184"/>
        <v>TCGA-BRCA</v>
      </c>
      <c r="D15197" s="1" t="s">
        <v>493</v>
      </c>
      <c r="E15197" t="s">
        <v>533</v>
      </c>
      <c r="F15197" s="1">
        <v>2</v>
      </c>
      <c r="G15197" s="1" t="s">
        <v>28</v>
      </c>
      <c r="H15197" s="4" t="str">
        <f>HYPERLINK("https://portal.gdc.cancer.gov/cases/602083f0-18d9-48b6-a529-31e165c54b37","TCGA-BH-A0HL-01A")</f>
        <v>TCGA-BH-A0HL-01A</v>
      </c>
      <c r="I15197" t="s">
        <v>17</v>
      </c>
      <c r="J15197" t="s">
        <v>524</v>
      </c>
      <c r="K15197" t="s">
        <v>33</v>
      </c>
      <c r="L15197" t="s">
        <v>20</v>
      </c>
      <c r="N15197" t="s">
        <v>29</v>
      </c>
    </row>
    <row r="15198" spans="1:14">
      <c r="A15198" s="4" t="str">
        <f t="shared" si="1183"/>
        <v>EXP00415</v>
      </c>
      <c r="B15198" s="3" t="s">
        <v>66</v>
      </c>
      <c r="C15198" s="4" t="str">
        <f t="shared" si="1184"/>
        <v>TCGA-BRCA</v>
      </c>
      <c r="D15198" s="1" t="s">
        <v>493</v>
      </c>
      <c r="E15198" t="s">
        <v>533</v>
      </c>
      <c r="F15198" s="1">
        <v>2</v>
      </c>
      <c r="G15198" s="1" t="s">
        <v>28</v>
      </c>
      <c r="H15198" s="4" t="str">
        <f>HYPERLINK("https://portal.gdc.cancer.gov/cases/a68a3361-48b4-4bd0-999d-b4cc3d43eb4a","TCGA-BH-A0HN-01A")</f>
        <v>TCGA-BH-A0HN-01A</v>
      </c>
      <c r="I15198" t="s">
        <v>17</v>
      </c>
      <c r="J15198" t="s">
        <v>524</v>
      </c>
      <c r="K15198" t="s">
        <v>33</v>
      </c>
      <c r="L15198" t="s">
        <v>20</v>
      </c>
      <c r="N15198" t="s">
        <v>29</v>
      </c>
    </row>
    <row r="15199" spans="1:14">
      <c r="A15199" s="4" t="str">
        <f t="shared" si="1183"/>
        <v>EXP00415</v>
      </c>
      <c r="B15199" s="3" t="s">
        <v>66</v>
      </c>
      <c r="C15199" s="4" t="str">
        <f t="shared" si="1184"/>
        <v>TCGA-BRCA</v>
      </c>
      <c r="D15199" s="1" t="s">
        <v>493</v>
      </c>
      <c r="E15199" t="s">
        <v>533</v>
      </c>
      <c r="F15199" s="1">
        <v>2</v>
      </c>
      <c r="G15199" s="1" t="s">
        <v>28</v>
      </c>
      <c r="H15199" s="4" t="str">
        <f>HYPERLINK("https://portal.gdc.cancer.gov/cases/8332806e-f547-4aae-89af-6d5bec831fd2","TCGA-BH-A0HO-01A")</f>
        <v>TCGA-BH-A0HO-01A</v>
      </c>
      <c r="I15199" t="s">
        <v>17</v>
      </c>
      <c r="J15199" t="s">
        <v>524</v>
      </c>
      <c r="K15199" t="s">
        <v>33</v>
      </c>
      <c r="L15199" t="s">
        <v>20</v>
      </c>
      <c r="N15199" t="s">
        <v>29</v>
      </c>
    </row>
    <row r="15200" spans="1:14">
      <c r="A15200" s="4" t="str">
        <f t="shared" si="1183"/>
        <v>EXP00415</v>
      </c>
      <c r="B15200" s="3" t="s">
        <v>66</v>
      </c>
      <c r="C15200" s="4" t="str">
        <f t="shared" si="1184"/>
        <v>TCGA-BRCA</v>
      </c>
      <c r="D15200" s="1" t="s">
        <v>493</v>
      </c>
      <c r="E15200" t="s">
        <v>533</v>
      </c>
      <c r="F15200" s="1">
        <v>2</v>
      </c>
      <c r="G15200" s="1" t="s">
        <v>28</v>
      </c>
      <c r="H15200" s="4" t="str">
        <f>HYPERLINK("https://portal.gdc.cancer.gov/cases/fcef8cb5-fb2c-4bfb-82cd-6b9f3145182c","TCGA-BH-A0HP-01A")</f>
        <v>TCGA-BH-A0HP-01A</v>
      </c>
      <c r="I15200" t="s">
        <v>17</v>
      </c>
      <c r="J15200" t="s">
        <v>524</v>
      </c>
      <c r="K15200" t="s">
        <v>33</v>
      </c>
      <c r="L15200" t="s">
        <v>20</v>
      </c>
      <c r="N15200" t="s">
        <v>29</v>
      </c>
    </row>
    <row r="15201" spans="1:14">
      <c r="A15201" s="4" t="str">
        <f t="shared" si="1183"/>
        <v>EXP00415</v>
      </c>
      <c r="B15201" s="3" t="s">
        <v>66</v>
      </c>
      <c r="C15201" s="4" t="str">
        <f t="shared" si="1184"/>
        <v>TCGA-BRCA</v>
      </c>
      <c r="D15201" s="1" t="s">
        <v>493</v>
      </c>
      <c r="E15201" t="s">
        <v>533</v>
      </c>
      <c r="F15201" s="1">
        <v>2</v>
      </c>
      <c r="G15201" s="1" t="s">
        <v>28</v>
      </c>
      <c r="H15201" s="4" t="str">
        <f>HYPERLINK("https://portal.gdc.cancer.gov/cases/f31c21b6-0f7f-435b-9e24-97c909755c36","TCGA-BH-A0HQ-01A")</f>
        <v>TCGA-BH-A0HQ-01A</v>
      </c>
      <c r="I15201" t="s">
        <v>17</v>
      </c>
      <c r="J15201" t="s">
        <v>524</v>
      </c>
      <c r="K15201" t="s">
        <v>33</v>
      </c>
      <c r="L15201" t="s">
        <v>20</v>
      </c>
      <c r="N15201" t="s">
        <v>29</v>
      </c>
    </row>
    <row r="15202" spans="1:14">
      <c r="A15202" s="4" t="str">
        <f t="shared" si="1183"/>
        <v>EXP00415</v>
      </c>
      <c r="B15202" s="3" t="s">
        <v>66</v>
      </c>
      <c r="C15202" s="4" t="str">
        <f t="shared" si="1184"/>
        <v>TCGA-BRCA</v>
      </c>
      <c r="D15202" s="1" t="s">
        <v>493</v>
      </c>
      <c r="E15202" t="s">
        <v>533</v>
      </c>
      <c r="F15202" s="1">
        <v>2</v>
      </c>
      <c r="G15202" s="1" t="s">
        <v>28</v>
      </c>
      <c r="H15202" s="4" t="str">
        <f>HYPERLINK("https://portal.gdc.cancer.gov/cases/dc657ca8-98e8-4ec4-a513-1b848be0e85d","TCGA-BH-A0HU-01A")</f>
        <v>TCGA-BH-A0HU-01A</v>
      </c>
      <c r="I15202" t="s">
        <v>17</v>
      </c>
      <c r="J15202" t="s">
        <v>524</v>
      </c>
      <c r="K15202" t="s">
        <v>33</v>
      </c>
      <c r="L15202" t="s">
        <v>20</v>
      </c>
      <c r="N15202" t="s">
        <v>29</v>
      </c>
    </row>
    <row r="15203" spans="1:14">
      <c r="A15203" s="4" t="str">
        <f t="shared" si="1183"/>
        <v>EXP00415</v>
      </c>
      <c r="B15203" s="3" t="s">
        <v>66</v>
      </c>
      <c r="C15203" s="4" t="str">
        <f t="shared" si="1184"/>
        <v>TCGA-BRCA</v>
      </c>
      <c r="D15203" s="1" t="s">
        <v>493</v>
      </c>
      <c r="E15203" t="s">
        <v>533</v>
      </c>
      <c r="F15203" s="1">
        <v>2</v>
      </c>
      <c r="G15203" s="1" t="s">
        <v>28</v>
      </c>
      <c r="H15203" s="4" t="str">
        <f>HYPERLINK("https://portal.gdc.cancer.gov/cases/29fdc464-f216-4828-b456-829f71436e27","TCGA-BH-A0HW-01A")</f>
        <v>TCGA-BH-A0HW-01A</v>
      </c>
      <c r="I15203" t="s">
        <v>17</v>
      </c>
      <c r="J15203" t="s">
        <v>524</v>
      </c>
      <c r="K15203" t="s">
        <v>33</v>
      </c>
      <c r="L15203" t="s">
        <v>20</v>
      </c>
      <c r="N15203" t="s">
        <v>29</v>
      </c>
    </row>
    <row r="15204" spans="1:14">
      <c r="A15204" s="4" t="str">
        <f t="shared" si="1183"/>
        <v>EXP00415</v>
      </c>
      <c r="B15204" s="3" t="s">
        <v>66</v>
      </c>
      <c r="C15204" s="4" t="str">
        <f t="shared" si="1184"/>
        <v>TCGA-BRCA</v>
      </c>
      <c r="D15204" s="1" t="s">
        <v>493</v>
      </c>
      <c r="E15204" t="s">
        <v>533</v>
      </c>
      <c r="F15204" s="1">
        <v>2</v>
      </c>
      <c r="G15204" s="1" t="s">
        <v>28</v>
      </c>
      <c r="H15204" s="4" t="str">
        <f>HYPERLINK("https://portal.gdc.cancer.gov/cases/3b01d064-8c00-4972-9f07-407eac8e7534","TCGA-BH-A0HX-01A")</f>
        <v>TCGA-BH-A0HX-01A</v>
      </c>
      <c r="I15204" t="s">
        <v>17</v>
      </c>
      <c r="J15204" t="s">
        <v>524</v>
      </c>
      <c r="K15204" t="s">
        <v>33</v>
      </c>
      <c r="L15204" t="s">
        <v>20</v>
      </c>
      <c r="N15204" t="s">
        <v>29</v>
      </c>
    </row>
    <row r="15205" spans="1:14">
      <c r="A15205" s="4" t="str">
        <f t="shared" si="1183"/>
        <v>EXP00415</v>
      </c>
      <c r="B15205" s="3" t="s">
        <v>66</v>
      </c>
      <c r="C15205" s="4" t="str">
        <f t="shared" si="1184"/>
        <v>TCGA-BRCA</v>
      </c>
      <c r="D15205" s="1" t="s">
        <v>493</v>
      </c>
      <c r="E15205" t="s">
        <v>533</v>
      </c>
      <c r="F15205" s="1">
        <v>2</v>
      </c>
      <c r="G15205" s="1" t="s">
        <v>28</v>
      </c>
      <c r="H15205" s="4" t="str">
        <f>HYPERLINK("https://portal.gdc.cancer.gov/cases/844ad251-3ee4-42f6-ad00-59a7a1670eea","TCGA-BH-A0HY-01A")</f>
        <v>TCGA-BH-A0HY-01A</v>
      </c>
      <c r="I15205" t="s">
        <v>17</v>
      </c>
      <c r="J15205" t="s">
        <v>524</v>
      </c>
      <c r="K15205" t="s">
        <v>33</v>
      </c>
      <c r="L15205" t="s">
        <v>20</v>
      </c>
      <c r="N15205" t="s">
        <v>29</v>
      </c>
    </row>
    <row r="15206" spans="1:14">
      <c r="A15206" s="4" t="str">
        <f t="shared" si="1183"/>
        <v>EXP00415</v>
      </c>
      <c r="B15206" s="3" t="s">
        <v>66</v>
      </c>
      <c r="C15206" s="4" t="str">
        <f t="shared" si="1184"/>
        <v>TCGA-BRCA</v>
      </c>
      <c r="D15206" s="1" t="s">
        <v>493</v>
      </c>
      <c r="E15206" t="s">
        <v>533</v>
      </c>
      <c r="F15206" s="1">
        <v>2</v>
      </c>
      <c r="G15206" s="1" t="s">
        <v>28</v>
      </c>
      <c r="H15206" s="4" t="str">
        <f>HYPERLINK("https://portal.gdc.cancer.gov/cases/e828455d-4680-41b2-8a1c-1582e3790d62","TCGA-BH-A0RX-01A")</f>
        <v>TCGA-BH-A0RX-01A</v>
      </c>
      <c r="I15206" t="s">
        <v>17</v>
      </c>
      <c r="J15206" t="s">
        <v>524</v>
      </c>
      <c r="K15206" t="s">
        <v>33</v>
      </c>
      <c r="L15206" t="s">
        <v>20</v>
      </c>
      <c r="N15206" t="s">
        <v>29</v>
      </c>
    </row>
    <row r="15207" spans="1:14">
      <c r="A15207" s="4" t="str">
        <f t="shared" si="1183"/>
        <v>EXP00415</v>
      </c>
      <c r="B15207" s="3" t="s">
        <v>66</v>
      </c>
      <c r="C15207" s="4" t="str">
        <f t="shared" si="1184"/>
        <v>TCGA-BRCA</v>
      </c>
      <c r="D15207" s="1" t="s">
        <v>493</v>
      </c>
      <c r="E15207" t="s">
        <v>533</v>
      </c>
      <c r="F15207" s="1">
        <v>2</v>
      </c>
      <c r="G15207" s="1" t="s">
        <v>28</v>
      </c>
      <c r="H15207" s="4" t="str">
        <f>HYPERLINK("https://portal.gdc.cancer.gov/cases/3c612e12-6de8-44fa-a095-805c45474821","TCGA-BH-A0W3-01A")</f>
        <v>TCGA-BH-A0W3-01A</v>
      </c>
      <c r="I15207" t="s">
        <v>17</v>
      </c>
      <c r="J15207" t="s">
        <v>524</v>
      </c>
      <c r="K15207" t="s">
        <v>33</v>
      </c>
      <c r="L15207" t="s">
        <v>20</v>
      </c>
      <c r="N15207" t="s">
        <v>29</v>
      </c>
    </row>
    <row r="15208" spans="1:14">
      <c r="A15208" s="4" t="str">
        <f t="shared" si="1183"/>
        <v>EXP00415</v>
      </c>
      <c r="B15208" s="3" t="s">
        <v>66</v>
      </c>
      <c r="C15208" s="4" t="str">
        <f t="shared" si="1184"/>
        <v>TCGA-BRCA</v>
      </c>
      <c r="D15208" s="1" t="s">
        <v>493</v>
      </c>
      <c r="E15208" t="s">
        <v>533</v>
      </c>
      <c r="F15208" s="1">
        <v>2</v>
      </c>
      <c r="G15208" s="1" t="s">
        <v>28</v>
      </c>
      <c r="H15208" s="4" t="str">
        <f>HYPERLINK("https://portal.gdc.cancer.gov/cases/0772cdbe-8b0d-452b-8df1-bd70d1306363","TCGA-BH-A0W4-01A")</f>
        <v>TCGA-BH-A0W4-01A</v>
      </c>
      <c r="I15208" t="s">
        <v>17</v>
      </c>
      <c r="J15208" t="s">
        <v>524</v>
      </c>
      <c r="K15208" t="s">
        <v>33</v>
      </c>
      <c r="L15208" t="s">
        <v>20</v>
      </c>
      <c r="N15208" t="s">
        <v>29</v>
      </c>
    </row>
    <row r="15209" spans="1:14">
      <c r="A15209" s="4" t="str">
        <f t="shared" si="1183"/>
        <v>EXP00415</v>
      </c>
      <c r="B15209" s="3" t="s">
        <v>66</v>
      </c>
      <c r="C15209" s="4" t="str">
        <f t="shared" si="1184"/>
        <v>TCGA-BRCA</v>
      </c>
      <c r="D15209" s="1" t="s">
        <v>493</v>
      </c>
      <c r="E15209" t="s">
        <v>533</v>
      </c>
      <c r="F15209" s="1">
        <v>2</v>
      </c>
      <c r="G15209" s="1" t="s">
        <v>28</v>
      </c>
      <c r="H15209" s="4" t="str">
        <f>HYPERLINK("https://portal.gdc.cancer.gov/cases/da9c10ea-c13f-4d88-8b94-a0cbc106d036","TCGA-BH-A0W5-01A")</f>
        <v>TCGA-BH-A0W5-01A</v>
      </c>
      <c r="I15209" t="s">
        <v>17</v>
      </c>
      <c r="J15209" t="s">
        <v>524</v>
      </c>
      <c r="K15209" t="s">
        <v>33</v>
      </c>
      <c r="L15209" t="s">
        <v>20</v>
      </c>
      <c r="N15209" t="s">
        <v>29</v>
      </c>
    </row>
    <row r="15210" spans="1:14">
      <c r="A15210" s="4" t="str">
        <f t="shared" si="1183"/>
        <v>EXP00415</v>
      </c>
      <c r="B15210" s="3" t="s">
        <v>66</v>
      </c>
      <c r="C15210" s="4" t="str">
        <f t="shared" si="1184"/>
        <v>TCGA-BRCA</v>
      </c>
      <c r="D15210" s="1" t="s">
        <v>493</v>
      </c>
      <c r="E15210" t="s">
        <v>533</v>
      </c>
      <c r="F15210" s="1">
        <v>2</v>
      </c>
      <c r="G15210" s="1" t="s">
        <v>28</v>
      </c>
      <c r="H15210" s="4" t="str">
        <f>HYPERLINK("https://portal.gdc.cancer.gov/cases/9f80649b-a249-4fb5-97ad-059a30e13fea","TCGA-BH-A0W7-01A")</f>
        <v>TCGA-BH-A0W7-01A</v>
      </c>
      <c r="I15210" t="s">
        <v>17</v>
      </c>
      <c r="J15210" t="s">
        <v>524</v>
      </c>
      <c r="K15210" t="s">
        <v>33</v>
      </c>
      <c r="L15210" t="s">
        <v>20</v>
      </c>
      <c r="N15210" t="s">
        <v>29</v>
      </c>
    </row>
    <row r="15211" spans="1:14">
      <c r="A15211" s="4" t="str">
        <f t="shared" si="1183"/>
        <v>EXP00415</v>
      </c>
      <c r="B15211" s="3" t="s">
        <v>66</v>
      </c>
      <c r="C15211" s="4" t="str">
        <f t="shared" si="1184"/>
        <v>TCGA-BRCA</v>
      </c>
      <c r="D15211" s="1" t="s">
        <v>493</v>
      </c>
      <c r="E15211" t="s">
        <v>533</v>
      </c>
      <c r="F15211" s="1">
        <v>2</v>
      </c>
      <c r="G15211" s="1" t="s">
        <v>28</v>
      </c>
      <c r="H15211" s="4" t="str">
        <f>HYPERLINK("https://portal.gdc.cancer.gov/cases/786e8dbe-442e-4551-87b3-b4c333b04dd4","TCGA-BH-A0WA-01A")</f>
        <v>TCGA-BH-A0WA-01A</v>
      </c>
      <c r="I15211" t="s">
        <v>17</v>
      </c>
      <c r="J15211" t="s">
        <v>524</v>
      </c>
      <c r="K15211" t="s">
        <v>33</v>
      </c>
      <c r="L15211" t="s">
        <v>20</v>
      </c>
      <c r="N15211" t="s">
        <v>29</v>
      </c>
    </row>
    <row r="15212" spans="1:14">
      <c r="A15212" s="4" t="str">
        <f t="shared" si="1183"/>
        <v>EXP00415</v>
      </c>
      <c r="B15212" s="3" t="s">
        <v>66</v>
      </c>
      <c r="C15212" s="4" t="str">
        <f t="shared" si="1184"/>
        <v>TCGA-BRCA</v>
      </c>
      <c r="D15212" s="1" t="s">
        <v>493</v>
      </c>
      <c r="E15212" t="s">
        <v>533</v>
      </c>
      <c r="F15212" s="1">
        <v>2</v>
      </c>
      <c r="G15212" s="1" t="s">
        <v>28</v>
      </c>
      <c r="H15212" s="4" t="str">
        <f>HYPERLINK("https://portal.gdc.cancer.gov/cases/bfd49783-1767-469b-9d79-7822301c5efc","TCGA-BH-A18F-01A")</f>
        <v>TCGA-BH-A18F-01A</v>
      </c>
      <c r="I15212" t="s">
        <v>17</v>
      </c>
      <c r="J15212" t="s">
        <v>524</v>
      </c>
      <c r="K15212" t="s">
        <v>33</v>
      </c>
      <c r="L15212" t="s">
        <v>20</v>
      </c>
      <c r="N15212" t="s">
        <v>29</v>
      </c>
    </row>
    <row r="15213" spans="1:14">
      <c r="A15213" s="4" t="str">
        <f t="shared" si="1183"/>
        <v>EXP00415</v>
      </c>
      <c r="B15213" s="3" t="s">
        <v>66</v>
      </c>
      <c r="C15213" s="4" t="str">
        <f t="shared" si="1184"/>
        <v>TCGA-BRCA</v>
      </c>
      <c r="D15213" s="1" t="s">
        <v>493</v>
      </c>
      <c r="E15213" t="s">
        <v>533</v>
      </c>
      <c r="F15213" s="1">
        <v>2</v>
      </c>
      <c r="G15213" s="1" t="s">
        <v>28</v>
      </c>
      <c r="H15213" s="4" t="str">
        <f>HYPERLINK("https://portal.gdc.cancer.gov/cases/747083ff-0703-431b-aad4-f2adff739516","TCGA-BH-A18G-01A")</f>
        <v>TCGA-BH-A18G-01A</v>
      </c>
      <c r="I15213" t="s">
        <v>17</v>
      </c>
      <c r="J15213" t="s">
        <v>524</v>
      </c>
      <c r="K15213" t="s">
        <v>33</v>
      </c>
      <c r="L15213" t="s">
        <v>20</v>
      </c>
      <c r="N15213" t="s">
        <v>29</v>
      </c>
    </row>
    <row r="15214" spans="1:14">
      <c r="A15214" s="4" t="str">
        <f t="shared" si="1183"/>
        <v>EXP00415</v>
      </c>
      <c r="B15214" s="3" t="s">
        <v>66</v>
      </c>
      <c r="C15214" s="4" t="str">
        <f t="shared" si="1184"/>
        <v>TCGA-BRCA</v>
      </c>
      <c r="D15214" s="1" t="s">
        <v>493</v>
      </c>
      <c r="E15214" t="s">
        <v>533</v>
      </c>
      <c r="F15214" s="1">
        <v>2</v>
      </c>
      <c r="G15214" s="1" t="s">
        <v>28</v>
      </c>
      <c r="H15214" s="4" t="str">
        <f>HYPERLINK("https://portal.gdc.cancer.gov/cases/878f975b-94fd-4d69-b7e7-1ed3ac2ee438","TCGA-BH-A18H-01A")</f>
        <v>TCGA-BH-A18H-01A</v>
      </c>
      <c r="I15214" t="s">
        <v>17</v>
      </c>
      <c r="J15214" t="s">
        <v>524</v>
      </c>
      <c r="K15214" t="s">
        <v>33</v>
      </c>
      <c r="L15214" t="s">
        <v>20</v>
      </c>
      <c r="N15214" t="s">
        <v>29</v>
      </c>
    </row>
    <row r="15215" spans="1:14">
      <c r="A15215" s="4" t="str">
        <f t="shared" si="1183"/>
        <v>EXP00415</v>
      </c>
      <c r="B15215" s="3" t="s">
        <v>66</v>
      </c>
      <c r="C15215" s="4" t="str">
        <f t="shared" si="1184"/>
        <v>TCGA-BRCA</v>
      </c>
      <c r="D15215" s="1" t="s">
        <v>493</v>
      </c>
      <c r="E15215" t="s">
        <v>533</v>
      </c>
      <c r="F15215" s="1">
        <v>2</v>
      </c>
      <c r="G15215" s="1" t="s">
        <v>28</v>
      </c>
      <c r="H15215" s="4" t="str">
        <f>HYPERLINK("https://portal.gdc.cancer.gov/cases/9c1ceb7d-6fed-4c2f-a89a-bf3c5b15ca58","TCGA-BH-A18I-01A")</f>
        <v>TCGA-BH-A18I-01A</v>
      </c>
      <c r="I15215" t="s">
        <v>17</v>
      </c>
      <c r="J15215" t="s">
        <v>524</v>
      </c>
      <c r="K15215" t="s">
        <v>33</v>
      </c>
      <c r="L15215" t="s">
        <v>20</v>
      </c>
      <c r="N15215" t="s">
        <v>29</v>
      </c>
    </row>
    <row r="15216" spans="1:14">
      <c r="A15216" s="4" t="str">
        <f t="shared" si="1183"/>
        <v>EXP00415</v>
      </c>
      <c r="B15216" s="3" t="s">
        <v>66</v>
      </c>
      <c r="C15216" s="4" t="str">
        <f t="shared" si="1184"/>
        <v>TCGA-BRCA</v>
      </c>
      <c r="D15216" s="1" t="s">
        <v>493</v>
      </c>
      <c r="E15216" t="s">
        <v>533</v>
      </c>
      <c r="F15216" s="1">
        <v>2</v>
      </c>
      <c r="G15216" s="1" t="s">
        <v>28</v>
      </c>
      <c r="H15216" s="4" t="str">
        <f>HYPERLINK("https://portal.gdc.cancer.gov/cases/cc074b7f-d3b2-4880-902e-bf10e667b665","TCGA-BH-A18J-01A")</f>
        <v>TCGA-BH-A18J-01A</v>
      </c>
      <c r="I15216" t="s">
        <v>17</v>
      </c>
      <c r="J15216" t="s">
        <v>524</v>
      </c>
      <c r="K15216" t="s">
        <v>33</v>
      </c>
      <c r="L15216" t="s">
        <v>20</v>
      </c>
      <c r="N15216" t="s">
        <v>29</v>
      </c>
    </row>
    <row r="15217" spans="1:14">
      <c r="A15217" s="4" t="str">
        <f t="shared" si="1183"/>
        <v>EXP00415</v>
      </c>
      <c r="B15217" s="3" t="s">
        <v>66</v>
      </c>
      <c r="C15217" s="4" t="str">
        <f t="shared" si="1184"/>
        <v>TCGA-BRCA</v>
      </c>
      <c r="D15217" s="1" t="s">
        <v>493</v>
      </c>
      <c r="E15217" t="s">
        <v>533</v>
      </c>
      <c r="F15217" s="1">
        <v>2</v>
      </c>
      <c r="G15217" s="1" t="s">
        <v>28</v>
      </c>
      <c r="H15217" s="4" t="str">
        <f>HYPERLINK("https://portal.gdc.cancer.gov/cases/50619f8c-10aa-464a-a227-90a7aa6ffd43","TCGA-BH-A18K-01A")</f>
        <v>TCGA-BH-A18K-01A</v>
      </c>
      <c r="I15217" t="s">
        <v>17</v>
      </c>
      <c r="J15217" t="s">
        <v>524</v>
      </c>
      <c r="K15217" t="s">
        <v>33</v>
      </c>
      <c r="L15217" t="s">
        <v>20</v>
      </c>
      <c r="N15217" t="s">
        <v>29</v>
      </c>
    </row>
    <row r="15218" spans="1:14">
      <c r="A15218" s="4" t="str">
        <f t="shared" si="1183"/>
        <v>EXP00415</v>
      </c>
      <c r="B15218" s="3" t="s">
        <v>66</v>
      </c>
      <c r="C15218" s="4" t="str">
        <f t="shared" si="1184"/>
        <v>TCGA-BRCA</v>
      </c>
      <c r="D15218" s="1" t="s">
        <v>493</v>
      </c>
      <c r="E15218" t="s">
        <v>533</v>
      </c>
      <c r="F15218" s="1">
        <v>2</v>
      </c>
      <c r="G15218" s="1" t="s">
        <v>28</v>
      </c>
      <c r="H15218" s="4" t="str">
        <f>HYPERLINK("https://portal.gdc.cancer.gov/cases/9ddc3e7b-8b54-4a83-8335-8053940f56c1","TCGA-BH-A18L-01A")</f>
        <v>TCGA-BH-A18L-01A</v>
      </c>
      <c r="I15218" t="s">
        <v>17</v>
      </c>
      <c r="J15218" t="s">
        <v>524</v>
      </c>
      <c r="K15218" t="s">
        <v>33</v>
      </c>
      <c r="L15218" t="s">
        <v>20</v>
      </c>
      <c r="N15218" t="s">
        <v>29</v>
      </c>
    </row>
    <row r="15219" spans="1:14">
      <c r="A15219" s="4" t="str">
        <f t="shared" si="1183"/>
        <v>EXP00415</v>
      </c>
      <c r="B15219" s="3" t="s">
        <v>66</v>
      </c>
      <c r="C15219" s="4" t="str">
        <f t="shared" si="1184"/>
        <v>TCGA-BRCA</v>
      </c>
      <c r="D15219" s="1" t="s">
        <v>493</v>
      </c>
      <c r="E15219" t="s">
        <v>533</v>
      </c>
      <c r="F15219" s="1">
        <v>2</v>
      </c>
      <c r="G15219" s="1" t="s">
        <v>28</v>
      </c>
      <c r="H15219" s="4" t="str">
        <f>HYPERLINK("https://portal.gdc.cancer.gov/cases/f63722c1-a0bb-4bf9-8a10-1d76a8e1a0ba","TCGA-BH-A18M-01A")</f>
        <v>TCGA-BH-A18M-01A</v>
      </c>
      <c r="I15219" t="s">
        <v>17</v>
      </c>
      <c r="J15219" t="s">
        <v>524</v>
      </c>
      <c r="K15219" t="s">
        <v>33</v>
      </c>
      <c r="L15219" t="s">
        <v>20</v>
      </c>
      <c r="N15219" t="s">
        <v>29</v>
      </c>
    </row>
    <row r="15220" spans="1:14">
      <c r="A15220" s="4" t="str">
        <f t="shared" si="1183"/>
        <v>EXP00415</v>
      </c>
      <c r="B15220" s="3" t="s">
        <v>66</v>
      </c>
      <c r="C15220" s="4" t="str">
        <f t="shared" si="1184"/>
        <v>TCGA-BRCA</v>
      </c>
      <c r="D15220" s="1" t="s">
        <v>493</v>
      </c>
      <c r="E15220" t="s">
        <v>533</v>
      </c>
      <c r="F15220" s="1">
        <v>2</v>
      </c>
      <c r="G15220" s="1" t="s">
        <v>28</v>
      </c>
      <c r="H15220" s="4" t="str">
        <f>HYPERLINK("https://portal.gdc.cancer.gov/cases/665dd3d3-779c-4abd-b5d7-13342340451d","TCGA-BH-A18N-01A")</f>
        <v>TCGA-BH-A18N-01A</v>
      </c>
      <c r="I15220" t="s">
        <v>17</v>
      </c>
      <c r="J15220" t="s">
        <v>524</v>
      </c>
      <c r="K15220" t="s">
        <v>33</v>
      </c>
      <c r="L15220" t="s">
        <v>20</v>
      </c>
      <c r="N15220" t="s">
        <v>29</v>
      </c>
    </row>
    <row r="15221" spans="1:14">
      <c r="A15221" s="4" t="str">
        <f t="shared" si="1183"/>
        <v>EXP00415</v>
      </c>
      <c r="B15221" s="3" t="s">
        <v>66</v>
      </c>
      <c r="C15221" s="4" t="str">
        <f t="shared" si="1184"/>
        <v>TCGA-BRCA</v>
      </c>
      <c r="D15221" s="1" t="s">
        <v>493</v>
      </c>
      <c r="E15221" t="s">
        <v>533</v>
      </c>
      <c r="F15221" s="1">
        <v>2</v>
      </c>
      <c r="G15221" s="1" t="s">
        <v>28</v>
      </c>
      <c r="H15221" s="4" t="str">
        <f>HYPERLINK("https://portal.gdc.cancer.gov/cases/557cb0a3-6f1b-4faf-8296-0a15c24158f9","TCGA-BH-A18P-01A")</f>
        <v>TCGA-BH-A18P-01A</v>
      </c>
      <c r="I15221" t="s">
        <v>17</v>
      </c>
      <c r="J15221" t="s">
        <v>524</v>
      </c>
      <c r="K15221" t="s">
        <v>33</v>
      </c>
      <c r="L15221" t="s">
        <v>20</v>
      </c>
      <c r="N15221" t="s">
        <v>29</v>
      </c>
    </row>
    <row r="15222" spans="1:14">
      <c r="A15222" s="4" t="str">
        <f t="shared" si="1183"/>
        <v>EXP00415</v>
      </c>
      <c r="B15222" s="3" t="s">
        <v>66</v>
      </c>
      <c r="C15222" s="4" t="str">
        <f t="shared" si="1184"/>
        <v>TCGA-BRCA</v>
      </c>
      <c r="D15222" s="1" t="s">
        <v>493</v>
      </c>
      <c r="E15222" t="s">
        <v>533</v>
      </c>
      <c r="F15222" s="1">
        <v>2</v>
      </c>
      <c r="G15222" s="1" t="s">
        <v>28</v>
      </c>
      <c r="H15222" s="4" t="str">
        <f>HYPERLINK("https://portal.gdc.cancer.gov/cases/db4bc6aa-2e7d-4bcb-8519-a455f624d33b","TCGA-BH-A18Q-01A")</f>
        <v>TCGA-BH-A18Q-01A</v>
      </c>
      <c r="I15222" t="s">
        <v>17</v>
      </c>
      <c r="J15222" t="s">
        <v>524</v>
      </c>
      <c r="K15222" t="s">
        <v>33</v>
      </c>
      <c r="L15222" t="s">
        <v>20</v>
      </c>
      <c r="N15222" t="s">
        <v>29</v>
      </c>
    </row>
    <row r="15223" spans="1:14">
      <c r="A15223" s="4" t="str">
        <f t="shared" si="1183"/>
        <v>EXP00415</v>
      </c>
      <c r="B15223" s="3" t="s">
        <v>66</v>
      </c>
      <c r="C15223" s="4" t="str">
        <f t="shared" si="1184"/>
        <v>TCGA-BRCA</v>
      </c>
      <c r="D15223" s="1" t="s">
        <v>493</v>
      </c>
      <c r="E15223" t="s">
        <v>533</v>
      </c>
      <c r="F15223" s="1">
        <v>2</v>
      </c>
      <c r="G15223" s="1" t="s">
        <v>28</v>
      </c>
      <c r="H15223" s="4" t="str">
        <f>HYPERLINK("https://portal.gdc.cancer.gov/cases/f6e1ec78-5ad9-4879-9b7e-262d17b166ad","TCGA-BH-A18R-01A")</f>
        <v>TCGA-BH-A18R-01A</v>
      </c>
      <c r="I15223" t="s">
        <v>17</v>
      </c>
      <c r="J15223" t="s">
        <v>524</v>
      </c>
      <c r="K15223" t="s">
        <v>33</v>
      </c>
      <c r="L15223" t="s">
        <v>20</v>
      </c>
      <c r="N15223" t="s">
        <v>29</v>
      </c>
    </row>
    <row r="15224" spans="1:14">
      <c r="A15224" s="4" t="str">
        <f t="shared" ref="A15224:A15287" si="1185">HYPERLINK("http://hcmdb.i-sanger.com/experiment/details/experiment_id/EXP00415","EXP00415")</f>
        <v>EXP00415</v>
      </c>
      <c r="B15224" s="3" t="s">
        <v>66</v>
      </c>
      <c r="C15224" s="4" t="str">
        <f t="shared" si="1184"/>
        <v>TCGA-BRCA</v>
      </c>
      <c r="D15224" s="1" t="s">
        <v>493</v>
      </c>
      <c r="E15224" t="s">
        <v>533</v>
      </c>
      <c r="F15224" s="1">
        <v>2</v>
      </c>
      <c r="G15224" s="1" t="s">
        <v>28</v>
      </c>
      <c r="H15224" s="4" t="str">
        <f>HYPERLINK("https://portal.gdc.cancer.gov/cases/433427a1-bacf-4381-91ba-5fec8a0953f9","TCGA-BH-A18S-01A")</f>
        <v>TCGA-BH-A18S-01A</v>
      </c>
      <c r="I15224" t="s">
        <v>17</v>
      </c>
      <c r="J15224" t="s">
        <v>524</v>
      </c>
      <c r="K15224" t="s">
        <v>33</v>
      </c>
      <c r="L15224" t="s">
        <v>20</v>
      </c>
      <c r="N15224" t="s">
        <v>29</v>
      </c>
    </row>
    <row r="15225" spans="1:14">
      <c r="A15225" s="4" t="str">
        <f t="shared" si="1185"/>
        <v>EXP00415</v>
      </c>
      <c r="B15225" s="3" t="s">
        <v>66</v>
      </c>
      <c r="C15225" s="4" t="str">
        <f t="shared" si="1184"/>
        <v>TCGA-BRCA</v>
      </c>
      <c r="D15225" s="1" t="s">
        <v>493</v>
      </c>
      <c r="E15225" t="s">
        <v>533</v>
      </c>
      <c r="F15225" s="1">
        <v>2</v>
      </c>
      <c r="G15225" s="1" t="s">
        <v>28</v>
      </c>
      <c r="H15225" s="4" t="str">
        <f>HYPERLINK("https://portal.gdc.cancer.gov/cases/30ec8b1f-28c4-4f46-8a1b-a8d51e558c7d","TCGA-BH-A18T-01A")</f>
        <v>TCGA-BH-A18T-01A</v>
      </c>
      <c r="I15225" t="s">
        <v>17</v>
      </c>
      <c r="J15225" t="s">
        <v>524</v>
      </c>
      <c r="K15225" t="s">
        <v>33</v>
      </c>
      <c r="L15225" t="s">
        <v>20</v>
      </c>
      <c r="N15225" t="s">
        <v>29</v>
      </c>
    </row>
    <row r="15226" spans="1:14">
      <c r="A15226" s="4" t="str">
        <f t="shared" si="1185"/>
        <v>EXP00415</v>
      </c>
      <c r="B15226" s="3" t="s">
        <v>66</v>
      </c>
      <c r="C15226" s="4" t="str">
        <f t="shared" ref="C15226:C15289" si="1186">HYPERLINK("https://portal.gdc.cancer.gov/projects/TCGA-BRCA","TCGA-BRCA")</f>
        <v>TCGA-BRCA</v>
      </c>
      <c r="D15226" s="1" t="s">
        <v>493</v>
      </c>
      <c r="E15226" t="s">
        <v>533</v>
      </c>
      <c r="F15226" s="1">
        <v>2</v>
      </c>
      <c r="G15226" s="1" t="s">
        <v>28</v>
      </c>
      <c r="H15226" s="4" t="str">
        <f>HYPERLINK("https://portal.gdc.cancer.gov/cases/233b02f3-c4f0-4a67-9db5-e68d5cdaccb6","TCGA-BH-A18U-01A")</f>
        <v>TCGA-BH-A18U-01A</v>
      </c>
      <c r="I15226" t="s">
        <v>17</v>
      </c>
      <c r="J15226" t="s">
        <v>524</v>
      </c>
      <c r="K15226" t="s">
        <v>33</v>
      </c>
      <c r="L15226" t="s">
        <v>20</v>
      </c>
      <c r="N15226" t="s">
        <v>29</v>
      </c>
    </row>
    <row r="15227" spans="1:14">
      <c r="A15227" s="4" t="str">
        <f t="shared" si="1185"/>
        <v>EXP00415</v>
      </c>
      <c r="B15227" s="3" t="s">
        <v>66</v>
      </c>
      <c r="C15227" s="4" t="str">
        <f t="shared" si="1186"/>
        <v>TCGA-BRCA</v>
      </c>
      <c r="D15227" s="1" t="s">
        <v>493</v>
      </c>
      <c r="E15227" t="s">
        <v>533</v>
      </c>
      <c r="F15227" s="1">
        <v>2</v>
      </c>
      <c r="G15227" s="1" t="s">
        <v>28</v>
      </c>
      <c r="H15227" s="4" t="str">
        <f>HYPERLINK("https://portal.gdc.cancer.gov/cases/858652b8-c4c2-41d8-be32-fdc88e1a7bb0","TCGA-BH-A1EN-01A")</f>
        <v>TCGA-BH-A1EN-01A</v>
      </c>
      <c r="I15227" t="s">
        <v>17</v>
      </c>
      <c r="J15227" t="s">
        <v>524</v>
      </c>
      <c r="K15227" t="s">
        <v>33</v>
      </c>
      <c r="L15227" t="s">
        <v>20</v>
      </c>
      <c r="N15227" t="s">
        <v>29</v>
      </c>
    </row>
    <row r="15228" spans="1:14">
      <c r="A15228" s="4" t="str">
        <f t="shared" si="1185"/>
        <v>EXP00415</v>
      </c>
      <c r="B15228" s="3" t="s">
        <v>66</v>
      </c>
      <c r="C15228" s="4" t="str">
        <f t="shared" si="1186"/>
        <v>TCGA-BRCA</v>
      </c>
      <c r="D15228" s="1" t="s">
        <v>493</v>
      </c>
      <c r="E15228" t="s">
        <v>533</v>
      </c>
      <c r="F15228" s="1">
        <v>2</v>
      </c>
      <c r="G15228" s="1" t="s">
        <v>28</v>
      </c>
      <c r="H15228" s="4" t="str">
        <f>HYPERLINK("https://portal.gdc.cancer.gov/cases/4510295e-8aa7-4ef1-b2b7-91cc902f8200","TCGA-BH-A1EO-01A")</f>
        <v>TCGA-BH-A1EO-01A</v>
      </c>
      <c r="I15228" t="s">
        <v>17</v>
      </c>
      <c r="J15228" t="s">
        <v>524</v>
      </c>
      <c r="K15228" t="s">
        <v>33</v>
      </c>
      <c r="L15228" t="s">
        <v>20</v>
      </c>
      <c r="N15228" t="s">
        <v>29</v>
      </c>
    </row>
    <row r="15229" spans="1:14">
      <c r="A15229" s="4" t="str">
        <f t="shared" si="1185"/>
        <v>EXP00415</v>
      </c>
      <c r="B15229" s="3" t="s">
        <v>66</v>
      </c>
      <c r="C15229" s="4" t="str">
        <f t="shared" si="1186"/>
        <v>TCGA-BRCA</v>
      </c>
      <c r="D15229" s="1" t="s">
        <v>493</v>
      </c>
      <c r="E15229" t="s">
        <v>533</v>
      </c>
      <c r="F15229" s="1">
        <v>2</v>
      </c>
      <c r="G15229" s="1" t="s">
        <v>28</v>
      </c>
      <c r="H15229" s="4" t="str">
        <f>HYPERLINK("https://portal.gdc.cancer.gov/cases/8986a141-eae7-4157-b695-02cc6fc3b071","TCGA-BH-A1ET-01A")</f>
        <v>TCGA-BH-A1ET-01A</v>
      </c>
      <c r="I15229" t="s">
        <v>17</v>
      </c>
      <c r="J15229" t="s">
        <v>524</v>
      </c>
      <c r="K15229" t="s">
        <v>33</v>
      </c>
      <c r="L15229" t="s">
        <v>20</v>
      </c>
      <c r="N15229" t="s">
        <v>29</v>
      </c>
    </row>
    <row r="15230" spans="1:14">
      <c r="A15230" s="4" t="str">
        <f t="shared" si="1185"/>
        <v>EXP00415</v>
      </c>
      <c r="B15230" s="3" t="s">
        <v>66</v>
      </c>
      <c r="C15230" s="4" t="str">
        <f t="shared" si="1186"/>
        <v>TCGA-BRCA</v>
      </c>
      <c r="D15230" s="1" t="s">
        <v>493</v>
      </c>
      <c r="E15230" t="s">
        <v>533</v>
      </c>
      <c r="F15230" s="1">
        <v>2</v>
      </c>
      <c r="G15230" s="1" t="s">
        <v>28</v>
      </c>
      <c r="H15230" s="4" t="str">
        <f>HYPERLINK("https://portal.gdc.cancer.gov/cases/a1093598-d3a8-4ffe-83fc-bc7d1faff7e5","TCGA-BH-A1EU-01A")</f>
        <v>TCGA-BH-A1EU-01A</v>
      </c>
      <c r="I15230" t="s">
        <v>17</v>
      </c>
      <c r="J15230" t="s">
        <v>524</v>
      </c>
      <c r="K15230" t="s">
        <v>33</v>
      </c>
      <c r="L15230" t="s">
        <v>20</v>
      </c>
      <c r="N15230" t="s">
        <v>29</v>
      </c>
    </row>
    <row r="15231" spans="1:14">
      <c r="A15231" s="4" t="str">
        <f t="shared" si="1185"/>
        <v>EXP00415</v>
      </c>
      <c r="B15231" s="3" t="s">
        <v>66</v>
      </c>
      <c r="C15231" s="4" t="str">
        <f t="shared" si="1186"/>
        <v>TCGA-BRCA</v>
      </c>
      <c r="D15231" s="1" t="s">
        <v>493</v>
      </c>
      <c r="E15231" t="s">
        <v>533</v>
      </c>
      <c r="F15231" s="1">
        <v>2</v>
      </c>
      <c r="G15231" s="1" t="s">
        <v>28</v>
      </c>
      <c r="H15231" s="4" t="str">
        <f>HYPERLINK("https://portal.gdc.cancer.gov/cases/417dea5f-f68e-4dab-940e-43ae8c67e5e6","TCGA-BH-A1EV-01A")</f>
        <v>TCGA-BH-A1EV-01A</v>
      </c>
      <c r="I15231" t="s">
        <v>17</v>
      </c>
      <c r="J15231" t="s">
        <v>524</v>
      </c>
      <c r="K15231" t="s">
        <v>33</v>
      </c>
      <c r="L15231" t="s">
        <v>20</v>
      </c>
      <c r="N15231" t="s">
        <v>29</v>
      </c>
    </row>
    <row r="15232" spans="1:14">
      <c r="A15232" s="4" t="str">
        <f t="shared" si="1185"/>
        <v>EXP00415</v>
      </c>
      <c r="B15232" s="3" t="s">
        <v>66</v>
      </c>
      <c r="C15232" s="4" t="str">
        <f t="shared" si="1186"/>
        <v>TCGA-BRCA</v>
      </c>
      <c r="D15232" s="1" t="s">
        <v>493</v>
      </c>
      <c r="E15232" t="s">
        <v>533</v>
      </c>
      <c r="F15232" s="1">
        <v>2</v>
      </c>
      <c r="G15232" s="1" t="s">
        <v>28</v>
      </c>
      <c r="H15232" s="4" t="str">
        <f>HYPERLINK("https://portal.gdc.cancer.gov/cases/9d166970-07c8-4ca3-9cfa-ed0049df9ecc","TCGA-BH-A1EW-01A")</f>
        <v>TCGA-BH-A1EW-01A</v>
      </c>
      <c r="I15232" t="s">
        <v>17</v>
      </c>
      <c r="J15232" t="s">
        <v>524</v>
      </c>
      <c r="K15232" t="s">
        <v>33</v>
      </c>
      <c r="L15232" t="s">
        <v>20</v>
      </c>
      <c r="N15232" t="s">
        <v>29</v>
      </c>
    </row>
    <row r="15233" spans="1:14">
      <c r="A15233" s="4" t="str">
        <f t="shared" si="1185"/>
        <v>EXP00415</v>
      </c>
      <c r="B15233" s="3" t="s">
        <v>66</v>
      </c>
      <c r="C15233" s="4" t="str">
        <f t="shared" si="1186"/>
        <v>TCGA-BRCA</v>
      </c>
      <c r="D15233" s="1" t="s">
        <v>493</v>
      </c>
      <c r="E15233" t="s">
        <v>533</v>
      </c>
      <c r="F15233" s="1">
        <v>2</v>
      </c>
      <c r="G15233" s="1" t="s">
        <v>28</v>
      </c>
      <c r="H15233" s="4" t="str">
        <f>HYPERLINK("https://portal.gdc.cancer.gov/cases/7b892055-c59d-4550-8688-ad039790af3d","TCGA-BH-A1EX-01A")</f>
        <v>TCGA-BH-A1EX-01A</v>
      </c>
      <c r="I15233" t="s">
        <v>17</v>
      </c>
      <c r="J15233" t="s">
        <v>524</v>
      </c>
      <c r="K15233" t="s">
        <v>33</v>
      </c>
      <c r="L15233" t="s">
        <v>20</v>
      </c>
      <c r="N15233" t="s">
        <v>29</v>
      </c>
    </row>
    <row r="15234" spans="1:14">
      <c r="A15234" s="4" t="str">
        <f t="shared" si="1185"/>
        <v>EXP00415</v>
      </c>
      <c r="B15234" s="3" t="s">
        <v>66</v>
      </c>
      <c r="C15234" s="4" t="str">
        <f t="shared" si="1186"/>
        <v>TCGA-BRCA</v>
      </c>
      <c r="D15234" s="1" t="s">
        <v>493</v>
      </c>
      <c r="E15234" t="s">
        <v>533</v>
      </c>
      <c r="F15234" s="1">
        <v>2</v>
      </c>
      <c r="G15234" s="1" t="s">
        <v>28</v>
      </c>
      <c r="H15234" s="4" t="str">
        <f>HYPERLINK("https://portal.gdc.cancer.gov/cases/0741b5db-4405-42ba-b63a-c6ee4f341480","TCGA-BH-A1EY-01A")</f>
        <v>TCGA-BH-A1EY-01A</v>
      </c>
      <c r="I15234" t="s">
        <v>17</v>
      </c>
      <c r="J15234" t="s">
        <v>524</v>
      </c>
      <c r="K15234" t="s">
        <v>33</v>
      </c>
      <c r="L15234" t="s">
        <v>20</v>
      </c>
      <c r="N15234" t="s">
        <v>29</v>
      </c>
    </row>
    <row r="15235" spans="1:14">
      <c r="A15235" s="4" t="str">
        <f t="shared" si="1185"/>
        <v>EXP00415</v>
      </c>
      <c r="B15235" s="3" t="s">
        <v>66</v>
      </c>
      <c r="C15235" s="4" t="str">
        <f t="shared" si="1186"/>
        <v>TCGA-BRCA</v>
      </c>
      <c r="D15235" s="1" t="s">
        <v>493</v>
      </c>
      <c r="E15235" t="s">
        <v>533</v>
      </c>
      <c r="F15235" s="1">
        <v>2</v>
      </c>
      <c r="G15235" s="1" t="s">
        <v>28</v>
      </c>
      <c r="H15235" s="4" t="str">
        <f>HYPERLINK("https://portal.gdc.cancer.gov/cases/21ef1730-e5a7-47ce-b419-d000bb59ae15","TCGA-BH-A1F0-01A")</f>
        <v>TCGA-BH-A1F0-01A</v>
      </c>
      <c r="I15235" t="s">
        <v>17</v>
      </c>
      <c r="J15235" t="s">
        <v>524</v>
      </c>
      <c r="K15235" t="s">
        <v>33</v>
      </c>
      <c r="L15235" t="s">
        <v>20</v>
      </c>
      <c r="N15235" t="s">
        <v>29</v>
      </c>
    </row>
    <row r="15236" spans="1:14">
      <c r="A15236" s="4" t="str">
        <f t="shared" si="1185"/>
        <v>EXP00415</v>
      </c>
      <c r="B15236" s="3" t="s">
        <v>66</v>
      </c>
      <c r="C15236" s="4" t="str">
        <f t="shared" si="1186"/>
        <v>TCGA-BRCA</v>
      </c>
      <c r="D15236" s="1" t="s">
        <v>493</v>
      </c>
      <c r="E15236" t="s">
        <v>533</v>
      </c>
      <c r="F15236" s="1">
        <v>2</v>
      </c>
      <c r="G15236" s="1" t="s">
        <v>28</v>
      </c>
      <c r="H15236" s="4" t="str">
        <f>HYPERLINK("https://portal.gdc.cancer.gov/cases/6a2972e3-cca9-47e5-aac0-b770f2399eeb","TCGA-BH-A1F2-01A")</f>
        <v>TCGA-BH-A1F2-01A</v>
      </c>
      <c r="I15236" t="s">
        <v>17</v>
      </c>
      <c r="J15236" t="s">
        <v>524</v>
      </c>
      <c r="K15236" t="s">
        <v>33</v>
      </c>
      <c r="L15236" t="s">
        <v>20</v>
      </c>
      <c r="N15236" t="s">
        <v>29</v>
      </c>
    </row>
    <row r="15237" spans="1:14">
      <c r="A15237" s="4" t="str">
        <f t="shared" si="1185"/>
        <v>EXP00415</v>
      </c>
      <c r="B15237" s="3" t="s">
        <v>66</v>
      </c>
      <c r="C15237" s="4" t="str">
        <f t="shared" si="1186"/>
        <v>TCGA-BRCA</v>
      </c>
      <c r="D15237" s="1" t="s">
        <v>493</v>
      </c>
      <c r="E15237" t="s">
        <v>533</v>
      </c>
      <c r="F15237" s="1">
        <v>2</v>
      </c>
      <c r="G15237" s="1" t="s">
        <v>28</v>
      </c>
      <c r="H15237" s="4" t="str">
        <f>HYPERLINK("https://portal.gdc.cancer.gov/cases/e663954c-05a8-479a-a623-400c1eb5efc6","TCGA-BH-A1F5-01A")</f>
        <v>TCGA-BH-A1F5-01A</v>
      </c>
      <c r="I15237" t="s">
        <v>17</v>
      </c>
      <c r="J15237" t="s">
        <v>524</v>
      </c>
      <c r="K15237" t="s">
        <v>33</v>
      </c>
      <c r="L15237" t="s">
        <v>20</v>
      </c>
      <c r="N15237" t="s">
        <v>29</v>
      </c>
    </row>
    <row r="15238" spans="1:14">
      <c r="A15238" s="4" t="str">
        <f t="shared" si="1185"/>
        <v>EXP00415</v>
      </c>
      <c r="B15238" s="3" t="s">
        <v>66</v>
      </c>
      <c r="C15238" s="4" t="str">
        <f t="shared" si="1186"/>
        <v>TCGA-BRCA</v>
      </c>
      <c r="D15238" s="1" t="s">
        <v>493</v>
      </c>
      <c r="E15238" t="s">
        <v>533</v>
      </c>
      <c r="F15238" s="1">
        <v>2</v>
      </c>
      <c r="G15238" s="1" t="s">
        <v>28</v>
      </c>
      <c r="H15238" s="4" t="str">
        <f>HYPERLINK("https://portal.gdc.cancer.gov/cases/ad18820b-a804-49c0-ba8a-86c09fa6bce2","TCGA-BH-A1F6-01A")</f>
        <v>TCGA-BH-A1F6-01A</v>
      </c>
      <c r="I15238" t="s">
        <v>17</v>
      </c>
      <c r="J15238" t="s">
        <v>524</v>
      </c>
      <c r="K15238" t="s">
        <v>33</v>
      </c>
      <c r="L15238" t="s">
        <v>20</v>
      </c>
      <c r="N15238" t="s">
        <v>29</v>
      </c>
    </row>
    <row r="15239" spans="1:14">
      <c r="A15239" s="4" t="str">
        <f t="shared" si="1185"/>
        <v>EXP00415</v>
      </c>
      <c r="B15239" s="3" t="s">
        <v>66</v>
      </c>
      <c r="C15239" s="4" t="str">
        <f t="shared" si="1186"/>
        <v>TCGA-BRCA</v>
      </c>
      <c r="D15239" s="1" t="s">
        <v>493</v>
      </c>
      <c r="E15239" t="s">
        <v>533</v>
      </c>
      <c r="F15239" s="1">
        <v>2</v>
      </c>
      <c r="G15239" s="1" t="s">
        <v>28</v>
      </c>
      <c r="H15239" s="4" t="str">
        <f>HYPERLINK("https://portal.gdc.cancer.gov/cases/ee554215-bea2-4268-aaf9-784e68cdb969","TCGA-BH-A1F8-01A")</f>
        <v>TCGA-BH-A1F8-01A</v>
      </c>
      <c r="I15239" t="s">
        <v>17</v>
      </c>
      <c r="J15239" t="s">
        <v>524</v>
      </c>
      <c r="K15239" t="s">
        <v>33</v>
      </c>
      <c r="L15239" t="s">
        <v>20</v>
      </c>
      <c r="N15239" t="s">
        <v>29</v>
      </c>
    </row>
    <row r="15240" spans="1:14">
      <c r="A15240" s="4" t="str">
        <f t="shared" si="1185"/>
        <v>EXP00415</v>
      </c>
      <c r="B15240" s="3" t="s">
        <v>66</v>
      </c>
      <c r="C15240" s="4" t="str">
        <f t="shared" si="1186"/>
        <v>TCGA-BRCA</v>
      </c>
      <c r="D15240" s="1" t="s">
        <v>493</v>
      </c>
      <c r="E15240" t="s">
        <v>533</v>
      </c>
      <c r="F15240" s="1">
        <v>2</v>
      </c>
      <c r="G15240" s="1" t="s">
        <v>28</v>
      </c>
      <c r="H15240" s="4" t="str">
        <f>HYPERLINK("https://portal.gdc.cancer.gov/cases/ecab16bc-28d5-4c3a-8735-3c785bd047c4","TCGA-BH-A1FB-01A")</f>
        <v>TCGA-BH-A1FB-01A</v>
      </c>
      <c r="I15240" t="s">
        <v>17</v>
      </c>
      <c r="J15240" t="s">
        <v>524</v>
      </c>
      <c r="K15240" t="s">
        <v>33</v>
      </c>
      <c r="L15240" t="s">
        <v>20</v>
      </c>
      <c r="N15240" t="s">
        <v>29</v>
      </c>
    </row>
    <row r="15241" spans="1:14">
      <c r="A15241" s="4" t="str">
        <f t="shared" si="1185"/>
        <v>EXP00415</v>
      </c>
      <c r="B15241" s="3" t="s">
        <v>66</v>
      </c>
      <c r="C15241" s="4" t="str">
        <f t="shared" si="1186"/>
        <v>TCGA-BRCA</v>
      </c>
      <c r="D15241" s="1" t="s">
        <v>493</v>
      </c>
      <c r="E15241" t="s">
        <v>533</v>
      </c>
      <c r="F15241" s="1">
        <v>2</v>
      </c>
      <c r="G15241" s="1" t="s">
        <v>28</v>
      </c>
      <c r="H15241" s="4" t="str">
        <f>HYPERLINK("https://portal.gdc.cancer.gov/cases/b97bf89a-7a85-4eef-ae7e-f787aead1f0a","TCGA-BH-A1FC-01A")</f>
        <v>TCGA-BH-A1FC-01A</v>
      </c>
      <c r="I15241" t="s">
        <v>17</v>
      </c>
      <c r="J15241" t="s">
        <v>524</v>
      </c>
      <c r="K15241" t="s">
        <v>33</v>
      </c>
      <c r="L15241" t="s">
        <v>20</v>
      </c>
      <c r="N15241" t="s">
        <v>29</v>
      </c>
    </row>
    <row r="15242" spans="1:14">
      <c r="A15242" s="4" t="str">
        <f t="shared" si="1185"/>
        <v>EXP00415</v>
      </c>
      <c r="B15242" s="3" t="s">
        <v>66</v>
      </c>
      <c r="C15242" s="4" t="str">
        <f t="shared" si="1186"/>
        <v>TCGA-BRCA</v>
      </c>
      <c r="D15242" s="1" t="s">
        <v>493</v>
      </c>
      <c r="E15242" t="s">
        <v>533</v>
      </c>
      <c r="F15242" s="1">
        <v>2</v>
      </c>
      <c r="G15242" s="1" t="s">
        <v>28</v>
      </c>
      <c r="H15242" s="4" t="str">
        <f>HYPERLINK("https://portal.gdc.cancer.gov/cases/d4e7426c-9739-4585-9114-e564b13c7c02","TCGA-BH-A1FG-01A")</f>
        <v>TCGA-BH-A1FG-01A</v>
      </c>
      <c r="I15242" t="s">
        <v>17</v>
      </c>
      <c r="J15242" t="s">
        <v>524</v>
      </c>
      <c r="K15242" t="s">
        <v>33</v>
      </c>
      <c r="L15242" t="s">
        <v>20</v>
      </c>
      <c r="N15242" t="s">
        <v>29</v>
      </c>
    </row>
    <row r="15243" spans="1:14">
      <c r="A15243" s="4" t="str">
        <f t="shared" si="1185"/>
        <v>EXP00415</v>
      </c>
      <c r="B15243" s="3" t="s">
        <v>66</v>
      </c>
      <c r="C15243" s="4" t="str">
        <f t="shared" si="1186"/>
        <v>TCGA-BRCA</v>
      </c>
      <c r="D15243" s="1" t="s">
        <v>493</v>
      </c>
      <c r="E15243" t="s">
        <v>533</v>
      </c>
      <c r="F15243" s="1">
        <v>2</v>
      </c>
      <c r="G15243" s="1" t="s">
        <v>28</v>
      </c>
      <c r="H15243" s="4" t="str">
        <f>HYPERLINK("https://portal.gdc.cancer.gov/cases/1783cac1-253a-40af-a9ac-48dfb20e1ab8","TCGA-BH-A1FH-01A")</f>
        <v>TCGA-BH-A1FH-01A</v>
      </c>
      <c r="I15243" t="s">
        <v>17</v>
      </c>
      <c r="J15243" t="s">
        <v>524</v>
      </c>
      <c r="K15243" t="s">
        <v>33</v>
      </c>
      <c r="L15243" t="s">
        <v>20</v>
      </c>
      <c r="N15243" t="s">
        <v>29</v>
      </c>
    </row>
    <row r="15244" spans="1:14">
      <c r="A15244" s="4" t="str">
        <f t="shared" si="1185"/>
        <v>EXP00415</v>
      </c>
      <c r="B15244" s="3" t="s">
        <v>66</v>
      </c>
      <c r="C15244" s="4" t="str">
        <f t="shared" si="1186"/>
        <v>TCGA-BRCA</v>
      </c>
      <c r="D15244" s="1" t="s">
        <v>493</v>
      </c>
      <c r="E15244" t="s">
        <v>533</v>
      </c>
      <c r="F15244" s="1">
        <v>2</v>
      </c>
      <c r="G15244" s="1" t="s">
        <v>28</v>
      </c>
      <c r="H15244" s="4" t="str">
        <f>HYPERLINK("https://portal.gdc.cancer.gov/cases/f6581eee-61b9-43d4-ab0d-ce5ce3ba1c74","TCGA-BH-A1FJ-01A")</f>
        <v>TCGA-BH-A1FJ-01A</v>
      </c>
      <c r="I15244" t="s">
        <v>17</v>
      </c>
      <c r="J15244" t="s">
        <v>524</v>
      </c>
      <c r="K15244" t="s">
        <v>33</v>
      </c>
      <c r="L15244" t="s">
        <v>20</v>
      </c>
      <c r="N15244" t="s">
        <v>29</v>
      </c>
    </row>
    <row r="15245" spans="1:14">
      <c r="A15245" s="4" t="str">
        <f t="shared" si="1185"/>
        <v>EXP00415</v>
      </c>
      <c r="B15245" s="3" t="s">
        <v>66</v>
      </c>
      <c r="C15245" s="4" t="str">
        <f t="shared" si="1186"/>
        <v>TCGA-BRCA</v>
      </c>
      <c r="D15245" s="1" t="s">
        <v>493</v>
      </c>
      <c r="E15245" t="s">
        <v>533</v>
      </c>
      <c r="F15245" s="1">
        <v>2</v>
      </c>
      <c r="G15245" s="1" t="s">
        <v>28</v>
      </c>
      <c r="H15245" s="4" t="str">
        <f>HYPERLINK("https://portal.gdc.cancer.gov/cases/14d1d84e-99e1-41ad-8892-3b4da3d4f948","TCGA-BH-A1FL-01A")</f>
        <v>TCGA-BH-A1FL-01A</v>
      </c>
      <c r="I15245" t="s">
        <v>17</v>
      </c>
      <c r="J15245" t="s">
        <v>524</v>
      </c>
      <c r="K15245" t="s">
        <v>33</v>
      </c>
      <c r="L15245" t="s">
        <v>20</v>
      </c>
      <c r="N15245" t="s">
        <v>29</v>
      </c>
    </row>
    <row r="15246" spans="1:14">
      <c r="A15246" s="4" t="str">
        <f t="shared" si="1185"/>
        <v>EXP00415</v>
      </c>
      <c r="B15246" s="3" t="s">
        <v>66</v>
      </c>
      <c r="C15246" s="4" t="str">
        <f t="shared" si="1186"/>
        <v>TCGA-BRCA</v>
      </c>
      <c r="D15246" s="1" t="s">
        <v>493</v>
      </c>
      <c r="E15246" t="s">
        <v>533</v>
      </c>
      <c r="F15246" s="1">
        <v>2</v>
      </c>
      <c r="G15246" s="1" t="s">
        <v>28</v>
      </c>
      <c r="H15246" s="4" t="str">
        <f>HYPERLINK("https://portal.gdc.cancer.gov/cases/7eb18190-5a41-4637-9783-f81bbde499e4","TCGA-BH-A1FM-01A")</f>
        <v>TCGA-BH-A1FM-01A</v>
      </c>
      <c r="I15246" t="s">
        <v>17</v>
      </c>
      <c r="J15246" t="s">
        <v>524</v>
      </c>
      <c r="K15246" t="s">
        <v>33</v>
      </c>
      <c r="L15246" t="s">
        <v>20</v>
      </c>
      <c r="N15246" t="s">
        <v>29</v>
      </c>
    </row>
    <row r="15247" spans="1:14">
      <c r="A15247" s="4" t="str">
        <f t="shared" si="1185"/>
        <v>EXP00415</v>
      </c>
      <c r="B15247" s="3" t="s">
        <v>66</v>
      </c>
      <c r="C15247" s="4" t="str">
        <f t="shared" si="1186"/>
        <v>TCGA-BRCA</v>
      </c>
      <c r="D15247" s="1" t="s">
        <v>493</v>
      </c>
      <c r="E15247" t="s">
        <v>533</v>
      </c>
      <c r="F15247" s="1">
        <v>2</v>
      </c>
      <c r="G15247" s="1" t="s">
        <v>28</v>
      </c>
      <c r="H15247" s="4" t="str">
        <f>HYPERLINK("https://portal.gdc.cancer.gov/cases/6dd0dd7b-62ff-4fd1-a99a-b265f1a91dca","TCGA-BH-A1FN-01A")</f>
        <v>TCGA-BH-A1FN-01A</v>
      </c>
      <c r="I15247" t="s">
        <v>17</v>
      </c>
      <c r="J15247" t="s">
        <v>524</v>
      </c>
      <c r="K15247" t="s">
        <v>33</v>
      </c>
      <c r="L15247" t="s">
        <v>20</v>
      </c>
      <c r="N15247" t="s">
        <v>29</v>
      </c>
    </row>
    <row r="15248" spans="1:14">
      <c r="A15248" s="4" t="str">
        <f t="shared" si="1185"/>
        <v>EXP00415</v>
      </c>
      <c r="B15248" s="3" t="s">
        <v>66</v>
      </c>
      <c r="C15248" s="4" t="str">
        <f t="shared" si="1186"/>
        <v>TCGA-BRCA</v>
      </c>
      <c r="D15248" s="1" t="s">
        <v>493</v>
      </c>
      <c r="E15248" t="s">
        <v>533</v>
      </c>
      <c r="F15248" s="1">
        <v>2</v>
      </c>
      <c r="G15248" s="1" t="s">
        <v>28</v>
      </c>
      <c r="H15248" s="4" t="str">
        <f>HYPERLINK("https://portal.gdc.cancer.gov/cases/bf3b1481-ae31-4406-b084-b6cc1d7163e3","TCGA-BH-A1FR-01A")</f>
        <v>TCGA-BH-A1FR-01A</v>
      </c>
      <c r="I15248" t="s">
        <v>17</v>
      </c>
      <c r="J15248" t="s">
        <v>524</v>
      </c>
      <c r="K15248" t="s">
        <v>33</v>
      </c>
      <c r="L15248" t="s">
        <v>20</v>
      </c>
      <c r="N15248" t="s">
        <v>29</v>
      </c>
    </row>
    <row r="15249" spans="1:14">
      <c r="A15249" s="4" t="str">
        <f t="shared" si="1185"/>
        <v>EXP00415</v>
      </c>
      <c r="B15249" s="3" t="s">
        <v>66</v>
      </c>
      <c r="C15249" s="4" t="str">
        <f t="shared" si="1186"/>
        <v>TCGA-BRCA</v>
      </c>
      <c r="D15249" s="1" t="s">
        <v>493</v>
      </c>
      <c r="E15249" t="s">
        <v>533</v>
      </c>
      <c r="F15249" s="1">
        <v>2</v>
      </c>
      <c r="G15249" s="1" t="s">
        <v>28</v>
      </c>
      <c r="H15249" s="4" t="str">
        <f>HYPERLINK("https://portal.gdc.cancer.gov/cases/c348a9b3-c901-4384-a222-144387bac0c5","TCGA-BH-A1FU-01A")</f>
        <v>TCGA-BH-A1FU-01A</v>
      </c>
      <c r="I15249" t="s">
        <v>17</v>
      </c>
      <c r="J15249" t="s">
        <v>524</v>
      </c>
      <c r="K15249" t="s">
        <v>33</v>
      </c>
      <c r="L15249" t="s">
        <v>20</v>
      </c>
      <c r="N15249" t="s">
        <v>29</v>
      </c>
    </row>
    <row r="15250" spans="1:14">
      <c r="A15250" s="4" t="str">
        <f t="shared" si="1185"/>
        <v>EXP00415</v>
      </c>
      <c r="B15250" s="3" t="s">
        <v>66</v>
      </c>
      <c r="C15250" s="4" t="str">
        <f t="shared" si="1186"/>
        <v>TCGA-BRCA</v>
      </c>
      <c r="D15250" s="1" t="s">
        <v>493</v>
      </c>
      <c r="E15250" t="s">
        <v>533</v>
      </c>
      <c r="F15250" s="1">
        <v>2</v>
      </c>
      <c r="G15250" s="1" t="s">
        <v>28</v>
      </c>
      <c r="H15250" s="4" t="str">
        <f>HYPERLINK("https://portal.gdc.cancer.gov/cases/3bf81a9f-abb4-4495-a514-fd3865e13a03","TCGA-BH-A201-01A")</f>
        <v>TCGA-BH-A201-01A</v>
      </c>
      <c r="I15250" t="s">
        <v>17</v>
      </c>
      <c r="J15250" t="s">
        <v>524</v>
      </c>
      <c r="K15250" t="s">
        <v>33</v>
      </c>
      <c r="L15250" t="s">
        <v>20</v>
      </c>
      <c r="N15250" t="s">
        <v>29</v>
      </c>
    </row>
    <row r="15251" spans="1:14">
      <c r="A15251" s="4" t="str">
        <f t="shared" si="1185"/>
        <v>EXP00415</v>
      </c>
      <c r="B15251" s="3" t="s">
        <v>66</v>
      </c>
      <c r="C15251" s="4" t="str">
        <f t="shared" si="1186"/>
        <v>TCGA-BRCA</v>
      </c>
      <c r="D15251" s="1" t="s">
        <v>493</v>
      </c>
      <c r="E15251" t="s">
        <v>533</v>
      </c>
      <c r="F15251" s="1">
        <v>2</v>
      </c>
      <c r="G15251" s="1" t="s">
        <v>28</v>
      </c>
      <c r="H15251" s="4" t="str">
        <f>HYPERLINK("https://portal.gdc.cancer.gov/cases/e7a00d67-2c26-4d1f-bd17-35f659e88bc1","TCGA-BH-A202-01A")</f>
        <v>TCGA-BH-A202-01A</v>
      </c>
      <c r="I15251" t="s">
        <v>17</v>
      </c>
      <c r="J15251" t="s">
        <v>524</v>
      </c>
      <c r="K15251" t="s">
        <v>33</v>
      </c>
      <c r="L15251" t="s">
        <v>20</v>
      </c>
      <c r="N15251" t="s">
        <v>29</v>
      </c>
    </row>
    <row r="15252" spans="1:14">
      <c r="A15252" s="4" t="str">
        <f t="shared" si="1185"/>
        <v>EXP00415</v>
      </c>
      <c r="B15252" s="3" t="s">
        <v>66</v>
      </c>
      <c r="C15252" s="4" t="str">
        <f t="shared" si="1186"/>
        <v>TCGA-BRCA</v>
      </c>
      <c r="D15252" s="1" t="s">
        <v>493</v>
      </c>
      <c r="E15252" t="s">
        <v>533</v>
      </c>
      <c r="F15252" s="1">
        <v>2</v>
      </c>
      <c r="G15252" s="1" t="s">
        <v>28</v>
      </c>
      <c r="H15252" s="4" t="str">
        <f>HYPERLINK("https://portal.gdc.cancer.gov/cases/b3264748-947a-43aa-b227-b294fbcc8447","TCGA-BH-A203-01A")</f>
        <v>TCGA-BH-A203-01A</v>
      </c>
      <c r="I15252" t="s">
        <v>17</v>
      </c>
      <c r="J15252" t="s">
        <v>524</v>
      </c>
      <c r="K15252" t="s">
        <v>33</v>
      </c>
      <c r="L15252" t="s">
        <v>20</v>
      </c>
      <c r="N15252" t="s">
        <v>29</v>
      </c>
    </row>
    <row r="15253" spans="1:14">
      <c r="A15253" s="4" t="str">
        <f t="shared" si="1185"/>
        <v>EXP00415</v>
      </c>
      <c r="B15253" s="3" t="s">
        <v>66</v>
      </c>
      <c r="C15253" s="4" t="str">
        <f t="shared" si="1186"/>
        <v>TCGA-BRCA</v>
      </c>
      <c r="D15253" s="1" t="s">
        <v>493</v>
      </c>
      <c r="E15253" t="s">
        <v>533</v>
      </c>
      <c r="F15253" s="1">
        <v>2</v>
      </c>
      <c r="G15253" s="1" t="s">
        <v>28</v>
      </c>
      <c r="H15253" s="4" t="str">
        <f>HYPERLINK("https://portal.gdc.cancer.gov/cases/05135396-df5c-49db-b34e-f4add5b65a2b","TCGA-BH-A204-01A")</f>
        <v>TCGA-BH-A204-01A</v>
      </c>
      <c r="I15253" t="s">
        <v>17</v>
      </c>
      <c r="J15253" t="s">
        <v>524</v>
      </c>
      <c r="K15253" t="s">
        <v>33</v>
      </c>
      <c r="L15253" t="s">
        <v>20</v>
      </c>
      <c r="N15253" t="s">
        <v>29</v>
      </c>
    </row>
    <row r="15254" spans="1:14">
      <c r="A15254" s="4" t="str">
        <f t="shared" si="1185"/>
        <v>EXP00415</v>
      </c>
      <c r="B15254" s="3" t="s">
        <v>66</v>
      </c>
      <c r="C15254" s="4" t="str">
        <f t="shared" si="1186"/>
        <v>TCGA-BRCA</v>
      </c>
      <c r="D15254" s="1" t="s">
        <v>493</v>
      </c>
      <c r="E15254" t="s">
        <v>533</v>
      </c>
      <c r="F15254" s="1">
        <v>2</v>
      </c>
      <c r="G15254" s="1" t="s">
        <v>28</v>
      </c>
      <c r="H15254" s="4" t="str">
        <f>HYPERLINK("https://portal.gdc.cancer.gov/cases/ddcbdac6-9e43-4146-a611-d033125eba14","TCGA-BH-A208-01A")</f>
        <v>TCGA-BH-A208-01A</v>
      </c>
      <c r="I15254" t="s">
        <v>17</v>
      </c>
      <c r="J15254" t="s">
        <v>524</v>
      </c>
      <c r="K15254" t="s">
        <v>33</v>
      </c>
      <c r="L15254" t="s">
        <v>20</v>
      </c>
      <c r="N15254" t="s">
        <v>29</v>
      </c>
    </row>
    <row r="15255" spans="1:14">
      <c r="A15255" s="4" t="str">
        <f t="shared" si="1185"/>
        <v>EXP00415</v>
      </c>
      <c r="B15255" s="3" t="s">
        <v>66</v>
      </c>
      <c r="C15255" s="4" t="str">
        <f t="shared" si="1186"/>
        <v>TCGA-BRCA</v>
      </c>
      <c r="D15255" s="1" t="s">
        <v>493</v>
      </c>
      <c r="E15255" t="s">
        <v>533</v>
      </c>
      <c r="F15255" s="1">
        <v>2</v>
      </c>
      <c r="G15255" s="1" t="s">
        <v>28</v>
      </c>
      <c r="H15255" s="4" t="str">
        <f>HYPERLINK("https://portal.gdc.cancer.gov/cases/5258294f-ef5b-4091-9183-6bcc545d54b2","TCGA-BH-A209-01A")</f>
        <v>TCGA-BH-A209-01A</v>
      </c>
      <c r="I15255" t="s">
        <v>17</v>
      </c>
      <c r="J15255" t="s">
        <v>524</v>
      </c>
      <c r="K15255" t="s">
        <v>33</v>
      </c>
      <c r="L15255" t="s">
        <v>20</v>
      </c>
      <c r="N15255" t="s">
        <v>29</v>
      </c>
    </row>
    <row r="15256" spans="1:14">
      <c r="A15256" s="4" t="str">
        <f t="shared" si="1185"/>
        <v>EXP00415</v>
      </c>
      <c r="B15256" s="3" t="s">
        <v>66</v>
      </c>
      <c r="C15256" s="4" t="str">
        <f t="shared" si="1186"/>
        <v>TCGA-BRCA</v>
      </c>
      <c r="D15256" s="1" t="s">
        <v>493</v>
      </c>
      <c r="E15256" t="s">
        <v>533</v>
      </c>
      <c r="F15256" s="1">
        <v>2</v>
      </c>
      <c r="G15256" s="1" t="s">
        <v>28</v>
      </c>
      <c r="H15256" s="4" t="str">
        <f>HYPERLINK("https://portal.gdc.cancer.gov/cases/84b7ccf2-8ab3-4b21-96de-800d231bc072","TCGA-BH-A28O-01A")</f>
        <v>TCGA-BH-A28O-01A</v>
      </c>
      <c r="I15256" t="s">
        <v>17</v>
      </c>
      <c r="J15256" t="s">
        <v>524</v>
      </c>
      <c r="K15256" t="s">
        <v>33</v>
      </c>
      <c r="L15256" t="s">
        <v>20</v>
      </c>
      <c r="N15256" t="s">
        <v>29</v>
      </c>
    </row>
    <row r="15257" spans="1:14">
      <c r="A15257" s="4" t="str">
        <f t="shared" si="1185"/>
        <v>EXP00415</v>
      </c>
      <c r="B15257" s="3" t="s">
        <v>66</v>
      </c>
      <c r="C15257" s="4" t="str">
        <f t="shared" si="1186"/>
        <v>TCGA-BRCA</v>
      </c>
      <c r="D15257" s="1" t="s">
        <v>493</v>
      </c>
      <c r="E15257" t="s">
        <v>533</v>
      </c>
      <c r="F15257" s="1">
        <v>2</v>
      </c>
      <c r="G15257" s="1" t="s">
        <v>28</v>
      </c>
      <c r="H15257" s="4" t="str">
        <f>HYPERLINK("https://portal.gdc.cancer.gov/cases/32861b48-83f5-43a3-bb54-45215ad2c5d6","TCGA-BH-A28Q-01A")</f>
        <v>TCGA-BH-A28Q-01A</v>
      </c>
      <c r="I15257" t="s">
        <v>17</v>
      </c>
      <c r="J15257" t="s">
        <v>524</v>
      </c>
      <c r="K15257" t="s">
        <v>33</v>
      </c>
      <c r="L15257" t="s">
        <v>20</v>
      </c>
      <c r="N15257" t="s">
        <v>29</v>
      </c>
    </row>
    <row r="15258" spans="1:14">
      <c r="A15258" s="4" t="str">
        <f t="shared" si="1185"/>
        <v>EXP00415</v>
      </c>
      <c r="B15258" s="3" t="s">
        <v>66</v>
      </c>
      <c r="C15258" s="4" t="str">
        <f t="shared" si="1186"/>
        <v>TCGA-BRCA</v>
      </c>
      <c r="D15258" s="1" t="s">
        <v>493</v>
      </c>
      <c r="E15258" t="s">
        <v>533</v>
      </c>
      <c r="F15258" s="1">
        <v>2</v>
      </c>
      <c r="G15258" s="1" t="s">
        <v>28</v>
      </c>
      <c r="H15258" s="4" t="str">
        <f>HYPERLINK("https://portal.gdc.cancer.gov/cases/bac4b268-c781-4408-96d8-43a48fec7418","TCGA-BH-A2L8-01A")</f>
        <v>TCGA-BH-A2L8-01A</v>
      </c>
      <c r="I15258" t="s">
        <v>17</v>
      </c>
      <c r="J15258" t="s">
        <v>524</v>
      </c>
      <c r="K15258" t="s">
        <v>33</v>
      </c>
      <c r="L15258" t="s">
        <v>20</v>
      </c>
      <c r="N15258" t="s">
        <v>29</v>
      </c>
    </row>
    <row r="15259" spans="1:14">
      <c r="A15259" s="4" t="str">
        <f t="shared" si="1185"/>
        <v>EXP00415</v>
      </c>
      <c r="B15259" s="3" t="s">
        <v>66</v>
      </c>
      <c r="C15259" s="4" t="str">
        <f t="shared" si="1186"/>
        <v>TCGA-BRCA</v>
      </c>
      <c r="D15259" s="1" t="s">
        <v>493</v>
      </c>
      <c r="E15259" t="s">
        <v>533</v>
      </c>
      <c r="F15259" s="1">
        <v>2</v>
      </c>
      <c r="G15259" s="1" t="s">
        <v>28</v>
      </c>
      <c r="H15259" s="4" t="str">
        <f>HYPERLINK("https://portal.gdc.cancer.gov/cases/10c829ec-fd66-49c4-8afe-ad3ae567372c","TCGA-BH-A42T-01A")</f>
        <v>TCGA-BH-A42T-01A</v>
      </c>
      <c r="I15259" t="s">
        <v>17</v>
      </c>
      <c r="J15259" t="s">
        <v>524</v>
      </c>
      <c r="K15259" t="s">
        <v>33</v>
      </c>
      <c r="L15259" t="s">
        <v>20</v>
      </c>
      <c r="N15259" t="s">
        <v>29</v>
      </c>
    </row>
    <row r="15260" spans="1:14">
      <c r="A15260" s="4" t="str">
        <f t="shared" si="1185"/>
        <v>EXP00415</v>
      </c>
      <c r="B15260" s="3" t="s">
        <v>66</v>
      </c>
      <c r="C15260" s="4" t="str">
        <f t="shared" si="1186"/>
        <v>TCGA-BRCA</v>
      </c>
      <c r="D15260" s="1" t="s">
        <v>493</v>
      </c>
      <c r="E15260" t="s">
        <v>533</v>
      </c>
      <c r="F15260" s="1">
        <v>2</v>
      </c>
      <c r="G15260" s="1" t="s">
        <v>28</v>
      </c>
      <c r="H15260" s="4" t="str">
        <f>HYPERLINK("https://portal.gdc.cancer.gov/cases/2dc1cec9-925a-417f-9e21-3c2143e711b4","TCGA-BH-A42U-01A")</f>
        <v>TCGA-BH-A42U-01A</v>
      </c>
      <c r="I15260" t="s">
        <v>17</v>
      </c>
      <c r="J15260" t="s">
        <v>524</v>
      </c>
      <c r="K15260" t="s">
        <v>33</v>
      </c>
      <c r="L15260" t="s">
        <v>20</v>
      </c>
      <c r="N15260" t="s">
        <v>29</v>
      </c>
    </row>
    <row r="15261" spans="1:14">
      <c r="A15261" s="4" t="str">
        <f t="shared" si="1185"/>
        <v>EXP00415</v>
      </c>
      <c r="B15261" s="3" t="s">
        <v>66</v>
      </c>
      <c r="C15261" s="4" t="str">
        <f t="shared" si="1186"/>
        <v>TCGA-BRCA</v>
      </c>
      <c r="D15261" s="1" t="s">
        <v>493</v>
      </c>
      <c r="E15261" t="s">
        <v>533</v>
      </c>
      <c r="F15261" s="1">
        <v>2</v>
      </c>
      <c r="G15261" s="1" t="s">
        <v>28</v>
      </c>
      <c r="H15261" s="4" t="str">
        <f>HYPERLINK("https://portal.gdc.cancer.gov/cases/57cf380d-ab52-467f-b9ae-740b2f84c820","TCGA-BH-A42V-01A")</f>
        <v>TCGA-BH-A42V-01A</v>
      </c>
      <c r="I15261" t="s">
        <v>17</v>
      </c>
      <c r="J15261" t="s">
        <v>524</v>
      </c>
      <c r="K15261" t="s">
        <v>33</v>
      </c>
      <c r="L15261" t="s">
        <v>20</v>
      </c>
      <c r="N15261" t="s">
        <v>29</v>
      </c>
    </row>
    <row r="15262" spans="1:14">
      <c r="A15262" s="4" t="str">
        <f t="shared" si="1185"/>
        <v>EXP00415</v>
      </c>
      <c r="B15262" s="3" t="s">
        <v>66</v>
      </c>
      <c r="C15262" s="4" t="str">
        <f t="shared" si="1186"/>
        <v>TCGA-BRCA</v>
      </c>
      <c r="D15262" s="1" t="s">
        <v>493</v>
      </c>
      <c r="E15262" t="s">
        <v>533</v>
      </c>
      <c r="F15262" s="1">
        <v>2</v>
      </c>
      <c r="G15262" s="1" t="s">
        <v>28</v>
      </c>
      <c r="H15262" s="4" t="str">
        <f>HYPERLINK("https://portal.gdc.cancer.gov/cases/a8a33ba9-0976-4e19-b0e9-fa5ba4d4eaa8","TCGA-BH-A5IZ-01A")</f>
        <v>TCGA-BH-A5IZ-01A</v>
      </c>
      <c r="I15262" t="s">
        <v>17</v>
      </c>
      <c r="J15262" t="s">
        <v>524</v>
      </c>
      <c r="K15262" t="s">
        <v>33</v>
      </c>
      <c r="L15262" t="s">
        <v>20</v>
      </c>
      <c r="N15262" t="s">
        <v>29</v>
      </c>
    </row>
    <row r="15263" spans="1:14">
      <c r="A15263" s="4" t="str">
        <f t="shared" si="1185"/>
        <v>EXP00415</v>
      </c>
      <c r="B15263" s="3" t="s">
        <v>66</v>
      </c>
      <c r="C15263" s="4" t="str">
        <f t="shared" si="1186"/>
        <v>TCGA-BRCA</v>
      </c>
      <c r="D15263" s="1" t="s">
        <v>493</v>
      </c>
      <c r="E15263" t="s">
        <v>533</v>
      </c>
      <c r="F15263" s="1">
        <v>2</v>
      </c>
      <c r="G15263" s="1" t="s">
        <v>28</v>
      </c>
      <c r="H15263" s="4" t="str">
        <f>HYPERLINK("https://portal.gdc.cancer.gov/cases/db55d9d9-dd56-4ca9-b1f1-0d929697b280","TCGA-BH-A5J0-01A")</f>
        <v>TCGA-BH-A5J0-01A</v>
      </c>
      <c r="I15263" t="s">
        <v>17</v>
      </c>
      <c r="J15263" t="s">
        <v>524</v>
      </c>
      <c r="K15263" t="s">
        <v>33</v>
      </c>
      <c r="L15263" t="s">
        <v>20</v>
      </c>
      <c r="N15263" t="s">
        <v>29</v>
      </c>
    </row>
    <row r="15264" spans="1:14">
      <c r="A15264" s="4" t="str">
        <f t="shared" si="1185"/>
        <v>EXP00415</v>
      </c>
      <c r="B15264" s="3" t="s">
        <v>66</v>
      </c>
      <c r="C15264" s="4" t="str">
        <f t="shared" si="1186"/>
        <v>TCGA-BRCA</v>
      </c>
      <c r="D15264" s="1" t="s">
        <v>493</v>
      </c>
      <c r="E15264" t="s">
        <v>533</v>
      </c>
      <c r="F15264" s="1">
        <v>2</v>
      </c>
      <c r="G15264" s="1" t="s">
        <v>28</v>
      </c>
      <c r="H15264" s="4" t="str">
        <f>HYPERLINK("https://portal.gdc.cancer.gov/cases/91b09291-5944-4691-a0d8-7d1ccc649b9b","TCGA-BH-A6R8-01A")</f>
        <v>TCGA-BH-A6R8-01A</v>
      </c>
      <c r="I15264" t="s">
        <v>17</v>
      </c>
      <c r="J15264" t="s">
        <v>524</v>
      </c>
      <c r="K15264" t="s">
        <v>33</v>
      </c>
      <c r="L15264" t="s">
        <v>20</v>
      </c>
      <c r="N15264" t="s">
        <v>29</v>
      </c>
    </row>
    <row r="15265" spans="1:14">
      <c r="A15265" s="4" t="str">
        <f t="shared" si="1185"/>
        <v>EXP00415</v>
      </c>
      <c r="B15265" s="3" t="s">
        <v>66</v>
      </c>
      <c r="C15265" s="4" t="str">
        <f t="shared" si="1186"/>
        <v>TCGA-BRCA</v>
      </c>
      <c r="D15265" s="1" t="s">
        <v>493</v>
      </c>
      <c r="E15265" t="s">
        <v>533</v>
      </c>
      <c r="F15265" s="1">
        <v>2</v>
      </c>
      <c r="G15265" s="1" t="s">
        <v>28</v>
      </c>
      <c r="H15265" s="4" t="str">
        <f>HYPERLINK("https://portal.gdc.cancer.gov/cases/43cc074d-b85a-4b0b-8feb-833094ffc565","TCGA-BH-A6R9-01A")</f>
        <v>TCGA-BH-A6R9-01A</v>
      </c>
      <c r="I15265" t="s">
        <v>17</v>
      </c>
      <c r="J15265" t="s">
        <v>524</v>
      </c>
      <c r="K15265" t="s">
        <v>33</v>
      </c>
      <c r="L15265" t="s">
        <v>20</v>
      </c>
      <c r="N15265" t="s">
        <v>29</v>
      </c>
    </row>
    <row r="15266" spans="1:14">
      <c r="A15266" s="4" t="str">
        <f t="shared" si="1185"/>
        <v>EXP00415</v>
      </c>
      <c r="B15266" s="3" t="s">
        <v>66</v>
      </c>
      <c r="C15266" s="4" t="str">
        <f t="shared" si="1186"/>
        <v>TCGA-BRCA</v>
      </c>
      <c r="D15266" s="1" t="s">
        <v>493</v>
      </c>
      <c r="E15266" t="s">
        <v>533</v>
      </c>
      <c r="F15266" s="1">
        <v>2</v>
      </c>
      <c r="G15266" s="1" t="s">
        <v>28</v>
      </c>
      <c r="H15266" s="4" t="str">
        <f>HYPERLINK("https://portal.gdc.cancer.gov/cases/5f4d16aa-9cc4-4edb-b714-394e2661439a","TCGA-BH-A8FY-01A")</f>
        <v>TCGA-BH-A8FY-01A</v>
      </c>
      <c r="I15266" t="s">
        <v>17</v>
      </c>
      <c r="J15266" t="s">
        <v>524</v>
      </c>
      <c r="K15266" t="s">
        <v>33</v>
      </c>
      <c r="L15266" t="s">
        <v>20</v>
      </c>
      <c r="N15266" t="s">
        <v>29</v>
      </c>
    </row>
    <row r="15267" spans="1:14">
      <c r="A15267" s="4" t="str">
        <f t="shared" si="1185"/>
        <v>EXP00415</v>
      </c>
      <c r="B15267" s="3" t="s">
        <v>66</v>
      </c>
      <c r="C15267" s="4" t="str">
        <f t="shared" si="1186"/>
        <v>TCGA-BRCA</v>
      </c>
      <c r="D15267" s="1" t="s">
        <v>493</v>
      </c>
      <c r="E15267" t="s">
        <v>533</v>
      </c>
      <c r="F15267" s="1">
        <v>2</v>
      </c>
      <c r="G15267" s="1" t="s">
        <v>28</v>
      </c>
      <c r="H15267" s="4" t="str">
        <f>HYPERLINK("https://portal.gdc.cancer.gov/cases/1cc30842-4a5b-4f07-b36f-5b84ceaa5662","TCGA-BH-A8FZ-01A")</f>
        <v>TCGA-BH-A8FZ-01A</v>
      </c>
      <c r="I15267" t="s">
        <v>17</v>
      </c>
      <c r="J15267" t="s">
        <v>524</v>
      </c>
      <c r="K15267" t="s">
        <v>33</v>
      </c>
      <c r="L15267" t="s">
        <v>20</v>
      </c>
      <c r="N15267" t="s">
        <v>29</v>
      </c>
    </row>
    <row r="15268" spans="1:14">
      <c r="A15268" s="4" t="str">
        <f t="shared" si="1185"/>
        <v>EXP00415</v>
      </c>
      <c r="B15268" s="3" t="s">
        <v>66</v>
      </c>
      <c r="C15268" s="4" t="str">
        <f t="shared" si="1186"/>
        <v>TCGA-BRCA</v>
      </c>
      <c r="D15268" s="1" t="s">
        <v>493</v>
      </c>
      <c r="E15268" t="s">
        <v>533</v>
      </c>
      <c r="F15268" s="1">
        <v>2</v>
      </c>
      <c r="G15268" s="1" t="s">
        <v>28</v>
      </c>
      <c r="H15268" s="4" t="str">
        <f>HYPERLINK("https://portal.gdc.cancer.gov/cases/59d60247-e549-4326-a672-50b05c13a291","TCGA-BH-A8G0-01A")</f>
        <v>TCGA-BH-A8G0-01A</v>
      </c>
      <c r="I15268" t="s">
        <v>17</v>
      </c>
      <c r="J15268" t="s">
        <v>524</v>
      </c>
      <c r="K15268" t="s">
        <v>33</v>
      </c>
      <c r="L15268" t="s">
        <v>20</v>
      </c>
      <c r="N15268" t="s">
        <v>29</v>
      </c>
    </row>
    <row r="15269" spans="1:14">
      <c r="A15269" s="4" t="str">
        <f t="shared" si="1185"/>
        <v>EXP00415</v>
      </c>
      <c r="B15269" s="3" t="s">
        <v>66</v>
      </c>
      <c r="C15269" s="4" t="str">
        <f t="shared" si="1186"/>
        <v>TCGA-BRCA</v>
      </c>
      <c r="D15269" s="1" t="s">
        <v>493</v>
      </c>
      <c r="E15269" t="s">
        <v>533</v>
      </c>
      <c r="F15269" s="1">
        <v>2</v>
      </c>
      <c r="G15269" s="1" t="s">
        <v>28</v>
      </c>
      <c r="H15269" s="4" t="str">
        <f>HYPERLINK("https://portal.gdc.cancer.gov/cases/09d6e904-7184-4788-8a19-04f8c46cb13f","TCGA-BH-AB28-01A")</f>
        <v>TCGA-BH-AB28-01A</v>
      </c>
      <c r="I15269" t="s">
        <v>17</v>
      </c>
      <c r="J15269" t="s">
        <v>524</v>
      </c>
      <c r="K15269" t="s">
        <v>33</v>
      </c>
      <c r="L15269" t="s">
        <v>20</v>
      </c>
      <c r="N15269" t="s">
        <v>29</v>
      </c>
    </row>
    <row r="15270" spans="1:14">
      <c r="A15270" s="4" t="str">
        <f t="shared" si="1185"/>
        <v>EXP00415</v>
      </c>
      <c r="B15270" s="3" t="s">
        <v>66</v>
      </c>
      <c r="C15270" s="4" t="str">
        <f t="shared" si="1186"/>
        <v>TCGA-BRCA</v>
      </c>
      <c r="D15270" s="1" t="s">
        <v>493</v>
      </c>
      <c r="E15270" t="s">
        <v>533</v>
      </c>
      <c r="F15270" s="1">
        <v>2</v>
      </c>
      <c r="G15270" s="1" t="s">
        <v>28</v>
      </c>
      <c r="H15270" s="4" t="str">
        <f>HYPERLINK("https://portal.gdc.cancer.gov/cases/6b923e30-2ddc-407f-91b1-c202f1373fbb","TCGA-C8-A12K-01A")</f>
        <v>TCGA-C8-A12K-01A</v>
      </c>
      <c r="I15270" t="s">
        <v>17</v>
      </c>
      <c r="J15270" t="s">
        <v>524</v>
      </c>
      <c r="K15270" t="s">
        <v>33</v>
      </c>
      <c r="L15270" t="s">
        <v>20</v>
      </c>
      <c r="N15270" t="s">
        <v>29</v>
      </c>
    </row>
    <row r="15271" spans="1:14">
      <c r="A15271" s="4" t="str">
        <f t="shared" si="1185"/>
        <v>EXP00415</v>
      </c>
      <c r="B15271" s="3" t="s">
        <v>66</v>
      </c>
      <c r="C15271" s="4" t="str">
        <f t="shared" si="1186"/>
        <v>TCGA-BRCA</v>
      </c>
      <c r="D15271" s="1" t="s">
        <v>493</v>
      </c>
      <c r="E15271" t="s">
        <v>533</v>
      </c>
      <c r="F15271" s="1">
        <v>2</v>
      </c>
      <c r="G15271" s="1" t="s">
        <v>28</v>
      </c>
      <c r="H15271" s="4" t="str">
        <f>HYPERLINK("https://portal.gdc.cancer.gov/cases/441919eb-8c9f-478c-bda3-8de4f8295e8a","TCGA-C8-A12L-01A")</f>
        <v>TCGA-C8-A12L-01A</v>
      </c>
      <c r="I15271" t="s">
        <v>17</v>
      </c>
      <c r="J15271" t="s">
        <v>524</v>
      </c>
      <c r="K15271" t="s">
        <v>33</v>
      </c>
      <c r="L15271" t="s">
        <v>20</v>
      </c>
      <c r="N15271" t="s">
        <v>29</v>
      </c>
    </row>
    <row r="15272" spans="1:14">
      <c r="A15272" s="4" t="str">
        <f t="shared" si="1185"/>
        <v>EXP00415</v>
      </c>
      <c r="B15272" s="3" t="s">
        <v>66</v>
      </c>
      <c r="C15272" s="4" t="str">
        <f t="shared" si="1186"/>
        <v>TCGA-BRCA</v>
      </c>
      <c r="D15272" s="1" t="s">
        <v>493</v>
      </c>
      <c r="E15272" t="s">
        <v>533</v>
      </c>
      <c r="F15272" s="1">
        <v>2</v>
      </c>
      <c r="G15272" s="1" t="s">
        <v>28</v>
      </c>
      <c r="H15272" s="4" t="str">
        <f>HYPERLINK("https://portal.gdc.cancer.gov/cases/dd0f8e5a-383d-4f03-bb71-0e115d4e442c","TCGA-C8-A12M-01A")</f>
        <v>TCGA-C8-A12M-01A</v>
      </c>
      <c r="I15272" t="s">
        <v>17</v>
      </c>
      <c r="J15272" t="s">
        <v>524</v>
      </c>
      <c r="K15272" t="s">
        <v>33</v>
      </c>
      <c r="L15272" t="s">
        <v>20</v>
      </c>
      <c r="N15272" t="s">
        <v>29</v>
      </c>
    </row>
    <row r="15273" spans="1:14">
      <c r="A15273" s="4" t="str">
        <f t="shared" si="1185"/>
        <v>EXP00415</v>
      </c>
      <c r="B15273" s="3" t="s">
        <v>66</v>
      </c>
      <c r="C15273" s="4" t="str">
        <f t="shared" si="1186"/>
        <v>TCGA-BRCA</v>
      </c>
      <c r="D15273" s="1" t="s">
        <v>493</v>
      </c>
      <c r="E15273" t="s">
        <v>533</v>
      </c>
      <c r="F15273" s="1">
        <v>2</v>
      </c>
      <c r="G15273" s="1" t="s">
        <v>28</v>
      </c>
      <c r="H15273" s="4" t="str">
        <f>HYPERLINK("https://portal.gdc.cancer.gov/cases/b8a615f9-d19b-4b09-8ec8-0674e5c648cd","TCGA-C8-A12N-01A")</f>
        <v>TCGA-C8-A12N-01A</v>
      </c>
      <c r="I15273" t="s">
        <v>17</v>
      </c>
      <c r="J15273" t="s">
        <v>524</v>
      </c>
      <c r="K15273" t="s">
        <v>33</v>
      </c>
      <c r="L15273" t="s">
        <v>20</v>
      </c>
      <c r="N15273" t="s">
        <v>29</v>
      </c>
    </row>
    <row r="15274" spans="1:14">
      <c r="A15274" s="4" t="str">
        <f t="shared" si="1185"/>
        <v>EXP00415</v>
      </c>
      <c r="B15274" s="3" t="s">
        <v>66</v>
      </c>
      <c r="C15274" s="4" t="str">
        <f t="shared" si="1186"/>
        <v>TCGA-BRCA</v>
      </c>
      <c r="D15274" s="1" t="s">
        <v>493</v>
      </c>
      <c r="E15274" t="s">
        <v>533</v>
      </c>
      <c r="F15274" s="1">
        <v>2</v>
      </c>
      <c r="G15274" s="1" t="s">
        <v>28</v>
      </c>
      <c r="H15274" s="4" t="str">
        <f>HYPERLINK("https://portal.gdc.cancer.gov/cases/83f26720-007c-42c9-a7de-7484bf8afa89","TCGA-C8-A12O-01A")</f>
        <v>TCGA-C8-A12O-01A</v>
      </c>
      <c r="I15274" t="s">
        <v>17</v>
      </c>
      <c r="J15274" t="s">
        <v>524</v>
      </c>
      <c r="K15274" t="s">
        <v>33</v>
      </c>
      <c r="L15274" t="s">
        <v>20</v>
      </c>
      <c r="N15274" t="s">
        <v>29</v>
      </c>
    </row>
    <row r="15275" spans="1:14">
      <c r="A15275" s="4" t="str">
        <f t="shared" si="1185"/>
        <v>EXP00415</v>
      </c>
      <c r="B15275" s="3" t="s">
        <v>66</v>
      </c>
      <c r="C15275" s="4" t="str">
        <f t="shared" si="1186"/>
        <v>TCGA-BRCA</v>
      </c>
      <c r="D15275" s="1" t="s">
        <v>493</v>
      </c>
      <c r="E15275" t="s">
        <v>533</v>
      </c>
      <c r="F15275" s="1">
        <v>2</v>
      </c>
      <c r="G15275" s="1" t="s">
        <v>28</v>
      </c>
      <c r="H15275" s="4" t="str">
        <f>HYPERLINK("https://portal.gdc.cancer.gov/cases/abdc76db-f85e-4337-a57e-6d098789da03","TCGA-C8-A12P-01A")</f>
        <v>TCGA-C8-A12P-01A</v>
      </c>
      <c r="I15275" t="s">
        <v>17</v>
      </c>
      <c r="J15275" t="s">
        <v>524</v>
      </c>
      <c r="K15275" t="s">
        <v>33</v>
      </c>
      <c r="L15275" t="s">
        <v>20</v>
      </c>
      <c r="N15275" t="s">
        <v>29</v>
      </c>
    </row>
    <row r="15276" spans="1:14">
      <c r="A15276" s="4" t="str">
        <f t="shared" si="1185"/>
        <v>EXP00415</v>
      </c>
      <c r="B15276" s="3" t="s">
        <v>66</v>
      </c>
      <c r="C15276" s="4" t="str">
        <f t="shared" si="1186"/>
        <v>TCGA-BRCA</v>
      </c>
      <c r="D15276" s="1" t="s">
        <v>493</v>
      </c>
      <c r="E15276" t="s">
        <v>533</v>
      </c>
      <c r="F15276" s="1">
        <v>2</v>
      </c>
      <c r="G15276" s="1" t="s">
        <v>28</v>
      </c>
      <c r="H15276" s="4" t="str">
        <f>HYPERLINK("https://portal.gdc.cancer.gov/cases/a824b3bd-34d5-4cc1-a92f-f9d6ac0f1814","TCGA-C8-A12Q-01A")</f>
        <v>TCGA-C8-A12Q-01A</v>
      </c>
      <c r="I15276" t="s">
        <v>17</v>
      </c>
      <c r="J15276" t="s">
        <v>524</v>
      </c>
      <c r="K15276" t="s">
        <v>33</v>
      </c>
      <c r="L15276" t="s">
        <v>20</v>
      </c>
      <c r="N15276" t="s">
        <v>29</v>
      </c>
    </row>
    <row r="15277" spans="1:14">
      <c r="A15277" s="4" t="str">
        <f t="shared" si="1185"/>
        <v>EXP00415</v>
      </c>
      <c r="B15277" s="3" t="s">
        <v>66</v>
      </c>
      <c r="C15277" s="4" t="str">
        <f t="shared" si="1186"/>
        <v>TCGA-BRCA</v>
      </c>
      <c r="D15277" s="1" t="s">
        <v>493</v>
      </c>
      <c r="E15277" t="s">
        <v>533</v>
      </c>
      <c r="F15277" s="1">
        <v>2</v>
      </c>
      <c r="G15277" s="1" t="s">
        <v>28</v>
      </c>
      <c r="H15277" s="4" t="str">
        <f>HYPERLINK("https://portal.gdc.cancer.gov/cases/71229981-97c2-4ae1-a130-fe5de336b37d","TCGA-C8-A12T-01A")</f>
        <v>TCGA-C8-A12T-01A</v>
      </c>
      <c r="I15277" t="s">
        <v>17</v>
      </c>
      <c r="J15277" t="s">
        <v>524</v>
      </c>
      <c r="K15277" t="s">
        <v>33</v>
      </c>
      <c r="L15277" t="s">
        <v>20</v>
      </c>
      <c r="N15277" t="s">
        <v>29</v>
      </c>
    </row>
    <row r="15278" spans="1:14">
      <c r="A15278" s="4" t="str">
        <f t="shared" si="1185"/>
        <v>EXP00415</v>
      </c>
      <c r="B15278" s="3" t="s">
        <v>66</v>
      </c>
      <c r="C15278" s="4" t="str">
        <f t="shared" si="1186"/>
        <v>TCGA-BRCA</v>
      </c>
      <c r="D15278" s="1" t="s">
        <v>493</v>
      </c>
      <c r="E15278" t="s">
        <v>533</v>
      </c>
      <c r="F15278" s="1">
        <v>2</v>
      </c>
      <c r="G15278" s="1" t="s">
        <v>28</v>
      </c>
      <c r="H15278" s="4" t="str">
        <f>HYPERLINK("https://portal.gdc.cancer.gov/cases/97b5f490-1cd9-4833-b903-5f4c6e45670d","TCGA-C8-A12U-01A")</f>
        <v>TCGA-C8-A12U-01A</v>
      </c>
      <c r="I15278" t="s">
        <v>17</v>
      </c>
      <c r="J15278" t="s">
        <v>524</v>
      </c>
      <c r="K15278" t="s">
        <v>33</v>
      </c>
      <c r="L15278" t="s">
        <v>20</v>
      </c>
      <c r="N15278" t="s">
        <v>29</v>
      </c>
    </row>
    <row r="15279" spans="1:14">
      <c r="A15279" s="4" t="str">
        <f t="shared" si="1185"/>
        <v>EXP00415</v>
      </c>
      <c r="B15279" s="3" t="s">
        <v>66</v>
      </c>
      <c r="C15279" s="4" t="str">
        <f t="shared" si="1186"/>
        <v>TCGA-BRCA</v>
      </c>
      <c r="D15279" s="1" t="s">
        <v>493</v>
      </c>
      <c r="E15279" t="s">
        <v>533</v>
      </c>
      <c r="F15279" s="1">
        <v>2</v>
      </c>
      <c r="G15279" s="1" t="s">
        <v>28</v>
      </c>
      <c r="H15279" s="4" t="str">
        <f>HYPERLINK("https://portal.gdc.cancer.gov/cases/7e1673f8-5758-4963-8804-d5e39f06205b","TCGA-C8-A12V-01A")</f>
        <v>TCGA-C8-A12V-01A</v>
      </c>
      <c r="I15279" t="s">
        <v>17</v>
      </c>
      <c r="J15279" t="s">
        <v>524</v>
      </c>
      <c r="K15279" t="s">
        <v>33</v>
      </c>
      <c r="L15279" t="s">
        <v>20</v>
      </c>
      <c r="N15279" t="s">
        <v>29</v>
      </c>
    </row>
    <row r="15280" spans="1:14">
      <c r="A15280" s="4" t="str">
        <f t="shared" si="1185"/>
        <v>EXP00415</v>
      </c>
      <c r="B15280" s="3" t="s">
        <v>66</v>
      </c>
      <c r="C15280" s="4" t="str">
        <f t="shared" si="1186"/>
        <v>TCGA-BRCA</v>
      </c>
      <c r="D15280" s="1" t="s">
        <v>493</v>
      </c>
      <c r="E15280" t="s">
        <v>533</v>
      </c>
      <c r="F15280" s="1">
        <v>2</v>
      </c>
      <c r="G15280" s="1" t="s">
        <v>28</v>
      </c>
      <c r="H15280" s="4" t="str">
        <f>HYPERLINK("https://portal.gdc.cancer.gov/cases/6adca853-1b09-47ff-814c-47b732a76d96","TCGA-C8-A12W-01A")</f>
        <v>TCGA-C8-A12W-01A</v>
      </c>
      <c r="I15280" t="s">
        <v>17</v>
      </c>
      <c r="J15280" t="s">
        <v>524</v>
      </c>
      <c r="K15280" t="s">
        <v>33</v>
      </c>
      <c r="L15280" t="s">
        <v>20</v>
      </c>
      <c r="N15280" t="s">
        <v>29</v>
      </c>
    </row>
    <row r="15281" spans="1:14">
      <c r="A15281" s="4" t="str">
        <f t="shared" si="1185"/>
        <v>EXP00415</v>
      </c>
      <c r="B15281" s="3" t="s">
        <v>66</v>
      </c>
      <c r="C15281" s="4" t="str">
        <f t="shared" si="1186"/>
        <v>TCGA-BRCA</v>
      </c>
      <c r="D15281" s="1" t="s">
        <v>493</v>
      </c>
      <c r="E15281" t="s">
        <v>533</v>
      </c>
      <c r="F15281" s="1">
        <v>2</v>
      </c>
      <c r="G15281" s="1" t="s">
        <v>28</v>
      </c>
      <c r="H15281" s="4" t="str">
        <f>HYPERLINK("https://portal.gdc.cancer.gov/cases/65cde5d5-1efc-4e30-b1bd-a93598794f2c","TCGA-C8-A12X-01A")</f>
        <v>TCGA-C8-A12X-01A</v>
      </c>
      <c r="I15281" t="s">
        <v>17</v>
      </c>
      <c r="J15281" t="s">
        <v>524</v>
      </c>
      <c r="K15281" t="s">
        <v>33</v>
      </c>
      <c r="L15281" t="s">
        <v>20</v>
      </c>
      <c r="N15281" t="s">
        <v>29</v>
      </c>
    </row>
    <row r="15282" spans="1:14">
      <c r="A15282" s="4" t="str">
        <f t="shared" si="1185"/>
        <v>EXP00415</v>
      </c>
      <c r="B15282" s="3" t="s">
        <v>66</v>
      </c>
      <c r="C15282" s="4" t="str">
        <f t="shared" si="1186"/>
        <v>TCGA-BRCA</v>
      </c>
      <c r="D15282" s="1" t="s">
        <v>493</v>
      </c>
      <c r="E15282" t="s">
        <v>533</v>
      </c>
      <c r="F15282" s="1">
        <v>2</v>
      </c>
      <c r="G15282" s="1" t="s">
        <v>28</v>
      </c>
      <c r="H15282" s="4" t="str">
        <f>HYPERLINK("https://portal.gdc.cancer.gov/cases/298a1710-deb4-4064-a0f2-da32d43aa217","TCGA-C8-A12Y-01A")</f>
        <v>TCGA-C8-A12Y-01A</v>
      </c>
      <c r="I15282" t="s">
        <v>17</v>
      </c>
      <c r="J15282" t="s">
        <v>524</v>
      </c>
      <c r="K15282" t="s">
        <v>33</v>
      </c>
      <c r="L15282" t="s">
        <v>20</v>
      </c>
      <c r="N15282" t="s">
        <v>29</v>
      </c>
    </row>
    <row r="15283" spans="1:14">
      <c r="A15283" s="4" t="str">
        <f t="shared" si="1185"/>
        <v>EXP00415</v>
      </c>
      <c r="B15283" s="3" t="s">
        <v>66</v>
      </c>
      <c r="C15283" s="4" t="str">
        <f t="shared" si="1186"/>
        <v>TCGA-BRCA</v>
      </c>
      <c r="D15283" s="1" t="s">
        <v>493</v>
      </c>
      <c r="E15283" t="s">
        <v>533</v>
      </c>
      <c r="F15283" s="1">
        <v>2</v>
      </c>
      <c r="G15283" s="1" t="s">
        <v>28</v>
      </c>
      <c r="H15283" s="4" t="str">
        <f>HYPERLINK("https://portal.gdc.cancer.gov/cases/42621dfa-abfd-4c7d-8bc5-a02a09d1c2b4","TCGA-C8-A12Z-01A")</f>
        <v>TCGA-C8-A12Z-01A</v>
      </c>
      <c r="I15283" t="s">
        <v>17</v>
      </c>
      <c r="J15283" t="s">
        <v>524</v>
      </c>
      <c r="K15283" t="s">
        <v>33</v>
      </c>
      <c r="L15283" t="s">
        <v>20</v>
      </c>
      <c r="N15283" t="s">
        <v>29</v>
      </c>
    </row>
    <row r="15284" spans="1:14">
      <c r="A15284" s="4" t="str">
        <f t="shared" si="1185"/>
        <v>EXP00415</v>
      </c>
      <c r="B15284" s="3" t="s">
        <v>66</v>
      </c>
      <c r="C15284" s="4" t="str">
        <f t="shared" si="1186"/>
        <v>TCGA-BRCA</v>
      </c>
      <c r="D15284" s="1" t="s">
        <v>493</v>
      </c>
      <c r="E15284" t="s">
        <v>533</v>
      </c>
      <c r="F15284" s="1">
        <v>2</v>
      </c>
      <c r="G15284" s="1" t="s">
        <v>28</v>
      </c>
      <c r="H15284" s="4" t="str">
        <f>HYPERLINK("https://portal.gdc.cancer.gov/cases/8cf54607-01ce-42b0-9bd9-8627edd9f3b7","TCGA-C8-A130-01A")</f>
        <v>TCGA-C8-A130-01A</v>
      </c>
      <c r="I15284" t="s">
        <v>17</v>
      </c>
      <c r="J15284" t="s">
        <v>524</v>
      </c>
      <c r="K15284" t="s">
        <v>33</v>
      </c>
      <c r="L15284" t="s">
        <v>20</v>
      </c>
      <c r="N15284" t="s">
        <v>29</v>
      </c>
    </row>
    <row r="15285" spans="1:14">
      <c r="A15285" s="4" t="str">
        <f t="shared" si="1185"/>
        <v>EXP00415</v>
      </c>
      <c r="B15285" s="3" t="s">
        <v>66</v>
      </c>
      <c r="C15285" s="4" t="str">
        <f t="shared" si="1186"/>
        <v>TCGA-BRCA</v>
      </c>
      <c r="D15285" s="1" t="s">
        <v>493</v>
      </c>
      <c r="E15285" t="s">
        <v>533</v>
      </c>
      <c r="F15285" s="1">
        <v>2</v>
      </c>
      <c r="G15285" s="1" t="s">
        <v>28</v>
      </c>
      <c r="H15285" s="4" t="str">
        <f>HYPERLINK("https://portal.gdc.cancer.gov/cases/c49e3b18-fd88-48f4-8b01-300692ceb367","TCGA-C8-A131-01A")</f>
        <v>TCGA-C8-A131-01A</v>
      </c>
      <c r="I15285" t="s">
        <v>17</v>
      </c>
      <c r="J15285" t="s">
        <v>524</v>
      </c>
      <c r="K15285" t="s">
        <v>33</v>
      </c>
      <c r="L15285" t="s">
        <v>20</v>
      </c>
      <c r="N15285" t="s">
        <v>29</v>
      </c>
    </row>
    <row r="15286" spans="1:14">
      <c r="A15286" s="4" t="str">
        <f t="shared" si="1185"/>
        <v>EXP00415</v>
      </c>
      <c r="B15286" s="3" t="s">
        <v>66</v>
      </c>
      <c r="C15286" s="4" t="str">
        <f t="shared" si="1186"/>
        <v>TCGA-BRCA</v>
      </c>
      <c r="D15286" s="1" t="s">
        <v>493</v>
      </c>
      <c r="E15286" t="s">
        <v>533</v>
      </c>
      <c r="F15286" s="1">
        <v>2</v>
      </c>
      <c r="G15286" s="1" t="s">
        <v>28</v>
      </c>
      <c r="H15286" s="4" t="str">
        <f>HYPERLINK("https://portal.gdc.cancer.gov/cases/89e867de-d30e-4bfc-a453-0a76309dabd5","TCGA-C8-A132-01A")</f>
        <v>TCGA-C8-A132-01A</v>
      </c>
      <c r="I15286" t="s">
        <v>17</v>
      </c>
      <c r="J15286" t="s">
        <v>524</v>
      </c>
      <c r="K15286" t="s">
        <v>33</v>
      </c>
      <c r="L15286" t="s">
        <v>20</v>
      </c>
      <c r="N15286" t="s">
        <v>29</v>
      </c>
    </row>
    <row r="15287" spans="1:14">
      <c r="A15287" s="4" t="str">
        <f t="shared" si="1185"/>
        <v>EXP00415</v>
      </c>
      <c r="B15287" s="3" t="s">
        <v>66</v>
      </c>
      <c r="C15287" s="4" t="str">
        <f t="shared" si="1186"/>
        <v>TCGA-BRCA</v>
      </c>
      <c r="D15287" s="1" t="s">
        <v>493</v>
      </c>
      <c r="E15287" t="s">
        <v>533</v>
      </c>
      <c r="F15287" s="1">
        <v>2</v>
      </c>
      <c r="G15287" s="1" t="s">
        <v>28</v>
      </c>
      <c r="H15287" s="4" t="str">
        <f>HYPERLINK("https://portal.gdc.cancer.gov/cases/b8b6cebc-26dc-43ae-a94a-20da6018f7ae","TCGA-C8-A133-01A")</f>
        <v>TCGA-C8-A133-01A</v>
      </c>
      <c r="I15287" t="s">
        <v>17</v>
      </c>
      <c r="J15287" t="s">
        <v>524</v>
      </c>
      <c r="K15287" t="s">
        <v>33</v>
      </c>
      <c r="L15287" t="s">
        <v>20</v>
      </c>
      <c r="N15287" t="s">
        <v>29</v>
      </c>
    </row>
    <row r="15288" spans="1:14">
      <c r="A15288" s="4" t="str">
        <f t="shared" ref="A15288:A15351" si="1187">HYPERLINK("http://hcmdb.i-sanger.com/experiment/details/experiment_id/EXP00415","EXP00415")</f>
        <v>EXP00415</v>
      </c>
      <c r="B15288" s="3" t="s">
        <v>66</v>
      </c>
      <c r="C15288" s="4" t="str">
        <f t="shared" si="1186"/>
        <v>TCGA-BRCA</v>
      </c>
      <c r="D15288" s="1" t="s">
        <v>493</v>
      </c>
      <c r="E15288" t="s">
        <v>533</v>
      </c>
      <c r="F15288" s="1">
        <v>2</v>
      </c>
      <c r="G15288" s="1" t="s">
        <v>28</v>
      </c>
      <c r="H15288" s="4" t="str">
        <f>HYPERLINK("https://portal.gdc.cancer.gov/cases/f1692f4b-ce1b-4fc5-ac55-1022ecae0d1e","TCGA-C8-A134-01A")</f>
        <v>TCGA-C8-A134-01A</v>
      </c>
      <c r="I15288" t="s">
        <v>17</v>
      </c>
      <c r="J15288" t="s">
        <v>524</v>
      </c>
      <c r="K15288" t="s">
        <v>33</v>
      </c>
      <c r="L15288" t="s">
        <v>20</v>
      </c>
      <c r="N15288" t="s">
        <v>29</v>
      </c>
    </row>
    <row r="15289" spans="1:14">
      <c r="A15289" s="4" t="str">
        <f t="shared" si="1187"/>
        <v>EXP00415</v>
      </c>
      <c r="B15289" s="3" t="s">
        <v>66</v>
      </c>
      <c r="C15289" s="4" t="str">
        <f t="shared" si="1186"/>
        <v>TCGA-BRCA</v>
      </c>
      <c r="D15289" s="1" t="s">
        <v>493</v>
      </c>
      <c r="E15289" t="s">
        <v>533</v>
      </c>
      <c r="F15289" s="1">
        <v>2</v>
      </c>
      <c r="G15289" s="1" t="s">
        <v>28</v>
      </c>
      <c r="H15289" s="4" t="str">
        <f>HYPERLINK("https://portal.gdc.cancer.gov/cases/33cea538-4c3f-470a-972d-257c43241ab4","TCGA-C8-A135-01A")</f>
        <v>TCGA-C8-A135-01A</v>
      </c>
      <c r="I15289" t="s">
        <v>17</v>
      </c>
      <c r="J15289" t="s">
        <v>524</v>
      </c>
      <c r="K15289" t="s">
        <v>33</v>
      </c>
      <c r="L15289" t="s">
        <v>20</v>
      </c>
      <c r="N15289" t="s">
        <v>29</v>
      </c>
    </row>
    <row r="15290" spans="1:14">
      <c r="A15290" s="4" t="str">
        <f t="shared" si="1187"/>
        <v>EXP00415</v>
      </c>
      <c r="B15290" s="3" t="s">
        <v>66</v>
      </c>
      <c r="C15290" s="4" t="str">
        <f t="shared" ref="C15290:C15353" si="1188">HYPERLINK("https://portal.gdc.cancer.gov/projects/TCGA-BRCA","TCGA-BRCA")</f>
        <v>TCGA-BRCA</v>
      </c>
      <c r="D15290" s="1" t="s">
        <v>493</v>
      </c>
      <c r="E15290" t="s">
        <v>533</v>
      </c>
      <c r="F15290" s="1">
        <v>2</v>
      </c>
      <c r="G15290" s="1" t="s">
        <v>28</v>
      </c>
      <c r="H15290" s="4" t="str">
        <f>HYPERLINK("https://portal.gdc.cancer.gov/cases/03ab1e9f-4918-404d-b178-3a4fd929c5e8","TCGA-C8-A137-01A")</f>
        <v>TCGA-C8-A137-01A</v>
      </c>
      <c r="I15290" t="s">
        <v>17</v>
      </c>
      <c r="J15290" t="s">
        <v>524</v>
      </c>
      <c r="K15290" t="s">
        <v>33</v>
      </c>
      <c r="L15290" t="s">
        <v>20</v>
      </c>
      <c r="N15290" t="s">
        <v>29</v>
      </c>
    </row>
    <row r="15291" spans="1:14">
      <c r="A15291" s="4" t="str">
        <f t="shared" si="1187"/>
        <v>EXP00415</v>
      </c>
      <c r="B15291" s="3" t="s">
        <v>66</v>
      </c>
      <c r="C15291" s="4" t="str">
        <f t="shared" si="1188"/>
        <v>TCGA-BRCA</v>
      </c>
      <c r="D15291" s="1" t="s">
        <v>493</v>
      </c>
      <c r="E15291" t="s">
        <v>533</v>
      </c>
      <c r="F15291" s="1">
        <v>2</v>
      </c>
      <c r="G15291" s="1" t="s">
        <v>28</v>
      </c>
      <c r="H15291" s="4" t="str">
        <f>HYPERLINK("https://portal.gdc.cancer.gov/cases/b6c286c6-2755-419b-87d3-59c7feda9653","TCGA-C8-A138-01A")</f>
        <v>TCGA-C8-A138-01A</v>
      </c>
      <c r="I15291" t="s">
        <v>17</v>
      </c>
      <c r="J15291" t="s">
        <v>524</v>
      </c>
      <c r="K15291" t="s">
        <v>33</v>
      </c>
      <c r="L15291" t="s">
        <v>20</v>
      </c>
      <c r="N15291" t="s">
        <v>29</v>
      </c>
    </row>
    <row r="15292" spans="1:14">
      <c r="A15292" s="4" t="str">
        <f t="shared" si="1187"/>
        <v>EXP00415</v>
      </c>
      <c r="B15292" s="3" t="s">
        <v>66</v>
      </c>
      <c r="C15292" s="4" t="str">
        <f t="shared" si="1188"/>
        <v>TCGA-BRCA</v>
      </c>
      <c r="D15292" s="1" t="s">
        <v>493</v>
      </c>
      <c r="E15292" t="s">
        <v>533</v>
      </c>
      <c r="F15292" s="1">
        <v>2</v>
      </c>
      <c r="G15292" s="1" t="s">
        <v>28</v>
      </c>
      <c r="H15292" s="4" t="str">
        <f>HYPERLINK("https://portal.gdc.cancer.gov/cases/b26d41cd-393b-4cd4-8925-a9488f7de576","TCGA-C8-A1HE-01A")</f>
        <v>TCGA-C8-A1HE-01A</v>
      </c>
      <c r="I15292" t="s">
        <v>17</v>
      </c>
      <c r="J15292" t="s">
        <v>524</v>
      </c>
      <c r="K15292" t="s">
        <v>33</v>
      </c>
      <c r="L15292" t="s">
        <v>20</v>
      </c>
      <c r="N15292" t="s">
        <v>29</v>
      </c>
    </row>
    <row r="15293" spans="1:14">
      <c r="A15293" s="4" t="str">
        <f t="shared" si="1187"/>
        <v>EXP00415</v>
      </c>
      <c r="B15293" s="3" t="s">
        <v>66</v>
      </c>
      <c r="C15293" s="4" t="str">
        <f t="shared" si="1188"/>
        <v>TCGA-BRCA</v>
      </c>
      <c r="D15293" s="1" t="s">
        <v>493</v>
      </c>
      <c r="E15293" t="s">
        <v>533</v>
      </c>
      <c r="F15293" s="1">
        <v>2</v>
      </c>
      <c r="G15293" s="1" t="s">
        <v>28</v>
      </c>
      <c r="H15293" s="4" t="str">
        <f>HYPERLINK("https://portal.gdc.cancer.gov/cases/a2453bcb-90f2-4505-949d-a89cf4bfc9b8","TCGA-C8-A1HF-01A")</f>
        <v>TCGA-C8-A1HF-01A</v>
      </c>
      <c r="I15293" t="s">
        <v>17</v>
      </c>
      <c r="J15293" t="s">
        <v>524</v>
      </c>
      <c r="K15293" t="s">
        <v>33</v>
      </c>
      <c r="L15293" t="s">
        <v>20</v>
      </c>
      <c r="N15293" t="s">
        <v>29</v>
      </c>
    </row>
    <row r="15294" spans="1:14">
      <c r="A15294" s="4" t="str">
        <f t="shared" si="1187"/>
        <v>EXP00415</v>
      </c>
      <c r="B15294" s="3" t="s">
        <v>66</v>
      </c>
      <c r="C15294" s="4" t="str">
        <f t="shared" si="1188"/>
        <v>TCGA-BRCA</v>
      </c>
      <c r="D15294" s="1" t="s">
        <v>493</v>
      </c>
      <c r="E15294" t="s">
        <v>533</v>
      </c>
      <c r="F15294" s="1">
        <v>2</v>
      </c>
      <c r="G15294" s="1" t="s">
        <v>28</v>
      </c>
      <c r="H15294" s="4" t="str">
        <f>HYPERLINK("https://portal.gdc.cancer.gov/cases/0c23c380-363c-474d-b64c-b47f612a8225","TCGA-C8-A1HG-01A")</f>
        <v>TCGA-C8-A1HG-01A</v>
      </c>
      <c r="I15294" t="s">
        <v>17</v>
      </c>
      <c r="J15294" t="s">
        <v>524</v>
      </c>
      <c r="K15294" t="s">
        <v>33</v>
      </c>
      <c r="L15294" t="s">
        <v>20</v>
      </c>
      <c r="N15294" t="s">
        <v>29</v>
      </c>
    </row>
    <row r="15295" spans="1:14">
      <c r="A15295" s="4" t="str">
        <f t="shared" si="1187"/>
        <v>EXP00415</v>
      </c>
      <c r="B15295" s="3" t="s">
        <v>66</v>
      </c>
      <c r="C15295" s="4" t="str">
        <f t="shared" si="1188"/>
        <v>TCGA-BRCA</v>
      </c>
      <c r="D15295" s="1" t="s">
        <v>493</v>
      </c>
      <c r="E15295" t="s">
        <v>533</v>
      </c>
      <c r="F15295" s="1">
        <v>2</v>
      </c>
      <c r="G15295" s="1" t="s">
        <v>28</v>
      </c>
      <c r="H15295" s="4" t="str">
        <f>HYPERLINK("https://portal.gdc.cancer.gov/cases/444374f8-9282-439c-af00-0f828edcbff3","TCGA-C8-A1HI-01A")</f>
        <v>TCGA-C8-A1HI-01A</v>
      </c>
      <c r="I15295" t="s">
        <v>17</v>
      </c>
      <c r="J15295" t="s">
        <v>524</v>
      </c>
      <c r="K15295" t="s">
        <v>33</v>
      </c>
      <c r="L15295" t="s">
        <v>20</v>
      </c>
      <c r="N15295" t="s">
        <v>29</v>
      </c>
    </row>
    <row r="15296" spans="1:14">
      <c r="A15296" s="4" t="str">
        <f t="shared" si="1187"/>
        <v>EXP00415</v>
      </c>
      <c r="B15296" s="3" t="s">
        <v>66</v>
      </c>
      <c r="C15296" s="4" t="str">
        <f t="shared" si="1188"/>
        <v>TCGA-BRCA</v>
      </c>
      <c r="D15296" s="1" t="s">
        <v>493</v>
      </c>
      <c r="E15296" t="s">
        <v>533</v>
      </c>
      <c r="F15296" s="1">
        <v>2</v>
      </c>
      <c r="G15296" s="1" t="s">
        <v>28</v>
      </c>
      <c r="H15296" s="4" t="str">
        <f>HYPERLINK("https://portal.gdc.cancer.gov/cases/a855c228-a263-44df-87a0-cbc32187e3f5","TCGA-C8-A1HJ-01A")</f>
        <v>TCGA-C8-A1HJ-01A</v>
      </c>
      <c r="I15296" t="s">
        <v>17</v>
      </c>
      <c r="J15296" t="s">
        <v>524</v>
      </c>
      <c r="K15296" t="s">
        <v>33</v>
      </c>
      <c r="L15296" t="s">
        <v>20</v>
      </c>
      <c r="N15296" t="s">
        <v>29</v>
      </c>
    </row>
    <row r="15297" spans="1:14">
      <c r="A15297" s="4" t="str">
        <f t="shared" si="1187"/>
        <v>EXP00415</v>
      </c>
      <c r="B15297" s="3" t="s">
        <v>66</v>
      </c>
      <c r="C15297" s="4" t="str">
        <f t="shared" si="1188"/>
        <v>TCGA-BRCA</v>
      </c>
      <c r="D15297" s="1" t="s">
        <v>493</v>
      </c>
      <c r="E15297" t="s">
        <v>533</v>
      </c>
      <c r="F15297" s="1">
        <v>2</v>
      </c>
      <c r="G15297" s="1" t="s">
        <v>28</v>
      </c>
      <c r="H15297" s="4" t="str">
        <f>HYPERLINK("https://portal.gdc.cancer.gov/cases/52c35691-efca-42f5-a03e-02c9f872275c","TCGA-C8-A1HK-01A")</f>
        <v>TCGA-C8-A1HK-01A</v>
      </c>
      <c r="I15297" t="s">
        <v>17</v>
      </c>
      <c r="J15297" t="s">
        <v>524</v>
      </c>
      <c r="K15297" t="s">
        <v>33</v>
      </c>
      <c r="L15297" t="s">
        <v>20</v>
      </c>
      <c r="N15297" t="s">
        <v>29</v>
      </c>
    </row>
    <row r="15298" spans="1:14">
      <c r="A15298" s="4" t="str">
        <f t="shared" si="1187"/>
        <v>EXP00415</v>
      </c>
      <c r="B15298" s="3" t="s">
        <v>66</v>
      </c>
      <c r="C15298" s="4" t="str">
        <f t="shared" si="1188"/>
        <v>TCGA-BRCA</v>
      </c>
      <c r="D15298" s="1" t="s">
        <v>493</v>
      </c>
      <c r="E15298" t="s">
        <v>533</v>
      </c>
      <c r="F15298" s="1">
        <v>2</v>
      </c>
      <c r="G15298" s="1" t="s">
        <v>28</v>
      </c>
      <c r="H15298" s="4" t="str">
        <f>HYPERLINK("https://portal.gdc.cancer.gov/cases/a8a199c9-d781-4e6c-af8c-c85d60c7cd40","TCGA-C8-A1HL-01A")</f>
        <v>TCGA-C8-A1HL-01A</v>
      </c>
      <c r="I15298" t="s">
        <v>17</v>
      </c>
      <c r="J15298" t="s">
        <v>524</v>
      </c>
      <c r="K15298" t="s">
        <v>33</v>
      </c>
      <c r="L15298" t="s">
        <v>20</v>
      </c>
      <c r="N15298" t="s">
        <v>29</v>
      </c>
    </row>
    <row r="15299" spans="1:14">
      <c r="A15299" s="4" t="str">
        <f t="shared" si="1187"/>
        <v>EXP00415</v>
      </c>
      <c r="B15299" s="3" t="s">
        <v>66</v>
      </c>
      <c r="C15299" s="4" t="str">
        <f t="shared" si="1188"/>
        <v>TCGA-BRCA</v>
      </c>
      <c r="D15299" s="1" t="s">
        <v>493</v>
      </c>
      <c r="E15299" t="s">
        <v>533</v>
      </c>
      <c r="F15299" s="1">
        <v>2</v>
      </c>
      <c r="G15299" s="1" t="s">
        <v>28</v>
      </c>
      <c r="H15299" s="4" t="str">
        <f>HYPERLINK("https://portal.gdc.cancer.gov/cases/8b525ec6-d24b-49d4-bfcb-b354de4dae7c","TCGA-C8-A1HM-01A")</f>
        <v>TCGA-C8-A1HM-01A</v>
      </c>
      <c r="I15299" t="s">
        <v>17</v>
      </c>
      <c r="J15299" t="s">
        <v>524</v>
      </c>
      <c r="K15299" t="s">
        <v>33</v>
      </c>
      <c r="L15299" t="s">
        <v>20</v>
      </c>
      <c r="N15299" t="s">
        <v>29</v>
      </c>
    </row>
    <row r="15300" spans="1:14">
      <c r="A15300" s="4" t="str">
        <f t="shared" si="1187"/>
        <v>EXP00415</v>
      </c>
      <c r="B15300" s="3" t="s">
        <v>66</v>
      </c>
      <c r="C15300" s="4" t="str">
        <f t="shared" si="1188"/>
        <v>TCGA-BRCA</v>
      </c>
      <c r="D15300" s="1" t="s">
        <v>493</v>
      </c>
      <c r="E15300" t="s">
        <v>533</v>
      </c>
      <c r="F15300" s="1">
        <v>2</v>
      </c>
      <c r="G15300" s="1" t="s">
        <v>28</v>
      </c>
      <c r="H15300" s="4" t="str">
        <f>HYPERLINK("https://portal.gdc.cancer.gov/cases/86a18ae0-dfb1-49c3-b5c4-67ec331d6e40","TCGA-C8-A1HN-01A")</f>
        <v>TCGA-C8-A1HN-01A</v>
      </c>
      <c r="I15300" t="s">
        <v>17</v>
      </c>
      <c r="J15300" t="s">
        <v>524</v>
      </c>
      <c r="K15300" t="s">
        <v>33</v>
      </c>
      <c r="L15300" t="s">
        <v>20</v>
      </c>
      <c r="N15300" t="s">
        <v>29</v>
      </c>
    </row>
    <row r="15301" spans="1:14">
      <c r="A15301" s="4" t="str">
        <f t="shared" si="1187"/>
        <v>EXP00415</v>
      </c>
      <c r="B15301" s="3" t="s">
        <v>66</v>
      </c>
      <c r="C15301" s="4" t="str">
        <f t="shared" si="1188"/>
        <v>TCGA-BRCA</v>
      </c>
      <c r="D15301" s="1" t="s">
        <v>493</v>
      </c>
      <c r="E15301" t="s">
        <v>533</v>
      </c>
      <c r="F15301" s="1">
        <v>2</v>
      </c>
      <c r="G15301" s="1" t="s">
        <v>28</v>
      </c>
      <c r="H15301" s="4" t="str">
        <f>HYPERLINK("https://portal.gdc.cancer.gov/cases/b3354b72-2637-4edc-9a95-e55801d3ac13","TCGA-C8-A1HO-01A")</f>
        <v>TCGA-C8-A1HO-01A</v>
      </c>
      <c r="I15301" t="s">
        <v>17</v>
      </c>
      <c r="J15301" t="s">
        <v>524</v>
      </c>
      <c r="K15301" t="s">
        <v>33</v>
      </c>
      <c r="L15301" t="s">
        <v>20</v>
      </c>
      <c r="N15301" t="s">
        <v>29</v>
      </c>
    </row>
    <row r="15302" spans="1:14">
      <c r="A15302" s="4" t="str">
        <f t="shared" si="1187"/>
        <v>EXP00415</v>
      </c>
      <c r="B15302" s="3" t="s">
        <v>66</v>
      </c>
      <c r="C15302" s="4" t="str">
        <f t="shared" si="1188"/>
        <v>TCGA-BRCA</v>
      </c>
      <c r="D15302" s="1" t="s">
        <v>493</v>
      </c>
      <c r="E15302" t="s">
        <v>533</v>
      </c>
      <c r="F15302" s="1">
        <v>2</v>
      </c>
      <c r="G15302" s="1" t="s">
        <v>28</v>
      </c>
      <c r="H15302" s="4" t="str">
        <f>HYPERLINK("https://portal.gdc.cancer.gov/cases/89414e79-7f89-42d9-8228-101b5bf2f31f","TCGA-C8-A26V-01A")</f>
        <v>TCGA-C8-A26V-01A</v>
      </c>
      <c r="I15302" t="s">
        <v>17</v>
      </c>
      <c r="J15302" t="s">
        <v>524</v>
      </c>
      <c r="K15302" t="s">
        <v>33</v>
      </c>
      <c r="L15302" t="s">
        <v>20</v>
      </c>
      <c r="N15302" t="s">
        <v>29</v>
      </c>
    </row>
    <row r="15303" spans="1:14">
      <c r="A15303" s="4" t="str">
        <f t="shared" si="1187"/>
        <v>EXP00415</v>
      </c>
      <c r="B15303" s="3" t="s">
        <v>66</v>
      </c>
      <c r="C15303" s="4" t="str">
        <f t="shared" si="1188"/>
        <v>TCGA-BRCA</v>
      </c>
      <c r="D15303" s="1" t="s">
        <v>493</v>
      </c>
      <c r="E15303" t="s">
        <v>533</v>
      </c>
      <c r="F15303" s="1">
        <v>2</v>
      </c>
      <c r="G15303" s="1" t="s">
        <v>28</v>
      </c>
      <c r="H15303" s="4" t="str">
        <f>HYPERLINK("https://portal.gdc.cancer.gov/cases/ff0f875f-113a-4c0f-8c0a-4259cd496e6d","TCGA-C8-A26W-01A")</f>
        <v>TCGA-C8-A26W-01A</v>
      </c>
      <c r="I15303" t="s">
        <v>17</v>
      </c>
      <c r="J15303" t="s">
        <v>524</v>
      </c>
      <c r="K15303" t="s">
        <v>33</v>
      </c>
      <c r="L15303" t="s">
        <v>20</v>
      </c>
      <c r="N15303" t="s">
        <v>29</v>
      </c>
    </row>
    <row r="15304" spans="1:14">
      <c r="A15304" s="4" t="str">
        <f t="shared" si="1187"/>
        <v>EXP00415</v>
      </c>
      <c r="B15304" s="3" t="s">
        <v>66</v>
      </c>
      <c r="C15304" s="4" t="str">
        <f t="shared" si="1188"/>
        <v>TCGA-BRCA</v>
      </c>
      <c r="D15304" s="1" t="s">
        <v>493</v>
      </c>
      <c r="E15304" t="s">
        <v>533</v>
      </c>
      <c r="F15304" s="1">
        <v>2</v>
      </c>
      <c r="G15304" s="1" t="s">
        <v>28</v>
      </c>
      <c r="H15304" s="4" t="str">
        <f>HYPERLINK("https://portal.gdc.cancer.gov/cases/70ab4f23-23c4-409f-a5cc-18a010c3a24e","TCGA-C8-A26X-01A")</f>
        <v>TCGA-C8-A26X-01A</v>
      </c>
      <c r="I15304" t="s">
        <v>17</v>
      </c>
      <c r="J15304" t="s">
        <v>524</v>
      </c>
      <c r="K15304" t="s">
        <v>33</v>
      </c>
      <c r="L15304" t="s">
        <v>20</v>
      </c>
      <c r="N15304" t="s">
        <v>29</v>
      </c>
    </row>
    <row r="15305" spans="1:14">
      <c r="A15305" s="4" t="str">
        <f t="shared" si="1187"/>
        <v>EXP00415</v>
      </c>
      <c r="B15305" s="3" t="s">
        <v>66</v>
      </c>
      <c r="C15305" s="4" t="str">
        <f t="shared" si="1188"/>
        <v>TCGA-BRCA</v>
      </c>
      <c r="D15305" s="1" t="s">
        <v>493</v>
      </c>
      <c r="E15305" t="s">
        <v>533</v>
      </c>
      <c r="F15305" s="1">
        <v>2</v>
      </c>
      <c r="G15305" s="1" t="s">
        <v>28</v>
      </c>
      <c r="H15305" s="4" t="str">
        <f>HYPERLINK("https://portal.gdc.cancer.gov/cases/4d51159f-ab2f-40e3-a363-847c3654431e","TCGA-C8-A26Y-01A")</f>
        <v>TCGA-C8-A26Y-01A</v>
      </c>
      <c r="I15305" t="s">
        <v>17</v>
      </c>
      <c r="J15305" t="s">
        <v>524</v>
      </c>
      <c r="K15305" t="s">
        <v>33</v>
      </c>
      <c r="L15305" t="s">
        <v>20</v>
      </c>
      <c r="N15305" t="s">
        <v>29</v>
      </c>
    </row>
    <row r="15306" spans="1:14">
      <c r="A15306" s="4" t="str">
        <f t="shared" si="1187"/>
        <v>EXP00415</v>
      </c>
      <c r="B15306" s="3" t="s">
        <v>66</v>
      </c>
      <c r="C15306" s="4" t="str">
        <f t="shared" si="1188"/>
        <v>TCGA-BRCA</v>
      </c>
      <c r="D15306" s="1" t="s">
        <v>493</v>
      </c>
      <c r="E15306" t="s">
        <v>533</v>
      </c>
      <c r="F15306" s="1">
        <v>2</v>
      </c>
      <c r="G15306" s="1" t="s">
        <v>28</v>
      </c>
      <c r="H15306" s="4" t="str">
        <f>HYPERLINK("https://portal.gdc.cancer.gov/cases/dc11b1c7-1f00-4813-b4b5-ecf776b2eb37","TCGA-C8-A26Z-01A")</f>
        <v>TCGA-C8-A26Z-01A</v>
      </c>
      <c r="I15306" t="s">
        <v>17</v>
      </c>
      <c r="J15306" t="s">
        <v>524</v>
      </c>
      <c r="K15306" t="s">
        <v>33</v>
      </c>
      <c r="L15306" t="s">
        <v>20</v>
      </c>
      <c r="N15306" t="s">
        <v>29</v>
      </c>
    </row>
    <row r="15307" spans="1:14">
      <c r="A15307" s="4" t="str">
        <f t="shared" si="1187"/>
        <v>EXP00415</v>
      </c>
      <c r="B15307" s="3" t="s">
        <v>66</v>
      </c>
      <c r="C15307" s="4" t="str">
        <f t="shared" si="1188"/>
        <v>TCGA-BRCA</v>
      </c>
      <c r="D15307" s="1" t="s">
        <v>493</v>
      </c>
      <c r="E15307" t="s">
        <v>533</v>
      </c>
      <c r="F15307" s="1">
        <v>2</v>
      </c>
      <c r="G15307" s="1" t="s">
        <v>28</v>
      </c>
      <c r="H15307" s="4" t="str">
        <f>HYPERLINK("https://portal.gdc.cancer.gov/cases/5a5f0f48-2b13-4e78-b130-901b85d9a7f3","TCGA-C8-A273-01A")</f>
        <v>TCGA-C8-A273-01A</v>
      </c>
      <c r="I15307" t="s">
        <v>17</v>
      </c>
      <c r="J15307" t="s">
        <v>524</v>
      </c>
      <c r="K15307" t="s">
        <v>33</v>
      </c>
      <c r="L15307" t="s">
        <v>20</v>
      </c>
      <c r="N15307" t="s">
        <v>29</v>
      </c>
    </row>
    <row r="15308" spans="1:14">
      <c r="A15308" s="4" t="str">
        <f t="shared" si="1187"/>
        <v>EXP00415</v>
      </c>
      <c r="B15308" s="3" t="s">
        <v>66</v>
      </c>
      <c r="C15308" s="4" t="str">
        <f t="shared" si="1188"/>
        <v>TCGA-BRCA</v>
      </c>
      <c r="D15308" s="1" t="s">
        <v>493</v>
      </c>
      <c r="E15308" t="s">
        <v>533</v>
      </c>
      <c r="F15308" s="1">
        <v>2</v>
      </c>
      <c r="G15308" s="1" t="s">
        <v>28</v>
      </c>
      <c r="H15308" s="4" t="str">
        <f>HYPERLINK("https://portal.gdc.cancer.gov/cases/dbcad60f-86c7-41e3-b0ae-baa39c9f83dd","TCGA-C8-A274-01A")</f>
        <v>TCGA-C8-A274-01A</v>
      </c>
      <c r="I15308" t="s">
        <v>17</v>
      </c>
      <c r="J15308" t="s">
        <v>524</v>
      </c>
      <c r="K15308" t="s">
        <v>33</v>
      </c>
      <c r="L15308" t="s">
        <v>20</v>
      </c>
      <c r="N15308" t="s">
        <v>29</v>
      </c>
    </row>
    <row r="15309" spans="1:14">
      <c r="A15309" s="4" t="str">
        <f t="shared" si="1187"/>
        <v>EXP00415</v>
      </c>
      <c r="B15309" s="3" t="s">
        <v>66</v>
      </c>
      <c r="C15309" s="4" t="str">
        <f t="shared" si="1188"/>
        <v>TCGA-BRCA</v>
      </c>
      <c r="D15309" s="1" t="s">
        <v>493</v>
      </c>
      <c r="E15309" t="s">
        <v>533</v>
      </c>
      <c r="F15309" s="1">
        <v>2</v>
      </c>
      <c r="G15309" s="1" t="s">
        <v>28</v>
      </c>
      <c r="H15309" s="4" t="str">
        <f>HYPERLINK("https://portal.gdc.cancer.gov/cases/ce887e90-0660-4f44-a3a4-b3b894cb7eda","TCGA-C8-A275-01A")</f>
        <v>TCGA-C8-A275-01A</v>
      </c>
      <c r="I15309" t="s">
        <v>17</v>
      </c>
      <c r="J15309" t="s">
        <v>524</v>
      </c>
      <c r="K15309" t="s">
        <v>33</v>
      </c>
      <c r="L15309" t="s">
        <v>20</v>
      </c>
      <c r="N15309" t="s">
        <v>29</v>
      </c>
    </row>
    <row r="15310" spans="1:14">
      <c r="A15310" s="4" t="str">
        <f t="shared" si="1187"/>
        <v>EXP00415</v>
      </c>
      <c r="B15310" s="3" t="s">
        <v>66</v>
      </c>
      <c r="C15310" s="4" t="str">
        <f t="shared" si="1188"/>
        <v>TCGA-BRCA</v>
      </c>
      <c r="D15310" s="1" t="s">
        <v>493</v>
      </c>
      <c r="E15310" t="s">
        <v>533</v>
      </c>
      <c r="F15310" s="1">
        <v>2</v>
      </c>
      <c r="G15310" s="1" t="s">
        <v>28</v>
      </c>
      <c r="H15310" s="4" t="str">
        <f>HYPERLINK("https://portal.gdc.cancer.gov/cases/65077db7-dd59-4362-9d28-d5a9154e9be0","TCGA-C8-A278-01A")</f>
        <v>TCGA-C8-A278-01A</v>
      </c>
      <c r="I15310" t="s">
        <v>17</v>
      </c>
      <c r="J15310" t="s">
        <v>524</v>
      </c>
      <c r="K15310" t="s">
        <v>33</v>
      </c>
      <c r="L15310" t="s">
        <v>20</v>
      </c>
      <c r="N15310" t="s">
        <v>29</v>
      </c>
    </row>
    <row r="15311" spans="1:14">
      <c r="A15311" s="4" t="str">
        <f t="shared" si="1187"/>
        <v>EXP00415</v>
      </c>
      <c r="B15311" s="3" t="s">
        <v>66</v>
      </c>
      <c r="C15311" s="4" t="str">
        <f t="shared" si="1188"/>
        <v>TCGA-BRCA</v>
      </c>
      <c r="D15311" s="1" t="s">
        <v>493</v>
      </c>
      <c r="E15311" t="s">
        <v>533</v>
      </c>
      <c r="F15311" s="1">
        <v>2</v>
      </c>
      <c r="G15311" s="1" t="s">
        <v>28</v>
      </c>
      <c r="H15311" s="4" t="str">
        <f>HYPERLINK("https://portal.gdc.cancer.gov/cases/3b1f7e48-216d-47de-ba79-db350f52bff0","TCGA-C8-A27A-01A")</f>
        <v>TCGA-C8-A27A-01A</v>
      </c>
      <c r="I15311" t="s">
        <v>17</v>
      </c>
      <c r="J15311" t="s">
        <v>524</v>
      </c>
      <c r="K15311" t="s">
        <v>33</v>
      </c>
      <c r="L15311" t="s">
        <v>20</v>
      </c>
      <c r="N15311" t="s">
        <v>29</v>
      </c>
    </row>
    <row r="15312" spans="1:14">
      <c r="A15312" s="4" t="str">
        <f t="shared" si="1187"/>
        <v>EXP00415</v>
      </c>
      <c r="B15312" s="3" t="s">
        <v>66</v>
      </c>
      <c r="C15312" s="4" t="str">
        <f t="shared" si="1188"/>
        <v>TCGA-BRCA</v>
      </c>
      <c r="D15312" s="1" t="s">
        <v>493</v>
      </c>
      <c r="E15312" t="s">
        <v>533</v>
      </c>
      <c r="F15312" s="1">
        <v>2</v>
      </c>
      <c r="G15312" s="1" t="s">
        <v>28</v>
      </c>
      <c r="H15312" s="4" t="str">
        <f>HYPERLINK("https://portal.gdc.cancer.gov/cases/f0d8a1fe-e313-44f1-99cc-b965cbeeff0e","TCGA-C8-A27B-01A")</f>
        <v>TCGA-C8-A27B-01A</v>
      </c>
      <c r="I15312" t="s">
        <v>17</v>
      </c>
      <c r="J15312" t="s">
        <v>524</v>
      </c>
      <c r="K15312" t="s">
        <v>33</v>
      </c>
      <c r="L15312" t="s">
        <v>20</v>
      </c>
      <c r="N15312" t="s">
        <v>29</v>
      </c>
    </row>
    <row r="15313" spans="1:14">
      <c r="A15313" s="4" t="str">
        <f t="shared" si="1187"/>
        <v>EXP00415</v>
      </c>
      <c r="B15313" s="3" t="s">
        <v>66</v>
      </c>
      <c r="C15313" s="4" t="str">
        <f t="shared" si="1188"/>
        <v>TCGA-BRCA</v>
      </c>
      <c r="D15313" s="1" t="s">
        <v>493</v>
      </c>
      <c r="E15313" t="s">
        <v>533</v>
      </c>
      <c r="F15313" s="1">
        <v>2</v>
      </c>
      <c r="G15313" s="1" t="s">
        <v>28</v>
      </c>
      <c r="H15313" s="4" t="str">
        <f>HYPERLINK("https://portal.gdc.cancer.gov/cases/959ff069-8a49-4c9b-85c2-5291cac0acff","TCGA-C8-A3M7-01A")</f>
        <v>TCGA-C8-A3M7-01A</v>
      </c>
      <c r="I15313" t="s">
        <v>17</v>
      </c>
      <c r="J15313" t="s">
        <v>524</v>
      </c>
      <c r="K15313" t="s">
        <v>33</v>
      </c>
      <c r="L15313" t="s">
        <v>20</v>
      </c>
      <c r="N15313" t="s">
        <v>29</v>
      </c>
    </row>
    <row r="15314" spans="1:14">
      <c r="A15314" s="4" t="str">
        <f t="shared" si="1187"/>
        <v>EXP00415</v>
      </c>
      <c r="B15314" s="3" t="s">
        <v>66</v>
      </c>
      <c r="C15314" s="4" t="str">
        <f t="shared" si="1188"/>
        <v>TCGA-BRCA</v>
      </c>
      <c r="D15314" s="1" t="s">
        <v>493</v>
      </c>
      <c r="E15314" t="s">
        <v>533</v>
      </c>
      <c r="F15314" s="1">
        <v>2</v>
      </c>
      <c r="G15314" s="1" t="s">
        <v>28</v>
      </c>
      <c r="H15314" s="4" t="str">
        <f>HYPERLINK("https://portal.gdc.cancer.gov/cases/c1e704d6-a33b-4891-90bd-992b0040c075","TCGA-C8-A3M8-01A")</f>
        <v>TCGA-C8-A3M8-01A</v>
      </c>
      <c r="I15314" t="s">
        <v>17</v>
      </c>
      <c r="J15314" t="s">
        <v>524</v>
      </c>
      <c r="K15314" t="s">
        <v>33</v>
      </c>
      <c r="L15314" t="s">
        <v>20</v>
      </c>
      <c r="N15314" t="s">
        <v>29</v>
      </c>
    </row>
    <row r="15315" spans="1:14">
      <c r="A15315" s="4" t="str">
        <f t="shared" si="1187"/>
        <v>EXP00415</v>
      </c>
      <c r="B15315" s="3" t="s">
        <v>66</v>
      </c>
      <c r="C15315" s="4" t="str">
        <f t="shared" si="1188"/>
        <v>TCGA-BRCA</v>
      </c>
      <c r="D15315" s="1" t="s">
        <v>493</v>
      </c>
      <c r="E15315" t="s">
        <v>533</v>
      </c>
      <c r="F15315" s="1">
        <v>2</v>
      </c>
      <c r="G15315" s="1" t="s">
        <v>28</v>
      </c>
      <c r="H15315" s="4" t="str">
        <f>HYPERLINK("https://portal.gdc.cancer.gov/cases/8db69f1d-72e2-40ba-ad8a-cf228499840d","TCGA-C8-A8HP-01A")</f>
        <v>TCGA-C8-A8HP-01A</v>
      </c>
      <c r="I15315" t="s">
        <v>17</v>
      </c>
      <c r="J15315" t="s">
        <v>524</v>
      </c>
      <c r="K15315" t="s">
        <v>33</v>
      </c>
      <c r="L15315" t="s">
        <v>20</v>
      </c>
      <c r="N15315" t="s">
        <v>29</v>
      </c>
    </row>
    <row r="15316" spans="1:14">
      <c r="A15316" s="4" t="str">
        <f t="shared" si="1187"/>
        <v>EXP00415</v>
      </c>
      <c r="B15316" s="3" t="s">
        <v>66</v>
      </c>
      <c r="C15316" s="4" t="str">
        <f t="shared" si="1188"/>
        <v>TCGA-BRCA</v>
      </c>
      <c r="D15316" s="1" t="s">
        <v>493</v>
      </c>
      <c r="E15316" t="s">
        <v>533</v>
      </c>
      <c r="F15316" s="1">
        <v>2</v>
      </c>
      <c r="G15316" s="1" t="s">
        <v>28</v>
      </c>
      <c r="H15316" s="4" t="str">
        <f>HYPERLINK("https://portal.gdc.cancer.gov/cases/6951fe6a-d7d1-4f41-85af-76655b5d1f62","TCGA-C8-A8HQ-01A")</f>
        <v>TCGA-C8-A8HQ-01A</v>
      </c>
      <c r="I15316" t="s">
        <v>17</v>
      </c>
      <c r="J15316" t="s">
        <v>524</v>
      </c>
      <c r="K15316" t="s">
        <v>33</v>
      </c>
      <c r="L15316" t="s">
        <v>20</v>
      </c>
      <c r="N15316" t="s">
        <v>29</v>
      </c>
    </row>
    <row r="15317" spans="1:14">
      <c r="A15317" s="4" t="str">
        <f t="shared" si="1187"/>
        <v>EXP00415</v>
      </c>
      <c r="B15317" s="3" t="s">
        <v>66</v>
      </c>
      <c r="C15317" s="4" t="str">
        <f t="shared" si="1188"/>
        <v>TCGA-BRCA</v>
      </c>
      <c r="D15317" s="1" t="s">
        <v>493</v>
      </c>
      <c r="E15317" t="s">
        <v>533</v>
      </c>
      <c r="F15317" s="1">
        <v>2</v>
      </c>
      <c r="G15317" s="1" t="s">
        <v>28</v>
      </c>
      <c r="H15317" s="4" t="str">
        <f>HYPERLINK("https://portal.gdc.cancer.gov/cases/dcb68327-1537-4ca6-81de-3910d0663cb8","TCGA-C8-A8HR-01A")</f>
        <v>TCGA-C8-A8HR-01A</v>
      </c>
      <c r="I15317" t="s">
        <v>17</v>
      </c>
      <c r="J15317" t="s">
        <v>524</v>
      </c>
      <c r="K15317" t="s">
        <v>33</v>
      </c>
      <c r="L15317" t="s">
        <v>20</v>
      </c>
      <c r="N15317" t="s">
        <v>29</v>
      </c>
    </row>
    <row r="15318" spans="1:14">
      <c r="A15318" s="4" t="str">
        <f t="shared" si="1187"/>
        <v>EXP00415</v>
      </c>
      <c r="B15318" s="3" t="s">
        <v>66</v>
      </c>
      <c r="C15318" s="4" t="str">
        <f t="shared" si="1188"/>
        <v>TCGA-BRCA</v>
      </c>
      <c r="D15318" s="1" t="s">
        <v>493</v>
      </c>
      <c r="E15318" t="s">
        <v>533</v>
      </c>
      <c r="F15318" s="1">
        <v>2</v>
      </c>
      <c r="G15318" s="1" t="s">
        <v>28</v>
      </c>
      <c r="H15318" s="4" t="str">
        <f>HYPERLINK("https://portal.gdc.cancer.gov/cases/17f275c1-a0d4-487d-8f02-ea279584b4cd","TCGA-D8-A13Y-01A")</f>
        <v>TCGA-D8-A13Y-01A</v>
      </c>
      <c r="I15318" t="s">
        <v>17</v>
      </c>
      <c r="J15318" t="s">
        <v>524</v>
      </c>
      <c r="K15318" t="s">
        <v>33</v>
      </c>
      <c r="L15318" t="s">
        <v>20</v>
      </c>
      <c r="N15318" t="s">
        <v>29</v>
      </c>
    </row>
    <row r="15319" spans="1:14">
      <c r="A15319" s="4" t="str">
        <f t="shared" si="1187"/>
        <v>EXP00415</v>
      </c>
      <c r="B15319" s="3" t="s">
        <v>66</v>
      </c>
      <c r="C15319" s="4" t="str">
        <f t="shared" si="1188"/>
        <v>TCGA-BRCA</v>
      </c>
      <c r="D15319" s="1" t="s">
        <v>493</v>
      </c>
      <c r="E15319" t="s">
        <v>533</v>
      </c>
      <c r="F15319" s="1">
        <v>2</v>
      </c>
      <c r="G15319" s="1" t="s">
        <v>28</v>
      </c>
      <c r="H15319" s="4" t="str">
        <f>HYPERLINK("https://portal.gdc.cancer.gov/cases/5a17dcd9-5ced-4a69-8069-23c7fd0649d1","TCGA-D8-A13Z-01A")</f>
        <v>TCGA-D8-A13Z-01A</v>
      </c>
      <c r="I15319" t="s">
        <v>17</v>
      </c>
      <c r="J15319" t="s">
        <v>524</v>
      </c>
      <c r="K15319" t="s">
        <v>33</v>
      </c>
      <c r="L15319" t="s">
        <v>20</v>
      </c>
      <c r="N15319" t="s">
        <v>29</v>
      </c>
    </row>
    <row r="15320" spans="1:14">
      <c r="A15320" s="4" t="str">
        <f t="shared" si="1187"/>
        <v>EXP00415</v>
      </c>
      <c r="B15320" s="3" t="s">
        <v>66</v>
      </c>
      <c r="C15320" s="4" t="str">
        <f t="shared" si="1188"/>
        <v>TCGA-BRCA</v>
      </c>
      <c r="D15320" s="1" t="s">
        <v>493</v>
      </c>
      <c r="E15320" t="s">
        <v>533</v>
      </c>
      <c r="F15320" s="1">
        <v>2</v>
      </c>
      <c r="G15320" s="1" t="s">
        <v>28</v>
      </c>
      <c r="H15320" s="4" t="str">
        <f>HYPERLINK("https://portal.gdc.cancer.gov/cases/2585edbd-3488-4100-a4ab-a161252a31ee","TCGA-D8-A140-01A")</f>
        <v>TCGA-D8-A140-01A</v>
      </c>
      <c r="I15320" t="s">
        <v>17</v>
      </c>
      <c r="J15320" t="s">
        <v>524</v>
      </c>
      <c r="K15320" t="s">
        <v>33</v>
      </c>
      <c r="L15320" t="s">
        <v>20</v>
      </c>
      <c r="N15320" t="s">
        <v>29</v>
      </c>
    </row>
    <row r="15321" spans="1:14">
      <c r="A15321" s="4" t="str">
        <f t="shared" si="1187"/>
        <v>EXP00415</v>
      </c>
      <c r="B15321" s="3" t="s">
        <v>66</v>
      </c>
      <c r="C15321" s="4" t="str">
        <f t="shared" si="1188"/>
        <v>TCGA-BRCA</v>
      </c>
      <c r="D15321" s="1" t="s">
        <v>493</v>
      </c>
      <c r="E15321" t="s">
        <v>533</v>
      </c>
      <c r="F15321" s="1">
        <v>2</v>
      </c>
      <c r="G15321" s="1" t="s">
        <v>28</v>
      </c>
      <c r="H15321" s="4" t="str">
        <f>HYPERLINK("https://portal.gdc.cancer.gov/cases/42f6f503-4cf6-4a8e-b5fe-b44bccf6b38b","TCGA-D8-A141-01A")</f>
        <v>TCGA-D8-A141-01A</v>
      </c>
      <c r="I15321" t="s">
        <v>17</v>
      </c>
      <c r="J15321" t="s">
        <v>524</v>
      </c>
      <c r="K15321" t="s">
        <v>33</v>
      </c>
      <c r="L15321" t="s">
        <v>20</v>
      </c>
      <c r="N15321" t="s">
        <v>29</v>
      </c>
    </row>
    <row r="15322" spans="1:14">
      <c r="A15322" s="4" t="str">
        <f t="shared" si="1187"/>
        <v>EXP00415</v>
      </c>
      <c r="B15322" s="3" t="s">
        <v>66</v>
      </c>
      <c r="C15322" s="4" t="str">
        <f t="shared" si="1188"/>
        <v>TCGA-BRCA</v>
      </c>
      <c r="D15322" s="1" t="s">
        <v>493</v>
      </c>
      <c r="E15322" t="s">
        <v>533</v>
      </c>
      <c r="F15322" s="1">
        <v>2</v>
      </c>
      <c r="G15322" s="1" t="s">
        <v>28</v>
      </c>
      <c r="H15322" s="4" t="str">
        <f>HYPERLINK("https://portal.gdc.cancer.gov/cases/ccb22ecc-6e18-44b8-ad48-6ab51314b16e","TCGA-D8-A142-01A")</f>
        <v>TCGA-D8-A142-01A</v>
      </c>
      <c r="I15322" t="s">
        <v>17</v>
      </c>
      <c r="J15322" t="s">
        <v>524</v>
      </c>
      <c r="K15322" t="s">
        <v>33</v>
      </c>
      <c r="L15322" t="s">
        <v>20</v>
      </c>
      <c r="N15322" t="s">
        <v>29</v>
      </c>
    </row>
    <row r="15323" spans="1:14">
      <c r="A15323" s="4" t="str">
        <f t="shared" si="1187"/>
        <v>EXP00415</v>
      </c>
      <c r="B15323" s="3" t="s">
        <v>66</v>
      </c>
      <c r="C15323" s="4" t="str">
        <f t="shared" si="1188"/>
        <v>TCGA-BRCA</v>
      </c>
      <c r="D15323" s="1" t="s">
        <v>493</v>
      </c>
      <c r="E15323" t="s">
        <v>533</v>
      </c>
      <c r="F15323" s="1">
        <v>2</v>
      </c>
      <c r="G15323" s="1" t="s">
        <v>28</v>
      </c>
      <c r="H15323" s="4" t="str">
        <f>HYPERLINK("https://portal.gdc.cancer.gov/cases/1c40b84e-a0e3-429f-a48c-21566cf881c0","TCGA-D8-A143-01A")</f>
        <v>TCGA-D8-A143-01A</v>
      </c>
      <c r="I15323" t="s">
        <v>17</v>
      </c>
      <c r="J15323" t="s">
        <v>524</v>
      </c>
      <c r="K15323" t="s">
        <v>33</v>
      </c>
      <c r="L15323" t="s">
        <v>20</v>
      </c>
      <c r="N15323" t="s">
        <v>29</v>
      </c>
    </row>
    <row r="15324" spans="1:14">
      <c r="A15324" s="4" t="str">
        <f t="shared" si="1187"/>
        <v>EXP00415</v>
      </c>
      <c r="B15324" s="3" t="s">
        <v>66</v>
      </c>
      <c r="C15324" s="4" t="str">
        <f t="shared" si="1188"/>
        <v>TCGA-BRCA</v>
      </c>
      <c r="D15324" s="1" t="s">
        <v>493</v>
      </c>
      <c r="E15324" t="s">
        <v>533</v>
      </c>
      <c r="F15324" s="1">
        <v>2</v>
      </c>
      <c r="G15324" s="1" t="s">
        <v>28</v>
      </c>
      <c r="H15324" s="4" t="str">
        <f>HYPERLINK("https://portal.gdc.cancer.gov/cases/4958c36f-1dc7-4f14-9dec-36e14107dbe3","TCGA-D8-A145-01A")</f>
        <v>TCGA-D8-A145-01A</v>
      </c>
      <c r="I15324" t="s">
        <v>17</v>
      </c>
      <c r="J15324" t="s">
        <v>524</v>
      </c>
      <c r="K15324" t="s">
        <v>33</v>
      </c>
      <c r="L15324" t="s">
        <v>20</v>
      </c>
      <c r="N15324" t="s">
        <v>29</v>
      </c>
    </row>
    <row r="15325" spans="1:14">
      <c r="A15325" s="4" t="str">
        <f t="shared" si="1187"/>
        <v>EXP00415</v>
      </c>
      <c r="B15325" s="3" t="s">
        <v>66</v>
      </c>
      <c r="C15325" s="4" t="str">
        <f t="shared" si="1188"/>
        <v>TCGA-BRCA</v>
      </c>
      <c r="D15325" s="1" t="s">
        <v>493</v>
      </c>
      <c r="E15325" t="s">
        <v>533</v>
      </c>
      <c r="F15325" s="1">
        <v>2</v>
      </c>
      <c r="G15325" s="1" t="s">
        <v>28</v>
      </c>
      <c r="H15325" s="4" t="str">
        <f>HYPERLINK("https://portal.gdc.cancer.gov/cases/03da7a65-fa2f-42cb-a709-5fe8736f21d3","TCGA-D8-A146-01A")</f>
        <v>TCGA-D8-A146-01A</v>
      </c>
      <c r="I15325" t="s">
        <v>17</v>
      </c>
      <c r="J15325" t="s">
        <v>524</v>
      </c>
      <c r="K15325" t="s">
        <v>33</v>
      </c>
      <c r="L15325" t="s">
        <v>20</v>
      </c>
      <c r="N15325" t="s">
        <v>29</v>
      </c>
    </row>
    <row r="15326" spans="1:14">
      <c r="A15326" s="4" t="str">
        <f t="shared" si="1187"/>
        <v>EXP00415</v>
      </c>
      <c r="B15326" s="3" t="s">
        <v>66</v>
      </c>
      <c r="C15326" s="4" t="str">
        <f t="shared" si="1188"/>
        <v>TCGA-BRCA</v>
      </c>
      <c r="D15326" s="1" t="s">
        <v>493</v>
      </c>
      <c r="E15326" t="s">
        <v>533</v>
      </c>
      <c r="F15326" s="1">
        <v>2</v>
      </c>
      <c r="G15326" s="1" t="s">
        <v>28</v>
      </c>
      <c r="H15326" s="4" t="str">
        <f>HYPERLINK("https://portal.gdc.cancer.gov/cases/fc18d029-9be2-4fa0-9aef-6d647dc55f0b","TCGA-D8-A147-01A")</f>
        <v>TCGA-D8-A147-01A</v>
      </c>
      <c r="I15326" t="s">
        <v>17</v>
      </c>
      <c r="J15326" t="s">
        <v>524</v>
      </c>
      <c r="K15326" t="s">
        <v>33</v>
      </c>
      <c r="L15326" t="s">
        <v>20</v>
      </c>
      <c r="N15326" t="s">
        <v>29</v>
      </c>
    </row>
    <row r="15327" spans="1:14">
      <c r="A15327" s="4" t="str">
        <f t="shared" si="1187"/>
        <v>EXP00415</v>
      </c>
      <c r="B15327" s="3" t="s">
        <v>66</v>
      </c>
      <c r="C15327" s="4" t="str">
        <f t="shared" si="1188"/>
        <v>TCGA-BRCA</v>
      </c>
      <c r="D15327" s="1" t="s">
        <v>493</v>
      </c>
      <c r="E15327" t="s">
        <v>533</v>
      </c>
      <c r="F15327" s="1">
        <v>2</v>
      </c>
      <c r="G15327" s="1" t="s">
        <v>28</v>
      </c>
      <c r="H15327" s="4" t="str">
        <f>HYPERLINK("https://portal.gdc.cancer.gov/cases/62d70067-ff77-4f95-8b69-f537abaf74ce","TCGA-D8-A1J8-01A")</f>
        <v>TCGA-D8-A1J8-01A</v>
      </c>
      <c r="I15327" t="s">
        <v>17</v>
      </c>
      <c r="J15327" t="s">
        <v>524</v>
      </c>
      <c r="K15327" t="s">
        <v>33</v>
      </c>
      <c r="L15327" t="s">
        <v>20</v>
      </c>
      <c r="N15327" t="s">
        <v>29</v>
      </c>
    </row>
    <row r="15328" spans="1:14">
      <c r="A15328" s="4" t="str">
        <f t="shared" si="1187"/>
        <v>EXP00415</v>
      </c>
      <c r="B15328" s="3" t="s">
        <v>66</v>
      </c>
      <c r="C15328" s="4" t="str">
        <f t="shared" si="1188"/>
        <v>TCGA-BRCA</v>
      </c>
      <c r="D15328" s="1" t="s">
        <v>493</v>
      </c>
      <c r="E15328" t="s">
        <v>533</v>
      </c>
      <c r="F15328" s="1">
        <v>2</v>
      </c>
      <c r="G15328" s="1" t="s">
        <v>28</v>
      </c>
      <c r="H15328" s="4" t="str">
        <f>HYPERLINK("https://portal.gdc.cancer.gov/cases/d5e9a403-88ce-40fc-bb85-80cf3f8ff6bc","TCGA-D8-A1J9-01A")</f>
        <v>TCGA-D8-A1J9-01A</v>
      </c>
      <c r="I15328" t="s">
        <v>17</v>
      </c>
      <c r="J15328" t="s">
        <v>524</v>
      </c>
      <c r="K15328" t="s">
        <v>33</v>
      </c>
      <c r="L15328" t="s">
        <v>20</v>
      </c>
      <c r="N15328" t="s">
        <v>29</v>
      </c>
    </row>
    <row r="15329" spans="1:14">
      <c r="A15329" s="4" t="str">
        <f t="shared" si="1187"/>
        <v>EXP00415</v>
      </c>
      <c r="B15329" s="3" t="s">
        <v>66</v>
      </c>
      <c r="C15329" s="4" t="str">
        <f t="shared" si="1188"/>
        <v>TCGA-BRCA</v>
      </c>
      <c r="D15329" s="1" t="s">
        <v>493</v>
      </c>
      <c r="E15329" t="s">
        <v>533</v>
      </c>
      <c r="F15329" s="1">
        <v>2</v>
      </c>
      <c r="G15329" s="1" t="s">
        <v>28</v>
      </c>
      <c r="H15329" s="4" t="str">
        <f>HYPERLINK("https://portal.gdc.cancer.gov/cases/9ced0c70-c46c-4f98-8f48-840defe4b8b1","TCGA-D8-A1JA-01A")</f>
        <v>TCGA-D8-A1JA-01A</v>
      </c>
      <c r="I15329" t="s">
        <v>17</v>
      </c>
      <c r="J15329" t="s">
        <v>524</v>
      </c>
      <c r="K15329" t="s">
        <v>33</v>
      </c>
      <c r="L15329" t="s">
        <v>20</v>
      </c>
      <c r="N15329" t="s">
        <v>29</v>
      </c>
    </row>
    <row r="15330" spans="1:14">
      <c r="A15330" s="4" t="str">
        <f t="shared" si="1187"/>
        <v>EXP00415</v>
      </c>
      <c r="B15330" s="3" t="s">
        <v>66</v>
      </c>
      <c r="C15330" s="4" t="str">
        <f t="shared" si="1188"/>
        <v>TCGA-BRCA</v>
      </c>
      <c r="D15330" s="1" t="s">
        <v>493</v>
      </c>
      <c r="E15330" t="s">
        <v>533</v>
      </c>
      <c r="F15330" s="1">
        <v>2</v>
      </c>
      <c r="G15330" s="1" t="s">
        <v>28</v>
      </c>
      <c r="H15330" s="4" t="str">
        <f>HYPERLINK("https://portal.gdc.cancer.gov/cases/dd96a9c7-899c-47cd-a0f9-b149ed07a5d6","TCGA-D8-A1JB-01A")</f>
        <v>TCGA-D8-A1JB-01A</v>
      </c>
      <c r="I15330" t="s">
        <v>17</v>
      </c>
      <c r="J15330" t="s">
        <v>524</v>
      </c>
      <c r="K15330" t="s">
        <v>33</v>
      </c>
      <c r="L15330" t="s">
        <v>20</v>
      </c>
      <c r="N15330" t="s">
        <v>29</v>
      </c>
    </row>
    <row r="15331" spans="1:14">
      <c r="A15331" s="4" t="str">
        <f t="shared" si="1187"/>
        <v>EXP00415</v>
      </c>
      <c r="B15331" s="3" t="s">
        <v>66</v>
      </c>
      <c r="C15331" s="4" t="str">
        <f t="shared" si="1188"/>
        <v>TCGA-BRCA</v>
      </c>
      <c r="D15331" s="1" t="s">
        <v>493</v>
      </c>
      <c r="E15331" t="s">
        <v>533</v>
      </c>
      <c r="F15331" s="1">
        <v>2</v>
      </c>
      <c r="G15331" s="1" t="s">
        <v>28</v>
      </c>
      <c r="H15331" s="4" t="str">
        <f>HYPERLINK("https://portal.gdc.cancer.gov/cases/02e6f999-24f2-4ad2-9b92-df3ee2b082e5","TCGA-D8-A1JC-01A")</f>
        <v>TCGA-D8-A1JC-01A</v>
      </c>
      <c r="I15331" t="s">
        <v>17</v>
      </c>
      <c r="J15331" t="s">
        <v>524</v>
      </c>
      <c r="K15331" t="s">
        <v>33</v>
      </c>
      <c r="L15331" t="s">
        <v>20</v>
      </c>
      <c r="N15331" t="s">
        <v>29</v>
      </c>
    </row>
    <row r="15332" spans="1:14">
      <c r="A15332" s="4" t="str">
        <f t="shared" si="1187"/>
        <v>EXP00415</v>
      </c>
      <c r="B15332" s="3" t="s">
        <v>66</v>
      </c>
      <c r="C15332" s="4" t="str">
        <f t="shared" si="1188"/>
        <v>TCGA-BRCA</v>
      </c>
      <c r="D15332" s="1" t="s">
        <v>493</v>
      </c>
      <c r="E15332" t="s">
        <v>533</v>
      </c>
      <c r="F15332" s="1">
        <v>2</v>
      </c>
      <c r="G15332" s="1" t="s">
        <v>28</v>
      </c>
      <c r="H15332" s="4" t="str">
        <f>HYPERLINK("https://portal.gdc.cancer.gov/cases/530ad151-703d-4638-851f-0b5111ff318b","TCGA-D8-A1JD-01A")</f>
        <v>TCGA-D8-A1JD-01A</v>
      </c>
      <c r="I15332" t="s">
        <v>17</v>
      </c>
      <c r="J15332" t="s">
        <v>524</v>
      </c>
      <c r="K15332" t="s">
        <v>33</v>
      </c>
      <c r="L15332" t="s">
        <v>20</v>
      </c>
      <c r="N15332" t="s">
        <v>29</v>
      </c>
    </row>
    <row r="15333" spans="1:14">
      <c r="A15333" s="4" t="str">
        <f t="shared" si="1187"/>
        <v>EXP00415</v>
      </c>
      <c r="B15333" s="3" t="s">
        <v>66</v>
      </c>
      <c r="C15333" s="4" t="str">
        <f t="shared" si="1188"/>
        <v>TCGA-BRCA</v>
      </c>
      <c r="D15333" s="1" t="s">
        <v>493</v>
      </c>
      <c r="E15333" t="s">
        <v>533</v>
      </c>
      <c r="F15333" s="1">
        <v>2</v>
      </c>
      <c r="G15333" s="1" t="s">
        <v>28</v>
      </c>
      <c r="H15333" s="4" t="str">
        <f>HYPERLINK("https://portal.gdc.cancer.gov/cases/115bc72c-116f-40c1-be9b-e3dd7650efae","TCGA-D8-A1JE-01A")</f>
        <v>TCGA-D8-A1JE-01A</v>
      </c>
      <c r="I15333" t="s">
        <v>17</v>
      </c>
      <c r="J15333" t="s">
        <v>524</v>
      </c>
      <c r="K15333" t="s">
        <v>33</v>
      </c>
      <c r="L15333" t="s">
        <v>20</v>
      </c>
      <c r="N15333" t="s">
        <v>29</v>
      </c>
    </row>
    <row r="15334" spans="1:14">
      <c r="A15334" s="4" t="str">
        <f t="shared" si="1187"/>
        <v>EXP00415</v>
      </c>
      <c r="B15334" s="3" t="s">
        <v>66</v>
      </c>
      <c r="C15334" s="4" t="str">
        <f t="shared" si="1188"/>
        <v>TCGA-BRCA</v>
      </c>
      <c r="D15334" s="1" t="s">
        <v>493</v>
      </c>
      <c r="E15334" t="s">
        <v>533</v>
      </c>
      <c r="F15334" s="1">
        <v>2</v>
      </c>
      <c r="G15334" s="1" t="s">
        <v>28</v>
      </c>
      <c r="H15334" s="4" t="str">
        <f>HYPERLINK("https://portal.gdc.cancer.gov/cases/dcd5e079-813a-4c1a-b320-0931468d2bbc","TCGA-D8-A1JF-01A")</f>
        <v>TCGA-D8-A1JF-01A</v>
      </c>
      <c r="I15334" t="s">
        <v>17</v>
      </c>
      <c r="J15334" t="s">
        <v>524</v>
      </c>
      <c r="K15334" t="s">
        <v>33</v>
      </c>
      <c r="L15334" t="s">
        <v>20</v>
      </c>
      <c r="N15334" t="s">
        <v>29</v>
      </c>
    </row>
    <row r="15335" spans="1:14">
      <c r="A15335" s="4" t="str">
        <f t="shared" si="1187"/>
        <v>EXP00415</v>
      </c>
      <c r="B15335" s="3" t="s">
        <v>66</v>
      </c>
      <c r="C15335" s="4" t="str">
        <f t="shared" si="1188"/>
        <v>TCGA-BRCA</v>
      </c>
      <c r="D15335" s="1" t="s">
        <v>493</v>
      </c>
      <c r="E15335" t="s">
        <v>533</v>
      </c>
      <c r="F15335" s="1">
        <v>2</v>
      </c>
      <c r="G15335" s="1" t="s">
        <v>28</v>
      </c>
      <c r="H15335" s="4" t="str">
        <f>HYPERLINK("https://portal.gdc.cancer.gov/cases/7f2a63e6-64d5-4be1-9814-e8416fc9e688","TCGA-D8-A1JG-01B")</f>
        <v>TCGA-D8-A1JG-01B</v>
      </c>
      <c r="I15335" t="s">
        <v>17</v>
      </c>
      <c r="J15335" t="s">
        <v>524</v>
      </c>
      <c r="K15335" t="s">
        <v>33</v>
      </c>
      <c r="L15335" t="s">
        <v>20</v>
      </c>
      <c r="N15335" t="s">
        <v>29</v>
      </c>
    </row>
    <row r="15336" spans="1:14">
      <c r="A15336" s="4" t="str">
        <f t="shared" si="1187"/>
        <v>EXP00415</v>
      </c>
      <c r="B15336" s="3" t="s">
        <v>66</v>
      </c>
      <c r="C15336" s="4" t="str">
        <f t="shared" si="1188"/>
        <v>TCGA-BRCA</v>
      </c>
      <c r="D15336" s="1" t="s">
        <v>493</v>
      </c>
      <c r="E15336" t="s">
        <v>533</v>
      </c>
      <c r="F15336" s="1">
        <v>2</v>
      </c>
      <c r="G15336" s="1" t="s">
        <v>28</v>
      </c>
      <c r="H15336" s="4" t="str">
        <f>HYPERLINK("https://portal.gdc.cancer.gov/cases/4d1bf9e6-5837-4aed-b568-92f014ed5a4b","TCGA-D8-A1JH-01A")</f>
        <v>TCGA-D8-A1JH-01A</v>
      </c>
      <c r="I15336" t="s">
        <v>17</v>
      </c>
      <c r="J15336" t="s">
        <v>524</v>
      </c>
      <c r="K15336" t="s">
        <v>33</v>
      </c>
      <c r="L15336" t="s">
        <v>20</v>
      </c>
      <c r="N15336" t="s">
        <v>29</v>
      </c>
    </row>
    <row r="15337" spans="1:14">
      <c r="A15337" s="4" t="str">
        <f t="shared" si="1187"/>
        <v>EXP00415</v>
      </c>
      <c r="B15337" s="3" t="s">
        <v>66</v>
      </c>
      <c r="C15337" s="4" t="str">
        <f t="shared" si="1188"/>
        <v>TCGA-BRCA</v>
      </c>
      <c r="D15337" s="1" t="s">
        <v>493</v>
      </c>
      <c r="E15337" t="s">
        <v>533</v>
      </c>
      <c r="F15337" s="1">
        <v>2</v>
      </c>
      <c r="G15337" s="1" t="s">
        <v>28</v>
      </c>
      <c r="H15337" s="4" t="str">
        <f>HYPERLINK("https://portal.gdc.cancer.gov/cases/baf2afc8-f16c-488f-947c-efc9083c6bef","TCGA-D8-A1JI-01A")</f>
        <v>TCGA-D8-A1JI-01A</v>
      </c>
      <c r="I15337" t="s">
        <v>17</v>
      </c>
      <c r="J15337" t="s">
        <v>524</v>
      </c>
      <c r="K15337" t="s">
        <v>33</v>
      </c>
      <c r="L15337" t="s">
        <v>20</v>
      </c>
      <c r="N15337" t="s">
        <v>29</v>
      </c>
    </row>
    <row r="15338" spans="1:14">
      <c r="A15338" s="4" t="str">
        <f t="shared" si="1187"/>
        <v>EXP00415</v>
      </c>
      <c r="B15338" s="3" t="s">
        <v>66</v>
      </c>
      <c r="C15338" s="4" t="str">
        <f t="shared" si="1188"/>
        <v>TCGA-BRCA</v>
      </c>
      <c r="D15338" s="1" t="s">
        <v>493</v>
      </c>
      <c r="E15338" t="s">
        <v>533</v>
      </c>
      <c r="F15338" s="1">
        <v>2</v>
      </c>
      <c r="G15338" s="1" t="s">
        <v>28</v>
      </c>
      <c r="H15338" s="4" t="str">
        <f>HYPERLINK("https://portal.gdc.cancer.gov/cases/f7ab565c-83b5-4988-b9be-8a46f65dca8c","TCGA-D8-A1JJ-01A")</f>
        <v>TCGA-D8-A1JJ-01A</v>
      </c>
      <c r="I15338" t="s">
        <v>17</v>
      </c>
      <c r="J15338" t="s">
        <v>524</v>
      </c>
      <c r="K15338" t="s">
        <v>33</v>
      </c>
      <c r="L15338" t="s">
        <v>20</v>
      </c>
      <c r="N15338" t="s">
        <v>29</v>
      </c>
    </row>
    <row r="15339" spans="1:14">
      <c r="A15339" s="4" t="str">
        <f t="shared" si="1187"/>
        <v>EXP00415</v>
      </c>
      <c r="B15339" s="3" t="s">
        <v>66</v>
      </c>
      <c r="C15339" s="4" t="str">
        <f t="shared" si="1188"/>
        <v>TCGA-BRCA</v>
      </c>
      <c r="D15339" s="1" t="s">
        <v>493</v>
      </c>
      <c r="E15339" t="s">
        <v>533</v>
      </c>
      <c r="F15339" s="1">
        <v>2</v>
      </c>
      <c r="G15339" s="1" t="s">
        <v>28</v>
      </c>
      <c r="H15339" s="4" t="str">
        <f>HYPERLINK("https://portal.gdc.cancer.gov/cases/56203436-8634-4fd0-96b5-ba6be9d87857","TCGA-D8-A1JK-01A")</f>
        <v>TCGA-D8-A1JK-01A</v>
      </c>
      <c r="I15339" t="s">
        <v>17</v>
      </c>
      <c r="J15339" t="s">
        <v>524</v>
      </c>
      <c r="K15339" t="s">
        <v>33</v>
      </c>
      <c r="L15339" t="s">
        <v>20</v>
      </c>
      <c r="N15339" t="s">
        <v>29</v>
      </c>
    </row>
    <row r="15340" spans="1:14">
      <c r="A15340" s="4" t="str">
        <f t="shared" si="1187"/>
        <v>EXP00415</v>
      </c>
      <c r="B15340" s="3" t="s">
        <v>66</v>
      </c>
      <c r="C15340" s="4" t="str">
        <f t="shared" si="1188"/>
        <v>TCGA-BRCA</v>
      </c>
      <c r="D15340" s="1" t="s">
        <v>493</v>
      </c>
      <c r="E15340" t="s">
        <v>533</v>
      </c>
      <c r="F15340" s="1">
        <v>2</v>
      </c>
      <c r="G15340" s="1" t="s">
        <v>28</v>
      </c>
      <c r="H15340" s="4" t="str">
        <f>HYPERLINK("https://portal.gdc.cancer.gov/cases/aa4244a8-0454-4247-a1c3-357fd51746fa","TCGA-D8-A1JL-01A")</f>
        <v>TCGA-D8-A1JL-01A</v>
      </c>
      <c r="I15340" t="s">
        <v>17</v>
      </c>
      <c r="J15340" t="s">
        <v>524</v>
      </c>
      <c r="K15340" t="s">
        <v>33</v>
      </c>
      <c r="L15340" t="s">
        <v>20</v>
      </c>
      <c r="N15340" t="s">
        <v>29</v>
      </c>
    </row>
    <row r="15341" spans="1:14">
      <c r="A15341" s="4" t="str">
        <f t="shared" si="1187"/>
        <v>EXP00415</v>
      </c>
      <c r="B15341" s="3" t="s">
        <v>66</v>
      </c>
      <c r="C15341" s="4" t="str">
        <f t="shared" si="1188"/>
        <v>TCGA-BRCA</v>
      </c>
      <c r="D15341" s="1" t="s">
        <v>493</v>
      </c>
      <c r="E15341" t="s">
        <v>533</v>
      </c>
      <c r="F15341" s="1">
        <v>2</v>
      </c>
      <c r="G15341" s="1" t="s">
        <v>28</v>
      </c>
      <c r="H15341" s="4" t="str">
        <f>HYPERLINK("https://portal.gdc.cancer.gov/cases/28911b97-42bf-4189-9961-522fc0aeebc6","TCGA-D8-A1JN-01A")</f>
        <v>TCGA-D8-A1JN-01A</v>
      </c>
      <c r="I15341" t="s">
        <v>17</v>
      </c>
      <c r="J15341" t="s">
        <v>524</v>
      </c>
      <c r="K15341" t="s">
        <v>33</v>
      </c>
      <c r="L15341" t="s">
        <v>20</v>
      </c>
      <c r="N15341" t="s">
        <v>29</v>
      </c>
    </row>
    <row r="15342" spans="1:14">
      <c r="A15342" s="4" t="str">
        <f t="shared" si="1187"/>
        <v>EXP00415</v>
      </c>
      <c r="B15342" s="3" t="s">
        <v>66</v>
      </c>
      <c r="C15342" s="4" t="str">
        <f t="shared" si="1188"/>
        <v>TCGA-BRCA</v>
      </c>
      <c r="D15342" s="1" t="s">
        <v>493</v>
      </c>
      <c r="E15342" t="s">
        <v>533</v>
      </c>
      <c r="F15342" s="1">
        <v>2</v>
      </c>
      <c r="G15342" s="1" t="s">
        <v>28</v>
      </c>
      <c r="H15342" s="4" t="str">
        <f>HYPERLINK("https://portal.gdc.cancer.gov/cases/752f4773-5a12-4485-a1f6-896e148ddf4d","TCGA-D8-A1JP-01A")</f>
        <v>TCGA-D8-A1JP-01A</v>
      </c>
      <c r="I15342" t="s">
        <v>17</v>
      </c>
      <c r="J15342" t="s">
        <v>524</v>
      </c>
      <c r="K15342" t="s">
        <v>33</v>
      </c>
      <c r="L15342" t="s">
        <v>20</v>
      </c>
      <c r="N15342" t="s">
        <v>29</v>
      </c>
    </row>
    <row r="15343" spans="1:14">
      <c r="A15343" s="4" t="str">
        <f t="shared" si="1187"/>
        <v>EXP00415</v>
      </c>
      <c r="B15343" s="3" t="s">
        <v>66</v>
      </c>
      <c r="C15343" s="4" t="str">
        <f t="shared" si="1188"/>
        <v>TCGA-BRCA</v>
      </c>
      <c r="D15343" s="1" t="s">
        <v>493</v>
      </c>
      <c r="E15343" t="s">
        <v>533</v>
      </c>
      <c r="F15343" s="1">
        <v>2</v>
      </c>
      <c r="G15343" s="1" t="s">
        <v>28</v>
      </c>
      <c r="H15343" s="4" t="str">
        <f>HYPERLINK("https://portal.gdc.cancer.gov/cases/0d03055c-186b-418a-b614-e2035757bc3b","TCGA-D8-A1JS-01A")</f>
        <v>TCGA-D8-A1JS-01A</v>
      </c>
      <c r="I15343" t="s">
        <v>17</v>
      </c>
      <c r="J15343" t="s">
        <v>524</v>
      </c>
      <c r="K15343" t="s">
        <v>33</v>
      </c>
      <c r="L15343" t="s">
        <v>20</v>
      </c>
      <c r="N15343" t="s">
        <v>29</v>
      </c>
    </row>
    <row r="15344" spans="1:14">
      <c r="A15344" s="4" t="str">
        <f t="shared" si="1187"/>
        <v>EXP00415</v>
      </c>
      <c r="B15344" s="3" t="s">
        <v>66</v>
      </c>
      <c r="C15344" s="4" t="str">
        <f t="shared" si="1188"/>
        <v>TCGA-BRCA</v>
      </c>
      <c r="D15344" s="1" t="s">
        <v>493</v>
      </c>
      <c r="E15344" t="s">
        <v>533</v>
      </c>
      <c r="F15344" s="1">
        <v>2</v>
      </c>
      <c r="G15344" s="1" t="s">
        <v>28</v>
      </c>
      <c r="H15344" s="4" t="str">
        <f>HYPERLINK("https://portal.gdc.cancer.gov/cases/cd781589-3820-45a2-906b-8d60cd02f3ef","TCGA-D8-A1JT-01A")</f>
        <v>TCGA-D8-A1JT-01A</v>
      </c>
      <c r="I15344" t="s">
        <v>17</v>
      </c>
      <c r="J15344" t="s">
        <v>524</v>
      </c>
      <c r="K15344" t="s">
        <v>33</v>
      </c>
      <c r="L15344" t="s">
        <v>20</v>
      </c>
      <c r="N15344" t="s">
        <v>29</v>
      </c>
    </row>
    <row r="15345" spans="1:14">
      <c r="A15345" s="4" t="str">
        <f t="shared" si="1187"/>
        <v>EXP00415</v>
      </c>
      <c r="B15345" s="3" t="s">
        <v>66</v>
      </c>
      <c r="C15345" s="4" t="str">
        <f t="shared" si="1188"/>
        <v>TCGA-BRCA</v>
      </c>
      <c r="D15345" s="1" t="s">
        <v>493</v>
      </c>
      <c r="E15345" t="s">
        <v>533</v>
      </c>
      <c r="F15345" s="1">
        <v>2</v>
      </c>
      <c r="G15345" s="1" t="s">
        <v>28</v>
      </c>
      <c r="H15345" s="4" t="str">
        <f>HYPERLINK("https://portal.gdc.cancer.gov/cases/af2a8e2f-2ae1-48bc-bba5-0e2c077c4e48","TCGA-D8-A1JU-01A")</f>
        <v>TCGA-D8-A1JU-01A</v>
      </c>
      <c r="I15345" t="s">
        <v>17</v>
      </c>
      <c r="J15345" t="s">
        <v>524</v>
      </c>
      <c r="K15345" t="s">
        <v>33</v>
      </c>
      <c r="L15345" t="s">
        <v>20</v>
      </c>
      <c r="N15345" t="s">
        <v>29</v>
      </c>
    </row>
    <row r="15346" spans="1:14">
      <c r="A15346" s="4" t="str">
        <f t="shared" si="1187"/>
        <v>EXP00415</v>
      </c>
      <c r="B15346" s="3" t="s">
        <v>66</v>
      </c>
      <c r="C15346" s="4" t="str">
        <f t="shared" si="1188"/>
        <v>TCGA-BRCA</v>
      </c>
      <c r="D15346" s="1" t="s">
        <v>493</v>
      </c>
      <c r="E15346" t="s">
        <v>533</v>
      </c>
      <c r="F15346" s="1">
        <v>2</v>
      </c>
      <c r="G15346" s="1" t="s">
        <v>28</v>
      </c>
      <c r="H15346" s="4" t="str">
        <f>HYPERLINK("https://portal.gdc.cancer.gov/cases/eb93df3d-9e25-4e4c-9a5d-350f296e5acf","TCGA-D8-A1X5-01A")</f>
        <v>TCGA-D8-A1X5-01A</v>
      </c>
      <c r="I15346" t="s">
        <v>17</v>
      </c>
      <c r="J15346" t="s">
        <v>524</v>
      </c>
      <c r="K15346" t="s">
        <v>33</v>
      </c>
      <c r="L15346" t="s">
        <v>20</v>
      </c>
      <c r="N15346" t="s">
        <v>29</v>
      </c>
    </row>
    <row r="15347" spans="1:14">
      <c r="A15347" s="4" t="str">
        <f t="shared" si="1187"/>
        <v>EXP00415</v>
      </c>
      <c r="B15347" s="3" t="s">
        <v>66</v>
      </c>
      <c r="C15347" s="4" t="str">
        <f t="shared" si="1188"/>
        <v>TCGA-BRCA</v>
      </c>
      <c r="D15347" s="1" t="s">
        <v>493</v>
      </c>
      <c r="E15347" t="s">
        <v>533</v>
      </c>
      <c r="F15347" s="1">
        <v>2</v>
      </c>
      <c r="G15347" s="1" t="s">
        <v>28</v>
      </c>
      <c r="H15347" s="4" t="str">
        <f>HYPERLINK("https://portal.gdc.cancer.gov/cases/42e47f3a-dff7-41e4-8f84-146d97e8ab72","TCGA-D8-A1X6-01A")</f>
        <v>TCGA-D8-A1X6-01A</v>
      </c>
      <c r="I15347" t="s">
        <v>17</v>
      </c>
      <c r="J15347" t="s">
        <v>524</v>
      </c>
      <c r="K15347" t="s">
        <v>33</v>
      </c>
      <c r="L15347" t="s">
        <v>20</v>
      </c>
      <c r="N15347" t="s">
        <v>29</v>
      </c>
    </row>
    <row r="15348" spans="1:14">
      <c r="A15348" s="4" t="str">
        <f t="shared" si="1187"/>
        <v>EXP00415</v>
      </c>
      <c r="B15348" s="3" t="s">
        <v>66</v>
      </c>
      <c r="C15348" s="4" t="str">
        <f t="shared" si="1188"/>
        <v>TCGA-BRCA</v>
      </c>
      <c r="D15348" s="1" t="s">
        <v>493</v>
      </c>
      <c r="E15348" t="s">
        <v>533</v>
      </c>
      <c r="F15348" s="1">
        <v>2</v>
      </c>
      <c r="G15348" s="1" t="s">
        <v>28</v>
      </c>
      <c r="H15348" s="4" t="str">
        <f>HYPERLINK("https://portal.gdc.cancer.gov/cases/cdab777e-62de-4d51-92af-b6eb089c111f","TCGA-D8-A1X7-01A")</f>
        <v>TCGA-D8-A1X7-01A</v>
      </c>
      <c r="I15348" t="s">
        <v>17</v>
      </c>
      <c r="J15348" t="s">
        <v>524</v>
      </c>
      <c r="K15348" t="s">
        <v>33</v>
      </c>
      <c r="L15348" t="s">
        <v>20</v>
      </c>
      <c r="N15348" t="s">
        <v>29</v>
      </c>
    </row>
    <row r="15349" spans="1:14">
      <c r="A15349" s="4" t="str">
        <f t="shared" si="1187"/>
        <v>EXP00415</v>
      </c>
      <c r="B15349" s="3" t="s">
        <v>66</v>
      </c>
      <c r="C15349" s="4" t="str">
        <f t="shared" si="1188"/>
        <v>TCGA-BRCA</v>
      </c>
      <c r="D15349" s="1" t="s">
        <v>493</v>
      </c>
      <c r="E15349" t="s">
        <v>533</v>
      </c>
      <c r="F15349" s="1">
        <v>2</v>
      </c>
      <c r="G15349" s="1" t="s">
        <v>28</v>
      </c>
      <c r="H15349" s="4" t="str">
        <f>HYPERLINK("https://portal.gdc.cancer.gov/cases/8624354c-af25-423c-9c71-48a5dd821097","TCGA-D8-A1X8-01A")</f>
        <v>TCGA-D8-A1X8-01A</v>
      </c>
      <c r="I15349" t="s">
        <v>17</v>
      </c>
      <c r="J15349" t="s">
        <v>524</v>
      </c>
      <c r="K15349" t="s">
        <v>33</v>
      </c>
      <c r="L15349" t="s">
        <v>20</v>
      </c>
      <c r="N15349" t="s">
        <v>29</v>
      </c>
    </row>
    <row r="15350" spans="1:14">
      <c r="A15350" s="4" t="str">
        <f t="shared" si="1187"/>
        <v>EXP00415</v>
      </c>
      <c r="B15350" s="3" t="s">
        <v>66</v>
      </c>
      <c r="C15350" s="4" t="str">
        <f t="shared" si="1188"/>
        <v>TCGA-BRCA</v>
      </c>
      <c r="D15350" s="1" t="s">
        <v>493</v>
      </c>
      <c r="E15350" t="s">
        <v>533</v>
      </c>
      <c r="F15350" s="1">
        <v>2</v>
      </c>
      <c r="G15350" s="1" t="s">
        <v>28</v>
      </c>
      <c r="H15350" s="4" t="str">
        <f>HYPERLINK("https://portal.gdc.cancer.gov/cases/34a74805-300c-4773-ab59-2085fcc2e6cc","TCGA-D8-A1X9-01A")</f>
        <v>TCGA-D8-A1X9-01A</v>
      </c>
      <c r="I15350" t="s">
        <v>17</v>
      </c>
      <c r="J15350" t="s">
        <v>524</v>
      </c>
      <c r="K15350" t="s">
        <v>33</v>
      </c>
      <c r="L15350" t="s">
        <v>20</v>
      </c>
      <c r="N15350" t="s">
        <v>29</v>
      </c>
    </row>
    <row r="15351" spans="1:14">
      <c r="A15351" s="4" t="str">
        <f t="shared" si="1187"/>
        <v>EXP00415</v>
      </c>
      <c r="B15351" s="3" t="s">
        <v>66</v>
      </c>
      <c r="C15351" s="4" t="str">
        <f t="shared" si="1188"/>
        <v>TCGA-BRCA</v>
      </c>
      <c r="D15351" s="1" t="s">
        <v>493</v>
      </c>
      <c r="E15351" t="s">
        <v>533</v>
      </c>
      <c r="F15351" s="1">
        <v>2</v>
      </c>
      <c r="G15351" s="1" t="s">
        <v>28</v>
      </c>
      <c r="H15351" s="4" t="str">
        <f>HYPERLINK("https://portal.gdc.cancer.gov/cases/739cb132-51e9-41be-8064-311a13da0d74","TCGA-D8-A1XA-01A")</f>
        <v>TCGA-D8-A1XA-01A</v>
      </c>
      <c r="I15351" t="s">
        <v>17</v>
      </c>
      <c r="J15351" t="s">
        <v>524</v>
      </c>
      <c r="K15351" t="s">
        <v>33</v>
      </c>
      <c r="L15351" t="s">
        <v>20</v>
      </c>
      <c r="N15351" t="s">
        <v>29</v>
      </c>
    </row>
    <row r="15352" spans="1:14">
      <c r="A15352" s="4" t="str">
        <f t="shared" ref="A15352:A15415" si="1189">HYPERLINK("http://hcmdb.i-sanger.com/experiment/details/experiment_id/EXP00415","EXP00415")</f>
        <v>EXP00415</v>
      </c>
      <c r="B15352" s="3" t="s">
        <v>66</v>
      </c>
      <c r="C15352" s="4" t="str">
        <f t="shared" si="1188"/>
        <v>TCGA-BRCA</v>
      </c>
      <c r="D15352" s="1" t="s">
        <v>493</v>
      </c>
      <c r="E15352" t="s">
        <v>533</v>
      </c>
      <c r="F15352" s="1">
        <v>2</v>
      </c>
      <c r="G15352" s="1" t="s">
        <v>28</v>
      </c>
      <c r="H15352" s="4" t="str">
        <f>HYPERLINK("https://portal.gdc.cancer.gov/cases/d2694b09-7844-4496-865c-5d3d8cd03330","TCGA-D8-A1XB-01A")</f>
        <v>TCGA-D8-A1XB-01A</v>
      </c>
      <c r="I15352" t="s">
        <v>17</v>
      </c>
      <c r="J15352" t="s">
        <v>524</v>
      </c>
      <c r="K15352" t="s">
        <v>33</v>
      </c>
      <c r="L15352" t="s">
        <v>20</v>
      </c>
      <c r="N15352" t="s">
        <v>29</v>
      </c>
    </row>
    <row r="15353" spans="1:14">
      <c r="A15353" s="4" t="str">
        <f t="shared" si="1189"/>
        <v>EXP00415</v>
      </c>
      <c r="B15353" s="3" t="s">
        <v>66</v>
      </c>
      <c r="C15353" s="4" t="str">
        <f t="shared" si="1188"/>
        <v>TCGA-BRCA</v>
      </c>
      <c r="D15353" s="1" t="s">
        <v>493</v>
      </c>
      <c r="E15353" t="s">
        <v>533</v>
      </c>
      <c r="F15353" s="1">
        <v>2</v>
      </c>
      <c r="G15353" s="1" t="s">
        <v>28</v>
      </c>
      <c r="H15353" s="4" t="str">
        <f>HYPERLINK("https://portal.gdc.cancer.gov/cases/ee14e049-b891-4dda-a730-8ce99bd93baf","TCGA-D8-A1XC-01A")</f>
        <v>TCGA-D8-A1XC-01A</v>
      </c>
      <c r="I15353" t="s">
        <v>17</v>
      </c>
      <c r="J15353" t="s">
        <v>524</v>
      </c>
      <c r="K15353" t="s">
        <v>33</v>
      </c>
      <c r="L15353" t="s">
        <v>20</v>
      </c>
      <c r="N15353" t="s">
        <v>29</v>
      </c>
    </row>
    <row r="15354" spans="1:14">
      <c r="A15354" s="4" t="str">
        <f t="shared" si="1189"/>
        <v>EXP00415</v>
      </c>
      <c r="B15354" s="3" t="s">
        <v>66</v>
      </c>
      <c r="C15354" s="4" t="str">
        <f t="shared" ref="C15354:C15417" si="1190">HYPERLINK("https://portal.gdc.cancer.gov/projects/TCGA-BRCA","TCGA-BRCA")</f>
        <v>TCGA-BRCA</v>
      </c>
      <c r="D15354" s="1" t="s">
        <v>493</v>
      </c>
      <c r="E15354" t="s">
        <v>533</v>
      </c>
      <c r="F15354" s="1">
        <v>2</v>
      </c>
      <c r="G15354" s="1" t="s">
        <v>28</v>
      </c>
      <c r="H15354" s="4" t="str">
        <f>HYPERLINK("https://portal.gdc.cancer.gov/cases/c4699748-f01d-4b30-9c74-1ca77fb84ac1","TCGA-D8-A1XD-01A")</f>
        <v>TCGA-D8-A1XD-01A</v>
      </c>
      <c r="I15354" t="s">
        <v>17</v>
      </c>
      <c r="J15354" t="s">
        <v>524</v>
      </c>
      <c r="K15354" t="s">
        <v>33</v>
      </c>
      <c r="L15354" t="s">
        <v>20</v>
      </c>
      <c r="N15354" t="s">
        <v>29</v>
      </c>
    </row>
    <row r="15355" spans="1:14">
      <c r="A15355" s="4" t="str">
        <f t="shared" si="1189"/>
        <v>EXP00415</v>
      </c>
      <c r="B15355" s="3" t="s">
        <v>66</v>
      </c>
      <c r="C15355" s="4" t="str">
        <f t="shared" si="1190"/>
        <v>TCGA-BRCA</v>
      </c>
      <c r="D15355" s="1" t="s">
        <v>493</v>
      </c>
      <c r="E15355" t="s">
        <v>533</v>
      </c>
      <c r="F15355" s="1">
        <v>2</v>
      </c>
      <c r="G15355" s="1" t="s">
        <v>28</v>
      </c>
      <c r="H15355" s="4" t="str">
        <f>HYPERLINK("https://portal.gdc.cancer.gov/cases/6f6afd31-b5dd-48ab-b18f-6390ba18a5f0","TCGA-D8-A1XF-01A")</f>
        <v>TCGA-D8-A1XF-01A</v>
      </c>
      <c r="I15355" t="s">
        <v>17</v>
      </c>
      <c r="J15355" t="s">
        <v>524</v>
      </c>
      <c r="K15355" t="s">
        <v>33</v>
      </c>
      <c r="L15355" t="s">
        <v>20</v>
      </c>
      <c r="N15355" t="s">
        <v>29</v>
      </c>
    </row>
    <row r="15356" spans="1:14">
      <c r="A15356" s="4" t="str">
        <f t="shared" si="1189"/>
        <v>EXP00415</v>
      </c>
      <c r="B15356" s="3" t="s">
        <v>66</v>
      </c>
      <c r="C15356" s="4" t="str">
        <f t="shared" si="1190"/>
        <v>TCGA-BRCA</v>
      </c>
      <c r="D15356" s="1" t="s">
        <v>493</v>
      </c>
      <c r="E15356" t="s">
        <v>533</v>
      </c>
      <c r="F15356" s="1">
        <v>2</v>
      </c>
      <c r="G15356" s="1" t="s">
        <v>28</v>
      </c>
      <c r="H15356" s="4" t="str">
        <f>HYPERLINK("https://portal.gdc.cancer.gov/cases/de531604-bd1a-49df-96c2-6de3ae703f1d","TCGA-D8-A1XG-01A")</f>
        <v>TCGA-D8-A1XG-01A</v>
      </c>
      <c r="I15356" t="s">
        <v>17</v>
      </c>
      <c r="J15356" t="s">
        <v>524</v>
      </c>
      <c r="K15356" t="s">
        <v>33</v>
      </c>
      <c r="L15356" t="s">
        <v>20</v>
      </c>
      <c r="N15356" t="s">
        <v>29</v>
      </c>
    </row>
    <row r="15357" spans="1:14">
      <c r="A15357" s="4" t="str">
        <f t="shared" si="1189"/>
        <v>EXP00415</v>
      </c>
      <c r="B15357" s="3" t="s">
        <v>66</v>
      </c>
      <c r="C15357" s="4" t="str">
        <f t="shared" si="1190"/>
        <v>TCGA-BRCA</v>
      </c>
      <c r="D15357" s="1" t="s">
        <v>493</v>
      </c>
      <c r="E15357" t="s">
        <v>533</v>
      </c>
      <c r="F15357" s="1">
        <v>2</v>
      </c>
      <c r="G15357" s="1" t="s">
        <v>28</v>
      </c>
      <c r="H15357" s="4" t="str">
        <f>HYPERLINK("https://portal.gdc.cancer.gov/cases/cc510968-fe52-4109-a79f-74f216b48c78","TCGA-D8-A1XJ-01A")</f>
        <v>TCGA-D8-A1XJ-01A</v>
      </c>
      <c r="I15357" t="s">
        <v>17</v>
      </c>
      <c r="J15357" t="s">
        <v>524</v>
      </c>
      <c r="K15357" t="s">
        <v>33</v>
      </c>
      <c r="L15357" t="s">
        <v>20</v>
      </c>
      <c r="N15357" t="s">
        <v>29</v>
      </c>
    </row>
    <row r="15358" spans="1:14">
      <c r="A15358" s="4" t="str">
        <f t="shared" si="1189"/>
        <v>EXP00415</v>
      </c>
      <c r="B15358" s="3" t="s">
        <v>66</v>
      </c>
      <c r="C15358" s="4" t="str">
        <f t="shared" si="1190"/>
        <v>TCGA-BRCA</v>
      </c>
      <c r="D15358" s="1" t="s">
        <v>493</v>
      </c>
      <c r="E15358" t="s">
        <v>533</v>
      </c>
      <c r="F15358" s="1">
        <v>2</v>
      </c>
      <c r="G15358" s="1" t="s">
        <v>28</v>
      </c>
      <c r="H15358" s="4" t="str">
        <f>HYPERLINK("https://portal.gdc.cancer.gov/cases/97943d87-fed7-4f14-a0a7-c5bfee64c392","TCGA-D8-A1XK-01A")</f>
        <v>TCGA-D8-A1XK-01A</v>
      </c>
      <c r="I15358" t="s">
        <v>17</v>
      </c>
      <c r="J15358" t="s">
        <v>524</v>
      </c>
      <c r="K15358" t="s">
        <v>33</v>
      </c>
      <c r="L15358" t="s">
        <v>20</v>
      </c>
      <c r="N15358" t="s">
        <v>29</v>
      </c>
    </row>
    <row r="15359" spans="1:14">
      <c r="A15359" s="4" t="str">
        <f t="shared" si="1189"/>
        <v>EXP00415</v>
      </c>
      <c r="B15359" s="3" t="s">
        <v>66</v>
      </c>
      <c r="C15359" s="4" t="str">
        <f t="shared" si="1190"/>
        <v>TCGA-BRCA</v>
      </c>
      <c r="D15359" s="1" t="s">
        <v>493</v>
      </c>
      <c r="E15359" t="s">
        <v>533</v>
      </c>
      <c r="F15359" s="1">
        <v>2</v>
      </c>
      <c r="G15359" s="1" t="s">
        <v>28</v>
      </c>
      <c r="H15359" s="4" t="str">
        <f>HYPERLINK("https://portal.gdc.cancer.gov/cases/2b19a6b4-7a17-4452-b4aa-6fc18adc0c3c","TCGA-D8-A1XL-01A")</f>
        <v>TCGA-D8-A1XL-01A</v>
      </c>
      <c r="I15359" t="s">
        <v>17</v>
      </c>
      <c r="J15359" t="s">
        <v>524</v>
      </c>
      <c r="K15359" t="s">
        <v>33</v>
      </c>
      <c r="L15359" t="s">
        <v>20</v>
      </c>
      <c r="N15359" t="s">
        <v>29</v>
      </c>
    </row>
    <row r="15360" spans="1:14">
      <c r="A15360" s="4" t="str">
        <f t="shared" si="1189"/>
        <v>EXP00415</v>
      </c>
      <c r="B15360" s="3" t="s">
        <v>66</v>
      </c>
      <c r="C15360" s="4" t="str">
        <f t="shared" si="1190"/>
        <v>TCGA-BRCA</v>
      </c>
      <c r="D15360" s="1" t="s">
        <v>493</v>
      </c>
      <c r="E15360" t="s">
        <v>533</v>
      </c>
      <c r="F15360" s="1">
        <v>2</v>
      </c>
      <c r="G15360" s="1" t="s">
        <v>28</v>
      </c>
      <c r="H15360" s="4" t="str">
        <f>HYPERLINK("https://portal.gdc.cancer.gov/cases/92529232-8504-4541-b7e2-4df8f497c413","TCGA-D8-A1XM-01A")</f>
        <v>TCGA-D8-A1XM-01A</v>
      </c>
      <c r="I15360" t="s">
        <v>17</v>
      </c>
      <c r="J15360" t="s">
        <v>524</v>
      </c>
      <c r="K15360" t="s">
        <v>33</v>
      </c>
      <c r="L15360" t="s">
        <v>20</v>
      </c>
      <c r="N15360" t="s">
        <v>29</v>
      </c>
    </row>
    <row r="15361" spans="1:14">
      <c r="A15361" s="4" t="str">
        <f t="shared" si="1189"/>
        <v>EXP00415</v>
      </c>
      <c r="B15361" s="3" t="s">
        <v>66</v>
      </c>
      <c r="C15361" s="4" t="str">
        <f t="shared" si="1190"/>
        <v>TCGA-BRCA</v>
      </c>
      <c r="D15361" s="1" t="s">
        <v>493</v>
      </c>
      <c r="E15361" t="s">
        <v>533</v>
      </c>
      <c r="F15361" s="1">
        <v>2</v>
      </c>
      <c r="G15361" s="1" t="s">
        <v>28</v>
      </c>
      <c r="H15361" s="4" t="str">
        <f>HYPERLINK("https://portal.gdc.cancer.gov/cases/6a186809-3422-41d0-83d2-867145830936","TCGA-D8-A1XO-01A")</f>
        <v>TCGA-D8-A1XO-01A</v>
      </c>
      <c r="I15361" t="s">
        <v>17</v>
      </c>
      <c r="J15361" t="s">
        <v>524</v>
      </c>
      <c r="K15361" t="s">
        <v>33</v>
      </c>
      <c r="L15361" t="s">
        <v>20</v>
      </c>
      <c r="N15361" t="s">
        <v>29</v>
      </c>
    </row>
    <row r="15362" spans="1:14">
      <c r="A15362" s="4" t="str">
        <f t="shared" si="1189"/>
        <v>EXP00415</v>
      </c>
      <c r="B15362" s="3" t="s">
        <v>66</v>
      </c>
      <c r="C15362" s="4" t="str">
        <f t="shared" si="1190"/>
        <v>TCGA-BRCA</v>
      </c>
      <c r="D15362" s="1" t="s">
        <v>493</v>
      </c>
      <c r="E15362" t="s">
        <v>533</v>
      </c>
      <c r="F15362" s="1">
        <v>2</v>
      </c>
      <c r="G15362" s="1" t="s">
        <v>28</v>
      </c>
      <c r="H15362" s="4" t="str">
        <f>HYPERLINK("https://portal.gdc.cancer.gov/cases/3886b4fb-ba22-4a50-b11a-a6893951f170","TCGA-D8-A1XQ-01A")</f>
        <v>TCGA-D8-A1XQ-01A</v>
      </c>
      <c r="I15362" t="s">
        <v>17</v>
      </c>
      <c r="J15362" t="s">
        <v>524</v>
      </c>
      <c r="K15362" t="s">
        <v>33</v>
      </c>
      <c r="L15362" t="s">
        <v>20</v>
      </c>
      <c r="N15362" t="s">
        <v>29</v>
      </c>
    </row>
    <row r="15363" spans="1:14">
      <c r="A15363" s="4" t="str">
        <f t="shared" si="1189"/>
        <v>EXP00415</v>
      </c>
      <c r="B15363" s="3" t="s">
        <v>66</v>
      </c>
      <c r="C15363" s="4" t="str">
        <f t="shared" si="1190"/>
        <v>TCGA-BRCA</v>
      </c>
      <c r="D15363" s="1" t="s">
        <v>493</v>
      </c>
      <c r="E15363" t="s">
        <v>533</v>
      </c>
      <c r="F15363" s="1">
        <v>2</v>
      </c>
      <c r="G15363" s="1" t="s">
        <v>28</v>
      </c>
      <c r="H15363" s="4" t="str">
        <f>HYPERLINK("https://portal.gdc.cancer.gov/cases/70f34c5c-3671-44c8-9469-99f9786efec1","TCGA-D8-A1XR-01A")</f>
        <v>TCGA-D8-A1XR-01A</v>
      </c>
      <c r="I15363" t="s">
        <v>17</v>
      </c>
      <c r="J15363" t="s">
        <v>524</v>
      </c>
      <c r="K15363" t="s">
        <v>33</v>
      </c>
      <c r="L15363" t="s">
        <v>20</v>
      </c>
      <c r="N15363" t="s">
        <v>29</v>
      </c>
    </row>
    <row r="15364" spans="1:14">
      <c r="A15364" s="4" t="str">
        <f t="shared" si="1189"/>
        <v>EXP00415</v>
      </c>
      <c r="B15364" s="3" t="s">
        <v>66</v>
      </c>
      <c r="C15364" s="4" t="str">
        <f t="shared" si="1190"/>
        <v>TCGA-BRCA</v>
      </c>
      <c r="D15364" s="1" t="s">
        <v>493</v>
      </c>
      <c r="E15364" t="s">
        <v>533</v>
      </c>
      <c r="F15364" s="1">
        <v>2</v>
      </c>
      <c r="G15364" s="1" t="s">
        <v>28</v>
      </c>
      <c r="H15364" s="4" t="str">
        <f>HYPERLINK("https://portal.gdc.cancer.gov/cases/1026e0bf-5640-4fa5-b65f-4f11e8e76b18","TCGA-D8-A1XS-01A")</f>
        <v>TCGA-D8-A1XS-01A</v>
      </c>
      <c r="I15364" t="s">
        <v>17</v>
      </c>
      <c r="J15364" t="s">
        <v>524</v>
      </c>
      <c r="K15364" t="s">
        <v>33</v>
      </c>
      <c r="L15364" t="s">
        <v>20</v>
      </c>
      <c r="N15364" t="s">
        <v>29</v>
      </c>
    </row>
    <row r="15365" spans="1:14">
      <c r="A15365" s="4" t="str">
        <f t="shared" si="1189"/>
        <v>EXP00415</v>
      </c>
      <c r="B15365" s="3" t="s">
        <v>66</v>
      </c>
      <c r="C15365" s="4" t="str">
        <f t="shared" si="1190"/>
        <v>TCGA-BRCA</v>
      </c>
      <c r="D15365" s="1" t="s">
        <v>493</v>
      </c>
      <c r="E15365" t="s">
        <v>533</v>
      </c>
      <c r="F15365" s="1">
        <v>2</v>
      </c>
      <c r="G15365" s="1" t="s">
        <v>28</v>
      </c>
      <c r="H15365" s="4" t="str">
        <f>HYPERLINK("https://portal.gdc.cancer.gov/cases/64975923-d032-4182-8565-59fc37127d8d","TCGA-D8-A1XT-01A")</f>
        <v>TCGA-D8-A1XT-01A</v>
      </c>
      <c r="I15365" t="s">
        <v>17</v>
      </c>
      <c r="J15365" t="s">
        <v>524</v>
      </c>
      <c r="K15365" t="s">
        <v>33</v>
      </c>
      <c r="L15365" t="s">
        <v>20</v>
      </c>
      <c r="N15365" t="s">
        <v>29</v>
      </c>
    </row>
    <row r="15366" spans="1:14">
      <c r="A15366" s="4" t="str">
        <f t="shared" si="1189"/>
        <v>EXP00415</v>
      </c>
      <c r="B15366" s="3" t="s">
        <v>66</v>
      </c>
      <c r="C15366" s="4" t="str">
        <f t="shared" si="1190"/>
        <v>TCGA-BRCA</v>
      </c>
      <c r="D15366" s="1" t="s">
        <v>493</v>
      </c>
      <c r="E15366" t="s">
        <v>533</v>
      </c>
      <c r="F15366" s="1">
        <v>2</v>
      </c>
      <c r="G15366" s="1" t="s">
        <v>28</v>
      </c>
      <c r="H15366" s="4" t="str">
        <f>HYPERLINK("https://portal.gdc.cancer.gov/cases/332148f5-f070-4c20-8eb1-4d8c0673aa52","TCGA-D8-A1XU-01A")</f>
        <v>TCGA-D8-A1XU-01A</v>
      </c>
      <c r="I15366" t="s">
        <v>17</v>
      </c>
      <c r="J15366" t="s">
        <v>524</v>
      </c>
      <c r="K15366" t="s">
        <v>33</v>
      </c>
      <c r="L15366" t="s">
        <v>20</v>
      </c>
      <c r="N15366" t="s">
        <v>29</v>
      </c>
    </row>
    <row r="15367" spans="1:14">
      <c r="A15367" s="4" t="str">
        <f t="shared" si="1189"/>
        <v>EXP00415</v>
      </c>
      <c r="B15367" s="3" t="s">
        <v>66</v>
      </c>
      <c r="C15367" s="4" t="str">
        <f t="shared" si="1190"/>
        <v>TCGA-BRCA</v>
      </c>
      <c r="D15367" s="1" t="s">
        <v>493</v>
      </c>
      <c r="E15367" t="s">
        <v>533</v>
      </c>
      <c r="F15367" s="1">
        <v>2</v>
      </c>
      <c r="G15367" s="1" t="s">
        <v>28</v>
      </c>
      <c r="H15367" s="4" t="str">
        <f>HYPERLINK("https://portal.gdc.cancer.gov/cases/87b85935-a058-44ad-8fb6-8511130eaffe","TCGA-D8-A1XV-01A")</f>
        <v>TCGA-D8-A1XV-01A</v>
      </c>
      <c r="I15367" t="s">
        <v>17</v>
      </c>
      <c r="J15367" t="s">
        <v>524</v>
      </c>
      <c r="K15367" t="s">
        <v>33</v>
      </c>
      <c r="L15367" t="s">
        <v>20</v>
      </c>
      <c r="N15367" t="s">
        <v>29</v>
      </c>
    </row>
    <row r="15368" spans="1:14">
      <c r="A15368" s="4" t="str">
        <f t="shared" si="1189"/>
        <v>EXP00415</v>
      </c>
      <c r="B15368" s="3" t="s">
        <v>66</v>
      </c>
      <c r="C15368" s="4" t="str">
        <f t="shared" si="1190"/>
        <v>TCGA-BRCA</v>
      </c>
      <c r="D15368" s="1" t="s">
        <v>493</v>
      </c>
      <c r="E15368" t="s">
        <v>533</v>
      </c>
      <c r="F15368" s="1">
        <v>2</v>
      </c>
      <c r="G15368" s="1" t="s">
        <v>28</v>
      </c>
      <c r="H15368" s="4" t="str">
        <f>HYPERLINK("https://portal.gdc.cancer.gov/cases/887b9e5b-99db-44ac-9c30-c0dc6877b41c","TCGA-D8-A1XW-01A")</f>
        <v>TCGA-D8-A1XW-01A</v>
      </c>
      <c r="I15368" t="s">
        <v>17</v>
      </c>
      <c r="J15368" t="s">
        <v>524</v>
      </c>
      <c r="K15368" t="s">
        <v>33</v>
      </c>
      <c r="L15368" t="s">
        <v>20</v>
      </c>
      <c r="N15368" t="s">
        <v>29</v>
      </c>
    </row>
    <row r="15369" spans="1:14">
      <c r="A15369" s="4" t="str">
        <f t="shared" si="1189"/>
        <v>EXP00415</v>
      </c>
      <c r="B15369" s="3" t="s">
        <v>66</v>
      </c>
      <c r="C15369" s="4" t="str">
        <f t="shared" si="1190"/>
        <v>TCGA-BRCA</v>
      </c>
      <c r="D15369" s="1" t="s">
        <v>493</v>
      </c>
      <c r="E15369" t="s">
        <v>533</v>
      </c>
      <c r="F15369" s="1">
        <v>2</v>
      </c>
      <c r="G15369" s="1" t="s">
        <v>28</v>
      </c>
      <c r="H15369" s="4" t="str">
        <f>HYPERLINK("https://portal.gdc.cancer.gov/cases/0130d616-885e-4a6c-9d03-2f17dd692a05","TCGA-D8-A1XY-01A")</f>
        <v>TCGA-D8-A1XY-01A</v>
      </c>
      <c r="I15369" t="s">
        <v>17</v>
      </c>
      <c r="J15369" t="s">
        <v>524</v>
      </c>
      <c r="K15369" t="s">
        <v>33</v>
      </c>
      <c r="L15369" t="s">
        <v>20</v>
      </c>
      <c r="N15369" t="s">
        <v>29</v>
      </c>
    </row>
    <row r="15370" spans="1:14">
      <c r="A15370" s="4" t="str">
        <f t="shared" si="1189"/>
        <v>EXP00415</v>
      </c>
      <c r="B15370" s="3" t="s">
        <v>66</v>
      </c>
      <c r="C15370" s="4" t="str">
        <f t="shared" si="1190"/>
        <v>TCGA-BRCA</v>
      </c>
      <c r="D15370" s="1" t="s">
        <v>493</v>
      </c>
      <c r="E15370" t="s">
        <v>533</v>
      </c>
      <c r="F15370" s="1">
        <v>2</v>
      </c>
      <c r="G15370" s="1" t="s">
        <v>28</v>
      </c>
      <c r="H15370" s="4" t="str">
        <f>HYPERLINK("https://portal.gdc.cancer.gov/cases/2c90d5e3-ac8c-4c86-a06f-42ccc064eb49","TCGA-D8-A1XZ-01A")</f>
        <v>TCGA-D8-A1XZ-01A</v>
      </c>
      <c r="I15370" t="s">
        <v>17</v>
      </c>
      <c r="J15370" t="s">
        <v>524</v>
      </c>
      <c r="K15370" t="s">
        <v>33</v>
      </c>
      <c r="L15370" t="s">
        <v>20</v>
      </c>
      <c r="N15370" t="s">
        <v>29</v>
      </c>
    </row>
    <row r="15371" spans="1:14">
      <c r="A15371" s="4" t="str">
        <f t="shared" si="1189"/>
        <v>EXP00415</v>
      </c>
      <c r="B15371" s="3" t="s">
        <v>66</v>
      </c>
      <c r="C15371" s="4" t="str">
        <f t="shared" si="1190"/>
        <v>TCGA-BRCA</v>
      </c>
      <c r="D15371" s="1" t="s">
        <v>493</v>
      </c>
      <c r="E15371" t="s">
        <v>533</v>
      </c>
      <c r="F15371" s="1">
        <v>2</v>
      </c>
      <c r="G15371" s="1" t="s">
        <v>28</v>
      </c>
      <c r="H15371" s="4" t="str">
        <f>HYPERLINK("https://portal.gdc.cancer.gov/cases/ced2c048-b047-43ff-b0e7-cd7ad480850c","TCGA-D8-A1Y0-01A")</f>
        <v>TCGA-D8-A1Y0-01A</v>
      </c>
      <c r="I15371" t="s">
        <v>17</v>
      </c>
      <c r="J15371" t="s">
        <v>524</v>
      </c>
      <c r="K15371" t="s">
        <v>33</v>
      </c>
      <c r="L15371" t="s">
        <v>20</v>
      </c>
      <c r="N15371" t="s">
        <v>29</v>
      </c>
    </row>
    <row r="15372" spans="1:14">
      <c r="A15372" s="4" t="str">
        <f t="shared" si="1189"/>
        <v>EXP00415</v>
      </c>
      <c r="B15372" s="3" t="s">
        <v>66</v>
      </c>
      <c r="C15372" s="4" t="str">
        <f t="shared" si="1190"/>
        <v>TCGA-BRCA</v>
      </c>
      <c r="D15372" s="1" t="s">
        <v>493</v>
      </c>
      <c r="E15372" t="s">
        <v>533</v>
      </c>
      <c r="F15372" s="1">
        <v>2</v>
      </c>
      <c r="G15372" s="1" t="s">
        <v>28</v>
      </c>
      <c r="H15372" s="4" t="str">
        <f>HYPERLINK("https://portal.gdc.cancer.gov/cases/38a631a1-6875-4216-a335-ee93c90a86d6","TCGA-D8-A1Y1-01A")</f>
        <v>TCGA-D8-A1Y1-01A</v>
      </c>
      <c r="I15372" t="s">
        <v>17</v>
      </c>
      <c r="J15372" t="s">
        <v>524</v>
      </c>
      <c r="K15372" t="s">
        <v>33</v>
      </c>
      <c r="L15372" t="s">
        <v>20</v>
      </c>
      <c r="N15372" t="s">
        <v>29</v>
      </c>
    </row>
    <row r="15373" spans="1:14">
      <c r="A15373" s="4" t="str">
        <f t="shared" si="1189"/>
        <v>EXP00415</v>
      </c>
      <c r="B15373" s="3" t="s">
        <v>66</v>
      </c>
      <c r="C15373" s="4" t="str">
        <f t="shared" si="1190"/>
        <v>TCGA-BRCA</v>
      </c>
      <c r="D15373" s="1" t="s">
        <v>493</v>
      </c>
      <c r="E15373" t="s">
        <v>533</v>
      </c>
      <c r="F15373" s="1">
        <v>2</v>
      </c>
      <c r="G15373" s="1" t="s">
        <v>28</v>
      </c>
      <c r="H15373" s="4" t="str">
        <f>HYPERLINK("https://portal.gdc.cancer.gov/cases/c7d7a770-23c0-4310-ab48-1f6152dc2849","TCGA-D8-A1Y2-01A")</f>
        <v>TCGA-D8-A1Y2-01A</v>
      </c>
      <c r="I15373" t="s">
        <v>17</v>
      </c>
      <c r="J15373" t="s">
        <v>524</v>
      </c>
      <c r="K15373" t="s">
        <v>33</v>
      </c>
      <c r="L15373" t="s">
        <v>20</v>
      </c>
      <c r="N15373" t="s">
        <v>29</v>
      </c>
    </row>
    <row r="15374" spans="1:14">
      <c r="A15374" s="4" t="str">
        <f t="shared" si="1189"/>
        <v>EXP00415</v>
      </c>
      <c r="B15374" s="3" t="s">
        <v>66</v>
      </c>
      <c r="C15374" s="4" t="str">
        <f t="shared" si="1190"/>
        <v>TCGA-BRCA</v>
      </c>
      <c r="D15374" s="1" t="s">
        <v>493</v>
      </c>
      <c r="E15374" t="s">
        <v>533</v>
      </c>
      <c r="F15374" s="1">
        <v>2</v>
      </c>
      <c r="G15374" s="1" t="s">
        <v>28</v>
      </c>
      <c r="H15374" s="4" t="str">
        <f>HYPERLINK("https://portal.gdc.cancer.gov/cases/632984bd-dc81-42b6-b024-476cfd0bb2ae","TCGA-D8-A1Y3-01A")</f>
        <v>TCGA-D8-A1Y3-01A</v>
      </c>
      <c r="I15374" t="s">
        <v>17</v>
      </c>
      <c r="J15374" t="s">
        <v>524</v>
      </c>
      <c r="K15374" t="s">
        <v>33</v>
      </c>
      <c r="L15374" t="s">
        <v>20</v>
      </c>
      <c r="N15374" t="s">
        <v>29</v>
      </c>
    </row>
    <row r="15375" spans="1:14">
      <c r="A15375" s="4" t="str">
        <f t="shared" si="1189"/>
        <v>EXP00415</v>
      </c>
      <c r="B15375" s="3" t="s">
        <v>66</v>
      </c>
      <c r="C15375" s="4" t="str">
        <f t="shared" si="1190"/>
        <v>TCGA-BRCA</v>
      </c>
      <c r="D15375" s="1" t="s">
        <v>493</v>
      </c>
      <c r="E15375" t="s">
        <v>533</v>
      </c>
      <c r="F15375" s="1">
        <v>2</v>
      </c>
      <c r="G15375" s="1" t="s">
        <v>28</v>
      </c>
      <c r="H15375" s="4" t="str">
        <f>HYPERLINK("https://portal.gdc.cancer.gov/cases/680f23a9-fcce-493e-b908-27c1ad202e4c","TCGA-D8-A27E-01A")</f>
        <v>TCGA-D8-A27E-01A</v>
      </c>
      <c r="I15375" t="s">
        <v>17</v>
      </c>
      <c r="J15375" t="s">
        <v>524</v>
      </c>
      <c r="K15375" t="s">
        <v>33</v>
      </c>
      <c r="L15375" t="s">
        <v>20</v>
      </c>
      <c r="N15375" t="s">
        <v>29</v>
      </c>
    </row>
    <row r="15376" spans="1:14">
      <c r="A15376" s="4" t="str">
        <f t="shared" si="1189"/>
        <v>EXP00415</v>
      </c>
      <c r="B15376" s="3" t="s">
        <v>66</v>
      </c>
      <c r="C15376" s="4" t="str">
        <f t="shared" si="1190"/>
        <v>TCGA-BRCA</v>
      </c>
      <c r="D15376" s="1" t="s">
        <v>493</v>
      </c>
      <c r="E15376" t="s">
        <v>533</v>
      </c>
      <c r="F15376" s="1">
        <v>2</v>
      </c>
      <c r="G15376" s="1" t="s">
        <v>28</v>
      </c>
      <c r="H15376" s="4" t="str">
        <f>HYPERLINK("https://portal.gdc.cancer.gov/cases/1549dc64-3dab-43fc-96e9-b07d520957e1","TCGA-D8-A27F-01A")</f>
        <v>TCGA-D8-A27F-01A</v>
      </c>
      <c r="I15376" t="s">
        <v>17</v>
      </c>
      <c r="J15376" t="s">
        <v>524</v>
      </c>
      <c r="K15376" t="s">
        <v>33</v>
      </c>
      <c r="L15376" t="s">
        <v>20</v>
      </c>
      <c r="N15376" t="s">
        <v>29</v>
      </c>
    </row>
    <row r="15377" spans="1:14">
      <c r="A15377" s="4" t="str">
        <f t="shared" si="1189"/>
        <v>EXP00415</v>
      </c>
      <c r="B15377" s="3" t="s">
        <v>66</v>
      </c>
      <c r="C15377" s="4" t="str">
        <f t="shared" si="1190"/>
        <v>TCGA-BRCA</v>
      </c>
      <c r="D15377" s="1" t="s">
        <v>493</v>
      </c>
      <c r="E15377" t="s">
        <v>533</v>
      </c>
      <c r="F15377" s="1">
        <v>2</v>
      </c>
      <c r="G15377" s="1" t="s">
        <v>28</v>
      </c>
      <c r="H15377" s="4" t="str">
        <f>HYPERLINK("https://portal.gdc.cancer.gov/cases/6f6e7356-3521-4674-8eec-ad01340d4b8e","TCGA-D8-A27G-01A")</f>
        <v>TCGA-D8-A27G-01A</v>
      </c>
      <c r="I15377" t="s">
        <v>17</v>
      </c>
      <c r="J15377" t="s">
        <v>524</v>
      </c>
      <c r="K15377" t="s">
        <v>33</v>
      </c>
      <c r="L15377" t="s">
        <v>20</v>
      </c>
      <c r="N15377" t="s">
        <v>29</v>
      </c>
    </row>
    <row r="15378" spans="1:14">
      <c r="A15378" s="4" t="str">
        <f t="shared" si="1189"/>
        <v>EXP00415</v>
      </c>
      <c r="B15378" s="3" t="s">
        <v>66</v>
      </c>
      <c r="C15378" s="4" t="str">
        <f t="shared" si="1190"/>
        <v>TCGA-BRCA</v>
      </c>
      <c r="D15378" s="1" t="s">
        <v>493</v>
      </c>
      <c r="E15378" t="s">
        <v>533</v>
      </c>
      <c r="F15378" s="1">
        <v>2</v>
      </c>
      <c r="G15378" s="1" t="s">
        <v>28</v>
      </c>
      <c r="H15378" s="4" t="str">
        <f>HYPERLINK("https://portal.gdc.cancer.gov/cases/0dca98b0-f43e-45b6-9a02-00092c78678c","TCGA-D8-A27H-01A")</f>
        <v>TCGA-D8-A27H-01A</v>
      </c>
      <c r="I15378" t="s">
        <v>17</v>
      </c>
      <c r="J15378" t="s">
        <v>524</v>
      </c>
      <c r="K15378" t="s">
        <v>33</v>
      </c>
      <c r="L15378" t="s">
        <v>20</v>
      </c>
      <c r="N15378" t="s">
        <v>29</v>
      </c>
    </row>
    <row r="15379" spans="1:14">
      <c r="A15379" s="4" t="str">
        <f t="shared" si="1189"/>
        <v>EXP00415</v>
      </c>
      <c r="B15379" s="3" t="s">
        <v>66</v>
      </c>
      <c r="C15379" s="4" t="str">
        <f t="shared" si="1190"/>
        <v>TCGA-BRCA</v>
      </c>
      <c r="D15379" s="1" t="s">
        <v>493</v>
      </c>
      <c r="E15379" t="s">
        <v>533</v>
      </c>
      <c r="F15379" s="1">
        <v>2</v>
      </c>
      <c r="G15379" s="1" t="s">
        <v>28</v>
      </c>
      <c r="H15379" s="4" t="str">
        <f>HYPERLINK("https://portal.gdc.cancer.gov/cases/9c55032f-4db7-4026-ae83-8d060dd8e3fe","TCGA-D8-A27I-01A")</f>
        <v>TCGA-D8-A27I-01A</v>
      </c>
      <c r="I15379" t="s">
        <v>17</v>
      </c>
      <c r="J15379" t="s">
        <v>524</v>
      </c>
      <c r="K15379" t="s">
        <v>33</v>
      </c>
      <c r="L15379" t="s">
        <v>20</v>
      </c>
      <c r="N15379" t="s">
        <v>29</v>
      </c>
    </row>
    <row r="15380" spans="1:14">
      <c r="A15380" s="4" t="str">
        <f t="shared" si="1189"/>
        <v>EXP00415</v>
      </c>
      <c r="B15380" s="3" t="s">
        <v>66</v>
      </c>
      <c r="C15380" s="4" t="str">
        <f t="shared" si="1190"/>
        <v>TCGA-BRCA</v>
      </c>
      <c r="D15380" s="1" t="s">
        <v>493</v>
      </c>
      <c r="E15380" t="s">
        <v>533</v>
      </c>
      <c r="F15380" s="1">
        <v>2</v>
      </c>
      <c r="G15380" s="1" t="s">
        <v>28</v>
      </c>
      <c r="H15380" s="4" t="str">
        <f>HYPERLINK("https://portal.gdc.cancer.gov/cases/7f97971b-2818-4e4b-9c9e-7c0246f9484c","TCGA-D8-A27K-01A")</f>
        <v>TCGA-D8-A27K-01A</v>
      </c>
      <c r="I15380" t="s">
        <v>17</v>
      </c>
      <c r="J15380" t="s">
        <v>524</v>
      </c>
      <c r="K15380" t="s">
        <v>33</v>
      </c>
      <c r="L15380" t="s">
        <v>20</v>
      </c>
      <c r="N15380" t="s">
        <v>29</v>
      </c>
    </row>
    <row r="15381" spans="1:14">
      <c r="A15381" s="4" t="str">
        <f t="shared" si="1189"/>
        <v>EXP00415</v>
      </c>
      <c r="B15381" s="3" t="s">
        <v>66</v>
      </c>
      <c r="C15381" s="4" t="str">
        <f t="shared" si="1190"/>
        <v>TCGA-BRCA</v>
      </c>
      <c r="D15381" s="1" t="s">
        <v>493</v>
      </c>
      <c r="E15381" t="s">
        <v>533</v>
      </c>
      <c r="F15381" s="1">
        <v>2</v>
      </c>
      <c r="G15381" s="1" t="s">
        <v>28</v>
      </c>
      <c r="H15381" s="4" t="str">
        <f>HYPERLINK("https://portal.gdc.cancer.gov/cases/6020d1b4-ee20-4cc9-82a3-340b5e3122f1","TCGA-D8-A27L-01A")</f>
        <v>TCGA-D8-A27L-01A</v>
      </c>
      <c r="I15381" t="s">
        <v>17</v>
      </c>
      <c r="J15381" t="s">
        <v>524</v>
      </c>
      <c r="K15381" t="s">
        <v>33</v>
      </c>
      <c r="L15381" t="s">
        <v>20</v>
      </c>
      <c r="N15381" t="s">
        <v>29</v>
      </c>
    </row>
    <row r="15382" spans="1:14">
      <c r="A15382" s="4" t="str">
        <f t="shared" si="1189"/>
        <v>EXP00415</v>
      </c>
      <c r="B15382" s="3" t="s">
        <v>66</v>
      </c>
      <c r="C15382" s="4" t="str">
        <f t="shared" si="1190"/>
        <v>TCGA-BRCA</v>
      </c>
      <c r="D15382" s="1" t="s">
        <v>493</v>
      </c>
      <c r="E15382" t="s">
        <v>533</v>
      </c>
      <c r="F15382" s="1">
        <v>2</v>
      </c>
      <c r="G15382" s="1" t="s">
        <v>28</v>
      </c>
      <c r="H15382" s="4" t="str">
        <f>HYPERLINK("https://portal.gdc.cancer.gov/cases/ae65baeb-6b78-492a-8c63-bb7e93e83dc2","TCGA-D8-A27M-01A")</f>
        <v>TCGA-D8-A27M-01A</v>
      </c>
      <c r="I15382" t="s">
        <v>17</v>
      </c>
      <c r="J15382" t="s">
        <v>524</v>
      </c>
      <c r="K15382" t="s">
        <v>33</v>
      </c>
      <c r="L15382" t="s">
        <v>20</v>
      </c>
      <c r="N15382" t="s">
        <v>29</v>
      </c>
    </row>
    <row r="15383" spans="1:14">
      <c r="A15383" s="4" t="str">
        <f t="shared" si="1189"/>
        <v>EXP00415</v>
      </c>
      <c r="B15383" s="3" t="s">
        <v>66</v>
      </c>
      <c r="C15383" s="4" t="str">
        <f t="shared" si="1190"/>
        <v>TCGA-BRCA</v>
      </c>
      <c r="D15383" s="1" t="s">
        <v>493</v>
      </c>
      <c r="E15383" t="s">
        <v>533</v>
      </c>
      <c r="F15383" s="1">
        <v>2</v>
      </c>
      <c r="G15383" s="1" t="s">
        <v>28</v>
      </c>
      <c r="H15383" s="4" t="str">
        <f>HYPERLINK("https://portal.gdc.cancer.gov/cases/d5be2ab3-f748-480d-954b-385cf01b4c81","TCGA-D8-A27N-01A")</f>
        <v>TCGA-D8-A27N-01A</v>
      </c>
      <c r="I15383" t="s">
        <v>17</v>
      </c>
      <c r="J15383" t="s">
        <v>524</v>
      </c>
      <c r="K15383" t="s">
        <v>33</v>
      </c>
      <c r="L15383" t="s">
        <v>20</v>
      </c>
      <c r="N15383" t="s">
        <v>29</v>
      </c>
    </row>
    <row r="15384" spans="1:14">
      <c r="A15384" s="4" t="str">
        <f t="shared" si="1189"/>
        <v>EXP00415</v>
      </c>
      <c r="B15384" s="3" t="s">
        <v>66</v>
      </c>
      <c r="C15384" s="4" t="str">
        <f t="shared" si="1190"/>
        <v>TCGA-BRCA</v>
      </c>
      <c r="D15384" s="1" t="s">
        <v>493</v>
      </c>
      <c r="E15384" t="s">
        <v>533</v>
      </c>
      <c r="F15384" s="1">
        <v>2</v>
      </c>
      <c r="G15384" s="1" t="s">
        <v>28</v>
      </c>
      <c r="H15384" s="4" t="str">
        <f>HYPERLINK("https://portal.gdc.cancer.gov/cases/c54d5507-bba5-4a1e-8885-3c3b1eed13c1","TCGA-D8-A27P-01A")</f>
        <v>TCGA-D8-A27P-01A</v>
      </c>
      <c r="I15384" t="s">
        <v>17</v>
      </c>
      <c r="J15384" t="s">
        <v>524</v>
      </c>
      <c r="K15384" t="s">
        <v>33</v>
      </c>
      <c r="L15384" t="s">
        <v>20</v>
      </c>
      <c r="N15384" t="s">
        <v>29</v>
      </c>
    </row>
    <row r="15385" spans="1:14">
      <c r="A15385" s="4" t="str">
        <f t="shared" si="1189"/>
        <v>EXP00415</v>
      </c>
      <c r="B15385" s="3" t="s">
        <v>66</v>
      </c>
      <c r="C15385" s="4" t="str">
        <f t="shared" si="1190"/>
        <v>TCGA-BRCA</v>
      </c>
      <c r="D15385" s="1" t="s">
        <v>493</v>
      </c>
      <c r="E15385" t="s">
        <v>533</v>
      </c>
      <c r="F15385" s="1">
        <v>2</v>
      </c>
      <c r="G15385" s="1" t="s">
        <v>28</v>
      </c>
      <c r="H15385" s="4" t="str">
        <f>HYPERLINK("https://portal.gdc.cancer.gov/cases/0b23b5fe-6c7e-4297-bc55-f93fcb830ac4","TCGA-D8-A27R-01A")</f>
        <v>TCGA-D8-A27R-01A</v>
      </c>
      <c r="I15385" t="s">
        <v>17</v>
      </c>
      <c r="J15385" t="s">
        <v>524</v>
      </c>
      <c r="K15385" t="s">
        <v>33</v>
      </c>
      <c r="L15385" t="s">
        <v>20</v>
      </c>
      <c r="N15385" t="s">
        <v>29</v>
      </c>
    </row>
    <row r="15386" spans="1:14">
      <c r="A15386" s="4" t="str">
        <f t="shared" si="1189"/>
        <v>EXP00415</v>
      </c>
      <c r="B15386" s="3" t="s">
        <v>66</v>
      </c>
      <c r="C15386" s="4" t="str">
        <f t="shared" si="1190"/>
        <v>TCGA-BRCA</v>
      </c>
      <c r="D15386" s="1" t="s">
        <v>493</v>
      </c>
      <c r="E15386" t="s">
        <v>533</v>
      </c>
      <c r="F15386" s="1">
        <v>2</v>
      </c>
      <c r="G15386" s="1" t="s">
        <v>28</v>
      </c>
      <c r="H15386" s="4" t="str">
        <f>HYPERLINK("https://portal.gdc.cancer.gov/cases/27c1c094-690b-4973-8900-a797ad88f98c","TCGA-D8-A27T-01A")</f>
        <v>TCGA-D8-A27T-01A</v>
      </c>
      <c r="I15386" t="s">
        <v>17</v>
      </c>
      <c r="J15386" t="s">
        <v>524</v>
      </c>
      <c r="K15386" t="s">
        <v>33</v>
      </c>
      <c r="L15386" t="s">
        <v>20</v>
      </c>
      <c r="N15386" t="s">
        <v>29</v>
      </c>
    </row>
    <row r="15387" spans="1:14">
      <c r="A15387" s="4" t="str">
        <f t="shared" si="1189"/>
        <v>EXP00415</v>
      </c>
      <c r="B15387" s="3" t="s">
        <v>66</v>
      </c>
      <c r="C15387" s="4" t="str">
        <f t="shared" si="1190"/>
        <v>TCGA-BRCA</v>
      </c>
      <c r="D15387" s="1" t="s">
        <v>493</v>
      </c>
      <c r="E15387" t="s">
        <v>533</v>
      </c>
      <c r="F15387" s="1">
        <v>2</v>
      </c>
      <c r="G15387" s="1" t="s">
        <v>28</v>
      </c>
      <c r="H15387" s="4" t="str">
        <f>HYPERLINK("https://portal.gdc.cancer.gov/cases/ad6d26ab-6568-40db-bfb0-394d40e801cf","TCGA-D8-A27V-01A")</f>
        <v>TCGA-D8-A27V-01A</v>
      </c>
      <c r="I15387" t="s">
        <v>17</v>
      </c>
      <c r="J15387" t="s">
        <v>524</v>
      </c>
      <c r="K15387" t="s">
        <v>33</v>
      </c>
      <c r="L15387" t="s">
        <v>20</v>
      </c>
      <c r="N15387" t="s">
        <v>29</v>
      </c>
    </row>
    <row r="15388" spans="1:14">
      <c r="A15388" s="4" t="str">
        <f t="shared" si="1189"/>
        <v>EXP00415</v>
      </c>
      <c r="B15388" s="3" t="s">
        <v>66</v>
      </c>
      <c r="C15388" s="4" t="str">
        <f t="shared" si="1190"/>
        <v>TCGA-BRCA</v>
      </c>
      <c r="D15388" s="1" t="s">
        <v>493</v>
      </c>
      <c r="E15388" t="s">
        <v>533</v>
      </c>
      <c r="F15388" s="1">
        <v>2</v>
      </c>
      <c r="G15388" s="1" t="s">
        <v>28</v>
      </c>
      <c r="H15388" s="4" t="str">
        <f>HYPERLINK("https://portal.gdc.cancer.gov/cases/bfa3dbc0-361c-400e-8c10-0aca7049fce9","TCGA-D8-A27W-01A")</f>
        <v>TCGA-D8-A27W-01A</v>
      </c>
      <c r="I15388" t="s">
        <v>17</v>
      </c>
      <c r="J15388" t="s">
        <v>524</v>
      </c>
      <c r="K15388" t="s">
        <v>33</v>
      </c>
      <c r="L15388" t="s">
        <v>20</v>
      </c>
      <c r="N15388" t="s">
        <v>29</v>
      </c>
    </row>
    <row r="15389" spans="1:14">
      <c r="A15389" s="4" t="str">
        <f t="shared" si="1189"/>
        <v>EXP00415</v>
      </c>
      <c r="B15389" s="3" t="s">
        <v>66</v>
      </c>
      <c r="C15389" s="4" t="str">
        <f t="shared" si="1190"/>
        <v>TCGA-BRCA</v>
      </c>
      <c r="D15389" s="1" t="s">
        <v>493</v>
      </c>
      <c r="E15389" t="s">
        <v>533</v>
      </c>
      <c r="F15389" s="1">
        <v>2</v>
      </c>
      <c r="G15389" s="1" t="s">
        <v>28</v>
      </c>
      <c r="H15389" s="4" t="str">
        <f>HYPERLINK("https://portal.gdc.cancer.gov/cases/77e25ae8-82ec-4dea-8e62-1176f27e47ba","TCGA-D8-A3Z5-01A")</f>
        <v>TCGA-D8-A3Z5-01A</v>
      </c>
      <c r="I15389" t="s">
        <v>17</v>
      </c>
      <c r="J15389" t="s">
        <v>524</v>
      </c>
      <c r="K15389" t="s">
        <v>33</v>
      </c>
      <c r="L15389" t="s">
        <v>20</v>
      </c>
      <c r="N15389" t="s">
        <v>29</v>
      </c>
    </row>
    <row r="15390" spans="1:14">
      <c r="A15390" s="4" t="str">
        <f t="shared" si="1189"/>
        <v>EXP00415</v>
      </c>
      <c r="B15390" s="3" t="s">
        <v>66</v>
      </c>
      <c r="C15390" s="4" t="str">
        <f t="shared" si="1190"/>
        <v>TCGA-BRCA</v>
      </c>
      <c r="D15390" s="1" t="s">
        <v>493</v>
      </c>
      <c r="E15390" t="s">
        <v>533</v>
      </c>
      <c r="F15390" s="1">
        <v>2</v>
      </c>
      <c r="G15390" s="1" t="s">
        <v>28</v>
      </c>
      <c r="H15390" s="4" t="str">
        <f>HYPERLINK("https://portal.gdc.cancer.gov/cases/a6e5f869-1182-4f81-b4bb-cf55261c8f3f","TCGA-D8-A3Z6-01A")</f>
        <v>TCGA-D8-A3Z6-01A</v>
      </c>
      <c r="I15390" t="s">
        <v>17</v>
      </c>
      <c r="J15390" t="s">
        <v>524</v>
      </c>
      <c r="K15390" t="s">
        <v>33</v>
      </c>
      <c r="L15390" t="s">
        <v>20</v>
      </c>
      <c r="N15390" t="s">
        <v>29</v>
      </c>
    </row>
    <row r="15391" spans="1:14">
      <c r="A15391" s="4" t="str">
        <f t="shared" si="1189"/>
        <v>EXP00415</v>
      </c>
      <c r="B15391" s="3" t="s">
        <v>66</v>
      </c>
      <c r="C15391" s="4" t="str">
        <f t="shared" si="1190"/>
        <v>TCGA-BRCA</v>
      </c>
      <c r="D15391" s="1" t="s">
        <v>493</v>
      </c>
      <c r="E15391" t="s">
        <v>533</v>
      </c>
      <c r="F15391" s="1">
        <v>2</v>
      </c>
      <c r="G15391" s="1" t="s">
        <v>28</v>
      </c>
      <c r="H15391" s="4" t="str">
        <f>HYPERLINK("https://portal.gdc.cancer.gov/cases/80419545-4e5d-4baf-8948-f84589b5ef3e","TCGA-D8-A4Z1-01A")</f>
        <v>TCGA-D8-A4Z1-01A</v>
      </c>
      <c r="I15391" t="s">
        <v>17</v>
      </c>
      <c r="J15391" t="s">
        <v>524</v>
      </c>
      <c r="K15391" t="s">
        <v>33</v>
      </c>
      <c r="L15391" t="s">
        <v>20</v>
      </c>
      <c r="N15391" t="s">
        <v>29</v>
      </c>
    </row>
    <row r="15392" spans="1:14">
      <c r="A15392" s="4" t="str">
        <f t="shared" si="1189"/>
        <v>EXP00415</v>
      </c>
      <c r="B15392" s="3" t="s">
        <v>66</v>
      </c>
      <c r="C15392" s="4" t="str">
        <f t="shared" si="1190"/>
        <v>TCGA-BRCA</v>
      </c>
      <c r="D15392" s="1" t="s">
        <v>493</v>
      </c>
      <c r="E15392" t="s">
        <v>533</v>
      </c>
      <c r="F15392" s="1">
        <v>2</v>
      </c>
      <c r="G15392" s="1" t="s">
        <v>28</v>
      </c>
      <c r="H15392" s="4" t="str">
        <f>HYPERLINK("https://portal.gdc.cancer.gov/cases/96f02be7-f2df-483c-8968-a5bd2d887206","TCGA-D8-A73U-01A")</f>
        <v>TCGA-D8-A73U-01A</v>
      </c>
      <c r="I15392" t="s">
        <v>17</v>
      </c>
      <c r="J15392" t="s">
        <v>524</v>
      </c>
      <c r="K15392" t="s">
        <v>33</v>
      </c>
      <c r="L15392" t="s">
        <v>20</v>
      </c>
      <c r="N15392" t="s">
        <v>29</v>
      </c>
    </row>
    <row r="15393" spans="1:14">
      <c r="A15393" s="4" t="str">
        <f t="shared" si="1189"/>
        <v>EXP00415</v>
      </c>
      <c r="B15393" s="3" t="s">
        <v>66</v>
      </c>
      <c r="C15393" s="4" t="str">
        <f t="shared" si="1190"/>
        <v>TCGA-BRCA</v>
      </c>
      <c r="D15393" s="1" t="s">
        <v>493</v>
      </c>
      <c r="E15393" t="s">
        <v>533</v>
      </c>
      <c r="F15393" s="1">
        <v>2</v>
      </c>
      <c r="G15393" s="1" t="s">
        <v>28</v>
      </c>
      <c r="H15393" s="4" t="str">
        <f>HYPERLINK("https://portal.gdc.cancer.gov/cases/ea8dbc7a-54c6-469c-865e-f49d00b0223d","TCGA-D8-A73W-01A")</f>
        <v>TCGA-D8-A73W-01A</v>
      </c>
      <c r="I15393" t="s">
        <v>17</v>
      </c>
      <c r="J15393" t="s">
        <v>524</v>
      </c>
      <c r="K15393" t="s">
        <v>33</v>
      </c>
      <c r="L15393" t="s">
        <v>20</v>
      </c>
      <c r="N15393" t="s">
        <v>29</v>
      </c>
    </row>
    <row r="15394" spans="1:14">
      <c r="A15394" s="4" t="str">
        <f t="shared" si="1189"/>
        <v>EXP00415</v>
      </c>
      <c r="B15394" s="3" t="s">
        <v>66</v>
      </c>
      <c r="C15394" s="4" t="str">
        <f t="shared" si="1190"/>
        <v>TCGA-BRCA</v>
      </c>
      <c r="D15394" s="1" t="s">
        <v>493</v>
      </c>
      <c r="E15394" t="s">
        <v>533</v>
      </c>
      <c r="F15394" s="1">
        <v>2</v>
      </c>
      <c r="G15394" s="1" t="s">
        <v>28</v>
      </c>
      <c r="H15394" s="4" t="str">
        <f>HYPERLINK("https://portal.gdc.cancer.gov/cases/1be375fe-5ae5-4e75-a729-69f86a661d9a","TCGA-D8-A73X-01A")</f>
        <v>TCGA-D8-A73X-01A</v>
      </c>
      <c r="I15394" t="s">
        <v>17</v>
      </c>
      <c r="J15394" t="s">
        <v>524</v>
      </c>
      <c r="K15394" t="s">
        <v>33</v>
      </c>
      <c r="L15394" t="s">
        <v>20</v>
      </c>
      <c r="N15394" t="s">
        <v>29</v>
      </c>
    </row>
    <row r="15395" spans="1:14">
      <c r="A15395" s="4" t="str">
        <f t="shared" si="1189"/>
        <v>EXP00415</v>
      </c>
      <c r="B15395" s="3" t="s">
        <v>66</v>
      </c>
      <c r="C15395" s="4" t="str">
        <f t="shared" si="1190"/>
        <v>TCGA-BRCA</v>
      </c>
      <c r="D15395" s="1" t="s">
        <v>493</v>
      </c>
      <c r="E15395" t="s">
        <v>533</v>
      </c>
      <c r="F15395" s="1">
        <v>2</v>
      </c>
      <c r="G15395" s="1" t="s">
        <v>28</v>
      </c>
      <c r="H15395" s="4" t="str">
        <f>HYPERLINK("https://portal.gdc.cancer.gov/cases/b0bcb829-cee0-4247-bb75-093a5bea89ee","TCGA-E2-A105-01A")</f>
        <v>TCGA-E2-A105-01A</v>
      </c>
      <c r="I15395" t="s">
        <v>17</v>
      </c>
      <c r="J15395" t="s">
        <v>524</v>
      </c>
      <c r="K15395" t="s">
        <v>33</v>
      </c>
      <c r="L15395" t="s">
        <v>20</v>
      </c>
      <c r="N15395" t="s">
        <v>29</v>
      </c>
    </row>
    <row r="15396" spans="1:14">
      <c r="A15396" s="4" t="str">
        <f t="shared" si="1189"/>
        <v>EXP00415</v>
      </c>
      <c r="B15396" s="3" t="s">
        <v>66</v>
      </c>
      <c r="C15396" s="4" t="str">
        <f t="shared" si="1190"/>
        <v>TCGA-BRCA</v>
      </c>
      <c r="D15396" s="1" t="s">
        <v>493</v>
      </c>
      <c r="E15396" t="s">
        <v>533</v>
      </c>
      <c r="F15396" s="1">
        <v>2</v>
      </c>
      <c r="G15396" s="1" t="s">
        <v>28</v>
      </c>
      <c r="H15396" s="4" t="str">
        <f>HYPERLINK("https://portal.gdc.cancer.gov/cases/87e09544-eddb-473b-8617-212407ce644e","TCGA-E2-A106-01A")</f>
        <v>TCGA-E2-A106-01A</v>
      </c>
      <c r="I15396" t="s">
        <v>17</v>
      </c>
      <c r="J15396" t="s">
        <v>524</v>
      </c>
      <c r="K15396" t="s">
        <v>33</v>
      </c>
      <c r="L15396" t="s">
        <v>20</v>
      </c>
      <c r="N15396" t="s">
        <v>29</v>
      </c>
    </row>
    <row r="15397" spans="1:14">
      <c r="A15397" s="4" t="str">
        <f t="shared" si="1189"/>
        <v>EXP00415</v>
      </c>
      <c r="B15397" s="3" t="s">
        <v>66</v>
      </c>
      <c r="C15397" s="4" t="str">
        <f t="shared" si="1190"/>
        <v>TCGA-BRCA</v>
      </c>
      <c r="D15397" s="1" t="s">
        <v>493</v>
      </c>
      <c r="E15397" t="s">
        <v>533</v>
      </c>
      <c r="F15397" s="1">
        <v>2</v>
      </c>
      <c r="G15397" s="1" t="s">
        <v>28</v>
      </c>
      <c r="H15397" s="4" t="str">
        <f>HYPERLINK("https://portal.gdc.cancer.gov/cases/eff2360e-399a-4167-ab2b-798e27bef739","TCGA-E2-A107-01A")</f>
        <v>TCGA-E2-A107-01A</v>
      </c>
      <c r="I15397" t="s">
        <v>17</v>
      </c>
      <c r="J15397" t="s">
        <v>524</v>
      </c>
      <c r="K15397" t="s">
        <v>33</v>
      </c>
      <c r="L15397" t="s">
        <v>20</v>
      </c>
      <c r="N15397" t="s">
        <v>29</v>
      </c>
    </row>
    <row r="15398" spans="1:14">
      <c r="A15398" s="4" t="str">
        <f t="shared" si="1189"/>
        <v>EXP00415</v>
      </c>
      <c r="B15398" s="3" t="s">
        <v>66</v>
      </c>
      <c r="C15398" s="4" t="str">
        <f t="shared" si="1190"/>
        <v>TCGA-BRCA</v>
      </c>
      <c r="D15398" s="1" t="s">
        <v>493</v>
      </c>
      <c r="E15398" t="s">
        <v>533</v>
      </c>
      <c r="F15398" s="1">
        <v>2</v>
      </c>
      <c r="G15398" s="1" t="s">
        <v>28</v>
      </c>
      <c r="H15398" s="4" t="str">
        <f>HYPERLINK("https://portal.gdc.cancer.gov/cases/4f04bd10-9902-4a23-b15d-4f4409d79499","TCGA-E2-A108-01A")</f>
        <v>TCGA-E2-A108-01A</v>
      </c>
      <c r="I15398" t="s">
        <v>17</v>
      </c>
      <c r="J15398" t="s">
        <v>524</v>
      </c>
      <c r="K15398" t="s">
        <v>33</v>
      </c>
      <c r="L15398" t="s">
        <v>20</v>
      </c>
      <c r="N15398" t="s">
        <v>29</v>
      </c>
    </row>
    <row r="15399" spans="1:14">
      <c r="A15399" s="4" t="str">
        <f t="shared" si="1189"/>
        <v>EXP00415</v>
      </c>
      <c r="B15399" s="3" t="s">
        <v>66</v>
      </c>
      <c r="C15399" s="4" t="str">
        <f t="shared" si="1190"/>
        <v>TCGA-BRCA</v>
      </c>
      <c r="D15399" s="1" t="s">
        <v>493</v>
      </c>
      <c r="E15399" t="s">
        <v>533</v>
      </c>
      <c r="F15399" s="1">
        <v>2</v>
      </c>
      <c r="G15399" s="1" t="s">
        <v>28</v>
      </c>
      <c r="H15399" s="4" t="str">
        <f>HYPERLINK("https://portal.gdc.cancer.gov/cases/f0787165-6f58-4d67-b510-928eea2c4882","TCGA-E2-A109-01A")</f>
        <v>TCGA-E2-A109-01A</v>
      </c>
      <c r="I15399" t="s">
        <v>17</v>
      </c>
      <c r="J15399" t="s">
        <v>524</v>
      </c>
      <c r="K15399" t="s">
        <v>33</v>
      </c>
      <c r="L15399" t="s">
        <v>20</v>
      </c>
      <c r="N15399" t="s">
        <v>29</v>
      </c>
    </row>
    <row r="15400" spans="1:14">
      <c r="A15400" s="4" t="str">
        <f t="shared" si="1189"/>
        <v>EXP00415</v>
      </c>
      <c r="B15400" s="3" t="s">
        <v>66</v>
      </c>
      <c r="C15400" s="4" t="str">
        <f t="shared" si="1190"/>
        <v>TCGA-BRCA</v>
      </c>
      <c r="D15400" s="1" t="s">
        <v>493</v>
      </c>
      <c r="E15400" t="s">
        <v>533</v>
      </c>
      <c r="F15400" s="1">
        <v>2</v>
      </c>
      <c r="G15400" s="1" t="s">
        <v>28</v>
      </c>
      <c r="H15400" s="4" t="str">
        <f>HYPERLINK("https://portal.gdc.cancer.gov/cases/4da7abaf-ac7a-41c0-8033-5780a398545c","TCGA-E2-A10A-01A")</f>
        <v>TCGA-E2-A10A-01A</v>
      </c>
      <c r="I15400" t="s">
        <v>17</v>
      </c>
      <c r="J15400" t="s">
        <v>524</v>
      </c>
      <c r="K15400" t="s">
        <v>33</v>
      </c>
      <c r="L15400" t="s">
        <v>20</v>
      </c>
      <c r="N15400" t="s">
        <v>29</v>
      </c>
    </row>
    <row r="15401" spans="1:14">
      <c r="A15401" s="4" t="str">
        <f t="shared" si="1189"/>
        <v>EXP00415</v>
      </c>
      <c r="B15401" s="3" t="s">
        <v>66</v>
      </c>
      <c r="C15401" s="4" t="str">
        <f t="shared" si="1190"/>
        <v>TCGA-BRCA</v>
      </c>
      <c r="D15401" s="1" t="s">
        <v>493</v>
      </c>
      <c r="E15401" t="s">
        <v>533</v>
      </c>
      <c r="F15401" s="1">
        <v>2</v>
      </c>
      <c r="G15401" s="1" t="s">
        <v>28</v>
      </c>
      <c r="H15401" s="4" t="str">
        <f>HYPERLINK("https://portal.gdc.cancer.gov/cases/f801aeed-dc43-49d7-a319-84c8851979d9","TCGA-E2-A10B-01A")</f>
        <v>TCGA-E2-A10B-01A</v>
      </c>
      <c r="I15401" t="s">
        <v>17</v>
      </c>
      <c r="J15401" t="s">
        <v>524</v>
      </c>
      <c r="K15401" t="s">
        <v>33</v>
      </c>
      <c r="L15401" t="s">
        <v>20</v>
      </c>
      <c r="N15401" t="s">
        <v>29</v>
      </c>
    </row>
    <row r="15402" spans="1:14">
      <c r="A15402" s="4" t="str">
        <f t="shared" si="1189"/>
        <v>EXP00415</v>
      </c>
      <c r="B15402" s="3" t="s">
        <v>66</v>
      </c>
      <c r="C15402" s="4" t="str">
        <f t="shared" si="1190"/>
        <v>TCGA-BRCA</v>
      </c>
      <c r="D15402" s="1" t="s">
        <v>493</v>
      </c>
      <c r="E15402" t="s">
        <v>533</v>
      </c>
      <c r="F15402" s="1">
        <v>2</v>
      </c>
      <c r="G15402" s="1" t="s">
        <v>28</v>
      </c>
      <c r="H15402" s="4" t="str">
        <f>HYPERLINK("https://portal.gdc.cancer.gov/cases/9ac44381-5d43-4f63-aa3f-7703bfc923c9","TCGA-E2-A10C-01A")</f>
        <v>TCGA-E2-A10C-01A</v>
      </c>
      <c r="I15402" t="s">
        <v>17</v>
      </c>
      <c r="J15402" t="s">
        <v>524</v>
      </c>
      <c r="K15402" t="s">
        <v>33</v>
      </c>
      <c r="L15402" t="s">
        <v>20</v>
      </c>
      <c r="N15402" t="s">
        <v>29</v>
      </c>
    </row>
    <row r="15403" spans="1:14">
      <c r="A15403" s="4" t="str">
        <f t="shared" si="1189"/>
        <v>EXP00415</v>
      </c>
      <c r="B15403" s="3" t="s">
        <v>66</v>
      </c>
      <c r="C15403" s="4" t="str">
        <f t="shared" si="1190"/>
        <v>TCGA-BRCA</v>
      </c>
      <c r="D15403" s="1" t="s">
        <v>493</v>
      </c>
      <c r="E15403" t="s">
        <v>533</v>
      </c>
      <c r="F15403" s="1">
        <v>2</v>
      </c>
      <c r="G15403" s="1" t="s">
        <v>28</v>
      </c>
      <c r="H15403" s="4" t="str">
        <f>HYPERLINK("https://portal.gdc.cancer.gov/cases/dc15a8ae-991e-421c-bc70-70e94f79dd17","TCGA-E2-A10E-01A")</f>
        <v>TCGA-E2-A10E-01A</v>
      </c>
      <c r="I15403" t="s">
        <v>17</v>
      </c>
      <c r="J15403" t="s">
        <v>524</v>
      </c>
      <c r="K15403" t="s">
        <v>33</v>
      </c>
      <c r="L15403" t="s">
        <v>20</v>
      </c>
      <c r="N15403" t="s">
        <v>29</v>
      </c>
    </row>
    <row r="15404" spans="1:14">
      <c r="A15404" s="4" t="str">
        <f t="shared" si="1189"/>
        <v>EXP00415</v>
      </c>
      <c r="B15404" s="3" t="s">
        <v>66</v>
      </c>
      <c r="C15404" s="4" t="str">
        <f t="shared" si="1190"/>
        <v>TCGA-BRCA</v>
      </c>
      <c r="D15404" s="1" t="s">
        <v>493</v>
      </c>
      <c r="E15404" t="s">
        <v>533</v>
      </c>
      <c r="F15404" s="1">
        <v>2</v>
      </c>
      <c r="G15404" s="1" t="s">
        <v>28</v>
      </c>
      <c r="H15404" s="4" t="str">
        <f>HYPERLINK("https://portal.gdc.cancer.gov/cases/8e159b50-8136-42d4-b9c7-d579a74e4931","TCGA-E2-A10F-01A")</f>
        <v>TCGA-E2-A10F-01A</v>
      </c>
      <c r="I15404" t="s">
        <v>17</v>
      </c>
      <c r="J15404" t="s">
        <v>524</v>
      </c>
      <c r="K15404" t="s">
        <v>33</v>
      </c>
      <c r="L15404" t="s">
        <v>20</v>
      </c>
      <c r="N15404" t="s">
        <v>29</v>
      </c>
    </row>
    <row r="15405" spans="1:14">
      <c r="A15405" s="4" t="str">
        <f t="shared" si="1189"/>
        <v>EXP00415</v>
      </c>
      <c r="B15405" s="3" t="s">
        <v>66</v>
      </c>
      <c r="C15405" s="4" t="str">
        <f t="shared" si="1190"/>
        <v>TCGA-BRCA</v>
      </c>
      <c r="D15405" s="1" t="s">
        <v>493</v>
      </c>
      <c r="E15405" t="s">
        <v>533</v>
      </c>
      <c r="F15405" s="1">
        <v>2</v>
      </c>
      <c r="G15405" s="1" t="s">
        <v>28</v>
      </c>
      <c r="H15405" s="4" t="str">
        <f>HYPERLINK("https://portal.gdc.cancer.gov/cases/752ad011-79e0-494f-9868-98bf6feb28f8","TCGA-E2-A14N-01A")</f>
        <v>TCGA-E2-A14N-01A</v>
      </c>
      <c r="I15405" t="s">
        <v>17</v>
      </c>
      <c r="J15405" t="s">
        <v>524</v>
      </c>
      <c r="K15405" t="s">
        <v>33</v>
      </c>
      <c r="L15405" t="s">
        <v>20</v>
      </c>
      <c r="N15405" t="s">
        <v>29</v>
      </c>
    </row>
    <row r="15406" spans="1:14">
      <c r="A15406" s="4" t="str">
        <f t="shared" si="1189"/>
        <v>EXP00415</v>
      </c>
      <c r="B15406" s="3" t="s">
        <v>66</v>
      </c>
      <c r="C15406" s="4" t="str">
        <f t="shared" si="1190"/>
        <v>TCGA-BRCA</v>
      </c>
      <c r="D15406" s="1" t="s">
        <v>493</v>
      </c>
      <c r="E15406" t="s">
        <v>533</v>
      </c>
      <c r="F15406" s="1">
        <v>2</v>
      </c>
      <c r="G15406" s="1" t="s">
        <v>28</v>
      </c>
      <c r="H15406" s="4" t="str">
        <f>HYPERLINK("https://portal.gdc.cancer.gov/cases/fb356957-f620-4d99-b675-1355a1d9f932","TCGA-E2-A14O-01A")</f>
        <v>TCGA-E2-A14O-01A</v>
      </c>
      <c r="I15406" t="s">
        <v>17</v>
      </c>
      <c r="J15406" t="s">
        <v>524</v>
      </c>
      <c r="K15406" t="s">
        <v>33</v>
      </c>
      <c r="L15406" t="s">
        <v>20</v>
      </c>
      <c r="N15406" t="s">
        <v>29</v>
      </c>
    </row>
    <row r="15407" spans="1:14">
      <c r="A15407" s="4" t="str">
        <f t="shared" si="1189"/>
        <v>EXP00415</v>
      </c>
      <c r="B15407" s="3" t="s">
        <v>66</v>
      </c>
      <c r="C15407" s="4" t="str">
        <f t="shared" si="1190"/>
        <v>TCGA-BRCA</v>
      </c>
      <c r="D15407" s="1" t="s">
        <v>493</v>
      </c>
      <c r="E15407" t="s">
        <v>533</v>
      </c>
      <c r="F15407" s="1">
        <v>2</v>
      </c>
      <c r="G15407" s="1" t="s">
        <v>28</v>
      </c>
      <c r="H15407" s="4" t="str">
        <f>HYPERLINK("https://portal.gdc.cancer.gov/cases/e4fc0909-f284-4471-866d-d8967b6adcbc","TCGA-E2-A14P-01A")</f>
        <v>TCGA-E2-A14P-01A</v>
      </c>
      <c r="I15407" t="s">
        <v>17</v>
      </c>
      <c r="J15407" t="s">
        <v>524</v>
      </c>
      <c r="K15407" t="s">
        <v>33</v>
      </c>
      <c r="L15407" t="s">
        <v>20</v>
      </c>
      <c r="N15407" t="s">
        <v>29</v>
      </c>
    </row>
    <row r="15408" spans="1:14">
      <c r="A15408" s="4" t="str">
        <f t="shared" si="1189"/>
        <v>EXP00415</v>
      </c>
      <c r="B15408" s="3" t="s">
        <v>66</v>
      </c>
      <c r="C15408" s="4" t="str">
        <f t="shared" si="1190"/>
        <v>TCGA-BRCA</v>
      </c>
      <c r="D15408" s="1" t="s">
        <v>493</v>
      </c>
      <c r="E15408" t="s">
        <v>533</v>
      </c>
      <c r="F15408" s="1">
        <v>2</v>
      </c>
      <c r="G15408" s="1" t="s">
        <v>28</v>
      </c>
      <c r="H15408" s="4" t="str">
        <f>HYPERLINK("https://portal.gdc.cancer.gov/cases/303a1d77-a37a-4966-a4a4-9981d99ba1b4","TCGA-E2-A14Q-01A")</f>
        <v>TCGA-E2-A14Q-01A</v>
      </c>
      <c r="I15408" t="s">
        <v>17</v>
      </c>
      <c r="J15408" t="s">
        <v>524</v>
      </c>
      <c r="K15408" t="s">
        <v>33</v>
      </c>
      <c r="L15408" t="s">
        <v>20</v>
      </c>
      <c r="N15408" t="s">
        <v>29</v>
      </c>
    </row>
    <row r="15409" spans="1:14">
      <c r="A15409" s="4" t="str">
        <f t="shared" si="1189"/>
        <v>EXP00415</v>
      </c>
      <c r="B15409" s="3" t="s">
        <v>66</v>
      </c>
      <c r="C15409" s="4" t="str">
        <f t="shared" si="1190"/>
        <v>TCGA-BRCA</v>
      </c>
      <c r="D15409" s="1" t="s">
        <v>493</v>
      </c>
      <c r="E15409" t="s">
        <v>533</v>
      </c>
      <c r="F15409" s="1">
        <v>2</v>
      </c>
      <c r="G15409" s="1" t="s">
        <v>28</v>
      </c>
      <c r="H15409" s="4" t="str">
        <f>HYPERLINK("https://portal.gdc.cancer.gov/cases/4fba3deb-db94-44b5-a0f2-a575d270779e","TCGA-E2-A14R-01A")</f>
        <v>TCGA-E2-A14R-01A</v>
      </c>
      <c r="I15409" t="s">
        <v>17</v>
      </c>
      <c r="J15409" t="s">
        <v>524</v>
      </c>
      <c r="K15409" t="s">
        <v>33</v>
      </c>
      <c r="L15409" t="s">
        <v>20</v>
      </c>
      <c r="N15409" t="s">
        <v>29</v>
      </c>
    </row>
    <row r="15410" spans="1:14">
      <c r="A15410" s="4" t="str">
        <f t="shared" si="1189"/>
        <v>EXP00415</v>
      </c>
      <c r="B15410" s="3" t="s">
        <v>66</v>
      </c>
      <c r="C15410" s="4" t="str">
        <f t="shared" si="1190"/>
        <v>TCGA-BRCA</v>
      </c>
      <c r="D15410" s="1" t="s">
        <v>493</v>
      </c>
      <c r="E15410" t="s">
        <v>533</v>
      </c>
      <c r="F15410" s="1">
        <v>2</v>
      </c>
      <c r="G15410" s="1" t="s">
        <v>28</v>
      </c>
      <c r="H15410" s="4" t="str">
        <f>HYPERLINK("https://portal.gdc.cancer.gov/cases/e0929c47-cff3-4518-a188-8764af01073a","TCGA-E2-A14T-01A")</f>
        <v>TCGA-E2-A14T-01A</v>
      </c>
      <c r="I15410" t="s">
        <v>17</v>
      </c>
      <c r="J15410" t="s">
        <v>524</v>
      </c>
      <c r="K15410" t="s">
        <v>33</v>
      </c>
      <c r="L15410" t="s">
        <v>20</v>
      </c>
      <c r="N15410" t="s">
        <v>29</v>
      </c>
    </row>
    <row r="15411" spans="1:14">
      <c r="A15411" s="4" t="str">
        <f t="shared" si="1189"/>
        <v>EXP00415</v>
      </c>
      <c r="B15411" s="3" t="s">
        <v>66</v>
      </c>
      <c r="C15411" s="4" t="str">
        <f t="shared" si="1190"/>
        <v>TCGA-BRCA</v>
      </c>
      <c r="D15411" s="1" t="s">
        <v>493</v>
      </c>
      <c r="E15411" t="s">
        <v>533</v>
      </c>
      <c r="F15411" s="1">
        <v>2</v>
      </c>
      <c r="G15411" s="1" t="s">
        <v>28</v>
      </c>
      <c r="H15411" s="4" t="str">
        <f>HYPERLINK("https://portal.gdc.cancer.gov/cases/23b7aaea-1119-4b10-aa1a-0ae255d2f2a6","TCGA-E2-A14U-01A")</f>
        <v>TCGA-E2-A14U-01A</v>
      </c>
      <c r="I15411" t="s">
        <v>17</v>
      </c>
      <c r="J15411" t="s">
        <v>524</v>
      </c>
      <c r="K15411" t="s">
        <v>33</v>
      </c>
      <c r="L15411" t="s">
        <v>20</v>
      </c>
      <c r="N15411" t="s">
        <v>29</v>
      </c>
    </row>
    <row r="15412" spans="1:14">
      <c r="A15412" s="4" t="str">
        <f t="shared" si="1189"/>
        <v>EXP00415</v>
      </c>
      <c r="B15412" s="3" t="s">
        <v>66</v>
      </c>
      <c r="C15412" s="4" t="str">
        <f t="shared" si="1190"/>
        <v>TCGA-BRCA</v>
      </c>
      <c r="D15412" s="1" t="s">
        <v>493</v>
      </c>
      <c r="E15412" t="s">
        <v>533</v>
      </c>
      <c r="F15412" s="1">
        <v>2</v>
      </c>
      <c r="G15412" s="1" t="s">
        <v>28</v>
      </c>
      <c r="H15412" s="4" t="str">
        <f>HYPERLINK("https://portal.gdc.cancer.gov/cases/3144f1fb-4342-4079-bfe8-940da4bfd88e","TCGA-E2-A14V-01A")</f>
        <v>TCGA-E2-A14V-01A</v>
      </c>
      <c r="I15412" t="s">
        <v>17</v>
      </c>
      <c r="J15412" t="s">
        <v>524</v>
      </c>
      <c r="K15412" t="s">
        <v>33</v>
      </c>
      <c r="L15412" t="s">
        <v>20</v>
      </c>
      <c r="N15412" t="s">
        <v>29</v>
      </c>
    </row>
    <row r="15413" spans="1:14">
      <c r="A15413" s="4" t="str">
        <f t="shared" si="1189"/>
        <v>EXP00415</v>
      </c>
      <c r="B15413" s="3" t="s">
        <v>66</v>
      </c>
      <c r="C15413" s="4" t="str">
        <f t="shared" si="1190"/>
        <v>TCGA-BRCA</v>
      </c>
      <c r="D15413" s="1" t="s">
        <v>493</v>
      </c>
      <c r="E15413" t="s">
        <v>533</v>
      </c>
      <c r="F15413" s="1">
        <v>2</v>
      </c>
      <c r="G15413" s="1" t="s">
        <v>28</v>
      </c>
      <c r="H15413" s="4" t="str">
        <f>HYPERLINK("https://portal.gdc.cancer.gov/cases/eadb0562-2165-4adb-ad58-018e73f82780","TCGA-E2-A14W-01A")</f>
        <v>TCGA-E2-A14W-01A</v>
      </c>
      <c r="I15413" t="s">
        <v>17</v>
      </c>
      <c r="J15413" t="s">
        <v>524</v>
      </c>
      <c r="K15413" t="s">
        <v>33</v>
      </c>
      <c r="L15413" t="s">
        <v>20</v>
      </c>
      <c r="N15413" t="s">
        <v>29</v>
      </c>
    </row>
    <row r="15414" spans="1:14">
      <c r="A15414" s="4" t="str">
        <f t="shared" si="1189"/>
        <v>EXP00415</v>
      </c>
      <c r="B15414" s="3" t="s">
        <v>66</v>
      </c>
      <c r="C15414" s="4" t="str">
        <f t="shared" si="1190"/>
        <v>TCGA-BRCA</v>
      </c>
      <c r="D15414" s="1" t="s">
        <v>493</v>
      </c>
      <c r="E15414" t="s">
        <v>533</v>
      </c>
      <c r="F15414" s="1">
        <v>2</v>
      </c>
      <c r="G15414" s="1" t="s">
        <v>28</v>
      </c>
      <c r="H15414" s="4" t="str">
        <f>HYPERLINK("https://portal.gdc.cancer.gov/cases/60df7543-6da5-4c75-943b-5800c1e08234","TCGA-E2-A14X-01A")</f>
        <v>TCGA-E2-A14X-01A</v>
      </c>
      <c r="I15414" t="s">
        <v>17</v>
      </c>
      <c r="J15414" t="s">
        <v>524</v>
      </c>
      <c r="K15414" t="s">
        <v>33</v>
      </c>
      <c r="L15414" t="s">
        <v>20</v>
      </c>
      <c r="N15414" t="s">
        <v>29</v>
      </c>
    </row>
    <row r="15415" spans="1:14">
      <c r="A15415" s="4" t="str">
        <f t="shared" si="1189"/>
        <v>EXP00415</v>
      </c>
      <c r="B15415" s="3" t="s">
        <v>66</v>
      </c>
      <c r="C15415" s="4" t="str">
        <f t="shared" si="1190"/>
        <v>TCGA-BRCA</v>
      </c>
      <c r="D15415" s="1" t="s">
        <v>493</v>
      </c>
      <c r="E15415" t="s">
        <v>533</v>
      </c>
      <c r="F15415" s="1">
        <v>2</v>
      </c>
      <c r="G15415" s="1" t="s">
        <v>28</v>
      </c>
      <c r="H15415" s="4" t="str">
        <f>HYPERLINK("https://portal.gdc.cancer.gov/cases/a0576d44-9add-429b-9eeb-f7b234b7385f","TCGA-E2-A14Y-01A")</f>
        <v>TCGA-E2-A14Y-01A</v>
      </c>
      <c r="I15415" t="s">
        <v>17</v>
      </c>
      <c r="J15415" t="s">
        <v>524</v>
      </c>
      <c r="K15415" t="s">
        <v>33</v>
      </c>
      <c r="L15415" t="s">
        <v>20</v>
      </c>
      <c r="N15415" t="s">
        <v>29</v>
      </c>
    </row>
    <row r="15416" spans="1:14">
      <c r="A15416" s="4" t="str">
        <f t="shared" ref="A15416:A15479" si="1191">HYPERLINK("http://hcmdb.i-sanger.com/experiment/details/experiment_id/EXP00415","EXP00415")</f>
        <v>EXP00415</v>
      </c>
      <c r="B15416" s="3" t="s">
        <v>66</v>
      </c>
      <c r="C15416" s="4" t="str">
        <f t="shared" si="1190"/>
        <v>TCGA-BRCA</v>
      </c>
      <c r="D15416" s="1" t="s">
        <v>493</v>
      </c>
      <c r="E15416" t="s">
        <v>533</v>
      </c>
      <c r="F15416" s="1">
        <v>2</v>
      </c>
      <c r="G15416" s="1" t="s">
        <v>28</v>
      </c>
      <c r="H15416" s="4" t="str">
        <f>HYPERLINK("https://portal.gdc.cancer.gov/cases/d7ce6b79-f7c0-481e-9dbd-6273f01c9786","TCGA-E2-A14Z-01A")</f>
        <v>TCGA-E2-A14Z-01A</v>
      </c>
      <c r="I15416" t="s">
        <v>17</v>
      </c>
      <c r="J15416" t="s">
        <v>524</v>
      </c>
      <c r="K15416" t="s">
        <v>33</v>
      </c>
      <c r="L15416" t="s">
        <v>20</v>
      </c>
      <c r="N15416" t="s">
        <v>29</v>
      </c>
    </row>
    <row r="15417" spans="1:14">
      <c r="A15417" s="4" t="str">
        <f t="shared" si="1191"/>
        <v>EXP00415</v>
      </c>
      <c r="B15417" s="3" t="s">
        <v>66</v>
      </c>
      <c r="C15417" s="4" t="str">
        <f t="shared" si="1190"/>
        <v>TCGA-BRCA</v>
      </c>
      <c r="D15417" s="1" t="s">
        <v>493</v>
      </c>
      <c r="E15417" t="s">
        <v>533</v>
      </c>
      <c r="F15417" s="1">
        <v>2</v>
      </c>
      <c r="G15417" s="1" t="s">
        <v>28</v>
      </c>
      <c r="H15417" s="4" t="str">
        <f>HYPERLINK("https://portal.gdc.cancer.gov/cases/4ac693e9-10f3-46b3-9d46-df3af7b0d259","TCGA-E2-A150-01A")</f>
        <v>TCGA-E2-A150-01A</v>
      </c>
      <c r="I15417" t="s">
        <v>17</v>
      </c>
      <c r="J15417" t="s">
        <v>524</v>
      </c>
      <c r="K15417" t="s">
        <v>33</v>
      </c>
      <c r="L15417" t="s">
        <v>20</v>
      </c>
      <c r="N15417" t="s">
        <v>29</v>
      </c>
    </row>
    <row r="15418" spans="1:14">
      <c r="A15418" s="4" t="str">
        <f t="shared" si="1191"/>
        <v>EXP00415</v>
      </c>
      <c r="B15418" s="3" t="s">
        <v>66</v>
      </c>
      <c r="C15418" s="4" t="str">
        <f t="shared" ref="C15418:C15481" si="1192">HYPERLINK("https://portal.gdc.cancer.gov/projects/TCGA-BRCA","TCGA-BRCA")</f>
        <v>TCGA-BRCA</v>
      </c>
      <c r="D15418" s="1" t="s">
        <v>493</v>
      </c>
      <c r="E15418" t="s">
        <v>533</v>
      </c>
      <c r="F15418" s="1">
        <v>2</v>
      </c>
      <c r="G15418" s="1" t="s">
        <v>28</v>
      </c>
      <c r="H15418" s="4" t="str">
        <f>HYPERLINK("https://portal.gdc.cancer.gov/cases/a8015490-9740-45c9-8bd2-eb6d1beefc2e","TCGA-E2-A152-01A")</f>
        <v>TCGA-E2-A152-01A</v>
      </c>
      <c r="I15418" t="s">
        <v>17</v>
      </c>
      <c r="J15418" t="s">
        <v>524</v>
      </c>
      <c r="K15418" t="s">
        <v>33</v>
      </c>
      <c r="L15418" t="s">
        <v>20</v>
      </c>
      <c r="N15418" t="s">
        <v>29</v>
      </c>
    </row>
    <row r="15419" spans="1:14">
      <c r="A15419" s="4" t="str">
        <f t="shared" si="1191"/>
        <v>EXP00415</v>
      </c>
      <c r="B15419" s="3" t="s">
        <v>66</v>
      </c>
      <c r="C15419" s="4" t="str">
        <f t="shared" si="1192"/>
        <v>TCGA-BRCA</v>
      </c>
      <c r="D15419" s="1" t="s">
        <v>493</v>
      </c>
      <c r="E15419" t="s">
        <v>533</v>
      </c>
      <c r="F15419" s="1">
        <v>2</v>
      </c>
      <c r="G15419" s="1" t="s">
        <v>28</v>
      </c>
      <c r="H15419" s="4" t="str">
        <f>HYPERLINK("https://portal.gdc.cancer.gov/cases/be9bf36a-12e1-4386-addf-1686dc8b49de","TCGA-E2-A153-01A")</f>
        <v>TCGA-E2-A153-01A</v>
      </c>
      <c r="I15419" t="s">
        <v>17</v>
      </c>
      <c r="J15419" t="s">
        <v>524</v>
      </c>
      <c r="K15419" t="s">
        <v>33</v>
      </c>
      <c r="L15419" t="s">
        <v>20</v>
      </c>
      <c r="N15419" t="s">
        <v>29</v>
      </c>
    </row>
    <row r="15420" spans="1:14">
      <c r="A15420" s="4" t="str">
        <f t="shared" si="1191"/>
        <v>EXP00415</v>
      </c>
      <c r="B15420" s="3" t="s">
        <v>66</v>
      </c>
      <c r="C15420" s="4" t="str">
        <f t="shared" si="1192"/>
        <v>TCGA-BRCA</v>
      </c>
      <c r="D15420" s="1" t="s">
        <v>493</v>
      </c>
      <c r="E15420" t="s">
        <v>533</v>
      </c>
      <c r="F15420" s="1">
        <v>2</v>
      </c>
      <c r="G15420" s="1" t="s">
        <v>28</v>
      </c>
      <c r="H15420" s="4" t="str">
        <f>HYPERLINK("https://portal.gdc.cancer.gov/cases/24e39609-9645-43e5-960b-db5446eaea65","TCGA-E2-A154-01A")</f>
        <v>TCGA-E2-A154-01A</v>
      </c>
      <c r="I15420" t="s">
        <v>17</v>
      </c>
      <c r="J15420" t="s">
        <v>524</v>
      </c>
      <c r="K15420" t="s">
        <v>33</v>
      </c>
      <c r="L15420" t="s">
        <v>20</v>
      </c>
      <c r="N15420" t="s">
        <v>29</v>
      </c>
    </row>
    <row r="15421" spans="1:14">
      <c r="A15421" s="4" t="str">
        <f t="shared" si="1191"/>
        <v>EXP00415</v>
      </c>
      <c r="B15421" s="3" t="s">
        <v>66</v>
      </c>
      <c r="C15421" s="4" t="str">
        <f t="shared" si="1192"/>
        <v>TCGA-BRCA</v>
      </c>
      <c r="D15421" s="1" t="s">
        <v>493</v>
      </c>
      <c r="E15421" t="s">
        <v>533</v>
      </c>
      <c r="F15421" s="1">
        <v>2</v>
      </c>
      <c r="G15421" s="1" t="s">
        <v>28</v>
      </c>
      <c r="H15421" s="4" t="str">
        <f>HYPERLINK("https://portal.gdc.cancer.gov/cases/01f50abf-fc15-446e-9d07-edeecc545a32","TCGA-E2-A155-01A")</f>
        <v>TCGA-E2-A155-01A</v>
      </c>
      <c r="I15421" t="s">
        <v>17</v>
      </c>
      <c r="J15421" t="s">
        <v>524</v>
      </c>
      <c r="K15421" t="s">
        <v>33</v>
      </c>
      <c r="L15421" t="s">
        <v>20</v>
      </c>
      <c r="N15421" t="s">
        <v>29</v>
      </c>
    </row>
    <row r="15422" spans="1:14">
      <c r="A15422" s="4" t="str">
        <f t="shared" si="1191"/>
        <v>EXP00415</v>
      </c>
      <c r="B15422" s="3" t="s">
        <v>66</v>
      </c>
      <c r="C15422" s="4" t="str">
        <f t="shared" si="1192"/>
        <v>TCGA-BRCA</v>
      </c>
      <c r="D15422" s="1" t="s">
        <v>493</v>
      </c>
      <c r="E15422" t="s">
        <v>533</v>
      </c>
      <c r="F15422" s="1">
        <v>2</v>
      </c>
      <c r="G15422" s="1" t="s">
        <v>28</v>
      </c>
      <c r="H15422" s="4" t="str">
        <f>HYPERLINK("https://portal.gdc.cancer.gov/cases/f05d314c-5ec5-4e2a-b785-9a702716f111","TCGA-E2-A156-01A")</f>
        <v>TCGA-E2-A156-01A</v>
      </c>
      <c r="I15422" t="s">
        <v>17</v>
      </c>
      <c r="J15422" t="s">
        <v>524</v>
      </c>
      <c r="K15422" t="s">
        <v>33</v>
      </c>
      <c r="L15422" t="s">
        <v>20</v>
      </c>
      <c r="N15422" t="s">
        <v>29</v>
      </c>
    </row>
    <row r="15423" spans="1:14">
      <c r="A15423" s="4" t="str">
        <f t="shared" si="1191"/>
        <v>EXP00415</v>
      </c>
      <c r="B15423" s="3" t="s">
        <v>66</v>
      </c>
      <c r="C15423" s="4" t="str">
        <f t="shared" si="1192"/>
        <v>TCGA-BRCA</v>
      </c>
      <c r="D15423" s="1" t="s">
        <v>493</v>
      </c>
      <c r="E15423" t="s">
        <v>533</v>
      </c>
      <c r="F15423" s="1">
        <v>2</v>
      </c>
      <c r="G15423" s="1" t="s">
        <v>28</v>
      </c>
      <c r="H15423" s="4" t="str">
        <f>HYPERLINK("https://portal.gdc.cancer.gov/cases/a6edb6ca-ae9f-4da7-8ebe-92d83d2987fb","TCGA-E2-A158-01A")</f>
        <v>TCGA-E2-A158-01A</v>
      </c>
      <c r="I15423" t="s">
        <v>17</v>
      </c>
      <c r="J15423" t="s">
        <v>524</v>
      </c>
      <c r="K15423" t="s">
        <v>33</v>
      </c>
      <c r="L15423" t="s">
        <v>20</v>
      </c>
      <c r="N15423" t="s">
        <v>29</v>
      </c>
    </row>
    <row r="15424" spans="1:14">
      <c r="A15424" s="4" t="str">
        <f t="shared" si="1191"/>
        <v>EXP00415</v>
      </c>
      <c r="B15424" s="3" t="s">
        <v>66</v>
      </c>
      <c r="C15424" s="4" t="str">
        <f t="shared" si="1192"/>
        <v>TCGA-BRCA</v>
      </c>
      <c r="D15424" s="1" t="s">
        <v>493</v>
      </c>
      <c r="E15424" t="s">
        <v>533</v>
      </c>
      <c r="F15424" s="1">
        <v>2</v>
      </c>
      <c r="G15424" s="1" t="s">
        <v>28</v>
      </c>
      <c r="H15424" s="4" t="str">
        <f>HYPERLINK("https://portal.gdc.cancer.gov/cases/d7308344-5bab-4073-bb4f-4d8cd8d7bd17","TCGA-E2-A159-01A")</f>
        <v>TCGA-E2-A159-01A</v>
      </c>
      <c r="I15424" t="s">
        <v>17</v>
      </c>
      <c r="J15424" t="s">
        <v>524</v>
      </c>
      <c r="K15424" t="s">
        <v>33</v>
      </c>
      <c r="L15424" t="s">
        <v>20</v>
      </c>
      <c r="N15424" t="s">
        <v>29</v>
      </c>
    </row>
    <row r="15425" spans="1:14">
      <c r="A15425" s="4" t="str">
        <f t="shared" si="1191"/>
        <v>EXP00415</v>
      </c>
      <c r="B15425" s="3" t="s">
        <v>66</v>
      </c>
      <c r="C15425" s="4" t="str">
        <f t="shared" si="1192"/>
        <v>TCGA-BRCA</v>
      </c>
      <c r="D15425" s="1" t="s">
        <v>493</v>
      </c>
      <c r="E15425" t="s">
        <v>533</v>
      </c>
      <c r="F15425" s="1">
        <v>2</v>
      </c>
      <c r="G15425" s="1" t="s">
        <v>28</v>
      </c>
      <c r="H15425" s="4" t="str">
        <f>HYPERLINK("https://portal.gdc.cancer.gov/cases/da840a22-8d30-4682-bbd0-8fa87bd40528","TCGA-E2-A15C-01A")</f>
        <v>TCGA-E2-A15C-01A</v>
      </c>
      <c r="I15425" t="s">
        <v>17</v>
      </c>
      <c r="J15425" t="s">
        <v>524</v>
      </c>
      <c r="K15425" t="s">
        <v>33</v>
      </c>
      <c r="L15425" t="s">
        <v>20</v>
      </c>
      <c r="N15425" t="s">
        <v>29</v>
      </c>
    </row>
    <row r="15426" spans="1:14">
      <c r="A15426" s="4" t="str">
        <f t="shared" si="1191"/>
        <v>EXP00415</v>
      </c>
      <c r="B15426" s="3" t="s">
        <v>66</v>
      </c>
      <c r="C15426" s="4" t="str">
        <f t="shared" si="1192"/>
        <v>TCGA-BRCA</v>
      </c>
      <c r="D15426" s="1" t="s">
        <v>493</v>
      </c>
      <c r="E15426" t="s">
        <v>533</v>
      </c>
      <c r="F15426" s="1">
        <v>2</v>
      </c>
      <c r="G15426" s="1" t="s">
        <v>28</v>
      </c>
      <c r="H15426" s="4" t="str">
        <f>HYPERLINK("https://portal.gdc.cancer.gov/cases/c85f080a-1075-41df-959f-1b514a11b3c4","TCGA-E2-A15D-01A")</f>
        <v>TCGA-E2-A15D-01A</v>
      </c>
      <c r="I15426" t="s">
        <v>17</v>
      </c>
      <c r="J15426" t="s">
        <v>524</v>
      </c>
      <c r="K15426" t="s">
        <v>33</v>
      </c>
      <c r="L15426" t="s">
        <v>20</v>
      </c>
      <c r="N15426" t="s">
        <v>29</v>
      </c>
    </row>
    <row r="15427" spans="1:14">
      <c r="A15427" s="4" t="str">
        <f t="shared" si="1191"/>
        <v>EXP00415</v>
      </c>
      <c r="B15427" s="3" t="s">
        <v>66</v>
      </c>
      <c r="C15427" s="4" t="str">
        <f t="shared" si="1192"/>
        <v>TCGA-BRCA</v>
      </c>
      <c r="D15427" s="1" t="s">
        <v>493</v>
      </c>
      <c r="E15427" t="s">
        <v>533</v>
      </c>
      <c r="F15427" s="1">
        <v>2</v>
      </c>
      <c r="G15427" s="1" t="s">
        <v>28</v>
      </c>
      <c r="H15427" s="4" t="str">
        <f>HYPERLINK("https://portal.gdc.cancer.gov/cases/ec77a23d-84f5-47e4-bf2a-fa1c03baf3db","TCGA-E2-A15F-01A")</f>
        <v>TCGA-E2-A15F-01A</v>
      </c>
      <c r="I15427" t="s">
        <v>17</v>
      </c>
      <c r="J15427" t="s">
        <v>524</v>
      </c>
      <c r="K15427" t="s">
        <v>33</v>
      </c>
      <c r="L15427" t="s">
        <v>20</v>
      </c>
      <c r="N15427" t="s">
        <v>29</v>
      </c>
    </row>
    <row r="15428" spans="1:14">
      <c r="A15428" s="4" t="str">
        <f t="shared" si="1191"/>
        <v>EXP00415</v>
      </c>
      <c r="B15428" s="3" t="s">
        <v>66</v>
      </c>
      <c r="C15428" s="4" t="str">
        <f t="shared" si="1192"/>
        <v>TCGA-BRCA</v>
      </c>
      <c r="D15428" s="1" t="s">
        <v>493</v>
      </c>
      <c r="E15428" t="s">
        <v>533</v>
      </c>
      <c r="F15428" s="1">
        <v>2</v>
      </c>
      <c r="G15428" s="1" t="s">
        <v>28</v>
      </c>
      <c r="H15428" s="4" t="str">
        <f>HYPERLINK("https://portal.gdc.cancer.gov/cases/271e8024-a008-4bf0-9f6e-177f60096b1b","TCGA-E2-A15G-01A")</f>
        <v>TCGA-E2-A15G-01A</v>
      </c>
      <c r="I15428" t="s">
        <v>17</v>
      </c>
      <c r="J15428" t="s">
        <v>524</v>
      </c>
      <c r="K15428" t="s">
        <v>33</v>
      </c>
      <c r="L15428" t="s">
        <v>20</v>
      </c>
      <c r="N15428" t="s">
        <v>29</v>
      </c>
    </row>
    <row r="15429" spans="1:14">
      <c r="A15429" s="4" t="str">
        <f t="shared" si="1191"/>
        <v>EXP00415</v>
      </c>
      <c r="B15429" s="3" t="s">
        <v>66</v>
      </c>
      <c r="C15429" s="4" t="str">
        <f t="shared" si="1192"/>
        <v>TCGA-BRCA</v>
      </c>
      <c r="D15429" s="1" t="s">
        <v>493</v>
      </c>
      <c r="E15429" t="s">
        <v>533</v>
      </c>
      <c r="F15429" s="1">
        <v>2</v>
      </c>
      <c r="G15429" s="1" t="s">
        <v>28</v>
      </c>
      <c r="H15429" s="4" t="str">
        <f>HYPERLINK("https://portal.gdc.cancer.gov/cases/5580b21a-2cdb-4777-ad79-6e06654144f5","TCGA-E2-A15H-01A")</f>
        <v>TCGA-E2-A15H-01A</v>
      </c>
      <c r="I15429" t="s">
        <v>17</v>
      </c>
      <c r="J15429" t="s">
        <v>524</v>
      </c>
      <c r="K15429" t="s">
        <v>33</v>
      </c>
      <c r="L15429" t="s">
        <v>20</v>
      </c>
      <c r="N15429" t="s">
        <v>29</v>
      </c>
    </row>
    <row r="15430" spans="1:14">
      <c r="A15430" s="4" t="str">
        <f t="shared" si="1191"/>
        <v>EXP00415</v>
      </c>
      <c r="B15430" s="3" t="s">
        <v>66</v>
      </c>
      <c r="C15430" s="4" t="str">
        <f t="shared" si="1192"/>
        <v>TCGA-BRCA</v>
      </c>
      <c r="D15430" s="1" t="s">
        <v>493</v>
      </c>
      <c r="E15430" t="s">
        <v>533</v>
      </c>
      <c r="F15430" s="1">
        <v>2</v>
      </c>
      <c r="G15430" s="1" t="s">
        <v>28</v>
      </c>
      <c r="H15430" s="4" t="str">
        <f>HYPERLINK("https://portal.gdc.cancer.gov/cases/64089c20-939f-48b4-ae8b-904ad0597145","TCGA-E2-A15I-01A")</f>
        <v>TCGA-E2-A15I-01A</v>
      </c>
      <c r="I15430" t="s">
        <v>17</v>
      </c>
      <c r="J15430" t="s">
        <v>524</v>
      </c>
      <c r="K15430" t="s">
        <v>33</v>
      </c>
      <c r="L15430" t="s">
        <v>20</v>
      </c>
      <c r="N15430" t="s">
        <v>29</v>
      </c>
    </row>
    <row r="15431" spans="1:14">
      <c r="A15431" s="4" t="str">
        <f t="shared" si="1191"/>
        <v>EXP00415</v>
      </c>
      <c r="B15431" s="3" t="s">
        <v>66</v>
      </c>
      <c r="C15431" s="4" t="str">
        <f t="shared" si="1192"/>
        <v>TCGA-BRCA</v>
      </c>
      <c r="D15431" s="1" t="s">
        <v>493</v>
      </c>
      <c r="E15431" t="s">
        <v>533</v>
      </c>
      <c r="F15431" s="1">
        <v>2</v>
      </c>
      <c r="G15431" s="1" t="s">
        <v>28</v>
      </c>
      <c r="H15431" s="4" t="str">
        <f>HYPERLINK("https://portal.gdc.cancer.gov/cases/1fef9454-b3e8-4d9d-a9aa-aa1f1a32b80c","TCGA-E2-A15J-01A")</f>
        <v>TCGA-E2-A15J-01A</v>
      </c>
      <c r="I15431" t="s">
        <v>17</v>
      </c>
      <c r="J15431" t="s">
        <v>524</v>
      </c>
      <c r="K15431" t="s">
        <v>33</v>
      </c>
      <c r="L15431" t="s">
        <v>20</v>
      </c>
      <c r="N15431" t="s">
        <v>29</v>
      </c>
    </row>
    <row r="15432" spans="1:14">
      <c r="A15432" s="4" t="str">
        <f t="shared" si="1191"/>
        <v>EXP00415</v>
      </c>
      <c r="B15432" s="3" t="s">
        <v>66</v>
      </c>
      <c r="C15432" s="4" t="str">
        <f t="shared" si="1192"/>
        <v>TCGA-BRCA</v>
      </c>
      <c r="D15432" s="1" t="s">
        <v>493</v>
      </c>
      <c r="E15432" t="s">
        <v>533</v>
      </c>
      <c r="F15432" s="1">
        <v>2</v>
      </c>
      <c r="G15432" s="1" t="s">
        <v>28</v>
      </c>
      <c r="H15432" s="4" t="str">
        <f>HYPERLINK("https://portal.gdc.cancer.gov/cases/37242f5a-25ae-4b1f-9ce6-09ce1dc92539","TCGA-E2-A15L-01A")</f>
        <v>TCGA-E2-A15L-01A</v>
      </c>
      <c r="I15432" t="s">
        <v>17</v>
      </c>
      <c r="J15432" t="s">
        <v>524</v>
      </c>
      <c r="K15432" t="s">
        <v>33</v>
      </c>
      <c r="L15432" t="s">
        <v>20</v>
      </c>
      <c r="N15432" t="s">
        <v>29</v>
      </c>
    </row>
    <row r="15433" spans="1:14">
      <c r="A15433" s="4" t="str">
        <f t="shared" si="1191"/>
        <v>EXP00415</v>
      </c>
      <c r="B15433" s="3" t="s">
        <v>66</v>
      </c>
      <c r="C15433" s="4" t="str">
        <f t="shared" si="1192"/>
        <v>TCGA-BRCA</v>
      </c>
      <c r="D15433" s="1" t="s">
        <v>493</v>
      </c>
      <c r="E15433" t="s">
        <v>533</v>
      </c>
      <c r="F15433" s="1">
        <v>2</v>
      </c>
      <c r="G15433" s="1" t="s">
        <v>28</v>
      </c>
      <c r="H15433" s="4" t="str">
        <f>HYPERLINK("https://portal.gdc.cancer.gov/cases/59be60a3-e0f6-4d63-b98c-574ef92428c4","TCGA-E2-A15M-01A")</f>
        <v>TCGA-E2-A15M-01A</v>
      </c>
      <c r="I15433" t="s">
        <v>17</v>
      </c>
      <c r="J15433" t="s">
        <v>524</v>
      </c>
      <c r="K15433" t="s">
        <v>33</v>
      </c>
      <c r="L15433" t="s">
        <v>20</v>
      </c>
      <c r="N15433" t="s">
        <v>29</v>
      </c>
    </row>
    <row r="15434" spans="1:14">
      <c r="A15434" s="4" t="str">
        <f t="shared" si="1191"/>
        <v>EXP00415</v>
      </c>
      <c r="B15434" s="3" t="s">
        <v>66</v>
      </c>
      <c r="C15434" s="4" t="str">
        <f t="shared" si="1192"/>
        <v>TCGA-BRCA</v>
      </c>
      <c r="D15434" s="1" t="s">
        <v>493</v>
      </c>
      <c r="E15434" t="s">
        <v>533</v>
      </c>
      <c r="F15434" s="1">
        <v>2</v>
      </c>
      <c r="G15434" s="1" t="s">
        <v>28</v>
      </c>
      <c r="H15434" s="4" t="str">
        <f>HYPERLINK("https://portal.gdc.cancer.gov/cases/eafa45a4-2fd1-4fa3-860c-9d52ed382b7d","TCGA-E2-A15O-01A")</f>
        <v>TCGA-E2-A15O-01A</v>
      </c>
      <c r="I15434" t="s">
        <v>17</v>
      </c>
      <c r="J15434" t="s">
        <v>524</v>
      </c>
      <c r="K15434" t="s">
        <v>33</v>
      </c>
      <c r="L15434" t="s">
        <v>20</v>
      </c>
      <c r="N15434" t="s">
        <v>29</v>
      </c>
    </row>
    <row r="15435" spans="1:14">
      <c r="A15435" s="4" t="str">
        <f t="shared" si="1191"/>
        <v>EXP00415</v>
      </c>
      <c r="B15435" s="3" t="s">
        <v>66</v>
      </c>
      <c r="C15435" s="4" t="str">
        <f t="shared" si="1192"/>
        <v>TCGA-BRCA</v>
      </c>
      <c r="D15435" s="1" t="s">
        <v>493</v>
      </c>
      <c r="E15435" t="s">
        <v>533</v>
      </c>
      <c r="F15435" s="1">
        <v>2</v>
      </c>
      <c r="G15435" s="1" t="s">
        <v>28</v>
      </c>
      <c r="H15435" s="4" t="str">
        <f>HYPERLINK("https://portal.gdc.cancer.gov/cases/a1674d7b-787a-45c4-bf16-1b7d0efce207","TCGA-E2-A15P-01A")</f>
        <v>TCGA-E2-A15P-01A</v>
      </c>
      <c r="I15435" t="s">
        <v>17</v>
      </c>
      <c r="J15435" t="s">
        <v>524</v>
      </c>
      <c r="K15435" t="s">
        <v>33</v>
      </c>
      <c r="L15435" t="s">
        <v>20</v>
      </c>
      <c r="N15435" t="s">
        <v>29</v>
      </c>
    </row>
    <row r="15436" spans="1:14">
      <c r="A15436" s="4" t="str">
        <f t="shared" si="1191"/>
        <v>EXP00415</v>
      </c>
      <c r="B15436" s="3" t="s">
        <v>66</v>
      </c>
      <c r="C15436" s="4" t="str">
        <f t="shared" si="1192"/>
        <v>TCGA-BRCA</v>
      </c>
      <c r="D15436" s="1" t="s">
        <v>493</v>
      </c>
      <c r="E15436" t="s">
        <v>533</v>
      </c>
      <c r="F15436" s="1">
        <v>2</v>
      </c>
      <c r="G15436" s="1" t="s">
        <v>28</v>
      </c>
      <c r="H15436" s="4" t="str">
        <f>HYPERLINK("https://portal.gdc.cancer.gov/cases/33b7bf50-53f4-4839-aa83-9665f85671d8","TCGA-E2-A15R-01A")</f>
        <v>TCGA-E2-A15R-01A</v>
      </c>
      <c r="I15436" t="s">
        <v>17</v>
      </c>
      <c r="J15436" t="s">
        <v>524</v>
      </c>
      <c r="K15436" t="s">
        <v>33</v>
      </c>
      <c r="L15436" t="s">
        <v>20</v>
      </c>
      <c r="N15436" t="s">
        <v>29</v>
      </c>
    </row>
    <row r="15437" spans="1:14">
      <c r="A15437" s="4" t="str">
        <f t="shared" si="1191"/>
        <v>EXP00415</v>
      </c>
      <c r="B15437" s="3" t="s">
        <v>66</v>
      </c>
      <c r="C15437" s="4" t="str">
        <f t="shared" si="1192"/>
        <v>TCGA-BRCA</v>
      </c>
      <c r="D15437" s="1" t="s">
        <v>493</v>
      </c>
      <c r="E15437" t="s">
        <v>533</v>
      </c>
      <c r="F15437" s="1">
        <v>2</v>
      </c>
      <c r="G15437" s="1" t="s">
        <v>28</v>
      </c>
      <c r="H15437" s="4" t="str">
        <f>HYPERLINK("https://portal.gdc.cancer.gov/cases/0f7ab21b-1fd0-45e0-9a47-17c4691eb84f","TCGA-E2-A15S-01A")</f>
        <v>TCGA-E2-A15S-01A</v>
      </c>
      <c r="I15437" t="s">
        <v>17</v>
      </c>
      <c r="J15437" t="s">
        <v>524</v>
      </c>
      <c r="K15437" t="s">
        <v>33</v>
      </c>
      <c r="L15437" t="s">
        <v>20</v>
      </c>
      <c r="N15437" t="s">
        <v>29</v>
      </c>
    </row>
    <row r="15438" spans="1:14">
      <c r="A15438" s="4" t="str">
        <f t="shared" si="1191"/>
        <v>EXP00415</v>
      </c>
      <c r="B15438" s="3" t="s">
        <v>66</v>
      </c>
      <c r="C15438" s="4" t="str">
        <f t="shared" si="1192"/>
        <v>TCGA-BRCA</v>
      </c>
      <c r="D15438" s="1" t="s">
        <v>493</v>
      </c>
      <c r="E15438" t="s">
        <v>533</v>
      </c>
      <c r="F15438" s="1">
        <v>2</v>
      </c>
      <c r="G15438" s="1" t="s">
        <v>28</v>
      </c>
      <c r="H15438" s="4" t="str">
        <f>HYPERLINK("https://portal.gdc.cancer.gov/cases/e68ebfd4-3688-4caa-9e38-7764f9258c30","TCGA-E2-A15T-01A")</f>
        <v>TCGA-E2-A15T-01A</v>
      </c>
      <c r="I15438" t="s">
        <v>17</v>
      </c>
      <c r="J15438" t="s">
        <v>524</v>
      </c>
      <c r="K15438" t="s">
        <v>33</v>
      </c>
      <c r="L15438" t="s">
        <v>20</v>
      </c>
      <c r="N15438" t="s">
        <v>29</v>
      </c>
    </row>
    <row r="15439" spans="1:14">
      <c r="A15439" s="4" t="str">
        <f t="shared" si="1191"/>
        <v>EXP00415</v>
      </c>
      <c r="B15439" s="3" t="s">
        <v>66</v>
      </c>
      <c r="C15439" s="4" t="str">
        <f t="shared" si="1192"/>
        <v>TCGA-BRCA</v>
      </c>
      <c r="D15439" s="1" t="s">
        <v>493</v>
      </c>
      <c r="E15439" t="s">
        <v>533</v>
      </c>
      <c r="F15439" s="1">
        <v>2</v>
      </c>
      <c r="G15439" s="1" t="s">
        <v>28</v>
      </c>
      <c r="H15439" s="4" t="str">
        <f>HYPERLINK("https://portal.gdc.cancer.gov/cases/89128dba-403f-4a96-bb3b-23ed0d5e2147","TCGA-E2-A1AZ-01A")</f>
        <v>TCGA-E2-A1AZ-01A</v>
      </c>
      <c r="I15439" t="s">
        <v>17</v>
      </c>
      <c r="J15439" t="s">
        <v>524</v>
      </c>
      <c r="K15439" t="s">
        <v>33</v>
      </c>
      <c r="L15439" t="s">
        <v>20</v>
      </c>
      <c r="N15439" t="s">
        <v>29</v>
      </c>
    </row>
    <row r="15440" spans="1:14">
      <c r="A15440" s="4" t="str">
        <f t="shared" si="1191"/>
        <v>EXP00415</v>
      </c>
      <c r="B15440" s="3" t="s">
        <v>66</v>
      </c>
      <c r="C15440" s="4" t="str">
        <f t="shared" si="1192"/>
        <v>TCGA-BRCA</v>
      </c>
      <c r="D15440" s="1" t="s">
        <v>493</v>
      </c>
      <c r="E15440" t="s">
        <v>533</v>
      </c>
      <c r="F15440" s="1">
        <v>2</v>
      </c>
      <c r="G15440" s="1" t="s">
        <v>28</v>
      </c>
      <c r="H15440" s="4" t="str">
        <f>HYPERLINK("https://portal.gdc.cancer.gov/cases/996bd3f0-d767-4eff-9c82-99fcb5a3006a","TCGA-E2-A1B0-01A")</f>
        <v>TCGA-E2-A1B0-01A</v>
      </c>
      <c r="I15440" t="s">
        <v>17</v>
      </c>
      <c r="J15440" t="s">
        <v>524</v>
      </c>
      <c r="K15440" t="s">
        <v>33</v>
      </c>
      <c r="L15440" t="s">
        <v>20</v>
      </c>
      <c r="N15440" t="s">
        <v>29</v>
      </c>
    </row>
    <row r="15441" spans="1:14">
      <c r="A15441" s="4" t="str">
        <f t="shared" si="1191"/>
        <v>EXP00415</v>
      </c>
      <c r="B15441" s="3" t="s">
        <v>66</v>
      </c>
      <c r="C15441" s="4" t="str">
        <f t="shared" si="1192"/>
        <v>TCGA-BRCA</v>
      </c>
      <c r="D15441" s="1" t="s">
        <v>493</v>
      </c>
      <c r="E15441" t="s">
        <v>533</v>
      </c>
      <c r="F15441" s="1">
        <v>2</v>
      </c>
      <c r="G15441" s="1" t="s">
        <v>28</v>
      </c>
      <c r="H15441" s="4" t="str">
        <f>HYPERLINK("https://portal.gdc.cancer.gov/cases/8a0ef221-8070-43fc-9d98-def90abe4871","TCGA-E2-A1B1-01A")</f>
        <v>TCGA-E2-A1B1-01A</v>
      </c>
      <c r="I15441" t="s">
        <v>17</v>
      </c>
      <c r="J15441" t="s">
        <v>524</v>
      </c>
      <c r="K15441" t="s">
        <v>33</v>
      </c>
      <c r="L15441" t="s">
        <v>20</v>
      </c>
      <c r="N15441" t="s">
        <v>29</v>
      </c>
    </row>
    <row r="15442" spans="1:14">
      <c r="A15442" s="4" t="str">
        <f t="shared" si="1191"/>
        <v>EXP00415</v>
      </c>
      <c r="B15442" s="3" t="s">
        <v>66</v>
      </c>
      <c r="C15442" s="4" t="str">
        <f t="shared" si="1192"/>
        <v>TCGA-BRCA</v>
      </c>
      <c r="D15442" s="1" t="s">
        <v>493</v>
      </c>
      <c r="E15442" t="s">
        <v>533</v>
      </c>
      <c r="F15442" s="1">
        <v>2</v>
      </c>
      <c r="G15442" s="1" t="s">
        <v>28</v>
      </c>
      <c r="H15442" s="4" t="str">
        <f>HYPERLINK("https://portal.gdc.cancer.gov/cases/dbb2da92-99dd-400c-bc05-e87d7273656c","TCGA-E2-A1B4-01A")</f>
        <v>TCGA-E2-A1B4-01A</v>
      </c>
      <c r="I15442" t="s">
        <v>17</v>
      </c>
      <c r="J15442" t="s">
        <v>524</v>
      </c>
      <c r="K15442" t="s">
        <v>33</v>
      </c>
      <c r="L15442" t="s">
        <v>20</v>
      </c>
      <c r="N15442" t="s">
        <v>29</v>
      </c>
    </row>
    <row r="15443" spans="1:14">
      <c r="A15443" s="4" t="str">
        <f t="shared" si="1191"/>
        <v>EXP00415</v>
      </c>
      <c r="B15443" s="3" t="s">
        <v>66</v>
      </c>
      <c r="C15443" s="4" t="str">
        <f t="shared" si="1192"/>
        <v>TCGA-BRCA</v>
      </c>
      <c r="D15443" s="1" t="s">
        <v>493</v>
      </c>
      <c r="E15443" t="s">
        <v>533</v>
      </c>
      <c r="F15443" s="1">
        <v>2</v>
      </c>
      <c r="G15443" s="1" t="s">
        <v>28</v>
      </c>
      <c r="H15443" s="4" t="str">
        <f>HYPERLINK("https://portal.gdc.cancer.gov/cases/7241b3d4-31ee-4fd2-a4a5-35a9d5f37d6a","TCGA-E2-A1B5-01A")</f>
        <v>TCGA-E2-A1B5-01A</v>
      </c>
      <c r="I15443" t="s">
        <v>17</v>
      </c>
      <c r="J15443" t="s">
        <v>524</v>
      </c>
      <c r="K15443" t="s">
        <v>33</v>
      </c>
      <c r="L15443" t="s">
        <v>20</v>
      </c>
      <c r="N15443" t="s">
        <v>29</v>
      </c>
    </row>
    <row r="15444" spans="1:14">
      <c r="A15444" s="4" t="str">
        <f t="shared" si="1191"/>
        <v>EXP00415</v>
      </c>
      <c r="B15444" s="3" t="s">
        <v>66</v>
      </c>
      <c r="C15444" s="4" t="str">
        <f t="shared" si="1192"/>
        <v>TCGA-BRCA</v>
      </c>
      <c r="D15444" s="1" t="s">
        <v>493</v>
      </c>
      <c r="E15444" t="s">
        <v>533</v>
      </c>
      <c r="F15444" s="1">
        <v>2</v>
      </c>
      <c r="G15444" s="1" t="s">
        <v>28</v>
      </c>
      <c r="H15444" s="4" t="str">
        <f>HYPERLINK("https://portal.gdc.cancer.gov/cases/e0b1bcd2-1139-44b9-98b3-67bcf92bcc39","TCGA-E2-A1B6-01A")</f>
        <v>TCGA-E2-A1B6-01A</v>
      </c>
      <c r="I15444" t="s">
        <v>17</v>
      </c>
      <c r="J15444" t="s">
        <v>524</v>
      </c>
      <c r="K15444" t="s">
        <v>33</v>
      </c>
      <c r="L15444" t="s">
        <v>20</v>
      </c>
      <c r="N15444" t="s">
        <v>29</v>
      </c>
    </row>
    <row r="15445" spans="1:14">
      <c r="A15445" s="4" t="str">
        <f t="shared" si="1191"/>
        <v>EXP00415</v>
      </c>
      <c r="B15445" s="3" t="s">
        <v>66</v>
      </c>
      <c r="C15445" s="4" t="str">
        <f t="shared" si="1192"/>
        <v>TCGA-BRCA</v>
      </c>
      <c r="D15445" s="1" t="s">
        <v>493</v>
      </c>
      <c r="E15445" t="s">
        <v>533</v>
      </c>
      <c r="F15445" s="1">
        <v>2</v>
      </c>
      <c r="G15445" s="1" t="s">
        <v>28</v>
      </c>
      <c r="H15445" s="4" t="str">
        <f>HYPERLINK("https://portal.gdc.cancer.gov/cases/d8492ebd-3d94-4a4b-8de7-386526691cc2","TCGA-E2-A1BC-01A")</f>
        <v>TCGA-E2-A1BC-01A</v>
      </c>
      <c r="I15445" t="s">
        <v>17</v>
      </c>
      <c r="J15445" t="s">
        <v>524</v>
      </c>
      <c r="K15445" t="s">
        <v>33</v>
      </c>
      <c r="L15445" t="s">
        <v>20</v>
      </c>
      <c r="N15445" t="s">
        <v>29</v>
      </c>
    </row>
    <row r="15446" spans="1:14">
      <c r="A15446" s="4" t="str">
        <f t="shared" si="1191"/>
        <v>EXP00415</v>
      </c>
      <c r="B15446" s="3" t="s">
        <v>66</v>
      </c>
      <c r="C15446" s="4" t="str">
        <f t="shared" si="1192"/>
        <v>TCGA-BRCA</v>
      </c>
      <c r="D15446" s="1" t="s">
        <v>493</v>
      </c>
      <c r="E15446" t="s">
        <v>533</v>
      </c>
      <c r="F15446" s="1">
        <v>2</v>
      </c>
      <c r="G15446" s="1" t="s">
        <v>28</v>
      </c>
      <c r="H15446" s="4" t="str">
        <f>HYPERLINK("https://portal.gdc.cancer.gov/cases/0e1d0d46-7a7b-4538-95dd-b9fc20a15aec","TCGA-E2-A1BD-01A")</f>
        <v>TCGA-E2-A1BD-01A</v>
      </c>
      <c r="I15446" t="s">
        <v>17</v>
      </c>
      <c r="J15446" t="s">
        <v>524</v>
      </c>
      <c r="K15446" t="s">
        <v>33</v>
      </c>
      <c r="L15446" t="s">
        <v>20</v>
      </c>
      <c r="N15446" t="s">
        <v>29</v>
      </c>
    </row>
    <row r="15447" spans="1:14">
      <c r="A15447" s="4" t="str">
        <f t="shared" si="1191"/>
        <v>EXP00415</v>
      </c>
      <c r="B15447" s="3" t="s">
        <v>66</v>
      </c>
      <c r="C15447" s="4" t="str">
        <f t="shared" si="1192"/>
        <v>TCGA-BRCA</v>
      </c>
      <c r="D15447" s="1" t="s">
        <v>493</v>
      </c>
      <c r="E15447" t="s">
        <v>533</v>
      </c>
      <c r="F15447" s="1">
        <v>2</v>
      </c>
      <c r="G15447" s="1" t="s">
        <v>28</v>
      </c>
      <c r="H15447" s="4" t="str">
        <f>HYPERLINK("https://portal.gdc.cancer.gov/cases/2d0d7ff4-7866-4ae1-9cf1-a3c7f4cbe48d","TCGA-E2-A1IE-01A")</f>
        <v>TCGA-E2-A1IE-01A</v>
      </c>
      <c r="I15447" t="s">
        <v>17</v>
      </c>
      <c r="J15447" t="s">
        <v>524</v>
      </c>
      <c r="K15447" t="s">
        <v>33</v>
      </c>
      <c r="L15447" t="s">
        <v>20</v>
      </c>
      <c r="N15447" t="s">
        <v>29</v>
      </c>
    </row>
    <row r="15448" spans="1:14">
      <c r="A15448" s="4" t="str">
        <f t="shared" si="1191"/>
        <v>EXP00415</v>
      </c>
      <c r="B15448" s="3" t="s">
        <v>66</v>
      </c>
      <c r="C15448" s="4" t="str">
        <f t="shared" si="1192"/>
        <v>TCGA-BRCA</v>
      </c>
      <c r="D15448" s="1" t="s">
        <v>493</v>
      </c>
      <c r="E15448" t="s">
        <v>533</v>
      </c>
      <c r="F15448" s="1">
        <v>2</v>
      </c>
      <c r="G15448" s="1" t="s">
        <v>28</v>
      </c>
      <c r="H15448" s="4" t="str">
        <f>HYPERLINK("https://portal.gdc.cancer.gov/cases/718db047-9f32-48c4-98c9-515218441bca","TCGA-E2-A1IF-01A")</f>
        <v>TCGA-E2-A1IF-01A</v>
      </c>
      <c r="I15448" t="s">
        <v>17</v>
      </c>
      <c r="J15448" t="s">
        <v>524</v>
      </c>
      <c r="K15448" t="s">
        <v>33</v>
      </c>
      <c r="L15448" t="s">
        <v>20</v>
      </c>
      <c r="N15448" t="s">
        <v>29</v>
      </c>
    </row>
    <row r="15449" spans="1:14">
      <c r="A15449" s="4" t="str">
        <f t="shared" si="1191"/>
        <v>EXP00415</v>
      </c>
      <c r="B15449" s="3" t="s">
        <v>66</v>
      </c>
      <c r="C15449" s="4" t="str">
        <f t="shared" si="1192"/>
        <v>TCGA-BRCA</v>
      </c>
      <c r="D15449" s="1" t="s">
        <v>493</v>
      </c>
      <c r="E15449" t="s">
        <v>533</v>
      </c>
      <c r="F15449" s="1">
        <v>2</v>
      </c>
      <c r="G15449" s="1" t="s">
        <v>28</v>
      </c>
      <c r="H15449" s="4" t="str">
        <f>HYPERLINK("https://portal.gdc.cancer.gov/cases/bc0bc70f-c6cf-4dbc-9dc3-8b7bc5f381a4","TCGA-E2-A1IG-01A")</f>
        <v>TCGA-E2-A1IG-01A</v>
      </c>
      <c r="I15449" t="s">
        <v>17</v>
      </c>
      <c r="J15449" t="s">
        <v>524</v>
      </c>
      <c r="K15449" t="s">
        <v>33</v>
      </c>
      <c r="L15449" t="s">
        <v>20</v>
      </c>
      <c r="N15449" t="s">
        <v>29</v>
      </c>
    </row>
    <row r="15450" spans="1:14">
      <c r="A15450" s="4" t="str">
        <f t="shared" si="1191"/>
        <v>EXP00415</v>
      </c>
      <c r="B15450" s="3" t="s">
        <v>66</v>
      </c>
      <c r="C15450" s="4" t="str">
        <f t="shared" si="1192"/>
        <v>TCGA-BRCA</v>
      </c>
      <c r="D15450" s="1" t="s">
        <v>493</v>
      </c>
      <c r="E15450" t="s">
        <v>533</v>
      </c>
      <c r="F15450" s="1">
        <v>2</v>
      </c>
      <c r="G15450" s="1" t="s">
        <v>28</v>
      </c>
      <c r="H15450" s="4" t="str">
        <f>HYPERLINK("https://portal.gdc.cancer.gov/cases/ec0155ab-1b14-498d-8fa9-9f63e3ccb990","TCGA-E2-A1IH-01A")</f>
        <v>TCGA-E2-A1IH-01A</v>
      </c>
      <c r="I15450" t="s">
        <v>17</v>
      </c>
      <c r="J15450" t="s">
        <v>524</v>
      </c>
      <c r="K15450" t="s">
        <v>33</v>
      </c>
      <c r="L15450" t="s">
        <v>20</v>
      </c>
      <c r="N15450" t="s">
        <v>29</v>
      </c>
    </row>
    <row r="15451" spans="1:14">
      <c r="A15451" s="4" t="str">
        <f t="shared" si="1191"/>
        <v>EXP00415</v>
      </c>
      <c r="B15451" s="3" t="s">
        <v>66</v>
      </c>
      <c r="C15451" s="4" t="str">
        <f t="shared" si="1192"/>
        <v>TCGA-BRCA</v>
      </c>
      <c r="D15451" s="1" t="s">
        <v>493</v>
      </c>
      <c r="E15451" t="s">
        <v>533</v>
      </c>
      <c r="F15451" s="1">
        <v>2</v>
      </c>
      <c r="G15451" s="1" t="s">
        <v>28</v>
      </c>
      <c r="H15451" s="4" t="str">
        <f>HYPERLINK("https://portal.gdc.cancer.gov/cases/0fe1419e-a005-407c-8ae7-15c4c1579539","TCGA-E2-A1II-01A")</f>
        <v>TCGA-E2-A1II-01A</v>
      </c>
      <c r="I15451" t="s">
        <v>17</v>
      </c>
      <c r="J15451" t="s">
        <v>524</v>
      </c>
      <c r="K15451" t="s">
        <v>33</v>
      </c>
      <c r="L15451" t="s">
        <v>20</v>
      </c>
      <c r="N15451" t="s">
        <v>29</v>
      </c>
    </row>
    <row r="15452" spans="1:14">
      <c r="A15452" s="4" t="str">
        <f t="shared" si="1191"/>
        <v>EXP00415</v>
      </c>
      <c r="B15452" s="3" t="s">
        <v>66</v>
      </c>
      <c r="C15452" s="4" t="str">
        <f t="shared" si="1192"/>
        <v>TCGA-BRCA</v>
      </c>
      <c r="D15452" s="1" t="s">
        <v>493</v>
      </c>
      <c r="E15452" t="s">
        <v>533</v>
      </c>
      <c r="F15452" s="1">
        <v>2</v>
      </c>
      <c r="G15452" s="1" t="s">
        <v>28</v>
      </c>
      <c r="H15452" s="4" t="str">
        <f>HYPERLINK("https://portal.gdc.cancer.gov/cases/b09643c2-ded5-4346-b3c5-90a48f88a02e","TCGA-E2-A1IJ-01A")</f>
        <v>TCGA-E2-A1IJ-01A</v>
      </c>
      <c r="I15452" t="s">
        <v>17</v>
      </c>
      <c r="J15452" t="s">
        <v>524</v>
      </c>
      <c r="K15452" t="s">
        <v>33</v>
      </c>
      <c r="L15452" t="s">
        <v>20</v>
      </c>
      <c r="N15452" t="s">
        <v>29</v>
      </c>
    </row>
    <row r="15453" spans="1:14">
      <c r="A15453" s="4" t="str">
        <f t="shared" si="1191"/>
        <v>EXP00415</v>
      </c>
      <c r="B15453" s="3" t="s">
        <v>66</v>
      </c>
      <c r="C15453" s="4" t="str">
        <f t="shared" si="1192"/>
        <v>TCGA-BRCA</v>
      </c>
      <c r="D15453" s="1" t="s">
        <v>493</v>
      </c>
      <c r="E15453" t="s">
        <v>533</v>
      </c>
      <c r="F15453" s="1">
        <v>2</v>
      </c>
      <c r="G15453" s="1" t="s">
        <v>28</v>
      </c>
      <c r="H15453" s="4" t="str">
        <f>HYPERLINK("https://portal.gdc.cancer.gov/cases/becedbfd-b2aa-4dde-b7f4-29e6f59ec32c","TCGA-E2-A1IK-01A")</f>
        <v>TCGA-E2-A1IK-01A</v>
      </c>
      <c r="I15453" t="s">
        <v>17</v>
      </c>
      <c r="J15453" t="s">
        <v>524</v>
      </c>
      <c r="K15453" t="s">
        <v>33</v>
      </c>
      <c r="L15453" t="s">
        <v>20</v>
      </c>
      <c r="N15453" t="s">
        <v>29</v>
      </c>
    </row>
    <row r="15454" spans="1:14">
      <c r="A15454" s="4" t="str">
        <f t="shared" si="1191"/>
        <v>EXP00415</v>
      </c>
      <c r="B15454" s="3" t="s">
        <v>66</v>
      </c>
      <c r="C15454" s="4" t="str">
        <f t="shared" si="1192"/>
        <v>TCGA-BRCA</v>
      </c>
      <c r="D15454" s="1" t="s">
        <v>493</v>
      </c>
      <c r="E15454" t="s">
        <v>533</v>
      </c>
      <c r="F15454" s="1">
        <v>2</v>
      </c>
      <c r="G15454" s="1" t="s">
        <v>28</v>
      </c>
      <c r="H15454" s="4" t="str">
        <f>HYPERLINK("https://portal.gdc.cancer.gov/cases/b63391a0-73f8-4544-9e94-f6529245ca2a","TCGA-E2-A1IL-01A")</f>
        <v>TCGA-E2-A1IL-01A</v>
      </c>
      <c r="I15454" t="s">
        <v>17</v>
      </c>
      <c r="J15454" t="s">
        <v>524</v>
      </c>
      <c r="K15454" t="s">
        <v>33</v>
      </c>
      <c r="L15454" t="s">
        <v>20</v>
      </c>
      <c r="N15454" t="s">
        <v>29</v>
      </c>
    </row>
    <row r="15455" spans="1:14">
      <c r="A15455" s="4" t="str">
        <f t="shared" si="1191"/>
        <v>EXP00415</v>
      </c>
      <c r="B15455" s="3" t="s">
        <v>66</v>
      </c>
      <c r="C15455" s="4" t="str">
        <f t="shared" si="1192"/>
        <v>TCGA-BRCA</v>
      </c>
      <c r="D15455" s="1" t="s">
        <v>493</v>
      </c>
      <c r="E15455" t="s">
        <v>533</v>
      </c>
      <c r="F15455" s="1">
        <v>2</v>
      </c>
      <c r="G15455" s="1" t="s">
        <v>28</v>
      </c>
      <c r="H15455" s="4" t="str">
        <f>HYPERLINK("https://portal.gdc.cancer.gov/cases/f43d622f-eed5-4933-adc6-ae9ad1e33028","TCGA-E2-A1IN-01A")</f>
        <v>TCGA-E2-A1IN-01A</v>
      </c>
      <c r="I15455" t="s">
        <v>17</v>
      </c>
      <c r="J15455" t="s">
        <v>524</v>
      </c>
      <c r="K15455" t="s">
        <v>33</v>
      </c>
      <c r="L15455" t="s">
        <v>20</v>
      </c>
      <c r="N15455" t="s">
        <v>29</v>
      </c>
    </row>
    <row r="15456" spans="1:14">
      <c r="A15456" s="4" t="str">
        <f t="shared" si="1191"/>
        <v>EXP00415</v>
      </c>
      <c r="B15456" s="3" t="s">
        <v>66</v>
      </c>
      <c r="C15456" s="4" t="str">
        <f t="shared" si="1192"/>
        <v>TCGA-BRCA</v>
      </c>
      <c r="D15456" s="1" t="s">
        <v>493</v>
      </c>
      <c r="E15456" t="s">
        <v>533</v>
      </c>
      <c r="F15456" s="1">
        <v>2</v>
      </c>
      <c r="G15456" s="1" t="s">
        <v>28</v>
      </c>
      <c r="H15456" s="4" t="str">
        <f>HYPERLINK("https://portal.gdc.cancer.gov/cases/71fc8941-4cfb-47ea-a533-873d38f8c95c","TCGA-E2-A1IO-01A")</f>
        <v>TCGA-E2-A1IO-01A</v>
      </c>
      <c r="I15456" t="s">
        <v>17</v>
      </c>
      <c r="J15456" t="s">
        <v>524</v>
      </c>
      <c r="K15456" t="s">
        <v>33</v>
      </c>
      <c r="L15456" t="s">
        <v>20</v>
      </c>
      <c r="N15456" t="s">
        <v>29</v>
      </c>
    </row>
    <row r="15457" spans="1:14">
      <c r="A15457" s="4" t="str">
        <f t="shared" si="1191"/>
        <v>EXP00415</v>
      </c>
      <c r="B15457" s="3" t="s">
        <v>66</v>
      </c>
      <c r="C15457" s="4" t="str">
        <f t="shared" si="1192"/>
        <v>TCGA-BRCA</v>
      </c>
      <c r="D15457" s="1" t="s">
        <v>493</v>
      </c>
      <c r="E15457" t="s">
        <v>533</v>
      </c>
      <c r="F15457" s="1">
        <v>2</v>
      </c>
      <c r="G15457" s="1" t="s">
        <v>28</v>
      </c>
      <c r="H15457" s="4" t="str">
        <f>HYPERLINK("https://portal.gdc.cancer.gov/cases/001cef41-ff86-4d3f-a140-a647ac4b10a1","TCGA-E2-A1IU-01A")</f>
        <v>TCGA-E2-A1IU-01A</v>
      </c>
      <c r="I15457" t="s">
        <v>17</v>
      </c>
      <c r="J15457" t="s">
        <v>524</v>
      </c>
      <c r="K15457" t="s">
        <v>33</v>
      </c>
      <c r="L15457" t="s">
        <v>20</v>
      </c>
      <c r="N15457" t="s">
        <v>29</v>
      </c>
    </row>
    <row r="15458" spans="1:14">
      <c r="A15458" s="4" t="str">
        <f t="shared" si="1191"/>
        <v>EXP00415</v>
      </c>
      <c r="B15458" s="3" t="s">
        <v>66</v>
      </c>
      <c r="C15458" s="4" t="str">
        <f t="shared" si="1192"/>
        <v>TCGA-BRCA</v>
      </c>
      <c r="D15458" s="1" t="s">
        <v>493</v>
      </c>
      <c r="E15458" t="s">
        <v>533</v>
      </c>
      <c r="F15458" s="1">
        <v>2</v>
      </c>
      <c r="G15458" s="1" t="s">
        <v>28</v>
      </c>
      <c r="H15458" s="4" t="str">
        <f>HYPERLINK("https://portal.gdc.cancer.gov/cases/2e32f31f-9817-4935-b259-96c59936ee33","TCGA-E2-A1L6-01A")</f>
        <v>TCGA-E2-A1L6-01A</v>
      </c>
      <c r="I15458" t="s">
        <v>17</v>
      </c>
      <c r="J15458" t="s">
        <v>524</v>
      </c>
      <c r="K15458" t="s">
        <v>33</v>
      </c>
      <c r="L15458" t="s">
        <v>20</v>
      </c>
      <c r="N15458" t="s">
        <v>29</v>
      </c>
    </row>
    <row r="15459" spans="1:14">
      <c r="A15459" s="4" t="str">
        <f t="shared" si="1191"/>
        <v>EXP00415</v>
      </c>
      <c r="B15459" s="3" t="s">
        <v>66</v>
      </c>
      <c r="C15459" s="4" t="str">
        <f t="shared" si="1192"/>
        <v>TCGA-BRCA</v>
      </c>
      <c r="D15459" s="1" t="s">
        <v>493</v>
      </c>
      <c r="E15459" t="s">
        <v>533</v>
      </c>
      <c r="F15459" s="1">
        <v>2</v>
      </c>
      <c r="G15459" s="1" t="s">
        <v>28</v>
      </c>
      <c r="H15459" s="4" t="str">
        <f>HYPERLINK("https://portal.gdc.cancer.gov/cases/791c5768-f0f5-4ab6-86eb-998e5c4b49e3","TCGA-E2-A1L7-01A")</f>
        <v>TCGA-E2-A1L7-01A</v>
      </c>
      <c r="I15459" t="s">
        <v>17</v>
      </c>
      <c r="J15459" t="s">
        <v>524</v>
      </c>
      <c r="K15459" t="s">
        <v>33</v>
      </c>
      <c r="L15459" t="s">
        <v>20</v>
      </c>
      <c r="N15459" t="s">
        <v>29</v>
      </c>
    </row>
    <row r="15460" spans="1:14">
      <c r="A15460" s="4" t="str">
        <f t="shared" si="1191"/>
        <v>EXP00415</v>
      </c>
      <c r="B15460" s="3" t="s">
        <v>66</v>
      </c>
      <c r="C15460" s="4" t="str">
        <f t="shared" si="1192"/>
        <v>TCGA-BRCA</v>
      </c>
      <c r="D15460" s="1" t="s">
        <v>493</v>
      </c>
      <c r="E15460" t="s">
        <v>533</v>
      </c>
      <c r="F15460" s="1">
        <v>2</v>
      </c>
      <c r="G15460" s="1" t="s">
        <v>28</v>
      </c>
      <c r="H15460" s="4" t="str">
        <f>HYPERLINK("https://portal.gdc.cancer.gov/cases/eebad74f-5961-4e91-b0eb-157a2f6f952b","TCGA-E2-A1L8-01A")</f>
        <v>TCGA-E2-A1L8-01A</v>
      </c>
      <c r="I15460" t="s">
        <v>17</v>
      </c>
      <c r="J15460" t="s">
        <v>524</v>
      </c>
      <c r="K15460" t="s">
        <v>33</v>
      </c>
      <c r="L15460" t="s">
        <v>20</v>
      </c>
      <c r="N15460" t="s">
        <v>29</v>
      </c>
    </row>
    <row r="15461" spans="1:14">
      <c r="A15461" s="4" t="str">
        <f t="shared" si="1191"/>
        <v>EXP00415</v>
      </c>
      <c r="B15461" s="3" t="s">
        <v>66</v>
      </c>
      <c r="C15461" s="4" t="str">
        <f t="shared" si="1192"/>
        <v>TCGA-BRCA</v>
      </c>
      <c r="D15461" s="1" t="s">
        <v>493</v>
      </c>
      <c r="E15461" t="s">
        <v>533</v>
      </c>
      <c r="F15461" s="1">
        <v>2</v>
      </c>
      <c r="G15461" s="1" t="s">
        <v>28</v>
      </c>
      <c r="H15461" s="4" t="str">
        <f>HYPERLINK("https://portal.gdc.cancer.gov/cases/5ea18514-51ad-4844-abea-15e82f0b10c9","TCGA-E2-A1L9-01A")</f>
        <v>TCGA-E2-A1L9-01A</v>
      </c>
      <c r="I15461" t="s">
        <v>17</v>
      </c>
      <c r="J15461" t="s">
        <v>524</v>
      </c>
      <c r="K15461" t="s">
        <v>33</v>
      </c>
      <c r="L15461" t="s">
        <v>20</v>
      </c>
      <c r="N15461" t="s">
        <v>29</v>
      </c>
    </row>
    <row r="15462" spans="1:14">
      <c r="A15462" s="4" t="str">
        <f t="shared" si="1191"/>
        <v>EXP00415</v>
      </c>
      <c r="B15462" s="3" t="s">
        <v>66</v>
      </c>
      <c r="C15462" s="4" t="str">
        <f t="shared" si="1192"/>
        <v>TCGA-BRCA</v>
      </c>
      <c r="D15462" s="1" t="s">
        <v>493</v>
      </c>
      <c r="E15462" t="s">
        <v>533</v>
      </c>
      <c r="F15462" s="1">
        <v>2</v>
      </c>
      <c r="G15462" s="1" t="s">
        <v>28</v>
      </c>
      <c r="H15462" s="4" t="str">
        <f>HYPERLINK("https://portal.gdc.cancer.gov/cases/ce9e0309-9756-42d2-ae94-d91264a79498","TCGA-E2-A1LA-01A")</f>
        <v>TCGA-E2-A1LA-01A</v>
      </c>
      <c r="I15462" t="s">
        <v>17</v>
      </c>
      <c r="J15462" t="s">
        <v>524</v>
      </c>
      <c r="K15462" t="s">
        <v>33</v>
      </c>
      <c r="L15462" t="s">
        <v>20</v>
      </c>
      <c r="N15462" t="s">
        <v>29</v>
      </c>
    </row>
    <row r="15463" spans="1:14">
      <c r="A15463" s="4" t="str">
        <f t="shared" si="1191"/>
        <v>EXP00415</v>
      </c>
      <c r="B15463" s="3" t="s">
        <v>66</v>
      </c>
      <c r="C15463" s="4" t="str">
        <f t="shared" si="1192"/>
        <v>TCGA-BRCA</v>
      </c>
      <c r="D15463" s="1" t="s">
        <v>493</v>
      </c>
      <c r="E15463" t="s">
        <v>533</v>
      </c>
      <c r="F15463" s="1">
        <v>2</v>
      </c>
      <c r="G15463" s="1" t="s">
        <v>28</v>
      </c>
      <c r="H15463" s="4" t="str">
        <f>HYPERLINK("https://portal.gdc.cancer.gov/cases/fa176764-a76f-44c7-b97a-cd6d21e052be","TCGA-E2-A1LB-01A")</f>
        <v>TCGA-E2-A1LB-01A</v>
      </c>
      <c r="I15463" t="s">
        <v>17</v>
      </c>
      <c r="J15463" t="s">
        <v>524</v>
      </c>
      <c r="K15463" t="s">
        <v>33</v>
      </c>
      <c r="L15463" t="s">
        <v>20</v>
      </c>
      <c r="N15463" t="s">
        <v>29</v>
      </c>
    </row>
    <row r="15464" spans="1:14">
      <c r="A15464" s="4" t="str">
        <f t="shared" si="1191"/>
        <v>EXP00415</v>
      </c>
      <c r="B15464" s="3" t="s">
        <v>66</v>
      </c>
      <c r="C15464" s="4" t="str">
        <f t="shared" si="1192"/>
        <v>TCGA-BRCA</v>
      </c>
      <c r="D15464" s="1" t="s">
        <v>493</v>
      </c>
      <c r="E15464" t="s">
        <v>533</v>
      </c>
      <c r="F15464" s="1">
        <v>2</v>
      </c>
      <c r="G15464" s="1" t="s">
        <v>28</v>
      </c>
      <c r="H15464" s="4" t="str">
        <f>HYPERLINK("https://portal.gdc.cancer.gov/cases/7317e605-93ba-49a9-8743-20613b02767a","TCGA-E2-A1LE-01A")</f>
        <v>TCGA-E2-A1LE-01A</v>
      </c>
      <c r="I15464" t="s">
        <v>17</v>
      </c>
      <c r="J15464" t="s">
        <v>524</v>
      </c>
      <c r="K15464" t="s">
        <v>33</v>
      </c>
      <c r="L15464" t="s">
        <v>20</v>
      </c>
      <c r="N15464" t="s">
        <v>29</v>
      </c>
    </row>
    <row r="15465" spans="1:14">
      <c r="A15465" s="4" t="str">
        <f t="shared" si="1191"/>
        <v>EXP00415</v>
      </c>
      <c r="B15465" s="3" t="s">
        <v>66</v>
      </c>
      <c r="C15465" s="4" t="str">
        <f t="shared" si="1192"/>
        <v>TCGA-BRCA</v>
      </c>
      <c r="D15465" s="1" t="s">
        <v>493</v>
      </c>
      <c r="E15465" t="s">
        <v>533</v>
      </c>
      <c r="F15465" s="1">
        <v>2</v>
      </c>
      <c r="G15465" s="1" t="s">
        <v>28</v>
      </c>
      <c r="H15465" s="4" t="str">
        <f>HYPERLINK("https://portal.gdc.cancer.gov/cases/ef4cbd38-bc79-4d60-a715-647edd2ebe9e","TCGA-E2-A1LG-01A")</f>
        <v>TCGA-E2-A1LG-01A</v>
      </c>
      <c r="I15465" t="s">
        <v>17</v>
      </c>
      <c r="J15465" t="s">
        <v>524</v>
      </c>
      <c r="K15465" t="s">
        <v>33</v>
      </c>
      <c r="L15465" t="s">
        <v>20</v>
      </c>
      <c r="N15465" t="s">
        <v>29</v>
      </c>
    </row>
    <row r="15466" spans="1:14">
      <c r="A15466" s="4" t="str">
        <f t="shared" si="1191"/>
        <v>EXP00415</v>
      </c>
      <c r="B15466" s="3" t="s">
        <v>66</v>
      </c>
      <c r="C15466" s="4" t="str">
        <f t="shared" si="1192"/>
        <v>TCGA-BRCA</v>
      </c>
      <c r="D15466" s="1" t="s">
        <v>493</v>
      </c>
      <c r="E15466" t="s">
        <v>533</v>
      </c>
      <c r="F15466" s="1">
        <v>2</v>
      </c>
      <c r="G15466" s="1" t="s">
        <v>28</v>
      </c>
      <c r="H15466" s="4" t="str">
        <f>HYPERLINK("https://portal.gdc.cancer.gov/cases/d8ecba6a-9fff-4993-a799-9a8d2aea524e","TCGA-E2-A1LH-01A")</f>
        <v>TCGA-E2-A1LH-01A</v>
      </c>
      <c r="I15466" t="s">
        <v>17</v>
      </c>
      <c r="J15466" t="s">
        <v>524</v>
      </c>
      <c r="K15466" t="s">
        <v>33</v>
      </c>
      <c r="L15466" t="s">
        <v>20</v>
      </c>
      <c r="N15466" t="s">
        <v>29</v>
      </c>
    </row>
    <row r="15467" spans="1:14">
      <c r="A15467" s="4" t="str">
        <f t="shared" si="1191"/>
        <v>EXP00415</v>
      </c>
      <c r="B15467" s="3" t="s">
        <v>66</v>
      </c>
      <c r="C15467" s="4" t="str">
        <f t="shared" si="1192"/>
        <v>TCGA-BRCA</v>
      </c>
      <c r="D15467" s="1" t="s">
        <v>493</v>
      </c>
      <c r="E15467" t="s">
        <v>533</v>
      </c>
      <c r="F15467" s="1">
        <v>2</v>
      </c>
      <c r="G15467" s="1" t="s">
        <v>28</v>
      </c>
      <c r="H15467" s="4" t="str">
        <f>HYPERLINK("https://portal.gdc.cancer.gov/cases/3558dec7-eae3-4a41-a217-266c6a4535fb","TCGA-E2-A1LI-01A")</f>
        <v>TCGA-E2-A1LI-01A</v>
      </c>
      <c r="I15467" t="s">
        <v>17</v>
      </c>
      <c r="J15467" t="s">
        <v>524</v>
      </c>
      <c r="K15467" t="s">
        <v>33</v>
      </c>
      <c r="L15467" t="s">
        <v>20</v>
      </c>
      <c r="N15467" t="s">
        <v>29</v>
      </c>
    </row>
    <row r="15468" spans="1:14">
      <c r="A15468" s="4" t="str">
        <f t="shared" si="1191"/>
        <v>EXP00415</v>
      </c>
      <c r="B15468" s="3" t="s">
        <v>66</v>
      </c>
      <c r="C15468" s="4" t="str">
        <f t="shared" si="1192"/>
        <v>TCGA-BRCA</v>
      </c>
      <c r="D15468" s="1" t="s">
        <v>493</v>
      </c>
      <c r="E15468" t="s">
        <v>533</v>
      </c>
      <c r="F15468" s="1">
        <v>2</v>
      </c>
      <c r="G15468" s="1" t="s">
        <v>28</v>
      </c>
      <c r="H15468" s="4" t="str">
        <f>HYPERLINK("https://portal.gdc.cancer.gov/cases/1d27253f-b036-44e7-a04d-8da5bbf57419","TCGA-E2-A1LK-01A")</f>
        <v>TCGA-E2-A1LK-01A</v>
      </c>
      <c r="I15468" t="s">
        <v>17</v>
      </c>
      <c r="J15468" t="s">
        <v>524</v>
      </c>
      <c r="K15468" t="s">
        <v>33</v>
      </c>
      <c r="L15468" t="s">
        <v>20</v>
      </c>
      <c r="N15468" t="s">
        <v>29</v>
      </c>
    </row>
    <row r="15469" spans="1:14">
      <c r="A15469" s="4" t="str">
        <f t="shared" si="1191"/>
        <v>EXP00415</v>
      </c>
      <c r="B15469" s="3" t="s">
        <v>66</v>
      </c>
      <c r="C15469" s="4" t="str">
        <f t="shared" si="1192"/>
        <v>TCGA-BRCA</v>
      </c>
      <c r="D15469" s="1" t="s">
        <v>493</v>
      </c>
      <c r="E15469" t="s">
        <v>533</v>
      </c>
      <c r="F15469" s="1">
        <v>2</v>
      </c>
      <c r="G15469" s="1" t="s">
        <v>28</v>
      </c>
      <c r="H15469" s="4" t="str">
        <f>HYPERLINK("https://portal.gdc.cancer.gov/cases/2a84997d-ccee-4f46-bea2-752534f26416","TCGA-E2-A1LL-01A")</f>
        <v>TCGA-E2-A1LL-01A</v>
      </c>
      <c r="I15469" t="s">
        <v>17</v>
      </c>
      <c r="J15469" t="s">
        <v>524</v>
      </c>
      <c r="K15469" t="s">
        <v>33</v>
      </c>
      <c r="L15469" t="s">
        <v>20</v>
      </c>
      <c r="N15469" t="s">
        <v>29</v>
      </c>
    </row>
    <row r="15470" spans="1:14">
      <c r="A15470" s="4" t="str">
        <f t="shared" si="1191"/>
        <v>EXP00415</v>
      </c>
      <c r="B15470" s="3" t="s">
        <v>66</v>
      </c>
      <c r="C15470" s="4" t="str">
        <f t="shared" si="1192"/>
        <v>TCGA-BRCA</v>
      </c>
      <c r="D15470" s="1" t="s">
        <v>493</v>
      </c>
      <c r="E15470" t="s">
        <v>533</v>
      </c>
      <c r="F15470" s="1">
        <v>2</v>
      </c>
      <c r="G15470" s="1" t="s">
        <v>28</v>
      </c>
      <c r="H15470" s="4" t="str">
        <f>HYPERLINK("https://portal.gdc.cancer.gov/cases/91a2f2af-e4b1-4a0b-ab20-6a36ce63c533","TCGA-E2-A1LS-01A")</f>
        <v>TCGA-E2-A1LS-01A</v>
      </c>
      <c r="I15470" t="s">
        <v>17</v>
      </c>
      <c r="J15470" t="s">
        <v>524</v>
      </c>
      <c r="K15470" t="s">
        <v>33</v>
      </c>
      <c r="L15470" t="s">
        <v>20</v>
      </c>
      <c r="N15470" t="s">
        <v>29</v>
      </c>
    </row>
    <row r="15471" spans="1:14">
      <c r="A15471" s="4" t="str">
        <f t="shared" si="1191"/>
        <v>EXP00415</v>
      </c>
      <c r="B15471" s="3" t="s">
        <v>66</v>
      </c>
      <c r="C15471" s="4" t="str">
        <f t="shared" si="1192"/>
        <v>TCGA-BRCA</v>
      </c>
      <c r="D15471" s="1" t="s">
        <v>493</v>
      </c>
      <c r="E15471" t="s">
        <v>533</v>
      </c>
      <c r="F15471" s="1">
        <v>2</v>
      </c>
      <c r="G15471" s="1" t="s">
        <v>28</v>
      </c>
      <c r="H15471" s="4" t="str">
        <f>HYPERLINK("https://portal.gdc.cancer.gov/cases/f0de67ff-8967-4fce-9c12-0e07193285cd","TCGA-E2-A2P5-01A")</f>
        <v>TCGA-E2-A2P5-01A</v>
      </c>
      <c r="I15471" t="s">
        <v>17</v>
      </c>
      <c r="J15471" t="s">
        <v>524</v>
      </c>
      <c r="K15471" t="s">
        <v>33</v>
      </c>
      <c r="L15471" t="s">
        <v>20</v>
      </c>
      <c r="N15471" t="s">
        <v>29</v>
      </c>
    </row>
    <row r="15472" spans="1:14">
      <c r="A15472" s="4" t="str">
        <f t="shared" si="1191"/>
        <v>EXP00415</v>
      </c>
      <c r="B15472" s="3" t="s">
        <v>66</v>
      </c>
      <c r="C15472" s="4" t="str">
        <f t="shared" si="1192"/>
        <v>TCGA-BRCA</v>
      </c>
      <c r="D15472" s="1" t="s">
        <v>493</v>
      </c>
      <c r="E15472" t="s">
        <v>533</v>
      </c>
      <c r="F15472" s="1">
        <v>2</v>
      </c>
      <c r="G15472" s="1" t="s">
        <v>28</v>
      </c>
      <c r="H15472" s="4" t="str">
        <f>HYPERLINK("https://portal.gdc.cancer.gov/cases/f83b866b-0b2e-4bba-9367-be6dccf56232","TCGA-E2-A2P6-01A")</f>
        <v>TCGA-E2-A2P6-01A</v>
      </c>
      <c r="I15472" t="s">
        <v>17</v>
      </c>
      <c r="J15472" t="s">
        <v>524</v>
      </c>
      <c r="K15472" t="s">
        <v>33</v>
      </c>
      <c r="L15472" t="s">
        <v>20</v>
      </c>
      <c r="N15472" t="s">
        <v>29</v>
      </c>
    </row>
    <row r="15473" spans="1:14">
      <c r="A15473" s="4" t="str">
        <f t="shared" si="1191"/>
        <v>EXP00415</v>
      </c>
      <c r="B15473" s="3" t="s">
        <v>66</v>
      </c>
      <c r="C15473" s="4" t="str">
        <f t="shared" si="1192"/>
        <v>TCGA-BRCA</v>
      </c>
      <c r="D15473" s="1" t="s">
        <v>493</v>
      </c>
      <c r="E15473" t="s">
        <v>533</v>
      </c>
      <c r="F15473" s="1">
        <v>2</v>
      </c>
      <c r="G15473" s="1" t="s">
        <v>28</v>
      </c>
      <c r="H15473" s="4" t="str">
        <f>HYPERLINK("https://portal.gdc.cancer.gov/cases/31427699-e27a-4035-8925-6d8d6900d097","TCGA-E2-A3DX-01A")</f>
        <v>TCGA-E2-A3DX-01A</v>
      </c>
      <c r="I15473" t="s">
        <v>17</v>
      </c>
      <c r="J15473" t="s">
        <v>524</v>
      </c>
      <c r="K15473" t="s">
        <v>33</v>
      </c>
      <c r="L15473" t="s">
        <v>20</v>
      </c>
      <c r="N15473" t="s">
        <v>29</v>
      </c>
    </row>
    <row r="15474" spans="1:14">
      <c r="A15474" s="4" t="str">
        <f t="shared" si="1191"/>
        <v>EXP00415</v>
      </c>
      <c r="B15474" s="3" t="s">
        <v>66</v>
      </c>
      <c r="C15474" s="4" t="str">
        <f t="shared" si="1192"/>
        <v>TCGA-BRCA</v>
      </c>
      <c r="D15474" s="1" t="s">
        <v>493</v>
      </c>
      <c r="E15474" t="s">
        <v>533</v>
      </c>
      <c r="F15474" s="1">
        <v>2</v>
      </c>
      <c r="G15474" s="1" t="s">
        <v>28</v>
      </c>
      <c r="H15474" s="4" t="str">
        <f>HYPERLINK("https://portal.gdc.cancer.gov/cases/45c3975c-d333-4237-93f7-e12dc2451c38","TCGA-E2-A56Z-01A")</f>
        <v>TCGA-E2-A56Z-01A</v>
      </c>
      <c r="I15474" t="s">
        <v>17</v>
      </c>
      <c r="J15474" t="s">
        <v>524</v>
      </c>
      <c r="K15474" t="s">
        <v>33</v>
      </c>
      <c r="L15474" t="s">
        <v>20</v>
      </c>
      <c r="N15474" t="s">
        <v>29</v>
      </c>
    </row>
    <row r="15475" spans="1:14">
      <c r="A15475" s="4" t="str">
        <f t="shared" si="1191"/>
        <v>EXP00415</v>
      </c>
      <c r="B15475" s="3" t="s">
        <v>66</v>
      </c>
      <c r="C15475" s="4" t="str">
        <f t="shared" si="1192"/>
        <v>TCGA-BRCA</v>
      </c>
      <c r="D15475" s="1" t="s">
        <v>493</v>
      </c>
      <c r="E15475" t="s">
        <v>533</v>
      </c>
      <c r="F15475" s="1">
        <v>2</v>
      </c>
      <c r="G15475" s="1" t="s">
        <v>28</v>
      </c>
      <c r="H15475" s="4" t="str">
        <f>HYPERLINK("https://portal.gdc.cancer.gov/cases/cdd8c046-fd97-482a-a11f-2217b321c4d1","TCGA-E2-A570-01A")</f>
        <v>TCGA-E2-A570-01A</v>
      </c>
      <c r="I15475" t="s">
        <v>17</v>
      </c>
      <c r="J15475" t="s">
        <v>524</v>
      </c>
      <c r="K15475" t="s">
        <v>33</v>
      </c>
      <c r="L15475" t="s">
        <v>20</v>
      </c>
      <c r="N15475" t="s">
        <v>29</v>
      </c>
    </row>
    <row r="15476" spans="1:14">
      <c r="A15476" s="4" t="str">
        <f t="shared" si="1191"/>
        <v>EXP00415</v>
      </c>
      <c r="B15476" s="3" t="s">
        <v>66</v>
      </c>
      <c r="C15476" s="4" t="str">
        <f t="shared" si="1192"/>
        <v>TCGA-BRCA</v>
      </c>
      <c r="D15476" s="1" t="s">
        <v>493</v>
      </c>
      <c r="E15476" t="s">
        <v>533</v>
      </c>
      <c r="F15476" s="1">
        <v>2</v>
      </c>
      <c r="G15476" s="1" t="s">
        <v>28</v>
      </c>
      <c r="H15476" s="4" t="str">
        <f>HYPERLINK("https://portal.gdc.cancer.gov/cases/06ef6e83-5583-45b9-a0bd-edea68943083","TCGA-E2-A572-01A")</f>
        <v>TCGA-E2-A572-01A</v>
      </c>
      <c r="I15476" t="s">
        <v>17</v>
      </c>
      <c r="J15476" t="s">
        <v>524</v>
      </c>
      <c r="K15476" t="s">
        <v>33</v>
      </c>
      <c r="L15476" t="s">
        <v>20</v>
      </c>
      <c r="N15476" t="s">
        <v>29</v>
      </c>
    </row>
    <row r="15477" spans="1:14">
      <c r="A15477" s="4" t="str">
        <f t="shared" si="1191"/>
        <v>EXP00415</v>
      </c>
      <c r="B15477" s="3" t="s">
        <v>66</v>
      </c>
      <c r="C15477" s="4" t="str">
        <f t="shared" si="1192"/>
        <v>TCGA-BRCA</v>
      </c>
      <c r="D15477" s="1" t="s">
        <v>493</v>
      </c>
      <c r="E15477" t="s">
        <v>533</v>
      </c>
      <c r="F15477" s="1">
        <v>2</v>
      </c>
      <c r="G15477" s="1" t="s">
        <v>28</v>
      </c>
      <c r="H15477" s="4" t="str">
        <f>HYPERLINK("https://portal.gdc.cancer.gov/cases/6429c443-8ac3-407f-bb9c-66420b904bbf","TCGA-E2-A573-01A")</f>
        <v>TCGA-E2-A573-01A</v>
      </c>
      <c r="I15477" t="s">
        <v>17</v>
      </c>
      <c r="J15477" t="s">
        <v>524</v>
      </c>
      <c r="K15477" t="s">
        <v>33</v>
      </c>
      <c r="L15477" t="s">
        <v>20</v>
      </c>
      <c r="N15477" t="s">
        <v>29</v>
      </c>
    </row>
    <row r="15478" spans="1:14">
      <c r="A15478" s="4" t="str">
        <f t="shared" si="1191"/>
        <v>EXP00415</v>
      </c>
      <c r="B15478" s="3" t="s">
        <v>66</v>
      </c>
      <c r="C15478" s="4" t="str">
        <f t="shared" si="1192"/>
        <v>TCGA-BRCA</v>
      </c>
      <c r="D15478" s="1" t="s">
        <v>493</v>
      </c>
      <c r="E15478" t="s">
        <v>533</v>
      </c>
      <c r="F15478" s="1">
        <v>2</v>
      </c>
      <c r="G15478" s="1" t="s">
        <v>28</v>
      </c>
      <c r="H15478" s="4" t="str">
        <f>HYPERLINK("https://portal.gdc.cancer.gov/cases/029ce650-5e5a-4100-8596-cd94300e7ef5","TCGA-E2-A574-01A")</f>
        <v>TCGA-E2-A574-01A</v>
      </c>
      <c r="I15478" t="s">
        <v>17</v>
      </c>
      <c r="J15478" t="s">
        <v>524</v>
      </c>
      <c r="K15478" t="s">
        <v>33</v>
      </c>
      <c r="L15478" t="s">
        <v>20</v>
      </c>
      <c r="N15478" t="s">
        <v>29</v>
      </c>
    </row>
    <row r="15479" spans="1:14">
      <c r="A15479" s="4" t="str">
        <f t="shared" si="1191"/>
        <v>EXP00415</v>
      </c>
      <c r="B15479" s="3" t="s">
        <v>66</v>
      </c>
      <c r="C15479" s="4" t="str">
        <f t="shared" si="1192"/>
        <v>TCGA-BRCA</v>
      </c>
      <c r="D15479" s="1" t="s">
        <v>493</v>
      </c>
      <c r="E15479" t="s">
        <v>533</v>
      </c>
      <c r="F15479" s="1">
        <v>2</v>
      </c>
      <c r="G15479" s="1" t="s">
        <v>28</v>
      </c>
      <c r="H15479" s="4" t="str">
        <f>HYPERLINK("https://portal.gdc.cancer.gov/cases/f04dca9e-409b-4300-b11d-12243e5d361d","TCGA-E2-A576-01A")</f>
        <v>TCGA-E2-A576-01A</v>
      </c>
      <c r="I15479" t="s">
        <v>17</v>
      </c>
      <c r="J15479" t="s">
        <v>524</v>
      </c>
      <c r="K15479" t="s">
        <v>33</v>
      </c>
      <c r="L15479" t="s">
        <v>20</v>
      </c>
      <c r="N15479" t="s">
        <v>29</v>
      </c>
    </row>
    <row r="15480" spans="1:14">
      <c r="A15480" s="4" t="str">
        <f t="shared" ref="A15480:A15543" si="1193">HYPERLINK("http://hcmdb.i-sanger.com/experiment/details/experiment_id/EXP00415","EXP00415")</f>
        <v>EXP00415</v>
      </c>
      <c r="B15480" s="3" t="s">
        <v>66</v>
      </c>
      <c r="C15480" s="4" t="str">
        <f t="shared" si="1192"/>
        <v>TCGA-BRCA</v>
      </c>
      <c r="D15480" s="1" t="s">
        <v>493</v>
      </c>
      <c r="E15480" t="s">
        <v>533</v>
      </c>
      <c r="F15480" s="1">
        <v>2</v>
      </c>
      <c r="G15480" s="1" t="s">
        <v>28</v>
      </c>
      <c r="H15480" s="4" t="str">
        <f>HYPERLINK("https://portal.gdc.cancer.gov/cases/6f18f96e-c0c9-4cc4-9fb2-cba8949d5402","TCGA-E2-A9RU-01A")</f>
        <v>TCGA-E2-A9RU-01A</v>
      </c>
      <c r="I15480" t="s">
        <v>17</v>
      </c>
      <c r="J15480" t="s">
        <v>524</v>
      </c>
      <c r="K15480" t="s">
        <v>33</v>
      </c>
      <c r="L15480" t="s">
        <v>20</v>
      </c>
      <c r="N15480" t="s">
        <v>29</v>
      </c>
    </row>
    <row r="15481" spans="1:14">
      <c r="A15481" s="4" t="str">
        <f t="shared" si="1193"/>
        <v>EXP00415</v>
      </c>
      <c r="B15481" s="3" t="s">
        <v>66</v>
      </c>
      <c r="C15481" s="4" t="str">
        <f t="shared" si="1192"/>
        <v>TCGA-BRCA</v>
      </c>
      <c r="D15481" s="1" t="s">
        <v>493</v>
      </c>
      <c r="E15481" t="s">
        <v>533</v>
      </c>
      <c r="F15481" s="1">
        <v>2</v>
      </c>
      <c r="G15481" s="1" t="s">
        <v>28</v>
      </c>
      <c r="H15481" s="4" t="str">
        <f>HYPERLINK("https://portal.gdc.cancer.gov/cases/03c143e0-d8a1-4d60-a4a3-df0501fc6b6e","TCGA-E9-A1N3-01A")</f>
        <v>TCGA-E9-A1N3-01A</v>
      </c>
      <c r="I15481" t="s">
        <v>17</v>
      </c>
      <c r="J15481" t="s">
        <v>524</v>
      </c>
      <c r="K15481" t="s">
        <v>33</v>
      </c>
      <c r="L15481" t="s">
        <v>20</v>
      </c>
      <c r="N15481" t="s">
        <v>29</v>
      </c>
    </row>
    <row r="15482" spans="1:14">
      <c r="A15482" s="4" t="str">
        <f t="shared" si="1193"/>
        <v>EXP00415</v>
      </c>
      <c r="B15482" s="3" t="s">
        <v>66</v>
      </c>
      <c r="C15482" s="4" t="str">
        <f t="shared" ref="C15482:C15545" si="1194">HYPERLINK("https://portal.gdc.cancer.gov/projects/TCGA-BRCA","TCGA-BRCA")</f>
        <v>TCGA-BRCA</v>
      </c>
      <c r="D15482" s="1" t="s">
        <v>493</v>
      </c>
      <c r="E15482" t="s">
        <v>533</v>
      </c>
      <c r="F15482" s="1">
        <v>2</v>
      </c>
      <c r="G15482" s="1" t="s">
        <v>28</v>
      </c>
      <c r="H15482" s="4" t="str">
        <f>HYPERLINK("https://portal.gdc.cancer.gov/cases/69a68fbc-e43d-4652-85ee-693211bded47","TCGA-E9-A1N4-01A")</f>
        <v>TCGA-E9-A1N4-01A</v>
      </c>
      <c r="I15482" t="s">
        <v>17</v>
      </c>
      <c r="J15482" t="s">
        <v>524</v>
      </c>
      <c r="K15482" t="s">
        <v>33</v>
      </c>
      <c r="L15482" t="s">
        <v>20</v>
      </c>
      <c r="N15482" t="s">
        <v>29</v>
      </c>
    </row>
    <row r="15483" spans="1:14">
      <c r="A15483" s="4" t="str">
        <f t="shared" si="1193"/>
        <v>EXP00415</v>
      </c>
      <c r="B15483" s="3" t="s">
        <v>66</v>
      </c>
      <c r="C15483" s="4" t="str">
        <f t="shared" si="1194"/>
        <v>TCGA-BRCA</v>
      </c>
      <c r="D15483" s="1" t="s">
        <v>493</v>
      </c>
      <c r="E15483" t="s">
        <v>533</v>
      </c>
      <c r="F15483" s="1">
        <v>2</v>
      </c>
      <c r="G15483" s="1" t="s">
        <v>28</v>
      </c>
      <c r="H15483" s="4" t="str">
        <f>HYPERLINK("https://portal.gdc.cancer.gov/cases/f954de05-1b44-4087-8933-6cc72d81028d","TCGA-E9-A1N5-01A")</f>
        <v>TCGA-E9-A1N5-01A</v>
      </c>
      <c r="I15483" t="s">
        <v>17</v>
      </c>
      <c r="J15483" t="s">
        <v>524</v>
      </c>
      <c r="K15483" t="s">
        <v>33</v>
      </c>
      <c r="L15483" t="s">
        <v>20</v>
      </c>
      <c r="N15483" t="s">
        <v>29</v>
      </c>
    </row>
    <row r="15484" spans="1:14">
      <c r="A15484" s="4" t="str">
        <f t="shared" si="1193"/>
        <v>EXP00415</v>
      </c>
      <c r="B15484" s="3" t="s">
        <v>66</v>
      </c>
      <c r="C15484" s="4" t="str">
        <f t="shared" si="1194"/>
        <v>TCGA-BRCA</v>
      </c>
      <c r="D15484" s="1" t="s">
        <v>493</v>
      </c>
      <c r="E15484" t="s">
        <v>533</v>
      </c>
      <c r="F15484" s="1">
        <v>2</v>
      </c>
      <c r="G15484" s="1" t="s">
        <v>28</v>
      </c>
      <c r="H15484" s="4" t="str">
        <f>HYPERLINK("https://portal.gdc.cancer.gov/cases/955d4263-61f7-42e8-8a6e-772a0d6c209d","TCGA-E9-A1N6-01A")</f>
        <v>TCGA-E9-A1N6-01A</v>
      </c>
      <c r="I15484" t="s">
        <v>17</v>
      </c>
      <c r="J15484" t="s">
        <v>524</v>
      </c>
      <c r="K15484" t="s">
        <v>33</v>
      </c>
      <c r="L15484" t="s">
        <v>20</v>
      </c>
      <c r="N15484" t="s">
        <v>29</v>
      </c>
    </row>
    <row r="15485" spans="1:14">
      <c r="A15485" s="4" t="str">
        <f t="shared" si="1193"/>
        <v>EXP00415</v>
      </c>
      <c r="B15485" s="3" t="s">
        <v>66</v>
      </c>
      <c r="C15485" s="4" t="str">
        <f t="shared" si="1194"/>
        <v>TCGA-BRCA</v>
      </c>
      <c r="D15485" s="1" t="s">
        <v>493</v>
      </c>
      <c r="E15485" t="s">
        <v>533</v>
      </c>
      <c r="F15485" s="1">
        <v>2</v>
      </c>
      <c r="G15485" s="1" t="s">
        <v>28</v>
      </c>
      <c r="H15485" s="4" t="str">
        <f>HYPERLINK("https://portal.gdc.cancer.gov/cases/ac075bc0-1b59-4557-beea-541694faee03","TCGA-E9-A1N8-01A")</f>
        <v>TCGA-E9-A1N8-01A</v>
      </c>
      <c r="I15485" t="s">
        <v>17</v>
      </c>
      <c r="J15485" t="s">
        <v>524</v>
      </c>
      <c r="K15485" t="s">
        <v>33</v>
      </c>
      <c r="L15485" t="s">
        <v>20</v>
      </c>
      <c r="N15485" t="s">
        <v>29</v>
      </c>
    </row>
    <row r="15486" spans="1:14">
      <c r="A15486" s="4" t="str">
        <f t="shared" si="1193"/>
        <v>EXP00415</v>
      </c>
      <c r="B15486" s="3" t="s">
        <v>66</v>
      </c>
      <c r="C15486" s="4" t="str">
        <f t="shared" si="1194"/>
        <v>TCGA-BRCA</v>
      </c>
      <c r="D15486" s="1" t="s">
        <v>493</v>
      </c>
      <c r="E15486" t="s">
        <v>533</v>
      </c>
      <c r="F15486" s="1">
        <v>2</v>
      </c>
      <c r="G15486" s="1" t="s">
        <v>28</v>
      </c>
      <c r="H15486" s="4" t="str">
        <f>HYPERLINK("https://portal.gdc.cancer.gov/cases/994ca1f5-ad10-44ec-aa21-71fc2940653b","TCGA-E9-A1N9-01A")</f>
        <v>TCGA-E9-A1N9-01A</v>
      </c>
      <c r="I15486" t="s">
        <v>17</v>
      </c>
      <c r="J15486" t="s">
        <v>524</v>
      </c>
      <c r="K15486" t="s">
        <v>33</v>
      </c>
      <c r="L15486" t="s">
        <v>20</v>
      </c>
      <c r="N15486" t="s">
        <v>29</v>
      </c>
    </row>
    <row r="15487" spans="1:14">
      <c r="A15487" s="4" t="str">
        <f t="shared" si="1193"/>
        <v>EXP00415</v>
      </c>
      <c r="B15487" s="3" t="s">
        <v>66</v>
      </c>
      <c r="C15487" s="4" t="str">
        <f t="shared" si="1194"/>
        <v>TCGA-BRCA</v>
      </c>
      <c r="D15487" s="1" t="s">
        <v>493</v>
      </c>
      <c r="E15487" t="s">
        <v>533</v>
      </c>
      <c r="F15487" s="1">
        <v>2</v>
      </c>
      <c r="G15487" s="1" t="s">
        <v>28</v>
      </c>
      <c r="H15487" s="4" t="str">
        <f>HYPERLINK("https://portal.gdc.cancer.gov/cases/af577366-0258-49e7-b6af-e70056c081a4","TCGA-E9-A1NA-01A")</f>
        <v>TCGA-E9-A1NA-01A</v>
      </c>
      <c r="I15487" t="s">
        <v>17</v>
      </c>
      <c r="J15487" t="s">
        <v>524</v>
      </c>
      <c r="K15487" t="s">
        <v>33</v>
      </c>
      <c r="L15487" t="s">
        <v>20</v>
      </c>
      <c r="N15487" t="s">
        <v>29</v>
      </c>
    </row>
    <row r="15488" spans="1:14">
      <c r="A15488" s="4" t="str">
        <f t="shared" si="1193"/>
        <v>EXP00415</v>
      </c>
      <c r="B15488" s="3" t="s">
        <v>66</v>
      </c>
      <c r="C15488" s="4" t="str">
        <f t="shared" si="1194"/>
        <v>TCGA-BRCA</v>
      </c>
      <c r="D15488" s="1" t="s">
        <v>493</v>
      </c>
      <c r="E15488" t="s">
        <v>533</v>
      </c>
      <c r="F15488" s="1">
        <v>2</v>
      </c>
      <c r="G15488" s="1" t="s">
        <v>28</v>
      </c>
      <c r="H15488" s="4" t="str">
        <f>HYPERLINK("https://portal.gdc.cancer.gov/cases/f06f09f3-8133-4a92-ac86-fbe64295e0d8","TCGA-E9-A1ND-01A")</f>
        <v>TCGA-E9-A1ND-01A</v>
      </c>
      <c r="I15488" t="s">
        <v>17</v>
      </c>
      <c r="J15488" t="s">
        <v>524</v>
      </c>
      <c r="K15488" t="s">
        <v>33</v>
      </c>
      <c r="L15488" t="s">
        <v>20</v>
      </c>
      <c r="N15488" t="s">
        <v>29</v>
      </c>
    </row>
    <row r="15489" spans="1:14">
      <c r="A15489" s="4" t="str">
        <f t="shared" si="1193"/>
        <v>EXP00415</v>
      </c>
      <c r="B15489" s="3" t="s">
        <v>66</v>
      </c>
      <c r="C15489" s="4" t="str">
        <f t="shared" si="1194"/>
        <v>TCGA-BRCA</v>
      </c>
      <c r="D15489" s="1" t="s">
        <v>493</v>
      </c>
      <c r="E15489" t="s">
        <v>533</v>
      </c>
      <c r="F15489" s="1">
        <v>2</v>
      </c>
      <c r="G15489" s="1" t="s">
        <v>28</v>
      </c>
      <c r="H15489" s="4" t="str">
        <f>HYPERLINK("https://portal.gdc.cancer.gov/cases/3d676bba-154b-4d22-ab59-d4d4da051b94","TCGA-E9-A1NE-01A")</f>
        <v>TCGA-E9-A1NE-01A</v>
      </c>
      <c r="I15489" t="s">
        <v>17</v>
      </c>
      <c r="J15489" t="s">
        <v>524</v>
      </c>
      <c r="K15489" t="s">
        <v>33</v>
      </c>
      <c r="L15489" t="s">
        <v>20</v>
      </c>
      <c r="N15489" t="s">
        <v>29</v>
      </c>
    </row>
    <row r="15490" spans="1:14">
      <c r="A15490" s="4" t="str">
        <f t="shared" si="1193"/>
        <v>EXP00415</v>
      </c>
      <c r="B15490" s="3" t="s">
        <v>66</v>
      </c>
      <c r="C15490" s="4" t="str">
        <f t="shared" si="1194"/>
        <v>TCGA-BRCA</v>
      </c>
      <c r="D15490" s="1" t="s">
        <v>493</v>
      </c>
      <c r="E15490" t="s">
        <v>533</v>
      </c>
      <c r="F15490" s="1">
        <v>2</v>
      </c>
      <c r="G15490" s="1" t="s">
        <v>28</v>
      </c>
      <c r="H15490" s="4" t="str">
        <f>HYPERLINK("https://portal.gdc.cancer.gov/cases/a8b1f6e7-2bcf-460d-b1c6-1792a9801119","TCGA-E9-A1NF-01A")</f>
        <v>TCGA-E9-A1NF-01A</v>
      </c>
      <c r="I15490" t="s">
        <v>17</v>
      </c>
      <c r="J15490" t="s">
        <v>524</v>
      </c>
      <c r="K15490" t="s">
        <v>33</v>
      </c>
      <c r="L15490" t="s">
        <v>20</v>
      </c>
      <c r="N15490" t="s">
        <v>29</v>
      </c>
    </row>
    <row r="15491" spans="1:14">
      <c r="A15491" s="4" t="str">
        <f t="shared" si="1193"/>
        <v>EXP00415</v>
      </c>
      <c r="B15491" s="3" t="s">
        <v>66</v>
      </c>
      <c r="C15491" s="4" t="str">
        <f t="shared" si="1194"/>
        <v>TCGA-BRCA</v>
      </c>
      <c r="D15491" s="1" t="s">
        <v>493</v>
      </c>
      <c r="E15491" t="s">
        <v>533</v>
      </c>
      <c r="F15491" s="1">
        <v>2</v>
      </c>
      <c r="G15491" s="1" t="s">
        <v>28</v>
      </c>
      <c r="H15491" s="4" t="str">
        <f>HYPERLINK("https://portal.gdc.cancer.gov/cases/659b0170-e914-45ff-aa55-fcb8d3dc7b8a","TCGA-E9-A1NG-01A")</f>
        <v>TCGA-E9-A1NG-01A</v>
      </c>
      <c r="I15491" t="s">
        <v>17</v>
      </c>
      <c r="J15491" t="s">
        <v>524</v>
      </c>
      <c r="K15491" t="s">
        <v>33</v>
      </c>
      <c r="L15491" t="s">
        <v>20</v>
      </c>
      <c r="N15491" t="s">
        <v>29</v>
      </c>
    </row>
    <row r="15492" spans="1:14">
      <c r="A15492" s="4" t="str">
        <f t="shared" si="1193"/>
        <v>EXP00415</v>
      </c>
      <c r="B15492" s="3" t="s">
        <v>66</v>
      </c>
      <c r="C15492" s="4" t="str">
        <f t="shared" si="1194"/>
        <v>TCGA-BRCA</v>
      </c>
      <c r="D15492" s="1" t="s">
        <v>493</v>
      </c>
      <c r="E15492" t="s">
        <v>533</v>
      </c>
      <c r="F15492" s="1">
        <v>2</v>
      </c>
      <c r="G15492" s="1" t="s">
        <v>28</v>
      </c>
      <c r="H15492" s="4" t="str">
        <f>HYPERLINK("https://portal.gdc.cancer.gov/cases/b2aac45b-2073-4c7a-adb9-769a4fdcc111","TCGA-E9-A1NH-01A")</f>
        <v>TCGA-E9-A1NH-01A</v>
      </c>
      <c r="I15492" t="s">
        <v>17</v>
      </c>
      <c r="J15492" t="s">
        <v>524</v>
      </c>
      <c r="K15492" t="s">
        <v>33</v>
      </c>
      <c r="L15492" t="s">
        <v>20</v>
      </c>
      <c r="N15492" t="s">
        <v>29</v>
      </c>
    </row>
    <row r="15493" spans="1:14">
      <c r="A15493" s="4" t="str">
        <f t="shared" si="1193"/>
        <v>EXP00415</v>
      </c>
      <c r="B15493" s="3" t="s">
        <v>66</v>
      </c>
      <c r="C15493" s="4" t="str">
        <f t="shared" si="1194"/>
        <v>TCGA-BRCA</v>
      </c>
      <c r="D15493" s="1" t="s">
        <v>493</v>
      </c>
      <c r="E15493" t="s">
        <v>533</v>
      </c>
      <c r="F15493" s="1">
        <v>2</v>
      </c>
      <c r="G15493" s="1" t="s">
        <v>28</v>
      </c>
      <c r="H15493" s="4" t="str">
        <f>HYPERLINK("https://portal.gdc.cancer.gov/cases/c65b835a-2d38-4250-a173-0780d2c2cf58","TCGA-E9-A1NI-01A")</f>
        <v>TCGA-E9-A1NI-01A</v>
      </c>
      <c r="I15493" t="s">
        <v>17</v>
      </c>
      <c r="J15493" t="s">
        <v>524</v>
      </c>
      <c r="K15493" t="s">
        <v>33</v>
      </c>
      <c r="L15493" t="s">
        <v>20</v>
      </c>
      <c r="N15493" t="s">
        <v>29</v>
      </c>
    </row>
    <row r="15494" spans="1:14">
      <c r="A15494" s="4" t="str">
        <f t="shared" si="1193"/>
        <v>EXP00415</v>
      </c>
      <c r="B15494" s="3" t="s">
        <v>66</v>
      </c>
      <c r="C15494" s="4" t="str">
        <f t="shared" si="1194"/>
        <v>TCGA-BRCA</v>
      </c>
      <c r="D15494" s="1" t="s">
        <v>493</v>
      </c>
      <c r="E15494" t="s">
        <v>533</v>
      </c>
      <c r="F15494" s="1">
        <v>2</v>
      </c>
      <c r="G15494" s="1" t="s">
        <v>28</v>
      </c>
      <c r="H15494" s="4" t="str">
        <f>HYPERLINK("https://portal.gdc.cancer.gov/cases/b6b932ce-6856-4d94-9e6c-16dfbe51906f","TCGA-E9-A1QZ-01A")</f>
        <v>TCGA-E9-A1QZ-01A</v>
      </c>
      <c r="I15494" t="s">
        <v>17</v>
      </c>
      <c r="J15494" t="s">
        <v>524</v>
      </c>
      <c r="K15494" t="s">
        <v>33</v>
      </c>
      <c r="L15494" t="s">
        <v>20</v>
      </c>
      <c r="N15494" t="s">
        <v>29</v>
      </c>
    </row>
    <row r="15495" spans="1:14">
      <c r="A15495" s="4" t="str">
        <f t="shared" si="1193"/>
        <v>EXP00415</v>
      </c>
      <c r="B15495" s="3" t="s">
        <v>66</v>
      </c>
      <c r="C15495" s="4" t="str">
        <f t="shared" si="1194"/>
        <v>TCGA-BRCA</v>
      </c>
      <c r="D15495" s="1" t="s">
        <v>493</v>
      </c>
      <c r="E15495" t="s">
        <v>533</v>
      </c>
      <c r="F15495" s="1">
        <v>2</v>
      </c>
      <c r="G15495" s="1" t="s">
        <v>28</v>
      </c>
      <c r="H15495" s="4" t="str">
        <f>HYPERLINK("https://portal.gdc.cancer.gov/cases/f2da1d3f-f226-4c99-a97e-9b26f67d7a5d","TCGA-E9-A1R0-01A")</f>
        <v>TCGA-E9-A1R0-01A</v>
      </c>
      <c r="I15495" t="s">
        <v>17</v>
      </c>
      <c r="J15495" t="s">
        <v>524</v>
      </c>
      <c r="K15495" t="s">
        <v>33</v>
      </c>
      <c r="L15495" t="s">
        <v>20</v>
      </c>
      <c r="N15495" t="s">
        <v>29</v>
      </c>
    </row>
    <row r="15496" spans="1:14">
      <c r="A15496" s="4" t="str">
        <f t="shared" si="1193"/>
        <v>EXP00415</v>
      </c>
      <c r="B15496" s="3" t="s">
        <v>66</v>
      </c>
      <c r="C15496" s="4" t="str">
        <f t="shared" si="1194"/>
        <v>TCGA-BRCA</v>
      </c>
      <c r="D15496" s="1" t="s">
        <v>493</v>
      </c>
      <c r="E15496" t="s">
        <v>533</v>
      </c>
      <c r="F15496" s="1">
        <v>2</v>
      </c>
      <c r="G15496" s="1" t="s">
        <v>28</v>
      </c>
      <c r="H15496" s="4" t="str">
        <f>HYPERLINK("https://portal.gdc.cancer.gov/cases/8631969d-4ac6-4fe1-9db3-d47db604494a","TCGA-E9-A1R2-01A")</f>
        <v>TCGA-E9-A1R2-01A</v>
      </c>
      <c r="I15496" t="s">
        <v>17</v>
      </c>
      <c r="J15496" t="s">
        <v>524</v>
      </c>
      <c r="K15496" t="s">
        <v>33</v>
      </c>
      <c r="L15496" t="s">
        <v>20</v>
      </c>
      <c r="N15496" t="s">
        <v>29</v>
      </c>
    </row>
    <row r="15497" spans="1:14">
      <c r="A15497" s="4" t="str">
        <f t="shared" si="1193"/>
        <v>EXP00415</v>
      </c>
      <c r="B15497" s="3" t="s">
        <v>66</v>
      </c>
      <c r="C15497" s="4" t="str">
        <f t="shared" si="1194"/>
        <v>TCGA-BRCA</v>
      </c>
      <c r="D15497" s="1" t="s">
        <v>493</v>
      </c>
      <c r="E15497" t="s">
        <v>533</v>
      </c>
      <c r="F15497" s="1">
        <v>2</v>
      </c>
      <c r="G15497" s="1" t="s">
        <v>28</v>
      </c>
      <c r="H15497" s="4" t="str">
        <f>HYPERLINK("https://portal.gdc.cancer.gov/cases/4922cddc-575c-4b8a-8245-ce5f6876760c","TCGA-E9-A1R3-01A")</f>
        <v>TCGA-E9-A1R3-01A</v>
      </c>
      <c r="I15497" t="s">
        <v>17</v>
      </c>
      <c r="J15497" t="s">
        <v>524</v>
      </c>
      <c r="K15497" t="s">
        <v>33</v>
      </c>
      <c r="L15497" t="s">
        <v>20</v>
      </c>
      <c r="N15497" t="s">
        <v>29</v>
      </c>
    </row>
    <row r="15498" spans="1:14">
      <c r="A15498" s="4" t="str">
        <f t="shared" si="1193"/>
        <v>EXP00415</v>
      </c>
      <c r="B15498" s="3" t="s">
        <v>66</v>
      </c>
      <c r="C15498" s="4" t="str">
        <f t="shared" si="1194"/>
        <v>TCGA-BRCA</v>
      </c>
      <c r="D15498" s="1" t="s">
        <v>493</v>
      </c>
      <c r="E15498" t="s">
        <v>533</v>
      </c>
      <c r="F15498" s="1">
        <v>2</v>
      </c>
      <c r="G15498" s="1" t="s">
        <v>28</v>
      </c>
      <c r="H15498" s="4" t="str">
        <f>HYPERLINK("https://portal.gdc.cancer.gov/cases/b7a4df9a-4e25-4550-9c10-338ca1921c2f","TCGA-E9-A1R4-01A")</f>
        <v>TCGA-E9-A1R4-01A</v>
      </c>
      <c r="I15498" t="s">
        <v>17</v>
      </c>
      <c r="J15498" t="s">
        <v>524</v>
      </c>
      <c r="K15498" t="s">
        <v>33</v>
      </c>
      <c r="L15498" t="s">
        <v>20</v>
      </c>
      <c r="N15498" t="s">
        <v>29</v>
      </c>
    </row>
    <row r="15499" spans="1:14">
      <c r="A15499" s="4" t="str">
        <f t="shared" si="1193"/>
        <v>EXP00415</v>
      </c>
      <c r="B15499" s="3" t="s">
        <v>66</v>
      </c>
      <c r="C15499" s="4" t="str">
        <f t="shared" si="1194"/>
        <v>TCGA-BRCA</v>
      </c>
      <c r="D15499" s="1" t="s">
        <v>493</v>
      </c>
      <c r="E15499" t="s">
        <v>533</v>
      </c>
      <c r="F15499" s="1">
        <v>2</v>
      </c>
      <c r="G15499" s="1" t="s">
        <v>28</v>
      </c>
      <c r="H15499" s="4" t="str">
        <f>HYPERLINK("https://portal.gdc.cancer.gov/cases/23c21dea-3713-408f-ba56-f7c586e9f206","TCGA-E9-A1R5-01A")</f>
        <v>TCGA-E9-A1R5-01A</v>
      </c>
      <c r="I15499" t="s">
        <v>17</v>
      </c>
      <c r="J15499" t="s">
        <v>524</v>
      </c>
      <c r="K15499" t="s">
        <v>33</v>
      </c>
      <c r="L15499" t="s">
        <v>20</v>
      </c>
      <c r="N15499" t="s">
        <v>29</v>
      </c>
    </row>
    <row r="15500" spans="1:14">
      <c r="A15500" s="4" t="str">
        <f t="shared" si="1193"/>
        <v>EXP00415</v>
      </c>
      <c r="B15500" s="3" t="s">
        <v>66</v>
      </c>
      <c r="C15500" s="4" t="str">
        <f t="shared" si="1194"/>
        <v>TCGA-BRCA</v>
      </c>
      <c r="D15500" s="1" t="s">
        <v>493</v>
      </c>
      <c r="E15500" t="s">
        <v>533</v>
      </c>
      <c r="F15500" s="1">
        <v>2</v>
      </c>
      <c r="G15500" s="1" t="s">
        <v>28</v>
      </c>
      <c r="H15500" s="4" t="str">
        <f>HYPERLINK("https://portal.gdc.cancer.gov/cases/4842bac3-abaa-4900-871f-f2c3ba6457f5","TCGA-E9-A1R6-01A")</f>
        <v>TCGA-E9-A1R6-01A</v>
      </c>
      <c r="I15500" t="s">
        <v>17</v>
      </c>
      <c r="J15500" t="s">
        <v>524</v>
      </c>
      <c r="K15500" t="s">
        <v>33</v>
      </c>
      <c r="L15500" t="s">
        <v>20</v>
      </c>
      <c r="N15500" t="s">
        <v>29</v>
      </c>
    </row>
    <row r="15501" spans="1:14">
      <c r="A15501" s="4" t="str">
        <f t="shared" si="1193"/>
        <v>EXP00415</v>
      </c>
      <c r="B15501" s="3" t="s">
        <v>66</v>
      </c>
      <c r="C15501" s="4" t="str">
        <f t="shared" si="1194"/>
        <v>TCGA-BRCA</v>
      </c>
      <c r="D15501" s="1" t="s">
        <v>493</v>
      </c>
      <c r="E15501" t="s">
        <v>533</v>
      </c>
      <c r="F15501" s="1">
        <v>2</v>
      </c>
      <c r="G15501" s="1" t="s">
        <v>28</v>
      </c>
      <c r="H15501" s="4" t="str">
        <f>HYPERLINK("https://portal.gdc.cancer.gov/cases/2680da86-c977-4611-b75f-df015283c023","TCGA-E9-A1R7-01A")</f>
        <v>TCGA-E9-A1R7-01A</v>
      </c>
      <c r="I15501" t="s">
        <v>17</v>
      </c>
      <c r="J15501" t="s">
        <v>524</v>
      </c>
      <c r="K15501" t="s">
        <v>33</v>
      </c>
      <c r="L15501" t="s">
        <v>20</v>
      </c>
      <c r="N15501" t="s">
        <v>29</v>
      </c>
    </row>
    <row r="15502" spans="1:14">
      <c r="A15502" s="4" t="str">
        <f t="shared" si="1193"/>
        <v>EXP00415</v>
      </c>
      <c r="B15502" s="3" t="s">
        <v>66</v>
      </c>
      <c r="C15502" s="4" t="str">
        <f t="shared" si="1194"/>
        <v>TCGA-BRCA</v>
      </c>
      <c r="D15502" s="1" t="s">
        <v>493</v>
      </c>
      <c r="E15502" t="s">
        <v>533</v>
      </c>
      <c r="F15502" s="1">
        <v>2</v>
      </c>
      <c r="G15502" s="1" t="s">
        <v>28</v>
      </c>
      <c r="H15502" s="4" t="str">
        <f>HYPERLINK("https://portal.gdc.cancer.gov/cases/4b4e4ea8-6eb9-49ad-b880-c5065fe6517f","TCGA-E9-A1RA-01A")</f>
        <v>TCGA-E9-A1RA-01A</v>
      </c>
      <c r="I15502" t="s">
        <v>17</v>
      </c>
      <c r="J15502" t="s">
        <v>524</v>
      </c>
      <c r="K15502" t="s">
        <v>33</v>
      </c>
      <c r="L15502" t="s">
        <v>20</v>
      </c>
      <c r="N15502" t="s">
        <v>29</v>
      </c>
    </row>
    <row r="15503" spans="1:14">
      <c r="A15503" s="4" t="str">
        <f t="shared" si="1193"/>
        <v>EXP00415</v>
      </c>
      <c r="B15503" s="3" t="s">
        <v>66</v>
      </c>
      <c r="C15503" s="4" t="str">
        <f t="shared" si="1194"/>
        <v>TCGA-BRCA</v>
      </c>
      <c r="D15503" s="1" t="s">
        <v>493</v>
      </c>
      <c r="E15503" t="s">
        <v>533</v>
      </c>
      <c r="F15503" s="1">
        <v>2</v>
      </c>
      <c r="G15503" s="1" t="s">
        <v>28</v>
      </c>
      <c r="H15503" s="4" t="str">
        <f>HYPERLINK("https://portal.gdc.cancer.gov/cases/94b95984-b2fb-4e42-8887-45e7086c3179","TCGA-E9-A1RB-01A")</f>
        <v>TCGA-E9-A1RB-01A</v>
      </c>
      <c r="I15503" t="s">
        <v>17</v>
      </c>
      <c r="J15503" t="s">
        <v>524</v>
      </c>
      <c r="K15503" t="s">
        <v>33</v>
      </c>
      <c r="L15503" t="s">
        <v>20</v>
      </c>
      <c r="N15503" t="s">
        <v>29</v>
      </c>
    </row>
    <row r="15504" spans="1:14">
      <c r="A15504" s="4" t="str">
        <f t="shared" si="1193"/>
        <v>EXP00415</v>
      </c>
      <c r="B15504" s="3" t="s">
        <v>66</v>
      </c>
      <c r="C15504" s="4" t="str">
        <f t="shared" si="1194"/>
        <v>TCGA-BRCA</v>
      </c>
      <c r="D15504" s="1" t="s">
        <v>493</v>
      </c>
      <c r="E15504" t="s">
        <v>533</v>
      </c>
      <c r="F15504" s="1">
        <v>2</v>
      </c>
      <c r="G15504" s="1" t="s">
        <v>28</v>
      </c>
      <c r="H15504" s="4" t="str">
        <f>HYPERLINK("https://portal.gdc.cancer.gov/cases/5cdae21d-eee5-478f-932a-0f51fcf5f031","TCGA-E9-A1RC-01A")</f>
        <v>TCGA-E9-A1RC-01A</v>
      </c>
      <c r="I15504" t="s">
        <v>17</v>
      </c>
      <c r="J15504" t="s">
        <v>524</v>
      </c>
      <c r="K15504" t="s">
        <v>33</v>
      </c>
      <c r="L15504" t="s">
        <v>20</v>
      </c>
      <c r="N15504" t="s">
        <v>29</v>
      </c>
    </row>
    <row r="15505" spans="1:14">
      <c r="A15505" s="4" t="str">
        <f t="shared" si="1193"/>
        <v>EXP00415</v>
      </c>
      <c r="B15505" s="3" t="s">
        <v>66</v>
      </c>
      <c r="C15505" s="4" t="str">
        <f t="shared" si="1194"/>
        <v>TCGA-BRCA</v>
      </c>
      <c r="D15505" s="1" t="s">
        <v>493</v>
      </c>
      <c r="E15505" t="s">
        <v>533</v>
      </c>
      <c r="F15505" s="1">
        <v>2</v>
      </c>
      <c r="G15505" s="1" t="s">
        <v>28</v>
      </c>
      <c r="H15505" s="4" t="str">
        <f>HYPERLINK("https://portal.gdc.cancer.gov/cases/5fe3c51f-65e2-4da6-8924-a6fae17c022d","TCGA-E9-A1RD-01A")</f>
        <v>TCGA-E9-A1RD-01A</v>
      </c>
      <c r="I15505" t="s">
        <v>17</v>
      </c>
      <c r="J15505" t="s">
        <v>524</v>
      </c>
      <c r="K15505" t="s">
        <v>33</v>
      </c>
      <c r="L15505" t="s">
        <v>20</v>
      </c>
      <c r="N15505" t="s">
        <v>29</v>
      </c>
    </row>
    <row r="15506" spans="1:14">
      <c r="A15506" s="4" t="str">
        <f t="shared" si="1193"/>
        <v>EXP00415</v>
      </c>
      <c r="B15506" s="3" t="s">
        <v>66</v>
      </c>
      <c r="C15506" s="4" t="str">
        <f t="shared" si="1194"/>
        <v>TCGA-BRCA</v>
      </c>
      <c r="D15506" s="1" t="s">
        <v>493</v>
      </c>
      <c r="E15506" t="s">
        <v>533</v>
      </c>
      <c r="F15506" s="1">
        <v>2</v>
      </c>
      <c r="G15506" s="1" t="s">
        <v>28</v>
      </c>
      <c r="H15506" s="4" t="str">
        <f>HYPERLINK("https://portal.gdc.cancer.gov/cases/24046547-d038-4616-b190-52ac93f4965f","TCGA-E9-A1RE-01A")</f>
        <v>TCGA-E9-A1RE-01A</v>
      </c>
      <c r="I15506" t="s">
        <v>17</v>
      </c>
      <c r="J15506" t="s">
        <v>524</v>
      </c>
      <c r="K15506" t="s">
        <v>33</v>
      </c>
      <c r="L15506" t="s">
        <v>20</v>
      </c>
      <c r="N15506" t="s">
        <v>29</v>
      </c>
    </row>
    <row r="15507" spans="1:14">
      <c r="A15507" s="4" t="str">
        <f t="shared" si="1193"/>
        <v>EXP00415</v>
      </c>
      <c r="B15507" s="3" t="s">
        <v>66</v>
      </c>
      <c r="C15507" s="4" t="str">
        <f t="shared" si="1194"/>
        <v>TCGA-BRCA</v>
      </c>
      <c r="D15507" s="1" t="s">
        <v>493</v>
      </c>
      <c r="E15507" t="s">
        <v>533</v>
      </c>
      <c r="F15507" s="1">
        <v>2</v>
      </c>
      <c r="G15507" s="1" t="s">
        <v>28</v>
      </c>
      <c r="H15507" s="4" t="str">
        <f>HYPERLINK("https://portal.gdc.cancer.gov/cases/c694615c-b1c6-499c-8058-995633ebf948","TCGA-E9-A1RF-01A")</f>
        <v>TCGA-E9-A1RF-01A</v>
      </c>
      <c r="I15507" t="s">
        <v>17</v>
      </c>
      <c r="J15507" t="s">
        <v>524</v>
      </c>
      <c r="K15507" t="s">
        <v>33</v>
      </c>
      <c r="L15507" t="s">
        <v>20</v>
      </c>
      <c r="N15507" t="s">
        <v>29</v>
      </c>
    </row>
    <row r="15508" spans="1:14">
      <c r="A15508" s="4" t="str">
        <f t="shared" si="1193"/>
        <v>EXP00415</v>
      </c>
      <c r="B15508" s="3" t="s">
        <v>66</v>
      </c>
      <c r="C15508" s="4" t="str">
        <f t="shared" si="1194"/>
        <v>TCGA-BRCA</v>
      </c>
      <c r="D15508" s="1" t="s">
        <v>493</v>
      </c>
      <c r="E15508" t="s">
        <v>533</v>
      </c>
      <c r="F15508" s="1">
        <v>2</v>
      </c>
      <c r="G15508" s="1" t="s">
        <v>28</v>
      </c>
      <c r="H15508" s="4" t="str">
        <f>HYPERLINK("https://portal.gdc.cancer.gov/cases/8744733a-7b46-43aa-bdef-64876816adbb","TCGA-E9-A1RG-01A")</f>
        <v>TCGA-E9-A1RG-01A</v>
      </c>
      <c r="I15508" t="s">
        <v>17</v>
      </c>
      <c r="J15508" t="s">
        <v>524</v>
      </c>
      <c r="K15508" t="s">
        <v>33</v>
      </c>
      <c r="L15508" t="s">
        <v>20</v>
      </c>
      <c r="N15508" t="s">
        <v>29</v>
      </c>
    </row>
    <row r="15509" spans="1:14">
      <c r="A15509" s="4" t="str">
        <f t="shared" si="1193"/>
        <v>EXP00415</v>
      </c>
      <c r="B15509" s="3" t="s">
        <v>66</v>
      </c>
      <c r="C15509" s="4" t="str">
        <f t="shared" si="1194"/>
        <v>TCGA-BRCA</v>
      </c>
      <c r="D15509" s="1" t="s">
        <v>493</v>
      </c>
      <c r="E15509" t="s">
        <v>533</v>
      </c>
      <c r="F15509" s="1">
        <v>2</v>
      </c>
      <c r="G15509" s="1" t="s">
        <v>28</v>
      </c>
      <c r="H15509" s="4" t="str">
        <f>HYPERLINK("https://portal.gdc.cancer.gov/cases/408cb583-6dc3-4698-8bd2-e284042bd5ef","TCGA-E9-A1RH-01A")</f>
        <v>TCGA-E9-A1RH-01A</v>
      </c>
      <c r="I15509" t="s">
        <v>17</v>
      </c>
      <c r="J15509" t="s">
        <v>524</v>
      </c>
      <c r="K15509" t="s">
        <v>33</v>
      </c>
      <c r="L15509" t="s">
        <v>20</v>
      </c>
      <c r="N15509" t="s">
        <v>29</v>
      </c>
    </row>
    <row r="15510" spans="1:14">
      <c r="A15510" s="4" t="str">
        <f t="shared" si="1193"/>
        <v>EXP00415</v>
      </c>
      <c r="B15510" s="3" t="s">
        <v>66</v>
      </c>
      <c r="C15510" s="4" t="str">
        <f t="shared" si="1194"/>
        <v>TCGA-BRCA</v>
      </c>
      <c r="D15510" s="1" t="s">
        <v>493</v>
      </c>
      <c r="E15510" t="s">
        <v>533</v>
      </c>
      <c r="F15510" s="1">
        <v>2</v>
      </c>
      <c r="G15510" s="1" t="s">
        <v>28</v>
      </c>
      <c r="H15510" s="4" t="str">
        <f>HYPERLINK("https://portal.gdc.cancer.gov/cases/dd3bfb26-b534-4917-9c4d-9fe7b6477762","TCGA-E9-A1RI-01A")</f>
        <v>TCGA-E9-A1RI-01A</v>
      </c>
      <c r="I15510" t="s">
        <v>17</v>
      </c>
      <c r="J15510" t="s">
        <v>524</v>
      </c>
      <c r="K15510" t="s">
        <v>33</v>
      </c>
      <c r="L15510" t="s">
        <v>20</v>
      </c>
      <c r="N15510" t="s">
        <v>29</v>
      </c>
    </row>
    <row r="15511" spans="1:14">
      <c r="A15511" s="4" t="str">
        <f t="shared" si="1193"/>
        <v>EXP00415</v>
      </c>
      <c r="B15511" s="3" t="s">
        <v>66</v>
      </c>
      <c r="C15511" s="4" t="str">
        <f t="shared" si="1194"/>
        <v>TCGA-BRCA</v>
      </c>
      <c r="D15511" s="1" t="s">
        <v>493</v>
      </c>
      <c r="E15511" t="s">
        <v>533</v>
      </c>
      <c r="F15511" s="1">
        <v>2</v>
      </c>
      <c r="G15511" s="1" t="s">
        <v>28</v>
      </c>
      <c r="H15511" s="4" t="str">
        <f>HYPERLINK("https://portal.gdc.cancer.gov/cases/dd67408e-46ba-4573-9415-d4814e9f84de","TCGA-E9-A226-01A")</f>
        <v>TCGA-E9-A226-01A</v>
      </c>
      <c r="I15511" t="s">
        <v>17</v>
      </c>
      <c r="J15511" t="s">
        <v>524</v>
      </c>
      <c r="K15511" t="s">
        <v>33</v>
      </c>
      <c r="L15511" t="s">
        <v>20</v>
      </c>
      <c r="N15511" t="s">
        <v>29</v>
      </c>
    </row>
    <row r="15512" spans="1:14">
      <c r="A15512" s="4" t="str">
        <f t="shared" si="1193"/>
        <v>EXP00415</v>
      </c>
      <c r="B15512" s="3" t="s">
        <v>66</v>
      </c>
      <c r="C15512" s="4" t="str">
        <f t="shared" si="1194"/>
        <v>TCGA-BRCA</v>
      </c>
      <c r="D15512" s="1" t="s">
        <v>493</v>
      </c>
      <c r="E15512" t="s">
        <v>533</v>
      </c>
      <c r="F15512" s="1">
        <v>2</v>
      </c>
      <c r="G15512" s="1" t="s">
        <v>28</v>
      </c>
      <c r="H15512" s="4" t="str">
        <f>HYPERLINK("https://portal.gdc.cancer.gov/cases/89a8da07-4487-47c6-8d3c-442a87e4f632","TCGA-E9-A227-01A")</f>
        <v>TCGA-E9-A227-01A</v>
      </c>
      <c r="I15512" t="s">
        <v>17</v>
      </c>
      <c r="J15512" t="s">
        <v>524</v>
      </c>
      <c r="K15512" t="s">
        <v>33</v>
      </c>
      <c r="L15512" t="s">
        <v>20</v>
      </c>
      <c r="N15512" t="s">
        <v>29</v>
      </c>
    </row>
    <row r="15513" spans="1:14">
      <c r="A15513" s="4" t="str">
        <f t="shared" si="1193"/>
        <v>EXP00415</v>
      </c>
      <c r="B15513" s="3" t="s">
        <v>66</v>
      </c>
      <c r="C15513" s="4" t="str">
        <f t="shared" si="1194"/>
        <v>TCGA-BRCA</v>
      </c>
      <c r="D15513" s="1" t="s">
        <v>493</v>
      </c>
      <c r="E15513" t="s">
        <v>533</v>
      </c>
      <c r="F15513" s="1">
        <v>2</v>
      </c>
      <c r="G15513" s="1" t="s">
        <v>28</v>
      </c>
      <c r="H15513" s="4" t="str">
        <f>HYPERLINK("https://portal.gdc.cancer.gov/cases/b95eef8a-205f-4cf8-9d3c-ae51d406e1e0","TCGA-E9-A228-01A")</f>
        <v>TCGA-E9-A228-01A</v>
      </c>
      <c r="I15513" t="s">
        <v>17</v>
      </c>
      <c r="J15513" t="s">
        <v>524</v>
      </c>
      <c r="K15513" t="s">
        <v>33</v>
      </c>
      <c r="L15513" t="s">
        <v>20</v>
      </c>
      <c r="N15513" t="s">
        <v>29</v>
      </c>
    </row>
    <row r="15514" spans="1:14">
      <c r="A15514" s="4" t="str">
        <f t="shared" si="1193"/>
        <v>EXP00415</v>
      </c>
      <c r="B15514" s="3" t="s">
        <v>66</v>
      </c>
      <c r="C15514" s="4" t="str">
        <f t="shared" si="1194"/>
        <v>TCGA-BRCA</v>
      </c>
      <c r="D15514" s="1" t="s">
        <v>493</v>
      </c>
      <c r="E15514" t="s">
        <v>533</v>
      </c>
      <c r="F15514" s="1">
        <v>2</v>
      </c>
      <c r="G15514" s="1" t="s">
        <v>28</v>
      </c>
      <c r="H15514" s="4" t="str">
        <f>HYPERLINK("https://portal.gdc.cancer.gov/cases/cea9d8f9-e18c-4947-a461-5f712e3c1e6d","TCGA-E9-A229-01A")</f>
        <v>TCGA-E9-A229-01A</v>
      </c>
      <c r="I15514" t="s">
        <v>17</v>
      </c>
      <c r="J15514" t="s">
        <v>524</v>
      </c>
      <c r="K15514" t="s">
        <v>33</v>
      </c>
      <c r="L15514" t="s">
        <v>20</v>
      </c>
      <c r="N15514" t="s">
        <v>29</v>
      </c>
    </row>
    <row r="15515" spans="1:14">
      <c r="A15515" s="4" t="str">
        <f t="shared" si="1193"/>
        <v>EXP00415</v>
      </c>
      <c r="B15515" s="3" t="s">
        <v>66</v>
      </c>
      <c r="C15515" s="4" t="str">
        <f t="shared" si="1194"/>
        <v>TCGA-BRCA</v>
      </c>
      <c r="D15515" s="1" t="s">
        <v>493</v>
      </c>
      <c r="E15515" t="s">
        <v>533</v>
      </c>
      <c r="F15515" s="1">
        <v>2</v>
      </c>
      <c r="G15515" s="1" t="s">
        <v>28</v>
      </c>
      <c r="H15515" s="4" t="str">
        <f>HYPERLINK("https://portal.gdc.cancer.gov/cases/4aacbc42-5ac5-4339-b9fa-c6e812084837","TCGA-E9-A22A-01A")</f>
        <v>TCGA-E9-A22A-01A</v>
      </c>
      <c r="I15515" t="s">
        <v>17</v>
      </c>
      <c r="J15515" t="s">
        <v>524</v>
      </c>
      <c r="K15515" t="s">
        <v>33</v>
      </c>
      <c r="L15515" t="s">
        <v>20</v>
      </c>
      <c r="N15515" t="s">
        <v>29</v>
      </c>
    </row>
    <row r="15516" spans="1:14">
      <c r="A15516" s="4" t="str">
        <f t="shared" si="1193"/>
        <v>EXP00415</v>
      </c>
      <c r="B15516" s="3" t="s">
        <v>66</v>
      </c>
      <c r="C15516" s="4" t="str">
        <f t="shared" si="1194"/>
        <v>TCGA-BRCA</v>
      </c>
      <c r="D15516" s="1" t="s">
        <v>493</v>
      </c>
      <c r="E15516" t="s">
        <v>533</v>
      </c>
      <c r="F15516" s="1">
        <v>2</v>
      </c>
      <c r="G15516" s="1" t="s">
        <v>28</v>
      </c>
      <c r="H15516" s="4" t="str">
        <f>HYPERLINK("https://portal.gdc.cancer.gov/cases/b956df1b-bc77-4bdb-a5bd-5dda7b4c8da7","TCGA-E9-A22B-01A")</f>
        <v>TCGA-E9-A22B-01A</v>
      </c>
      <c r="I15516" t="s">
        <v>17</v>
      </c>
      <c r="J15516" t="s">
        <v>524</v>
      </c>
      <c r="K15516" t="s">
        <v>33</v>
      </c>
      <c r="L15516" t="s">
        <v>20</v>
      </c>
      <c r="N15516" t="s">
        <v>29</v>
      </c>
    </row>
    <row r="15517" spans="1:14">
      <c r="A15517" s="4" t="str">
        <f t="shared" si="1193"/>
        <v>EXP00415</v>
      </c>
      <c r="B15517" s="3" t="s">
        <v>66</v>
      </c>
      <c r="C15517" s="4" t="str">
        <f t="shared" si="1194"/>
        <v>TCGA-BRCA</v>
      </c>
      <c r="D15517" s="1" t="s">
        <v>493</v>
      </c>
      <c r="E15517" t="s">
        <v>533</v>
      </c>
      <c r="F15517" s="1">
        <v>2</v>
      </c>
      <c r="G15517" s="1" t="s">
        <v>28</v>
      </c>
      <c r="H15517" s="4" t="str">
        <f>HYPERLINK("https://portal.gdc.cancer.gov/cases/cf0a3f38-5850-44e1-8574-808bd37d84a3","TCGA-E9-A22D-01A")</f>
        <v>TCGA-E9-A22D-01A</v>
      </c>
      <c r="I15517" t="s">
        <v>17</v>
      </c>
      <c r="J15517" t="s">
        <v>524</v>
      </c>
      <c r="K15517" t="s">
        <v>33</v>
      </c>
      <c r="L15517" t="s">
        <v>20</v>
      </c>
      <c r="N15517" t="s">
        <v>29</v>
      </c>
    </row>
    <row r="15518" spans="1:14">
      <c r="A15518" s="4" t="str">
        <f t="shared" si="1193"/>
        <v>EXP00415</v>
      </c>
      <c r="B15518" s="3" t="s">
        <v>66</v>
      </c>
      <c r="C15518" s="4" t="str">
        <f t="shared" si="1194"/>
        <v>TCGA-BRCA</v>
      </c>
      <c r="D15518" s="1" t="s">
        <v>493</v>
      </c>
      <c r="E15518" t="s">
        <v>533</v>
      </c>
      <c r="F15518" s="1">
        <v>2</v>
      </c>
      <c r="G15518" s="1" t="s">
        <v>28</v>
      </c>
      <c r="H15518" s="4" t="str">
        <f>HYPERLINK("https://portal.gdc.cancer.gov/cases/64d4dfae-8d91-464b-adc3-80ba7caf54ae","TCGA-E9-A22E-01A")</f>
        <v>TCGA-E9-A22E-01A</v>
      </c>
      <c r="I15518" t="s">
        <v>17</v>
      </c>
      <c r="J15518" t="s">
        <v>524</v>
      </c>
      <c r="K15518" t="s">
        <v>33</v>
      </c>
      <c r="L15518" t="s">
        <v>20</v>
      </c>
      <c r="N15518" t="s">
        <v>29</v>
      </c>
    </row>
    <row r="15519" spans="1:14">
      <c r="A15519" s="4" t="str">
        <f t="shared" si="1193"/>
        <v>EXP00415</v>
      </c>
      <c r="B15519" s="3" t="s">
        <v>66</v>
      </c>
      <c r="C15519" s="4" t="str">
        <f t="shared" si="1194"/>
        <v>TCGA-BRCA</v>
      </c>
      <c r="D15519" s="1" t="s">
        <v>493</v>
      </c>
      <c r="E15519" t="s">
        <v>533</v>
      </c>
      <c r="F15519" s="1">
        <v>2</v>
      </c>
      <c r="G15519" s="1" t="s">
        <v>28</v>
      </c>
      <c r="H15519" s="4" t="str">
        <f>HYPERLINK("https://portal.gdc.cancer.gov/cases/56033839-35d5-4d72-8b8c-400cb345263d","TCGA-E9-A22G-01A")</f>
        <v>TCGA-E9-A22G-01A</v>
      </c>
      <c r="I15519" t="s">
        <v>17</v>
      </c>
      <c r="J15519" t="s">
        <v>524</v>
      </c>
      <c r="K15519" t="s">
        <v>33</v>
      </c>
      <c r="L15519" t="s">
        <v>20</v>
      </c>
      <c r="N15519" t="s">
        <v>29</v>
      </c>
    </row>
    <row r="15520" spans="1:14">
      <c r="A15520" s="4" t="str">
        <f t="shared" si="1193"/>
        <v>EXP00415</v>
      </c>
      <c r="B15520" s="3" t="s">
        <v>66</v>
      </c>
      <c r="C15520" s="4" t="str">
        <f t="shared" si="1194"/>
        <v>TCGA-BRCA</v>
      </c>
      <c r="D15520" s="1" t="s">
        <v>493</v>
      </c>
      <c r="E15520" t="s">
        <v>533</v>
      </c>
      <c r="F15520" s="1">
        <v>2</v>
      </c>
      <c r="G15520" s="1" t="s">
        <v>28</v>
      </c>
      <c r="H15520" s="4" t="str">
        <f>HYPERLINK("https://portal.gdc.cancer.gov/cases/161917b8-88ad-407b-ade6-d6b98478b359","TCGA-E9-A22H-01A")</f>
        <v>TCGA-E9-A22H-01A</v>
      </c>
      <c r="I15520" t="s">
        <v>17</v>
      </c>
      <c r="J15520" t="s">
        <v>524</v>
      </c>
      <c r="K15520" t="s">
        <v>33</v>
      </c>
      <c r="L15520" t="s">
        <v>20</v>
      </c>
      <c r="N15520" t="s">
        <v>29</v>
      </c>
    </row>
    <row r="15521" spans="1:14">
      <c r="A15521" s="4" t="str">
        <f t="shared" si="1193"/>
        <v>EXP00415</v>
      </c>
      <c r="B15521" s="3" t="s">
        <v>66</v>
      </c>
      <c r="C15521" s="4" t="str">
        <f t="shared" si="1194"/>
        <v>TCGA-BRCA</v>
      </c>
      <c r="D15521" s="1" t="s">
        <v>493</v>
      </c>
      <c r="E15521" t="s">
        <v>533</v>
      </c>
      <c r="F15521" s="1">
        <v>2</v>
      </c>
      <c r="G15521" s="1" t="s">
        <v>28</v>
      </c>
      <c r="H15521" s="4" t="str">
        <f>HYPERLINK("https://portal.gdc.cancer.gov/cases/d4a1ecdc-399c-4f82-aa7a-68a0c82ded3f","TCGA-E9-A243-01A")</f>
        <v>TCGA-E9-A243-01A</v>
      </c>
      <c r="I15521" t="s">
        <v>17</v>
      </c>
      <c r="J15521" t="s">
        <v>524</v>
      </c>
      <c r="K15521" t="s">
        <v>33</v>
      </c>
      <c r="L15521" t="s">
        <v>20</v>
      </c>
      <c r="N15521" t="s">
        <v>29</v>
      </c>
    </row>
    <row r="15522" spans="1:14">
      <c r="A15522" s="4" t="str">
        <f t="shared" si="1193"/>
        <v>EXP00415</v>
      </c>
      <c r="B15522" s="3" t="s">
        <v>66</v>
      </c>
      <c r="C15522" s="4" t="str">
        <f t="shared" si="1194"/>
        <v>TCGA-BRCA</v>
      </c>
      <c r="D15522" s="1" t="s">
        <v>493</v>
      </c>
      <c r="E15522" t="s">
        <v>533</v>
      </c>
      <c r="F15522" s="1">
        <v>2</v>
      </c>
      <c r="G15522" s="1" t="s">
        <v>28</v>
      </c>
      <c r="H15522" s="4" t="str">
        <f>HYPERLINK("https://portal.gdc.cancer.gov/cases/a4c59287-1ad5-46a5-8040-e591e6ce064f","TCGA-E9-A244-01A")</f>
        <v>TCGA-E9-A244-01A</v>
      </c>
      <c r="I15522" t="s">
        <v>17</v>
      </c>
      <c r="J15522" t="s">
        <v>524</v>
      </c>
      <c r="K15522" t="s">
        <v>33</v>
      </c>
      <c r="L15522" t="s">
        <v>20</v>
      </c>
      <c r="N15522" t="s">
        <v>29</v>
      </c>
    </row>
    <row r="15523" spans="1:14">
      <c r="A15523" s="4" t="str">
        <f t="shared" si="1193"/>
        <v>EXP00415</v>
      </c>
      <c r="B15523" s="3" t="s">
        <v>66</v>
      </c>
      <c r="C15523" s="4" t="str">
        <f t="shared" si="1194"/>
        <v>TCGA-BRCA</v>
      </c>
      <c r="D15523" s="1" t="s">
        <v>493</v>
      </c>
      <c r="E15523" t="s">
        <v>533</v>
      </c>
      <c r="F15523" s="1">
        <v>2</v>
      </c>
      <c r="G15523" s="1" t="s">
        <v>28</v>
      </c>
      <c r="H15523" s="4" t="str">
        <f>HYPERLINK("https://portal.gdc.cancer.gov/cases/8218119a-f68b-4ea7-9ee4-5e2edc2ae342","TCGA-E9-A245-01A")</f>
        <v>TCGA-E9-A245-01A</v>
      </c>
      <c r="I15523" t="s">
        <v>17</v>
      </c>
      <c r="J15523" t="s">
        <v>524</v>
      </c>
      <c r="K15523" t="s">
        <v>33</v>
      </c>
      <c r="L15523" t="s">
        <v>20</v>
      </c>
      <c r="N15523" t="s">
        <v>29</v>
      </c>
    </row>
    <row r="15524" spans="1:14">
      <c r="A15524" s="4" t="str">
        <f t="shared" si="1193"/>
        <v>EXP00415</v>
      </c>
      <c r="B15524" s="3" t="s">
        <v>66</v>
      </c>
      <c r="C15524" s="4" t="str">
        <f t="shared" si="1194"/>
        <v>TCGA-BRCA</v>
      </c>
      <c r="D15524" s="1" t="s">
        <v>493</v>
      </c>
      <c r="E15524" t="s">
        <v>533</v>
      </c>
      <c r="F15524" s="1">
        <v>2</v>
      </c>
      <c r="G15524" s="1" t="s">
        <v>28</v>
      </c>
      <c r="H15524" s="4" t="str">
        <f>HYPERLINK("https://portal.gdc.cancer.gov/cases/636b0a90-c8c2-4ad6-a77d-6cd428a826d1","TCGA-E9-A247-01A")</f>
        <v>TCGA-E9-A247-01A</v>
      </c>
      <c r="I15524" t="s">
        <v>17</v>
      </c>
      <c r="J15524" t="s">
        <v>524</v>
      </c>
      <c r="K15524" t="s">
        <v>33</v>
      </c>
      <c r="L15524" t="s">
        <v>20</v>
      </c>
      <c r="N15524" t="s">
        <v>29</v>
      </c>
    </row>
    <row r="15525" spans="1:14">
      <c r="A15525" s="4" t="str">
        <f t="shared" si="1193"/>
        <v>EXP00415</v>
      </c>
      <c r="B15525" s="3" t="s">
        <v>66</v>
      </c>
      <c r="C15525" s="4" t="str">
        <f t="shared" si="1194"/>
        <v>TCGA-BRCA</v>
      </c>
      <c r="D15525" s="1" t="s">
        <v>493</v>
      </c>
      <c r="E15525" t="s">
        <v>533</v>
      </c>
      <c r="F15525" s="1">
        <v>2</v>
      </c>
      <c r="G15525" s="1" t="s">
        <v>28</v>
      </c>
      <c r="H15525" s="4" t="str">
        <f>HYPERLINK("https://portal.gdc.cancer.gov/cases/539bbbed-43fb-4fef-9c67-6406f58b186a","TCGA-E9-A248-01A")</f>
        <v>TCGA-E9-A248-01A</v>
      </c>
      <c r="I15525" t="s">
        <v>17</v>
      </c>
      <c r="J15525" t="s">
        <v>524</v>
      </c>
      <c r="K15525" t="s">
        <v>33</v>
      </c>
      <c r="L15525" t="s">
        <v>20</v>
      </c>
      <c r="N15525" t="s">
        <v>29</v>
      </c>
    </row>
    <row r="15526" spans="1:14">
      <c r="A15526" s="4" t="str">
        <f t="shared" si="1193"/>
        <v>EXP00415</v>
      </c>
      <c r="B15526" s="3" t="s">
        <v>66</v>
      </c>
      <c r="C15526" s="4" t="str">
        <f t="shared" si="1194"/>
        <v>TCGA-BRCA</v>
      </c>
      <c r="D15526" s="1" t="s">
        <v>493</v>
      </c>
      <c r="E15526" t="s">
        <v>533</v>
      </c>
      <c r="F15526" s="1">
        <v>2</v>
      </c>
      <c r="G15526" s="1" t="s">
        <v>28</v>
      </c>
      <c r="H15526" s="4" t="str">
        <f>HYPERLINK("https://portal.gdc.cancer.gov/cases/fb3607eb-858e-4ecd-8477-95140658c6d2","TCGA-E9-A249-01A")</f>
        <v>TCGA-E9-A249-01A</v>
      </c>
      <c r="I15526" t="s">
        <v>17</v>
      </c>
      <c r="J15526" t="s">
        <v>524</v>
      </c>
      <c r="K15526" t="s">
        <v>33</v>
      </c>
      <c r="L15526" t="s">
        <v>20</v>
      </c>
      <c r="N15526" t="s">
        <v>29</v>
      </c>
    </row>
    <row r="15527" spans="1:14">
      <c r="A15527" s="4" t="str">
        <f t="shared" si="1193"/>
        <v>EXP00415</v>
      </c>
      <c r="B15527" s="3" t="s">
        <v>66</v>
      </c>
      <c r="C15527" s="4" t="str">
        <f t="shared" si="1194"/>
        <v>TCGA-BRCA</v>
      </c>
      <c r="D15527" s="1" t="s">
        <v>493</v>
      </c>
      <c r="E15527" t="s">
        <v>533</v>
      </c>
      <c r="F15527" s="1">
        <v>2</v>
      </c>
      <c r="G15527" s="1" t="s">
        <v>28</v>
      </c>
      <c r="H15527" s="4" t="str">
        <f>HYPERLINK("https://portal.gdc.cancer.gov/cases/9f3cc92b-fa22-478e-a2e4-6b4c8afb93d6","TCGA-E9-A24A-01A")</f>
        <v>TCGA-E9-A24A-01A</v>
      </c>
      <c r="I15527" t="s">
        <v>17</v>
      </c>
      <c r="J15527" t="s">
        <v>524</v>
      </c>
      <c r="K15527" t="s">
        <v>33</v>
      </c>
      <c r="L15527" t="s">
        <v>20</v>
      </c>
      <c r="N15527" t="s">
        <v>29</v>
      </c>
    </row>
    <row r="15528" spans="1:14">
      <c r="A15528" s="4" t="str">
        <f t="shared" si="1193"/>
        <v>EXP00415</v>
      </c>
      <c r="B15528" s="3" t="s">
        <v>66</v>
      </c>
      <c r="C15528" s="4" t="str">
        <f t="shared" si="1194"/>
        <v>TCGA-BRCA</v>
      </c>
      <c r="D15528" s="1" t="s">
        <v>493</v>
      </c>
      <c r="E15528" t="s">
        <v>533</v>
      </c>
      <c r="F15528" s="1">
        <v>2</v>
      </c>
      <c r="G15528" s="1" t="s">
        <v>28</v>
      </c>
      <c r="H15528" s="4" t="str">
        <f>HYPERLINK("https://portal.gdc.cancer.gov/cases/fec0da58-1047-44d2-b6d1-c18cceed43dc","TCGA-E9-A295-01A")</f>
        <v>TCGA-E9-A295-01A</v>
      </c>
      <c r="I15528" t="s">
        <v>17</v>
      </c>
      <c r="J15528" t="s">
        <v>524</v>
      </c>
      <c r="K15528" t="s">
        <v>33</v>
      </c>
      <c r="L15528" t="s">
        <v>20</v>
      </c>
      <c r="N15528" t="s">
        <v>29</v>
      </c>
    </row>
    <row r="15529" spans="1:14">
      <c r="A15529" s="4" t="str">
        <f t="shared" si="1193"/>
        <v>EXP00415</v>
      </c>
      <c r="B15529" s="3" t="s">
        <v>66</v>
      </c>
      <c r="C15529" s="4" t="str">
        <f t="shared" si="1194"/>
        <v>TCGA-BRCA</v>
      </c>
      <c r="D15529" s="1" t="s">
        <v>493</v>
      </c>
      <c r="E15529" t="s">
        <v>533</v>
      </c>
      <c r="F15529" s="1">
        <v>2</v>
      </c>
      <c r="G15529" s="1" t="s">
        <v>28</v>
      </c>
      <c r="H15529" s="4" t="str">
        <f>HYPERLINK("https://portal.gdc.cancer.gov/cases/4a831893-f4ca-4357-a756-b5e954e35dd7","TCGA-E9-A2JS-01A")</f>
        <v>TCGA-E9-A2JS-01A</v>
      </c>
      <c r="I15529" t="s">
        <v>17</v>
      </c>
      <c r="J15529" t="s">
        <v>524</v>
      </c>
      <c r="K15529" t="s">
        <v>33</v>
      </c>
      <c r="L15529" t="s">
        <v>20</v>
      </c>
      <c r="N15529" t="s">
        <v>29</v>
      </c>
    </row>
    <row r="15530" spans="1:14">
      <c r="A15530" s="4" t="str">
        <f t="shared" si="1193"/>
        <v>EXP00415</v>
      </c>
      <c r="B15530" s="3" t="s">
        <v>66</v>
      </c>
      <c r="C15530" s="4" t="str">
        <f t="shared" si="1194"/>
        <v>TCGA-BRCA</v>
      </c>
      <c r="D15530" s="1" t="s">
        <v>493</v>
      </c>
      <c r="E15530" t="s">
        <v>533</v>
      </c>
      <c r="F15530" s="1">
        <v>2</v>
      </c>
      <c r="G15530" s="1" t="s">
        <v>28</v>
      </c>
      <c r="H15530" s="4" t="str">
        <f>HYPERLINK("https://portal.gdc.cancer.gov/cases/b35fbe19-0e6d-427e-b9be-ee3527b5fca6","TCGA-E9-A2JT-01A")</f>
        <v>TCGA-E9-A2JT-01A</v>
      </c>
      <c r="I15530" t="s">
        <v>17</v>
      </c>
      <c r="J15530" t="s">
        <v>524</v>
      </c>
      <c r="K15530" t="s">
        <v>33</v>
      </c>
      <c r="L15530" t="s">
        <v>20</v>
      </c>
      <c r="N15530" t="s">
        <v>29</v>
      </c>
    </row>
    <row r="15531" spans="1:14">
      <c r="A15531" s="4" t="str">
        <f t="shared" si="1193"/>
        <v>EXP00415</v>
      </c>
      <c r="B15531" s="3" t="s">
        <v>66</v>
      </c>
      <c r="C15531" s="4" t="str">
        <f t="shared" si="1194"/>
        <v>TCGA-BRCA</v>
      </c>
      <c r="D15531" s="1" t="s">
        <v>493</v>
      </c>
      <c r="E15531" t="s">
        <v>533</v>
      </c>
      <c r="F15531" s="1">
        <v>2</v>
      </c>
      <c r="G15531" s="1" t="s">
        <v>28</v>
      </c>
      <c r="H15531" s="4" t="str">
        <f>HYPERLINK("https://portal.gdc.cancer.gov/cases/e36e985d-2c44-4e14-854a-7dbca4bb0304","TCGA-E9-A3Q9-01A")</f>
        <v>TCGA-E9-A3Q9-01A</v>
      </c>
      <c r="I15531" t="s">
        <v>17</v>
      </c>
      <c r="J15531" t="s">
        <v>524</v>
      </c>
      <c r="K15531" t="s">
        <v>33</v>
      </c>
      <c r="L15531" t="s">
        <v>20</v>
      </c>
      <c r="N15531" t="s">
        <v>29</v>
      </c>
    </row>
    <row r="15532" spans="1:14">
      <c r="A15532" s="4" t="str">
        <f t="shared" si="1193"/>
        <v>EXP00415</v>
      </c>
      <c r="B15532" s="3" t="s">
        <v>66</v>
      </c>
      <c r="C15532" s="4" t="str">
        <f t="shared" si="1194"/>
        <v>TCGA-BRCA</v>
      </c>
      <c r="D15532" s="1" t="s">
        <v>493</v>
      </c>
      <c r="E15532" t="s">
        <v>533</v>
      </c>
      <c r="F15532" s="1">
        <v>2</v>
      </c>
      <c r="G15532" s="1" t="s">
        <v>28</v>
      </c>
      <c r="H15532" s="4" t="str">
        <f>HYPERLINK("https://portal.gdc.cancer.gov/cases/f3cb557d-23e4-4fd1-81ca-db1a3f56d56e","TCGA-E9-A3QA-01A")</f>
        <v>TCGA-E9-A3QA-01A</v>
      </c>
      <c r="I15532" t="s">
        <v>17</v>
      </c>
      <c r="J15532" t="s">
        <v>524</v>
      </c>
      <c r="K15532" t="s">
        <v>33</v>
      </c>
      <c r="L15532" t="s">
        <v>20</v>
      </c>
      <c r="N15532" t="s">
        <v>29</v>
      </c>
    </row>
    <row r="15533" spans="1:14">
      <c r="A15533" s="4" t="str">
        <f t="shared" si="1193"/>
        <v>EXP00415</v>
      </c>
      <c r="B15533" s="3" t="s">
        <v>66</v>
      </c>
      <c r="C15533" s="4" t="str">
        <f t="shared" si="1194"/>
        <v>TCGA-BRCA</v>
      </c>
      <c r="D15533" s="1" t="s">
        <v>493</v>
      </c>
      <c r="E15533" t="s">
        <v>533</v>
      </c>
      <c r="F15533" s="1">
        <v>2</v>
      </c>
      <c r="G15533" s="1" t="s">
        <v>28</v>
      </c>
      <c r="H15533" s="4" t="str">
        <f>HYPERLINK("https://portal.gdc.cancer.gov/cases/95873e61-afdb-496c-9f77-3f9beb008cda","TCGA-E9-A3X8-01A")</f>
        <v>TCGA-E9-A3X8-01A</v>
      </c>
      <c r="I15533" t="s">
        <v>17</v>
      </c>
      <c r="J15533" t="s">
        <v>524</v>
      </c>
      <c r="K15533" t="s">
        <v>33</v>
      </c>
      <c r="L15533" t="s">
        <v>20</v>
      </c>
      <c r="N15533" t="s">
        <v>29</v>
      </c>
    </row>
    <row r="15534" spans="1:14">
      <c r="A15534" s="4" t="str">
        <f t="shared" si="1193"/>
        <v>EXP00415</v>
      </c>
      <c r="B15534" s="3" t="s">
        <v>66</v>
      </c>
      <c r="C15534" s="4" t="str">
        <f t="shared" si="1194"/>
        <v>TCGA-BRCA</v>
      </c>
      <c r="D15534" s="1" t="s">
        <v>493</v>
      </c>
      <c r="E15534" t="s">
        <v>533</v>
      </c>
      <c r="F15534" s="1">
        <v>2</v>
      </c>
      <c r="G15534" s="1" t="s">
        <v>28</v>
      </c>
      <c r="H15534" s="4" t="str">
        <f>HYPERLINK("https://portal.gdc.cancer.gov/cases/3dbc8d60-3a97-47b2-91d0-c18fb46b4365","TCGA-E9-A54X-01A")</f>
        <v>TCGA-E9-A54X-01A</v>
      </c>
      <c r="I15534" t="s">
        <v>17</v>
      </c>
      <c r="J15534" t="s">
        <v>524</v>
      </c>
      <c r="K15534" t="s">
        <v>33</v>
      </c>
      <c r="L15534" t="s">
        <v>20</v>
      </c>
      <c r="N15534" t="s">
        <v>29</v>
      </c>
    </row>
    <row r="15535" spans="1:14">
      <c r="A15535" s="4" t="str">
        <f t="shared" si="1193"/>
        <v>EXP00415</v>
      </c>
      <c r="B15535" s="3" t="s">
        <v>66</v>
      </c>
      <c r="C15535" s="4" t="str">
        <f t="shared" si="1194"/>
        <v>TCGA-BRCA</v>
      </c>
      <c r="D15535" s="1" t="s">
        <v>493</v>
      </c>
      <c r="E15535" t="s">
        <v>533</v>
      </c>
      <c r="F15535" s="1">
        <v>2</v>
      </c>
      <c r="G15535" s="1" t="s">
        <v>28</v>
      </c>
      <c r="H15535" s="4" t="str">
        <f>HYPERLINK("https://portal.gdc.cancer.gov/cases/182c4bdf-2c58-4303-b034-459da86b9d90","TCGA-E9-A54Y-01A")</f>
        <v>TCGA-E9-A54Y-01A</v>
      </c>
      <c r="I15535" t="s">
        <v>17</v>
      </c>
      <c r="J15535" t="s">
        <v>524</v>
      </c>
      <c r="K15535" t="s">
        <v>33</v>
      </c>
      <c r="L15535" t="s">
        <v>20</v>
      </c>
      <c r="N15535" t="s">
        <v>29</v>
      </c>
    </row>
    <row r="15536" spans="1:14">
      <c r="A15536" s="4" t="str">
        <f t="shared" si="1193"/>
        <v>EXP00415</v>
      </c>
      <c r="B15536" s="3" t="s">
        <v>66</v>
      </c>
      <c r="C15536" s="4" t="str">
        <f t="shared" si="1194"/>
        <v>TCGA-BRCA</v>
      </c>
      <c r="D15536" s="1" t="s">
        <v>493</v>
      </c>
      <c r="E15536" t="s">
        <v>533</v>
      </c>
      <c r="F15536" s="1">
        <v>2</v>
      </c>
      <c r="G15536" s="1" t="s">
        <v>28</v>
      </c>
      <c r="H15536" s="4" t="str">
        <f>HYPERLINK("https://portal.gdc.cancer.gov/cases/b304302a-f2b9-4cd7-ab14-c21edf7778ea","TCGA-E9-A5FK-01A")</f>
        <v>TCGA-E9-A5FK-01A</v>
      </c>
      <c r="I15536" t="s">
        <v>17</v>
      </c>
      <c r="J15536" t="s">
        <v>524</v>
      </c>
      <c r="K15536" t="s">
        <v>33</v>
      </c>
      <c r="L15536" t="s">
        <v>20</v>
      </c>
      <c r="N15536" t="s">
        <v>29</v>
      </c>
    </row>
    <row r="15537" spans="1:14">
      <c r="A15537" s="4" t="str">
        <f t="shared" si="1193"/>
        <v>EXP00415</v>
      </c>
      <c r="B15537" s="3" t="s">
        <v>66</v>
      </c>
      <c r="C15537" s="4" t="str">
        <f t="shared" si="1194"/>
        <v>TCGA-BRCA</v>
      </c>
      <c r="D15537" s="1" t="s">
        <v>493</v>
      </c>
      <c r="E15537" t="s">
        <v>533</v>
      </c>
      <c r="F15537" s="1">
        <v>2</v>
      </c>
      <c r="G15537" s="1" t="s">
        <v>28</v>
      </c>
      <c r="H15537" s="4" t="str">
        <f>HYPERLINK("https://portal.gdc.cancer.gov/cases/e3935ce4-64d3-4a66-ba11-d308b844b410","TCGA-E9-A5FL-01A")</f>
        <v>TCGA-E9-A5FL-01A</v>
      </c>
      <c r="I15537" t="s">
        <v>17</v>
      </c>
      <c r="J15537" t="s">
        <v>524</v>
      </c>
      <c r="K15537" t="s">
        <v>33</v>
      </c>
      <c r="L15537" t="s">
        <v>20</v>
      </c>
      <c r="N15537" t="s">
        <v>29</v>
      </c>
    </row>
    <row r="15538" spans="1:14">
      <c r="A15538" s="4" t="str">
        <f t="shared" si="1193"/>
        <v>EXP00415</v>
      </c>
      <c r="B15538" s="3" t="s">
        <v>66</v>
      </c>
      <c r="C15538" s="4" t="str">
        <f t="shared" si="1194"/>
        <v>TCGA-BRCA</v>
      </c>
      <c r="D15538" s="1" t="s">
        <v>493</v>
      </c>
      <c r="E15538" t="s">
        <v>533</v>
      </c>
      <c r="F15538" s="1">
        <v>2</v>
      </c>
      <c r="G15538" s="1" t="s">
        <v>28</v>
      </c>
      <c r="H15538" s="4" t="str">
        <f>HYPERLINK("https://portal.gdc.cancer.gov/cases/ed2617c3-5d3b-4688-9283-0f8a10e0b10d","TCGA-E9-A5UO-01A")</f>
        <v>TCGA-E9-A5UO-01A</v>
      </c>
      <c r="I15538" t="s">
        <v>17</v>
      </c>
      <c r="J15538" t="s">
        <v>524</v>
      </c>
      <c r="K15538" t="s">
        <v>33</v>
      </c>
      <c r="L15538" t="s">
        <v>20</v>
      </c>
      <c r="N15538" t="s">
        <v>29</v>
      </c>
    </row>
    <row r="15539" spans="1:14">
      <c r="A15539" s="4" t="str">
        <f t="shared" si="1193"/>
        <v>EXP00415</v>
      </c>
      <c r="B15539" s="3" t="s">
        <v>66</v>
      </c>
      <c r="C15539" s="4" t="str">
        <f t="shared" si="1194"/>
        <v>TCGA-BRCA</v>
      </c>
      <c r="D15539" s="1" t="s">
        <v>493</v>
      </c>
      <c r="E15539" t="s">
        <v>533</v>
      </c>
      <c r="F15539" s="1">
        <v>2</v>
      </c>
      <c r="G15539" s="1" t="s">
        <v>28</v>
      </c>
      <c r="H15539" s="4" t="str">
        <f>HYPERLINK("https://portal.gdc.cancer.gov/cases/a412b374-4d25-491f-b76f-ddaa989acf59","TCGA-E9-A5UP-01A")</f>
        <v>TCGA-E9-A5UP-01A</v>
      </c>
      <c r="I15539" t="s">
        <v>17</v>
      </c>
      <c r="J15539" t="s">
        <v>524</v>
      </c>
      <c r="K15539" t="s">
        <v>33</v>
      </c>
      <c r="L15539" t="s">
        <v>20</v>
      </c>
      <c r="N15539" t="s">
        <v>29</v>
      </c>
    </row>
    <row r="15540" spans="1:14">
      <c r="A15540" s="4" t="str">
        <f t="shared" si="1193"/>
        <v>EXP00415</v>
      </c>
      <c r="B15540" s="3" t="s">
        <v>66</v>
      </c>
      <c r="C15540" s="4" t="str">
        <f t="shared" si="1194"/>
        <v>TCGA-BRCA</v>
      </c>
      <c r="D15540" s="1" t="s">
        <v>493</v>
      </c>
      <c r="E15540" t="s">
        <v>533</v>
      </c>
      <c r="F15540" s="1">
        <v>2</v>
      </c>
      <c r="G15540" s="1" t="s">
        <v>28</v>
      </c>
      <c r="H15540" s="4" t="str">
        <f>HYPERLINK("https://portal.gdc.cancer.gov/cases/7e9c8d3c-790c-46ad-8f31-b557b7c26f69","TCGA-E9-A6HE-01A")</f>
        <v>TCGA-E9-A6HE-01A</v>
      </c>
      <c r="I15540" t="s">
        <v>17</v>
      </c>
      <c r="J15540" t="s">
        <v>524</v>
      </c>
      <c r="K15540" t="s">
        <v>33</v>
      </c>
      <c r="L15540" t="s">
        <v>20</v>
      </c>
      <c r="N15540" t="s">
        <v>29</v>
      </c>
    </row>
    <row r="15541" spans="1:14">
      <c r="A15541" s="4" t="str">
        <f t="shared" si="1193"/>
        <v>EXP00415</v>
      </c>
      <c r="B15541" s="3" t="s">
        <v>66</v>
      </c>
      <c r="C15541" s="4" t="str">
        <f t="shared" si="1194"/>
        <v>TCGA-BRCA</v>
      </c>
      <c r="D15541" s="1" t="s">
        <v>493</v>
      </c>
      <c r="E15541" t="s">
        <v>533</v>
      </c>
      <c r="F15541" s="1">
        <v>2</v>
      </c>
      <c r="G15541" s="1" t="s">
        <v>28</v>
      </c>
      <c r="H15541" s="4" t="str">
        <f>HYPERLINK("https://portal.gdc.cancer.gov/cases/5e2cbc56-97f9-4b94-ade2-a3f739bcc7be","TCGA-EW-A1IW-01A")</f>
        <v>TCGA-EW-A1IW-01A</v>
      </c>
      <c r="I15541" t="s">
        <v>17</v>
      </c>
      <c r="J15541" t="s">
        <v>524</v>
      </c>
      <c r="K15541" t="s">
        <v>33</v>
      </c>
      <c r="L15541" t="s">
        <v>20</v>
      </c>
      <c r="N15541" t="s">
        <v>29</v>
      </c>
    </row>
    <row r="15542" spans="1:14">
      <c r="A15542" s="4" t="str">
        <f t="shared" si="1193"/>
        <v>EXP00415</v>
      </c>
      <c r="B15542" s="3" t="s">
        <v>66</v>
      </c>
      <c r="C15542" s="4" t="str">
        <f t="shared" si="1194"/>
        <v>TCGA-BRCA</v>
      </c>
      <c r="D15542" s="1" t="s">
        <v>493</v>
      </c>
      <c r="E15542" t="s">
        <v>533</v>
      </c>
      <c r="F15542" s="1">
        <v>2</v>
      </c>
      <c r="G15542" s="1" t="s">
        <v>28</v>
      </c>
      <c r="H15542" s="4" t="str">
        <f>HYPERLINK("https://portal.gdc.cancer.gov/cases/e8614b7d-132e-4b4e-b1ae-df8bb4f2d4d4","TCGA-EW-A1IX-01A")</f>
        <v>TCGA-EW-A1IX-01A</v>
      </c>
      <c r="I15542" t="s">
        <v>17</v>
      </c>
      <c r="J15542" t="s">
        <v>524</v>
      </c>
      <c r="K15542" t="s">
        <v>33</v>
      </c>
      <c r="L15542" t="s">
        <v>20</v>
      </c>
      <c r="N15542" t="s">
        <v>29</v>
      </c>
    </row>
    <row r="15543" spans="1:14">
      <c r="A15543" s="4" t="str">
        <f t="shared" si="1193"/>
        <v>EXP00415</v>
      </c>
      <c r="B15543" s="3" t="s">
        <v>66</v>
      </c>
      <c r="C15543" s="4" t="str">
        <f t="shared" si="1194"/>
        <v>TCGA-BRCA</v>
      </c>
      <c r="D15543" s="1" t="s">
        <v>493</v>
      </c>
      <c r="E15543" t="s">
        <v>533</v>
      </c>
      <c r="F15543" s="1">
        <v>2</v>
      </c>
      <c r="G15543" s="1" t="s">
        <v>28</v>
      </c>
      <c r="H15543" s="4" t="str">
        <f>HYPERLINK("https://portal.gdc.cancer.gov/cases/5ff12cbe-a3e0-4ce6-8452-12b984a1baaf","TCGA-EW-A1IY-01A")</f>
        <v>TCGA-EW-A1IY-01A</v>
      </c>
      <c r="I15543" t="s">
        <v>17</v>
      </c>
      <c r="J15543" t="s">
        <v>524</v>
      </c>
      <c r="K15543" t="s">
        <v>33</v>
      </c>
      <c r="L15543" t="s">
        <v>20</v>
      </c>
      <c r="N15543" t="s">
        <v>29</v>
      </c>
    </row>
    <row r="15544" spans="1:14">
      <c r="A15544" s="4" t="str">
        <f t="shared" ref="A15544:A15607" si="1195">HYPERLINK("http://hcmdb.i-sanger.com/experiment/details/experiment_id/EXP00415","EXP00415")</f>
        <v>EXP00415</v>
      </c>
      <c r="B15544" s="3" t="s">
        <v>66</v>
      </c>
      <c r="C15544" s="4" t="str">
        <f t="shared" si="1194"/>
        <v>TCGA-BRCA</v>
      </c>
      <c r="D15544" s="1" t="s">
        <v>493</v>
      </c>
      <c r="E15544" t="s">
        <v>533</v>
      </c>
      <c r="F15544" s="1">
        <v>2</v>
      </c>
      <c r="G15544" s="1" t="s">
        <v>28</v>
      </c>
      <c r="H15544" s="4" t="str">
        <f>HYPERLINK("https://portal.gdc.cancer.gov/cases/c0f88fc5-56b0-4255-bbd1-9a21ced8b37b","TCGA-EW-A1IZ-01A")</f>
        <v>TCGA-EW-A1IZ-01A</v>
      </c>
      <c r="I15544" t="s">
        <v>17</v>
      </c>
      <c r="J15544" t="s">
        <v>524</v>
      </c>
      <c r="K15544" t="s">
        <v>33</v>
      </c>
      <c r="L15544" t="s">
        <v>20</v>
      </c>
      <c r="N15544" t="s">
        <v>29</v>
      </c>
    </row>
    <row r="15545" spans="1:14">
      <c r="A15545" s="4" t="str">
        <f t="shared" si="1195"/>
        <v>EXP00415</v>
      </c>
      <c r="B15545" s="3" t="s">
        <v>66</v>
      </c>
      <c r="C15545" s="4" t="str">
        <f t="shared" si="1194"/>
        <v>TCGA-BRCA</v>
      </c>
      <c r="D15545" s="1" t="s">
        <v>493</v>
      </c>
      <c r="E15545" t="s">
        <v>533</v>
      </c>
      <c r="F15545" s="1">
        <v>2</v>
      </c>
      <c r="G15545" s="1" t="s">
        <v>28</v>
      </c>
      <c r="H15545" s="4" t="str">
        <f>HYPERLINK("https://portal.gdc.cancer.gov/cases/ed6cef77-1bd9-4e3b-b576-550a91e4253a","TCGA-EW-A1J1-01A")</f>
        <v>TCGA-EW-A1J1-01A</v>
      </c>
      <c r="I15545" t="s">
        <v>17</v>
      </c>
      <c r="J15545" t="s">
        <v>524</v>
      </c>
      <c r="K15545" t="s">
        <v>33</v>
      </c>
      <c r="L15545" t="s">
        <v>20</v>
      </c>
      <c r="N15545" t="s">
        <v>29</v>
      </c>
    </row>
    <row r="15546" spans="1:14">
      <c r="A15546" s="4" t="str">
        <f t="shared" si="1195"/>
        <v>EXP00415</v>
      </c>
      <c r="B15546" s="3" t="s">
        <v>66</v>
      </c>
      <c r="C15546" s="4" t="str">
        <f t="shared" ref="C15546:C15609" si="1196">HYPERLINK("https://portal.gdc.cancer.gov/projects/TCGA-BRCA","TCGA-BRCA")</f>
        <v>TCGA-BRCA</v>
      </c>
      <c r="D15546" s="1" t="s">
        <v>493</v>
      </c>
      <c r="E15546" t="s">
        <v>533</v>
      </c>
      <c r="F15546" s="1">
        <v>2</v>
      </c>
      <c r="G15546" s="1" t="s">
        <v>28</v>
      </c>
      <c r="H15546" s="4" t="str">
        <f>HYPERLINK("https://portal.gdc.cancer.gov/cases/a381275f-8858-4793-a8a2-0ca9db7274c8","TCGA-EW-A1J2-01A")</f>
        <v>TCGA-EW-A1J2-01A</v>
      </c>
      <c r="I15546" t="s">
        <v>17</v>
      </c>
      <c r="J15546" t="s">
        <v>524</v>
      </c>
      <c r="K15546" t="s">
        <v>33</v>
      </c>
      <c r="L15546" t="s">
        <v>20</v>
      </c>
      <c r="N15546" t="s">
        <v>29</v>
      </c>
    </row>
    <row r="15547" spans="1:14">
      <c r="A15547" s="4" t="str">
        <f t="shared" si="1195"/>
        <v>EXP00415</v>
      </c>
      <c r="B15547" s="3" t="s">
        <v>66</v>
      </c>
      <c r="C15547" s="4" t="str">
        <f t="shared" si="1196"/>
        <v>TCGA-BRCA</v>
      </c>
      <c r="D15547" s="1" t="s">
        <v>493</v>
      </c>
      <c r="E15547" t="s">
        <v>533</v>
      </c>
      <c r="F15547" s="1">
        <v>2</v>
      </c>
      <c r="G15547" s="1" t="s">
        <v>28</v>
      </c>
      <c r="H15547" s="4" t="str">
        <f>HYPERLINK("https://portal.gdc.cancer.gov/cases/bb1de798-0c02-437e-b539-33cb556d3993","TCGA-EW-A1J3-01A")</f>
        <v>TCGA-EW-A1J3-01A</v>
      </c>
      <c r="I15547" t="s">
        <v>17</v>
      </c>
      <c r="J15547" t="s">
        <v>524</v>
      </c>
      <c r="K15547" t="s">
        <v>33</v>
      </c>
      <c r="L15547" t="s">
        <v>20</v>
      </c>
      <c r="N15547" t="s">
        <v>29</v>
      </c>
    </row>
    <row r="15548" spans="1:14">
      <c r="A15548" s="4" t="str">
        <f t="shared" si="1195"/>
        <v>EXP00415</v>
      </c>
      <c r="B15548" s="3" t="s">
        <v>66</v>
      </c>
      <c r="C15548" s="4" t="str">
        <f t="shared" si="1196"/>
        <v>TCGA-BRCA</v>
      </c>
      <c r="D15548" s="1" t="s">
        <v>493</v>
      </c>
      <c r="E15548" t="s">
        <v>533</v>
      </c>
      <c r="F15548" s="1">
        <v>2</v>
      </c>
      <c r="G15548" s="1" t="s">
        <v>28</v>
      </c>
      <c r="H15548" s="4" t="str">
        <f>HYPERLINK("https://portal.gdc.cancer.gov/cases/5d8ed961-a012-4b6b-bffb-9468d3953646","TCGA-EW-A1J5-01A")</f>
        <v>TCGA-EW-A1J5-01A</v>
      </c>
      <c r="I15548" t="s">
        <v>17</v>
      </c>
      <c r="J15548" t="s">
        <v>524</v>
      </c>
      <c r="K15548" t="s">
        <v>33</v>
      </c>
      <c r="L15548" t="s">
        <v>20</v>
      </c>
      <c r="N15548" t="s">
        <v>29</v>
      </c>
    </row>
    <row r="15549" spans="1:14">
      <c r="A15549" s="4" t="str">
        <f t="shared" si="1195"/>
        <v>EXP00415</v>
      </c>
      <c r="B15549" s="3" t="s">
        <v>66</v>
      </c>
      <c r="C15549" s="4" t="str">
        <f t="shared" si="1196"/>
        <v>TCGA-BRCA</v>
      </c>
      <c r="D15549" s="1" t="s">
        <v>493</v>
      </c>
      <c r="E15549" t="s">
        <v>533</v>
      </c>
      <c r="F15549" s="1">
        <v>2</v>
      </c>
      <c r="G15549" s="1" t="s">
        <v>28</v>
      </c>
      <c r="H15549" s="4" t="str">
        <f>HYPERLINK("https://portal.gdc.cancer.gov/cases/87281a89-91d2-44f7-9f80-668567ad5c72","TCGA-EW-A1J6-01A")</f>
        <v>TCGA-EW-A1J6-01A</v>
      </c>
      <c r="I15549" t="s">
        <v>17</v>
      </c>
      <c r="J15549" t="s">
        <v>524</v>
      </c>
      <c r="K15549" t="s">
        <v>33</v>
      </c>
      <c r="L15549" t="s">
        <v>20</v>
      </c>
      <c r="N15549" t="s">
        <v>29</v>
      </c>
    </row>
    <row r="15550" spans="1:14">
      <c r="A15550" s="4" t="str">
        <f t="shared" si="1195"/>
        <v>EXP00415</v>
      </c>
      <c r="B15550" s="3" t="s">
        <v>66</v>
      </c>
      <c r="C15550" s="4" t="str">
        <f t="shared" si="1196"/>
        <v>TCGA-BRCA</v>
      </c>
      <c r="D15550" s="1" t="s">
        <v>493</v>
      </c>
      <c r="E15550" t="s">
        <v>533</v>
      </c>
      <c r="F15550" s="1">
        <v>2</v>
      </c>
      <c r="G15550" s="1" t="s">
        <v>28</v>
      </c>
      <c r="H15550" s="4" t="str">
        <f>HYPERLINK("https://portal.gdc.cancer.gov/cases/ac68d219-5670-4ddd-8df6-8aa7ad59e5c7","TCGA-EW-A1OV-01A")</f>
        <v>TCGA-EW-A1OV-01A</v>
      </c>
      <c r="I15550" t="s">
        <v>17</v>
      </c>
      <c r="J15550" t="s">
        <v>524</v>
      </c>
      <c r="K15550" t="s">
        <v>33</v>
      </c>
      <c r="L15550" t="s">
        <v>20</v>
      </c>
      <c r="N15550" t="s">
        <v>29</v>
      </c>
    </row>
    <row r="15551" spans="1:14">
      <c r="A15551" s="4" t="str">
        <f t="shared" si="1195"/>
        <v>EXP00415</v>
      </c>
      <c r="B15551" s="3" t="s">
        <v>66</v>
      </c>
      <c r="C15551" s="4" t="str">
        <f t="shared" si="1196"/>
        <v>TCGA-BRCA</v>
      </c>
      <c r="D15551" s="1" t="s">
        <v>493</v>
      </c>
      <c r="E15551" t="s">
        <v>533</v>
      </c>
      <c r="F15551" s="1">
        <v>2</v>
      </c>
      <c r="G15551" s="1" t="s">
        <v>28</v>
      </c>
      <c r="H15551" s="4" t="str">
        <f>HYPERLINK("https://portal.gdc.cancer.gov/cases/f55dd73d-8c36-440b-84e5-9aae53107775","TCGA-EW-A1OW-01A")</f>
        <v>TCGA-EW-A1OW-01A</v>
      </c>
      <c r="I15551" t="s">
        <v>17</v>
      </c>
      <c r="J15551" t="s">
        <v>524</v>
      </c>
      <c r="K15551" t="s">
        <v>33</v>
      </c>
      <c r="L15551" t="s">
        <v>20</v>
      </c>
      <c r="N15551" t="s">
        <v>29</v>
      </c>
    </row>
    <row r="15552" spans="1:14">
      <c r="A15552" s="4" t="str">
        <f t="shared" si="1195"/>
        <v>EXP00415</v>
      </c>
      <c r="B15552" s="3" t="s">
        <v>66</v>
      </c>
      <c r="C15552" s="4" t="str">
        <f t="shared" si="1196"/>
        <v>TCGA-BRCA</v>
      </c>
      <c r="D15552" s="1" t="s">
        <v>493</v>
      </c>
      <c r="E15552" t="s">
        <v>533</v>
      </c>
      <c r="F15552" s="1">
        <v>2</v>
      </c>
      <c r="G15552" s="1" t="s">
        <v>28</v>
      </c>
      <c r="H15552" s="4" t="str">
        <f>HYPERLINK("https://portal.gdc.cancer.gov/cases/5fc7ff35-d3f7-4687-8759-3542bd58e988","TCGA-EW-A1OX-01A")</f>
        <v>TCGA-EW-A1OX-01A</v>
      </c>
      <c r="I15552" t="s">
        <v>17</v>
      </c>
      <c r="J15552" t="s">
        <v>524</v>
      </c>
      <c r="K15552" t="s">
        <v>33</v>
      </c>
      <c r="L15552" t="s">
        <v>20</v>
      </c>
      <c r="N15552" t="s">
        <v>29</v>
      </c>
    </row>
    <row r="15553" spans="1:14">
      <c r="A15553" s="4" t="str">
        <f t="shared" si="1195"/>
        <v>EXP00415</v>
      </c>
      <c r="B15553" s="3" t="s">
        <v>66</v>
      </c>
      <c r="C15553" s="4" t="str">
        <f t="shared" si="1196"/>
        <v>TCGA-BRCA</v>
      </c>
      <c r="D15553" s="1" t="s">
        <v>493</v>
      </c>
      <c r="E15553" t="s">
        <v>533</v>
      </c>
      <c r="F15553" s="1">
        <v>2</v>
      </c>
      <c r="G15553" s="1" t="s">
        <v>28</v>
      </c>
      <c r="H15553" s="4" t="str">
        <f>HYPERLINK("https://portal.gdc.cancer.gov/cases/53ff5893-7d5e-4bcb-be9c-665fa34b7824","TCGA-EW-A1OY-01A")</f>
        <v>TCGA-EW-A1OY-01A</v>
      </c>
      <c r="I15553" t="s">
        <v>17</v>
      </c>
      <c r="J15553" t="s">
        <v>524</v>
      </c>
      <c r="K15553" t="s">
        <v>33</v>
      </c>
      <c r="L15553" t="s">
        <v>20</v>
      </c>
      <c r="N15553" t="s">
        <v>29</v>
      </c>
    </row>
    <row r="15554" spans="1:14">
      <c r="A15554" s="4" t="str">
        <f t="shared" si="1195"/>
        <v>EXP00415</v>
      </c>
      <c r="B15554" s="3" t="s">
        <v>66</v>
      </c>
      <c r="C15554" s="4" t="str">
        <f t="shared" si="1196"/>
        <v>TCGA-BRCA</v>
      </c>
      <c r="D15554" s="1" t="s">
        <v>493</v>
      </c>
      <c r="E15554" t="s">
        <v>533</v>
      </c>
      <c r="F15554" s="1">
        <v>2</v>
      </c>
      <c r="G15554" s="1" t="s">
        <v>28</v>
      </c>
      <c r="H15554" s="4" t="str">
        <f>HYPERLINK("https://portal.gdc.cancer.gov/cases/8f912a40-3251-4e1f-ae65-1f93d71f9881","TCGA-EW-A1OZ-01A")</f>
        <v>TCGA-EW-A1OZ-01A</v>
      </c>
      <c r="I15554" t="s">
        <v>17</v>
      </c>
      <c r="J15554" t="s">
        <v>524</v>
      </c>
      <c r="K15554" t="s">
        <v>33</v>
      </c>
      <c r="L15554" t="s">
        <v>20</v>
      </c>
      <c r="N15554" t="s">
        <v>29</v>
      </c>
    </row>
    <row r="15555" spans="1:14">
      <c r="A15555" s="4" t="str">
        <f t="shared" si="1195"/>
        <v>EXP00415</v>
      </c>
      <c r="B15555" s="3" t="s">
        <v>66</v>
      </c>
      <c r="C15555" s="4" t="str">
        <f t="shared" si="1196"/>
        <v>TCGA-BRCA</v>
      </c>
      <c r="D15555" s="1" t="s">
        <v>493</v>
      </c>
      <c r="E15555" t="s">
        <v>533</v>
      </c>
      <c r="F15555" s="1">
        <v>2</v>
      </c>
      <c r="G15555" s="1" t="s">
        <v>28</v>
      </c>
      <c r="H15555" s="4" t="str">
        <f>HYPERLINK("https://portal.gdc.cancer.gov/cases/81e32f39-3aa0-468b-87ed-dd2eb6165ddf","TCGA-EW-A1P0-01A")</f>
        <v>TCGA-EW-A1P0-01A</v>
      </c>
      <c r="I15555" t="s">
        <v>17</v>
      </c>
      <c r="J15555" t="s">
        <v>524</v>
      </c>
      <c r="K15555" t="s">
        <v>33</v>
      </c>
      <c r="L15555" t="s">
        <v>20</v>
      </c>
      <c r="N15555" t="s">
        <v>29</v>
      </c>
    </row>
    <row r="15556" spans="1:14">
      <c r="A15556" s="4" t="str">
        <f t="shared" si="1195"/>
        <v>EXP00415</v>
      </c>
      <c r="B15556" s="3" t="s">
        <v>66</v>
      </c>
      <c r="C15556" s="4" t="str">
        <f t="shared" si="1196"/>
        <v>TCGA-BRCA</v>
      </c>
      <c r="D15556" s="1" t="s">
        <v>493</v>
      </c>
      <c r="E15556" t="s">
        <v>533</v>
      </c>
      <c r="F15556" s="1">
        <v>2</v>
      </c>
      <c r="G15556" s="1" t="s">
        <v>28</v>
      </c>
      <c r="H15556" s="4" t="str">
        <f>HYPERLINK("https://portal.gdc.cancer.gov/cases/f2e28af9-c40e-41c4-9e82-205cca38f26a","TCGA-EW-A1P1-01A")</f>
        <v>TCGA-EW-A1P1-01A</v>
      </c>
      <c r="I15556" t="s">
        <v>17</v>
      </c>
      <c r="J15556" t="s">
        <v>524</v>
      </c>
      <c r="K15556" t="s">
        <v>33</v>
      </c>
      <c r="L15556" t="s">
        <v>20</v>
      </c>
      <c r="N15556" t="s">
        <v>29</v>
      </c>
    </row>
    <row r="15557" spans="1:14">
      <c r="A15557" s="4" t="str">
        <f t="shared" si="1195"/>
        <v>EXP00415</v>
      </c>
      <c r="B15557" s="3" t="s">
        <v>66</v>
      </c>
      <c r="C15557" s="4" t="str">
        <f t="shared" si="1196"/>
        <v>TCGA-BRCA</v>
      </c>
      <c r="D15557" s="1" t="s">
        <v>493</v>
      </c>
      <c r="E15557" t="s">
        <v>533</v>
      </c>
      <c r="F15557" s="1">
        <v>2</v>
      </c>
      <c r="G15557" s="1" t="s">
        <v>28</v>
      </c>
      <c r="H15557" s="4" t="str">
        <f>HYPERLINK("https://portal.gdc.cancer.gov/cases/1ff85ada-3cdd-4afb-b311-2c7befb52702","TCGA-EW-A1P3-01A")</f>
        <v>TCGA-EW-A1P3-01A</v>
      </c>
      <c r="I15557" t="s">
        <v>17</v>
      </c>
      <c r="J15557" t="s">
        <v>524</v>
      </c>
      <c r="K15557" t="s">
        <v>33</v>
      </c>
      <c r="L15557" t="s">
        <v>20</v>
      </c>
      <c r="N15557" t="s">
        <v>29</v>
      </c>
    </row>
    <row r="15558" spans="1:14">
      <c r="A15558" s="4" t="str">
        <f t="shared" si="1195"/>
        <v>EXP00415</v>
      </c>
      <c r="B15558" s="3" t="s">
        <v>66</v>
      </c>
      <c r="C15558" s="4" t="str">
        <f t="shared" si="1196"/>
        <v>TCGA-BRCA</v>
      </c>
      <c r="D15558" s="1" t="s">
        <v>493</v>
      </c>
      <c r="E15558" t="s">
        <v>533</v>
      </c>
      <c r="F15558" s="1">
        <v>2</v>
      </c>
      <c r="G15558" s="1" t="s">
        <v>28</v>
      </c>
      <c r="H15558" s="4" t="str">
        <f>HYPERLINK("https://portal.gdc.cancer.gov/cases/521e2140-ae5b-456f-8699-97398d009687","TCGA-EW-A1P4-01A")</f>
        <v>TCGA-EW-A1P4-01A</v>
      </c>
      <c r="I15558" t="s">
        <v>17</v>
      </c>
      <c r="J15558" t="s">
        <v>524</v>
      </c>
      <c r="K15558" t="s">
        <v>33</v>
      </c>
      <c r="L15558" t="s">
        <v>20</v>
      </c>
      <c r="N15558" t="s">
        <v>29</v>
      </c>
    </row>
    <row r="15559" spans="1:14">
      <c r="A15559" s="4" t="str">
        <f t="shared" si="1195"/>
        <v>EXP00415</v>
      </c>
      <c r="B15559" s="3" t="s">
        <v>66</v>
      </c>
      <c r="C15559" s="4" t="str">
        <f t="shared" si="1196"/>
        <v>TCGA-BRCA</v>
      </c>
      <c r="D15559" s="1" t="s">
        <v>493</v>
      </c>
      <c r="E15559" t="s">
        <v>533</v>
      </c>
      <c r="F15559" s="1">
        <v>2</v>
      </c>
      <c r="G15559" s="1" t="s">
        <v>28</v>
      </c>
      <c r="H15559" s="4" t="str">
        <f>HYPERLINK("https://portal.gdc.cancer.gov/cases/53d0af48-d7ea-42c9-8695-c614b89b415b","TCGA-EW-A1P5-01A")</f>
        <v>TCGA-EW-A1P5-01A</v>
      </c>
      <c r="I15559" t="s">
        <v>17</v>
      </c>
      <c r="J15559" t="s">
        <v>524</v>
      </c>
      <c r="K15559" t="s">
        <v>33</v>
      </c>
      <c r="L15559" t="s">
        <v>20</v>
      </c>
      <c r="N15559" t="s">
        <v>29</v>
      </c>
    </row>
    <row r="15560" spans="1:14">
      <c r="A15560" s="4" t="str">
        <f t="shared" si="1195"/>
        <v>EXP00415</v>
      </c>
      <c r="B15560" s="3" t="s">
        <v>66</v>
      </c>
      <c r="C15560" s="4" t="str">
        <f t="shared" si="1196"/>
        <v>TCGA-BRCA</v>
      </c>
      <c r="D15560" s="1" t="s">
        <v>493</v>
      </c>
      <c r="E15560" t="s">
        <v>533</v>
      </c>
      <c r="F15560" s="1">
        <v>2</v>
      </c>
      <c r="G15560" s="1" t="s">
        <v>28</v>
      </c>
      <c r="H15560" s="4" t="str">
        <f>HYPERLINK("https://portal.gdc.cancer.gov/cases/ee5744c0-a8dc-43f2-abdd-0b5529a3e9fb","TCGA-EW-A1P6-01A")</f>
        <v>TCGA-EW-A1P6-01A</v>
      </c>
      <c r="I15560" t="s">
        <v>17</v>
      </c>
      <c r="J15560" t="s">
        <v>524</v>
      </c>
      <c r="K15560" t="s">
        <v>33</v>
      </c>
      <c r="L15560" t="s">
        <v>20</v>
      </c>
      <c r="N15560" t="s">
        <v>29</v>
      </c>
    </row>
    <row r="15561" spans="1:14">
      <c r="A15561" s="4" t="str">
        <f t="shared" si="1195"/>
        <v>EXP00415</v>
      </c>
      <c r="B15561" s="3" t="s">
        <v>66</v>
      </c>
      <c r="C15561" s="4" t="str">
        <f t="shared" si="1196"/>
        <v>TCGA-BRCA</v>
      </c>
      <c r="D15561" s="1" t="s">
        <v>493</v>
      </c>
      <c r="E15561" t="s">
        <v>533</v>
      </c>
      <c r="F15561" s="1">
        <v>2</v>
      </c>
      <c r="G15561" s="1" t="s">
        <v>28</v>
      </c>
      <c r="H15561" s="4" t="str">
        <f>HYPERLINK("https://portal.gdc.cancer.gov/cases/01674b2c-5cf2-478f-84a1-f69c39f47bd4","TCGA-EW-A1P7-01A")</f>
        <v>TCGA-EW-A1P7-01A</v>
      </c>
      <c r="I15561" t="s">
        <v>17</v>
      </c>
      <c r="J15561" t="s">
        <v>524</v>
      </c>
      <c r="K15561" t="s">
        <v>33</v>
      </c>
      <c r="L15561" t="s">
        <v>20</v>
      </c>
      <c r="N15561" t="s">
        <v>29</v>
      </c>
    </row>
    <row r="15562" spans="1:14">
      <c r="A15562" s="4" t="str">
        <f t="shared" si="1195"/>
        <v>EXP00415</v>
      </c>
      <c r="B15562" s="3" t="s">
        <v>66</v>
      </c>
      <c r="C15562" s="4" t="str">
        <f t="shared" si="1196"/>
        <v>TCGA-BRCA</v>
      </c>
      <c r="D15562" s="1" t="s">
        <v>493</v>
      </c>
      <c r="E15562" t="s">
        <v>533</v>
      </c>
      <c r="F15562" s="1">
        <v>2</v>
      </c>
      <c r="G15562" s="1" t="s">
        <v>28</v>
      </c>
      <c r="H15562" s="4" t="str">
        <f>HYPERLINK("https://portal.gdc.cancer.gov/cases/359f12f9-5c41-48a4-85bc-fd7e307bf7d8","TCGA-EW-A1P8-01A")</f>
        <v>TCGA-EW-A1P8-01A</v>
      </c>
      <c r="I15562" t="s">
        <v>17</v>
      </c>
      <c r="J15562" t="s">
        <v>524</v>
      </c>
      <c r="K15562" t="s">
        <v>33</v>
      </c>
      <c r="L15562" t="s">
        <v>20</v>
      </c>
      <c r="N15562" t="s">
        <v>29</v>
      </c>
    </row>
    <row r="15563" spans="1:14">
      <c r="A15563" s="4" t="str">
        <f t="shared" si="1195"/>
        <v>EXP00415</v>
      </c>
      <c r="B15563" s="3" t="s">
        <v>66</v>
      </c>
      <c r="C15563" s="4" t="str">
        <f t="shared" si="1196"/>
        <v>TCGA-BRCA</v>
      </c>
      <c r="D15563" s="1" t="s">
        <v>493</v>
      </c>
      <c r="E15563" t="s">
        <v>533</v>
      </c>
      <c r="F15563" s="1">
        <v>2</v>
      </c>
      <c r="G15563" s="1" t="s">
        <v>28</v>
      </c>
      <c r="H15563" s="4" t="str">
        <f>HYPERLINK("https://portal.gdc.cancer.gov/cases/4cfef7f9-f1ee-401c-a2a3-c225d4adc3b6","TCGA-EW-A1PA-01A")</f>
        <v>TCGA-EW-A1PA-01A</v>
      </c>
      <c r="I15563" t="s">
        <v>17</v>
      </c>
      <c r="J15563" t="s">
        <v>524</v>
      </c>
      <c r="K15563" t="s">
        <v>33</v>
      </c>
      <c r="L15563" t="s">
        <v>20</v>
      </c>
      <c r="N15563" t="s">
        <v>29</v>
      </c>
    </row>
    <row r="15564" spans="1:14">
      <c r="A15564" s="4" t="str">
        <f t="shared" si="1195"/>
        <v>EXP00415</v>
      </c>
      <c r="B15564" s="3" t="s">
        <v>66</v>
      </c>
      <c r="C15564" s="4" t="str">
        <f t="shared" si="1196"/>
        <v>TCGA-BRCA</v>
      </c>
      <c r="D15564" s="1" t="s">
        <v>493</v>
      </c>
      <c r="E15564" t="s">
        <v>533</v>
      </c>
      <c r="F15564" s="1">
        <v>2</v>
      </c>
      <c r="G15564" s="1" t="s">
        <v>28</v>
      </c>
      <c r="H15564" s="4" t="str">
        <f>HYPERLINK("https://portal.gdc.cancer.gov/cases/88db1340-e4bf-451a-87c0-6e9168296f5e","TCGA-EW-A1PB-01A")</f>
        <v>TCGA-EW-A1PB-01A</v>
      </c>
      <c r="I15564" t="s">
        <v>17</v>
      </c>
      <c r="J15564" t="s">
        <v>524</v>
      </c>
      <c r="K15564" t="s">
        <v>33</v>
      </c>
      <c r="L15564" t="s">
        <v>20</v>
      </c>
      <c r="N15564" t="s">
        <v>29</v>
      </c>
    </row>
    <row r="15565" spans="1:14">
      <c r="A15565" s="4" t="str">
        <f t="shared" si="1195"/>
        <v>EXP00415</v>
      </c>
      <c r="B15565" s="3" t="s">
        <v>66</v>
      </c>
      <c r="C15565" s="4" t="str">
        <f t="shared" si="1196"/>
        <v>TCGA-BRCA</v>
      </c>
      <c r="D15565" s="1" t="s">
        <v>493</v>
      </c>
      <c r="E15565" t="s">
        <v>533</v>
      </c>
      <c r="F15565" s="1">
        <v>2</v>
      </c>
      <c r="G15565" s="1" t="s">
        <v>28</v>
      </c>
      <c r="H15565" s="4" t="str">
        <f>HYPERLINK("https://portal.gdc.cancer.gov/cases/f45210d3-9e66-4f5e-bef1-5ee5547cc893","TCGA-EW-A1PC-01B")</f>
        <v>TCGA-EW-A1PC-01B</v>
      </c>
      <c r="I15565" t="s">
        <v>17</v>
      </c>
      <c r="J15565" t="s">
        <v>524</v>
      </c>
      <c r="K15565" t="s">
        <v>33</v>
      </c>
      <c r="L15565" t="s">
        <v>20</v>
      </c>
      <c r="N15565" t="s">
        <v>29</v>
      </c>
    </row>
    <row r="15566" spans="1:14">
      <c r="A15566" s="4" t="str">
        <f t="shared" si="1195"/>
        <v>EXP00415</v>
      </c>
      <c r="B15566" s="3" t="s">
        <v>66</v>
      </c>
      <c r="C15566" s="4" t="str">
        <f t="shared" si="1196"/>
        <v>TCGA-BRCA</v>
      </c>
      <c r="D15566" s="1" t="s">
        <v>493</v>
      </c>
      <c r="E15566" t="s">
        <v>533</v>
      </c>
      <c r="F15566" s="1">
        <v>2</v>
      </c>
      <c r="G15566" s="1" t="s">
        <v>28</v>
      </c>
      <c r="H15566" s="4" t="str">
        <f>HYPERLINK("https://portal.gdc.cancer.gov/cases/4dfc233b-ed03-4825-8089-e04cdee99996","TCGA-EW-A1PD-01A")</f>
        <v>TCGA-EW-A1PD-01A</v>
      </c>
      <c r="I15566" t="s">
        <v>17</v>
      </c>
      <c r="J15566" t="s">
        <v>524</v>
      </c>
      <c r="K15566" t="s">
        <v>33</v>
      </c>
      <c r="L15566" t="s">
        <v>20</v>
      </c>
      <c r="N15566" t="s">
        <v>29</v>
      </c>
    </row>
    <row r="15567" spans="1:14">
      <c r="A15567" s="4" t="str">
        <f t="shared" si="1195"/>
        <v>EXP00415</v>
      </c>
      <c r="B15567" s="3" t="s">
        <v>66</v>
      </c>
      <c r="C15567" s="4" t="str">
        <f t="shared" si="1196"/>
        <v>TCGA-BRCA</v>
      </c>
      <c r="D15567" s="1" t="s">
        <v>493</v>
      </c>
      <c r="E15567" t="s">
        <v>533</v>
      </c>
      <c r="F15567" s="1">
        <v>2</v>
      </c>
      <c r="G15567" s="1" t="s">
        <v>28</v>
      </c>
      <c r="H15567" s="4" t="str">
        <f>HYPERLINK("https://portal.gdc.cancer.gov/cases/f3b86c02-09a5-4e97-aa7a-86f13f7cda4b","TCGA-EW-A1PE-01A")</f>
        <v>TCGA-EW-A1PE-01A</v>
      </c>
      <c r="I15567" t="s">
        <v>17</v>
      </c>
      <c r="J15567" t="s">
        <v>524</v>
      </c>
      <c r="K15567" t="s">
        <v>33</v>
      </c>
      <c r="L15567" t="s">
        <v>20</v>
      </c>
      <c r="N15567" t="s">
        <v>29</v>
      </c>
    </row>
    <row r="15568" spans="1:14">
      <c r="A15568" s="4" t="str">
        <f t="shared" si="1195"/>
        <v>EXP00415</v>
      </c>
      <c r="B15568" s="3" t="s">
        <v>66</v>
      </c>
      <c r="C15568" s="4" t="str">
        <f t="shared" si="1196"/>
        <v>TCGA-BRCA</v>
      </c>
      <c r="D15568" s="1" t="s">
        <v>493</v>
      </c>
      <c r="E15568" t="s">
        <v>533</v>
      </c>
      <c r="F15568" s="1">
        <v>2</v>
      </c>
      <c r="G15568" s="1" t="s">
        <v>28</v>
      </c>
      <c r="H15568" s="4" t="str">
        <f>HYPERLINK("https://portal.gdc.cancer.gov/cases/848773a3-2f4a-4186-ab3f-de667129accf","TCGA-EW-A1PF-01A")</f>
        <v>TCGA-EW-A1PF-01A</v>
      </c>
      <c r="I15568" t="s">
        <v>17</v>
      </c>
      <c r="J15568" t="s">
        <v>524</v>
      </c>
      <c r="K15568" t="s">
        <v>33</v>
      </c>
      <c r="L15568" t="s">
        <v>20</v>
      </c>
      <c r="N15568" t="s">
        <v>29</v>
      </c>
    </row>
    <row r="15569" spans="1:14">
      <c r="A15569" s="4" t="str">
        <f t="shared" si="1195"/>
        <v>EXP00415</v>
      </c>
      <c r="B15569" s="3" t="s">
        <v>66</v>
      </c>
      <c r="C15569" s="4" t="str">
        <f t="shared" si="1196"/>
        <v>TCGA-BRCA</v>
      </c>
      <c r="D15569" s="1" t="s">
        <v>493</v>
      </c>
      <c r="E15569" t="s">
        <v>533</v>
      </c>
      <c r="F15569" s="1">
        <v>2</v>
      </c>
      <c r="G15569" s="1" t="s">
        <v>28</v>
      </c>
      <c r="H15569" s="4" t="str">
        <f>HYPERLINK("https://portal.gdc.cancer.gov/cases/da286247-e8bb-4941-a2af-2453fe61cd02","TCGA-EW-A1PG-01A")</f>
        <v>TCGA-EW-A1PG-01A</v>
      </c>
      <c r="I15569" t="s">
        <v>17</v>
      </c>
      <c r="J15569" t="s">
        <v>524</v>
      </c>
      <c r="K15569" t="s">
        <v>33</v>
      </c>
      <c r="L15569" t="s">
        <v>20</v>
      </c>
      <c r="N15569" t="s">
        <v>29</v>
      </c>
    </row>
    <row r="15570" spans="1:14">
      <c r="A15570" s="4" t="str">
        <f t="shared" si="1195"/>
        <v>EXP00415</v>
      </c>
      <c r="B15570" s="3" t="s">
        <v>66</v>
      </c>
      <c r="C15570" s="4" t="str">
        <f t="shared" si="1196"/>
        <v>TCGA-BRCA</v>
      </c>
      <c r="D15570" s="1" t="s">
        <v>493</v>
      </c>
      <c r="E15570" t="s">
        <v>533</v>
      </c>
      <c r="F15570" s="1">
        <v>2</v>
      </c>
      <c r="G15570" s="1" t="s">
        <v>28</v>
      </c>
      <c r="H15570" s="4" t="str">
        <f>HYPERLINK("https://portal.gdc.cancer.gov/cases/4da999a0-ef41-4a0b-b1d1-446b39cc855a","TCGA-EW-A1PH-01A")</f>
        <v>TCGA-EW-A1PH-01A</v>
      </c>
      <c r="I15570" t="s">
        <v>17</v>
      </c>
      <c r="J15570" t="s">
        <v>524</v>
      </c>
      <c r="K15570" t="s">
        <v>33</v>
      </c>
      <c r="L15570" t="s">
        <v>20</v>
      </c>
      <c r="N15570" t="s">
        <v>29</v>
      </c>
    </row>
    <row r="15571" spans="1:14">
      <c r="A15571" s="4" t="str">
        <f t="shared" si="1195"/>
        <v>EXP00415</v>
      </c>
      <c r="B15571" s="3" t="s">
        <v>66</v>
      </c>
      <c r="C15571" s="4" t="str">
        <f t="shared" si="1196"/>
        <v>TCGA-BRCA</v>
      </c>
      <c r="D15571" s="1" t="s">
        <v>493</v>
      </c>
      <c r="E15571" t="s">
        <v>533</v>
      </c>
      <c r="F15571" s="1">
        <v>2</v>
      </c>
      <c r="G15571" s="1" t="s">
        <v>28</v>
      </c>
      <c r="H15571" s="4" t="str">
        <f>HYPERLINK("https://portal.gdc.cancer.gov/cases/af97e043-88cb-4f99-8f8b-9bcbcccdf842","TCGA-EW-A2FR-01A")</f>
        <v>TCGA-EW-A2FR-01A</v>
      </c>
      <c r="I15571" t="s">
        <v>17</v>
      </c>
      <c r="J15571" t="s">
        <v>524</v>
      </c>
      <c r="K15571" t="s">
        <v>33</v>
      </c>
      <c r="L15571" t="s">
        <v>20</v>
      </c>
      <c r="N15571" t="s">
        <v>29</v>
      </c>
    </row>
    <row r="15572" spans="1:14">
      <c r="A15572" s="4" t="str">
        <f t="shared" si="1195"/>
        <v>EXP00415</v>
      </c>
      <c r="B15572" s="3" t="s">
        <v>66</v>
      </c>
      <c r="C15572" s="4" t="str">
        <f t="shared" si="1196"/>
        <v>TCGA-BRCA</v>
      </c>
      <c r="D15572" s="1" t="s">
        <v>493</v>
      </c>
      <c r="E15572" t="s">
        <v>533</v>
      </c>
      <c r="F15572" s="1">
        <v>2</v>
      </c>
      <c r="G15572" s="1" t="s">
        <v>28</v>
      </c>
      <c r="H15572" s="4" t="str">
        <f>HYPERLINK("https://portal.gdc.cancer.gov/cases/d34471a1-b367-4f8a-b35a-c5901c4f5503","TCGA-EW-A2FS-01A")</f>
        <v>TCGA-EW-A2FS-01A</v>
      </c>
      <c r="I15572" t="s">
        <v>17</v>
      </c>
      <c r="J15572" t="s">
        <v>524</v>
      </c>
      <c r="K15572" t="s">
        <v>33</v>
      </c>
      <c r="L15572" t="s">
        <v>20</v>
      </c>
      <c r="N15572" t="s">
        <v>29</v>
      </c>
    </row>
    <row r="15573" spans="1:14">
      <c r="A15573" s="4" t="str">
        <f t="shared" si="1195"/>
        <v>EXP00415</v>
      </c>
      <c r="B15573" s="3" t="s">
        <v>66</v>
      </c>
      <c r="C15573" s="4" t="str">
        <f t="shared" si="1196"/>
        <v>TCGA-BRCA</v>
      </c>
      <c r="D15573" s="1" t="s">
        <v>493</v>
      </c>
      <c r="E15573" t="s">
        <v>533</v>
      </c>
      <c r="F15573" s="1">
        <v>2</v>
      </c>
      <c r="G15573" s="1" t="s">
        <v>28</v>
      </c>
      <c r="H15573" s="4" t="str">
        <f>HYPERLINK("https://portal.gdc.cancer.gov/cases/f45aa0b2-f3de-4db5-9730-e5c6c4e2ed3a","TCGA-EW-A2FV-01A")</f>
        <v>TCGA-EW-A2FV-01A</v>
      </c>
      <c r="I15573" t="s">
        <v>17</v>
      </c>
      <c r="J15573" t="s">
        <v>524</v>
      </c>
      <c r="K15573" t="s">
        <v>33</v>
      </c>
      <c r="L15573" t="s">
        <v>20</v>
      </c>
      <c r="N15573" t="s">
        <v>29</v>
      </c>
    </row>
    <row r="15574" spans="1:14">
      <c r="A15574" s="4" t="str">
        <f t="shared" si="1195"/>
        <v>EXP00415</v>
      </c>
      <c r="B15574" s="3" t="s">
        <v>66</v>
      </c>
      <c r="C15574" s="4" t="str">
        <f t="shared" si="1196"/>
        <v>TCGA-BRCA</v>
      </c>
      <c r="D15574" s="1" t="s">
        <v>493</v>
      </c>
      <c r="E15574" t="s">
        <v>533</v>
      </c>
      <c r="F15574" s="1">
        <v>2</v>
      </c>
      <c r="G15574" s="1" t="s">
        <v>28</v>
      </c>
      <c r="H15574" s="4" t="str">
        <f>HYPERLINK("https://portal.gdc.cancer.gov/cases/e6f527a2-38eb-457e-bb39-3c5b9c0bcbec","TCGA-EW-A2FW-01A")</f>
        <v>TCGA-EW-A2FW-01A</v>
      </c>
      <c r="I15574" t="s">
        <v>17</v>
      </c>
      <c r="J15574" t="s">
        <v>524</v>
      </c>
      <c r="K15574" t="s">
        <v>33</v>
      </c>
      <c r="L15574" t="s">
        <v>20</v>
      </c>
      <c r="N15574" t="s">
        <v>29</v>
      </c>
    </row>
    <row r="15575" spans="1:14">
      <c r="A15575" s="4" t="str">
        <f t="shared" si="1195"/>
        <v>EXP00415</v>
      </c>
      <c r="B15575" s="3" t="s">
        <v>66</v>
      </c>
      <c r="C15575" s="4" t="str">
        <f t="shared" si="1196"/>
        <v>TCGA-BRCA</v>
      </c>
      <c r="D15575" s="1" t="s">
        <v>493</v>
      </c>
      <c r="E15575" t="s">
        <v>533</v>
      </c>
      <c r="F15575" s="1">
        <v>2</v>
      </c>
      <c r="G15575" s="1" t="s">
        <v>28</v>
      </c>
      <c r="H15575" s="4" t="str">
        <f>HYPERLINK("https://portal.gdc.cancer.gov/cases/c0b7b798-3383-4a45-a455-9eca5810739e","TCGA-EW-A3E8-01B")</f>
        <v>TCGA-EW-A3E8-01B</v>
      </c>
      <c r="I15575" t="s">
        <v>17</v>
      </c>
      <c r="J15575" t="s">
        <v>524</v>
      </c>
      <c r="K15575" t="s">
        <v>33</v>
      </c>
      <c r="L15575" t="s">
        <v>20</v>
      </c>
      <c r="N15575" t="s">
        <v>29</v>
      </c>
    </row>
    <row r="15576" spans="1:14">
      <c r="A15576" s="4" t="str">
        <f t="shared" si="1195"/>
        <v>EXP00415</v>
      </c>
      <c r="B15576" s="3" t="s">
        <v>66</v>
      </c>
      <c r="C15576" s="4" t="str">
        <f t="shared" si="1196"/>
        <v>TCGA-BRCA</v>
      </c>
      <c r="D15576" s="1" t="s">
        <v>493</v>
      </c>
      <c r="E15576" t="s">
        <v>533</v>
      </c>
      <c r="F15576" s="1">
        <v>2</v>
      </c>
      <c r="G15576" s="1" t="s">
        <v>28</v>
      </c>
      <c r="H15576" s="4" t="str">
        <f>HYPERLINK("https://portal.gdc.cancer.gov/cases/d9dc3b59-613d-469e-8b4f-6c5a557eb26a","TCGA-EW-A3U0-01A")</f>
        <v>TCGA-EW-A3U0-01A</v>
      </c>
      <c r="I15576" t="s">
        <v>17</v>
      </c>
      <c r="J15576" t="s">
        <v>524</v>
      </c>
      <c r="K15576" t="s">
        <v>33</v>
      </c>
      <c r="L15576" t="s">
        <v>20</v>
      </c>
      <c r="N15576" t="s">
        <v>29</v>
      </c>
    </row>
    <row r="15577" spans="1:14">
      <c r="A15577" s="4" t="str">
        <f t="shared" si="1195"/>
        <v>EXP00415</v>
      </c>
      <c r="B15577" s="3" t="s">
        <v>66</v>
      </c>
      <c r="C15577" s="4" t="str">
        <f t="shared" si="1196"/>
        <v>TCGA-BRCA</v>
      </c>
      <c r="D15577" s="1" t="s">
        <v>493</v>
      </c>
      <c r="E15577" t="s">
        <v>533</v>
      </c>
      <c r="F15577" s="1">
        <v>2</v>
      </c>
      <c r="G15577" s="1" t="s">
        <v>28</v>
      </c>
      <c r="H15577" s="4" t="str">
        <f>HYPERLINK("https://portal.gdc.cancer.gov/cases/bdd08ec8-8892-4273-8f21-6fde0f23c52d","TCGA-EW-A423-01A")</f>
        <v>TCGA-EW-A423-01A</v>
      </c>
      <c r="I15577" t="s">
        <v>17</v>
      </c>
      <c r="J15577" t="s">
        <v>524</v>
      </c>
      <c r="K15577" t="s">
        <v>33</v>
      </c>
      <c r="L15577" t="s">
        <v>20</v>
      </c>
      <c r="N15577" t="s">
        <v>29</v>
      </c>
    </row>
    <row r="15578" spans="1:14">
      <c r="A15578" s="4" t="str">
        <f t="shared" si="1195"/>
        <v>EXP00415</v>
      </c>
      <c r="B15578" s="3" t="s">
        <v>66</v>
      </c>
      <c r="C15578" s="4" t="str">
        <f t="shared" si="1196"/>
        <v>TCGA-BRCA</v>
      </c>
      <c r="D15578" s="1" t="s">
        <v>493</v>
      </c>
      <c r="E15578" t="s">
        <v>533</v>
      </c>
      <c r="F15578" s="1">
        <v>2</v>
      </c>
      <c r="G15578" s="1" t="s">
        <v>28</v>
      </c>
      <c r="H15578" s="4" t="str">
        <f>HYPERLINK("https://portal.gdc.cancer.gov/cases/a6502f17-6bee-4d5a-8520-06364593d39c","TCGA-EW-A424-01A")</f>
        <v>TCGA-EW-A424-01A</v>
      </c>
      <c r="I15578" t="s">
        <v>17</v>
      </c>
      <c r="J15578" t="s">
        <v>524</v>
      </c>
      <c r="K15578" t="s">
        <v>33</v>
      </c>
      <c r="L15578" t="s">
        <v>20</v>
      </c>
      <c r="N15578" t="s">
        <v>29</v>
      </c>
    </row>
    <row r="15579" spans="1:14">
      <c r="A15579" s="4" t="str">
        <f t="shared" si="1195"/>
        <v>EXP00415</v>
      </c>
      <c r="B15579" s="3" t="s">
        <v>66</v>
      </c>
      <c r="C15579" s="4" t="str">
        <f t="shared" si="1196"/>
        <v>TCGA-BRCA</v>
      </c>
      <c r="D15579" s="1" t="s">
        <v>493</v>
      </c>
      <c r="E15579" t="s">
        <v>533</v>
      </c>
      <c r="F15579" s="1">
        <v>2</v>
      </c>
      <c r="G15579" s="1" t="s">
        <v>28</v>
      </c>
      <c r="H15579" s="4" t="str">
        <f>HYPERLINK("https://portal.gdc.cancer.gov/cases/9676e46b-8f29-43cd-ab65-eb6a535cced4","TCGA-EW-A6S9-01A")</f>
        <v>TCGA-EW-A6S9-01A</v>
      </c>
      <c r="I15579" t="s">
        <v>17</v>
      </c>
      <c r="J15579" t="s">
        <v>524</v>
      </c>
      <c r="K15579" t="s">
        <v>33</v>
      </c>
      <c r="L15579" t="s">
        <v>20</v>
      </c>
      <c r="N15579" t="s">
        <v>29</v>
      </c>
    </row>
    <row r="15580" spans="1:14">
      <c r="A15580" s="4" t="str">
        <f t="shared" si="1195"/>
        <v>EXP00415</v>
      </c>
      <c r="B15580" s="3" t="s">
        <v>66</v>
      </c>
      <c r="C15580" s="4" t="str">
        <f t="shared" si="1196"/>
        <v>TCGA-BRCA</v>
      </c>
      <c r="D15580" s="1" t="s">
        <v>493</v>
      </c>
      <c r="E15580" t="s">
        <v>533</v>
      </c>
      <c r="F15580" s="1">
        <v>2</v>
      </c>
      <c r="G15580" s="1" t="s">
        <v>28</v>
      </c>
      <c r="H15580" s="4" t="str">
        <f>HYPERLINK("https://portal.gdc.cancer.gov/cases/aba5f46a-e67a-4cd2-9c52-c0686968ff04","TCGA-EW-A6SA-01A")</f>
        <v>TCGA-EW-A6SA-01A</v>
      </c>
      <c r="I15580" t="s">
        <v>17</v>
      </c>
      <c r="J15580" t="s">
        <v>524</v>
      </c>
      <c r="K15580" t="s">
        <v>33</v>
      </c>
      <c r="L15580" t="s">
        <v>20</v>
      </c>
      <c r="N15580" t="s">
        <v>29</v>
      </c>
    </row>
    <row r="15581" spans="1:14">
      <c r="A15581" s="4" t="str">
        <f t="shared" si="1195"/>
        <v>EXP00415</v>
      </c>
      <c r="B15581" s="3" t="s">
        <v>66</v>
      </c>
      <c r="C15581" s="4" t="str">
        <f t="shared" si="1196"/>
        <v>TCGA-BRCA</v>
      </c>
      <c r="D15581" s="1" t="s">
        <v>493</v>
      </c>
      <c r="E15581" t="s">
        <v>533</v>
      </c>
      <c r="F15581" s="1">
        <v>2</v>
      </c>
      <c r="G15581" s="1" t="s">
        <v>28</v>
      </c>
      <c r="H15581" s="4" t="str">
        <f>HYPERLINK("https://portal.gdc.cancer.gov/cases/5c59028f-b8fa-4811-8314-be3eaed5f364","TCGA-EW-A6SB-01A")</f>
        <v>TCGA-EW-A6SB-01A</v>
      </c>
      <c r="I15581" t="s">
        <v>17</v>
      </c>
      <c r="J15581" t="s">
        <v>524</v>
      </c>
      <c r="K15581" t="s">
        <v>33</v>
      </c>
      <c r="L15581" t="s">
        <v>20</v>
      </c>
      <c r="N15581" t="s">
        <v>29</v>
      </c>
    </row>
    <row r="15582" spans="1:14">
      <c r="A15582" s="4" t="str">
        <f t="shared" si="1195"/>
        <v>EXP00415</v>
      </c>
      <c r="B15582" s="3" t="s">
        <v>66</v>
      </c>
      <c r="C15582" s="4" t="str">
        <f t="shared" si="1196"/>
        <v>TCGA-BRCA</v>
      </c>
      <c r="D15582" s="1" t="s">
        <v>493</v>
      </c>
      <c r="E15582" t="s">
        <v>533</v>
      </c>
      <c r="F15582" s="1">
        <v>2</v>
      </c>
      <c r="G15582" s="1" t="s">
        <v>28</v>
      </c>
      <c r="H15582" s="4" t="str">
        <f>HYPERLINK("https://portal.gdc.cancer.gov/cases/97862b8e-9f76-4b19-a865-156a9c00fb1e","TCGA-EW-A6SC-01A")</f>
        <v>TCGA-EW-A6SC-01A</v>
      </c>
      <c r="I15582" t="s">
        <v>17</v>
      </c>
      <c r="J15582" t="s">
        <v>524</v>
      </c>
      <c r="K15582" t="s">
        <v>33</v>
      </c>
      <c r="L15582" t="s">
        <v>20</v>
      </c>
      <c r="N15582" t="s">
        <v>29</v>
      </c>
    </row>
    <row r="15583" spans="1:14">
      <c r="A15583" s="4" t="str">
        <f t="shared" si="1195"/>
        <v>EXP00415</v>
      </c>
      <c r="B15583" s="3" t="s">
        <v>66</v>
      </c>
      <c r="C15583" s="4" t="str">
        <f t="shared" si="1196"/>
        <v>TCGA-BRCA</v>
      </c>
      <c r="D15583" s="1" t="s">
        <v>493</v>
      </c>
      <c r="E15583" t="s">
        <v>533</v>
      </c>
      <c r="F15583" s="1">
        <v>2</v>
      </c>
      <c r="G15583" s="1" t="s">
        <v>28</v>
      </c>
      <c r="H15583" s="4" t="str">
        <f>HYPERLINK("https://portal.gdc.cancer.gov/cases/42378dbc-a123-4cf9-8502-165e89fda271","TCGA-EW-A6SD-01A")</f>
        <v>TCGA-EW-A6SD-01A</v>
      </c>
      <c r="I15583" t="s">
        <v>17</v>
      </c>
      <c r="J15583" t="s">
        <v>524</v>
      </c>
      <c r="K15583" t="s">
        <v>33</v>
      </c>
      <c r="L15583" t="s">
        <v>20</v>
      </c>
      <c r="N15583" t="s">
        <v>29</v>
      </c>
    </row>
    <row r="15584" spans="1:14">
      <c r="A15584" s="4" t="str">
        <f t="shared" si="1195"/>
        <v>EXP00415</v>
      </c>
      <c r="B15584" s="3" t="s">
        <v>66</v>
      </c>
      <c r="C15584" s="4" t="str">
        <f t="shared" si="1196"/>
        <v>TCGA-BRCA</v>
      </c>
      <c r="D15584" s="1" t="s">
        <v>493</v>
      </c>
      <c r="E15584" t="s">
        <v>533</v>
      </c>
      <c r="F15584" s="1">
        <v>2</v>
      </c>
      <c r="G15584" s="1" t="s">
        <v>28</v>
      </c>
      <c r="H15584" s="4" t="str">
        <f>HYPERLINK("https://portal.gdc.cancer.gov/cases/33fe5833-d7a0-43d7-a03d-56985ea448a6","TCGA-GI-A2C8-01A")</f>
        <v>TCGA-GI-A2C8-01A</v>
      </c>
      <c r="I15584" t="s">
        <v>17</v>
      </c>
      <c r="J15584" t="s">
        <v>524</v>
      </c>
      <c r="K15584" t="s">
        <v>33</v>
      </c>
      <c r="L15584" t="s">
        <v>20</v>
      </c>
      <c r="N15584" t="s">
        <v>29</v>
      </c>
    </row>
    <row r="15585" spans="1:14">
      <c r="A15585" s="4" t="str">
        <f t="shared" si="1195"/>
        <v>EXP00415</v>
      </c>
      <c r="B15585" s="3" t="s">
        <v>66</v>
      </c>
      <c r="C15585" s="4" t="str">
        <f t="shared" si="1196"/>
        <v>TCGA-BRCA</v>
      </c>
      <c r="D15585" s="1" t="s">
        <v>493</v>
      </c>
      <c r="E15585" t="s">
        <v>533</v>
      </c>
      <c r="F15585" s="1">
        <v>2</v>
      </c>
      <c r="G15585" s="1" t="s">
        <v>28</v>
      </c>
      <c r="H15585" s="4" t="str">
        <f>HYPERLINK("https://portal.gdc.cancer.gov/cases/9f6be944-83de-42ab-8738-f0022f475e61","TCGA-GI-A2C9-01A")</f>
        <v>TCGA-GI-A2C9-01A</v>
      </c>
      <c r="I15585" t="s">
        <v>17</v>
      </c>
      <c r="J15585" t="s">
        <v>524</v>
      </c>
      <c r="K15585" t="s">
        <v>33</v>
      </c>
      <c r="L15585" t="s">
        <v>20</v>
      </c>
      <c r="N15585" t="s">
        <v>29</v>
      </c>
    </row>
    <row r="15586" spans="1:14">
      <c r="A15586" s="4" t="str">
        <f t="shared" si="1195"/>
        <v>EXP00415</v>
      </c>
      <c r="B15586" s="3" t="s">
        <v>66</v>
      </c>
      <c r="C15586" s="4" t="str">
        <f t="shared" si="1196"/>
        <v>TCGA-BRCA</v>
      </c>
      <c r="D15586" s="1" t="s">
        <v>493</v>
      </c>
      <c r="E15586" t="s">
        <v>533</v>
      </c>
      <c r="F15586" s="1">
        <v>2</v>
      </c>
      <c r="G15586" s="1" t="s">
        <v>28</v>
      </c>
      <c r="H15586" s="4" t="str">
        <f>HYPERLINK("https://portal.gdc.cancer.gov/cases/1133b8a9-6b11-4511-b70a-f200e3b8b5db","TCGA-GM-A2D9-01A")</f>
        <v>TCGA-GM-A2D9-01A</v>
      </c>
      <c r="I15586" t="s">
        <v>17</v>
      </c>
      <c r="J15586" t="s">
        <v>524</v>
      </c>
      <c r="K15586" t="s">
        <v>33</v>
      </c>
      <c r="L15586" t="s">
        <v>20</v>
      </c>
      <c r="N15586" t="s">
        <v>29</v>
      </c>
    </row>
    <row r="15587" spans="1:14">
      <c r="A15587" s="4" t="str">
        <f t="shared" si="1195"/>
        <v>EXP00415</v>
      </c>
      <c r="B15587" s="3" t="s">
        <v>66</v>
      </c>
      <c r="C15587" s="4" t="str">
        <f t="shared" si="1196"/>
        <v>TCGA-BRCA</v>
      </c>
      <c r="D15587" s="1" t="s">
        <v>493</v>
      </c>
      <c r="E15587" t="s">
        <v>533</v>
      </c>
      <c r="F15587" s="1">
        <v>2</v>
      </c>
      <c r="G15587" s="1" t="s">
        <v>28</v>
      </c>
      <c r="H15587" s="4" t="str">
        <f>HYPERLINK("https://portal.gdc.cancer.gov/cases/c07b122e-ac50-4db2-add2-5617a5d0e976","TCGA-GM-A2DA-01A")</f>
        <v>TCGA-GM-A2DA-01A</v>
      </c>
      <c r="I15587" t="s">
        <v>17</v>
      </c>
      <c r="J15587" t="s">
        <v>524</v>
      </c>
      <c r="K15587" t="s">
        <v>33</v>
      </c>
      <c r="L15587" t="s">
        <v>20</v>
      </c>
      <c r="N15587" t="s">
        <v>29</v>
      </c>
    </row>
    <row r="15588" spans="1:14">
      <c r="A15588" s="4" t="str">
        <f t="shared" si="1195"/>
        <v>EXP00415</v>
      </c>
      <c r="B15588" s="3" t="s">
        <v>66</v>
      </c>
      <c r="C15588" s="4" t="str">
        <f t="shared" si="1196"/>
        <v>TCGA-BRCA</v>
      </c>
      <c r="D15588" s="1" t="s">
        <v>493</v>
      </c>
      <c r="E15588" t="s">
        <v>533</v>
      </c>
      <c r="F15588" s="1">
        <v>2</v>
      </c>
      <c r="G15588" s="1" t="s">
        <v>28</v>
      </c>
      <c r="H15588" s="4" t="str">
        <f>HYPERLINK("https://portal.gdc.cancer.gov/cases/6e6b7742-a562-490b-bb72-04a5653852e4","TCGA-GM-A2DB-01A")</f>
        <v>TCGA-GM-A2DB-01A</v>
      </c>
      <c r="I15588" t="s">
        <v>17</v>
      </c>
      <c r="J15588" t="s">
        <v>524</v>
      </c>
      <c r="K15588" t="s">
        <v>33</v>
      </c>
      <c r="L15588" t="s">
        <v>20</v>
      </c>
      <c r="N15588" t="s">
        <v>29</v>
      </c>
    </row>
    <row r="15589" spans="1:14">
      <c r="A15589" s="4" t="str">
        <f t="shared" si="1195"/>
        <v>EXP00415</v>
      </c>
      <c r="B15589" s="3" t="s">
        <v>66</v>
      </c>
      <c r="C15589" s="4" t="str">
        <f t="shared" si="1196"/>
        <v>TCGA-BRCA</v>
      </c>
      <c r="D15589" s="1" t="s">
        <v>493</v>
      </c>
      <c r="E15589" t="s">
        <v>533</v>
      </c>
      <c r="F15589" s="1">
        <v>2</v>
      </c>
      <c r="G15589" s="1" t="s">
        <v>28</v>
      </c>
      <c r="H15589" s="4" t="str">
        <f>HYPERLINK("https://portal.gdc.cancer.gov/cases/dd43ffd9-da18-4ad3-abe7-6f443c76a717","TCGA-GM-A2DC-01A")</f>
        <v>TCGA-GM-A2DC-01A</v>
      </c>
      <c r="I15589" t="s">
        <v>17</v>
      </c>
      <c r="J15589" t="s">
        <v>524</v>
      </c>
      <c r="K15589" t="s">
        <v>33</v>
      </c>
      <c r="L15589" t="s">
        <v>20</v>
      </c>
      <c r="N15589" t="s">
        <v>29</v>
      </c>
    </row>
    <row r="15590" spans="1:14">
      <c r="A15590" s="4" t="str">
        <f t="shared" si="1195"/>
        <v>EXP00415</v>
      </c>
      <c r="B15590" s="3" t="s">
        <v>66</v>
      </c>
      <c r="C15590" s="4" t="str">
        <f t="shared" si="1196"/>
        <v>TCGA-BRCA</v>
      </c>
      <c r="D15590" s="1" t="s">
        <v>493</v>
      </c>
      <c r="E15590" t="s">
        <v>533</v>
      </c>
      <c r="F15590" s="1">
        <v>2</v>
      </c>
      <c r="G15590" s="1" t="s">
        <v>28</v>
      </c>
      <c r="H15590" s="4" t="str">
        <f>HYPERLINK("https://portal.gdc.cancer.gov/cases/b343bfe0-7c23-4c6a-8c84-9ee39db2ecda","TCGA-GM-A2DD-01A")</f>
        <v>TCGA-GM-A2DD-01A</v>
      </c>
      <c r="I15590" t="s">
        <v>17</v>
      </c>
      <c r="J15590" t="s">
        <v>524</v>
      </c>
      <c r="K15590" t="s">
        <v>33</v>
      </c>
      <c r="L15590" t="s">
        <v>20</v>
      </c>
      <c r="N15590" t="s">
        <v>29</v>
      </c>
    </row>
    <row r="15591" spans="1:14">
      <c r="A15591" s="4" t="str">
        <f t="shared" si="1195"/>
        <v>EXP00415</v>
      </c>
      <c r="B15591" s="3" t="s">
        <v>66</v>
      </c>
      <c r="C15591" s="4" t="str">
        <f t="shared" si="1196"/>
        <v>TCGA-BRCA</v>
      </c>
      <c r="D15591" s="1" t="s">
        <v>493</v>
      </c>
      <c r="E15591" t="s">
        <v>533</v>
      </c>
      <c r="F15591" s="1">
        <v>2</v>
      </c>
      <c r="G15591" s="1" t="s">
        <v>28</v>
      </c>
      <c r="H15591" s="4" t="str">
        <f>HYPERLINK("https://portal.gdc.cancer.gov/cases/d6f7afc0-1558-43ad-acb1-2b5311ed2264","TCGA-GM-A2DF-01A")</f>
        <v>TCGA-GM-A2DF-01A</v>
      </c>
      <c r="I15591" t="s">
        <v>17</v>
      </c>
      <c r="J15591" t="s">
        <v>524</v>
      </c>
      <c r="K15591" t="s">
        <v>33</v>
      </c>
      <c r="L15591" t="s">
        <v>20</v>
      </c>
      <c r="N15591" t="s">
        <v>29</v>
      </c>
    </row>
    <row r="15592" spans="1:14">
      <c r="A15592" s="4" t="str">
        <f t="shared" si="1195"/>
        <v>EXP00415</v>
      </c>
      <c r="B15592" s="3" t="s">
        <v>66</v>
      </c>
      <c r="C15592" s="4" t="str">
        <f t="shared" si="1196"/>
        <v>TCGA-BRCA</v>
      </c>
      <c r="D15592" s="1" t="s">
        <v>493</v>
      </c>
      <c r="E15592" t="s">
        <v>533</v>
      </c>
      <c r="F15592" s="1">
        <v>2</v>
      </c>
      <c r="G15592" s="1" t="s">
        <v>28</v>
      </c>
      <c r="H15592" s="4" t="str">
        <f>HYPERLINK("https://portal.gdc.cancer.gov/cases/5700c1b3-922a-4401-8ab8-89028908d696","TCGA-GM-A2DH-01A")</f>
        <v>TCGA-GM-A2DH-01A</v>
      </c>
      <c r="I15592" t="s">
        <v>17</v>
      </c>
      <c r="J15592" t="s">
        <v>524</v>
      </c>
      <c r="K15592" t="s">
        <v>33</v>
      </c>
      <c r="L15592" t="s">
        <v>20</v>
      </c>
      <c r="N15592" t="s">
        <v>29</v>
      </c>
    </row>
    <row r="15593" spans="1:14">
      <c r="A15593" s="4" t="str">
        <f t="shared" si="1195"/>
        <v>EXP00415</v>
      </c>
      <c r="B15593" s="3" t="s">
        <v>66</v>
      </c>
      <c r="C15593" s="4" t="str">
        <f t="shared" si="1196"/>
        <v>TCGA-BRCA</v>
      </c>
      <c r="D15593" s="1" t="s">
        <v>493</v>
      </c>
      <c r="E15593" t="s">
        <v>533</v>
      </c>
      <c r="F15593" s="1">
        <v>2</v>
      </c>
      <c r="G15593" s="1" t="s">
        <v>28</v>
      </c>
      <c r="H15593" s="4" t="str">
        <f>HYPERLINK("https://portal.gdc.cancer.gov/cases/66fa504c-4ae4-49ac-9355-1e063776dc0d","TCGA-GM-A2DI-01A")</f>
        <v>TCGA-GM-A2DI-01A</v>
      </c>
      <c r="I15593" t="s">
        <v>17</v>
      </c>
      <c r="J15593" t="s">
        <v>524</v>
      </c>
      <c r="K15593" t="s">
        <v>33</v>
      </c>
      <c r="L15593" t="s">
        <v>20</v>
      </c>
      <c r="N15593" t="s">
        <v>29</v>
      </c>
    </row>
    <row r="15594" spans="1:14">
      <c r="A15594" s="4" t="str">
        <f t="shared" si="1195"/>
        <v>EXP00415</v>
      </c>
      <c r="B15594" s="3" t="s">
        <v>66</v>
      </c>
      <c r="C15594" s="4" t="str">
        <f t="shared" si="1196"/>
        <v>TCGA-BRCA</v>
      </c>
      <c r="D15594" s="1" t="s">
        <v>493</v>
      </c>
      <c r="E15594" t="s">
        <v>533</v>
      </c>
      <c r="F15594" s="1">
        <v>2</v>
      </c>
      <c r="G15594" s="1" t="s">
        <v>28</v>
      </c>
      <c r="H15594" s="4" t="str">
        <f>HYPERLINK("https://portal.gdc.cancer.gov/cases/3a0775a0-61ae-43f2-b5f6-629a44355c2f","TCGA-GM-A2DK-01A")</f>
        <v>TCGA-GM-A2DK-01A</v>
      </c>
      <c r="I15594" t="s">
        <v>17</v>
      </c>
      <c r="J15594" t="s">
        <v>524</v>
      </c>
      <c r="K15594" t="s">
        <v>33</v>
      </c>
      <c r="L15594" t="s">
        <v>20</v>
      </c>
      <c r="N15594" t="s">
        <v>29</v>
      </c>
    </row>
    <row r="15595" spans="1:14">
      <c r="A15595" s="4" t="str">
        <f t="shared" si="1195"/>
        <v>EXP00415</v>
      </c>
      <c r="B15595" s="3" t="s">
        <v>66</v>
      </c>
      <c r="C15595" s="4" t="str">
        <f t="shared" si="1196"/>
        <v>TCGA-BRCA</v>
      </c>
      <c r="D15595" s="1" t="s">
        <v>493</v>
      </c>
      <c r="E15595" t="s">
        <v>533</v>
      </c>
      <c r="F15595" s="1">
        <v>2</v>
      </c>
      <c r="G15595" s="1" t="s">
        <v>28</v>
      </c>
      <c r="H15595" s="4" t="str">
        <f>HYPERLINK("https://portal.gdc.cancer.gov/cases/a76774fe-7298-4d68-a2b2-c1bad93f0c31","TCGA-GM-A2DL-01A")</f>
        <v>TCGA-GM-A2DL-01A</v>
      </c>
      <c r="I15595" t="s">
        <v>17</v>
      </c>
      <c r="J15595" t="s">
        <v>524</v>
      </c>
      <c r="K15595" t="s">
        <v>33</v>
      </c>
      <c r="L15595" t="s">
        <v>20</v>
      </c>
      <c r="N15595" t="s">
        <v>29</v>
      </c>
    </row>
    <row r="15596" spans="1:14">
      <c r="A15596" s="4" t="str">
        <f t="shared" si="1195"/>
        <v>EXP00415</v>
      </c>
      <c r="B15596" s="3" t="s">
        <v>66</v>
      </c>
      <c r="C15596" s="4" t="str">
        <f t="shared" si="1196"/>
        <v>TCGA-BRCA</v>
      </c>
      <c r="D15596" s="1" t="s">
        <v>493</v>
      </c>
      <c r="E15596" t="s">
        <v>533</v>
      </c>
      <c r="F15596" s="1">
        <v>2</v>
      </c>
      <c r="G15596" s="1" t="s">
        <v>28</v>
      </c>
      <c r="H15596" s="4" t="str">
        <f>HYPERLINK("https://portal.gdc.cancer.gov/cases/753d5d49-3b40-4737-9d4c-b1ec29cc2692","TCGA-GM-A2DM-01A")</f>
        <v>TCGA-GM-A2DM-01A</v>
      </c>
      <c r="I15596" t="s">
        <v>17</v>
      </c>
      <c r="J15596" t="s">
        <v>524</v>
      </c>
      <c r="K15596" t="s">
        <v>33</v>
      </c>
      <c r="L15596" t="s">
        <v>20</v>
      </c>
      <c r="N15596" t="s">
        <v>29</v>
      </c>
    </row>
    <row r="15597" spans="1:14">
      <c r="A15597" s="4" t="str">
        <f t="shared" si="1195"/>
        <v>EXP00415</v>
      </c>
      <c r="B15597" s="3" t="s">
        <v>66</v>
      </c>
      <c r="C15597" s="4" t="str">
        <f t="shared" si="1196"/>
        <v>TCGA-BRCA</v>
      </c>
      <c r="D15597" s="1" t="s">
        <v>493</v>
      </c>
      <c r="E15597" t="s">
        <v>533</v>
      </c>
      <c r="F15597" s="1">
        <v>2</v>
      </c>
      <c r="G15597" s="1" t="s">
        <v>28</v>
      </c>
      <c r="H15597" s="4" t="str">
        <f>HYPERLINK("https://portal.gdc.cancer.gov/cases/56bbd282-b88d-4730-9242-ab97d08dc83a","TCGA-GM-A2DN-01A")</f>
        <v>TCGA-GM-A2DN-01A</v>
      </c>
      <c r="I15597" t="s">
        <v>17</v>
      </c>
      <c r="J15597" t="s">
        <v>524</v>
      </c>
      <c r="K15597" t="s">
        <v>33</v>
      </c>
      <c r="L15597" t="s">
        <v>20</v>
      </c>
      <c r="N15597" t="s">
        <v>29</v>
      </c>
    </row>
    <row r="15598" spans="1:14">
      <c r="A15598" s="4" t="str">
        <f t="shared" si="1195"/>
        <v>EXP00415</v>
      </c>
      <c r="B15598" s="3" t="s">
        <v>66</v>
      </c>
      <c r="C15598" s="4" t="str">
        <f t="shared" si="1196"/>
        <v>TCGA-BRCA</v>
      </c>
      <c r="D15598" s="1" t="s">
        <v>493</v>
      </c>
      <c r="E15598" t="s">
        <v>533</v>
      </c>
      <c r="F15598" s="1">
        <v>2</v>
      </c>
      <c r="G15598" s="1" t="s">
        <v>28</v>
      </c>
      <c r="H15598" s="4" t="str">
        <f>HYPERLINK("https://portal.gdc.cancer.gov/cases/5fd37868-4762-4109-9dcf-6fdbab5b645d","TCGA-GM-A2DO-01A")</f>
        <v>TCGA-GM-A2DO-01A</v>
      </c>
      <c r="I15598" t="s">
        <v>17</v>
      </c>
      <c r="J15598" t="s">
        <v>524</v>
      </c>
      <c r="K15598" t="s">
        <v>33</v>
      </c>
      <c r="L15598" t="s">
        <v>20</v>
      </c>
      <c r="N15598" t="s">
        <v>29</v>
      </c>
    </row>
    <row r="15599" spans="1:14">
      <c r="A15599" s="4" t="str">
        <f t="shared" si="1195"/>
        <v>EXP00415</v>
      </c>
      <c r="B15599" s="3" t="s">
        <v>66</v>
      </c>
      <c r="C15599" s="4" t="str">
        <f t="shared" si="1196"/>
        <v>TCGA-BRCA</v>
      </c>
      <c r="D15599" s="1" t="s">
        <v>493</v>
      </c>
      <c r="E15599" t="s">
        <v>533</v>
      </c>
      <c r="F15599" s="1">
        <v>2</v>
      </c>
      <c r="G15599" s="1" t="s">
        <v>28</v>
      </c>
      <c r="H15599" s="4" t="str">
        <f>HYPERLINK("https://portal.gdc.cancer.gov/cases/6ddaee34-46eb-490c-bd13-f0ab963c4322","TCGA-GM-A3NW-01A")</f>
        <v>TCGA-GM-A3NW-01A</v>
      </c>
      <c r="I15599" t="s">
        <v>17</v>
      </c>
      <c r="J15599" t="s">
        <v>524</v>
      </c>
      <c r="K15599" t="s">
        <v>33</v>
      </c>
      <c r="L15599" t="s">
        <v>20</v>
      </c>
      <c r="N15599" t="s">
        <v>29</v>
      </c>
    </row>
    <row r="15600" spans="1:14">
      <c r="A15600" s="4" t="str">
        <f t="shared" si="1195"/>
        <v>EXP00415</v>
      </c>
      <c r="B15600" s="3" t="s">
        <v>66</v>
      </c>
      <c r="C15600" s="4" t="str">
        <f t="shared" si="1196"/>
        <v>TCGA-BRCA</v>
      </c>
      <c r="D15600" s="1" t="s">
        <v>493</v>
      </c>
      <c r="E15600" t="s">
        <v>533</v>
      </c>
      <c r="F15600" s="1">
        <v>2</v>
      </c>
      <c r="G15600" s="1" t="s">
        <v>28</v>
      </c>
      <c r="H15600" s="4" t="str">
        <f>HYPERLINK("https://portal.gdc.cancer.gov/cases/bd5374c9-7f36-457f-b66b-7cc7ff64224e","TCGA-GM-A3NY-01A")</f>
        <v>TCGA-GM-A3NY-01A</v>
      </c>
      <c r="I15600" t="s">
        <v>17</v>
      </c>
      <c r="J15600" t="s">
        <v>524</v>
      </c>
      <c r="K15600" t="s">
        <v>33</v>
      </c>
      <c r="L15600" t="s">
        <v>20</v>
      </c>
      <c r="N15600" t="s">
        <v>29</v>
      </c>
    </row>
    <row r="15601" spans="1:14">
      <c r="A15601" s="4" t="str">
        <f t="shared" si="1195"/>
        <v>EXP00415</v>
      </c>
      <c r="B15601" s="3" t="s">
        <v>66</v>
      </c>
      <c r="C15601" s="4" t="str">
        <f t="shared" si="1196"/>
        <v>TCGA-BRCA</v>
      </c>
      <c r="D15601" s="1" t="s">
        <v>493</v>
      </c>
      <c r="E15601" t="s">
        <v>533</v>
      </c>
      <c r="F15601" s="1">
        <v>2</v>
      </c>
      <c r="G15601" s="1" t="s">
        <v>28</v>
      </c>
      <c r="H15601" s="4" t="str">
        <f>HYPERLINK("https://portal.gdc.cancer.gov/cases/6f0fd68f-ed6a-4c9e-be02-c97ba4950f76","TCGA-GM-A3XG-01A")</f>
        <v>TCGA-GM-A3XG-01A</v>
      </c>
      <c r="I15601" t="s">
        <v>17</v>
      </c>
      <c r="J15601" t="s">
        <v>524</v>
      </c>
      <c r="K15601" t="s">
        <v>33</v>
      </c>
      <c r="L15601" t="s">
        <v>20</v>
      </c>
      <c r="N15601" t="s">
        <v>29</v>
      </c>
    </row>
    <row r="15602" spans="1:14">
      <c r="A15602" s="4" t="str">
        <f t="shared" si="1195"/>
        <v>EXP00415</v>
      </c>
      <c r="B15602" s="3" t="s">
        <v>66</v>
      </c>
      <c r="C15602" s="4" t="str">
        <f t="shared" si="1196"/>
        <v>TCGA-BRCA</v>
      </c>
      <c r="D15602" s="1" t="s">
        <v>493</v>
      </c>
      <c r="E15602" t="s">
        <v>533</v>
      </c>
      <c r="F15602" s="1">
        <v>2</v>
      </c>
      <c r="G15602" s="1" t="s">
        <v>28</v>
      </c>
      <c r="H15602" s="4" t="str">
        <f>HYPERLINK("https://portal.gdc.cancer.gov/cases/65cac997-4d39-4501-85ec-4fcb328a8eb5","TCGA-GM-A3XL-01A")</f>
        <v>TCGA-GM-A3XL-01A</v>
      </c>
      <c r="I15602" t="s">
        <v>17</v>
      </c>
      <c r="J15602" t="s">
        <v>524</v>
      </c>
      <c r="K15602" t="s">
        <v>33</v>
      </c>
      <c r="L15602" t="s">
        <v>20</v>
      </c>
      <c r="N15602" t="s">
        <v>29</v>
      </c>
    </row>
    <row r="15603" spans="1:14">
      <c r="A15603" s="4" t="str">
        <f t="shared" si="1195"/>
        <v>EXP00415</v>
      </c>
      <c r="B15603" s="3" t="s">
        <v>66</v>
      </c>
      <c r="C15603" s="4" t="str">
        <f t="shared" si="1196"/>
        <v>TCGA-BRCA</v>
      </c>
      <c r="D15603" s="1" t="s">
        <v>493</v>
      </c>
      <c r="E15603" t="s">
        <v>533</v>
      </c>
      <c r="F15603" s="1">
        <v>2</v>
      </c>
      <c r="G15603" s="1" t="s">
        <v>28</v>
      </c>
      <c r="H15603" s="4" t="str">
        <f>HYPERLINK("https://portal.gdc.cancer.gov/cases/0930e97a-72ea-4bd5-b2f0-50c76af695f3","TCGA-GM-A3XN-01A")</f>
        <v>TCGA-GM-A3XN-01A</v>
      </c>
      <c r="I15603" t="s">
        <v>17</v>
      </c>
      <c r="J15603" t="s">
        <v>524</v>
      </c>
      <c r="K15603" t="s">
        <v>33</v>
      </c>
      <c r="L15603" t="s">
        <v>20</v>
      </c>
      <c r="N15603" t="s">
        <v>29</v>
      </c>
    </row>
    <row r="15604" spans="1:14">
      <c r="A15604" s="4" t="str">
        <f t="shared" si="1195"/>
        <v>EXP00415</v>
      </c>
      <c r="B15604" s="3" t="s">
        <v>66</v>
      </c>
      <c r="C15604" s="4" t="str">
        <f t="shared" si="1196"/>
        <v>TCGA-BRCA</v>
      </c>
      <c r="D15604" s="1" t="s">
        <v>493</v>
      </c>
      <c r="E15604" t="s">
        <v>533</v>
      </c>
      <c r="F15604" s="1">
        <v>2</v>
      </c>
      <c r="G15604" s="1" t="s">
        <v>28</v>
      </c>
      <c r="H15604" s="4" t="str">
        <f>HYPERLINK("https://portal.gdc.cancer.gov/cases/6397d7bc-9cb1-4a84-81ad-76954e0a8cee","TCGA-GM-A4E0-01A")</f>
        <v>TCGA-GM-A4E0-01A</v>
      </c>
      <c r="I15604" t="s">
        <v>17</v>
      </c>
      <c r="J15604" t="s">
        <v>524</v>
      </c>
      <c r="K15604" t="s">
        <v>33</v>
      </c>
      <c r="L15604" t="s">
        <v>20</v>
      </c>
      <c r="N15604" t="s">
        <v>29</v>
      </c>
    </row>
    <row r="15605" spans="1:14">
      <c r="A15605" s="4" t="str">
        <f t="shared" si="1195"/>
        <v>EXP00415</v>
      </c>
      <c r="B15605" s="3" t="s">
        <v>66</v>
      </c>
      <c r="C15605" s="4" t="str">
        <f t="shared" si="1196"/>
        <v>TCGA-BRCA</v>
      </c>
      <c r="D15605" s="1" t="s">
        <v>493</v>
      </c>
      <c r="E15605" t="s">
        <v>533</v>
      </c>
      <c r="F15605" s="1">
        <v>2</v>
      </c>
      <c r="G15605" s="1" t="s">
        <v>28</v>
      </c>
      <c r="H15605" s="4" t="str">
        <f>HYPERLINK("https://portal.gdc.cancer.gov/cases/67c8dc41-edcb-4563-96b3-3f93f9edcbe9","TCGA-GM-A5PV-01A")</f>
        <v>TCGA-GM-A5PV-01A</v>
      </c>
      <c r="I15605" t="s">
        <v>17</v>
      </c>
      <c r="J15605" t="s">
        <v>524</v>
      </c>
      <c r="K15605" t="s">
        <v>33</v>
      </c>
      <c r="L15605" t="s">
        <v>20</v>
      </c>
      <c r="N15605" t="s">
        <v>29</v>
      </c>
    </row>
    <row r="15606" spans="1:14">
      <c r="A15606" s="4" t="str">
        <f t="shared" si="1195"/>
        <v>EXP00415</v>
      </c>
      <c r="B15606" s="3" t="s">
        <v>66</v>
      </c>
      <c r="C15606" s="4" t="str">
        <f t="shared" si="1196"/>
        <v>TCGA-BRCA</v>
      </c>
      <c r="D15606" s="1" t="s">
        <v>493</v>
      </c>
      <c r="E15606" t="s">
        <v>533</v>
      </c>
      <c r="F15606" s="1">
        <v>2</v>
      </c>
      <c r="G15606" s="1" t="s">
        <v>28</v>
      </c>
      <c r="H15606" s="4" t="str">
        <f>HYPERLINK("https://portal.gdc.cancer.gov/cases/f7064d01-29d8-49a2-ad60-1e0c5f148f3e","TCGA-GM-A5PX-01A")</f>
        <v>TCGA-GM-A5PX-01A</v>
      </c>
      <c r="I15606" t="s">
        <v>17</v>
      </c>
      <c r="J15606" t="s">
        <v>524</v>
      </c>
      <c r="K15606" t="s">
        <v>33</v>
      </c>
      <c r="L15606" t="s">
        <v>20</v>
      </c>
      <c r="N15606" t="s">
        <v>29</v>
      </c>
    </row>
    <row r="15607" spans="1:14">
      <c r="A15607" s="4" t="str">
        <f t="shared" si="1195"/>
        <v>EXP00415</v>
      </c>
      <c r="B15607" s="3" t="s">
        <v>66</v>
      </c>
      <c r="C15607" s="4" t="str">
        <f t="shared" si="1196"/>
        <v>TCGA-BRCA</v>
      </c>
      <c r="D15607" s="1" t="s">
        <v>493</v>
      </c>
      <c r="E15607" t="s">
        <v>533</v>
      </c>
      <c r="F15607" s="1">
        <v>2</v>
      </c>
      <c r="G15607" s="1" t="s">
        <v>28</v>
      </c>
      <c r="H15607" s="4" t="str">
        <f>HYPERLINK("https://portal.gdc.cancer.gov/cases/124b693c-77dc-4fa8-b703-54e8b5054a92","TCGA-HN-A2NL-01A")</f>
        <v>TCGA-HN-A2NL-01A</v>
      </c>
      <c r="I15607" t="s">
        <v>17</v>
      </c>
      <c r="J15607" t="s">
        <v>524</v>
      </c>
      <c r="K15607" t="s">
        <v>33</v>
      </c>
      <c r="L15607" t="s">
        <v>20</v>
      </c>
      <c r="N15607" t="s">
        <v>29</v>
      </c>
    </row>
    <row r="15608" spans="1:14">
      <c r="A15608" s="4" t="str">
        <f t="shared" ref="A15608:A15671" si="1197">HYPERLINK("http://hcmdb.i-sanger.com/experiment/details/experiment_id/EXP00415","EXP00415")</f>
        <v>EXP00415</v>
      </c>
      <c r="B15608" s="3" t="s">
        <v>66</v>
      </c>
      <c r="C15608" s="4" t="str">
        <f t="shared" si="1196"/>
        <v>TCGA-BRCA</v>
      </c>
      <c r="D15608" s="1" t="s">
        <v>493</v>
      </c>
      <c r="E15608" t="s">
        <v>533</v>
      </c>
      <c r="F15608" s="1">
        <v>2</v>
      </c>
      <c r="G15608" s="1" t="s">
        <v>28</v>
      </c>
      <c r="H15608" s="4" t="str">
        <f>HYPERLINK("https://portal.gdc.cancer.gov/cases/a2434f47-2168-47d0-9bbb-981071597843","TCGA-JL-A3YW-01A")</f>
        <v>TCGA-JL-A3YW-01A</v>
      </c>
      <c r="I15608" t="s">
        <v>17</v>
      </c>
      <c r="J15608" t="s">
        <v>524</v>
      </c>
      <c r="K15608" t="s">
        <v>33</v>
      </c>
      <c r="L15608" t="s">
        <v>20</v>
      </c>
      <c r="N15608" t="s">
        <v>29</v>
      </c>
    </row>
    <row r="15609" spans="1:14">
      <c r="A15609" s="4" t="str">
        <f t="shared" si="1197"/>
        <v>EXP00415</v>
      </c>
      <c r="B15609" s="3" t="s">
        <v>66</v>
      </c>
      <c r="C15609" s="4" t="str">
        <f t="shared" si="1196"/>
        <v>TCGA-BRCA</v>
      </c>
      <c r="D15609" s="1" t="s">
        <v>493</v>
      </c>
      <c r="E15609" t="s">
        <v>533</v>
      </c>
      <c r="F15609" s="1">
        <v>2</v>
      </c>
      <c r="G15609" s="1" t="s">
        <v>28</v>
      </c>
      <c r="H15609" s="4" t="str">
        <f>HYPERLINK("https://portal.gdc.cancer.gov/cases/75f6e476-233a-409c-a3ef-0240be569813","TCGA-JL-A3YX-01A")</f>
        <v>TCGA-JL-A3YX-01A</v>
      </c>
      <c r="I15609" t="s">
        <v>17</v>
      </c>
      <c r="J15609" t="s">
        <v>524</v>
      </c>
      <c r="K15609" t="s">
        <v>33</v>
      </c>
      <c r="L15609" t="s">
        <v>20</v>
      </c>
      <c r="N15609" t="s">
        <v>29</v>
      </c>
    </row>
    <row r="15610" spans="1:14">
      <c r="A15610" s="4" t="str">
        <f t="shared" si="1197"/>
        <v>EXP00415</v>
      </c>
      <c r="B15610" s="3" t="s">
        <v>66</v>
      </c>
      <c r="C15610" s="4" t="str">
        <f t="shared" ref="C15610:C15673" si="1198">HYPERLINK("https://portal.gdc.cancer.gov/projects/TCGA-BRCA","TCGA-BRCA")</f>
        <v>TCGA-BRCA</v>
      </c>
      <c r="D15610" s="1" t="s">
        <v>493</v>
      </c>
      <c r="E15610" t="s">
        <v>533</v>
      </c>
      <c r="F15610" s="1">
        <v>2</v>
      </c>
      <c r="G15610" s="1" t="s">
        <v>28</v>
      </c>
      <c r="H15610" s="4" t="str">
        <f>HYPERLINK("https://portal.gdc.cancer.gov/cases/38dc3e09-0b0e-4a29-b318-cc0352013dae","TCGA-LD-A66U-01A")</f>
        <v>TCGA-LD-A66U-01A</v>
      </c>
      <c r="I15610" t="s">
        <v>17</v>
      </c>
      <c r="J15610" t="s">
        <v>524</v>
      </c>
      <c r="K15610" t="s">
        <v>33</v>
      </c>
      <c r="L15610" t="s">
        <v>20</v>
      </c>
      <c r="N15610" t="s">
        <v>29</v>
      </c>
    </row>
    <row r="15611" spans="1:14">
      <c r="A15611" s="4" t="str">
        <f t="shared" si="1197"/>
        <v>EXP00415</v>
      </c>
      <c r="B15611" s="3" t="s">
        <v>66</v>
      </c>
      <c r="C15611" s="4" t="str">
        <f t="shared" si="1198"/>
        <v>TCGA-BRCA</v>
      </c>
      <c r="D15611" s="1" t="s">
        <v>493</v>
      </c>
      <c r="E15611" t="s">
        <v>533</v>
      </c>
      <c r="F15611" s="1">
        <v>2</v>
      </c>
      <c r="G15611" s="1" t="s">
        <v>28</v>
      </c>
      <c r="H15611" s="4" t="str">
        <f>HYPERLINK("https://portal.gdc.cancer.gov/cases/38a4e9bd-93e9-432d-a756-3b1055b823bd","TCGA-LD-A74U-01A")</f>
        <v>TCGA-LD-A74U-01A</v>
      </c>
      <c r="I15611" t="s">
        <v>17</v>
      </c>
      <c r="J15611" t="s">
        <v>524</v>
      </c>
      <c r="K15611" t="s">
        <v>33</v>
      </c>
      <c r="L15611" t="s">
        <v>20</v>
      </c>
      <c r="N15611" t="s">
        <v>29</v>
      </c>
    </row>
    <row r="15612" spans="1:14">
      <c r="A15612" s="4" t="str">
        <f t="shared" si="1197"/>
        <v>EXP00415</v>
      </c>
      <c r="B15612" s="3" t="s">
        <v>66</v>
      </c>
      <c r="C15612" s="4" t="str">
        <f t="shared" si="1198"/>
        <v>TCGA-BRCA</v>
      </c>
      <c r="D15612" s="1" t="s">
        <v>493</v>
      </c>
      <c r="E15612" t="s">
        <v>533</v>
      </c>
      <c r="F15612" s="1">
        <v>2</v>
      </c>
      <c r="G15612" s="1" t="s">
        <v>28</v>
      </c>
      <c r="H15612" s="4" t="str">
        <f>HYPERLINK("https://portal.gdc.cancer.gov/cases/0b0f9938-ce1e-4814-8821-0132d137eb9e","TCGA-LD-A7W6-01A")</f>
        <v>TCGA-LD-A7W6-01A</v>
      </c>
      <c r="I15612" t="s">
        <v>17</v>
      </c>
      <c r="J15612" t="s">
        <v>524</v>
      </c>
      <c r="K15612" t="s">
        <v>33</v>
      </c>
      <c r="L15612" t="s">
        <v>20</v>
      </c>
      <c r="N15612" t="s">
        <v>29</v>
      </c>
    </row>
    <row r="15613" spans="1:14">
      <c r="A15613" s="4" t="str">
        <f t="shared" si="1197"/>
        <v>EXP00415</v>
      </c>
      <c r="B15613" s="3" t="s">
        <v>66</v>
      </c>
      <c r="C15613" s="4" t="str">
        <f t="shared" si="1198"/>
        <v>TCGA-BRCA</v>
      </c>
      <c r="D15613" s="1" t="s">
        <v>493</v>
      </c>
      <c r="E15613" t="s">
        <v>533</v>
      </c>
      <c r="F15613" s="1">
        <v>2</v>
      </c>
      <c r="G15613" s="1" t="s">
        <v>28</v>
      </c>
      <c r="H15613" s="4" t="str">
        <f>HYPERLINK("https://portal.gdc.cancer.gov/cases/95c53ecf-d8f1-4bcb-9b1a-c9a0542939f0","TCGA-LD-A9QF-01A")</f>
        <v>TCGA-LD-A9QF-01A</v>
      </c>
      <c r="I15613" t="s">
        <v>17</v>
      </c>
      <c r="J15613" t="s">
        <v>524</v>
      </c>
      <c r="K15613" t="s">
        <v>33</v>
      </c>
      <c r="L15613" t="s">
        <v>20</v>
      </c>
      <c r="N15613" t="s">
        <v>29</v>
      </c>
    </row>
    <row r="15614" spans="1:14">
      <c r="A15614" s="4" t="str">
        <f t="shared" si="1197"/>
        <v>EXP00415</v>
      </c>
      <c r="B15614" s="3" t="s">
        <v>66</v>
      </c>
      <c r="C15614" s="4" t="str">
        <f t="shared" si="1198"/>
        <v>TCGA-BRCA</v>
      </c>
      <c r="D15614" s="1" t="s">
        <v>493</v>
      </c>
      <c r="E15614" t="s">
        <v>533</v>
      </c>
      <c r="F15614" s="1">
        <v>2</v>
      </c>
      <c r="G15614" s="1" t="s">
        <v>28</v>
      </c>
      <c r="H15614" s="4" t="str">
        <f>HYPERLINK("https://portal.gdc.cancer.gov/cases/00b11ca8-8540-4a3d-b602-ec754b00230b","TCGA-LL-A440-01A")</f>
        <v>TCGA-LL-A440-01A</v>
      </c>
      <c r="I15614" t="s">
        <v>17</v>
      </c>
      <c r="J15614" t="s">
        <v>524</v>
      </c>
      <c r="K15614" t="s">
        <v>33</v>
      </c>
      <c r="L15614" t="s">
        <v>20</v>
      </c>
      <c r="N15614" t="s">
        <v>29</v>
      </c>
    </row>
    <row r="15615" spans="1:14">
      <c r="A15615" s="4" t="str">
        <f t="shared" si="1197"/>
        <v>EXP00415</v>
      </c>
      <c r="B15615" s="3" t="s">
        <v>66</v>
      </c>
      <c r="C15615" s="4" t="str">
        <f t="shared" si="1198"/>
        <v>TCGA-BRCA</v>
      </c>
      <c r="D15615" s="1" t="s">
        <v>493</v>
      </c>
      <c r="E15615" t="s">
        <v>533</v>
      </c>
      <c r="F15615" s="1">
        <v>2</v>
      </c>
      <c r="G15615" s="1" t="s">
        <v>28</v>
      </c>
      <c r="H15615" s="4" t="str">
        <f>HYPERLINK("https://portal.gdc.cancer.gov/cases/69fc24fc-cfe2-487a-935f-1a954b30b709","TCGA-LL-A441-01A")</f>
        <v>TCGA-LL-A441-01A</v>
      </c>
      <c r="I15615" t="s">
        <v>17</v>
      </c>
      <c r="J15615" t="s">
        <v>524</v>
      </c>
      <c r="K15615" t="s">
        <v>33</v>
      </c>
      <c r="L15615" t="s">
        <v>20</v>
      </c>
      <c r="N15615" t="s">
        <v>29</v>
      </c>
    </row>
    <row r="15616" spans="1:14">
      <c r="A15616" s="4" t="str">
        <f t="shared" si="1197"/>
        <v>EXP00415</v>
      </c>
      <c r="B15616" s="3" t="s">
        <v>66</v>
      </c>
      <c r="C15616" s="4" t="str">
        <f t="shared" si="1198"/>
        <v>TCGA-BRCA</v>
      </c>
      <c r="D15616" s="1" t="s">
        <v>493</v>
      </c>
      <c r="E15616" t="s">
        <v>533</v>
      </c>
      <c r="F15616" s="1">
        <v>2</v>
      </c>
      <c r="G15616" s="1" t="s">
        <v>28</v>
      </c>
      <c r="H15616" s="4" t="str">
        <f>HYPERLINK("https://portal.gdc.cancer.gov/cases/3f56d67f-5a9c-4353-9408-e7f60eb6477b","TCGA-LL-A442-01A")</f>
        <v>TCGA-LL-A442-01A</v>
      </c>
      <c r="I15616" t="s">
        <v>17</v>
      </c>
      <c r="J15616" t="s">
        <v>524</v>
      </c>
      <c r="K15616" t="s">
        <v>33</v>
      </c>
      <c r="L15616" t="s">
        <v>20</v>
      </c>
      <c r="N15616" t="s">
        <v>29</v>
      </c>
    </row>
    <row r="15617" spans="1:14">
      <c r="A15617" s="4" t="str">
        <f t="shared" si="1197"/>
        <v>EXP00415</v>
      </c>
      <c r="B15617" s="3" t="s">
        <v>66</v>
      </c>
      <c r="C15617" s="4" t="str">
        <f t="shared" si="1198"/>
        <v>TCGA-BRCA</v>
      </c>
      <c r="D15617" s="1" t="s">
        <v>493</v>
      </c>
      <c r="E15617" t="s">
        <v>533</v>
      </c>
      <c r="F15617" s="1">
        <v>2</v>
      </c>
      <c r="G15617" s="1" t="s">
        <v>28</v>
      </c>
      <c r="H15617" s="4" t="str">
        <f>HYPERLINK("https://portal.gdc.cancer.gov/cases/91da548b-5c64-49c3-a44a-1ef115f53311","TCGA-LL-A50Y-01A")</f>
        <v>TCGA-LL-A50Y-01A</v>
      </c>
      <c r="I15617" t="s">
        <v>17</v>
      </c>
      <c r="J15617" t="s">
        <v>524</v>
      </c>
      <c r="K15617" t="s">
        <v>33</v>
      </c>
      <c r="L15617" t="s">
        <v>20</v>
      </c>
      <c r="N15617" t="s">
        <v>29</v>
      </c>
    </row>
    <row r="15618" spans="1:14">
      <c r="A15618" s="4" t="str">
        <f t="shared" si="1197"/>
        <v>EXP00415</v>
      </c>
      <c r="B15618" s="3" t="s">
        <v>66</v>
      </c>
      <c r="C15618" s="4" t="str">
        <f t="shared" si="1198"/>
        <v>TCGA-BRCA</v>
      </c>
      <c r="D15618" s="1" t="s">
        <v>493</v>
      </c>
      <c r="E15618" t="s">
        <v>533</v>
      </c>
      <c r="F15618" s="1">
        <v>2</v>
      </c>
      <c r="G15618" s="1" t="s">
        <v>28</v>
      </c>
      <c r="H15618" s="4" t="str">
        <f>HYPERLINK("https://portal.gdc.cancer.gov/cases/1d75e89d-4b01-443c-be54-749c7a667bf4","TCGA-LL-A5YL-01A")</f>
        <v>TCGA-LL-A5YL-01A</v>
      </c>
      <c r="I15618" t="s">
        <v>17</v>
      </c>
      <c r="J15618" t="s">
        <v>524</v>
      </c>
      <c r="K15618" t="s">
        <v>33</v>
      </c>
      <c r="L15618" t="s">
        <v>20</v>
      </c>
      <c r="N15618" t="s">
        <v>29</v>
      </c>
    </row>
    <row r="15619" spans="1:14">
      <c r="A15619" s="4" t="str">
        <f t="shared" si="1197"/>
        <v>EXP00415</v>
      </c>
      <c r="B15619" s="3" t="s">
        <v>66</v>
      </c>
      <c r="C15619" s="4" t="str">
        <f t="shared" si="1198"/>
        <v>TCGA-BRCA</v>
      </c>
      <c r="D15619" s="1" t="s">
        <v>493</v>
      </c>
      <c r="E15619" t="s">
        <v>533</v>
      </c>
      <c r="F15619" s="1">
        <v>2</v>
      </c>
      <c r="G15619" s="1" t="s">
        <v>28</v>
      </c>
      <c r="H15619" s="4" t="str">
        <f>HYPERLINK("https://portal.gdc.cancer.gov/cases/e9a12df9-024e-4cbc-b6bf-e4e87485fa90","TCGA-LL-A5YM-01A")</f>
        <v>TCGA-LL-A5YM-01A</v>
      </c>
      <c r="I15619" t="s">
        <v>17</v>
      </c>
      <c r="J15619" t="s">
        <v>524</v>
      </c>
      <c r="K15619" t="s">
        <v>33</v>
      </c>
      <c r="L15619" t="s">
        <v>20</v>
      </c>
      <c r="N15619" t="s">
        <v>29</v>
      </c>
    </row>
    <row r="15620" spans="1:14">
      <c r="A15620" s="4" t="str">
        <f t="shared" si="1197"/>
        <v>EXP00415</v>
      </c>
      <c r="B15620" s="3" t="s">
        <v>66</v>
      </c>
      <c r="C15620" s="4" t="str">
        <f t="shared" si="1198"/>
        <v>TCGA-BRCA</v>
      </c>
      <c r="D15620" s="1" t="s">
        <v>493</v>
      </c>
      <c r="E15620" t="s">
        <v>533</v>
      </c>
      <c r="F15620" s="1">
        <v>2</v>
      </c>
      <c r="G15620" s="1" t="s">
        <v>28</v>
      </c>
      <c r="H15620" s="4" t="str">
        <f>HYPERLINK("https://portal.gdc.cancer.gov/cases/ef1b3332-cd7f-41bb-a2d3-2538e7becc5c","TCGA-LL-A5YN-01A")</f>
        <v>TCGA-LL-A5YN-01A</v>
      </c>
      <c r="I15620" t="s">
        <v>17</v>
      </c>
      <c r="J15620" t="s">
        <v>524</v>
      </c>
      <c r="K15620" t="s">
        <v>33</v>
      </c>
      <c r="L15620" t="s">
        <v>20</v>
      </c>
      <c r="N15620" t="s">
        <v>29</v>
      </c>
    </row>
    <row r="15621" spans="1:14">
      <c r="A15621" s="4" t="str">
        <f t="shared" si="1197"/>
        <v>EXP00415</v>
      </c>
      <c r="B15621" s="3" t="s">
        <v>66</v>
      </c>
      <c r="C15621" s="4" t="str">
        <f t="shared" si="1198"/>
        <v>TCGA-BRCA</v>
      </c>
      <c r="D15621" s="1" t="s">
        <v>493</v>
      </c>
      <c r="E15621" t="s">
        <v>533</v>
      </c>
      <c r="F15621" s="1">
        <v>2</v>
      </c>
      <c r="G15621" s="1" t="s">
        <v>28</v>
      </c>
      <c r="H15621" s="4" t="str">
        <f>HYPERLINK("https://portal.gdc.cancer.gov/cases/b8aefc48-4a6e-4254-a57f-5f688399b582","TCGA-LL-A5YO-01A")</f>
        <v>TCGA-LL-A5YO-01A</v>
      </c>
      <c r="I15621" t="s">
        <v>17</v>
      </c>
      <c r="J15621" t="s">
        <v>524</v>
      </c>
      <c r="K15621" t="s">
        <v>33</v>
      </c>
      <c r="L15621" t="s">
        <v>20</v>
      </c>
      <c r="N15621" t="s">
        <v>29</v>
      </c>
    </row>
    <row r="15622" spans="1:14">
      <c r="A15622" s="4" t="str">
        <f t="shared" si="1197"/>
        <v>EXP00415</v>
      </c>
      <c r="B15622" s="3" t="s">
        <v>66</v>
      </c>
      <c r="C15622" s="4" t="str">
        <f t="shared" si="1198"/>
        <v>TCGA-BRCA</v>
      </c>
      <c r="D15622" s="1" t="s">
        <v>493</v>
      </c>
      <c r="E15622" t="s">
        <v>533</v>
      </c>
      <c r="F15622" s="1">
        <v>2</v>
      </c>
      <c r="G15622" s="1" t="s">
        <v>28</v>
      </c>
      <c r="H15622" s="4" t="str">
        <f>HYPERLINK("https://portal.gdc.cancer.gov/cases/6d24e675-2fa4-4102-861f-7516650b3049","TCGA-LL-A5YP-01A")</f>
        <v>TCGA-LL-A5YP-01A</v>
      </c>
      <c r="I15622" t="s">
        <v>17</v>
      </c>
      <c r="J15622" t="s">
        <v>524</v>
      </c>
      <c r="K15622" t="s">
        <v>33</v>
      </c>
      <c r="L15622" t="s">
        <v>20</v>
      </c>
      <c r="N15622" t="s">
        <v>29</v>
      </c>
    </row>
    <row r="15623" spans="1:14">
      <c r="A15623" s="4" t="str">
        <f t="shared" si="1197"/>
        <v>EXP00415</v>
      </c>
      <c r="B15623" s="3" t="s">
        <v>66</v>
      </c>
      <c r="C15623" s="4" t="str">
        <f t="shared" si="1198"/>
        <v>TCGA-BRCA</v>
      </c>
      <c r="D15623" s="1" t="s">
        <v>493</v>
      </c>
      <c r="E15623" t="s">
        <v>533</v>
      </c>
      <c r="F15623" s="1">
        <v>2</v>
      </c>
      <c r="G15623" s="1" t="s">
        <v>28</v>
      </c>
      <c r="H15623" s="4" t="str">
        <f>HYPERLINK("https://portal.gdc.cancer.gov/cases/5c9d8163-a68e-43ce-9cba-effb7405761e","TCGA-LL-A6FP-01A")</f>
        <v>TCGA-LL-A6FP-01A</v>
      </c>
      <c r="I15623" t="s">
        <v>17</v>
      </c>
      <c r="J15623" t="s">
        <v>524</v>
      </c>
      <c r="K15623" t="s">
        <v>33</v>
      </c>
      <c r="L15623" t="s">
        <v>20</v>
      </c>
      <c r="N15623" t="s">
        <v>29</v>
      </c>
    </row>
    <row r="15624" spans="1:14">
      <c r="A15624" s="4" t="str">
        <f t="shared" si="1197"/>
        <v>EXP00415</v>
      </c>
      <c r="B15624" s="3" t="s">
        <v>66</v>
      </c>
      <c r="C15624" s="4" t="str">
        <f t="shared" si="1198"/>
        <v>TCGA-BRCA</v>
      </c>
      <c r="D15624" s="1" t="s">
        <v>493</v>
      </c>
      <c r="E15624" t="s">
        <v>533</v>
      </c>
      <c r="F15624" s="1">
        <v>2</v>
      </c>
      <c r="G15624" s="1" t="s">
        <v>28</v>
      </c>
      <c r="H15624" s="4" t="str">
        <f>HYPERLINK("https://portal.gdc.cancer.gov/cases/92b842c5-f71b-4ef7-ba86-358d28e0966f","TCGA-LL-A6FQ-01A")</f>
        <v>TCGA-LL-A6FQ-01A</v>
      </c>
      <c r="I15624" t="s">
        <v>17</v>
      </c>
      <c r="J15624" t="s">
        <v>524</v>
      </c>
      <c r="K15624" t="s">
        <v>33</v>
      </c>
      <c r="L15624" t="s">
        <v>20</v>
      </c>
      <c r="N15624" t="s">
        <v>29</v>
      </c>
    </row>
    <row r="15625" spans="1:14">
      <c r="A15625" s="4" t="str">
        <f t="shared" si="1197"/>
        <v>EXP00415</v>
      </c>
      <c r="B15625" s="3" t="s">
        <v>66</v>
      </c>
      <c r="C15625" s="4" t="str">
        <f t="shared" si="1198"/>
        <v>TCGA-BRCA</v>
      </c>
      <c r="D15625" s="1" t="s">
        <v>493</v>
      </c>
      <c r="E15625" t="s">
        <v>533</v>
      </c>
      <c r="F15625" s="1">
        <v>2</v>
      </c>
      <c r="G15625" s="1" t="s">
        <v>28</v>
      </c>
      <c r="H15625" s="4" t="str">
        <f>HYPERLINK("https://portal.gdc.cancer.gov/cases/1347c23d-8d6e-4c15-9461-640249838c96","TCGA-LL-A6FR-01A")</f>
        <v>TCGA-LL-A6FR-01A</v>
      </c>
      <c r="I15625" t="s">
        <v>17</v>
      </c>
      <c r="J15625" t="s">
        <v>524</v>
      </c>
      <c r="K15625" t="s">
        <v>33</v>
      </c>
      <c r="L15625" t="s">
        <v>20</v>
      </c>
      <c r="N15625" t="s">
        <v>29</v>
      </c>
    </row>
    <row r="15626" spans="1:14">
      <c r="A15626" s="4" t="str">
        <f t="shared" si="1197"/>
        <v>EXP00415</v>
      </c>
      <c r="B15626" s="3" t="s">
        <v>66</v>
      </c>
      <c r="C15626" s="4" t="str">
        <f t="shared" si="1198"/>
        <v>TCGA-BRCA</v>
      </c>
      <c r="D15626" s="1" t="s">
        <v>493</v>
      </c>
      <c r="E15626" t="s">
        <v>533</v>
      </c>
      <c r="F15626" s="1">
        <v>2</v>
      </c>
      <c r="G15626" s="1" t="s">
        <v>28</v>
      </c>
      <c r="H15626" s="4" t="str">
        <f>HYPERLINK("https://portal.gdc.cancer.gov/cases/ea645243-df49-4466-a255-9f3d4321e357","TCGA-LL-A73Y-01A")</f>
        <v>TCGA-LL-A73Y-01A</v>
      </c>
      <c r="I15626" t="s">
        <v>17</v>
      </c>
      <c r="J15626" t="s">
        <v>524</v>
      </c>
      <c r="K15626" t="s">
        <v>33</v>
      </c>
      <c r="L15626" t="s">
        <v>20</v>
      </c>
      <c r="N15626" t="s">
        <v>29</v>
      </c>
    </row>
    <row r="15627" spans="1:14">
      <c r="A15627" s="4" t="str">
        <f t="shared" si="1197"/>
        <v>EXP00415</v>
      </c>
      <c r="B15627" s="3" t="s">
        <v>66</v>
      </c>
      <c r="C15627" s="4" t="str">
        <f t="shared" si="1198"/>
        <v>TCGA-BRCA</v>
      </c>
      <c r="D15627" s="1" t="s">
        <v>493</v>
      </c>
      <c r="E15627" t="s">
        <v>533</v>
      </c>
      <c r="F15627" s="1">
        <v>2</v>
      </c>
      <c r="G15627" s="1" t="s">
        <v>28</v>
      </c>
      <c r="H15627" s="4" t="str">
        <f>HYPERLINK("https://portal.gdc.cancer.gov/cases/3e637872-f5e5-49d3-bb0d-9c16b8713382","TCGA-LL-A73Z-01A")</f>
        <v>TCGA-LL-A73Z-01A</v>
      </c>
      <c r="I15627" t="s">
        <v>17</v>
      </c>
      <c r="J15627" t="s">
        <v>524</v>
      </c>
      <c r="K15627" t="s">
        <v>33</v>
      </c>
      <c r="L15627" t="s">
        <v>20</v>
      </c>
      <c r="N15627" t="s">
        <v>29</v>
      </c>
    </row>
    <row r="15628" spans="1:14">
      <c r="A15628" s="4" t="str">
        <f t="shared" si="1197"/>
        <v>EXP00415</v>
      </c>
      <c r="B15628" s="3" t="s">
        <v>66</v>
      </c>
      <c r="C15628" s="4" t="str">
        <f t="shared" si="1198"/>
        <v>TCGA-BRCA</v>
      </c>
      <c r="D15628" s="1" t="s">
        <v>493</v>
      </c>
      <c r="E15628" t="s">
        <v>533</v>
      </c>
      <c r="F15628" s="1">
        <v>2</v>
      </c>
      <c r="G15628" s="1" t="s">
        <v>28</v>
      </c>
      <c r="H15628" s="4" t="str">
        <f>HYPERLINK("https://portal.gdc.cancer.gov/cases/aa60fa8d-c374-40e0-af2d-b007701e67e3","TCGA-LL-A740-01A")</f>
        <v>TCGA-LL-A740-01A</v>
      </c>
      <c r="I15628" t="s">
        <v>17</v>
      </c>
      <c r="J15628" t="s">
        <v>524</v>
      </c>
      <c r="K15628" t="s">
        <v>33</v>
      </c>
      <c r="L15628" t="s">
        <v>20</v>
      </c>
      <c r="N15628" t="s">
        <v>29</v>
      </c>
    </row>
    <row r="15629" spans="1:14">
      <c r="A15629" s="4" t="str">
        <f t="shared" si="1197"/>
        <v>EXP00415</v>
      </c>
      <c r="B15629" s="3" t="s">
        <v>66</v>
      </c>
      <c r="C15629" s="4" t="str">
        <f t="shared" si="1198"/>
        <v>TCGA-BRCA</v>
      </c>
      <c r="D15629" s="1" t="s">
        <v>493</v>
      </c>
      <c r="E15629" t="s">
        <v>533</v>
      </c>
      <c r="F15629" s="1">
        <v>2</v>
      </c>
      <c r="G15629" s="1" t="s">
        <v>28</v>
      </c>
      <c r="H15629" s="4" t="str">
        <f>HYPERLINK("https://portal.gdc.cancer.gov/cases/09a5e9fd-d816-4f8c-baa9-0e40ba607b16","TCGA-LL-A7SZ-01A")</f>
        <v>TCGA-LL-A7SZ-01A</v>
      </c>
      <c r="I15629" t="s">
        <v>17</v>
      </c>
      <c r="J15629" t="s">
        <v>524</v>
      </c>
      <c r="K15629" t="s">
        <v>33</v>
      </c>
      <c r="L15629" t="s">
        <v>20</v>
      </c>
      <c r="N15629" t="s">
        <v>29</v>
      </c>
    </row>
    <row r="15630" spans="1:14">
      <c r="A15630" s="4" t="str">
        <f t="shared" si="1197"/>
        <v>EXP00415</v>
      </c>
      <c r="B15630" s="3" t="s">
        <v>66</v>
      </c>
      <c r="C15630" s="4" t="str">
        <f t="shared" si="1198"/>
        <v>TCGA-BRCA</v>
      </c>
      <c r="D15630" s="1" t="s">
        <v>493</v>
      </c>
      <c r="E15630" t="s">
        <v>533</v>
      </c>
      <c r="F15630" s="1">
        <v>2</v>
      </c>
      <c r="G15630" s="1" t="s">
        <v>28</v>
      </c>
      <c r="H15630" s="4" t="str">
        <f>HYPERLINK("https://portal.gdc.cancer.gov/cases/d8f8064f-02ef-4fed-942b-714cbe5e8455","TCGA-LL-A7T0-01A")</f>
        <v>TCGA-LL-A7T0-01A</v>
      </c>
      <c r="I15630" t="s">
        <v>17</v>
      </c>
      <c r="J15630" t="s">
        <v>524</v>
      </c>
      <c r="K15630" t="s">
        <v>33</v>
      </c>
      <c r="L15630" t="s">
        <v>20</v>
      </c>
      <c r="N15630" t="s">
        <v>29</v>
      </c>
    </row>
    <row r="15631" spans="1:14">
      <c r="A15631" s="4" t="str">
        <f t="shared" si="1197"/>
        <v>EXP00415</v>
      </c>
      <c r="B15631" s="3" t="s">
        <v>66</v>
      </c>
      <c r="C15631" s="4" t="str">
        <f t="shared" si="1198"/>
        <v>TCGA-BRCA</v>
      </c>
      <c r="D15631" s="1" t="s">
        <v>493</v>
      </c>
      <c r="E15631" t="s">
        <v>533</v>
      </c>
      <c r="F15631" s="1">
        <v>2</v>
      </c>
      <c r="G15631" s="1" t="s">
        <v>28</v>
      </c>
      <c r="H15631" s="4" t="str">
        <f>HYPERLINK("https://portal.gdc.cancer.gov/cases/e1786e78-ac46-46fd-8ce0-8f7456e46082","TCGA-LL-A8F5-01A")</f>
        <v>TCGA-LL-A8F5-01A</v>
      </c>
      <c r="I15631" t="s">
        <v>17</v>
      </c>
      <c r="J15631" t="s">
        <v>524</v>
      </c>
      <c r="K15631" t="s">
        <v>33</v>
      </c>
      <c r="L15631" t="s">
        <v>20</v>
      </c>
      <c r="N15631" t="s">
        <v>29</v>
      </c>
    </row>
    <row r="15632" spans="1:14">
      <c r="A15632" s="4" t="str">
        <f t="shared" si="1197"/>
        <v>EXP00415</v>
      </c>
      <c r="B15632" s="3" t="s">
        <v>66</v>
      </c>
      <c r="C15632" s="4" t="str">
        <f t="shared" si="1198"/>
        <v>TCGA-BRCA</v>
      </c>
      <c r="D15632" s="1" t="s">
        <v>493</v>
      </c>
      <c r="E15632" t="s">
        <v>533</v>
      </c>
      <c r="F15632" s="1">
        <v>2</v>
      </c>
      <c r="G15632" s="1" t="s">
        <v>28</v>
      </c>
      <c r="H15632" s="4" t="str">
        <f>HYPERLINK("https://portal.gdc.cancer.gov/cases/6af6d256-a753-46d2-b611-e4094ff265aa","TCGA-LL-A9Q3-01A")</f>
        <v>TCGA-LL-A9Q3-01A</v>
      </c>
      <c r="I15632" t="s">
        <v>17</v>
      </c>
      <c r="J15632" t="s">
        <v>524</v>
      </c>
      <c r="K15632" t="s">
        <v>33</v>
      </c>
      <c r="L15632" t="s">
        <v>20</v>
      </c>
      <c r="N15632" t="s">
        <v>29</v>
      </c>
    </row>
    <row r="15633" spans="1:14">
      <c r="A15633" s="4" t="str">
        <f t="shared" si="1197"/>
        <v>EXP00415</v>
      </c>
      <c r="B15633" s="3" t="s">
        <v>66</v>
      </c>
      <c r="C15633" s="4" t="str">
        <f t="shared" si="1198"/>
        <v>TCGA-BRCA</v>
      </c>
      <c r="D15633" s="1" t="s">
        <v>493</v>
      </c>
      <c r="E15633" t="s">
        <v>533</v>
      </c>
      <c r="F15633" s="1">
        <v>2</v>
      </c>
      <c r="G15633" s="1" t="s">
        <v>28</v>
      </c>
      <c r="H15633" s="4" t="str">
        <f>HYPERLINK("https://portal.gdc.cancer.gov/cases/4f321d41-3255-46a4-ae0d-1cf39699e624","TCGA-LQ-A4E4-01A")</f>
        <v>TCGA-LQ-A4E4-01A</v>
      </c>
      <c r="I15633" t="s">
        <v>17</v>
      </c>
      <c r="J15633" t="s">
        <v>524</v>
      </c>
      <c r="K15633" t="s">
        <v>33</v>
      </c>
      <c r="L15633" t="s">
        <v>20</v>
      </c>
      <c r="N15633" t="s">
        <v>29</v>
      </c>
    </row>
    <row r="15634" spans="1:14">
      <c r="A15634" s="4" t="str">
        <f t="shared" si="1197"/>
        <v>EXP00415</v>
      </c>
      <c r="B15634" s="3" t="s">
        <v>66</v>
      </c>
      <c r="C15634" s="4" t="str">
        <f t="shared" si="1198"/>
        <v>TCGA-BRCA</v>
      </c>
      <c r="D15634" s="1" t="s">
        <v>493</v>
      </c>
      <c r="E15634" t="s">
        <v>533</v>
      </c>
      <c r="F15634" s="1">
        <v>2</v>
      </c>
      <c r="G15634" s="1" t="s">
        <v>28</v>
      </c>
      <c r="H15634" s="4" t="str">
        <f>HYPERLINK("https://portal.gdc.cancer.gov/cases/910655da-2c12-4572-96b7-ded616e69b4b","TCGA-MS-A51U-01A")</f>
        <v>TCGA-MS-A51U-01A</v>
      </c>
      <c r="I15634" t="s">
        <v>17</v>
      </c>
      <c r="J15634" t="s">
        <v>524</v>
      </c>
      <c r="K15634" t="s">
        <v>33</v>
      </c>
      <c r="L15634" t="s">
        <v>20</v>
      </c>
      <c r="N15634" t="s">
        <v>29</v>
      </c>
    </row>
    <row r="15635" spans="1:14">
      <c r="A15635" s="4" t="str">
        <f t="shared" si="1197"/>
        <v>EXP00415</v>
      </c>
      <c r="B15635" s="3" t="s">
        <v>66</v>
      </c>
      <c r="C15635" s="4" t="str">
        <f t="shared" si="1198"/>
        <v>TCGA-BRCA</v>
      </c>
      <c r="D15635" s="1" t="s">
        <v>493</v>
      </c>
      <c r="E15635" t="s">
        <v>533</v>
      </c>
      <c r="F15635" s="1">
        <v>2</v>
      </c>
      <c r="G15635" s="1" t="s">
        <v>28</v>
      </c>
      <c r="H15635" s="4" t="str">
        <f>HYPERLINK("https://portal.gdc.cancer.gov/cases/cd7fb75e-1c2e-4201-86d3-b3ba21f476bf","TCGA-OK-A5Q2-01A")</f>
        <v>TCGA-OK-A5Q2-01A</v>
      </c>
      <c r="I15635" t="s">
        <v>17</v>
      </c>
      <c r="J15635" t="s">
        <v>524</v>
      </c>
      <c r="K15635" t="s">
        <v>33</v>
      </c>
      <c r="L15635" t="s">
        <v>20</v>
      </c>
      <c r="N15635" t="s">
        <v>29</v>
      </c>
    </row>
    <row r="15636" spans="1:14">
      <c r="A15636" s="4" t="str">
        <f t="shared" si="1197"/>
        <v>EXP00415</v>
      </c>
      <c r="B15636" s="3" t="s">
        <v>66</v>
      </c>
      <c r="C15636" s="4" t="str">
        <f t="shared" si="1198"/>
        <v>TCGA-BRCA</v>
      </c>
      <c r="D15636" s="1" t="s">
        <v>493</v>
      </c>
      <c r="E15636" t="s">
        <v>533</v>
      </c>
      <c r="F15636" s="1">
        <v>2</v>
      </c>
      <c r="G15636" s="1" t="s">
        <v>28</v>
      </c>
      <c r="H15636" s="4" t="str">
        <f>HYPERLINK("https://portal.gdc.cancer.gov/cases/c3a981c7-f148-4252-bd50-af8a49ec0df8","TCGA-OL-A5D6-01A")</f>
        <v>TCGA-OL-A5D6-01A</v>
      </c>
      <c r="I15636" t="s">
        <v>17</v>
      </c>
      <c r="J15636" t="s">
        <v>524</v>
      </c>
      <c r="K15636" t="s">
        <v>33</v>
      </c>
      <c r="L15636" t="s">
        <v>20</v>
      </c>
      <c r="N15636" t="s">
        <v>29</v>
      </c>
    </row>
    <row r="15637" spans="1:14">
      <c r="A15637" s="4" t="str">
        <f t="shared" si="1197"/>
        <v>EXP00415</v>
      </c>
      <c r="B15637" s="3" t="s">
        <v>66</v>
      </c>
      <c r="C15637" s="4" t="str">
        <f t="shared" si="1198"/>
        <v>TCGA-BRCA</v>
      </c>
      <c r="D15637" s="1" t="s">
        <v>493</v>
      </c>
      <c r="E15637" t="s">
        <v>533</v>
      </c>
      <c r="F15637" s="1">
        <v>2</v>
      </c>
      <c r="G15637" s="1" t="s">
        <v>28</v>
      </c>
      <c r="H15637" s="4" t="str">
        <f>HYPERLINK("https://portal.gdc.cancer.gov/cases/c8f39325-5382-447c-9291-a6915fc978b8","TCGA-OL-A5D7-01A")</f>
        <v>TCGA-OL-A5D7-01A</v>
      </c>
      <c r="I15637" t="s">
        <v>17</v>
      </c>
      <c r="J15637" t="s">
        <v>524</v>
      </c>
      <c r="K15637" t="s">
        <v>33</v>
      </c>
      <c r="L15637" t="s">
        <v>20</v>
      </c>
      <c r="N15637" t="s">
        <v>29</v>
      </c>
    </row>
    <row r="15638" spans="1:14">
      <c r="A15638" s="4" t="str">
        <f t="shared" si="1197"/>
        <v>EXP00415</v>
      </c>
      <c r="B15638" s="3" t="s">
        <v>66</v>
      </c>
      <c r="C15638" s="4" t="str">
        <f t="shared" si="1198"/>
        <v>TCGA-BRCA</v>
      </c>
      <c r="D15638" s="1" t="s">
        <v>493</v>
      </c>
      <c r="E15638" t="s">
        <v>533</v>
      </c>
      <c r="F15638" s="1">
        <v>2</v>
      </c>
      <c r="G15638" s="1" t="s">
        <v>28</v>
      </c>
      <c r="H15638" s="4" t="str">
        <f>HYPERLINK("https://portal.gdc.cancer.gov/cases/6d4860b2-21c6-4b7b-9093-2f32700d0612","TCGA-OL-A5D8-01A")</f>
        <v>TCGA-OL-A5D8-01A</v>
      </c>
      <c r="I15638" t="s">
        <v>17</v>
      </c>
      <c r="J15638" t="s">
        <v>524</v>
      </c>
      <c r="K15638" t="s">
        <v>33</v>
      </c>
      <c r="L15638" t="s">
        <v>20</v>
      </c>
      <c r="N15638" t="s">
        <v>29</v>
      </c>
    </row>
    <row r="15639" spans="1:14">
      <c r="A15639" s="4" t="str">
        <f t="shared" si="1197"/>
        <v>EXP00415</v>
      </c>
      <c r="B15639" s="3" t="s">
        <v>66</v>
      </c>
      <c r="C15639" s="4" t="str">
        <f t="shared" si="1198"/>
        <v>TCGA-BRCA</v>
      </c>
      <c r="D15639" s="1" t="s">
        <v>493</v>
      </c>
      <c r="E15639" t="s">
        <v>533</v>
      </c>
      <c r="F15639" s="1">
        <v>2</v>
      </c>
      <c r="G15639" s="1" t="s">
        <v>28</v>
      </c>
      <c r="H15639" s="4" t="str">
        <f>HYPERLINK("https://portal.gdc.cancer.gov/cases/4e509f73-99c7-48eb-a3a4-d34e3bface33","TCGA-OL-A5DA-01A")</f>
        <v>TCGA-OL-A5DA-01A</v>
      </c>
      <c r="I15639" t="s">
        <v>17</v>
      </c>
      <c r="J15639" t="s">
        <v>524</v>
      </c>
      <c r="K15639" t="s">
        <v>33</v>
      </c>
      <c r="L15639" t="s">
        <v>20</v>
      </c>
      <c r="N15639" t="s">
        <v>29</v>
      </c>
    </row>
    <row r="15640" spans="1:14">
      <c r="A15640" s="4" t="str">
        <f t="shared" si="1197"/>
        <v>EXP00415</v>
      </c>
      <c r="B15640" s="3" t="s">
        <v>66</v>
      </c>
      <c r="C15640" s="4" t="str">
        <f t="shared" si="1198"/>
        <v>TCGA-BRCA</v>
      </c>
      <c r="D15640" s="1" t="s">
        <v>493</v>
      </c>
      <c r="E15640" t="s">
        <v>533</v>
      </c>
      <c r="F15640" s="1">
        <v>2</v>
      </c>
      <c r="G15640" s="1" t="s">
        <v>28</v>
      </c>
      <c r="H15640" s="4" t="str">
        <f>HYPERLINK("https://portal.gdc.cancer.gov/cases/b8a44fdf-9cb9-4123-9ab0-4bc198921fee","TCGA-OL-A5RU-01A")</f>
        <v>TCGA-OL-A5RU-01A</v>
      </c>
      <c r="I15640" t="s">
        <v>17</v>
      </c>
      <c r="J15640" t="s">
        <v>524</v>
      </c>
      <c r="K15640" t="s">
        <v>33</v>
      </c>
      <c r="L15640" t="s">
        <v>20</v>
      </c>
      <c r="N15640" t="s">
        <v>29</v>
      </c>
    </row>
    <row r="15641" spans="1:14">
      <c r="A15641" s="4" t="str">
        <f t="shared" si="1197"/>
        <v>EXP00415</v>
      </c>
      <c r="B15641" s="3" t="s">
        <v>66</v>
      </c>
      <c r="C15641" s="4" t="str">
        <f t="shared" si="1198"/>
        <v>TCGA-BRCA</v>
      </c>
      <c r="D15641" s="1" t="s">
        <v>493</v>
      </c>
      <c r="E15641" t="s">
        <v>533</v>
      </c>
      <c r="F15641" s="1">
        <v>2</v>
      </c>
      <c r="G15641" s="1" t="s">
        <v>28</v>
      </c>
      <c r="H15641" s="4" t="str">
        <f>HYPERLINK("https://portal.gdc.cancer.gov/cases/1d38d356-d126-4476-94d0-26616b9375b1","TCGA-OL-A5RV-01A")</f>
        <v>TCGA-OL-A5RV-01A</v>
      </c>
      <c r="I15641" t="s">
        <v>17</v>
      </c>
      <c r="J15641" t="s">
        <v>524</v>
      </c>
      <c r="K15641" t="s">
        <v>33</v>
      </c>
      <c r="L15641" t="s">
        <v>20</v>
      </c>
      <c r="N15641" t="s">
        <v>29</v>
      </c>
    </row>
    <row r="15642" spans="1:14">
      <c r="A15642" s="4" t="str">
        <f t="shared" si="1197"/>
        <v>EXP00415</v>
      </c>
      <c r="B15642" s="3" t="s">
        <v>66</v>
      </c>
      <c r="C15642" s="4" t="str">
        <f t="shared" si="1198"/>
        <v>TCGA-BRCA</v>
      </c>
      <c r="D15642" s="1" t="s">
        <v>493</v>
      </c>
      <c r="E15642" t="s">
        <v>533</v>
      </c>
      <c r="F15642" s="1">
        <v>2</v>
      </c>
      <c r="G15642" s="1" t="s">
        <v>28</v>
      </c>
      <c r="H15642" s="4" t="str">
        <f>HYPERLINK("https://portal.gdc.cancer.gov/cases/a82d0a57-4383-473d-b334-d13b278404b1","TCGA-OL-A5RW-01A")</f>
        <v>TCGA-OL-A5RW-01A</v>
      </c>
      <c r="I15642" t="s">
        <v>17</v>
      </c>
      <c r="J15642" t="s">
        <v>524</v>
      </c>
      <c r="K15642" t="s">
        <v>33</v>
      </c>
      <c r="L15642" t="s">
        <v>20</v>
      </c>
      <c r="N15642" t="s">
        <v>29</v>
      </c>
    </row>
    <row r="15643" spans="1:14">
      <c r="A15643" s="4" t="str">
        <f t="shared" si="1197"/>
        <v>EXP00415</v>
      </c>
      <c r="B15643" s="3" t="s">
        <v>66</v>
      </c>
      <c r="C15643" s="4" t="str">
        <f t="shared" si="1198"/>
        <v>TCGA-BRCA</v>
      </c>
      <c r="D15643" s="1" t="s">
        <v>493</v>
      </c>
      <c r="E15643" t="s">
        <v>533</v>
      </c>
      <c r="F15643" s="1">
        <v>2</v>
      </c>
      <c r="G15643" s="1" t="s">
        <v>28</v>
      </c>
      <c r="H15643" s="4" t="str">
        <f>HYPERLINK("https://portal.gdc.cancer.gov/cases/43c0bec6-6fac-47b1-83cb-200a15a932be","TCGA-OL-A5RX-01A")</f>
        <v>TCGA-OL-A5RX-01A</v>
      </c>
      <c r="I15643" t="s">
        <v>17</v>
      </c>
      <c r="J15643" t="s">
        <v>524</v>
      </c>
      <c r="K15643" t="s">
        <v>33</v>
      </c>
      <c r="L15643" t="s">
        <v>20</v>
      </c>
      <c r="N15643" t="s">
        <v>29</v>
      </c>
    </row>
    <row r="15644" spans="1:14">
      <c r="A15644" s="4" t="str">
        <f t="shared" si="1197"/>
        <v>EXP00415</v>
      </c>
      <c r="B15644" s="3" t="s">
        <v>66</v>
      </c>
      <c r="C15644" s="4" t="str">
        <f t="shared" si="1198"/>
        <v>TCGA-BRCA</v>
      </c>
      <c r="D15644" s="1" t="s">
        <v>493</v>
      </c>
      <c r="E15644" t="s">
        <v>533</v>
      </c>
      <c r="F15644" s="1">
        <v>2</v>
      </c>
      <c r="G15644" s="1" t="s">
        <v>28</v>
      </c>
      <c r="H15644" s="4" t="str">
        <f>HYPERLINK("https://portal.gdc.cancer.gov/cases/8360cec6-daf6-41c9-9a4f-7fc03c958dcc","TCGA-OL-A5RY-01A")</f>
        <v>TCGA-OL-A5RY-01A</v>
      </c>
      <c r="I15644" t="s">
        <v>17</v>
      </c>
      <c r="J15644" t="s">
        <v>524</v>
      </c>
      <c r="K15644" t="s">
        <v>33</v>
      </c>
      <c r="L15644" t="s">
        <v>20</v>
      </c>
      <c r="N15644" t="s">
        <v>29</v>
      </c>
    </row>
    <row r="15645" spans="1:14">
      <c r="A15645" s="4" t="str">
        <f t="shared" si="1197"/>
        <v>EXP00415</v>
      </c>
      <c r="B15645" s="3" t="s">
        <v>66</v>
      </c>
      <c r="C15645" s="4" t="str">
        <f t="shared" si="1198"/>
        <v>TCGA-BRCA</v>
      </c>
      <c r="D15645" s="1" t="s">
        <v>493</v>
      </c>
      <c r="E15645" t="s">
        <v>533</v>
      </c>
      <c r="F15645" s="1">
        <v>2</v>
      </c>
      <c r="G15645" s="1" t="s">
        <v>28</v>
      </c>
      <c r="H15645" s="4" t="str">
        <f>HYPERLINK("https://portal.gdc.cancer.gov/cases/7e8713bd-0b17-4f09-9696-bc29707d862b","TCGA-OL-A5RZ-01A")</f>
        <v>TCGA-OL-A5RZ-01A</v>
      </c>
      <c r="I15645" t="s">
        <v>17</v>
      </c>
      <c r="J15645" t="s">
        <v>524</v>
      </c>
      <c r="K15645" t="s">
        <v>33</v>
      </c>
      <c r="L15645" t="s">
        <v>20</v>
      </c>
      <c r="N15645" t="s">
        <v>29</v>
      </c>
    </row>
    <row r="15646" spans="1:14">
      <c r="A15646" s="4" t="str">
        <f t="shared" si="1197"/>
        <v>EXP00415</v>
      </c>
      <c r="B15646" s="3" t="s">
        <v>66</v>
      </c>
      <c r="C15646" s="4" t="str">
        <f t="shared" si="1198"/>
        <v>TCGA-BRCA</v>
      </c>
      <c r="D15646" s="1" t="s">
        <v>493</v>
      </c>
      <c r="E15646" t="s">
        <v>533</v>
      </c>
      <c r="F15646" s="1">
        <v>2</v>
      </c>
      <c r="G15646" s="1" t="s">
        <v>28</v>
      </c>
      <c r="H15646" s="4" t="str">
        <f>HYPERLINK("https://portal.gdc.cancer.gov/cases/43b3bf47-7313-4dfb-952a-ec0b9d48e16c","TCGA-OL-A5S0-01A")</f>
        <v>TCGA-OL-A5S0-01A</v>
      </c>
      <c r="I15646" t="s">
        <v>17</v>
      </c>
      <c r="J15646" t="s">
        <v>524</v>
      </c>
      <c r="K15646" t="s">
        <v>33</v>
      </c>
      <c r="L15646" t="s">
        <v>20</v>
      </c>
      <c r="N15646" t="s">
        <v>29</v>
      </c>
    </row>
    <row r="15647" spans="1:14">
      <c r="A15647" s="4" t="str">
        <f t="shared" si="1197"/>
        <v>EXP00415</v>
      </c>
      <c r="B15647" s="3" t="s">
        <v>66</v>
      </c>
      <c r="C15647" s="4" t="str">
        <f t="shared" si="1198"/>
        <v>TCGA-BRCA</v>
      </c>
      <c r="D15647" s="1" t="s">
        <v>493</v>
      </c>
      <c r="E15647" t="s">
        <v>533</v>
      </c>
      <c r="F15647" s="1">
        <v>2</v>
      </c>
      <c r="G15647" s="1" t="s">
        <v>28</v>
      </c>
      <c r="H15647" s="4" t="str">
        <f>HYPERLINK("https://portal.gdc.cancer.gov/cases/76bd9bb9-9a8b-4a90-bb7c-eafe76472ee4","TCGA-OL-A66H-01A")</f>
        <v>TCGA-OL-A66H-01A</v>
      </c>
      <c r="I15647" t="s">
        <v>17</v>
      </c>
      <c r="J15647" t="s">
        <v>524</v>
      </c>
      <c r="K15647" t="s">
        <v>33</v>
      </c>
      <c r="L15647" t="s">
        <v>20</v>
      </c>
      <c r="N15647" t="s">
        <v>29</v>
      </c>
    </row>
    <row r="15648" spans="1:14">
      <c r="A15648" s="4" t="str">
        <f t="shared" si="1197"/>
        <v>EXP00415</v>
      </c>
      <c r="B15648" s="3" t="s">
        <v>66</v>
      </c>
      <c r="C15648" s="4" t="str">
        <f t="shared" si="1198"/>
        <v>TCGA-BRCA</v>
      </c>
      <c r="D15648" s="1" t="s">
        <v>493</v>
      </c>
      <c r="E15648" t="s">
        <v>533</v>
      </c>
      <c r="F15648" s="1">
        <v>2</v>
      </c>
      <c r="G15648" s="1" t="s">
        <v>28</v>
      </c>
      <c r="H15648" s="4" t="str">
        <f>HYPERLINK("https://portal.gdc.cancer.gov/cases/35bd694d-1dd2-466f-ab27-03320614b40e","TCGA-OL-A66I-01A")</f>
        <v>TCGA-OL-A66I-01A</v>
      </c>
      <c r="I15648" t="s">
        <v>17</v>
      </c>
      <c r="J15648" t="s">
        <v>524</v>
      </c>
      <c r="K15648" t="s">
        <v>33</v>
      </c>
      <c r="L15648" t="s">
        <v>20</v>
      </c>
      <c r="N15648" t="s">
        <v>29</v>
      </c>
    </row>
    <row r="15649" spans="1:14">
      <c r="A15649" s="4" t="str">
        <f t="shared" si="1197"/>
        <v>EXP00415</v>
      </c>
      <c r="B15649" s="3" t="s">
        <v>66</v>
      </c>
      <c r="C15649" s="4" t="str">
        <f t="shared" si="1198"/>
        <v>TCGA-BRCA</v>
      </c>
      <c r="D15649" s="1" t="s">
        <v>493</v>
      </c>
      <c r="E15649" t="s">
        <v>533</v>
      </c>
      <c r="F15649" s="1">
        <v>2</v>
      </c>
      <c r="G15649" s="1" t="s">
        <v>28</v>
      </c>
      <c r="H15649" s="4" t="str">
        <f>HYPERLINK("https://portal.gdc.cancer.gov/cases/96e1fc6d-693f-4f4f-b5f7-8d6e1c6c43f8","TCGA-OL-A66J-01A")</f>
        <v>TCGA-OL-A66J-01A</v>
      </c>
      <c r="I15649" t="s">
        <v>17</v>
      </c>
      <c r="J15649" t="s">
        <v>524</v>
      </c>
      <c r="K15649" t="s">
        <v>33</v>
      </c>
      <c r="L15649" t="s">
        <v>20</v>
      </c>
      <c r="N15649" t="s">
        <v>29</v>
      </c>
    </row>
    <row r="15650" spans="1:14">
      <c r="A15650" s="4" t="str">
        <f t="shared" si="1197"/>
        <v>EXP00415</v>
      </c>
      <c r="B15650" s="3" t="s">
        <v>66</v>
      </c>
      <c r="C15650" s="4" t="str">
        <f t="shared" si="1198"/>
        <v>TCGA-BRCA</v>
      </c>
      <c r="D15650" s="1" t="s">
        <v>493</v>
      </c>
      <c r="E15650" t="s">
        <v>533</v>
      </c>
      <c r="F15650" s="1">
        <v>2</v>
      </c>
      <c r="G15650" s="1" t="s">
        <v>28</v>
      </c>
      <c r="H15650" s="4" t="str">
        <f>HYPERLINK("https://portal.gdc.cancer.gov/cases/2ab1b35b-9e56-475c-ac9b-15ed0a422683","TCGA-OL-A66K-01A")</f>
        <v>TCGA-OL-A66K-01A</v>
      </c>
      <c r="I15650" t="s">
        <v>17</v>
      </c>
      <c r="J15650" t="s">
        <v>524</v>
      </c>
      <c r="K15650" t="s">
        <v>33</v>
      </c>
      <c r="L15650" t="s">
        <v>20</v>
      </c>
      <c r="N15650" t="s">
        <v>29</v>
      </c>
    </row>
    <row r="15651" spans="1:14">
      <c r="A15651" s="4" t="str">
        <f t="shared" si="1197"/>
        <v>EXP00415</v>
      </c>
      <c r="B15651" s="3" t="s">
        <v>66</v>
      </c>
      <c r="C15651" s="4" t="str">
        <f t="shared" si="1198"/>
        <v>TCGA-BRCA</v>
      </c>
      <c r="D15651" s="1" t="s">
        <v>493</v>
      </c>
      <c r="E15651" t="s">
        <v>533</v>
      </c>
      <c r="F15651" s="1">
        <v>2</v>
      </c>
      <c r="G15651" s="1" t="s">
        <v>28</v>
      </c>
      <c r="H15651" s="4" t="str">
        <f>HYPERLINK("https://portal.gdc.cancer.gov/cases/af0acaa9-a61c-4e57-bc0d-453ad5bf193a","TCGA-OL-A66L-01A")</f>
        <v>TCGA-OL-A66L-01A</v>
      </c>
      <c r="I15651" t="s">
        <v>17</v>
      </c>
      <c r="J15651" t="s">
        <v>524</v>
      </c>
      <c r="K15651" t="s">
        <v>33</v>
      </c>
      <c r="L15651" t="s">
        <v>20</v>
      </c>
      <c r="N15651" t="s">
        <v>29</v>
      </c>
    </row>
    <row r="15652" spans="1:14">
      <c r="A15652" s="4" t="str">
        <f t="shared" si="1197"/>
        <v>EXP00415</v>
      </c>
      <c r="B15652" s="3" t="s">
        <v>66</v>
      </c>
      <c r="C15652" s="4" t="str">
        <f t="shared" si="1198"/>
        <v>TCGA-BRCA</v>
      </c>
      <c r="D15652" s="1" t="s">
        <v>493</v>
      </c>
      <c r="E15652" t="s">
        <v>533</v>
      </c>
      <c r="F15652" s="1">
        <v>2</v>
      </c>
      <c r="G15652" s="1" t="s">
        <v>28</v>
      </c>
      <c r="H15652" s="4" t="str">
        <f>HYPERLINK("https://portal.gdc.cancer.gov/cases/e9002f4e-ba0b-4738-9368-dd9614a5da8a","TCGA-OL-A66N-01A")</f>
        <v>TCGA-OL-A66N-01A</v>
      </c>
      <c r="I15652" t="s">
        <v>17</v>
      </c>
      <c r="J15652" t="s">
        <v>524</v>
      </c>
      <c r="K15652" t="s">
        <v>33</v>
      </c>
      <c r="L15652" t="s">
        <v>20</v>
      </c>
      <c r="N15652" t="s">
        <v>29</v>
      </c>
    </row>
    <row r="15653" spans="1:14">
      <c r="A15653" s="4" t="str">
        <f t="shared" si="1197"/>
        <v>EXP00415</v>
      </c>
      <c r="B15653" s="3" t="s">
        <v>66</v>
      </c>
      <c r="C15653" s="4" t="str">
        <f t="shared" si="1198"/>
        <v>TCGA-BRCA</v>
      </c>
      <c r="D15653" s="1" t="s">
        <v>493</v>
      </c>
      <c r="E15653" t="s">
        <v>533</v>
      </c>
      <c r="F15653" s="1">
        <v>2</v>
      </c>
      <c r="G15653" s="1" t="s">
        <v>28</v>
      </c>
      <c r="H15653" s="4" t="str">
        <f>HYPERLINK("https://portal.gdc.cancer.gov/cases/a45833e1-7cc9-4273-b408-620f74679a12","TCGA-OL-A66O-01A")</f>
        <v>TCGA-OL-A66O-01A</v>
      </c>
      <c r="I15653" t="s">
        <v>17</v>
      </c>
      <c r="J15653" t="s">
        <v>524</v>
      </c>
      <c r="K15653" t="s">
        <v>33</v>
      </c>
      <c r="L15653" t="s">
        <v>20</v>
      </c>
      <c r="N15653" t="s">
        <v>29</v>
      </c>
    </row>
    <row r="15654" spans="1:14">
      <c r="A15654" s="4" t="str">
        <f t="shared" si="1197"/>
        <v>EXP00415</v>
      </c>
      <c r="B15654" s="3" t="s">
        <v>66</v>
      </c>
      <c r="C15654" s="4" t="str">
        <f t="shared" si="1198"/>
        <v>TCGA-BRCA</v>
      </c>
      <c r="D15654" s="1" t="s">
        <v>493</v>
      </c>
      <c r="E15654" t="s">
        <v>533</v>
      </c>
      <c r="F15654" s="1">
        <v>2</v>
      </c>
      <c r="G15654" s="1" t="s">
        <v>28</v>
      </c>
      <c r="H15654" s="4" t="str">
        <f>HYPERLINK("https://portal.gdc.cancer.gov/cases/f81ac8a2-4ce6-439e-b027-1c0bfc88ceaa","TCGA-OL-A66P-01A")</f>
        <v>TCGA-OL-A66P-01A</v>
      </c>
      <c r="I15654" t="s">
        <v>17</v>
      </c>
      <c r="J15654" t="s">
        <v>524</v>
      </c>
      <c r="K15654" t="s">
        <v>33</v>
      </c>
      <c r="L15654" t="s">
        <v>20</v>
      </c>
      <c r="N15654" t="s">
        <v>29</v>
      </c>
    </row>
    <row r="15655" spans="1:14">
      <c r="A15655" s="4" t="str">
        <f t="shared" si="1197"/>
        <v>EXP00415</v>
      </c>
      <c r="B15655" s="3" t="s">
        <v>66</v>
      </c>
      <c r="C15655" s="4" t="str">
        <f t="shared" si="1198"/>
        <v>TCGA-BRCA</v>
      </c>
      <c r="D15655" s="1" t="s">
        <v>493</v>
      </c>
      <c r="E15655" t="s">
        <v>533</v>
      </c>
      <c r="F15655" s="1">
        <v>2</v>
      </c>
      <c r="G15655" s="1" t="s">
        <v>28</v>
      </c>
      <c r="H15655" s="4" t="str">
        <f>HYPERLINK("https://portal.gdc.cancer.gov/cases/398fb71b-ca83-44e7-bf0d-b1ca464b0283","TCGA-OL-A6VO-01A")</f>
        <v>TCGA-OL-A6VO-01A</v>
      </c>
      <c r="I15655" t="s">
        <v>17</v>
      </c>
      <c r="J15655" t="s">
        <v>524</v>
      </c>
      <c r="K15655" t="s">
        <v>33</v>
      </c>
      <c r="L15655" t="s">
        <v>20</v>
      </c>
      <c r="N15655" t="s">
        <v>29</v>
      </c>
    </row>
    <row r="15656" spans="1:14">
      <c r="A15656" s="4" t="str">
        <f t="shared" si="1197"/>
        <v>EXP00415</v>
      </c>
      <c r="B15656" s="3" t="s">
        <v>66</v>
      </c>
      <c r="C15656" s="4" t="str">
        <f t="shared" si="1198"/>
        <v>TCGA-BRCA</v>
      </c>
      <c r="D15656" s="1" t="s">
        <v>493</v>
      </c>
      <c r="E15656" t="s">
        <v>533</v>
      </c>
      <c r="F15656" s="1">
        <v>2</v>
      </c>
      <c r="G15656" s="1" t="s">
        <v>28</v>
      </c>
      <c r="H15656" s="4" t="str">
        <f>HYPERLINK("https://portal.gdc.cancer.gov/cases/34126cd5-cc38-4198-8582-c14fb5db7acb","TCGA-OL-A6VQ-01A")</f>
        <v>TCGA-OL-A6VQ-01A</v>
      </c>
      <c r="I15656" t="s">
        <v>17</v>
      </c>
      <c r="J15656" t="s">
        <v>524</v>
      </c>
      <c r="K15656" t="s">
        <v>33</v>
      </c>
      <c r="L15656" t="s">
        <v>20</v>
      </c>
      <c r="N15656" t="s">
        <v>29</v>
      </c>
    </row>
    <row r="15657" spans="1:14">
      <c r="A15657" s="4" t="str">
        <f t="shared" si="1197"/>
        <v>EXP00415</v>
      </c>
      <c r="B15657" s="3" t="s">
        <v>66</v>
      </c>
      <c r="C15657" s="4" t="str">
        <f t="shared" si="1198"/>
        <v>TCGA-BRCA</v>
      </c>
      <c r="D15657" s="1" t="s">
        <v>493</v>
      </c>
      <c r="E15657" t="s">
        <v>533</v>
      </c>
      <c r="F15657" s="1">
        <v>2</v>
      </c>
      <c r="G15657" s="1" t="s">
        <v>28</v>
      </c>
      <c r="H15657" s="4" t="str">
        <f>HYPERLINK("https://portal.gdc.cancer.gov/cases/db3e1ce8-4a05-4bfc-b5ae-13cf789369e1","TCGA-OL-A6VR-01A")</f>
        <v>TCGA-OL-A6VR-01A</v>
      </c>
      <c r="I15657" t="s">
        <v>17</v>
      </c>
      <c r="J15657" t="s">
        <v>524</v>
      </c>
      <c r="K15657" t="s">
        <v>33</v>
      </c>
      <c r="L15657" t="s">
        <v>20</v>
      </c>
      <c r="N15657" t="s">
        <v>29</v>
      </c>
    </row>
    <row r="15658" spans="1:14">
      <c r="A15658" s="4" t="str">
        <f t="shared" si="1197"/>
        <v>EXP00415</v>
      </c>
      <c r="B15658" s="3" t="s">
        <v>66</v>
      </c>
      <c r="C15658" s="4" t="str">
        <f t="shared" si="1198"/>
        <v>TCGA-BRCA</v>
      </c>
      <c r="D15658" s="1" t="s">
        <v>493</v>
      </c>
      <c r="E15658" t="s">
        <v>533</v>
      </c>
      <c r="F15658" s="1">
        <v>2</v>
      </c>
      <c r="G15658" s="1" t="s">
        <v>28</v>
      </c>
      <c r="H15658" s="4" t="str">
        <f>HYPERLINK("https://portal.gdc.cancer.gov/cases/76099beb-0abe-4b56-8b4e-e4485e0402e6","TCGA-PE-A5DC-01A")</f>
        <v>TCGA-PE-A5DC-01A</v>
      </c>
      <c r="I15658" t="s">
        <v>17</v>
      </c>
      <c r="J15658" t="s">
        <v>524</v>
      </c>
      <c r="K15658" t="s">
        <v>33</v>
      </c>
      <c r="L15658" t="s">
        <v>20</v>
      </c>
      <c r="N15658" t="s">
        <v>29</v>
      </c>
    </row>
    <row r="15659" spans="1:14">
      <c r="A15659" s="4" t="str">
        <f t="shared" si="1197"/>
        <v>EXP00415</v>
      </c>
      <c r="B15659" s="3" t="s">
        <v>66</v>
      </c>
      <c r="C15659" s="4" t="str">
        <f t="shared" si="1198"/>
        <v>TCGA-BRCA</v>
      </c>
      <c r="D15659" s="1" t="s">
        <v>493</v>
      </c>
      <c r="E15659" t="s">
        <v>533</v>
      </c>
      <c r="F15659" s="1">
        <v>2</v>
      </c>
      <c r="G15659" s="1" t="s">
        <v>28</v>
      </c>
      <c r="H15659" s="4" t="str">
        <f>HYPERLINK("https://portal.gdc.cancer.gov/cases/b0700958-5f90-4546-b35f-635cd506889b","TCGA-PE-A5DD-01A")</f>
        <v>TCGA-PE-A5DD-01A</v>
      </c>
      <c r="I15659" t="s">
        <v>17</v>
      </c>
      <c r="J15659" t="s">
        <v>524</v>
      </c>
      <c r="K15659" t="s">
        <v>33</v>
      </c>
      <c r="L15659" t="s">
        <v>20</v>
      </c>
      <c r="N15659" t="s">
        <v>29</v>
      </c>
    </row>
    <row r="15660" spans="1:14">
      <c r="A15660" s="4" t="str">
        <f t="shared" si="1197"/>
        <v>EXP00415</v>
      </c>
      <c r="B15660" s="3" t="s">
        <v>66</v>
      </c>
      <c r="C15660" s="4" t="str">
        <f t="shared" si="1198"/>
        <v>TCGA-BRCA</v>
      </c>
      <c r="D15660" s="1" t="s">
        <v>493</v>
      </c>
      <c r="E15660" t="s">
        <v>533</v>
      </c>
      <c r="F15660" s="1">
        <v>2</v>
      </c>
      <c r="G15660" s="1" t="s">
        <v>28</v>
      </c>
      <c r="H15660" s="4" t="str">
        <f>HYPERLINK("https://portal.gdc.cancer.gov/cases/89c128b9-1c6b-4c04-a4af-7066772e783c","TCGA-PE-A5DE-01A")</f>
        <v>TCGA-PE-A5DE-01A</v>
      </c>
      <c r="I15660" t="s">
        <v>17</v>
      </c>
      <c r="J15660" t="s">
        <v>524</v>
      </c>
      <c r="K15660" t="s">
        <v>33</v>
      </c>
      <c r="L15660" t="s">
        <v>20</v>
      </c>
      <c r="N15660" t="s">
        <v>29</v>
      </c>
    </row>
    <row r="15661" spans="1:14">
      <c r="A15661" s="4" t="str">
        <f t="shared" si="1197"/>
        <v>EXP00415</v>
      </c>
      <c r="B15661" s="3" t="s">
        <v>66</v>
      </c>
      <c r="C15661" s="4" t="str">
        <f t="shared" si="1198"/>
        <v>TCGA-BRCA</v>
      </c>
      <c r="D15661" s="1" t="s">
        <v>493</v>
      </c>
      <c r="E15661" t="s">
        <v>533</v>
      </c>
      <c r="F15661" s="1">
        <v>2</v>
      </c>
      <c r="G15661" s="1" t="s">
        <v>28</v>
      </c>
      <c r="H15661" s="4" t="str">
        <f>HYPERLINK("https://portal.gdc.cancer.gov/cases/389e5b18-8f89-41a9-9fa5-efd4172836e2","TCGA-PL-A8LV-01A")</f>
        <v>TCGA-PL-A8LV-01A</v>
      </c>
      <c r="I15661" t="s">
        <v>17</v>
      </c>
      <c r="J15661" t="s">
        <v>524</v>
      </c>
      <c r="K15661" t="s">
        <v>33</v>
      </c>
      <c r="L15661" t="s">
        <v>20</v>
      </c>
      <c r="N15661" t="s">
        <v>29</v>
      </c>
    </row>
    <row r="15662" spans="1:14">
      <c r="A15662" s="4" t="str">
        <f t="shared" si="1197"/>
        <v>EXP00415</v>
      </c>
      <c r="B15662" s="3" t="s">
        <v>66</v>
      </c>
      <c r="C15662" s="4" t="str">
        <f t="shared" si="1198"/>
        <v>TCGA-BRCA</v>
      </c>
      <c r="D15662" s="1" t="s">
        <v>493</v>
      </c>
      <c r="E15662" t="s">
        <v>533</v>
      </c>
      <c r="F15662" s="1">
        <v>2</v>
      </c>
      <c r="G15662" s="1" t="s">
        <v>28</v>
      </c>
      <c r="H15662" s="4" t="str">
        <f>HYPERLINK("https://portal.gdc.cancer.gov/cases/fe2cd610-aa52-4789-ac62-7683281bb22f","TCGA-PL-A8LX-01A")</f>
        <v>TCGA-PL-A8LX-01A</v>
      </c>
      <c r="I15662" t="s">
        <v>17</v>
      </c>
      <c r="J15662" t="s">
        <v>524</v>
      </c>
      <c r="K15662" t="s">
        <v>33</v>
      </c>
      <c r="L15662" t="s">
        <v>20</v>
      </c>
      <c r="N15662" t="s">
        <v>29</v>
      </c>
    </row>
    <row r="15663" spans="1:14">
      <c r="A15663" s="4" t="str">
        <f t="shared" si="1197"/>
        <v>EXP00415</v>
      </c>
      <c r="B15663" s="3" t="s">
        <v>66</v>
      </c>
      <c r="C15663" s="4" t="str">
        <f t="shared" si="1198"/>
        <v>TCGA-BRCA</v>
      </c>
      <c r="D15663" s="1" t="s">
        <v>493</v>
      </c>
      <c r="E15663" t="s">
        <v>533</v>
      </c>
      <c r="F15663" s="1">
        <v>2</v>
      </c>
      <c r="G15663" s="1" t="s">
        <v>28</v>
      </c>
      <c r="H15663" s="4" t="str">
        <f>HYPERLINK("https://portal.gdc.cancer.gov/cases/9ba11ea8-97d3-464a-90a4-ec1151be9088","TCGA-PL-A8LY-01A")</f>
        <v>TCGA-PL-A8LY-01A</v>
      </c>
      <c r="I15663" t="s">
        <v>17</v>
      </c>
      <c r="J15663" t="s">
        <v>524</v>
      </c>
      <c r="K15663" t="s">
        <v>33</v>
      </c>
      <c r="L15663" t="s">
        <v>20</v>
      </c>
      <c r="N15663" t="s">
        <v>29</v>
      </c>
    </row>
    <row r="15664" spans="1:14">
      <c r="A15664" s="4" t="str">
        <f t="shared" si="1197"/>
        <v>EXP00415</v>
      </c>
      <c r="B15664" s="3" t="s">
        <v>66</v>
      </c>
      <c r="C15664" s="4" t="str">
        <f t="shared" si="1198"/>
        <v>TCGA-BRCA</v>
      </c>
      <c r="D15664" s="1" t="s">
        <v>493</v>
      </c>
      <c r="E15664" t="s">
        <v>533</v>
      </c>
      <c r="F15664" s="1">
        <v>2</v>
      </c>
      <c r="G15664" s="1" t="s">
        <v>28</v>
      </c>
      <c r="H15664" s="4" t="str">
        <f>HYPERLINK("https://portal.gdc.cancer.gov/cases/9087585f-e792-4f33-baaa-56ffe0f745be","TCGA-PL-A8LZ-01A")</f>
        <v>TCGA-PL-A8LZ-01A</v>
      </c>
      <c r="I15664" t="s">
        <v>17</v>
      </c>
      <c r="J15664" t="s">
        <v>524</v>
      </c>
      <c r="K15664" t="s">
        <v>33</v>
      </c>
      <c r="L15664" t="s">
        <v>20</v>
      </c>
      <c r="N15664" t="s">
        <v>29</v>
      </c>
    </row>
    <row r="15665" spans="1:14">
      <c r="A15665" s="4" t="str">
        <f t="shared" si="1197"/>
        <v>EXP00415</v>
      </c>
      <c r="B15665" s="3" t="s">
        <v>66</v>
      </c>
      <c r="C15665" s="4" t="str">
        <f t="shared" si="1198"/>
        <v>TCGA-BRCA</v>
      </c>
      <c r="D15665" s="1" t="s">
        <v>493</v>
      </c>
      <c r="E15665" t="s">
        <v>533</v>
      </c>
      <c r="F15665" s="1">
        <v>2</v>
      </c>
      <c r="G15665" s="1" t="s">
        <v>28</v>
      </c>
      <c r="H15665" s="4" t="str">
        <f>HYPERLINK("https://portal.gdc.cancer.gov/cases/fbee40f1-d6d8-4156-8d42-36e09bb9f095","TCGA-S3-A6ZF-01A")</f>
        <v>TCGA-S3-A6ZF-01A</v>
      </c>
      <c r="I15665" t="s">
        <v>17</v>
      </c>
      <c r="J15665" t="s">
        <v>524</v>
      </c>
      <c r="K15665" t="s">
        <v>33</v>
      </c>
      <c r="L15665" t="s">
        <v>20</v>
      </c>
      <c r="N15665" t="s">
        <v>29</v>
      </c>
    </row>
    <row r="15666" spans="1:14">
      <c r="A15666" s="4" t="str">
        <f t="shared" si="1197"/>
        <v>EXP00415</v>
      </c>
      <c r="B15666" s="3" t="s">
        <v>66</v>
      </c>
      <c r="C15666" s="4" t="str">
        <f t="shared" si="1198"/>
        <v>TCGA-BRCA</v>
      </c>
      <c r="D15666" s="1" t="s">
        <v>493</v>
      </c>
      <c r="E15666" t="s">
        <v>533</v>
      </c>
      <c r="F15666" s="1">
        <v>2</v>
      </c>
      <c r="G15666" s="1" t="s">
        <v>28</v>
      </c>
      <c r="H15666" s="4" t="str">
        <f>HYPERLINK("https://portal.gdc.cancer.gov/cases/1a679332-30a3-4495-a2e5-39d299e14333","TCGA-S3-A6ZG-01A")</f>
        <v>TCGA-S3-A6ZG-01A</v>
      </c>
      <c r="I15666" t="s">
        <v>17</v>
      </c>
      <c r="J15666" t="s">
        <v>524</v>
      </c>
      <c r="K15666" t="s">
        <v>33</v>
      </c>
      <c r="L15666" t="s">
        <v>20</v>
      </c>
      <c r="N15666" t="s">
        <v>29</v>
      </c>
    </row>
    <row r="15667" spans="1:14">
      <c r="A15667" s="4" t="str">
        <f t="shared" si="1197"/>
        <v>EXP00415</v>
      </c>
      <c r="B15667" s="3" t="s">
        <v>66</v>
      </c>
      <c r="C15667" s="4" t="str">
        <f t="shared" si="1198"/>
        <v>TCGA-BRCA</v>
      </c>
      <c r="D15667" s="1" t="s">
        <v>493</v>
      </c>
      <c r="E15667" t="s">
        <v>533</v>
      </c>
      <c r="F15667" s="1">
        <v>2</v>
      </c>
      <c r="G15667" s="1" t="s">
        <v>28</v>
      </c>
      <c r="H15667" s="4" t="str">
        <f>HYPERLINK("https://portal.gdc.cancer.gov/cases/ec461eaf-f5cb-4225-a9a0-59d8e6c17ea6","TCGA-S3-A6ZH-01A")</f>
        <v>TCGA-S3-A6ZH-01A</v>
      </c>
      <c r="I15667" t="s">
        <v>17</v>
      </c>
      <c r="J15667" t="s">
        <v>524</v>
      </c>
      <c r="K15667" t="s">
        <v>33</v>
      </c>
      <c r="L15667" t="s">
        <v>20</v>
      </c>
      <c r="N15667" t="s">
        <v>29</v>
      </c>
    </row>
    <row r="15668" spans="1:14">
      <c r="A15668" s="4" t="str">
        <f t="shared" si="1197"/>
        <v>EXP00415</v>
      </c>
      <c r="B15668" s="3" t="s">
        <v>66</v>
      </c>
      <c r="C15668" s="4" t="str">
        <f t="shared" si="1198"/>
        <v>TCGA-BRCA</v>
      </c>
      <c r="D15668" s="1" t="s">
        <v>493</v>
      </c>
      <c r="E15668" t="s">
        <v>533</v>
      </c>
      <c r="F15668" s="1">
        <v>2</v>
      </c>
      <c r="G15668" s="1" t="s">
        <v>28</v>
      </c>
      <c r="H15668" s="4" t="str">
        <f>HYPERLINK("https://portal.gdc.cancer.gov/cases/cffe832c-8a81-4cdb-8b25-df7f35afafdc","TCGA-S3-AA0Z-01A")</f>
        <v>TCGA-S3-AA0Z-01A</v>
      </c>
      <c r="I15668" t="s">
        <v>17</v>
      </c>
      <c r="J15668" t="s">
        <v>524</v>
      </c>
      <c r="K15668" t="s">
        <v>33</v>
      </c>
      <c r="L15668" t="s">
        <v>20</v>
      </c>
      <c r="N15668" t="s">
        <v>29</v>
      </c>
    </row>
    <row r="15669" spans="1:14">
      <c r="A15669" s="4" t="str">
        <f t="shared" si="1197"/>
        <v>EXP00415</v>
      </c>
      <c r="B15669" s="3" t="s">
        <v>66</v>
      </c>
      <c r="C15669" s="4" t="str">
        <f t="shared" si="1198"/>
        <v>TCGA-BRCA</v>
      </c>
      <c r="D15669" s="1" t="s">
        <v>493</v>
      </c>
      <c r="E15669" t="s">
        <v>533</v>
      </c>
      <c r="F15669" s="1">
        <v>2</v>
      </c>
      <c r="G15669" s="1" t="s">
        <v>28</v>
      </c>
      <c r="H15669" s="4" t="str">
        <f>HYPERLINK("https://portal.gdc.cancer.gov/cases/23c31c2e-336c-4878-a476-cf8d811b4875","TCGA-S3-AA10-01A")</f>
        <v>TCGA-S3-AA10-01A</v>
      </c>
      <c r="I15669" t="s">
        <v>17</v>
      </c>
      <c r="J15669" t="s">
        <v>524</v>
      </c>
      <c r="K15669" t="s">
        <v>33</v>
      </c>
      <c r="L15669" t="s">
        <v>20</v>
      </c>
      <c r="N15669" t="s">
        <v>29</v>
      </c>
    </row>
    <row r="15670" spans="1:14">
      <c r="A15670" s="4" t="str">
        <f t="shared" si="1197"/>
        <v>EXP00415</v>
      </c>
      <c r="B15670" s="3" t="s">
        <v>66</v>
      </c>
      <c r="C15670" s="4" t="str">
        <f t="shared" si="1198"/>
        <v>TCGA-BRCA</v>
      </c>
      <c r="D15670" s="1" t="s">
        <v>493</v>
      </c>
      <c r="E15670" t="s">
        <v>533</v>
      </c>
      <c r="F15670" s="1">
        <v>2</v>
      </c>
      <c r="G15670" s="1" t="s">
        <v>28</v>
      </c>
      <c r="H15670" s="4" t="str">
        <f>HYPERLINK("https://portal.gdc.cancer.gov/cases/0dd8dbc1-c48b-4e7c-b401-57101f724967","TCGA-S3-AA11-01A")</f>
        <v>TCGA-S3-AA11-01A</v>
      </c>
      <c r="I15670" t="s">
        <v>17</v>
      </c>
      <c r="J15670" t="s">
        <v>524</v>
      </c>
      <c r="K15670" t="s">
        <v>33</v>
      </c>
      <c r="L15670" t="s">
        <v>20</v>
      </c>
      <c r="N15670" t="s">
        <v>29</v>
      </c>
    </row>
    <row r="15671" spans="1:14">
      <c r="A15671" s="4" t="str">
        <f t="shared" si="1197"/>
        <v>EXP00415</v>
      </c>
      <c r="B15671" s="3" t="s">
        <v>66</v>
      </c>
      <c r="C15671" s="4" t="str">
        <f t="shared" si="1198"/>
        <v>TCGA-BRCA</v>
      </c>
      <c r="D15671" s="1" t="s">
        <v>493</v>
      </c>
      <c r="E15671" t="s">
        <v>533</v>
      </c>
      <c r="F15671" s="1">
        <v>2</v>
      </c>
      <c r="G15671" s="1" t="s">
        <v>28</v>
      </c>
      <c r="H15671" s="4" t="str">
        <f>HYPERLINK("https://portal.gdc.cancer.gov/cases/2bcacfd1-6a45-4b96-9b80-2ad569b1ab45","TCGA-S3-AA12-01A")</f>
        <v>TCGA-S3-AA12-01A</v>
      </c>
      <c r="I15671" t="s">
        <v>17</v>
      </c>
      <c r="J15671" t="s">
        <v>524</v>
      </c>
      <c r="K15671" t="s">
        <v>33</v>
      </c>
      <c r="L15671" t="s">
        <v>20</v>
      </c>
      <c r="N15671" t="s">
        <v>29</v>
      </c>
    </row>
    <row r="15672" spans="1:14">
      <c r="A15672" s="4" t="str">
        <f t="shared" ref="A15672:A15684" si="1199">HYPERLINK("http://hcmdb.i-sanger.com/experiment/details/experiment_id/EXP00415","EXP00415")</f>
        <v>EXP00415</v>
      </c>
      <c r="B15672" s="3" t="s">
        <v>66</v>
      </c>
      <c r="C15672" s="4" t="str">
        <f t="shared" si="1198"/>
        <v>TCGA-BRCA</v>
      </c>
      <c r="D15672" s="1" t="s">
        <v>493</v>
      </c>
      <c r="E15672" t="s">
        <v>533</v>
      </c>
      <c r="F15672" s="1">
        <v>2</v>
      </c>
      <c r="G15672" s="1" t="s">
        <v>28</v>
      </c>
      <c r="H15672" s="4" t="str">
        <f>HYPERLINK("https://portal.gdc.cancer.gov/cases/929acc67-b8bf-4f65-9110-380e44ab66b7","TCGA-S3-AA14-01A")</f>
        <v>TCGA-S3-AA14-01A</v>
      </c>
      <c r="I15672" t="s">
        <v>17</v>
      </c>
      <c r="J15672" t="s">
        <v>524</v>
      </c>
      <c r="K15672" t="s">
        <v>33</v>
      </c>
      <c r="L15672" t="s">
        <v>20</v>
      </c>
      <c r="N15672" t="s">
        <v>29</v>
      </c>
    </row>
    <row r="15673" spans="1:14">
      <c r="A15673" s="4" t="str">
        <f t="shared" si="1199"/>
        <v>EXP00415</v>
      </c>
      <c r="B15673" s="3" t="s">
        <v>66</v>
      </c>
      <c r="C15673" s="4" t="str">
        <f t="shared" si="1198"/>
        <v>TCGA-BRCA</v>
      </c>
      <c r="D15673" s="1" t="s">
        <v>493</v>
      </c>
      <c r="E15673" t="s">
        <v>533</v>
      </c>
      <c r="F15673" s="1">
        <v>2</v>
      </c>
      <c r="G15673" s="1" t="s">
        <v>28</v>
      </c>
      <c r="H15673" s="4" t="str">
        <f>HYPERLINK("https://portal.gdc.cancer.gov/cases/e783e518-c1e5-4eac-8eaf-e2d65ccd9692","TCGA-S3-AA15-01A")</f>
        <v>TCGA-S3-AA15-01A</v>
      </c>
      <c r="I15673" t="s">
        <v>17</v>
      </c>
      <c r="J15673" t="s">
        <v>524</v>
      </c>
      <c r="K15673" t="s">
        <v>33</v>
      </c>
      <c r="L15673" t="s">
        <v>20</v>
      </c>
      <c r="N15673" t="s">
        <v>29</v>
      </c>
    </row>
    <row r="15674" spans="1:14">
      <c r="A15674" s="4" t="str">
        <f t="shared" si="1199"/>
        <v>EXP00415</v>
      </c>
      <c r="B15674" s="3" t="s">
        <v>66</v>
      </c>
      <c r="C15674" s="4" t="str">
        <f t="shared" ref="C15674:C15684" si="1200">HYPERLINK("https://portal.gdc.cancer.gov/projects/TCGA-BRCA","TCGA-BRCA")</f>
        <v>TCGA-BRCA</v>
      </c>
      <c r="D15674" s="1" t="s">
        <v>493</v>
      </c>
      <c r="E15674" t="s">
        <v>533</v>
      </c>
      <c r="F15674" s="1">
        <v>2</v>
      </c>
      <c r="G15674" s="1" t="s">
        <v>28</v>
      </c>
      <c r="H15674" s="4" t="str">
        <f>HYPERLINK("https://portal.gdc.cancer.gov/cases/49a2fd48-744d-4d88-b9b4-8c778d4f48fd","TCGA-S3-AA17-01A")</f>
        <v>TCGA-S3-AA17-01A</v>
      </c>
      <c r="I15674" t="s">
        <v>17</v>
      </c>
      <c r="J15674" t="s">
        <v>524</v>
      </c>
      <c r="K15674" t="s">
        <v>33</v>
      </c>
      <c r="L15674" t="s">
        <v>20</v>
      </c>
      <c r="N15674" t="s">
        <v>29</v>
      </c>
    </row>
    <row r="15675" spans="1:14">
      <c r="A15675" s="4" t="str">
        <f t="shared" si="1199"/>
        <v>EXP00415</v>
      </c>
      <c r="B15675" s="3" t="s">
        <v>66</v>
      </c>
      <c r="C15675" s="4" t="str">
        <f t="shared" si="1200"/>
        <v>TCGA-BRCA</v>
      </c>
      <c r="D15675" s="1" t="s">
        <v>493</v>
      </c>
      <c r="E15675" t="s">
        <v>533</v>
      </c>
      <c r="F15675" s="1">
        <v>2</v>
      </c>
      <c r="G15675" s="1" t="s">
        <v>28</v>
      </c>
      <c r="H15675" s="4" t="str">
        <f>HYPERLINK("https://portal.gdc.cancer.gov/cases/4b54e06e-a280-4981-a4e1-9aea154341b4","TCGA-UL-AAZ6-01A")</f>
        <v>TCGA-UL-AAZ6-01A</v>
      </c>
      <c r="I15675" t="s">
        <v>17</v>
      </c>
      <c r="J15675" t="s">
        <v>524</v>
      </c>
      <c r="K15675" t="s">
        <v>33</v>
      </c>
      <c r="L15675" t="s">
        <v>20</v>
      </c>
      <c r="N15675" t="s">
        <v>29</v>
      </c>
    </row>
    <row r="15676" spans="1:14">
      <c r="A15676" s="4" t="str">
        <f t="shared" si="1199"/>
        <v>EXP00415</v>
      </c>
      <c r="B15676" s="3" t="s">
        <v>66</v>
      </c>
      <c r="C15676" s="4" t="str">
        <f t="shared" si="1200"/>
        <v>TCGA-BRCA</v>
      </c>
      <c r="D15676" s="1" t="s">
        <v>493</v>
      </c>
      <c r="E15676" t="s">
        <v>533</v>
      </c>
      <c r="F15676" s="1">
        <v>2</v>
      </c>
      <c r="G15676" s="1" t="s">
        <v>28</v>
      </c>
      <c r="H15676" s="4" t="str">
        <f>HYPERLINK("https://portal.gdc.cancer.gov/cases/45013972-2dfd-4f82-a076-e3e4af1b43b8","TCGA-UU-A93S-01A")</f>
        <v>TCGA-UU-A93S-01A</v>
      </c>
      <c r="I15676" t="s">
        <v>17</v>
      </c>
      <c r="J15676" t="s">
        <v>524</v>
      </c>
      <c r="K15676" t="s">
        <v>33</v>
      </c>
      <c r="L15676" t="s">
        <v>20</v>
      </c>
      <c r="N15676" t="s">
        <v>29</v>
      </c>
    </row>
    <row r="15677" spans="1:14">
      <c r="A15677" s="4" t="str">
        <f t="shared" si="1199"/>
        <v>EXP00415</v>
      </c>
      <c r="B15677" s="3" t="s">
        <v>66</v>
      </c>
      <c r="C15677" s="4" t="str">
        <f t="shared" si="1200"/>
        <v>TCGA-BRCA</v>
      </c>
      <c r="D15677" s="1" t="s">
        <v>493</v>
      </c>
      <c r="E15677" t="s">
        <v>533</v>
      </c>
      <c r="F15677" s="1">
        <v>2</v>
      </c>
      <c r="G15677" s="1" t="s">
        <v>28</v>
      </c>
      <c r="H15677" s="4" t="str">
        <f>HYPERLINK("https://portal.gdc.cancer.gov/cases/1285eb55-415c-494a-aa58-936f0427cdd0","TCGA-V7-A7HQ-01A")</f>
        <v>TCGA-V7-A7HQ-01A</v>
      </c>
      <c r="I15677" t="s">
        <v>17</v>
      </c>
      <c r="J15677" t="s">
        <v>524</v>
      </c>
      <c r="K15677" t="s">
        <v>33</v>
      </c>
      <c r="L15677" t="s">
        <v>20</v>
      </c>
      <c r="N15677" t="s">
        <v>29</v>
      </c>
    </row>
    <row r="15678" spans="1:14">
      <c r="A15678" s="4" t="str">
        <f t="shared" si="1199"/>
        <v>EXP00415</v>
      </c>
      <c r="B15678" s="3" t="s">
        <v>66</v>
      </c>
      <c r="C15678" s="4" t="str">
        <f t="shared" si="1200"/>
        <v>TCGA-BRCA</v>
      </c>
      <c r="D15678" s="1" t="s">
        <v>493</v>
      </c>
      <c r="E15678" t="s">
        <v>533</v>
      </c>
      <c r="F15678" s="1">
        <v>2</v>
      </c>
      <c r="G15678" s="1" t="s">
        <v>28</v>
      </c>
      <c r="H15678" s="4" t="str">
        <f>HYPERLINK("https://portal.gdc.cancer.gov/cases/90ff48c3-b14b-4a8b-94a1-98c0bab0d27b","TCGA-W8-A86G-01A")</f>
        <v>TCGA-W8-A86G-01A</v>
      </c>
      <c r="I15678" t="s">
        <v>17</v>
      </c>
      <c r="J15678" t="s">
        <v>524</v>
      </c>
      <c r="K15678" t="s">
        <v>33</v>
      </c>
      <c r="L15678" t="s">
        <v>20</v>
      </c>
      <c r="N15678" t="s">
        <v>29</v>
      </c>
    </row>
    <row r="15679" spans="1:14">
      <c r="A15679" s="4" t="str">
        <f t="shared" si="1199"/>
        <v>EXP00415</v>
      </c>
      <c r="B15679" s="3" t="s">
        <v>66</v>
      </c>
      <c r="C15679" s="4" t="str">
        <f t="shared" si="1200"/>
        <v>TCGA-BRCA</v>
      </c>
      <c r="D15679" s="1" t="s">
        <v>493</v>
      </c>
      <c r="E15679" t="s">
        <v>533</v>
      </c>
      <c r="F15679" s="1">
        <v>2</v>
      </c>
      <c r="G15679" s="1" t="s">
        <v>28</v>
      </c>
      <c r="H15679" s="4" t="str">
        <f>HYPERLINK("https://portal.gdc.cancer.gov/cases/e7db08a7-b439-4230-8dc4-1b54af4736c4","TCGA-WT-AB41-01A")</f>
        <v>TCGA-WT-AB41-01A</v>
      </c>
      <c r="I15679" t="s">
        <v>17</v>
      </c>
      <c r="J15679" t="s">
        <v>524</v>
      </c>
      <c r="K15679" t="s">
        <v>33</v>
      </c>
      <c r="L15679" t="s">
        <v>20</v>
      </c>
      <c r="N15679" t="s">
        <v>29</v>
      </c>
    </row>
    <row r="15680" spans="1:14">
      <c r="A15680" s="4" t="str">
        <f t="shared" si="1199"/>
        <v>EXP00415</v>
      </c>
      <c r="B15680" s="3" t="s">
        <v>66</v>
      </c>
      <c r="C15680" s="4" t="str">
        <f t="shared" si="1200"/>
        <v>TCGA-BRCA</v>
      </c>
      <c r="D15680" s="1" t="s">
        <v>493</v>
      </c>
      <c r="E15680" t="s">
        <v>533</v>
      </c>
      <c r="F15680" s="1">
        <v>2</v>
      </c>
      <c r="G15680" s="1" t="s">
        <v>28</v>
      </c>
      <c r="H15680" s="4" t="str">
        <f>HYPERLINK("https://portal.gdc.cancer.gov/cases/5cd79093-1571-4f71-8136-0d84ccabdcac","TCGA-WT-AB44-01A")</f>
        <v>TCGA-WT-AB44-01A</v>
      </c>
      <c r="I15680" t="s">
        <v>17</v>
      </c>
      <c r="J15680" t="s">
        <v>524</v>
      </c>
      <c r="K15680" t="s">
        <v>33</v>
      </c>
      <c r="L15680" t="s">
        <v>20</v>
      </c>
      <c r="N15680" t="s">
        <v>29</v>
      </c>
    </row>
    <row r="15681" spans="1:14">
      <c r="A15681" s="4" t="str">
        <f t="shared" si="1199"/>
        <v>EXP00415</v>
      </c>
      <c r="B15681" s="3" t="s">
        <v>66</v>
      </c>
      <c r="C15681" s="4" t="str">
        <f t="shared" si="1200"/>
        <v>TCGA-BRCA</v>
      </c>
      <c r="D15681" s="1" t="s">
        <v>493</v>
      </c>
      <c r="E15681" t="s">
        <v>533</v>
      </c>
      <c r="F15681" s="1">
        <v>2</v>
      </c>
      <c r="G15681" s="1" t="s">
        <v>28</v>
      </c>
      <c r="H15681" s="4" t="str">
        <f>HYPERLINK("https://portal.gdc.cancer.gov/cases/f89588e9-ca73-4465-a7fb-7246edb45e3a","TCGA-XX-A899-01A")</f>
        <v>TCGA-XX-A899-01A</v>
      </c>
      <c r="I15681" t="s">
        <v>17</v>
      </c>
      <c r="J15681" t="s">
        <v>524</v>
      </c>
      <c r="K15681" t="s">
        <v>33</v>
      </c>
      <c r="L15681" t="s">
        <v>20</v>
      </c>
      <c r="N15681" t="s">
        <v>29</v>
      </c>
    </row>
    <row r="15682" spans="1:14">
      <c r="A15682" s="4" t="str">
        <f t="shared" si="1199"/>
        <v>EXP00415</v>
      </c>
      <c r="B15682" s="3" t="s">
        <v>66</v>
      </c>
      <c r="C15682" s="4" t="str">
        <f t="shared" si="1200"/>
        <v>TCGA-BRCA</v>
      </c>
      <c r="D15682" s="1" t="s">
        <v>493</v>
      </c>
      <c r="E15682" t="s">
        <v>533</v>
      </c>
      <c r="F15682" s="1">
        <v>2</v>
      </c>
      <c r="G15682" s="1" t="s">
        <v>28</v>
      </c>
      <c r="H15682" s="4" t="str">
        <f>HYPERLINK("https://portal.gdc.cancer.gov/cases/ca20249f-b7ea-4fd9-9ecb-34f74755ae35","TCGA-XX-A89A-01A")</f>
        <v>TCGA-XX-A89A-01A</v>
      </c>
      <c r="I15682" t="s">
        <v>17</v>
      </c>
      <c r="J15682" t="s">
        <v>524</v>
      </c>
      <c r="K15682" t="s">
        <v>33</v>
      </c>
      <c r="L15682" t="s">
        <v>20</v>
      </c>
      <c r="N15682" t="s">
        <v>29</v>
      </c>
    </row>
    <row r="15683" spans="1:14">
      <c r="A15683" s="4" t="str">
        <f t="shared" si="1199"/>
        <v>EXP00415</v>
      </c>
      <c r="B15683" s="3" t="s">
        <v>66</v>
      </c>
      <c r="C15683" s="4" t="str">
        <f t="shared" si="1200"/>
        <v>TCGA-BRCA</v>
      </c>
      <c r="D15683" s="1" t="s">
        <v>493</v>
      </c>
      <c r="E15683" t="s">
        <v>533</v>
      </c>
      <c r="F15683" s="1">
        <v>2</v>
      </c>
      <c r="G15683" s="1" t="s">
        <v>28</v>
      </c>
      <c r="H15683" s="4" t="str">
        <f>HYPERLINK("https://portal.gdc.cancer.gov/cases/23f438bd-1dbb-4d46-972f-1e8e74ddbd37","TCGA-Z7-A8R5-01A")</f>
        <v>TCGA-Z7-A8R5-01A</v>
      </c>
      <c r="I15683" t="s">
        <v>17</v>
      </c>
      <c r="J15683" t="s">
        <v>524</v>
      </c>
      <c r="K15683" t="s">
        <v>33</v>
      </c>
      <c r="L15683" t="s">
        <v>20</v>
      </c>
      <c r="N15683" t="s">
        <v>29</v>
      </c>
    </row>
    <row r="15684" spans="1:14">
      <c r="A15684" s="4" t="str">
        <f t="shared" si="1199"/>
        <v>EXP00415</v>
      </c>
      <c r="B15684" s="3" t="s">
        <v>66</v>
      </c>
      <c r="C15684" s="4" t="str">
        <f t="shared" si="1200"/>
        <v>TCGA-BRCA</v>
      </c>
      <c r="D15684" s="1" t="s">
        <v>493</v>
      </c>
      <c r="E15684" t="s">
        <v>533</v>
      </c>
      <c r="F15684" s="1">
        <v>2</v>
      </c>
      <c r="G15684" s="1" t="s">
        <v>28</v>
      </c>
      <c r="H15684" s="4" t="str">
        <f>HYPERLINK("https://portal.gdc.cancer.gov/cases/b1d44c81-747d-471f-9093-aeb262a17975","TCGA-Z7-A8R6-01A")</f>
        <v>TCGA-Z7-A8R6-01A</v>
      </c>
      <c r="I15684" t="s">
        <v>17</v>
      </c>
      <c r="J15684" t="s">
        <v>524</v>
      </c>
      <c r="K15684" t="s">
        <v>33</v>
      </c>
      <c r="L15684" t="s">
        <v>20</v>
      </c>
      <c r="N15684" t="s">
        <v>29</v>
      </c>
    </row>
    <row r="15685" spans="1:14">
      <c r="A15685" s="4" t="str">
        <f t="shared" ref="A15685:A15688" si="1201">HYPERLINK("http://hcmdb.i-sanger.com/experiment/details/experiment_id/EXP00416","EXP00416")</f>
        <v>EXP00416</v>
      </c>
      <c r="B15685" s="3" t="s">
        <v>66</v>
      </c>
      <c r="C15685" s="4" t="str">
        <f t="shared" ref="C15685:C15748" si="1202">HYPERLINK("https://portal.gdc.cancer.gov/projects/TCGA-CESC","TCGA-CESC")</f>
        <v>TCGA-CESC</v>
      </c>
      <c r="D15685" s="1" t="s">
        <v>493</v>
      </c>
      <c r="E15685" t="s">
        <v>534</v>
      </c>
      <c r="F15685" s="1">
        <v>1</v>
      </c>
      <c r="G15685" s="1" t="s">
        <v>26</v>
      </c>
      <c r="H15685" s="4" t="str">
        <f>HYPERLINK("https://portal.gdc.cancer.gov/cases/929505f7-0270-475e-a9d6-00bf38dc78ba","TCGA-HM-A6W2-06A")</f>
        <v>TCGA-HM-A6W2-06A</v>
      </c>
      <c r="I15685" t="s">
        <v>444</v>
      </c>
      <c r="J15685" t="s">
        <v>535</v>
      </c>
      <c r="K15685" t="s">
        <v>19</v>
      </c>
      <c r="L15685" t="s">
        <v>445</v>
      </c>
      <c r="N15685" t="s">
        <v>22</v>
      </c>
    </row>
    <row r="15686" spans="1:14">
      <c r="A15686" s="4" t="str">
        <f t="shared" si="1201"/>
        <v>EXP00416</v>
      </c>
      <c r="B15686" s="3" t="s">
        <v>66</v>
      </c>
      <c r="C15686" s="4" t="str">
        <f t="shared" si="1202"/>
        <v>TCGA-CESC</v>
      </c>
      <c r="D15686" s="1" t="s">
        <v>493</v>
      </c>
      <c r="E15686" t="s">
        <v>534</v>
      </c>
      <c r="F15686" s="1">
        <v>1</v>
      </c>
      <c r="G15686" s="1" t="s">
        <v>26</v>
      </c>
      <c r="H15686" s="4" t="str">
        <f>HYPERLINK("https://portal.gdc.cancer.gov/cases/53d99a89-6ebd-4637-91db-7ce43ebc6b8b","TCGA-UC-A7PG-06A")</f>
        <v>TCGA-UC-A7PG-06A</v>
      </c>
      <c r="I15686" t="s">
        <v>444</v>
      </c>
      <c r="J15686" t="s">
        <v>535</v>
      </c>
      <c r="K15686" t="s">
        <v>19</v>
      </c>
      <c r="L15686" t="s">
        <v>445</v>
      </c>
      <c r="N15686" t="s">
        <v>22</v>
      </c>
    </row>
    <row r="15687" spans="1:14">
      <c r="A15687" s="4" t="str">
        <f t="shared" si="1201"/>
        <v>EXP00416</v>
      </c>
      <c r="B15687" s="3" t="s">
        <v>66</v>
      </c>
      <c r="C15687" s="4" t="str">
        <f t="shared" si="1202"/>
        <v>TCGA-CESC</v>
      </c>
      <c r="D15687" s="1" t="s">
        <v>493</v>
      </c>
      <c r="E15687" t="s">
        <v>534</v>
      </c>
      <c r="F15687" s="1">
        <v>2</v>
      </c>
      <c r="G15687" s="1" t="s">
        <v>28</v>
      </c>
      <c r="H15687" s="4" t="str">
        <f>HYPERLINK("https://portal.gdc.cancer.gov/cases/929505f7-0270-475e-a9d6-00bf38dc78ba","TCGA-HM-A6W2-01A")</f>
        <v>TCGA-HM-A6W2-01A</v>
      </c>
      <c r="I15687" t="s">
        <v>444</v>
      </c>
      <c r="J15687" t="s">
        <v>535</v>
      </c>
      <c r="K15687" t="s">
        <v>19</v>
      </c>
      <c r="L15687" t="s">
        <v>445</v>
      </c>
      <c r="N15687" t="s">
        <v>29</v>
      </c>
    </row>
    <row r="15688" spans="1:14">
      <c r="A15688" s="4" t="str">
        <f t="shared" si="1201"/>
        <v>EXP00416</v>
      </c>
      <c r="B15688" s="3" t="s">
        <v>66</v>
      </c>
      <c r="C15688" s="4" t="str">
        <f t="shared" si="1202"/>
        <v>TCGA-CESC</v>
      </c>
      <c r="D15688" s="1" t="s">
        <v>493</v>
      </c>
      <c r="E15688" t="s">
        <v>534</v>
      </c>
      <c r="F15688" s="1">
        <v>2</v>
      </c>
      <c r="G15688" s="1" t="s">
        <v>28</v>
      </c>
      <c r="H15688" s="4" t="str">
        <f>HYPERLINK("https://portal.gdc.cancer.gov/cases/53d99a89-6ebd-4637-91db-7ce43ebc6b8b","TCGA-UC-A7PG-01A")</f>
        <v>TCGA-UC-A7PG-01A</v>
      </c>
      <c r="I15688" t="s">
        <v>444</v>
      </c>
      <c r="J15688" t="s">
        <v>535</v>
      </c>
      <c r="K15688" t="s">
        <v>19</v>
      </c>
      <c r="L15688" t="s">
        <v>445</v>
      </c>
      <c r="N15688" t="s">
        <v>29</v>
      </c>
    </row>
    <row r="15689" spans="1:14">
      <c r="A15689" s="4" t="str">
        <f t="shared" ref="A15689:A15699" si="1203">HYPERLINK("http://hcmdb.i-sanger.com/experiment/details/experiment_id/EXP00417","EXP00417")</f>
        <v>EXP00417</v>
      </c>
      <c r="B15689" s="3" t="s">
        <v>66</v>
      </c>
      <c r="C15689" s="4" t="str">
        <f t="shared" si="1202"/>
        <v>TCGA-CESC</v>
      </c>
      <c r="D15689" s="1" t="s">
        <v>493</v>
      </c>
      <c r="E15689" t="s">
        <v>536</v>
      </c>
      <c r="F15689" s="1">
        <v>1</v>
      </c>
      <c r="G15689" s="1" t="s">
        <v>537</v>
      </c>
      <c r="H15689" s="4" t="str">
        <f>HYPERLINK("https://portal.gdc.cancer.gov/cases/929505f7-0270-475e-a9d6-00bf38dc78ba","TCGA-HM-A6W2-01A")</f>
        <v>TCGA-HM-A6W2-01A</v>
      </c>
      <c r="I15689" t="s">
        <v>444</v>
      </c>
      <c r="J15689" t="s">
        <v>535</v>
      </c>
      <c r="K15689" t="s">
        <v>19</v>
      </c>
      <c r="L15689" t="s">
        <v>445</v>
      </c>
      <c r="N15689" t="s">
        <v>29</v>
      </c>
    </row>
    <row r="15690" spans="1:14">
      <c r="A15690" s="4" t="str">
        <f t="shared" si="1203"/>
        <v>EXP00417</v>
      </c>
      <c r="B15690" s="3" t="s">
        <v>66</v>
      </c>
      <c r="C15690" s="4" t="str">
        <f t="shared" si="1202"/>
        <v>TCGA-CESC</v>
      </c>
      <c r="D15690" s="1" t="s">
        <v>493</v>
      </c>
      <c r="E15690" t="s">
        <v>536</v>
      </c>
      <c r="F15690" s="1">
        <v>1</v>
      </c>
      <c r="G15690" s="1" t="s">
        <v>537</v>
      </c>
      <c r="H15690" s="4" t="str">
        <f>HYPERLINK("https://portal.gdc.cancer.gov/cases/53d99a89-6ebd-4637-91db-7ce43ebc6b8b","TCGA-UC-A7PG-01A")</f>
        <v>TCGA-UC-A7PG-01A</v>
      </c>
      <c r="I15690" t="s">
        <v>444</v>
      </c>
      <c r="J15690" t="s">
        <v>535</v>
      </c>
      <c r="K15690" t="s">
        <v>19</v>
      </c>
      <c r="L15690" t="s">
        <v>445</v>
      </c>
      <c r="N15690" t="s">
        <v>29</v>
      </c>
    </row>
    <row r="15691" spans="1:14">
      <c r="A15691" s="4" t="str">
        <f t="shared" si="1203"/>
        <v>EXP00417</v>
      </c>
      <c r="B15691" s="3" t="s">
        <v>66</v>
      </c>
      <c r="C15691" s="4" t="str">
        <f t="shared" si="1202"/>
        <v>TCGA-CESC</v>
      </c>
      <c r="D15691" s="1" t="s">
        <v>493</v>
      </c>
      <c r="E15691" t="s">
        <v>536</v>
      </c>
      <c r="F15691" s="1">
        <v>2</v>
      </c>
      <c r="G15691" s="1" t="s">
        <v>538</v>
      </c>
      <c r="H15691" s="4" t="str">
        <f>HYPERLINK("https://portal.gdc.cancer.gov/cases/f0bb0d18-1190-463d-a0ba-839c2c776794","TCGA-JW-A5VJ-01A")</f>
        <v>TCGA-JW-A5VJ-01A</v>
      </c>
      <c r="I15691" t="s">
        <v>444</v>
      </c>
      <c r="J15691" t="s">
        <v>535</v>
      </c>
      <c r="K15691" t="s">
        <v>19</v>
      </c>
      <c r="L15691" t="s">
        <v>445</v>
      </c>
      <c r="M15691" t="s">
        <v>539</v>
      </c>
      <c r="N15691" t="s">
        <v>29</v>
      </c>
    </row>
    <row r="15692" spans="1:14">
      <c r="A15692" s="4" t="str">
        <f t="shared" si="1203"/>
        <v>EXP00417</v>
      </c>
      <c r="B15692" s="3" t="s">
        <v>66</v>
      </c>
      <c r="C15692" s="4" t="str">
        <f t="shared" si="1202"/>
        <v>TCGA-CESC</v>
      </c>
      <c r="D15692" s="1" t="s">
        <v>493</v>
      </c>
      <c r="E15692" t="s">
        <v>536</v>
      </c>
      <c r="F15692" s="1">
        <v>2</v>
      </c>
      <c r="G15692" s="1" t="s">
        <v>538</v>
      </c>
      <c r="H15692" s="4" t="str">
        <f>HYPERLINK("https://portal.gdc.cancer.gov/cases/a1b99260-8643-4cef-95a0-3853d64762b7","TCGA-VS-A9UY-01A")</f>
        <v>TCGA-VS-A9UY-01A</v>
      </c>
      <c r="I15692" t="s">
        <v>444</v>
      </c>
      <c r="J15692" t="s">
        <v>535</v>
      </c>
      <c r="K15692" t="s">
        <v>19</v>
      </c>
      <c r="L15692" t="s">
        <v>445</v>
      </c>
      <c r="M15692" t="s">
        <v>539</v>
      </c>
      <c r="N15692" t="s">
        <v>29</v>
      </c>
    </row>
    <row r="15693" spans="1:14">
      <c r="A15693" s="4" t="str">
        <f t="shared" si="1203"/>
        <v>EXP00417</v>
      </c>
      <c r="B15693" s="3" t="s">
        <v>66</v>
      </c>
      <c r="C15693" s="4" t="str">
        <f t="shared" si="1202"/>
        <v>TCGA-CESC</v>
      </c>
      <c r="D15693" s="1" t="s">
        <v>493</v>
      </c>
      <c r="E15693" t="s">
        <v>536</v>
      </c>
      <c r="F15693" s="1">
        <v>3</v>
      </c>
      <c r="G15693" s="1" t="s">
        <v>540</v>
      </c>
      <c r="H15693" s="4" t="str">
        <f>HYPERLINK("https://portal.gdc.cancer.gov/cases/d02ffaa9-0403-4a89-be01-cce35c80dd69","TCGA-DS-A7WF-01A")</f>
        <v>TCGA-DS-A7WF-01A</v>
      </c>
      <c r="I15693" t="s">
        <v>444</v>
      </c>
      <c r="J15693" t="s">
        <v>535</v>
      </c>
      <c r="K15693" t="s">
        <v>19</v>
      </c>
      <c r="L15693" t="s">
        <v>445</v>
      </c>
      <c r="M15693" t="s">
        <v>41</v>
      </c>
      <c r="N15693" t="s">
        <v>29</v>
      </c>
    </row>
    <row r="15694" spans="1:14">
      <c r="A15694" s="4" t="str">
        <f t="shared" si="1203"/>
        <v>EXP00417</v>
      </c>
      <c r="B15694" s="3" t="s">
        <v>66</v>
      </c>
      <c r="C15694" s="4" t="str">
        <f t="shared" si="1202"/>
        <v>TCGA-CESC</v>
      </c>
      <c r="D15694" s="1" t="s">
        <v>493</v>
      </c>
      <c r="E15694" t="s">
        <v>536</v>
      </c>
      <c r="F15694" s="1">
        <v>3</v>
      </c>
      <c r="G15694" s="1" t="s">
        <v>540</v>
      </c>
      <c r="H15694" s="4" t="str">
        <f>HYPERLINK("https://portal.gdc.cancer.gov/cases/e7c7783c-1d0f-4f42-a4cf-518825e91d91","TCGA-IR-A3LB-01A")</f>
        <v>TCGA-IR-A3LB-01A</v>
      </c>
      <c r="I15694" t="s">
        <v>444</v>
      </c>
      <c r="J15694" t="s">
        <v>535</v>
      </c>
      <c r="K15694" t="s">
        <v>19</v>
      </c>
      <c r="L15694" t="s">
        <v>445</v>
      </c>
      <c r="M15694" t="s">
        <v>41</v>
      </c>
      <c r="N15694" t="s">
        <v>29</v>
      </c>
    </row>
    <row r="15695" spans="1:14">
      <c r="A15695" s="4" t="str">
        <f t="shared" si="1203"/>
        <v>EXP00417</v>
      </c>
      <c r="B15695" s="3" t="s">
        <v>66</v>
      </c>
      <c r="C15695" s="4" t="str">
        <f t="shared" si="1202"/>
        <v>TCGA-CESC</v>
      </c>
      <c r="D15695" s="1" t="s">
        <v>493</v>
      </c>
      <c r="E15695" t="s">
        <v>536</v>
      </c>
      <c r="F15695" s="1">
        <v>4</v>
      </c>
      <c r="G15695" s="1" t="s">
        <v>541</v>
      </c>
      <c r="H15695" s="4" t="str">
        <f>HYPERLINK("https://portal.gdc.cancer.gov/cases/6813c53c-b256-4115-ad90-24d75328779e","TCGA-JW-A5VH-01A")</f>
        <v>TCGA-JW-A5VH-01A</v>
      </c>
      <c r="I15695" t="s">
        <v>444</v>
      </c>
      <c r="J15695" t="s">
        <v>535</v>
      </c>
      <c r="K15695" t="s">
        <v>19</v>
      </c>
      <c r="L15695" t="s">
        <v>445</v>
      </c>
      <c r="M15695" t="s">
        <v>47</v>
      </c>
      <c r="N15695" t="s">
        <v>29</v>
      </c>
    </row>
    <row r="15696" spans="1:14">
      <c r="A15696" s="4" t="str">
        <f t="shared" si="1203"/>
        <v>EXP00417</v>
      </c>
      <c r="B15696" s="3" t="s">
        <v>66</v>
      </c>
      <c r="C15696" s="4" t="str">
        <f t="shared" si="1202"/>
        <v>TCGA-CESC</v>
      </c>
      <c r="D15696" s="1" t="s">
        <v>493</v>
      </c>
      <c r="E15696" t="s">
        <v>536</v>
      </c>
      <c r="F15696" s="1">
        <v>4</v>
      </c>
      <c r="G15696" s="1" t="s">
        <v>541</v>
      </c>
      <c r="H15696" s="4" t="str">
        <f>HYPERLINK("https://portal.gdc.cancer.gov/cases/3df6abe2-2123-4bfa-a4e4-88df5f940c04","TCGA-JX-A3PZ-01A")</f>
        <v>TCGA-JX-A3PZ-01A</v>
      </c>
      <c r="I15696" t="s">
        <v>444</v>
      </c>
      <c r="J15696" t="s">
        <v>535</v>
      </c>
      <c r="K15696" t="s">
        <v>19</v>
      </c>
      <c r="L15696" t="s">
        <v>445</v>
      </c>
      <c r="M15696" t="s">
        <v>47</v>
      </c>
      <c r="N15696" t="s">
        <v>29</v>
      </c>
    </row>
    <row r="15697" spans="1:14">
      <c r="A15697" s="4" t="str">
        <f t="shared" si="1203"/>
        <v>EXP00417</v>
      </c>
      <c r="B15697" s="3" t="s">
        <v>66</v>
      </c>
      <c r="C15697" s="4" t="str">
        <f t="shared" si="1202"/>
        <v>TCGA-CESC</v>
      </c>
      <c r="D15697" s="1" t="s">
        <v>493</v>
      </c>
      <c r="E15697" t="s">
        <v>536</v>
      </c>
      <c r="F15697" s="1">
        <v>4</v>
      </c>
      <c r="G15697" s="1" t="s">
        <v>541</v>
      </c>
      <c r="H15697" s="4" t="str">
        <f>HYPERLINK("https://portal.gdc.cancer.gov/cases/f0cfaacc-30e5-4e54-b33a-f0fd5dad620e","TCGA-VS-A9UP-01A")</f>
        <v>TCGA-VS-A9UP-01A</v>
      </c>
      <c r="I15697" t="s">
        <v>444</v>
      </c>
      <c r="J15697" t="s">
        <v>535</v>
      </c>
      <c r="K15697" t="s">
        <v>19</v>
      </c>
      <c r="L15697" t="s">
        <v>445</v>
      </c>
      <c r="M15697" t="s">
        <v>47</v>
      </c>
      <c r="N15697" t="s">
        <v>29</v>
      </c>
    </row>
    <row r="15698" spans="1:14">
      <c r="A15698" s="4" t="str">
        <f t="shared" si="1203"/>
        <v>EXP00417</v>
      </c>
      <c r="B15698" s="3" t="s">
        <v>66</v>
      </c>
      <c r="C15698" s="4" t="str">
        <f t="shared" si="1202"/>
        <v>TCGA-CESC</v>
      </c>
      <c r="D15698" s="1" t="s">
        <v>493</v>
      </c>
      <c r="E15698" t="s">
        <v>536</v>
      </c>
      <c r="F15698" s="1">
        <v>4</v>
      </c>
      <c r="G15698" s="1" t="s">
        <v>541</v>
      </c>
      <c r="H15698" s="4" t="str">
        <f>HYPERLINK("https://portal.gdc.cancer.gov/cases/2c600a58-98ed-4572-9b6f-edba2719790c","TCGA-VS-A9UQ-01A")</f>
        <v>TCGA-VS-A9UQ-01A</v>
      </c>
      <c r="I15698" t="s">
        <v>444</v>
      </c>
      <c r="J15698" t="s">
        <v>535</v>
      </c>
      <c r="K15698" t="s">
        <v>19</v>
      </c>
      <c r="L15698" t="s">
        <v>445</v>
      </c>
      <c r="M15698" t="s">
        <v>47</v>
      </c>
      <c r="N15698" t="s">
        <v>29</v>
      </c>
    </row>
    <row r="15699" spans="1:14">
      <c r="A15699" s="4" t="str">
        <f t="shared" si="1203"/>
        <v>EXP00417</v>
      </c>
      <c r="B15699" s="3" t="s">
        <v>66</v>
      </c>
      <c r="C15699" s="4" t="str">
        <f t="shared" si="1202"/>
        <v>TCGA-CESC</v>
      </c>
      <c r="D15699" s="1" t="s">
        <v>493</v>
      </c>
      <c r="E15699" t="s">
        <v>536</v>
      </c>
      <c r="F15699" s="1">
        <v>4</v>
      </c>
      <c r="G15699" s="1" t="s">
        <v>541</v>
      </c>
      <c r="H15699" s="4" t="str">
        <f>HYPERLINK("https://portal.gdc.cancer.gov/cases/a5885835-9473-455a-bac0-6fa43fa8a866","TCGA-VS-A9V0-01A")</f>
        <v>TCGA-VS-A9V0-01A</v>
      </c>
      <c r="I15699" t="s">
        <v>444</v>
      </c>
      <c r="J15699" t="s">
        <v>535</v>
      </c>
      <c r="K15699" t="s">
        <v>19</v>
      </c>
      <c r="L15699" t="s">
        <v>445</v>
      </c>
      <c r="M15699" t="s">
        <v>47</v>
      </c>
      <c r="N15699" t="s">
        <v>29</v>
      </c>
    </row>
    <row r="15700" spans="1:14">
      <c r="A15700" s="4" t="str">
        <f t="shared" ref="A15700:A15712" si="1204">HYPERLINK("http://hcmdb.i-sanger.com/experiment/details/experiment_id/EXP00418","EXP00418")</f>
        <v>EXP00418</v>
      </c>
      <c r="B15700" s="3" t="s">
        <v>66</v>
      </c>
      <c r="C15700" s="4" t="str">
        <f t="shared" si="1202"/>
        <v>TCGA-CESC</v>
      </c>
      <c r="D15700" s="1" t="s">
        <v>493</v>
      </c>
      <c r="E15700" t="s">
        <v>542</v>
      </c>
      <c r="F15700" s="1">
        <v>1</v>
      </c>
      <c r="G15700" s="1" t="s">
        <v>26</v>
      </c>
      <c r="H15700" s="4" t="str">
        <f>HYPERLINK("https://portal.gdc.cancer.gov/cases/929505f7-0270-475e-a9d6-00bf38dc78ba","TCGA-HM-A6W2-06A")</f>
        <v>TCGA-HM-A6W2-06A</v>
      </c>
      <c r="I15700" t="s">
        <v>444</v>
      </c>
      <c r="J15700" t="s">
        <v>535</v>
      </c>
      <c r="K15700" t="s">
        <v>19</v>
      </c>
      <c r="L15700" t="s">
        <v>445</v>
      </c>
      <c r="N15700" t="s">
        <v>22</v>
      </c>
    </row>
    <row r="15701" spans="1:14">
      <c r="A15701" s="4" t="str">
        <f t="shared" si="1204"/>
        <v>EXP00418</v>
      </c>
      <c r="B15701" s="3" t="s">
        <v>66</v>
      </c>
      <c r="C15701" s="4" t="str">
        <f t="shared" si="1202"/>
        <v>TCGA-CESC</v>
      </c>
      <c r="D15701" s="1" t="s">
        <v>493</v>
      </c>
      <c r="E15701" t="s">
        <v>542</v>
      </c>
      <c r="F15701" s="1">
        <v>1</v>
      </c>
      <c r="G15701" s="1" t="s">
        <v>26</v>
      </c>
      <c r="H15701" s="4" t="str">
        <f>HYPERLINK("https://portal.gdc.cancer.gov/cases/53d99a89-6ebd-4637-91db-7ce43ebc6b8b","TCGA-UC-A7PG-06A")</f>
        <v>TCGA-UC-A7PG-06A</v>
      </c>
      <c r="I15701" t="s">
        <v>444</v>
      </c>
      <c r="J15701" t="s">
        <v>535</v>
      </c>
      <c r="K15701" t="s">
        <v>19</v>
      </c>
      <c r="L15701" t="s">
        <v>445</v>
      </c>
      <c r="N15701" t="s">
        <v>22</v>
      </c>
    </row>
    <row r="15702" spans="1:14">
      <c r="A15702" s="4" t="str">
        <f t="shared" si="1204"/>
        <v>EXP00418</v>
      </c>
      <c r="B15702" s="3" t="s">
        <v>66</v>
      </c>
      <c r="C15702" s="4" t="str">
        <f t="shared" si="1202"/>
        <v>TCGA-CESC</v>
      </c>
      <c r="D15702" s="1" t="s">
        <v>493</v>
      </c>
      <c r="E15702" t="s">
        <v>542</v>
      </c>
      <c r="F15702" s="1">
        <v>2</v>
      </c>
      <c r="G15702" s="1" t="s">
        <v>28</v>
      </c>
      <c r="H15702" s="4" t="str">
        <f>HYPERLINK("https://portal.gdc.cancer.gov/cases/d02ffaa9-0403-4a89-be01-cce35c80dd69","TCGA-DS-A7WF-01A")</f>
        <v>TCGA-DS-A7WF-01A</v>
      </c>
      <c r="I15702" t="s">
        <v>444</v>
      </c>
      <c r="J15702" t="s">
        <v>535</v>
      </c>
      <c r="K15702" t="s">
        <v>19</v>
      </c>
      <c r="L15702" t="s">
        <v>445</v>
      </c>
      <c r="M15702" t="s">
        <v>41</v>
      </c>
      <c r="N15702" t="s">
        <v>29</v>
      </c>
    </row>
    <row r="15703" spans="1:14">
      <c r="A15703" s="4" t="str">
        <f t="shared" si="1204"/>
        <v>EXP00418</v>
      </c>
      <c r="B15703" s="3" t="s">
        <v>66</v>
      </c>
      <c r="C15703" s="4" t="str">
        <f t="shared" si="1202"/>
        <v>TCGA-CESC</v>
      </c>
      <c r="D15703" s="1" t="s">
        <v>493</v>
      </c>
      <c r="E15703" t="s">
        <v>542</v>
      </c>
      <c r="F15703" s="1">
        <v>2</v>
      </c>
      <c r="G15703" s="1" t="s">
        <v>28</v>
      </c>
      <c r="H15703" s="4" t="str">
        <f>HYPERLINK("https://portal.gdc.cancer.gov/cases/929505f7-0270-475e-a9d6-00bf38dc78ba","TCGA-HM-A6W2-01A")</f>
        <v>TCGA-HM-A6W2-01A</v>
      </c>
      <c r="I15703" t="s">
        <v>444</v>
      </c>
      <c r="J15703" t="s">
        <v>535</v>
      </c>
      <c r="K15703" t="s">
        <v>19</v>
      </c>
      <c r="L15703" t="s">
        <v>445</v>
      </c>
      <c r="N15703" t="s">
        <v>29</v>
      </c>
    </row>
    <row r="15704" spans="1:14">
      <c r="A15704" s="4" t="str">
        <f t="shared" si="1204"/>
        <v>EXP00418</v>
      </c>
      <c r="B15704" s="3" t="s">
        <v>66</v>
      </c>
      <c r="C15704" s="4" t="str">
        <f t="shared" si="1202"/>
        <v>TCGA-CESC</v>
      </c>
      <c r="D15704" s="1" t="s">
        <v>493</v>
      </c>
      <c r="E15704" t="s">
        <v>542</v>
      </c>
      <c r="F15704" s="1">
        <v>2</v>
      </c>
      <c r="G15704" s="1" t="s">
        <v>28</v>
      </c>
      <c r="H15704" s="4" t="str">
        <f>HYPERLINK("https://portal.gdc.cancer.gov/cases/e7c7783c-1d0f-4f42-a4cf-518825e91d91","TCGA-IR-A3LB-01A")</f>
        <v>TCGA-IR-A3LB-01A</v>
      </c>
      <c r="I15704" t="s">
        <v>444</v>
      </c>
      <c r="J15704" t="s">
        <v>535</v>
      </c>
      <c r="K15704" t="s">
        <v>19</v>
      </c>
      <c r="L15704" t="s">
        <v>445</v>
      </c>
      <c r="M15704" t="s">
        <v>41</v>
      </c>
      <c r="N15704" t="s">
        <v>29</v>
      </c>
    </row>
    <row r="15705" spans="1:14">
      <c r="A15705" s="4" t="str">
        <f t="shared" si="1204"/>
        <v>EXP00418</v>
      </c>
      <c r="B15705" s="3" t="s">
        <v>66</v>
      </c>
      <c r="C15705" s="4" t="str">
        <f t="shared" si="1202"/>
        <v>TCGA-CESC</v>
      </c>
      <c r="D15705" s="1" t="s">
        <v>493</v>
      </c>
      <c r="E15705" t="s">
        <v>542</v>
      </c>
      <c r="F15705" s="1">
        <v>2</v>
      </c>
      <c r="G15705" s="1" t="s">
        <v>28</v>
      </c>
      <c r="H15705" s="4" t="str">
        <f>HYPERLINK("https://portal.gdc.cancer.gov/cases/6813c53c-b256-4115-ad90-24d75328779e","TCGA-JW-A5VH-01A")</f>
        <v>TCGA-JW-A5VH-01A</v>
      </c>
      <c r="I15705" t="s">
        <v>444</v>
      </c>
      <c r="J15705" t="s">
        <v>535</v>
      </c>
      <c r="K15705" t="s">
        <v>19</v>
      </c>
      <c r="L15705" t="s">
        <v>445</v>
      </c>
      <c r="M15705" t="s">
        <v>47</v>
      </c>
      <c r="N15705" t="s">
        <v>29</v>
      </c>
    </row>
    <row r="15706" spans="1:14">
      <c r="A15706" s="4" t="str">
        <f t="shared" si="1204"/>
        <v>EXP00418</v>
      </c>
      <c r="B15706" s="3" t="s">
        <v>66</v>
      </c>
      <c r="C15706" s="4" t="str">
        <f t="shared" si="1202"/>
        <v>TCGA-CESC</v>
      </c>
      <c r="D15706" s="1" t="s">
        <v>493</v>
      </c>
      <c r="E15706" t="s">
        <v>542</v>
      </c>
      <c r="F15706" s="1">
        <v>2</v>
      </c>
      <c r="G15706" s="1" t="s">
        <v>28</v>
      </c>
      <c r="H15706" s="4" t="str">
        <f>HYPERLINK("https://portal.gdc.cancer.gov/cases/f0bb0d18-1190-463d-a0ba-839c2c776794","TCGA-JW-A5VJ-01A")</f>
        <v>TCGA-JW-A5VJ-01A</v>
      </c>
      <c r="I15706" t="s">
        <v>444</v>
      </c>
      <c r="J15706" t="s">
        <v>535</v>
      </c>
      <c r="K15706" t="s">
        <v>19</v>
      </c>
      <c r="L15706" t="s">
        <v>445</v>
      </c>
      <c r="M15706" t="s">
        <v>539</v>
      </c>
      <c r="N15706" t="s">
        <v>29</v>
      </c>
    </row>
    <row r="15707" spans="1:14">
      <c r="A15707" s="4" t="str">
        <f t="shared" si="1204"/>
        <v>EXP00418</v>
      </c>
      <c r="B15707" s="3" t="s">
        <v>66</v>
      </c>
      <c r="C15707" s="4" t="str">
        <f t="shared" si="1202"/>
        <v>TCGA-CESC</v>
      </c>
      <c r="D15707" s="1" t="s">
        <v>493</v>
      </c>
      <c r="E15707" t="s">
        <v>542</v>
      </c>
      <c r="F15707" s="1">
        <v>2</v>
      </c>
      <c r="G15707" s="1" t="s">
        <v>28</v>
      </c>
      <c r="H15707" s="4" t="str">
        <f>HYPERLINK("https://portal.gdc.cancer.gov/cases/3df6abe2-2123-4bfa-a4e4-88df5f940c04","TCGA-JX-A3PZ-01A")</f>
        <v>TCGA-JX-A3PZ-01A</v>
      </c>
      <c r="I15707" t="s">
        <v>444</v>
      </c>
      <c r="J15707" t="s">
        <v>535</v>
      </c>
      <c r="K15707" t="s">
        <v>19</v>
      </c>
      <c r="L15707" t="s">
        <v>445</v>
      </c>
      <c r="M15707" t="s">
        <v>47</v>
      </c>
      <c r="N15707" t="s">
        <v>29</v>
      </c>
    </row>
    <row r="15708" spans="1:14">
      <c r="A15708" s="4" t="str">
        <f t="shared" si="1204"/>
        <v>EXP00418</v>
      </c>
      <c r="B15708" s="3" t="s">
        <v>66</v>
      </c>
      <c r="C15708" s="4" t="str">
        <f t="shared" si="1202"/>
        <v>TCGA-CESC</v>
      </c>
      <c r="D15708" s="1" t="s">
        <v>493</v>
      </c>
      <c r="E15708" t="s">
        <v>542</v>
      </c>
      <c r="F15708" s="1">
        <v>2</v>
      </c>
      <c r="G15708" s="1" t="s">
        <v>28</v>
      </c>
      <c r="H15708" s="4" t="str">
        <f>HYPERLINK("https://portal.gdc.cancer.gov/cases/53d99a89-6ebd-4637-91db-7ce43ebc6b8b","TCGA-UC-A7PG-01A")</f>
        <v>TCGA-UC-A7PG-01A</v>
      </c>
      <c r="I15708" t="s">
        <v>444</v>
      </c>
      <c r="J15708" t="s">
        <v>535</v>
      </c>
      <c r="K15708" t="s">
        <v>19</v>
      </c>
      <c r="L15708" t="s">
        <v>445</v>
      </c>
      <c r="N15708" t="s">
        <v>29</v>
      </c>
    </row>
    <row r="15709" spans="1:14">
      <c r="A15709" s="4" t="str">
        <f t="shared" si="1204"/>
        <v>EXP00418</v>
      </c>
      <c r="B15709" s="3" t="s">
        <v>66</v>
      </c>
      <c r="C15709" s="4" t="str">
        <f t="shared" si="1202"/>
        <v>TCGA-CESC</v>
      </c>
      <c r="D15709" s="1" t="s">
        <v>493</v>
      </c>
      <c r="E15709" t="s">
        <v>542</v>
      </c>
      <c r="F15709" s="1">
        <v>2</v>
      </c>
      <c r="G15709" s="1" t="s">
        <v>28</v>
      </c>
      <c r="H15709" s="4" t="str">
        <f>HYPERLINK("https://portal.gdc.cancer.gov/cases/f0cfaacc-30e5-4e54-b33a-f0fd5dad620e","TCGA-VS-A9UP-01A")</f>
        <v>TCGA-VS-A9UP-01A</v>
      </c>
      <c r="I15709" t="s">
        <v>444</v>
      </c>
      <c r="J15709" t="s">
        <v>535</v>
      </c>
      <c r="K15709" t="s">
        <v>19</v>
      </c>
      <c r="L15709" t="s">
        <v>445</v>
      </c>
      <c r="M15709" t="s">
        <v>47</v>
      </c>
      <c r="N15709" t="s">
        <v>29</v>
      </c>
    </row>
    <row r="15710" spans="1:14">
      <c r="A15710" s="4" t="str">
        <f t="shared" si="1204"/>
        <v>EXP00418</v>
      </c>
      <c r="B15710" s="3" t="s">
        <v>66</v>
      </c>
      <c r="C15710" s="4" t="str">
        <f t="shared" si="1202"/>
        <v>TCGA-CESC</v>
      </c>
      <c r="D15710" s="1" t="s">
        <v>493</v>
      </c>
      <c r="E15710" t="s">
        <v>542</v>
      </c>
      <c r="F15710" s="1">
        <v>2</v>
      </c>
      <c r="G15710" s="1" t="s">
        <v>28</v>
      </c>
      <c r="H15710" s="4" t="str">
        <f>HYPERLINK("https://portal.gdc.cancer.gov/cases/2c600a58-98ed-4572-9b6f-edba2719790c","TCGA-VS-A9UQ-01A")</f>
        <v>TCGA-VS-A9UQ-01A</v>
      </c>
      <c r="I15710" t="s">
        <v>444</v>
      </c>
      <c r="J15710" t="s">
        <v>535</v>
      </c>
      <c r="K15710" t="s">
        <v>19</v>
      </c>
      <c r="L15710" t="s">
        <v>445</v>
      </c>
      <c r="M15710" t="s">
        <v>47</v>
      </c>
      <c r="N15710" t="s">
        <v>29</v>
      </c>
    </row>
    <row r="15711" spans="1:14">
      <c r="A15711" s="4" t="str">
        <f t="shared" si="1204"/>
        <v>EXP00418</v>
      </c>
      <c r="B15711" s="3" t="s">
        <v>66</v>
      </c>
      <c r="C15711" s="4" t="str">
        <f t="shared" si="1202"/>
        <v>TCGA-CESC</v>
      </c>
      <c r="D15711" s="1" t="s">
        <v>493</v>
      </c>
      <c r="E15711" t="s">
        <v>542</v>
      </c>
      <c r="F15711" s="1">
        <v>2</v>
      </c>
      <c r="G15711" s="1" t="s">
        <v>28</v>
      </c>
      <c r="H15711" s="4" t="str">
        <f>HYPERLINK("https://portal.gdc.cancer.gov/cases/a1b99260-8643-4cef-95a0-3853d64762b7","TCGA-VS-A9UY-01A")</f>
        <v>TCGA-VS-A9UY-01A</v>
      </c>
      <c r="I15711" t="s">
        <v>444</v>
      </c>
      <c r="J15711" t="s">
        <v>535</v>
      </c>
      <c r="K15711" t="s">
        <v>19</v>
      </c>
      <c r="L15711" t="s">
        <v>445</v>
      </c>
      <c r="M15711" t="s">
        <v>539</v>
      </c>
      <c r="N15711" t="s">
        <v>29</v>
      </c>
    </row>
    <row r="15712" spans="1:14">
      <c r="A15712" s="4" t="str">
        <f t="shared" si="1204"/>
        <v>EXP00418</v>
      </c>
      <c r="B15712" s="3" t="s">
        <v>66</v>
      </c>
      <c r="C15712" s="4" t="str">
        <f t="shared" si="1202"/>
        <v>TCGA-CESC</v>
      </c>
      <c r="D15712" s="1" t="s">
        <v>493</v>
      </c>
      <c r="E15712" t="s">
        <v>542</v>
      </c>
      <c r="F15712" s="1">
        <v>2</v>
      </c>
      <c r="G15712" s="1" t="s">
        <v>28</v>
      </c>
      <c r="H15712" s="4" t="str">
        <f>HYPERLINK("https://portal.gdc.cancer.gov/cases/a5885835-9473-455a-bac0-6fa43fa8a866","TCGA-VS-A9V0-01A")</f>
        <v>TCGA-VS-A9V0-01A</v>
      </c>
      <c r="I15712" t="s">
        <v>444</v>
      </c>
      <c r="J15712" t="s">
        <v>535</v>
      </c>
      <c r="K15712" t="s">
        <v>19</v>
      </c>
      <c r="L15712" t="s">
        <v>445</v>
      </c>
      <c r="M15712" t="s">
        <v>47</v>
      </c>
      <c r="N15712" t="s">
        <v>29</v>
      </c>
    </row>
    <row r="15713" spans="1:14">
      <c r="A15713" s="4" t="str">
        <f t="shared" ref="A15713:A15776" si="1205">HYPERLINK("http://hcmdb.i-sanger.com/experiment/details/experiment_id/EXP00419","EXP00419")</f>
        <v>EXP00419</v>
      </c>
      <c r="B15713" s="3" t="s">
        <v>66</v>
      </c>
      <c r="C15713" s="4" t="str">
        <f t="shared" si="1202"/>
        <v>TCGA-CESC</v>
      </c>
      <c r="D15713" s="1" t="s">
        <v>493</v>
      </c>
      <c r="E15713" t="s">
        <v>543</v>
      </c>
      <c r="F15713" s="1">
        <v>1</v>
      </c>
      <c r="G15713" s="1" t="s">
        <v>31</v>
      </c>
      <c r="H15713" s="4" t="str">
        <f>HYPERLINK("https://portal.gdc.cancer.gov/cases/d02ffaa9-0403-4a89-be01-cce35c80dd69","TCGA-DS-A7WF-01A")</f>
        <v>TCGA-DS-A7WF-01A</v>
      </c>
      <c r="I15713" t="s">
        <v>444</v>
      </c>
      <c r="J15713" t="s">
        <v>535</v>
      </c>
      <c r="K15713" t="s">
        <v>19</v>
      </c>
      <c r="L15713" t="s">
        <v>445</v>
      </c>
      <c r="M15713" t="s">
        <v>41</v>
      </c>
      <c r="N15713" t="s">
        <v>29</v>
      </c>
    </row>
    <row r="15714" spans="1:14">
      <c r="A15714" s="4" t="str">
        <f t="shared" si="1205"/>
        <v>EXP00419</v>
      </c>
      <c r="B15714" s="3" t="s">
        <v>66</v>
      </c>
      <c r="C15714" s="4" t="str">
        <f t="shared" si="1202"/>
        <v>TCGA-CESC</v>
      </c>
      <c r="D15714" s="1" t="s">
        <v>493</v>
      </c>
      <c r="E15714" t="s">
        <v>543</v>
      </c>
      <c r="F15714" s="1">
        <v>1</v>
      </c>
      <c r="G15714" s="1" t="s">
        <v>31</v>
      </c>
      <c r="H15714" s="4" t="str">
        <f>HYPERLINK("https://portal.gdc.cancer.gov/cases/929505f7-0270-475e-a9d6-00bf38dc78ba","TCGA-HM-A6W2-01A")</f>
        <v>TCGA-HM-A6W2-01A</v>
      </c>
      <c r="I15714" t="s">
        <v>444</v>
      </c>
      <c r="J15714" t="s">
        <v>535</v>
      </c>
      <c r="K15714" t="s">
        <v>19</v>
      </c>
      <c r="L15714" t="s">
        <v>445</v>
      </c>
      <c r="N15714" t="s">
        <v>29</v>
      </c>
    </row>
    <row r="15715" spans="1:14">
      <c r="A15715" s="4" t="str">
        <f t="shared" si="1205"/>
        <v>EXP00419</v>
      </c>
      <c r="B15715" s="3" t="s">
        <v>66</v>
      </c>
      <c r="C15715" s="4" t="str">
        <f t="shared" si="1202"/>
        <v>TCGA-CESC</v>
      </c>
      <c r="D15715" s="1" t="s">
        <v>493</v>
      </c>
      <c r="E15715" t="s">
        <v>543</v>
      </c>
      <c r="F15715" s="1">
        <v>1</v>
      </c>
      <c r="G15715" s="1" t="s">
        <v>31</v>
      </c>
      <c r="H15715" s="4" t="str">
        <f>HYPERLINK("https://portal.gdc.cancer.gov/cases/e7c7783c-1d0f-4f42-a4cf-518825e91d91","TCGA-IR-A3LB-01A")</f>
        <v>TCGA-IR-A3LB-01A</v>
      </c>
      <c r="I15715" t="s">
        <v>444</v>
      </c>
      <c r="J15715" t="s">
        <v>535</v>
      </c>
      <c r="K15715" t="s">
        <v>19</v>
      </c>
      <c r="L15715" t="s">
        <v>445</v>
      </c>
      <c r="M15715" t="s">
        <v>41</v>
      </c>
      <c r="N15715" t="s">
        <v>29</v>
      </c>
    </row>
    <row r="15716" spans="1:14">
      <c r="A15716" s="4" t="str">
        <f t="shared" si="1205"/>
        <v>EXP00419</v>
      </c>
      <c r="B15716" s="3" t="s">
        <v>66</v>
      </c>
      <c r="C15716" s="4" t="str">
        <f t="shared" si="1202"/>
        <v>TCGA-CESC</v>
      </c>
      <c r="D15716" s="1" t="s">
        <v>493</v>
      </c>
      <c r="E15716" t="s">
        <v>543</v>
      </c>
      <c r="F15716" s="1">
        <v>1</v>
      </c>
      <c r="G15716" s="1" t="s">
        <v>31</v>
      </c>
      <c r="H15716" s="4" t="str">
        <f>HYPERLINK("https://portal.gdc.cancer.gov/cases/6813c53c-b256-4115-ad90-24d75328779e","TCGA-JW-A5VH-01A")</f>
        <v>TCGA-JW-A5VH-01A</v>
      </c>
      <c r="I15716" t="s">
        <v>444</v>
      </c>
      <c r="J15716" t="s">
        <v>535</v>
      </c>
      <c r="K15716" t="s">
        <v>19</v>
      </c>
      <c r="L15716" t="s">
        <v>445</v>
      </c>
      <c r="M15716" t="s">
        <v>47</v>
      </c>
      <c r="N15716" t="s">
        <v>29</v>
      </c>
    </row>
    <row r="15717" spans="1:14">
      <c r="A15717" s="4" t="str">
        <f t="shared" si="1205"/>
        <v>EXP00419</v>
      </c>
      <c r="B15717" s="3" t="s">
        <v>66</v>
      </c>
      <c r="C15717" s="4" t="str">
        <f t="shared" si="1202"/>
        <v>TCGA-CESC</v>
      </c>
      <c r="D15717" s="1" t="s">
        <v>493</v>
      </c>
      <c r="E15717" t="s">
        <v>543</v>
      </c>
      <c r="F15717" s="1">
        <v>1</v>
      </c>
      <c r="G15717" s="1" t="s">
        <v>31</v>
      </c>
      <c r="H15717" s="4" t="str">
        <f>HYPERLINK("https://portal.gdc.cancer.gov/cases/f0bb0d18-1190-463d-a0ba-839c2c776794","TCGA-JW-A5VJ-01A")</f>
        <v>TCGA-JW-A5VJ-01A</v>
      </c>
      <c r="I15717" t="s">
        <v>444</v>
      </c>
      <c r="J15717" t="s">
        <v>535</v>
      </c>
      <c r="K15717" t="s">
        <v>19</v>
      </c>
      <c r="L15717" t="s">
        <v>445</v>
      </c>
      <c r="M15717" t="s">
        <v>539</v>
      </c>
      <c r="N15717" t="s">
        <v>29</v>
      </c>
    </row>
    <row r="15718" spans="1:14">
      <c r="A15718" s="4" t="str">
        <f t="shared" si="1205"/>
        <v>EXP00419</v>
      </c>
      <c r="B15718" s="3" t="s">
        <v>66</v>
      </c>
      <c r="C15718" s="4" t="str">
        <f t="shared" si="1202"/>
        <v>TCGA-CESC</v>
      </c>
      <c r="D15718" s="1" t="s">
        <v>493</v>
      </c>
      <c r="E15718" t="s">
        <v>543</v>
      </c>
      <c r="F15718" s="1">
        <v>1</v>
      </c>
      <c r="G15718" s="1" t="s">
        <v>31</v>
      </c>
      <c r="H15718" s="4" t="str">
        <f>HYPERLINK("https://portal.gdc.cancer.gov/cases/3df6abe2-2123-4bfa-a4e4-88df5f940c04","TCGA-JX-A3PZ-01A")</f>
        <v>TCGA-JX-A3PZ-01A</v>
      </c>
      <c r="I15718" t="s">
        <v>444</v>
      </c>
      <c r="J15718" t="s">
        <v>535</v>
      </c>
      <c r="K15718" t="s">
        <v>19</v>
      </c>
      <c r="L15718" t="s">
        <v>445</v>
      </c>
      <c r="M15718" t="s">
        <v>47</v>
      </c>
      <c r="N15718" t="s">
        <v>29</v>
      </c>
    </row>
    <row r="15719" spans="1:14">
      <c r="A15719" s="4" t="str">
        <f t="shared" si="1205"/>
        <v>EXP00419</v>
      </c>
      <c r="B15719" s="3" t="s">
        <v>66</v>
      </c>
      <c r="C15719" s="4" t="str">
        <f t="shared" si="1202"/>
        <v>TCGA-CESC</v>
      </c>
      <c r="D15719" s="1" t="s">
        <v>493</v>
      </c>
      <c r="E15719" t="s">
        <v>543</v>
      </c>
      <c r="F15719" s="1">
        <v>1</v>
      </c>
      <c r="G15719" s="1" t="s">
        <v>31</v>
      </c>
      <c r="H15719" s="4" t="str">
        <f>HYPERLINK("https://portal.gdc.cancer.gov/cases/53d99a89-6ebd-4637-91db-7ce43ebc6b8b","TCGA-UC-A7PG-01A")</f>
        <v>TCGA-UC-A7PG-01A</v>
      </c>
      <c r="I15719" t="s">
        <v>444</v>
      </c>
      <c r="J15719" t="s">
        <v>535</v>
      </c>
      <c r="K15719" t="s">
        <v>19</v>
      </c>
      <c r="L15719" t="s">
        <v>445</v>
      </c>
      <c r="N15719" t="s">
        <v>29</v>
      </c>
    </row>
    <row r="15720" spans="1:14">
      <c r="A15720" s="4" t="str">
        <f t="shared" si="1205"/>
        <v>EXP00419</v>
      </c>
      <c r="B15720" s="3" t="s">
        <v>66</v>
      </c>
      <c r="C15720" s="4" t="str">
        <f t="shared" si="1202"/>
        <v>TCGA-CESC</v>
      </c>
      <c r="D15720" s="1" t="s">
        <v>493</v>
      </c>
      <c r="E15720" t="s">
        <v>543</v>
      </c>
      <c r="F15720" s="1">
        <v>1</v>
      </c>
      <c r="G15720" s="1" t="s">
        <v>31</v>
      </c>
      <c r="H15720" s="4" t="str">
        <f>HYPERLINK("https://portal.gdc.cancer.gov/cases/f0cfaacc-30e5-4e54-b33a-f0fd5dad620e","TCGA-VS-A9UP-01A")</f>
        <v>TCGA-VS-A9UP-01A</v>
      </c>
      <c r="I15720" t="s">
        <v>444</v>
      </c>
      <c r="J15720" t="s">
        <v>535</v>
      </c>
      <c r="K15720" t="s">
        <v>19</v>
      </c>
      <c r="L15720" t="s">
        <v>445</v>
      </c>
      <c r="M15720" t="s">
        <v>47</v>
      </c>
      <c r="N15720" t="s">
        <v>29</v>
      </c>
    </row>
    <row r="15721" spans="1:14">
      <c r="A15721" s="4" t="str">
        <f t="shared" si="1205"/>
        <v>EXP00419</v>
      </c>
      <c r="B15721" s="3" t="s">
        <v>66</v>
      </c>
      <c r="C15721" s="4" t="str">
        <f t="shared" si="1202"/>
        <v>TCGA-CESC</v>
      </c>
      <c r="D15721" s="1" t="s">
        <v>493</v>
      </c>
      <c r="E15721" t="s">
        <v>543</v>
      </c>
      <c r="F15721" s="1">
        <v>1</v>
      </c>
      <c r="G15721" s="1" t="s">
        <v>31</v>
      </c>
      <c r="H15721" s="4" t="str">
        <f>HYPERLINK("https://portal.gdc.cancer.gov/cases/2c600a58-98ed-4572-9b6f-edba2719790c","TCGA-VS-A9UQ-01A")</f>
        <v>TCGA-VS-A9UQ-01A</v>
      </c>
      <c r="I15721" t="s">
        <v>444</v>
      </c>
      <c r="J15721" t="s">
        <v>535</v>
      </c>
      <c r="K15721" t="s">
        <v>19</v>
      </c>
      <c r="L15721" t="s">
        <v>445</v>
      </c>
      <c r="M15721" t="s">
        <v>47</v>
      </c>
      <c r="N15721" t="s">
        <v>29</v>
      </c>
    </row>
    <row r="15722" spans="1:14">
      <c r="A15722" s="4" t="str">
        <f t="shared" si="1205"/>
        <v>EXP00419</v>
      </c>
      <c r="B15722" s="3" t="s">
        <v>66</v>
      </c>
      <c r="C15722" s="4" t="str">
        <f t="shared" si="1202"/>
        <v>TCGA-CESC</v>
      </c>
      <c r="D15722" s="1" t="s">
        <v>493</v>
      </c>
      <c r="E15722" t="s">
        <v>543</v>
      </c>
      <c r="F15722" s="1">
        <v>1</v>
      </c>
      <c r="G15722" s="1" t="s">
        <v>31</v>
      </c>
      <c r="H15722" s="4" t="str">
        <f>HYPERLINK("https://portal.gdc.cancer.gov/cases/a1b99260-8643-4cef-95a0-3853d64762b7","TCGA-VS-A9UY-01A")</f>
        <v>TCGA-VS-A9UY-01A</v>
      </c>
      <c r="I15722" t="s">
        <v>444</v>
      </c>
      <c r="J15722" t="s">
        <v>535</v>
      </c>
      <c r="K15722" t="s">
        <v>19</v>
      </c>
      <c r="L15722" t="s">
        <v>445</v>
      </c>
      <c r="M15722" t="s">
        <v>539</v>
      </c>
      <c r="N15722" t="s">
        <v>29</v>
      </c>
    </row>
    <row r="15723" spans="1:14">
      <c r="A15723" s="4" t="str">
        <f t="shared" si="1205"/>
        <v>EXP00419</v>
      </c>
      <c r="B15723" s="3" t="s">
        <v>66</v>
      </c>
      <c r="C15723" s="4" t="str">
        <f t="shared" si="1202"/>
        <v>TCGA-CESC</v>
      </c>
      <c r="D15723" s="1" t="s">
        <v>493</v>
      </c>
      <c r="E15723" t="s">
        <v>543</v>
      </c>
      <c r="F15723" s="1">
        <v>1</v>
      </c>
      <c r="G15723" s="1" t="s">
        <v>31</v>
      </c>
      <c r="H15723" s="4" t="str">
        <f>HYPERLINK("https://portal.gdc.cancer.gov/cases/a5885835-9473-455a-bac0-6fa43fa8a866","TCGA-VS-A9V0-01A")</f>
        <v>TCGA-VS-A9V0-01A</v>
      </c>
      <c r="I15723" t="s">
        <v>444</v>
      </c>
      <c r="J15723" t="s">
        <v>535</v>
      </c>
      <c r="K15723" t="s">
        <v>19</v>
      </c>
      <c r="L15723" t="s">
        <v>445</v>
      </c>
      <c r="M15723" t="s">
        <v>47</v>
      </c>
      <c r="N15723" t="s">
        <v>29</v>
      </c>
    </row>
    <row r="15724" spans="1:14">
      <c r="A15724" s="4" t="str">
        <f t="shared" si="1205"/>
        <v>EXP00419</v>
      </c>
      <c r="B15724" s="3" t="s">
        <v>66</v>
      </c>
      <c r="C15724" s="4" t="str">
        <f t="shared" si="1202"/>
        <v>TCGA-CESC</v>
      </c>
      <c r="D15724" s="1" t="s">
        <v>493</v>
      </c>
      <c r="E15724" t="s">
        <v>543</v>
      </c>
      <c r="F15724" s="1">
        <v>2</v>
      </c>
      <c r="G15724" s="1" t="s">
        <v>32</v>
      </c>
      <c r="H15724" s="4" t="str">
        <f>HYPERLINK("https://portal.gdc.cancer.gov/cases/5aeac31a-176a-4f93-a376-a93a670821bb","TCGA-2W-A8YY-01A")</f>
        <v>TCGA-2W-A8YY-01A</v>
      </c>
      <c r="I15724" t="s">
        <v>444</v>
      </c>
      <c r="J15724" t="s">
        <v>535</v>
      </c>
      <c r="K15724" t="s">
        <v>33</v>
      </c>
      <c r="L15724" t="s">
        <v>445</v>
      </c>
      <c r="N15724" t="s">
        <v>29</v>
      </c>
    </row>
    <row r="15725" spans="1:14">
      <c r="A15725" s="4" t="str">
        <f t="shared" si="1205"/>
        <v>EXP00419</v>
      </c>
      <c r="B15725" s="3" t="s">
        <v>66</v>
      </c>
      <c r="C15725" s="4" t="str">
        <f t="shared" si="1202"/>
        <v>TCGA-CESC</v>
      </c>
      <c r="D15725" s="1" t="s">
        <v>493</v>
      </c>
      <c r="E15725" t="s">
        <v>543</v>
      </c>
      <c r="F15725" s="1">
        <v>2</v>
      </c>
      <c r="G15725" s="1" t="s">
        <v>32</v>
      </c>
      <c r="H15725" s="4" t="str">
        <f>HYPERLINK("https://portal.gdc.cancer.gov/cases/53eac147-7eb8-4c54-a982-5e058d6749f8","TCGA-4J-AA1J-01A")</f>
        <v>TCGA-4J-AA1J-01A</v>
      </c>
      <c r="I15725" t="s">
        <v>444</v>
      </c>
      <c r="J15725" t="s">
        <v>535</v>
      </c>
      <c r="K15725" t="s">
        <v>33</v>
      </c>
      <c r="L15725" t="s">
        <v>445</v>
      </c>
      <c r="N15725" t="s">
        <v>29</v>
      </c>
    </row>
    <row r="15726" spans="1:14">
      <c r="A15726" s="4" t="str">
        <f t="shared" si="1205"/>
        <v>EXP00419</v>
      </c>
      <c r="B15726" s="3" t="s">
        <v>66</v>
      </c>
      <c r="C15726" s="4" t="str">
        <f t="shared" si="1202"/>
        <v>TCGA-CESC</v>
      </c>
      <c r="D15726" s="1" t="s">
        <v>493</v>
      </c>
      <c r="E15726" t="s">
        <v>543</v>
      </c>
      <c r="F15726" s="1">
        <v>2</v>
      </c>
      <c r="G15726" s="1" t="s">
        <v>32</v>
      </c>
      <c r="H15726" s="4" t="str">
        <f>HYPERLINK("https://portal.gdc.cancer.gov/cases/39a3120c-0889-4a10-816a-e07528a35f7a","TCGA-BI-A0VR-01A")</f>
        <v>TCGA-BI-A0VR-01A</v>
      </c>
      <c r="I15726" t="s">
        <v>444</v>
      </c>
      <c r="J15726" t="s">
        <v>535</v>
      </c>
      <c r="K15726" t="s">
        <v>33</v>
      </c>
      <c r="L15726" t="s">
        <v>445</v>
      </c>
      <c r="N15726" t="s">
        <v>29</v>
      </c>
    </row>
    <row r="15727" spans="1:14">
      <c r="A15727" s="4" t="str">
        <f t="shared" si="1205"/>
        <v>EXP00419</v>
      </c>
      <c r="B15727" s="3" t="s">
        <v>66</v>
      </c>
      <c r="C15727" s="4" t="str">
        <f t="shared" si="1202"/>
        <v>TCGA-CESC</v>
      </c>
      <c r="D15727" s="1" t="s">
        <v>493</v>
      </c>
      <c r="E15727" t="s">
        <v>543</v>
      </c>
      <c r="F15727" s="1">
        <v>2</v>
      </c>
      <c r="G15727" s="1" t="s">
        <v>32</v>
      </c>
      <c r="H15727" s="4" t="str">
        <f>HYPERLINK("https://portal.gdc.cancer.gov/cases/3923a64a-f8d7-4e3e-9218-cee642da21db","TCGA-BI-A0VS-01A")</f>
        <v>TCGA-BI-A0VS-01A</v>
      </c>
      <c r="I15727" t="s">
        <v>444</v>
      </c>
      <c r="J15727" t="s">
        <v>535</v>
      </c>
      <c r="K15727" t="s">
        <v>33</v>
      </c>
      <c r="L15727" t="s">
        <v>445</v>
      </c>
      <c r="N15727" t="s">
        <v>29</v>
      </c>
    </row>
    <row r="15728" spans="1:14">
      <c r="A15728" s="4" t="str">
        <f t="shared" si="1205"/>
        <v>EXP00419</v>
      </c>
      <c r="B15728" s="3" t="s">
        <v>66</v>
      </c>
      <c r="C15728" s="4" t="str">
        <f t="shared" si="1202"/>
        <v>TCGA-CESC</v>
      </c>
      <c r="D15728" s="1" t="s">
        <v>493</v>
      </c>
      <c r="E15728" t="s">
        <v>543</v>
      </c>
      <c r="F15728" s="1">
        <v>2</v>
      </c>
      <c r="G15728" s="1" t="s">
        <v>32</v>
      </c>
      <c r="H15728" s="4" t="str">
        <f>HYPERLINK("https://portal.gdc.cancer.gov/cases/f40468de-3b86-4922-9951-f8ae28da6af0","TCGA-BI-A20A-01A")</f>
        <v>TCGA-BI-A20A-01A</v>
      </c>
      <c r="I15728" t="s">
        <v>444</v>
      </c>
      <c r="J15728" t="s">
        <v>535</v>
      </c>
      <c r="K15728" t="s">
        <v>33</v>
      </c>
      <c r="L15728" t="s">
        <v>445</v>
      </c>
      <c r="N15728" t="s">
        <v>29</v>
      </c>
    </row>
    <row r="15729" spans="1:14">
      <c r="A15729" s="4" t="str">
        <f t="shared" si="1205"/>
        <v>EXP00419</v>
      </c>
      <c r="B15729" s="3" t="s">
        <v>66</v>
      </c>
      <c r="C15729" s="4" t="str">
        <f t="shared" si="1202"/>
        <v>TCGA-CESC</v>
      </c>
      <c r="D15729" s="1" t="s">
        <v>493</v>
      </c>
      <c r="E15729" t="s">
        <v>543</v>
      </c>
      <c r="F15729" s="1">
        <v>2</v>
      </c>
      <c r="G15729" s="1" t="s">
        <v>32</v>
      </c>
      <c r="H15729" s="4" t="str">
        <f>HYPERLINK("https://portal.gdc.cancer.gov/cases/14c65927-b9dd-4ef6-9917-db7bc431ff2f","TCGA-C5-A0TN-01A")</f>
        <v>TCGA-C5-A0TN-01A</v>
      </c>
      <c r="I15729" t="s">
        <v>444</v>
      </c>
      <c r="J15729" t="s">
        <v>535</v>
      </c>
      <c r="K15729" t="s">
        <v>33</v>
      </c>
      <c r="L15729" t="s">
        <v>445</v>
      </c>
      <c r="N15729" t="s">
        <v>29</v>
      </c>
    </row>
    <row r="15730" spans="1:14">
      <c r="A15730" s="4" t="str">
        <f t="shared" si="1205"/>
        <v>EXP00419</v>
      </c>
      <c r="B15730" s="3" t="s">
        <v>66</v>
      </c>
      <c r="C15730" s="4" t="str">
        <f t="shared" si="1202"/>
        <v>TCGA-CESC</v>
      </c>
      <c r="D15730" s="1" t="s">
        <v>493</v>
      </c>
      <c r="E15730" t="s">
        <v>543</v>
      </c>
      <c r="F15730" s="1">
        <v>2</v>
      </c>
      <c r="G15730" s="1" t="s">
        <v>32</v>
      </c>
      <c r="H15730" s="4" t="str">
        <f>HYPERLINK("https://portal.gdc.cancer.gov/cases/2b6d2c15-8bcc-41ab-84d6-601442f4378b","TCGA-C5-A1BE-01B")</f>
        <v>TCGA-C5-A1BE-01B</v>
      </c>
      <c r="I15730" t="s">
        <v>444</v>
      </c>
      <c r="J15730" t="s">
        <v>535</v>
      </c>
      <c r="K15730" t="s">
        <v>33</v>
      </c>
      <c r="L15730" t="s">
        <v>445</v>
      </c>
      <c r="N15730" t="s">
        <v>29</v>
      </c>
    </row>
    <row r="15731" spans="1:14">
      <c r="A15731" s="4" t="str">
        <f t="shared" si="1205"/>
        <v>EXP00419</v>
      </c>
      <c r="B15731" s="3" t="s">
        <v>66</v>
      </c>
      <c r="C15731" s="4" t="str">
        <f t="shared" si="1202"/>
        <v>TCGA-CESC</v>
      </c>
      <c r="D15731" s="1" t="s">
        <v>493</v>
      </c>
      <c r="E15731" t="s">
        <v>543</v>
      </c>
      <c r="F15731" s="1">
        <v>2</v>
      </c>
      <c r="G15731" s="1" t="s">
        <v>32</v>
      </c>
      <c r="H15731" s="4" t="str">
        <f>HYPERLINK("https://portal.gdc.cancer.gov/cases/262311a0-7a10-4934-8fba-11ee581ad738","TCGA-C5-A1BF-01B")</f>
        <v>TCGA-C5-A1BF-01B</v>
      </c>
      <c r="I15731" t="s">
        <v>444</v>
      </c>
      <c r="J15731" t="s">
        <v>535</v>
      </c>
      <c r="K15731" t="s">
        <v>33</v>
      </c>
      <c r="L15731" t="s">
        <v>445</v>
      </c>
      <c r="N15731" t="s">
        <v>29</v>
      </c>
    </row>
    <row r="15732" spans="1:14">
      <c r="A15732" s="4" t="str">
        <f t="shared" si="1205"/>
        <v>EXP00419</v>
      </c>
      <c r="B15732" s="3" t="s">
        <v>66</v>
      </c>
      <c r="C15732" s="4" t="str">
        <f t="shared" si="1202"/>
        <v>TCGA-CESC</v>
      </c>
      <c r="D15732" s="1" t="s">
        <v>493</v>
      </c>
      <c r="E15732" t="s">
        <v>543</v>
      </c>
      <c r="F15732" s="1">
        <v>2</v>
      </c>
      <c r="G15732" s="1" t="s">
        <v>32</v>
      </c>
      <c r="H15732" s="4" t="str">
        <f>HYPERLINK("https://portal.gdc.cancer.gov/cases/91310434-2a99-4e1d-81e6-3d58d097089f","TCGA-C5-A1BI-01B")</f>
        <v>TCGA-C5-A1BI-01B</v>
      </c>
      <c r="I15732" t="s">
        <v>444</v>
      </c>
      <c r="J15732" t="s">
        <v>535</v>
      </c>
      <c r="K15732" t="s">
        <v>33</v>
      </c>
      <c r="L15732" t="s">
        <v>445</v>
      </c>
      <c r="N15732" t="s">
        <v>29</v>
      </c>
    </row>
    <row r="15733" spans="1:14">
      <c r="A15733" s="4" t="str">
        <f t="shared" si="1205"/>
        <v>EXP00419</v>
      </c>
      <c r="B15733" s="3" t="s">
        <v>66</v>
      </c>
      <c r="C15733" s="4" t="str">
        <f t="shared" si="1202"/>
        <v>TCGA-CESC</v>
      </c>
      <c r="D15733" s="1" t="s">
        <v>493</v>
      </c>
      <c r="E15733" t="s">
        <v>543</v>
      </c>
      <c r="F15733" s="1">
        <v>2</v>
      </c>
      <c r="G15733" s="1" t="s">
        <v>32</v>
      </c>
      <c r="H15733" s="4" t="str">
        <f>HYPERLINK("https://portal.gdc.cancer.gov/cases/7941d1c7-5319-4e8d-a15f-60b61cb68a9b","TCGA-C5-A1BJ-01A")</f>
        <v>TCGA-C5-A1BJ-01A</v>
      </c>
      <c r="I15733" t="s">
        <v>444</v>
      </c>
      <c r="J15733" t="s">
        <v>535</v>
      </c>
      <c r="K15733" t="s">
        <v>33</v>
      </c>
      <c r="L15733" t="s">
        <v>445</v>
      </c>
      <c r="N15733" t="s">
        <v>29</v>
      </c>
    </row>
    <row r="15734" spans="1:14">
      <c r="A15734" s="4" t="str">
        <f t="shared" si="1205"/>
        <v>EXP00419</v>
      </c>
      <c r="B15734" s="3" t="s">
        <v>66</v>
      </c>
      <c r="C15734" s="4" t="str">
        <f t="shared" si="1202"/>
        <v>TCGA-CESC</v>
      </c>
      <c r="D15734" s="1" t="s">
        <v>493</v>
      </c>
      <c r="E15734" t="s">
        <v>543</v>
      </c>
      <c r="F15734" s="1">
        <v>2</v>
      </c>
      <c r="G15734" s="1" t="s">
        <v>32</v>
      </c>
      <c r="H15734" s="4" t="str">
        <f>HYPERLINK("https://portal.gdc.cancer.gov/cases/7df6c297-f2d6-43ef-973b-1f95676b0cc4","TCGA-C5-A1BK-01B")</f>
        <v>TCGA-C5-A1BK-01B</v>
      </c>
      <c r="I15734" t="s">
        <v>444</v>
      </c>
      <c r="J15734" t="s">
        <v>535</v>
      </c>
      <c r="K15734" t="s">
        <v>33</v>
      </c>
      <c r="L15734" t="s">
        <v>445</v>
      </c>
      <c r="N15734" t="s">
        <v>29</v>
      </c>
    </row>
    <row r="15735" spans="1:14">
      <c r="A15735" s="4" t="str">
        <f t="shared" si="1205"/>
        <v>EXP00419</v>
      </c>
      <c r="B15735" s="3" t="s">
        <v>66</v>
      </c>
      <c r="C15735" s="4" t="str">
        <f t="shared" si="1202"/>
        <v>TCGA-CESC</v>
      </c>
      <c r="D15735" s="1" t="s">
        <v>493</v>
      </c>
      <c r="E15735" t="s">
        <v>543</v>
      </c>
      <c r="F15735" s="1">
        <v>2</v>
      </c>
      <c r="G15735" s="1" t="s">
        <v>32</v>
      </c>
      <c r="H15735" s="4" t="str">
        <f>HYPERLINK("https://portal.gdc.cancer.gov/cases/03c3fe57-ae85-4e45-9657-c3182ab5e124","TCGA-C5-A1BL-01A")</f>
        <v>TCGA-C5-A1BL-01A</v>
      </c>
      <c r="I15735" t="s">
        <v>444</v>
      </c>
      <c r="J15735" t="s">
        <v>535</v>
      </c>
      <c r="K15735" t="s">
        <v>33</v>
      </c>
      <c r="L15735" t="s">
        <v>445</v>
      </c>
      <c r="N15735" t="s">
        <v>29</v>
      </c>
    </row>
    <row r="15736" spans="1:14">
      <c r="A15736" s="4" t="str">
        <f t="shared" si="1205"/>
        <v>EXP00419</v>
      </c>
      <c r="B15736" s="3" t="s">
        <v>66</v>
      </c>
      <c r="C15736" s="4" t="str">
        <f t="shared" si="1202"/>
        <v>TCGA-CESC</v>
      </c>
      <c r="D15736" s="1" t="s">
        <v>493</v>
      </c>
      <c r="E15736" t="s">
        <v>543</v>
      </c>
      <c r="F15736" s="1">
        <v>2</v>
      </c>
      <c r="G15736" s="1" t="s">
        <v>32</v>
      </c>
      <c r="H15736" s="4" t="str">
        <f>HYPERLINK("https://portal.gdc.cancer.gov/cases/7fb8e7be-4118-41f8-b785-5cbb0afdb8b7","TCGA-C5-A1BM-01A")</f>
        <v>TCGA-C5-A1BM-01A</v>
      </c>
      <c r="I15736" t="s">
        <v>444</v>
      </c>
      <c r="J15736" t="s">
        <v>535</v>
      </c>
      <c r="K15736" t="s">
        <v>33</v>
      </c>
      <c r="L15736" t="s">
        <v>445</v>
      </c>
      <c r="N15736" t="s">
        <v>29</v>
      </c>
    </row>
    <row r="15737" spans="1:14">
      <c r="A15737" s="4" t="str">
        <f t="shared" si="1205"/>
        <v>EXP00419</v>
      </c>
      <c r="B15737" s="3" t="s">
        <v>66</v>
      </c>
      <c r="C15737" s="4" t="str">
        <f t="shared" si="1202"/>
        <v>TCGA-CESC</v>
      </c>
      <c r="D15737" s="1" t="s">
        <v>493</v>
      </c>
      <c r="E15737" t="s">
        <v>543</v>
      </c>
      <c r="F15737" s="1">
        <v>2</v>
      </c>
      <c r="G15737" s="1" t="s">
        <v>32</v>
      </c>
      <c r="H15737" s="4" t="str">
        <f>HYPERLINK("https://portal.gdc.cancer.gov/cases/8a4da4f0-30f2-497e-8a7c-988fd6b813cb","TCGA-C5-A1BN-01B")</f>
        <v>TCGA-C5-A1BN-01B</v>
      </c>
      <c r="I15737" t="s">
        <v>444</v>
      </c>
      <c r="J15737" t="s">
        <v>535</v>
      </c>
      <c r="K15737" t="s">
        <v>33</v>
      </c>
      <c r="L15737" t="s">
        <v>445</v>
      </c>
      <c r="N15737" t="s">
        <v>29</v>
      </c>
    </row>
    <row r="15738" spans="1:14">
      <c r="A15738" s="4" t="str">
        <f t="shared" si="1205"/>
        <v>EXP00419</v>
      </c>
      <c r="B15738" s="3" t="s">
        <v>66</v>
      </c>
      <c r="C15738" s="4" t="str">
        <f t="shared" si="1202"/>
        <v>TCGA-CESC</v>
      </c>
      <c r="D15738" s="1" t="s">
        <v>493</v>
      </c>
      <c r="E15738" t="s">
        <v>543</v>
      </c>
      <c r="F15738" s="1">
        <v>2</v>
      </c>
      <c r="G15738" s="1" t="s">
        <v>32</v>
      </c>
      <c r="H15738" s="4" t="str">
        <f>HYPERLINK("https://portal.gdc.cancer.gov/cases/e77c3f70-08d1-40d3-b038-f09a519423cc","TCGA-C5-A1BQ-01C")</f>
        <v>TCGA-C5-A1BQ-01C</v>
      </c>
      <c r="I15738" t="s">
        <v>444</v>
      </c>
      <c r="J15738" t="s">
        <v>535</v>
      </c>
      <c r="K15738" t="s">
        <v>33</v>
      </c>
      <c r="L15738" t="s">
        <v>445</v>
      </c>
      <c r="N15738" t="s">
        <v>29</v>
      </c>
    </row>
    <row r="15739" spans="1:14">
      <c r="A15739" s="4" t="str">
        <f t="shared" si="1205"/>
        <v>EXP00419</v>
      </c>
      <c r="B15739" s="3" t="s">
        <v>66</v>
      </c>
      <c r="C15739" s="4" t="str">
        <f t="shared" si="1202"/>
        <v>TCGA-CESC</v>
      </c>
      <c r="D15739" s="1" t="s">
        <v>493</v>
      </c>
      <c r="E15739" t="s">
        <v>543</v>
      </c>
      <c r="F15739" s="1">
        <v>2</v>
      </c>
      <c r="G15739" s="1" t="s">
        <v>32</v>
      </c>
      <c r="H15739" s="4" t="str">
        <f>HYPERLINK("https://portal.gdc.cancer.gov/cases/0fec73a1-8d3a-495b-8008-c52f190f4270","TCGA-C5-A1M5-01A")</f>
        <v>TCGA-C5-A1M5-01A</v>
      </c>
      <c r="I15739" t="s">
        <v>444</v>
      </c>
      <c r="J15739" t="s">
        <v>535</v>
      </c>
      <c r="K15739" t="s">
        <v>33</v>
      </c>
      <c r="L15739" t="s">
        <v>445</v>
      </c>
      <c r="N15739" t="s">
        <v>29</v>
      </c>
    </row>
    <row r="15740" spans="1:14">
      <c r="A15740" s="4" t="str">
        <f t="shared" si="1205"/>
        <v>EXP00419</v>
      </c>
      <c r="B15740" s="3" t="s">
        <v>66</v>
      </c>
      <c r="C15740" s="4" t="str">
        <f t="shared" si="1202"/>
        <v>TCGA-CESC</v>
      </c>
      <c r="D15740" s="1" t="s">
        <v>493</v>
      </c>
      <c r="E15740" t="s">
        <v>543</v>
      </c>
      <c r="F15740" s="1">
        <v>2</v>
      </c>
      <c r="G15740" s="1" t="s">
        <v>32</v>
      </c>
      <c r="H15740" s="4" t="str">
        <f>HYPERLINK("https://portal.gdc.cancer.gov/cases/825a6fbb-aede-436f-800b-c7f096da0a77","TCGA-C5-A1M6-01A")</f>
        <v>TCGA-C5-A1M6-01A</v>
      </c>
      <c r="I15740" t="s">
        <v>444</v>
      </c>
      <c r="J15740" t="s">
        <v>535</v>
      </c>
      <c r="K15740" t="s">
        <v>33</v>
      </c>
      <c r="L15740" t="s">
        <v>445</v>
      </c>
      <c r="N15740" t="s">
        <v>29</v>
      </c>
    </row>
    <row r="15741" spans="1:14">
      <c r="A15741" s="4" t="str">
        <f t="shared" si="1205"/>
        <v>EXP00419</v>
      </c>
      <c r="B15741" s="3" t="s">
        <v>66</v>
      </c>
      <c r="C15741" s="4" t="str">
        <f t="shared" si="1202"/>
        <v>TCGA-CESC</v>
      </c>
      <c r="D15741" s="1" t="s">
        <v>493</v>
      </c>
      <c r="E15741" t="s">
        <v>543</v>
      </c>
      <c r="F15741" s="1">
        <v>2</v>
      </c>
      <c r="G15741" s="1" t="s">
        <v>32</v>
      </c>
      <c r="H15741" s="4" t="str">
        <f>HYPERLINK("https://portal.gdc.cancer.gov/cases/e8e16aaf-3621-4ce8-b02a-7893dd656e4d","TCGA-C5-A1M7-01A")</f>
        <v>TCGA-C5-A1M7-01A</v>
      </c>
      <c r="I15741" t="s">
        <v>444</v>
      </c>
      <c r="J15741" t="s">
        <v>535</v>
      </c>
      <c r="K15741" t="s">
        <v>33</v>
      </c>
      <c r="L15741" t="s">
        <v>445</v>
      </c>
      <c r="N15741" t="s">
        <v>29</v>
      </c>
    </row>
    <row r="15742" spans="1:14">
      <c r="A15742" s="4" t="str">
        <f t="shared" si="1205"/>
        <v>EXP00419</v>
      </c>
      <c r="B15742" s="3" t="s">
        <v>66</v>
      </c>
      <c r="C15742" s="4" t="str">
        <f t="shared" si="1202"/>
        <v>TCGA-CESC</v>
      </c>
      <c r="D15742" s="1" t="s">
        <v>493</v>
      </c>
      <c r="E15742" t="s">
        <v>543</v>
      </c>
      <c r="F15742" s="1">
        <v>2</v>
      </c>
      <c r="G15742" s="1" t="s">
        <v>32</v>
      </c>
      <c r="H15742" s="4" t="str">
        <f>HYPERLINK("https://portal.gdc.cancer.gov/cases/110cd100-5730-4873-9fab-2ae6c8732062","TCGA-C5-A1M8-01A")</f>
        <v>TCGA-C5-A1M8-01A</v>
      </c>
      <c r="I15742" t="s">
        <v>444</v>
      </c>
      <c r="J15742" t="s">
        <v>535</v>
      </c>
      <c r="K15742" t="s">
        <v>33</v>
      </c>
      <c r="L15742" t="s">
        <v>445</v>
      </c>
      <c r="N15742" t="s">
        <v>29</v>
      </c>
    </row>
    <row r="15743" spans="1:14">
      <c r="A15743" s="4" t="str">
        <f t="shared" si="1205"/>
        <v>EXP00419</v>
      </c>
      <c r="B15743" s="3" t="s">
        <v>66</v>
      </c>
      <c r="C15743" s="4" t="str">
        <f t="shared" si="1202"/>
        <v>TCGA-CESC</v>
      </c>
      <c r="D15743" s="1" t="s">
        <v>493</v>
      </c>
      <c r="E15743" t="s">
        <v>543</v>
      </c>
      <c r="F15743" s="1">
        <v>2</v>
      </c>
      <c r="G15743" s="1" t="s">
        <v>32</v>
      </c>
      <c r="H15743" s="4" t="str">
        <f>HYPERLINK("https://portal.gdc.cancer.gov/cases/a3be445a-a592-4073-815b-47ae41f9c4a0","TCGA-C5-A1M9-01A")</f>
        <v>TCGA-C5-A1M9-01A</v>
      </c>
      <c r="I15743" t="s">
        <v>444</v>
      </c>
      <c r="J15743" t="s">
        <v>535</v>
      </c>
      <c r="K15743" t="s">
        <v>33</v>
      </c>
      <c r="L15743" t="s">
        <v>445</v>
      </c>
      <c r="N15743" t="s">
        <v>29</v>
      </c>
    </row>
    <row r="15744" spans="1:14">
      <c r="A15744" s="4" t="str">
        <f t="shared" si="1205"/>
        <v>EXP00419</v>
      </c>
      <c r="B15744" s="3" t="s">
        <v>66</v>
      </c>
      <c r="C15744" s="4" t="str">
        <f t="shared" si="1202"/>
        <v>TCGA-CESC</v>
      </c>
      <c r="D15744" s="1" t="s">
        <v>493</v>
      </c>
      <c r="E15744" t="s">
        <v>543</v>
      </c>
      <c r="F15744" s="1">
        <v>2</v>
      </c>
      <c r="G15744" s="1" t="s">
        <v>32</v>
      </c>
      <c r="H15744" s="4" t="str">
        <f>HYPERLINK("https://portal.gdc.cancer.gov/cases/a0598331-79e1-418d-b50c-fd945b843506","TCGA-C5-A1ME-01A")</f>
        <v>TCGA-C5-A1ME-01A</v>
      </c>
      <c r="I15744" t="s">
        <v>444</v>
      </c>
      <c r="J15744" t="s">
        <v>535</v>
      </c>
      <c r="K15744" t="s">
        <v>33</v>
      </c>
      <c r="L15744" t="s">
        <v>445</v>
      </c>
      <c r="N15744" t="s">
        <v>29</v>
      </c>
    </row>
    <row r="15745" spans="1:14">
      <c r="A15745" s="4" t="str">
        <f t="shared" si="1205"/>
        <v>EXP00419</v>
      </c>
      <c r="B15745" s="3" t="s">
        <v>66</v>
      </c>
      <c r="C15745" s="4" t="str">
        <f t="shared" si="1202"/>
        <v>TCGA-CESC</v>
      </c>
      <c r="D15745" s="1" t="s">
        <v>493</v>
      </c>
      <c r="E15745" t="s">
        <v>543</v>
      </c>
      <c r="F15745" s="1">
        <v>2</v>
      </c>
      <c r="G15745" s="1" t="s">
        <v>32</v>
      </c>
      <c r="H15745" s="4" t="str">
        <f>HYPERLINK("https://portal.gdc.cancer.gov/cases/4f514ed4-3be6-44bc-a531-210027846459","TCGA-C5-A1MF-01A")</f>
        <v>TCGA-C5-A1MF-01A</v>
      </c>
      <c r="I15745" t="s">
        <v>444</v>
      </c>
      <c r="J15745" t="s">
        <v>535</v>
      </c>
      <c r="K15745" t="s">
        <v>33</v>
      </c>
      <c r="L15745" t="s">
        <v>445</v>
      </c>
      <c r="N15745" t="s">
        <v>29</v>
      </c>
    </row>
    <row r="15746" spans="1:14">
      <c r="A15746" s="4" t="str">
        <f t="shared" si="1205"/>
        <v>EXP00419</v>
      </c>
      <c r="B15746" s="3" t="s">
        <v>66</v>
      </c>
      <c r="C15746" s="4" t="str">
        <f t="shared" si="1202"/>
        <v>TCGA-CESC</v>
      </c>
      <c r="D15746" s="1" t="s">
        <v>493</v>
      </c>
      <c r="E15746" t="s">
        <v>543</v>
      </c>
      <c r="F15746" s="1">
        <v>2</v>
      </c>
      <c r="G15746" s="1" t="s">
        <v>32</v>
      </c>
      <c r="H15746" s="4" t="str">
        <f>HYPERLINK("https://portal.gdc.cancer.gov/cases/3143822c-66c4-4b58-8d29-e92d065ff049","TCGA-C5-A1MH-01A")</f>
        <v>TCGA-C5-A1MH-01A</v>
      </c>
      <c r="I15746" t="s">
        <v>444</v>
      </c>
      <c r="J15746" t="s">
        <v>535</v>
      </c>
      <c r="K15746" t="s">
        <v>33</v>
      </c>
      <c r="L15746" t="s">
        <v>445</v>
      </c>
      <c r="N15746" t="s">
        <v>29</v>
      </c>
    </row>
    <row r="15747" spans="1:14">
      <c r="A15747" s="4" t="str">
        <f t="shared" si="1205"/>
        <v>EXP00419</v>
      </c>
      <c r="B15747" s="3" t="s">
        <v>66</v>
      </c>
      <c r="C15747" s="4" t="str">
        <f t="shared" si="1202"/>
        <v>TCGA-CESC</v>
      </c>
      <c r="D15747" s="1" t="s">
        <v>493</v>
      </c>
      <c r="E15747" t="s">
        <v>543</v>
      </c>
      <c r="F15747" s="1">
        <v>2</v>
      </c>
      <c r="G15747" s="1" t="s">
        <v>32</v>
      </c>
      <c r="H15747" s="4" t="str">
        <f>HYPERLINK("https://portal.gdc.cancer.gov/cases/941f75a1-fea4-4539-ba69-60bb11608f6d","TCGA-C5-A1MI-01A")</f>
        <v>TCGA-C5-A1MI-01A</v>
      </c>
      <c r="I15747" t="s">
        <v>444</v>
      </c>
      <c r="J15747" t="s">
        <v>535</v>
      </c>
      <c r="K15747" t="s">
        <v>33</v>
      </c>
      <c r="L15747" t="s">
        <v>445</v>
      </c>
      <c r="N15747" t="s">
        <v>29</v>
      </c>
    </row>
    <row r="15748" spans="1:14">
      <c r="A15748" s="4" t="str">
        <f t="shared" si="1205"/>
        <v>EXP00419</v>
      </c>
      <c r="B15748" s="3" t="s">
        <v>66</v>
      </c>
      <c r="C15748" s="4" t="str">
        <f t="shared" si="1202"/>
        <v>TCGA-CESC</v>
      </c>
      <c r="D15748" s="1" t="s">
        <v>493</v>
      </c>
      <c r="E15748" t="s">
        <v>543</v>
      </c>
      <c r="F15748" s="1">
        <v>2</v>
      </c>
      <c r="G15748" s="1" t="s">
        <v>32</v>
      </c>
      <c r="H15748" s="4" t="str">
        <f>HYPERLINK("https://portal.gdc.cancer.gov/cases/23f011e2-c025-4494-8016-2140cc8d4bce","TCGA-C5-A1MJ-01A")</f>
        <v>TCGA-C5-A1MJ-01A</v>
      </c>
      <c r="I15748" t="s">
        <v>444</v>
      </c>
      <c r="J15748" t="s">
        <v>535</v>
      </c>
      <c r="K15748" t="s">
        <v>33</v>
      </c>
      <c r="L15748" t="s">
        <v>445</v>
      </c>
      <c r="N15748" t="s">
        <v>29</v>
      </c>
    </row>
    <row r="15749" spans="1:14">
      <c r="A15749" s="4" t="str">
        <f t="shared" si="1205"/>
        <v>EXP00419</v>
      </c>
      <c r="B15749" s="3" t="s">
        <v>66</v>
      </c>
      <c r="C15749" s="4" t="str">
        <f t="shared" ref="C15749:C15812" si="1206">HYPERLINK("https://portal.gdc.cancer.gov/projects/TCGA-CESC","TCGA-CESC")</f>
        <v>TCGA-CESC</v>
      </c>
      <c r="D15749" s="1" t="s">
        <v>493</v>
      </c>
      <c r="E15749" t="s">
        <v>543</v>
      </c>
      <c r="F15749" s="1">
        <v>2</v>
      </c>
      <c r="G15749" s="1" t="s">
        <v>32</v>
      </c>
      <c r="H15749" s="4" t="str">
        <f>HYPERLINK("https://portal.gdc.cancer.gov/cases/b726f18b-b996-4978-9f27-b3a540e06270","TCGA-C5-A1MK-01A")</f>
        <v>TCGA-C5-A1MK-01A</v>
      </c>
      <c r="I15749" t="s">
        <v>444</v>
      </c>
      <c r="J15749" t="s">
        <v>535</v>
      </c>
      <c r="K15749" t="s">
        <v>33</v>
      </c>
      <c r="L15749" t="s">
        <v>445</v>
      </c>
      <c r="N15749" t="s">
        <v>29</v>
      </c>
    </row>
    <row r="15750" spans="1:14">
      <c r="A15750" s="4" t="str">
        <f t="shared" si="1205"/>
        <v>EXP00419</v>
      </c>
      <c r="B15750" s="3" t="s">
        <v>66</v>
      </c>
      <c r="C15750" s="4" t="str">
        <f t="shared" si="1206"/>
        <v>TCGA-CESC</v>
      </c>
      <c r="D15750" s="1" t="s">
        <v>493</v>
      </c>
      <c r="E15750" t="s">
        <v>543</v>
      </c>
      <c r="F15750" s="1">
        <v>2</v>
      </c>
      <c r="G15750" s="1" t="s">
        <v>32</v>
      </c>
      <c r="H15750" s="4" t="str">
        <f>HYPERLINK("https://portal.gdc.cancer.gov/cases/374f614a-bcd1-4283-ac6f-fc27ddc79987","TCGA-C5-A1ML-01A")</f>
        <v>TCGA-C5-A1ML-01A</v>
      </c>
      <c r="I15750" t="s">
        <v>444</v>
      </c>
      <c r="J15750" t="s">
        <v>535</v>
      </c>
      <c r="K15750" t="s">
        <v>33</v>
      </c>
      <c r="L15750" t="s">
        <v>445</v>
      </c>
      <c r="N15750" t="s">
        <v>29</v>
      </c>
    </row>
    <row r="15751" spans="1:14">
      <c r="A15751" s="4" t="str">
        <f t="shared" si="1205"/>
        <v>EXP00419</v>
      </c>
      <c r="B15751" s="3" t="s">
        <v>66</v>
      </c>
      <c r="C15751" s="4" t="str">
        <f t="shared" si="1206"/>
        <v>TCGA-CESC</v>
      </c>
      <c r="D15751" s="1" t="s">
        <v>493</v>
      </c>
      <c r="E15751" t="s">
        <v>543</v>
      </c>
      <c r="F15751" s="1">
        <v>2</v>
      </c>
      <c r="G15751" s="1" t="s">
        <v>32</v>
      </c>
      <c r="H15751" s="4" t="str">
        <f>HYPERLINK("https://portal.gdc.cancer.gov/cases/287ce10e-31c8-4b10-9858-6e45451dfbe4","TCGA-C5-A1MN-01A")</f>
        <v>TCGA-C5-A1MN-01A</v>
      </c>
      <c r="I15751" t="s">
        <v>444</v>
      </c>
      <c r="J15751" t="s">
        <v>535</v>
      </c>
      <c r="K15751" t="s">
        <v>33</v>
      </c>
      <c r="L15751" t="s">
        <v>445</v>
      </c>
      <c r="N15751" t="s">
        <v>29</v>
      </c>
    </row>
    <row r="15752" spans="1:14">
      <c r="A15752" s="4" t="str">
        <f t="shared" si="1205"/>
        <v>EXP00419</v>
      </c>
      <c r="B15752" s="3" t="s">
        <v>66</v>
      </c>
      <c r="C15752" s="4" t="str">
        <f t="shared" si="1206"/>
        <v>TCGA-CESC</v>
      </c>
      <c r="D15752" s="1" t="s">
        <v>493</v>
      </c>
      <c r="E15752" t="s">
        <v>543</v>
      </c>
      <c r="F15752" s="1">
        <v>2</v>
      </c>
      <c r="G15752" s="1" t="s">
        <v>32</v>
      </c>
      <c r="H15752" s="4" t="str">
        <f>HYPERLINK("https://portal.gdc.cancer.gov/cases/08a52bcf-d2e9-497b-938a-4660c332e914","TCGA-C5-A1MP-01A")</f>
        <v>TCGA-C5-A1MP-01A</v>
      </c>
      <c r="I15752" t="s">
        <v>444</v>
      </c>
      <c r="J15752" t="s">
        <v>535</v>
      </c>
      <c r="K15752" t="s">
        <v>33</v>
      </c>
      <c r="L15752" t="s">
        <v>445</v>
      </c>
      <c r="N15752" t="s">
        <v>29</v>
      </c>
    </row>
    <row r="15753" spans="1:14">
      <c r="A15753" s="4" t="str">
        <f t="shared" si="1205"/>
        <v>EXP00419</v>
      </c>
      <c r="B15753" s="3" t="s">
        <v>66</v>
      </c>
      <c r="C15753" s="4" t="str">
        <f t="shared" si="1206"/>
        <v>TCGA-CESC</v>
      </c>
      <c r="D15753" s="1" t="s">
        <v>493</v>
      </c>
      <c r="E15753" t="s">
        <v>543</v>
      </c>
      <c r="F15753" s="1">
        <v>2</v>
      </c>
      <c r="G15753" s="1" t="s">
        <v>32</v>
      </c>
      <c r="H15753" s="4" t="str">
        <f>HYPERLINK("https://portal.gdc.cancer.gov/cases/eb59cf69-1997-41b9-bf69-69ad7da292a1","TCGA-C5-A1MQ-01A")</f>
        <v>TCGA-C5-A1MQ-01A</v>
      </c>
      <c r="I15753" t="s">
        <v>444</v>
      </c>
      <c r="J15753" t="s">
        <v>535</v>
      </c>
      <c r="K15753" t="s">
        <v>33</v>
      </c>
      <c r="L15753" t="s">
        <v>445</v>
      </c>
      <c r="N15753" t="s">
        <v>29</v>
      </c>
    </row>
    <row r="15754" spans="1:14">
      <c r="A15754" s="4" t="str">
        <f t="shared" si="1205"/>
        <v>EXP00419</v>
      </c>
      <c r="B15754" s="3" t="s">
        <v>66</v>
      </c>
      <c r="C15754" s="4" t="str">
        <f t="shared" si="1206"/>
        <v>TCGA-CESC</v>
      </c>
      <c r="D15754" s="1" t="s">
        <v>493</v>
      </c>
      <c r="E15754" t="s">
        <v>543</v>
      </c>
      <c r="F15754" s="1">
        <v>2</v>
      </c>
      <c r="G15754" s="1" t="s">
        <v>32</v>
      </c>
      <c r="H15754" s="4" t="str">
        <f>HYPERLINK("https://portal.gdc.cancer.gov/cases/185e1520-92ee-4af5-af15-fbeefb352c99","TCGA-C5-A2LS-01A")</f>
        <v>TCGA-C5-A2LS-01A</v>
      </c>
      <c r="I15754" t="s">
        <v>444</v>
      </c>
      <c r="J15754" t="s">
        <v>535</v>
      </c>
      <c r="K15754" t="s">
        <v>33</v>
      </c>
      <c r="L15754" t="s">
        <v>445</v>
      </c>
      <c r="N15754" t="s">
        <v>29</v>
      </c>
    </row>
    <row r="15755" spans="1:14">
      <c r="A15755" s="4" t="str">
        <f t="shared" si="1205"/>
        <v>EXP00419</v>
      </c>
      <c r="B15755" s="3" t="s">
        <v>66</v>
      </c>
      <c r="C15755" s="4" t="str">
        <f t="shared" si="1206"/>
        <v>TCGA-CESC</v>
      </c>
      <c r="D15755" s="1" t="s">
        <v>493</v>
      </c>
      <c r="E15755" t="s">
        <v>543</v>
      </c>
      <c r="F15755" s="1">
        <v>2</v>
      </c>
      <c r="G15755" s="1" t="s">
        <v>32</v>
      </c>
      <c r="H15755" s="4" t="str">
        <f>HYPERLINK("https://portal.gdc.cancer.gov/cases/fb66b7f5-22ca-4d4d-97c2-30e6edfff781","TCGA-C5-A2LT-01A")</f>
        <v>TCGA-C5-A2LT-01A</v>
      </c>
      <c r="I15755" t="s">
        <v>444</v>
      </c>
      <c r="J15755" t="s">
        <v>535</v>
      </c>
      <c r="K15755" t="s">
        <v>33</v>
      </c>
      <c r="L15755" t="s">
        <v>445</v>
      </c>
      <c r="N15755" t="s">
        <v>29</v>
      </c>
    </row>
    <row r="15756" spans="1:14">
      <c r="A15756" s="4" t="str">
        <f t="shared" si="1205"/>
        <v>EXP00419</v>
      </c>
      <c r="B15756" s="3" t="s">
        <v>66</v>
      </c>
      <c r="C15756" s="4" t="str">
        <f t="shared" si="1206"/>
        <v>TCGA-CESC</v>
      </c>
      <c r="D15756" s="1" t="s">
        <v>493</v>
      </c>
      <c r="E15756" t="s">
        <v>543</v>
      </c>
      <c r="F15756" s="1">
        <v>2</v>
      </c>
      <c r="G15756" s="1" t="s">
        <v>32</v>
      </c>
      <c r="H15756" s="4" t="str">
        <f>HYPERLINK("https://portal.gdc.cancer.gov/cases/00bca18c-b3d4-45a3-8f19-034cc40449a4","TCGA-C5-A2LV-01A")</f>
        <v>TCGA-C5-A2LV-01A</v>
      </c>
      <c r="I15756" t="s">
        <v>444</v>
      </c>
      <c r="J15756" t="s">
        <v>535</v>
      </c>
      <c r="K15756" t="s">
        <v>33</v>
      </c>
      <c r="L15756" t="s">
        <v>445</v>
      </c>
      <c r="N15756" t="s">
        <v>29</v>
      </c>
    </row>
    <row r="15757" spans="1:14">
      <c r="A15757" s="4" t="str">
        <f t="shared" si="1205"/>
        <v>EXP00419</v>
      </c>
      <c r="B15757" s="3" t="s">
        <v>66</v>
      </c>
      <c r="C15757" s="4" t="str">
        <f t="shared" si="1206"/>
        <v>TCGA-CESC</v>
      </c>
      <c r="D15757" s="1" t="s">
        <v>493</v>
      </c>
      <c r="E15757" t="s">
        <v>543</v>
      </c>
      <c r="F15757" s="1">
        <v>2</v>
      </c>
      <c r="G15757" s="1" t="s">
        <v>32</v>
      </c>
      <c r="H15757" s="4" t="str">
        <f>HYPERLINK("https://portal.gdc.cancer.gov/cases/b82f4c6d-530f-4b0e-8f33-995633cb254a","TCGA-C5-A2LX-01A")</f>
        <v>TCGA-C5-A2LX-01A</v>
      </c>
      <c r="I15757" t="s">
        <v>444</v>
      </c>
      <c r="J15757" t="s">
        <v>535</v>
      </c>
      <c r="K15757" t="s">
        <v>33</v>
      </c>
      <c r="L15757" t="s">
        <v>445</v>
      </c>
      <c r="N15757" t="s">
        <v>29</v>
      </c>
    </row>
    <row r="15758" spans="1:14">
      <c r="A15758" s="4" t="str">
        <f t="shared" si="1205"/>
        <v>EXP00419</v>
      </c>
      <c r="B15758" s="3" t="s">
        <v>66</v>
      </c>
      <c r="C15758" s="4" t="str">
        <f t="shared" si="1206"/>
        <v>TCGA-CESC</v>
      </c>
      <c r="D15758" s="1" t="s">
        <v>493</v>
      </c>
      <c r="E15758" t="s">
        <v>543</v>
      </c>
      <c r="F15758" s="1">
        <v>2</v>
      </c>
      <c r="G15758" s="1" t="s">
        <v>32</v>
      </c>
      <c r="H15758" s="4" t="str">
        <f>HYPERLINK("https://portal.gdc.cancer.gov/cases/e733f289-a0ec-478c-aad9-1378ad26ddfa","TCGA-C5-A2LY-01A")</f>
        <v>TCGA-C5-A2LY-01A</v>
      </c>
      <c r="I15758" t="s">
        <v>444</v>
      </c>
      <c r="J15758" t="s">
        <v>535</v>
      </c>
      <c r="K15758" t="s">
        <v>33</v>
      </c>
      <c r="L15758" t="s">
        <v>445</v>
      </c>
      <c r="N15758" t="s">
        <v>29</v>
      </c>
    </row>
    <row r="15759" spans="1:14">
      <c r="A15759" s="4" t="str">
        <f t="shared" si="1205"/>
        <v>EXP00419</v>
      </c>
      <c r="B15759" s="3" t="s">
        <v>66</v>
      </c>
      <c r="C15759" s="4" t="str">
        <f t="shared" si="1206"/>
        <v>TCGA-CESC</v>
      </c>
      <c r="D15759" s="1" t="s">
        <v>493</v>
      </c>
      <c r="E15759" t="s">
        <v>543</v>
      </c>
      <c r="F15759" s="1">
        <v>2</v>
      </c>
      <c r="G15759" s="1" t="s">
        <v>32</v>
      </c>
      <c r="H15759" s="4" t="str">
        <f>HYPERLINK("https://portal.gdc.cancer.gov/cases/be8fa67d-c2d3-4fff-82fe-a46ba1fa8df0","TCGA-C5-A2LZ-01A")</f>
        <v>TCGA-C5-A2LZ-01A</v>
      </c>
      <c r="I15759" t="s">
        <v>444</v>
      </c>
      <c r="J15759" t="s">
        <v>535</v>
      </c>
      <c r="K15759" t="s">
        <v>33</v>
      </c>
      <c r="L15759" t="s">
        <v>445</v>
      </c>
      <c r="N15759" t="s">
        <v>29</v>
      </c>
    </row>
    <row r="15760" spans="1:14">
      <c r="A15760" s="4" t="str">
        <f t="shared" si="1205"/>
        <v>EXP00419</v>
      </c>
      <c r="B15760" s="3" t="s">
        <v>66</v>
      </c>
      <c r="C15760" s="4" t="str">
        <f t="shared" si="1206"/>
        <v>TCGA-CESC</v>
      </c>
      <c r="D15760" s="1" t="s">
        <v>493</v>
      </c>
      <c r="E15760" t="s">
        <v>543</v>
      </c>
      <c r="F15760" s="1">
        <v>2</v>
      </c>
      <c r="G15760" s="1" t="s">
        <v>32</v>
      </c>
      <c r="H15760" s="4" t="str">
        <f>HYPERLINK("https://portal.gdc.cancer.gov/cases/8911c80c-c903-48e4-af5b-ffedef9abc47","TCGA-C5-A2M1-01A")</f>
        <v>TCGA-C5-A2M1-01A</v>
      </c>
      <c r="I15760" t="s">
        <v>444</v>
      </c>
      <c r="J15760" t="s">
        <v>535</v>
      </c>
      <c r="K15760" t="s">
        <v>33</v>
      </c>
      <c r="L15760" t="s">
        <v>445</v>
      </c>
      <c r="N15760" t="s">
        <v>29</v>
      </c>
    </row>
    <row r="15761" spans="1:14">
      <c r="A15761" s="4" t="str">
        <f t="shared" si="1205"/>
        <v>EXP00419</v>
      </c>
      <c r="B15761" s="3" t="s">
        <v>66</v>
      </c>
      <c r="C15761" s="4" t="str">
        <f t="shared" si="1206"/>
        <v>TCGA-CESC</v>
      </c>
      <c r="D15761" s="1" t="s">
        <v>493</v>
      </c>
      <c r="E15761" t="s">
        <v>543</v>
      </c>
      <c r="F15761" s="1">
        <v>2</v>
      </c>
      <c r="G15761" s="1" t="s">
        <v>32</v>
      </c>
      <c r="H15761" s="4" t="str">
        <f>HYPERLINK("https://portal.gdc.cancer.gov/cases/77d53d4d-3b07-4c79-86fe-6ac812968f39","TCGA-C5-A2M2-01A")</f>
        <v>TCGA-C5-A2M2-01A</v>
      </c>
      <c r="I15761" t="s">
        <v>444</v>
      </c>
      <c r="J15761" t="s">
        <v>535</v>
      </c>
      <c r="K15761" t="s">
        <v>33</v>
      </c>
      <c r="L15761" t="s">
        <v>445</v>
      </c>
      <c r="N15761" t="s">
        <v>29</v>
      </c>
    </row>
    <row r="15762" spans="1:14">
      <c r="A15762" s="4" t="str">
        <f t="shared" si="1205"/>
        <v>EXP00419</v>
      </c>
      <c r="B15762" s="3" t="s">
        <v>66</v>
      </c>
      <c r="C15762" s="4" t="str">
        <f t="shared" si="1206"/>
        <v>TCGA-CESC</v>
      </c>
      <c r="D15762" s="1" t="s">
        <v>493</v>
      </c>
      <c r="E15762" t="s">
        <v>543</v>
      </c>
      <c r="F15762" s="1">
        <v>2</v>
      </c>
      <c r="G15762" s="1" t="s">
        <v>32</v>
      </c>
      <c r="H15762" s="4" t="str">
        <f>HYPERLINK("https://portal.gdc.cancer.gov/cases/12427b02-6e3f-461c-b271-6ab230f628e7","TCGA-C5-A3HD-01B")</f>
        <v>TCGA-C5-A3HD-01B</v>
      </c>
      <c r="I15762" t="s">
        <v>444</v>
      </c>
      <c r="J15762" t="s">
        <v>535</v>
      </c>
      <c r="K15762" t="s">
        <v>33</v>
      </c>
      <c r="L15762" t="s">
        <v>445</v>
      </c>
      <c r="N15762" t="s">
        <v>29</v>
      </c>
    </row>
    <row r="15763" spans="1:14">
      <c r="A15763" s="4" t="str">
        <f t="shared" si="1205"/>
        <v>EXP00419</v>
      </c>
      <c r="B15763" s="3" t="s">
        <v>66</v>
      </c>
      <c r="C15763" s="4" t="str">
        <f t="shared" si="1206"/>
        <v>TCGA-CESC</v>
      </c>
      <c r="D15763" s="1" t="s">
        <v>493</v>
      </c>
      <c r="E15763" t="s">
        <v>543</v>
      </c>
      <c r="F15763" s="1">
        <v>2</v>
      </c>
      <c r="G15763" s="1" t="s">
        <v>32</v>
      </c>
      <c r="H15763" s="4" t="str">
        <f>HYPERLINK("https://portal.gdc.cancer.gov/cases/bc63dd2a-b8f6-4b30-a8d7-ce193bcd17f1","TCGA-C5-A3HE-01A")</f>
        <v>TCGA-C5-A3HE-01A</v>
      </c>
      <c r="I15763" t="s">
        <v>444</v>
      </c>
      <c r="J15763" t="s">
        <v>535</v>
      </c>
      <c r="K15763" t="s">
        <v>33</v>
      </c>
      <c r="L15763" t="s">
        <v>445</v>
      </c>
      <c r="N15763" t="s">
        <v>29</v>
      </c>
    </row>
    <row r="15764" spans="1:14">
      <c r="A15764" s="4" t="str">
        <f t="shared" si="1205"/>
        <v>EXP00419</v>
      </c>
      <c r="B15764" s="3" t="s">
        <v>66</v>
      </c>
      <c r="C15764" s="4" t="str">
        <f t="shared" si="1206"/>
        <v>TCGA-CESC</v>
      </c>
      <c r="D15764" s="1" t="s">
        <v>493</v>
      </c>
      <c r="E15764" t="s">
        <v>543</v>
      </c>
      <c r="F15764" s="1">
        <v>2</v>
      </c>
      <c r="G15764" s="1" t="s">
        <v>32</v>
      </c>
      <c r="H15764" s="4" t="str">
        <f>HYPERLINK("https://portal.gdc.cancer.gov/cases/085df27c-9bc2-425a-9a49-547d692ea028","TCGA-C5-A3HF-01A")</f>
        <v>TCGA-C5-A3HF-01A</v>
      </c>
      <c r="I15764" t="s">
        <v>444</v>
      </c>
      <c r="J15764" t="s">
        <v>535</v>
      </c>
      <c r="K15764" t="s">
        <v>33</v>
      </c>
      <c r="L15764" t="s">
        <v>445</v>
      </c>
      <c r="N15764" t="s">
        <v>29</v>
      </c>
    </row>
    <row r="15765" spans="1:14">
      <c r="A15765" s="4" t="str">
        <f t="shared" si="1205"/>
        <v>EXP00419</v>
      </c>
      <c r="B15765" s="3" t="s">
        <v>66</v>
      </c>
      <c r="C15765" s="4" t="str">
        <f t="shared" si="1206"/>
        <v>TCGA-CESC</v>
      </c>
      <c r="D15765" s="1" t="s">
        <v>493</v>
      </c>
      <c r="E15765" t="s">
        <v>543</v>
      </c>
      <c r="F15765" s="1">
        <v>2</v>
      </c>
      <c r="G15765" s="1" t="s">
        <v>32</v>
      </c>
      <c r="H15765" s="4" t="str">
        <f>HYPERLINK("https://portal.gdc.cancer.gov/cases/09329a53-d58d-4480-95d8-32043e40de6e","TCGA-C5-A3HL-01A")</f>
        <v>TCGA-C5-A3HL-01A</v>
      </c>
      <c r="I15765" t="s">
        <v>444</v>
      </c>
      <c r="J15765" t="s">
        <v>535</v>
      </c>
      <c r="K15765" t="s">
        <v>33</v>
      </c>
      <c r="L15765" t="s">
        <v>445</v>
      </c>
      <c r="N15765" t="s">
        <v>29</v>
      </c>
    </row>
    <row r="15766" spans="1:14">
      <c r="A15766" s="4" t="str">
        <f t="shared" si="1205"/>
        <v>EXP00419</v>
      </c>
      <c r="B15766" s="3" t="s">
        <v>66</v>
      </c>
      <c r="C15766" s="4" t="str">
        <f t="shared" si="1206"/>
        <v>TCGA-CESC</v>
      </c>
      <c r="D15766" s="1" t="s">
        <v>493</v>
      </c>
      <c r="E15766" t="s">
        <v>543</v>
      </c>
      <c r="F15766" s="1">
        <v>2</v>
      </c>
      <c r="G15766" s="1" t="s">
        <v>32</v>
      </c>
      <c r="H15766" s="4" t="str">
        <f>HYPERLINK("https://portal.gdc.cancer.gov/cases/f2c901d1-2039-4046-89b5-c2d45bcf10c3","TCGA-C5-A7CG-01A")</f>
        <v>TCGA-C5-A7CG-01A</v>
      </c>
      <c r="I15766" t="s">
        <v>444</v>
      </c>
      <c r="J15766" t="s">
        <v>535</v>
      </c>
      <c r="K15766" t="s">
        <v>33</v>
      </c>
      <c r="L15766" t="s">
        <v>445</v>
      </c>
      <c r="N15766" t="s">
        <v>29</v>
      </c>
    </row>
    <row r="15767" spans="1:14">
      <c r="A15767" s="4" t="str">
        <f t="shared" si="1205"/>
        <v>EXP00419</v>
      </c>
      <c r="B15767" s="3" t="s">
        <v>66</v>
      </c>
      <c r="C15767" s="4" t="str">
        <f t="shared" si="1206"/>
        <v>TCGA-CESC</v>
      </c>
      <c r="D15767" s="1" t="s">
        <v>493</v>
      </c>
      <c r="E15767" t="s">
        <v>543</v>
      </c>
      <c r="F15767" s="1">
        <v>2</v>
      </c>
      <c r="G15767" s="1" t="s">
        <v>32</v>
      </c>
      <c r="H15767" s="4" t="str">
        <f>HYPERLINK("https://portal.gdc.cancer.gov/cases/d626a732-af64-4dec-b4bf-3cb761bf4c8d","TCGA-C5-A7CH-01A")</f>
        <v>TCGA-C5-A7CH-01A</v>
      </c>
      <c r="I15767" t="s">
        <v>444</v>
      </c>
      <c r="J15767" t="s">
        <v>535</v>
      </c>
      <c r="K15767" t="s">
        <v>33</v>
      </c>
      <c r="L15767" t="s">
        <v>445</v>
      </c>
      <c r="N15767" t="s">
        <v>29</v>
      </c>
    </row>
    <row r="15768" spans="1:14">
      <c r="A15768" s="4" t="str">
        <f t="shared" si="1205"/>
        <v>EXP00419</v>
      </c>
      <c r="B15768" s="3" t="s">
        <v>66</v>
      </c>
      <c r="C15768" s="4" t="str">
        <f t="shared" si="1206"/>
        <v>TCGA-CESC</v>
      </c>
      <c r="D15768" s="1" t="s">
        <v>493</v>
      </c>
      <c r="E15768" t="s">
        <v>543</v>
      </c>
      <c r="F15768" s="1">
        <v>2</v>
      </c>
      <c r="G15768" s="1" t="s">
        <v>32</v>
      </c>
      <c r="H15768" s="4" t="str">
        <f>HYPERLINK("https://portal.gdc.cancer.gov/cases/f8f470d2-924f-41dd-92c5-516b0bf68e44","TCGA-C5-A7CJ-01A")</f>
        <v>TCGA-C5-A7CJ-01A</v>
      </c>
      <c r="I15768" t="s">
        <v>444</v>
      </c>
      <c r="J15768" t="s">
        <v>535</v>
      </c>
      <c r="K15768" t="s">
        <v>33</v>
      </c>
      <c r="L15768" t="s">
        <v>445</v>
      </c>
      <c r="N15768" t="s">
        <v>29</v>
      </c>
    </row>
    <row r="15769" spans="1:14">
      <c r="A15769" s="4" t="str">
        <f t="shared" si="1205"/>
        <v>EXP00419</v>
      </c>
      <c r="B15769" s="3" t="s">
        <v>66</v>
      </c>
      <c r="C15769" s="4" t="str">
        <f t="shared" si="1206"/>
        <v>TCGA-CESC</v>
      </c>
      <c r="D15769" s="1" t="s">
        <v>493</v>
      </c>
      <c r="E15769" t="s">
        <v>543</v>
      </c>
      <c r="F15769" s="1">
        <v>2</v>
      </c>
      <c r="G15769" s="1" t="s">
        <v>32</v>
      </c>
      <c r="H15769" s="4" t="str">
        <f>HYPERLINK("https://portal.gdc.cancer.gov/cases/1c48393e-7de9-42f6-a6f0-2cbfb8359316","TCGA-C5-A7CK-01A")</f>
        <v>TCGA-C5-A7CK-01A</v>
      </c>
      <c r="I15769" t="s">
        <v>444</v>
      </c>
      <c r="J15769" t="s">
        <v>535</v>
      </c>
      <c r="K15769" t="s">
        <v>33</v>
      </c>
      <c r="L15769" t="s">
        <v>445</v>
      </c>
      <c r="N15769" t="s">
        <v>29</v>
      </c>
    </row>
    <row r="15770" spans="1:14">
      <c r="A15770" s="4" t="str">
        <f t="shared" si="1205"/>
        <v>EXP00419</v>
      </c>
      <c r="B15770" s="3" t="s">
        <v>66</v>
      </c>
      <c r="C15770" s="4" t="str">
        <f t="shared" si="1206"/>
        <v>TCGA-CESC</v>
      </c>
      <c r="D15770" s="1" t="s">
        <v>493</v>
      </c>
      <c r="E15770" t="s">
        <v>543</v>
      </c>
      <c r="F15770" s="1">
        <v>2</v>
      </c>
      <c r="G15770" s="1" t="s">
        <v>32</v>
      </c>
      <c r="H15770" s="4" t="str">
        <f>HYPERLINK("https://portal.gdc.cancer.gov/cases/bae2af5e-484a-44f7-ad6b-66137cdae300","TCGA-C5-A7CL-01A")</f>
        <v>TCGA-C5-A7CL-01A</v>
      </c>
      <c r="I15770" t="s">
        <v>444</v>
      </c>
      <c r="J15770" t="s">
        <v>535</v>
      </c>
      <c r="K15770" t="s">
        <v>33</v>
      </c>
      <c r="L15770" t="s">
        <v>445</v>
      </c>
      <c r="N15770" t="s">
        <v>29</v>
      </c>
    </row>
    <row r="15771" spans="1:14">
      <c r="A15771" s="4" t="str">
        <f t="shared" si="1205"/>
        <v>EXP00419</v>
      </c>
      <c r="B15771" s="3" t="s">
        <v>66</v>
      </c>
      <c r="C15771" s="4" t="str">
        <f t="shared" si="1206"/>
        <v>TCGA-CESC</v>
      </c>
      <c r="D15771" s="1" t="s">
        <v>493</v>
      </c>
      <c r="E15771" t="s">
        <v>543</v>
      </c>
      <c r="F15771" s="1">
        <v>2</v>
      </c>
      <c r="G15771" s="1" t="s">
        <v>32</v>
      </c>
      <c r="H15771" s="4" t="str">
        <f>HYPERLINK("https://portal.gdc.cancer.gov/cases/d223ff09-b80b-4368-9d80-a59dfbe4d820","TCGA-C5-A7CM-01A")</f>
        <v>TCGA-C5-A7CM-01A</v>
      </c>
      <c r="I15771" t="s">
        <v>444</v>
      </c>
      <c r="J15771" t="s">
        <v>535</v>
      </c>
      <c r="K15771" t="s">
        <v>33</v>
      </c>
      <c r="L15771" t="s">
        <v>445</v>
      </c>
      <c r="N15771" t="s">
        <v>29</v>
      </c>
    </row>
    <row r="15772" spans="1:14">
      <c r="A15772" s="4" t="str">
        <f t="shared" si="1205"/>
        <v>EXP00419</v>
      </c>
      <c r="B15772" s="3" t="s">
        <v>66</v>
      </c>
      <c r="C15772" s="4" t="str">
        <f t="shared" si="1206"/>
        <v>TCGA-CESC</v>
      </c>
      <c r="D15772" s="1" t="s">
        <v>493</v>
      </c>
      <c r="E15772" t="s">
        <v>543</v>
      </c>
      <c r="F15772" s="1">
        <v>2</v>
      </c>
      <c r="G15772" s="1" t="s">
        <v>32</v>
      </c>
      <c r="H15772" s="4" t="str">
        <f>HYPERLINK("https://portal.gdc.cancer.gov/cases/ff3808e4-eece-4046-819b-fe1019317f8e","TCGA-C5-A7CO-01A")</f>
        <v>TCGA-C5-A7CO-01A</v>
      </c>
      <c r="I15772" t="s">
        <v>444</v>
      </c>
      <c r="J15772" t="s">
        <v>535</v>
      </c>
      <c r="K15772" t="s">
        <v>33</v>
      </c>
      <c r="L15772" t="s">
        <v>445</v>
      </c>
      <c r="N15772" t="s">
        <v>29</v>
      </c>
    </row>
    <row r="15773" spans="1:14">
      <c r="A15773" s="4" t="str">
        <f t="shared" si="1205"/>
        <v>EXP00419</v>
      </c>
      <c r="B15773" s="3" t="s">
        <v>66</v>
      </c>
      <c r="C15773" s="4" t="str">
        <f t="shared" si="1206"/>
        <v>TCGA-CESC</v>
      </c>
      <c r="D15773" s="1" t="s">
        <v>493</v>
      </c>
      <c r="E15773" t="s">
        <v>543</v>
      </c>
      <c r="F15773" s="1">
        <v>2</v>
      </c>
      <c r="G15773" s="1" t="s">
        <v>32</v>
      </c>
      <c r="H15773" s="4" t="str">
        <f>HYPERLINK("https://portal.gdc.cancer.gov/cases/5c326e9b-85e2-4673-9033-c11827467e1a","TCGA-C5-A7UC-01A")</f>
        <v>TCGA-C5-A7UC-01A</v>
      </c>
      <c r="I15773" t="s">
        <v>444</v>
      </c>
      <c r="J15773" t="s">
        <v>535</v>
      </c>
      <c r="K15773" t="s">
        <v>33</v>
      </c>
      <c r="L15773" t="s">
        <v>445</v>
      </c>
      <c r="N15773" t="s">
        <v>29</v>
      </c>
    </row>
    <row r="15774" spans="1:14">
      <c r="A15774" s="4" t="str">
        <f t="shared" si="1205"/>
        <v>EXP00419</v>
      </c>
      <c r="B15774" s="3" t="s">
        <v>66</v>
      </c>
      <c r="C15774" s="4" t="str">
        <f t="shared" si="1206"/>
        <v>TCGA-CESC</v>
      </c>
      <c r="D15774" s="1" t="s">
        <v>493</v>
      </c>
      <c r="E15774" t="s">
        <v>543</v>
      </c>
      <c r="F15774" s="1">
        <v>2</v>
      </c>
      <c r="G15774" s="1" t="s">
        <v>32</v>
      </c>
      <c r="H15774" s="4" t="str">
        <f>HYPERLINK("https://portal.gdc.cancer.gov/cases/da30a845-c4d3-4c78-b8b0-210239224f8f","TCGA-C5-A7UE-01A")</f>
        <v>TCGA-C5-A7UE-01A</v>
      </c>
      <c r="I15774" t="s">
        <v>444</v>
      </c>
      <c r="J15774" t="s">
        <v>535</v>
      </c>
      <c r="K15774" t="s">
        <v>33</v>
      </c>
      <c r="L15774" t="s">
        <v>445</v>
      </c>
      <c r="N15774" t="s">
        <v>29</v>
      </c>
    </row>
    <row r="15775" spans="1:14">
      <c r="A15775" s="4" t="str">
        <f t="shared" si="1205"/>
        <v>EXP00419</v>
      </c>
      <c r="B15775" s="3" t="s">
        <v>66</v>
      </c>
      <c r="C15775" s="4" t="str">
        <f t="shared" si="1206"/>
        <v>TCGA-CESC</v>
      </c>
      <c r="D15775" s="1" t="s">
        <v>493</v>
      </c>
      <c r="E15775" t="s">
        <v>543</v>
      </c>
      <c r="F15775" s="1">
        <v>2</v>
      </c>
      <c r="G15775" s="1" t="s">
        <v>32</v>
      </c>
      <c r="H15775" s="4" t="str">
        <f>HYPERLINK("https://portal.gdc.cancer.gov/cases/8328925e-3324-4188-85f1-6ffbf819d9e7","TCGA-C5-A7UH-01A")</f>
        <v>TCGA-C5-A7UH-01A</v>
      </c>
      <c r="I15775" t="s">
        <v>444</v>
      </c>
      <c r="J15775" t="s">
        <v>535</v>
      </c>
      <c r="K15775" t="s">
        <v>33</v>
      </c>
      <c r="L15775" t="s">
        <v>445</v>
      </c>
      <c r="N15775" t="s">
        <v>29</v>
      </c>
    </row>
    <row r="15776" spans="1:14">
      <c r="A15776" s="4" t="str">
        <f t="shared" si="1205"/>
        <v>EXP00419</v>
      </c>
      <c r="B15776" s="3" t="s">
        <v>66</v>
      </c>
      <c r="C15776" s="4" t="str">
        <f t="shared" si="1206"/>
        <v>TCGA-CESC</v>
      </c>
      <c r="D15776" s="1" t="s">
        <v>493</v>
      </c>
      <c r="E15776" t="s">
        <v>543</v>
      </c>
      <c r="F15776" s="1">
        <v>2</v>
      </c>
      <c r="G15776" s="1" t="s">
        <v>32</v>
      </c>
      <c r="H15776" s="4" t="str">
        <f>HYPERLINK("https://portal.gdc.cancer.gov/cases/ce5765fb-5221-4cbf-aa76-bb863803df57","TCGA-C5-A7UI-01A")</f>
        <v>TCGA-C5-A7UI-01A</v>
      </c>
      <c r="I15776" t="s">
        <v>444</v>
      </c>
      <c r="J15776" t="s">
        <v>535</v>
      </c>
      <c r="K15776" t="s">
        <v>33</v>
      </c>
      <c r="L15776" t="s">
        <v>445</v>
      </c>
      <c r="N15776" t="s">
        <v>29</v>
      </c>
    </row>
    <row r="15777" spans="1:14">
      <c r="A15777" s="4" t="str">
        <f t="shared" ref="A15777:A15840" si="1207">HYPERLINK("http://hcmdb.i-sanger.com/experiment/details/experiment_id/EXP00419","EXP00419")</f>
        <v>EXP00419</v>
      </c>
      <c r="B15777" s="3" t="s">
        <v>66</v>
      </c>
      <c r="C15777" s="4" t="str">
        <f t="shared" si="1206"/>
        <v>TCGA-CESC</v>
      </c>
      <c r="D15777" s="1" t="s">
        <v>493</v>
      </c>
      <c r="E15777" t="s">
        <v>543</v>
      </c>
      <c r="F15777" s="1">
        <v>2</v>
      </c>
      <c r="G15777" s="1" t="s">
        <v>32</v>
      </c>
      <c r="H15777" s="4" t="str">
        <f>HYPERLINK("https://portal.gdc.cancer.gov/cases/4ed1616e-8c62-4104-bcbe-26d7059f04d0","TCGA-C5-A7X3-01A")</f>
        <v>TCGA-C5-A7X3-01A</v>
      </c>
      <c r="I15777" t="s">
        <v>444</v>
      </c>
      <c r="J15777" t="s">
        <v>535</v>
      </c>
      <c r="K15777" t="s">
        <v>33</v>
      </c>
      <c r="L15777" t="s">
        <v>445</v>
      </c>
      <c r="N15777" t="s">
        <v>29</v>
      </c>
    </row>
    <row r="15778" spans="1:14">
      <c r="A15778" s="4" t="str">
        <f t="shared" si="1207"/>
        <v>EXP00419</v>
      </c>
      <c r="B15778" s="3" t="s">
        <v>66</v>
      </c>
      <c r="C15778" s="4" t="str">
        <f t="shared" si="1206"/>
        <v>TCGA-CESC</v>
      </c>
      <c r="D15778" s="1" t="s">
        <v>493</v>
      </c>
      <c r="E15778" t="s">
        <v>543</v>
      </c>
      <c r="F15778" s="1">
        <v>2</v>
      </c>
      <c r="G15778" s="1" t="s">
        <v>32</v>
      </c>
      <c r="H15778" s="4" t="str">
        <f>HYPERLINK("https://portal.gdc.cancer.gov/cases/aed93a3a-7dcb-4ba9-84c0-bc735cbd545f","TCGA-C5-A7X5-01A")</f>
        <v>TCGA-C5-A7X5-01A</v>
      </c>
      <c r="I15778" t="s">
        <v>444</v>
      </c>
      <c r="J15778" t="s">
        <v>535</v>
      </c>
      <c r="K15778" t="s">
        <v>33</v>
      </c>
      <c r="L15778" t="s">
        <v>445</v>
      </c>
      <c r="N15778" t="s">
        <v>29</v>
      </c>
    </row>
    <row r="15779" spans="1:14">
      <c r="A15779" s="4" t="str">
        <f t="shared" si="1207"/>
        <v>EXP00419</v>
      </c>
      <c r="B15779" s="3" t="s">
        <v>66</v>
      </c>
      <c r="C15779" s="4" t="str">
        <f t="shared" si="1206"/>
        <v>TCGA-CESC</v>
      </c>
      <c r="D15779" s="1" t="s">
        <v>493</v>
      </c>
      <c r="E15779" t="s">
        <v>543</v>
      </c>
      <c r="F15779" s="1">
        <v>2</v>
      </c>
      <c r="G15779" s="1" t="s">
        <v>32</v>
      </c>
      <c r="H15779" s="4" t="str">
        <f>HYPERLINK("https://portal.gdc.cancer.gov/cases/57902b91-be42-441d-8807-a5ea9c21b214","TCGA-C5-A7X8-01A")</f>
        <v>TCGA-C5-A7X8-01A</v>
      </c>
      <c r="I15779" t="s">
        <v>444</v>
      </c>
      <c r="J15779" t="s">
        <v>535</v>
      </c>
      <c r="K15779" t="s">
        <v>33</v>
      </c>
      <c r="L15779" t="s">
        <v>445</v>
      </c>
      <c r="N15779" t="s">
        <v>29</v>
      </c>
    </row>
    <row r="15780" spans="1:14">
      <c r="A15780" s="4" t="str">
        <f t="shared" si="1207"/>
        <v>EXP00419</v>
      </c>
      <c r="B15780" s="3" t="s">
        <v>66</v>
      </c>
      <c r="C15780" s="4" t="str">
        <f t="shared" si="1206"/>
        <v>TCGA-CESC</v>
      </c>
      <c r="D15780" s="1" t="s">
        <v>493</v>
      </c>
      <c r="E15780" t="s">
        <v>543</v>
      </c>
      <c r="F15780" s="1">
        <v>2</v>
      </c>
      <c r="G15780" s="1" t="s">
        <v>32</v>
      </c>
      <c r="H15780" s="4" t="str">
        <f>HYPERLINK("https://portal.gdc.cancer.gov/cases/dedfd5fb-3c72-40f9-a7ef-52c2176bf662","TCGA-C5-A7XC-01A")</f>
        <v>TCGA-C5-A7XC-01A</v>
      </c>
      <c r="I15780" t="s">
        <v>444</v>
      </c>
      <c r="J15780" t="s">
        <v>535</v>
      </c>
      <c r="K15780" t="s">
        <v>33</v>
      </c>
      <c r="L15780" t="s">
        <v>445</v>
      </c>
      <c r="N15780" t="s">
        <v>29</v>
      </c>
    </row>
    <row r="15781" spans="1:14">
      <c r="A15781" s="4" t="str">
        <f t="shared" si="1207"/>
        <v>EXP00419</v>
      </c>
      <c r="B15781" s="3" t="s">
        <v>66</v>
      </c>
      <c r="C15781" s="4" t="str">
        <f t="shared" si="1206"/>
        <v>TCGA-CESC</v>
      </c>
      <c r="D15781" s="1" t="s">
        <v>493</v>
      </c>
      <c r="E15781" t="s">
        <v>543</v>
      </c>
      <c r="F15781" s="1">
        <v>2</v>
      </c>
      <c r="G15781" s="1" t="s">
        <v>32</v>
      </c>
      <c r="H15781" s="4" t="str">
        <f>HYPERLINK("https://portal.gdc.cancer.gov/cases/183e8d87-3476-46bc-a989-ed4b09809227","TCGA-C5-A8XH-01A")</f>
        <v>TCGA-C5-A8XH-01A</v>
      </c>
      <c r="I15781" t="s">
        <v>444</v>
      </c>
      <c r="J15781" t="s">
        <v>535</v>
      </c>
      <c r="K15781" t="s">
        <v>33</v>
      </c>
      <c r="L15781" t="s">
        <v>445</v>
      </c>
      <c r="N15781" t="s">
        <v>29</v>
      </c>
    </row>
    <row r="15782" spans="1:14">
      <c r="A15782" s="4" t="str">
        <f t="shared" si="1207"/>
        <v>EXP00419</v>
      </c>
      <c r="B15782" s="3" t="s">
        <v>66</v>
      </c>
      <c r="C15782" s="4" t="str">
        <f t="shared" si="1206"/>
        <v>TCGA-CESC</v>
      </c>
      <c r="D15782" s="1" t="s">
        <v>493</v>
      </c>
      <c r="E15782" t="s">
        <v>543</v>
      </c>
      <c r="F15782" s="1">
        <v>2</v>
      </c>
      <c r="G15782" s="1" t="s">
        <v>32</v>
      </c>
      <c r="H15782" s="4" t="str">
        <f>HYPERLINK("https://portal.gdc.cancer.gov/cases/959fe574-054a-4fef-9cbe-a801a9a355de","TCGA-C5-A8XI-01A")</f>
        <v>TCGA-C5-A8XI-01A</v>
      </c>
      <c r="I15782" t="s">
        <v>444</v>
      </c>
      <c r="J15782" t="s">
        <v>535</v>
      </c>
      <c r="K15782" t="s">
        <v>33</v>
      </c>
      <c r="L15782" t="s">
        <v>445</v>
      </c>
      <c r="N15782" t="s">
        <v>29</v>
      </c>
    </row>
    <row r="15783" spans="1:14">
      <c r="A15783" s="4" t="str">
        <f t="shared" si="1207"/>
        <v>EXP00419</v>
      </c>
      <c r="B15783" s="3" t="s">
        <v>66</v>
      </c>
      <c r="C15783" s="4" t="str">
        <f t="shared" si="1206"/>
        <v>TCGA-CESC</v>
      </c>
      <c r="D15783" s="1" t="s">
        <v>493</v>
      </c>
      <c r="E15783" t="s">
        <v>543</v>
      </c>
      <c r="F15783" s="1">
        <v>2</v>
      </c>
      <c r="G15783" s="1" t="s">
        <v>32</v>
      </c>
      <c r="H15783" s="4" t="str">
        <f>HYPERLINK("https://portal.gdc.cancer.gov/cases/e89d0cb1-6ec2-43ee-a6d9-b922b680af34","TCGA-C5-A8XJ-01A")</f>
        <v>TCGA-C5-A8XJ-01A</v>
      </c>
      <c r="I15783" t="s">
        <v>444</v>
      </c>
      <c r="J15783" t="s">
        <v>535</v>
      </c>
      <c r="K15783" t="s">
        <v>33</v>
      </c>
      <c r="L15783" t="s">
        <v>445</v>
      </c>
      <c r="N15783" t="s">
        <v>29</v>
      </c>
    </row>
    <row r="15784" spans="1:14">
      <c r="A15784" s="4" t="str">
        <f t="shared" si="1207"/>
        <v>EXP00419</v>
      </c>
      <c r="B15784" s="3" t="s">
        <v>66</v>
      </c>
      <c r="C15784" s="4" t="str">
        <f t="shared" si="1206"/>
        <v>TCGA-CESC</v>
      </c>
      <c r="D15784" s="1" t="s">
        <v>493</v>
      </c>
      <c r="E15784" t="s">
        <v>543</v>
      </c>
      <c r="F15784" s="1">
        <v>2</v>
      </c>
      <c r="G15784" s="1" t="s">
        <v>32</v>
      </c>
      <c r="H15784" s="4" t="str">
        <f>HYPERLINK("https://portal.gdc.cancer.gov/cases/8ac819b3-4227-4eae-be03-8760b197df9a","TCGA-C5-A8XK-01A")</f>
        <v>TCGA-C5-A8XK-01A</v>
      </c>
      <c r="I15784" t="s">
        <v>444</v>
      </c>
      <c r="J15784" t="s">
        <v>535</v>
      </c>
      <c r="K15784" t="s">
        <v>33</v>
      </c>
      <c r="L15784" t="s">
        <v>445</v>
      </c>
      <c r="N15784" t="s">
        <v>29</v>
      </c>
    </row>
    <row r="15785" spans="1:14">
      <c r="A15785" s="4" t="str">
        <f t="shared" si="1207"/>
        <v>EXP00419</v>
      </c>
      <c r="B15785" s="3" t="s">
        <v>66</v>
      </c>
      <c r="C15785" s="4" t="str">
        <f t="shared" si="1206"/>
        <v>TCGA-CESC</v>
      </c>
      <c r="D15785" s="1" t="s">
        <v>493</v>
      </c>
      <c r="E15785" t="s">
        <v>543</v>
      </c>
      <c r="F15785" s="1">
        <v>2</v>
      </c>
      <c r="G15785" s="1" t="s">
        <v>32</v>
      </c>
      <c r="H15785" s="4" t="str">
        <f>HYPERLINK("https://portal.gdc.cancer.gov/cases/de3cfb81-25c3-4137-8f24-ad8aa607c158","TCGA-C5-A8YQ-01A")</f>
        <v>TCGA-C5-A8YQ-01A</v>
      </c>
      <c r="I15785" t="s">
        <v>444</v>
      </c>
      <c r="J15785" t="s">
        <v>535</v>
      </c>
      <c r="K15785" t="s">
        <v>33</v>
      </c>
      <c r="L15785" t="s">
        <v>445</v>
      </c>
      <c r="N15785" t="s">
        <v>29</v>
      </c>
    </row>
    <row r="15786" spans="1:14">
      <c r="A15786" s="4" t="str">
        <f t="shared" si="1207"/>
        <v>EXP00419</v>
      </c>
      <c r="B15786" s="3" t="s">
        <v>66</v>
      </c>
      <c r="C15786" s="4" t="str">
        <f t="shared" si="1206"/>
        <v>TCGA-CESC</v>
      </c>
      <c r="D15786" s="1" t="s">
        <v>493</v>
      </c>
      <c r="E15786" t="s">
        <v>543</v>
      </c>
      <c r="F15786" s="1">
        <v>2</v>
      </c>
      <c r="G15786" s="1" t="s">
        <v>32</v>
      </c>
      <c r="H15786" s="4" t="str">
        <f>HYPERLINK("https://portal.gdc.cancer.gov/cases/be8b1c78-8cb1-4bff-b1fe-71ecdc454c94","TCGA-C5-A8YR-01A")</f>
        <v>TCGA-C5-A8YR-01A</v>
      </c>
      <c r="I15786" t="s">
        <v>444</v>
      </c>
      <c r="J15786" t="s">
        <v>535</v>
      </c>
      <c r="K15786" t="s">
        <v>33</v>
      </c>
      <c r="L15786" t="s">
        <v>445</v>
      </c>
      <c r="N15786" t="s">
        <v>29</v>
      </c>
    </row>
    <row r="15787" spans="1:14">
      <c r="A15787" s="4" t="str">
        <f t="shared" si="1207"/>
        <v>EXP00419</v>
      </c>
      <c r="B15787" s="3" t="s">
        <v>66</v>
      </c>
      <c r="C15787" s="4" t="str">
        <f t="shared" si="1206"/>
        <v>TCGA-CESC</v>
      </c>
      <c r="D15787" s="1" t="s">
        <v>493</v>
      </c>
      <c r="E15787" t="s">
        <v>543</v>
      </c>
      <c r="F15787" s="1">
        <v>2</v>
      </c>
      <c r="G15787" s="1" t="s">
        <v>32</v>
      </c>
      <c r="H15787" s="4" t="str">
        <f>HYPERLINK("https://portal.gdc.cancer.gov/cases/cecaecb4-51ef-407d-a882-0e4b444b0a77","TCGA-C5-A8YT-01A")</f>
        <v>TCGA-C5-A8YT-01A</v>
      </c>
      <c r="I15787" t="s">
        <v>444</v>
      </c>
      <c r="J15787" t="s">
        <v>535</v>
      </c>
      <c r="K15787" t="s">
        <v>33</v>
      </c>
      <c r="L15787" t="s">
        <v>445</v>
      </c>
      <c r="N15787" t="s">
        <v>29</v>
      </c>
    </row>
    <row r="15788" spans="1:14">
      <c r="A15788" s="4" t="str">
        <f t="shared" si="1207"/>
        <v>EXP00419</v>
      </c>
      <c r="B15788" s="3" t="s">
        <v>66</v>
      </c>
      <c r="C15788" s="4" t="str">
        <f t="shared" si="1206"/>
        <v>TCGA-CESC</v>
      </c>
      <c r="D15788" s="1" t="s">
        <v>493</v>
      </c>
      <c r="E15788" t="s">
        <v>543</v>
      </c>
      <c r="F15788" s="1">
        <v>2</v>
      </c>
      <c r="G15788" s="1" t="s">
        <v>32</v>
      </c>
      <c r="H15788" s="4" t="str">
        <f>HYPERLINK("https://portal.gdc.cancer.gov/cases/33bc6504-d9ab-4b64-a87c-012915f36644","TCGA-C5-A8ZZ-01A")</f>
        <v>TCGA-C5-A8ZZ-01A</v>
      </c>
      <c r="I15788" t="s">
        <v>444</v>
      </c>
      <c r="J15788" t="s">
        <v>535</v>
      </c>
      <c r="K15788" t="s">
        <v>33</v>
      </c>
      <c r="L15788" t="s">
        <v>445</v>
      </c>
      <c r="N15788" t="s">
        <v>29</v>
      </c>
    </row>
    <row r="15789" spans="1:14">
      <c r="A15789" s="4" t="str">
        <f t="shared" si="1207"/>
        <v>EXP00419</v>
      </c>
      <c r="B15789" s="3" t="s">
        <v>66</v>
      </c>
      <c r="C15789" s="4" t="str">
        <f t="shared" si="1206"/>
        <v>TCGA-CESC</v>
      </c>
      <c r="D15789" s="1" t="s">
        <v>493</v>
      </c>
      <c r="E15789" t="s">
        <v>543</v>
      </c>
      <c r="F15789" s="1">
        <v>2</v>
      </c>
      <c r="G15789" s="1" t="s">
        <v>32</v>
      </c>
      <c r="H15789" s="4" t="str">
        <f>HYPERLINK("https://portal.gdc.cancer.gov/cases/e8f07d20-d043-4c69-8898-87d0f0fc5a9a","TCGA-C5-A901-01A")</f>
        <v>TCGA-C5-A901-01A</v>
      </c>
      <c r="I15789" t="s">
        <v>444</v>
      </c>
      <c r="J15789" t="s">
        <v>535</v>
      </c>
      <c r="K15789" t="s">
        <v>33</v>
      </c>
      <c r="L15789" t="s">
        <v>445</v>
      </c>
      <c r="N15789" t="s">
        <v>29</v>
      </c>
    </row>
    <row r="15790" spans="1:14">
      <c r="A15790" s="4" t="str">
        <f t="shared" si="1207"/>
        <v>EXP00419</v>
      </c>
      <c r="B15790" s="3" t="s">
        <v>66</v>
      </c>
      <c r="C15790" s="4" t="str">
        <f t="shared" si="1206"/>
        <v>TCGA-CESC</v>
      </c>
      <c r="D15790" s="1" t="s">
        <v>493</v>
      </c>
      <c r="E15790" t="s">
        <v>543</v>
      </c>
      <c r="F15790" s="1">
        <v>2</v>
      </c>
      <c r="G15790" s="1" t="s">
        <v>32</v>
      </c>
      <c r="H15790" s="4" t="str">
        <f>HYPERLINK("https://portal.gdc.cancer.gov/cases/010a807f-9dc0-4e14-9533-dcf478f3d947","TCGA-C5-A902-01A")</f>
        <v>TCGA-C5-A902-01A</v>
      </c>
      <c r="I15790" t="s">
        <v>444</v>
      </c>
      <c r="J15790" t="s">
        <v>535</v>
      </c>
      <c r="K15790" t="s">
        <v>33</v>
      </c>
      <c r="L15790" t="s">
        <v>445</v>
      </c>
      <c r="N15790" t="s">
        <v>29</v>
      </c>
    </row>
    <row r="15791" spans="1:14">
      <c r="A15791" s="4" t="str">
        <f t="shared" si="1207"/>
        <v>EXP00419</v>
      </c>
      <c r="B15791" s="3" t="s">
        <v>66</v>
      </c>
      <c r="C15791" s="4" t="str">
        <f t="shared" si="1206"/>
        <v>TCGA-CESC</v>
      </c>
      <c r="D15791" s="1" t="s">
        <v>493</v>
      </c>
      <c r="E15791" t="s">
        <v>543</v>
      </c>
      <c r="F15791" s="1">
        <v>2</v>
      </c>
      <c r="G15791" s="1" t="s">
        <v>32</v>
      </c>
      <c r="H15791" s="4" t="str">
        <f>HYPERLINK("https://portal.gdc.cancer.gov/cases/c99f476b-e8b1-4cdd-9164-0da450064886","TCGA-C5-A905-01A")</f>
        <v>TCGA-C5-A905-01A</v>
      </c>
      <c r="I15791" t="s">
        <v>444</v>
      </c>
      <c r="J15791" t="s">
        <v>535</v>
      </c>
      <c r="K15791" t="s">
        <v>33</v>
      </c>
      <c r="L15791" t="s">
        <v>445</v>
      </c>
      <c r="N15791" t="s">
        <v>29</v>
      </c>
    </row>
    <row r="15792" spans="1:14">
      <c r="A15792" s="4" t="str">
        <f t="shared" si="1207"/>
        <v>EXP00419</v>
      </c>
      <c r="B15792" s="3" t="s">
        <v>66</v>
      </c>
      <c r="C15792" s="4" t="str">
        <f t="shared" si="1206"/>
        <v>TCGA-CESC</v>
      </c>
      <c r="D15792" s="1" t="s">
        <v>493</v>
      </c>
      <c r="E15792" t="s">
        <v>543</v>
      </c>
      <c r="F15792" s="1">
        <v>2</v>
      </c>
      <c r="G15792" s="1" t="s">
        <v>32</v>
      </c>
      <c r="H15792" s="4" t="str">
        <f>HYPERLINK("https://portal.gdc.cancer.gov/cases/c92696ba-f549-480d-8d4a-5f23b27aa336","TCGA-C5-A907-01A")</f>
        <v>TCGA-C5-A907-01A</v>
      </c>
      <c r="I15792" t="s">
        <v>444</v>
      </c>
      <c r="J15792" t="s">
        <v>535</v>
      </c>
      <c r="K15792" t="s">
        <v>33</v>
      </c>
      <c r="L15792" t="s">
        <v>445</v>
      </c>
      <c r="N15792" t="s">
        <v>29</v>
      </c>
    </row>
    <row r="15793" spans="1:14">
      <c r="A15793" s="4" t="str">
        <f t="shared" si="1207"/>
        <v>EXP00419</v>
      </c>
      <c r="B15793" s="3" t="s">
        <v>66</v>
      </c>
      <c r="C15793" s="4" t="str">
        <f t="shared" si="1206"/>
        <v>TCGA-CESC</v>
      </c>
      <c r="D15793" s="1" t="s">
        <v>493</v>
      </c>
      <c r="E15793" t="s">
        <v>543</v>
      </c>
      <c r="F15793" s="1">
        <v>2</v>
      </c>
      <c r="G15793" s="1" t="s">
        <v>32</v>
      </c>
      <c r="H15793" s="4" t="str">
        <f>HYPERLINK("https://portal.gdc.cancer.gov/cases/6248f2a3-0da9-419f-ab77-c3f6f4353eb5","TCGA-DG-A2KH-01A")</f>
        <v>TCGA-DG-A2KH-01A</v>
      </c>
      <c r="I15793" t="s">
        <v>444</v>
      </c>
      <c r="J15793" t="s">
        <v>535</v>
      </c>
      <c r="K15793" t="s">
        <v>33</v>
      </c>
      <c r="L15793" t="s">
        <v>445</v>
      </c>
      <c r="N15793" t="s">
        <v>29</v>
      </c>
    </row>
    <row r="15794" spans="1:14">
      <c r="A15794" s="4" t="str">
        <f t="shared" si="1207"/>
        <v>EXP00419</v>
      </c>
      <c r="B15794" s="3" t="s">
        <v>66</v>
      </c>
      <c r="C15794" s="4" t="str">
        <f t="shared" si="1206"/>
        <v>TCGA-CESC</v>
      </c>
      <c r="D15794" s="1" t="s">
        <v>493</v>
      </c>
      <c r="E15794" t="s">
        <v>543</v>
      </c>
      <c r="F15794" s="1">
        <v>2</v>
      </c>
      <c r="G15794" s="1" t="s">
        <v>32</v>
      </c>
      <c r="H15794" s="4" t="str">
        <f>HYPERLINK("https://portal.gdc.cancer.gov/cases/7c93642d-7e05-40f8-b1ef-a014edcfba42","TCGA-DG-A2KJ-01A")</f>
        <v>TCGA-DG-A2KJ-01A</v>
      </c>
      <c r="I15794" t="s">
        <v>444</v>
      </c>
      <c r="J15794" t="s">
        <v>535</v>
      </c>
      <c r="K15794" t="s">
        <v>33</v>
      </c>
      <c r="L15794" t="s">
        <v>445</v>
      </c>
      <c r="N15794" t="s">
        <v>29</v>
      </c>
    </row>
    <row r="15795" spans="1:14">
      <c r="A15795" s="4" t="str">
        <f t="shared" si="1207"/>
        <v>EXP00419</v>
      </c>
      <c r="B15795" s="3" t="s">
        <v>66</v>
      </c>
      <c r="C15795" s="4" t="str">
        <f t="shared" si="1206"/>
        <v>TCGA-CESC</v>
      </c>
      <c r="D15795" s="1" t="s">
        <v>493</v>
      </c>
      <c r="E15795" t="s">
        <v>543</v>
      </c>
      <c r="F15795" s="1">
        <v>2</v>
      </c>
      <c r="G15795" s="1" t="s">
        <v>32</v>
      </c>
      <c r="H15795" s="4" t="str">
        <f>HYPERLINK("https://portal.gdc.cancer.gov/cases/8dbcb17d-0396-4faa-9b32-8e2566424bff","TCGA-DG-A2KK-01A")</f>
        <v>TCGA-DG-A2KK-01A</v>
      </c>
      <c r="I15795" t="s">
        <v>444</v>
      </c>
      <c r="J15795" t="s">
        <v>535</v>
      </c>
      <c r="K15795" t="s">
        <v>33</v>
      </c>
      <c r="L15795" t="s">
        <v>445</v>
      </c>
      <c r="N15795" t="s">
        <v>29</v>
      </c>
    </row>
    <row r="15796" spans="1:14">
      <c r="A15796" s="4" t="str">
        <f t="shared" si="1207"/>
        <v>EXP00419</v>
      </c>
      <c r="B15796" s="3" t="s">
        <v>66</v>
      </c>
      <c r="C15796" s="4" t="str">
        <f t="shared" si="1206"/>
        <v>TCGA-CESC</v>
      </c>
      <c r="D15796" s="1" t="s">
        <v>493</v>
      </c>
      <c r="E15796" t="s">
        <v>543</v>
      </c>
      <c r="F15796" s="1">
        <v>2</v>
      </c>
      <c r="G15796" s="1" t="s">
        <v>32</v>
      </c>
      <c r="H15796" s="4" t="str">
        <f>HYPERLINK("https://portal.gdc.cancer.gov/cases/2da977fc-8b46-4c40-9636-b12fd36a98e4","TCGA-DG-A2KL-01A")</f>
        <v>TCGA-DG-A2KL-01A</v>
      </c>
      <c r="I15796" t="s">
        <v>444</v>
      </c>
      <c r="J15796" t="s">
        <v>535</v>
      </c>
      <c r="K15796" t="s">
        <v>33</v>
      </c>
      <c r="L15796" t="s">
        <v>445</v>
      </c>
      <c r="N15796" t="s">
        <v>29</v>
      </c>
    </row>
    <row r="15797" spans="1:14">
      <c r="A15797" s="4" t="str">
        <f t="shared" si="1207"/>
        <v>EXP00419</v>
      </c>
      <c r="B15797" s="3" t="s">
        <v>66</v>
      </c>
      <c r="C15797" s="4" t="str">
        <f t="shared" si="1206"/>
        <v>TCGA-CESC</v>
      </c>
      <c r="D15797" s="1" t="s">
        <v>493</v>
      </c>
      <c r="E15797" t="s">
        <v>543</v>
      </c>
      <c r="F15797" s="1">
        <v>2</v>
      </c>
      <c r="G15797" s="1" t="s">
        <v>32</v>
      </c>
      <c r="H15797" s="4" t="str">
        <f>HYPERLINK("https://portal.gdc.cancer.gov/cases/e87fadbe-c58c-41d1-b413-8cf6ce70ce94","TCGA-DG-A2KM-01A")</f>
        <v>TCGA-DG-A2KM-01A</v>
      </c>
      <c r="I15797" t="s">
        <v>444</v>
      </c>
      <c r="J15797" t="s">
        <v>535</v>
      </c>
      <c r="K15797" t="s">
        <v>33</v>
      </c>
      <c r="L15797" t="s">
        <v>445</v>
      </c>
      <c r="N15797" t="s">
        <v>29</v>
      </c>
    </row>
    <row r="15798" spans="1:14">
      <c r="A15798" s="4" t="str">
        <f t="shared" si="1207"/>
        <v>EXP00419</v>
      </c>
      <c r="B15798" s="3" t="s">
        <v>66</v>
      </c>
      <c r="C15798" s="4" t="str">
        <f t="shared" si="1206"/>
        <v>TCGA-CESC</v>
      </c>
      <c r="D15798" s="1" t="s">
        <v>493</v>
      </c>
      <c r="E15798" t="s">
        <v>543</v>
      </c>
      <c r="F15798" s="1">
        <v>2</v>
      </c>
      <c r="G15798" s="1" t="s">
        <v>32</v>
      </c>
      <c r="H15798" s="4" t="str">
        <f>HYPERLINK("https://portal.gdc.cancer.gov/cases/36605f5f-245c-41e5-a9db-705373da7923","TCGA-DR-A0ZL-01A")</f>
        <v>TCGA-DR-A0ZL-01A</v>
      </c>
      <c r="I15798" t="s">
        <v>444</v>
      </c>
      <c r="J15798" t="s">
        <v>535</v>
      </c>
      <c r="K15798" t="s">
        <v>33</v>
      </c>
      <c r="L15798" t="s">
        <v>445</v>
      </c>
      <c r="N15798" t="s">
        <v>29</v>
      </c>
    </row>
    <row r="15799" spans="1:14">
      <c r="A15799" s="4" t="str">
        <f t="shared" si="1207"/>
        <v>EXP00419</v>
      </c>
      <c r="B15799" s="3" t="s">
        <v>66</v>
      </c>
      <c r="C15799" s="4" t="str">
        <f t="shared" si="1206"/>
        <v>TCGA-CESC</v>
      </c>
      <c r="D15799" s="1" t="s">
        <v>493</v>
      </c>
      <c r="E15799" t="s">
        <v>543</v>
      </c>
      <c r="F15799" s="1">
        <v>2</v>
      </c>
      <c r="G15799" s="1" t="s">
        <v>32</v>
      </c>
      <c r="H15799" s="4" t="str">
        <f>HYPERLINK("https://portal.gdc.cancer.gov/cases/748aada0-448f-4523-9893-3d9618fdbe18","TCGA-DR-A0ZM-01A")</f>
        <v>TCGA-DR-A0ZM-01A</v>
      </c>
      <c r="I15799" t="s">
        <v>444</v>
      </c>
      <c r="J15799" t="s">
        <v>535</v>
      </c>
      <c r="K15799" t="s">
        <v>33</v>
      </c>
      <c r="L15799" t="s">
        <v>445</v>
      </c>
      <c r="N15799" t="s">
        <v>29</v>
      </c>
    </row>
    <row r="15800" spans="1:14">
      <c r="A15800" s="4" t="str">
        <f t="shared" si="1207"/>
        <v>EXP00419</v>
      </c>
      <c r="B15800" s="3" t="s">
        <v>66</v>
      </c>
      <c r="C15800" s="4" t="str">
        <f t="shared" si="1206"/>
        <v>TCGA-CESC</v>
      </c>
      <c r="D15800" s="1" t="s">
        <v>493</v>
      </c>
      <c r="E15800" t="s">
        <v>543</v>
      </c>
      <c r="F15800" s="1">
        <v>2</v>
      </c>
      <c r="G15800" s="1" t="s">
        <v>32</v>
      </c>
      <c r="H15800" s="4" t="str">
        <f>HYPERLINK("https://portal.gdc.cancer.gov/cases/5ed3c95a-10d0-4cd5-a54d-523e81587fb1","TCGA-DS-A0VK-01A")</f>
        <v>TCGA-DS-A0VK-01A</v>
      </c>
      <c r="I15800" t="s">
        <v>444</v>
      </c>
      <c r="J15800" t="s">
        <v>535</v>
      </c>
      <c r="K15800" t="s">
        <v>33</v>
      </c>
      <c r="L15800" t="s">
        <v>445</v>
      </c>
      <c r="N15800" t="s">
        <v>29</v>
      </c>
    </row>
    <row r="15801" spans="1:14">
      <c r="A15801" s="4" t="str">
        <f t="shared" si="1207"/>
        <v>EXP00419</v>
      </c>
      <c r="B15801" s="3" t="s">
        <v>66</v>
      </c>
      <c r="C15801" s="4" t="str">
        <f t="shared" si="1206"/>
        <v>TCGA-CESC</v>
      </c>
      <c r="D15801" s="1" t="s">
        <v>493</v>
      </c>
      <c r="E15801" t="s">
        <v>543</v>
      </c>
      <c r="F15801" s="1">
        <v>2</v>
      </c>
      <c r="G15801" s="1" t="s">
        <v>32</v>
      </c>
      <c r="H15801" s="4" t="str">
        <f>HYPERLINK("https://portal.gdc.cancer.gov/cases/dfd30f94-19e3-4838-95df-14a3763419af","TCGA-DS-A0VL-01A")</f>
        <v>TCGA-DS-A0VL-01A</v>
      </c>
      <c r="I15801" t="s">
        <v>444</v>
      </c>
      <c r="J15801" t="s">
        <v>535</v>
      </c>
      <c r="K15801" t="s">
        <v>33</v>
      </c>
      <c r="L15801" t="s">
        <v>445</v>
      </c>
      <c r="N15801" t="s">
        <v>29</v>
      </c>
    </row>
    <row r="15802" spans="1:14">
      <c r="A15802" s="4" t="str">
        <f t="shared" si="1207"/>
        <v>EXP00419</v>
      </c>
      <c r="B15802" s="3" t="s">
        <v>66</v>
      </c>
      <c r="C15802" s="4" t="str">
        <f t="shared" si="1206"/>
        <v>TCGA-CESC</v>
      </c>
      <c r="D15802" s="1" t="s">
        <v>493</v>
      </c>
      <c r="E15802" t="s">
        <v>543</v>
      </c>
      <c r="F15802" s="1">
        <v>2</v>
      </c>
      <c r="G15802" s="1" t="s">
        <v>32</v>
      </c>
      <c r="H15802" s="4" t="str">
        <f>HYPERLINK("https://portal.gdc.cancer.gov/cases/ed6d989d-da09-4818-8fed-f33d88b628af","TCGA-DS-A0VM-01A")</f>
        <v>TCGA-DS-A0VM-01A</v>
      </c>
      <c r="I15802" t="s">
        <v>444</v>
      </c>
      <c r="J15802" t="s">
        <v>535</v>
      </c>
      <c r="K15802" t="s">
        <v>33</v>
      </c>
      <c r="L15802" t="s">
        <v>445</v>
      </c>
      <c r="N15802" t="s">
        <v>29</v>
      </c>
    </row>
    <row r="15803" spans="1:14">
      <c r="A15803" s="4" t="str">
        <f t="shared" si="1207"/>
        <v>EXP00419</v>
      </c>
      <c r="B15803" s="3" t="s">
        <v>66</v>
      </c>
      <c r="C15803" s="4" t="str">
        <f t="shared" si="1206"/>
        <v>TCGA-CESC</v>
      </c>
      <c r="D15803" s="1" t="s">
        <v>493</v>
      </c>
      <c r="E15803" t="s">
        <v>543</v>
      </c>
      <c r="F15803" s="1">
        <v>2</v>
      </c>
      <c r="G15803" s="1" t="s">
        <v>32</v>
      </c>
      <c r="H15803" s="4" t="str">
        <f>HYPERLINK("https://portal.gdc.cancer.gov/cases/f8d342f5-9b92-42e1-8b0d-0876cc26965d","TCGA-DS-A0VN-01A")</f>
        <v>TCGA-DS-A0VN-01A</v>
      </c>
      <c r="I15803" t="s">
        <v>444</v>
      </c>
      <c r="J15803" t="s">
        <v>535</v>
      </c>
      <c r="K15803" t="s">
        <v>33</v>
      </c>
      <c r="L15803" t="s">
        <v>445</v>
      </c>
      <c r="N15803" t="s">
        <v>29</v>
      </c>
    </row>
    <row r="15804" spans="1:14">
      <c r="A15804" s="4" t="str">
        <f t="shared" si="1207"/>
        <v>EXP00419</v>
      </c>
      <c r="B15804" s="3" t="s">
        <v>66</v>
      </c>
      <c r="C15804" s="4" t="str">
        <f t="shared" si="1206"/>
        <v>TCGA-CESC</v>
      </c>
      <c r="D15804" s="1" t="s">
        <v>493</v>
      </c>
      <c r="E15804" t="s">
        <v>543</v>
      </c>
      <c r="F15804" s="1">
        <v>2</v>
      </c>
      <c r="G15804" s="1" t="s">
        <v>32</v>
      </c>
      <c r="H15804" s="4" t="str">
        <f>HYPERLINK("https://portal.gdc.cancer.gov/cases/b8eae533-2ad6-4dcf-98af-0fe7ff23a879","TCGA-DS-A1O9-01A")</f>
        <v>TCGA-DS-A1O9-01A</v>
      </c>
      <c r="I15804" t="s">
        <v>444</v>
      </c>
      <c r="J15804" t="s">
        <v>535</v>
      </c>
      <c r="K15804" t="s">
        <v>33</v>
      </c>
      <c r="L15804" t="s">
        <v>445</v>
      </c>
      <c r="N15804" t="s">
        <v>29</v>
      </c>
    </row>
    <row r="15805" spans="1:14">
      <c r="A15805" s="4" t="str">
        <f t="shared" si="1207"/>
        <v>EXP00419</v>
      </c>
      <c r="B15805" s="3" t="s">
        <v>66</v>
      </c>
      <c r="C15805" s="4" t="str">
        <f t="shared" si="1206"/>
        <v>TCGA-CESC</v>
      </c>
      <c r="D15805" s="1" t="s">
        <v>493</v>
      </c>
      <c r="E15805" t="s">
        <v>543</v>
      </c>
      <c r="F15805" s="1">
        <v>2</v>
      </c>
      <c r="G15805" s="1" t="s">
        <v>32</v>
      </c>
      <c r="H15805" s="4" t="str">
        <f>HYPERLINK("https://portal.gdc.cancer.gov/cases/46c67dd6-8e66-411d-ad05-95daa9005eb2","TCGA-DS-A1OA-01A")</f>
        <v>TCGA-DS-A1OA-01A</v>
      </c>
      <c r="I15805" t="s">
        <v>444</v>
      </c>
      <c r="J15805" t="s">
        <v>535</v>
      </c>
      <c r="K15805" t="s">
        <v>33</v>
      </c>
      <c r="L15805" t="s">
        <v>445</v>
      </c>
      <c r="N15805" t="s">
        <v>29</v>
      </c>
    </row>
    <row r="15806" spans="1:14">
      <c r="A15806" s="4" t="str">
        <f t="shared" si="1207"/>
        <v>EXP00419</v>
      </c>
      <c r="B15806" s="3" t="s">
        <v>66</v>
      </c>
      <c r="C15806" s="4" t="str">
        <f t="shared" si="1206"/>
        <v>TCGA-CESC</v>
      </c>
      <c r="D15806" s="1" t="s">
        <v>493</v>
      </c>
      <c r="E15806" t="s">
        <v>543</v>
      </c>
      <c r="F15806" s="1">
        <v>2</v>
      </c>
      <c r="G15806" s="1" t="s">
        <v>32</v>
      </c>
      <c r="H15806" s="4" t="str">
        <f>HYPERLINK("https://portal.gdc.cancer.gov/cases/29a48c93-bade-4346-a901-de35a6537337","TCGA-DS-A1OB-01A")</f>
        <v>TCGA-DS-A1OB-01A</v>
      </c>
      <c r="I15806" t="s">
        <v>444</v>
      </c>
      <c r="J15806" t="s">
        <v>535</v>
      </c>
      <c r="K15806" t="s">
        <v>33</v>
      </c>
      <c r="L15806" t="s">
        <v>445</v>
      </c>
      <c r="N15806" t="s">
        <v>29</v>
      </c>
    </row>
    <row r="15807" spans="1:14">
      <c r="A15807" s="4" t="str">
        <f t="shared" si="1207"/>
        <v>EXP00419</v>
      </c>
      <c r="B15807" s="3" t="s">
        <v>66</v>
      </c>
      <c r="C15807" s="4" t="str">
        <f t="shared" si="1206"/>
        <v>TCGA-CESC</v>
      </c>
      <c r="D15807" s="1" t="s">
        <v>493</v>
      </c>
      <c r="E15807" t="s">
        <v>543</v>
      </c>
      <c r="F15807" s="1">
        <v>2</v>
      </c>
      <c r="G15807" s="1" t="s">
        <v>32</v>
      </c>
      <c r="H15807" s="4" t="str">
        <f>HYPERLINK("https://portal.gdc.cancer.gov/cases/e711b88e-fa0e-4781-8549-7a53ed3a13a1","TCGA-DS-A1OC-01A")</f>
        <v>TCGA-DS-A1OC-01A</v>
      </c>
      <c r="I15807" t="s">
        <v>444</v>
      </c>
      <c r="J15807" t="s">
        <v>535</v>
      </c>
      <c r="K15807" t="s">
        <v>33</v>
      </c>
      <c r="L15807" t="s">
        <v>445</v>
      </c>
      <c r="N15807" t="s">
        <v>29</v>
      </c>
    </row>
    <row r="15808" spans="1:14">
      <c r="A15808" s="4" t="str">
        <f t="shared" si="1207"/>
        <v>EXP00419</v>
      </c>
      <c r="B15808" s="3" t="s">
        <v>66</v>
      </c>
      <c r="C15808" s="4" t="str">
        <f t="shared" si="1206"/>
        <v>TCGA-CESC</v>
      </c>
      <c r="D15808" s="1" t="s">
        <v>493</v>
      </c>
      <c r="E15808" t="s">
        <v>543</v>
      </c>
      <c r="F15808" s="1">
        <v>2</v>
      </c>
      <c r="G15808" s="1" t="s">
        <v>32</v>
      </c>
      <c r="H15808" s="4" t="str">
        <f>HYPERLINK("https://portal.gdc.cancer.gov/cases/ec609ebe-2db9-4b95-a154-512fdfa9038f","TCGA-DS-A1OD-01A")</f>
        <v>TCGA-DS-A1OD-01A</v>
      </c>
      <c r="I15808" t="s">
        <v>444</v>
      </c>
      <c r="J15808" t="s">
        <v>535</v>
      </c>
      <c r="K15808" t="s">
        <v>33</v>
      </c>
      <c r="L15808" t="s">
        <v>445</v>
      </c>
      <c r="N15808" t="s">
        <v>29</v>
      </c>
    </row>
    <row r="15809" spans="1:14">
      <c r="A15809" s="4" t="str">
        <f t="shared" si="1207"/>
        <v>EXP00419</v>
      </c>
      <c r="B15809" s="3" t="s">
        <v>66</v>
      </c>
      <c r="C15809" s="4" t="str">
        <f t="shared" si="1206"/>
        <v>TCGA-CESC</v>
      </c>
      <c r="D15809" s="1" t="s">
        <v>493</v>
      </c>
      <c r="E15809" t="s">
        <v>543</v>
      </c>
      <c r="F15809" s="1">
        <v>2</v>
      </c>
      <c r="G15809" s="1" t="s">
        <v>32</v>
      </c>
      <c r="H15809" s="4" t="str">
        <f>HYPERLINK("https://portal.gdc.cancer.gov/cases/63bffdb1-bc08-4175-8be7-d7a056d19816","TCGA-DS-A3LQ-01A")</f>
        <v>TCGA-DS-A3LQ-01A</v>
      </c>
      <c r="I15809" t="s">
        <v>444</v>
      </c>
      <c r="J15809" t="s">
        <v>535</v>
      </c>
      <c r="K15809" t="s">
        <v>33</v>
      </c>
      <c r="L15809" t="s">
        <v>445</v>
      </c>
      <c r="N15809" t="s">
        <v>29</v>
      </c>
    </row>
    <row r="15810" spans="1:14">
      <c r="A15810" s="4" t="str">
        <f t="shared" si="1207"/>
        <v>EXP00419</v>
      </c>
      <c r="B15810" s="3" t="s">
        <v>66</v>
      </c>
      <c r="C15810" s="4" t="str">
        <f t="shared" si="1206"/>
        <v>TCGA-CESC</v>
      </c>
      <c r="D15810" s="1" t="s">
        <v>493</v>
      </c>
      <c r="E15810" t="s">
        <v>543</v>
      </c>
      <c r="F15810" s="1">
        <v>2</v>
      </c>
      <c r="G15810" s="1" t="s">
        <v>32</v>
      </c>
      <c r="H15810" s="4" t="str">
        <f>HYPERLINK("https://portal.gdc.cancer.gov/cases/b16469af-a721-43e9-a4d7-c39b94d1139f","TCGA-DS-A5RQ-01A")</f>
        <v>TCGA-DS-A5RQ-01A</v>
      </c>
      <c r="I15810" t="s">
        <v>444</v>
      </c>
      <c r="J15810" t="s">
        <v>535</v>
      </c>
      <c r="K15810" t="s">
        <v>33</v>
      </c>
      <c r="L15810" t="s">
        <v>445</v>
      </c>
      <c r="N15810" t="s">
        <v>29</v>
      </c>
    </row>
    <row r="15811" spans="1:14">
      <c r="A15811" s="4" t="str">
        <f t="shared" si="1207"/>
        <v>EXP00419</v>
      </c>
      <c r="B15811" s="3" t="s">
        <v>66</v>
      </c>
      <c r="C15811" s="4" t="str">
        <f t="shared" si="1206"/>
        <v>TCGA-CESC</v>
      </c>
      <c r="D15811" s="1" t="s">
        <v>493</v>
      </c>
      <c r="E15811" t="s">
        <v>543</v>
      </c>
      <c r="F15811" s="1">
        <v>2</v>
      </c>
      <c r="G15811" s="1" t="s">
        <v>32</v>
      </c>
      <c r="H15811" s="4" t="str">
        <f>HYPERLINK("https://portal.gdc.cancer.gov/cases/dadcf6d5-03eb-4090-bcc3-b9e9dc3c7e08","TCGA-DS-A7WH-01A")</f>
        <v>TCGA-DS-A7WH-01A</v>
      </c>
      <c r="I15811" t="s">
        <v>444</v>
      </c>
      <c r="J15811" t="s">
        <v>535</v>
      </c>
      <c r="K15811" t="s">
        <v>33</v>
      </c>
      <c r="L15811" t="s">
        <v>445</v>
      </c>
      <c r="N15811" t="s">
        <v>29</v>
      </c>
    </row>
    <row r="15812" spans="1:14">
      <c r="A15812" s="4" t="str">
        <f t="shared" si="1207"/>
        <v>EXP00419</v>
      </c>
      <c r="B15812" s="3" t="s">
        <v>66</v>
      </c>
      <c r="C15812" s="4" t="str">
        <f t="shared" si="1206"/>
        <v>TCGA-CESC</v>
      </c>
      <c r="D15812" s="1" t="s">
        <v>493</v>
      </c>
      <c r="E15812" t="s">
        <v>543</v>
      </c>
      <c r="F15812" s="1">
        <v>2</v>
      </c>
      <c r="G15812" s="1" t="s">
        <v>32</v>
      </c>
      <c r="H15812" s="4" t="str">
        <f>HYPERLINK("https://portal.gdc.cancer.gov/cases/c14468eb-e725-4029-96cc-75bb9ebd9def","TCGA-DS-A7WI-01A")</f>
        <v>TCGA-DS-A7WI-01A</v>
      </c>
      <c r="I15812" t="s">
        <v>444</v>
      </c>
      <c r="J15812" t="s">
        <v>535</v>
      </c>
      <c r="K15812" t="s">
        <v>33</v>
      </c>
      <c r="L15812" t="s">
        <v>445</v>
      </c>
      <c r="N15812" t="s">
        <v>29</v>
      </c>
    </row>
    <row r="15813" spans="1:14">
      <c r="A15813" s="4" t="str">
        <f t="shared" si="1207"/>
        <v>EXP00419</v>
      </c>
      <c r="B15813" s="3" t="s">
        <v>66</v>
      </c>
      <c r="C15813" s="4" t="str">
        <f t="shared" ref="C15813:C15876" si="1208">HYPERLINK("https://portal.gdc.cancer.gov/projects/TCGA-CESC","TCGA-CESC")</f>
        <v>TCGA-CESC</v>
      </c>
      <c r="D15813" s="1" t="s">
        <v>493</v>
      </c>
      <c r="E15813" t="s">
        <v>543</v>
      </c>
      <c r="F15813" s="1">
        <v>2</v>
      </c>
      <c r="G15813" s="1" t="s">
        <v>32</v>
      </c>
      <c r="H15813" s="4" t="str">
        <f>HYPERLINK("https://portal.gdc.cancer.gov/cases/6f9d21c0-3b88-450d-a249-3e9bafba2dfa","TCGA-EA-A1QS-01A")</f>
        <v>TCGA-EA-A1QS-01A</v>
      </c>
      <c r="I15813" t="s">
        <v>444</v>
      </c>
      <c r="J15813" t="s">
        <v>535</v>
      </c>
      <c r="K15813" t="s">
        <v>33</v>
      </c>
      <c r="L15813" t="s">
        <v>445</v>
      </c>
      <c r="N15813" t="s">
        <v>29</v>
      </c>
    </row>
    <row r="15814" spans="1:14">
      <c r="A15814" s="4" t="str">
        <f t="shared" si="1207"/>
        <v>EXP00419</v>
      </c>
      <c r="B15814" s="3" t="s">
        <v>66</v>
      </c>
      <c r="C15814" s="4" t="str">
        <f t="shared" si="1208"/>
        <v>TCGA-CESC</v>
      </c>
      <c r="D15814" s="1" t="s">
        <v>493</v>
      </c>
      <c r="E15814" t="s">
        <v>543</v>
      </c>
      <c r="F15814" s="1">
        <v>2</v>
      </c>
      <c r="G15814" s="1" t="s">
        <v>32</v>
      </c>
      <c r="H15814" s="4" t="str">
        <f>HYPERLINK("https://portal.gdc.cancer.gov/cases/970b619f-2eb5-4557-a7b8-5def35943c58","TCGA-EA-A1QT-01A")</f>
        <v>TCGA-EA-A1QT-01A</v>
      </c>
      <c r="I15814" t="s">
        <v>444</v>
      </c>
      <c r="J15814" t="s">
        <v>535</v>
      </c>
      <c r="K15814" t="s">
        <v>33</v>
      </c>
      <c r="L15814" t="s">
        <v>445</v>
      </c>
      <c r="N15814" t="s">
        <v>29</v>
      </c>
    </row>
    <row r="15815" spans="1:14">
      <c r="A15815" s="4" t="str">
        <f t="shared" si="1207"/>
        <v>EXP00419</v>
      </c>
      <c r="B15815" s="3" t="s">
        <v>66</v>
      </c>
      <c r="C15815" s="4" t="str">
        <f t="shared" si="1208"/>
        <v>TCGA-CESC</v>
      </c>
      <c r="D15815" s="1" t="s">
        <v>493</v>
      </c>
      <c r="E15815" t="s">
        <v>543</v>
      </c>
      <c r="F15815" s="1">
        <v>2</v>
      </c>
      <c r="G15815" s="1" t="s">
        <v>32</v>
      </c>
      <c r="H15815" s="4" t="str">
        <f>HYPERLINK("https://portal.gdc.cancer.gov/cases/6bf00b63-89f8-420c-8d36-f680fb0908b1","TCGA-EA-A3HQ-01A")</f>
        <v>TCGA-EA-A3HQ-01A</v>
      </c>
      <c r="I15815" t="s">
        <v>444</v>
      </c>
      <c r="J15815" t="s">
        <v>535</v>
      </c>
      <c r="K15815" t="s">
        <v>33</v>
      </c>
      <c r="L15815" t="s">
        <v>445</v>
      </c>
      <c r="N15815" t="s">
        <v>29</v>
      </c>
    </row>
    <row r="15816" spans="1:14">
      <c r="A15816" s="4" t="str">
        <f t="shared" si="1207"/>
        <v>EXP00419</v>
      </c>
      <c r="B15816" s="3" t="s">
        <v>66</v>
      </c>
      <c r="C15816" s="4" t="str">
        <f t="shared" si="1208"/>
        <v>TCGA-CESC</v>
      </c>
      <c r="D15816" s="1" t="s">
        <v>493</v>
      </c>
      <c r="E15816" t="s">
        <v>543</v>
      </c>
      <c r="F15816" s="1">
        <v>2</v>
      </c>
      <c r="G15816" s="1" t="s">
        <v>32</v>
      </c>
      <c r="H15816" s="4" t="str">
        <f>HYPERLINK("https://portal.gdc.cancer.gov/cases/638035f6-2909-4a44-980f-468ac5d74e18","TCGA-EA-A3HR-01A")</f>
        <v>TCGA-EA-A3HR-01A</v>
      </c>
      <c r="I15816" t="s">
        <v>444</v>
      </c>
      <c r="J15816" t="s">
        <v>535</v>
      </c>
      <c r="K15816" t="s">
        <v>33</v>
      </c>
      <c r="L15816" t="s">
        <v>445</v>
      </c>
      <c r="N15816" t="s">
        <v>29</v>
      </c>
    </row>
    <row r="15817" spans="1:14">
      <c r="A15817" s="4" t="str">
        <f t="shared" si="1207"/>
        <v>EXP00419</v>
      </c>
      <c r="B15817" s="3" t="s">
        <v>66</v>
      </c>
      <c r="C15817" s="4" t="str">
        <f t="shared" si="1208"/>
        <v>TCGA-CESC</v>
      </c>
      <c r="D15817" s="1" t="s">
        <v>493</v>
      </c>
      <c r="E15817" t="s">
        <v>543</v>
      </c>
      <c r="F15817" s="1">
        <v>2</v>
      </c>
      <c r="G15817" s="1" t="s">
        <v>32</v>
      </c>
      <c r="H15817" s="4" t="str">
        <f>HYPERLINK("https://portal.gdc.cancer.gov/cases/753ee373-fbcf-4349-b9b2-5a41936e27e9","TCGA-EA-A3HS-01A")</f>
        <v>TCGA-EA-A3HS-01A</v>
      </c>
      <c r="I15817" t="s">
        <v>444</v>
      </c>
      <c r="J15817" t="s">
        <v>535</v>
      </c>
      <c r="K15817" t="s">
        <v>33</v>
      </c>
      <c r="L15817" t="s">
        <v>445</v>
      </c>
      <c r="N15817" t="s">
        <v>29</v>
      </c>
    </row>
    <row r="15818" spans="1:14">
      <c r="A15818" s="4" t="str">
        <f t="shared" si="1207"/>
        <v>EXP00419</v>
      </c>
      <c r="B15818" s="3" t="s">
        <v>66</v>
      </c>
      <c r="C15818" s="4" t="str">
        <f t="shared" si="1208"/>
        <v>TCGA-CESC</v>
      </c>
      <c r="D15818" s="1" t="s">
        <v>493</v>
      </c>
      <c r="E15818" t="s">
        <v>543</v>
      </c>
      <c r="F15818" s="1">
        <v>2</v>
      </c>
      <c r="G15818" s="1" t="s">
        <v>32</v>
      </c>
      <c r="H15818" s="4" t="str">
        <f>HYPERLINK("https://portal.gdc.cancer.gov/cases/3c5b2452-014b-495f-b86a-f522ed84bc3b","TCGA-EA-A3HT-01A")</f>
        <v>TCGA-EA-A3HT-01A</v>
      </c>
      <c r="I15818" t="s">
        <v>444</v>
      </c>
      <c r="J15818" t="s">
        <v>535</v>
      </c>
      <c r="K15818" t="s">
        <v>33</v>
      </c>
      <c r="L15818" t="s">
        <v>445</v>
      </c>
      <c r="N15818" t="s">
        <v>29</v>
      </c>
    </row>
    <row r="15819" spans="1:14">
      <c r="A15819" s="4" t="str">
        <f t="shared" si="1207"/>
        <v>EXP00419</v>
      </c>
      <c r="B15819" s="3" t="s">
        <v>66</v>
      </c>
      <c r="C15819" s="4" t="str">
        <f t="shared" si="1208"/>
        <v>TCGA-CESC</v>
      </c>
      <c r="D15819" s="1" t="s">
        <v>493</v>
      </c>
      <c r="E15819" t="s">
        <v>543</v>
      </c>
      <c r="F15819" s="1">
        <v>2</v>
      </c>
      <c r="G15819" s="1" t="s">
        <v>32</v>
      </c>
      <c r="H15819" s="4" t="str">
        <f>HYPERLINK("https://portal.gdc.cancer.gov/cases/9912432e-74bc-4846-93b4-fa2bf8070bd1","TCGA-EA-A3HU-01A")</f>
        <v>TCGA-EA-A3HU-01A</v>
      </c>
      <c r="I15819" t="s">
        <v>444</v>
      </c>
      <c r="J15819" t="s">
        <v>535</v>
      </c>
      <c r="K15819" t="s">
        <v>33</v>
      </c>
      <c r="L15819" t="s">
        <v>445</v>
      </c>
      <c r="N15819" t="s">
        <v>29</v>
      </c>
    </row>
    <row r="15820" spans="1:14">
      <c r="A15820" s="4" t="str">
        <f t="shared" si="1207"/>
        <v>EXP00419</v>
      </c>
      <c r="B15820" s="3" t="s">
        <v>66</v>
      </c>
      <c r="C15820" s="4" t="str">
        <f t="shared" si="1208"/>
        <v>TCGA-CESC</v>
      </c>
      <c r="D15820" s="1" t="s">
        <v>493</v>
      </c>
      <c r="E15820" t="s">
        <v>543</v>
      </c>
      <c r="F15820" s="1">
        <v>2</v>
      </c>
      <c r="G15820" s="1" t="s">
        <v>32</v>
      </c>
      <c r="H15820" s="4" t="str">
        <f>HYPERLINK("https://portal.gdc.cancer.gov/cases/9e2e29e8-d94a-499f-a98a-5b53b2c38f3b","TCGA-EA-A3QD-01A")</f>
        <v>TCGA-EA-A3QD-01A</v>
      </c>
      <c r="I15820" t="s">
        <v>444</v>
      </c>
      <c r="J15820" t="s">
        <v>535</v>
      </c>
      <c r="K15820" t="s">
        <v>33</v>
      </c>
      <c r="L15820" t="s">
        <v>445</v>
      </c>
      <c r="N15820" t="s">
        <v>29</v>
      </c>
    </row>
    <row r="15821" spans="1:14">
      <c r="A15821" s="4" t="str">
        <f t="shared" si="1207"/>
        <v>EXP00419</v>
      </c>
      <c r="B15821" s="3" t="s">
        <v>66</v>
      </c>
      <c r="C15821" s="4" t="str">
        <f t="shared" si="1208"/>
        <v>TCGA-CESC</v>
      </c>
      <c r="D15821" s="1" t="s">
        <v>493</v>
      </c>
      <c r="E15821" t="s">
        <v>543</v>
      </c>
      <c r="F15821" s="1">
        <v>2</v>
      </c>
      <c r="G15821" s="1" t="s">
        <v>32</v>
      </c>
      <c r="H15821" s="4" t="str">
        <f>HYPERLINK("https://portal.gdc.cancer.gov/cases/a4e444b5-bbca-4ef0-b92f-908d608cbb91","TCGA-EA-A3QE-01A")</f>
        <v>TCGA-EA-A3QE-01A</v>
      </c>
      <c r="I15821" t="s">
        <v>444</v>
      </c>
      <c r="J15821" t="s">
        <v>535</v>
      </c>
      <c r="K15821" t="s">
        <v>33</v>
      </c>
      <c r="L15821" t="s">
        <v>445</v>
      </c>
      <c r="N15821" t="s">
        <v>29</v>
      </c>
    </row>
    <row r="15822" spans="1:14">
      <c r="A15822" s="4" t="str">
        <f t="shared" si="1207"/>
        <v>EXP00419</v>
      </c>
      <c r="B15822" s="3" t="s">
        <v>66</v>
      </c>
      <c r="C15822" s="4" t="str">
        <f t="shared" si="1208"/>
        <v>TCGA-CESC</v>
      </c>
      <c r="D15822" s="1" t="s">
        <v>493</v>
      </c>
      <c r="E15822" t="s">
        <v>543</v>
      </c>
      <c r="F15822" s="1">
        <v>2</v>
      </c>
      <c r="G15822" s="1" t="s">
        <v>32</v>
      </c>
      <c r="H15822" s="4" t="str">
        <f>HYPERLINK("https://portal.gdc.cancer.gov/cases/3ac62513-b5f4-4063-aabd-dad08a1f56fb","TCGA-EA-A3Y4-01A")</f>
        <v>TCGA-EA-A3Y4-01A</v>
      </c>
      <c r="I15822" t="s">
        <v>444</v>
      </c>
      <c r="J15822" t="s">
        <v>535</v>
      </c>
      <c r="K15822" t="s">
        <v>33</v>
      </c>
      <c r="L15822" t="s">
        <v>445</v>
      </c>
      <c r="N15822" t="s">
        <v>29</v>
      </c>
    </row>
    <row r="15823" spans="1:14">
      <c r="A15823" s="4" t="str">
        <f t="shared" si="1207"/>
        <v>EXP00419</v>
      </c>
      <c r="B15823" s="3" t="s">
        <v>66</v>
      </c>
      <c r="C15823" s="4" t="str">
        <f t="shared" si="1208"/>
        <v>TCGA-CESC</v>
      </c>
      <c r="D15823" s="1" t="s">
        <v>493</v>
      </c>
      <c r="E15823" t="s">
        <v>543</v>
      </c>
      <c r="F15823" s="1">
        <v>2</v>
      </c>
      <c r="G15823" s="1" t="s">
        <v>32</v>
      </c>
      <c r="H15823" s="4" t="str">
        <f>HYPERLINK("https://portal.gdc.cancer.gov/cases/7b356c12-b226-4e58-be7f-44e50e3eefbe","TCGA-EA-A410-01A")</f>
        <v>TCGA-EA-A410-01A</v>
      </c>
      <c r="I15823" t="s">
        <v>444</v>
      </c>
      <c r="J15823" t="s">
        <v>535</v>
      </c>
      <c r="K15823" t="s">
        <v>33</v>
      </c>
      <c r="L15823" t="s">
        <v>445</v>
      </c>
      <c r="N15823" t="s">
        <v>29</v>
      </c>
    </row>
    <row r="15824" spans="1:14">
      <c r="A15824" s="4" t="str">
        <f t="shared" si="1207"/>
        <v>EXP00419</v>
      </c>
      <c r="B15824" s="3" t="s">
        <v>66</v>
      </c>
      <c r="C15824" s="4" t="str">
        <f t="shared" si="1208"/>
        <v>TCGA-CESC</v>
      </c>
      <c r="D15824" s="1" t="s">
        <v>493</v>
      </c>
      <c r="E15824" t="s">
        <v>543</v>
      </c>
      <c r="F15824" s="1">
        <v>2</v>
      </c>
      <c r="G15824" s="1" t="s">
        <v>32</v>
      </c>
      <c r="H15824" s="4" t="str">
        <f>HYPERLINK("https://portal.gdc.cancer.gov/cases/84cb84d0-7c7e-453c-8cc5-65b5af941028","TCGA-EA-A411-01A")</f>
        <v>TCGA-EA-A411-01A</v>
      </c>
      <c r="I15824" t="s">
        <v>444</v>
      </c>
      <c r="J15824" t="s">
        <v>535</v>
      </c>
      <c r="K15824" t="s">
        <v>33</v>
      </c>
      <c r="L15824" t="s">
        <v>445</v>
      </c>
      <c r="N15824" t="s">
        <v>29</v>
      </c>
    </row>
    <row r="15825" spans="1:14">
      <c r="A15825" s="4" t="str">
        <f t="shared" si="1207"/>
        <v>EXP00419</v>
      </c>
      <c r="B15825" s="3" t="s">
        <v>66</v>
      </c>
      <c r="C15825" s="4" t="str">
        <f t="shared" si="1208"/>
        <v>TCGA-CESC</v>
      </c>
      <c r="D15825" s="1" t="s">
        <v>493</v>
      </c>
      <c r="E15825" t="s">
        <v>543</v>
      </c>
      <c r="F15825" s="1">
        <v>2</v>
      </c>
      <c r="G15825" s="1" t="s">
        <v>32</v>
      </c>
      <c r="H15825" s="4" t="str">
        <f>HYPERLINK("https://portal.gdc.cancer.gov/cases/3edb62c1-25ad-4deb-a005-e881a887d06a","TCGA-EA-A439-01A")</f>
        <v>TCGA-EA-A439-01A</v>
      </c>
      <c r="I15825" t="s">
        <v>444</v>
      </c>
      <c r="J15825" t="s">
        <v>535</v>
      </c>
      <c r="K15825" t="s">
        <v>33</v>
      </c>
      <c r="L15825" t="s">
        <v>445</v>
      </c>
      <c r="N15825" t="s">
        <v>29</v>
      </c>
    </row>
    <row r="15826" spans="1:14">
      <c r="A15826" s="4" t="str">
        <f t="shared" si="1207"/>
        <v>EXP00419</v>
      </c>
      <c r="B15826" s="3" t="s">
        <v>66</v>
      </c>
      <c r="C15826" s="4" t="str">
        <f t="shared" si="1208"/>
        <v>TCGA-CESC</v>
      </c>
      <c r="D15826" s="1" t="s">
        <v>493</v>
      </c>
      <c r="E15826" t="s">
        <v>543</v>
      </c>
      <c r="F15826" s="1">
        <v>2</v>
      </c>
      <c r="G15826" s="1" t="s">
        <v>32</v>
      </c>
      <c r="H15826" s="4" t="str">
        <f>HYPERLINK("https://portal.gdc.cancer.gov/cases/3265f9c1-7242-4c7d-b4ad-b6519ee94f84","TCGA-EA-A43B-01A")</f>
        <v>TCGA-EA-A43B-01A</v>
      </c>
      <c r="I15826" t="s">
        <v>444</v>
      </c>
      <c r="J15826" t="s">
        <v>535</v>
      </c>
      <c r="K15826" t="s">
        <v>33</v>
      </c>
      <c r="L15826" t="s">
        <v>445</v>
      </c>
      <c r="N15826" t="s">
        <v>29</v>
      </c>
    </row>
    <row r="15827" spans="1:14">
      <c r="A15827" s="4" t="str">
        <f t="shared" si="1207"/>
        <v>EXP00419</v>
      </c>
      <c r="B15827" s="3" t="s">
        <v>66</v>
      </c>
      <c r="C15827" s="4" t="str">
        <f t="shared" si="1208"/>
        <v>TCGA-CESC</v>
      </c>
      <c r="D15827" s="1" t="s">
        <v>493</v>
      </c>
      <c r="E15827" t="s">
        <v>543</v>
      </c>
      <c r="F15827" s="1">
        <v>2</v>
      </c>
      <c r="G15827" s="1" t="s">
        <v>32</v>
      </c>
      <c r="H15827" s="4" t="str">
        <f>HYPERLINK("https://portal.gdc.cancer.gov/cases/cfb61fd8-0bca-40b4-878c-cc914a289792","TCGA-EA-A44S-01A")</f>
        <v>TCGA-EA-A44S-01A</v>
      </c>
      <c r="I15827" t="s">
        <v>444</v>
      </c>
      <c r="J15827" t="s">
        <v>535</v>
      </c>
      <c r="K15827" t="s">
        <v>33</v>
      </c>
      <c r="L15827" t="s">
        <v>445</v>
      </c>
      <c r="N15827" t="s">
        <v>29</v>
      </c>
    </row>
    <row r="15828" spans="1:14">
      <c r="A15828" s="4" t="str">
        <f t="shared" si="1207"/>
        <v>EXP00419</v>
      </c>
      <c r="B15828" s="3" t="s">
        <v>66</v>
      </c>
      <c r="C15828" s="4" t="str">
        <f t="shared" si="1208"/>
        <v>TCGA-CESC</v>
      </c>
      <c r="D15828" s="1" t="s">
        <v>493</v>
      </c>
      <c r="E15828" t="s">
        <v>543</v>
      </c>
      <c r="F15828" s="1">
        <v>2</v>
      </c>
      <c r="G15828" s="1" t="s">
        <v>32</v>
      </c>
      <c r="H15828" s="4" t="str">
        <f>HYPERLINK("https://portal.gdc.cancer.gov/cases/9e79059f-3453-4aa6-9849-55a267c711a4","TCGA-EA-A4BA-01A")</f>
        <v>TCGA-EA-A4BA-01A</v>
      </c>
      <c r="I15828" t="s">
        <v>444</v>
      </c>
      <c r="J15828" t="s">
        <v>535</v>
      </c>
      <c r="K15828" t="s">
        <v>33</v>
      </c>
      <c r="L15828" t="s">
        <v>445</v>
      </c>
      <c r="N15828" t="s">
        <v>29</v>
      </c>
    </row>
    <row r="15829" spans="1:14">
      <c r="A15829" s="4" t="str">
        <f t="shared" si="1207"/>
        <v>EXP00419</v>
      </c>
      <c r="B15829" s="3" t="s">
        <v>66</v>
      </c>
      <c r="C15829" s="4" t="str">
        <f t="shared" si="1208"/>
        <v>TCGA-CESC</v>
      </c>
      <c r="D15829" s="1" t="s">
        <v>493</v>
      </c>
      <c r="E15829" t="s">
        <v>543</v>
      </c>
      <c r="F15829" s="1">
        <v>2</v>
      </c>
      <c r="G15829" s="1" t="s">
        <v>32</v>
      </c>
      <c r="H15829" s="4" t="str">
        <f>HYPERLINK("https://portal.gdc.cancer.gov/cases/6a18d184-d3a2-49c2-bd4b-9c18f91b98c7","TCGA-EA-A50E-01A")</f>
        <v>TCGA-EA-A50E-01A</v>
      </c>
      <c r="I15829" t="s">
        <v>444</v>
      </c>
      <c r="J15829" t="s">
        <v>535</v>
      </c>
      <c r="K15829" t="s">
        <v>33</v>
      </c>
      <c r="L15829" t="s">
        <v>445</v>
      </c>
      <c r="N15829" t="s">
        <v>29</v>
      </c>
    </row>
    <row r="15830" spans="1:14">
      <c r="A15830" s="4" t="str">
        <f t="shared" si="1207"/>
        <v>EXP00419</v>
      </c>
      <c r="B15830" s="3" t="s">
        <v>66</v>
      </c>
      <c r="C15830" s="4" t="str">
        <f t="shared" si="1208"/>
        <v>TCGA-CESC</v>
      </c>
      <c r="D15830" s="1" t="s">
        <v>493</v>
      </c>
      <c r="E15830" t="s">
        <v>543</v>
      </c>
      <c r="F15830" s="1">
        <v>2</v>
      </c>
      <c r="G15830" s="1" t="s">
        <v>32</v>
      </c>
      <c r="H15830" s="4" t="str">
        <f>HYPERLINK("https://portal.gdc.cancer.gov/cases/2d34e9a3-298c-4365-b7a1-a507c7f069cd","TCGA-EA-A556-01A")</f>
        <v>TCGA-EA-A556-01A</v>
      </c>
      <c r="I15830" t="s">
        <v>444</v>
      </c>
      <c r="J15830" t="s">
        <v>535</v>
      </c>
      <c r="K15830" t="s">
        <v>33</v>
      </c>
      <c r="L15830" t="s">
        <v>445</v>
      </c>
      <c r="N15830" t="s">
        <v>29</v>
      </c>
    </row>
    <row r="15831" spans="1:14">
      <c r="A15831" s="4" t="str">
        <f t="shared" si="1207"/>
        <v>EXP00419</v>
      </c>
      <c r="B15831" s="3" t="s">
        <v>66</v>
      </c>
      <c r="C15831" s="4" t="str">
        <f t="shared" si="1208"/>
        <v>TCGA-CESC</v>
      </c>
      <c r="D15831" s="1" t="s">
        <v>493</v>
      </c>
      <c r="E15831" t="s">
        <v>543</v>
      </c>
      <c r="F15831" s="1">
        <v>2</v>
      </c>
      <c r="G15831" s="1" t="s">
        <v>32</v>
      </c>
      <c r="H15831" s="4" t="str">
        <f>HYPERLINK("https://portal.gdc.cancer.gov/cases/ed17685c-b706-41e4-8a76-11cb0e6700cd","TCGA-EA-A5FO-01A")</f>
        <v>TCGA-EA-A5FO-01A</v>
      </c>
      <c r="I15831" t="s">
        <v>444</v>
      </c>
      <c r="J15831" t="s">
        <v>535</v>
      </c>
      <c r="K15831" t="s">
        <v>33</v>
      </c>
      <c r="L15831" t="s">
        <v>445</v>
      </c>
      <c r="N15831" t="s">
        <v>29</v>
      </c>
    </row>
    <row r="15832" spans="1:14">
      <c r="A15832" s="4" t="str">
        <f t="shared" si="1207"/>
        <v>EXP00419</v>
      </c>
      <c r="B15832" s="3" t="s">
        <v>66</v>
      </c>
      <c r="C15832" s="4" t="str">
        <f t="shared" si="1208"/>
        <v>TCGA-CESC</v>
      </c>
      <c r="D15832" s="1" t="s">
        <v>493</v>
      </c>
      <c r="E15832" t="s">
        <v>543</v>
      </c>
      <c r="F15832" s="1">
        <v>2</v>
      </c>
      <c r="G15832" s="1" t="s">
        <v>32</v>
      </c>
      <c r="H15832" s="4" t="str">
        <f>HYPERLINK("https://portal.gdc.cancer.gov/cases/1636242c-12da-412e-a362-914a20add708","TCGA-EA-A5O9-01A")</f>
        <v>TCGA-EA-A5O9-01A</v>
      </c>
      <c r="I15832" t="s">
        <v>444</v>
      </c>
      <c r="J15832" t="s">
        <v>535</v>
      </c>
      <c r="K15832" t="s">
        <v>33</v>
      </c>
      <c r="L15832" t="s">
        <v>445</v>
      </c>
      <c r="N15832" t="s">
        <v>29</v>
      </c>
    </row>
    <row r="15833" spans="1:14">
      <c r="A15833" s="4" t="str">
        <f t="shared" si="1207"/>
        <v>EXP00419</v>
      </c>
      <c r="B15833" s="3" t="s">
        <v>66</v>
      </c>
      <c r="C15833" s="4" t="str">
        <f t="shared" si="1208"/>
        <v>TCGA-CESC</v>
      </c>
      <c r="D15833" s="1" t="s">
        <v>493</v>
      </c>
      <c r="E15833" t="s">
        <v>543</v>
      </c>
      <c r="F15833" s="1">
        <v>2</v>
      </c>
      <c r="G15833" s="1" t="s">
        <v>32</v>
      </c>
      <c r="H15833" s="4" t="str">
        <f>HYPERLINK("https://portal.gdc.cancer.gov/cases/35d677b6-0487-44d3-bbba-651eac7e0635","TCGA-EA-A5ZD-01A")</f>
        <v>TCGA-EA-A5ZD-01A</v>
      </c>
      <c r="I15833" t="s">
        <v>444</v>
      </c>
      <c r="J15833" t="s">
        <v>535</v>
      </c>
      <c r="K15833" t="s">
        <v>33</v>
      </c>
      <c r="L15833" t="s">
        <v>445</v>
      </c>
      <c r="N15833" t="s">
        <v>29</v>
      </c>
    </row>
    <row r="15834" spans="1:14">
      <c r="A15834" s="4" t="str">
        <f t="shared" si="1207"/>
        <v>EXP00419</v>
      </c>
      <c r="B15834" s="3" t="s">
        <v>66</v>
      </c>
      <c r="C15834" s="4" t="str">
        <f t="shared" si="1208"/>
        <v>TCGA-CESC</v>
      </c>
      <c r="D15834" s="1" t="s">
        <v>493</v>
      </c>
      <c r="E15834" t="s">
        <v>543</v>
      </c>
      <c r="F15834" s="1">
        <v>2</v>
      </c>
      <c r="G15834" s="1" t="s">
        <v>32</v>
      </c>
      <c r="H15834" s="4" t="str">
        <f>HYPERLINK("https://portal.gdc.cancer.gov/cases/5e39485a-ac6b-496d-9984-2ea8075f6a9b","TCGA-EA-A5ZE-01A")</f>
        <v>TCGA-EA-A5ZE-01A</v>
      </c>
      <c r="I15834" t="s">
        <v>444</v>
      </c>
      <c r="J15834" t="s">
        <v>535</v>
      </c>
      <c r="K15834" t="s">
        <v>33</v>
      </c>
      <c r="L15834" t="s">
        <v>445</v>
      </c>
      <c r="N15834" t="s">
        <v>29</v>
      </c>
    </row>
    <row r="15835" spans="1:14">
      <c r="A15835" s="4" t="str">
        <f t="shared" si="1207"/>
        <v>EXP00419</v>
      </c>
      <c r="B15835" s="3" t="s">
        <v>66</v>
      </c>
      <c r="C15835" s="4" t="str">
        <f t="shared" si="1208"/>
        <v>TCGA-CESC</v>
      </c>
      <c r="D15835" s="1" t="s">
        <v>493</v>
      </c>
      <c r="E15835" t="s">
        <v>543</v>
      </c>
      <c r="F15835" s="1">
        <v>2</v>
      </c>
      <c r="G15835" s="1" t="s">
        <v>32</v>
      </c>
      <c r="H15835" s="4" t="str">
        <f>HYPERLINK("https://portal.gdc.cancer.gov/cases/0c6bb7dc-45a6-4190-a7c9-b080d49fd58a","TCGA-EA-A5ZF-01A")</f>
        <v>TCGA-EA-A5ZF-01A</v>
      </c>
      <c r="I15835" t="s">
        <v>444</v>
      </c>
      <c r="J15835" t="s">
        <v>535</v>
      </c>
      <c r="K15835" t="s">
        <v>33</v>
      </c>
      <c r="L15835" t="s">
        <v>445</v>
      </c>
      <c r="N15835" t="s">
        <v>29</v>
      </c>
    </row>
    <row r="15836" spans="1:14">
      <c r="A15836" s="4" t="str">
        <f t="shared" si="1207"/>
        <v>EXP00419</v>
      </c>
      <c r="B15836" s="3" t="s">
        <v>66</v>
      </c>
      <c r="C15836" s="4" t="str">
        <f t="shared" si="1208"/>
        <v>TCGA-CESC</v>
      </c>
      <c r="D15836" s="1" t="s">
        <v>493</v>
      </c>
      <c r="E15836" t="s">
        <v>543</v>
      </c>
      <c r="F15836" s="1">
        <v>2</v>
      </c>
      <c r="G15836" s="1" t="s">
        <v>32</v>
      </c>
      <c r="H15836" s="4" t="str">
        <f>HYPERLINK("https://portal.gdc.cancer.gov/cases/a300db40-e0b8-4c45-abbd-d7aa06211e9c","TCGA-EA-A6QX-01A")</f>
        <v>TCGA-EA-A6QX-01A</v>
      </c>
      <c r="I15836" t="s">
        <v>444</v>
      </c>
      <c r="J15836" t="s">
        <v>535</v>
      </c>
      <c r="K15836" t="s">
        <v>33</v>
      </c>
      <c r="L15836" t="s">
        <v>445</v>
      </c>
      <c r="N15836" t="s">
        <v>29</v>
      </c>
    </row>
    <row r="15837" spans="1:14">
      <c r="A15837" s="4" t="str">
        <f t="shared" si="1207"/>
        <v>EXP00419</v>
      </c>
      <c r="B15837" s="3" t="s">
        <v>66</v>
      </c>
      <c r="C15837" s="4" t="str">
        <f t="shared" si="1208"/>
        <v>TCGA-CESC</v>
      </c>
      <c r="D15837" s="1" t="s">
        <v>493</v>
      </c>
      <c r="E15837" t="s">
        <v>543</v>
      </c>
      <c r="F15837" s="1">
        <v>2</v>
      </c>
      <c r="G15837" s="1" t="s">
        <v>32</v>
      </c>
      <c r="H15837" s="4" t="str">
        <f>HYPERLINK("https://portal.gdc.cancer.gov/cases/79ae5209-f476-4d65-a6c0-ebc18d7c8942","TCGA-EA-A78R-01A")</f>
        <v>TCGA-EA-A78R-01A</v>
      </c>
      <c r="I15837" t="s">
        <v>444</v>
      </c>
      <c r="J15837" t="s">
        <v>535</v>
      </c>
      <c r="K15837" t="s">
        <v>33</v>
      </c>
      <c r="L15837" t="s">
        <v>445</v>
      </c>
      <c r="N15837" t="s">
        <v>29</v>
      </c>
    </row>
    <row r="15838" spans="1:14">
      <c r="A15838" s="4" t="str">
        <f t="shared" si="1207"/>
        <v>EXP00419</v>
      </c>
      <c r="B15838" s="3" t="s">
        <v>66</v>
      </c>
      <c r="C15838" s="4" t="str">
        <f t="shared" si="1208"/>
        <v>TCGA-CESC</v>
      </c>
      <c r="D15838" s="1" t="s">
        <v>493</v>
      </c>
      <c r="E15838" t="s">
        <v>543</v>
      </c>
      <c r="F15838" s="1">
        <v>2</v>
      </c>
      <c r="G15838" s="1" t="s">
        <v>32</v>
      </c>
      <c r="H15838" s="4" t="str">
        <f>HYPERLINK("https://portal.gdc.cancer.gov/cases/87e701ab-acfd-45f2-a12e-323c94e5f3d5","TCGA-EA-A97N-01A")</f>
        <v>TCGA-EA-A97N-01A</v>
      </c>
      <c r="I15838" t="s">
        <v>444</v>
      </c>
      <c r="J15838" t="s">
        <v>535</v>
      </c>
      <c r="K15838" t="s">
        <v>33</v>
      </c>
      <c r="L15838" t="s">
        <v>445</v>
      </c>
      <c r="N15838" t="s">
        <v>29</v>
      </c>
    </row>
    <row r="15839" spans="1:14">
      <c r="A15839" s="4" t="str">
        <f t="shared" si="1207"/>
        <v>EXP00419</v>
      </c>
      <c r="B15839" s="3" t="s">
        <v>66</v>
      </c>
      <c r="C15839" s="4" t="str">
        <f t="shared" si="1208"/>
        <v>TCGA-CESC</v>
      </c>
      <c r="D15839" s="1" t="s">
        <v>493</v>
      </c>
      <c r="E15839" t="s">
        <v>543</v>
      </c>
      <c r="F15839" s="1">
        <v>2</v>
      </c>
      <c r="G15839" s="1" t="s">
        <v>32</v>
      </c>
      <c r="H15839" s="4" t="str">
        <f>HYPERLINK("https://portal.gdc.cancer.gov/cases/d7f07485-522a-49d9-b105-5a9a51aca8f7","TCGA-EK-A2GZ-01A")</f>
        <v>TCGA-EK-A2GZ-01A</v>
      </c>
      <c r="I15839" t="s">
        <v>444</v>
      </c>
      <c r="J15839" t="s">
        <v>535</v>
      </c>
      <c r="K15839" t="s">
        <v>33</v>
      </c>
      <c r="L15839" t="s">
        <v>445</v>
      </c>
      <c r="N15839" t="s">
        <v>29</v>
      </c>
    </row>
    <row r="15840" spans="1:14">
      <c r="A15840" s="4" t="str">
        <f t="shared" si="1207"/>
        <v>EXP00419</v>
      </c>
      <c r="B15840" s="3" t="s">
        <v>66</v>
      </c>
      <c r="C15840" s="4" t="str">
        <f t="shared" si="1208"/>
        <v>TCGA-CESC</v>
      </c>
      <c r="D15840" s="1" t="s">
        <v>493</v>
      </c>
      <c r="E15840" t="s">
        <v>543</v>
      </c>
      <c r="F15840" s="1">
        <v>2</v>
      </c>
      <c r="G15840" s="1" t="s">
        <v>32</v>
      </c>
      <c r="H15840" s="4" t="str">
        <f>HYPERLINK("https://portal.gdc.cancer.gov/cases/c83c52f4-3815-4f49-8218-cf80aaa62e2f","TCGA-EK-A2H0-01A")</f>
        <v>TCGA-EK-A2H0-01A</v>
      </c>
      <c r="I15840" t="s">
        <v>444</v>
      </c>
      <c r="J15840" t="s">
        <v>535</v>
      </c>
      <c r="K15840" t="s">
        <v>33</v>
      </c>
      <c r="L15840" t="s">
        <v>445</v>
      </c>
      <c r="N15840" t="s">
        <v>29</v>
      </c>
    </row>
    <row r="15841" spans="1:14">
      <c r="A15841" s="4" t="str">
        <f t="shared" ref="A15841:A15904" si="1209">HYPERLINK("http://hcmdb.i-sanger.com/experiment/details/experiment_id/EXP00419","EXP00419")</f>
        <v>EXP00419</v>
      </c>
      <c r="B15841" s="3" t="s">
        <v>66</v>
      </c>
      <c r="C15841" s="4" t="str">
        <f t="shared" si="1208"/>
        <v>TCGA-CESC</v>
      </c>
      <c r="D15841" s="1" t="s">
        <v>493</v>
      </c>
      <c r="E15841" t="s">
        <v>543</v>
      </c>
      <c r="F15841" s="1">
        <v>2</v>
      </c>
      <c r="G15841" s="1" t="s">
        <v>32</v>
      </c>
      <c r="H15841" s="4" t="str">
        <f>HYPERLINK("https://portal.gdc.cancer.gov/cases/690a7b2a-7dc5-4504-9372-70c8b55e81c7","TCGA-EK-A2H1-01A")</f>
        <v>TCGA-EK-A2H1-01A</v>
      </c>
      <c r="I15841" t="s">
        <v>444</v>
      </c>
      <c r="J15841" t="s">
        <v>535</v>
      </c>
      <c r="K15841" t="s">
        <v>33</v>
      </c>
      <c r="L15841" t="s">
        <v>445</v>
      </c>
      <c r="N15841" t="s">
        <v>29</v>
      </c>
    </row>
    <row r="15842" spans="1:14">
      <c r="A15842" s="4" t="str">
        <f t="shared" si="1209"/>
        <v>EXP00419</v>
      </c>
      <c r="B15842" s="3" t="s">
        <v>66</v>
      </c>
      <c r="C15842" s="4" t="str">
        <f t="shared" si="1208"/>
        <v>TCGA-CESC</v>
      </c>
      <c r="D15842" s="1" t="s">
        <v>493</v>
      </c>
      <c r="E15842" t="s">
        <v>543</v>
      </c>
      <c r="F15842" s="1">
        <v>2</v>
      </c>
      <c r="G15842" s="1" t="s">
        <v>32</v>
      </c>
      <c r="H15842" s="4" t="str">
        <f>HYPERLINK("https://portal.gdc.cancer.gov/cases/76b54726-d348-4a1b-ae26-5b08d2effc9d","TCGA-EK-A2IP-01A")</f>
        <v>TCGA-EK-A2IP-01A</v>
      </c>
      <c r="I15842" t="s">
        <v>444</v>
      </c>
      <c r="J15842" t="s">
        <v>535</v>
      </c>
      <c r="K15842" t="s">
        <v>33</v>
      </c>
      <c r="L15842" t="s">
        <v>445</v>
      </c>
      <c r="N15842" t="s">
        <v>29</v>
      </c>
    </row>
    <row r="15843" spans="1:14">
      <c r="A15843" s="4" t="str">
        <f t="shared" si="1209"/>
        <v>EXP00419</v>
      </c>
      <c r="B15843" s="3" t="s">
        <v>66</v>
      </c>
      <c r="C15843" s="4" t="str">
        <f t="shared" si="1208"/>
        <v>TCGA-CESC</v>
      </c>
      <c r="D15843" s="1" t="s">
        <v>493</v>
      </c>
      <c r="E15843" t="s">
        <v>543</v>
      </c>
      <c r="F15843" s="1">
        <v>2</v>
      </c>
      <c r="G15843" s="1" t="s">
        <v>32</v>
      </c>
      <c r="H15843" s="4" t="str">
        <f>HYPERLINK("https://portal.gdc.cancer.gov/cases/a04cb81e-53bd-4686-9626-52ee87e3e261","TCGA-EK-A2IR-01A")</f>
        <v>TCGA-EK-A2IR-01A</v>
      </c>
      <c r="I15843" t="s">
        <v>444</v>
      </c>
      <c r="J15843" t="s">
        <v>535</v>
      </c>
      <c r="K15843" t="s">
        <v>33</v>
      </c>
      <c r="L15843" t="s">
        <v>445</v>
      </c>
      <c r="N15843" t="s">
        <v>29</v>
      </c>
    </row>
    <row r="15844" spans="1:14">
      <c r="A15844" s="4" t="str">
        <f t="shared" si="1209"/>
        <v>EXP00419</v>
      </c>
      <c r="B15844" s="3" t="s">
        <v>66</v>
      </c>
      <c r="C15844" s="4" t="str">
        <f t="shared" si="1208"/>
        <v>TCGA-CESC</v>
      </c>
      <c r="D15844" s="1" t="s">
        <v>493</v>
      </c>
      <c r="E15844" t="s">
        <v>543</v>
      </c>
      <c r="F15844" s="1">
        <v>2</v>
      </c>
      <c r="G15844" s="1" t="s">
        <v>32</v>
      </c>
      <c r="H15844" s="4" t="str">
        <f>HYPERLINK("https://portal.gdc.cancer.gov/cases/5194a247-cfee-4c11-9475-cf5521a8c6e3","TCGA-EK-A2PG-01A")</f>
        <v>TCGA-EK-A2PG-01A</v>
      </c>
      <c r="I15844" t="s">
        <v>444</v>
      </c>
      <c r="J15844" t="s">
        <v>535</v>
      </c>
      <c r="K15844" t="s">
        <v>33</v>
      </c>
      <c r="L15844" t="s">
        <v>445</v>
      </c>
      <c r="N15844" t="s">
        <v>29</v>
      </c>
    </row>
    <row r="15845" spans="1:14">
      <c r="A15845" s="4" t="str">
        <f t="shared" si="1209"/>
        <v>EXP00419</v>
      </c>
      <c r="B15845" s="3" t="s">
        <v>66</v>
      </c>
      <c r="C15845" s="4" t="str">
        <f t="shared" si="1208"/>
        <v>TCGA-CESC</v>
      </c>
      <c r="D15845" s="1" t="s">
        <v>493</v>
      </c>
      <c r="E15845" t="s">
        <v>543</v>
      </c>
      <c r="F15845" s="1">
        <v>2</v>
      </c>
      <c r="G15845" s="1" t="s">
        <v>32</v>
      </c>
      <c r="H15845" s="4" t="str">
        <f>HYPERLINK("https://portal.gdc.cancer.gov/cases/bfd82578-8b60-4c23-85a1-fc14a1cf5f12","TCGA-EK-A2PI-01A")</f>
        <v>TCGA-EK-A2PI-01A</v>
      </c>
      <c r="I15845" t="s">
        <v>444</v>
      </c>
      <c r="J15845" t="s">
        <v>535</v>
      </c>
      <c r="K15845" t="s">
        <v>33</v>
      </c>
      <c r="L15845" t="s">
        <v>445</v>
      </c>
      <c r="N15845" t="s">
        <v>29</v>
      </c>
    </row>
    <row r="15846" spans="1:14">
      <c r="A15846" s="4" t="str">
        <f t="shared" si="1209"/>
        <v>EXP00419</v>
      </c>
      <c r="B15846" s="3" t="s">
        <v>66</v>
      </c>
      <c r="C15846" s="4" t="str">
        <f t="shared" si="1208"/>
        <v>TCGA-CESC</v>
      </c>
      <c r="D15846" s="1" t="s">
        <v>493</v>
      </c>
      <c r="E15846" t="s">
        <v>543</v>
      </c>
      <c r="F15846" s="1">
        <v>2</v>
      </c>
      <c r="G15846" s="1" t="s">
        <v>32</v>
      </c>
      <c r="H15846" s="4" t="str">
        <f>HYPERLINK("https://portal.gdc.cancer.gov/cases/0809ba8b-4ab6-4f43-934c-c1ccbc014a7e","TCGA-EK-A2PK-01A")</f>
        <v>TCGA-EK-A2PK-01A</v>
      </c>
      <c r="I15846" t="s">
        <v>444</v>
      </c>
      <c r="J15846" t="s">
        <v>535</v>
      </c>
      <c r="K15846" t="s">
        <v>33</v>
      </c>
      <c r="L15846" t="s">
        <v>445</v>
      </c>
      <c r="N15846" t="s">
        <v>29</v>
      </c>
    </row>
    <row r="15847" spans="1:14">
      <c r="A15847" s="4" t="str">
        <f t="shared" si="1209"/>
        <v>EXP00419</v>
      </c>
      <c r="B15847" s="3" t="s">
        <v>66</v>
      </c>
      <c r="C15847" s="4" t="str">
        <f t="shared" si="1208"/>
        <v>TCGA-CESC</v>
      </c>
      <c r="D15847" s="1" t="s">
        <v>493</v>
      </c>
      <c r="E15847" t="s">
        <v>543</v>
      </c>
      <c r="F15847" s="1">
        <v>2</v>
      </c>
      <c r="G15847" s="1" t="s">
        <v>32</v>
      </c>
      <c r="H15847" s="4" t="str">
        <f>HYPERLINK("https://portal.gdc.cancer.gov/cases/45cadcf3-ea98-4063-9255-5c18d6a5cbab","TCGA-EK-A2PL-01A")</f>
        <v>TCGA-EK-A2PL-01A</v>
      </c>
      <c r="I15847" t="s">
        <v>444</v>
      </c>
      <c r="J15847" t="s">
        <v>535</v>
      </c>
      <c r="K15847" t="s">
        <v>33</v>
      </c>
      <c r="L15847" t="s">
        <v>445</v>
      </c>
      <c r="N15847" t="s">
        <v>29</v>
      </c>
    </row>
    <row r="15848" spans="1:14">
      <c r="A15848" s="4" t="str">
        <f t="shared" si="1209"/>
        <v>EXP00419</v>
      </c>
      <c r="B15848" s="3" t="s">
        <v>66</v>
      </c>
      <c r="C15848" s="4" t="str">
        <f t="shared" si="1208"/>
        <v>TCGA-CESC</v>
      </c>
      <c r="D15848" s="1" t="s">
        <v>493</v>
      </c>
      <c r="E15848" t="s">
        <v>543</v>
      </c>
      <c r="F15848" s="1">
        <v>2</v>
      </c>
      <c r="G15848" s="1" t="s">
        <v>32</v>
      </c>
      <c r="H15848" s="4" t="str">
        <f>HYPERLINK("https://portal.gdc.cancer.gov/cases/085fb6d8-6265-484e-9307-8292386714b7","TCGA-EK-A2PM-01A")</f>
        <v>TCGA-EK-A2PM-01A</v>
      </c>
      <c r="I15848" t="s">
        <v>444</v>
      </c>
      <c r="J15848" t="s">
        <v>535</v>
      </c>
      <c r="K15848" t="s">
        <v>33</v>
      </c>
      <c r="L15848" t="s">
        <v>445</v>
      </c>
      <c r="N15848" t="s">
        <v>29</v>
      </c>
    </row>
    <row r="15849" spans="1:14">
      <c r="A15849" s="4" t="str">
        <f t="shared" si="1209"/>
        <v>EXP00419</v>
      </c>
      <c r="B15849" s="3" t="s">
        <v>66</v>
      </c>
      <c r="C15849" s="4" t="str">
        <f t="shared" si="1208"/>
        <v>TCGA-CESC</v>
      </c>
      <c r="D15849" s="1" t="s">
        <v>493</v>
      </c>
      <c r="E15849" t="s">
        <v>543</v>
      </c>
      <c r="F15849" s="1">
        <v>2</v>
      </c>
      <c r="G15849" s="1" t="s">
        <v>32</v>
      </c>
      <c r="H15849" s="4" t="str">
        <f>HYPERLINK("https://portal.gdc.cancer.gov/cases/d7a75bf5-5189-4978-99d9-fcef91c9fbd2","TCGA-EK-A2R7-01A")</f>
        <v>TCGA-EK-A2R7-01A</v>
      </c>
      <c r="I15849" t="s">
        <v>444</v>
      </c>
      <c r="J15849" t="s">
        <v>535</v>
      </c>
      <c r="K15849" t="s">
        <v>33</v>
      </c>
      <c r="L15849" t="s">
        <v>445</v>
      </c>
      <c r="N15849" t="s">
        <v>29</v>
      </c>
    </row>
    <row r="15850" spans="1:14">
      <c r="A15850" s="4" t="str">
        <f t="shared" si="1209"/>
        <v>EXP00419</v>
      </c>
      <c r="B15850" s="3" t="s">
        <v>66</v>
      </c>
      <c r="C15850" s="4" t="str">
        <f t="shared" si="1208"/>
        <v>TCGA-CESC</v>
      </c>
      <c r="D15850" s="1" t="s">
        <v>493</v>
      </c>
      <c r="E15850" t="s">
        <v>543</v>
      </c>
      <c r="F15850" s="1">
        <v>2</v>
      </c>
      <c r="G15850" s="1" t="s">
        <v>32</v>
      </c>
      <c r="H15850" s="4" t="str">
        <f>HYPERLINK("https://portal.gdc.cancer.gov/cases/d4510801-8ce4-4f10-8b31-25c0a39b5135","TCGA-EK-A2R8-01A")</f>
        <v>TCGA-EK-A2R8-01A</v>
      </c>
      <c r="I15850" t="s">
        <v>444</v>
      </c>
      <c r="J15850" t="s">
        <v>535</v>
      </c>
      <c r="K15850" t="s">
        <v>33</v>
      </c>
      <c r="L15850" t="s">
        <v>445</v>
      </c>
      <c r="N15850" t="s">
        <v>29</v>
      </c>
    </row>
    <row r="15851" spans="1:14">
      <c r="A15851" s="4" t="str">
        <f t="shared" si="1209"/>
        <v>EXP00419</v>
      </c>
      <c r="B15851" s="3" t="s">
        <v>66</v>
      </c>
      <c r="C15851" s="4" t="str">
        <f t="shared" si="1208"/>
        <v>TCGA-CESC</v>
      </c>
      <c r="D15851" s="1" t="s">
        <v>493</v>
      </c>
      <c r="E15851" t="s">
        <v>543</v>
      </c>
      <c r="F15851" s="1">
        <v>2</v>
      </c>
      <c r="G15851" s="1" t="s">
        <v>32</v>
      </c>
      <c r="H15851" s="4" t="str">
        <f>HYPERLINK("https://portal.gdc.cancer.gov/cases/00ad0ffe-2105-4829-a495-1c2aceb5bb31","TCGA-EK-A2R9-01A")</f>
        <v>TCGA-EK-A2R9-01A</v>
      </c>
      <c r="I15851" t="s">
        <v>444</v>
      </c>
      <c r="J15851" t="s">
        <v>535</v>
      </c>
      <c r="K15851" t="s">
        <v>33</v>
      </c>
      <c r="L15851" t="s">
        <v>445</v>
      </c>
      <c r="N15851" t="s">
        <v>29</v>
      </c>
    </row>
    <row r="15852" spans="1:14">
      <c r="A15852" s="4" t="str">
        <f t="shared" si="1209"/>
        <v>EXP00419</v>
      </c>
      <c r="B15852" s="3" t="s">
        <v>66</v>
      </c>
      <c r="C15852" s="4" t="str">
        <f t="shared" si="1208"/>
        <v>TCGA-CESC</v>
      </c>
      <c r="D15852" s="1" t="s">
        <v>493</v>
      </c>
      <c r="E15852" t="s">
        <v>543</v>
      </c>
      <c r="F15852" s="1">
        <v>2</v>
      </c>
      <c r="G15852" s="1" t="s">
        <v>32</v>
      </c>
      <c r="H15852" s="4" t="str">
        <f>HYPERLINK("https://portal.gdc.cancer.gov/cases/ada77320-fd05-4e43-be72-864391044b35","TCGA-EK-A2RA-01A")</f>
        <v>TCGA-EK-A2RA-01A</v>
      </c>
      <c r="I15852" t="s">
        <v>444</v>
      </c>
      <c r="J15852" t="s">
        <v>535</v>
      </c>
      <c r="K15852" t="s">
        <v>33</v>
      </c>
      <c r="L15852" t="s">
        <v>445</v>
      </c>
      <c r="N15852" t="s">
        <v>29</v>
      </c>
    </row>
    <row r="15853" spans="1:14">
      <c r="A15853" s="4" t="str">
        <f t="shared" si="1209"/>
        <v>EXP00419</v>
      </c>
      <c r="B15853" s="3" t="s">
        <v>66</v>
      </c>
      <c r="C15853" s="4" t="str">
        <f t="shared" si="1208"/>
        <v>TCGA-CESC</v>
      </c>
      <c r="D15853" s="1" t="s">
        <v>493</v>
      </c>
      <c r="E15853" t="s">
        <v>543</v>
      </c>
      <c r="F15853" s="1">
        <v>2</v>
      </c>
      <c r="G15853" s="1" t="s">
        <v>32</v>
      </c>
      <c r="H15853" s="4" t="str">
        <f>HYPERLINK("https://portal.gdc.cancer.gov/cases/f92a994d-b080-42c9-966f-34c1000865e3","TCGA-EK-A2RB-01A")</f>
        <v>TCGA-EK-A2RB-01A</v>
      </c>
      <c r="I15853" t="s">
        <v>444</v>
      </c>
      <c r="J15853" t="s">
        <v>535</v>
      </c>
      <c r="K15853" t="s">
        <v>33</v>
      </c>
      <c r="L15853" t="s">
        <v>445</v>
      </c>
      <c r="N15853" t="s">
        <v>29</v>
      </c>
    </row>
    <row r="15854" spans="1:14">
      <c r="A15854" s="4" t="str">
        <f t="shared" si="1209"/>
        <v>EXP00419</v>
      </c>
      <c r="B15854" s="3" t="s">
        <v>66</v>
      </c>
      <c r="C15854" s="4" t="str">
        <f t="shared" si="1208"/>
        <v>TCGA-CESC</v>
      </c>
      <c r="D15854" s="1" t="s">
        <v>493</v>
      </c>
      <c r="E15854" t="s">
        <v>543</v>
      </c>
      <c r="F15854" s="1">
        <v>2</v>
      </c>
      <c r="G15854" s="1" t="s">
        <v>32</v>
      </c>
      <c r="H15854" s="4" t="str">
        <f>HYPERLINK("https://portal.gdc.cancer.gov/cases/ac0ae100-8072-47cc-81d9-8b52b1bf9236","TCGA-EK-A2RC-01A")</f>
        <v>TCGA-EK-A2RC-01A</v>
      </c>
      <c r="I15854" t="s">
        <v>444</v>
      </c>
      <c r="J15854" t="s">
        <v>535</v>
      </c>
      <c r="K15854" t="s">
        <v>33</v>
      </c>
      <c r="L15854" t="s">
        <v>445</v>
      </c>
      <c r="N15854" t="s">
        <v>29</v>
      </c>
    </row>
    <row r="15855" spans="1:14">
      <c r="A15855" s="4" t="str">
        <f t="shared" si="1209"/>
        <v>EXP00419</v>
      </c>
      <c r="B15855" s="3" t="s">
        <v>66</v>
      </c>
      <c r="C15855" s="4" t="str">
        <f t="shared" si="1208"/>
        <v>TCGA-CESC</v>
      </c>
      <c r="D15855" s="1" t="s">
        <v>493</v>
      </c>
      <c r="E15855" t="s">
        <v>543</v>
      </c>
      <c r="F15855" s="1">
        <v>2</v>
      </c>
      <c r="G15855" s="1" t="s">
        <v>32</v>
      </c>
      <c r="H15855" s="4" t="str">
        <f>HYPERLINK("https://portal.gdc.cancer.gov/cases/9aa36ac2-8418-4109-a3c1-63ca8742baab","TCGA-EK-A2RE-01A")</f>
        <v>TCGA-EK-A2RE-01A</v>
      </c>
      <c r="I15855" t="s">
        <v>444</v>
      </c>
      <c r="J15855" t="s">
        <v>535</v>
      </c>
      <c r="K15855" t="s">
        <v>33</v>
      </c>
      <c r="L15855" t="s">
        <v>445</v>
      </c>
      <c r="N15855" t="s">
        <v>29</v>
      </c>
    </row>
    <row r="15856" spans="1:14">
      <c r="A15856" s="4" t="str">
        <f t="shared" si="1209"/>
        <v>EXP00419</v>
      </c>
      <c r="B15856" s="3" t="s">
        <v>66</v>
      </c>
      <c r="C15856" s="4" t="str">
        <f t="shared" si="1208"/>
        <v>TCGA-CESC</v>
      </c>
      <c r="D15856" s="1" t="s">
        <v>493</v>
      </c>
      <c r="E15856" t="s">
        <v>543</v>
      </c>
      <c r="F15856" s="1">
        <v>2</v>
      </c>
      <c r="G15856" s="1" t="s">
        <v>32</v>
      </c>
      <c r="H15856" s="4" t="str">
        <f>HYPERLINK("https://portal.gdc.cancer.gov/cases/ccd569e9-dcbe-4280-8c21-6bfe4ce60d7a","TCGA-EK-A2RJ-01A")</f>
        <v>TCGA-EK-A2RJ-01A</v>
      </c>
      <c r="I15856" t="s">
        <v>444</v>
      </c>
      <c r="J15856" t="s">
        <v>535</v>
      </c>
      <c r="K15856" t="s">
        <v>33</v>
      </c>
      <c r="L15856" t="s">
        <v>445</v>
      </c>
      <c r="N15856" t="s">
        <v>29</v>
      </c>
    </row>
    <row r="15857" spans="1:14">
      <c r="A15857" s="4" t="str">
        <f t="shared" si="1209"/>
        <v>EXP00419</v>
      </c>
      <c r="B15857" s="3" t="s">
        <v>66</v>
      </c>
      <c r="C15857" s="4" t="str">
        <f t="shared" si="1208"/>
        <v>TCGA-CESC</v>
      </c>
      <c r="D15857" s="1" t="s">
        <v>493</v>
      </c>
      <c r="E15857" t="s">
        <v>543</v>
      </c>
      <c r="F15857" s="1">
        <v>2</v>
      </c>
      <c r="G15857" s="1" t="s">
        <v>32</v>
      </c>
      <c r="H15857" s="4" t="str">
        <f>HYPERLINK("https://portal.gdc.cancer.gov/cases/acbfeb99-2b6b-4232-9ab5-a58549c6bc3a","TCGA-EK-A2RK-01A")</f>
        <v>TCGA-EK-A2RK-01A</v>
      </c>
      <c r="I15857" t="s">
        <v>444</v>
      </c>
      <c r="J15857" t="s">
        <v>535</v>
      </c>
      <c r="K15857" t="s">
        <v>33</v>
      </c>
      <c r="L15857" t="s">
        <v>445</v>
      </c>
      <c r="N15857" t="s">
        <v>29</v>
      </c>
    </row>
    <row r="15858" spans="1:14">
      <c r="A15858" s="4" t="str">
        <f t="shared" si="1209"/>
        <v>EXP00419</v>
      </c>
      <c r="B15858" s="3" t="s">
        <v>66</v>
      </c>
      <c r="C15858" s="4" t="str">
        <f t="shared" si="1208"/>
        <v>TCGA-CESC</v>
      </c>
      <c r="D15858" s="1" t="s">
        <v>493</v>
      </c>
      <c r="E15858" t="s">
        <v>543</v>
      </c>
      <c r="F15858" s="1">
        <v>2</v>
      </c>
      <c r="G15858" s="1" t="s">
        <v>32</v>
      </c>
      <c r="H15858" s="4" t="str">
        <f>HYPERLINK("https://portal.gdc.cancer.gov/cases/61eb08d0-ea01-45e7-884b-ac3d6070172a","TCGA-EK-A2RL-01A")</f>
        <v>TCGA-EK-A2RL-01A</v>
      </c>
      <c r="I15858" t="s">
        <v>444</v>
      </c>
      <c r="J15858" t="s">
        <v>535</v>
      </c>
      <c r="K15858" t="s">
        <v>33</v>
      </c>
      <c r="L15858" t="s">
        <v>445</v>
      </c>
      <c r="N15858" t="s">
        <v>29</v>
      </c>
    </row>
    <row r="15859" spans="1:14">
      <c r="A15859" s="4" t="str">
        <f t="shared" si="1209"/>
        <v>EXP00419</v>
      </c>
      <c r="B15859" s="3" t="s">
        <v>66</v>
      </c>
      <c r="C15859" s="4" t="str">
        <f t="shared" si="1208"/>
        <v>TCGA-CESC</v>
      </c>
      <c r="D15859" s="1" t="s">
        <v>493</v>
      </c>
      <c r="E15859" t="s">
        <v>543</v>
      </c>
      <c r="F15859" s="1">
        <v>2</v>
      </c>
      <c r="G15859" s="1" t="s">
        <v>32</v>
      </c>
      <c r="H15859" s="4" t="str">
        <f>HYPERLINK("https://portal.gdc.cancer.gov/cases/c13215d9-26a8-4c8b-b4fe-5da6aa3222af","TCGA-EK-A2RM-01A")</f>
        <v>TCGA-EK-A2RM-01A</v>
      </c>
      <c r="I15859" t="s">
        <v>444</v>
      </c>
      <c r="J15859" t="s">
        <v>535</v>
      </c>
      <c r="K15859" t="s">
        <v>33</v>
      </c>
      <c r="L15859" t="s">
        <v>445</v>
      </c>
      <c r="N15859" t="s">
        <v>29</v>
      </c>
    </row>
    <row r="15860" spans="1:14">
      <c r="A15860" s="4" t="str">
        <f t="shared" si="1209"/>
        <v>EXP00419</v>
      </c>
      <c r="B15860" s="3" t="s">
        <v>66</v>
      </c>
      <c r="C15860" s="4" t="str">
        <f t="shared" si="1208"/>
        <v>TCGA-CESC</v>
      </c>
      <c r="D15860" s="1" t="s">
        <v>493</v>
      </c>
      <c r="E15860" t="s">
        <v>543</v>
      </c>
      <c r="F15860" s="1">
        <v>2</v>
      </c>
      <c r="G15860" s="1" t="s">
        <v>32</v>
      </c>
      <c r="H15860" s="4" t="str">
        <f>HYPERLINK("https://portal.gdc.cancer.gov/cases/b610d391-0c9d-4114-94d6-5e4aa4270122","TCGA-EK-A2RN-01A")</f>
        <v>TCGA-EK-A2RN-01A</v>
      </c>
      <c r="I15860" t="s">
        <v>444</v>
      </c>
      <c r="J15860" t="s">
        <v>535</v>
      </c>
      <c r="K15860" t="s">
        <v>33</v>
      </c>
      <c r="L15860" t="s">
        <v>445</v>
      </c>
      <c r="N15860" t="s">
        <v>29</v>
      </c>
    </row>
    <row r="15861" spans="1:14">
      <c r="A15861" s="4" t="str">
        <f t="shared" si="1209"/>
        <v>EXP00419</v>
      </c>
      <c r="B15861" s="3" t="s">
        <v>66</v>
      </c>
      <c r="C15861" s="4" t="str">
        <f t="shared" si="1208"/>
        <v>TCGA-CESC</v>
      </c>
      <c r="D15861" s="1" t="s">
        <v>493</v>
      </c>
      <c r="E15861" t="s">
        <v>543</v>
      </c>
      <c r="F15861" s="1">
        <v>2</v>
      </c>
      <c r="G15861" s="1" t="s">
        <v>32</v>
      </c>
      <c r="H15861" s="4" t="str">
        <f>HYPERLINK("https://portal.gdc.cancer.gov/cases/c996cffb-8132-4973-987d-143274b6a081","TCGA-EK-A2RO-01A")</f>
        <v>TCGA-EK-A2RO-01A</v>
      </c>
      <c r="I15861" t="s">
        <v>444</v>
      </c>
      <c r="J15861" t="s">
        <v>535</v>
      </c>
      <c r="K15861" t="s">
        <v>33</v>
      </c>
      <c r="L15861" t="s">
        <v>445</v>
      </c>
      <c r="N15861" t="s">
        <v>29</v>
      </c>
    </row>
    <row r="15862" spans="1:14">
      <c r="A15862" s="4" t="str">
        <f t="shared" si="1209"/>
        <v>EXP00419</v>
      </c>
      <c r="B15862" s="3" t="s">
        <v>66</v>
      </c>
      <c r="C15862" s="4" t="str">
        <f t="shared" si="1208"/>
        <v>TCGA-CESC</v>
      </c>
      <c r="D15862" s="1" t="s">
        <v>493</v>
      </c>
      <c r="E15862" t="s">
        <v>543</v>
      </c>
      <c r="F15862" s="1">
        <v>2</v>
      </c>
      <c r="G15862" s="1" t="s">
        <v>32</v>
      </c>
      <c r="H15862" s="4" t="str">
        <f>HYPERLINK("https://portal.gdc.cancer.gov/cases/deda68dd-e9ad-45cc-9dbb-1c5836ef6519","TCGA-EK-A3GJ-01A")</f>
        <v>TCGA-EK-A3GJ-01A</v>
      </c>
      <c r="I15862" t="s">
        <v>444</v>
      </c>
      <c r="J15862" t="s">
        <v>535</v>
      </c>
      <c r="K15862" t="s">
        <v>33</v>
      </c>
      <c r="L15862" t="s">
        <v>445</v>
      </c>
      <c r="N15862" t="s">
        <v>29</v>
      </c>
    </row>
    <row r="15863" spans="1:14">
      <c r="A15863" s="4" t="str">
        <f t="shared" si="1209"/>
        <v>EXP00419</v>
      </c>
      <c r="B15863" s="3" t="s">
        <v>66</v>
      </c>
      <c r="C15863" s="4" t="str">
        <f t="shared" si="1208"/>
        <v>TCGA-CESC</v>
      </c>
      <c r="D15863" s="1" t="s">
        <v>493</v>
      </c>
      <c r="E15863" t="s">
        <v>543</v>
      </c>
      <c r="F15863" s="1">
        <v>2</v>
      </c>
      <c r="G15863" s="1" t="s">
        <v>32</v>
      </c>
      <c r="H15863" s="4" t="str">
        <f>HYPERLINK("https://portal.gdc.cancer.gov/cases/d07d0a56-a25e-426b-8384-9d49e6545527","TCGA-EK-A3GK-01A")</f>
        <v>TCGA-EK-A3GK-01A</v>
      </c>
      <c r="I15863" t="s">
        <v>444</v>
      </c>
      <c r="J15863" t="s">
        <v>535</v>
      </c>
      <c r="K15863" t="s">
        <v>33</v>
      </c>
      <c r="L15863" t="s">
        <v>445</v>
      </c>
      <c r="N15863" t="s">
        <v>29</v>
      </c>
    </row>
    <row r="15864" spans="1:14">
      <c r="A15864" s="4" t="str">
        <f t="shared" si="1209"/>
        <v>EXP00419</v>
      </c>
      <c r="B15864" s="3" t="s">
        <v>66</v>
      </c>
      <c r="C15864" s="4" t="str">
        <f t="shared" si="1208"/>
        <v>TCGA-CESC</v>
      </c>
      <c r="D15864" s="1" t="s">
        <v>493</v>
      </c>
      <c r="E15864" t="s">
        <v>543</v>
      </c>
      <c r="F15864" s="1">
        <v>2</v>
      </c>
      <c r="G15864" s="1" t="s">
        <v>32</v>
      </c>
      <c r="H15864" s="4" t="str">
        <f>HYPERLINK("https://portal.gdc.cancer.gov/cases/cb780c10-8810-4384-b829-954aab1c16c8","TCGA-EK-A3GM-01A")</f>
        <v>TCGA-EK-A3GM-01A</v>
      </c>
      <c r="I15864" t="s">
        <v>444</v>
      </c>
      <c r="J15864" t="s">
        <v>535</v>
      </c>
      <c r="K15864" t="s">
        <v>33</v>
      </c>
      <c r="L15864" t="s">
        <v>445</v>
      </c>
      <c r="N15864" t="s">
        <v>29</v>
      </c>
    </row>
    <row r="15865" spans="1:14">
      <c r="A15865" s="4" t="str">
        <f t="shared" si="1209"/>
        <v>EXP00419</v>
      </c>
      <c r="B15865" s="3" t="s">
        <v>66</v>
      </c>
      <c r="C15865" s="4" t="str">
        <f t="shared" si="1208"/>
        <v>TCGA-CESC</v>
      </c>
      <c r="D15865" s="1" t="s">
        <v>493</v>
      </c>
      <c r="E15865" t="s">
        <v>543</v>
      </c>
      <c r="F15865" s="1">
        <v>2</v>
      </c>
      <c r="G15865" s="1" t="s">
        <v>32</v>
      </c>
      <c r="H15865" s="4" t="str">
        <f>HYPERLINK("https://portal.gdc.cancer.gov/cases/f727fcb9-e457-4643-9468-f739133b7e9c","TCGA-EK-A3GN-01A")</f>
        <v>TCGA-EK-A3GN-01A</v>
      </c>
      <c r="I15865" t="s">
        <v>444</v>
      </c>
      <c r="J15865" t="s">
        <v>535</v>
      </c>
      <c r="K15865" t="s">
        <v>33</v>
      </c>
      <c r="L15865" t="s">
        <v>445</v>
      </c>
      <c r="N15865" t="s">
        <v>29</v>
      </c>
    </row>
    <row r="15866" spans="1:14">
      <c r="A15866" s="4" t="str">
        <f t="shared" si="1209"/>
        <v>EXP00419</v>
      </c>
      <c r="B15866" s="3" t="s">
        <v>66</v>
      </c>
      <c r="C15866" s="4" t="str">
        <f t="shared" si="1208"/>
        <v>TCGA-CESC</v>
      </c>
      <c r="D15866" s="1" t="s">
        <v>493</v>
      </c>
      <c r="E15866" t="s">
        <v>543</v>
      </c>
      <c r="F15866" s="1">
        <v>2</v>
      </c>
      <c r="G15866" s="1" t="s">
        <v>32</v>
      </c>
      <c r="H15866" s="4" t="str">
        <f>HYPERLINK("https://portal.gdc.cancer.gov/cases/6b74c07a-9932-4a80-8296-9db08d0c6964","TCGA-EX-A1H5-01A")</f>
        <v>TCGA-EX-A1H5-01A</v>
      </c>
      <c r="I15866" t="s">
        <v>444</v>
      </c>
      <c r="J15866" t="s">
        <v>535</v>
      </c>
      <c r="K15866" t="s">
        <v>33</v>
      </c>
      <c r="L15866" t="s">
        <v>445</v>
      </c>
      <c r="N15866" t="s">
        <v>29</v>
      </c>
    </row>
    <row r="15867" spans="1:14">
      <c r="A15867" s="4" t="str">
        <f t="shared" si="1209"/>
        <v>EXP00419</v>
      </c>
      <c r="B15867" s="3" t="s">
        <v>66</v>
      </c>
      <c r="C15867" s="4" t="str">
        <f t="shared" si="1208"/>
        <v>TCGA-CESC</v>
      </c>
      <c r="D15867" s="1" t="s">
        <v>493</v>
      </c>
      <c r="E15867" t="s">
        <v>543</v>
      </c>
      <c r="F15867" s="1">
        <v>2</v>
      </c>
      <c r="G15867" s="1" t="s">
        <v>32</v>
      </c>
      <c r="H15867" s="4" t="str">
        <f>HYPERLINK("https://portal.gdc.cancer.gov/cases/1fe594d9-4240-49ee-8afd-c7d16a377181","TCGA-EX-A1H6-01B")</f>
        <v>TCGA-EX-A1H6-01B</v>
      </c>
      <c r="I15867" t="s">
        <v>444</v>
      </c>
      <c r="J15867" t="s">
        <v>535</v>
      </c>
      <c r="K15867" t="s">
        <v>33</v>
      </c>
      <c r="L15867" t="s">
        <v>445</v>
      </c>
      <c r="N15867" t="s">
        <v>29</v>
      </c>
    </row>
    <row r="15868" spans="1:14">
      <c r="A15868" s="4" t="str">
        <f t="shared" si="1209"/>
        <v>EXP00419</v>
      </c>
      <c r="B15868" s="3" t="s">
        <v>66</v>
      </c>
      <c r="C15868" s="4" t="str">
        <f t="shared" si="1208"/>
        <v>TCGA-CESC</v>
      </c>
      <c r="D15868" s="1" t="s">
        <v>493</v>
      </c>
      <c r="E15868" t="s">
        <v>543</v>
      </c>
      <c r="F15868" s="1">
        <v>2</v>
      </c>
      <c r="G15868" s="1" t="s">
        <v>32</v>
      </c>
      <c r="H15868" s="4" t="str">
        <f>HYPERLINK("https://portal.gdc.cancer.gov/cases/f5d90810-8c4b-4ced-9360-383e42cb54b3","TCGA-EX-A3L1-01A")</f>
        <v>TCGA-EX-A3L1-01A</v>
      </c>
      <c r="I15868" t="s">
        <v>444</v>
      </c>
      <c r="J15868" t="s">
        <v>535</v>
      </c>
      <c r="K15868" t="s">
        <v>33</v>
      </c>
      <c r="L15868" t="s">
        <v>445</v>
      </c>
      <c r="N15868" t="s">
        <v>29</v>
      </c>
    </row>
    <row r="15869" spans="1:14">
      <c r="A15869" s="4" t="str">
        <f t="shared" si="1209"/>
        <v>EXP00419</v>
      </c>
      <c r="B15869" s="3" t="s">
        <v>66</v>
      </c>
      <c r="C15869" s="4" t="str">
        <f t="shared" si="1208"/>
        <v>TCGA-CESC</v>
      </c>
      <c r="D15869" s="1" t="s">
        <v>493</v>
      </c>
      <c r="E15869" t="s">
        <v>543</v>
      </c>
      <c r="F15869" s="1">
        <v>2</v>
      </c>
      <c r="G15869" s="1" t="s">
        <v>32</v>
      </c>
      <c r="H15869" s="4" t="str">
        <f>HYPERLINK("https://portal.gdc.cancer.gov/cases/eb0eb159-732e-43ff-a402-7f2d9f67daa8","TCGA-EX-A449-01A")</f>
        <v>TCGA-EX-A449-01A</v>
      </c>
      <c r="I15869" t="s">
        <v>444</v>
      </c>
      <c r="J15869" t="s">
        <v>535</v>
      </c>
      <c r="K15869" t="s">
        <v>33</v>
      </c>
      <c r="L15869" t="s">
        <v>445</v>
      </c>
      <c r="N15869" t="s">
        <v>29</v>
      </c>
    </row>
    <row r="15870" spans="1:14">
      <c r="A15870" s="4" t="str">
        <f t="shared" si="1209"/>
        <v>EXP00419</v>
      </c>
      <c r="B15870" s="3" t="s">
        <v>66</v>
      </c>
      <c r="C15870" s="4" t="str">
        <f t="shared" si="1208"/>
        <v>TCGA-CESC</v>
      </c>
      <c r="D15870" s="1" t="s">
        <v>493</v>
      </c>
      <c r="E15870" t="s">
        <v>543</v>
      </c>
      <c r="F15870" s="1">
        <v>2</v>
      </c>
      <c r="G15870" s="1" t="s">
        <v>32</v>
      </c>
      <c r="H15870" s="4" t="str">
        <f>HYPERLINK("https://portal.gdc.cancer.gov/cases/6dca2a6f-7f2c-4524-b528-396a889b2a3f","TCGA-EX-A69L-01A")</f>
        <v>TCGA-EX-A69L-01A</v>
      </c>
      <c r="I15870" t="s">
        <v>444</v>
      </c>
      <c r="J15870" t="s">
        <v>535</v>
      </c>
      <c r="K15870" t="s">
        <v>33</v>
      </c>
      <c r="L15870" t="s">
        <v>445</v>
      </c>
      <c r="N15870" t="s">
        <v>29</v>
      </c>
    </row>
    <row r="15871" spans="1:14">
      <c r="A15871" s="4" t="str">
        <f t="shared" si="1209"/>
        <v>EXP00419</v>
      </c>
      <c r="B15871" s="3" t="s">
        <v>66</v>
      </c>
      <c r="C15871" s="4" t="str">
        <f t="shared" si="1208"/>
        <v>TCGA-CESC</v>
      </c>
      <c r="D15871" s="1" t="s">
        <v>493</v>
      </c>
      <c r="E15871" t="s">
        <v>543</v>
      </c>
      <c r="F15871" s="1">
        <v>2</v>
      </c>
      <c r="G15871" s="1" t="s">
        <v>32</v>
      </c>
      <c r="H15871" s="4" t="str">
        <f>HYPERLINK("https://portal.gdc.cancer.gov/cases/1e4d7755-b971-4c6e-a2b9-dd83d92bc4c9","TCGA-EX-A69M-01A")</f>
        <v>TCGA-EX-A69M-01A</v>
      </c>
      <c r="I15871" t="s">
        <v>444</v>
      </c>
      <c r="J15871" t="s">
        <v>535</v>
      </c>
      <c r="K15871" t="s">
        <v>33</v>
      </c>
      <c r="L15871" t="s">
        <v>445</v>
      </c>
      <c r="N15871" t="s">
        <v>29</v>
      </c>
    </row>
    <row r="15872" spans="1:14">
      <c r="A15872" s="4" t="str">
        <f t="shared" si="1209"/>
        <v>EXP00419</v>
      </c>
      <c r="B15872" s="3" t="s">
        <v>66</v>
      </c>
      <c r="C15872" s="4" t="str">
        <f t="shared" si="1208"/>
        <v>TCGA-CESC</v>
      </c>
      <c r="D15872" s="1" t="s">
        <v>493</v>
      </c>
      <c r="E15872" t="s">
        <v>543</v>
      </c>
      <c r="F15872" s="1">
        <v>2</v>
      </c>
      <c r="G15872" s="1" t="s">
        <v>32</v>
      </c>
      <c r="H15872" s="4" t="str">
        <f>HYPERLINK("https://portal.gdc.cancer.gov/cases/1dfb4565-81e1-4a1b-bb59-9b5629d6c447","TCGA-EX-A8YF-01A")</f>
        <v>TCGA-EX-A8YF-01A</v>
      </c>
      <c r="I15872" t="s">
        <v>444</v>
      </c>
      <c r="J15872" t="s">
        <v>535</v>
      </c>
      <c r="K15872" t="s">
        <v>33</v>
      </c>
      <c r="L15872" t="s">
        <v>445</v>
      </c>
      <c r="N15872" t="s">
        <v>29</v>
      </c>
    </row>
    <row r="15873" spans="1:14">
      <c r="A15873" s="4" t="str">
        <f t="shared" si="1209"/>
        <v>EXP00419</v>
      </c>
      <c r="B15873" s="3" t="s">
        <v>66</v>
      </c>
      <c r="C15873" s="4" t="str">
        <f t="shared" si="1208"/>
        <v>TCGA-CESC</v>
      </c>
      <c r="D15873" s="1" t="s">
        <v>493</v>
      </c>
      <c r="E15873" t="s">
        <v>543</v>
      </c>
      <c r="F15873" s="1">
        <v>2</v>
      </c>
      <c r="G15873" s="1" t="s">
        <v>32</v>
      </c>
      <c r="H15873" s="4" t="str">
        <f>HYPERLINK("https://portal.gdc.cancer.gov/cases/85abfd69-cf72-43f6-a7dd-97056f22c91b","TCGA-FU-A23K-01A")</f>
        <v>TCGA-FU-A23K-01A</v>
      </c>
      <c r="I15873" t="s">
        <v>444</v>
      </c>
      <c r="J15873" t="s">
        <v>535</v>
      </c>
      <c r="K15873" t="s">
        <v>33</v>
      </c>
      <c r="L15873" t="s">
        <v>445</v>
      </c>
      <c r="N15873" t="s">
        <v>29</v>
      </c>
    </row>
    <row r="15874" spans="1:14">
      <c r="A15874" s="4" t="str">
        <f t="shared" si="1209"/>
        <v>EXP00419</v>
      </c>
      <c r="B15874" s="3" t="s">
        <v>66</v>
      </c>
      <c r="C15874" s="4" t="str">
        <f t="shared" si="1208"/>
        <v>TCGA-CESC</v>
      </c>
      <c r="D15874" s="1" t="s">
        <v>493</v>
      </c>
      <c r="E15874" t="s">
        <v>543</v>
      </c>
      <c r="F15874" s="1">
        <v>2</v>
      </c>
      <c r="G15874" s="1" t="s">
        <v>32</v>
      </c>
      <c r="H15874" s="4" t="str">
        <f>HYPERLINK("https://portal.gdc.cancer.gov/cases/86731af9-2d33-4521-9cf9-5f6152ca15d7","TCGA-FU-A23L-01A")</f>
        <v>TCGA-FU-A23L-01A</v>
      </c>
      <c r="I15874" t="s">
        <v>444</v>
      </c>
      <c r="J15874" t="s">
        <v>535</v>
      </c>
      <c r="K15874" t="s">
        <v>33</v>
      </c>
      <c r="L15874" t="s">
        <v>445</v>
      </c>
      <c r="N15874" t="s">
        <v>29</v>
      </c>
    </row>
    <row r="15875" spans="1:14">
      <c r="A15875" s="4" t="str">
        <f t="shared" si="1209"/>
        <v>EXP00419</v>
      </c>
      <c r="B15875" s="3" t="s">
        <v>66</v>
      </c>
      <c r="C15875" s="4" t="str">
        <f t="shared" si="1208"/>
        <v>TCGA-CESC</v>
      </c>
      <c r="D15875" s="1" t="s">
        <v>493</v>
      </c>
      <c r="E15875" t="s">
        <v>543</v>
      </c>
      <c r="F15875" s="1">
        <v>2</v>
      </c>
      <c r="G15875" s="1" t="s">
        <v>32</v>
      </c>
      <c r="H15875" s="4" t="str">
        <f>HYPERLINK("https://portal.gdc.cancer.gov/cases/d5d8a818-d689-4c6f-96b0-13f2cb10c3ca","TCGA-FU-A2QG-01A")</f>
        <v>TCGA-FU-A2QG-01A</v>
      </c>
      <c r="I15875" t="s">
        <v>444</v>
      </c>
      <c r="J15875" t="s">
        <v>535</v>
      </c>
      <c r="K15875" t="s">
        <v>33</v>
      </c>
      <c r="L15875" t="s">
        <v>445</v>
      </c>
      <c r="N15875" t="s">
        <v>29</v>
      </c>
    </row>
    <row r="15876" spans="1:14">
      <c r="A15876" s="4" t="str">
        <f t="shared" si="1209"/>
        <v>EXP00419</v>
      </c>
      <c r="B15876" s="3" t="s">
        <v>66</v>
      </c>
      <c r="C15876" s="4" t="str">
        <f t="shared" si="1208"/>
        <v>TCGA-CESC</v>
      </c>
      <c r="D15876" s="1" t="s">
        <v>493</v>
      </c>
      <c r="E15876" t="s">
        <v>543</v>
      </c>
      <c r="F15876" s="1">
        <v>2</v>
      </c>
      <c r="G15876" s="1" t="s">
        <v>32</v>
      </c>
      <c r="H15876" s="4" t="str">
        <f>HYPERLINK("https://portal.gdc.cancer.gov/cases/b7f2958f-256e-4c30-9c61-11e76ddb36ba","TCGA-FU-A3EO-01A")</f>
        <v>TCGA-FU-A3EO-01A</v>
      </c>
      <c r="I15876" t="s">
        <v>444</v>
      </c>
      <c r="J15876" t="s">
        <v>535</v>
      </c>
      <c r="K15876" t="s">
        <v>33</v>
      </c>
      <c r="L15876" t="s">
        <v>445</v>
      </c>
      <c r="N15876" t="s">
        <v>29</v>
      </c>
    </row>
    <row r="15877" spans="1:14">
      <c r="A15877" s="4" t="str">
        <f t="shared" si="1209"/>
        <v>EXP00419</v>
      </c>
      <c r="B15877" s="3" t="s">
        <v>66</v>
      </c>
      <c r="C15877" s="4" t="str">
        <f t="shared" ref="C15877:C15940" si="1210">HYPERLINK("https://portal.gdc.cancer.gov/projects/TCGA-CESC","TCGA-CESC")</f>
        <v>TCGA-CESC</v>
      </c>
      <c r="D15877" s="1" t="s">
        <v>493</v>
      </c>
      <c r="E15877" t="s">
        <v>543</v>
      </c>
      <c r="F15877" s="1">
        <v>2</v>
      </c>
      <c r="G15877" s="1" t="s">
        <v>32</v>
      </c>
      <c r="H15877" s="4" t="str">
        <f>HYPERLINK("https://portal.gdc.cancer.gov/cases/674e010c-7ad4-4dc2-86b0-284cd4560633","TCGA-FU-A3HY-01A")</f>
        <v>TCGA-FU-A3HY-01A</v>
      </c>
      <c r="I15877" t="s">
        <v>444</v>
      </c>
      <c r="J15877" t="s">
        <v>535</v>
      </c>
      <c r="K15877" t="s">
        <v>33</v>
      </c>
      <c r="L15877" t="s">
        <v>445</v>
      </c>
      <c r="N15877" t="s">
        <v>29</v>
      </c>
    </row>
    <row r="15878" spans="1:14">
      <c r="A15878" s="4" t="str">
        <f t="shared" si="1209"/>
        <v>EXP00419</v>
      </c>
      <c r="B15878" s="3" t="s">
        <v>66</v>
      </c>
      <c r="C15878" s="4" t="str">
        <f t="shared" si="1210"/>
        <v>TCGA-CESC</v>
      </c>
      <c r="D15878" s="1" t="s">
        <v>493</v>
      </c>
      <c r="E15878" t="s">
        <v>543</v>
      </c>
      <c r="F15878" s="1">
        <v>2</v>
      </c>
      <c r="G15878" s="1" t="s">
        <v>32</v>
      </c>
      <c r="H15878" s="4" t="str">
        <f>HYPERLINK("https://portal.gdc.cancer.gov/cases/6ff12a54-10da-4941-bfea-7b66e19b4be9","TCGA-FU-A3HZ-01A")</f>
        <v>TCGA-FU-A3HZ-01A</v>
      </c>
      <c r="I15878" t="s">
        <v>444</v>
      </c>
      <c r="J15878" t="s">
        <v>535</v>
      </c>
      <c r="K15878" t="s">
        <v>33</v>
      </c>
      <c r="L15878" t="s">
        <v>445</v>
      </c>
      <c r="N15878" t="s">
        <v>29</v>
      </c>
    </row>
    <row r="15879" spans="1:14">
      <c r="A15879" s="4" t="str">
        <f t="shared" si="1209"/>
        <v>EXP00419</v>
      </c>
      <c r="B15879" s="3" t="s">
        <v>66</v>
      </c>
      <c r="C15879" s="4" t="str">
        <f t="shared" si="1210"/>
        <v>TCGA-CESC</v>
      </c>
      <c r="D15879" s="1" t="s">
        <v>493</v>
      </c>
      <c r="E15879" t="s">
        <v>543</v>
      </c>
      <c r="F15879" s="1">
        <v>2</v>
      </c>
      <c r="G15879" s="1" t="s">
        <v>32</v>
      </c>
      <c r="H15879" s="4" t="str">
        <f>HYPERLINK("https://portal.gdc.cancer.gov/cases/dac27c24-cdbf-4527-9214-178fde3d098a","TCGA-FU-A3NI-01A")</f>
        <v>TCGA-FU-A3NI-01A</v>
      </c>
      <c r="I15879" t="s">
        <v>444</v>
      </c>
      <c r="J15879" t="s">
        <v>535</v>
      </c>
      <c r="K15879" t="s">
        <v>33</v>
      </c>
      <c r="L15879" t="s">
        <v>445</v>
      </c>
      <c r="N15879" t="s">
        <v>29</v>
      </c>
    </row>
    <row r="15880" spans="1:14">
      <c r="A15880" s="4" t="str">
        <f t="shared" si="1209"/>
        <v>EXP00419</v>
      </c>
      <c r="B15880" s="3" t="s">
        <v>66</v>
      </c>
      <c r="C15880" s="4" t="str">
        <f t="shared" si="1210"/>
        <v>TCGA-CESC</v>
      </c>
      <c r="D15880" s="1" t="s">
        <v>493</v>
      </c>
      <c r="E15880" t="s">
        <v>543</v>
      </c>
      <c r="F15880" s="1">
        <v>2</v>
      </c>
      <c r="G15880" s="1" t="s">
        <v>32</v>
      </c>
      <c r="H15880" s="4" t="str">
        <f>HYPERLINK("https://portal.gdc.cancer.gov/cases/7218aa6f-3345-484f-a329-a3b6169a67c7","TCGA-FU-A3TQ-01A")</f>
        <v>TCGA-FU-A3TQ-01A</v>
      </c>
      <c r="I15880" t="s">
        <v>444</v>
      </c>
      <c r="J15880" t="s">
        <v>535</v>
      </c>
      <c r="K15880" t="s">
        <v>33</v>
      </c>
      <c r="L15880" t="s">
        <v>445</v>
      </c>
      <c r="N15880" t="s">
        <v>29</v>
      </c>
    </row>
    <row r="15881" spans="1:14">
      <c r="A15881" s="4" t="str">
        <f t="shared" si="1209"/>
        <v>EXP00419</v>
      </c>
      <c r="B15881" s="3" t="s">
        <v>66</v>
      </c>
      <c r="C15881" s="4" t="str">
        <f t="shared" si="1210"/>
        <v>TCGA-CESC</v>
      </c>
      <c r="D15881" s="1" t="s">
        <v>493</v>
      </c>
      <c r="E15881" t="s">
        <v>543</v>
      </c>
      <c r="F15881" s="1">
        <v>2</v>
      </c>
      <c r="G15881" s="1" t="s">
        <v>32</v>
      </c>
      <c r="H15881" s="4" t="str">
        <f>HYPERLINK("https://portal.gdc.cancer.gov/cases/b75644c2-b515-41ce-9b03-842ef5208a17","TCGA-FU-A3TX-01A")</f>
        <v>TCGA-FU-A3TX-01A</v>
      </c>
      <c r="I15881" t="s">
        <v>444</v>
      </c>
      <c r="J15881" t="s">
        <v>535</v>
      </c>
      <c r="K15881" t="s">
        <v>33</v>
      </c>
      <c r="L15881" t="s">
        <v>445</v>
      </c>
      <c r="N15881" t="s">
        <v>29</v>
      </c>
    </row>
    <row r="15882" spans="1:14">
      <c r="A15882" s="4" t="str">
        <f t="shared" si="1209"/>
        <v>EXP00419</v>
      </c>
      <c r="B15882" s="3" t="s">
        <v>66</v>
      </c>
      <c r="C15882" s="4" t="str">
        <f t="shared" si="1210"/>
        <v>TCGA-CESC</v>
      </c>
      <c r="D15882" s="1" t="s">
        <v>493</v>
      </c>
      <c r="E15882" t="s">
        <v>543</v>
      </c>
      <c r="F15882" s="1">
        <v>2</v>
      </c>
      <c r="G15882" s="1" t="s">
        <v>32</v>
      </c>
      <c r="H15882" s="4" t="str">
        <f>HYPERLINK("https://portal.gdc.cancer.gov/cases/6868ba1d-b612-454c-8146-74af2f573d76","TCGA-FU-A3WB-01A")</f>
        <v>TCGA-FU-A3WB-01A</v>
      </c>
      <c r="I15882" t="s">
        <v>444</v>
      </c>
      <c r="J15882" t="s">
        <v>535</v>
      </c>
      <c r="K15882" t="s">
        <v>33</v>
      </c>
      <c r="L15882" t="s">
        <v>445</v>
      </c>
      <c r="N15882" t="s">
        <v>29</v>
      </c>
    </row>
    <row r="15883" spans="1:14">
      <c r="A15883" s="4" t="str">
        <f t="shared" si="1209"/>
        <v>EXP00419</v>
      </c>
      <c r="B15883" s="3" t="s">
        <v>66</v>
      </c>
      <c r="C15883" s="4" t="str">
        <f t="shared" si="1210"/>
        <v>TCGA-CESC</v>
      </c>
      <c r="D15883" s="1" t="s">
        <v>493</v>
      </c>
      <c r="E15883" t="s">
        <v>543</v>
      </c>
      <c r="F15883" s="1">
        <v>2</v>
      </c>
      <c r="G15883" s="1" t="s">
        <v>32</v>
      </c>
      <c r="H15883" s="4" t="str">
        <f>HYPERLINK("https://portal.gdc.cancer.gov/cases/6e01248b-c551-4f52-8066-cb2d26eb6394","TCGA-FU-A3YQ-01A")</f>
        <v>TCGA-FU-A3YQ-01A</v>
      </c>
      <c r="I15883" t="s">
        <v>444</v>
      </c>
      <c r="J15883" t="s">
        <v>535</v>
      </c>
      <c r="K15883" t="s">
        <v>33</v>
      </c>
      <c r="L15883" t="s">
        <v>445</v>
      </c>
      <c r="N15883" t="s">
        <v>29</v>
      </c>
    </row>
    <row r="15884" spans="1:14">
      <c r="A15884" s="4" t="str">
        <f t="shared" si="1209"/>
        <v>EXP00419</v>
      </c>
      <c r="B15884" s="3" t="s">
        <v>66</v>
      </c>
      <c r="C15884" s="4" t="str">
        <f t="shared" si="1210"/>
        <v>TCGA-CESC</v>
      </c>
      <c r="D15884" s="1" t="s">
        <v>493</v>
      </c>
      <c r="E15884" t="s">
        <v>543</v>
      </c>
      <c r="F15884" s="1">
        <v>2</v>
      </c>
      <c r="G15884" s="1" t="s">
        <v>32</v>
      </c>
      <c r="H15884" s="4" t="str">
        <f>HYPERLINK("https://portal.gdc.cancer.gov/cases/63dcfa32-c69e-45ad-bea3-ae672acb11c6","TCGA-FU-A40J-01A")</f>
        <v>TCGA-FU-A40J-01A</v>
      </c>
      <c r="I15884" t="s">
        <v>444</v>
      </c>
      <c r="J15884" t="s">
        <v>535</v>
      </c>
      <c r="K15884" t="s">
        <v>33</v>
      </c>
      <c r="L15884" t="s">
        <v>445</v>
      </c>
      <c r="N15884" t="s">
        <v>29</v>
      </c>
    </row>
    <row r="15885" spans="1:14">
      <c r="A15885" s="4" t="str">
        <f t="shared" si="1209"/>
        <v>EXP00419</v>
      </c>
      <c r="B15885" s="3" t="s">
        <v>66</v>
      </c>
      <c r="C15885" s="4" t="str">
        <f t="shared" si="1210"/>
        <v>TCGA-CESC</v>
      </c>
      <c r="D15885" s="1" t="s">
        <v>493</v>
      </c>
      <c r="E15885" t="s">
        <v>543</v>
      </c>
      <c r="F15885" s="1">
        <v>2</v>
      </c>
      <c r="G15885" s="1" t="s">
        <v>32</v>
      </c>
      <c r="H15885" s="4" t="str">
        <f>HYPERLINK("https://portal.gdc.cancer.gov/cases/968bd652-786c-4ddb-a937-dc480cb821fc","TCGA-FU-A57G-01A")</f>
        <v>TCGA-FU-A57G-01A</v>
      </c>
      <c r="I15885" t="s">
        <v>444</v>
      </c>
      <c r="J15885" t="s">
        <v>535</v>
      </c>
      <c r="K15885" t="s">
        <v>33</v>
      </c>
      <c r="L15885" t="s">
        <v>445</v>
      </c>
      <c r="N15885" t="s">
        <v>29</v>
      </c>
    </row>
    <row r="15886" spans="1:14">
      <c r="A15886" s="4" t="str">
        <f t="shared" si="1209"/>
        <v>EXP00419</v>
      </c>
      <c r="B15886" s="3" t="s">
        <v>66</v>
      </c>
      <c r="C15886" s="4" t="str">
        <f t="shared" si="1210"/>
        <v>TCGA-CESC</v>
      </c>
      <c r="D15886" s="1" t="s">
        <v>493</v>
      </c>
      <c r="E15886" t="s">
        <v>543</v>
      </c>
      <c r="F15886" s="1">
        <v>2</v>
      </c>
      <c r="G15886" s="1" t="s">
        <v>32</v>
      </c>
      <c r="H15886" s="4" t="str">
        <f>HYPERLINK("https://portal.gdc.cancer.gov/cases/9dba5a81-3587-4f5a-8d19-e0b0aed0a677","TCGA-FU-A5XV-01A")</f>
        <v>TCGA-FU-A5XV-01A</v>
      </c>
      <c r="I15886" t="s">
        <v>444</v>
      </c>
      <c r="J15886" t="s">
        <v>535</v>
      </c>
      <c r="K15886" t="s">
        <v>33</v>
      </c>
      <c r="L15886" t="s">
        <v>445</v>
      </c>
      <c r="N15886" t="s">
        <v>29</v>
      </c>
    </row>
    <row r="15887" spans="1:14">
      <c r="A15887" s="4" t="str">
        <f t="shared" si="1209"/>
        <v>EXP00419</v>
      </c>
      <c r="B15887" s="3" t="s">
        <v>66</v>
      </c>
      <c r="C15887" s="4" t="str">
        <f t="shared" si="1210"/>
        <v>TCGA-CESC</v>
      </c>
      <c r="D15887" s="1" t="s">
        <v>493</v>
      </c>
      <c r="E15887" t="s">
        <v>543</v>
      </c>
      <c r="F15887" s="1">
        <v>2</v>
      </c>
      <c r="G15887" s="1" t="s">
        <v>32</v>
      </c>
      <c r="H15887" s="4" t="str">
        <f>HYPERLINK("https://portal.gdc.cancer.gov/cases/128fd280-9a04-4038-9269-9a945b9a4dc9","TCGA-FU-A770-01A")</f>
        <v>TCGA-FU-A770-01A</v>
      </c>
      <c r="I15887" t="s">
        <v>444</v>
      </c>
      <c r="J15887" t="s">
        <v>535</v>
      </c>
      <c r="K15887" t="s">
        <v>33</v>
      </c>
      <c r="L15887" t="s">
        <v>445</v>
      </c>
      <c r="N15887" t="s">
        <v>29</v>
      </c>
    </row>
    <row r="15888" spans="1:14">
      <c r="A15888" s="4" t="str">
        <f t="shared" si="1209"/>
        <v>EXP00419</v>
      </c>
      <c r="B15888" s="3" t="s">
        <v>66</v>
      </c>
      <c r="C15888" s="4" t="str">
        <f t="shared" si="1210"/>
        <v>TCGA-CESC</v>
      </c>
      <c r="D15888" s="1" t="s">
        <v>493</v>
      </c>
      <c r="E15888" t="s">
        <v>543</v>
      </c>
      <c r="F15888" s="1">
        <v>2</v>
      </c>
      <c r="G15888" s="1" t="s">
        <v>32</v>
      </c>
      <c r="H15888" s="4" t="str">
        <f>HYPERLINK("https://portal.gdc.cancer.gov/cases/67195401-9099-4ca9-9790-f42bcb815289","TCGA-GH-A9DA-01A")</f>
        <v>TCGA-GH-A9DA-01A</v>
      </c>
      <c r="I15888" t="s">
        <v>444</v>
      </c>
      <c r="J15888" t="s">
        <v>535</v>
      </c>
      <c r="K15888" t="s">
        <v>33</v>
      </c>
      <c r="L15888" t="s">
        <v>445</v>
      </c>
      <c r="N15888" t="s">
        <v>29</v>
      </c>
    </row>
    <row r="15889" spans="1:14">
      <c r="A15889" s="4" t="str">
        <f t="shared" si="1209"/>
        <v>EXP00419</v>
      </c>
      <c r="B15889" s="3" t="s">
        <v>66</v>
      </c>
      <c r="C15889" s="4" t="str">
        <f t="shared" si="1210"/>
        <v>TCGA-CESC</v>
      </c>
      <c r="D15889" s="1" t="s">
        <v>493</v>
      </c>
      <c r="E15889" t="s">
        <v>543</v>
      </c>
      <c r="F15889" s="1">
        <v>2</v>
      </c>
      <c r="G15889" s="1" t="s">
        <v>32</v>
      </c>
      <c r="H15889" s="4" t="str">
        <f>HYPERLINK("https://portal.gdc.cancer.gov/cases/e2ff7cfd-a101-45b9-895f-26f403e7bdfb","TCGA-HG-A2PA-01A")</f>
        <v>TCGA-HG-A2PA-01A</v>
      </c>
      <c r="I15889" t="s">
        <v>444</v>
      </c>
      <c r="J15889" t="s">
        <v>535</v>
      </c>
      <c r="K15889" t="s">
        <v>33</v>
      </c>
      <c r="L15889" t="s">
        <v>445</v>
      </c>
      <c r="N15889" t="s">
        <v>29</v>
      </c>
    </row>
    <row r="15890" spans="1:14">
      <c r="A15890" s="4" t="str">
        <f t="shared" si="1209"/>
        <v>EXP00419</v>
      </c>
      <c r="B15890" s="3" t="s">
        <v>66</v>
      </c>
      <c r="C15890" s="4" t="str">
        <f t="shared" si="1210"/>
        <v>TCGA-CESC</v>
      </c>
      <c r="D15890" s="1" t="s">
        <v>493</v>
      </c>
      <c r="E15890" t="s">
        <v>543</v>
      </c>
      <c r="F15890" s="1">
        <v>2</v>
      </c>
      <c r="G15890" s="1" t="s">
        <v>32</v>
      </c>
      <c r="H15890" s="4" t="str">
        <f>HYPERLINK("https://portal.gdc.cancer.gov/cases/f150d999-cdec-427e-b8b2-00731c648989","TCGA-HM-A3JJ-01A")</f>
        <v>TCGA-HM-A3JJ-01A</v>
      </c>
      <c r="I15890" t="s">
        <v>444</v>
      </c>
      <c r="J15890" t="s">
        <v>535</v>
      </c>
      <c r="K15890" t="s">
        <v>33</v>
      </c>
      <c r="L15890" t="s">
        <v>445</v>
      </c>
      <c r="N15890" t="s">
        <v>29</v>
      </c>
    </row>
    <row r="15891" spans="1:14">
      <c r="A15891" s="4" t="str">
        <f t="shared" si="1209"/>
        <v>EXP00419</v>
      </c>
      <c r="B15891" s="3" t="s">
        <v>66</v>
      </c>
      <c r="C15891" s="4" t="str">
        <f t="shared" si="1210"/>
        <v>TCGA-CESC</v>
      </c>
      <c r="D15891" s="1" t="s">
        <v>493</v>
      </c>
      <c r="E15891" t="s">
        <v>543</v>
      </c>
      <c r="F15891" s="1">
        <v>2</v>
      </c>
      <c r="G15891" s="1" t="s">
        <v>32</v>
      </c>
      <c r="H15891" s="4" t="str">
        <f>HYPERLINK("https://portal.gdc.cancer.gov/cases/7c4cd55f-750e-4941-a9f3-0632a75d6531","TCGA-HM-A3JK-01A")</f>
        <v>TCGA-HM-A3JK-01A</v>
      </c>
      <c r="I15891" t="s">
        <v>444</v>
      </c>
      <c r="J15891" t="s">
        <v>535</v>
      </c>
      <c r="K15891" t="s">
        <v>33</v>
      </c>
      <c r="L15891" t="s">
        <v>445</v>
      </c>
      <c r="N15891" t="s">
        <v>29</v>
      </c>
    </row>
    <row r="15892" spans="1:14">
      <c r="A15892" s="4" t="str">
        <f t="shared" si="1209"/>
        <v>EXP00419</v>
      </c>
      <c r="B15892" s="3" t="s">
        <v>66</v>
      </c>
      <c r="C15892" s="4" t="str">
        <f t="shared" si="1210"/>
        <v>TCGA-CESC</v>
      </c>
      <c r="D15892" s="1" t="s">
        <v>493</v>
      </c>
      <c r="E15892" t="s">
        <v>543</v>
      </c>
      <c r="F15892" s="1">
        <v>2</v>
      </c>
      <c r="G15892" s="1" t="s">
        <v>32</v>
      </c>
      <c r="H15892" s="4" t="str">
        <f>HYPERLINK("https://portal.gdc.cancer.gov/cases/6bcf8b41-7abc-4b6f-899a-1f67b4ada765","TCGA-HM-A4S6-01A")</f>
        <v>TCGA-HM-A4S6-01A</v>
      </c>
      <c r="I15892" t="s">
        <v>444</v>
      </c>
      <c r="J15892" t="s">
        <v>535</v>
      </c>
      <c r="K15892" t="s">
        <v>33</v>
      </c>
      <c r="L15892" t="s">
        <v>445</v>
      </c>
      <c r="N15892" t="s">
        <v>29</v>
      </c>
    </row>
    <row r="15893" spans="1:14">
      <c r="A15893" s="4" t="str">
        <f t="shared" si="1209"/>
        <v>EXP00419</v>
      </c>
      <c r="B15893" s="3" t="s">
        <v>66</v>
      </c>
      <c r="C15893" s="4" t="str">
        <f t="shared" si="1210"/>
        <v>TCGA-CESC</v>
      </c>
      <c r="D15893" s="1" t="s">
        <v>493</v>
      </c>
      <c r="E15893" t="s">
        <v>543</v>
      </c>
      <c r="F15893" s="1">
        <v>2</v>
      </c>
      <c r="G15893" s="1" t="s">
        <v>32</v>
      </c>
      <c r="H15893" s="4" t="str">
        <f>HYPERLINK("https://portal.gdc.cancer.gov/cases/66229dd6-c771-4455-a90c-c66fb40cf7fe","TCGA-IR-A3L7-01A")</f>
        <v>TCGA-IR-A3L7-01A</v>
      </c>
      <c r="I15893" t="s">
        <v>444</v>
      </c>
      <c r="J15893" t="s">
        <v>535</v>
      </c>
      <c r="K15893" t="s">
        <v>33</v>
      </c>
      <c r="L15893" t="s">
        <v>445</v>
      </c>
      <c r="N15893" t="s">
        <v>29</v>
      </c>
    </row>
    <row r="15894" spans="1:14">
      <c r="A15894" s="4" t="str">
        <f t="shared" si="1209"/>
        <v>EXP00419</v>
      </c>
      <c r="B15894" s="3" t="s">
        <v>66</v>
      </c>
      <c r="C15894" s="4" t="str">
        <f t="shared" si="1210"/>
        <v>TCGA-CESC</v>
      </c>
      <c r="D15894" s="1" t="s">
        <v>493</v>
      </c>
      <c r="E15894" t="s">
        <v>543</v>
      </c>
      <c r="F15894" s="1">
        <v>2</v>
      </c>
      <c r="G15894" s="1" t="s">
        <v>32</v>
      </c>
      <c r="H15894" s="4" t="str">
        <f>HYPERLINK("https://portal.gdc.cancer.gov/cases/7b8c04d7-824d-493d-8f2c-9ed87a907192","TCGA-IR-A3LA-01A")</f>
        <v>TCGA-IR-A3LA-01A</v>
      </c>
      <c r="I15894" t="s">
        <v>444</v>
      </c>
      <c r="J15894" t="s">
        <v>535</v>
      </c>
      <c r="K15894" t="s">
        <v>33</v>
      </c>
      <c r="L15894" t="s">
        <v>445</v>
      </c>
      <c r="N15894" t="s">
        <v>29</v>
      </c>
    </row>
    <row r="15895" spans="1:14">
      <c r="A15895" s="4" t="str">
        <f t="shared" si="1209"/>
        <v>EXP00419</v>
      </c>
      <c r="B15895" s="3" t="s">
        <v>66</v>
      </c>
      <c r="C15895" s="4" t="str">
        <f t="shared" si="1210"/>
        <v>TCGA-CESC</v>
      </c>
      <c r="D15895" s="1" t="s">
        <v>493</v>
      </c>
      <c r="E15895" t="s">
        <v>543</v>
      </c>
      <c r="F15895" s="1">
        <v>2</v>
      </c>
      <c r="G15895" s="1" t="s">
        <v>32</v>
      </c>
      <c r="H15895" s="4" t="str">
        <f>HYPERLINK("https://portal.gdc.cancer.gov/cases/58bdcace-0047-456e-a225-68953edafe5e","TCGA-IR-A3LC-01A")</f>
        <v>TCGA-IR-A3LC-01A</v>
      </c>
      <c r="I15895" t="s">
        <v>444</v>
      </c>
      <c r="J15895" t="s">
        <v>535</v>
      </c>
      <c r="K15895" t="s">
        <v>33</v>
      </c>
      <c r="L15895" t="s">
        <v>445</v>
      </c>
      <c r="N15895" t="s">
        <v>29</v>
      </c>
    </row>
    <row r="15896" spans="1:14">
      <c r="A15896" s="4" t="str">
        <f t="shared" si="1209"/>
        <v>EXP00419</v>
      </c>
      <c r="B15896" s="3" t="s">
        <v>66</v>
      </c>
      <c r="C15896" s="4" t="str">
        <f t="shared" si="1210"/>
        <v>TCGA-CESC</v>
      </c>
      <c r="D15896" s="1" t="s">
        <v>493</v>
      </c>
      <c r="E15896" t="s">
        <v>543</v>
      </c>
      <c r="F15896" s="1">
        <v>2</v>
      </c>
      <c r="G15896" s="1" t="s">
        <v>32</v>
      </c>
      <c r="H15896" s="4" t="str">
        <f>HYPERLINK("https://portal.gdc.cancer.gov/cases/785ddea1-399d-47d8-b2b0-39e95eaa24b5","TCGA-IR-A3LF-01A")</f>
        <v>TCGA-IR-A3LF-01A</v>
      </c>
      <c r="I15896" t="s">
        <v>444</v>
      </c>
      <c r="J15896" t="s">
        <v>535</v>
      </c>
      <c r="K15896" t="s">
        <v>33</v>
      </c>
      <c r="L15896" t="s">
        <v>445</v>
      </c>
      <c r="N15896" t="s">
        <v>29</v>
      </c>
    </row>
    <row r="15897" spans="1:14">
      <c r="A15897" s="4" t="str">
        <f t="shared" si="1209"/>
        <v>EXP00419</v>
      </c>
      <c r="B15897" s="3" t="s">
        <v>66</v>
      </c>
      <c r="C15897" s="4" t="str">
        <f t="shared" si="1210"/>
        <v>TCGA-CESC</v>
      </c>
      <c r="D15897" s="1" t="s">
        <v>493</v>
      </c>
      <c r="E15897" t="s">
        <v>543</v>
      </c>
      <c r="F15897" s="1">
        <v>2</v>
      </c>
      <c r="G15897" s="1" t="s">
        <v>32</v>
      </c>
      <c r="H15897" s="4" t="str">
        <f>HYPERLINK("https://portal.gdc.cancer.gov/cases/f24ed9c0-92bb-4003-86d2-42ab26617a05","TCGA-IR-A3LH-01A")</f>
        <v>TCGA-IR-A3LH-01A</v>
      </c>
      <c r="I15897" t="s">
        <v>444</v>
      </c>
      <c r="J15897" t="s">
        <v>535</v>
      </c>
      <c r="K15897" t="s">
        <v>33</v>
      </c>
      <c r="L15897" t="s">
        <v>445</v>
      </c>
      <c r="N15897" t="s">
        <v>29</v>
      </c>
    </row>
    <row r="15898" spans="1:14">
      <c r="A15898" s="4" t="str">
        <f t="shared" si="1209"/>
        <v>EXP00419</v>
      </c>
      <c r="B15898" s="3" t="s">
        <v>66</v>
      </c>
      <c r="C15898" s="4" t="str">
        <f t="shared" si="1210"/>
        <v>TCGA-CESC</v>
      </c>
      <c r="D15898" s="1" t="s">
        <v>493</v>
      </c>
      <c r="E15898" t="s">
        <v>543</v>
      </c>
      <c r="F15898" s="1">
        <v>2</v>
      </c>
      <c r="G15898" s="1" t="s">
        <v>32</v>
      </c>
      <c r="H15898" s="4" t="str">
        <f>HYPERLINK("https://portal.gdc.cancer.gov/cases/75bc22d8-738d-45f8-b6c0-c664f5fef47c","TCGA-IR-A3LI-01A")</f>
        <v>TCGA-IR-A3LI-01A</v>
      </c>
      <c r="I15898" t="s">
        <v>444</v>
      </c>
      <c r="J15898" t="s">
        <v>535</v>
      </c>
      <c r="K15898" t="s">
        <v>33</v>
      </c>
      <c r="L15898" t="s">
        <v>445</v>
      </c>
      <c r="N15898" t="s">
        <v>29</v>
      </c>
    </row>
    <row r="15899" spans="1:14">
      <c r="A15899" s="4" t="str">
        <f t="shared" si="1209"/>
        <v>EXP00419</v>
      </c>
      <c r="B15899" s="3" t="s">
        <v>66</v>
      </c>
      <c r="C15899" s="4" t="str">
        <f t="shared" si="1210"/>
        <v>TCGA-CESC</v>
      </c>
      <c r="D15899" s="1" t="s">
        <v>493</v>
      </c>
      <c r="E15899" t="s">
        <v>543</v>
      </c>
      <c r="F15899" s="1">
        <v>2</v>
      </c>
      <c r="G15899" s="1" t="s">
        <v>32</v>
      </c>
      <c r="H15899" s="4" t="str">
        <f>HYPERLINK("https://portal.gdc.cancer.gov/cases/b79558c5-1db2-4b1e-a7b8-efbd19aa855e","TCGA-IR-A3LK-01A")</f>
        <v>TCGA-IR-A3LK-01A</v>
      </c>
      <c r="I15899" t="s">
        <v>444</v>
      </c>
      <c r="J15899" t="s">
        <v>535</v>
      </c>
      <c r="K15899" t="s">
        <v>33</v>
      </c>
      <c r="L15899" t="s">
        <v>445</v>
      </c>
      <c r="N15899" t="s">
        <v>29</v>
      </c>
    </row>
    <row r="15900" spans="1:14">
      <c r="A15900" s="4" t="str">
        <f t="shared" si="1209"/>
        <v>EXP00419</v>
      </c>
      <c r="B15900" s="3" t="s">
        <v>66</v>
      </c>
      <c r="C15900" s="4" t="str">
        <f t="shared" si="1210"/>
        <v>TCGA-CESC</v>
      </c>
      <c r="D15900" s="1" t="s">
        <v>493</v>
      </c>
      <c r="E15900" t="s">
        <v>543</v>
      </c>
      <c r="F15900" s="1">
        <v>2</v>
      </c>
      <c r="G15900" s="1" t="s">
        <v>32</v>
      </c>
      <c r="H15900" s="4" t="str">
        <f>HYPERLINK("https://portal.gdc.cancer.gov/cases/7c4ab1ca-4bdd-4ef7-9a42-f6c0c7136d26","TCGA-IR-A3LL-01A")</f>
        <v>TCGA-IR-A3LL-01A</v>
      </c>
      <c r="I15900" t="s">
        <v>444</v>
      </c>
      <c r="J15900" t="s">
        <v>535</v>
      </c>
      <c r="K15900" t="s">
        <v>33</v>
      </c>
      <c r="L15900" t="s">
        <v>445</v>
      </c>
      <c r="N15900" t="s">
        <v>29</v>
      </c>
    </row>
    <row r="15901" spans="1:14">
      <c r="A15901" s="4" t="str">
        <f t="shared" si="1209"/>
        <v>EXP00419</v>
      </c>
      <c r="B15901" s="3" t="s">
        <v>66</v>
      </c>
      <c r="C15901" s="4" t="str">
        <f t="shared" si="1210"/>
        <v>TCGA-CESC</v>
      </c>
      <c r="D15901" s="1" t="s">
        <v>493</v>
      </c>
      <c r="E15901" t="s">
        <v>543</v>
      </c>
      <c r="F15901" s="1">
        <v>2</v>
      </c>
      <c r="G15901" s="1" t="s">
        <v>32</v>
      </c>
      <c r="H15901" s="4" t="str">
        <f>HYPERLINK("https://portal.gdc.cancer.gov/cases/0bd52d75-5113-4ef1-bc75-509f59eaef2b","TCGA-JW-A5VG-01A")</f>
        <v>TCGA-JW-A5VG-01A</v>
      </c>
      <c r="I15901" t="s">
        <v>444</v>
      </c>
      <c r="J15901" t="s">
        <v>535</v>
      </c>
      <c r="K15901" t="s">
        <v>33</v>
      </c>
      <c r="L15901" t="s">
        <v>445</v>
      </c>
      <c r="N15901" t="s">
        <v>29</v>
      </c>
    </row>
    <row r="15902" spans="1:14">
      <c r="A15902" s="4" t="str">
        <f t="shared" si="1209"/>
        <v>EXP00419</v>
      </c>
      <c r="B15902" s="3" t="s">
        <v>66</v>
      </c>
      <c r="C15902" s="4" t="str">
        <f t="shared" si="1210"/>
        <v>TCGA-CESC</v>
      </c>
      <c r="D15902" s="1" t="s">
        <v>493</v>
      </c>
      <c r="E15902" t="s">
        <v>543</v>
      </c>
      <c r="F15902" s="1">
        <v>2</v>
      </c>
      <c r="G15902" s="1" t="s">
        <v>32</v>
      </c>
      <c r="H15902" s="4" t="str">
        <f>HYPERLINK("https://portal.gdc.cancer.gov/cases/53eb4c4e-0719-476f-9b2b-279d438d7710","TCGA-JW-A5VI-01A")</f>
        <v>TCGA-JW-A5VI-01A</v>
      </c>
      <c r="I15902" t="s">
        <v>444</v>
      </c>
      <c r="J15902" t="s">
        <v>535</v>
      </c>
      <c r="K15902" t="s">
        <v>33</v>
      </c>
      <c r="L15902" t="s">
        <v>445</v>
      </c>
      <c r="N15902" t="s">
        <v>29</v>
      </c>
    </row>
    <row r="15903" spans="1:14">
      <c r="A15903" s="4" t="str">
        <f t="shared" si="1209"/>
        <v>EXP00419</v>
      </c>
      <c r="B15903" s="3" t="s">
        <v>66</v>
      </c>
      <c r="C15903" s="4" t="str">
        <f t="shared" si="1210"/>
        <v>TCGA-CESC</v>
      </c>
      <c r="D15903" s="1" t="s">
        <v>493</v>
      </c>
      <c r="E15903" t="s">
        <v>543</v>
      </c>
      <c r="F15903" s="1">
        <v>2</v>
      </c>
      <c r="G15903" s="1" t="s">
        <v>32</v>
      </c>
      <c r="H15903" s="4" t="str">
        <f>HYPERLINK("https://portal.gdc.cancer.gov/cases/bbb96b5a-80e8-4542-80b4-2444cf1fe51e","TCGA-JW-A5VK-01A")</f>
        <v>TCGA-JW-A5VK-01A</v>
      </c>
      <c r="I15903" t="s">
        <v>444</v>
      </c>
      <c r="J15903" t="s">
        <v>535</v>
      </c>
      <c r="K15903" t="s">
        <v>33</v>
      </c>
      <c r="L15903" t="s">
        <v>445</v>
      </c>
      <c r="N15903" t="s">
        <v>29</v>
      </c>
    </row>
    <row r="15904" spans="1:14">
      <c r="A15904" s="4" t="str">
        <f t="shared" si="1209"/>
        <v>EXP00419</v>
      </c>
      <c r="B15904" s="3" t="s">
        <v>66</v>
      </c>
      <c r="C15904" s="4" t="str">
        <f t="shared" si="1210"/>
        <v>TCGA-CESC</v>
      </c>
      <c r="D15904" s="1" t="s">
        <v>493</v>
      </c>
      <c r="E15904" t="s">
        <v>543</v>
      </c>
      <c r="F15904" s="1">
        <v>2</v>
      </c>
      <c r="G15904" s="1" t="s">
        <v>32</v>
      </c>
      <c r="H15904" s="4" t="str">
        <f>HYPERLINK("https://portal.gdc.cancer.gov/cases/d1a5b028-ec79-456b-81a1-69838e2922df","TCGA-JW-A5VL-01A")</f>
        <v>TCGA-JW-A5VL-01A</v>
      </c>
      <c r="I15904" t="s">
        <v>444</v>
      </c>
      <c r="J15904" t="s">
        <v>535</v>
      </c>
      <c r="K15904" t="s">
        <v>33</v>
      </c>
      <c r="L15904" t="s">
        <v>445</v>
      </c>
      <c r="N15904" t="s">
        <v>29</v>
      </c>
    </row>
    <row r="15905" spans="1:14">
      <c r="A15905" s="4" t="str">
        <f t="shared" ref="A15905:A15968" si="1211">HYPERLINK("http://hcmdb.i-sanger.com/experiment/details/experiment_id/EXP00419","EXP00419")</f>
        <v>EXP00419</v>
      </c>
      <c r="B15905" s="3" t="s">
        <v>66</v>
      </c>
      <c r="C15905" s="4" t="str">
        <f t="shared" si="1210"/>
        <v>TCGA-CESC</v>
      </c>
      <c r="D15905" s="1" t="s">
        <v>493</v>
      </c>
      <c r="E15905" t="s">
        <v>543</v>
      </c>
      <c r="F15905" s="1">
        <v>2</v>
      </c>
      <c r="G15905" s="1" t="s">
        <v>32</v>
      </c>
      <c r="H15905" s="4" t="str">
        <f>HYPERLINK("https://portal.gdc.cancer.gov/cases/fb4af6b2-4bed-4dbe-9309-29f59ed30fb2","TCGA-JW-A69B-01A")</f>
        <v>TCGA-JW-A69B-01A</v>
      </c>
      <c r="I15905" t="s">
        <v>444</v>
      </c>
      <c r="J15905" t="s">
        <v>535</v>
      </c>
      <c r="K15905" t="s">
        <v>33</v>
      </c>
      <c r="L15905" t="s">
        <v>445</v>
      </c>
      <c r="N15905" t="s">
        <v>29</v>
      </c>
    </row>
    <row r="15906" spans="1:14">
      <c r="A15906" s="4" t="str">
        <f t="shared" si="1211"/>
        <v>EXP00419</v>
      </c>
      <c r="B15906" s="3" t="s">
        <v>66</v>
      </c>
      <c r="C15906" s="4" t="str">
        <f t="shared" si="1210"/>
        <v>TCGA-CESC</v>
      </c>
      <c r="D15906" s="1" t="s">
        <v>493</v>
      </c>
      <c r="E15906" t="s">
        <v>543</v>
      </c>
      <c r="F15906" s="1">
        <v>2</v>
      </c>
      <c r="G15906" s="1" t="s">
        <v>32</v>
      </c>
      <c r="H15906" s="4" t="str">
        <f>HYPERLINK("https://portal.gdc.cancer.gov/cases/7cc8f5bd-d2d3-44e9-aff6-fe9c9c805938","TCGA-JW-A852-01A")</f>
        <v>TCGA-JW-A852-01A</v>
      </c>
      <c r="I15906" t="s">
        <v>444</v>
      </c>
      <c r="J15906" t="s">
        <v>535</v>
      </c>
      <c r="K15906" t="s">
        <v>33</v>
      </c>
      <c r="L15906" t="s">
        <v>445</v>
      </c>
      <c r="N15906" t="s">
        <v>29</v>
      </c>
    </row>
    <row r="15907" spans="1:14">
      <c r="A15907" s="4" t="str">
        <f t="shared" si="1211"/>
        <v>EXP00419</v>
      </c>
      <c r="B15907" s="3" t="s">
        <v>66</v>
      </c>
      <c r="C15907" s="4" t="str">
        <f t="shared" si="1210"/>
        <v>TCGA-CESC</v>
      </c>
      <c r="D15907" s="1" t="s">
        <v>493</v>
      </c>
      <c r="E15907" t="s">
        <v>543</v>
      </c>
      <c r="F15907" s="1">
        <v>2</v>
      </c>
      <c r="G15907" s="1" t="s">
        <v>32</v>
      </c>
      <c r="H15907" s="4" t="str">
        <f>HYPERLINK("https://portal.gdc.cancer.gov/cases/1c0b5c18-8760-4483-a88c-1d1d89f61998","TCGA-JW-AAVH-01A")</f>
        <v>TCGA-JW-AAVH-01A</v>
      </c>
      <c r="I15907" t="s">
        <v>444</v>
      </c>
      <c r="J15907" t="s">
        <v>535</v>
      </c>
      <c r="K15907" t="s">
        <v>33</v>
      </c>
      <c r="L15907" t="s">
        <v>445</v>
      </c>
      <c r="N15907" t="s">
        <v>29</v>
      </c>
    </row>
    <row r="15908" spans="1:14">
      <c r="A15908" s="4" t="str">
        <f t="shared" si="1211"/>
        <v>EXP00419</v>
      </c>
      <c r="B15908" s="3" t="s">
        <v>66</v>
      </c>
      <c r="C15908" s="4" t="str">
        <f t="shared" si="1210"/>
        <v>TCGA-CESC</v>
      </c>
      <c r="D15908" s="1" t="s">
        <v>493</v>
      </c>
      <c r="E15908" t="s">
        <v>543</v>
      </c>
      <c r="F15908" s="1">
        <v>2</v>
      </c>
      <c r="G15908" s="1" t="s">
        <v>32</v>
      </c>
      <c r="H15908" s="4" t="str">
        <f>HYPERLINK("https://portal.gdc.cancer.gov/cases/20280122-a66a-4c83-8f25-0b9d97558dc2","TCGA-JX-A3Q0-01A")</f>
        <v>TCGA-JX-A3Q0-01A</v>
      </c>
      <c r="I15908" t="s">
        <v>444</v>
      </c>
      <c r="J15908" t="s">
        <v>535</v>
      </c>
      <c r="K15908" t="s">
        <v>33</v>
      </c>
      <c r="L15908" t="s">
        <v>445</v>
      </c>
      <c r="N15908" t="s">
        <v>29</v>
      </c>
    </row>
    <row r="15909" spans="1:14">
      <c r="A15909" s="4" t="str">
        <f t="shared" si="1211"/>
        <v>EXP00419</v>
      </c>
      <c r="B15909" s="3" t="s">
        <v>66</v>
      </c>
      <c r="C15909" s="4" t="str">
        <f t="shared" si="1210"/>
        <v>TCGA-CESC</v>
      </c>
      <c r="D15909" s="1" t="s">
        <v>493</v>
      </c>
      <c r="E15909" t="s">
        <v>543</v>
      </c>
      <c r="F15909" s="1">
        <v>2</v>
      </c>
      <c r="G15909" s="1" t="s">
        <v>32</v>
      </c>
      <c r="H15909" s="4" t="str">
        <f>HYPERLINK("https://portal.gdc.cancer.gov/cases/34629eb8-0c5e-4910-8e13-bf7d6a1e337f","TCGA-JX-A3Q8-01A")</f>
        <v>TCGA-JX-A3Q8-01A</v>
      </c>
      <c r="I15909" t="s">
        <v>444</v>
      </c>
      <c r="J15909" t="s">
        <v>535</v>
      </c>
      <c r="K15909" t="s">
        <v>33</v>
      </c>
      <c r="L15909" t="s">
        <v>445</v>
      </c>
      <c r="N15909" t="s">
        <v>29</v>
      </c>
    </row>
    <row r="15910" spans="1:14">
      <c r="A15910" s="4" t="str">
        <f t="shared" si="1211"/>
        <v>EXP00419</v>
      </c>
      <c r="B15910" s="3" t="s">
        <v>66</v>
      </c>
      <c r="C15910" s="4" t="str">
        <f t="shared" si="1210"/>
        <v>TCGA-CESC</v>
      </c>
      <c r="D15910" s="1" t="s">
        <v>493</v>
      </c>
      <c r="E15910" t="s">
        <v>543</v>
      </c>
      <c r="F15910" s="1">
        <v>2</v>
      </c>
      <c r="G15910" s="1" t="s">
        <v>32</v>
      </c>
      <c r="H15910" s="4" t="str">
        <f>HYPERLINK("https://portal.gdc.cancer.gov/cases/acf5cbf3-09ca-4f4d-a44e-1792613190fc","TCGA-JX-A5QV-01A")</f>
        <v>TCGA-JX-A5QV-01A</v>
      </c>
      <c r="I15910" t="s">
        <v>444</v>
      </c>
      <c r="J15910" t="s">
        <v>535</v>
      </c>
      <c r="K15910" t="s">
        <v>33</v>
      </c>
      <c r="L15910" t="s">
        <v>445</v>
      </c>
      <c r="N15910" t="s">
        <v>29</v>
      </c>
    </row>
    <row r="15911" spans="1:14">
      <c r="A15911" s="4" t="str">
        <f t="shared" si="1211"/>
        <v>EXP00419</v>
      </c>
      <c r="B15911" s="3" t="s">
        <v>66</v>
      </c>
      <c r="C15911" s="4" t="str">
        <f t="shared" si="1210"/>
        <v>TCGA-CESC</v>
      </c>
      <c r="D15911" s="1" t="s">
        <v>493</v>
      </c>
      <c r="E15911" t="s">
        <v>543</v>
      </c>
      <c r="F15911" s="1">
        <v>2</v>
      </c>
      <c r="G15911" s="1" t="s">
        <v>32</v>
      </c>
      <c r="H15911" s="4" t="str">
        <f>HYPERLINK("https://portal.gdc.cancer.gov/cases/e15d92a1-6925-4b58-a494-d6f665f67b83","TCGA-LP-A4AU-01A")</f>
        <v>TCGA-LP-A4AU-01A</v>
      </c>
      <c r="I15911" t="s">
        <v>444</v>
      </c>
      <c r="J15911" t="s">
        <v>535</v>
      </c>
      <c r="K15911" t="s">
        <v>33</v>
      </c>
      <c r="L15911" t="s">
        <v>445</v>
      </c>
      <c r="N15911" t="s">
        <v>29</v>
      </c>
    </row>
    <row r="15912" spans="1:14">
      <c r="A15912" s="4" t="str">
        <f t="shared" si="1211"/>
        <v>EXP00419</v>
      </c>
      <c r="B15912" s="3" t="s">
        <v>66</v>
      </c>
      <c r="C15912" s="4" t="str">
        <f t="shared" si="1210"/>
        <v>TCGA-CESC</v>
      </c>
      <c r="D15912" s="1" t="s">
        <v>493</v>
      </c>
      <c r="E15912" t="s">
        <v>543</v>
      </c>
      <c r="F15912" s="1">
        <v>2</v>
      </c>
      <c r="G15912" s="1" t="s">
        <v>32</v>
      </c>
      <c r="H15912" s="4" t="str">
        <f>HYPERLINK("https://portal.gdc.cancer.gov/cases/f241d6b1-2c32-4478-8f8d-8c746464f7d1","TCGA-LP-A4AV-01A")</f>
        <v>TCGA-LP-A4AV-01A</v>
      </c>
      <c r="I15912" t="s">
        <v>444</v>
      </c>
      <c r="J15912" t="s">
        <v>535</v>
      </c>
      <c r="K15912" t="s">
        <v>33</v>
      </c>
      <c r="L15912" t="s">
        <v>445</v>
      </c>
      <c r="N15912" t="s">
        <v>29</v>
      </c>
    </row>
    <row r="15913" spans="1:14">
      <c r="A15913" s="4" t="str">
        <f t="shared" si="1211"/>
        <v>EXP00419</v>
      </c>
      <c r="B15913" s="3" t="s">
        <v>66</v>
      </c>
      <c r="C15913" s="4" t="str">
        <f t="shared" si="1210"/>
        <v>TCGA-CESC</v>
      </c>
      <c r="D15913" s="1" t="s">
        <v>493</v>
      </c>
      <c r="E15913" t="s">
        <v>543</v>
      </c>
      <c r="F15913" s="1">
        <v>2</v>
      </c>
      <c r="G15913" s="1" t="s">
        <v>32</v>
      </c>
      <c r="H15913" s="4" t="str">
        <f>HYPERLINK("https://portal.gdc.cancer.gov/cases/74e47ded-2c00-4455-aaa6-cd662dfbf05e","TCGA-LP-A4AW-01A")</f>
        <v>TCGA-LP-A4AW-01A</v>
      </c>
      <c r="I15913" t="s">
        <v>444</v>
      </c>
      <c r="J15913" t="s">
        <v>535</v>
      </c>
      <c r="K15913" t="s">
        <v>33</v>
      </c>
      <c r="L15913" t="s">
        <v>445</v>
      </c>
      <c r="N15913" t="s">
        <v>29</v>
      </c>
    </row>
    <row r="15914" spans="1:14">
      <c r="A15914" s="4" t="str">
        <f t="shared" si="1211"/>
        <v>EXP00419</v>
      </c>
      <c r="B15914" s="3" t="s">
        <v>66</v>
      </c>
      <c r="C15914" s="4" t="str">
        <f t="shared" si="1210"/>
        <v>TCGA-CESC</v>
      </c>
      <c r="D15914" s="1" t="s">
        <v>493</v>
      </c>
      <c r="E15914" t="s">
        <v>543</v>
      </c>
      <c r="F15914" s="1">
        <v>2</v>
      </c>
      <c r="G15914" s="1" t="s">
        <v>32</v>
      </c>
      <c r="H15914" s="4" t="str">
        <f>HYPERLINK("https://portal.gdc.cancer.gov/cases/3223fec6-1d35-419a-8ee9-7c5885b8be1e","TCGA-LP-A4AX-01A")</f>
        <v>TCGA-LP-A4AX-01A</v>
      </c>
      <c r="I15914" t="s">
        <v>444</v>
      </c>
      <c r="J15914" t="s">
        <v>535</v>
      </c>
      <c r="K15914" t="s">
        <v>33</v>
      </c>
      <c r="L15914" t="s">
        <v>445</v>
      </c>
      <c r="N15914" t="s">
        <v>29</v>
      </c>
    </row>
    <row r="15915" spans="1:14">
      <c r="A15915" s="4" t="str">
        <f t="shared" si="1211"/>
        <v>EXP00419</v>
      </c>
      <c r="B15915" s="3" t="s">
        <v>66</v>
      </c>
      <c r="C15915" s="4" t="str">
        <f t="shared" si="1210"/>
        <v>TCGA-CESC</v>
      </c>
      <c r="D15915" s="1" t="s">
        <v>493</v>
      </c>
      <c r="E15915" t="s">
        <v>543</v>
      </c>
      <c r="F15915" s="1">
        <v>2</v>
      </c>
      <c r="G15915" s="1" t="s">
        <v>32</v>
      </c>
      <c r="H15915" s="4" t="str">
        <f>HYPERLINK("https://portal.gdc.cancer.gov/cases/1ef20703-3684-4b43-a31f-892073208377","TCGA-LP-A5U2-01A")</f>
        <v>TCGA-LP-A5U2-01A</v>
      </c>
      <c r="I15915" t="s">
        <v>444</v>
      </c>
      <c r="J15915" t="s">
        <v>535</v>
      </c>
      <c r="K15915" t="s">
        <v>33</v>
      </c>
      <c r="L15915" t="s">
        <v>445</v>
      </c>
      <c r="N15915" t="s">
        <v>29</v>
      </c>
    </row>
    <row r="15916" spans="1:14">
      <c r="A15916" s="4" t="str">
        <f t="shared" si="1211"/>
        <v>EXP00419</v>
      </c>
      <c r="B15916" s="3" t="s">
        <v>66</v>
      </c>
      <c r="C15916" s="4" t="str">
        <f t="shared" si="1210"/>
        <v>TCGA-CESC</v>
      </c>
      <c r="D15916" s="1" t="s">
        <v>493</v>
      </c>
      <c r="E15916" t="s">
        <v>543</v>
      </c>
      <c r="F15916" s="1">
        <v>2</v>
      </c>
      <c r="G15916" s="1" t="s">
        <v>32</v>
      </c>
      <c r="H15916" s="4" t="str">
        <f>HYPERLINK("https://portal.gdc.cancer.gov/cases/1399d31d-9d5e-441a-b400-8b8a92a6ff8b","TCGA-LP-A5U3-01A")</f>
        <v>TCGA-LP-A5U3-01A</v>
      </c>
      <c r="I15916" t="s">
        <v>444</v>
      </c>
      <c r="J15916" t="s">
        <v>535</v>
      </c>
      <c r="K15916" t="s">
        <v>33</v>
      </c>
      <c r="L15916" t="s">
        <v>445</v>
      </c>
      <c r="N15916" t="s">
        <v>29</v>
      </c>
    </row>
    <row r="15917" spans="1:14">
      <c r="A15917" s="4" t="str">
        <f t="shared" si="1211"/>
        <v>EXP00419</v>
      </c>
      <c r="B15917" s="3" t="s">
        <v>66</v>
      </c>
      <c r="C15917" s="4" t="str">
        <f t="shared" si="1210"/>
        <v>TCGA-CESC</v>
      </c>
      <c r="D15917" s="1" t="s">
        <v>493</v>
      </c>
      <c r="E15917" t="s">
        <v>543</v>
      </c>
      <c r="F15917" s="1">
        <v>2</v>
      </c>
      <c r="G15917" s="1" t="s">
        <v>32</v>
      </c>
      <c r="H15917" s="4" t="str">
        <f>HYPERLINK("https://portal.gdc.cancer.gov/cases/7067b7da-fb1b-4827-8fe6-9433ed672d3b","TCGA-LP-A7HU-01A")</f>
        <v>TCGA-LP-A7HU-01A</v>
      </c>
      <c r="I15917" t="s">
        <v>444</v>
      </c>
      <c r="J15917" t="s">
        <v>535</v>
      </c>
      <c r="K15917" t="s">
        <v>33</v>
      </c>
      <c r="L15917" t="s">
        <v>445</v>
      </c>
      <c r="N15917" t="s">
        <v>29</v>
      </c>
    </row>
    <row r="15918" spans="1:14">
      <c r="A15918" s="4" t="str">
        <f t="shared" si="1211"/>
        <v>EXP00419</v>
      </c>
      <c r="B15918" s="3" t="s">
        <v>66</v>
      </c>
      <c r="C15918" s="4" t="str">
        <f t="shared" si="1210"/>
        <v>TCGA-CESC</v>
      </c>
      <c r="D15918" s="1" t="s">
        <v>493</v>
      </c>
      <c r="E15918" t="s">
        <v>543</v>
      </c>
      <c r="F15918" s="1">
        <v>2</v>
      </c>
      <c r="G15918" s="1" t="s">
        <v>32</v>
      </c>
      <c r="H15918" s="4" t="str">
        <f>HYPERLINK("https://portal.gdc.cancer.gov/cases/fc2bce29-4685-49f5-b901-2117bf673bb8","TCGA-MA-AA3W-01A")</f>
        <v>TCGA-MA-AA3W-01A</v>
      </c>
      <c r="I15918" t="s">
        <v>444</v>
      </c>
      <c r="J15918" t="s">
        <v>535</v>
      </c>
      <c r="K15918" t="s">
        <v>33</v>
      </c>
      <c r="L15918" t="s">
        <v>445</v>
      </c>
      <c r="N15918" t="s">
        <v>29</v>
      </c>
    </row>
    <row r="15919" spans="1:14">
      <c r="A15919" s="4" t="str">
        <f t="shared" si="1211"/>
        <v>EXP00419</v>
      </c>
      <c r="B15919" s="3" t="s">
        <v>66</v>
      </c>
      <c r="C15919" s="4" t="str">
        <f t="shared" si="1210"/>
        <v>TCGA-CESC</v>
      </c>
      <c r="D15919" s="1" t="s">
        <v>493</v>
      </c>
      <c r="E15919" t="s">
        <v>543</v>
      </c>
      <c r="F15919" s="1">
        <v>2</v>
      </c>
      <c r="G15919" s="1" t="s">
        <v>32</v>
      </c>
      <c r="H15919" s="4" t="str">
        <f>HYPERLINK("https://portal.gdc.cancer.gov/cases/adb7c5c8-4afd-40dc-89f1-571fbd88e4f9","TCGA-MA-AA3X-01A")</f>
        <v>TCGA-MA-AA3X-01A</v>
      </c>
      <c r="I15919" t="s">
        <v>444</v>
      </c>
      <c r="J15919" t="s">
        <v>535</v>
      </c>
      <c r="K15919" t="s">
        <v>33</v>
      </c>
      <c r="L15919" t="s">
        <v>445</v>
      </c>
      <c r="N15919" t="s">
        <v>29</v>
      </c>
    </row>
    <row r="15920" spans="1:14">
      <c r="A15920" s="4" t="str">
        <f t="shared" si="1211"/>
        <v>EXP00419</v>
      </c>
      <c r="B15920" s="3" t="s">
        <v>66</v>
      </c>
      <c r="C15920" s="4" t="str">
        <f t="shared" si="1210"/>
        <v>TCGA-CESC</v>
      </c>
      <c r="D15920" s="1" t="s">
        <v>493</v>
      </c>
      <c r="E15920" t="s">
        <v>543</v>
      </c>
      <c r="F15920" s="1">
        <v>2</v>
      </c>
      <c r="G15920" s="1" t="s">
        <v>32</v>
      </c>
      <c r="H15920" s="4" t="str">
        <f>HYPERLINK("https://portal.gdc.cancer.gov/cases/2f261704-d600-4226-90d5-d51ba416b55c","TCGA-MA-AA3Y-01A")</f>
        <v>TCGA-MA-AA3Y-01A</v>
      </c>
      <c r="I15920" t="s">
        <v>444</v>
      </c>
      <c r="J15920" t="s">
        <v>535</v>
      </c>
      <c r="K15920" t="s">
        <v>33</v>
      </c>
      <c r="L15920" t="s">
        <v>445</v>
      </c>
      <c r="N15920" t="s">
        <v>29</v>
      </c>
    </row>
    <row r="15921" spans="1:14">
      <c r="A15921" s="4" t="str">
        <f t="shared" si="1211"/>
        <v>EXP00419</v>
      </c>
      <c r="B15921" s="3" t="s">
        <v>66</v>
      </c>
      <c r="C15921" s="4" t="str">
        <f t="shared" si="1210"/>
        <v>TCGA-CESC</v>
      </c>
      <c r="D15921" s="1" t="s">
        <v>493</v>
      </c>
      <c r="E15921" t="s">
        <v>543</v>
      </c>
      <c r="F15921" s="1">
        <v>2</v>
      </c>
      <c r="G15921" s="1" t="s">
        <v>32</v>
      </c>
      <c r="H15921" s="4" t="str">
        <f>HYPERLINK("https://portal.gdc.cancer.gov/cases/bc2003b9-d489-4559-8672-d9fd2d82f2e8","TCGA-MA-AA3Z-01A")</f>
        <v>TCGA-MA-AA3Z-01A</v>
      </c>
      <c r="I15921" t="s">
        <v>444</v>
      </c>
      <c r="J15921" t="s">
        <v>535</v>
      </c>
      <c r="K15921" t="s">
        <v>33</v>
      </c>
      <c r="L15921" t="s">
        <v>445</v>
      </c>
      <c r="N15921" t="s">
        <v>29</v>
      </c>
    </row>
    <row r="15922" spans="1:14">
      <c r="A15922" s="4" t="str">
        <f t="shared" si="1211"/>
        <v>EXP00419</v>
      </c>
      <c r="B15922" s="3" t="s">
        <v>66</v>
      </c>
      <c r="C15922" s="4" t="str">
        <f t="shared" si="1210"/>
        <v>TCGA-CESC</v>
      </c>
      <c r="D15922" s="1" t="s">
        <v>493</v>
      </c>
      <c r="E15922" t="s">
        <v>543</v>
      </c>
      <c r="F15922" s="1">
        <v>2</v>
      </c>
      <c r="G15922" s="1" t="s">
        <v>32</v>
      </c>
      <c r="H15922" s="4" t="str">
        <f>HYPERLINK("https://portal.gdc.cancer.gov/cases/81658ce6-d4a9-4ee0-ae8f-cf2fa8485701","TCGA-MA-AA41-01A")</f>
        <v>TCGA-MA-AA41-01A</v>
      </c>
      <c r="I15922" t="s">
        <v>444</v>
      </c>
      <c r="J15922" t="s">
        <v>535</v>
      </c>
      <c r="K15922" t="s">
        <v>33</v>
      </c>
      <c r="L15922" t="s">
        <v>445</v>
      </c>
      <c r="N15922" t="s">
        <v>29</v>
      </c>
    </row>
    <row r="15923" spans="1:14">
      <c r="A15923" s="4" t="str">
        <f t="shared" si="1211"/>
        <v>EXP00419</v>
      </c>
      <c r="B15923" s="3" t="s">
        <v>66</v>
      </c>
      <c r="C15923" s="4" t="str">
        <f t="shared" si="1210"/>
        <v>TCGA-CESC</v>
      </c>
      <c r="D15923" s="1" t="s">
        <v>493</v>
      </c>
      <c r="E15923" t="s">
        <v>543</v>
      </c>
      <c r="F15923" s="1">
        <v>2</v>
      </c>
      <c r="G15923" s="1" t="s">
        <v>32</v>
      </c>
      <c r="H15923" s="4" t="str">
        <f>HYPERLINK("https://portal.gdc.cancer.gov/cases/da5fcb99-16b4-4f9e-8602-d6a6192875ef","TCGA-MA-AA42-01A")</f>
        <v>TCGA-MA-AA42-01A</v>
      </c>
      <c r="I15923" t="s">
        <v>444</v>
      </c>
      <c r="J15923" t="s">
        <v>535</v>
      </c>
      <c r="K15923" t="s">
        <v>33</v>
      </c>
      <c r="L15923" t="s">
        <v>445</v>
      </c>
      <c r="N15923" t="s">
        <v>29</v>
      </c>
    </row>
    <row r="15924" spans="1:14">
      <c r="A15924" s="4" t="str">
        <f t="shared" si="1211"/>
        <v>EXP00419</v>
      </c>
      <c r="B15924" s="3" t="s">
        <v>66</v>
      </c>
      <c r="C15924" s="4" t="str">
        <f t="shared" si="1210"/>
        <v>TCGA-CESC</v>
      </c>
      <c r="D15924" s="1" t="s">
        <v>493</v>
      </c>
      <c r="E15924" t="s">
        <v>543</v>
      </c>
      <c r="F15924" s="1">
        <v>2</v>
      </c>
      <c r="G15924" s="1" t="s">
        <v>32</v>
      </c>
      <c r="H15924" s="4" t="str">
        <f>HYPERLINK("https://portal.gdc.cancer.gov/cases/ed74703a-6838-4f4e-9524-d6fb7b208687","TCGA-MA-AA43-01A")</f>
        <v>TCGA-MA-AA43-01A</v>
      </c>
      <c r="I15924" t="s">
        <v>444</v>
      </c>
      <c r="J15924" t="s">
        <v>535</v>
      </c>
      <c r="K15924" t="s">
        <v>33</v>
      </c>
      <c r="L15924" t="s">
        <v>445</v>
      </c>
      <c r="N15924" t="s">
        <v>29</v>
      </c>
    </row>
    <row r="15925" spans="1:14">
      <c r="A15925" s="4" t="str">
        <f t="shared" si="1211"/>
        <v>EXP00419</v>
      </c>
      <c r="B15925" s="3" t="s">
        <v>66</v>
      </c>
      <c r="C15925" s="4" t="str">
        <f t="shared" si="1210"/>
        <v>TCGA-CESC</v>
      </c>
      <c r="D15925" s="1" t="s">
        <v>493</v>
      </c>
      <c r="E15925" t="s">
        <v>543</v>
      </c>
      <c r="F15925" s="1">
        <v>2</v>
      </c>
      <c r="G15925" s="1" t="s">
        <v>32</v>
      </c>
      <c r="H15925" s="4" t="str">
        <f>HYPERLINK("https://portal.gdc.cancer.gov/cases/77da506b-e726-409f-b3eb-d41242862982","TCGA-MU-A51Y-01A")</f>
        <v>TCGA-MU-A51Y-01A</v>
      </c>
      <c r="I15925" t="s">
        <v>444</v>
      </c>
      <c r="J15925" t="s">
        <v>535</v>
      </c>
      <c r="K15925" t="s">
        <v>33</v>
      </c>
      <c r="L15925" t="s">
        <v>445</v>
      </c>
      <c r="N15925" t="s">
        <v>29</v>
      </c>
    </row>
    <row r="15926" spans="1:14">
      <c r="A15926" s="4" t="str">
        <f t="shared" si="1211"/>
        <v>EXP00419</v>
      </c>
      <c r="B15926" s="3" t="s">
        <v>66</v>
      </c>
      <c r="C15926" s="4" t="str">
        <f t="shared" si="1210"/>
        <v>TCGA-CESC</v>
      </c>
      <c r="D15926" s="1" t="s">
        <v>493</v>
      </c>
      <c r="E15926" t="s">
        <v>543</v>
      </c>
      <c r="F15926" s="1">
        <v>2</v>
      </c>
      <c r="G15926" s="1" t="s">
        <v>32</v>
      </c>
      <c r="H15926" s="4" t="str">
        <f>HYPERLINK("https://portal.gdc.cancer.gov/cases/5e972e96-7271-439a-905c-6e308c1ef29e","TCGA-MU-A5YI-01A")</f>
        <v>TCGA-MU-A5YI-01A</v>
      </c>
      <c r="I15926" t="s">
        <v>444</v>
      </c>
      <c r="J15926" t="s">
        <v>535</v>
      </c>
      <c r="K15926" t="s">
        <v>33</v>
      </c>
      <c r="L15926" t="s">
        <v>445</v>
      </c>
      <c r="N15926" t="s">
        <v>29</v>
      </c>
    </row>
    <row r="15927" spans="1:14">
      <c r="A15927" s="4" t="str">
        <f t="shared" si="1211"/>
        <v>EXP00419</v>
      </c>
      <c r="B15927" s="3" t="s">
        <v>66</v>
      </c>
      <c r="C15927" s="4" t="str">
        <f t="shared" si="1210"/>
        <v>TCGA-CESC</v>
      </c>
      <c r="D15927" s="1" t="s">
        <v>493</v>
      </c>
      <c r="E15927" t="s">
        <v>543</v>
      </c>
      <c r="F15927" s="1">
        <v>2</v>
      </c>
      <c r="G15927" s="1" t="s">
        <v>32</v>
      </c>
      <c r="H15927" s="4" t="str">
        <f>HYPERLINK("https://portal.gdc.cancer.gov/cases/1d730565-ffa9-4cc7-a713-c4b5b7bbb29f","TCGA-MU-A8JM-01A")</f>
        <v>TCGA-MU-A8JM-01A</v>
      </c>
      <c r="I15927" t="s">
        <v>444</v>
      </c>
      <c r="J15927" t="s">
        <v>535</v>
      </c>
      <c r="K15927" t="s">
        <v>33</v>
      </c>
      <c r="L15927" t="s">
        <v>445</v>
      </c>
      <c r="N15927" t="s">
        <v>29</v>
      </c>
    </row>
    <row r="15928" spans="1:14">
      <c r="A15928" s="4" t="str">
        <f t="shared" si="1211"/>
        <v>EXP00419</v>
      </c>
      <c r="B15928" s="3" t="s">
        <v>66</v>
      </c>
      <c r="C15928" s="4" t="str">
        <f t="shared" si="1210"/>
        <v>TCGA-CESC</v>
      </c>
      <c r="D15928" s="1" t="s">
        <v>493</v>
      </c>
      <c r="E15928" t="s">
        <v>543</v>
      </c>
      <c r="F15928" s="1">
        <v>2</v>
      </c>
      <c r="G15928" s="1" t="s">
        <v>32</v>
      </c>
      <c r="H15928" s="4" t="str">
        <f>HYPERLINK("https://portal.gdc.cancer.gov/cases/cef2efb2-93cc-4bdf-a343-9965e7e0432c","TCGA-MY-A5BD-01A")</f>
        <v>TCGA-MY-A5BD-01A</v>
      </c>
      <c r="I15928" t="s">
        <v>444</v>
      </c>
      <c r="J15928" t="s">
        <v>535</v>
      </c>
      <c r="K15928" t="s">
        <v>33</v>
      </c>
      <c r="L15928" t="s">
        <v>445</v>
      </c>
      <c r="N15928" t="s">
        <v>29</v>
      </c>
    </row>
    <row r="15929" spans="1:14">
      <c r="A15929" s="4" t="str">
        <f t="shared" si="1211"/>
        <v>EXP00419</v>
      </c>
      <c r="B15929" s="3" t="s">
        <v>66</v>
      </c>
      <c r="C15929" s="4" t="str">
        <f t="shared" si="1210"/>
        <v>TCGA-CESC</v>
      </c>
      <c r="D15929" s="1" t="s">
        <v>493</v>
      </c>
      <c r="E15929" t="s">
        <v>543</v>
      </c>
      <c r="F15929" s="1">
        <v>2</v>
      </c>
      <c r="G15929" s="1" t="s">
        <v>32</v>
      </c>
      <c r="H15929" s="4" t="str">
        <f>HYPERLINK("https://portal.gdc.cancer.gov/cases/f8ab17ec-c365-41a6-a4bc-36653e84bce5","TCGA-MY-A5BE-01A")</f>
        <v>TCGA-MY-A5BE-01A</v>
      </c>
      <c r="I15929" t="s">
        <v>444</v>
      </c>
      <c r="J15929" t="s">
        <v>535</v>
      </c>
      <c r="K15929" t="s">
        <v>33</v>
      </c>
      <c r="L15929" t="s">
        <v>445</v>
      </c>
      <c r="N15929" t="s">
        <v>29</v>
      </c>
    </row>
    <row r="15930" spans="1:14">
      <c r="A15930" s="4" t="str">
        <f t="shared" si="1211"/>
        <v>EXP00419</v>
      </c>
      <c r="B15930" s="3" t="s">
        <v>66</v>
      </c>
      <c r="C15930" s="4" t="str">
        <f t="shared" si="1210"/>
        <v>TCGA-CESC</v>
      </c>
      <c r="D15930" s="1" t="s">
        <v>493</v>
      </c>
      <c r="E15930" t="s">
        <v>543</v>
      </c>
      <c r="F15930" s="1">
        <v>2</v>
      </c>
      <c r="G15930" s="1" t="s">
        <v>32</v>
      </c>
      <c r="H15930" s="4" t="str">
        <f>HYPERLINK("https://portal.gdc.cancer.gov/cases/4f4e8834-a716-42e6-bd51-60d80a619202","TCGA-MY-A5BF-01A")</f>
        <v>TCGA-MY-A5BF-01A</v>
      </c>
      <c r="I15930" t="s">
        <v>444</v>
      </c>
      <c r="J15930" t="s">
        <v>535</v>
      </c>
      <c r="K15930" t="s">
        <v>33</v>
      </c>
      <c r="L15930" t="s">
        <v>445</v>
      </c>
      <c r="N15930" t="s">
        <v>29</v>
      </c>
    </row>
    <row r="15931" spans="1:14">
      <c r="A15931" s="4" t="str">
        <f t="shared" si="1211"/>
        <v>EXP00419</v>
      </c>
      <c r="B15931" s="3" t="s">
        <v>66</v>
      </c>
      <c r="C15931" s="4" t="str">
        <f t="shared" si="1210"/>
        <v>TCGA-CESC</v>
      </c>
      <c r="D15931" s="1" t="s">
        <v>493</v>
      </c>
      <c r="E15931" t="s">
        <v>543</v>
      </c>
      <c r="F15931" s="1">
        <v>2</v>
      </c>
      <c r="G15931" s="1" t="s">
        <v>32</v>
      </c>
      <c r="H15931" s="4" t="str">
        <f>HYPERLINK("https://portal.gdc.cancer.gov/cases/c9f519b6-73f1-4737-83cb-f5ef208592cd","TCGA-MY-A913-01A")</f>
        <v>TCGA-MY-A913-01A</v>
      </c>
      <c r="I15931" t="s">
        <v>444</v>
      </c>
      <c r="J15931" t="s">
        <v>535</v>
      </c>
      <c r="K15931" t="s">
        <v>33</v>
      </c>
      <c r="L15931" t="s">
        <v>445</v>
      </c>
      <c r="N15931" t="s">
        <v>29</v>
      </c>
    </row>
    <row r="15932" spans="1:14">
      <c r="A15932" s="4" t="str">
        <f t="shared" si="1211"/>
        <v>EXP00419</v>
      </c>
      <c r="B15932" s="3" t="s">
        <v>66</v>
      </c>
      <c r="C15932" s="4" t="str">
        <f t="shared" si="1210"/>
        <v>TCGA-CESC</v>
      </c>
      <c r="D15932" s="1" t="s">
        <v>493</v>
      </c>
      <c r="E15932" t="s">
        <v>543</v>
      </c>
      <c r="F15932" s="1">
        <v>2</v>
      </c>
      <c r="G15932" s="1" t="s">
        <v>32</v>
      </c>
      <c r="H15932" s="4" t="str">
        <f>HYPERLINK("https://portal.gdc.cancer.gov/cases/55add854-e63f-4335-bea9-23c3eb1e766a","TCGA-PN-A8MA-01A")</f>
        <v>TCGA-PN-A8MA-01A</v>
      </c>
      <c r="I15932" t="s">
        <v>444</v>
      </c>
      <c r="J15932" t="s">
        <v>535</v>
      </c>
      <c r="K15932" t="s">
        <v>33</v>
      </c>
      <c r="L15932" t="s">
        <v>445</v>
      </c>
      <c r="N15932" t="s">
        <v>29</v>
      </c>
    </row>
    <row r="15933" spans="1:14">
      <c r="A15933" s="4" t="str">
        <f t="shared" si="1211"/>
        <v>EXP00419</v>
      </c>
      <c r="B15933" s="3" t="s">
        <v>66</v>
      </c>
      <c r="C15933" s="4" t="str">
        <f t="shared" si="1210"/>
        <v>TCGA-CESC</v>
      </c>
      <c r="D15933" s="1" t="s">
        <v>493</v>
      </c>
      <c r="E15933" t="s">
        <v>543</v>
      </c>
      <c r="F15933" s="1">
        <v>2</v>
      </c>
      <c r="G15933" s="1" t="s">
        <v>32</v>
      </c>
      <c r="H15933" s="4" t="str">
        <f>HYPERLINK("https://portal.gdc.cancer.gov/cases/f93ccd2d-3c77-4bd3-8cac-5203bd57735f","TCGA-Q1-A5R1-01A")</f>
        <v>TCGA-Q1-A5R1-01A</v>
      </c>
      <c r="I15933" t="s">
        <v>444</v>
      </c>
      <c r="J15933" t="s">
        <v>535</v>
      </c>
      <c r="K15933" t="s">
        <v>33</v>
      </c>
      <c r="L15933" t="s">
        <v>445</v>
      </c>
      <c r="N15933" t="s">
        <v>29</v>
      </c>
    </row>
    <row r="15934" spans="1:14">
      <c r="A15934" s="4" t="str">
        <f t="shared" si="1211"/>
        <v>EXP00419</v>
      </c>
      <c r="B15934" s="3" t="s">
        <v>66</v>
      </c>
      <c r="C15934" s="4" t="str">
        <f t="shared" si="1210"/>
        <v>TCGA-CESC</v>
      </c>
      <c r="D15934" s="1" t="s">
        <v>493</v>
      </c>
      <c r="E15934" t="s">
        <v>543</v>
      </c>
      <c r="F15934" s="1">
        <v>2</v>
      </c>
      <c r="G15934" s="1" t="s">
        <v>32</v>
      </c>
      <c r="H15934" s="4" t="str">
        <f>HYPERLINK("https://portal.gdc.cancer.gov/cases/f3cbadb3-3b83-47cd-b8a0-b0e10343a295","TCGA-Q1-A5R2-01A")</f>
        <v>TCGA-Q1-A5R2-01A</v>
      </c>
      <c r="I15934" t="s">
        <v>444</v>
      </c>
      <c r="J15934" t="s">
        <v>535</v>
      </c>
      <c r="K15934" t="s">
        <v>33</v>
      </c>
      <c r="L15934" t="s">
        <v>445</v>
      </c>
      <c r="N15934" t="s">
        <v>29</v>
      </c>
    </row>
    <row r="15935" spans="1:14">
      <c r="A15935" s="4" t="str">
        <f t="shared" si="1211"/>
        <v>EXP00419</v>
      </c>
      <c r="B15935" s="3" t="s">
        <v>66</v>
      </c>
      <c r="C15935" s="4" t="str">
        <f t="shared" si="1210"/>
        <v>TCGA-CESC</v>
      </c>
      <c r="D15935" s="1" t="s">
        <v>493</v>
      </c>
      <c r="E15935" t="s">
        <v>543</v>
      </c>
      <c r="F15935" s="1">
        <v>2</v>
      </c>
      <c r="G15935" s="1" t="s">
        <v>32</v>
      </c>
      <c r="H15935" s="4" t="str">
        <f>HYPERLINK("https://portal.gdc.cancer.gov/cases/73aa428a-4288-45f8-8a53-cec173dcc61f","TCGA-Q1-A5R3-01A")</f>
        <v>TCGA-Q1-A5R3-01A</v>
      </c>
      <c r="I15935" t="s">
        <v>444</v>
      </c>
      <c r="J15935" t="s">
        <v>535</v>
      </c>
      <c r="K15935" t="s">
        <v>33</v>
      </c>
      <c r="L15935" t="s">
        <v>445</v>
      </c>
      <c r="N15935" t="s">
        <v>29</v>
      </c>
    </row>
    <row r="15936" spans="1:14">
      <c r="A15936" s="4" t="str">
        <f t="shared" si="1211"/>
        <v>EXP00419</v>
      </c>
      <c r="B15936" s="3" t="s">
        <v>66</v>
      </c>
      <c r="C15936" s="4" t="str">
        <f t="shared" si="1210"/>
        <v>TCGA-CESC</v>
      </c>
      <c r="D15936" s="1" t="s">
        <v>493</v>
      </c>
      <c r="E15936" t="s">
        <v>543</v>
      </c>
      <c r="F15936" s="1">
        <v>2</v>
      </c>
      <c r="G15936" s="1" t="s">
        <v>32</v>
      </c>
      <c r="H15936" s="4" t="str">
        <f>HYPERLINK("https://portal.gdc.cancer.gov/cases/46adfbbe-3add-41cd-a388-b1ee0790bf62","TCGA-Q1-A6DT-01A")</f>
        <v>TCGA-Q1-A6DT-01A</v>
      </c>
      <c r="I15936" t="s">
        <v>444</v>
      </c>
      <c r="J15936" t="s">
        <v>535</v>
      </c>
      <c r="K15936" t="s">
        <v>33</v>
      </c>
      <c r="L15936" t="s">
        <v>445</v>
      </c>
      <c r="N15936" t="s">
        <v>29</v>
      </c>
    </row>
    <row r="15937" spans="1:14">
      <c r="A15937" s="4" t="str">
        <f t="shared" si="1211"/>
        <v>EXP00419</v>
      </c>
      <c r="B15937" s="3" t="s">
        <v>66</v>
      </c>
      <c r="C15937" s="4" t="str">
        <f t="shared" si="1210"/>
        <v>TCGA-CESC</v>
      </c>
      <c r="D15937" s="1" t="s">
        <v>493</v>
      </c>
      <c r="E15937" t="s">
        <v>543</v>
      </c>
      <c r="F15937" s="1">
        <v>2</v>
      </c>
      <c r="G15937" s="1" t="s">
        <v>32</v>
      </c>
      <c r="H15937" s="4" t="str">
        <f>HYPERLINK("https://portal.gdc.cancer.gov/cases/c80f777e-d150-40f3-9fa9-02ef9a6d7692","TCGA-Q1-A6DV-01A")</f>
        <v>TCGA-Q1-A6DV-01A</v>
      </c>
      <c r="I15937" t="s">
        <v>444</v>
      </c>
      <c r="J15937" t="s">
        <v>535</v>
      </c>
      <c r="K15937" t="s">
        <v>33</v>
      </c>
      <c r="L15937" t="s">
        <v>445</v>
      </c>
      <c r="N15937" t="s">
        <v>29</v>
      </c>
    </row>
    <row r="15938" spans="1:14">
      <c r="A15938" s="4" t="str">
        <f t="shared" si="1211"/>
        <v>EXP00419</v>
      </c>
      <c r="B15938" s="3" t="s">
        <v>66</v>
      </c>
      <c r="C15938" s="4" t="str">
        <f t="shared" si="1210"/>
        <v>TCGA-CESC</v>
      </c>
      <c r="D15938" s="1" t="s">
        <v>493</v>
      </c>
      <c r="E15938" t="s">
        <v>543</v>
      </c>
      <c r="F15938" s="1">
        <v>2</v>
      </c>
      <c r="G15938" s="1" t="s">
        <v>32</v>
      </c>
      <c r="H15938" s="4" t="str">
        <f>HYPERLINK("https://portal.gdc.cancer.gov/cases/5dbd5436-696e-40fa-881b-c2386573ac68","TCGA-Q1-A6DW-01A")</f>
        <v>TCGA-Q1-A6DW-01A</v>
      </c>
      <c r="I15938" t="s">
        <v>444</v>
      </c>
      <c r="J15938" t="s">
        <v>535</v>
      </c>
      <c r="K15938" t="s">
        <v>33</v>
      </c>
      <c r="L15938" t="s">
        <v>445</v>
      </c>
      <c r="N15938" t="s">
        <v>29</v>
      </c>
    </row>
    <row r="15939" spans="1:14">
      <c r="A15939" s="4" t="str">
        <f t="shared" si="1211"/>
        <v>EXP00419</v>
      </c>
      <c r="B15939" s="3" t="s">
        <v>66</v>
      </c>
      <c r="C15939" s="4" t="str">
        <f t="shared" si="1210"/>
        <v>TCGA-CESC</v>
      </c>
      <c r="D15939" s="1" t="s">
        <v>493</v>
      </c>
      <c r="E15939" t="s">
        <v>543</v>
      </c>
      <c r="F15939" s="1">
        <v>2</v>
      </c>
      <c r="G15939" s="1" t="s">
        <v>32</v>
      </c>
      <c r="H15939" s="4" t="str">
        <f>HYPERLINK("https://portal.gdc.cancer.gov/cases/d0cbe668-5c95-4261-a1e8-cef55093a0f7","TCGA-Q1-A73O-01A")</f>
        <v>TCGA-Q1-A73O-01A</v>
      </c>
      <c r="I15939" t="s">
        <v>444</v>
      </c>
      <c r="J15939" t="s">
        <v>535</v>
      </c>
      <c r="K15939" t="s">
        <v>33</v>
      </c>
      <c r="L15939" t="s">
        <v>445</v>
      </c>
      <c r="N15939" t="s">
        <v>29</v>
      </c>
    </row>
    <row r="15940" spans="1:14">
      <c r="A15940" s="4" t="str">
        <f t="shared" si="1211"/>
        <v>EXP00419</v>
      </c>
      <c r="B15940" s="3" t="s">
        <v>66</v>
      </c>
      <c r="C15940" s="4" t="str">
        <f t="shared" si="1210"/>
        <v>TCGA-CESC</v>
      </c>
      <c r="D15940" s="1" t="s">
        <v>493</v>
      </c>
      <c r="E15940" t="s">
        <v>543</v>
      </c>
      <c r="F15940" s="1">
        <v>2</v>
      </c>
      <c r="G15940" s="1" t="s">
        <v>32</v>
      </c>
      <c r="H15940" s="4" t="str">
        <f>HYPERLINK("https://portal.gdc.cancer.gov/cases/3a3a9b5e-12a1-41f5-a54c-d4c1e0eccb9e","TCGA-Q1-A73P-01A")</f>
        <v>TCGA-Q1-A73P-01A</v>
      </c>
      <c r="I15940" t="s">
        <v>444</v>
      </c>
      <c r="J15940" t="s">
        <v>535</v>
      </c>
      <c r="K15940" t="s">
        <v>33</v>
      </c>
      <c r="L15940" t="s">
        <v>445</v>
      </c>
      <c r="N15940" t="s">
        <v>29</v>
      </c>
    </row>
    <row r="15941" spans="1:14">
      <c r="A15941" s="4" t="str">
        <f t="shared" si="1211"/>
        <v>EXP00419</v>
      </c>
      <c r="B15941" s="3" t="s">
        <v>66</v>
      </c>
      <c r="C15941" s="4" t="str">
        <f t="shared" ref="C15941:C16004" si="1212">HYPERLINK("https://portal.gdc.cancer.gov/projects/TCGA-CESC","TCGA-CESC")</f>
        <v>TCGA-CESC</v>
      </c>
      <c r="D15941" s="1" t="s">
        <v>493</v>
      </c>
      <c r="E15941" t="s">
        <v>543</v>
      </c>
      <c r="F15941" s="1">
        <v>2</v>
      </c>
      <c r="G15941" s="1" t="s">
        <v>32</v>
      </c>
      <c r="H15941" s="4" t="str">
        <f>HYPERLINK("https://portal.gdc.cancer.gov/cases/5c72bda2-2ec0-455f-ab27-7247fd5ffff9","TCGA-Q1-A73Q-01A")</f>
        <v>TCGA-Q1-A73Q-01A</v>
      </c>
      <c r="I15941" t="s">
        <v>444</v>
      </c>
      <c r="J15941" t="s">
        <v>535</v>
      </c>
      <c r="K15941" t="s">
        <v>33</v>
      </c>
      <c r="L15941" t="s">
        <v>445</v>
      </c>
      <c r="N15941" t="s">
        <v>29</v>
      </c>
    </row>
    <row r="15942" spans="1:14">
      <c r="A15942" s="4" t="str">
        <f t="shared" si="1211"/>
        <v>EXP00419</v>
      </c>
      <c r="B15942" s="3" t="s">
        <v>66</v>
      </c>
      <c r="C15942" s="4" t="str">
        <f t="shared" si="1212"/>
        <v>TCGA-CESC</v>
      </c>
      <c r="D15942" s="1" t="s">
        <v>493</v>
      </c>
      <c r="E15942" t="s">
        <v>543</v>
      </c>
      <c r="F15942" s="1">
        <v>2</v>
      </c>
      <c r="G15942" s="1" t="s">
        <v>32</v>
      </c>
      <c r="H15942" s="4" t="str">
        <f>HYPERLINK("https://portal.gdc.cancer.gov/cases/d9b0ac5a-811d-4305-bb1c-a965bd389ce4","TCGA-Q1-A73R-01A")</f>
        <v>TCGA-Q1-A73R-01A</v>
      </c>
      <c r="I15942" t="s">
        <v>444</v>
      </c>
      <c r="J15942" t="s">
        <v>535</v>
      </c>
      <c r="K15942" t="s">
        <v>33</v>
      </c>
      <c r="L15942" t="s">
        <v>445</v>
      </c>
      <c r="N15942" t="s">
        <v>29</v>
      </c>
    </row>
    <row r="15943" spans="1:14">
      <c r="A15943" s="4" t="str">
        <f t="shared" si="1211"/>
        <v>EXP00419</v>
      </c>
      <c r="B15943" s="3" t="s">
        <v>66</v>
      </c>
      <c r="C15943" s="4" t="str">
        <f t="shared" si="1212"/>
        <v>TCGA-CESC</v>
      </c>
      <c r="D15943" s="1" t="s">
        <v>493</v>
      </c>
      <c r="E15943" t="s">
        <v>543</v>
      </c>
      <c r="F15943" s="1">
        <v>2</v>
      </c>
      <c r="G15943" s="1" t="s">
        <v>32</v>
      </c>
      <c r="H15943" s="4" t="str">
        <f>HYPERLINK("https://portal.gdc.cancer.gov/cases/b0f63819-fc86-4981-9d92-0115c6de3bce","TCGA-Q1-A73S-01A")</f>
        <v>TCGA-Q1-A73S-01A</v>
      </c>
      <c r="I15943" t="s">
        <v>444</v>
      </c>
      <c r="J15943" t="s">
        <v>535</v>
      </c>
      <c r="K15943" t="s">
        <v>33</v>
      </c>
      <c r="L15943" t="s">
        <v>445</v>
      </c>
      <c r="N15943" t="s">
        <v>29</v>
      </c>
    </row>
    <row r="15944" spans="1:14">
      <c r="A15944" s="4" t="str">
        <f t="shared" si="1211"/>
        <v>EXP00419</v>
      </c>
      <c r="B15944" s="3" t="s">
        <v>66</v>
      </c>
      <c r="C15944" s="4" t="str">
        <f t="shared" si="1212"/>
        <v>TCGA-CESC</v>
      </c>
      <c r="D15944" s="1" t="s">
        <v>493</v>
      </c>
      <c r="E15944" t="s">
        <v>543</v>
      </c>
      <c r="F15944" s="1">
        <v>2</v>
      </c>
      <c r="G15944" s="1" t="s">
        <v>32</v>
      </c>
      <c r="H15944" s="4" t="str">
        <f>HYPERLINK("https://portal.gdc.cancer.gov/cases/0e137272-a21c-4c5e-bfd1-a774b339a753","TCGA-R2-A69V-01A")</f>
        <v>TCGA-R2-A69V-01A</v>
      </c>
      <c r="I15944" t="s">
        <v>444</v>
      </c>
      <c r="J15944" t="s">
        <v>535</v>
      </c>
      <c r="K15944" t="s">
        <v>33</v>
      </c>
      <c r="L15944" t="s">
        <v>445</v>
      </c>
      <c r="N15944" t="s">
        <v>29</v>
      </c>
    </row>
    <row r="15945" spans="1:14">
      <c r="A15945" s="4" t="str">
        <f t="shared" si="1211"/>
        <v>EXP00419</v>
      </c>
      <c r="B15945" s="3" t="s">
        <v>66</v>
      </c>
      <c r="C15945" s="4" t="str">
        <f t="shared" si="1212"/>
        <v>TCGA-CESC</v>
      </c>
      <c r="D15945" s="1" t="s">
        <v>493</v>
      </c>
      <c r="E15945" t="s">
        <v>543</v>
      </c>
      <c r="F15945" s="1">
        <v>2</v>
      </c>
      <c r="G15945" s="1" t="s">
        <v>32</v>
      </c>
      <c r="H15945" s="4" t="str">
        <f>HYPERLINK("https://portal.gdc.cancer.gov/cases/bdad2f13-ede2-4aad-91a4-bf60f8888bf2","TCGA-RA-A741-01A")</f>
        <v>TCGA-RA-A741-01A</v>
      </c>
      <c r="I15945" t="s">
        <v>444</v>
      </c>
      <c r="J15945" t="s">
        <v>535</v>
      </c>
      <c r="K15945" t="s">
        <v>33</v>
      </c>
      <c r="L15945" t="s">
        <v>445</v>
      </c>
      <c r="N15945" t="s">
        <v>29</v>
      </c>
    </row>
    <row r="15946" spans="1:14">
      <c r="A15946" s="4" t="str">
        <f t="shared" si="1211"/>
        <v>EXP00419</v>
      </c>
      <c r="B15946" s="3" t="s">
        <v>66</v>
      </c>
      <c r="C15946" s="4" t="str">
        <f t="shared" si="1212"/>
        <v>TCGA-CESC</v>
      </c>
      <c r="D15946" s="1" t="s">
        <v>493</v>
      </c>
      <c r="E15946" t="s">
        <v>543</v>
      </c>
      <c r="F15946" s="1">
        <v>2</v>
      </c>
      <c r="G15946" s="1" t="s">
        <v>32</v>
      </c>
      <c r="H15946" s="4" t="str">
        <f>HYPERLINK("https://portal.gdc.cancer.gov/cases/0f18ef74-019b-478d-aecd-60cc715bfdb7","TCGA-UC-A7PD-01A")</f>
        <v>TCGA-UC-A7PD-01A</v>
      </c>
      <c r="I15946" t="s">
        <v>444</v>
      </c>
      <c r="J15946" t="s">
        <v>535</v>
      </c>
      <c r="K15946" t="s">
        <v>33</v>
      </c>
      <c r="L15946" t="s">
        <v>445</v>
      </c>
      <c r="N15946" t="s">
        <v>29</v>
      </c>
    </row>
    <row r="15947" spans="1:14">
      <c r="A15947" s="4" t="str">
        <f t="shared" si="1211"/>
        <v>EXP00419</v>
      </c>
      <c r="B15947" s="3" t="s">
        <v>66</v>
      </c>
      <c r="C15947" s="4" t="str">
        <f t="shared" si="1212"/>
        <v>TCGA-CESC</v>
      </c>
      <c r="D15947" s="1" t="s">
        <v>493</v>
      </c>
      <c r="E15947" t="s">
        <v>543</v>
      </c>
      <c r="F15947" s="1">
        <v>2</v>
      </c>
      <c r="G15947" s="1" t="s">
        <v>32</v>
      </c>
      <c r="H15947" s="4" t="str">
        <f>HYPERLINK("https://portal.gdc.cancer.gov/cases/1451821e-dd49-41fa-a52e-32f8524ffe82","TCGA-UC-A7PF-01A")</f>
        <v>TCGA-UC-A7PF-01A</v>
      </c>
      <c r="I15947" t="s">
        <v>444</v>
      </c>
      <c r="J15947" t="s">
        <v>535</v>
      </c>
      <c r="K15947" t="s">
        <v>33</v>
      </c>
      <c r="L15947" t="s">
        <v>445</v>
      </c>
      <c r="N15947" t="s">
        <v>29</v>
      </c>
    </row>
    <row r="15948" spans="1:14">
      <c r="A15948" s="4" t="str">
        <f t="shared" si="1211"/>
        <v>EXP00419</v>
      </c>
      <c r="B15948" s="3" t="s">
        <v>66</v>
      </c>
      <c r="C15948" s="4" t="str">
        <f t="shared" si="1212"/>
        <v>TCGA-CESC</v>
      </c>
      <c r="D15948" s="1" t="s">
        <v>493</v>
      </c>
      <c r="E15948" t="s">
        <v>543</v>
      </c>
      <c r="F15948" s="1">
        <v>2</v>
      </c>
      <c r="G15948" s="1" t="s">
        <v>32</v>
      </c>
      <c r="H15948" s="4" t="str">
        <f>HYPERLINK("https://portal.gdc.cancer.gov/cases/c659f1c9-f3b4-4cfe-8627-2bb716c62b96","TCGA-UC-A7PI-01A")</f>
        <v>TCGA-UC-A7PI-01A</v>
      </c>
      <c r="I15948" t="s">
        <v>444</v>
      </c>
      <c r="J15948" t="s">
        <v>535</v>
      </c>
      <c r="K15948" t="s">
        <v>33</v>
      </c>
      <c r="L15948" t="s">
        <v>445</v>
      </c>
      <c r="N15948" t="s">
        <v>29</v>
      </c>
    </row>
    <row r="15949" spans="1:14">
      <c r="A15949" s="4" t="str">
        <f t="shared" si="1211"/>
        <v>EXP00419</v>
      </c>
      <c r="B15949" s="3" t="s">
        <v>66</v>
      </c>
      <c r="C15949" s="4" t="str">
        <f t="shared" si="1212"/>
        <v>TCGA-CESC</v>
      </c>
      <c r="D15949" s="1" t="s">
        <v>493</v>
      </c>
      <c r="E15949" t="s">
        <v>543</v>
      </c>
      <c r="F15949" s="1">
        <v>2</v>
      </c>
      <c r="G15949" s="1" t="s">
        <v>32</v>
      </c>
      <c r="H15949" s="4" t="str">
        <f>HYPERLINK("https://portal.gdc.cancer.gov/cases/2c736c5c-9d32-4522-acfd-6620bc291ace","TCGA-VS-A8EB-01A")</f>
        <v>TCGA-VS-A8EB-01A</v>
      </c>
      <c r="I15949" t="s">
        <v>444</v>
      </c>
      <c r="J15949" t="s">
        <v>535</v>
      </c>
      <c r="K15949" t="s">
        <v>33</v>
      </c>
      <c r="L15949" t="s">
        <v>445</v>
      </c>
      <c r="N15949" t="s">
        <v>29</v>
      </c>
    </row>
    <row r="15950" spans="1:14">
      <c r="A15950" s="4" t="str">
        <f t="shared" si="1211"/>
        <v>EXP00419</v>
      </c>
      <c r="B15950" s="3" t="s">
        <v>66</v>
      </c>
      <c r="C15950" s="4" t="str">
        <f t="shared" si="1212"/>
        <v>TCGA-CESC</v>
      </c>
      <c r="D15950" s="1" t="s">
        <v>493</v>
      </c>
      <c r="E15950" t="s">
        <v>543</v>
      </c>
      <c r="F15950" s="1">
        <v>2</v>
      </c>
      <c r="G15950" s="1" t="s">
        <v>32</v>
      </c>
      <c r="H15950" s="4" t="str">
        <f>HYPERLINK("https://portal.gdc.cancer.gov/cases/afb5442e-0249-475b-8f82-cae4e0268ad1","TCGA-VS-A8EC-01A")</f>
        <v>TCGA-VS-A8EC-01A</v>
      </c>
      <c r="I15950" t="s">
        <v>444</v>
      </c>
      <c r="J15950" t="s">
        <v>535</v>
      </c>
      <c r="K15950" t="s">
        <v>33</v>
      </c>
      <c r="L15950" t="s">
        <v>445</v>
      </c>
      <c r="N15950" t="s">
        <v>29</v>
      </c>
    </row>
    <row r="15951" spans="1:14">
      <c r="A15951" s="4" t="str">
        <f t="shared" si="1211"/>
        <v>EXP00419</v>
      </c>
      <c r="B15951" s="3" t="s">
        <v>66</v>
      </c>
      <c r="C15951" s="4" t="str">
        <f t="shared" si="1212"/>
        <v>TCGA-CESC</v>
      </c>
      <c r="D15951" s="1" t="s">
        <v>493</v>
      </c>
      <c r="E15951" t="s">
        <v>543</v>
      </c>
      <c r="F15951" s="1">
        <v>2</v>
      </c>
      <c r="G15951" s="1" t="s">
        <v>32</v>
      </c>
      <c r="H15951" s="4" t="str">
        <f>HYPERLINK("https://portal.gdc.cancer.gov/cases/b0b293c1-bd7e-4ba8-9f44-47398488ef2c","TCGA-VS-A8EG-01A")</f>
        <v>TCGA-VS-A8EG-01A</v>
      </c>
      <c r="I15951" t="s">
        <v>444</v>
      </c>
      <c r="J15951" t="s">
        <v>535</v>
      </c>
      <c r="K15951" t="s">
        <v>33</v>
      </c>
      <c r="L15951" t="s">
        <v>445</v>
      </c>
      <c r="N15951" t="s">
        <v>29</v>
      </c>
    </row>
    <row r="15952" spans="1:14">
      <c r="A15952" s="4" t="str">
        <f t="shared" si="1211"/>
        <v>EXP00419</v>
      </c>
      <c r="B15952" s="3" t="s">
        <v>66</v>
      </c>
      <c r="C15952" s="4" t="str">
        <f t="shared" si="1212"/>
        <v>TCGA-CESC</v>
      </c>
      <c r="D15952" s="1" t="s">
        <v>493</v>
      </c>
      <c r="E15952" t="s">
        <v>543</v>
      </c>
      <c r="F15952" s="1">
        <v>2</v>
      </c>
      <c r="G15952" s="1" t="s">
        <v>32</v>
      </c>
      <c r="H15952" s="4" t="str">
        <f>HYPERLINK("https://portal.gdc.cancer.gov/cases/05026179-b1da-411e-a286-89727b1ae380","TCGA-VS-A8EH-01A")</f>
        <v>TCGA-VS-A8EH-01A</v>
      </c>
      <c r="I15952" t="s">
        <v>444</v>
      </c>
      <c r="J15952" t="s">
        <v>535</v>
      </c>
      <c r="K15952" t="s">
        <v>33</v>
      </c>
      <c r="L15952" t="s">
        <v>445</v>
      </c>
      <c r="N15952" t="s">
        <v>29</v>
      </c>
    </row>
    <row r="15953" spans="1:14">
      <c r="A15953" s="4" t="str">
        <f t="shared" si="1211"/>
        <v>EXP00419</v>
      </c>
      <c r="B15953" s="3" t="s">
        <v>66</v>
      </c>
      <c r="C15953" s="4" t="str">
        <f t="shared" si="1212"/>
        <v>TCGA-CESC</v>
      </c>
      <c r="D15953" s="1" t="s">
        <v>493</v>
      </c>
      <c r="E15953" t="s">
        <v>543</v>
      </c>
      <c r="F15953" s="1">
        <v>2</v>
      </c>
      <c r="G15953" s="1" t="s">
        <v>32</v>
      </c>
      <c r="H15953" s="4" t="str">
        <f>HYPERLINK("https://portal.gdc.cancer.gov/cases/7b228c3b-e604-41a1-9b76-8dd3d5a59ffe","TCGA-VS-A8EI-01A")</f>
        <v>TCGA-VS-A8EI-01A</v>
      </c>
      <c r="I15953" t="s">
        <v>444</v>
      </c>
      <c r="J15953" t="s">
        <v>535</v>
      </c>
      <c r="K15953" t="s">
        <v>33</v>
      </c>
      <c r="L15953" t="s">
        <v>445</v>
      </c>
      <c r="N15953" t="s">
        <v>29</v>
      </c>
    </row>
    <row r="15954" spans="1:14">
      <c r="A15954" s="4" t="str">
        <f t="shared" si="1211"/>
        <v>EXP00419</v>
      </c>
      <c r="B15954" s="3" t="s">
        <v>66</v>
      </c>
      <c r="C15954" s="4" t="str">
        <f t="shared" si="1212"/>
        <v>TCGA-CESC</v>
      </c>
      <c r="D15954" s="1" t="s">
        <v>493</v>
      </c>
      <c r="E15954" t="s">
        <v>543</v>
      </c>
      <c r="F15954" s="1">
        <v>2</v>
      </c>
      <c r="G15954" s="1" t="s">
        <v>32</v>
      </c>
      <c r="H15954" s="4" t="str">
        <f>HYPERLINK("https://portal.gdc.cancer.gov/cases/2e08a89e-4035-4782-b54f-f98eef5db80d","TCGA-VS-A8EJ-01A")</f>
        <v>TCGA-VS-A8EJ-01A</v>
      </c>
      <c r="I15954" t="s">
        <v>444</v>
      </c>
      <c r="J15954" t="s">
        <v>535</v>
      </c>
      <c r="K15954" t="s">
        <v>33</v>
      </c>
      <c r="L15954" t="s">
        <v>445</v>
      </c>
      <c r="N15954" t="s">
        <v>29</v>
      </c>
    </row>
    <row r="15955" spans="1:14">
      <c r="A15955" s="4" t="str">
        <f t="shared" si="1211"/>
        <v>EXP00419</v>
      </c>
      <c r="B15955" s="3" t="s">
        <v>66</v>
      </c>
      <c r="C15955" s="4" t="str">
        <f t="shared" si="1212"/>
        <v>TCGA-CESC</v>
      </c>
      <c r="D15955" s="1" t="s">
        <v>493</v>
      </c>
      <c r="E15955" t="s">
        <v>543</v>
      </c>
      <c r="F15955" s="1">
        <v>2</v>
      </c>
      <c r="G15955" s="1" t="s">
        <v>32</v>
      </c>
      <c r="H15955" s="4" t="str">
        <f>HYPERLINK("https://portal.gdc.cancer.gov/cases/d9c2ca21-f1a6-4cf4-be28-6c2492dd38e5","TCGA-VS-A8EK-01A")</f>
        <v>TCGA-VS-A8EK-01A</v>
      </c>
      <c r="I15955" t="s">
        <v>444</v>
      </c>
      <c r="J15955" t="s">
        <v>535</v>
      </c>
      <c r="K15955" t="s">
        <v>33</v>
      </c>
      <c r="L15955" t="s">
        <v>445</v>
      </c>
      <c r="N15955" t="s">
        <v>29</v>
      </c>
    </row>
    <row r="15956" spans="1:14">
      <c r="A15956" s="4" t="str">
        <f t="shared" si="1211"/>
        <v>EXP00419</v>
      </c>
      <c r="B15956" s="3" t="s">
        <v>66</v>
      </c>
      <c r="C15956" s="4" t="str">
        <f t="shared" si="1212"/>
        <v>TCGA-CESC</v>
      </c>
      <c r="D15956" s="1" t="s">
        <v>493</v>
      </c>
      <c r="E15956" t="s">
        <v>543</v>
      </c>
      <c r="F15956" s="1">
        <v>2</v>
      </c>
      <c r="G15956" s="1" t="s">
        <v>32</v>
      </c>
      <c r="H15956" s="4" t="str">
        <f>HYPERLINK("https://portal.gdc.cancer.gov/cases/e0a5d99b-b58b-4301-b2dc-a767d90059b1","TCGA-VS-A8EL-01A")</f>
        <v>TCGA-VS-A8EL-01A</v>
      </c>
      <c r="I15956" t="s">
        <v>444</v>
      </c>
      <c r="J15956" t="s">
        <v>535</v>
      </c>
      <c r="K15956" t="s">
        <v>33</v>
      </c>
      <c r="L15956" t="s">
        <v>445</v>
      </c>
      <c r="N15956" t="s">
        <v>29</v>
      </c>
    </row>
    <row r="15957" spans="1:14">
      <c r="A15957" s="4" t="str">
        <f t="shared" si="1211"/>
        <v>EXP00419</v>
      </c>
      <c r="B15957" s="3" t="s">
        <v>66</v>
      </c>
      <c r="C15957" s="4" t="str">
        <f t="shared" si="1212"/>
        <v>TCGA-CESC</v>
      </c>
      <c r="D15957" s="1" t="s">
        <v>493</v>
      </c>
      <c r="E15957" t="s">
        <v>543</v>
      </c>
      <c r="F15957" s="1">
        <v>2</v>
      </c>
      <c r="G15957" s="1" t="s">
        <v>32</v>
      </c>
      <c r="H15957" s="4" t="str">
        <f>HYPERLINK("https://portal.gdc.cancer.gov/cases/6c3c8219-74ab-4e54-81f5-84d4d5884252","TCGA-VS-A8Q8-01A")</f>
        <v>TCGA-VS-A8Q8-01A</v>
      </c>
      <c r="I15957" t="s">
        <v>444</v>
      </c>
      <c r="J15957" t="s">
        <v>535</v>
      </c>
      <c r="K15957" t="s">
        <v>33</v>
      </c>
      <c r="L15957" t="s">
        <v>445</v>
      </c>
      <c r="N15957" t="s">
        <v>29</v>
      </c>
    </row>
    <row r="15958" spans="1:14">
      <c r="A15958" s="4" t="str">
        <f t="shared" si="1211"/>
        <v>EXP00419</v>
      </c>
      <c r="B15958" s="3" t="s">
        <v>66</v>
      </c>
      <c r="C15958" s="4" t="str">
        <f t="shared" si="1212"/>
        <v>TCGA-CESC</v>
      </c>
      <c r="D15958" s="1" t="s">
        <v>493</v>
      </c>
      <c r="E15958" t="s">
        <v>543</v>
      </c>
      <c r="F15958" s="1">
        <v>2</v>
      </c>
      <c r="G15958" s="1" t="s">
        <v>32</v>
      </c>
      <c r="H15958" s="4" t="str">
        <f>HYPERLINK("https://portal.gdc.cancer.gov/cases/5798d741-c198-4c14-bcc2-e3b17caf1be3","TCGA-VS-A8Q9-01A")</f>
        <v>TCGA-VS-A8Q9-01A</v>
      </c>
      <c r="I15958" t="s">
        <v>444</v>
      </c>
      <c r="J15958" t="s">
        <v>535</v>
      </c>
      <c r="K15958" t="s">
        <v>33</v>
      </c>
      <c r="L15958" t="s">
        <v>445</v>
      </c>
      <c r="N15958" t="s">
        <v>29</v>
      </c>
    </row>
    <row r="15959" spans="1:14">
      <c r="A15959" s="4" t="str">
        <f t="shared" si="1211"/>
        <v>EXP00419</v>
      </c>
      <c r="B15959" s="3" t="s">
        <v>66</v>
      </c>
      <c r="C15959" s="4" t="str">
        <f t="shared" si="1212"/>
        <v>TCGA-CESC</v>
      </c>
      <c r="D15959" s="1" t="s">
        <v>493</v>
      </c>
      <c r="E15959" t="s">
        <v>543</v>
      </c>
      <c r="F15959" s="1">
        <v>2</v>
      </c>
      <c r="G15959" s="1" t="s">
        <v>32</v>
      </c>
      <c r="H15959" s="4" t="str">
        <f>HYPERLINK("https://portal.gdc.cancer.gov/cases/1a3d5555-7013-4f06-878a-98944f075b63","TCGA-VS-A8QA-01A")</f>
        <v>TCGA-VS-A8QA-01A</v>
      </c>
      <c r="I15959" t="s">
        <v>444</v>
      </c>
      <c r="J15959" t="s">
        <v>535</v>
      </c>
      <c r="K15959" t="s">
        <v>33</v>
      </c>
      <c r="L15959" t="s">
        <v>445</v>
      </c>
      <c r="N15959" t="s">
        <v>29</v>
      </c>
    </row>
    <row r="15960" spans="1:14">
      <c r="A15960" s="4" t="str">
        <f t="shared" si="1211"/>
        <v>EXP00419</v>
      </c>
      <c r="B15960" s="3" t="s">
        <v>66</v>
      </c>
      <c r="C15960" s="4" t="str">
        <f t="shared" si="1212"/>
        <v>TCGA-CESC</v>
      </c>
      <c r="D15960" s="1" t="s">
        <v>493</v>
      </c>
      <c r="E15960" t="s">
        <v>543</v>
      </c>
      <c r="F15960" s="1">
        <v>2</v>
      </c>
      <c r="G15960" s="1" t="s">
        <v>32</v>
      </c>
      <c r="H15960" s="4" t="str">
        <f>HYPERLINK("https://portal.gdc.cancer.gov/cases/cb695fdd-381e-4c00-836e-0ba27e32176b","TCGA-VS-A8QC-01A")</f>
        <v>TCGA-VS-A8QC-01A</v>
      </c>
      <c r="I15960" t="s">
        <v>444</v>
      </c>
      <c r="J15960" t="s">
        <v>535</v>
      </c>
      <c r="K15960" t="s">
        <v>33</v>
      </c>
      <c r="L15960" t="s">
        <v>445</v>
      </c>
      <c r="N15960" t="s">
        <v>29</v>
      </c>
    </row>
    <row r="15961" spans="1:14">
      <c r="A15961" s="4" t="str">
        <f t="shared" si="1211"/>
        <v>EXP00419</v>
      </c>
      <c r="B15961" s="3" t="s">
        <v>66</v>
      </c>
      <c r="C15961" s="4" t="str">
        <f t="shared" si="1212"/>
        <v>TCGA-CESC</v>
      </c>
      <c r="D15961" s="1" t="s">
        <v>493</v>
      </c>
      <c r="E15961" t="s">
        <v>543</v>
      </c>
      <c r="F15961" s="1">
        <v>2</v>
      </c>
      <c r="G15961" s="1" t="s">
        <v>32</v>
      </c>
      <c r="H15961" s="4" t="str">
        <f>HYPERLINK("https://portal.gdc.cancer.gov/cases/21254cb0-68f3-4ecc-8d9a-73fb0e994c5b","TCGA-VS-A8QF-01A")</f>
        <v>TCGA-VS-A8QF-01A</v>
      </c>
      <c r="I15961" t="s">
        <v>444</v>
      </c>
      <c r="J15961" t="s">
        <v>535</v>
      </c>
      <c r="K15961" t="s">
        <v>33</v>
      </c>
      <c r="L15961" t="s">
        <v>445</v>
      </c>
      <c r="N15961" t="s">
        <v>29</v>
      </c>
    </row>
    <row r="15962" spans="1:14">
      <c r="A15962" s="4" t="str">
        <f t="shared" si="1211"/>
        <v>EXP00419</v>
      </c>
      <c r="B15962" s="3" t="s">
        <v>66</v>
      </c>
      <c r="C15962" s="4" t="str">
        <f t="shared" si="1212"/>
        <v>TCGA-CESC</v>
      </c>
      <c r="D15962" s="1" t="s">
        <v>493</v>
      </c>
      <c r="E15962" t="s">
        <v>543</v>
      </c>
      <c r="F15962" s="1">
        <v>2</v>
      </c>
      <c r="G15962" s="1" t="s">
        <v>32</v>
      </c>
      <c r="H15962" s="4" t="str">
        <f>HYPERLINK("https://portal.gdc.cancer.gov/cases/c4f61715-ee58-4799-a5f4-0f5e27c4093d","TCGA-VS-A8QH-01A")</f>
        <v>TCGA-VS-A8QH-01A</v>
      </c>
      <c r="I15962" t="s">
        <v>444</v>
      </c>
      <c r="J15962" t="s">
        <v>535</v>
      </c>
      <c r="K15962" t="s">
        <v>33</v>
      </c>
      <c r="L15962" t="s">
        <v>445</v>
      </c>
      <c r="N15962" t="s">
        <v>29</v>
      </c>
    </row>
    <row r="15963" spans="1:14">
      <c r="A15963" s="4" t="str">
        <f t="shared" si="1211"/>
        <v>EXP00419</v>
      </c>
      <c r="B15963" s="3" t="s">
        <v>66</v>
      </c>
      <c r="C15963" s="4" t="str">
        <f t="shared" si="1212"/>
        <v>TCGA-CESC</v>
      </c>
      <c r="D15963" s="1" t="s">
        <v>493</v>
      </c>
      <c r="E15963" t="s">
        <v>543</v>
      </c>
      <c r="F15963" s="1">
        <v>2</v>
      </c>
      <c r="G15963" s="1" t="s">
        <v>32</v>
      </c>
      <c r="H15963" s="4" t="str">
        <f>HYPERLINK("https://portal.gdc.cancer.gov/cases/27d2b645-f1bf-4486-b0b5-273681b58625","TCGA-VS-A8QM-01A")</f>
        <v>TCGA-VS-A8QM-01A</v>
      </c>
      <c r="I15963" t="s">
        <v>444</v>
      </c>
      <c r="J15963" t="s">
        <v>535</v>
      </c>
      <c r="K15963" t="s">
        <v>33</v>
      </c>
      <c r="L15963" t="s">
        <v>445</v>
      </c>
      <c r="N15963" t="s">
        <v>29</v>
      </c>
    </row>
    <row r="15964" spans="1:14">
      <c r="A15964" s="4" t="str">
        <f t="shared" si="1211"/>
        <v>EXP00419</v>
      </c>
      <c r="B15964" s="3" t="s">
        <v>66</v>
      </c>
      <c r="C15964" s="4" t="str">
        <f t="shared" si="1212"/>
        <v>TCGA-CESC</v>
      </c>
      <c r="D15964" s="1" t="s">
        <v>493</v>
      </c>
      <c r="E15964" t="s">
        <v>543</v>
      </c>
      <c r="F15964" s="1">
        <v>2</v>
      </c>
      <c r="G15964" s="1" t="s">
        <v>32</v>
      </c>
      <c r="H15964" s="4" t="str">
        <f>HYPERLINK("https://portal.gdc.cancer.gov/cases/2f6a0e87-1e6c-41f3-93e0-3e505fa654b0","TCGA-VS-A94W-01A")</f>
        <v>TCGA-VS-A94W-01A</v>
      </c>
      <c r="I15964" t="s">
        <v>444</v>
      </c>
      <c r="J15964" t="s">
        <v>535</v>
      </c>
      <c r="K15964" t="s">
        <v>33</v>
      </c>
      <c r="L15964" t="s">
        <v>445</v>
      </c>
      <c r="N15964" t="s">
        <v>29</v>
      </c>
    </row>
    <row r="15965" spans="1:14">
      <c r="A15965" s="4" t="str">
        <f t="shared" si="1211"/>
        <v>EXP00419</v>
      </c>
      <c r="B15965" s="3" t="s">
        <v>66</v>
      </c>
      <c r="C15965" s="4" t="str">
        <f t="shared" si="1212"/>
        <v>TCGA-CESC</v>
      </c>
      <c r="D15965" s="1" t="s">
        <v>493</v>
      </c>
      <c r="E15965" t="s">
        <v>543</v>
      </c>
      <c r="F15965" s="1">
        <v>2</v>
      </c>
      <c r="G15965" s="1" t="s">
        <v>32</v>
      </c>
      <c r="H15965" s="4" t="str">
        <f>HYPERLINK("https://portal.gdc.cancer.gov/cases/240ef385-decc-48f7-a798-a81b4ab0410e","TCGA-VS-A94X-01A")</f>
        <v>TCGA-VS-A94X-01A</v>
      </c>
      <c r="I15965" t="s">
        <v>444</v>
      </c>
      <c r="J15965" t="s">
        <v>535</v>
      </c>
      <c r="K15965" t="s">
        <v>33</v>
      </c>
      <c r="L15965" t="s">
        <v>445</v>
      </c>
      <c r="N15965" t="s">
        <v>29</v>
      </c>
    </row>
    <row r="15966" spans="1:14">
      <c r="A15966" s="4" t="str">
        <f t="shared" si="1211"/>
        <v>EXP00419</v>
      </c>
      <c r="B15966" s="3" t="s">
        <v>66</v>
      </c>
      <c r="C15966" s="4" t="str">
        <f t="shared" si="1212"/>
        <v>TCGA-CESC</v>
      </c>
      <c r="D15966" s="1" t="s">
        <v>493</v>
      </c>
      <c r="E15966" t="s">
        <v>543</v>
      </c>
      <c r="F15966" s="1">
        <v>2</v>
      </c>
      <c r="G15966" s="1" t="s">
        <v>32</v>
      </c>
      <c r="H15966" s="4" t="str">
        <f>HYPERLINK("https://portal.gdc.cancer.gov/cases/0e7f79cd-d188-42ea-bf96-4ba9e9b8606b","TCGA-VS-A94Y-01A")</f>
        <v>TCGA-VS-A94Y-01A</v>
      </c>
      <c r="I15966" t="s">
        <v>444</v>
      </c>
      <c r="J15966" t="s">
        <v>535</v>
      </c>
      <c r="K15966" t="s">
        <v>33</v>
      </c>
      <c r="L15966" t="s">
        <v>445</v>
      </c>
      <c r="N15966" t="s">
        <v>29</v>
      </c>
    </row>
    <row r="15967" spans="1:14">
      <c r="A15967" s="4" t="str">
        <f t="shared" si="1211"/>
        <v>EXP00419</v>
      </c>
      <c r="B15967" s="3" t="s">
        <v>66</v>
      </c>
      <c r="C15967" s="4" t="str">
        <f t="shared" si="1212"/>
        <v>TCGA-CESC</v>
      </c>
      <c r="D15967" s="1" t="s">
        <v>493</v>
      </c>
      <c r="E15967" t="s">
        <v>543</v>
      </c>
      <c r="F15967" s="1">
        <v>2</v>
      </c>
      <c r="G15967" s="1" t="s">
        <v>32</v>
      </c>
      <c r="H15967" s="4" t="str">
        <f>HYPERLINK("https://portal.gdc.cancer.gov/cases/69baba9f-19c2-4947-95dc-0dd3412929ba","TCGA-VS-A94Z-01A")</f>
        <v>TCGA-VS-A94Z-01A</v>
      </c>
      <c r="I15967" t="s">
        <v>444</v>
      </c>
      <c r="J15967" t="s">
        <v>535</v>
      </c>
      <c r="K15967" t="s">
        <v>33</v>
      </c>
      <c r="L15967" t="s">
        <v>445</v>
      </c>
      <c r="N15967" t="s">
        <v>29</v>
      </c>
    </row>
    <row r="15968" spans="1:14">
      <c r="A15968" s="4" t="str">
        <f t="shared" si="1211"/>
        <v>EXP00419</v>
      </c>
      <c r="B15968" s="3" t="s">
        <v>66</v>
      </c>
      <c r="C15968" s="4" t="str">
        <f t="shared" si="1212"/>
        <v>TCGA-CESC</v>
      </c>
      <c r="D15968" s="1" t="s">
        <v>493</v>
      </c>
      <c r="E15968" t="s">
        <v>543</v>
      </c>
      <c r="F15968" s="1">
        <v>2</v>
      </c>
      <c r="G15968" s="1" t="s">
        <v>32</v>
      </c>
      <c r="H15968" s="4" t="str">
        <f>HYPERLINK("https://portal.gdc.cancer.gov/cases/3d190f07-2f79-4ee6-9f63-0b563dc05c74","TCGA-VS-A950-01A")</f>
        <v>TCGA-VS-A950-01A</v>
      </c>
      <c r="I15968" t="s">
        <v>444</v>
      </c>
      <c r="J15968" t="s">
        <v>535</v>
      </c>
      <c r="K15968" t="s">
        <v>33</v>
      </c>
      <c r="L15968" t="s">
        <v>445</v>
      </c>
      <c r="N15968" t="s">
        <v>29</v>
      </c>
    </row>
    <row r="15969" spans="1:14">
      <c r="A15969" s="4" t="str">
        <f t="shared" ref="A15969:A16016" si="1213">HYPERLINK("http://hcmdb.i-sanger.com/experiment/details/experiment_id/EXP00419","EXP00419")</f>
        <v>EXP00419</v>
      </c>
      <c r="B15969" s="3" t="s">
        <v>66</v>
      </c>
      <c r="C15969" s="4" t="str">
        <f t="shared" si="1212"/>
        <v>TCGA-CESC</v>
      </c>
      <c r="D15969" s="1" t="s">
        <v>493</v>
      </c>
      <c r="E15969" t="s">
        <v>543</v>
      </c>
      <c r="F15969" s="1">
        <v>2</v>
      </c>
      <c r="G15969" s="1" t="s">
        <v>32</v>
      </c>
      <c r="H15969" s="4" t="str">
        <f>HYPERLINK("https://portal.gdc.cancer.gov/cases/9fa42fe6-ccd0-4850-b08b-97b20eceb8df","TCGA-VS-A952-01A")</f>
        <v>TCGA-VS-A952-01A</v>
      </c>
      <c r="I15969" t="s">
        <v>444</v>
      </c>
      <c r="J15969" t="s">
        <v>535</v>
      </c>
      <c r="K15969" t="s">
        <v>33</v>
      </c>
      <c r="L15969" t="s">
        <v>445</v>
      </c>
      <c r="N15969" t="s">
        <v>29</v>
      </c>
    </row>
    <row r="15970" spans="1:14">
      <c r="A15970" s="4" t="str">
        <f t="shared" si="1213"/>
        <v>EXP00419</v>
      </c>
      <c r="B15970" s="3" t="s">
        <v>66</v>
      </c>
      <c r="C15970" s="4" t="str">
        <f t="shared" si="1212"/>
        <v>TCGA-CESC</v>
      </c>
      <c r="D15970" s="1" t="s">
        <v>493</v>
      </c>
      <c r="E15970" t="s">
        <v>543</v>
      </c>
      <c r="F15970" s="1">
        <v>2</v>
      </c>
      <c r="G15970" s="1" t="s">
        <v>32</v>
      </c>
      <c r="H15970" s="4" t="str">
        <f>HYPERLINK("https://portal.gdc.cancer.gov/cases/da901e97-3a1d-4952-8254-9c4e60d2812c","TCGA-VS-A953-01A")</f>
        <v>TCGA-VS-A953-01A</v>
      </c>
      <c r="I15970" t="s">
        <v>444</v>
      </c>
      <c r="J15970" t="s">
        <v>535</v>
      </c>
      <c r="K15970" t="s">
        <v>33</v>
      </c>
      <c r="L15970" t="s">
        <v>445</v>
      </c>
      <c r="N15970" t="s">
        <v>29</v>
      </c>
    </row>
    <row r="15971" spans="1:14">
      <c r="A15971" s="4" t="str">
        <f t="shared" si="1213"/>
        <v>EXP00419</v>
      </c>
      <c r="B15971" s="3" t="s">
        <v>66</v>
      </c>
      <c r="C15971" s="4" t="str">
        <f t="shared" si="1212"/>
        <v>TCGA-CESC</v>
      </c>
      <c r="D15971" s="1" t="s">
        <v>493</v>
      </c>
      <c r="E15971" t="s">
        <v>543</v>
      </c>
      <c r="F15971" s="1">
        <v>2</v>
      </c>
      <c r="G15971" s="1" t="s">
        <v>32</v>
      </c>
      <c r="H15971" s="4" t="str">
        <f>HYPERLINK("https://portal.gdc.cancer.gov/cases/9ba72a77-aef0-4788-8072-60c28902e55d","TCGA-VS-A954-01A")</f>
        <v>TCGA-VS-A954-01A</v>
      </c>
      <c r="I15971" t="s">
        <v>444</v>
      </c>
      <c r="J15971" t="s">
        <v>535</v>
      </c>
      <c r="K15971" t="s">
        <v>33</v>
      </c>
      <c r="L15971" t="s">
        <v>445</v>
      </c>
      <c r="N15971" t="s">
        <v>29</v>
      </c>
    </row>
    <row r="15972" spans="1:14">
      <c r="A15972" s="4" t="str">
        <f t="shared" si="1213"/>
        <v>EXP00419</v>
      </c>
      <c r="B15972" s="3" t="s">
        <v>66</v>
      </c>
      <c r="C15972" s="4" t="str">
        <f t="shared" si="1212"/>
        <v>TCGA-CESC</v>
      </c>
      <c r="D15972" s="1" t="s">
        <v>493</v>
      </c>
      <c r="E15972" t="s">
        <v>543</v>
      </c>
      <c r="F15972" s="1">
        <v>2</v>
      </c>
      <c r="G15972" s="1" t="s">
        <v>32</v>
      </c>
      <c r="H15972" s="4" t="str">
        <f>HYPERLINK("https://portal.gdc.cancer.gov/cases/cb31b3ce-8595-4d75-9436-bb59e95c3a19","TCGA-VS-A957-01A")</f>
        <v>TCGA-VS-A957-01A</v>
      </c>
      <c r="I15972" t="s">
        <v>444</v>
      </c>
      <c r="J15972" t="s">
        <v>535</v>
      </c>
      <c r="K15972" t="s">
        <v>33</v>
      </c>
      <c r="L15972" t="s">
        <v>445</v>
      </c>
      <c r="N15972" t="s">
        <v>29</v>
      </c>
    </row>
    <row r="15973" spans="1:14">
      <c r="A15973" s="4" t="str">
        <f t="shared" si="1213"/>
        <v>EXP00419</v>
      </c>
      <c r="B15973" s="3" t="s">
        <v>66</v>
      </c>
      <c r="C15973" s="4" t="str">
        <f t="shared" si="1212"/>
        <v>TCGA-CESC</v>
      </c>
      <c r="D15973" s="1" t="s">
        <v>493</v>
      </c>
      <c r="E15973" t="s">
        <v>543</v>
      </c>
      <c r="F15973" s="1">
        <v>2</v>
      </c>
      <c r="G15973" s="1" t="s">
        <v>32</v>
      </c>
      <c r="H15973" s="4" t="str">
        <f>HYPERLINK("https://portal.gdc.cancer.gov/cases/97cf3268-9756-4659-9e98-f200f96a91f4","TCGA-VS-A958-01A")</f>
        <v>TCGA-VS-A958-01A</v>
      </c>
      <c r="I15973" t="s">
        <v>444</v>
      </c>
      <c r="J15973" t="s">
        <v>535</v>
      </c>
      <c r="K15973" t="s">
        <v>33</v>
      </c>
      <c r="L15973" t="s">
        <v>445</v>
      </c>
      <c r="N15973" t="s">
        <v>29</v>
      </c>
    </row>
    <row r="15974" spans="1:14">
      <c r="A15974" s="4" t="str">
        <f t="shared" si="1213"/>
        <v>EXP00419</v>
      </c>
      <c r="B15974" s="3" t="s">
        <v>66</v>
      </c>
      <c r="C15974" s="4" t="str">
        <f t="shared" si="1212"/>
        <v>TCGA-CESC</v>
      </c>
      <c r="D15974" s="1" t="s">
        <v>493</v>
      </c>
      <c r="E15974" t="s">
        <v>543</v>
      </c>
      <c r="F15974" s="1">
        <v>2</v>
      </c>
      <c r="G15974" s="1" t="s">
        <v>32</v>
      </c>
      <c r="H15974" s="4" t="str">
        <f>HYPERLINK("https://portal.gdc.cancer.gov/cases/f2bea37e-0d19-49e1-91a0-a4de4dfa2d35","TCGA-VS-A959-01A")</f>
        <v>TCGA-VS-A959-01A</v>
      </c>
      <c r="I15974" t="s">
        <v>444</v>
      </c>
      <c r="J15974" t="s">
        <v>535</v>
      </c>
      <c r="K15974" t="s">
        <v>33</v>
      </c>
      <c r="L15974" t="s">
        <v>445</v>
      </c>
      <c r="N15974" t="s">
        <v>29</v>
      </c>
    </row>
    <row r="15975" spans="1:14">
      <c r="A15975" s="4" t="str">
        <f t="shared" si="1213"/>
        <v>EXP00419</v>
      </c>
      <c r="B15975" s="3" t="s">
        <v>66</v>
      </c>
      <c r="C15975" s="4" t="str">
        <f t="shared" si="1212"/>
        <v>TCGA-CESC</v>
      </c>
      <c r="D15975" s="1" t="s">
        <v>493</v>
      </c>
      <c r="E15975" t="s">
        <v>543</v>
      </c>
      <c r="F15975" s="1">
        <v>2</v>
      </c>
      <c r="G15975" s="1" t="s">
        <v>32</v>
      </c>
      <c r="H15975" s="4" t="str">
        <f>HYPERLINK("https://portal.gdc.cancer.gov/cases/939abca1-8bd0-4271-9a9b-666764eeb3b6","TCGA-VS-A9U5-01A")</f>
        <v>TCGA-VS-A9U5-01A</v>
      </c>
      <c r="I15975" t="s">
        <v>444</v>
      </c>
      <c r="J15975" t="s">
        <v>535</v>
      </c>
      <c r="K15975" t="s">
        <v>33</v>
      </c>
      <c r="L15975" t="s">
        <v>445</v>
      </c>
      <c r="N15975" t="s">
        <v>29</v>
      </c>
    </row>
    <row r="15976" spans="1:14">
      <c r="A15976" s="4" t="str">
        <f t="shared" si="1213"/>
        <v>EXP00419</v>
      </c>
      <c r="B15976" s="3" t="s">
        <v>66</v>
      </c>
      <c r="C15976" s="4" t="str">
        <f t="shared" si="1212"/>
        <v>TCGA-CESC</v>
      </c>
      <c r="D15976" s="1" t="s">
        <v>493</v>
      </c>
      <c r="E15976" t="s">
        <v>543</v>
      </c>
      <c r="F15976" s="1">
        <v>2</v>
      </c>
      <c r="G15976" s="1" t="s">
        <v>32</v>
      </c>
      <c r="H15976" s="4" t="str">
        <f>HYPERLINK("https://portal.gdc.cancer.gov/cases/98784bbe-e286-48df-838d-1a88040658bf","TCGA-VS-A9U6-01A")</f>
        <v>TCGA-VS-A9U6-01A</v>
      </c>
      <c r="I15976" t="s">
        <v>444</v>
      </c>
      <c r="J15976" t="s">
        <v>535</v>
      </c>
      <c r="K15976" t="s">
        <v>33</v>
      </c>
      <c r="L15976" t="s">
        <v>445</v>
      </c>
      <c r="N15976" t="s">
        <v>29</v>
      </c>
    </row>
    <row r="15977" spans="1:14">
      <c r="A15977" s="4" t="str">
        <f t="shared" si="1213"/>
        <v>EXP00419</v>
      </c>
      <c r="B15977" s="3" t="s">
        <v>66</v>
      </c>
      <c r="C15977" s="4" t="str">
        <f t="shared" si="1212"/>
        <v>TCGA-CESC</v>
      </c>
      <c r="D15977" s="1" t="s">
        <v>493</v>
      </c>
      <c r="E15977" t="s">
        <v>543</v>
      </c>
      <c r="F15977" s="1">
        <v>2</v>
      </c>
      <c r="G15977" s="1" t="s">
        <v>32</v>
      </c>
      <c r="H15977" s="4" t="str">
        <f>HYPERLINK("https://portal.gdc.cancer.gov/cases/6d01421e-d533-4967-8422-97fbc0fb0895","TCGA-VS-A9U7-01A")</f>
        <v>TCGA-VS-A9U7-01A</v>
      </c>
      <c r="I15977" t="s">
        <v>444</v>
      </c>
      <c r="J15977" t="s">
        <v>535</v>
      </c>
      <c r="K15977" t="s">
        <v>33</v>
      </c>
      <c r="L15977" t="s">
        <v>445</v>
      </c>
      <c r="N15977" t="s">
        <v>29</v>
      </c>
    </row>
    <row r="15978" spans="1:14">
      <c r="A15978" s="4" t="str">
        <f t="shared" si="1213"/>
        <v>EXP00419</v>
      </c>
      <c r="B15978" s="3" t="s">
        <v>66</v>
      </c>
      <c r="C15978" s="4" t="str">
        <f t="shared" si="1212"/>
        <v>TCGA-CESC</v>
      </c>
      <c r="D15978" s="1" t="s">
        <v>493</v>
      </c>
      <c r="E15978" t="s">
        <v>543</v>
      </c>
      <c r="F15978" s="1">
        <v>2</v>
      </c>
      <c r="G15978" s="1" t="s">
        <v>32</v>
      </c>
      <c r="H15978" s="4" t="str">
        <f>HYPERLINK("https://portal.gdc.cancer.gov/cases/ca242b4c-b879-4e13-a1e7-84c984067189","TCGA-VS-A9UB-01A")</f>
        <v>TCGA-VS-A9UB-01A</v>
      </c>
      <c r="I15978" t="s">
        <v>444</v>
      </c>
      <c r="J15978" t="s">
        <v>535</v>
      </c>
      <c r="K15978" t="s">
        <v>33</v>
      </c>
      <c r="L15978" t="s">
        <v>445</v>
      </c>
      <c r="N15978" t="s">
        <v>29</v>
      </c>
    </row>
    <row r="15979" spans="1:14">
      <c r="A15979" s="4" t="str">
        <f t="shared" si="1213"/>
        <v>EXP00419</v>
      </c>
      <c r="B15979" s="3" t="s">
        <v>66</v>
      </c>
      <c r="C15979" s="4" t="str">
        <f t="shared" si="1212"/>
        <v>TCGA-CESC</v>
      </c>
      <c r="D15979" s="1" t="s">
        <v>493</v>
      </c>
      <c r="E15979" t="s">
        <v>543</v>
      </c>
      <c r="F15979" s="1">
        <v>2</v>
      </c>
      <c r="G15979" s="1" t="s">
        <v>32</v>
      </c>
      <c r="H15979" s="4" t="str">
        <f>HYPERLINK("https://portal.gdc.cancer.gov/cases/cca23650-1b06-4977-91e8-f35e73e70c48","TCGA-VS-A9UC-01A")</f>
        <v>TCGA-VS-A9UC-01A</v>
      </c>
      <c r="I15979" t="s">
        <v>444</v>
      </c>
      <c r="J15979" t="s">
        <v>535</v>
      </c>
      <c r="K15979" t="s">
        <v>33</v>
      </c>
      <c r="L15979" t="s">
        <v>445</v>
      </c>
      <c r="N15979" t="s">
        <v>29</v>
      </c>
    </row>
    <row r="15980" spans="1:14">
      <c r="A15980" s="4" t="str">
        <f t="shared" si="1213"/>
        <v>EXP00419</v>
      </c>
      <c r="B15980" s="3" t="s">
        <v>66</v>
      </c>
      <c r="C15980" s="4" t="str">
        <f t="shared" si="1212"/>
        <v>TCGA-CESC</v>
      </c>
      <c r="D15980" s="1" t="s">
        <v>493</v>
      </c>
      <c r="E15980" t="s">
        <v>543</v>
      </c>
      <c r="F15980" s="1">
        <v>2</v>
      </c>
      <c r="G15980" s="1" t="s">
        <v>32</v>
      </c>
      <c r="H15980" s="4" t="str">
        <f>HYPERLINK("https://portal.gdc.cancer.gov/cases/60cfa29f-4770-4ee4-aa37-787f53155662","TCGA-VS-A9UD-01A")</f>
        <v>TCGA-VS-A9UD-01A</v>
      </c>
      <c r="I15980" t="s">
        <v>444</v>
      </c>
      <c r="J15980" t="s">
        <v>535</v>
      </c>
      <c r="K15980" t="s">
        <v>33</v>
      </c>
      <c r="L15980" t="s">
        <v>445</v>
      </c>
      <c r="N15980" t="s">
        <v>29</v>
      </c>
    </row>
    <row r="15981" spans="1:14">
      <c r="A15981" s="4" t="str">
        <f t="shared" si="1213"/>
        <v>EXP00419</v>
      </c>
      <c r="B15981" s="3" t="s">
        <v>66</v>
      </c>
      <c r="C15981" s="4" t="str">
        <f t="shared" si="1212"/>
        <v>TCGA-CESC</v>
      </c>
      <c r="D15981" s="1" t="s">
        <v>493</v>
      </c>
      <c r="E15981" t="s">
        <v>543</v>
      </c>
      <c r="F15981" s="1">
        <v>2</v>
      </c>
      <c r="G15981" s="1" t="s">
        <v>32</v>
      </c>
      <c r="H15981" s="4" t="str">
        <f>HYPERLINK("https://portal.gdc.cancer.gov/cases/6949c03e-067a-49a5-b48d-e9380a1b0b27","TCGA-VS-A9UH-01A")</f>
        <v>TCGA-VS-A9UH-01A</v>
      </c>
      <c r="I15981" t="s">
        <v>444</v>
      </c>
      <c r="J15981" t="s">
        <v>535</v>
      </c>
      <c r="K15981" t="s">
        <v>33</v>
      </c>
      <c r="L15981" t="s">
        <v>445</v>
      </c>
      <c r="N15981" t="s">
        <v>29</v>
      </c>
    </row>
    <row r="15982" spans="1:14">
      <c r="A15982" s="4" t="str">
        <f t="shared" si="1213"/>
        <v>EXP00419</v>
      </c>
      <c r="B15982" s="3" t="s">
        <v>66</v>
      </c>
      <c r="C15982" s="4" t="str">
        <f t="shared" si="1212"/>
        <v>TCGA-CESC</v>
      </c>
      <c r="D15982" s="1" t="s">
        <v>493</v>
      </c>
      <c r="E15982" t="s">
        <v>543</v>
      </c>
      <c r="F15982" s="1">
        <v>2</v>
      </c>
      <c r="G15982" s="1" t="s">
        <v>32</v>
      </c>
      <c r="H15982" s="4" t="str">
        <f>HYPERLINK("https://portal.gdc.cancer.gov/cases/9c516d28-bef2-4334-bdda-97950bd95ac0","TCGA-VS-A9UI-01A")</f>
        <v>TCGA-VS-A9UI-01A</v>
      </c>
      <c r="I15982" t="s">
        <v>444</v>
      </c>
      <c r="J15982" t="s">
        <v>535</v>
      </c>
      <c r="K15982" t="s">
        <v>33</v>
      </c>
      <c r="L15982" t="s">
        <v>445</v>
      </c>
      <c r="N15982" t="s">
        <v>29</v>
      </c>
    </row>
    <row r="15983" spans="1:14">
      <c r="A15983" s="4" t="str">
        <f t="shared" si="1213"/>
        <v>EXP00419</v>
      </c>
      <c r="B15983" s="3" t="s">
        <v>66</v>
      </c>
      <c r="C15983" s="4" t="str">
        <f t="shared" si="1212"/>
        <v>TCGA-CESC</v>
      </c>
      <c r="D15983" s="1" t="s">
        <v>493</v>
      </c>
      <c r="E15983" t="s">
        <v>543</v>
      </c>
      <c r="F15983" s="1">
        <v>2</v>
      </c>
      <c r="G15983" s="1" t="s">
        <v>32</v>
      </c>
      <c r="H15983" s="4" t="str">
        <f>HYPERLINK("https://portal.gdc.cancer.gov/cases/78c62970-4b48-4dc4-9042-5f48f42818ec","TCGA-VS-A9UJ-01A")</f>
        <v>TCGA-VS-A9UJ-01A</v>
      </c>
      <c r="I15983" t="s">
        <v>444</v>
      </c>
      <c r="J15983" t="s">
        <v>535</v>
      </c>
      <c r="K15983" t="s">
        <v>33</v>
      </c>
      <c r="L15983" t="s">
        <v>445</v>
      </c>
      <c r="N15983" t="s">
        <v>29</v>
      </c>
    </row>
    <row r="15984" spans="1:14">
      <c r="A15984" s="4" t="str">
        <f t="shared" si="1213"/>
        <v>EXP00419</v>
      </c>
      <c r="B15984" s="3" t="s">
        <v>66</v>
      </c>
      <c r="C15984" s="4" t="str">
        <f t="shared" si="1212"/>
        <v>TCGA-CESC</v>
      </c>
      <c r="D15984" s="1" t="s">
        <v>493</v>
      </c>
      <c r="E15984" t="s">
        <v>543</v>
      </c>
      <c r="F15984" s="1">
        <v>2</v>
      </c>
      <c r="G15984" s="1" t="s">
        <v>32</v>
      </c>
      <c r="H15984" s="4" t="str">
        <f>HYPERLINK("https://portal.gdc.cancer.gov/cases/7abaca8f-962e-4f9d-b63f-26c131bf5961","TCGA-VS-A9UL-01A")</f>
        <v>TCGA-VS-A9UL-01A</v>
      </c>
      <c r="I15984" t="s">
        <v>444</v>
      </c>
      <c r="J15984" t="s">
        <v>535</v>
      </c>
      <c r="K15984" t="s">
        <v>33</v>
      </c>
      <c r="L15984" t="s">
        <v>445</v>
      </c>
      <c r="N15984" t="s">
        <v>29</v>
      </c>
    </row>
    <row r="15985" spans="1:14">
      <c r="A15985" s="4" t="str">
        <f t="shared" si="1213"/>
        <v>EXP00419</v>
      </c>
      <c r="B15985" s="3" t="s">
        <v>66</v>
      </c>
      <c r="C15985" s="4" t="str">
        <f t="shared" si="1212"/>
        <v>TCGA-CESC</v>
      </c>
      <c r="D15985" s="1" t="s">
        <v>493</v>
      </c>
      <c r="E15985" t="s">
        <v>543</v>
      </c>
      <c r="F15985" s="1">
        <v>2</v>
      </c>
      <c r="G15985" s="1" t="s">
        <v>32</v>
      </c>
      <c r="H15985" s="4" t="str">
        <f>HYPERLINK("https://portal.gdc.cancer.gov/cases/ee2c9743-eaa1-4f0d-8d35-e96686ac3913","TCGA-VS-A9UM-01A")</f>
        <v>TCGA-VS-A9UM-01A</v>
      </c>
      <c r="I15985" t="s">
        <v>444</v>
      </c>
      <c r="J15985" t="s">
        <v>535</v>
      </c>
      <c r="K15985" t="s">
        <v>33</v>
      </c>
      <c r="L15985" t="s">
        <v>445</v>
      </c>
      <c r="N15985" t="s">
        <v>29</v>
      </c>
    </row>
    <row r="15986" spans="1:14">
      <c r="A15986" s="4" t="str">
        <f t="shared" si="1213"/>
        <v>EXP00419</v>
      </c>
      <c r="B15986" s="3" t="s">
        <v>66</v>
      </c>
      <c r="C15986" s="4" t="str">
        <f t="shared" si="1212"/>
        <v>TCGA-CESC</v>
      </c>
      <c r="D15986" s="1" t="s">
        <v>493</v>
      </c>
      <c r="E15986" t="s">
        <v>543</v>
      </c>
      <c r="F15986" s="1">
        <v>2</v>
      </c>
      <c r="G15986" s="1" t="s">
        <v>32</v>
      </c>
      <c r="H15986" s="4" t="str">
        <f>HYPERLINK("https://portal.gdc.cancer.gov/cases/4da121da-9193-4ac5-8206-03cb1f7c2c14","TCGA-VS-A9UO-01A")</f>
        <v>TCGA-VS-A9UO-01A</v>
      </c>
      <c r="I15986" t="s">
        <v>444</v>
      </c>
      <c r="J15986" t="s">
        <v>535</v>
      </c>
      <c r="K15986" t="s">
        <v>33</v>
      </c>
      <c r="L15986" t="s">
        <v>445</v>
      </c>
      <c r="N15986" t="s">
        <v>29</v>
      </c>
    </row>
    <row r="15987" spans="1:14">
      <c r="A15987" s="4" t="str">
        <f t="shared" si="1213"/>
        <v>EXP00419</v>
      </c>
      <c r="B15987" s="3" t="s">
        <v>66</v>
      </c>
      <c r="C15987" s="4" t="str">
        <f t="shared" si="1212"/>
        <v>TCGA-CESC</v>
      </c>
      <c r="D15987" s="1" t="s">
        <v>493</v>
      </c>
      <c r="E15987" t="s">
        <v>543</v>
      </c>
      <c r="F15987" s="1">
        <v>2</v>
      </c>
      <c r="G15987" s="1" t="s">
        <v>32</v>
      </c>
      <c r="H15987" s="4" t="str">
        <f>HYPERLINK("https://portal.gdc.cancer.gov/cases/adc60720-ac20-4e73-9c37-3ad3119c07d6","TCGA-VS-A9UR-01A")</f>
        <v>TCGA-VS-A9UR-01A</v>
      </c>
      <c r="I15987" t="s">
        <v>444</v>
      </c>
      <c r="J15987" t="s">
        <v>535</v>
      </c>
      <c r="K15987" t="s">
        <v>33</v>
      </c>
      <c r="L15987" t="s">
        <v>445</v>
      </c>
      <c r="N15987" t="s">
        <v>29</v>
      </c>
    </row>
    <row r="15988" spans="1:14">
      <c r="A15988" s="4" t="str">
        <f t="shared" si="1213"/>
        <v>EXP00419</v>
      </c>
      <c r="B15988" s="3" t="s">
        <v>66</v>
      </c>
      <c r="C15988" s="4" t="str">
        <f t="shared" si="1212"/>
        <v>TCGA-CESC</v>
      </c>
      <c r="D15988" s="1" t="s">
        <v>493</v>
      </c>
      <c r="E15988" t="s">
        <v>543</v>
      </c>
      <c r="F15988" s="1">
        <v>2</v>
      </c>
      <c r="G15988" s="1" t="s">
        <v>32</v>
      </c>
      <c r="H15988" s="4" t="str">
        <f>HYPERLINK("https://portal.gdc.cancer.gov/cases/a945fd96-ffb3-4787-bacd-60da4560c8a5","TCGA-VS-A9UT-01A")</f>
        <v>TCGA-VS-A9UT-01A</v>
      </c>
      <c r="I15988" t="s">
        <v>444</v>
      </c>
      <c r="J15988" t="s">
        <v>535</v>
      </c>
      <c r="K15988" t="s">
        <v>33</v>
      </c>
      <c r="L15988" t="s">
        <v>445</v>
      </c>
      <c r="N15988" t="s">
        <v>29</v>
      </c>
    </row>
    <row r="15989" spans="1:14">
      <c r="A15989" s="4" t="str">
        <f t="shared" si="1213"/>
        <v>EXP00419</v>
      </c>
      <c r="B15989" s="3" t="s">
        <v>66</v>
      </c>
      <c r="C15989" s="4" t="str">
        <f t="shared" si="1212"/>
        <v>TCGA-CESC</v>
      </c>
      <c r="D15989" s="1" t="s">
        <v>493</v>
      </c>
      <c r="E15989" t="s">
        <v>543</v>
      </c>
      <c r="F15989" s="1">
        <v>2</v>
      </c>
      <c r="G15989" s="1" t="s">
        <v>32</v>
      </c>
      <c r="H15989" s="4" t="str">
        <f>HYPERLINK("https://portal.gdc.cancer.gov/cases/4770ec81-9174-4d2a-af54-70c00696fb0b","TCGA-VS-A9UU-01A")</f>
        <v>TCGA-VS-A9UU-01A</v>
      </c>
      <c r="I15989" t="s">
        <v>444</v>
      </c>
      <c r="J15989" t="s">
        <v>535</v>
      </c>
      <c r="K15989" t="s">
        <v>33</v>
      </c>
      <c r="L15989" t="s">
        <v>445</v>
      </c>
      <c r="N15989" t="s">
        <v>29</v>
      </c>
    </row>
    <row r="15990" spans="1:14">
      <c r="A15990" s="4" t="str">
        <f t="shared" si="1213"/>
        <v>EXP00419</v>
      </c>
      <c r="B15990" s="3" t="s">
        <v>66</v>
      </c>
      <c r="C15990" s="4" t="str">
        <f t="shared" si="1212"/>
        <v>TCGA-CESC</v>
      </c>
      <c r="D15990" s="1" t="s">
        <v>493</v>
      </c>
      <c r="E15990" t="s">
        <v>543</v>
      </c>
      <c r="F15990" s="1">
        <v>2</v>
      </c>
      <c r="G15990" s="1" t="s">
        <v>32</v>
      </c>
      <c r="H15990" s="4" t="str">
        <f>HYPERLINK("https://portal.gdc.cancer.gov/cases/c9e4bac6-0cac-4fca-a548-527deac5b880","TCGA-VS-A9UV-01A")</f>
        <v>TCGA-VS-A9UV-01A</v>
      </c>
      <c r="I15990" t="s">
        <v>444</v>
      </c>
      <c r="J15990" t="s">
        <v>535</v>
      </c>
      <c r="K15990" t="s">
        <v>33</v>
      </c>
      <c r="L15990" t="s">
        <v>445</v>
      </c>
      <c r="N15990" t="s">
        <v>29</v>
      </c>
    </row>
    <row r="15991" spans="1:14">
      <c r="A15991" s="4" t="str">
        <f t="shared" si="1213"/>
        <v>EXP00419</v>
      </c>
      <c r="B15991" s="3" t="s">
        <v>66</v>
      </c>
      <c r="C15991" s="4" t="str">
        <f t="shared" si="1212"/>
        <v>TCGA-CESC</v>
      </c>
      <c r="D15991" s="1" t="s">
        <v>493</v>
      </c>
      <c r="E15991" t="s">
        <v>543</v>
      </c>
      <c r="F15991" s="1">
        <v>2</v>
      </c>
      <c r="G15991" s="1" t="s">
        <v>32</v>
      </c>
      <c r="H15991" s="4" t="str">
        <f>HYPERLINK("https://portal.gdc.cancer.gov/cases/6817bb3e-1f8a-457c-9ab0-31ccda8b6868","TCGA-VS-A9UZ-01A")</f>
        <v>TCGA-VS-A9UZ-01A</v>
      </c>
      <c r="I15991" t="s">
        <v>444</v>
      </c>
      <c r="J15991" t="s">
        <v>535</v>
      </c>
      <c r="K15991" t="s">
        <v>33</v>
      </c>
      <c r="L15991" t="s">
        <v>445</v>
      </c>
      <c r="N15991" t="s">
        <v>29</v>
      </c>
    </row>
    <row r="15992" spans="1:14">
      <c r="A15992" s="4" t="str">
        <f t="shared" si="1213"/>
        <v>EXP00419</v>
      </c>
      <c r="B15992" s="3" t="s">
        <v>66</v>
      </c>
      <c r="C15992" s="4" t="str">
        <f t="shared" si="1212"/>
        <v>TCGA-CESC</v>
      </c>
      <c r="D15992" s="1" t="s">
        <v>493</v>
      </c>
      <c r="E15992" t="s">
        <v>543</v>
      </c>
      <c r="F15992" s="1">
        <v>2</v>
      </c>
      <c r="G15992" s="1" t="s">
        <v>32</v>
      </c>
      <c r="H15992" s="4" t="str">
        <f>HYPERLINK("https://portal.gdc.cancer.gov/cases/a6a07bc7-ab1b-429d-81ed-d7a890c88e51","TCGA-VS-A9V1-01A")</f>
        <v>TCGA-VS-A9V1-01A</v>
      </c>
      <c r="I15992" t="s">
        <v>444</v>
      </c>
      <c r="J15992" t="s">
        <v>535</v>
      </c>
      <c r="K15992" t="s">
        <v>33</v>
      </c>
      <c r="L15992" t="s">
        <v>445</v>
      </c>
      <c r="N15992" t="s">
        <v>29</v>
      </c>
    </row>
    <row r="15993" spans="1:14">
      <c r="A15993" s="4" t="str">
        <f t="shared" si="1213"/>
        <v>EXP00419</v>
      </c>
      <c r="B15993" s="3" t="s">
        <v>66</v>
      </c>
      <c r="C15993" s="4" t="str">
        <f t="shared" si="1212"/>
        <v>TCGA-CESC</v>
      </c>
      <c r="D15993" s="1" t="s">
        <v>493</v>
      </c>
      <c r="E15993" t="s">
        <v>543</v>
      </c>
      <c r="F15993" s="1">
        <v>2</v>
      </c>
      <c r="G15993" s="1" t="s">
        <v>32</v>
      </c>
      <c r="H15993" s="4" t="str">
        <f>HYPERLINK("https://portal.gdc.cancer.gov/cases/03804f9b-df7c-462c-8984-8eb3a5ed4999","TCGA-VS-A9V2-01A")</f>
        <v>TCGA-VS-A9V2-01A</v>
      </c>
      <c r="I15993" t="s">
        <v>444</v>
      </c>
      <c r="J15993" t="s">
        <v>535</v>
      </c>
      <c r="K15993" t="s">
        <v>33</v>
      </c>
      <c r="L15993" t="s">
        <v>445</v>
      </c>
      <c r="N15993" t="s">
        <v>29</v>
      </c>
    </row>
    <row r="15994" spans="1:14">
      <c r="A15994" s="4" t="str">
        <f t="shared" si="1213"/>
        <v>EXP00419</v>
      </c>
      <c r="B15994" s="3" t="s">
        <v>66</v>
      </c>
      <c r="C15994" s="4" t="str">
        <f t="shared" si="1212"/>
        <v>TCGA-CESC</v>
      </c>
      <c r="D15994" s="1" t="s">
        <v>493</v>
      </c>
      <c r="E15994" t="s">
        <v>543</v>
      </c>
      <c r="F15994" s="1">
        <v>2</v>
      </c>
      <c r="G15994" s="1" t="s">
        <v>32</v>
      </c>
      <c r="H15994" s="4" t="str">
        <f>HYPERLINK("https://portal.gdc.cancer.gov/cases/1cb1d2ca-dfa6-4c42-9da9-c711dc5aab5d","TCGA-VS-A9V3-01A")</f>
        <v>TCGA-VS-A9V3-01A</v>
      </c>
      <c r="I15994" t="s">
        <v>444</v>
      </c>
      <c r="J15994" t="s">
        <v>535</v>
      </c>
      <c r="K15994" t="s">
        <v>33</v>
      </c>
      <c r="L15994" t="s">
        <v>445</v>
      </c>
      <c r="N15994" t="s">
        <v>29</v>
      </c>
    </row>
    <row r="15995" spans="1:14">
      <c r="A15995" s="4" t="str">
        <f t="shared" si="1213"/>
        <v>EXP00419</v>
      </c>
      <c r="B15995" s="3" t="s">
        <v>66</v>
      </c>
      <c r="C15995" s="4" t="str">
        <f t="shared" si="1212"/>
        <v>TCGA-CESC</v>
      </c>
      <c r="D15995" s="1" t="s">
        <v>493</v>
      </c>
      <c r="E15995" t="s">
        <v>543</v>
      </c>
      <c r="F15995" s="1">
        <v>2</v>
      </c>
      <c r="G15995" s="1" t="s">
        <v>32</v>
      </c>
      <c r="H15995" s="4" t="str">
        <f>HYPERLINK("https://portal.gdc.cancer.gov/cases/778389ba-c2e9-47d4-b133-6f4d0e689b34","TCGA-VS-A9V4-01A")</f>
        <v>TCGA-VS-A9V4-01A</v>
      </c>
      <c r="I15995" t="s">
        <v>444</v>
      </c>
      <c r="J15995" t="s">
        <v>535</v>
      </c>
      <c r="K15995" t="s">
        <v>33</v>
      </c>
      <c r="L15995" t="s">
        <v>445</v>
      </c>
      <c r="N15995" t="s">
        <v>29</v>
      </c>
    </row>
    <row r="15996" spans="1:14">
      <c r="A15996" s="4" t="str">
        <f t="shared" si="1213"/>
        <v>EXP00419</v>
      </c>
      <c r="B15996" s="3" t="s">
        <v>66</v>
      </c>
      <c r="C15996" s="4" t="str">
        <f t="shared" si="1212"/>
        <v>TCGA-CESC</v>
      </c>
      <c r="D15996" s="1" t="s">
        <v>493</v>
      </c>
      <c r="E15996" t="s">
        <v>543</v>
      </c>
      <c r="F15996" s="1">
        <v>2</v>
      </c>
      <c r="G15996" s="1" t="s">
        <v>32</v>
      </c>
      <c r="H15996" s="4" t="str">
        <f>HYPERLINK("https://portal.gdc.cancer.gov/cases/d3ff2aeb-46be-4f54-8a8f-178eb921fbb6","TCGA-VS-A9V5-01A")</f>
        <v>TCGA-VS-A9V5-01A</v>
      </c>
      <c r="I15996" t="s">
        <v>444</v>
      </c>
      <c r="J15996" t="s">
        <v>535</v>
      </c>
      <c r="K15996" t="s">
        <v>33</v>
      </c>
      <c r="L15996" t="s">
        <v>445</v>
      </c>
      <c r="N15996" t="s">
        <v>29</v>
      </c>
    </row>
    <row r="15997" spans="1:14">
      <c r="A15997" s="4" t="str">
        <f t="shared" si="1213"/>
        <v>EXP00419</v>
      </c>
      <c r="B15997" s="3" t="s">
        <v>66</v>
      </c>
      <c r="C15997" s="4" t="str">
        <f t="shared" si="1212"/>
        <v>TCGA-CESC</v>
      </c>
      <c r="D15997" s="1" t="s">
        <v>493</v>
      </c>
      <c r="E15997" t="s">
        <v>543</v>
      </c>
      <c r="F15997" s="1">
        <v>2</v>
      </c>
      <c r="G15997" s="1" t="s">
        <v>32</v>
      </c>
      <c r="H15997" s="4" t="str">
        <f>HYPERLINK("https://portal.gdc.cancer.gov/cases/173174f8-9d95-40b0-9f88-a4bf4ccb521b","TCGA-VS-AA62-01A")</f>
        <v>TCGA-VS-AA62-01A</v>
      </c>
      <c r="I15997" t="s">
        <v>444</v>
      </c>
      <c r="J15997" t="s">
        <v>535</v>
      </c>
      <c r="K15997" t="s">
        <v>33</v>
      </c>
      <c r="L15997" t="s">
        <v>445</v>
      </c>
      <c r="N15997" t="s">
        <v>29</v>
      </c>
    </row>
    <row r="15998" spans="1:14">
      <c r="A15998" s="4" t="str">
        <f t="shared" si="1213"/>
        <v>EXP00419</v>
      </c>
      <c r="B15998" s="3" t="s">
        <v>66</v>
      </c>
      <c r="C15998" s="4" t="str">
        <f t="shared" si="1212"/>
        <v>TCGA-CESC</v>
      </c>
      <c r="D15998" s="1" t="s">
        <v>493</v>
      </c>
      <c r="E15998" t="s">
        <v>543</v>
      </c>
      <c r="F15998" s="1">
        <v>2</v>
      </c>
      <c r="G15998" s="1" t="s">
        <v>32</v>
      </c>
      <c r="H15998" s="4" t="str">
        <f>HYPERLINK("https://portal.gdc.cancer.gov/cases/48d81b1e-cd75-4b55-a0b2-c331be2a88ae","TCGA-WL-A834-01A")</f>
        <v>TCGA-WL-A834-01A</v>
      </c>
      <c r="I15998" t="s">
        <v>444</v>
      </c>
      <c r="J15998" t="s">
        <v>535</v>
      </c>
      <c r="K15998" t="s">
        <v>33</v>
      </c>
      <c r="L15998" t="s">
        <v>445</v>
      </c>
      <c r="N15998" t="s">
        <v>29</v>
      </c>
    </row>
    <row r="15999" spans="1:14">
      <c r="A15999" s="4" t="str">
        <f t="shared" si="1213"/>
        <v>EXP00419</v>
      </c>
      <c r="B15999" s="3" t="s">
        <v>66</v>
      </c>
      <c r="C15999" s="4" t="str">
        <f t="shared" si="1212"/>
        <v>TCGA-CESC</v>
      </c>
      <c r="D15999" s="1" t="s">
        <v>493</v>
      </c>
      <c r="E15999" t="s">
        <v>543</v>
      </c>
      <c r="F15999" s="1">
        <v>2</v>
      </c>
      <c r="G15999" s="1" t="s">
        <v>32</v>
      </c>
      <c r="H15999" s="4" t="str">
        <f>HYPERLINK("https://portal.gdc.cancer.gov/cases/ffd8d31f-bc4b-4e19-bbaf-0e26e9f3a107","TCGA-XS-A8TJ-01A")</f>
        <v>TCGA-XS-A8TJ-01A</v>
      </c>
      <c r="I15999" t="s">
        <v>444</v>
      </c>
      <c r="J15999" t="s">
        <v>535</v>
      </c>
      <c r="K15999" t="s">
        <v>33</v>
      </c>
      <c r="L15999" t="s">
        <v>445</v>
      </c>
      <c r="N15999" t="s">
        <v>29</v>
      </c>
    </row>
    <row r="16000" spans="1:14">
      <c r="A16000" s="4" t="str">
        <f t="shared" si="1213"/>
        <v>EXP00419</v>
      </c>
      <c r="B16000" s="3" t="s">
        <v>66</v>
      </c>
      <c r="C16000" s="4" t="str">
        <f t="shared" si="1212"/>
        <v>TCGA-CESC</v>
      </c>
      <c r="D16000" s="1" t="s">
        <v>493</v>
      </c>
      <c r="E16000" t="s">
        <v>543</v>
      </c>
      <c r="F16000" s="1">
        <v>2</v>
      </c>
      <c r="G16000" s="1" t="s">
        <v>32</v>
      </c>
      <c r="H16000" s="4" t="str">
        <f>HYPERLINK("https://portal.gdc.cancer.gov/cases/eb3ba1fb-8254-4c02-a982-507f075cbac1","TCGA-ZJ-A8QO-01A")</f>
        <v>TCGA-ZJ-A8QO-01A</v>
      </c>
      <c r="I16000" t="s">
        <v>444</v>
      </c>
      <c r="J16000" t="s">
        <v>535</v>
      </c>
      <c r="K16000" t="s">
        <v>33</v>
      </c>
      <c r="L16000" t="s">
        <v>445</v>
      </c>
      <c r="N16000" t="s">
        <v>29</v>
      </c>
    </row>
    <row r="16001" spans="1:14">
      <c r="A16001" s="4" t="str">
        <f t="shared" si="1213"/>
        <v>EXP00419</v>
      </c>
      <c r="B16001" s="3" t="s">
        <v>66</v>
      </c>
      <c r="C16001" s="4" t="str">
        <f t="shared" si="1212"/>
        <v>TCGA-CESC</v>
      </c>
      <c r="D16001" s="1" t="s">
        <v>493</v>
      </c>
      <c r="E16001" t="s">
        <v>543</v>
      </c>
      <c r="F16001" s="1">
        <v>2</v>
      </c>
      <c r="G16001" s="1" t="s">
        <v>32</v>
      </c>
      <c r="H16001" s="4" t="str">
        <f>HYPERLINK("https://portal.gdc.cancer.gov/cases/b12deb95-6aa1-49cb-a3c5-a711d42d6fb9","TCGA-ZJ-A8QQ-01A")</f>
        <v>TCGA-ZJ-A8QQ-01A</v>
      </c>
      <c r="I16001" t="s">
        <v>444</v>
      </c>
      <c r="J16001" t="s">
        <v>535</v>
      </c>
      <c r="K16001" t="s">
        <v>33</v>
      </c>
      <c r="L16001" t="s">
        <v>445</v>
      </c>
      <c r="N16001" t="s">
        <v>29</v>
      </c>
    </row>
    <row r="16002" spans="1:14">
      <c r="A16002" s="4" t="str">
        <f t="shared" si="1213"/>
        <v>EXP00419</v>
      </c>
      <c r="B16002" s="3" t="s">
        <v>66</v>
      </c>
      <c r="C16002" s="4" t="str">
        <f t="shared" si="1212"/>
        <v>TCGA-CESC</v>
      </c>
      <c r="D16002" s="1" t="s">
        <v>493</v>
      </c>
      <c r="E16002" t="s">
        <v>543</v>
      </c>
      <c r="F16002" s="1">
        <v>2</v>
      </c>
      <c r="G16002" s="1" t="s">
        <v>32</v>
      </c>
      <c r="H16002" s="4" t="str">
        <f>HYPERLINK("https://portal.gdc.cancer.gov/cases/db44488e-4ed0-4082-bca0-bbfd22ff0537","TCGA-ZJ-A8QR-01A")</f>
        <v>TCGA-ZJ-A8QR-01A</v>
      </c>
      <c r="I16002" t="s">
        <v>444</v>
      </c>
      <c r="J16002" t="s">
        <v>535</v>
      </c>
      <c r="K16002" t="s">
        <v>33</v>
      </c>
      <c r="L16002" t="s">
        <v>445</v>
      </c>
      <c r="N16002" t="s">
        <v>29</v>
      </c>
    </row>
    <row r="16003" spans="1:14">
      <c r="A16003" s="4" t="str">
        <f t="shared" si="1213"/>
        <v>EXP00419</v>
      </c>
      <c r="B16003" s="3" t="s">
        <v>66</v>
      </c>
      <c r="C16003" s="4" t="str">
        <f t="shared" si="1212"/>
        <v>TCGA-CESC</v>
      </c>
      <c r="D16003" s="1" t="s">
        <v>493</v>
      </c>
      <c r="E16003" t="s">
        <v>543</v>
      </c>
      <c r="F16003" s="1">
        <v>2</v>
      </c>
      <c r="G16003" s="1" t="s">
        <v>32</v>
      </c>
      <c r="H16003" s="4" t="str">
        <f>HYPERLINK("https://portal.gdc.cancer.gov/cases/13d72130-604c-4d79-95cc-53c2e25d91b0","TCGA-ZJ-AAX4-01A")</f>
        <v>TCGA-ZJ-AAX4-01A</v>
      </c>
      <c r="I16003" t="s">
        <v>444</v>
      </c>
      <c r="J16003" t="s">
        <v>535</v>
      </c>
      <c r="K16003" t="s">
        <v>33</v>
      </c>
      <c r="L16003" t="s">
        <v>445</v>
      </c>
      <c r="N16003" t="s">
        <v>29</v>
      </c>
    </row>
    <row r="16004" spans="1:14">
      <c r="A16004" s="4" t="str">
        <f t="shared" si="1213"/>
        <v>EXP00419</v>
      </c>
      <c r="B16004" s="3" t="s">
        <v>66</v>
      </c>
      <c r="C16004" s="4" t="str">
        <f t="shared" si="1212"/>
        <v>TCGA-CESC</v>
      </c>
      <c r="D16004" s="1" t="s">
        <v>493</v>
      </c>
      <c r="E16004" t="s">
        <v>543</v>
      </c>
      <c r="F16004" s="1">
        <v>2</v>
      </c>
      <c r="G16004" s="1" t="s">
        <v>32</v>
      </c>
      <c r="H16004" s="4" t="str">
        <f>HYPERLINK("https://portal.gdc.cancer.gov/cases/b5f0e361-d67d-4fa9-9916-43623dafb10f","TCGA-ZJ-AAX8-01A")</f>
        <v>TCGA-ZJ-AAX8-01A</v>
      </c>
      <c r="I16004" t="s">
        <v>444</v>
      </c>
      <c r="J16004" t="s">
        <v>535</v>
      </c>
      <c r="K16004" t="s">
        <v>33</v>
      </c>
      <c r="L16004" t="s">
        <v>445</v>
      </c>
      <c r="N16004" t="s">
        <v>29</v>
      </c>
    </row>
    <row r="16005" spans="1:14">
      <c r="A16005" s="4" t="str">
        <f t="shared" si="1213"/>
        <v>EXP00419</v>
      </c>
      <c r="B16005" s="3" t="s">
        <v>66</v>
      </c>
      <c r="C16005" s="4" t="str">
        <f t="shared" ref="C16005:C16068" si="1214">HYPERLINK("https://portal.gdc.cancer.gov/projects/TCGA-CESC","TCGA-CESC")</f>
        <v>TCGA-CESC</v>
      </c>
      <c r="D16005" s="1" t="s">
        <v>493</v>
      </c>
      <c r="E16005" t="s">
        <v>543</v>
      </c>
      <c r="F16005" s="1">
        <v>2</v>
      </c>
      <c r="G16005" s="1" t="s">
        <v>32</v>
      </c>
      <c r="H16005" s="4" t="str">
        <f>HYPERLINK("https://portal.gdc.cancer.gov/cases/e8de2228-3aaa-48ad-a2e4-2940280af6fd","TCGA-ZJ-AAXA-01A")</f>
        <v>TCGA-ZJ-AAXA-01A</v>
      </c>
      <c r="I16005" t="s">
        <v>444</v>
      </c>
      <c r="J16005" t="s">
        <v>535</v>
      </c>
      <c r="K16005" t="s">
        <v>33</v>
      </c>
      <c r="L16005" t="s">
        <v>445</v>
      </c>
      <c r="N16005" t="s">
        <v>29</v>
      </c>
    </row>
    <row r="16006" spans="1:14">
      <c r="A16006" s="4" t="str">
        <f t="shared" si="1213"/>
        <v>EXP00419</v>
      </c>
      <c r="B16006" s="3" t="s">
        <v>66</v>
      </c>
      <c r="C16006" s="4" t="str">
        <f t="shared" si="1214"/>
        <v>TCGA-CESC</v>
      </c>
      <c r="D16006" s="1" t="s">
        <v>493</v>
      </c>
      <c r="E16006" t="s">
        <v>543</v>
      </c>
      <c r="F16006" s="1">
        <v>2</v>
      </c>
      <c r="G16006" s="1" t="s">
        <v>32</v>
      </c>
      <c r="H16006" s="4" t="str">
        <f>HYPERLINK("https://portal.gdc.cancer.gov/cases/88f0aa4a-6bfd-4573-b136-58f84f867f10","TCGA-ZJ-AAXB-01A")</f>
        <v>TCGA-ZJ-AAXB-01A</v>
      </c>
      <c r="I16006" t="s">
        <v>444</v>
      </c>
      <c r="J16006" t="s">
        <v>535</v>
      </c>
      <c r="K16006" t="s">
        <v>33</v>
      </c>
      <c r="L16006" t="s">
        <v>445</v>
      </c>
      <c r="N16006" t="s">
        <v>29</v>
      </c>
    </row>
    <row r="16007" spans="1:14">
      <c r="A16007" s="4" t="str">
        <f t="shared" si="1213"/>
        <v>EXP00419</v>
      </c>
      <c r="B16007" s="3" t="s">
        <v>66</v>
      </c>
      <c r="C16007" s="4" t="str">
        <f t="shared" si="1214"/>
        <v>TCGA-CESC</v>
      </c>
      <c r="D16007" s="1" t="s">
        <v>493</v>
      </c>
      <c r="E16007" t="s">
        <v>543</v>
      </c>
      <c r="F16007" s="1">
        <v>2</v>
      </c>
      <c r="G16007" s="1" t="s">
        <v>32</v>
      </c>
      <c r="H16007" s="4" t="str">
        <f>HYPERLINK("https://portal.gdc.cancer.gov/cases/af33df2e-9737-4f63-952c-858a70aa589c","TCGA-ZJ-AAXD-01A")</f>
        <v>TCGA-ZJ-AAXD-01A</v>
      </c>
      <c r="I16007" t="s">
        <v>444</v>
      </c>
      <c r="J16007" t="s">
        <v>535</v>
      </c>
      <c r="K16007" t="s">
        <v>33</v>
      </c>
      <c r="L16007" t="s">
        <v>445</v>
      </c>
      <c r="N16007" t="s">
        <v>29</v>
      </c>
    </row>
    <row r="16008" spans="1:14">
      <c r="A16008" s="4" t="str">
        <f t="shared" si="1213"/>
        <v>EXP00419</v>
      </c>
      <c r="B16008" s="3" t="s">
        <v>66</v>
      </c>
      <c r="C16008" s="4" t="str">
        <f t="shared" si="1214"/>
        <v>TCGA-CESC</v>
      </c>
      <c r="D16008" s="1" t="s">
        <v>493</v>
      </c>
      <c r="E16008" t="s">
        <v>543</v>
      </c>
      <c r="F16008" s="1">
        <v>2</v>
      </c>
      <c r="G16008" s="1" t="s">
        <v>32</v>
      </c>
      <c r="H16008" s="4" t="str">
        <f>HYPERLINK("https://portal.gdc.cancer.gov/cases/0acd1e47-1099-469b-a6d4-e00db47f57a9","TCGA-ZJ-AAXF-01A")</f>
        <v>TCGA-ZJ-AAXF-01A</v>
      </c>
      <c r="I16008" t="s">
        <v>444</v>
      </c>
      <c r="J16008" t="s">
        <v>535</v>
      </c>
      <c r="K16008" t="s">
        <v>33</v>
      </c>
      <c r="L16008" t="s">
        <v>445</v>
      </c>
      <c r="N16008" t="s">
        <v>29</v>
      </c>
    </row>
    <row r="16009" spans="1:14">
      <c r="A16009" s="4" t="str">
        <f t="shared" si="1213"/>
        <v>EXP00419</v>
      </c>
      <c r="B16009" s="3" t="s">
        <v>66</v>
      </c>
      <c r="C16009" s="4" t="str">
        <f t="shared" si="1214"/>
        <v>TCGA-CESC</v>
      </c>
      <c r="D16009" s="1" t="s">
        <v>493</v>
      </c>
      <c r="E16009" t="s">
        <v>543</v>
      </c>
      <c r="F16009" s="1">
        <v>2</v>
      </c>
      <c r="G16009" s="1" t="s">
        <v>32</v>
      </c>
      <c r="H16009" s="4" t="str">
        <f>HYPERLINK("https://portal.gdc.cancer.gov/cases/40a86987-e77f-4977-92b1-8217796e1938","TCGA-ZJ-AAXI-01A")</f>
        <v>TCGA-ZJ-AAXI-01A</v>
      </c>
      <c r="I16009" t="s">
        <v>444</v>
      </c>
      <c r="J16009" t="s">
        <v>535</v>
      </c>
      <c r="K16009" t="s">
        <v>33</v>
      </c>
      <c r="L16009" t="s">
        <v>445</v>
      </c>
      <c r="N16009" t="s">
        <v>29</v>
      </c>
    </row>
    <row r="16010" spans="1:14">
      <c r="A16010" s="4" t="str">
        <f t="shared" si="1213"/>
        <v>EXP00419</v>
      </c>
      <c r="B16010" s="3" t="s">
        <v>66</v>
      </c>
      <c r="C16010" s="4" t="str">
        <f t="shared" si="1214"/>
        <v>TCGA-CESC</v>
      </c>
      <c r="D16010" s="1" t="s">
        <v>493</v>
      </c>
      <c r="E16010" t="s">
        <v>543</v>
      </c>
      <c r="F16010" s="1">
        <v>2</v>
      </c>
      <c r="G16010" s="1" t="s">
        <v>32</v>
      </c>
      <c r="H16010" s="4" t="str">
        <f>HYPERLINK("https://portal.gdc.cancer.gov/cases/6b60bf8e-29a1-4c6b-9ead-aea4ddc99064","TCGA-ZJ-AAXJ-01A")</f>
        <v>TCGA-ZJ-AAXJ-01A</v>
      </c>
      <c r="I16010" t="s">
        <v>444</v>
      </c>
      <c r="J16010" t="s">
        <v>535</v>
      </c>
      <c r="K16010" t="s">
        <v>33</v>
      </c>
      <c r="L16010" t="s">
        <v>445</v>
      </c>
      <c r="N16010" t="s">
        <v>29</v>
      </c>
    </row>
    <row r="16011" spans="1:14">
      <c r="A16011" s="4" t="str">
        <f t="shared" si="1213"/>
        <v>EXP00419</v>
      </c>
      <c r="B16011" s="3" t="s">
        <v>66</v>
      </c>
      <c r="C16011" s="4" t="str">
        <f t="shared" si="1214"/>
        <v>TCGA-CESC</v>
      </c>
      <c r="D16011" s="1" t="s">
        <v>493</v>
      </c>
      <c r="E16011" t="s">
        <v>543</v>
      </c>
      <c r="F16011" s="1">
        <v>2</v>
      </c>
      <c r="G16011" s="1" t="s">
        <v>32</v>
      </c>
      <c r="H16011" s="4" t="str">
        <f>HYPERLINK("https://portal.gdc.cancer.gov/cases/5f22e050-c172-4f2d-a1f9-6cb749b6ef98","TCGA-ZJ-AAXN-01A")</f>
        <v>TCGA-ZJ-AAXN-01A</v>
      </c>
      <c r="I16011" t="s">
        <v>444</v>
      </c>
      <c r="J16011" t="s">
        <v>535</v>
      </c>
      <c r="K16011" t="s">
        <v>33</v>
      </c>
      <c r="L16011" t="s">
        <v>445</v>
      </c>
      <c r="N16011" t="s">
        <v>29</v>
      </c>
    </row>
    <row r="16012" spans="1:14">
      <c r="A16012" s="4" t="str">
        <f t="shared" si="1213"/>
        <v>EXP00419</v>
      </c>
      <c r="B16012" s="3" t="s">
        <v>66</v>
      </c>
      <c r="C16012" s="4" t="str">
        <f t="shared" si="1214"/>
        <v>TCGA-CESC</v>
      </c>
      <c r="D16012" s="1" t="s">
        <v>493</v>
      </c>
      <c r="E16012" t="s">
        <v>543</v>
      </c>
      <c r="F16012" s="1">
        <v>2</v>
      </c>
      <c r="G16012" s="1" t="s">
        <v>32</v>
      </c>
      <c r="H16012" s="4" t="str">
        <f>HYPERLINK("https://portal.gdc.cancer.gov/cases/5916af71-0262-42cf-af4b-eac830a8b419","TCGA-ZJ-AAXT-01A")</f>
        <v>TCGA-ZJ-AAXT-01A</v>
      </c>
      <c r="I16012" t="s">
        <v>444</v>
      </c>
      <c r="J16012" t="s">
        <v>535</v>
      </c>
      <c r="K16012" t="s">
        <v>33</v>
      </c>
      <c r="L16012" t="s">
        <v>445</v>
      </c>
      <c r="N16012" t="s">
        <v>29</v>
      </c>
    </row>
    <row r="16013" spans="1:14">
      <c r="A16013" s="4" t="str">
        <f t="shared" si="1213"/>
        <v>EXP00419</v>
      </c>
      <c r="B16013" s="3" t="s">
        <v>66</v>
      </c>
      <c r="C16013" s="4" t="str">
        <f t="shared" si="1214"/>
        <v>TCGA-CESC</v>
      </c>
      <c r="D16013" s="1" t="s">
        <v>493</v>
      </c>
      <c r="E16013" t="s">
        <v>543</v>
      </c>
      <c r="F16013" s="1">
        <v>2</v>
      </c>
      <c r="G16013" s="1" t="s">
        <v>32</v>
      </c>
      <c r="H16013" s="4" t="str">
        <f>HYPERLINK("https://portal.gdc.cancer.gov/cases/ddd4b6d2-5be0-4edd-977a-a795eea3c738","TCGA-ZJ-AAXU-01A")</f>
        <v>TCGA-ZJ-AAXU-01A</v>
      </c>
      <c r="I16013" t="s">
        <v>444</v>
      </c>
      <c r="J16013" t="s">
        <v>535</v>
      </c>
      <c r="K16013" t="s">
        <v>33</v>
      </c>
      <c r="L16013" t="s">
        <v>445</v>
      </c>
      <c r="N16013" t="s">
        <v>29</v>
      </c>
    </row>
    <row r="16014" spans="1:14">
      <c r="A16014" s="4" t="str">
        <f t="shared" si="1213"/>
        <v>EXP00419</v>
      </c>
      <c r="B16014" s="3" t="s">
        <v>66</v>
      </c>
      <c r="C16014" s="4" t="str">
        <f t="shared" si="1214"/>
        <v>TCGA-CESC</v>
      </c>
      <c r="D16014" s="1" t="s">
        <v>493</v>
      </c>
      <c r="E16014" t="s">
        <v>543</v>
      </c>
      <c r="F16014" s="1">
        <v>2</v>
      </c>
      <c r="G16014" s="1" t="s">
        <v>32</v>
      </c>
      <c r="H16014" s="4" t="str">
        <f>HYPERLINK("https://portal.gdc.cancer.gov/cases/f0daf315-8909-4cda-886d-a2770b08db94","TCGA-ZJ-AB0H-01A")</f>
        <v>TCGA-ZJ-AB0H-01A</v>
      </c>
      <c r="I16014" t="s">
        <v>444</v>
      </c>
      <c r="J16014" t="s">
        <v>535</v>
      </c>
      <c r="K16014" t="s">
        <v>33</v>
      </c>
      <c r="L16014" t="s">
        <v>445</v>
      </c>
      <c r="N16014" t="s">
        <v>29</v>
      </c>
    </row>
    <row r="16015" spans="1:14">
      <c r="A16015" s="4" t="str">
        <f t="shared" si="1213"/>
        <v>EXP00419</v>
      </c>
      <c r="B16015" s="3" t="s">
        <v>66</v>
      </c>
      <c r="C16015" s="4" t="str">
        <f t="shared" si="1214"/>
        <v>TCGA-CESC</v>
      </c>
      <c r="D16015" s="1" t="s">
        <v>493</v>
      </c>
      <c r="E16015" t="s">
        <v>543</v>
      </c>
      <c r="F16015" s="1">
        <v>2</v>
      </c>
      <c r="G16015" s="1" t="s">
        <v>32</v>
      </c>
      <c r="H16015" s="4" t="str">
        <f>HYPERLINK("https://portal.gdc.cancer.gov/cases/a4f13656-a941-498a-9ac9-f020ed559b35","TCGA-ZJ-AB0I-01A")</f>
        <v>TCGA-ZJ-AB0I-01A</v>
      </c>
      <c r="I16015" t="s">
        <v>444</v>
      </c>
      <c r="J16015" t="s">
        <v>535</v>
      </c>
      <c r="K16015" t="s">
        <v>33</v>
      </c>
      <c r="L16015" t="s">
        <v>445</v>
      </c>
      <c r="N16015" t="s">
        <v>29</v>
      </c>
    </row>
    <row r="16016" spans="1:14">
      <c r="A16016" s="4" t="str">
        <f t="shared" si="1213"/>
        <v>EXP00419</v>
      </c>
      <c r="B16016" s="3" t="s">
        <v>66</v>
      </c>
      <c r="C16016" s="4" t="str">
        <f t="shared" si="1214"/>
        <v>TCGA-CESC</v>
      </c>
      <c r="D16016" s="1" t="s">
        <v>493</v>
      </c>
      <c r="E16016" t="s">
        <v>543</v>
      </c>
      <c r="F16016" s="1">
        <v>2</v>
      </c>
      <c r="G16016" s="1" t="s">
        <v>32</v>
      </c>
      <c r="H16016" s="4" t="str">
        <f>HYPERLINK("https://portal.gdc.cancer.gov/cases/4756acc0-4e96-44d4-b359-04d64dc7eb84","TCGA-ZX-AA5X-01A")</f>
        <v>TCGA-ZX-AA5X-01A</v>
      </c>
      <c r="I16016" t="s">
        <v>444</v>
      </c>
      <c r="J16016" t="s">
        <v>535</v>
      </c>
      <c r="K16016" t="s">
        <v>33</v>
      </c>
      <c r="L16016" t="s">
        <v>445</v>
      </c>
      <c r="N16016" t="s">
        <v>29</v>
      </c>
    </row>
    <row r="16017" spans="1:14">
      <c r="A16017" s="4" t="str">
        <f t="shared" ref="A16017:A16080" si="1215">HYPERLINK("http://hcmdb.i-sanger.com/experiment/details/experiment_id/EXP00420","EXP00420")</f>
        <v>EXP00420</v>
      </c>
      <c r="B16017" s="3" t="s">
        <v>66</v>
      </c>
      <c r="C16017" s="4" t="str">
        <f t="shared" si="1214"/>
        <v>TCGA-CESC</v>
      </c>
      <c r="D16017" s="1" t="s">
        <v>493</v>
      </c>
      <c r="E16017" t="s">
        <v>544</v>
      </c>
      <c r="F16017" s="1">
        <v>1</v>
      </c>
      <c r="G16017" s="1" t="s">
        <v>36</v>
      </c>
      <c r="H16017" s="4" t="str">
        <f>HYPERLINK("https://portal.gdc.cancer.gov/cases/b7f2958f-256e-4c30-9c61-11e76ddb36ba","TCGA-FU-A3EO-11A")</f>
        <v>TCGA-FU-A3EO-11A</v>
      </c>
      <c r="I16017" t="s">
        <v>444</v>
      </c>
      <c r="J16017" t="s">
        <v>535</v>
      </c>
      <c r="K16017" t="s">
        <v>33</v>
      </c>
      <c r="L16017" t="s">
        <v>445</v>
      </c>
      <c r="N16017" t="s">
        <v>37</v>
      </c>
    </row>
    <row r="16018" spans="1:14">
      <c r="A16018" s="4" t="str">
        <f t="shared" si="1215"/>
        <v>EXP00420</v>
      </c>
      <c r="B16018" s="3" t="s">
        <v>66</v>
      </c>
      <c r="C16018" s="4" t="str">
        <f t="shared" si="1214"/>
        <v>TCGA-CESC</v>
      </c>
      <c r="D16018" s="1" t="s">
        <v>493</v>
      </c>
      <c r="E16018" t="s">
        <v>544</v>
      </c>
      <c r="F16018" s="1">
        <v>1</v>
      </c>
      <c r="G16018" s="1" t="s">
        <v>36</v>
      </c>
      <c r="H16018" s="4" t="str">
        <f>HYPERLINK("https://portal.gdc.cancer.gov/cases/f150d999-cdec-427e-b8b2-00731c648989","TCGA-HM-A3JJ-11A")</f>
        <v>TCGA-HM-A3JJ-11A</v>
      </c>
      <c r="I16018" t="s">
        <v>444</v>
      </c>
      <c r="J16018" t="s">
        <v>535</v>
      </c>
      <c r="K16018" t="s">
        <v>33</v>
      </c>
      <c r="L16018" t="s">
        <v>445</v>
      </c>
      <c r="N16018" t="s">
        <v>37</v>
      </c>
    </row>
    <row r="16019" spans="1:14">
      <c r="A16019" s="4" t="str">
        <f t="shared" si="1215"/>
        <v>EXP00420</v>
      </c>
      <c r="B16019" s="3" t="s">
        <v>66</v>
      </c>
      <c r="C16019" s="4" t="str">
        <f t="shared" si="1214"/>
        <v>TCGA-CESC</v>
      </c>
      <c r="D16019" s="1" t="s">
        <v>493</v>
      </c>
      <c r="E16019" t="s">
        <v>544</v>
      </c>
      <c r="F16019" s="1">
        <v>1</v>
      </c>
      <c r="G16019" s="1" t="s">
        <v>36</v>
      </c>
      <c r="H16019" s="4" t="str">
        <f>HYPERLINK("https://portal.gdc.cancer.gov/cases/4f4e8834-a716-42e6-bd51-60d80a619202","TCGA-MY-A5BF-11A")</f>
        <v>TCGA-MY-A5BF-11A</v>
      </c>
      <c r="I16019" t="s">
        <v>444</v>
      </c>
      <c r="J16019" t="s">
        <v>535</v>
      </c>
      <c r="K16019" t="s">
        <v>33</v>
      </c>
      <c r="L16019" t="s">
        <v>445</v>
      </c>
      <c r="N16019" t="s">
        <v>37</v>
      </c>
    </row>
    <row r="16020" spans="1:14">
      <c r="A16020" s="4" t="str">
        <f t="shared" si="1215"/>
        <v>EXP00420</v>
      </c>
      <c r="B16020" s="3" t="s">
        <v>66</v>
      </c>
      <c r="C16020" s="4" t="str">
        <f t="shared" si="1214"/>
        <v>TCGA-CESC</v>
      </c>
      <c r="D16020" s="1" t="s">
        <v>493</v>
      </c>
      <c r="E16020" t="s">
        <v>544</v>
      </c>
      <c r="F16020" s="1">
        <v>2</v>
      </c>
      <c r="G16020" s="1" t="s">
        <v>28</v>
      </c>
      <c r="H16020" s="4" t="str">
        <f>HYPERLINK("https://portal.gdc.cancer.gov/cases/5aeac31a-176a-4f93-a376-a93a670821bb","TCGA-2W-A8YY-01A")</f>
        <v>TCGA-2W-A8YY-01A</v>
      </c>
      <c r="I16020" t="s">
        <v>444</v>
      </c>
      <c r="J16020" t="s">
        <v>535</v>
      </c>
      <c r="K16020" t="s">
        <v>33</v>
      </c>
      <c r="L16020" t="s">
        <v>445</v>
      </c>
      <c r="N16020" t="s">
        <v>29</v>
      </c>
    </row>
    <row r="16021" spans="1:14">
      <c r="A16021" s="4" t="str">
        <f t="shared" si="1215"/>
        <v>EXP00420</v>
      </c>
      <c r="B16021" s="3" t="s">
        <v>66</v>
      </c>
      <c r="C16021" s="4" t="str">
        <f t="shared" si="1214"/>
        <v>TCGA-CESC</v>
      </c>
      <c r="D16021" s="1" t="s">
        <v>493</v>
      </c>
      <c r="E16021" t="s">
        <v>544</v>
      </c>
      <c r="F16021" s="1">
        <v>2</v>
      </c>
      <c r="G16021" s="1" t="s">
        <v>28</v>
      </c>
      <c r="H16021" s="4" t="str">
        <f>HYPERLINK("https://portal.gdc.cancer.gov/cases/53eac147-7eb8-4c54-a982-5e058d6749f8","TCGA-4J-AA1J-01A")</f>
        <v>TCGA-4J-AA1J-01A</v>
      </c>
      <c r="I16021" t="s">
        <v>444</v>
      </c>
      <c r="J16021" t="s">
        <v>535</v>
      </c>
      <c r="K16021" t="s">
        <v>33</v>
      </c>
      <c r="L16021" t="s">
        <v>445</v>
      </c>
      <c r="N16021" t="s">
        <v>29</v>
      </c>
    </row>
    <row r="16022" spans="1:14">
      <c r="A16022" s="4" t="str">
        <f t="shared" si="1215"/>
        <v>EXP00420</v>
      </c>
      <c r="B16022" s="3" t="s">
        <v>66</v>
      </c>
      <c r="C16022" s="4" t="str">
        <f t="shared" si="1214"/>
        <v>TCGA-CESC</v>
      </c>
      <c r="D16022" s="1" t="s">
        <v>493</v>
      </c>
      <c r="E16022" t="s">
        <v>544</v>
      </c>
      <c r="F16022" s="1">
        <v>2</v>
      </c>
      <c r="G16022" s="1" t="s">
        <v>28</v>
      </c>
      <c r="H16022" s="4" t="str">
        <f>HYPERLINK("https://portal.gdc.cancer.gov/cases/39a3120c-0889-4a10-816a-e07528a35f7a","TCGA-BI-A0VR-01A")</f>
        <v>TCGA-BI-A0VR-01A</v>
      </c>
      <c r="I16022" t="s">
        <v>444</v>
      </c>
      <c r="J16022" t="s">
        <v>535</v>
      </c>
      <c r="K16022" t="s">
        <v>33</v>
      </c>
      <c r="L16022" t="s">
        <v>445</v>
      </c>
      <c r="N16022" t="s">
        <v>29</v>
      </c>
    </row>
    <row r="16023" spans="1:14">
      <c r="A16023" s="4" t="str">
        <f t="shared" si="1215"/>
        <v>EXP00420</v>
      </c>
      <c r="B16023" s="3" t="s">
        <v>66</v>
      </c>
      <c r="C16023" s="4" t="str">
        <f t="shared" si="1214"/>
        <v>TCGA-CESC</v>
      </c>
      <c r="D16023" s="1" t="s">
        <v>493</v>
      </c>
      <c r="E16023" t="s">
        <v>544</v>
      </c>
      <c r="F16023" s="1">
        <v>2</v>
      </c>
      <c r="G16023" s="1" t="s">
        <v>28</v>
      </c>
      <c r="H16023" s="4" t="str">
        <f>HYPERLINK("https://portal.gdc.cancer.gov/cases/3923a64a-f8d7-4e3e-9218-cee642da21db","TCGA-BI-A0VS-01A")</f>
        <v>TCGA-BI-A0VS-01A</v>
      </c>
      <c r="I16023" t="s">
        <v>444</v>
      </c>
      <c r="J16023" t="s">
        <v>535</v>
      </c>
      <c r="K16023" t="s">
        <v>33</v>
      </c>
      <c r="L16023" t="s">
        <v>445</v>
      </c>
      <c r="N16023" t="s">
        <v>29</v>
      </c>
    </row>
    <row r="16024" spans="1:14">
      <c r="A16024" s="4" t="str">
        <f t="shared" si="1215"/>
        <v>EXP00420</v>
      </c>
      <c r="B16024" s="3" t="s">
        <v>66</v>
      </c>
      <c r="C16024" s="4" t="str">
        <f t="shared" si="1214"/>
        <v>TCGA-CESC</v>
      </c>
      <c r="D16024" s="1" t="s">
        <v>493</v>
      </c>
      <c r="E16024" t="s">
        <v>544</v>
      </c>
      <c r="F16024" s="1">
        <v>2</v>
      </c>
      <c r="G16024" s="1" t="s">
        <v>28</v>
      </c>
      <c r="H16024" s="4" t="str">
        <f>HYPERLINK("https://portal.gdc.cancer.gov/cases/f40468de-3b86-4922-9951-f8ae28da6af0","TCGA-BI-A20A-01A")</f>
        <v>TCGA-BI-A20A-01A</v>
      </c>
      <c r="I16024" t="s">
        <v>444</v>
      </c>
      <c r="J16024" t="s">
        <v>535</v>
      </c>
      <c r="K16024" t="s">
        <v>33</v>
      </c>
      <c r="L16024" t="s">
        <v>445</v>
      </c>
      <c r="N16024" t="s">
        <v>29</v>
      </c>
    </row>
    <row r="16025" spans="1:14">
      <c r="A16025" s="4" t="str">
        <f t="shared" si="1215"/>
        <v>EXP00420</v>
      </c>
      <c r="B16025" s="3" t="s">
        <v>66</v>
      </c>
      <c r="C16025" s="4" t="str">
        <f t="shared" si="1214"/>
        <v>TCGA-CESC</v>
      </c>
      <c r="D16025" s="1" t="s">
        <v>493</v>
      </c>
      <c r="E16025" t="s">
        <v>544</v>
      </c>
      <c r="F16025" s="1">
        <v>2</v>
      </c>
      <c r="G16025" s="1" t="s">
        <v>28</v>
      </c>
      <c r="H16025" s="4" t="str">
        <f>HYPERLINK("https://portal.gdc.cancer.gov/cases/14c65927-b9dd-4ef6-9917-db7bc431ff2f","TCGA-C5-A0TN-01A")</f>
        <v>TCGA-C5-A0TN-01A</v>
      </c>
      <c r="I16025" t="s">
        <v>444</v>
      </c>
      <c r="J16025" t="s">
        <v>535</v>
      </c>
      <c r="K16025" t="s">
        <v>33</v>
      </c>
      <c r="L16025" t="s">
        <v>445</v>
      </c>
      <c r="N16025" t="s">
        <v>29</v>
      </c>
    </row>
    <row r="16026" spans="1:14">
      <c r="A16026" s="4" t="str">
        <f t="shared" si="1215"/>
        <v>EXP00420</v>
      </c>
      <c r="B16026" s="3" t="s">
        <v>66</v>
      </c>
      <c r="C16026" s="4" t="str">
        <f t="shared" si="1214"/>
        <v>TCGA-CESC</v>
      </c>
      <c r="D16026" s="1" t="s">
        <v>493</v>
      </c>
      <c r="E16026" t="s">
        <v>544</v>
      </c>
      <c r="F16026" s="1">
        <v>2</v>
      </c>
      <c r="G16026" s="1" t="s">
        <v>28</v>
      </c>
      <c r="H16026" s="4" t="str">
        <f>HYPERLINK("https://portal.gdc.cancer.gov/cases/2b6d2c15-8bcc-41ab-84d6-601442f4378b","TCGA-C5-A1BE-01B")</f>
        <v>TCGA-C5-A1BE-01B</v>
      </c>
      <c r="I16026" t="s">
        <v>444</v>
      </c>
      <c r="J16026" t="s">
        <v>535</v>
      </c>
      <c r="K16026" t="s">
        <v>33</v>
      </c>
      <c r="L16026" t="s">
        <v>445</v>
      </c>
      <c r="N16026" t="s">
        <v>29</v>
      </c>
    </row>
    <row r="16027" spans="1:14">
      <c r="A16027" s="4" t="str">
        <f t="shared" si="1215"/>
        <v>EXP00420</v>
      </c>
      <c r="B16027" s="3" t="s">
        <v>66</v>
      </c>
      <c r="C16027" s="4" t="str">
        <f t="shared" si="1214"/>
        <v>TCGA-CESC</v>
      </c>
      <c r="D16027" s="1" t="s">
        <v>493</v>
      </c>
      <c r="E16027" t="s">
        <v>544</v>
      </c>
      <c r="F16027" s="1">
        <v>2</v>
      </c>
      <c r="G16027" s="1" t="s">
        <v>28</v>
      </c>
      <c r="H16027" s="4" t="str">
        <f>HYPERLINK("https://portal.gdc.cancer.gov/cases/262311a0-7a10-4934-8fba-11ee581ad738","TCGA-C5-A1BF-01B")</f>
        <v>TCGA-C5-A1BF-01B</v>
      </c>
      <c r="I16027" t="s">
        <v>444</v>
      </c>
      <c r="J16027" t="s">
        <v>535</v>
      </c>
      <c r="K16027" t="s">
        <v>33</v>
      </c>
      <c r="L16027" t="s">
        <v>445</v>
      </c>
      <c r="N16027" t="s">
        <v>29</v>
      </c>
    </row>
    <row r="16028" spans="1:14">
      <c r="A16028" s="4" t="str">
        <f t="shared" si="1215"/>
        <v>EXP00420</v>
      </c>
      <c r="B16028" s="3" t="s">
        <v>66</v>
      </c>
      <c r="C16028" s="4" t="str">
        <f t="shared" si="1214"/>
        <v>TCGA-CESC</v>
      </c>
      <c r="D16028" s="1" t="s">
        <v>493</v>
      </c>
      <c r="E16028" t="s">
        <v>544</v>
      </c>
      <c r="F16028" s="1">
        <v>2</v>
      </c>
      <c r="G16028" s="1" t="s">
        <v>28</v>
      </c>
      <c r="H16028" s="4" t="str">
        <f>HYPERLINK("https://portal.gdc.cancer.gov/cases/91310434-2a99-4e1d-81e6-3d58d097089f","TCGA-C5-A1BI-01B")</f>
        <v>TCGA-C5-A1BI-01B</v>
      </c>
      <c r="I16028" t="s">
        <v>444</v>
      </c>
      <c r="J16028" t="s">
        <v>535</v>
      </c>
      <c r="K16028" t="s">
        <v>33</v>
      </c>
      <c r="L16028" t="s">
        <v>445</v>
      </c>
      <c r="N16028" t="s">
        <v>29</v>
      </c>
    </row>
    <row r="16029" spans="1:14">
      <c r="A16029" s="4" t="str">
        <f t="shared" si="1215"/>
        <v>EXP00420</v>
      </c>
      <c r="B16029" s="3" t="s">
        <v>66</v>
      </c>
      <c r="C16029" s="4" t="str">
        <f t="shared" si="1214"/>
        <v>TCGA-CESC</v>
      </c>
      <c r="D16029" s="1" t="s">
        <v>493</v>
      </c>
      <c r="E16029" t="s">
        <v>544</v>
      </c>
      <c r="F16029" s="1">
        <v>2</v>
      </c>
      <c r="G16029" s="1" t="s">
        <v>28</v>
      </c>
      <c r="H16029" s="4" t="str">
        <f>HYPERLINK("https://portal.gdc.cancer.gov/cases/7941d1c7-5319-4e8d-a15f-60b61cb68a9b","TCGA-C5-A1BJ-01A")</f>
        <v>TCGA-C5-A1BJ-01A</v>
      </c>
      <c r="I16029" t="s">
        <v>444</v>
      </c>
      <c r="J16029" t="s">
        <v>535</v>
      </c>
      <c r="K16029" t="s">
        <v>33</v>
      </c>
      <c r="L16029" t="s">
        <v>445</v>
      </c>
      <c r="N16029" t="s">
        <v>29</v>
      </c>
    </row>
    <row r="16030" spans="1:14">
      <c r="A16030" s="4" t="str">
        <f t="shared" si="1215"/>
        <v>EXP00420</v>
      </c>
      <c r="B16030" s="3" t="s">
        <v>66</v>
      </c>
      <c r="C16030" s="4" t="str">
        <f t="shared" si="1214"/>
        <v>TCGA-CESC</v>
      </c>
      <c r="D16030" s="1" t="s">
        <v>493</v>
      </c>
      <c r="E16030" t="s">
        <v>544</v>
      </c>
      <c r="F16030" s="1">
        <v>2</v>
      </c>
      <c r="G16030" s="1" t="s">
        <v>28</v>
      </c>
      <c r="H16030" s="4" t="str">
        <f>HYPERLINK("https://portal.gdc.cancer.gov/cases/7df6c297-f2d6-43ef-973b-1f95676b0cc4","TCGA-C5-A1BK-01B")</f>
        <v>TCGA-C5-A1BK-01B</v>
      </c>
      <c r="I16030" t="s">
        <v>444</v>
      </c>
      <c r="J16030" t="s">
        <v>535</v>
      </c>
      <c r="K16030" t="s">
        <v>33</v>
      </c>
      <c r="L16030" t="s">
        <v>445</v>
      </c>
      <c r="N16030" t="s">
        <v>29</v>
      </c>
    </row>
    <row r="16031" spans="1:14">
      <c r="A16031" s="4" t="str">
        <f t="shared" si="1215"/>
        <v>EXP00420</v>
      </c>
      <c r="B16031" s="3" t="s">
        <v>66</v>
      </c>
      <c r="C16031" s="4" t="str">
        <f t="shared" si="1214"/>
        <v>TCGA-CESC</v>
      </c>
      <c r="D16031" s="1" t="s">
        <v>493</v>
      </c>
      <c r="E16031" t="s">
        <v>544</v>
      </c>
      <c r="F16031" s="1">
        <v>2</v>
      </c>
      <c r="G16031" s="1" t="s">
        <v>28</v>
      </c>
      <c r="H16031" s="4" t="str">
        <f>HYPERLINK("https://portal.gdc.cancer.gov/cases/03c3fe57-ae85-4e45-9657-c3182ab5e124","TCGA-C5-A1BL-01A")</f>
        <v>TCGA-C5-A1BL-01A</v>
      </c>
      <c r="I16031" t="s">
        <v>444</v>
      </c>
      <c r="J16031" t="s">
        <v>535</v>
      </c>
      <c r="K16031" t="s">
        <v>33</v>
      </c>
      <c r="L16031" t="s">
        <v>445</v>
      </c>
      <c r="N16031" t="s">
        <v>29</v>
      </c>
    </row>
    <row r="16032" spans="1:14">
      <c r="A16032" s="4" t="str">
        <f t="shared" si="1215"/>
        <v>EXP00420</v>
      </c>
      <c r="B16032" s="3" t="s">
        <v>66</v>
      </c>
      <c r="C16032" s="4" t="str">
        <f t="shared" si="1214"/>
        <v>TCGA-CESC</v>
      </c>
      <c r="D16032" s="1" t="s">
        <v>493</v>
      </c>
      <c r="E16032" t="s">
        <v>544</v>
      </c>
      <c r="F16032" s="1">
        <v>2</v>
      </c>
      <c r="G16032" s="1" t="s">
        <v>28</v>
      </c>
      <c r="H16032" s="4" t="str">
        <f>HYPERLINK("https://portal.gdc.cancer.gov/cases/7fb8e7be-4118-41f8-b785-5cbb0afdb8b7","TCGA-C5-A1BM-01A")</f>
        <v>TCGA-C5-A1BM-01A</v>
      </c>
      <c r="I16032" t="s">
        <v>444</v>
      </c>
      <c r="J16032" t="s">
        <v>535</v>
      </c>
      <c r="K16032" t="s">
        <v>33</v>
      </c>
      <c r="L16032" t="s">
        <v>445</v>
      </c>
      <c r="N16032" t="s">
        <v>29</v>
      </c>
    </row>
    <row r="16033" spans="1:14">
      <c r="A16033" s="4" t="str">
        <f t="shared" si="1215"/>
        <v>EXP00420</v>
      </c>
      <c r="B16033" s="3" t="s">
        <v>66</v>
      </c>
      <c r="C16033" s="4" t="str">
        <f t="shared" si="1214"/>
        <v>TCGA-CESC</v>
      </c>
      <c r="D16033" s="1" t="s">
        <v>493</v>
      </c>
      <c r="E16033" t="s">
        <v>544</v>
      </c>
      <c r="F16033" s="1">
        <v>2</v>
      </c>
      <c r="G16033" s="1" t="s">
        <v>28</v>
      </c>
      <c r="H16033" s="4" t="str">
        <f>HYPERLINK("https://portal.gdc.cancer.gov/cases/8a4da4f0-30f2-497e-8a7c-988fd6b813cb","TCGA-C5-A1BN-01B")</f>
        <v>TCGA-C5-A1BN-01B</v>
      </c>
      <c r="I16033" t="s">
        <v>444</v>
      </c>
      <c r="J16033" t="s">
        <v>535</v>
      </c>
      <c r="K16033" t="s">
        <v>33</v>
      </c>
      <c r="L16033" t="s">
        <v>445</v>
      </c>
      <c r="N16033" t="s">
        <v>29</v>
      </c>
    </row>
    <row r="16034" spans="1:14">
      <c r="A16034" s="4" t="str">
        <f t="shared" si="1215"/>
        <v>EXP00420</v>
      </c>
      <c r="B16034" s="3" t="s">
        <v>66</v>
      </c>
      <c r="C16034" s="4" t="str">
        <f t="shared" si="1214"/>
        <v>TCGA-CESC</v>
      </c>
      <c r="D16034" s="1" t="s">
        <v>493</v>
      </c>
      <c r="E16034" t="s">
        <v>544</v>
      </c>
      <c r="F16034" s="1">
        <v>2</v>
      </c>
      <c r="G16034" s="1" t="s">
        <v>28</v>
      </c>
      <c r="H16034" s="4" t="str">
        <f>HYPERLINK("https://portal.gdc.cancer.gov/cases/e77c3f70-08d1-40d3-b038-f09a519423cc","TCGA-C5-A1BQ-01C")</f>
        <v>TCGA-C5-A1BQ-01C</v>
      </c>
      <c r="I16034" t="s">
        <v>444</v>
      </c>
      <c r="J16034" t="s">
        <v>535</v>
      </c>
      <c r="K16034" t="s">
        <v>33</v>
      </c>
      <c r="L16034" t="s">
        <v>445</v>
      </c>
      <c r="N16034" t="s">
        <v>29</v>
      </c>
    </row>
    <row r="16035" spans="1:14">
      <c r="A16035" s="4" t="str">
        <f t="shared" si="1215"/>
        <v>EXP00420</v>
      </c>
      <c r="B16035" s="3" t="s">
        <v>66</v>
      </c>
      <c r="C16035" s="4" t="str">
        <f t="shared" si="1214"/>
        <v>TCGA-CESC</v>
      </c>
      <c r="D16035" s="1" t="s">
        <v>493</v>
      </c>
      <c r="E16035" t="s">
        <v>544</v>
      </c>
      <c r="F16035" s="1">
        <v>2</v>
      </c>
      <c r="G16035" s="1" t="s">
        <v>28</v>
      </c>
      <c r="H16035" s="4" t="str">
        <f>HYPERLINK("https://portal.gdc.cancer.gov/cases/0fec73a1-8d3a-495b-8008-c52f190f4270","TCGA-C5-A1M5-01A")</f>
        <v>TCGA-C5-A1M5-01A</v>
      </c>
      <c r="I16035" t="s">
        <v>444</v>
      </c>
      <c r="J16035" t="s">
        <v>535</v>
      </c>
      <c r="K16035" t="s">
        <v>33</v>
      </c>
      <c r="L16035" t="s">
        <v>445</v>
      </c>
      <c r="N16035" t="s">
        <v>29</v>
      </c>
    </row>
    <row r="16036" spans="1:14">
      <c r="A16036" s="4" t="str">
        <f t="shared" si="1215"/>
        <v>EXP00420</v>
      </c>
      <c r="B16036" s="3" t="s">
        <v>66</v>
      </c>
      <c r="C16036" s="4" t="str">
        <f t="shared" si="1214"/>
        <v>TCGA-CESC</v>
      </c>
      <c r="D16036" s="1" t="s">
        <v>493</v>
      </c>
      <c r="E16036" t="s">
        <v>544</v>
      </c>
      <c r="F16036" s="1">
        <v>2</v>
      </c>
      <c r="G16036" s="1" t="s">
        <v>28</v>
      </c>
      <c r="H16036" s="4" t="str">
        <f>HYPERLINK("https://portal.gdc.cancer.gov/cases/825a6fbb-aede-436f-800b-c7f096da0a77","TCGA-C5-A1M6-01A")</f>
        <v>TCGA-C5-A1M6-01A</v>
      </c>
      <c r="I16036" t="s">
        <v>444</v>
      </c>
      <c r="J16036" t="s">
        <v>535</v>
      </c>
      <c r="K16036" t="s">
        <v>33</v>
      </c>
      <c r="L16036" t="s">
        <v>445</v>
      </c>
      <c r="N16036" t="s">
        <v>29</v>
      </c>
    </row>
    <row r="16037" spans="1:14">
      <c r="A16037" s="4" t="str">
        <f t="shared" si="1215"/>
        <v>EXP00420</v>
      </c>
      <c r="B16037" s="3" t="s">
        <v>66</v>
      </c>
      <c r="C16037" s="4" t="str">
        <f t="shared" si="1214"/>
        <v>TCGA-CESC</v>
      </c>
      <c r="D16037" s="1" t="s">
        <v>493</v>
      </c>
      <c r="E16037" t="s">
        <v>544</v>
      </c>
      <c r="F16037" s="1">
        <v>2</v>
      </c>
      <c r="G16037" s="1" t="s">
        <v>28</v>
      </c>
      <c r="H16037" s="4" t="str">
        <f>HYPERLINK("https://portal.gdc.cancer.gov/cases/e8e16aaf-3621-4ce8-b02a-7893dd656e4d","TCGA-C5-A1M7-01A")</f>
        <v>TCGA-C5-A1M7-01A</v>
      </c>
      <c r="I16037" t="s">
        <v>444</v>
      </c>
      <c r="J16037" t="s">
        <v>535</v>
      </c>
      <c r="K16037" t="s">
        <v>33</v>
      </c>
      <c r="L16037" t="s">
        <v>445</v>
      </c>
      <c r="N16037" t="s">
        <v>29</v>
      </c>
    </row>
    <row r="16038" spans="1:14">
      <c r="A16038" s="4" t="str">
        <f t="shared" si="1215"/>
        <v>EXP00420</v>
      </c>
      <c r="B16038" s="3" t="s">
        <v>66</v>
      </c>
      <c r="C16038" s="4" t="str">
        <f t="shared" si="1214"/>
        <v>TCGA-CESC</v>
      </c>
      <c r="D16038" s="1" t="s">
        <v>493</v>
      </c>
      <c r="E16038" t="s">
        <v>544</v>
      </c>
      <c r="F16038" s="1">
        <v>2</v>
      </c>
      <c r="G16038" s="1" t="s">
        <v>28</v>
      </c>
      <c r="H16038" s="4" t="str">
        <f>HYPERLINK("https://portal.gdc.cancer.gov/cases/110cd100-5730-4873-9fab-2ae6c8732062","TCGA-C5-A1M8-01A")</f>
        <v>TCGA-C5-A1M8-01A</v>
      </c>
      <c r="I16038" t="s">
        <v>444</v>
      </c>
      <c r="J16038" t="s">
        <v>535</v>
      </c>
      <c r="K16038" t="s">
        <v>33</v>
      </c>
      <c r="L16038" t="s">
        <v>445</v>
      </c>
      <c r="N16038" t="s">
        <v>29</v>
      </c>
    </row>
    <row r="16039" spans="1:14">
      <c r="A16039" s="4" t="str">
        <f t="shared" si="1215"/>
        <v>EXP00420</v>
      </c>
      <c r="B16039" s="3" t="s">
        <v>66</v>
      </c>
      <c r="C16039" s="4" t="str">
        <f t="shared" si="1214"/>
        <v>TCGA-CESC</v>
      </c>
      <c r="D16039" s="1" t="s">
        <v>493</v>
      </c>
      <c r="E16039" t="s">
        <v>544</v>
      </c>
      <c r="F16039" s="1">
        <v>2</v>
      </c>
      <c r="G16039" s="1" t="s">
        <v>28</v>
      </c>
      <c r="H16039" s="4" t="str">
        <f>HYPERLINK("https://portal.gdc.cancer.gov/cases/a3be445a-a592-4073-815b-47ae41f9c4a0","TCGA-C5-A1M9-01A")</f>
        <v>TCGA-C5-A1M9-01A</v>
      </c>
      <c r="I16039" t="s">
        <v>444</v>
      </c>
      <c r="J16039" t="s">
        <v>535</v>
      </c>
      <c r="K16039" t="s">
        <v>33</v>
      </c>
      <c r="L16039" t="s">
        <v>445</v>
      </c>
      <c r="N16039" t="s">
        <v>29</v>
      </c>
    </row>
    <row r="16040" spans="1:14">
      <c r="A16040" s="4" t="str">
        <f t="shared" si="1215"/>
        <v>EXP00420</v>
      </c>
      <c r="B16040" s="3" t="s">
        <v>66</v>
      </c>
      <c r="C16040" s="4" t="str">
        <f t="shared" si="1214"/>
        <v>TCGA-CESC</v>
      </c>
      <c r="D16040" s="1" t="s">
        <v>493</v>
      </c>
      <c r="E16040" t="s">
        <v>544</v>
      </c>
      <c r="F16040" s="1">
        <v>2</v>
      </c>
      <c r="G16040" s="1" t="s">
        <v>28</v>
      </c>
      <c r="H16040" s="4" t="str">
        <f>HYPERLINK("https://portal.gdc.cancer.gov/cases/a0598331-79e1-418d-b50c-fd945b843506","TCGA-C5-A1ME-01A")</f>
        <v>TCGA-C5-A1ME-01A</v>
      </c>
      <c r="I16040" t="s">
        <v>444</v>
      </c>
      <c r="J16040" t="s">
        <v>535</v>
      </c>
      <c r="K16040" t="s">
        <v>33</v>
      </c>
      <c r="L16040" t="s">
        <v>445</v>
      </c>
      <c r="N16040" t="s">
        <v>29</v>
      </c>
    </row>
    <row r="16041" spans="1:14">
      <c r="A16041" s="4" t="str">
        <f t="shared" si="1215"/>
        <v>EXP00420</v>
      </c>
      <c r="B16041" s="3" t="s">
        <v>66</v>
      </c>
      <c r="C16041" s="4" t="str">
        <f t="shared" si="1214"/>
        <v>TCGA-CESC</v>
      </c>
      <c r="D16041" s="1" t="s">
        <v>493</v>
      </c>
      <c r="E16041" t="s">
        <v>544</v>
      </c>
      <c r="F16041" s="1">
        <v>2</v>
      </c>
      <c r="G16041" s="1" t="s">
        <v>28</v>
      </c>
      <c r="H16041" s="4" t="str">
        <f>HYPERLINK("https://portal.gdc.cancer.gov/cases/4f514ed4-3be6-44bc-a531-210027846459","TCGA-C5-A1MF-01A")</f>
        <v>TCGA-C5-A1MF-01A</v>
      </c>
      <c r="I16041" t="s">
        <v>444</v>
      </c>
      <c r="J16041" t="s">
        <v>535</v>
      </c>
      <c r="K16041" t="s">
        <v>33</v>
      </c>
      <c r="L16041" t="s">
        <v>445</v>
      </c>
      <c r="N16041" t="s">
        <v>29</v>
      </c>
    </row>
    <row r="16042" spans="1:14">
      <c r="A16042" s="4" t="str">
        <f t="shared" si="1215"/>
        <v>EXP00420</v>
      </c>
      <c r="B16042" s="3" t="s">
        <v>66</v>
      </c>
      <c r="C16042" s="4" t="str">
        <f t="shared" si="1214"/>
        <v>TCGA-CESC</v>
      </c>
      <c r="D16042" s="1" t="s">
        <v>493</v>
      </c>
      <c r="E16042" t="s">
        <v>544</v>
      </c>
      <c r="F16042" s="1">
        <v>2</v>
      </c>
      <c r="G16042" s="1" t="s">
        <v>28</v>
      </c>
      <c r="H16042" s="4" t="str">
        <f>HYPERLINK("https://portal.gdc.cancer.gov/cases/3143822c-66c4-4b58-8d29-e92d065ff049","TCGA-C5-A1MH-01A")</f>
        <v>TCGA-C5-A1MH-01A</v>
      </c>
      <c r="I16042" t="s">
        <v>444</v>
      </c>
      <c r="J16042" t="s">
        <v>535</v>
      </c>
      <c r="K16042" t="s">
        <v>33</v>
      </c>
      <c r="L16042" t="s">
        <v>445</v>
      </c>
      <c r="N16042" t="s">
        <v>29</v>
      </c>
    </row>
    <row r="16043" spans="1:14">
      <c r="A16043" s="4" t="str">
        <f t="shared" si="1215"/>
        <v>EXP00420</v>
      </c>
      <c r="B16043" s="3" t="s">
        <v>66</v>
      </c>
      <c r="C16043" s="4" t="str">
        <f t="shared" si="1214"/>
        <v>TCGA-CESC</v>
      </c>
      <c r="D16043" s="1" t="s">
        <v>493</v>
      </c>
      <c r="E16043" t="s">
        <v>544</v>
      </c>
      <c r="F16043" s="1">
        <v>2</v>
      </c>
      <c r="G16043" s="1" t="s">
        <v>28</v>
      </c>
      <c r="H16043" s="4" t="str">
        <f>HYPERLINK("https://portal.gdc.cancer.gov/cases/941f75a1-fea4-4539-ba69-60bb11608f6d","TCGA-C5-A1MI-01A")</f>
        <v>TCGA-C5-A1MI-01A</v>
      </c>
      <c r="I16043" t="s">
        <v>444</v>
      </c>
      <c r="J16043" t="s">
        <v>535</v>
      </c>
      <c r="K16043" t="s">
        <v>33</v>
      </c>
      <c r="L16043" t="s">
        <v>445</v>
      </c>
      <c r="N16043" t="s">
        <v>29</v>
      </c>
    </row>
    <row r="16044" spans="1:14">
      <c r="A16044" s="4" t="str">
        <f t="shared" si="1215"/>
        <v>EXP00420</v>
      </c>
      <c r="B16044" s="3" t="s">
        <v>66</v>
      </c>
      <c r="C16044" s="4" t="str">
        <f t="shared" si="1214"/>
        <v>TCGA-CESC</v>
      </c>
      <c r="D16044" s="1" t="s">
        <v>493</v>
      </c>
      <c r="E16044" t="s">
        <v>544</v>
      </c>
      <c r="F16044" s="1">
        <v>2</v>
      </c>
      <c r="G16044" s="1" t="s">
        <v>28</v>
      </c>
      <c r="H16044" s="4" t="str">
        <f>HYPERLINK("https://portal.gdc.cancer.gov/cases/23f011e2-c025-4494-8016-2140cc8d4bce","TCGA-C5-A1MJ-01A")</f>
        <v>TCGA-C5-A1MJ-01A</v>
      </c>
      <c r="I16044" t="s">
        <v>444</v>
      </c>
      <c r="J16044" t="s">
        <v>535</v>
      </c>
      <c r="K16044" t="s">
        <v>33</v>
      </c>
      <c r="L16044" t="s">
        <v>445</v>
      </c>
      <c r="N16044" t="s">
        <v>29</v>
      </c>
    </row>
    <row r="16045" spans="1:14">
      <c r="A16045" s="4" t="str">
        <f t="shared" si="1215"/>
        <v>EXP00420</v>
      </c>
      <c r="B16045" s="3" t="s">
        <v>66</v>
      </c>
      <c r="C16045" s="4" t="str">
        <f t="shared" si="1214"/>
        <v>TCGA-CESC</v>
      </c>
      <c r="D16045" s="1" t="s">
        <v>493</v>
      </c>
      <c r="E16045" t="s">
        <v>544</v>
      </c>
      <c r="F16045" s="1">
        <v>2</v>
      </c>
      <c r="G16045" s="1" t="s">
        <v>28</v>
      </c>
      <c r="H16045" s="4" t="str">
        <f>HYPERLINK("https://portal.gdc.cancer.gov/cases/b726f18b-b996-4978-9f27-b3a540e06270","TCGA-C5-A1MK-01A")</f>
        <v>TCGA-C5-A1MK-01A</v>
      </c>
      <c r="I16045" t="s">
        <v>444</v>
      </c>
      <c r="J16045" t="s">
        <v>535</v>
      </c>
      <c r="K16045" t="s">
        <v>33</v>
      </c>
      <c r="L16045" t="s">
        <v>445</v>
      </c>
      <c r="N16045" t="s">
        <v>29</v>
      </c>
    </row>
    <row r="16046" spans="1:14">
      <c r="A16046" s="4" t="str">
        <f t="shared" si="1215"/>
        <v>EXP00420</v>
      </c>
      <c r="B16046" s="3" t="s">
        <v>66</v>
      </c>
      <c r="C16046" s="4" t="str">
        <f t="shared" si="1214"/>
        <v>TCGA-CESC</v>
      </c>
      <c r="D16046" s="1" t="s">
        <v>493</v>
      </c>
      <c r="E16046" t="s">
        <v>544</v>
      </c>
      <c r="F16046" s="1">
        <v>2</v>
      </c>
      <c r="G16046" s="1" t="s">
        <v>28</v>
      </c>
      <c r="H16046" s="4" t="str">
        <f>HYPERLINK("https://portal.gdc.cancer.gov/cases/374f614a-bcd1-4283-ac6f-fc27ddc79987","TCGA-C5-A1ML-01A")</f>
        <v>TCGA-C5-A1ML-01A</v>
      </c>
      <c r="I16046" t="s">
        <v>444</v>
      </c>
      <c r="J16046" t="s">
        <v>535</v>
      </c>
      <c r="K16046" t="s">
        <v>33</v>
      </c>
      <c r="L16046" t="s">
        <v>445</v>
      </c>
      <c r="N16046" t="s">
        <v>29</v>
      </c>
    </row>
    <row r="16047" spans="1:14">
      <c r="A16047" s="4" t="str">
        <f t="shared" si="1215"/>
        <v>EXP00420</v>
      </c>
      <c r="B16047" s="3" t="s">
        <v>66</v>
      </c>
      <c r="C16047" s="4" t="str">
        <f t="shared" si="1214"/>
        <v>TCGA-CESC</v>
      </c>
      <c r="D16047" s="1" t="s">
        <v>493</v>
      </c>
      <c r="E16047" t="s">
        <v>544</v>
      </c>
      <c r="F16047" s="1">
        <v>2</v>
      </c>
      <c r="G16047" s="1" t="s">
        <v>28</v>
      </c>
      <c r="H16047" s="4" t="str">
        <f>HYPERLINK("https://portal.gdc.cancer.gov/cases/287ce10e-31c8-4b10-9858-6e45451dfbe4","TCGA-C5-A1MN-01A")</f>
        <v>TCGA-C5-A1MN-01A</v>
      </c>
      <c r="I16047" t="s">
        <v>444</v>
      </c>
      <c r="J16047" t="s">
        <v>535</v>
      </c>
      <c r="K16047" t="s">
        <v>33</v>
      </c>
      <c r="L16047" t="s">
        <v>445</v>
      </c>
      <c r="N16047" t="s">
        <v>29</v>
      </c>
    </row>
    <row r="16048" spans="1:14">
      <c r="A16048" s="4" t="str">
        <f t="shared" si="1215"/>
        <v>EXP00420</v>
      </c>
      <c r="B16048" s="3" t="s">
        <v>66</v>
      </c>
      <c r="C16048" s="4" t="str">
        <f t="shared" si="1214"/>
        <v>TCGA-CESC</v>
      </c>
      <c r="D16048" s="1" t="s">
        <v>493</v>
      </c>
      <c r="E16048" t="s">
        <v>544</v>
      </c>
      <c r="F16048" s="1">
        <v>2</v>
      </c>
      <c r="G16048" s="1" t="s">
        <v>28</v>
      </c>
      <c r="H16048" s="4" t="str">
        <f>HYPERLINK("https://portal.gdc.cancer.gov/cases/08a52bcf-d2e9-497b-938a-4660c332e914","TCGA-C5-A1MP-01A")</f>
        <v>TCGA-C5-A1MP-01A</v>
      </c>
      <c r="I16048" t="s">
        <v>444</v>
      </c>
      <c r="J16048" t="s">
        <v>535</v>
      </c>
      <c r="K16048" t="s">
        <v>33</v>
      </c>
      <c r="L16048" t="s">
        <v>445</v>
      </c>
      <c r="N16048" t="s">
        <v>29</v>
      </c>
    </row>
    <row r="16049" spans="1:14">
      <c r="A16049" s="4" t="str">
        <f t="shared" si="1215"/>
        <v>EXP00420</v>
      </c>
      <c r="B16049" s="3" t="s">
        <v>66</v>
      </c>
      <c r="C16049" s="4" t="str">
        <f t="shared" si="1214"/>
        <v>TCGA-CESC</v>
      </c>
      <c r="D16049" s="1" t="s">
        <v>493</v>
      </c>
      <c r="E16049" t="s">
        <v>544</v>
      </c>
      <c r="F16049" s="1">
        <v>2</v>
      </c>
      <c r="G16049" s="1" t="s">
        <v>28</v>
      </c>
      <c r="H16049" s="4" t="str">
        <f>HYPERLINK("https://portal.gdc.cancer.gov/cases/eb59cf69-1997-41b9-bf69-69ad7da292a1","TCGA-C5-A1MQ-01A")</f>
        <v>TCGA-C5-A1MQ-01A</v>
      </c>
      <c r="I16049" t="s">
        <v>444</v>
      </c>
      <c r="J16049" t="s">
        <v>535</v>
      </c>
      <c r="K16049" t="s">
        <v>33</v>
      </c>
      <c r="L16049" t="s">
        <v>445</v>
      </c>
      <c r="N16049" t="s">
        <v>29</v>
      </c>
    </row>
    <row r="16050" spans="1:14">
      <c r="A16050" s="4" t="str">
        <f t="shared" si="1215"/>
        <v>EXP00420</v>
      </c>
      <c r="B16050" s="3" t="s">
        <v>66</v>
      </c>
      <c r="C16050" s="4" t="str">
        <f t="shared" si="1214"/>
        <v>TCGA-CESC</v>
      </c>
      <c r="D16050" s="1" t="s">
        <v>493</v>
      </c>
      <c r="E16050" t="s">
        <v>544</v>
      </c>
      <c r="F16050" s="1">
        <v>2</v>
      </c>
      <c r="G16050" s="1" t="s">
        <v>28</v>
      </c>
      <c r="H16050" s="4" t="str">
        <f>HYPERLINK("https://portal.gdc.cancer.gov/cases/185e1520-92ee-4af5-af15-fbeefb352c99","TCGA-C5-A2LS-01A")</f>
        <v>TCGA-C5-A2LS-01A</v>
      </c>
      <c r="I16050" t="s">
        <v>444</v>
      </c>
      <c r="J16050" t="s">
        <v>535</v>
      </c>
      <c r="K16050" t="s">
        <v>33</v>
      </c>
      <c r="L16050" t="s">
        <v>445</v>
      </c>
      <c r="N16050" t="s">
        <v>29</v>
      </c>
    </row>
    <row r="16051" spans="1:14">
      <c r="A16051" s="4" t="str">
        <f t="shared" si="1215"/>
        <v>EXP00420</v>
      </c>
      <c r="B16051" s="3" t="s">
        <v>66</v>
      </c>
      <c r="C16051" s="4" t="str">
        <f t="shared" si="1214"/>
        <v>TCGA-CESC</v>
      </c>
      <c r="D16051" s="1" t="s">
        <v>493</v>
      </c>
      <c r="E16051" t="s">
        <v>544</v>
      </c>
      <c r="F16051" s="1">
        <v>2</v>
      </c>
      <c r="G16051" s="1" t="s">
        <v>28</v>
      </c>
      <c r="H16051" s="4" t="str">
        <f>HYPERLINK("https://portal.gdc.cancer.gov/cases/fb66b7f5-22ca-4d4d-97c2-30e6edfff781","TCGA-C5-A2LT-01A")</f>
        <v>TCGA-C5-A2LT-01A</v>
      </c>
      <c r="I16051" t="s">
        <v>444</v>
      </c>
      <c r="J16051" t="s">
        <v>535</v>
      </c>
      <c r="K16051" t="s">
        <v>33</v>
      </c>
      <c r="L16051" t="s">
        <v>445</v>
      </c>
      <c r="N16051" t="s">
        <v>29</v>
      </c>
    </row>
    <row r="16052" spans="1:14">
      <c r="A16052" s="4" t="str">
        <f t="shared" si="1215"/>
        <v>EXP00420</v>
      </c>
      <c r="B16052" s="3" t="s">
        <v>66</v>
      </c>
      <c r="C16052" s="4" t="str">
        <f t="shared" si="1214"/>
        <v>TCGA-CESC</v>
      </c>
      <c r="D16052" s="1" t="s">
        <v>493</v>
      </c>
      <c r="E16052" t="s">
        <v>544</v>
      </c>
      <c r="F16052" s="1">
        <v>2</v>
      </c>
      <c r="G16052" s="1" t="s">
        <v>28</v>
      </c>
      <c r="H16052" s="4" t="str">
        <f>HYPERLINK("https://portal.gdc.cancer.gov/cases/00bca18c-b3d4-45a3-8f19-034cc40449a4","TCGA-C5-A2LV-01A")</f>
        <v>TCGA-C5-A2LV-01A</v>
      </c>
      <c r="I16052" t="s">
        <v>444</v>
      </c>
      <c r="J16052" t="s">
        <v>535</v>
      </c>
      <c r="K16052" t="s">
        <v>33</v>
      </c>
      <c r="L16052" t="s">
        <v>445</v>
      </c>
      <c r="N16052" t="s">
        <v>29</v>
      </c>
    </row>
    <row r="16053" spans="1:14">
      <c r="A16053" s="4" t="str">
        <f t="shared" si="1215"/>
        <v>EXP00420</v>
      </c>
      <c r="B16053" s="3" t="s">
        <v>66</v>
      </c>
      <c r="C16053" s="4" t="str">
        <f t="shared" si="1214"/>
        <v>TCGA-CESC</v>
      </c>
      <c r="D16053" s="1" t="s">
        <v>493</v>
      </c>
      <c r="E16053" t="s">
        <v>544</v>
      </c>
      <c r="F16053" s="1">
        <v>2</v>
      </c>
      <c r="G16053" s="1" t="s">
        <v>28</v>
      </c>
      <c r="H16053" s="4" t="str">
        <f>HYPERLINK("https://portal.gdc.cancer.gov/cases/b82f4c6d-530f-4b0e-8f33-995633cb254a","TCGA-C5-A2LX-01A")</f>
        <v>TCGA-C5-A2LX-01A</v>
      </c>
      <c r="I16053" t="s">
        <v>444</v>
      </c>
      <c r="J16053" t="s">
        <v>535</v>
      </c>
      <c r="K16053" t="s">
        <v>33</v>
      </c>
      <c r="L16053" t="s">
        <v>445</v>
      </c>
      <c r="N16053" t="s">
        <v>29</v>
      </c>
    </row>
    <row r="16054" spans="1:14">
      <c r="A16054" s="4" t="str">
        <f t="shared" si="1215"/>
        <v>EXP00420</v>
      </c>
      <c r="B16054" s="3" t="s">
        <v>66</v>
      </c>
      <c r="C16054" s="4" t="str">
        <f t="shared" si="1214"/>
        <v>TCGA-CESC</v>
      </c>
      <c r="D16054" s="1" t="s">
        <v>493</v>
      </c>
      <c r="E16054" t="s">
        <v>544</v>
      </c>
      <c r="F16054" s="1">
        <v>2</v>
      </c>
      <c r="G16054" s="1" t="s">
        <v>28</v>
      </c>
      <c r="H16054" s="4" t="str">
        <f>HYPERLINK("https://portal.gdc.cancer.gov/cases/e733f289-a0ec-478c-aad9-1378ad26ddfa","TCGA-C5-A2LY-01A")</f>
        <v>TCGA-C5-A2LY-01A</v>
      </c>
      <c r="I16054" t="s">
        <v>444</v>
      </c>
      <c r="J16054" t="s">
        <v>535</v>
      </c>
      <c r="K16054" t="s">
        <v>33</v>
      </c>
      <c r="L16054" t="s">
        <v>445</v>
      </c>
      <c r="N16054" t="s">
        <v>29</v>
      </c>
    </row>
    <row r="16055" spans="1:14">
      <c r="A16055" s="4" t="str">
        <f t="shared" si="1215"/>
        <v>EXP00420</v>
      </c>
      <c r="B16055" s="3" t="s">
        <v>66</v>
      </c>
      <c r="C16055" s="4" t="str">
        <f t="shared" si="1214"/>
        <v>TCGA-CESC</v>
      </c>
      <c r="D16055" s="1" t="s">
        <v>493</v>
      </c>
      <c r="E16055" t="s">
        <v>544</v>
      </c>
      <c r="F16055" s="1">
        <v>2</v>
      </c>
      <c r="G16055" s="1" t="s">
        <v>28</v>
      </c>
      <c r="H16055" s="4" t="str">
        <f>HYPERLINK("https://portal.gdc.cancer.gov/cases/be8fa67d-c2d3-4fff-82fe-a46ba1fa8df0","TCGA-C5-A2LZ-01A")</f>
        <v>TCGA-C5-A2LZ-01A</v>
      </c>
      <c r="I16055" t="s">
        <v>444</v>
      </c>
      <c r="J16055" t="s">
        <v>535</v>
      </c>
      <c r="K16055" t="s">
        <v>33</v>
      </c>
      <c r="L16055" t="s">
        <v>445</v>
      </c>
      <c r="N16055" t="s">
        <v>29</v>
      </c>
    </row>
    <row r="16056" spans="1:14">
      <c r="A16056" s="4" t="str">
        <f t="shared" si="1215"/>
        <v>EXP00420</v>
      </c>
      <c r="B16056" s="3" t="s">
        <v>66</v>
      </c>
      <c r="C16056" s="4" t="str">
        <f t="shared" si="1214"/>
        <v>TCGA-CESC</v>
      </c>
      <c r="D16056" s="1" t="s">
        <v>493</v>
      </c>
      <c r="E16056" t="s">
        <v>544</v>
      </c>
      <c r="F16056" s="1">
        <v>2</v>
      </c>
      <c r="G16056" s="1" t="s">
        <v>28</v>
      </c>
      <c r="H16056" s="4" t="str">
        <f>HYPERLINK("https://portal.gdc.cancer.gov/cases/8911c80c-c903-48e4-af5b-ffedef9abc47","TCGA-C5-A2M1-01A")</f>
        <v>TCGA-C5-A2M1-01A</v>
      </c>
      <c r="I16056" t="s">
        <v>444</v>
      </c>
      <c r="J16056" t="s">
        <v>535</v>
      </c>
      <c r="K16056" t="s">
        <v>33</v>
      </c>
      <c r="L16056" t="s">
        <v>445</v>
      </c>
      <c r="N16056" t="s">
        <v>29</v>
      </c>
    </row>
    <row r="16057" spans="1:14">
      <c r="A16057" s="4" t="str">
        <f t="shared" si="1215"/>
        <v>EXP00420</v>
      </c>
      <c r="B16057" s="3" t="s">
        <v>66</v>
      </c>
      <c r="C16057" s="4" t="str">
        <f t="shared" si="1214"/>
        <v>TCGA-CESC</v>
      </c>
      <c r="D16057" s="1" t="s">
        <v>493</v>
      </c>
      <c r="E16057" t="s">
        <v>544</v>
      </c>
      <c r="F16057" s="1">
        <v>2</v>
      </c>
      <c r="G16057" s="1" t="s">
        <v>28</v>
      </c>
      <c r="H16057" s="4" t="str">
        <f>HYPERLINK("https://portal.gdc.cancer.gov/cases/77d53d4d-3b07-4c79-86fe-6ac812968f39","TCGA-C5-A2M2-01A")</f>
        <v>TCGA-C5-A2M2-01A</v>
      </c>
      <c r="I16057" t="s">
        <v>444</v>
      </c>
      <c r="J16057" t="s">
        <v>535</v>
      </c>
      <c r="K16057" t="s">
        <v>33</v>
      </c>
      <c r="L16057" t="s">
        <v>445</v>
      </c>
      <c r="N16057" t="s">
        <v>29</v>
      </c>
    </row>
    <row r="16058" spans="1:14">
      <c r="A16058" s="4" t="str">
        <f t="shared" si="1215"/>
        <v>EXP00420</v>
      </c>
      <c r="B16058" s="3" t="s">
        <v>66</v>
      </c>
      <c r="C16058" s="4" t="str">
        <f t="shared" si="1214"/>
        <v>TCGA-CESC</v>
      </c>
      <c r="D16058" s="1" t="s">
        <v>493</v>
      </c>
      <c r="E16058" t="s">
        <v>544</v>
      </c>
      <c r="F16058" s="1">
        <v>2</v>
      </c>
      <c r="G16058" s="1" t="s">
        <v>28</v>
      </c>
      <c r="H16058" s="4" t="str">
        <f>HYPERLINK("https://portal.gdc.cancer.gov/cases/12427b02-6e3f-461c-b271-6ab230f628e7","TCGA-C5-A3HD-01B")</f>
        <v>TCGA-C5-A3HD-01B</v>
      </c>
      <c r="I16058" t="s">
        <v>444</v>
      </c>
      <c r="J16058" t="s">
        <v>535</v>
      </c>
      <c r="K16058" t="s">
        <v>33</v>
      </c>
      <c r="L16058" t="s">
        <v>445</v>
      </c>
      <c r="N16058" t="s">
        <v>29</v>
      </c>
    </row>
    <row r="16059" spans="1:14">
      <c r="A16059" s="4" t="str">
        <f t="shared" si="1215"/>
        <v>EXP00420</v>
      </c>
      <c r="B16059" s="3" t="s">
        <v>66</v>
      </c>
      <c r="C16059" s="4" t="str">
        <f t="shared" si="1214"/>
        <v>TCGA-CESC</v>
      </c>
      <c r="D16059" s="1" t="s">
        <v>493</v>
      </c>
      <c r="E16059" t="s">
        <v>544</v>
      </c>
      <c r="F16059" s="1">
        <v>2</v>
      </c>
      <c r="G16059" s="1" t="s">
        <v>28</v>
      </c>
      <c r="H16059" s="4" t="str">
        <f>HYPERLINK("https://portal.gdc.cancer.gov/cases/bc63dd2a-b8f6-4b30-a8d7-ce193bcd17f1","TCGA-C5-A3HE-01A")</f>
        <v>TCGA-C5-A3HE-01A</v>
      </c>
      <c r="I16059" t="s">
        <v>444</v>
      </c>
      <c r="J16059" t="s">
        <v>535</v>
      </c>
      <c r="K16059" t="s">
        <v>33</v>
      </c>
      <c r="L16059" t="s">
        <v>445</v>
      </c>
      <c r="N16059" t="s">
        <v>29</v>
      </c>
    </row>
    <row r="16060" spans="1:14">
      <c r="A16060" s="4" t="str">
        <f t="shared" si="1215"/>
        <v>EXP00420</v>
      </c>
      <c r="B16060" s="3" t="s">
        <v>66</v>
      </c>
      <c r="C16060" s="4" t="str">
        <f t="shared" si="1214"/>
        <v>TCGA-CESC</v>
      </c>
      <c r="D16060" s="1" t="s">
        <v>493</v>
      </c>
      <c r="E16060" t="s">
        <v>544</v>
      </c>
      <c r="F16060" s="1">
        <v>2</v>
      </c>
      <c r="G16060" s="1" t="s">
        <v>28</v>
      </c>
      <c r="H16060" s="4" t="str">
        <f>HYPERLINK("https://portal.gdc.cancer.gov/cases/085df27c-9bc2-425a-9a49-547d692ea028","TCGA-C5-A3HF-01A")</f>
        <v>TCGA-C5-A3HF-01A</v>
      </c>
      <c r="I16060" t="s">
        <v>444</v>
      </c>
      <c r="J16060" t="s">
        <v>535</v>
      </c>
      <c r="K16060" t="s">
        <v>33</v>
      </c>
      <c r="L16060" t="s">
        <v>445</v>
      </c>
      <c r="N16060" t="s">
        <v>29</v>
      </c>
    </row>
    <row r="16061" spans="1:14">
      <c r="A16061" s="4" t="str">
        <f t="shared" si="1215"/>
        <v>EXP00420</v>
      </c>
      <c r="B16061" s="3" t="s">
        <v>66</v>
      </c>
      <c r="C16061" s="4" t="str">
        <f t="shared" si="1214"/>
        <v>TCGA-CESC</v>
      </c>
      <c r="D16061" s="1" t="s">
        <v>493</v>
      </c>
      <c r="E16061" t="s">
        <v>544</v>
      </c>
      <c r="F16061" s="1">
        <v>2</v>
      </c>
      <c r="G16061" s="1" t="s">
        <v>28</v>
      </c>
      <c r="H16061" s="4" t="str">
        <f>HYPERLINK("https://portal.gdc.cancer.gov/cases/09329a53-d58d-4480-95d8-32043e40de6e","TCGA-C5-A3HL-01A")</f>
        <v>TCGA-C5-A3HL-01A</v>
      </c>
      <c r="I16061" t="s">
        <v>444</v>
      </c>
      <c r="J16061" t="s">
        <v>535</v>
      </c>
      <c r="K16061" t="s">
        <v>33</v>
      </c>
      <c r="L16061" t="s">
        <v>445</v>
      </c>
      <c r="N16061" t="s">
        <v>29</v>
      </c>
    </row>
    <row r="16062" spans="1:14">
      <c r="A16062" s="4" t="str">
        <f t="shared" si="1215"/>
        <v>EXP00420</v>
      </c>
      <c r="B16062" s="3" t="s">
        <v>66</v>
      </c>
      <c r="C16062" s="4" t="str">
        <f t="shared" si="1214"/>
        <v>TCGA-CESC</v>
      </c>
      <c r="D16062" s="1" t="s">
        <v>493</v>
      </c>
      <c r="E16062" t="s">
        <v>544</v>
      </c>
      <c r="F16062" s="1">
        <v>2</v>
      </c>
      <c r="G16062" s="1" t="s">
        <v>28</v>
      </c>
      <c r="H16062" s="4" t="str">
        <f>HYPERLINK("https://portal.gdc.cancer.gov/cases/f2c901d1-2039-4046-89b5-c2d45bcf10c3","TCGA-C5-A7CG-01A")</f>
        <v>TCGA-C5-A7CG-01A</v>
      </c>
      <c r="I16062" t="s">
        <v>444</v>
      </c>
      <c r="J16062" t="s">
        <v>535</v>
      </c>
      <c r="K16062" t="s">
        <v>33</v>
      </c>
      <c r="L16062" t="s">
        <v>445</v>
      </c>
      <c r="N16062" t="s">
        <v>29</v>
      </c>
    </row>
    <row r="16063" spans="1:14">
      <c r="A16063" s="4" t="str">
        <f t="shared" si="1215"/>
        <v>EXP00420</v>
      </c>
      <c r="B16063" s="3" t="s">
        <v>66</v>
      </c>
      <c r="C16063" s="4" t="str">
        <f t="shared" si="1214"/>
        <v>TCGA-CESC</v>
      </c>
      <c r="D16063" s="1" t="s">
        <v>493</v>
      </c>
      <c r="E16063" t="s">
        <v>544</v>
      </c>
      <c r="F16063" s="1">
        <v>2</v>
      </c>
      <c r="G16063" s="1" t="s">
        <v>28</v>
      </c>
      <c r="H16063" s="4" t="str">
        <f>HYPERLINK("https://portal.gdc.cancer.gov/cases/d626a732-af64-4dec-b4bf-3cb761bf4c8d","TCGA-C5-A7CH-01A")</f>
        <v>TCGA-C5-A7CH-01A</v>
      </c>
      <c r="I16063" t="s">
        <v>444</v>
      </c>
      <c r="J16063" t="s">
        <v>535</v>
      </c>
      <c r="K16063" t="s">
        <v>33</v>
      </c>
      <c r="L16063" t="s">
        <v>445</v>
      </c>
      <c r="N16063" t="s">
        <v>29</v>
      </c>
    </row>
    <row r="16064" spans="1:14">
      <c r="A16064" s="4" t="str">
        <f t="shared" si="1215"/>
        <v>EXP00420</v>
      </c>
      <c r="B16064" s="3" t="s">
        <v>66</v>
      </c>
      <c r="C16064" s="4" t="str">
        <f t="shared" si="1214"/>
        <v>TCGA-CESC</v>
      </c>
      <c r="D16064" s="1" t="s">
        <v>493</v>
      </c>
      <c r="E16064" t="s">
        <v>544</v>
      </c>
      <c r="F16064" s="1">
        <v>2</v>
      </c>
      <c r="G16064" s="1" t="s">
        <v>28</v>
      </c>
      <c r="H16064" s="4" t="str">
        <f>HYPERLINK("https://portal.gdc.cancer.gov/cases/f8f470d2-924f-41dd-92c5-516b0bf68e44","TCGA-C5-A7CJ-01A")</f>
        <v>TCGA-C5-A7CJ-01A</v>
      </c>
      <c r="I16064" t="s">
        <v>444</v>
      </c>
      <c r="J16064" t="s">
        <v>535</v>
      </c>
      <c r="K16064" t="s">
        <v>33</v>
      </c>
      <c r="L16064" t="s">
        <v>445</v>
      </c>
      <c r="N16064" t="s">
        <v>29</v>
      </c>
    </row>
    <row r="16065" spans="1:14">
      <c r="A16065" s="4" t="str">
        <f t="shared" si="1215"/>
        <v>EXP00420</v>
      </c>
      <c r="B16065" s="3" t="s">
        <v>66</v>
      </c>
      <c r="C16065" s="4" t="str">
        <f t="shared" si="1214"/>
        <v>TCGA-CESC</v>
      </c>
      <c r="D16065" s="1" t="s">
        <v>493</v>
      </c>
      <c r="E16065" t="s">
        <v>544</v>
      </c>
      <c r="F16065" s="1">
        <v>2</v>
      </c>
      <c r="G16065" s="1" t="s">
        <v>28</v>
      </c>
      <c r="H16065" s="4" t="str">
        <f>HYPERLINK("https://portal.gdc.cancer.gov/cases/1c48393e-7de9-42f6-a6f0-2cbfb8359316","TCGA-C5-A7CK-01A")</f>
        <v>TCGA-C5-A7CK-01A</v>
      </c>
      <c r="I16065" t="s">
        <v>444</v>
      </c>
      <c r="J16065" t="s">
        <v>535</v>
      </c>
      <c r="K16065" t="s">
        <v>33</v>
      </c>
      <c r="L16065" t="s">
        <v>445</v>
      </c>
      <c r="N16065" t="s">
        <v>29</v>
      </c>
    </row>
    <row r="16066" spans="1:14">
      <c r="A16066" s="4" t="str">
        <f t="shared" si="1215"/>
        <v>EXP00420</v>
      </c>
      <c r="B16066" s="3" t="s">
        <v>66</v>
      </c>
      <c r="C16066" s="4" t="str">
        <f t="shared" si="1214"/>
        <v>TCGA-CESC</v>
      </c>
      <c r="D16066" s="1" t="s">
        <v>493</v>
      </c>
      <c r="E16066" t="s">
        <v>544</v>
      </c>
      <c r="F16066" s="1">
        <v>2</v>
      </c>
      <c r="G16066" s="1" t="s">
        <v>28</v>
      </c>
      <c r="H16066" s="4" t="str">
        <f>HYPERLINK("https://portal.gdc.cancer.gov/cases/bae2af5e-484a-44f7-ad6b-66137cdae300","TCGA-C5-A7CL-01A")</f>
        <v>TCGA-C5-A7CL-01A</v>
      </c>
      <c r="I16066" t="s">
        <v>444</v>
      </c>
      <c r="J16066" t="s">
        <v>535</v>
      </c>
      <c r="K16066" t="s">
        <v>33</v>
      </c>
      <c r="L16066" t="s">
        <v>445</v>
      </c>
      <c r="N16066" t="s">
        <v>29</v>
      </c>
    </row>
    <row r="16067" spans="1:14">
      <c r="A16067" s="4" t="str">
        <f t="shared" si="1215"/>
        <v>EXP00420</v>
      </c>
      <c r="B16067" s="3" t="s">
        <v>66</v>
      </c>
      <c r="C16067" s="4" t="str">
        <f t="shared" si="1214"/>
        <v>TCGA-CESC</v>
      </c>
      <c r="D16067" s="1" t="s">
        <v>493</v>
      </c>
      <c r="E16067" t="s">
        <v>544</v>
      </c>
      <c r="F16067" s="1">
        <v>2</v>
      </c>
      <c r="G16067" s="1" t="s">
        <v>28</v>
      </c>
      <c r="H16067" s="4" t="str">
        <f>HYPERLINK("https://portal.gdc.cancer.gov/cases/d223ff09-b80b-4368-9d80-a59dfbe4d820","TCGA-C5-A7CM-01A")</f>
        <v>TCGA-C5-A7CM-01A</v>
      </c>
      <c r="I16067" t="s">
        <v>444</v>
      </c>
      <c r="J16067" t="s">
        <v>535</v>
      </c>
      <c r="K16067" t="s">
        <v>33</v>
      </c>
      <c r="L16067" t="s">
        <v>445</v>
      </c>
      <c r="N16067" t="s">
        <v>29</v>
      </c>
    </row>
    <row r="16068" spans="1:14">
      <c r="A16068" s="4" t="str">
        <f t="shared" si="1215"/>
        <v>EXP00420</v>
      </c>
      <c r="B16068" s="3" t="s">
        <v>66</v>
      </c>
      <c r="C16068" s="4" t="str">
        <f t="shared" si="1214"/>
        <v>TCGA-CESC</v>
      </c>
      <c r="D16068" s="1" t="s">
        <v>493</v>
      </c>
      <c r="E16068" t="s">
        <v>544</v>
      </c>
      <c r="F16068" s="1">
        <v>2</v>
      </c>
      <c r="G16068" s="1" t="s">
        <v>28</v>
      </c>
      <c r="H16068" s="4" t="str">
        <f>HYPERLINK("https://portal.gdc.cancer.gov/cases/ff3808e4-eece-4046-819b-fe1019317f8e","TCGA-C5-A7CO-01A")</f>
        <v>TCGA-C5-A7CO-01A</v>
      </c>
      <c r="I16068" t="s">
        <v>444</v>
      </c>
      <c r="J16068" t="s">
        <v>535</v>
      </c>
      <c r="K16068" t="s">
        <v>33</v>
      </c>
      <c r="L16068" t="s">
        <v>445</v>
      </c>
      <c r="N16068" t="s">
        <v>29</v>
      </c>
    </row>
    <row r="16069" spans="1:14">
      <c r="A16069" s="4" t="str">
        <f t="shared" si="1215"/>
        <v>EXP00420</v>
      </c>
      <c r="B16069" s="3" t="s">
        <v>66</v>
      </c>
      <c r="C16069" s="4" t="str">
        <f t="shared" ref="C16069:C16132" si="1216">HYPERLINK("https://portal.gdc.cancer.gov/projects/TCGA-CESC","TCGA-CESC")</f>
        <v>TCGA-CESC</v>
      </c>
      <c r="D16069" s="1" t="s">
        <v>493</v>
      </c>
      <c r="E16069" t="s">
        <v>544</v>
      </c>
      <c r="F16069" s="1">
        <v>2</v>
      </c>
      <c r="G16069" s="1" t="s">
        <v>28</v>
      </c>
      <c r="H16069" s="4" t="str">
        <f>HYPERLINK("https://portal.gdc.cancer.gov/cases/5c326e9b-85e2-4673-9033-c11827467e1a","TCGA-C5-A7UC-01A")</f>
        <v>TCGA-C5-A7UC-01A</v>
      </c>
      <c r="I16069" t="s">
        <v>444</v>
      </c>
      <c r="J16069" t="s">
        <v>535</v>
      </c>
      <c r="K16069" t="s">
        <v>33</v>
      </c>
      <c r="L16069" t="s">
        <v>445</v>
      </c>
      <c r="N16069" t="s">
        <v>29</v>
      </c>
    </row>
    <row r="16070" spans="1:14">
      <c r="A16070" s="4" t="str">
        <f t="shared" si="1215"/>
        <v>EXP00420</v>
      </c>
      <c r="B16070" s="3" t="s">
        <v>66</v>
      </c>
      <c r="C16070" s="4" t="str">
        <f t="shared" si="1216"/>
        <v>TCGA-CESC</v>
      </c>
      <c r="D16070" s="1" t="s">
        <v>493</v>
      </c>
      <c r="E16070" t="s">
        <v>544</v>
      </c>
      <c r="F16070" s="1">
        <v>2</v>
      </c>
      <c r="G16070" s="1" t="s">
        <v>28</v>
      </c>
      <c r="H16070" s="4" t="str">
        <f>HYPERLINK("https://portal.gdc.cancer.gov/cases/da30a845-c4d3-4c78-b8b0-210239224f8f","TCGA-C5-A7UE-01A")</f>
        <v>TCGA-C5-A7UE-01A</v>
      </c>
      <c r="I16070" t="s">
        <v>444</v>
      </c>
      <c r="J16070" t="s">
        <v>535</v>
      </c>
      <c r="K16070" t="s">
        <v>33</v>
      </c>
      <c r="L16070" t="s">
        <v>445</v>
      </c>
      <c r="N16070" t="s">
        <v>29</v>
      </c>
    </row>
    <row r="16071" spans="1:14">
      <c r="A16071" s="4" t="str">
        <f t="shared" si="1215"/>
        <v>EXP00420</v>
      </c>
      <c r="B16071" s="3" t="s">
        <v>66</v>
      </c>
      <c r="C16071" s="4" t="str">
        <f t="shared" si="1216"/>
        <v>TCGA-CESC</v>
      </c>
      <c r="D16071" s="1" t="s">
        <v>493</v>
      </c>
      <c r="E16071" t="s">
        <v>544</v>
      </c>
      <c r="F16071" s="1">
        <v>2</v>
      </c>
      <c r="G16071" s="1" t="s">
        <v>28</v>
      </c>
      <c r="H16071" s="4" t="str">
        <f>HYPERLINK("https://portal.gdc.cancer.gov/cases/8328925e-3324-4188-85f1-6ffbf819d9e7","TCGA-C5-A7UH-01A")</f>
        <v>TCGA-C5-A7UH-01A</v>
      </c>
      <c r="I16071" t="s">
        <v>444</v>
      </c>
      <c r="J16071" t="s">
        <v>535</v>
      </c>
      <c r="K16071" t="s">
        <v>33</v>
      </c>
      <c r="L16071" t="s">
        <v>445</v>
      </c>
      <c r="N16071" t="s">
        <v>29</v>
      </c>
    </row>
    <row r="16072" spans="1:14">
      <c r="A16072" s="4" t="str">
        <f t="shared" si="1215"/>
        <v>EXP00420</v>
      </c>
      <c r="B16072" s="3" t="s">
        <v>66</v>
      </c>
      <c r="C16072" s="4" t="str">
        <f t="shared" si="1216"/>
        <v>TCGA-CESC</v>
      </c>
      <c r="D16072" s="1" t="s">
        <v>493</v>
      </c>
      <c r="E16072" t="s">
        <v>544</v>
      </c>
      <c r="F16072" s="1">
        <v>2</v>
      </c>
      <c r="G16072" s="1" t="s">
        <v>28</v>
      </c>
      <c r="H16072" s="4" t="str">
        <f>HYPERLINK("https://portal.gdc.cancer.gov/cases/ce5765fb-5221-4cbf-aa76-bb863803df57","TCGA-C5-A7UI-01A")</f>
        <v>TCGA-C5-A7UI-01A</v>
      </c>
      <c r="I16072" t="s">
        <v>444</v>
      </c>
      <c r="J16072" t="s">
        <v>535</v>
      </c>
      <c r="K16072" t="s">
        <v>33</v>
      </c>
      <c r="L16072" t="s">
        <v>445</v>
      </c>
      <c r="N16072" t="s">
        <v>29</v>
      </c>
    </row>
    <row r="16073" spans="1:14">
      <c r="A16073" s="4" t="str">
        <f t="shared" si="1215"/>
        <v>EXP00420</v>
      </c>
      <c r="B16073" s="3" t="s">
        <v>66</v>
      </c>
      <c r="C16073" s="4" t="str">
        <f t="shared" si="1216"/>
        <v>TCGA-CESC</v>
      </c>
      <c r="D16073" s="1" t="s">
        <v>493</v>
      </c>
      <c r="E16073" t="s">
        <v>544</v>
      </c>
      <c r="F16073" s="1">
        <v>2</v>
      </c>
      <c r="G16073" s="1" t="s">
        <v>28</v>
      </c>
      <c r="H16073" s="4" t="str">
        <f>HYPERLINK("https://portal.gdc.cancer.gov/cases/4ed1616e-8c62-4104-bcbe-26d7059f04d0","TCGA-C5-A7X3-01A")</f>
        <v>TCGA-C5-A7X3-01A</v>
      </c>
      <c r="I16073" t="s">
        <v>444</v>
      </c>
      <c r="J16073" t="s">
        <v>535</v>
      </c>
      <c r="K16073" t="s">
        <v>33</v>
      </c>
      <c r="L16073" t="s">
        <v>445</v>
      </c>
      <c r="N16073" t="s">
        <v>29</v>
      </c>
    </row>
    <row r="16074" spans="1:14">
      <c r="A16074" s="4" t="str">
        <f t="shared" si="1215"/>
        <v>EXP00420</v>
      </c>
      <c r="B16074" s="3" t="s">
        <v>66</v>
      </c>
      <c r="C16074" s="4" t="str">
        <f t="shared" si="1216"/>
        <v>TCGA-CESC</v>
      </c>
      <c r="D16074" s="1" t="s">
        <v>493</v>
      </c>
      <c r="E16074" t="s">
        <v>544</v>
      </c>
      <c r="F16074" s="1">
        <v>2</v>
      </c>
      <c r="G16074" s="1" t="s">
        <v>28</v>
      </c>
      <c r="H16074" s="4" t="str">
        <f>HYPERLINK("https://portal.gdc.cancer.gov/cases/aed93a3a-7dcb-4ba9-84c0-bc735cbd545f","TCGA-C5-A7X5-01A")</f>
        <v>TCGA-C5-A7X5-01A</v>
      </c>
      <c r="I16074" t="s">
        <v>444</v>
      </c>
      <c r="J16074" t="s">
        <v>535</v>
      </c>
      <c r="K16074" t="s">
        <v>33</v>
      </c>
      <c r="L16074" t="s">
        <v>445</v>
      </c>
      <c r="N16074" t="s">
        <v>29</v>
      </c>
    </row>
    <row r="16075" spans="1:14">
      <c r="A16075" s="4" t="str">
        <f t="shared" si="1215"/>
        <v>EXP00420</v>
      </c>
      <c r="B16075" s="3" t="s">
        <v>66</v>
      </c>
      <c r="C16075" s="4" t="str">
        <f t="shared" si="1216"/>
        <v>TCGA-CESC</v>
      </c>
      <c r="D16075" s="1" t="s">
        <v>493</v>
      </c>
      <c r="E16075" t="s">
        <v>544</v>
      </c>
      <c r="F16075" s="1">
        <v>2</v>
      </c>
      <c r="G16075" s="1" t="s">
        <v>28</v>
      </c>
      <c r="H16075" s="4" t="str">
        <f>HYPERLINK("https://portal.gdc.cancer.gov/cases/57902b91-be42-441d-8807-a5ea9c21b214","TCGA-C5-A7X8-01A")</f>
        <v>TCGA-C5-A7X8-01A</v>
      </c>
      <c r="I16075" t="s">
        <v>444</v>
      </c>
      <c r="J16075" t="s">
        <v>535</v>
      </c>
      <c r="K16075" t="s">
        <v>33</v>
      </c>
      <c r="L16075" t="s">
        <v>445</v>
      </c>
      <c r="N16075" t="s">
        <v>29</v>
      </c>
    </row>
    <row r="16076" spans="1:14">
      <c r="A16076" s="4" t="str">
        <f t="shared" si="1215"/>
        <v>EXP00420</v>
      </c>
      <c r="B16076" s="3" t="s">
        <v>66</v>
      </c>
      <c r="C16076" s="4" t="str">
        <f t="shared" si="1216"/>
        <v>TCGA-CESC</v>
      </c>
      <c r="D16076" s="1" t="s">
        <v>493</v>
      </c>
      <c r="E16076" t="s">
        <v>544</v>
      </c>
      <c r="F16076" s="1">
        <v>2</v>
      </c>
      <c r="G16076" s="1" t="s">
        <v>28</v>
      </c>
      <c r="H16076" s="4" t="str">
        <f>HYPERLINK("https://portal.gdc.cancer.gov/cases/dedfd5fb-3c72-40f9-a7ef-52c2176bf662","TCGA-C5-A7XC-01A")</f>
        <v>TCGA-C5-A7XC-01A</v>
      </c>
      <c r="I16076" t="s">
        <v>444</v>
      </c>
      <c r="J16076" t="s">
        <v>535</v>
      </c>
      <c r="K16076" t="s">
        <v>33</v>
      </c>
      <c r="L16076" t="s">
        <v>445</v>
      </c>
      <c r="N16076" t="s">
        <v>29</v>
      </c>
    </row>
    <row r="16077" spans="1:14">
      <c r="A16077" s="4" t="str">
        <f t="shared" si="1215"/>
        <v>EXP00420</v>
      </c>
      <c r="B16077" s="3" t="s">
        <v>66</v>
      </c>
      <c r="C16077" s="4" t="str">
        <f t="shared" si="1216"/>
        <v>TCGA-CESC</v>
      </c>
      <c r="D16077" s="1" t="s">
        <v>493</v>
      </c>
      <c r="E16077" t="s">
        <v>544</v>
      </c>
      <c r="F16077" s="1">
        <v>2</v>
      </c>
      <c r="G16077" s="1" t="s">
        <v>28</v>
      </c>
      <c r="H16077" s="4" t="str">
        <f>HYPERLINK("https://portal.gdc.cancer.gov/cases/183e8d87-3476-46bc-a989-ed4b09809227","TCGA-C5-A8XH-01A")</f>
        <v>TCGA-C5-A8XH-01A</v>
      </c>
      <c r="I16077" t="s">
        <v>444</v>
      </c>
      <c r="J16077" t="s">
        <v>535</v>
      </c>
      <c r="K16077" t="s">
        <v>33</v>
      </c>
      <c r="L16077" t="s">
        <v>445</v>
      </c>
      <c r="N16077" t="s">
        <v>29</v>
      </c>
    </row>
    <row r="16078" spans="1:14">
      <c r="A16078" s="4" t="str">
        <f t="shared" si="1215"/>
        <v>EXP00420</v>
      </c>
      <c r="B16078" s="3" t="s">
        <v>66</v>
      </c>
      <c r="C16078" s="4" t="str">
        <f t="shared" si="1216"/>
        <v>TCGA-CESC</v>
      </c>
      <c r="D16078" s="1" t="s">
        <v>493</v>
      </c>
      <c r="E16078" t="s">
        <v>544</v>
      </c>
      <c r="F16078" s="1">
        <v>2</v>
      </c>
      <c r="G16078" s="1" t="s">
        <v>28</v>
      </c>
      <c r="H16078" s="4" t="str">
        <f>HYPERLINK("https://portal.gdc.cancer.gov/cases/959fe574-054a-4fef-9cbe-a801a9a355de","TCGA-C5-A8XI-01A")</f>
        <v>TCGA-C5-A8XI-01A</v>
      </c>
      <c r="I16078" t="s">
        <v>444</v>
      </c>
      <c r="J16078" t="s">
        <v>535</v>
      </c>
      <c r="K16078" t="s">
        <v>33</v>
      </c>
      <c r="L16078" t="s">
        <v>445</v>
      </c>
      <c r="N16078" t="s">
        <v>29</v>
      </c>
    </row>
    <row r="16079" spans="1:14">
      <c r="A16079" s="4" t="str">
        <f t="shared" si="1215"/>
        <v>EXP00420</v>
      </c>
      <c r="B16079" s="3" t="s">
        <v>66</v>
      </c>
      <c r="C16079" s="4" t="str">
        <f t="shared" si="1216"/>
        <v>TCGA-CESC</v>
      </c>
      <c r="D16079" s="1" t="s">
        <v>493</v>
      </c>
      <c r="E16079" t="s">
        <v>544</v>
      </c>
      <c r="F16079" s="1">
        <v>2</v>
      </c>
      <c r="G16079" s="1" t="s">
        <v>28</v>
      </c>
      <c r="H16079" s="4" t="str">
        <f>HYPERLINK("https://portal.gdc.cancer.gov/cases/e89d0cb1-6ec2-43ee-a6d9-b922b680af34","TCGA-C5-A8XJ-01A")</f>
        <v>TCGA-C5-A8XJ-01A</v>
      </c>
      <c r="I16079" t="s">
        <v>444</v>
      </c>
      <c r="J16079" t="s">
        <v>535</v>
      </c>
      <c r="K16079" t="s">
        <v>33</v>
      </c>
      <c r="L16079" t="s">
        <v>445</v>
      </c>
      <c r="N16079" t="s">
        <v>29</v>
      </c>
    </row>
    <row r="16080" spans="1:14">
      <c r="A16080" s="4" t="str">
        <f t="shared" si="1215"/>
        <v>EXP00420</v>
      </c>
      <c r="B16080" s="3" t="s">
        <v>66</v>
      </c>
      <c r="C16080" s="4" t="str">
        <f t="shared" si="1216"/>
        <v>TCGA-CESC</v>
      </c>
      <c r="D16080" s="1" t="s">
        <v>493</v>
      </c>
      <c r="E16080" t="s">
        <v>544</v>
      </c>
      <c r="F16080" s="1">
        <v>2</v>
      </c>
      <c r="G16080" s="1" t="s">
        <v>28</v>
      </c>
      <c r="H16080" s="4" t="str">
        <f>HYPERLINK("https://portal.gdc.cancer.gov/cases/8ac819b3-4227-4eae-be03-8760b197df9a","TCGA-C5-A8XK-01A")</f>
        <v>TCGA-C5-A8XK-01A</v>
      </c>
      <c r="I16080" t="s">
        <v>444</v>
      </c>
      <c r="J16080" t="s">
        <v>535</v>
      </c>
      <c r="K16080" t="s">
        <v>33</v>
      </c>
      <c r="L16080" t="s">
        <v>445</v>
      </c>
      <c r="N16080" t="s">
        <v>29</v>
      </c>
    </row>
    <row r="16081" spans="1:14">
      <c r="A16081" s="4" t="str">
        <f t="shared" ref="A16081:A16144" si="1217">HYPERLINK("http://hcmdb.i-sanger.com/experiment/details/experiment_id/EXP00420","EXP00420")</f>
        <v>EXP00420</v>
      </c>
      <c r="B16081" s="3" t="s">
        <v>66</v>
      </c>
      <c r="C16081" s="4" t="str">
        <f t="shared" si="1216"/>
        <v>TCGA-CESC</v>
      </c>
      <c r="D16081" s="1" t="s">
        <v>493</v>
      </c>
      <c r="E16081" t="s">
        <v>544</v>
      </c>
      <c r="F16081" s="1">
        <v>2</v>
      </c>
      <c r="G16081" s="1" t="s">
        <v>28</v>
      </c>
      <c r="H16081" s="4" t="str">
        <f>HYPERLINK("https://portal.gdc.cancer.gov/cases/de3cfb81-25c3-4137-8f24-ad8aa607c158","TCGA-C5-A8YQ-01A")</f>
        <v>TCGA-C5-A8YQ-01A</v>
      </c>
      <c r="I16081" t="s">
        <v>444</v>
      </c>
      <c r="J16081" t="s">
        <v>535</v>
      </c>
      <c r="K16081" t="s">
        <v>33</v>
      </c>
      <c r="L16081" t="s">
        <v>445</v>
      </c>
      <c r="N16081" t="s">
        <v>29</v>
      </c>
    </row>
    <row r="16082" spans="1:14">
      <c r="A16082" s="4" t="str">
        <f t="shared" si="1217"/>
        <v>EXP00420</v>
      </c>
      <c r="B16082" s="3" t="s">
        <v>66</v>
      </c>
      <c r="C16082" s="4" t="str">
        <f t="shared" si="1216"/>
        <v>TCGA-CESC</v>
      </c>
      <c r="D16082" s="1" t="s">
        <v>493</v>
      </c>
      <c r="E16082" t="s">
        <v>544</v>
      </c>
      <c r="F16082" s="1">
        <v>2</v>
      </c>
      <c r="G16082" s="1" t="s">
        <v>28</v>
      </c>
      <c r="H16082" s="4" t="str">
        <f>HYPERLINK("https://portal.gdc.cancer.gov/cases/be8b1c78-8cb1-4bff-b1fe-71ecdc454c94","TCGA-C5-A8YR-01A")</f>
        <v>TCGA-C5-A8YR-01A</v>
      </c>
      <c r="I16082" t="s">
        <v>444</v>
      </c>
      <c r="J16082" t="s">
        <v>535</v>
      </c>
      <c r="K16082" t="s">
        <v>33</v>
      </c>
      <c r="L16082" t="s">
        <v>445</v>
      </c>
      <c r="N16082" t="s">
        <v>29</v>
      </c>
    </row>
    <row r="16083" spans="1:14">
      <c r="A16083" s="4" t="str">
        <f t="shared" si="1217"/>
        <v>EXP00420</v>
      </c>
      <c r="B16083" s="3" t="s">
        <v>66</v>
      </c>
      <c r="C16083" s="4" t="str">
        <f t="shared" si="1216"/>
        <v>TCGA-CESC</v>
      </c>
      <c r="D16083" s="1" t="s">
        <v>493</v>
      </c>
      <c r="E16083" t="s">
        <v>544</v>
      </c>
      <c r="F16083" s="1">
        <v>2</v>
      </c>
      <c r="G16083" s="1" t="s">
        <v>28</v>
      </c>
      <c r="H16083" s="4" t="str">
        <f>HYPERLINK("https://portal.gdc.cancer.gov/cases/cecaecb4-51ef-407d-a882-0e4b444b0a77","TCGA-C5-A8YT-01A")</f>
        <v>TCGA-C5-A8YT-01A</v>
      </c>
      <c r="I16083" t="s">
        <v>444</v>
      </c>
      <c r="J16083" t="s">
        <v>535</v>
      </c>
      <c r="K16083" t="s">
        <v>33</v>
      </c>
      <c r="L16083" t="s">
        <v>445</v>
      </c>
      <c r="N16083" t="s">
        <v>29</v>
      </c>
    </row>
    <row r="16084" spans="1:14">
      <c r="A16084" s="4" t="str">
        <f t="shared" si="1217"/>
        <v>EXP00420</v>
      </c>
      <c r="B16084" s="3" t="s">
        <v>66</v>
      </c>
      <c r="C16084" s="4" t="str">
        <f t="shared" si="1216"/>
        <v>TCGA-CESC</v>
      </c>
      <c r="D16084" s="1" t="s">
        <v>493</v>
      </c>
      <c r="E16084" t="s">
        <v>544</v>
      </c>
      <c r="F16084" s="1">
        <v>2</v>
      </c>
      <c r="G16084" s="1" t="s">
        <v>28</v>
      </c>
      <c r="H16084" s="4" t="str">
        <f>HYPERLINK("https://portal.gdc.cancer.gov/cases/33bc6504-d9ab-4b64-a87c-012915f36644","TCGA-C5-A8ZZ-01A")</f>
        <v>TCGA-C5-A8ZZ-01A</v>
      </c>
      <c r="I16084" t="s">
        <v>444</v>
      </c>
      <c r="J16084" t="s">
        <v>535</v>
      </c>
      <c r="K16084" t="s">
        <v>33</v>
      </c>
      <c r="L16084" t="s">
        <v>445</v>
      </c>
      <c r="N16084" t="s">
        <v>29</v>
      </c>
    </row>
    <row r="16085" spans="1:14">
      <c r="A16085" s="4" t="str">
        <f t="shared" si="1217"/>
        <v>EXP00420</v>
      </c>
      <c r="B16085" s="3" t="s">
        <v>66</v>
      </c>
      <c r="C16085" s="4" t="str">
        <f t="shared" si="1216"/>
        <v>TCGA-CESC</v>
      </c>
      <c r="D16085" s="1" t="s">
        <v>493</v>
      </c>
      <c r="E16085" t="s">
        <v>544</v>
      </c>
      <c r="F16085" s="1">
        <v>2</v>
      </c>
      <c r="G16085" s="1" t="s">
        <v>28</v>
      </c>
      <c r="H16085" s="4" t="str">
        <f>HYPERLINK("https://portal.gdc.cancer.gov/cases/e8f07d20-d043-4c69-8898-87d0f0fc5a9a","TCGA-C5-A901-01A")</f>
        <v>TCGA-C5-A901-01A</v>
      </c>
      <c r="I16085" t="s">
        <v>444</v>
      </c>
      <c r="J16085" t="s">
        <v>535</v>
      </c>
      <c r="K16085" t="s">
        <v>33</v>
      </c>
      <c r="L16085" t="s">
        <v>445</v>
      </c>
      <c r="N16085" t="s">
        <v>29</v>
      </c>
    </row>
    <row r="16086" spans="1:14">
      <c r="A16086" s="4" t="str">
        <f t="shared" si="1217"/>
        <v>EXP00420</v>
      </c>
      <c r="B16086" s="3" t="s">
        <v>66</v>
      </c>
      <c r="C16086" s="4" t="str">
        <f t="shared" si="1216"/>
        <v>TCGA-CESC</v>
      </c>
      <c r="D16086" s="1" t="s">
        <v>493</v>
      </c>
      <c r="E16086" t="s">
        <v>544</v>
      </c>
      <c r="F16086" s="1">
        <v>2</v>
      </c>
      <c r="G16086" s="1" t="s">
        <v>28</v>
      </c>
      <c r="H16086" s="4" t="str">
        <f>HYPERLINK("https://portal.gdc.cancer.gov/cases/010a807f-9dc0-4e14-9533-dcf478f3d947","TCGA-C5-A902-01A")</f>
        <v>TCGA-C5-A902-01A</v>
      </c>
      <c r="I16086" t="s">
        <v>444</v>
      </c>
      <c r="J16086" t="s">
        <v>535</v>
      </c>
      <c r="K16086" t="s">
        <v>33</v>
      </c>
      <c r="L16086" t="s">
        <v>445</v>
      </c>
      <c r="N16086" t="s">
        <v>29</v>
      </c>
    </row>
    <row r="16087" spans="1:14">
      <c r="A16087" s="4" t="str">
        <f t="shared" si="1217"/>
        <v>EXP00420</v>
      </c>
      <c r="B16087" s="3" t="s">
        <v>66</v>
      </c>
      <c r="C16087" s="4" t="str">
        <f t="shared" si="1216"/>
        <v>TCGA-CESC</v>
      </c>
      <c r="D16087" s="1" t="s">
        <v>493</v>
      </c>
      <c r="E16087" t="s">
        <v>544</v>
      </c>
      <c r="F16087" s="1">
        <v>2</v>
      </c>
      <c r="G16087" s="1" t="s">
        <v>28</v>
      </c>
      <c r="H16087" s="4" t="str">
        <f>HYPERLINK("https://portal.gdc.cancer.gov/cases/c99f476b-e8b1-4cdd-9164-0da450064886","TCGA-C5-A905-01A")</f>
        <v>TCGA-C5-A905-01A</v>
      </c>
      <c r="I16087" t="s">
        <v>444</v>
      </c>
      <c r="J16087" t="s">
        <v>535</v>
      </c>
      <c r="K16087" t="s">
        <v>33</v>
      </c>
      <c r="L16087" t="s">
        <v>445</v>
      </c>
      <c r="N16087" t="s">
        <v>29</v>
      </c>
    </row>
    <row r="16088" spans="1:14">
      <c r="A16088" s="4" t="str">
        <f t="shared" si="1217"/>
        <v>EXP00420</v>
      </c>
      <c r="B16088" s="3" t="s">
        <v>66</v>
      </c>
      <c r="C16088" s="4" t="str">
        <f t="shared" si="1216"/>
        <v>TCGA-CESC</v>
      </c>
      <c r="D16088" s="1" t="s">
        <v>493</v>
      </c>
      <c r="E16088" t="s">
        <v>544</v>
      </c>
      <c r="F16088" s="1">
        <v>2</v>
      </c>
      <c r="G16088" s="1" t="s">
        <v>28</v>
      </c>
      <c r="H16088" s="4" t="str">
        <f>HYPERLINK("https://portal.gdc.cancer.gov/cases/c92696ba-f549-480d-8d4a-5f23b27aa336","TCGA-C5-A907-01A")</f>
        <v>TCGA-C5-A907-01A</v>
      </c>
      <c r="I16088" t="s">
        <v>444</v>
      </c>
      <c r="J16088" t="s">
        <v>535</v>
      </c>
      <c r="K16088" t="s">
        <v>33</v>
      </c>
      <c r="L16088" t="s">
        <v>445</v>
      </c>
      <c r="N16088" t="s">
        <v>29</v>
      </c>
    </row>
    <row r="16089" spans="1:14">
      <c r="A16089" s="4" t="str">
        <f t="shared" si="1217"/>
        <v>EXP00420</v>
      </c>
      <c r="B16089" s="3" t="s">
        <v>66</v>
      </c>
      <c r="C16089" s="4" t="str">
        <f t="shared" si="1216"/>
        <v>TCGA-CESC</v>
      </c>
      <c r="D16089" s="1" t="s">
        <v>493</v>
      </c>
      <c r="E16089" t="s">
        <v>544</v>
      </c>
      <c r="F16089" s="1">
        <v>2</v>
      </c>
      <c r="G16089" s="1" t="s">
        <v>28</v>
      </c>
      <c r="H16089" s="4" t="str">
        <f>HYPERLINK("https://portal.gdc.cancer.gov/cases/6248f2a3-0da9-419f-ab77-c3f6f4353eb5","TCGA-DG-A2KH-01A")</f>
        <v>TCGA-DG-A2KH-01A</v>
      </c>
      <c r="I16089" t="s">
        <v>444</v>
      </c>
      <c r="J16089" t="s">
        <v>535</v>
      </c>
      <c r="K16089" t="s">
        <v>33</v>
      </c>
      <c r="L16089" t="s">
        <v>445</v>
      </c>
      <c r="N16089" t="s">
        <v>29</v>
      </c>
    </row>
    <row r="16090" spans="1:14">
      <c r="A16090" s="4" t="str">
        <f t="shared" si="1217"/>
        <v>EXP00420</v>
      </c>
      <c r="B16090" s="3" t="s">
        <v>66</v>
      </c>
      <c r="C16090" s="4" t="str">
        <f t="shared" si="1216"/>
        <v>TCGA-CESC</v>
      </c>
      <c r="D16090" s="1" t="s">
        <v>493</v>
      </c>
      <c r="E16090" t="s">
        <v>544</v>
      </c>
      <c r="F16090" s="1">
        <v>2</v>
      </c>
      <c r="G16090" s="1" t="s">
        <v>28</v>
      </c>
      <c r="H16090" s="4" t="str">
        <f>HYPERLINK("https://portal.gdc.cancer.gov/cases/7c93642d-7e05-40f8-b1ef-a014edcfba42","TCGA-DG-A2KJ-01A")</f>
        <v>TCGA-DG-A2KJ-01A</v>
      </c>
      <c r="I16090" t="s">
        <v>444</v>
      </c>
      <c r="J16090" t="s">
        <v>535</v>
      </c>
      <c r="K16090" t="s">
        <v>33</v>
      </c>
      <c r="L16090" t="s">
        <v>445</v>
      </c>
      <c r="N16090" t="s">
        <v>29</v>
      </c>
    </row>
    <row r="16091" spans="1:14">
      <c r="A16091" s="4" t="str">
        <f t="shared" si="1217"/>
        <v>EXP00420</v>
      </c>
      <c r="B16091" s="3" t="s">
        <v>66</v>
      </c>
      <c r="C16091" s="4" t="str">
        <f t="shared" si="1216"/>
        <v>TCGA-CESC</v>
      </c>
      <c r="D16091" s="1" t="s">
        <v>493</v>
      </c>
      <c r="E16091" t="s">
        <v>544</v>
      </c>
      <c r="F16091" s="1">
        <v>2</v>
      </c>
      <c r="G16091" s="1" t="s">
        <v>28</v>
      </c>
      <c r="H16091" s="4" t="str">
        <f>HYPERLINK("https://portal.gdc.cancer.gov/cases/8dbcb17d-0396-4faa-9b32-8e2566424bff","TCGA-DG-A2KK-01A")</f>
        <v>TCGA-DG-A2KK-01A</v>
      </c>
      <c r="I16091" t="s">
        <v>444</v>
      </c>
      <c r="J16091" t="s">
        <v>535</v>
      </c>
      <c r="K16091" t="s">
        <v>33</v>
      </c>
      <c r="L16091" t="s">
        <v>445</v>
      </c>
      <c r="N16091" t="s">
        <v>29</v>
      </c>
    </row>
    <row r="16092" spans="1:14">
      <c r="A16092" s="4" t="str">
        <f t="shared" si="1217"/>
        <v>EXP00420</v>
      </c>
      <c r="B16092" s="3" t="s">
        <v>66</v>
      </c>
      <c r="C16092" s="4" t="str">
        <f t="shared" si="1216"/>
        <v>TCGA-CESC</v>
      </c>
      <c r="D16092" s="1" t="s">
        <v>493</v>
      </c>
      <c r="E16092" t="s">
        <v>544</v>
      </c>
      <c r="F16092" s="1">
        <v>2</v>
      </c>
      <c r="G16092" s="1" t="s">
        <v>28</v>
      </c>
      <c r="H16092" s="4" t="str">
        <f>HYPERLINK("https://portal.gdc.cancer.gov/cases/2da977fc-8b46-4c40-9636-b12fd36a98e4","TCGA-DG-A2KL-01A")</f>
        <v>TCGA-DG-A2KL-01A</v>
      </c>
      <c r="I16092" t="s">
        <v>444</v>
      </c>
      <c r="J16092" t="s">
        <v>535</v>
      </c>
      <c r="K16092" t="s">
        <v>33</v>
      </c>
      <c r="L16092" t="s">
        <v>445</v>
      </c>
      <c r="N16092" t="s">
        <v>29</v>
      </c>
    </row>
    <row r="16093" spans="1:14">
      <c r="A16093" s="4" t="str">
        <f t="shared" si="1217"/>
        <v>EXP00420</v>
      </c>
      <c r="B16093" s="3" t="s">
        <v>66</v>
      </c>
      <c r="C16093" s="4" t="str">
        <f t="shared" si="1216"/>
        <v>TCGA-CESC</v>
      </c>
      <c r="D16093" s="1" t="s">
        <v>493</v>
      </c>
      <c r="E16093" t="s">
        <v>544</v>
      </c>
      <c r="F16093" s="1">
        <v>2</v>
      </c>
      <c r="G16093" s="1" t="s">
        <v>28</v>
      </c>
      <c r="H16093" s="4" t="str">
        <f>HYPERLINK("https://portal.gdc.cancer.gov/cases/e87fadbe-c58c-41d1-b413-8cf6ce70ce94","TCGA-DG-A2KM-01A")</f>
        <v>TCGA-DG-A2KM-01A</v>
      </c>
      <c r="I16093" t="s">
        <v>444</v>
      </c>
      <c r="J16093" t="s">
        <v>535</v>
      </c>
      <c r="K16093" t="s">
        <v>33</v>
      </c>
      <c r="L16093" t="s">
        <v>445</v>
      </c>
      <c r="N16093" t="s">
        <v>29</v>
      </c>
    </row>
    <row r="16094" spans="1:14">
      <c r="A16094" s="4" t="str">
        <f t="shared" si="1217"/>
        <v>EXP00420</v>
      </c>
      <c r="B16094" s="3" t="s">
        <v>66</v>
      </c>
      <c r="C16094" s="4" t="str">
        <f t="shared" si="1216"/>
        <v>TCGA-CESC</v>
      </c>
      <c r="D16094" s="1" t="s">
        <v>493</v>
      </c>
      <c r="E16094" t="s">
        <v>544</v>
      </c>
      <c r="F16094" s="1">
        <v>2</v>
      </c>
      <c r="G16094" s="1" t="s">
        <v>28</v>
      </c>
      <c r="H16094" s="4" t="str">
        <f>HYPERLINK("https://portal.gdc.cancer.gov/cases/36605f5f-245c-41e5-a9db-705373da7923","TCGA-DR-A0ZL-01A")</f>
        <v>TCGA-DR-A0ZL-01A</v>
      </c>
      <c r="I16094" t="s">
        <v>444</v>
      </c>
      <c r="J16094" t="s">
        <v>535</v>
      </c>
      <c r="K16094" t="s">
        <v>33</v>
      </c>
      <c r="L16094" t="s">
        <v>445</v>
      </c>
      <c r="N16094" t="s">
        <v>29</v>
      </c>
    </row>
    <row r="16095" spans="1:14">
      <c r="A16095" s="4" t="str">
        <f t="shared" si="1217"/>
        <v>EXP00420</v>
      </c>
      <c r="B16095" s="3" t="s">
        <v>66</v>
      </c>
      <c r="C16095" s="4" t="str">
        <f t="shared" si="1216"/>
        <v>TCGA-CESC</v>
      </c>
      <c r="D16095" s="1" t="s">
        <v>493</v>
      </c>
      <c r="E16095" t="s">
        <v>544</v>
      </c>
      <c r="F16095" s="1">
        <v>2</v>
      </c>
      <c r="G16095" s="1" t="s">
        <v>28</v>
      </c>
      <c r="H16095" s="4" t="str">
        <f>HYPERLINK("https://portal.gdc.cancer.gov/cases/748aada0-448f-4523-9893-3d9618fdbe18","TCGA-DR-A0ZM-01A")</f>
        <v>TCGA-DR-A0ZM-01A</v>
      </c>
      <c r="I16095" t="s">
        <v>444</v>
      </c>
      <c r="J16095" t="s">
        <v>535</v>
      </c>
      <c r="K16095" t="s">
        <v>33</v>
      </c>
      <c r="L16095" t="s">
        <v>445</v>
      </c>
      <c r="N16095" t="s">
        <v>29</v>
      </c>
    </row>
    <row r="16096" spans="1:14">
      <c r="A16096" s="4" t="str">
        <f t="shared" si="1217"/>
        <v>EXP00420</v>
      </c>
      <c r="B16096" s="3" t="s">
        <v>66</v>
      </c>
      <c r="C16096" s="4" t="str">
        <f t="shared" si="1216"/>
        <v>TCGA-CESC</v>
      </c>
      <c r="D16096" s="1" t="s">
        <v>493</v>
      </c>
      <c r="E16096" t="s">
        <v>544</v>
      </c>
      <c r="F16096" s="1">
        <v>2</v>
      </c>
      <c r="G16096" s="1" t="s">
        <v>28</v>
      </c>
      <c r="H16096" s="4" t="str">
        <f>HYPERLINK("https://portal.gdc.cancer.gov/cases/5ed3c95a-10d0-4cd5-a54d-523e81587fb1","TCGA-DS-A0VK-01A")</f>
        <v>TCGA-DS-A0VK-01A</v>
      </c>
      <c r="I16096" t="s">
        <v>444</v>
      </c>
      <c r="J16096" t="s">
        <v>535</v>
      </c>
      <c r="K16096" t="s">
        <v>33</v>
      </c>
      <c r="L16096" t="s">
        <v>445</v>
      </c>
      <c r="N16096" t="s">
        <v>29</v>
      </c>
    </row>
    <row r="16097" spans="1:14">
      <c r="A16097" s="4" t="str">
        <f t="shared" si="1217"/>
        <v>EXP00420</v>
      </c>
      <c r="B16097" s="3" t="s">
        <v>66</v>
      </c>
      <c r="C16097" s="4" t="str">
        <f t="shared" si="1216"/>
        <v>TCGA-CESC</v>
      </c>
      <c r="D16097" s="1" t="s">
        <v>493</v>
      </c>
      <c r="E16097" t="s">
        <v>544</v>
      </c>
      <c r="F16097" s="1">
        <v>2</v>
      </c>
      <c r="G16097" s="1" t="s">
        <v>28</v>
      </c>
      <c r="H16097" s="4" t="str">
        <f>HYPERLINK("https://portal.gdc.cancer.gov/cases/dfd30f94-19e3-4838-95df-14a3763419af","TCGA-DS-A0VL-01A")</f>
        <v>TCGA-DS-A0VL-01A</v>
      </c>
      <c r="I16097" t="s">
        <v>444</v>
      </c>
      <c r="J16097" t="s">
        <v>535</v>
      </c>
      <c r="K16097" t="s">
        <v>33</v>
      </c>
      <c r="L16097" t="s">
        <v>445</v>
      </c>
      <c r="N16097" t="s">
        <v>29</v>
      </c>
    </row>
    <row r="16098" spans="1:14">
      <c r="A16098" s="4" t="str">
        <f t="shared" si="1217"/>
        <v>EXP00420</v>
      </c>
      <c r="B16098" s="3" t="s">
        <v>66</v>
      </c>
      <c r="C16098" s="4" t="str">
        <f t="shared" si="1216"/>
        <v>TCGA-CESC</v>
      </c>
      <c r="D16098" s="1" t="s">
        <v>493</v>
      </c>
      <c r="E16098" t="s">
        <v>544</v>
      </c>
      <c r="F16098" s="1">
        <v>2</v>
      </c>
      <c r="G16098" s="1" t="s">
        <v>28</v>
      </c>
      <c r="H16098" s="4" t="str">
        <f>HYPERLINK("https://portal.gdc.cancer.gov/cases/ed6d989d-da09-4818-8fed-f33d88b628af","TCGA-DS-A0VM-01A")</f>
        <v>TCGA-DS-A0VM-01A</v>
      </c>
      <c r="I16098" t="s">
        <v>444</v>
      </c>
      <c r="J16098" t="s">
        <v>535</v>
      </c>
      <c r="K16098" t="s">
        <v>33</v>
      </c>
      <c r="L16098" t="s">
        <v>445</v>
      </c>
      <c r="N16098" t="s">
        <v>29</v>
      </c>
    </row>
    <row r="16099" spans="1:14">
      <c r="A16099" s="4" t="str">
        <f t="shared" si="1217"/>
        <v>EXP00420</v>
      </c>
      <c r="B16099" s="3" t="s">
        <v>66</v>
      </c>
      <c r="C16099" s="4" t="str">
        <f t="shared" si="1216"/>
        <v>TCGA-CESC</v>
      </c>
      <c r="D16099" s="1" t="s">
        <v>493</v>
      </c>
      <c r="E16099" t="s">
        <v>544</v>
      </c>
      <c r="F16099" s="1">
        <v>2</v>
      </c>
      <c r="G16099" s="1" t="s">
        <v>28</v>
      </c>
      <c r="H16099" s="4" t="str">
        <f>HYPERLINK("https://portal.gdc.cancer.gov/cases/f8d342f5-9b92-42e1-8b0d-0876cc26965d","TCGA-DS-A0VN-01A")</f>
        <v>TCGA-DS-A0VN-01A</v>
      </c>
      <c r="I16099" t="s">
        <v>444</v>
      </c>
      <c r="J16099" t="s">
        <v>535</v>
      </c>
      <c r="K16099" t="s">
        <v>33</v>
      </c>
      <c r="L16099" t="s">
        <v>445</v>
      </c>
      <c r="N16099" t="s">
        <v>29</v>
      </c>
    </row>
    <row r="16100" spans="1:14">
      <c r="A16100" s="4" t="str">
        <f t="shared" si="1217"/>
        <v>EXP00420</v>
      </c>
      <c r="B16100" s="3" t="s">
        <v>66</v>
      </c>
      <c r="C16100" s="4" t="str">
        <f t="shared" si="1216"/>
        <v>TCGA-CESC</v>
      </c>
      <c r="D16100" s="1" t="s">
        <v>493</v>
      </c>
      <c r="E16100" t="s">
        <v>544</v>
      </c>
      <c r="F16100" s="1">
        <v>2</v>
      </c>
      <c r="G16100" s="1" t="s">
        <v>28</v>
      </c>
      <c r="H16100" s="4" t="str">
        <f>HYPERLINK("https://portal.gdc.cancer.gov/cases/b8eae533-2ad6-4dcf-98af-0fe7ff23a879","TCGA-DS-A1O9-01A")</f>
        <v>TCGA-DS-A1O9-01A</v>
      </c>
      <c r="I16100" t="s">
        <v>444</v>
      </c>
      <c r="J16100" t="s">
        <v>535</v>
      </c>
      <c r="K16100" t="s">
        <v>33</v>
      </c>
      <c r="L16100" t="s">
        <v>445</v>
      </c>
      <c r="N16100" t="s">
        <v>29</v>
      </c>
    </row>
    <row r="16101" spans="1:14">
      <c r="A16101" s="4" t="str">
        <f t="shared" si="1217"/>
        <v>EXP00420</v>
      </c>
      <c r="B16101" s="3" t="s">
        <v>66</v>
      </c>
      <c r="C16101" s="4" t="str">
        <f t="shared" si="1216"/>
        <v>TCGA-CESC</v>
      </c>
      <c r="D16101" s="1" t="s">
        <v>493</v>
      </c>
      <c r="E16101" t="s">
        <v>544</v>
      </c>
      <c r="F16101" s="1">
        <v>2</v>
      </c>
      <c r="G16101" s="1" t="s">
        <v>28</v>
      </c>
      <c r="H16101" s="4" t="str">
        <f>HYPERLINK("https://portal.gdc.cancer.gov/cases/46c67dd6-8e66-411d-ad05-95daa9005eb2","TCGA-DS-A1OA-01A")</f>
        <v>TCGA-DS-A1OA-01A</v>
      </c>
      <c r="I16101" t="s">
        <v>444</v>
      </c>
      <c r="J16101" t="s">
        <v>535</v>
      </c>
      <c r="K16101" t="s">
        <v>33</v>
      </c>
      <c r="L16101" t="s">
        <v>445</v>
      </c>
      <c r="N16101" t="s">
        <v>29</v>
      </c>
    </row>
    <row r="16102" spans="1:14">
      <c r="A16102" s="4" t="str">
        <f t="shared" si="1217"/>
        <v>EXP00420</v>
      </c>
      <c r="B16102" s="3" t="s">
        <v>66</v>
      </c>
      <c r="C16102" s="4" t="str">
        <f t="shared" si="1216"/>
        <v>TCGA-CESC</v>
      </c>
      <c r="D16102" s="1" t="s">
        <v>493</v>
      </c>
      <c r="E16102" t="s">
        <v>544</v>
      </c>
      <c r="F16102" s="1">
        <v>2</v>
      </c>
      <c r="G16102" s="1" t="s">
        <v>28</v>
      </c>
      <c r="H16102" s="4" t="str">
        <f>HYPERLINK("https://portal.gdc.cancer.gov/cases/29a48c93-bade-4346-a901-de35a6537337","TCGA-DS-A1OB-01A")</f>
        <v>TCGA-DS-A1OB-01A</v>
      </c>
      <c r="I16102" t="s">
        <v>444</v>
      </c>
      <c r="J16102" t="s">
        <v>535</v>
      </c>
      <c r="K16102" t="s">
        <v>33</v>
      </c>
      <c r="L16102" t="s">
        <v>445</v>
      </c>
      <c r="N16102" t="s">
        <v>29</v>
      </c>
    </row>
    <row r="16103" spans="1:14">
      <c r="A16103" s="4" t="str">
        <f t="shared" si="1217"/>
        <v>EXP00420</v>
      </c>
      <c r="B16103" s="3" t="s">
        <v>66</v>
      </c>
      <c r="C16103" s="4" t="str">
        <f t="shared" si="1216"/>
        <v>TCGA-CESC</v>
      </c>
      <c r="D16103" s="1" t="s">
        <v>493</v>
      </c>
      <c r="E16103" t="s">
        <v>544</v>
      </c>
      <c r="F16103" s="1">
        <v>2</v>
      </c>
      <c r="G16103" s="1" t="s">
        <v>28</v>
      </c>
      <c r="H16103" s="4" t="str">
        <f>HYPERLINK("https://portal.gdc.cancer.gov/cases/e711b88e-fa0e-4781-8549-7a53ed3a13a1","TCGA-DS-A1OC-01A")</f>
        <v>TCGA-DS-A1OC-01A</v>
      </c>
      <c r="I16103" t="s">
        <v>444</v>
      </c>
      <c r="J16103" t="s">
        <v>535</v>
      </c>
      <c r="K16103" t="s">
        <v>33</v>
      </c>
      <c r="L16103" t="s">
        <v>445</v>
      </c>
      <c r="N16103" t="s">
        <v>29</v>
      </c>
    </row>
    <row r="16104" spans="1:14">
      <c r="A16104" s="4" t="str">
        <f t="shared" si="1217"/>
        <v>EXP00420</v>
      </c>
      <c r="B16104" s="3" t="s">
        <v>66</v>
      </c>
      <c r="C16104" s="4" t="str">
        <f t="shared" si="1216"/>
        <v>TCGA-CESC</v>
      </c>
      <c r="D16104" s="1" t="s">
        <v>493</v>
      </c>
      <c r="E16104" t="s">
        <v>544</v>
      </c>
      <c r="F16104" s="1">
        <v>2</v>
      </c>
      <c r="G16104" s="1" t="s">
        <v>28</v>
      </c>
      <c r="H16104" s="4" t="str">
        <f>HYPERLINK("https://portal.gdc.cancer.gov/cases/ec609ebe-2db9-4b95-a154-512fdfa9038f","TCGA-DS-A1OD-01A")</f>
        <v>TCGA-DS-A1OD-01A</v>
      </c>
      <c r="I16104" t="s">
        <v>444</v>
      </c>
      <c r="J16104" t="s">
        <v>535</v>
      </c>
      <c r="K16104" t="s">
        <v>33</v>
      </c>
      <c r="L16104" t="s">
        <v>445</v>
      </c>
      <c r="N16104" t="s">
        <v>29</v>
      </c>
    </row>
    <row r="16105" spans="1:14">
      <c r="A16105" s="4" t="str">
        <f t="shared" si="1217"/>
        <v>EXP00420</v>
      </c>
      <c r="B16105" s="3" t="s">
        <v>66</v>
      </c>
      <c r="C16105" s="4" t="str">
        <f t="shared" si="1216"/>
        <v>TCGA-CESC</v>
      </c>
      <c r="D16105" s="1" t="s">
        <v>493</v>
      </c>
      <c r="E16105" t="s">
        <v>544</v>
      </c>
      <c r="F16105" s="1">
        <v>2</v>
      </c>
      <c r="G16105" s="1" t="s">
        <v>28</v>
      </c>
      <c r="H16105" s="4" t="str">
        <f>HYPERLINK("https://portal.gdc.cancer.gov/cases/63bffdb1-bc08-4175-8be7-d7a056d19816","TCGA-DS-A3LQ-01A")</f>
        <v>TCGA-DS-A3LQ-01A</v>
      </c>
      <c r="I16105" t="s">
        <v>444</v>
      </c>
      <c r="J16105" t="s">
        <v>535</v>
      </c>
      <c r="K16105" t="s">
        <v>33</v>
      </c>
      <c r="L16105" t="s">
        <v>445</v>
      </c>
      <c r="N16105" t="s">
        <v>29</v>
      </c>
    </row>
    <row r="16106" spans="1:14">
      <c r="A16106" s="4" t="str">
        <f t="shared" si="1217"/>
        <v>EXP00420</v>
      </c>
      <c r="B16106" s="3" t="s">
        <v>66</v>
      </c>
      <c r="C16106" s="4" t="str">
        <f t="shared" si="1216"/>
        <v>TCGA-CESC</v>
      </c>
      <c r="D16106" s="1" t="s">
        <v>493</v>
      </c>
      <c r="E16106" t="s">
        <v>544</v>
      </c>
      <c r="F16106" s="1">
        <v>2</v>
      </c>
      <c r="G16106" s="1" t="s">
        <v>28</v>
      </c>
      <c r="H16106" s="4" t="str">
        <f>HYPERLINK("https://portal.gdc.cancer.gov/cases/b16469af-a721-43e9-a4d7-c39b94d1139f","TCGA-DS-A5RQ-01A")</f>
        <v>TCGA-DS-A5RQ-01A</v>
      </c>
      <c r="I16106" t="s">
        <v>444</v>
      </c>
      <c r="J16106" t="s">
        <v>535</v>
      </c>
      <c r="K16106" t="s">
        <v>33</v>
      </c>
      <c r="L16106" t="s">
        <v>445</v>
      </c>
      <c r="N16106" t="s">
        <v>29</v>
      </c>
    </row>
    <row r="16107" spans="1:14">
      <c r="A16107" s="4" t="str">
        <f t="shared" si="1217"/>
        <v>EXP00420</v>
      </c>
      <c r="B16107" s="3" t="s">
        <v>66</v>
      </c>
      <c r="C16107" s="4" t="str">
        <f t="shared" si="1216"/>
        <v>TCGA-CESC</v>
      </c>
      <c r="D16107" s="1" t="s">
        <v>493</v>
      </c>
      <c r="E16107" t="s">
        <v>544</v>
      </c>
      <c r="F16107" s="1">
        <v>2</v>
      </c>
      <c r="G16107" s="1" t="s">
        <v>28</v>
      </c>
      <c r="H16107" s="4" t="str">
        <f>HYPERLINK("https://portal.gdc.cancer.gov/cases/dadcf6d5-03eb-4090-bcc3-b9e9dc3c7e08","TCGA-DS-A7WH-01A")</f>
        <v>TCGA-DS-A7WH-01A</v>
      </c>
      <c r="I16107" t="s">
        <v>444</v>
      </c>
      <c r="J16107" t="s">
        <v>535</v>
      </c>
      <c r="K16107" t="s">
        <v>33</v>
      </c>
      <c r="L16107" t="s">
        <v>445</v>
      </c>
      <c r="N16107" t="s">
        <v>29</v>
      </c>
    </row>
    <row r="16108" spans="1:14">
      <c r="A16108" s="4" t="str">
        <f t="shared" si="1217"/>
        <v>EXP00420</v>
      </c>
      <c r="B16108" s="3" t="s">
        <v>66</v>
      </c>
      <c r="C16108" s="4" t="str">
        <f t="shared" si="1216"/>
        <v>TCGA-CESC</v>
      </c>
      <c r="D16108" s="1" t="s">
        <v>493</v>
      </c>
      <c r="E16108" t="s">
        <v>544</v>
      </c>
      <c r="F16108" s="1">
        <v>2</v>
      </c>
      <c r="G16108" s="1" t="s">
        <v>28</v>
      </c>
      <c r="H16108" s="4" t="str">
        <f>HYPERLINK("https://portal.gdc.cancer.gov/cases/c14468eb-e725-4029-96cc-75bb9ebd9def","TCGA-DS-A7WI-01A")</f>
        <v>TCGA-DS-A7WI-01A</v>
      </c>
      <c r="I16108" t="s">
        <v>444</v>
      </c>
      <c r="J16108" t="s">
        <v>535</v>
      </c>
      <c r="K16108" t="s">
        <v>33</v>
      </c>
      <c r="L16108" t="s">
        <v>445</v>
      </c>
      <c r="N16108" t="s">
        <v>29</v>
      </c>
    </row>
    <row r="16109" spans="1:14">
      <c r="A16109" s="4" t="str">
        <f t="shared" si="1217"/>
        <v>EXP00420</v>
      </c>
      <c r="B16109" s="3" t="s">
        <v>66</v>
      </c>
      <c r="C16109" s="4" t="str">
        <f t="shared" si="1216"/>
        <v>TCGA-CESC</v>
      </c>
      <c r="D16109" s="1" t="s">
        <v>493</v>
      </c>
      <c r="E16109" t="s">
        <v>544</v>
      </c>
      <c r="F16109" s="1">
        <v>2</v>
      </c>
      <c r="G16109" s="1" t="s">
        <v>28</v>
      </c>
      <c r="H16109" s="4" t="str">
        <f>HYPERLINK("https://portal.gdc.cancer.gov/cases/6f9d21c0-3b88-450d-a249-3e9bafba2dfa","TCGA-EA-A1QS-01A")</f>
        <v>TCGA-EA-A1QS-01A</v>
      </c>
      <c r="I16109" t="s">
        <v>444</v>
      </c>
      <c r="J16109" t="s">
        <v>535</v>
      </c>
      <c r="K16109" t="s">
        <v>33</v>
      </c>
      <c r="L16109" t="s">
        <v>445</v>
      </c>
      <c r="N16109" t="s">
        <v>29</v>
      </c>
    </row>
    <row r="16110" spans="1:14">
      <c r="A16110" s="4" t="str">
        <f t="shared" si="1217"/>
        <v>EXP00420</v>
      </c>
      <c r="B16110" s="3" t="s">
        <v>66</v>
      </c>
      <c r="C16110" s="4" t="str">
        <f t="shared" si="1216"/>
        <v>TCGA-CESC</v>
      </c>
      <c r="D16110" s="1" t="s">
        <v>493</v>
      </c>
      <c r="E16110" t="s">
        <v>544</v>
      </c>
      <c r="F16110" s="1">
        <v>2</v>
      </c>
      <c r="G16110" s="1" t="s">
        <v>28</v>
      </c>
      <c r="H16110" s="4" t="str">
        <f>HYPERLINK("https://portal.gdc.cancer.gov/cases/970b619f-2eb5-4557-a7b8-5def35943c58","TCGA-EA-A1QT-01A")</f>
        <v>TCGA-EA-A1QT-01A</v>
      </c>
      <c r="I16110" t="s">
        <v>444</v>
      </c>
      <c r="J16110" t="s">
        <v>535</v>
      </c>
      <c r="K16110" t="s">
        <v>33</v>
      </c>
      <c r="L16110" t="s">
        <v>445</v>
      </c>
      <c r="N16110" t="s">
        <v>29</v>
      </c>
    </row>
    <row r="16111" spans="1:14">
      <c r="A16111" s="4" t="str">
        <f t="shared" si="1217"/>
        <v>EXP00420</v>
      </c>
      <c r="B16111" s="3" t="s">
        <v>66</v>
      </c>
      <c r="C16111" s="4" t="str">
        <f t="shared" si="1216"/>
        <v>TCGA-CESC</v>
      </c>
      <c r="D16111" s="1" t="s">
        <v>493</v>
      </c>
      <c r="E16111" t="s">
        <v>544</v>
      </c>
      <c r="F16111" s="1">
        <v>2</v>
      </c>
      <c r="G16111" s="1" t="s">
        <v>28</v>
      </c>
      <c r="H16111" s="4" t="str">
        <f>HYPERLINK("https://portal.gdc.cancer.gov/cases/6bf00b63-89f8-420c-8d36-f680fb0908b1","TCGA-EA-A3HQ-01A")</f>
        <v>TCGA-EA-A3HQ-01A</v>
      </c>
      <c r="I16111" t="s">
        <v>444</v>
      </c>
      <c r="J16111" t="s">
        <v>535</v>
      </c>
      <c r="K16111" t="s">
        <v>33</v>
      </c>
      <c r="L16111" t="s">
        <v>445</v>
      </c>
      <c r="N16111" t="s">
        <v>29</v>
      </c>
    </row>
    <row r="16112" spans="1:14">
      <c r="A16112" s="4" t="str">
        <f t="shared" si="1217"/>
        <v>EXP00420</v>
      </c>
      <c r="B16112" s="3" t="s">
        <v>66</v>
      </c>
      <c r="C16112" s="4" t="str">
        <f t="shared" si="1216"/>
        <v>TCGA-CESC</v>
      </c>
      <c r="D16112" s="1" t="s">
        <v>493</v>
      </c>
      <c r="E16112" t="s">
        <v>544</v>
      </c>
      <c r="F16112" s="1">
        <v>2</v>
      </c>
      <c r="G16112" s="1" t="s">
        <v>28</v>
      </c>
      <c r="H16112" s="4" t="str">
        <f>HYPERLINK("https://portal.gdc.cancer.gov/cases/638035f6-2909-4a44-980f-468ac5d74e18","TCGA-EA-A3HR-01A")</f>
        <v>TCGA-EA-A3HR-01A</v>
      </c>
      <c r="I16112" t="s">
        <v>444</v>
      </c>
      <c r="J16112" t="s">
        <v>535</v>
      </c>
      <c r="K16112" t="s">
        <v>33</v>
      </c>
      <c r="L16112" t="s">
        <v>445</v>
      </c>
      <c r="N16112" t="s">
        <v>29</v>
      </c>
    </row>
    <row r="16113" spans="1:14">
      <c r="A16113" s="4" t="str">
        <f t="shared" si="1217"/>
        <v>EXP00420</v>
      </c>
      <c r="B16113" s="3" t="s">
        <v>66</v>
      </c>
      <c r="C16113" s="4" t="str">
        <f t="shared" si="1216"/>
        <v>TCGA-CESC</v>
      </c>
      <c r="D16113" s="1" t="s">
        <v>493</v>
      </c>
      <c r="E16113" t="s">
        <v>544</v>
      </c>
      <c r="F16113" s="1">
        <v>2</v>
      </c>
      <c r="G16113" s="1" t="s">
        <v>28</v>
      </c>
      <c r="H16113" s="4" t="str">
        <f>HYPERLINK("https://portal.gdc.cancer.gov/cases/753ee373-fbcf-4349-b9b2-5a41936e27e9","TCGA-EA-A3HS-01A")</f>
        <v>TCGA-EA-A3HS-01A</v>
      </c>
      <c r="I16113" t="s">
        <v>444</v>
      </c>
      <c r="J16113" t="s">
        <v>535</v>
      </c>
      <c r="K16113" t="s">
        <v>33</v>
      </c>
      <c r="L16113" t="s">
        <v>445</v>
      </c>
      <c r="N16113" t="s">
        <v>29</v>
      </c>
    </row>
    <row r="16114" spans="1:14">
      <c r="A16114" s="4" t="str">
        <f t="shared" si="1217"/>
        <v>EXP00420</v>
      </c>
      <c r="B16114" s="3" t="s">
        <v>66</v>
      </c>
      <c r="C16114" s="4" t="str">
        <f t="shared" si="1216"/>
        <v>TCGA-CESC</v>
      </c>
      <c r="D16114" s="1" t="s">
        <v>493</v>
      </c>
      <c r="E16114" t="s">
        <v>544</v>
      </c>
      <c r="F16114" s="1">
        <v>2</v>
      </c>
      <c r="G16114" s="1" t="s">
        <v>28</v>
      </c>
      <c r="H16114" s="4" t="str">
        <f>HYPERLINK("https://portal.gdc.cancer.gov/cases/3c5b2452-014b-495f-b86a-f522ed84bc3b","TCGA-EA-A3HT-01A")</f>
        <v>TCGA-EA-A3HT-01A</v>
      </c>
      <c r="I16114" t="s">
        <v>444</v>
      </c>
      <c r="J16114" t="s">
        <v>535</v>
      </c>
      <c r="K16114" t="s">
        <v>33</v>
      </c>
      <c r="L16114" t="s">
        <v>445</v>
      </c>
      <c r="N16114" t="s">
        <v>29</v>
      </c>
    </row>
    <row r="16115" spans="1:14">
      <c r="A16115" s="4" t="str">
        <f t="shared" si="1217"/>
        <v>EXP00420</v>
      </c>
      <c r="B16115" s="3" t="s">
        <v>66</v>
      </c>
      <c r="C16115" s="4" t="str">
        <f t="shared" si="1216"/>
        <v>TCGA-CESC</v>
      </c>
      <c r="D16115" s="1" t="s">
        <v>493</v>
      </c>
      <c r="E16115" t="s">
        <v>544</v>
      </c>
      <c r="F16115" s="1">
        <v>2</v>
      </c>
      <c r="G16115" s="1" t="s">
        <v>28</v>
      </c>
      <c r="H16115" s="4" t="str">
        <f>HYPERLINK("https://portal.gdc.cancer.gov/cases/9912432e-74bc-4846-93b4-fa2bf8070bd1","TCGA-EA-A3HU-01A")</f>
        <v>TCGA-EA-A3HU-01A</v>
      </c>
      <c r="I16115" t="s">
        <v>444</v>
      </c>
      <c r="J16115" t="s">
        <v>535</v>
      </c>
      <c r="K16115" t="s">
        <v>33</v>
      </c>
      <c r="L16115" t="s">
        <v>445</v>
      </c>
      <c r="N16115" t="s">
        <v>29</v>
      </c>
    </row>
    <row r="16116" spans="1:14">
      <c r="A16116" s="4" t="str">
        <f t="shared" si="1217"/>
        <v>EXP00420</v>
      </c>
      <c r="B16116" s="3" t="s">
        <v>66</v>
      </c>
      <c r="C16116" s="4" t="str">
        <f t="shared" si="1216"/>
        <v>TCGA-CESC</v>
      </c>
      <c r="D16116" s="1" t="s">
        <v>493</v>
      </c>
      <c r="E16116" t="s">
        <v>544</v>
      </c>
      <c r="F16116" s="1">
        <v>2</v>
      </c>
      <c r="G16116" s="1" t="s">
        <v>28</v>
      </c>
      <c r="H16116" s="4" t="str">
        <f>HYPERLINK("https://portal.gdc.cancer.gov/cases/9e2e29e8-d94a-499f-a98a-5b53b2c38f3b","TCGA-EA-A3QD-01A")</f>
        <v>TCGA-EA-A3QD-01A</v>
      </c>
      <c r="I16116" t="s">
        <v>444</v>
      </c>
      <c r="J16116" t="s">
        <v>535</v>
      </c>
      <c r="K16116" t="s">
        <v>33</v>
      </c>
      <c r="L16116" t="s">
        <v>445</v>
      </c>
      <c r="N16116" t="s">
        <v>29</v>
      </c>
    </row>
    <row r="16117" spans="1:14">
      <c r="A16117" s="4" t="str">
        <f t="shared" si="1217"/>
        <v>EXP00420</v>
      </c>
      <c r="B16117" s="3" t="s">
        <v>66</v>
      </c>
      <c r="C16117" s="4" t="str">
        <f t="shared" si="1216"/>
        <v>TCGA-CESC</v>
      </c>
      <c r="D16117" s="1" t="s">
        <v>493</v>
      </c>
      <c r="E16117" t="s">
        <v>544</v>
      </c>
      <c r="F16117" s="1">
        <v>2</v>
      </c>
      <c r="G16117" s="1" t="s">
        <v>28</v>
      </c>
      <c r="H16117" s="4" t="str">
        <f>HYPERLINK("https://portal.gdc.cancer.gov/cases/a4e444b5-bbca-4ef0-b92f-908d608cbb91","TCGA-EA-A3QE-01A")</f>
        <v>TCGA-EA-A3QE-01A</v>
      </c>
      <c r="I16117" t="s">
        <v>444</v>
      </c>
      <c r="J16117" t="s">
        <v>535</v>
      </c>
      <c r="K16117" t="s">
        <v>33</v>
      </c>
      <c r="L16117" t="s">
        <v>445</v>
      </c>
      <c r="N16117" t="s">
        <v>29</v>
      </c>
    </row>
    <row r="16118" spans="1:14">
      <c r="A16118" s="4" t="str">
        <f t="shared" si="1217"/>
        <v>EXP00420</v>
      </c>
      <c r="B16118" s="3" t="s">
        <v>66</v>
      </c>
      <c r="C16118" s="4" t="str">
        <f t="shared" si="1216"/>
        <v>TCGA-CESC</v>
      </c>
      <c r="D16118" s="1" t="s">
        <v>493</v>
      </c>
      <c r="E16118" t="s">
        <v>544</v>
      </c>
      <c r="F16118" s="1">
        <v>2</v>
      </c>
      <c r="G16118" s="1" t="s">
        <v>28</v>
      </c>
      <c r="H16118" s="4" t="str">
        <f>HYPERLINK("https://portal.gdc.cancer.gov/cases/3ac62513-b5f4-4063-aabd-dad08a1f56fb","TCGA-EA-A3Y4-01A")</f>
        <v>TCGA-EA-A3Y4-01A</v>
      </c>
      <c r="I16118" t="s">
        <v>444</v>
      </c>
      <c r="J16118" t="s">
        <v>535</v>
      </c>
      <c r="K16118" t="s">
        <v>33</v>
      </c>
      <c r="L16118" t="s">
        <v>445</v>
      </c>
      <c r="N16118" t="s">
        <v>29</v>
      </c>
    </row>
    <row r="16119" spans="1:14">
      <c r="A16119" s="4" t="str">
        <f t="shared" si="1217"/>
        <v>EXP00420</v>
      </c>
      <c r="B16119" s="3" t="s">
        <v>66</v>
      </c>
      <c r="C16119" s="4" t="str">
        <f t="shared" si="1216"/>
        <v>TCGA-CESC</v>
      </c>
      <c r="D16119" s="1" t="s">
        <v>493</v>
      </c>
      <c r="E16119" t="s">
        <v>544</v>
      </c>
      <c r="F16119" s="1">
        <v>2</v>
      </c>
      <c r="G16119" s="1" t="s">
        <v>28</v>
      </c>
      <c r="H16119" s="4" t="str">
        <f>HYPERLINK("https://portal.gdc.cancer.gov/cases/7b356c12-b226-4e58-be7f-44e50e3eefbe","TCGA-EA-A410-01A")</f>
        <v>TCGA-EA-A410-01A</v>
      </c>
      <c r="I16119" t="s">
        <v>444</v>
      </c>
      <c r="J16119" t="s">
        <v>535</v>
      </c>
      <c r="K16119" t="s">
        <v>33</v>
      </c>
      <c r="L16119" t="s">
        <v>445</v>
      </c>
      <c r="N16119" t="s">
        <v>29</v>
      </c>
    </row>
    <row r="16120" spans="1:14">
      <c r="A16120" s="4" t="str">
        <f t="shared" si="1217"/>
        <v>EXP00420</v>
      </c>
      <c r="B16120" s="3" t="s">
        <v>66</v>
      </c>
      <c r="C16120" s="4" t="str">
        <f t="shared" si="1216"/>
        <v>TCGA-CESC</v>
      </c>
      <c r="D16120" s="1" t="s">
        <v>493</v>
      </c>
      <c r="E16120" t="s">
        <v>544</v>
      </c>
      <c r="F16120" s="1">
        <v>2</v>
      </c>
      <c r="G16120" s="1" t="s">
        <v>28</v>
      </c>
      <c r="H16120" s="4" t="str">
        <f>HYPERLINK("https://portal.gdc.cancer.gov/cases/84cb84d0-7c7e-453c-8cc5-65b5af941028","TCGA-EA-A411-01A")</f>
        <v>TCGA-EA-A411-01A</v>
      </c>
      <c r="I16120" t="s">
        <v>444</v>
      </c>
      <c r="J16120" t="s">
        <v>535</v>
      </c>
      <c r="K16120" t="s">
        <v>33</v>
      </c>
      <c r="L16120" t="s">
        <v>445</v>
      </c>
      <c r="N16120" t="s">
        <v>29</v>
      </c>
    </row>
    <row r="16121" spans="1:14">
      <c r="A16121" s="4" t="str">
        <f t="shared" si="1217"/>
        <v>EXP00420</v>
      </c>
      <c r="B16121" s="3" t="s">
        <v>66</v>
      </c>
      <c r="C16121" s="4" t="str">
        <f t="shared" si="1216"/>
        <v>TCGA-CESC</v>
      </c>
      <c r="D16121" s="1" t="s">
        <v>493</v>
      </c>
      <c r="E16121" t="s">
        <v>544</v>
      </c>
      <c r="F16121" s="1">
        <v>2</v>
      </c>
      <c r="G16121" s="1" t="s">
        <v>28</v>
      </c>
      <c r="H16121" s="4" t="str">
        <f>HYPERLINK("https://portal.gdc.cancer.gov/cases/3edb62c1-25ad-4deb-a005-e881a887d06a","TCGA-EA-A439-01A")</f>
        <v>TCGA-EA-A439-01A</v>
      </c>
      <c r="I16121" t="s">
        <v>444</v>
      </c>
      <c r="J16121" t="s">
        <v>535</v>
      </c>
      <c r="K16121" t="s">
        <v>33</v>
      </c>
      <c r="L16121" t="s">
        <v>445</v>
      </c>
      <c r="N16121" t="s">
        <v>29</v>
      </c>
    </row>
    <row r="16122" spans="1:14">
      <c r="A16122" s="4" t="str">
        <f t="shared" si="1217"/>
        <v>EXP00420</v>
      </c>
      <c r="B16122" s="3" t="s">
        <v>66</v>
      </c>
      <c r="C16122" s="4" t="str">
        <f t="shared" si="1216"/>
        <v>TCGA-CESC</v>
      </c>
      <c r="D16122" s="1" t="s">
        <v>493</v>
      </c>
      <c r="E16122" t="s">
        <v>544</v>
      </c>
      <c r="F16122" s="1">
        <v>2</v>
      </c>
      <c r="G16122" s="1" t="s">
        <v>28</v>
      </c>
      <c r="H16122" s="4" t="str">
        <f>HYPERLINK("https://portal.gdc.cancer.gov/cases/3265f9c1-7242-4c7d-b4ad-b6519ee94f84","TCGA-EA-A43B-01A")</f>
        <v>TCGA-EA-A43B-01A</v>
      </c>
      <c r="I16122" t="s">
        <v>444</v>
      </c>
      <c r="J16122" t="s">
        <v>535</v>
      </c>
      <c r="K16122" t="s">
        <v>33</v>
      </c>
      <c r="L16122" t="s">
        <v>445</v>
      </c>
      <c r="N16122" t="s">
        <v>29</v>
      </c>
    </row>
    <row r="16123" spans="1:14">
      <c r="A16123" s="4" t="str">
        <f t="shared" si="1217"/>
        <v>EXP00420</v>
      </c>
      <c r="B16123" s="3" t="s">
        <v>66</v>
      </c>
      <c r="C16123" s="4" t="str">
        <f t="shared" si="1216"/>
        <v>TCGA-CESC</v>
      </c>
      <c r="D16123" s="1" t="s">
        <v>493</v>
      </c>
      <c r="E16123" t="s">
        <v>544</v>
      </c>
      <c r="F16123" s="1">
        <v>2</v>
      </c>
      <c r="G16123" s="1" t="s">
        <v>28</v>
      </c>
      <c r="H16123" s="4" t="str">
        <f>HYPERLINK("https://portal.gdc.cancer.gov/cases/cfb61fd8-0bca-40b4-878c-cc914a289792","TCGA-EA-A44S-01A")</f>
        <v>TCGA-EA-A44S-01A</v>
      </c>
      <c r="I16123" t="s">
        <v>444</v>
      </c>
      <c r="J16123" t="s">
        <v>535</v>
      </c>
      <c r="K16123" t="s">
        <v>33</v>
      </c>
      <c r="L16123" t="s">
        <v>445</v>
      </c>
      <c r="N16123" t="s">
        <v>29</v>
      </c>
    </row>
    <row r="16124" spans="1:14">
      <c r="A16124" s="4" t="str">
        <f t="shared" si="1217"/>
        <v>EXP00420</v>
      </c>
      <c r="B16124" s="3" t="s">
        <v>66</v>
      </c>
      <c r="C16124" s="4" t="str">
        <f t="shared" si="1216"/>
        <v>TCGA-CESC</v>
      </c>
      <c r="D16124" s="1" t="s">
        <v>493</v>
      </c>
      <c r="E16124" t="s">
        <v>544</v>
      </c>
      <c r="F16124" s="1">
        <v>2</v>
      </c>
      <c r="G16124" s="1" t="s">
        <v>28</v>
      </c>
      <c r="H16124" s="4" t="str">
        <f>HYPERLINK("https://portal.gdc.cancer.gov/cases/9e79059f-3453-4aa6-9849-55a267c711a4","TCGA-EA-A4BA-01A")</f>
        <v>TCGA-EA-A4BA-01A</v>
      </c>
      <c r="I16124" t="s">
        <v>444</v>
      </c>
      <c r="J16124" t="s">
        <v>535</v>
      </c>
      <c r="K16124" t="s">
        <v>33</v>
      </c>
      <c r="L16124" t="s">
        <v>445</v>
      </c>
      <c r="N16124" t="s">
        <v>29</v>
      </c>
    </row>
    <row r="16125" spans="1:14">
      <c r="A16125" s="4" t="str">
        <f t="shared" si="1217"/>
        <v>EXP00420</v>
      </c>
      <c r="B16125" s="3" t="s">
        <v>66</v>
      </c>
      <c r="C16125" s="4" t="str">
        <f t="shared" si="1216"/>
        <v>TCGA-CESC</v>
      </c>
      <c r="D16125" s="1" t="s">
        <v>493</v>
      </c>
      <c r="E16125" t="s">
        <v>544</v>
      </c>
      <c r="F16125" s="1">
        <v>2</v>
      </c>
      <c r="G16125" s="1" t="s">
        <v>28</v>
      </c>
      <c r="H16125" s="4" t="str">
        <f>HYPERLINK("https://portal.gdc.cancer.gov/cases/6a18d184-d3a2-49c2-bd4b-9c18f91b98c7","TCGA-EA-A50E-01A")</f>
        <v>TCGA-EA-A50E-01A</v>
      </c>
      <c r="I16125" t="s">
        <v>444</v>
      </c>
      <c r="J16125" t="s">
        <v>535</v>
      </c>
      <c r="K16125" t="s">
        <v>33</v>
      </c>
      <c r="L16125" t="s">
        <v>445</v>
      </c>
      <c r="N16125" t="s">
        <v>29</v>
      </c>
    </row>
    <row r="16126" spans="1:14">
      <c r="A16126" s="4" t="str">
        <f t="shared" si="1217"/>
        <v>EXP00420</v>
      </c>
      <c r="B16126" s="3" t="s">
        <v>66</v>
      </c>
      <c r="C16126" s="4" t="str">
        <f t="shared" si="1216"/>
        <v>TCGA-CESC</v>
      </c>
      <c r="D16126" s="1" t="s">
        <v>493</v>
      </c>
      <c r="E16126" t="s">
        <v>544</v>
      </c>
      <c r="F16126" s="1">
        <v>2</v>
      </c>
      <c r="G16126" s="1" t="s">
        <v>28</v>
      </c>
      <c r="H16126" s="4" t="str">
        <f>HYPERLINK("https://portal.gdc.cancer.gov/cases/2d34e9a3-298c-4365-b7a1-a507c7f069cd","TCGA-EA-A556-01A")</f>
        <v>TCGA-EA-A556-01A</v>
      </c>
      <c r="I16126" t="s">
        <v>444</v>
      </c>
      <c r="J16126" t="s">
        <v>535</v>
      </c>
      <c r="K16126" t="s">
        <v>33</v>
      </c>
      <c r="L16126" t="s">
        <v>445</v>
      </c>
      <c r="N16126" t="s">
        <v>29</v>
      </c>
    </row>
    <row r="16127" spans="1:14">
      <c r="A16127" s="4" t="str">
        <f t="shared" si="1217"/>
        <v>EXP00420</v>
      </c>
      <c r="B16127" s="3" t="s">
        <v>66</v>
      </c>
      <c r="C16127" s="4" t="str">
        <f t="shared" si="1216"/>
        <v>TCGA-CESC</v>
      </c>
      <c r="D16127" s="1" t="s">
        <v>493</v>
      </c>
      <c r="E16127" t="s">
        <v>544</v>
      </c>
      <c r="F16127" s="1">
        <v>2</v>
      </c>
      <c r="G16127" s="1" t="s">
        <v>28</v>
      </c>
      <c r="H16127" s="4" t="str">
        <f>HYPERLINK("https://portal.gdc.cancer.gov/cases/ed17685c-b706-41e4-8a76-11cb0e6700cd","TCGA-EA-A5FO-01A")</f>
        <v>TCGA-EA-A5FO-01A</v>
      </c>
      <c r="I16127" t="s">
        <v>444</v>
      </c>
      <c r="J16127" t="s">
        <v>535</v>
      </c>
      <c r="K16127" t="s">
        <v>33</v>
      </c>
      <c r="L16127" t="s">
        <v>445</v>
      </c>
      <c r="N16127" t="s">
        <v>29</v>
      </c>
    </row>
    <row r="16128" spans="1:14">
      <c r="A16128" s="4" t="str">
        <f t="shared" si="1217"/>
        <v>EXP00420</v>
      </c>
      <c r="B16128" s="3" t="s">
        <v>66</v>
      </c>
      <c r="C16128" s="4" t="str">
        <f t="shared" si="1216"/>
        <v>TCGA-CESC</v>
      </c>
      <c r="D16128" s="1" t="s">
        <v>493</v>
      </c>
      <c r="E16128" t="s">
        <v>544</v>
      </c>
      <c r="F16128" s="1">
        <v>2</v>
      </c>
      <c r="G16128" s="1" t="s">
        <v>28</v>
      </c>
      <c r="H16128" s="4" t="str">
        <f>HYPERLINK("https://portal.gdc.cancer.gov/cases/1636242c-12da-412e-a362-914a20add708","TCGA-EA-A5O9-01A")</f>
        <v>TCGA-EA-A5O9-01A</v>
      </c>
      <c r="I16128" t="s">
        <v>444</v>
      </c>
      <c r="J16128" t="s">
        <v>535</v>
      </c>
      <c r="K16128" t="s">
        <v>33</v>
      </c>
      <c r="L16128" t="s">
        <v>445</v>
      </c>
      <c r="N16128" t="s">
        <v>29</v>
      </c>
    </row>
    <row r="16129" spans="1:14">
      <c r="A16129" s="4" t="str">
        <f t="shared" si="1217"/>
        <v>EXP00420</v>
      </c>
      <c r="B16129" s="3" t="s">
        <v>66</v>
      </c>
      <c r="C16129" s="4" t="str">
        <f t="shared" si="1216"/>
        <v>TCGA-CESC</v>
      </c>
      <c r="D16129" s="1" t="s">
        <v>493</v>
      </c>
      <c r="E16129" t="s">
        <v>544</v>
      </c>
      <c r="F16129" s="1">
        <v>2</v>
      </c>
      <c r="G16129" s="1" t="s">
        <v>28</v>
      </c>
      <c r="H16129" s="4" t="str">
        <f>HYPERLINK("https://portal.gdc.cancer.gov/cases/35d677b6-0487-44d3-bbba-651eac7e0635","TCGA-EA-A5ZD-01A")</f>
        <v>TCGA-EA-A5ZD-01A</v>
      </c>
      <c r="I16129" t="s">
        <v>444</v>
      </c>
      <c r="J16129" t="s">
        <v>535</v>
      </c>
      <c r="K16129" t="s">
        <v>33</v>
      </c>
      <c r="L16129" t="s">
        <v>445</v>
      </c>
      <c r="N16129" t="s">
        <v>29</v>
      </c>
    </row>
    <row r="16130" spans="1:14">
      <c r="A16130" s="4" t="str">
        <f t="shared" si="1217"/>
        <v>EXP00420</v>
      </c>
      <c r="B16130" s="3" t="s">
        <v>66</v>
      </c>
      <c r="C16130" s="4" t="str">
        <f t="shared" si="1216"/>
        <v>TCGA-CESC</v>
      </c>
      <c r="D16130" s="1" t="s">
        <v>493</v>
      </c>
      <c r="E16130" t="s">
        <v>544</v>
      </c>
      <c r="F16130" s="1">
        <v>2</v>
      </c>
      <c r="G16130" s="1" t="s">
        <v>28</v>
      </c>
      <c r="H16130" s="4" t="str">
        <f>HYPERLINK("https://portal.gdc.cancer.gov/cases/5e39485a-ac6b-496d-9984-2ea8075f6a9b","TCGA-EA-A5ZE-01A")</f>
        <v>TCGA-EA-A5ZE-01A</v>
      </c>
      <c r="I16130" t="s">
        <v>444</v>
      </c>
      <c r="J16130" t="s">
        <v>535</v>
      </c>
      <c r="K16130" t="s">
        <v>33</v>
      </c>
      <c r="L16130" t="s">
        <v>445</v>
      </c>
      <c r="N16130" t="s">
        <v>29</v>
      </c>
    </row>
    <row r="16131" spans="1:14">
      <c r="A16131" s="4" t="str">
        <f t="shared" si="1217"/>
        <v>EXP00420</v>
      </c>
      <c r="B16131" s="3" t="s">
        <v>66</v>
      </c>
      <c r="C16131" s="4" t="str">
        <f t="shared" si="1216"/>
        <v>TCGA-CESC</v>
      </c>
      <c r="D16131" s="1" t="s">
        <v>493</v>
      </c>
      <c r="E16131" t="s">
        <v>544</v>
      </c>
      <c r="F16131" s="1">
        <v>2</v>
      </c>
      <c r="G16131" s="1" t="s">
        <v>28</v>
      </c>
      <c r="H16131" s="4" t="str">
        <f>HYPERLINK("https://portal.gdc.cancer.gov/cases/0c6bb7dc-45a6-4190-a7c9-b080d49fd58a","TCGA-EA-A5ZF-01A")</f>
        <v>TCGA-EA-A5ZF-01A</v>
      </c>
      <c r="I16131" t="s">
        <v>444</v>
      </c>
      <c r="J16131" t="s">
        <v>535</v>
      </c>
      <c r="K16131" t="s">
        <v>33</v>
      </c>
      <c r="L16131" t="s">
        <v>445</v>
      </c>
      <c r="N16131" t="s">
        <v>29</v>
      </c>
    </row>
    <row r="16132" spans="1:14">
      <c r="A16132" s="4" t="str">
        <f t="shared" si="1217"/>
        <v>EXP00420</v>
      </c>
      <c r="B16132" s="3" t="s">
        <v>66</v>
      </c>
      <c r="C16132" s="4" t="str">
        <f t="shared" si="1216"/>
        <v>TCGA-CESC</v>
      </c>
      <c r="D16132" s="1" t="s">
        <v>493</v>
      </c>
      <c r="E16132" t="s">
        <v>544</v>
      </c>
      <c r="F16132" s="1">
        <v>2</v>
      </c>
      <c r="G16132" s="1" t="s">
        <v>28</v>
      </c>
      <c r="H16132" s="4" t="str">
        <f>HYPERLINK("https://portal.gdc.cancer.gov/cases/a300db40-e0b8-4c45-abbd-d7aa06211e9c","TCGA-EA-A6QX-01A")</f>
        <v>TCGA-EA-A6QX-01A</v>
      </c>
      <c r="I16132" t="s">
        <v>444</v>
      </c>
      <c r="J16132" t="s">
        <v>535</v>
      </c>
      <c r="K16132" t="s">
        <v>33</v>
      </c>
      <c r="L16132" t="s">
        <v>445</v>
      </c>
      <c r="N16132" t="s">
        <v>29</v>
      </c>
    </row>
    <row r="16133" spans="1:14">
      <c r="A16133" s="4" t="str">
        <f t="shared" si="1217"/>
        <v>EXP00420</v>
      </c>
      <c r="B16133" s="3" t="s">
        <v>66</v>
      </c>
      <c r="C16133" s="4" t="str">
        <f t="shared" ref="C16133:C16196" si="1218">HYPERLINK("https://portal.gdc.cancer.gov/projects/TCGA-CESC","TCGA-CESC")</f>
        <v>TCGA-CESC</v>
      </c>
      <c r="D16133" s="1" t="s">
        <v>493</v>
      </c>
      <c r="E16133" t="s">
        <v>544</v>
      </c>
      <c r="F16133" s="1">
        <v>2</v>
      </c>
      <c r="G16133" s="1" t="s">
        <v>28</v>
      </c>
      <c r="H16133" s="4" t="str">
        <f>HYPERLINK("https://portal.gdc.cancer.gov/cases/79ae5209-f476-4d65-a6c0-ebc18d7c8942","TCGA-EA-A78R-01A")</f>
        <v>TCGA-EA-A78R-01A</v>
      </c>
      <c r="I16133" t="s">
        <v>444</v>
      </c>
      <c r="J16133" t="s">
        <v>535</v>
      </c>
      <c r="K16133" t="s">
        <v>33</v>
      </c>
      <c r="L16133" t="s">
        <v>445</v>
      </c>
      <c r="N16133" t="s">
        <v>29</v>
      </c>
    </row>
    <row r="16134" spans="1:14">
      <c r="A16134" s="4" t="str">
        <f t="shared" si="1217"/>
        <v>EXP00420</v>
      </c>
      <c r="B16134" s="3" t="s">
        <v>66</v>
      </c>
      <c r="C16134" s="4" t="str">
        <f t="shared" si="1218"/>
        <v>TCGA-CESC</v>
      </c>
      <c r="D16134" s="1" t="s">
        <v>493</v>
      </c>
      <c r="E16134" t="s">
        <v>544</v>
      </c>
      <c r="F16134" s="1">
        <v>2</v>
      </c>
      <c r="G16134" s="1" t="s">
        <v>28</v>
      </c>
      <c r="H16134" s="4" t="str">
        <f>HYPERLINK("https://portal.gdc.cancer.gov/cases/87e701ab-acfd-45f2-a12e-323c94e5f3d5","TCGA-EA-A97N-01A")</f>
        <v>TCGA-EA-A97N-01A</v>
      </c>
      <c r="I16134" t="s">
        <v>444</v>
      </c>
      <c r="J16134" t="s">
        <v>535</v>
      </c>
      <c r="K16134" t="s">
        <v>33</v>
      </c>
      <c r="L16134" t="s">
        <v>445</v>
      </c>
      <c r="N16134" t="s">
        <v>29</v>
      </c>
    </row>
    <row r="16135" spans="1:14">
      <c r="A16135" s="4" t="str">
        <f t="shared" si="1217"/>
        <v>EXP00420</v>
      </c>
      <c r="B16135" s="3" t="s">
        <v>66</v>
      </c>
      <c r="C16135" s="4" t="str">
        <f t="shared" si="1218"/>
        <v>TCGA-CESC</v>
      </c>
      <c r="D16135" s="1" t="s">
        <v>493</v>
      </c>
      <c r="E16135" t="s">
        <v>544</v>
      </c>
      <c r="F16135" s="1">
        <v>2</v>
      </c>
      <c r="G16135" s="1" t="s">
        <v>28</v>
      </c>
      <c r="H16135" s="4" t="str">
        <f>HYPERLINK("https://portal.gdc.cancer.gov/cases/d7f07485-522a-49d9-b105-5a9a51aca8f7","TCGA-EK-A2GZ-01A")</f>
        <v>TCGA-EK-A2GZ-01A</v>
      </c>
      <c r="I16135" t="s">
        <v>444</v>
      </c>
      <c r="J16135" t="s">
        <v>535</v>
      </c>
      <c r="K16135" t="s">
        <v>33</v>
      </c>
      <c r="L16135" t="s">
        <v>445</v>
      </c>
      <c r="N16135" t="s">
        <v>29</v>
      </c>
    </row>
    <row r="16136" spans="1:14">
      <c r="A16136" s="4" t="str">
        <f t="shared" si="1217"/>
        <v>EXP00420</v>
      </c>
      <c r="B16136" s="3" t="s">
        <v>66</v>
      </c>
      <c r="C16136" s="4" t="str">
        <f t="shared" si="1218"/>
        <v>TCGA-CESC</v>
      </c>
      <c r="D16136" s="1" t="s">
        <v>493</v>
      </c>
      <c r="E16136" t="s">
        <v>544</v>
      </c>
      <c r="F16136" s="1">
        <v>2</v>
      </c>
      <c r="G16136" s="1" t="s">
        <v>28</v>
      </c>
      <c r="H16136" s="4" t="str">
        <f>HYPERLINK("https://portal.gdc.cancer.gov/cases/c83c52f4-3815-4f49-8218-cf80aaa62e2f","TCGA-EK-A2H0-01A")</f>
        <v>TCGA-EK-A2H0-01A</v>
      </c>
      <c r="I16136" t="s">
        <v>444</v>
      </c>
      <c r="J16136" t="s">
        <v>535</v>
      </c>
      <c r="K16136" t="s">
        <v>33</v>
      </c>
      <c r="L16136" t="s">
        <v>445</v>
      </c>
      <c r="N16136" t="s">
        <v>29</v>
      </c>
    </row>
    <row r="16137" spans="1:14">
      <c r="A16137" s="4" t="str">
        <f t="shared" si="1217"/>
        <v>EXP00420</v>
      </c>
      <c r="B16137" s="3" t="s">
        <v>66</v>
      </c>
      <c r="C16137" s="4" t="str">
        <f t="shared" si="1218"/>
        <v>TCGA-CESC</v>
      </c>
      <c r="D16137" s="1" t="s">
        <v>493</v>
      </c>
      <c r="E16137" t="s">
        <v>544</v>
      </c>
      <c r="F16137" s="1">
        <v>2</v>
      </c>
      <c r="G16137" s="1" t="s">
        <v>28</v>
      </c>
      <c r="H16137" s="4" t="str">
        <f>HYPERLINK("https://portal.gdc.cancer.gov/cases/690a7b2a-7dc5-4504-9372-70c8b55e81c7","TCGA-EK-A2H1-01A")</f>
        <v>TCGA-EK-A2H1-01A</v>
      </c>
      <c r="I16137" t="s">
        <v>444</v>
      </c>
      <c r="J16137" t="s">
        <v>535</v>
      </c>
      <c r="K16137" t="s">
        <v>33</v>
      </c>
      <c r="L16137" t="s">
        <v>445</v>
      </c>
      <c r="N16137" t="s">
        <v>29</v>
      </c>
    </row>
    <row r="16138" spans="1:14">
      <c r="A16138" s="4" t="str">
        <f t="shared" si="1217"/>
        <v>EXP00420</v>
      </c>
      <c r="B16138" s="3" t="s">
        <v>66</v>
      </c>
      <c r="C16138" s="4" t="str">
        <f t="shared" si="1218"/>
        <v>TCGA-CESC</v>
      </c>
      <c r="D16138" s="1" t="s">
        <v>493</v>
      </c>
      <c r="E16138" t="s">
        <v>544</v>
      </c>
      <c r="F16138" s="1">
        <v>2</v>
      </c>
      <c r="G16138" s="1" t="s">
        <v>28</v>
      </c>
      <c r="H16138" s="4" t="str">
        <f>HYPERLINK("https://portal.gdc.cancer.gov/cases/76b54726-d348-4a1b-ae26-5b08d2effc9d","TCGA-EK-A2IP-01A")</f>
        <v>TCGA-EK-A2IP-01A</v>
      </c>
      <c r="I16138" t="s">
        <v>444</v>
      </c>
      <c r="J16138" t="s">
        <v>535</v>
      </c>
      <c r="K16138" t="s">
        <v>33</v>
      </c>
      <c r="L16138" t="s">
        <v>445</v>
      </c>
      <c r="N16138" t="s">
        <v>29</v>
      </c>
    </row>
    <row r="16139" spans="1:14">
      <c r="A16139" s="4" t="str">
        <f t="shared" si="1217"/>
        <v>EXP00420</v>
      </c>
      <c r="B16139" s="3" t="s">
        <v>66</v>
      </c>
      <c r="C16139" s="4" t="str">
        <f t="shared" si="1218"/>
        <v>TCGA-CESC</v>
      </c>
      <c r="D16139" s="1" t="s">
        <v>493</v>
      </c>
      <c r="E16139" t="s">
        <v>544</v>
      </c>
      <c r="F16139" s="1">
        <v>2</v>
      </c>
      <c r="G16139" s="1" t="s">
        <v>28</v>
      </c>
      <c r="H16139" s="4" t="str">
        <f>HYPERLINK("https://portal.gdc.cancer.gov/cases/a04cb81e-53bd-4686-9626-52ee87e3e261","TCGA-EK-A2IR-01A")</f>
        <v>TCGA-EK-A2IR-01A</v>
      </c>
      <c r="I16139" t="s">
        <v>444</v>
      </c>
      <c r="J16139" t="s">
        <v>535</v>
      </c>
      <c r="K16139" t="s">
        <v>33</v>
      </c>
      <c r="L16139" t="s">
        <v>445</v>
      </c>
      <c r="N16139" t="s">
        <v>29</v>
      </c>
    </row>
    <row r="16140" spans="1:14">
      <c r="A16140" s="4" t="str">
        <f t="shared" si="1217"/>
        <v>EXP00420</v>
      </c>
      <c r="B16140" s="3" t="s">
        <v>66</v>
      </c>
      <c r="C16140" s="4" t="str">
        <f t="shared" si="1218"/>
        <v>TCGA-CESC</v>
      </c>
      <c r="D16140" s="1" t="s">
        <v>493</v>
      </c>
      <c r="E16140" t="s">
        <v>544</v>
      </c>
      <c r="F16140" s="1">
        <v>2</v>
      </c>
      <c r="G16140" s="1" t="s">
        <v>28</v>
      </c>
      <c r="H16140" s="4" t="str">
        <f>HYPERLINK("https://portal.gdc.cancer.gov/cases/5194a247-cfee-4c11-9475-cf5521a8c6e3","TCGA-EK-A2PG-01A")</f>
        <v>TCGA-EK-A2PG-01A</v>
      </c>
      <c r="I16140" t="s">
        <v>444</v>
      </c>
      <c r="J16140" t="s">
        <v>535</v>
      </c>
      <c r="K16140" t="s">
        <v>33</v>
      </c>
      <c r="L16140" t="s">
        <v>445</v>
      </c>
      <c r="N16140" t="s">
        <v>29</v>
      </c>
    </row>
    <row r="16141" spans="1:14">
      <c r="A16141" s="4" t="str">
        <f t="shared" si="1217"/>
        <v>EXP00420</v>
      </c>
      <c r="B16141" s="3" t="s">
        <v>66</v>
      </c>
      <c r="C16141" s="4" t="str">
        <f t="shared" si="1218"/>
        <v>TCGA-CESC</v>
      </c>
      <c r="D16141" s="1" t="s">
        <v>493</v>
      </c>
      <c r="E16141" t="s">
        <v>544</v>
      </c>
      <c r="F16141" s="1">
        <v>2</v>
      </c>
      <c r="G16141" s="1" t="s">
        <v>28</v>
      </c>
      <c r="H16141" s="4" t="str">
        <f>HYPERLINK("https://portal.gdc.cancer.gov/cases/bfd82578-8b60-4c23-85a1-fc14a1cf5f12","TCGA-EK-A2PI-01A")</f>
        <v>TCGA-EK-A2PI-01A</v>
      </c>
      <c r="I16141" t="s">
        <v>444</v>
      </c>
      <c r="J16141" t="s">
        <v>535</v>
      </c>
      <c r="K16141" t="s">
        <v>33</v>
      </c>
      <c r="L16141" t="s">
        <v>445</v>
      </c>
      <c r="N16141" t="s">
        <v>29</v>
      </c>
    </row>
    <row r="16142" spans="1:14">
      <c r="A16142" s="4" t="str">
        <f t="shared" si="1217"/>
        <v>EXP00420</v>
      </c>
      <c r="B16142" s="3" t="s">
        <v>66</v>
      </c>
      <c r="C16142" s="4" t="str">
        <f t="shared" si="1218"/>
        <v>TCGA-CESC</v>
      </c>
      <c r="D16142" s="1" t="s">
        <v>493</v>
      </c>
      <c r="E16142" t="s">
        <v>544</v>
      </c>
      <c r="F16142" s="1">
        <v>2</v>
      </c>
      <c r="G16142" s="1" t="s">
        <v>28</v>
      </c>
      <c r="H16142" s="4" t="str">
        <f>HYPERLINK("https://portal.gdc.cancer.gov/cases/0809ba8b-4ab6-4f43-934c-c1ccbc014a7e","TCGA-EK-A2PK-01A")</f>
        <v>TCGA-EK-A2PK-01A</v>
      </c>
      <c r="I16142" t="s">
        <v>444</v>
      </c>
      <c r="J16142" t="s">
        <v>535</v>
      </c>
      <c r="K16142" t="s">
        <v>33</v>
      </c>
      <c r="L16142" t="s">
        <v>445</v>
      </c>
      <c r="N16142" t="s">
        <v>29</v>
      </c>
    </row>
    <row r="16143" spans="1:14">
      <c r="A16143" s="4" t="str">
        <f t="shared" si="1217"/>
        <v>EXP00420</v>
      </c>
      <c r="B16143" s="3" t="s">
        <v>66</v>
      </c>
      <c r="C16143" s="4" t="str">
        <f t="shared" si="1218"/>
        <v>TCGA-CESC</v>
      </c>
      <c r="D16143" s="1" t="s">
        <v>493</v>
      </c>
      <c r="E16143" t="s">
        <v>544</v>
      </c>
      <c r="F16143" s="1">
        <v>2</v>
      </c>
      <c r="G16143" s="1" t="s">
        <v>28</v>
      </c>
      <c r="H16143" s="4" t="str">
        <f>HYPERLINK("https://portal.gdc.cancer.gov/cases/45cadcf3-ea98-4063-9255-5c18d6a5cbab","TCGA-EK-A2PL-01A")</f>
        <v>TCGA-EK-A2PL-01A</v>
      </c>
      <c r="I16143" t="s">
        <v>444</v>
      </c>
      <c r="J16143" t="s">
        <v>535</v>
      </c>
      <c r="K16143" t="s">
        <v>33</v>
      </c>
      <c r="L16143" t="s">
        <v>445</v>
      </c>
      <c r="N16143" t="s">
        <v>29</v>
      </c>
    </row>
    <row r="16144" spans="1:14">
      <c r="A16144" s="4" t="str">
        <f t="shared" si="1217"/>
        <v>EXP00420</v>
      </c>
      <c r="B16144" s="3" t="s">
        <v>66</v>
      </c>
      <c r="C16144" s="4" t="str">
        <f t="shared" si="1218"/>
        <v>TCGA-CESC</v>
      </c>
      <c r="D16144" s="1" t="s">
        <v>493</v>
      </c>
      <c r="E16144" t="s">
        <v>544</v>
      </c>
      <c r="F16144" s="1">
        <v>2</v>
      </c>
      <c r="G16144" s="1" t="s">
        <v>28</v>
      </c>
      <c r="H16144" s="4" t="str">
        <f>HYPERLINK("https://portal.gdc.cancer.gov/cases/085fb6d8-6265-484e-9307-8292386714b7","TCGA-EK-A2PM-01A")</f>
        <v>TCGA-EK-A2PM-01A</v>
      </c>
      <c r="I16144" t="s">
        <v>444</v>
      </c>
      <c r="J16144" t="s">
        <v>535</v>
      </c>
      <c r="K16144" t="s">
        <v>33</v>
      </c>
      <c r="L16144" t="s">
        <v>445</v>
      </c>
      <c r="N16144" t="s">
        <v>29</v>
      </c>
    </row>
    <row r="16145" spans="1:14">
      <c r="A16145" s="4" t="str">
        <f t="shared" ref="A16145:A16208" si="1219">HYPERLINK("http://hcmdb.i-sanger.com/experiment/details/experiment_id/EXP00420","EXP00420")</f>
        <v>EXP00420</v>
      </c>
      <c r="B16145" s="3" t="s">
        <v>66</v>
      </c>
      <c r="C16145" s="4" t="str">
        <f t="shared" si="1218"/>
        <v>TCGA-CESC</v>
      </c>
      <c r="D16145" s="1" t="s">
        <v>493</v>
      </c>
      <c r="E16145" t="s">
        <v>544</v>
      </c>
      <c r="F16145" s="1">
        <v>2</v>
      </c>
      <c r="G16145" s="1" t="s">
        <v>28</v>
      </c>
      <c r="H16145" s="4" t="str">
        <f>HYPERLINK("https://portal.gdc.cancer.gov/cases/d7a75bf5-5189-4978-99d9-fcef91c9fbd2","TCGA-EK-A2R7-01A")</f>
        <v>TCGA-EK-A2R7-01A</v>
      </c>
      <c r="I16145" t="s">
        <v>444</v>
      </c>
      <c r="J16145" t="s">
        <v>535</v>
      </c>
      <c r="K16145" t="s">
        <v>33</v>
      </c>
      <c r="L16145" t="s">
        <v>445</v>
      </c>
      <c r="N16145" t="s">
        <v>29</v>
      </c>
    </row>
    <row r="16146" spans="1:14">
      <c r="A16146" s="4" t="str">
        <f t="shared" si="1219"/>
        <v>EXP00420</v>
      </c>
      <c r="B16146" s="3" t="s">
        <v>66</v>
      </c>
      <c r="C16146" s="4" t="str">
        <f t="shared" si="1218"/>
        <v>TCGA-CESC</v>
      </c>
      <c r="D16146" s="1" t="s">
        <v>493</v>
      </c>
      <c r="E16146" t="s">
        <v>544</v>
      </c>
      <c r="F16146" s="1">
        <v>2</v>
      </c>
      <c r="G16146" s="1" t="s">
        <v>28</v>
      </c>
      <c r="H16146" s="4" t="str">
        <f>HYPERLINK("https://portal.gdc.cancer.gov/cases/d4510801-8ce4-4f10-8b31-25c0a39b5135","TCGA-EK-A2R8-01A")</f>
        <v>TCGA-EK-A2R8-01A</v>
      </c>
      <c r="I16146" t="s">
        <v>444</v>
      </c>
      <c r="J16146" t="s">
        <v>535</v>
      </c>
      <c r="K16146" t="s">
        <v>33</v>
      </c>
      <c r="L16146" t="s">
        <v>445</v>
      </c>
      <c r="N16146" t="s">
        <v>29</v>
      </c>
    </row>
    <row r="16147" spans="1:14">
      <c r="A16147" s="4" t="str">
        <f t="shared" si="1219"/>
        <v>EXP00420</v>
      </c>
      <c r="B16147" s="3" t="s">
        <v>66</v>
      </c>
      <c r="C16147" s="4" t="str">
        <f t="shared" si="1218"/>
        <v>TCGA-CESC</v>
      </c>
      <c r="D16147" s="1" t="s">
        <v>493</v>
      </c>
      <c r="E16147" t="s">
        <v>544</v>
      </c>
      <c r="F16147" s="1">
        <v>2</v>
      </c>
      <c r="G16147" s="1" t="s">
        <v>28</v>
      </c>
      <c r="H16147" s="4" t="str">
        <f>HYPERLINK("https://portal.gdc.cancer.gov/cases/00ad0ffe-2105-4829-a495-1c2aceb5bb31","TCGA-EK-A2R9-01A")</f>
        <v>TCGA-EK-A2R9-01A</v>
      </c>
      <c r="I16147" t="s">
        <v>444</v>
      </c>
      <c r="J16147" t="s">
        <v>535</v>
      </c>
      <c r="K16147" t="s">
        <v>33</v>
      </c>
      <c r="L16147" t="s">
        <v>445</v>
      </c>
      <c r="N16147" t="s">
        <v>29</v>
      </c>
    </row>
    <row r="16148" spans="1:14">
      <c r="A16148" s="4" t="str">
        <f t="shared" si="1219"/>
        <v>EXP00420</v>
      </c>
      <c r="B16148" s="3" t="s">
        <v>66</v>
      </c>
      <c r="C16148" s="4" t="str">
        <f t="shared" si="1218"/>
        <v>TCGA-CESC</v>
      </c>
      <c r="D16148" s="1" t="s">
        <v>493</v>
      </c>
      <c r="E16148" t="s">
        <v>544</v>
      </c>
      <c r="F16148" s="1">
        <v>2</v>
      </c>
      <c r="G16148" s="1" t="s">
        <v>28</v>
      </c>
      <c r="H16148" s="4" t="str">
        <f>HYPERLINK("https://portal.gdc.cancer.gov/cases/ada77320-fd05-4e43-be72-864391044b35","TCGA-EK-A2RA-01A")</f>
        <v>TCGA-EK-A2RA-01A</v>
      </c>
      <c r="I16148" t="s">
        <v>444</v>
      </c>
      <c r="J16148" t="s">
        <v>535</v>
      </c>
      <c r="K16148" t="s">
        <v>33</v>
      </c>
      <c r="L16148" t="s">
        <v>445</v>
      </c>
      <c r="N16148" t="s">
        <v>29</v>
      </c>
    </row>
    <row r="16149" spans="1:14">
      <c r="A16149" s="4" t="str">
        <f t="shared" si="1219"/>
        <v>EXP00420</v>
      </c>
      <c r="B16149" s="3" t="s">
        <v>66</v>
      </c>
      <c r="C16149" s="4" t="str">
        <f t="shared" si="1218"/>
        <v>TCGA-CESC</v>
      </c>
      <c r="D16149" s="1" t="s">
        <v>493</v>
      </c>
      <c r="E16149" t="s">
        <v>544</v>
      </c>
      <c r="F16149" s="1">
        <v>2</v>
      </c>
      <c r="G16149" s="1" t="s">
        <v>28</v>
      </c>
      <c r="H16149" s="4" t="str">
        <f>HYPERLINK("https://portal.gdc.cancer.gov/cases/f92a994d-b080-42c9-966f-34c1000865e3","TCGA-EK-A2RB-01A")</f>
        <v>TCGA-EK-A2RB-01A</v>
      </c>
      <c r="I16149" t="s">
        <v>444</v>
      </c>
      <c r="J16149" t="s">
        <v>535</v>
      </c>
      <c r="K16149" t="s">
        <v>33</v>
      </c>
      <c r="L16149" t="s">
        <v>445</v>
      </c>
      <c r="N16149" t="s">
        <v>29</v>
      </c>
    </row>
    <row r="16150" spans="1:14">
      <c r="A16150" s="4" t="str">
        <f t="shared" si="1219"/>
        <v>EXP00420</v>
      </c>
      <c r="B16150" s="3" t="s">
        <v>66</v>
      </c>
      <c r="C16150" s="4" t="str">
        <f t="shared" si="1218"/>
        <v>TCGA-CESC</v>
      </c>
      <c r="D16150" s="1" t="s">
        <v>493</v>
      </c>
      <c r="E16150" t="s">
        <v>544</v>
      </c>
      <c r="F16150" s="1">
        <v>2</v>
      </c>
      <c r="G16150" s="1" t="s">
        <v>28</v>
      </c>
      <c r="H16150" s="4" t="str">
        <f>HYPERLINK("https://portal.gdc.cancer.gov/cases/ac0ae100-8072-47cc-81d9-8b52b1bf9236","TCGA-EK-A2RC-01A")</f>
        <v>TCGA-EK-A2RC-01A</v>
      </c>
      <c r="I16150" t="s">
        <v>444</v>
      </c>
      <c r="J16150" t="s">
        <v>535</v>
      </c>
      <c r="K16150" t="s">
        <v>33</v>
      </c>
      <c r="L16150" t="s">
        <v>445</v>
      </c>
      <c r="N16150" t="s">
        <v>29</v>
      </c>
    </row>
    <row r="16151" spans="1:14">
      <c r="A16151" s="4" t="str">
        <f t="shared" si="1219"/>
        <v>EXP00420</v>
      </c>
      <c r="B16151" s="3" t="s">
        <v>66</v>
      </c>
      <c r="C16151" s="4" t="str">
        <f t="shared" si="1218"/>
        <v>TCGA-CESC</v>
      </c>
      <c r="D16151" s="1" t="s">
        <v>493</v>
      </c>
      <c r="E16151" t="s">
        <v>544</v>
      </c>
      <c r="F16151" s="1">
        <v>2</v>
      </c>
      <c r="G16151" s="1" t="s">
        <v>28</v>
      </c>
      <c r="H16151" s="4" t="str">
        <f>HYPERLINK("https://portal.gdc.cancer.gov/cases/9aa36ac2-8418-4109-a3c1-63ca8742baab","TCGA-EK-A2RE-01A")</f>
        <v>TCGA-EK-A2RE-01A</v>
      </c>
      <c r="I16151" t="s">
        <v>444</v>
      </c>
      <c r="J16151" t="s">
        <v>535</v>
      </c>
      <c r="K16151" t="s">
        <v>33</v>
      </c>
      <c r="L16151" t="s">
        <v>445</v>
      </c>
      <c r="N16151" t="s">
        <v>29</v>
      </c>
    </row>
    <row r="16152" spans="1:14">
      <c r="A16152" s="4" t="str">
        <f t="shared" si="1219"/>
        <v>EXP00420</v>
      </c>
      <c r="B16152" s="3" t="s">
        <v>66</v>
      </c>
      <c r="C16152" s="4" t="str">
        <f t="shared" si="1218"/>
        <v>TCGA-CESC</v>
      </c>
      <c r="D16152" s="1" t="s">
        <v>493</v>
      </c>
      <c r="E16152" t="s">
        <v>544</v>
      </c>
      <c r="F16152" s="1">
        <v>2</v>
      </c>
      <c r="G16152" s="1" t="s">
        <v>28</v>
      </c>
      <c r="H16152" s="4" t="str">
        <f>HYPERLINK("https://portal.gdc.cancer.gov/cases/ccd569e9-dcbe-4280-8c21-6bfe4ce60d7a","TCGA-EK-A2RJ-01A")</f>
        <v>TCGA-EK-A2RJ-01A</v>
      </c>
      <c r="I16152" t="s">
        <v>444</v>
      </c>
      <c r="J16152" t="s">
        <v>535</v>
      </c>
      <c r="K16152" t="s">
        <v>33</v>
      </c>
      <c r="L16152" t="s">
        <v>445</v>
      </c>
      <c r="N16152" t="s">
        <v>29</v>
      </c>
    </row>
    <row r="16153" spans="1:14">
      <c r="A16153" s="4" t="str">
        <f t="shared" si="1219"/>
        <v>EXP00420</v>
      </c>
      <c r="B16153" s="3" t="s">
        <v>66</v>
      </c>
      <c r="C16153" s="4" t="str">
        <f t="shared" si="1218"/>
        <v>TCGA-CESC</v>
      </c>
      <c r="D16153" s="1" t="s">
        <v>493</v>
      </c>
      <c r="E16153" t="s">
        <v>544</v>
      </c>
      <c r="F16153" s="1">
        <v>2</v>
      </c>
      <c r="G16153" s="1" t="s">
        <v>28</v>
      </c>
      <c r="H16153" s="4" t="str">
        <f>HYPERLINK("https://portal.gdc.cancer.gov/cases/acbfeb99-2b6b-4232-9ab5-a58549c6bc3a","TCGA-EK-A2RK-01A")</f>
        <v>TCGA-EK-A2RK-01A</v>
      </c>
      <c r="I16153" t="s">
        <v>444</v>
      </c>
      <c r="J16153" t="s">
        <v>535</v>
      </c>
      <c r="K16153" t="s">
        <v>33</v>
      </c>
      <c r="L16153" t="s">
        <v>445</v>
      </c>
      <c r="N16153" t="s">
        <v>29</v>
      </c>
    </row>
    <row r="16154" spans="1:14">
      <c r="A16154" s="4" t="str">
        <f t="shared" si="1219"/>
        <v>EXP00420</v>
      </c>
      <c r="B16154" s="3" t="s">
        <v>66</v>
      </c>
      <c r="C16154" s="4" t="str">
        <f t="shared" si="1218"/>
        <v>TCGA-CESC</v>
      </c>
      <c r="D16154" s="1" t="s">
        <v>493</v>
      </c>
      <c r="E16154" t="s">
        <v>544</v>
      </c>
      <c r="F16154" s="1">
        <v>2</v>
      </c>
      <c r="G16154" s="1" t="s">
        <v>28</v>
      </c>
      <c r="H16154" s="4" t="str">
        <f>HYPERLINK("https://portal.gdc.cancer.gov/cases/61eb08d0-ea01-45e7-884b-ac3d6070172a","TCGA-EK-A2RL-01A")</f>
        <v>TCGA-EK-A2RL-01A</v>
      </c>
      <c r="I16154" t="s">
        <v>444</v>
      </c>
      <c r="J16154" t="s">
        <v>535</v>
      </c>
      <c r="K16154" t="s">
        <v>33</v>
      </c>
      <c r="L16154" t="s">
        <v>445</v>
      </c>
      <c r="N16154" t="s">
        <v>29</v>
      </c>
    </row>
    <row r="16155" spans="1:14">
      <c r="A16155" s="4" t="str">
        <f t="shared" si="1219"/>
        <v>EXP00420</v>
      </c>
      <c r="B16155" s="3" t="s">
        <v>66</v>
      </c>
      <c r="C16155" s="4" t="str">
        <f t="shared" si="1218"/>
        <v>TCGA-CESC</v>
      </c>
      <c r="D16155" s="1" t="s">
        <v>493</v>
      </c>
      <c r="E16155" t="s">
        <v>544</v>
      </c>
      <c r="F16155" s="1">
        <v>2</v>
      </c>
      <c r="G16155" s="1" t="s">
        <v>28</v>
      </c>
      <c r="H16155" s="4" t="str">
        <f>HYPERLINK("https://portal.gdc.cancer.gov/cases/c13215d9-26a8-4c8b-b4fe-5da6aa3222af","TCGA-EK-A2RM-01A")</f>
        <v>TCGA-EK-A2RM-01A</v>
      </c>
      <c r="I16155" t="s">
        <v>444</v>
      </c>
      <c r="J16155" t="s">
        <v>535</v>
      </c>
      <c r="K16155" t="s">
        <v>33</v>
      </c>
      <c r="L16155" t="s">
        <v>445</v>
      </c>
      <c r="N16155" t="s">
        <v>29</v>
      </c>
    </row>
    <row r="16156" spans="1:14">
      <c r="A16156" s="4" t="str">
        <f t="shared" si="1219"/>
        <v>EXP00420</v>
      </c>
      <c r="B16156" s="3" t="s">
        <v>66</v>
      </c>
      <c r="C16156" s="4" t="str">
        <f t="shared" si="1218"/>
        <v>TCGA-CESC</v>
      </c>
      <c r="D16156" s="1" t="s">
        <v>493</v>
      </c>
      <c r="E16156" t="s">
        <v>544</v>
      </c>
      <c r="F16156" s="1">
        <v>2</v>
      </c>
      <c r="G16156" s="1" t="s">
        <v>28</v>
      </c>
      <c r="H16156" s="4" t="str">
        <f>HYPERLINK("https://portal.gdc.cancer.gov/cases/b610d391-0c9d-4114-94d6-5e4aa4270122","TCGA-EK-A2RN-01A")</f>
        <v>TCGA-EK-A2RN-01A</v>
      </c>
      <c r="I16156" t="s">
        <v>444</v>
      </c>
      <c r="J16156" t="s">
        <v>535</v>
      </c>
      <c r="K16156" t="s">
        <v>33</v>
      </c>
      <c r="L16156" t="s">
        <v>445</v>
      </c>
      <c r="N16156" t="s">
        <v>29</v>
      </c>
    </row>
    <row r="16157" spans="1:14">
      <c r="A16157" s="4" t="str">
        <f t="shared" si="1219"/>
        <v>EXP00420</v>
      </c>
      <c r="B16157" s="3" t="s">
        <v>66</v>
      </c>
      <c r="C16157" s="4" t="str">
        <f t="shared" si="1218"/>
        <v>TCGA-CESC</v>
      </c>
      <c r="D16157" s="1" t="s">
        <v>493</v>
      </c>
      <c r="E16157" t="s">
        <v>544</v>
      </c>
      <c r="F16157" s="1">
        <v>2</v>
      </c>
      <c r="G16157" s="1" t="s">
        <v>28</v>
      </c>
      <c r="H16157" s="4" t="str">
        <f>HYPERLINK("https://portal.gdc.cancer.gov/cases/c996cffb-8132-4973-987d-143274b6a081","TCGA-EK-A2RO-01A")</f>
        <v>TCGA-EK-A2RO-01A</v>
      </c>
      <c r="I16157" t="s">
        <v>444</v>
      </c>
      <c r="J16157" t="s">
        <v>535</v>
      </c>
      <c r="K16157" t="s">
        <v>33</v>
      </c>
      <c r="L16157" t="s">
        <v>445</v>
      </c>
      <c r="N16157" t="s">
        <v>29</v>
      </c>
    </row>
    <row r="16158" spans="1:14">
      <c r="A16158" s="4" t="str">
        <f t="shared" si="1219"/>
        <v>EXP00420</v>
      </c>
      <c r="B16158" s="3" t="s">
        <v>66</v>
      </c>
      <c r="C16158" s="4" t="str">
        <f t="shared" si="1218"/>
        <v>TCGA-CESC</v>
      </c>
      <c r="D16158" s="1" t="s">
        <v>493</v>
      </c>
      <c r="E16158" t="s">
        <v>544</v>
      </c>
      <c r="F16158" s="1">
        <v>2</v>
      </c>
      <c r="G16158" s="1" t="s">
        <v>28</v>
      </c>
      <c r="H16158" s="4" t="str">
        <f>HYPERLINK("https://portal.gdc.cancer.gov/cases/deda68dd-e9ad-45cc-9dbb-1c5836ef6519","TCGA-EK-A3GJ-01A")</f>
        <v>TCGA-EK-A3GJ-01A</v>
      </c>
      <c r="I16158" t="s">
        <v>444</v>
      </c>
      <c r="J16158" t="s">
        <v>535</v>
      </c>
      <c r="K16158" t="s">
        <v>33</v>
      </c>
      <c r="L16158" t="s">
        <v>445</v>
      </c>
      <c r="N16158" t="s">
        <v>29</v>
      </c>
    </row>
    <row r="16159" spans="1:14">
      <c r="A16159" s="4" t="str">
        <f t="shared" si="1219"/>
        <v>EXP00420</v>
      </c>
      <c r="B16159" s="3" t="s">
        <v>66</v>
      </c>
      <c r="C16159" s="4" t="str">
        <f t="shared" si="1218"/>
        <v>TCGA-CESC</v>
      </c>
      <c r="D16159" s="1" t="s">
        <v>493</v>
      </c>
      <c r="E16159" t="s">
        <v>544</v>
      </c>
      <c r="F16159" s="1">
        <v>2</v>
      </c>
      <c r="G16159" s="1" t="s">
        <v>28</v>
      </c>
      <c r="H16159" s="4" t="str">
        <f>HYPERLINK("https://portal.gdc.cancer.gov/cases/d07d0a56-a25e-426b-8384-9d49e6545527","TCGA-EK-A3GK-01A")</f>
        <v>TCGA-EK-A3GK-01A</v>
      </c>
      <c r="I16159" t="s">
        <v>444</v>
      </c>
      <c r="J16159" t="s">
        <v>535</v>
      </c>
      <c r="K16159" t="s">
        <v>33</v>
      </c>
      <c r="L16159" t="s">
        <v>445</v>
      </c>
      <c r="N16159" t="s">
        <v>29</v>
      </c>
    </row>
    <row r="16160" spans="1:14">
      <c r="A16160" s="4" t="str">
        <f t="shared" si="1219"/>
        <v>EXP00420</v>
      </c>
      <c r="B16160" s="3" t="s">
        <v>66</v>
      </c>
      <c r="C16160" s="4" t="str">
        <f t="shared" si="1218"/>
        <v>TCGA-CESC</v>
      </c>
      <c r="D16160" s="1" t="s">
        <v>493</v>
      </c>
      <c r="E16160" t="s">
        <v>544</v>
      </c>
      <c r="F16160" s="1">
        <v>2</v>
      </c>
      <c r="G16160" s="1" t="s">
        <v>28</v>
      </c>
      <c r="H16160" s="4" t="str">
        <f>HYPERLINK("https://portal.gdc.cancer.gov/cases/cb780c10-8810-4384-b829-954aab1c16c8","TCGA-EK-A3GM-01A")</f>
        <v>TCGA-EK-A3GM-01A</v>
      </c>
      <c r="I16160" t="s">
        <v>444</v>
      </c>
      <c r="J16160" t="s">
        <v>535</v>
      </c>
      <c r="K16160" t="s">
        <v>33</v>
      </c>
      <c r="L16160" t="s">
        <v>445</v>
      </c>
      <c r="N16160" t="s">
        <v>29</v>
      </c>
    </row>
    <row r="16161" spans="1:14">
      <c r="A16161" s="4" t="str">
        <f t="shared" si="1219"/>
        <v>EXP00420</v>
      </c>
      <c r="B16161" s="3" t="s">
        <v>66</v>
      </c>
      <c r="C16161" s="4" t="str">
        <f t="shared" si="1218"/>
        <v>TCGA-CESC</v>
      </c>
      <c r="D16161" s="1" t="s">
        <v>493</v>
      </c>
      <c r="E16161" t="s">
        <v>544</v>
      </c>
      <c r="F16161" s="1">
        <v>2</v>
      </c>
      <c r="G16161" s="1" t="s">
        <v>28</v>
      </c>
      <c r="H16161" s="4" t="str">
        <f>HYPERLINK("https://portal.gdc.cancer.gov/cases/f727fcb9-e457-4643-9468-f739133b7e9c","TCGA-EK-A3GN-01A")</f>
        <v>TCGA-EK-A3GN-01A</v>
      </c>
      <c r="I16161" t="s">
        <v>444</v>
      </c>
      <c r="J16161" t="s">
        <v>535</v>
      </c>
      <c r="K16161" t="s">
        <v>33</v>
      </c>
      <c r="L16161" t="s">
        <v>445</v>
      </c>
      <c r="N16161" t="s">
        <v>29</v>
      </c>
    </row>
    <row r="16162" spans="1:14">
      <c r="A16162" s="4" t="str">
        <f t="shared" si="1219"/>
        <v>EXP00420</v>
      </c>
      <c r="B16162" s="3" t="s">
        <v>66</v>
      </c>
      <c r="C16162" s="4" t="str">
        <f t="shared" si="1218"/>
        <v>TCGA-CESC</v>
      </c>
      <c r="D16162" s="1" t="s">
        <v>493</v>
      </c>
      <c r="E16162" t="s">
        <v>544</v>
      </c>
      <c r="F16162" s="1">
        <v>2</v>
      </c>
      <c r="G16162" s="1" t="s">
        <v>28</v>
      </c>
      <c r="H16162" s="4" t="str">
        <f>HYPERLINK("https://portal.gdc.cancer.gov/cases/6b74c07a-9932-4a80-8296-9db08d0c6964","TCGA-EX-A1H5-01A")</f>
        <v>TCGA-EX-A1H5-01A</v>
      </c>
      <c r="I16162" t="s">
        <v>444</v>
      </c>
      <c r="J16162" t="s">
        <v>535</v>
      </c>
      <c r="K16162" t="s">
        <v>33</v>
      </c>
      <c r="L16162" t="s">
        <v>445</v>
      </c>
      <c r="N16162" t="s">
        <v>29</v>
      </c>
    </row>
    <row r="16163" spans="1:14">
      <c r="A16163" s="4" t="str">
        <f t="shared" si="1219"/>
        <v>EXP00420</v>
      </c>
      <c r="B16163" s="3" t="s">
        <v>66</v>
      </c>
      <c r="C16163" s="4" t="str">
        <f t="shared" si="1218"/>
        <v>TCGA-CESC</v>
      </c>
      <c r="D16163" s="1" t="s">
        <v>493</v>
      </c>
      <c r="E16163" t="s">
        <v>544</v>
      </c>
      <c r="F16163" s="1">
        <v>2</v>
      </c>
      <c r="G16163" s="1" t="s">
        <v>28</v>
      </c>
      <c r="H16163" s="4" t="str">
        <f>HYPERLINK("https://portal.gdc.cancer.gov/cases/1fe594d9-4240-49ee-8afd-c7d16a377181","TCGA-EX-A1H6-01B")</f>
        <v>TCGA-EX-A1H6-01B</v>
      </c>
      <c r="I16163" t="s">
        <v>444</v>
      </c>
      <c r="J16163" t="s">
        <v>535</v>
      </c>
      <c r="K16163" t="s">
        <v>33</v>
      </c>
      <c r="L16163" t="s">
        <v>445</v>
      </c>
      <c r="N16163" t="s">
        <v>29</v>
      </c>
    </row>
    <row r="16164" spans="1:14">
      <c r="A16164" s="4" t="str">
        <f t="shared" si="1219"/>
        <v>EXP00420</v>
      </c>
      <c r="B16164" s="3" t="s">
        <v>66</v>
      </c>
      <c r="C16164" s="4" t="str">
        <f t="shared" si="1218"/>
        <v>TCGA-CESC</v>
      </c>
      <c r="D16164" s="1" t="s">
        <v>493</v>
      </c>
      <c r="E16164" t="s">
        <v>544</v>
      </c>
      <c r="F16164" s="1">
        <v>2</v>
      </c>
      <c r="G16164" s="1" t="s">
        <v>28</v>
      </c>
      <c r="H16164" s="4" t="str">
        <f>HYPERLINK("https://portal.gdc.cancer.gov/cases/f5d90810-8c4b-4ced-9360-383e42cb54b3","TCGA-EX-A3L1-01A")</f>
        <v>TCGA-EX-A3L1-01A</v>
      </c>
      <c r="I16164" t="s">
        <v>444</v>
      </c>
      <c r="J16164" t="s">
        <v>535</v>
      </c>
      <c r="K16164" t="s">
        <v>33</v>
      </c>
      <c r="L16164" t="s">
        <v>445</v>
      </c>
      <c r="N16164" t="s">
        <v>29</v>
      </c>
    </row>
    <row r="16165" spans="1:14">
      <c r="A16165" s="4" t="str">
        <f t="shared" si="1219"/>
        <v>EXP00420</v>
      </c>
      <c r="B16165" s="3" t="s">
        <v>66</v>
      </c>
      <c r="C16165" s="4" t="str">
        <f t="shared" si="1218"/>
        <v>TCGA-CESC</v>
      </c>
      <c r="D16165" s="1" t="s">
        <v>493</v>
      </c>
      <c r="E16165" t="s">
        <v>544</v>
      </c>
      <c r="F16165" s="1">
        <v>2</v>
      </c>
      <c r="G16165" s="1" t="s">
        <v>28</v>
      </c>
      <c r="H16165" s="4" t="str">
        <f>HYPERLINK("https://portal.gdc.cancer.gov/cases/eb0eb159-732e-43ff-a402-7f2d9f67daa8","TCGA-EX-A449-01A")</f>
        <v>TCGA-EX-A449-01A</v>
      </c>
      <c r="I16165" t="s">
        <v>444</v>
      </c>
      <c r="J16165" t="s">
        <v>535</v>
      </c>
      <c r="K16165" t="s">
        <v>33</v>
      </c>
      <c r="L16165" t="s">
        <v>445</v>
      </c>
      <c r="N16165" t="s">
        <v>29</v>
      </c>
    </row>
    <row r="16166" spans="1:14">
      <c r="A16166" s="4" t="str">
        <f t="shared" si="1219"/>
        <v>EXP00420</v>
      </c>
      <c r="B16166" s="3" t="s">
        <v>66</v>
      </c>
      <c r="C16166" s="4" t="str">
        <f t="shared" si="1218"/>
        <v>TCGA-CESC</v>
      </c>
      <c r="D16166" s="1" t="s">
        <v>493</v>
      </c>
      <c r="E16166" t="s">
        <v>544</v>
      </c>
      <c r="F16166" s="1">
        <v>2</v>
      </c>
      <c r="G16166" s="1" t="s">
        <v>28</v>
      </c>
      <c r="H16166" s="4" t="str">
        <f>HYPERLINK("https://portal.gdc.cancer.gov/cases/6dca2a6f-7f2c-4524-b528-396a889b2a3f","TCGA-EX-A69L-01A")</f>
        <v>TCGA-EX-A69L-01A</v>
      </c>
      <c r="I16166" t="s">
        <v>444</v>
      </c>
      <c r="J16166" t="s">
        <v>535</v>
      </c>
      <c r="K16166" t="s">
        <v>33</v>
      </c>
      <c r="L16166" t="s">
        <v>445</v>
      </c>
      <c r="N16166" t="s">
        <v>29</v>
      </c>
    </row>
    <row r="16167" spans="1:14">
      <c r="A16167" s="4" t="str">
        <f t="shared" si="1219"/>
        <v>EXP00420</v>
      </c>
      <c r="B16167" s="3" t="s">
        <v>66</v>
      </c>
      <c r="C16167" s="4" t="str">
        <f t="shared" si="1218"/>
        <v>TCGA-CESC</v>
      </c>
      <c r="D16167" s="1" t="s">
        <v>493</v>
      </c>
      <c r="E16167" t="s">
        <v>544</v>
      </c>
      <c r="F16167" s="1">
        <v>2</v>
      </c>
      <c r="G16167" s="1" t="s">
        <v>28</v>
      </c>
      <c r="H16167" s="4" t="str">
        <f>HYPERLINK("https://portal.gdc.cancer.gov/cases/1e4d7755-b971-4c6e-a2b9-dd83d92bc4c9","TCGA-EX-A69M-01A")</f>
        <v>TCGA-EX-A69M-01A</v>
      </c>
      <c r="I16167" t="s">
        <v>444</v>
      </c>
      <c r="J16167" t="s">
        <v>535</v>
      </c>
      <c r="K16167" t="s">
        <v>33</v>
      </c>
      <c r="L16167" t="s">
        <v>445</v>
      </c>
      <c r="N16167" t="s">
        <v>29</v>
      </c>
    </row>
    <row r="16168" spans="1:14">
      <c r="A16168" s="4" t="str">
        <f t="shared" si="1219"/>
        <v>EXP00420</v>
      </c>
      <c r="B16168" s="3" t="s">
        <v>66</v>
      </c>
      <c r="C16168" s="4" t="str">
        <f t="shared" si="1218"/>
        <v>TCGA-CESC</v>
      </c>
      <c r="D16168" s="1" t="s">
        <v>493</v>
      </c>
      <c r="E16168" t="s">
        <v>544</v>
      </c>
      <c r="F16168" s="1">
        <v>2</v>
      </c>
      <c r="G16168" s="1" t="s">
        <v>28</v>
      </c>
      <c r="H16168" s="4" t="str">
        <f>HYPERLINK("https://portal.gdc.cancer.gov/cases/1dfb4565-81e1-4a1b-bb59-9b5629d6c447","TCGA-EX-A8YF-01A")</f>
        <v>TCGA-EX-A8YF-01A</v>
      </c>
      <c r="I16168" t="s">
        <v>444</v>
      </c>
      <c r="J16168" t="s">
        <v>535</v>
      </c>
      <c r="K16168" t="s">
        <v>33</v>
      </c>
      <c r="L16168" t="s">
        <v>445</v>
      </c>
      <c r="N16168" t="s">
        <v>29</v>
      </c>
    </row>
    <row r="16169" spans="1:14">
      <c r="A16169" s="4" t="str">
        <f t="shared" si="1219"/>
        <v>EXP00420</v>
      </c>
      <c r="B16169" s="3" t="s">
        <v>66</v>
      </c>
      <c r="C16169" s="4" t="str">
        <f t="shared" si="1218"/>
        <v>TCGA-CESC</v>
      </c>
      <c r="D16169" s="1" t="s">
        <v>493</v>
      </c>
      <c r="E16169" t="s">
        <v>544</v>
      </c>
      <c r="F16169" s="1">
        <v>2</v>
      </c>
      <c r="G16169" s="1" t="s">
        <v>28</v>
      </c>
      <c r="H16169" s="4" t="str">
        <f>HYPERLINK("https://portal.gdc.cancer.gov/cases/85abfd69-cf72-43f6-a7dd-97056f22c91b","TCGA-FU-A23K-01A")</f>
        <v>TCGA-FU-A23K-01A</v>
      </c>
      <c r="I16169" t="s">
        <v>444</v>
      </c>
      <c r="J16169" t="s">
        <v>535</v>
      </c>
      <c r="K16169" t="s">
        <v>33</v>
      </c>
      <c r="L16169" t="s">
        <v>445</v>
      </c>
      <c r="N16169" t="s">
        <v>29</v>
      </c>
    </row>
    <row r="16170" spans="1:14">
      <c r="A16170" s="4" t="str">
        <f t="shared" si="1219"/>
        <v>EXP00420</v>
      </c>
      <c r="B16170" s="3" t="s">
        <v>66</v>
      </c>
      <c r="C16170" s="4" t="str">
        <f t="shared" si="1218"/>
        <v>TCGA-CESC</v>
      </c>
      <c r="D16170" s="1" t="s">
        <v>493</v>
      </c>
      <c r="E16170" t="s">
        <v>544</v>
      </c>
      <c r="F16170" s="1">
        <v>2</v>
      </c>
      <c r="G16170" s="1" t="s">
        <v>28</v>
      </c>
      <c r="H16170" s="4" t="str">
        <f>HYPERLINK("https://portal.gdc.cancer.gov/cases/86731af9-2d33-4521-9cf9-5f6152ca15d7","TCGA-FU-A23L-01A")</f>
        <v>TCGA-FU-A23L-01A</v>
      </c>
      <c r="I16170" t="s">
        <v>444</v>
      </c>
      <c r="J16170" t="s">
        <v>535</v>
      </c>
      <c r="K16170" t="s">
        <v>33</v>
      </c>
      <c r="L16170" t="s">
        <v>445</v>
      </c>
      <c r="N16170" t="s">
        <v>29</v>
      </c>
    </row>
    <row r="16171" spans="1:14">
      <c r="A16171" s="4" t="str">
        <f t="shared" si="1219"/>
        <v>EXP00420</v>
      </c>
      <c r="B16171" s="3" t="s">
        <v>66</v>
      </c>
      <c r="C16171" s="4" t="str">
        <f t="shared" si="1218"/>
        <v>TCGA-CESC</v>
      </c>
      <c r="D16171" s="1" t="s">
        <v>493</v>
      </c>
      <c r="E16171" t="s">
        <v>544</v>
      </c>
      <c r="F16171" s="1">
        <v>2</v>
      </c>
      <c r="G16171" s="1" t="s">
        <v>28</v>
      </c>
      <c r="H16171" s="4" t="str">
        <f>HYPERLINK("https://portal.gdc.cancer.gov/cases/d5d8a818-d689-4c6f-96b0-13f2cb10c3ca","TCGA-FU-A2QG-01A")</f>
        <v>TCGA-FU-A2QG-01A</v>
      </c>
      <c r="I16171" t="s">
        <v>444</v>
      </c>
      <c r="J16171" t="s">
        <v>535</v>
      </c>
      <c r="K16171" t="s">
        <v>33</v>
      </c>
      <c r="L16171" t="s">
        <v>445</v>
      </c>
      <c r="N16171" t="s">
        <v>29</v>
      </c>
    </row>
    <row r="16172" spans="1:14">
      <c r="A16172" s="4" t="str">
        <f t="shared" si="1219"/>
        <v>EXP00420</v>
      </c>
      <c r="B16172" s="3" t="s">
        <v>66</v>
      </c>
      <c r="C16172" s="4" t="str">
        <f t="shared" si="1218"/>
        <v>TCGA-CESC</v>
      </c>
      <c r="D16172" s="1" t="s">
        <v>493</v>
      </c>
      <c r="E16172" t="s">
        <v>544</v>
      </c>
      <c r="F16172" s="1">
        <v>2</v>
      </c>
      <c r="G16172" s="1" t="s">
        <v>28</v>
      </c>
      <c r="H16172" s="4" t="str">
        <f>HYPERLINK("https://portal.gdc.cancer.gov/cases/b7f2958f-256e-4c30-9c61-11e76ddb36ba","TCGA-FU-A3EO-01A")</f>
        <v>TCGA-FU-A3EO-01A</v>
      </c>
      <c r="I16172" t="s">
        <v>444</v>
      </c>
      <c r="J16172" t="s">
        <v>535</v>
      </c>
      <c r="K16172" t="s">
        <v>33</v>
      </c>
      <c r="L16172" t="s">
        <v>445</v>
      </c>
      <c r="N16172" t="s">
        <v>29</v>
      </c>
    </row>
    <row r="16173" spans="1:14">
      <c r="A16173" s="4" t="str">
        <f t="shared" si="1219"/>
        <v>EXP00420</v>
      </c>
      <c r="B16173" s="3" t="s">
        <v>66</v>
      </c>
      <c r="C16173" s="4" t="str">
        <f t="shared" si="1218"/>
        <v>TCGA-CESC</v>
      </c>
      <c r="D16173" s="1" t="s">
        <v>493</v>
      </c>
      <c r="E16173" t="s">
        <v>544</v>
      </c>
      <c r="F16173" s="1">
        <v>2</v>
      </c>
      <c r="G16173" s="1" t="s">
        <v>28</v>
      </c>
      <c r="H16173" s="4" t="str">
        <f>HYPERLINK("https://portal.gdc.cancer.gov/cases/674e010c-7ad4-4dc2-86b0-284cd4560633","TCGA-FU-A3HY-01A")</f>
        <v>TCGA-FU-A3HY-01A</v>
      </c>
      <c r="I16173" t="s">
        <v>444</v>
      </c>
      <c r="J16173" t="s">
        <v>535</v>
      </c>
      <c r="K16173" t="s">
        <v>33</v>
      </c>
      <c r="L16173" t="s">
        <v>445</v>
      </c>
      <c r="N16173" t="s">
        <v>29</v>
      </c>
    </row>
    <row r="16174" spans="1:14">
      <c r="A16174" s="4" t="str">
        <f t="shared" si="1219"/>
        <v>EXP00420</v>
      </c>
      <c r="B16174" s="3" t="s">
        <v>66</v>
      </c>
      <c r="C16174" s="4" t="str">
        <f t="shared" si="1218"/>
        <v>TCGA-CESC</v>
      </c>
      <c r="D16174" s="1" t="s">
        <v>493</v>
      </c>
      <c r="E16174" t="s">
        <v>544</v>
      </c>
      <c r="F16174" s="1">
        <v>2</v>
      </c>
      <c r="G16174" s="1" t="s">
        <v>28</v>
      </c>
      <c r="H16174" s="4" t="str">
        <f>HYPERLINK("https://portal.gdc.cancer.gov/cases/6ff12a54-10da-4941-bfea-7b66e19b4be9","TCGA-FU-A3HZ-01A")</f>
        <v>TCGA-FU-A3HZ-01A</v>
      </c>
      <c r="I16174" t="s">
        <v>444</v>
      </c>
      <c r="J16174" t="s">
        <v>535</v>
      </c>
      <c r="K16174" t="s">
        <v>33</v>
      </c>
      <c r="L16174" t="s">
        <v>445</v>
      </c>
      <c r="N16174" t="s">
        <v>29</v>
      </c>
    </row>
    <row r="16175" spans="1:14">
      <c r="A16175" s="4" t="str">
        <f t="shared" si="1219"/>
        <v>EXP00420</v>
      </c>
      <c r="B16175" s="3" t="s">
        <v>66</v>
      </c>
      <c r="C16175" s="4" t="str">
        <f t="shared" si="1218"/>
        <v>TCGA-CESC</v>
      </c>
      <c r="D16175" s="1" t="s">
        <v>493</v>
      </c>
      <c r="E16175" t="s">
        <v>544</v>
      </c>
      <c r="F16175" s="1">
        <v>2</v>
      </c>
      <c r="G16175" s="1" t="s">
        <v>28</v>
      </c>
      <c r="H16175" s="4" t="str">
        <f>HYPERLINK("https://portal.gdc.cancer.gov/cases/dac27c24-cdbf-4527-9214-178fde3d098a","TCGA-FU-A3NI-01A")</f>
        <v>TCGA-FU-A3NI-01A</v>
      </c>
      <c r="I16175" t="s">
        <v>444</v>
      </c>
      <c r="J16175" t="s">
        <v>535</v>
      </c>
      <c r="K16175" t="s">
        <v>33</v>
      </c>
      <c r="L16175" t="s">
        <v>445</v>
      </c>
      <c r="N16175" t="s">
        <v>29</v>
      </c>
    </row>
    <row r="16176" spans="1:14">
      <c r="A16176" s="4" t="str">
        <f t="shared" si="1219"/>
        <v>EXP00420</v>
      </c>
      <c r="B16176" s="3" t="s">
        <v>66</v>
      </c>
      <c r="C16176" s="4" t="str">
        <f t="shared" si="1218"/>
        <v>TCGA-CESC</v>
      </c>
      <c r="D16176" s="1" t="s">
        <v>493</v>
      </c>
      <c r="E16176" t="s">
        <v>544</v>
      </c>
      <c r="F16176" s="1">
        <v>2</v>
      </c>
      <c r="G16176" s="1" t="s">
        <v>28</v>
      </c>
      <c r="H16176" s="4" t="str">
        <f>HYPERLINK("https://portal.gdc.cancer.gov/cases/7218aa6f-3345-484f-a329-a3b6169a67c7","TCGA-FU-A3TQ-01A")</f>
        <v>TCGA-FU-A3TQ-01A</v>
      </c>
      <c r="I16176" t="s">
        <v>444</v>
      </c>
      <c r="J16176" t="s">
        <v>535</v>
      </c>
      <c r="K16176" t="s">
        <v>33</v>
      </c>
      <c r="L16176" t="s">
        <v>445</v>
      </c>
      <c r="N16176" t="s">
        <v>29</v>
      </c>
    </row>
    <row r="16177" spans="1:14">
      <c r="A16177" s="4" t="str">
        <f t="shared" si="1219"/>
        <v>EXP00420</v>
      </c>
      <c r="B16177" s="3" t="s">
        <v>66</v>
      </c>
      <c r="C16177" s="4" t="str">
        <f t="shared" si="1218"/>
        <v>TCGA-CESC</v>
      </c>
      <c r="D16177" s="1" t="s">
        <v>493</v>
      </c>
      <c r="E16177" t="s">
        <v>544</v>
      </c>
      <c r="F16177" s="1">
        <v>2</v>
      </c>
      <c r="G16177" s="1" t="s">
        <v>28</v>
      </c>
      <c r="H16177" s="4" t="str">
        <f>HYPERLINK("https://portal.gdc.cancer.gov/cases/b75644c2-b515-41ce-9b03-842ef5208a17","TCGA-FU-A3TX-01A")</f>
        <v>TCGA-FU-A3TX-01A</v>
      </c>
      <c r="I16177" t="s">
        <v>444</v>
      </c>
      <c r="J16177" t="s">
        <v>535</v>
      </c>
      <c r="K16177" t="s">
        <v>33</v>
      </c>
      <c r="L16177" t="s">
        <v>445</v>
      </c>
      <c r="N16177" t="s">
        <v>29</v>
      </c>
    </row>
    <row r="16178" spans="1:14">
      <c r="A16178" s="4" t="str">
        <f t="shared" si="1219"/>
        <v>EXP00420</v>
      </c>
      <c r="B16178" s="3" t="s">
        <v>66</v>
      </c>
      <c r="C16178" s="4" t="str">
        <f t="shared" si="1218"/>
        <v>TCGA-CESC</v>
      </c>
      <c r="D16178" s="1" t="s">
        <v>493</v>
      </c>
      <c r="E16178" t="s">
        <v>544</v>
      </c>
      <c r="F16178" s="1">
        <v>2</v>
      </c>
      <c r="G16178" s="1" t="s">
        <v>28</v>
      </c>
      <c r="H16178" s="4" t="str">
        <f>HYPERLINK("https://portal.gdc.cancer.gov/cases/6868ba1d-b612-454c-8146-74af2f573d76","TCGA-FU-A3WB-01A")</f>
        <v>TCGA-FU-A3WB-01A</v>
      </c>
      <c r="I16178" t="s">
        <v>444</v>
      </c>
      <c r="J16178" t="s">
        <v>535</v>
      </c>
      <c r="K16178" t="s">
        <v>33</v>
      </c>
      <c r="L16178" t="s">
        <v>445</v>
      </c>
      <c r="N16178" t="s">
        <v>29</v>
      </c>
    </row>
    <row r="16179" spans="1:14">
      <c r="A16179" s="4" t="str">
        <f t="shared" si="1219"/>
        <v>EXP00420</v>
      </c>
      <c r="B16179" s="3" t="s">
        <v>66</v>
      </c>
      <c r="C16179" s="4" t="str">
        <f t="shared" si="1218"/>
        <v>TCGA-CESC</v>
      </c>
      <c r="D16179" s="1" t="s">
        <v>493</v>
      </c>
      <c r="E16179" t="s">
        <v>544</v>
      </c>
      <c r="F16179" s="1">
        <v>2</v>
      </c>
      <c r="G16179" s="1" t="s">
        <v>28</v>
      </c>
      <c r="H16179" s="4" t="str">
        <f>HYPERLINK("https://portal.gdc.cancer.gov/cases/6e01248b-c551-4f52-8066-cb2d26eb6394","TCGA-FU-A3YQ-01A")</f>
        <v>TCGA-FU-A3YQ-01A</v>
      </c>
      <c r="I16179" t="s">
        <v>444</v>
      </c>
      <c r="J16179" t="s">
        <v>535</v>
      </c>
      <c r="K16179" t="s">
        <v>33</v>
      </c>
      <c r="L16179" t="s">
        <v>445</v>
      </c>
      <c r="N16179" t="s">
        <v>29</v>
      </c>
    </row>
    <row r="16180" spans="1:14">
      <c r="A16180" s="4" t="str">
        <f t="shared" si="1219"/>
        <v>EXP00420</v>
      </c>
      <c r="B16180" s="3" t="s">
        <v>66</v>
      </c>
      <c r="C16180" s="4" t="str">
        <f t="shared" si="1218"/>
        <v>TCGA-CESC</v>
      </c>
      <c r="D16180" s="1" t="s">
        <v>493</v>
      </c>
      <c r="E16180" t="s">
        <v>544</v>
      </c>
      <c r="F16180" s="1">
        <v>2</v>
      </c>
      <c r="G16180" s="1" t="s">
        <v>28</v>
      </c>
      <c r="H16180" s="4" t="str">
        <f>HYPERLINK("https://portal.gdc.cancer.gov/cases/63dcfa32-c69e-45ad-bea3-ae672acb11c6","TCGA-FU-A40J-01A")</f>
        <v>TCGA-FU-A40J-01A</v>
      </c>
      <c r="I16180" t="s">
        <v>444</v>
      </c>
      <c r="J16180" t="s">
        <v>535</v>
      </c>
      <c r="K16180" t="s">
        <v>33</v>
      </c>
      <c r="L16180" t="s">
        <v>445</v>
      </c>
      <c r="N16180" t="s">
        <v>29</v>
      </c>
    </row>
    <row r="16181" spans="1:14">
      <c r="A16181" s="4" t="str">
        <f t="shared" si="1219"/>
        <v>EXP00420</v>
      </c>
      <c r="B16181" s="3" t="s">
        <v>66</v>
      </c>
      <c r="C16181" s="4" t="str">
        <f t="shared" si="1218"/>
        <v>TCGA-CESC</v>
      </c>
      <c r="D16181" s="1" t="s">
        <v>493</v>
      </c>
      <c r="E16181" t="s">
        <v>544</v>
      </c>
      <c r="F16181" s="1">
        <v>2</v>
      </c>
      <c r="G16181" s="1" t="s">
        <v>28</v>
      </c>
      <c r="H16181" s="4" t="str">
        <f>HYPERLINK("https://portal.gdc.cancer.gov/cases/968bd652-786c-4ddb-a937-dc480cb821fc","TCGA-FU-A57G-01A")</f>
        <v>TCGA-FU-A57G-01A</v>
      </c>
      <c r="I16181" t="s">
        <v>444</v>
      </c>
      <c r="J16181" t="s">
        <v>535</v>
      </c>
      <c r="K16181" t="s">
        <v>33</v>
      </c>
      <c r="L16181" t="s">
        <v>445</v>
      </c>
      <c r="N16181" t="s">
        <v>29</v>
      </c>
    </row>
    <row r="16182" spans="1:14">
      <c r="A16182" s="4" t="str">
        <f t="shared" si="1219"/>
        <v>EXP00420</v>
      </c>
      <c r="B16182" s="3" t="s">
        <v>66</v>
      </c>
      <c r="C16182" s="4" t="str">
        <f t="shared" si="1218"/>
        <v>TCGA-CESC</v>
      </c>
      <c r="D16182" s="1" t="s">
        <v>493</v>
      </c>
      <c r="E16182" t="s">
        <v>544</v>
      </c>
      <c r="F16182" s="1">
        <v>2</v>
      </c>
      <c r="G16182" s="1" t="s">
        <v>28</v>
      </c>
      <c r="H16182" s="4" t="str">
        <f>HYPERLINK("https://portal.gdc.cancer.gov/cases/9dba5a81-3587-4f5a-8d19-e0b0aed0a677","TCGA-FU-A5XV-01A")</f>
        <v>TCGA-FU-A5XV-01A</v>
      </c>
      <c r="I16182" t="s">
        <v>444</v>
      </c>
      <c r="J16182" t="s">
        <v>535</v>
      </c>
      <c r="K16182" t="s">
        <v>33</v>
      </c>
      <c r="L16182" t="s">
        <v>445</v>
      </c>
      <c r="N16182" t="s">
        <v>29</v>
      </c>
    </row>
    <row r="16183" spans="1:14">
      <c r="A16183" s="4" t="str">
        <f t="shared" si="1219"/>
        <v>EXP00420</v>
      </c>
      <c r="B16183" s="3" t="s">
        <v>66</v>
      </c>
      <c r="C16183" s="4" t="str">
        <f t="shared" si="1218"/>
        <v>TCGA-CESC</v>
      </c>
      <c r="D16183" s="1" t="s">
        <v>493</v>
      </c>
      <c r="E16183" t="s">
        <v>544</v>
      </c>
      <c r="F16183" s="1">
        <v>2</v>
      </c>
      <c r="G16183" s="1" t="s">
        <v>28</v>
      </c>
      <c r="H16183" s="4" t="str">
        <f>HYPERLINK("https://portal.gdc.cancer.gov/cases/128fd280-9a04-4038-9269-9a945b9a4dc9","TCGA-FU-A770-01A")</f>
        <v>TCGA-FU-A770-01A</v>
      </c>
      <c r="I16183" t="s">
        <v>444</v>
      </c>
      <c r="J16183" t="s">
        <v>535</v>
      </c>
      <c r="K16183" t="s">
        <v>33</v>
      </c>
      <c r="L16183" t="s">
        <v>445</v>
      </c>
      <c r="N16183" t="s">
        <v>29</v>
      </c>
    </row>
    <row r="16184" spans="1:14">
      <c r="A16184" s="4" t="str">
        <f t="shared" si="1219"/>
        <v>EXP00420</v>
      </c>
      <c r="B16184" s="3" t="s">
        <v>66</v>
      </c>
      <c r="C16184" s="4" t="str">
        <f t="shared" si="1218"/>
        <v>TCGA-CESC</v>
      </c>
      <c r="D16184" s="1" t="s">
        <v>493</v>
      </c>
      <c r="E16184" t="s">
        <v>544</v>
      </c>
      <c r="F16184" s="1">
        <v>2</v>
      </c>
      <c r="G16184" s="1" t="s">
        <v>28</v>
      </c>
      <c r="H16184" s="4" t="str">
        <f>HYPERLINK("https://portal.gdc.cancer.gov/cases/67195401-9099-4ca9-9790-f42bcb815289","TCGA-GH-A9DA-01A")</f>
        <v>TCGA-GH-A9DA-01A</v>
      </c>
      <c r="I16184" t="s">
        <v>444</v>
      </c>
      <c r="J16184" t="s">
        <v>535</v>
      </c>
      <c r="K16184" t="s">
        <v>33</v>
      </c>
      <c r="L16184" t="s">
        <v>445</v>
      </c>
      <c r="N16184" t="s">
        <v>29</v>
      </c>
    </row>
    <row r="16185" spans="1:14">
      <c r="A16185" s="4" t="str">
        <f t="shared" si="1219"/>
        <v>EXP00420</v>
      </c>
      <c r="B16185" s="3" t="s">
        <v>66</v>
      </c>
      <c r="C16185" s="4" t="str">
        <f t="shared" si="1218"/>
        <v>TCGA-CESC</v>
      </c>
      <c r="D16185" s="1" t="s">
        <v>493</v>
      </c>
      <c r="E16185" t="s">
        <v>544</v>
      </c>
      <c r="F16185" s="1">
        <v>2</v>
      </c>
      <c r="G16185" s="1" t="s">
        <v>28</v>
      </c>
      <c r="H16185" s="4" t="str">
        <f>HYPERLINK("https://portal.gdc.cancer.gov/cases/e2ff7cfd-a101-45b9-895f-26f403e7bdfb","TCGA-HG-A2PA-01A")</f>
        <v>TCGA-HG-A2PA-01A</v>
      </c>
      <c r="I16185" t="s">
        <v>444</v>
      </c>
      <c r="J16185" t="s">
        <v>535</v>
      </c>
      <c r="K16185" t="s">
        <v>33</v>
      </c>
      <c r="L16185" t="s">
        <v>445</v>
      </c>
      <c r="N16185" t="s">
        <v>29</v>
      </c>
    </row>
    <row r="16186" spans="1:14">
      <c r="A16186" s="4" t="str">
        <f t="shared" si="1219"/>
        <v>EXP00420</v>
      </c>
      <c r="B16186" s="3" t="s">
        <v>66</v>
      </c>
      <c r="C16186" s="4" t="str">
        <f t="shared" si="1218"/>
        <v>TCGA-CESC</v>
      </c>
      <c r="D16186" s="1" t="s">
        <v>493</v>
      </c>
      <c r="E16186" t="s">
        <v>544</v>
      </c>
      <c r="F16186" s="1">
        <v>2</v>
      </c>
      <c r="G16186" s="1" t="s">
        <v>28</v>
      </c>
      <c r="H16186" s="4" t="str">
        <f>HYPERLINK("https://portal.gdc.cancer.gov/cases/f150d999-cdec-427e-b8b2-00731c648989","TCGA-HM-A3JJ-01A")</f>
        <v>TCGA-HM-A3JJ-01A</v>
      </c>
      <c r="I16186" t="s">
        <v>444</v>
      </c>
      <c r="J16186" t="s">
        <v>535</v>
      </c>
      <c r="K16186" t="s">
        <v>33</v>
      </c>
      <c r="L16186" t="s">
        <v>445</v>
      </c>
      <c r="N16186" t="s">
        <v>29</v>
      </c>
    </row>
    <row r="16187" spans="1:14">
      <c r="A16187" s="4" t="str">
        <f t="shared" si="1219"/>
        <v>EXP00420</v>
      </c>
      <c r="B16187" s="3" t="s">
        <v>66</v>
      </c>
      <c r="C16187" s="4" t="str">
        <f t="shared" si="1218"/>
        <v>TCGA-CESC</v>
      </c>
      <c r="D16187" s="1" t="s">
        <v>493</v>
      </c>
      <c r="E16187" t="s">
        <v>544</v>
      </c>
      <c r="F16187" s="1">
        <v>2</v>
      </c>
      <c r="G16187" s="1" t="s">
        <v>28</v>
      </c>
      <c r="H16187" s="4" t="str">
        <f>HYPERLINK("https://portal.gdc.cancer.gov/cases/7c4cd55f-750e-4941-a9f3-0632a75d6531","TCGA-HM-A3JK-01A")</f>
        <v>TCGA-HM-A3JK-01A</v>
      </c>
      <c r="I16187" t="s">
        <v>444</v>
      </c>
      <c r="J16187" t="s">
        <v>535</v>
      </c>
      <c r="K16187" t="s">
        <v>33</v>
      </c>
      <c r="L16187" t="s">
        <v>445</v>
      </c>
      <c r="N16187" t="s">
        <v>29</v>
      </c>
    </row>
    <row r="16188" spans="1:14">
      <c r="A16188" s="4" t="str">
        <f t="shared" si="1219"/>
        <v>EXP00420</v>
      </c>
      <c r="B16188" s="3" t="s">
        <v>66</v>
      </c>
      <c r="C16188" s="4" t="str">
        <f t="shared" si="1218"/>
        <v>TCGA-CESC</v>
      </c>
      <c r="D16188" s="1" t="s">
        <v>493</v>
      </c>
      <c r="E16188" t="s">
        <v>544</v>
      </c>
      <c r="F16188" s="1">
        <v>2</v>
      </c>
      <c r="G16188" s="1" t="s">
        <v>28</v>
      </c>
      <c r="H16188" s="4" t="str">
        <f>HYPERLINK("https://portal.gdc.cancer.gov/cases/6bcf8b41-7abc-4b6f-899a-1f67b4ada765","TCGA-HM-A4S6-01A")</f>
        <v>TCGA-HM-A4S6-01A</v>
      </c>
      <c r="I16188" t="s">
        <v>444</v>
      </c>
      <c r="J16188" t="s">
        <v>535</v>
      </c>
      <c r="K16188" t="s">
        <v>33</v>
      </c>
      <c r="L16188" t="s">
        <v>445</v>
      </c>
      <c r="N16188" t="s">
        <v>29</v>
      </c>
    </row>
    <row r="16189" spans="1:14">
      <c r="A16189" s="4" t="str">
        <f t="shared" si="1219"/>
        <v>EXP00420</v>
      </c>
      <c r="B16189" s="3" t="s">
        <v>66</v>
      </c>
      <c r="C16189" s="4" t="str">
        <f t="shared" si="1218"/>
        <v>TCGA-CESC</v>
      </c>
      <c r="D16189" s="1" t="s">
        <v>493</v>
      </c>
      <c r="E16189" t="s">
        <v>544</v>
      </c>
      <c r="F16189" s="1">
        <v>2</v>
      </c>
      <c r="G16189" s="1" t="s">
        <v>28</v>
      </c>
      <c r="H16189" s="4" t="str">
        <f>HYPERLINK("https://portal.gdc.cancer.gov/cases/66229dd6-c771-4455-a90c-c66fb40cf7fe","TCGA-IR-A3L7-01A")</f>
        <v>TCGA-IR-A3L7-01A</v>
      </c>
      <c r="I16189" t="s">
        <v>444</v>
      </c>
      <c r="J16189" t="s">
        <v>535</v>
      </c>
      <c r="K16189" t="s">
        <v>33</v>
      </c>
      <c r="L16189" t="s">
        <v>445</v>
      </c>
      <c r="N16189" t="s">
        <v>29</v>
      </c>
    </row>
    <row r="16190" spans="1:14">
      <c r="A16190" s="4" t="str">
        <f t="shared" si="1219"/>
        <v>EXP00420</v>
      </c>
      <c r="B16190" s="3" t="s">
        <v>66</v>
      </c>
      <c r="C16190" s="4" t="str">
        <f t="shared" si="1218"/>
        <v>TCGA-CESC</v>
      </c>
      <c r="D16190" s="1" t="s">
        <v>493</v>
      </c>
      <c r="E16190" t="s">
        <v>544</v>
      </c>
      <c r="F16190" s="1">
        <v>2</v>
      </c>
      <c r="G16190" s="1" t="s">
        <v>28</v>
      </c>
      <c r="H16190" s="4" t="str">
        <f>HYPERLINK("https://portal.gdc.cancer.gov/cases/7b8c04d7-824d-493d-8f2c-9ed87a907192","TCGA-IR-A3LA-01A")</f>
        <v>TCGA-IR-A3LA-01A</v>
      </c>
      <c r="I16190" t="s">
        <v>444</v>
      </c>
      <c r="J16190" t="s">
        <v>535</v>
      </c>
      <c r="K16190" t="s">
        <v>33</v>
      </c>
      <c r="L16190" t="s">
        <v>445</v>
      </c>
      <c r="N16190" t="s">
        <v>29</v>
      </c>
    </row>
    <row r="16191" spans="1:14">
      <c r="A16191" s="4" t="str">
        <f t="shared" si="1219"/>
        <v>EXP00420</v>
      </c>
      <c r="B16191" s="3" t="s">
        <v>66</v>
      </c>
      <c r="C16191" s="4" t="str">
        <f t="shared" si="1218"/>
        <v>TCGA-CESC</v>
      </c>
      <c r="D16191" s="1" t="s">
        <v>493</v>
      </c>
      <c r="E16191" t="s">
        <v>544</v>
      </c>
      <c r="F16191" s="1">
        <v>2</v>
      </c>
      <c r="G16191" s="1" t="s">
        <v>28</v>
      </c>
      <c r="H16191" s="4" t="str">
        <f>HYPERLINK("https://portal.gdc.cancer.gov/cases/58bdcace-0047-456e-a225-68953edafe5e","TCGA-IR-A3LC-01A")</f>
        <v>TCGA-IR-A3LC-01A</v>
      </c>
      <c r="I16191" t="s">
        <v>444</v>
      </c>
      <c r="J16191" t="s">
        <v>535</v>
      </c>
      <c r="K16191" t="s">
        <v>33</v>
      </c>
      <c r="L16191" t="s">
        <v>445</v>
      </c>
      <c r="N16191" t="s">
        <v>29</v>
      </c>
    </row>
    <row r="16192" spans="1:14">
      <c r="A16192" s="4" t="str">
        <f t="shared" si="1219"/>
        <v>EXP00420</v>
      </c>
      <c r="B16192" s="3" t="s">
        <v>66</v>
      </c>
      <c r="C16192" s="4" t="str">
        <f t="shared" si="1218"/>
        <v>TCGA-CESC</v>
      </c>
      <c r="D16192" s="1" t="s">
        <v>493</v>
      </c>
      <c r="E16192" t="s">
        <v>544</v>
      </c>
      <c r="F16192" s="1">
        <v>2</v>
      </c>
      <c r="G16192" s="1" t="s">
        <v>28</v>
      </c>
      <c r="H16192" s="4" t="str">
        <f>HYPERLINK("https://portal.gdc.cancer.gov/cases/785ddea1-399d-47d8-b2b0-39e95eaa24b5","TCGA-IR-A3LF-01A")</f>
        <v>TCGA-IR-A3LF-01A</v>
      </c>
      <c r="I16192" t="s">
        <v>444</v>
      </c>
      <c r="J16192" t="s">
        <v>535</v>
      </c>
      <c r="K16192" t="s">
        <v>33</v>
      </c>
      <c r="L16192" t="s">
        <v>445</v>
      </c>
      <c r="N16192" t="s">
        <v>29</v>
      </c>
    </row>
    <row r="16193" spans="1:14">
      <c r="A16193" s="4" t="str">
        <f t="shared" si="1219"/>
        <v>EXP00420</v>
      </c>
      <c r="B16193" s="3" t="s">
        <v>66</v>
      </c>
      <c r="C16193" s="4" t="str">
        <f t="shared" si="1218"/>
        <v>TCGA-CESC</v>
      </c>
      <c r="D16193" s="1" t="s">
        <v>493</v>
      </c>
      <c r="E16193" t="s">
        <v>544</v>
      </c>
      <c r="F16193" s="1">
        <v>2</v>
      </c>
      <c r="G16193" s="1" t="s">
        <v>28</v>
      </c>
      <c r="H16193" s="4" t="str">
        <f>HYPERLINK("https://portal.gdc.cancer.gov/cases/f24ed9c0-92bb-4003-86d2-42ab26617a05","TCGA-IR-A3LH-01A")</f>
        <v>TCGA-IR-A3LH-01A</v>
      </c>
      <c r="I16193" t="s">
        <v>444</v>
      </c>
      <c r="J16193" t="s">
        <v>535</v>
      </c>
      <c r="K16193" t="s">
        <v>33</v>
      </c>
      <c r="L16193" t="s">
        <v>445</v>
      </c>
      <c r="N16193" t="s">
        <v>29</v>
      </c>
    </row>
    <row r="16194" spans="1:14">
      <c r="A16194" s="4" t="str">
        <f t="shared" si="1219"/>
        <v>EXP00420</v>
      </c>
      <c r="B16194" s="3" t="s">
        <v>66</v>
      </c>
      <c r="C16194" s="4" t="str">
        <f t="shared" si="1218"/>
        <v>TCGA-CESC</v>
      </c>
      <c r="D16194" s="1" t="s">
        <v>493</v>
      </c>
      <c r="E16194" t="s">
        <v>544</v>
      </c>
      <c r="F16194" s="1">
        <v>2</v>
      </c>
      <c r="G16194" s="1" t="s">
        <v>28</v>
      </c>
      <c r="H16194" s="4" t="str">
        <f>HYPERLINK("https://portal.gdc.cancer.gov/cases/75bc22d8-738d-45f8-b6c0-c664f5fef47c","TCGA-IR-A3LI-01A")</f>
        <v>TCGA-IR-A3LI-01A</v>
      </c>
      <c r="I16194" t="s">
        <v>444</v>
      </c>
      <c r="J16194" t="s">
        <v>535</v>
      </c>
      <c r="K16194" t="s">
        <v>33</v>
      </c>
      <c r="L16194" t="s">
        <v>445</v>
      </c>
      <c r="N16194" t="s">
        <v>29</v>
      </c>
    </row>
    <row r="16195" spans="1:14">
      <c r="A16195" s="4" t="str">
        <f t="shared" si="1219"/>
        <v>EXP00420</v>
      </c>
      <c r="B16195" s="3" t="s">
        <v>66</v>
      </c>
      <c r="C16195" s="4" t="str">
        <f t="shared" si="1218"/>
        <v>TCGA-CESC</v>
      </c>
      <c r="D16195" s="1" t="s">
        <v>493</v>
      </c>
      <c r="E16195" t="s">
        <v>544</v>
      </c>
      <c r="F16195" s="1">
        <v>2</v>
      </c>
      <c r="G16195" s="1" t="s">
        <v>28</v>
      </c>
      <c r="H16195" s="4" t="str">
        <f>HYPERLINK("https://portal.gdc.cancer.gov/cases/b79558c5-1db2-4b1e-a7b8-efbd19aa855e","TCGA-IR-A3LK-01A")</f>
        <v>TCGA-IR-A3LK-01A</v>
      </c>
      <c r="I16195" t="s">
        <v>444</v>
      </c>
      <c r="J16195" t="s">
        <v>535</v>
      </c>
      <c r="K16195" t="s">
        <v>33</v>
      </c>
      <c r="L16195" t="s">
        <v>445</v>
      </c>
      <c r="N16195" t="s">
        <v>29</v>
      </c>
    </row>
    <row r="16196" spans="1:14">
      <c r="A16196" s="4" t="str">
        <f t="shared" si="1219"/>
        <v>EXP00420</v>
      </c>
      <c r="B16196" s="3" t="s">
        <v>66</v>
      </c>
      <c r="C16196" s="4" t="str">
        <f t="shared" si="1218"/>
        <v>TCGA-CESC</v>
      </c>
      <c r="D16196" s="1" t="s">
        <v>493</v>
      </c>
      <c r="E16196" t="s">
        <v>544</v>
      </c>
      <c r="F16196" s="1">
        <v>2</v>
      </c>
      <c r="G16196" s="1" t="s">
        <v>28</v>
      </c>
      <c r="H16196" s="4" t="str">
        <f>HYPERLINK("https://portal.gdc.cancer.gov/cases/7c4ab1ca-4bdd-4ef7-9a42-f6c0c7136d26","TCGA-IR-A3LL-01A")</f>
        <v>TCGA-IR-A3LL-01A</v>
      </c>
      <c r="I16196" t="s">
        <v>444</v>
      </c>
      <c r="J16196" t="s">
        <v>535</v>
      </c>
      <c r="K16196" t="s">
        <v>33</v>
      </c>
      <c r="L16196" t="s">
        <v>445</v>
      </c>
      <c r="N16196" t="s">
        <v>29</v>
      </c>
    </row>
    <row r="16197" spans="1:14">
      <c r="A16197" s="4" t="str">
        <f t="shared" si="1219"/>
        <v>EXP00420</v>
      </c>
      <c r="B16197" s="3" t="s">
        <v>66</v>
      </c>
      <c r="C16197" s="4" t="str">
        <f t="shared" ref="C16197:C16260" si="1220">HYPERLINK("https://portal.gdc.cancer.gov/projects/TCGA-CESC","TCGA-CESC")</f>
        <v>TCGA-CESC</v>
      </c>
      <c r="D16197" s="1" t="s">
        <v>493</v>
      </c>
      <c r="E16197" t="s">
        <v>544</v>
      </c>
      <c r="F16197" s="1">
        <v>2</v>
      </c>
      <c r="G16197" s="1" t="s">
        <v>28</v>
      </c>
      <c r="H16197" s="4" t="str">
        <f>HYPERLINK("https://portal.gdc.cancer.gov/cases/0bd52d75-5113-4ef1-bc75-509f59eaef2b","TCGA-JW-A5VG-01A")</f>
        <v>TCGA-JW-A5VG-01A</v>
      </c>
      <c r="I16197" t="s">
        <v>444</v>
      </c>
      <c r="J16197" t="s">
        <v>535</v>
      </c>
      <c r="K16197" t="s">
        <v>33</v>
      </c>
      <c r="L16197" t="s">
        <v>445</v>
      </c>
      <c r="N16197" t="s">
        <v>29</v>
      </c>
    </row>
    <row r="16198" spans="1:14">
      <c r="A16198" s="4" t="str">
        <f t="shared" si="1219"/>
        <v>EXP00420</v>
      </c>
      <c r="B16198" s="3" t="s">
        <v>66</v>
      </c>
      <c r="C16198" s="4" t="str">
        <f t="shared" si="1220"/>
        <v>TCGA-CESC</v>
      </c>
      <c r="D16198" s="1" t="s">
        <v>493</v>
      </c>
      <c r="E16198" t="s">
        <v>544</v>
      </c>
      <c r="F16198" s="1">
        <v>2</v>
      </c>
      <c r="G16198" s="1" t="s">
        <v>28</v>
      </c>
      <c r="H16198" s="4" t="str">
        <f>HYPERLINK("https://portal.gdc.cancer.gov/cases/53eb4c4e-0719-476f-9b2b-279d438d7710","TCGA-JW-A5VI-01A")</f>
        <v>TCGA-JW-A5VI-01A</v>
      </c>
      <c r="I16198" t="s">
        <v>444</v>
      </c>
      <c r="J16198" t="s">
        <v>535</v>
      </c>
      <c r="K16198" t="s">
        <v>33</v>
      </c>
      <c r="L16198" t="s">
        <v>445</v>
      </c>
      <c r="N16198" t="s">
        <v>29</v>
      </c>
    </row>
    <row r="16199" spans="1:14">
      <c r="A16199" s="4" t="str">
        <f t="shared" si="1219"/>
        <v>EXP00420</v>
      </c>
      <c r="B16199" s="3" t="s">
        <v>66</v>
      </c>
      <c r="C16199" s="4" t="str">
        <f t="shared" si="1220"/>
        <v>TCGA-CESC</v>
      </c>
      <c r="D16199" s="1" t="s">
        <v>493</v>
      </c>
      <c r="E16199" t="s">
        <v>544</v>
      </c>
      <c r="F16199" s="1">
        <v>2</v>
      </c>
      <c r="G16199" s="1" t="s">
        <v>28</v>
      </c>
      <c r="H16199" s="4" t="str">
        <f>HYPERLINK("https://portal.gdc.cancer.gov/cases/bbb96b5a-80e8-4542-80b4-2444cf1fe51e","TCGA-JW-A5VK-01A")</f>
        <v>TCGA-JW-A5VK-01A</v>
      </c>
      <c r="I16199" t="s">
        <v>444</v>
      </c>
      <c r="J16199" t="s">
        <v>535</v>
      </c>
      <c r="K16199" t="s">
        <v>33</v>
      </c>
      <c r="L16199" t="s">
        <v>445</v>
      </c>
      <c r="N16199" t="s">
        <v>29</v>
      </c>
    </row>
    <row r="16200" spans="1:14">
      <c r="A16200" s="4" t="str">
        <f t="shared" si="1219"/>
        <v>EXP00420</v>
      </c>
      <c r="B16200" s="3" t="s">
        <v>66</v>
      </c>
      <c r="C16200" s="4" t="str">
        <f t="shared" si="1220"/>
        <v>TCGA-CESC</v>
      </c>
      <c r="D16200" s="1" t="s">
        <v>493</v>
      </c>
      <c r="E16200" t="s">
        <v>544</v>
      </c>
      <c r="F16200" s="1">
        <v>2</v>
      </c>
      <c r="G16200" s="1" t="s">
        <v>28</v>
      </c>
      <c r="H16200" s="4" t="str">
        <f>HYPERLINK("https://portal.gdc.cancer.gov/cases/d1a5b028-ec79-456b-81a1-69838e2922df","TCGA-JW-A5VL-01A")</f>
        <v>TCGA-JW-A5VL-01A</v>
      </c>
      <c r="I16200" t="s">
        <v>444</v>
      </c>
      <c r="J16200" t="s">
        <v>535</v>
      </c>
      <c r="K16200" t="s">
        <v>33</v>
      </c>
      <c r="L16200" t="s">
        <v>445</v>
      </c>
      <c r="N16200" t="s">
        <v>29</v>
      </c>
    </row>
    <row r="16201" spans="1:14">
      <c r="A16201" s="4" t="str">
        <f t="shared" si="1219"/>
        <v>EXP00420</v>
      </c>
      <c r="B16201" s="3" t="s">
        <v>66</v>
      </c>
      <c r="C16201" s="4" t="str">
        <f t="shared" si="1220"/>
        <v>TCGA-CESC</v>
      </c>
      <c r="D16201" s="1" t="s">
        <v>493</v>
      </c>
      <c r="E16201" t="s">
        <v>544</v>
      </c>
      <c r="F16201" s="1">
        <v>2</v>
      </c>
      <c r="G16201" s="1" t="s">
        <v>28</v>
      </c>
      <c r="H16201" s="4" t="str">
        <f>HYPERLINK("https://portal.gdc.cancer.gov/cases/fb4af6b2-4bed-4dbe-9309-29f59ed30fb2","TCGA-JW-A69B-01A")</f>
        <v>TCGA-JW-A69B-01A</v>
      </c>
      <c r="I16201" t="s">
        <v>444</v>
      </c>
      <c r="J16201" t="s">
        <v>535</v>
      </c>
      <c r="K16201" t="s">
        <v>33</v>
      </c>
      <c r="L16201" t="s">
        <v>445</v>
      </c>
      <c r="N16201" t="s">
        <v>29</v>
      </c>
    </row>
    <row r="16202" spans="1:14">
      <c r="A16202" s="4" t="str">
        <f t="shared" si="1219"/>
        <v>EXP00420</v>
      </c>
      <c r="B16202" s="3" t="s">
        <v>66</v>
      </c>
      <c r="C16202" s="4" t="str">
        <f t="shared" si="1220"/>
        <v>TCGA-CESC</v>
      </c>
      <c r="D16202" s="1" t="s">
        <v>493</v>
      </c>
      <c r="E16202" t="s">
        <v>544</v>
      </c>
      <c r="F16202" s="1">
        <v>2</v>
      </c>
      <c r="G16202" s="1" t="s">
        <v>28</v>
      </c>
      <c r="H16202" s="4" t="str">
        <f>HYPERLINK("https://portal.gdc.cancer.gov/cases/7cc8f5bd-d2d3-44e9-aff6-fe9c9c805938","TCGA-JW-A852-01A")</f>
        <v>TCGA-JW-A852-01A</v>
      </c>
      <c r="I16202" t="s">
        <v>444</v>
      </c>
      <c r="J16202" t="s">
        <v>535</v>
      </c>
      <c r="K16202" t="s">
        <v>33</v>
      </c>
      <c r="L16202" t="s">
        <v>445</v>
      </c>
      <c r="N16202" t="s">
        <v>29</v>
      </c>
    </row>
    <row r="16203" spans="1:14">
      <c r="A16203" s="4" t="str">
        <f t="shared" si="1219"/>
        <v>EXP00420</v>
      </c>
      <c r="B16203" s="3" t="s">
        <v>66</v>
      </c>
      <c r="C16203" s="4" t="str">
        <f t="shared" si="1220"/>
        <v>TCGA-CESC</v>
      </c>
      <c r="D16203" s="1" t="s">
        <v>493</v>
      </c>
      <c r="E16203" t="s">
        <v>544</v>
      </c>
      <c r="F16203" s="1">
        <v>2</v>
      </c>
      <c r="G16203" s="1" t="s">
        <v>28</v>
      </c>
      <c r="H16203" s="4" t="str">
        <f>HYPERLINK("https://portal.gdc.cancer.gov/cases/1c0b5c18-8760-4483-a88c-1d1d89f61998","TCGA-JW-AAVH-01A")</f>
        <v>TCGA-JW-AAVH-01A</v>
      </c>
      <c r="I16203" t="s">
        <v>444</v>
      </c>
      <c r="J16203" t="s">
        <v>535</v>
      </c>
      <c r="K16203" t="s">
        <v>33</v>
      </c>
      <c r="L16203" t="s">
        <v>445</v>
      </c>
      <c r="N16203" t="s">
        <v>29</v>
      </c>
    </row>
    <row r="16204" spans="1:14">
      <c r="A16204" s="4" t="str">
        <f t="shared" si="1219"/>
        <v>EXP00420</v>
      </c>
      <c r="B16204" s="3" t="s">
        <v>66</v>
      </c>
      <c r="C16204" s="4" t="str">
        <f t="shared" si="1220"/>
        <v>TCGA-CESC</v>
      </c>
      <c r="D16204" s="1" t="s">
        <v>493</v>
      </c>
      <c r="E16204" t="s">
        <v>544</v>
      </c>
      <c r="F16204" s="1">
        <v>2</v>
      </c>
      <c r="G16204" s="1" t="s">
        <v>28</v>
      </c>
      <c r="H16204" s="4" t="str">
        <f>HYPERLINK("https://portal.gdc.cancer.gov/cases/20280122-a66a-4c83-8f25-0b9d97558dc2","TCGA-JX-A3Q0-01A")</f>
        <v>TCGA-JX-A3Q0-01A</v>
      </c>
      <c r="I16204" t="s">
        <v>444</v>
      </c>
      <c r="J16204" t="s">
        <v>535</v>
      </c>
      <c r="K16204" t="s">
        <v>33</v>
      </c>
      <c r="L16204" t="s">
        <v>445</v>
      </c>
      <c r="N16204" t="s">
        <v>29</v>
      </c>
    </row>
    <row r="16205" spans="1:14">
      <c r="A16205" s="4" t="str">
        <f t="shared" si="1219"/>
        <v>EXP00420</v>
      </c>
      <c r="B16205" s="3" t="s">
        <v>66</v>
      </c>
      <c r="C16205" s="4" t="str">
        <f t="shared" si="1220"/>
        <v>TCGA-CESC</v>
      </c>
      <c r="D16205" s="1" t="s">
        <v>493</v>
      </c>
      <c r="E16205" t="s">
        <v>544</v>
      </c>
      <c r="F16205" s="1">
        <v>2</v>
      </c>
      <c r="G16205" s="1" t="s">
        <v>28</v>
      </c>
      <c r="H16205" s="4" t="str">
        <f>HYPERLINK("https://portal.gdc.cancer.gov/cases/34629eb8-0c5e-4910-8e13-bf7d6a1e337f","TCGA-JX-A3Q8-01A")</f>
        <v>TCGA-JX-A3Q8-01A</v>
      </c>
      <c r="I16205" t="s">
        <v>444</v>
      </c>
      <c r="J16205" t="s">
        <v>535</v>
      </c>
      <c r="K16205" t="s">
        <v>33</v>
      </c>
      <c r="L16205" t="s">
        <v>445</v>
      </c>
      <c r="N16205" t="s">
        <v>29</v>
      </c>
    </row>
    <row r="16206" spans="1:14">
      <c r="A16206" s="4" t="str">
        <f t="shared" si="1219"/>
        <v>EXP00420</v>
      </c>
      <c r="B16206" s="3" t="s">
        <v>66</v>
      </c>
      <c r="C16206" s="4" t="str">
        <f t="shared" si="1220"/>
        <v>TCGA-CESC</v>
      </c>
      <c r="D16206" s="1" t="s">
        <v>493</v>
      </c>
      <c r="E16206" t="s">
        <v>544</v>
      </c>
      <c r="F16206" s="1">
        <v>2</v>
      </c>
      <c r="G16206" s="1" t="s">
        <v>28</v>
      </c>
      <c r="H16206" s="4" t="str">
        <f>HYPERLINK("https://portal.gdc.cancer.gov/cases/acf5cbf3-09ca-4f4d-a44e-1792613190fc","TCGA-JX-A5QV-01A")</f>
        <v>TCGA-JX-A5QV-01A</v>
      </c>
      <c r="I16206" t="s">
        <v>444</v>
      </c>
      <c r="J16206" t="s">
        <v>535</v>
      </c>
      <c r="K16206" t="s">
        <v>33</v>
      </c>
      <c r="L16206" t="s">
        <v>445</v>
      </c>
      <c r="N16206" t="s">
        <v>29</v>
      </c>
    </row>
    <row r="16207" spans="1:14">
      <c r="A16207" s="4" t="str">
        <f t="shared" si="1219"/>
        <v>EXP00420</v>
      </c>
      <c r="B16207" s="3" t="s">
        <v>66</v>
      </c>
      <c r="C16207" s="4" t="str">
        <f t="shared" si="1220"/>
        <v>TCGA-CESC</v>
      </c>
      <c r="D16207" s="1" t="s">
        <v>493</v>
      </c>
      <c r="E16207" t="s">
        <v>544</v>
      </c>
      <c r="F16207" s="1">
        <v>2</v>
      </c>
      <c r="G16207" s="1" t="s">
        <v>28</v>
      </c>
      <c r="H16207" s="4" t="str">
        <f>HYPERLINK("https://portal.gdc.cancer.gov/cases/e15d92a1-6925-4b58-a494-d6f665f67b83","TCGA-LP-A4AU-01A")</f>
        <v>TCGA-LP-A4AU-01A</v>
      </c>
      <c r="I16207" t="s">
        <v>444</v>
      </c>
      <c r="J16207" t="s">
        <v>535</v>
      </c>
      <c r="K16207" t="s">
        <v>33</v>
      </c>
      <c r="L16207" t="s">
        <v>445</v>
      </c>
      <c r="N16207" t="s">
        <v>29</v>
      </c>
    </row>
    <row r="16208" spans="1:14">
      <c r="A16208" s="4" t="str">
        <f t="shared" si="1219"/>
        <v>EXP00420</v>
      </c>
      <c r="B16208" s="3" t="s">
        <v>66</v>
      </c>
      <c r="C16208" s="4" t="str">
        <f t="shared" si="1220"/>
        <v>TCGA-CESC</v>
      </c>
      <c r="D16208" s="1" t="s">
        <v>493</v>
      </c>
      <c r="E16208" t="s">
        <v>544</v>
      </c>
      <c r="F16208" s="1">
        <v>2</v>
      </c>
      <c r="G16208" s="1" t="s">
        <v>28</v>
      </c>
      <c r="H16208" s="4" t="str">
        <f>HYPERLINK("https://portal.gdc.cancer.gov/cases/f241d6b1-2c32-4478-8f8d-8c746464f7d1","TCGA-LP-A4AV-01A")</f>
        <v>TCGA-LP-A4AV-01A</v>
      </c>
      <c r="I16208" t="s">
        <v>444</v>
      </c>
      <c r="J16208" t="s">
        <v>535</v>
      </c>
      <c r="K16208" t="s">
        <v>33</v>
      </c>
      <c r="L16208" t="s">
        <v>445</v>
      </c>
      <c r="N16208" t="s">
        <v>29</v>
      </c>
    </row>
    <row r="16209" spans="1:14">
      <c r="A16209" s="4" t="str">
        <f t="shared" ref="A16209:A16272" si="1221">HYPERLINK("http://hcmdb.i-sanger.com/experiment/details/experiment_id/EXP00420","EXP00420")</f>
        <v>EXP00420</v>
      </c>
      <c r="B16209" s="3" t="s">
        <v>66</v>
      </c>
      <c r="C16209" s="4" t="str">
        <f t="shared" si="1220"/>
        <v>TCGA-CESC</v>
      </c>
      <c r="D16209" s="1" t="s">
        <v>493</v>
      </c>
      <c r="E16209" t="s">
        <v>544</v>
      </c>
      <c r="F16209" s="1">
        <v>2</v>
      </c>
      <c r="G16209" s="1" t="s">
        <v>28</v>
      </c>
      <c r="H16209" s="4" t="str">
        <f>HYPERLINK("https://portal.gdc.cancer.gov/cases/74e47ded-2c00-4455-aaa6-cd662dfbf05e","TCGA-LP-A4AW-01A")</f>
        <v>TCGA-LP-A4AW-01A</v>
      </c>
      <c r="I16209" t="s">
        <v>444</v>
      </c>
      <c r="J16209" t="s">
        <v>535</v>
      </c>
      <c r="K16209" t="s">
        <v>33</v>
      </c>
      <c r="L16209" t="s">
        <v>445</v>
      </c>
      <c r="N16209" t="s">
        <v>29</v>
      </c>
    </row>
    <row r="16210" spans="1:14">
      <c r="A16210" s="4" t="str">
        <f t="shared" si="1221"/>
        <v>EXP00420</v>
      </c>
      <c r="B16210" s="3" t="s">
        <v>66</v>
      </c>
      <c r="C16210" s="4" t="str">
        <f t="shared" si="1220"/>
        <v>TCGA-CESC</v>
      </c>
      <c r="D16210" s="1" t="s">
        <v>493</v>
      </c>
      <c r="E16210" t="s">
        <v>544</v>
      </c>
      <c r="F16210" s="1">
        <v>2</v>
      </c>
      <c r="G16210" s="1" t="s">
        <v>28</v>
      </c>
      <c r="H16210" s="4" t="str">
        <f>HYPERLINK("https://portal.gdc.cancer.gov/cases/3223fec6-1d35-419a-8ee9-7c5885b8be1e","TCGA-LP-A4AX-01A")</f>
        <v>TCGA-LP-A4AX-01A</v>
      </c>
      <c r="I16210" t="s">
        <v>444</v>
      </c>
      <c r="J16210" t="s">
        <v>535</v>
      </c>
      <c r="K16210" t="s">
        <v>33</v>
      </c>
      <c r="L16210" t="s">
        <v>445</v>
      </c>
      <c r="N16210" t="s">
        <v>29</v>
      </c>
    </row>
    <row r="16211" spans="1:14">
      <c r="A16211" s="4" t="str">
        <f t="shared" si="1221"/>
        <v>EXP00420</v>
      </c>
      <c r="B16211" s="3" t="s">
        <v>66</v>
      </c>
      <c r="C16211" s="4" t="str">
        <f t="shared" si="1220"/>
        <v>TCGA-CESC</v>
      </c>
      <c r="D16211" s="1" t="s">
        <v>493</v>
      </c>
      <c r="E16211" t="s">
        <v>544</v>
      </c>
      <c r="F16211" s="1">
        <v>2</v>
      </c>
      <c r="G16211" s="1" t="s">
        <v>28</v>
      </c>
      <c r="H16211" s="4" t="str">
        <f>HYPERLINK("https://portal.gdc.cancer.gov/cases/1ef20703-3684-4b43-a31f-892073208377","TCGA-LP-A5U2-01A")</f>
        <v>TCGA-LP-A5U2-01A</v>
      </c>
      <c r="I16211" t="s">
        <v>444</v>
      </c>
      <c r="J16211" t="s">
        <v>535</v>
      </c>
      <c r="K16211" t="s">
        <v>33</v>
      </c>
      <c r="L16211" t="s">
        <v>445</v>
      </c>
      <c r="N16211" t="s">
        <v>29</v>
      </c>
    </row>
    <row r="16212" spans="1:14">
      <c r="A16212" s="4" t="str">
        <f t="shared" si="1221"/>
        <v>EXP00420</v>
      </c>
      <c r="B16212" s="3" t="s">
        <v>66</v>
      </c>
      <c r="C16212" s="4" t="str">
        <f t="shared" si="1220"/>
        <v>TCGA-CESC</v>
      </c>
      <c r="D16212" s="1" t="s">
        <v>493</v>
      </c>
      <c r="E16212" t="s">
        <v>544</v>
      </c>
      <c r="F16212" s="1">
        <v>2</v>
      </c>
      <c r="G16212" s="1" t="s">
        <v>28</v>
      </c>
      <c r="H16212" s="4" t="str">
        <f>HYPERLINK("https://portal.gdc.cancer.gov/cases/1399d31d-9d5e-441a-b400-8b8a92a6ff8b","TCGA-LP-A5U3-01A")</f>
        <v>TCGA-LP-A5U3-01A</v>
      </c>
      <c r="I16212" t="s">
        <v>444</v>
      </c>
      <c r="J16212" t="s">
        <v>535</v>
      </c>
      <c r="K16212" t="s">
        <v>33</v>
      </c>
      <c r="L16212" t="s">
        <v>445</v>
      </c>
      <c r="N16212" t="s">
        <v>29</v>
      </c>
    </row>
    <row r="16213" spans="1:14">
      <c r="A16213" s="4" t="str">
        <f t="shared" si="1221"/>
        <v>EXP00420</v>
      </c>
      <c r="B16213" s="3" t="s">
        <v>66</v>
      </c>
      <c r="C16213" s="4" t="str">
        <f t="shared" si="1220"/>
        <v>TCGA-CESC</v>
      </c>
      <c r="D16213" s="1" t="s">
        <v>493</v>
      </c>
      <c r="E16213" t="s">
        <v>544</v>
      </c>
      <c r="F16213" s="1">
        <v>2</v>
      </c>
      <c r="G16213" s="1" t="s">
        <v>28</v>
      </c>
      <c r="H16213" s="4" t="str">
        <f>HYPERLINK("https://portal.gdc.cancer.gov/cases/7067b7da-fb1b-4827-8fe6-9433ed672d3b","TCGA-LP-A7HU-01A")</f>
        <v>TCGA-LP-A7HU-01A</v>
      </c>
      <c r="I16213" t="s">
        <v>444</v>
      </c>
      <c r="J16213" t="s">
        <v>535</v>
      </c>
      <c r="K16213" t="s">
        <v>33</v>
      </c>
      <c r="L16213" t="s">
        <v>445</v>
      </c>
      <c r="N16213" t="s">
        <v>29</v>
      </c>
    </row>
    <row r="16214" spans="1:14">
      <c r="A16214" s="4" t="str">
        <f t="shared" si="1221"/>
        <v>EXP00420</v>
      </c>
      <c r="B16214" s="3" t="s">
        <v>66</v>
      </c>
      <c r="C16214" s="4" t="str">
        <f t="shared" si="1220"/>
        <v>TCGA-CESC</v>
      </c>
      <c r="D16214" s="1" t="s">
        <v>493</v>
      </c>
      <c r="E16214" t="s">
        <v>544</v>
      </c>
      <c r="F16214" s="1">
        <v>2</v>
      </c>
      <c r="G16214" s="1" t="s">
        <v>28</v>
      </c>
      <c r="H16214" s="4" t="str">
        <f>HYPERLINK("https://portal.gdc.cancer.gov/cases/fc2bce29-4685-49f5-b901-2117bf673bb8","TCGA-MA-AA3W-01A")</f>
        <v>TCGA-MA-AA3W-01A</v>
      </c>
      <c r="I16214" t="s">
        <v>444</v>
      </c>
      <c r="J16214" t="s">
        <v>535</v>
      </c>
      <c r="K16214" t="s">
        <v>33</v>
      </c>
      <c r="L16214" t="s">
        <v>445</v>
      </c>
      <c r="N16214" t="s">
        <v>29</v>
      </c>
    </row>
    <row r="16215" spans="1:14">
      <c r="A16215" s="4" t="str">
        <f t="shared" si="1221"/>
        <v>EXP00420</v>
      </c>
      <c r="B16215" s="3" t="s">
        <v>66</v>
      </c>
      <c r="C16215" s="4" t="str">
        <f t="shared" si="1220"/>
        <v>TCGA-CESC</v>
      </c>
      <c r="D16215" s="1" t="s">
        <v>493</v>
      </c>
      <c r="E16215" t="s">
        <v>544</v>
      </c>
      <c r="F16215" s="1">
        <v>2</v>
      </c>
      <c r="G16215" s="1" t="s">
        <v>28</v>
      </c>
      <c r="H16215" s="4" t="str">
        <f>HYPERLINK("https://portal.gdc.cancer.gov/cases/adb7c5c8-4afd-40dc-89f1-571fbd88e4f9","TCGA-MA-AA3X-01A")</f>
        <v>TCGA-MA-AA3X-01A</v>
      </c>
      <c r="I16215" t="s">
        <v>444</v>
      </c>
      <c r="J16215" t="s">
        <v>535</v>
      </c>
      <c r="K16215" t="s">
        <v>33</v>
      </c>
      <c r="L16215" t="s">
        <v>445</v>
      </c>
      <c r="N16215" t="s">
        <v>29</v>
      </c>
    </row>
    <row r="16216" spans="1:14">
      <c r="A16216" s="4" t="str">
        <f t="shared" si="1221"/>
        <v>EXP00420</v>
      </c>
      <c r="B16216" s="3" t="s">
        <v>66</v>
      </c>
      <c r="C16216" s="4" t="str">
        <f t="shared" si="1220"/>
        <v>TCGA-CESC</v>
      </c>
      <c r="D16216" s="1" t="s">
        <v>493</v>
      </c>
      <c r="E16216" t="s">
        <v>544</v>
      </c>
      <c r="F16216" s="1">
        <v>2</v>
      </c>
      <c r="G16216" s="1" t="s">
        <v>28</v>
      </c>
      <c r="H16216" s="4" t="str">
        <f>HYPERLINK("https://portal.gdc.cancer.gov/cases/2f261704-d600-4226-90d5-d51ba416b55c","TCGA-MA-AA3Y-01A")</f>
        <v>TCGA-MA-AA3Y-01A</v>
      </c>
      <c r="I16216" t="s">
        <v>444</v>
      </c>
      <c r="J16216" t="s">
        <v>535</v>
      </c>
      <c r="K16216" t="s">
        <v>33</v>
      </c>
      <c r="L16216" t="s">
        <v>445</v>
      </c>
      <c r="N16216" t="s">
        <v>29</v>
      </c>
    </row>
    <row r="16217" spans="1:14">
      <c r="A16217" s="4" t="str">
        <f t="shared" si="1221"/>
        <v>EXP00420</v>
      </c>
      <c r="B16217" s="3" t="s">
        <v>66</v>
      </c>
      <c r="C16217" s="4" t="str">
        <f t="shared" si="1220"/>
        <v>TCGA-CESC</v>
      </c>
      <c r="D16217" s="1" t="s">
        <v>493</v>
      </c>
      <c r="E16217" t="s">
        <v>544</v>
      </c>
      <c r="F16217" s="1">
        <v>2</v>
      </c>
      <c r="G16217" s="1" t="s">
        <v>28</v>
      </c>
      <c r="H16217" s="4" t="str">
        <f>HYPERLINK("https://portal.gdc.cancer.gov/cases/bc2003b9-d489-4559-8672-d9fd2d82f2e8","TCGA-MA-AA3Z-01A")</f>
        <v>TCGA-MA-AA3Z-01A</v>
      </c>
      <c r="I16217" t="s">
        <v>444</v>
      </c>
      <c r="J16217" t="s">
        <v>535</v>
      </c>
      <c r="K16217" t="s">
        <v>33</v>
      </c>
      <c r="L16217" t="s">
        <v>445</v>
      </c>
      <c r="N16217" t="s">
        <v>29</v>
      </c>
    </row>
    <row r="16218" spans="1:14">
      <c r="A16218" s="4" t="str">
        <f t="shared" si="1221"/>
        <v>EXP00420</v>
      </c>
      <c r="B16218" s="3" t="s">
        <v>66</v>
      </c>
      <c r="C16218" s="4" t="str">
        <f t="shared" si="1220"/>
        <v>TCGA-CESC</v>
      </c>
      <c r="D16218" s="1" t="s">
        <v>493</v>
      </c>
      <c r="E16218" t="s">
        <v>544</v>
      </c>
      <c r="F16218" s="1">
        <v>2</v>
      </c>
      <c r="G16218" s="1" t="s">
        <v>28</v>
      </c>
      <c r="H16218" s="4" t="str">
        <f>HYPERLINK("https://portal.gdc.cancer.gov/cases/81658ce6-d4a9-4ee0-ae8f-cf2fa8485701","TCGA-MA-AA41-01A")</f>
        <v>TCGA-MA-AA41-01A</v>
      </c>
      <c r="I16218" t="s">
        <v>444</v>
      </c>
      <c r="J16218" t="s">
        <v>535</v>
      </c>
      <c r="K16218" t="s">
        <v>33</v>
      </c>
      <c r="L16218" t="s">
        <v>445</v>
      </c>
      <c r="N16218" t="s">
        <v>29</v>
      </c>
    </row>
    <row r="16219" spans="1:14">
      <c r="A16219" s="4" t="str">
        <f t="shared" si="1221"/>
        <v>EXP00420</v>
      </c>
      <c r="B16219" s="3" t="s">
        <v>66</v>
      </c>
      <c r="C16219" s="4" t="str">
        <f t="shared" si="1220"/>
        <v>TCGA-CESC</v>
      </c>
      <c r="D16219" s="1" t="s">
        <v>493</v>
      </c>
      <c r="E16219" t="s">
        <v>544</v>
      </c>
      <c r="F16219" s="1">
        <v>2</v>
      </c>
      <c r="G16219" s="1" t="s">
        <v>28</v>
      </c>
      <c r="H16219" s="4" t="str">
        <f>HYPERLINK("https://portal.gdc.cancer.gov/cases/da5fcb99-16b4-4f9e-8602-d6a6192875ef","TCGA-MA-AA42-01A")</f>
        <v>TCGA-MA-AA42-01A</v>
      </c>
      <c r="I16219" t="s">
        <v>444</v>
      </c>
      <c r="J16219" t="s">
        <v>535</v>
      </c>
      <c r="K16219" t="s">
        <v>33</v>
      </c>
      <c r="L16219" t="s">
        <v>445</v>
      </c>
      <c r="N16219" t="s">
        <v>29</v>
      </c>
    </row>
    <row r="16220" spans="1:14">
      <c r="A16220" s="4" t="str">
        <f t="shared" si="1221"/>
        <v>EXP00420</v>
      </c>
      <c r="B16220" s="3" t="s">
        <v>66</v>
      </c>
      <c r="C16220" s="4" t="str">
        <f t="shared" si="1220"/>
        <v>TCGA-CESC</v>
      </c>
      <c r="D16220" s="1" t="s">
        <v>493</v>
      </c>
      <c r="E16220" t="s">
        <v>544</v>
      </c>
      <c r="F16220" s="1">
        <v>2</v>
      </c>
      <c r="G16220" s="1" t="s">
        <v>28</v>
      </c>
      <c r="H16220" s="4" t="str">
        <f>HYPERLINK("https://portal.gdc.cancer.gov/cases/ed74703a-6838-4f4e-9524-d6fb7b208687","TCGA-MA-AA43-01A")</f>
        <v>TCGA-MA-AA43-01A</v>
      </c>
      <c r="I16220" t="s">
        <v>444</v>
      </c>
      <c r="J16220" t="s">
        <v>535</v>
      </c>
      <c r="K16220" t="s">
        <v>33</v>
      </c>
      <c r="L16220" t="s">
        <v>445</v>
      </c>
      <c r="N16220" t="s">
        <v>29</v>
      </c>
    </row>
    <row r="16221" spans="1:14">
      <c r="A16221" s="4" t="str">
        <f t="shared" si="1221"/>
        <v>EXP00420</v>
      </c>
      <c r="B16221" s="3" t="s">
        <v>66</v>
      </c>
      <c r="C16221" s="4" t="str">
        <f t="shared" si="1220"/>
        <v>TCGA-CESC</v>
      </c>
      <c r="D16221" s="1" t="s">
        <v>493</v>
      </c>
      <c r="E16221" t="s">
        <v>544</v>
      </c>
      <c r="F16221" s="1">
        <v>2</v>
      </c>
      <c r="G16221" s="1" t="s">
        <v>28</v>
      </c>
      <c r="H16221" s="4" t="str">
        <f>HYPERLINK("https://portal.gdc.cancer.gov/cases/77da506b-e726-409f-b3eb-d41242862982","TCGA-MU-A51Y-01A")</f>
        <v>TCGA-MU-A51Y-01A</v>
      </c>
      <c r="I16221" t="s">
        <v>444</v>
      </c>
      <c r="J16221" t="s">
        <v>535</v>
      </c>
      <c r="K16221" t="s">
        <v>33</v>
      </c>
      <c r="L16221" t="s">
        <v>445</v>
      </c>
      <c r="N16221" t="s">
        <v>29</v>
      </c>
    </row>
    <row r="16222" spans="1:14">
      <c r="A16222" s="4" t="str">
        <f t="shared" si="1221"/>
        <v>EXP00420</v>
      </c>
      <c r="B16222" s="3" t="s">
        <v>66</v>
      </c>
      <c r="C16222" s="4" t="str">
        <f t="shared" si="1220"/>
        <v>TCGA-CESC</v>
      </c>
      <c r="D16222" s="1" t="s">
        <v>493</v>
      </c>
      <c r="E16222" t="s">
        <v>544</v>
      </c>
      <c r="F16222" s="1">
        <v>2</v>
      </c>
      <c r="G16222" s="1" t="s">
        <v>28</v>
      </c>
      <c r="H16222" s="4" t="str">
        <f>HYPERLINK("https://portal.gdc.cancer.gov/cases/5e972e96-7271-439a-905c-6e308c1ef29e","TCGA-MU-A5YI-01A")</f>
        <v>TCGA-MU-A5YI-01A</v>
      </c>
      <c r="I16222" t="s">
        <v>444</v>
      </c>
      <c r="J16222" t="s">
        <v>535</v>
      </c>
      <c r="K16222" t="s">
        <v>33</v>
      </c>
      <c r="L16222" t="s">
        <v>445</v>
      </c>
      <c r="N16222" t="s">
        <v>29</v>
      </c>
    </row>
    <row r="16223" spans="1:14">
      <c r="A16223" s="4" t="str">
        <f t="shared" si="1221"/>
        <v>EXP00420</v>
      </c>
      <c r="B16223" s="3" t="s">
        <v>66</v>
      </c>
      <c r="C16223" s="4" t="str">
        <f t="shared" si="1220"/>
        <v>TCGA-CESC</v>
      </c>
      <c r="D16223" s="1" t="s">
        <v>493</v>
      </c>
      <c r="E16223" t="s">
        <v>544</v>
      </c>
      <c r="F16223" s="1">
        <v>2</v>
      </c>
      <c r="G16223" s="1" t="s">
        <v>28</v>
      </c>
      <c r="H16223" s="4" t="str">
        <f>HYPERLINK("https://portal.gdc.cancer.gov/cases/1d730565-ffa9-4cc7-a713-c4b5b7bbb29f","TCGA-MU-A8JM-01A")</f>
        <v>TCGA-MU-A8JM-01A</v>
      </c>
      <c r="I16223" t="s">
        <v>444</v>
      </c>
      <c r="J16223" t="s">
        <v>535</v>
      </c>
      <c r="K16223" t="s">
        <v>33</v>
      </c>
      <c r="L16223" t="s">
        <v>445</v>
      </c>
      <c r="N16223" t="s">
        <v>29</v>
      </c>
    </row>
    <row r="16224" spans="1:14">
      <c r="A16224" s="4" t="str">
        <f t="shared" si="1221"/>
        <v>EXP00420</v>
      </c>
      <c r="B16224" s="3" t="s">
        <v>66</v>
      </c>
      <c r="C16224" s="4" t="str">
        <f t="shared" si="1220"/>
        <v>TCGA-CESC</v>
      </c>
      <c r="D16224" s="1" t="s">
        <v>493</v>
      </c>
      <c r="E16224" t="s">
        <v>544</v>
      </c>
      <c r="F16224" s="1">
        <v>2</v>
      </c>
      <c r="G16224" s="1" t="s">
        <v>28</v>
      </c>
      <c r="H16224" s="4" t="str">
        <f>HYPERLINK("https://portal.gdc.cancer.gov/cases/cef2efb2-93cc-4bdf-a343-9965e7e0432c","TCGA-MY-A5BD-01A")</f>
        <v>TCGA-MY-A5BD-01A</v>
      </c>
      <c r="I16224" t="s">
        <v>444</v>
      </c>
      <c r="J16224" t="s">
        <v>535</v>
      </c>
      <c r="K16224" t="s">
        <v>33</v>
      </c>
      <c r="L16224" t="s">
        <v>445</v>
      </c>
      <c r="N16224" t="s">
        <v>29</v>
      </c>
    </row>
    <row r="16225" spans="1:14">
      <c r="A16225" s="4" t="str">
        <f t="shared" si="1221"/>
        <v>EXP00420</v>
      </c>
      <c r="B16225" s="3" t="s">
        <v>66</v>
      </c>
      <c r="C16225" s="4" t="str">
        <f t="shared" si="1220"/>
        <v>TCGA-CESC</v>
      </c>
      <c r="D16225" s="1" t="s">
        <v>493</v>
      </c>
      <c r="E16225" t="s">
        <v>544</v>
      </c>
      <c r="F16225" s="1">
        <v>2</v>
      </c>
      <c r="G16225" s="1" t="s">
        <v>28</v>
      </c>
      <c r="H16225" s="4" t="str">
        <f>HYPERLINK("https://portal.gdc.cancer.gov/cases/f8ab17ec-c365-41a6-a4bc-36653e84bce5","TCGA-MY-A5BE-01A")</f>
        <v>TCGA-MY-A5BE-01A</v>
      </c>
      <c r="I16225" t="s">
        <v>444</v>
      </c>
      <c r="J16225" t="s">
        <v>535</v>
      </c>
      <c r="K16225" t="s">
        <v>33</v>
      </c>
      <c r="L16225" t="s">
        <v>445</v>
      </c>
      <c r="N16225" t="s">
        <v>29</v>
      </c>
    </row>
    <row r="16226" spans="1:14">
      <c r="A16226" s="4" t="str">
        <f t="shared" si="1221"/>
        <v>EXP00420</v>
      </c>
      <c r="B16226" s="3" t="s">
        <v>66</v>
      </c>
      <c r="C16226" s="4" t="str">
        <f t="shared" si="1220"/>
        <v>TCGA-CESC</v>
      </c>
      <c r="D16226" s="1" t="s">
        <v>493</v>
      </c>
      <c r="E16226" t="s">
        <v>544</v>
      </c>
      <c r="F16226" s="1">
        <v>2</v>
      </c>
      <c r="G16226" s="1" t="s">
        <v>28</v>
      </c>
      <c r="H16226" s="4" t="str">
        <f>HYPERLINK("https://portal.gdc.cancer.gov/cases/4f4e8834-a716-42e6-bd51-60d80a619202","TCGA-MY-A5BF-01A")</f>
        <v>TCGA-MY-A5BF-01A</v>
      </c>
      <c r="I16226" t="s">
        <v>444</v>
      </c>
      <c r="J16226" t="s">
        <v>535</v>
      </c>
      <c r="K16226" t="s">
        <v>33</v>
      </c>
      <c r="L16226" t="s">
        <v>445</v>
      </c>
      <c r="N16226" t="s">
        <v>29</v>
      </c>
    </row>
    <row r="16227" spans="1:14">
      <c r="A16227" s="4" t="str">
        <f t="shared" si="1221"/>
        <v>EXP00420</v>
      </c>
      <c r="B16227" s="3" t="s">
        <v>66</v>
      </c>
      <c r="C16227" s="4" t="str">
        <f t="shared" si="1220"/>
        <v>TCGA-CESC</v>
      </c>
      <c r="D16227" s="1" t="s">
        <v>493</v>
      </c>
      <c r="E16227" t="s">
        <v>544</v>
      </c>
      <c r="F16227" s="1">
        <v>2</v>
      </c>
      <c r="G16227" s="1" t="s">
        <v>28</v>
      </c>
      <c r="H16227" s="4" t="str">
        <f>HYPERLINK("https://portal.gdc.cancer.gov/cases/c9f519b6-73f1-4737-83cb-f5ef208592cd","TCGA-MY-A913-01A")</f>
        <v>TCGA-MY-A913-01A</v>
      </c>
      <c r="I16227" t="s">
        <v>444</v>
      </c>
      <c r="J16227" t="s">
        <v>535</v>
      </c>
      <c r="K16227" t="s">
        <v>33</v>
      </c>
      <c r="L16227" t="s">
        <v>445</v>
      </c>
      <c r="N16227" t="s">
        <v>29</v>
      </c>
    </row>
    <row r="16228" spans="1:14">
      <c r="A16228" s="4" t="str">
        <f t="shared" si="1221"/>
        <v>EXP00420</v>
      </c>
      <c r="B16228" s="3" t="s">
        <v>66</v>
      </c>
      <c r="C16228" s="4" t="str">
        <f t="shared" si="1220"/>
        <v>TCGA-CESC</v>
      </c>
      <c r="D16228" s="1" t="s">
        <v>493</v>
      </c>
      <c r="E16228" t="s">
        <v>544</v>
      </c>
      <c r="F16228" s="1">
        <v>2</v>
      </c>
      <c r="G16228" s="1" t="s">
        <v>28</v>
      </c>
      <c r="H16228" s="4" t="str">
        <f>HYPERLINK("https://portal.gdc.cancer.gov/cases/55add854-e63f-4335-bea9-23c3eb1e766a","TCGA-PN-A8MA-01A")</f>
        <v>TCGA-PN-A8MA-01A</v>
      </c>
      <c r="I16228" t="s">
        <v>444</v>
      </c>
      <c r="J16228" t="s">
        <v>535</v>
      </c>
      <c r="K16228" t="s">
        <v>33</v>
      </c>
      <c r="L16228" t="s">
        <v>445</v>
      </c>
      <c r="N16228" t="s">
        <v>29</v>
      </c>
    </row>
    <row r="16229" spans="1:14">
      <c r="A16229" s="4" t="str">
        <f t="shared" si="1221"/>
        <v>EXP00420</v>
      </c>
      <c r="B16229" s="3" t="s">
        <v>66</v>
      </c>
      <c r="C16229" s="4" t="str">
        <f t="shared" si="1220"/>
        <v>TCGA-CESC</v>
      </c>
      <c r="D16229" s="1" t="s">
        <v>493</v>
      </c>
      <c r="E16229" t="s">
        <v>544</v>
      </c>
      <c r="F16229" s="1">
        <v>2</v>
      </c>
      <c r="G16229" s="1" t="s">
        <v>28</v>
      </c>
      <c r="H16229" s="4" t="str">
        <f>HYPERLINK("https://portal.gdc.cancer.gov/cases/f93ccd2d-3c77-4bd3-8cac-5203bd57735f","TCGA-Q1-A5R1-01A")</f>
        <v>TCGA-Q1-A5R1-01A</v>
      </c>
      <c r="I16229" t="s">
        <v>444</v>
      </c>
      <c r="J16229" t="s">
        <v>535</v>
      </c>
      <c r="K16229" t="s">
        <v>33</v>
      </c>
      <c r="L16229" t="s">
        <v>445</v>
      </c>
      <c r="N16229" t="s">
        <v>29</v>
      </c>
    </row>
    <row r="16230" spans="1:14">
      <c r="A16230" s="4" t="str">
        <f t="shared" si="1221"/>
        <v>EXP00420</v>
      </c>
      <c r="B16230" s="3" t="s">
        <v>66</v>
      </c>
      <c r="C16230" s="4" t="str">
        <f t="shared" si="1220"/>
        <v>TCGA-CESC</v>
      </c>
      <c r="D16230" s="1" t="s">
        <v>493</v>
      </c>
      <c r="E16230" t="s">
        <v>544</v>
      </c>
      <c r="F16230" s="1">
        <v>2</v>
      </c>
      <c r="G16230" s="1" t="s">
        <v>28</v>
      </c>
      <c r="H16230" s="4" t="str">
        <f>HYPERLINK("https://portal.gdc.cancer.gov/cases/f3cbadb3-3b83-47cd-b8a0-b0e10343a295","TCGA-Q1-A5R2-01A")</f>
        <v>TCGA-Q1-A5R2-01A</v>
      </c>
      <c r="I16230" t="s">
        <v>444</v>
      </c>
      <c r="J16230" t="s">
        <v>535</v>
      </c>
      <c r="K16230" t="s">
        <v>33</v>
      </c>
      <c r="L16230" t="s">
        <v>445</v>
      </c>
      <c r="N16230" t="s">
        <v>29</v>
      </c>
    </row>
    <row r="16231" spans="1:14">
      <c r="A16231" s="4" t="str">
        <f t="shared" si="1221"/>
        <v>EXP00420</v>
      </c>
      <c r="B16231" s="3" t="s">
        <v>66</v>
      </c>
      <c r="C16231" s="4" t="str">
        <f t="shared" si="1220"/>
        <v>TCGA-CESC</v>
      </c>
      <c r="D16231" s="1" t="s">
        <v>493</v>
      </c>
      <c r="E16231" t="s">
        <v>544</v>
      </c>
      <c r="F16231" s="1">
        <v>2</v>
      </c>
      <c r="G16231" s="1" t="s">
        <v>28</v>
      </c>
      <c r="H16231" s="4" t="str">
        <f>HYPERLINK("https://portal.gdc.cancer.gov/cases/73aa428a-4288-45f8-8a53-cec173dcc61f","TCGA-Q1-A5R3-01A")</f>
        <v>TCGA-Q1-A5R3-01A</v>
      </c>
      <c r="I16231" t="s">
        <v>444</v>
      </c>
      <c r="J16231" t="s">
        <v>535</v>
      </c>
      <c r="K16231" t="s">
        <v>33</v>
      </c>
      <c r="L16231" t="s">
        <v>445</v>
      </c>
      <c r="N16231" t="s">
        <v>29</v>
      </c>
    </row>
    <row r="16232" spans="1:14">
      <c r="A16232" s="4" t="str">
        <f t="shared" si="1221"/>
        <v>EXP00420</v>
      </c>
      <c r="B16232" s="3" t="s">
        <v>66</v>
      </c>
      <c r="C16232" s="4" t="str">
        <f t="shared" si="1220"/>
        <v>TCGA-CESC</v>
      </c>
      <c r="D16232" s="1" t="s">
        <v>493</v>
      </c>
      <c r="E16232" t="s">
        <v>544</v>
      </c>
      <c r="F16232" s="1">
        <v>2</v>
      </c>
      <c r="G16232" s="1" t="s">
        <v>28</v>
      </c>
      <c r="H16232" s="4" t="str">
        <f>HYPERLINK("https://portal.gdc.cancer.gov/cases/46adfbbe-3add-41cd-a388-b1ee0790bf62","TCGA-Q1-A6DT-01A")</f>
        <v>TCGA-Q1-A6DT-01A</v>
      </c>
      <c r="I16232" t="s">
        <v>444</v>
      </c>
      <c r="J16232" t="s">
        <v>535</v>
      </c>
      <c r="K16232" t="s">
        <v>33</v>
      </c>
      <c r="L16232" t="s">
        <v>445</v>
      </c>
      <c r="N16232" t="s">
        <v>29</v>
      </c>
    </row>
    <row r="16233" spans="1:14">
      <c r="A16233" s="4" t="str">
        <f t="shared" si="1221"/>
        <v>EXP00420</v>
      </c>
      <c r="B16233" s="3" t="s">
        <v>66</v>
      </c>
      <c r="C16233" s="4" t="str">
        <f t="shared" si="1220"/>
        <v>TCGA-CESC</v>
      </c>
      <c r="D16233" s="1" t="s">
        <v>493</v>
      </c>
      <c r="E16233" t="s">
        <v>544</v>
      </c>
      <c r="F16233" s="1">
        <v>2</v>
      </c>
      <c r="G16233" s="1" t="s">
        <v>28</v>
      </c>
      <c r="H16233" s="4" t="str">
        <f>HYPERLINK("https://portal.gdc.cancer.gov/cases/c80f777e-d150-40f3-9fa9-02ef9a6d7692","TCGA-Q1-A6DV-01A")</f>
        <v>TCGA-Q1-A6DV-01A</v>
      </c>
      <c r="I16233" t="s">
        <v>444</v>
      </c>
      <c r="J16233" t="s">
        <v>535</v>
      </c>
      <c r="K16233" t="s">
        <v>33</v>
      </c>
      <c r="L16233" t="s">
        <v>445</v>
      </c>
      <c r="N16233" t="s">
        <v>29</v>
      </c>
    </row>
    <row r="16234" spans="1:14">
      <c r="A16234" s="4" t="str">
        <f t="shared" si="1221"/>
        <v>EXP00420</v>
      </c>
      <c r="B16234" s="3" t="s">
        <v>66</v>
      </c>
      <c r="C16234" s="4" t="str">
        <f t="shared" si="1220"/>
        <v>TCGA-CESC</v>
      </c>
      <c r="D16234" s="1" t="s">
        <v>493</v>
      </c>
      <c r="E16234" t="s">
        <v>544</v>
      </c>
      <c r="F16234" s="1">
        <v>2</v>
      </c>
      <c r="G16234" s="1" t="s">
        <v>28</v>
      </c>
      <c r="H16234" s="4" t="str">
        <f>HYPERLINK("https://portal.gdc.cancer.gov/cases/5dbd5436-696e-40fa-881b-c2386573ac68","TCGA-Q1-A6DW-01A")</f>
        <v>TCGA-Q1-A6DW-01A</v>
      </c>
      <c r="I16234" t="s">
        <v>444</v>
      </c>
      <c r="J16234" t="s">
        <v>535</v>
      </c>
      <c r="K16234" t="s">
        <v>33</v>
      </c>
      <c r="L16234" t="s">
        <v>445</v>
      </c>
      <c r="N16234" t="s">
        <v>29</v>
      </c>
    </row>
    <row r="16235" spans="1:14">
      <c r="A16235" s="4" t="str">
        <f t="shared" si="1221"/>
        <v>EXP00420</v>
      </c>
      <c r="B16235" s="3" t="s">
        <v>66</v>
      </c>
      <c r="C16235" s="4" t="str">
        <f t="shared" si="1220"/>
        <v>TCGA-CESC</v>
      </c>
      <c r="D16235" s="1" t="s">
        <v>493</v>
      </c>
      <c r="E16235" t="s">
        <v>544</v>
      </c>
      <c r="F16235" s="1">
        <v>2</v>
      </c>
      <c r="G16235" s="1" t="s">
        <v>28</v>
      </c>
      <c r="H16235" s="4" t="str">
        <f>HYPERLINK("https://portal.gdc.cancer.gov/cases/d0cbe668-5c95-4261-a1e8-cef55093a0f7","TCGA-Q1-A73O-01A")</f>
        <v>TCGA-Q1-A73O-01A</v>
      </c>
      <c r="I16235" t="s">
        <v>444</v>
      </c>
      <c r="J16235" t="s">
        <v>535</v>
      </c>
      <c r="K16235" t="s">
        <v>33</v>
      </c>
      <c r="L16235" t="s">
        <v>445</v>
      </c>
      <c r="N16235" t="s">
        <v>29</v>
      </c>
    </row>
    <row r="16236" spans="1:14">
      <c r="A16236" s="4" t="str">
        <f t="shared" si="1221"/>
        <v>EXP00420</v>
      </c>
      <c r="B16236" s="3" t="s">
        <v>66</v>
      </c>
      <c r="C16236" s="4" t="str">
        <f t="shared" si="1220"/>
        <v>TCGA-CESC</v>
      </c>
      <c r="D16236" s="1" t="s">
        <v>493</v>
      </c>
      <c r="E16236" t="s">
        <v>544</v>
      </c>
      <c r="F16236" s="1">
        <v>2</v>
      </c>
      <c r="G16236" s="1" t="s">
        <v>28</v>
      </c>
      <c r="H16236" s="4" t="str">
        <f>HYPERLINK("https://portal.gdc.cancer.gov/cases/3a3a9b5e-12a1-41f5-a54c-d4c1e0eccb9e","TCGA-Q1-A73P-01A")</f>
        <v>TCGA-Q1-A73P-01A</v>
      </c>
      <c r="I16236" t="s">
        <v>444</v>
      </c>
      <c r="J16236" t="s">
        <v>535</v>
      </c>
      <c r="K16236" t="s">
        <v>33</v>
      </c>
      <c r="L16236" t="s">
        <v>445</v>
      </c>
      <c r="N16236" t="s">
        <v>29</v>
      </c>
    </row>
    <row r="16237" spans="1:14">
      <c r="A16237" s="4" t="str">
        <f t="shared" si="1221"/>
        <v>EXP00420</v>
      </c>
      <c r="B16237" s="3" t="s">
        <v>66</v>
      </c>
      <c r="C16237" s="4" t="str">
        <f t="shared" si="1220"/>
        <v>TCGA-CESC</v>
      </c>
      <c r="D16237" s="1" t="s">
        <v>493</v>
      </c>
      <c r="E16237" t="s">
        <v>544</v>
      </c>
      <c r="F16237" s="1">
        <v>2</v>
      </c>
      <c r="G16237" s="1" t="s">
        <v>28</v>
      </c>
      <c r="H16237" s="4" t="str">
        <f>HYPERLINK("https://portal.gdc.cancer.gov/cases/5c72bda2-2ec0-455f-ab27-7247fd5ffff9","TCGA-Q1-A73Q-01A")</f>
        <v>TCGA-Q1-A73Q-01A</v>
      </c>
      <c r="I16237" t="s">
        <v>444</v>
      </c>
      <c r="J16237" t="s">
        <v>535</v>
      </c>
      <c r="K16237" t="s">
        <v>33</v>
      </c>
      <c r="L16237" t="s">
        <v>445</v>
      </c>
      <c r="N16237" t="s">
        <v>29</v>
      </c>
    </row>
    <row r="16238" spans="1:14">
      <c r="A16238" s="4" t="str">
        <f t="shared" si="1221"/>
        <v>EXP00420</v>
      </c>
      <c r="B16238" s="3" t="s">
        <v>66</v>
      </c>
      <c r="C16238" s="4" t="str">
        <f t="shared" si="1220"/>
        <v>TCGA-CESC</v>
      </c>
      <c r="D16238" s="1" t="s">
        <v>493</v>
      </c>
      <c r="E16238" t="s">
        <v>544</v>
      </c>
      <c r="F16238" s="1">
        <v>2</v>
      </c>
      <c r="G16238" s="1" t="s">
        <v>28</v>
      </c>
      <c r="H16238" s="4" t="str">
        <f>HYPERLINK("https://portal.gdc.cancer.gov/cases/d9b0ac5a-811d-4305-bb1c-a965bd389ce4","TCGA-Q1-A73R-01A")</f>
        <v>TCGA-Q1-A73R-01A</v>
      </c>
      <c r="I16238" t="s">
        <v>444</v>
      </c>
      <c r="J16238" t="s">
        <v>535</v>
      </c>
      <c r="K16238" t="s">
        <v>33</v>
      </c>
      <c r="L16238" t="s">
        <v>445</v>
      </c>
      <c r="N16238" t="s">
        <v>29</v>
      </c>
    </row>
    <row r="16239" spans="1:14">
      <c r="A16239" s="4" t="str">
        <f t="shared" si="1221"/>
        <v>EXP00420</v>
      </c>
      <c r="B16239" s="3" t="s">
        <v>66</v>
      </c>
      <c r="C16239" s="4" t="str">
        <f t="shared" si="1220"/>
        <v>TCGA-CESC</v>
      </c>
      <c r="D16239" s="1" t="s">
        <v>493</v>
      </c>
      <c r="E16239" t="s">
        <v>544</v>
      </c>
      <c r="F16239" s="1">
        <v>2</v>
      </c>
      <c r="G16239" s="1" t="s">
        <v>28</v>
      </c>
      <c r="H16239" s="4" t="str">
        <f>HYPERLINK("https://portal.gdc.cancer.gov/cases/b0f63819-fc86-4981-9d92-0115c6de3bce","TCGA-Q1-A73S-01A")</f>
        <v>TCGA-Q1-A73S-01A</v>
      </c>
      <c r="I16239" t="s">
        <v>444</v>
      </c>
      <c r="J16239" t="s">
        <v>535</v>
      </c>
      <c r="K16239" t="s">
        <v>33</v>
      </c>
      <c r="L16239" t="s">
        <v>445</v>
      </c>
      <c r="N16239" t="s">
        <v>29</v>
      </c>
    </row>
    <row r="16240" spans="1:14">
      <c r="A16240" s="4" t="str">
        <f t="shared" si="1221"/>
        <v>EXP00420</v>
      </c>
      <c r="B16240" s="3" t="s">
        <v>66</v>
      </c>
      <c r="C16240" s="4" t="str">
        <f t="shared" si="1220"/>
        <v>TCGA-CESC</v>
      </c>
      <c r="D16240" s="1" t="s">
        <v>493</v>
      </c>
      <c r="E16240" t="s">
        <v>544</v>
      </c>
      <c r="F16240" s="1">
        <v>2</v>
      </c>
      <c r="G16240" s="1" t="s">
        <v>28</v>
      </c>
      <c r="H16240" s="4" t="str">
        <f>HYPERLINK("https://portal.gdc.cancer.gov/cases/0e137272-a21c-4c5e-bfd1-a774b339a753","TCGA-R2-A69V-01A")</f>
        <v>TCGA-R2-A69V-01A</v>
      </c>
      <c r="I16240" t="s">
        <v>444</v>
      </c>
      <c r="J16240" t="s">
        <v>535</v>
      </c>
      <c r="K16240" t="s">
        <v>33</v>
      </c>
      <c r="L16240" t="s">
        <v>445</v>
      </c>
      <c r="N16240" t="s">
        <v>29</v>
      </c>
    </row>
    <row r="16241" spans="1:14">
      <c r="A16241" s="4" t="str">
        <f t="shared" si="1221"/>
        <v>EXP00420</v>
      </c>
      <c r="B16241" s="3" t="s">
        <v>66</v>
      </c>
      <c r="C16241" s="4" t="str">
        <f t="shared" si="1220"/>
        <v>TCGA-CESC</v>
      </c>
      <c r="D16241" s="1" t="s">
        <v>493</v>
      </c>
      <c r="E16241" t="s">
        <v>544</v>
      </c>
      <c r="F16241" s="1">
        <v>2</v>
      </c>
      <c r="G16241" s="1" t="s">
        <v>28</v>
      </c>
      <c r="H16241" s="4" t="str">
        <f>HYPERLINK("https://portal.gdc.cancer.gov/cases/bdad2f13-ede2-4aad-91a4-bf60f8888bf2","TCGA-RA-A741-01A")</f>
        <v>TCGA-RA-A741-01A</v>
      </c>
      <c r="I16241" t="s">
        <v>444</v>
      </c>
      <c r="J16241" t="s">
        <v>535</v>
      </c>
      <c r="K16241" t="s">
        <v>33</v>
      </c>
      <c r="L16241" t="s">
        <v>445</v>
      </c>
      <c r="N16241" t="s">
        <v>29</v>
      </c>
    </row>
    <row r="16242" spans="1:14">
      <c r="A16242" s="4" t="str">
        <f t="shared" si="1221"/>
        <v>EXP00420</v>
      </c>
      <c r="B16242" s="3" t="s">
        <v>66</v>
      </c>
      <c r="C16242" s="4" t="str">
        <f t="shared" si="1220"/>
        <v>TCGA-CESC</v>
      </c>
      <c r="D16242" s="1" t="s">
        <v>493</v>
      </c>
      <c r="E16242" t="s">
        <v>544</v>
      </c>
      <c r="F16242" s="1">
        <v>2</v>
      </c>
      <c r="G16242" s="1" t="s">
        <v>28</v>
      </c>
      <c r="H16242" s="4" t="str">
        <f>HYPERLINK("https://portal.gdc.cancer.gov/cases/0f18ef74-019b-478d-aecd-60cc715bfdb7","TCGA-UC-A7PD-01A")</f>
        <v>TCGA-UC-A7PD-01A</v>
      </c>
      <c r="I16242" t="s">
        <v>444</v>
      </c>
      <c r="J16242" t="s">
        <v>535</v>
      </c>
      <c r="K16242" t="s">
        <v>33</v>
      </c>
      <c r="L16242" t="s">
        <v>445</v>
      </c>
      <c r="N16242" t="s">
        <v>29</v>
      </c>
    </row>
    <row r="16243" spans="1:14">
      <c r="A16243" s="4" t="str">
        <f t="shared" si="1221"/>
        <v>EXP00420</v>
      </c>
      <c r="B16243" s="3" t="s">
        <v>66</v>
      </c>
      <c r="C16243" s="4" t="str">
        <f t="shared" si="1220"/>
        <v>TCGA-CESC</v>
      </c>
      <c r="D16243" s="1" t="s">
        <v>493</v>
      </c>
      <c r="E16243" t="s">
        <v>544</v>
      </c>
      <c r="F16243" s="1">
        <v>2</v>
      </c>
      <c r="G16243" s="1" t="s">
        <v>28</v>
      </c>
      <c r="H16243" s="4" t="str">
        <f>HYPERLINK("https://portal.gdc.cancer.gov/cases/1451821e-dd49-41fa-a52e-32f8524ffe82","TCGA-UC-A7PF-01A")</f>
        <v>TCGA-UC-A7PF-01A</v>
      </c>
      <c r="I16243" t="s">
        <v>444</v>
      </c>
      <c r="J16243" t="s">
        <v>535</v>
      </c>
      <c r="K16243" t="s">
        <v>33</v>
      </c>
      <c r="L16243" t="s">
        <v>445</v>
      </c>
      <c r="N16243" t="s">
        <v>29</v>
      </c>
    </row>
    <row r="16244" spans="1:14">
      <c r="A16244" s="4" t="str">
        <f t="shared" si="1221"/>
        <v>EXP00420</v>
      </c>
      <c r="B16244" s="3" t="s">
        <v>66</v>
      </c>
      <c r="C16244" s="4" t="str">
        <f t="shared" si="1220"/>
        <v>TCGA-CESC</v>
      </c>
      <c r="D16244" s="1" t="s">
        <v>493</v>
      </c>
      <c r="E16244" t="s">
        <v>544</v>
      </c>
      <c r="F16244" s="1">
        <v>2</v>
      </c>
      <c r="G16244" s="1" t="s">
        <v>28</v>
      </c>
      <c r="H16244" s="4" t="str">
        <f>HYPERLINK("https://portal.gdc.cancer.gov/cases/c659f1c9-f3b4-4cfe-8627-2bb716c62b96","TCGA-UC-A7PI-01A")</f>
        <v>TCGA-UC-A7PI-01A</v>
      </c>
      <c r="I16244" t="s">
        <v>444</v>
      </c>
      <c r="J16244" t="s">
        <v>535</v>
      </c>
      <c r="K16244" t="s">
        <v>33</v>
      </c>
      <c r="L16244" t="s">
        <v>445</v>
      </c>
      <c r="N16244" t="s">
        <v>29</v>
      </c>
    </row>
    <row r="16245" spans="1:14">
      <c r="A16245" s="4" t="str">
        <f t="shared" si="1221"/>
        <v>EXP00420</v>
      </c>
      <c r="B16245" s="3" t="s">
        <v>66</v>
      </c>
      <c r="C16245" s="4" t="str">
        <f t="shared" si="1220"/>
        <v>TCGA-CESC</v>
      </c>
      <c r="D16245" s="1" t="s">
        <v>493</v>
      </c>
      <c r="E16245" t="s">
        <v>544</v>
      </c>
      <c r="F16245" s="1">
        <v>2</v>
      </c>
      <c r="G16245" s="1" t="s">
        <v>28</v>
      </c>
      <c r="H16245" s="4" t="str">
        <f>HYPERLINK("https://portal.gdc.cancer.gov/cases/2c736c5c-9d32-4522-acfd-6620bc291ace","TCGA-VS-A8EB-01A")</f>
        <v>TCGA-VS-A8EB-01A</v>
      </c>
      <c r="I16245" t="s">
        <v>444</v>
      </c>
      <c r="J16245" t="s">
        <v>535</v>
      </c>
      <c r="K16245" t="s">
        <v>33</v>
      </c>
      <c r="L16245" t="s">
        <v>445</v>
      </c>
      <c r="N16245" t="s">
        <v>29</v>
      </c>
    </row>
    <row r="16246" spans="1:14">
      <c r="A16246" s="4" t="str">
        <f t="shared" si="1221"/>
        <v>EXP00420</v>
      </c>
      <c r="B16246" s="3" t="s">
        <v>66</v>
      </c>
      <c r="C16246" s="4" t="str">
        <f t="shared" si="1220"/>
        <v>TCGA-CESC</v>
      </c>
      <c r="D16246" s="1" t="s">
        <v>493</v>
      </c>
      <c r="E16246" t="s">
        <v>544</v>
      </c>
      <c r="F16246" s="1">
        <v>2</v>
      </c>
      <c r="G16246" s="1" t="s">
        <v>28</v>
      </c>
      <c r="H16246" s="4" t="str">
        <f>HYPERLINK("https://portal.gdc.cancer.gov/cases/afb5442e-0249-475b-8f82-cae4e0268ad1","TCGA-VS-A8EC-01A")</f>
        <v>TCGA-VS-A8EC-01A</v>
      </c>
      <c r="I16246" t="s">
        <v>444</v>
      </c>
      <c r="J16246" t="s">
        <v>535</v>
      </c>
      <c r="K16246" t="s">
        <v>33</v>
      </c>
      <c r="L16246" t="s">
        <v>445</v>
      </c>
      <c r="N16246" t="s">
        <v>29</v>
      </c>
    </row>
    <row r="16247" spans="1:14">
      <c r="A16247" s="4" t="str">
        <f t="shared" si="1221"/>
        <v>EXP00420</v>
      </c>
      <c r="B16247" s="3" t="s">
        <v>66</v>
      </c>
      <c r="C16247" s="4" t="str">
        <f t="shared" si="1220"/>
        <v>TCGA-CESC</v>
      </c>
      <c r="D16247" s="1" t="s">
        <v>493</v>
      </c>
      <c r="E16247" t="s">
        <v>544</v>
      </c>
      <c r="F16247" s="1">
        <v>2</v>
      </c>
      <c r="G16247" s="1" t="s">
        <v>28</v>
      </c>
      <c r="H16247" s="4" t="str">
        <f>HYPERLINK("https://portal.gdc.cancer.gov/cases/b0b293c1-bd7e-4ba8-9f44-47398488ef2c","TCGA-VS-A8EG-01A")</f>
        <v>TCGA-VS-A8EG-01A</v>
      </c>
      <c r="I16247" t="s">
        <v>444</v>
      </c>
      <c r="J16247" t="s">
        <v>535</v>
      </c>
      <c r="K16247" t="s">
        <v>33</v>
      </c>
      <c r="L16247" t="s">
        <v>445</v>
      </c>
      <c r="N16247" t="s">
        <v>29</v>
      </c>
    </row>
    <row r="16248" spans="1:14">
      <c r="A16248" s="4" t="str">
        <f t="shared" si="1221"/>
        <v>EXP00420</v>
      </c>
      <c r="B16248" s="3" t="s">
        <v>66</v>
      </c>
      <c r="C16248" s="4" t="str">
        <f t="shared" si="1220"/>
        <v>TCGA-CESC</v>
      </c>
      <c r="D16248" s="1" t="s">
        <v>493</v>
      </c>
      <c r="E16248" t="s">
        <v>544</v>
      </c>
      <c r="F16248" s="1">
        <v>2</v>
      </c>
      <c r="G16248" s="1" t="s">
        <v>28</v>
      </c>
      <c r="H16248" s="4" t="str">
        <f>HYPERLINK("https://portal.gdc.cancer.gov/cases/05026179-b1da-411e-a286-89727b1ae380","TCGA-VS-A8EH-01A")</f>
        <v>TCGA-VS-A8EH-01A</v>
      </c>
      <c r="I16248" t="s">
        <v>444</v>
      </c>
      <c r="J16248" t="s">
        <v>535</v>
      </c>
      <c r="K16248" t="s">
        <v>33</v>
      </c>
      <c r="L16248" t="s">
        <v>445</v>
      </c>
      <c r="N16248" t="s">
        <v>29</v>
      </c>
    </row>
    <row r="16249" spans="1:14">
      <c r="A16249" s="4" t="str">
        <f t="shared" si="1221"/>
        <v>EXP00420</v>
      </c>
      <c r="B16249" s="3" t="s">
        <v>66</v>
      </c>
      <c r="C16249" s="4" t="str">
        <f t="shared" si="1220"/>
        <v>TCGA-CESC</v>
      </c>
      <c r="D16249" s="1" t="s">
        <v>493</v>
      </c>
      <c r="E16249" t="s">
        <v>544</v>
      </c>
      <c r="F16249" s="1">
        <v>2</v>
      </c>
      <c r="G16249" s="1" t="s">
        <v>28</v>
      </c>
      <c r="H16249" s="4" t="str">
        <f>HYPERLINK("https://portal.gdc.cancer.gov/cases/7b228c3b-e604-41a1-9b76-8dd3d5a59ffe","TCGA-VS-A8EI-01A")</f>
        <v>TCGA-VS-A8EI-01A</v>
      </c>
      <c r="I16249" t="s">
        <v>444</v>
      </c>
      <c r="J16249" t="s">
        <v>535</v>
      </c>
      <c r="K16249" t="s">
        <v>33</v>
      </c>
      <c r="L16249" t="s">
        <v>445</v>
      </c>
      <c r="N16249" t="s">
        <v>29</v>
      </c>
    </row>
    <row r="16250" spans="1:14">
      <c r="A16250" s="4" t="str">
        <f t="shared" si="1221"/>
        <v>EXP00420</v>
      </c>
      <c r="B16250" s="3" t="s">
        <v>66</v>
      </c>
      <c r="C16250" s="4" t="str">
        <f t="shared" si="1220"/>
        <v>TCGA-CESC</v>
      </c>
      <c r="D16250" s="1" t="s">
        <v>493</v>
      </c>
      <c r="E16250" t="s">
        <v>544</v>
      </c>
      <c r="F16250" s="1">
        <v>2</v>
      </c>
      <c r="G16250" s="1" t="s">
        <v>28</v>
      </c>
      <c r="H16250" s="4" t="str">
        <f>HYPERLINK("https://portal.gdc.cancer.gov/cases/2e08a89e-4035-4782-b54f-f98eef5db80d","TCGA-VS-A8EJ-01A")</f>
        <v>TCGA-VS-A8EJ-01A</v>
      </c>
      <c r="I16250" t="s">
        <v>444</v>
      </c>
      <c r="J16250" t="s">
        <v>535</v>
      </c>
      <c r="K16250" t="s">
        <v>33</v>
      </c>
      <c r="L16250" t="s">
        <v>445</v>
      </c>
      <c r="N16250" t="s">
        <v>29</v>
      </c>
    </row>
    <row r="16251" spans="1:14">
      <c r="A16251" s="4" t="str">
        <f t="shared" si="1221"/>
        <v>EXP00420</v>
      </c>
      <c r="B16251" s="3" t="s">
        <v>66</v>
      </c>
      <c r="C16251" s="4" t="str">
        <f t="shared" si="1220"/>
        <v>TCGA-CESC</v>
      </c>
      <c r="D16251" s="1" t="s">
        <v>493</v>
      </c>
      <c r="E16251" t="s">
        <v>544</v>
      </c>
      <c r="F16251" s="1">
        <v>2</v>
      </c>
      <c r="G16251" s="1" t="s">
        <v>28</v>
      </c>
      <c r="H16251" s="4" t="str">
        <f>HYPERLINK("https://portal.gdc.cancer.gov/cases/d9c2ca21-f1a6-4cf4-be28-6c2492dd38e5","TCGA-VS-A8EK-01A")</f>
        <v>TCGA-VS-A8EK-01A</v>
      </c>
      <c r="I16251" t="s">
        <v>444</v>
      </c>
      <c r="J16251" t="s">
        <v>535</v>
      </c>
      <c r="K16251" t="s">
        <v>33</v>
      </c>
      <c r="L16251" t="s">
        <v>445</v>
      </c>
      <c r="N16251" t="s">
        <v>29</v>
      </c>
    </row>
    <row r="16252" spans="1:14">
      <c r="A16252" s="4" t="str">
        <f t="shared" si="1221"/>
        <v>EXP00420</v>
      </c>
      <c r="B16252" s="3" t="s">
        <v>66</v>
      </c>
      <c r="C16252" s="4" t="str">
        <f t="shared" si="1220"/>
        <v>TCGA-CESC</v>
      </c>
      <c r="D16252" s="1" t="s">
        <v>493</v>
      </c>
      <c r="E16252" t="s">
        <v>544</v>
      </c>
      <c r="F16252" s="1">
        <v>2</v>
      </c>
      <c r="G16252" s="1" t="s">
        <v>28</v>
      </c>
      <c r="H16252" s="4" t="str">
        <f>HYPERLINK("https://portal.gdc.cancer.gov/cases/e0a5d99b-b58b-4301-b2dc-a767d90059b1","TCGA-VS-A8EL-01A")</f>
        <v>TCGA-VS-A8EL-01A</v>
      </c>
      <c r="I16252" t="s">
        <v>444</v>
      </c>
      <c r="J16252" t="s">
        <v>535</v>
      </c>
      <c r="K16252" t="s">
        <v>33</v>
      </c>
      <c r="L16252" t="s">
        <v>445</v>
      </c>
      <c r="N16252" t="s">
        <v>29</v>
      </c>
    </row>
    <row r="16253" spans="1:14">
      <c r="A16253" s="4" t="str">
        <f t="shared" si="1221"/>
        <v>EXP00420</v>
      </c>
      <c r="B16253" s="3" t="s">
        <v>66</v>
      </c>
      <c r="C16253" s="4" t="str">
        <f t="shared" si="1220"/>
        <v>TCGA-CESC</v>
      </c>
      <c r="D16253" s="1" t="s">
        <v>493</v>
      </c>
      <c r="E16253" t="s">
        <v>544</v>
      </c>
      <c r="F16253" s="1">
        <v>2</v>
      </c>
      <c r="G16253" s="1" t="s">
        <v>28</v>
      </c>
      <c r="H16253" s="4" t="str">
        <f>HYPERLINK("https://portal.gdc.cancer.gov/cases/6c3c8219-74ab-4e54-81f5-84d4d5884252","TCGA-VS-A8Q8-01A")</f>
        <v>TCGA-VS-A8Q8-01A</v>
      </c>
      <c r="I16253" t="s">
        <v>444</v>
      </c>
      <c r="J16253" t="s">
        <v>535</v>
      </c>
      <c r="K16253" t="s">
        <v>33</v>
      </c>
      <c r="L16253" t="s">
        <v>445</v>
      </c>
      <c r="N16253" t="s">
        <v>29</v>
      </c>
    </row>
    <row r="16254" spans="1:14">
      <c r="A16254" s="4" t="str">
        <f t="shared" si="1221"/>
        <v>EXP00420</v>
      </c>
      <c r="B16254" s="3" t="s">
        <v>66</v>
      </c>
      <c r="C16254" s="4" t="str">
        <f t="shared" si="1220"/>
        <v>TCGA-CESC</v>
      </c>
      <c r="D16254" s="1" t="s">
        <v>493</v>
      </c>
      <c r="E16254" t="s">
        <v>544</v>
      </c>
      <c r="F16254" s="1">
        <v>2</v>
      </c>
      <c r="G16254" s="1" t="s">
        <v>28</v>
      </c>
      <c r="H16254" s="4" t="str">
        <f>HYPERLINK("https://portal.gdc.cancer.gov/cases/5798d741-c198-4c14-bcc2-e3b17caf1be3","TCGA-VS-A8Q9-01A")</f>
        <v>TCGA-VS-A8Q9-01A</v>
      </c>
      <c r="I16254" t="s">
        <v>444</v>
      </c>
      <c r="J16254" t="s">
        <v>535</v>
      </c>
      <c r="K16254" t="s">
        <v>33</v>
      </c>
      <c r="L16254" t="s">
        <v>445</v>
      </c>
      <c r="N16254" t="s">
        <v>29</v>
      </c>
    </row>
    <row r="16255" spans="1:14">
      <c r="A16255" s="4" t="str">
        <f t="shared" si="1221"/>
        <v>EXP00420</v>
      </c>
      <c r="B16255" s="3" t="s">
        <v>66</v>
      </c>
      <c r="C16255" s="4" t="str">
        <f t="shared" si="1220"/>
        <v>TCGA-CESC</v>
      </c>
      <c r="D16255" s="1" t="s">
        <v>493</v>
      </c>
      <c r="E16255" t="s">
        <v>544</v>
      </c>
      <c r="F16255" s="1">
        <v>2</v>
      </c>
      <c r="G16255" s="1" t="s">
        <v>28</v>
      </c>
      <c r="H16255" s="4" t="str">
        <f>HYPERLINK("https://portal.gdc.cancer.gov/cases/1a3d5555-7013-4f06-878a-98944f075b63","TCGA-VS-A8QA-01A")</f>
        <v>TCGA-VS-A8QA-01A</v>
      </c>
      <c r="I16255" t="s">
        <v>444</v>
      </c>
      <c r="J16255" t="s">
        <v>535</v>
      </c>
      <c r="K16255" t="s">
        <v>33</v>
      </c>
      <c r="L16255" t="s">
        <v>445</v>
      </c>
      <c r="N16255" t="s">
        <v>29</v>
      </c>
    </row>
    <row r="16256" spans="1:14">
      <c r="A16256" s="4" t="str">
        <f t="shared" si="1221"/>
        <v>EXP00420</v>
      </c>
      <c r="B16256" s="3" t="s">
        <v>66</v>
      </c>
      <c r="C16256" s="4" t="str">
        <f t="shared" si="1220"/>
        <v>TCGA-CESC</v>
      </c>
      <c r="D16256" s="1" t="s">
        <v>493</v>
      </c>
      <c r="E16256" t="s">
        <v>544</v>
      </c>
      <c r="F16256" s="1">
        <v>2</v>
      </c>
      <c r="G16256" s="1" t="s">
        <v>28</v>
      </c>
      <c r="H16256" s="4" t="str">
        <f>HYPERLINK("https://portal.gdc.cancer.gov/cases/cb695fdd-381e-4c00-836e-0ba27e32176b","TCGA-VS-A8QC-01A")</f>
        <v>TCGA-VS-A8QC-01A</v>
      </c>
      <c r="I16256" t="s">
        <v>444</v>
      </c>
      <c r="J16256" t="s">
        <v>535</v>
      </c>
      <c r="K16256" t="s">
        <v>33</v>
      </c>
      <c r="L16256" t="s">
        <v>445</v>
      </c>
      <c r="N16256" t="s">
        <v>29</v>
      </c>
    </row>
    <row r="16257" spans="1:14">
      <c r="A16257" s="4" t="str">
        <f t="shared" si="1221"/>
        <v>EXP00420</v>
      </c>
      <c r="B16257" s="3" t="s">
        <v>66</v>
      </c>
      <c r="C16257" s="4" t="str">
        <f t="shared" si="1220"/>
        <v>TCGA-CESC</v>
      </c>
      <c r="D16257" s="1" t="s">
        <v>493</v>
      </c>
      <c r="E16257" t="s">
        <v>544</v>
      </c>
      <c r="F16257" s="1">
        <v>2</v>
      </c>
      <c r="G16257" s="1" t="s">
        <v>28</v>
      </c>
      <c r="H16257" s="4" t="str">
        <f>HYPERLINK("https://portal.gdc.cancer.gov/cases/21254cb0-68f3-4ecc-8d9a-73fb0e994c5b","TCGA-VS-A8QF-01A")</f>
        <v>TCGA-VS-A8QF-01A</v>
      </c>
      <c r="I16257" t="s">
        <v>444</v>
      </c>
      <c r="J16257" t="s">
        <v>535</v>
      </c>
      <c r="K16257" t="s">
        <v>33</v>
      </c>
      <c r="L16257" t="s">
        <v>445</v>
      </c>
      <c r="N16257" t="s">
        <v>29</v>
      </c>
    </row>
    <row r="16258" spans="1:14">
      <c r="A16258" s="4" t="str">
        <f t="shared" si="1221"/>
        <v>EXP00420</v>
      </c>
      <c r="B16258" s="3" t="s">
        <v>66</v>
      </c>
      <c r="C16258" s="4" t="str">
        <f t="shared" si="1220"/>
        <v>TCGA-CESC</v>
      </c>
      <c r="D16258" s="1" t="s">
        <v>493</v>
      </c>
      <c r="E16258" t="s">
        <v>544</v>
      </c>
      <c r="F16258" s="1">
        <v>2</v>
      </c>
      <c r="G16258" s="1" t="s">
        <v>28</v>
      </c>
      <c r="H16258" s="4" t="str">
        <f>HYPERLINK("https://portal.gdc.cancer.gov/cases/c4f61715-ee58-4799-a5f4-0f5e27c4093d","TCGA-VS-A8QH-01A")</f>
        <v>TCGA-VS-A8QH-01A</v>
      </c>
      <c r="I16258" t="s">
        <v>444</v>
      </c>
      <c r="J16258" t="s">
        <v>535</v>
      </c>
      <c r="K16258" t="s">
        <v>33</v>
      </c>
      <c r="L16258" t="s">
        <v>445</v>
      </c>
      <c r="N16258" t="s">
        <v>29</v>
      </c>
    </row>
    <row r="16259" spans="1:14">
      <c r="A16259" s="4" t="str">
        <f t="shared" si="1221"/>
        <v>EXP00420</v>
      </c>
      <c r="B16259" s="3" t="s">
        <v>66</v>
      </c>
      <c r="C16259" s="4" t="str">
        <f t="shared" si="1220"/>
        <v>TCGA-CESC</v>
      </c>
      <c r="D16259" s="1" t="s">
        <v>493</v>
      </c>
      <c r="E16259" t="s">
        <v>544</v>
      </c>
      <c r="F16259" s="1">
        <v>2</v>
      </c>
      <c r="G16259" s="1" t="s">
        <v>28</v>
      </c>
      <c r="H16259" s="4" t="str">
        <f>HYPERLINK("https://portal.gdc.cancer.gov/cases/27d2b645-f1bf-4486-b0b5-273681b58625","TCGA-VS-A8QM-01A")</f>
        <v>TCGA-VS-A8QM-01A</v>
      </c>
      <c r="I16259" t="s">
        <v>444</v>
      </c>
      <c r="J16259" t="s">
        <v>535</v>
      </c>
      <c r="K16259" t="s">
        <v>33</v>
      </c>
      <c r="L16259" t="s">
        <v>445</v>
      </c>
      <c r="N16259" t="s">
        <v>29</v>
      </c>
    </row>
    <row r="16260" spans="1:14">
      <c r="A16260" s="4" t="str">
        <f t="shared" si="1221"/>
        <v>EXP00420</v>
      </c>
      <c r="B16260" s="3" t="s">
        <v>66</v>
      </c>
      <c r="C16260" s="4" t="str">
        <f t="shared" si="1220"/>
        <v>TCGA-CESC</v>
      </c>
      <c r="D16260" s="1" t="s">
        <v>493</v>
      </c>
      <c r="E16260" t="s">
        <v>544</v>
      </c>
      <c r="F16260" s="1">
        <v>2</v>
      </c>
      <c r="G16260" s="1" t="s">
        <v>28</v>
      </c>
      <c r="H16260" s="4" t="str">
        <f>HYPERLINK("https://portal.gdc.cancer.gov/cases/2f6a0e87-1e6c-41f3-93e0-3e505fa654b0","TCGA-VS-A94W-01A")</f>
        <v>TCGA-VS-A94W-01A</v>
      </c>
      <c r="I16260" t="s">
        <v>444</v>
      </c>
      <c r="J16260" t="s">
        <v>535</v>
      </c>
      <c r="K16260" t="s">
        <v>33</v>
      </c>
      <c r="L16260" t="s">
        <v>445</v>
      </c>
      <c r="N16260" t="s">
        <v>29</v>
      </c>
    </row>
    <row r="16261" spans="1:14">
      <c r="A16261" s="4" t="str">
        <f t="shared" si="1221"/>
        <v>EXP00420</v>
      </c>
      <c r="B16261" s="3" t="s">
        <v>66</v>
      </c>
      <c r="C16261" s="4" t="str">
        <f t="shared" ref="C16261:C16312" si="1222">HYPERLINK("https://portal.gdc.cancer.gov/projects/TCGA-CESC","TCGA-CESC")</f>
        <v>TCGA-CESC</v>
      </c>
      <c r="D16261" s="1" t="s">
        <v>493</v>
      </c>
      <c r="E16261" t="s">
        <v>544</v>
      </c>
      <c r="F16261" s="1">
        <v>2</v>
      </c>
      <c r="G16261" s="1" t="s">
        <v>28</v>
      </c>
      <c r="H16261" s="4" t="str">
        <f>HYPERLINK("https://portal.gdc.cancer.gov/cases/240ef385-decc-48f7-a798-a81b4ab0410e","TCGA-VS-A94X-01A")</f>
        <v>TCGA-VS-A94X-01A</v>
      </c>
      <c r="I16261" t="s">
        <v>444</v>
      </c>
      <c r="J16261" t="s">
        <v>535</v>
      </c>
      <c r="K16261" t="s">
        <v>33</v>
      </c>
      <c r="L16261" t="s">
        <v>445</v>
      </c>
      <c r="N16261" t="s">
        <v>29</v>
      </c>
    </row>
    <row r="16262" spans="1:14">
      <c r="A16262" s="4" t="str">
        <f t="shared" si="1221"/>
        <v>EXP00420</v>
      </c>
      <c r="B16262" s="3" t="s">
        <v>66</v>
      </c>
      <c r="C16262" s="4" t="str">
        <f t="shared" si="1222"/>
        <v>TCGA-CESC</v>
      </c>
      <c r="D16262" s="1" t="s">
        <v>493</v>
      </c>
      <c r="E16262" t="s">
        <v>544</v>
      </c>
      <c r="F16262" s="1">
        <v>2</v>
      </c>
      <c r="G16262" s="1" t="s">
        <v>28</v>
      </c>
      <c r="H16262" s="4" t="str">
        <f>HYPERLINK("https://portal.gdc.cancer.gov/cases/0e7f79cd-d188-42ea-bf96-4ba9e9b8606b","TCGA-VS-A94Y-01A")</f>
        <v>TCGA-VS-A94Y-01A</v>
      </c>
      <c r="I16262" t="s">
        <v>444</v>
      </c>
      <c r="J16262" t="s">
        <v>535</v>
      </c>
      <c r="K16262" t="s">
        <v>33</v>
      </c>
      <c r="L16262" t="s">
        <v>445</v>
      </c>
      <c r="N16262" t="s">
        <v>29</v>
      </c>
    </row>
    <row r="16263" spans="1:14">
      <c r="A16263" s="4" t="str">
        <f t="shared" si="1221"/>
        <v>EXP00420</v>
      </c>
      <c r="B16263" s="3" t="s">
        <v>66</v>
      </c>
      <c r="C16263" s="4" t="str">
        <f t="shared" si="1222"/>
        <v>TCGA-CESC</v>
      </c>
      <c r="D16263" s="1" t="s">
        <v>493</v>
      </c>
      <c r="E16263" t="s">
        <v>544</v>
      </c>
      <c r="F16263" s="1">
        <v>2</v>
      </c>
      <c r="G16263" s="1" t="s">
        <v>28</v>
      </c>
      <c r="H16263" s="4" t="str">
        <f>HYPERLINK("https://portal.gdc.cancer.gov/cases/69baba9f-19c2-4947-95dc-0dd3412929ba","TCGA-VS-A94Z-01A")</f>
        <v>TCGA-VS-A94Z-01A</v>
      </c>
      <c r="I16263" t="s">
        <v>444</v>
      </c>
      <c r="J16263" t="s">
        <v>535</v>
      </c>
      <c r="K16263" t="s">
        <v>33</v>
      </c>
      <c r="L16263" t="s">
        <v>445</v>
      </c>
      <c r="N16263" t="s">
        <v>29</v>
      </c>
    </row>
    <row r="16264" spans="1:14">
      <c r="A16264" s="4" t="str">
        <f t="shared" si="1221"/>
        <v>EXP00420</v>
      </c>
      <c r="B16264" s="3" t="s">
        <v>66</v>
      </c>
      <c r="C16264" s="4" t="str">
        <f t="shared" si="1222"/>
        <v>TCGA-CESC</v>
      </c>
      <c r="D16264" s="1" t="s">
        <v>493</v>
      </c>
      <c r="E16264" t="s">
        <v>544</v>
      </c>
      <c r="F16264" s="1">
        <v>2</v>
      </c>
      <c r="G16264" s="1" t="s">
        <v>28</v>
      </c>
      <c r="H16264" s="4" t="str">
        <f>HYPERLINK("https://portal.gdc.cancer.gov/cases/3d190f07-2f79-4ee6-9f63-0b563dc05c74","TCGA-VS-A950-01A")</f>
        <v>TCGA-VS-A950-01A</v>
      </c>
      <c r="I16264" t="s">
        <v>444</v>
      </c>
      <c r="J16264" t="s">
        <v>535</v>
      </c>
      <c r="K16264" t="s">
        <v>33</v>
      </c>
      <c r="L16264" t="s">
        <v>445</v>
      </c>
      <c r="N16264" t="s">
        <v>29</v>
      </c>
    </row>
    <row r="16265" spans="1:14">
      <c r="A16265" s="4" t="str">
        <f t="shared" si="1221"/>
        <v>EXP00420</v>
      </c>
      <c r="B16265" s="3" t="s">
        <v>66</v>
      </c>
      <c r="C16265" s="4" t="str">
        <f t="shared" si="1222"/>
        <v>TCGA-CESC</v>
      </c>
      <c r="D16265" s="1" t="s">
        <v>493</v>
      </c>
      <c r="E16265" t="s">
        <v>544</v>
      </c>
      <c r="F16265" s="1">
        <v>2</v>
      </c>
      <c r="G16265" s="1" t="s">
        <v>28</v>
      </c>
      <c r="H16265" s="4" t="str">
        <f>HYPERLINK("https://portal.gdc.cancer.gov/cases/9fa42fe6-ccd0-4850-b08b-97b20eceb8df","TCGA-VS-A952-01A")</f>
        <v>TCGA-VS-A952-01A</v>
      </c>
      <c r="I16265" t="s">
        <v>444</v>
      </c>
      <c r="J16265" t="s">
        <v>535</v>
      </c>
      <c r="K16265" t="s">
        <v>33</v>
      </c>
      <c r="L16265" t="s">
        <v>445</v>
      </c>
      <c r="N16265" t="s">
        <v>29</v>
      </c>
    </row>
    <row r="16266" spans="1:14">
      <c r="A16266" s="4" t="str">
        <f t="shared" si="1221"/>
        <v>EXP00420</v>
      </c>
      <c r="B16266" s="3" t="s">
        <v>66</v>
      </c>
      <c r="C16266" s="4" t="str">
        <f t="shared" si="1222"/>
        <v>TCGA-CESC</v>
      </c>
      <c r="D16266" s="1" t="s">
        <v>493</v>
      </c>
      <c r="E16266" t="s">
        <v>544</v>
      </c>
      <c r="F16266" s="1">
        <v>2</v>
      </c>
      <c r="G16266" s="1" t="s">
        <v>28</v>
      </c>
      <c r="H16266" s="4" t="str">
        <f>HYPERLINK("https://portal.gdc.cancer.gov/cases/da901e97-3a1d-4952-8254-9c4e60d2812c","TCGA-VS-A953-01A")</f>
        <v>TCGA-VS-A953-01A</v>
      </c>
      <c r="I16266" t="s">
        <v>444</v>
      </c>
      <c r="J16266" t="s">
        <v>535</v>
      </c>
      <c r="K16266" t="s">
        <v>33</v>
      </c>
      <c r="L16266" t="s">
        <v>445</v>
      </c>
      <c r="N16266" t="s">
        <v>29</v>
      </c>
    </row>
    <row r="16267" spans="1:14">
      <c r="A16267" s="4" t="str">
        <f t="shared" si="1221"/>
        <v>EXP00420</v>
      </c>
      <c r="B16267" s="3" t="s">
        <v>66</v>
      </c>
      <c r="C16267" s="4" t="str">
        <f t="shared" si="1222"/>
        <v>TCGA-CESC</v>
      </c>
      <c r="D16267" s="1" t="s">
        <v>493</v>
      </c>
      <c r="E16267" t="s">
        <v>544</v>
      </c>
      <c r="F16267" s="1">
        <v>2</v>
      </c>
      <c r="G16267" s="1" t="s">
        <v>28</v>
      </c>
      <c r="H16267" s="4" t="str">
        <f>HYPERLINK("https://portal.gdc.cancer.gov/cases/9ba72a77-aef0-4788-8072-60c28902e55d","TCGA-VS-A954-01A")</f>
        <v>TCGA-VS-A954-01A</v>
      </c>
      <c r="I16267" t="s">
        <v>444</v>
      </c>
      <c r="J16267" t="s">
        <v>535</v>
      </c>
      <c r="K16267" t="s">
        <v>33</v>
      </c>
      <c r="L16267" t="s">
        <v>445</v>
      </c>
      <c r="N16267" t="s">
        <v>29</v>
      </c>
    </row>
    <row r="16268" spans="1:14">
      <c r="A16268" s="4" t="str">
        <f t="shared" si="1221"/>
        <v>EXP00420</v>
      </c>
      <c r="B16268" s="3" t="s">
        <v>66</v>
      </c>
      <c r="C16268" s="4" t="str">
        <f t="shared" si="1222"/>
        <v>TCGA-CESC</v>
      </c>
      <c r="D16268" s="1" t="s">
        <v>493</v>
      </c>
      <c r="E16268" t="s">
        <v>544</v>
      </c>
      <c r="F16268" s="1">
        <v>2</v>
      </c>
      <c r="G16268" s="1" t="s">
        <v>28</v>
      </c>
      <c r="H16268" s="4" t="str">
        <f>HYPERLINK("https://portal.gdc.cancer.gov/cases/cb31b3ce-8595-4d75-9436-bb59e95c3a19","TCGA-VS-A957-01A")</f>
        <v>TCGA-VS-A957-01A</v>
      </c>
      <c r="I16268" t="s">
        <v>444</v>
      </c>
      <c r="J16268" t="s">
        <v>535</v>
      </c>
      <c r="K16268" t="s">
        <v>33</v>
      </c>
      <c r="L16268" t="s">
        <v>445</v>
      </c>
      <c r="N16268" t="s">
        <v>29</v>
      </c>
    </row>
    <row r="16269" spans="1:14">
      <c r="A16269" s="4" t="str">
        <f t="shared" si="1221"/>
        <v>EXP00420</v>
      </c>
      <c r="B16269" s="3" t="s">
        <v>66</v>
      </c>
      <c r="C16269" s="4" t="str">
        <f t="shared" si="1222"/>
        <v>TCGA-CESC</v>
      </c>
      <c r="D16269" s="1" t="s">
        <v>493</v>
      </c>
      <c r="E16269" t="s">
        <v>544</v>
      </c>
      <c r="F16269" s="1">
        <v>2</v>
      </c>
      <c r="G16269" s="1" t="s">
        <v>28</v>
      </c>
      <c r="H16269" s="4" t="str">
        <f>HYPERLINK("https://portal.gdc.cancer.gov/cases/97cf3268-9756-4659-9e98-f200f96a91f4","TCGA-VS-A958-01A")</f>
        <v>TCGA-VS-A958-01A</v>
      </c>
      <c r="I16269" t="s">
        <v>444</v>
      </c>
      <c r="J16269" t="s">
        <v>535</v>
      </c>
      <c r="K16269" t="s">
        <v>33</v>
      </c>
      <c r="L16269" t="s">
        <v>445</v>
      </c>
      <c r="N16269" t="s">
        <v>29</v>
      </c>
    </row>
    <row r="16270" spans="1:14">
      <c r="A16270" s="4" t="str">
        <f t="shared" si="1221"/>
        <v>EXP00420</v>
      </c>
      <c r="B16270" s="3" t="s">
        <v>66</v>
      </c>
      <c r="C16270" s="4" t="str">
        <f t="shared" si="1222"/>
        <v>TCGA-CESC</v>
      </c>
      <c r="D16270" s="1" t="s">
        <v>493</v>
      </c>
      <c r="E16270" t="s">
        <v>544</v>
      </c>
      <c r="F16270" s="1">
        <v>2</v>
      </c>
      <c r="G16270" s="1" t="s">
        <v>28</v>
      </c>
      <c r="H16270" s="4" t="str">
        <f>HYPERLINK("https://portal.gdc.cancer.gov/cases/f2bea37e-0d19-49e1-91a0-a4de4dfa2d35","TCGA-VS-A959-01A")</f>
        <v>TCGA-VS-A959-01A</v>
      </c>
      <c r="I16270" t="s">
        <v>444</v>
      </c>
      <c r="J16270" t="s">
        <v>535</v>
      </c>
      <c r="K16270" t="s">
        <v>33</v>
      </c>
      <c r="L16270" t="s">
        <v>445</v>
      </c>
      <c r="N16270" t="s">
        <v>29</v>
      </c>
    </row>
    <row r="16271" spans="1:14">
      <c r="A16271" s="4" t="str">
        <f t="shared" si="1221"/>
        <v>EXP00420</v>
      </c>
      <c r="B16271" s="3" t="s">
        <v>66</v>
      </c>
      <c r="C16271" s="4" t="str">
        <f t="shared" si="1222"/>
        <v>TCGA-CESC</v>
      </c>
      <c r="D16271" s="1" t="s">
        <v>493</v>
      </c>
      <c r="E16271" t="s">
        <v>544</v>
      </c>
      <c r="F16271" s="1">
        <v>2</v>
      </c>
      <c r="G16271" s="1" t="s">
        <v>28</v>
      </c>
      <c r="H16271" s="4" t="str">
        <f>HYPERLINK("https://portal.gdc.cancer.gov/cases/939abca1-8bd0-4271-9a9b-666764eeb3b6","TCGA-VS-A9U5-01A")</f>
        <v>TCGA-VS-A9U5-01A</v>
      </c>
      <c r="I16271" t="s">
        <v>444</v>
      </c>
      <c r="J16271" t="s">
        <v>535</v>
      </c>
      <c r="K16271" t="s">
        <v>33</v>
      </c>
      <c r="L16271" t="s">
        <v>445</v>
      </c>
      <c r="N16271" t="s">
        <v>29</v>
      </c>
    </row>
    <row r="16272" spans="1:14">
      <c r="A16272" s="4" t="str">
        <f t="shared" si="1221"/>
        <v>EXP00420</v>
      </c>
      <c r="B16272" s="3" t="s">
        <v>66</v>
      </c>
      <c r="C16272" s="4" t="str">
        <f t="shared" si="1222"/>
        <v>TCGA-CESC</v>
      </c>
      <c r="D16272" s="1" t="s">
        <v>493</v>
      </c>
      <c r="E16272" t="s">
        <v>544</v>
      </c>
      <c r="F16272" s="1">
        <v>2</v>
      </c>
      <c r="G16272" s="1" t="s">
        <v>28</v>
      </c>
      <c r="H16272" s="4" t="str">
        <f>HYPERLINK("https://portal.gdc.cancer.gov/cases/98784bbe-e286-48df-838d-1a88040658bf","TCGA-VS-A9U6-01A")</f>
        <v>TCGA-VS-A9U6-01A</v>
      </c>
      <c r="I16272" t="s">
        <v>444</v>
      </c>
      <c r="J16272" t="s">
        <v>535</v>
      </c>
      <c r="K16272" t="s">
        <v>33</v>
      </c>
      <c r="L16272" t="s">
        <v>445</v>
      </c>
      <c r="N16272" t="s">
        <v>29</v>
      </c>
    </row>
    <row r="16273" spans="1:14">
      <c r="A16273" s="4" t="str">
        <f t="shared" ref="A16273:A16312" si="1223">HYPERLINK("http://hcmdb.i-sanger.com/experiment/details/experiment_id/EXP00420","EXP00420")</f>
        <v>EXP00420</v>
      </c>
      <c r="B16273" s="3" t="s">
        <v>66</v>
      </c>
      <c r="C16273" s="4" t="str">
        <f t="shared" si="1222"/>
        <v>TCGA-CESC</v>
      </c>
      <c r="D16273" s="1" t="s">
        <v>493</v>
      </c>
      <c r="E16273" t="s">
        <v>544</v>
      </c>
      <c r="F16273" s="1">
        <v>2</v>
      </c>
      <c r="G16273" s="1" t="s">
        <v>28</v>
      </c>
      <c r="H16273" s="4" t="str">
        <f>HYPERLINK("https://portal.gdc.cancer.gov/cases/6d01421e-d533-4967-8422-97fbc0fb0895","TCGA-VS-A9U7-01A")</f>
        <v>TCGA-VS-A9U7-01A</v>
      </c>
      <c r="I16273" t="s">
        <v>444</v>
      </c>
      <c r="J16273" t="s">
        <v>535</v>
      </c>
      <c r="K16273" t="s">
        <v>33</v>
      </c>
      <c r="L16273" t="s">
        <v>445</v>
      </c>
      <c r="N16273" t="s">
        <v>29</v>
      </c>
    </row>
    <row r="16274" spans="1:14">
      <c r="A16274" s="4" t="str">
        <f t="shared" si="1223"/>
        <v>EXP00420</v>
      </c>
      <c r="B16274" s="3" t="s">
        <v>66</v>
      </c>
      <c r="C16274" s="4" t="str">
        <f t="shared" si="1222"/>
        <v>TCGA-CESC</v>
      </c>
      <c r="D16274" s="1" t="s">
        <v>493</v>
      </c>
      <c r="E16274" t="s">
        <v>544</v>
      </c>
      <c r="F16274" s="1">
        <v>2</v>
      </c>
      <c r="G16274" s="1" t="s">
        <v>28</v>
      </c>
      <c r="H16274" s="4" t="str">
        <f>HYPERLINK("https://portal.gdc.cancer.gov/cases/ca242b4c-b879-4e13-a1e7-84c984067189","TCGA-VS-A9UB-01A")</f>
        <v>TCGA-VS-A9UB-01A</v>
      </c>
      <c r="I16274" t="s">
        <v>444</v>
      </c>
      <c r="J16274" t="s">
        <v>535</v>
      </c>
      <c r="K16274" t="s">
        <v>33</v>
      </c>
      <c r="L16274" t="s">
        <v>445</v>
      </c>
      <c r="N16274" t="s">
        <v>29</v>
      </c>
    </row>
    <row r="16275" spans="1:14">
      <c r="A16275" s="4" t="str">
        <f t="shared" si="1223"/>
        <v>EXP00420</v>
      </c>
      <c r="B16275" s="3" t="s">
        <v>66</v>
      </c>
      <c r="C16275" s="4" t="str">
        <f t="shared" si="1222"/>
        <v>TCGA-CESC</v>
      </c>
      <c r="D16275" s="1" t="s">
        <v>493</v>
      </c>
      <c r="E16275" t="s">
        <v>544</v>
      </c>
      <c r="F16275" s="1">
        <v>2</v>
      </c>
      <c r="G16275" s="1" t="s">
        <v>28</v>
      </c>
      <c r="H16275" s="4" t="str">
        <f>HYPERLINK("https://portal.gdc.cancer.gov/cases/cca23650-1b06-4977-91e8-f35e73e70c48","TCGA-VS-A9UC-01A")</f>
        <v>TCGA-VS-A9UC-01A</v>
      </c>
      <c r="I16275" t="s">
        <v>444</v>
      </c>
      <c r="J16275" t="s">
        <v>535</v>
      </c>
      <c r="K16275" t="s">
        <v>33</v>
      </c>
      <c r="L16275" t="s">
        <v>445</v>
      </c>
      <c r="N16275" t="s">
        <v>29</v>
      </c>
    </row>
    <row r="16276" spans="1:14">
      <c r="A16276" s="4" t="str">
        <f t="shared" si="1223"/>
        <v>EXP00420</v>
      </c>
      <c r="B16276" s="3" t="s">
        <v>66</v>
      </c>
      <c r="C16276" s="4" t="str">
        <f t="shared" si="1222"/>
        <v>TCGA-CESC</v>
      </c>
      <c r="D16276" s="1" t="s">
        <v>493</v>
      </c>
      <c r="E16276" t="s">
        <v>544</v>
      </c>
      <c r="F16276" s="1">
        <v>2</v>
      </c>
      <c r="G16276" s="1" t="s">
        <v>28</v>
      </c>
      <c r="H16276" s="4" t="str">
        <f>HYPERLINK("https://portal.gdc.cancer.gov/cases/60cfa29f-4770-4ee4-aa37-787f53155662","TCGA-VS-A9UD-01A")</f>
        <v>TCGA-VS-A9UD-01A</v>
      </c>
      <c r="I16276" t="s">
        <v>444</v>
      </c>
      <c r="J16276" t="s">
        <v>535</v>
      </c>
      <c r="K16276" t="s">
        <v>33</v>
      </c>
      <c r="L16276" t="s">
        <v>445</v>
      </c>
      <c r="N16276" t="s">
        <v>29</v>
      </c>
    </row>
    <row r="16277" spans="1:14">
      <c r="A16277" s="4" t="str">
        <f t="shared" si="1223"/>
        <v>EXP00420</v>
      </c>
      <c r="B16277" s="3" t="s">
        <v>66</v>
      </c>
      <c r="C16277" s="4" t="str">
        <f t="shared" si="1222"/>
        <v>TCGA-CESC</v>
      </c>
      <c r="D16277" s="1" t="s">
        <v>493</v>
      </c>
      <c r="E16277" t="s">
        <v>544</v>
      </c>
      <c r="F16277" s="1">
        <v>2</v>
      </c>
      <c r="G16277" s="1" t="s">
        <v>28</v>
      </c>
      <c r="H16277" s="4" t="str">
        <f>HYPERLINK("https://portal.gdc.cancer.gov/cases/6949c03e-067a-49a5-b48d-e9380a1b0b27","TCGA-VS-A9UH-01A")</f>
        <v>TCGA-VS-A9UH-01A</v>
      </c>
      <c r="I16277" t="s">
        <v>444</v>
      </c>
      <c r="J16277" t="s">
        <v>535</v>
      </c>
      <c r="K16277" t="s">
        <v>33</v>
      </c>
      <c r="L16277" t="s">
        <v>445</v>
      </c>
      <c r="N16277" t="s">
        <v>29</v>
      </c>
    </row>
    <row r="16278" spans="1:14">
      <c r="A16278" s="4" t="str">
        <f t="shared" si="1223"/>
        <v>EXP00420</v>
      </c>
      <c r="B16278" s="3" t="s">
        <v>66</v>
      </c>
      <c r="C16278" s="4" t="str">
        <f t="shared" si="1222"/>
        <v>TCGA-CESC</v>
      </c>
      <c r="D16278" s="1" t="s">
        <v>493</v>
      </c>
      <c r="E16278" t="s">
        <v>544</v>
      </c>
      <c r="F16278" s="1">
        <v>2</v>
      </c>
      <c r="G16278" s="1" t="s">
        <v>28</v>
      </c>
      <c r="H16278" s="4" t="str">
        <f>HYPERLINK("https://portal.gdc.cancer.gov/cases/9c516d28-bef2-4334-bdda-97950bd95ac0","TCGA-VS-A9UI-01A")</f>
        <v>TCGA-VS-A9UI-01A</v>
      </c>
      <c r="I16278" t="s">
        <v>444</v>
      </c>
      <c r="J16278" t="s">
        <v>535</v>
      </c>
      <c r="K16278" t="s">
        <v>33</v>
      </c>
      <c r="L16278" t="s">
        <v>445</v>
      </c>
      <c r="N16278" t="s">
        <v>29</v>
      </c>
    </row>
    <row r="16279" spans="1:14">
      <c r="A16279" s="4" t="str">
        <f t="shared" si="1223"/>
        <v>EXP00420</v>
      </c>
      <c r="B16279" s="3" t="s">
        <v>66</v>
      </c>
      <c r="C16279" s="4" t="str">
        <f t="shared" si="1222"/>
        <v>TCGA-CESC</v>
      </c>
      <c r="D16279" s="1" t="s">
        <v>493</v>
      </c>
      <c r="E16279" t="s">
        <v>544</v>
      </c>
      <c r="F16279" s="1">
        <v>2</v>
      </c>
      <c r="G16279" s="1" t="s">
        <v>28</v>
      </c>
      <c r="H16279" s="4" t="str">
        <f>HYPERLINK("https://portal.gdc.cancer.gov/cases/78c62970-4b48-4dc4-9042-5f48f42818ec","TCGA-VS-A9UJ-01A")</f>
        <v>TCGA-VS-A9UJ-01A</v>
      </c>
      <c r="I16279" t="s">
        <v>444</v>
      </c>
      <c r="J16279" t="s">
        <v>535</v>
      </c>
      <c r="K16279" t="s">
        <v>33</v>
      </c>
      <c r="L16279" t="s">
        <v>445</v>
      </c>
      <c r="N16279" t="s">
        <v>29</v>
      </c>
    </row>
    <row r="16280" spans="1:14">
      <c r="A16280" s="4" t="str">
        <f t="shared" si="1223"/>
        <v>EXP00420</v>
      </c>
      <c r="B16280" s="3" t="s">
        <v>66</v>
      </c>
      <c r="C16280" s="4" t="str">
        <f t="shared" si="1222"/>
        <v>TCGA-CESC</v>
      </c>
      <c r="D16280" s="1" t="s">
        <v>493</v>
      </c>
      <c r="E16280" t="s">
        <v>544</v>
      </c>
      <c r="F16280" s="1">
        <v>2</v>
      </c>
      <c r="G16280" s="1" t="s">
        <v>28</v>
      </c>
      <c r="H16280" s="4" t="str">
        <f>HYPERLINK("https://portal.gdc.cancer.gov/cases/7abaca8f-962e-4f9d-b63f-26c131bf5961","TCGA-VS-A9UL-01A")</f>
        <v>TCGA-VS-A9UL-01A</v>
      </c>
      <c r="I16280" t="s">
        <v>444</v>
      </c>
      <c r="J16280" t="s">
        <v>535</v>
      </c>
      <c r="K16280" t="s">
        <v>33</v>
      </c>
      <c r="L16280" t="s">
        <v>445</v>
      </c>
      <c r="N16280" t="s">
        <v>29</v>
      </c>
    </row>
    <row r="16281" spans="1:14">
      <c r="A16281" s="4" t="str">
        <f t="shared" si="1223"/>
        <v>EXP00420</v>
      </c>
      <c r="B16281" s="3" t="s">
        <v>66</v>
      </c>
      <c r="C16281" s="4" t="str">
        <f t="shared" si="1222"/>
        <v>TCGA-CESC</v>
      </c>
      <c r="D16281" s="1" t="s">
        <v>493</v>
      </c>
      <c r="E16281" t="s">
        <v>544</v>
      </c>
      <c r="F16281" s="1">
        <v>2</v>
      </c>
      <c r="G16281" s="1" t="s">
        <v>28</v>
      </c>
      <c r="H16281" s="4" t="str">
        <f>HYPERLINK("https://portal.gdc.cancer.gov/cases/ee2c9743-eaa1-4f0d-8d35-e96686ac3913","TCGA-VS-A9UM-01A")</f>
        <v>TCGA-VS-A9UM-01A</v>
      </c>
      <c r="I16281" t="s">
        <v>444</v>
      </c>
      <c r="J16281" t="s">
        <v>535</v>
      </c>
      <c r="K16281" t="s">
        <v>33</v>
      </c>
      <c r="L16281" t="s">
        <v>445</v>
      </c>
      <c r="N16281" t="s">
        <v>29</v>
      </c>
    </row>
    <row r="16282" spans="1:14">
      <c r="A16282" s="4" t="str">
        <f t="shared" si="1223"/>
        <v>EXP00420</v>
      </c>
      <c r="B16282" s="3" t="s">
        <v>66</v>
      </c>
      <c r="C16282" s="4" t="str">
        <f t="shared" si="1222"/>
        <v>TCGA-CESC</v>
      </c>
      <c r="D16282" s="1" t="s">
        <v>493</v>
      </c>
      <c r="E16282" t="s">
        <v>544</v>
      </c>
      <c r="F16282" s="1">
        <v>2</v>
      </c>
      <c r="G16282" s="1" t="s">
        <v>28</v>
      </c>
      <c r="H16282" s="4" t="str">
        <f>HYPERLINK("https://portal.gdc.cancer.gov/cases/4da121da-9193-4ac5-8206-03cb1f7c2c14","TCGA-VS-A9UO-01A")</f>
        <v>TCGA-VS-A9UO-01A</v>
      </c>
      <c r="I16282" t="s">
        <v>444</v>
      </c>
      <c r="J16282" t="s">
        <v>535</v>
      </c>
      <c r="K16282" t="s">
        <v>33</v>
      </c>
      <c r="L16282" t="s">
        <v>445</v>
      </c>
      <c r="N16282" t="s">
        <v>29</v>
      </c>
    </row>
    <row r="16283" spans="1:14">
      <c r="A16283" s="4" t="str">
        <f t="shared" si="1223"/>
        <v>EXP00420</v>
      </c>
      <c r="B16283" s="3" t="s">
        <v>66</v>
      </c>
      <c r="C16283" s="4" t="str">
        <f t="shared" si="1222"/>
        <v>TCGA-CESC</v>
      </c>
      <c r="D16283" s="1" t="s">
        <v>493</v>
      </c>
      <c r="E16283" t="s">
        <v>544</v>
      </c>
      <c r="F16283" s="1">
        <v>2</v>
      </c>
      <c r="G16283" s="1" t="s">
        <v>28</v>
      </c>
      <c r="H16283" s="4" t="str">
        <f>HYPERLINK("https://portal.gdc.cancer.gov/cases/adc60720-ac20-4e73-9c37-3ad3119c07d6","TCGA-VS-A9UR-01A")</f>
        <v>TCGA-VS-A9UR-01A</v>
      </c>
      <c r="I16283" t="s">
        <v>444</v>
      </c>
      <c r="J16283" t="s">
        <v>535</v>
      </c>
      <c r="K16283" t="s">
        <v>33</v>
      </c>
      <c r="L16283" t="s">
        <v>445</v>
      </c>
      <c r="N16283" t="s">
        <v>29</v>
      </c>
    </row>
    <row r="16284" spans="1:14">
      <c r="A16284" s="4" t="str">
        <f t="shared" si="1223"/>
        <v>EXP00420</v>
      </c>
      <c r="B16284" s="3" t="s">
        <v>66</v>
      </c>
      <c r="C16284" s="4" t="str">
        <f t="shared" si="1222"/>
        <v>TCGA-CESC</v>
      </c>
      <c r="D16284" s="1" t="s">
        <v>493</v>
      </c>
      <c r="E16284" t="s">
        <v>544</v>
      </c>
      <c r="F16284" s="1">
        <v>2</v>
      </c>
      <c r="G16284" s="1" t="s">
        <v>28</v>
      </c>
      <c r="H16284" s="4" t="str">
        <f>HYPERLINK("https://portal.gdc.cancer.gov/cases/a945fd96-ffb3-4787-bacd-60da4560c8a5","TCGA-VS-A9UT-01A")</f>
        <v>TCGA-VS-A9UT-01A</v>
      </c>
      <c r="I16284" t="s">
        <v>444</v>
      </c>
      <c r="J16284" t="s">
        <v>535</v>
      </c>
      <c r="K16284" t="s">
        <v>33</v>
      </c>
      <c r="L16284" t="s">
        <v>445</v>
      </c>
      <c r="N16284" t="s">
        <v>29</v>
      </c>
    </row>
    <row r="16285" spans="1:14">
      <c r="A16285" s="4" t="str">
        <f t="shared" si="1223"/>
        <v>EXP00420</v>
      </c>
      <c r="B16285" s="3" t="s">
        <v>66</v>
      </c>
      <c r="C16285" s="4" t="str">
        <f t="shared" si="1222"/>
        <v>TCGA-CESC</v>
      </c>
      <c r="D16285" s="1" t="s">
        <v>493</v>
      </c>
      <c r="E16285" t="s">
        <v>544</v>
      </c>
      <c r="F16285" s="1">
        <v>2</v>
      </c>
      <c r="G16285" s="1" t="s">
        <v>28</v>
      </c>
      <c r="H16285" s="4" t="str">
        <f>HYPERLINK("https://portal.gdc.cancer.gov/cases/4770ec81-9174-4d2a-af54-70c00696fb0b","TCGA-VS-A9UU-01A")</f>
        <v>TCGA-VS-A9UU-01A</v>
      </c>
      <c r="I16285" t="s">
        <v>444</v>
      </c>
      <c r="J16285" t="s">
        <v>535</v>
      </c>
      <c r="K16285" t="s">
        <v>33</v>
      </c>
      <c r="L16285" t="s">
        <v>445</v>
      </c>
      <c r="N16285" t="s">
        <v>29</v>
      </c>
    </row>
    <row r="16286" spans="1:14">
      <c r="A16286" s="4" t="str">
        <f t="shared" si="1223"/>
        <v>EXP00420</v>
      </c>
      <c r="B16286" s="3" t="s">
        <v>66</v>
      </c>
      <c r="C16286" s="4" t="str">
        <f t="shared" si="1222"/>
        <v>TCGA-CESC</v>
      </c>
      <c r="D16286" s="1" t="s">
        <v>493</v>
      </c>
      <c r="E16286" t="s">
        <v>544</v>
      </c>
      <c r="F16286" s="1">
        <v>2</v>
      </c>
      <c r="G16286" s="1" t="s">
        <v>28</v>
      </c>
      <c r="H16286" s="4" t="str">
        <f>HYPERLINK("https://portal.gdc.cancer.gov/cases/c9e4bac6-0cac-4fca-a548-527deac5b880","TCGA-VS-A9UV-01A")</f>
        <v>TCGA-VS-A9UV-01A</v>
      </c>
      <c r="I16286" t="s">
        <v>444</v>
      </c>
      <c r="J16286" t="s">
        <v>535</v>
      </c>
      <c r="K16286" t="s">
        <v>33</v>
      </c>
      <c r="L16286" t="s">
        <v>445</v>
      </c>
      <c r="N16286" t="s">
        <v>29</v>
      </c>
    </row>
    <row r="16287" spans="1:14">
      <c r="A16287" s="4" t="str">
        <f t="shared" si="1223"/>
        <v>EXP00420</v>
      </c>
      <c r="B16287" s="3" t="s">
        <v>66</v>
      </c>
      <c r="C16287" s="4" t="str">
        <f t="shared" si="1222"/>
        <v>TCGA-CESC</v>
      </c>
      <c r="D16287" s="1" t="s">
        <v>493</v>
      </c>
      <c r="E16287" t="s">
        <v>544</v>
      </c>
      <c r="F16287" s="1">
        <v>2</v>
      </c>
      <c r="G16287" s="1" t="s">
        <v>28</v>
      </c>
      <c r="H16287" s="4" t="str">
        <f>HYPERLINK("https://portal.gdc.cancer.gov/cases/6817bb3e-1f8a-457c-9ab0-31ccda8b6868","TCGA-VS-A9UZ-01A")</f>
        <v>TCGA-VS-A9UZ-01A</v>
      </c>
      <c r="I16287" t="s">
        <v>444</v>
      </c>
      <c r="J16287" t="s">
        <v>535</v>
      </c>
      <c r="K16287" t="s">
        <v>33</v>
      </c>
      <c r="L16287" t="s">
        <v>445</v>
      </c>
      <c r="N16287" t="s">
        <v>29</v>
      </c>
    </row>
    <row r="16288" spans="1:14">
      <c r="A16288" s="4" t="str">
        <f t="shared" si="1223"/>
        <v>EXP00420</v>
      </c>
      <c r="B16288" s="3" t="s">
        <v>66</v>
      </c>
      <c r="C16288" s="4" t="str">
        <f t="shared" si="1222"/>
        <v>TCGA-CESC</v>
      </c>
      <c r="D16288" s="1" t="s">
        <v>493</v>
      </c>
      <c r="E16288" t="s">
        <v>544</v>
      </c>
      <c r="F16288" s="1">
        <v>2</v>
      </c>
      <c r="G16288" s="1" t="s">
        <v>28</v>
      </c>
      <c r="H16288" s="4" t="str">
        <f>HYPERLINK("https://portal.gdc.cancer.gov/cases/a6a07bc7-ab1b-429d-81ed-d7a890c88e51","TCGA-VS-A9V1-01A")</f>
        <v>TCGA-VS-A9V1-01A</v>
      </c>
      <c r="I16288" t="s">
        <v>444</v>
      </c>
      <c r="J16288" t="s">
        <v>535</v>
      </c>
      <c r="K16288" t="s">
        <v>33</v>
      </c>
      <c r="L16288" t="s">
        <v>445</v>
      </c>
      <c r="N16288" t="s">
        <v>29</v>
      </c>
    </row>
    <row r="16289" spans="1:14">
      <c r="A16289" s="4" t="str">
        <f t="shared" si="1223"/>
        <v>EXP00420</v>
      </c>
      <c r="B16289" s="3" t="s">
        <v>66</v>
      </c>
      <c r="C16289" s="4" t="str">
        <f t="shared" si="1222"/>
        <v>TCGA-CESC</v>
      </c>
      <c r="D16289" s="1" t="s">
        <v>493</v>
      </c>
      <c r="E16289" t="s">
        <v>544</v>
      </c>
      <c r="F16289" s="1">
        <v>2</v>
      </c>
      <c r="G16289" s="1" t="s">
        <v>28</v>
      </c>
      <c r="H16289" s="4" t="str">
        <f>HYPERLINK("https://portal.gdc.cancer.gov/cases/03804f9b-df7c-462c-8984-8eb3a5ed4999","TCGA-VS-A9V2-01A")</f>
        <v>TCGA-VS-A9V2-01A</v>
      </c>
      <c r="I16289" t="s">
        <v>444</v>
      </c>
      <c r="J16289" t="s">
        <v>535</v>
      </c>
      <c r="K16289" t="s">
        <v>33</v>
      </c>
      <c r="L16289" t="s">
        <v>445</v>
      </c>
      <c r="N16289" t="s">
        <v>29</v>
      </c>
    </row>
    <row r="16290" spans="1:14">
      <c r="A16290" s="4" t="str">
        <f t="shared" si="1223"/>
        <v>EXP00420</v>
      </c>
      <c r="B16290" s="3" t="s">
        <v>66</v>
      </c>
      <c r="C16290" s="4" t="str">
        <f t="shared" si="1222"/>
        <v>TCGA-CESC</v>
      </c>
      <c r="D16290" s="1" t="s">
        <v>493</v>
      </c>
      <c r="E16290" t="s">
        <v>544</v>
      </c>
      <c r="F16290" s="1">
        <v>2</v>
      </c>
      <c r="G16290" s="1" t="s">
        <v>28</v>
      </c>
      <c r="H16290" s="4" t="str">
        <f>HYPERLINK("https://portal.gdc.cancer.gov/cases/1cb1d2ca-dfa6-4c42-9da9-c711dc5aab5d","TCGA-VS-A9V3-01A")</f>
        <v>TCGA-VS-A9V3-01A</v>
      </c>
      <c r="I16290" t="s">
        <v>444</v>
      </c>
      <c r="J16290" t="s">
        <v>535</v>
      </c>
      <c r="K16290" t="s">
        <v>33</v>
      </c>
      <c r="L16290" t="s">
        <v>445</v>
      </c>
      <c r="N16290" t="s">
        <v>29</v>
      </c>
    </row>
    <row r="16291" spans="1:14">
      <c r="A16291" s="4" t="str">
        <f t="shared" si="1223"/>
        <v>EXP00420</v>
      </c>
      <c r="B16291" s="3" t="s">
        <v>66</v>
      </c>
      <c r="C16291" s="4" t="str">
        <f t="shared" si="1222"/>
        <v>TCGA-CESC</v>
      </c>
      <c r="D16291" s="1" t="s">
        <v>493</v>
      </c>
      <c r="E16291" t="s">
        <v>544</v>
      </c>
      <c r="F16291" s="1">
        <v>2</v>
      </c>
      <c r="G16291" s="1" t="s">
        <v>28</v>
      </c>
      <c r="H16291" s="4" t="str">
        <f>HYPERLINK("https://portal.gdc.cancer.gov/cases/778389ba-c2e9-47d4-b133-6f4d0e689b34","TCGA-VS-A9V4-01A")</f>
        <v>TCGA-VS-A9V4-01A</v>
      </c>
      <c r="I16291" t="s">
        <v>444</v>
      </c>
      <c r="J16291" t="s">
        <v>535</v>
      </c>
      <c r="K16291" t="s">
        <v>33</v>
      </c>
      <c r="L16291" t="s">
        <v>445</v>
      </c>
      <c r="N16291" t="s">
        <v>29</v>
      </c>
    </row>
    <row r="16292" spans="1:14">
      <c r="A16292" s="4" t="str">
        <f t="shared" si="1223"/>
        <v>EXP00420</v>
      </c>
      <c r="B16292" s="3" t="s">
        <v>66</v>
      </c>
      <c r="C16292" s="4" t="str">
        <f t="shared" si="1222"/>
        <v>TCGA-CESC</v>
      </c>
      <c r="D16292" s="1" t="s">
        <v>493</v>
      </c>
      <c r="E16292" t="s">
        <v>544</v>
      </c>
      <c r="F16292" s="1">
        <v>2</v>
      </c>
      <c r="G16292" s="1" t="s">
        <v>28</v>
      </c>
      <c r="H16292" s="4" t="str">
        <f>HYPERLINK("https://portal.gdc.cancer.gov/cases/d3ff2aeb-46be-4f54-8a8f-178eb921fbb6","TCGA-VS-A9V5-01A")</f>
        <v>TCGA-VS-A9V5-01A</v>
      </c>
      <c r="I16292" t="s">
        <v>444</v>
      </c>
      <c r="J16292" t="s">
        <v>535</v>
      </c>
      <c r="K16292" t="s">
        <v>33</v>
      </c>
      <c r="L16292" t="s">
        <v>445</v>
      </c>
      <c r="N16292" t="s">
        <v>29</v>
      </c>
    </row>
    <row r="16293" spans="1:14">
      <c r="A16293" s="4" t="str">
        <f t="shared" si="1223"/>
        <v>EXP00420</v>
      </c>
      <c r="B16293" s="3" t="s">
        <v>66</v>
      </c>
      <c r="C16293" s="4" t="str">
        <f t="shared" si="1222"/>
        <v>TCGA-CESC</v>
      </c>
      <c r="D16293" s="1" t="s">
        <v>493</v>
      </c>
      <c r="E16293" t="s">
        <v>544</v>
      </c>
      <c r="F16293" s="1">
        <v>2</v>
      </c>
      <c r="G16293" s="1" t="s">
        <v>28</v>
      </c>
      <c r="H16293" s="4" t="str">
        <f>HYPERLINK("https://portal.gdc.cancer.gov/cases/173174f8-9d95-40b0-9f88-a4bf4ccb521b","TCGA-VS-AA62-01A")</f>
        <v>TCGA-VS-AA62-01A</v>
      </c>
      <c r="I16293" t="s">
        <v>444</v>
      </c>
      <c r="J16293" t="s">
        <v>535</v>
      </c>
      <c r="K16293" t="s">
        <v>33</v>
      </c>
      <c r="L16293" t="s">
        <v>445</v>
      </c>
      <c r="N16293" t="s">
        <v>29</v>
      </c>
    </row>
    <row r="16294" spans="1:14">
      <c r="A16294" s="4" t="str">
        <f t="shared" si="1223"/>
        <v>EXP00420</v>
      </c>
      <c r="B16294" s="3" t="s">
        <v>66</v>
      </c>
      <c r="C16294" s="4" t="str">
        <f t="shared" si="1222"/>
        <v>TCGA-CESC</v>
      </c>
      <c r="D16294" s="1" t="s">
        <v>493</v>
      </c>
      <c r="E16294" t="s">
        <v>544</v>
      </c>
      <c r="F16294" s="1">
        <v>2</v>
      </c>
      <c r="G16294" s="1" t="s">
        <v>28</v>
      </c>
      <c r="H16294" s="4" t="str">
        <f>HYPERLINK("https://portal.gdc.cancer.gov/cases/48d81b1e-cd75-4b55-a0b2-c331be2a88ae","TCGA-WL-A834-01A")</f>
        <v>TCGA-WL-A834-01A</v>
      </c>
      <c r="I16294" t="s">
        <v>444</v>
      </c>
      <c r="J16294" t="s">
        <v>535</v>
      </c>
      <c r="K16294" t="s">
        <v>33</v>
      </c>
      <c r="L16294" t="s">
        <v>445</v>
      </c>
      <c r="N16294" t="s">
        <v>29</v>
      </c>
    </row>
    <row r="16295" spans="1:14">
      <c r="A16295" s="4" t="str">
        <f t="shared" si="1223"/>
        <v>EXP00420</v>
      </c>
      <c r="B16295" s="3" t="s">
        <v>66</v>
      </c>
      <c r="C16295" s="4" t="str">
        <f t="shared" si="1222"/>
        <v>TCGA-CESC</v>
      </c>
      <c r="D16295" s="1" t="s">
        <v>493</v>
      </c>
      <c r="E16295" t="s">
        <v>544</v>
      </c>
      <c r="F16295" s="1">
        <v>2</v>
      </c>
      <c r="G16295" s="1" t="s">
        <v>28</v>
      </c>
      <c r="H16295" s="4" t="str">
        <f>HYPERLINK("https://portal.gdc.cancer.gov/cases/ffd8d31f-bc4b-4e19-bbaf-0e26e9f3a107","TCGA-XS-A8TJ-01A")</f>
        <v>TCGA-XS-A8TJ-01A</v>
      </c>
      <c r="I16295" t="s">
        <v>444</v>
      </c>
      <c r="J16295" t="s">
        <v>535</v>
      </c>
      <c r="K16295" t="s">
        <v>33</v>
      </c>
      <c r="L16295" t="s">
        <v>445</v>
      </c>
      <c r="N16295" t="s">
        <v>29</v>
      </c>
    </row>
    <row r="16296" spans="1:14">
      <c r="A16296" s="4" t="str">
        <f t="shared" si="1223"/>
        <v>EXP00420</v>
      </c>
      <c r="B16296" s="3" t="s">
        <v>66</v>
      </c>
      <c r="C16296" s="4" t="str">
        <f t="shared" si="1222"/>
        <v>TCGA-CESC</v>
      </c>
      <c r="D16296" s="1" t="s">
        <v>493</v>
      </c>
      <c r="E16296" t="s">
        <v>544</v>
      </c>
      <c r="F16296" s="1">
        <v>2</v>
      </c>
      <c r="G16296" s="1" t="s">
        <v>28</v>
      </c>
      <c r="H16296" s="4" t="str">
        <f>HYPERLINK("https://portal.gdc.cancer.gov/cases/eb3ba1fb-8254-4c02-a982-507f075cbac1","TCGA-ZJ-A8QO-01A")</f>
        <v>TCGA-ZJ-A8QO-01A</v>
      </c>
      <c r="I16296" t="s">
        <v>444</v>
      </c>
      <c r="J16296" t="s">
        <v>535</v>
      </c>
      <c r="K16296" t="s">
        <v>33</v>
      </c>
      <c r="L16296" t="s">
        <v>445</v>
      </c>
      <c r="N16296" t="s">
        <v>29</v>
      </c>
    </row>
    <row r="16297" spans="1:14">
      <c r="A16297" s="4" t="str">
        <f t="shared" si="1223"/>
        <v>EXP00420</v>
      </c>
      <c r="B16297" s="3" t="s">
        <v>66</v>
      </c>
      <c r="C16297" s="4" t="str">
        <f t="shared" si="1222"/>
        <v>TCGA-CESC</v>
      </c>
      <c r="D16297" s="1" t="s">
        <v>493</v>
      </c>
      <c r="E16297" t="s">
        <v>544</v>
      </c>
      <c r="F16297" s="1">
        <v>2</v>
      </c>
      <c r="G16297" s="1" t="s">
        <v>28</v>
      </c>
      <c r="H16297" s="4" t="str">
        <f>HYPERLINK("https://portal.gdc.cancer.gov/cases/b12deb95-6aa1-49cb-a3c5-a711d42d6fb9","TCGA-ZJ-A8QQ-01A")</f>
        <v>TCGA-ZJ-A8QQ-01A</v>
      </c>
      <c r="I16297" t="s">
        <v>444</v>
      </c>
      <c r="J16297" t="s">
        <v>535</v>
      </c>
      <c r="K16297" t="s">
        <v>33</v>
      </c>
      <c r="L16297" t="s">
        <v>445</v>
      </c>
      <c r="N16297" t="s">
        <v>29</v>
      </c>
    </row>
    <row r="16298" spans="1:14">
      <c r="A16298" s="4" t="str">
        <f t="shared" si="1223"/>
        <v>EXP00420</v>
      </c>
      <c r="B16298" s="3" t="s">
        <v>66</v>
      </c>
      <c r="C16298" s="4" t="str">
        <f t="shared" si="1222"/>
        <v>TCGA-CESC</v>
      </c>
      <c r="D16298" s="1" t="s">
        <v>493</v>
      </c>
      <c r="E16298" t="s">
        <v>544</v>
      </c>
      <c r="F16298" s="1">
        <v>2</v>
      </c>
      <c r="G16298" s="1" t="s">
        <v>28</v>
      </c>
      <c r="H16298" s="4" t="str">
        <f>HYPERLINK("https://portal.gdc.cancer.gov/cases/db44488e-4ed0-4082-bca0-bbfd22ff0537","TCGA-ZJ-A8QR-01A")</f>
        <v>TCGA-ZJ-A8QR-01A</v>
      </c>
      <c r="I16298" t="s">
        <v>444</v>
      </c>
      <c r="J16298" t="s">
        <v>535</v>
      </c>
      <c r="K16298" t="s">
        <v>33</v>
      </c>
      <c r="L16298" t="s">
        <v>445</v>
      </c>
      <c r="N16298" t="s">
        <v>29</v>
      </c>
    </row>
    <row r="16299" spans="1:14">
      <c r="A16299" s="4" t="str">
        <f t="shared" si="1223"/>
        <v>EXP00420</v>
      </c>
      <c r="B16299" s="3" t="s">
        <v>66</v>
      </c>
      <c r="C16299" s="4" t="str">
        <f t="shared" si="1222"/>
        <v>TCGA-CESC</v>
      </c>
      <c r="D16299" s="1" t="s">
        <v>493</v>
      </c>
      <c r="E16299" t="s">
        <v>544</v>
      </c>
      <c r="F16299" s="1">
        <v>2</v>
      </c>
      <c r="G16299" s="1" t="s">
        <v>28</v>
      </c>
      <c r="H16299" s="4" t="str">
        <f>HYPERLINK("https://portal.gdc.cancer.gov/cases/13d72130-604c-4d79-95cc-53c2e25d91b0","TCGA-ZJ-AAX4-01A")</f>
        <v>TCGA-ZJ-AAX4-01A</v>
      </c>
      <c r="I16299" t="s">
        <v>444</v>
      </c>
      <c r="J16299" t="s">
        <v>535</v>
      </c>
      <c r="K16299" t="s">
        <v>33</v>
      </c>
      <c r="L16299" t="s">
        <v>445</v>
      </c>
      <c r="N16299" t="s">
        <v>29</v>
      </c>
    </row>
    <row r="16300" spans="1:14">
      <c r="A16300" s="4" t="str">
        <f t="shared" si="1223"/>
        <v>EXP00420</v>
      </c>
      <c r="B16300" s="3" t="s">
        <v>66</v>
      </c>
      <c r="C16300" s="4" t="str">
        <f t="shared" si="1222"/>
        <v>TCGA-CESC</v>
      </c>
      <c r="D16300" s="1" t="s">
        <v>493</v>
      </c>
      <c r="E16300" t="s">
        <v>544</v>
      </c>
      <c r="F16300" s="1">
        <v>2</v>
      </c>
      <c r="G16300" s="1" t="s">
        <v>28</v>
      </c>
      <c r="H16300" s="4" t="str">
        <f>HYPERLINK("https://portal.gdc.cancer.gov/cases/b5f0e361-d67d-4fa9-9916-43623dafb10f","TCGA-ZJ-AAX8-01A")</f>
        <v>TCGA-ZJ-AAX8-01A</v>
      </c>
      <c r="I16300" t="s">
        <v>444</v>
      </c>
      <c r="J16300" t="s">
        <v>535</v>
      </c>
      <c r="K16300" t="s">
        <v>33</v>
      </c>
      <c r="L16300" t="s">
        <v>445</v>
      </c>
      <c r="N16300" t="s">
        <v>29</v>
      </c>
    </row>
    <row r="16301" spans="1:14">
      <c r="A16301" s="4" t="str">
        <f t="shared" si="1223"/>
        <v>EXP00420</v>
      </c>
      <c r="B16301" s="3" t="s">
        <v>66</v>
      </c>
      <c r="C16301" s="4" t="str">
        <f t="shared" si="1222"/>
        <v>TCGA-CESC</v>
      </c>
      <c r="D16301" s="1" t="s">
        <v>493</v>
      </c>
      <c r="E16301" t="s">
        <v>544</v>
      </c>
      <c r="F16301" s="1">
        <v>2</v>
      </c>
      <c r="G16301" s="1" t="s">
        <v>28</v>
      </c>
      <c r="H16301" s="4" t="str">
        <f>HYPERLINK("https://portal.gdc.cancer.gov/cases/e8de2228-3aaa-48ad-a2e4-2940280af6fd","TCGA-ZJ-AAXA-01A")</f>
        <v>TCGA-ZJ-AAXA-01A</v>
      </c>
      <c r="I16301" t="s">
        <v>444</v>
      </c>
      <c r="J16301" t="s">
        <v>535</v>
      </c>
      <c r="K16301" t="s">
        <v>33</v>
      </c>
      <c r="L16301" t="s">
        <v>445</v>
      </c>
      <c r="N16301" t="s">
        <v>29</v>
      </c>
    </row>
    <row r="16302" spans="1:14">
      <c r="A16302" s="4" t="str">
        <f t="shared" si="1223"/>
        <v>EXP00420</v>
      </c>
      <c r="B16302" s="3" t="s">
        <v>66</v>
      </c>
      <c r="C16302" s="4" t="str">
        <f t="shared" si="1222"/>
        <v>TCGA-CESC</v>
      </c>
      <c r="D16302" s="1" t="s">
        <v>493</v>
      </c>
      <c r="E16302" t="s">
        <v>544</v>
      </c>
      <c r="F16302" s="1">
        <v>2</v>
      </c>
      <c r="G16302" s="1" t="s">
        <v>28</v>
      </c>
      <c r="H16302" s="4" t="str">
        <f>HYPERLINK("https://portal.gdc.cancer.gov/cases/88f0aa4a-6bfd-4573-b136-58f84f867f10","TCGA-ZJ-AAXB-01A")</f>
        <v>TCGA-ZJ-AAXB-01A</v>
      </c>
      <c r="I16302" t="s">
        <v>444</v>
      </c>
      <c r="J16302" t="s">
        <v>535</v>
      </c>
      <c r="K16302" t="s">
        <v>33</v>
      </c>
      <c r="L16302" t="s">
        <v>445</v>
      </c>
      <c r="N16302" t="s">
        <v>29</v>
      </c>
    </row>
    <row r="16303" spans="1:14">
      <c r="A16303" s="4" t="str">
        <f t="shared" si="1223"/>
        <v>EXP00420</v>
      </c>
      <c r="B16303" s="3" t="s">
        <v>66</v>
      </c>
      <c r="C16303" s="4" t="str">
        <f t="shared" si="1222"/>
        <v>TCGA-CESC</v>
      </c>
      <c r="D16303" s="1" t="s">
        <v>493</v>
      </c>
      <c r="E16303" t="s">
        <v>544</v>
      </c>
      <c r="F16303" s="1">
        <v>2</v>
      </c>
      <c r="G16303" s="1" t="s">
        <v>28</v>
      </c>
      <c r="H16303" s="4" t="str">
        <f>HYPERLINK("https://portal.gdc.cancer.gov/cases/af33df2e-9737-4f63-952c-858a70aa589c","TCGA-ZJ-AAXD-01A")</f>
        <v>TCGA-ZJ-AAXD-01A</v>
      </c>
      <c r="I16303" t="s">
        <v>444</v>
      </c>
      <c r="J16303" t="s">
        <v>535</v>
      </c>
      <c r="K16303" t="s">
        <v>33</v>
      </c>
      <c r="L16303" t="s">
        <v>445</v>
      </c>
      <c r="N16303" t="s">
        <v>29</v>
      </c>
    </row>
    <row r="16304" spans="1:14">
      <c r="A16304" s="4" t="str">
        <f t="shared" si="1223"/>
        <v>EXP00420</v>
      </c>
      <c r="B16304" s="3" t="s">
        <v>66</v>
      </c>
      <c r="C16304" s="4" t="str">
        <f t="shared" si="1222"/>
        <v>TCGA-CESC</v>
      </c>
      <c r="D16304" s="1" t="s">
        <v>493</v>
      </c>
      <c r="E16304" t="s">
        <v>544</v>
      </c>
      <c r="F16304" s="1">
        <v>2</v>
      </c>
      <c r="G16304" s="1" t="s">
        <v>28</v>
      </c>
      <c r="H16304" s="4" t="str">
        <f>HYPERLINK("https://portal.gdc.cancer.gov/cases/0acd1e47-1099-469b-a6d4-e00db47f57a9","TCGA-ZJ-AAXF-01A")</f>
        <v>TCGA-ZJ-AAXF-01A</v>
      </c>
      <c r="I16304" t="s">
        <v>444</v>
      </c>
      <c r="J16304" t="s">
        <v>535</v>
      </c>
      <c r="K16304" t="s">
        <v>33</v>
      </c>
      <c r="L16304" t="s">
        <v>445</v>
      </c>
      <c r="N16304" t="s">
        <v>29</v>
      </c>
    </row>
    <row r="16305" spans="1:14">
      <c r="A16305" s="4" t="str">
        <f t="shared" si="1223"/>
        <v>EXP00420</v>
      </c>
      <c r="B16305" s="3" t="s">
        <v>66</v>
      </c>
      <c r="C16305" s="4" t="str">
        <f t="shared" si="1222"/>
        <v>TCGA-CESC</v>
      </c>
      <c r="D16305" s="1" t="s">
        <v>493</v>
      </c>
      <c r="E16305" t="s">
        <v>544</v>
      </c>
      <c r="F16305" s="1">
        <v>2</v>
      </c>
      <c r="G16305" s="1" t="s">
        <v>28</v>
      </c>
      <c r="H16305" s="4" t="str">
        <f>HYPERLINK("https://portal.gdc.cancer.gov/cases/40a86987-e77f-4977-92b1-8217796e1938","TCGA-ZJ-AAXI-01A")</f>
        <v>TCGA-ZJ-AAXI-01A</v>
      </c>
      <c r="I16305" t="s">
        <v>444</v>
      </c>
      <c r="J16305" t="s">
        <v>535</v>
      </c>
      <c r="K16305" t="s">
        <v>33</v>
      </c>
      <c r="L16305" t="s">
        <v>445</v>
      </c>
      <c r="N16305" t="s">
        <v>29</v>
      </c>
    </row>
    <row r="16306" spans="1:14">
      <c r="A16306" s="4" t="str">
        <f t="shared" si="1223"/>
        <v>EXP00420</v>
      </c>
      <c r="B16306" s="3" t="s">
        <v>66</v>
      </c>
      <c r="C16306" s="4" t="str">
        <f t="shared" si="1222"/>
        <v>TCGA-CESC</v>
      </c>
      <c r="D16306" s="1" t="s">
        <v>493</v>
      </c>
      <c r="E16306" t="s">
        <v>544</v>
      </c>
      <c r="F16306" s="1">
        <v>2</v>
      </c>
      <c r="G16306" s="1" t="s">
        <v>28</v>
      </c>
      <c r="H16306" s="4" t="str">
        <f>HYPERLINK("https://portal.gdc.cancer.gov/cases/6b60bf8e-29a1-4c6b-9ead-aea4ddc99064","TCGA-ZJ-AAXJ-01A")</f>
        <v>TCGA-ZJ-AAXJ-01A</v>
      </c>
      <c r="I16306" t="s">
        <v>444</v>
      </c>
      <c r="J16306" t="s">
        <v>535</v>
      </c>
      <c r="K16306" t="s">
        <v>33</v>
      </c>
      <c r="L16306" t="s">
        <v>445</v>
      </c>
      <c r="N16306" t="s">
        <v>29</v>
      </c>
    </row>
    <row r="16307" spans="1:14">
      <c r="A16307" s="4" t="str">
        <f t="shared" si="1223"/>
        <v>EXP00420</v>
      </c>
      <c r="B16307" s="3" t="s">
        <v>66</v>
      </c>
      <c r="C16307" s="4" t="str">
        <f t="shared" si="1222"/>
        <v>TCGA-CESC</v>
      </c>
      <c r="D16307" s="1" t="s">
        <v>493</v>
      </c>
      <c r="E16307" t="s">
        <v>544</v>
      </c>
      <c r="F16307" s="1">
        <v>2</v>
      </c>
      <c r="G16307" s="1" t="s">
        <v>28</v>
      </c>
      <c r="H16307" s="4" t="str">
        <f>HYPERLINK("https://portal.gdc.cancer.gov/cases/5f22e050-c172-4f2d-a1f9-6cb749b6ef98","TCGA-ZJ-AAXN-01A")</f>
        <v>TCGA-ZJ-AAXN-01A</v>
      </c>
      <c r="I16307" t="s">
        <v>444</v>
      </c>
      <c r="J16307" t="s">
        <v>535</v>
      </c>
      <c r="K16307" t="s">
        <v>33</v>
      </c>
      <c r="L16307" t="s">
        <v>445</v>
      </c>
      <c r="N16307" t="s">
        <v>29</v>
      </c>
    </row>
    <row r="16308" spans="1:14">
      <c r="A16308" s="4" t="str">
        <f t="shared" si="1223"/>
        <v>EXP00420</v>
      </c>
      <c r="B16308" s="3" t="s">
        <v>66</v>
      </c>
      <c r="C16308" s="4" t="str">
        <f t="shared" si="1222"/>
        <v>TCGA-CESC</v>
      </c>
      <c r="D16308" s="1" t="s">
        <v>493</v>
      </c>
      <c r="E16308" t="s">
        <v>544</v>
      </c>
      <c r="F16308" s="1">
        <v>2</v>
      </c>
      <c r="G16308" s="1" t="s">
        <v>28</v>
      </c>
      <c r="H16308" s="4" t="str">
        <f>HYPERLINK("https://portal.gdc.cancer.gov/cases/5916af71-0262-42cf-af4b-eac830a8b419","TCGA-ZJ-AAXT-01A")</f>
        <v>TCGA-ZJ-AAXT-01A</v>
      </c>
      <c r="I16308" t="s">
        <v>444</v>
      </c>
      <c r="J16308" t="s">
        <v>535</v>
      </c>
      <c r="K16308" t="s">
        <v>33</v>
      </c>
      <c r="L16308" t="s">
        <v>445</v>
      </c>
      <c r="N16308" t="s">
        <v>29</v>
      </c>
    </row>
    <row r="16309" spans="1:14">
      <c r="A16309" s="4" t="str">
        <f t="shared" si="1223"/>
        <v>EXP00420</v>
      </c>
      <c r="B16309" s="3" t="s">
        <v>66</v>
      </c>
      <c r="C16309" s="4" t="str">
        <f t="shared" si="1222"/>
        <v>TCGA-CESC</v>
      </c>
      <c r="D16309" s="1" t="s">
        <v>493</v>
      </c>
      <c r="E16309" t="s">
        <v>544</v>
      </c>
      <c r="F16309" s="1">
        <v>2</v>
      </c>
      <c r="G16309" s="1" t="s">
        <v>28</v>
      </c>
      <c r="H16309" s="4" t="str">
        <f>HYPERLINK("https://portal.gdc.cancer.gov/cases/ddd4b6d2-5be0-4edd-977a-a795eea3c738","TCGA-ZJ-AAXU-01A")</f>
        <v>TCGA-ZJ-AAXU-01A</v>
      </c>
      <c r="I16309" t="s">
        <v>444</v>
      </c>
      <c r="J16309" t="s">
        <v>535</v>
      </c>
      <c r="K16309" t="s">
        <v>33</v>
      </c>
      <c r="L16309" t="s">
        <v>445</v>
      </c>
      <c r="N16309" t="s">
        <v>29</v>
      </c>
    </row>
    <row r="16310" spans="1:14">
      <c r="A16310" s="4" t="str">
        <f t="shared" si="1223"/>
        <v>EXP00420</v>
      </c>
      <c r="B16310" s="3" t="s">
        <v>66</v>
      </c>
      <c r="C16310" s="4" t="str">
        <f t="shared" si="1222"/>
        <v>TCGA-CESC</v>
      </c>
      <c r="D16310" s="1" t="s">
        <v>493</v>
      </c>
      <c r="E16310" t="s">
        <v>544</v>
      </c>
      <c r="F16310" s="1">
        <v>2</v>
      </c>
      <c r="G16310" s="1" t="s">
        <v>28</v>
      </c>
      <c r="H16310" s="4" t="str">
        <f>HYPERLINK("https://portal.gdc.cancer.gov/cases/f0daf315-8909-4cda-886d-a2770b08db94","TCGA-ZJ-AB0H-01A")</f>
        <v>TCGA-ZJ-AB0H-01A</v>
      </c>
      <c r="I16310" t="s">
        <v>444</v>
      </c>
      <c r="J16310" t="s">
        <v>535</v>
      </c>
      <c r="K16310" t="s">
        <v>33</v>
      </c>
      <c r="L16310" t="s">
        <v>445</v>
      </c>
      <c r="N16310" t="s">
        <v>29</v>
      </c>
    </row>
    <row r="16311" spans="1:14">
      <c r="A16311" s="4" t="str">
        <f t="shared" si="1223"/>
        <v>EXP00420</v>
      </c>
      <c r="B16311" s="3" t="s">
        <v>66</v>
      </c>
      <c r="C16311" s="4" t="str">
        <f t="shared" si="1222"/>
        <v>TCGA-CESC</v>
      </c>
      <c r="D16311" s="1" t="s">
        <v>493</v>
      </c>
      <c r="E16311" t="s">
        <v>544</v>
      </c>
      <c r="F16311" s="1">
        <v>2</v>
      </c>
      <c r="G16311" s="1" t="s">
        <v>28</v>
      </c>
      <c r="H16311" s="4" t="str">
        <f>HYPERLINK("https://portal.gdc.cancer.gov/cases/a4f13656-a941-498a-9ac9-f020ed559b35","TCGA-ZJ-AB0I-01A")</f>
        <v>TCGA-ZJ-AB0I-01A</v>
      </c>
      <c r="I16311" t="s">
        <v>444</v>
      </c>
      <c r="J16311" t="s">
        <v>535</v>
      </c>
      <c r="K16311" t="s">
        <v>33</v>
      </c>
      <c r="L16311" t="s">
        <v>445</v>
      </c>
      <c r="N16311" t="s">
        <v>29</v>
      </c>
    </row>
    <row r="16312" spans="1:14">
      <c r="A16312" s="4" t="str">
        <f t="shared" si="1223"/>
        <v>EXP00420</v>
      </c>
      <c r="B16312" s="3" t="s">
        <v>66</v>
      </c>
      <c r="C16312" s="4" t="str">
        <f t="shared" si="1222"/>
        <v>TCGA-CESC</v>
      </c>
      <c r="D16312" s="1" t="s">
        <v>493</v>
      </c>
      <c r="E16312" t="s">
        <v>544</v>
      </c>
      <c r="F16312" s="1">
        <v>2</v>
      </c>
      <c r="G16312" s="1" t="s">
        <v>28</v>
      </c>
      <c r="H16312" s="4" t="str">
        <f>HYPERLINK("https://portal.gdc.cancer.gov/cases/4756acc0-4e96-44d4-b359-04d64dc7eb84","TCGA-ZX-AA5X-01A")</f>
        <v>TCGA-ZX-AA5X-01A</v>
      </c>
      <c r="I16312" t="s">
        <v>444</v>
      </c>
      <c r="J16312" t="s">
        <v>535</v>
      </c>
      <c r="K16312" t="s">
        <v>33</v>
      </c>
      <c r="L16312" t="s">
        <v>445</v>
      </c>
      <c r="N16312" t="s">
        <v>29</v>
      </c>
    </row>
    <row r="16313" spans="1:14">
      <c r="A16313" s="4" t="str">
        <f t="shared" ref="A16313:A16376" si="1224">HYPERLINK("http://hcmdb.i-sanger.com/experiment/details/experiment_id/EXP00421","EXP00421")</f>
        <v>EXP00421</v>
      </c>
      <c r="B16313" s="3" t="s">
        <v>66</v>
      </c>
      <c r="C16313" s="4" t="str">
        <f t="shared" ref="C16313:C16376" si="1225">HYPERLINK("https://portal.gdc.cancer.gov/projects/TCGA-COAD","TCGA-COAD")</f>
        <v>TCGA-COAD</v>
      </c>
      <c r="D16313" s="1" t="s">
        <v>493</v>
      </c>
      <c r="E16313" t="s">
        <v>545</v>
      </c>
      <c r="F16313" s="1">
        <v>1</v>
      </c>
      <c r="G16313" s="1" t="s">
        <v>36</v>
      </c>
      <c r="H16313" s="4" t="str">
        <f>HYPERLINK("https://portal.gdc.cancer.gov/cases/565e2726-4942-4726-89d3-c5e3797f7204","TCGA-A6-2671-11A")</f>
        <v>TCGA-A6-2671-11A</v>
      </c>
      <c r="I16313" t="s">
        <v>69</v>
      </c>
      <c r="J16313" t="s">
        <v>245</v>
      </c>
      <c r="K16313" t="s">
        <v>33</v>
      </c>
      <c r="L16313" t="s">
        <v>546</v>
      </c>
      <c r="N16313" t="s">
        <v>37</v>
      </c>
    </row>
    <row r="16314" spans="1:14">
      <c r="A16314" s="4" t="str">
        <f t="shared" si="1224"/>
        <v>EXP00421</v>
      </c>
      <c r="B16314" s="3" t="s">
        <v>66</v>
      </c>
      <c r="C16314" s="4" t="str">
        <f t="shared" si="1225"/>
        <v>TCGA-COAD</v>
      </c>
      <c r="D16314" s="1" t="s">
        <v>493</v>
      </c>
      <c r="E16314" t="s">
        <v>545</v>
      </c>
      <c r="F16314" s="1">
        <v>1</v>
      </c>
      <c r="G16314" s="1" t="s">
        <v>36</v>
      </c>
      <c r="H16314" s="4" t="str">
        <f>HYPERLINK("https://portal.gdc.cancer.gov/cases/ff1407c6-9174-4bae-a19b-d34ca71b898c","TCGA-A6-2680-11A")</f>
        <v>TCGA-A6-2680-11A</v>
      </c>
      <c r="I16314" t="s">
        <v>69</v>
      </c>
      <c r="J16314" t="s">
        <v>245</v>
      </c>
      <c r="K16314" t="s">
        <v>33</v>
      </c>
      <c r="L16314" t="s">
        <v>546</v>
      </c>
      <c r="N16314" t="s">
        <v>37</v>
      </c>
    </row>
    <row r="16315" spans="1:14">
      <c r="A16315" s="4" t="str">
        <f t="shared" si="1224"/>
        <v>EXP00421</v>
      </c>
      <c r="B16315" s="3" t="s">
        <v>66</v>
      </c>
      <c r="C16315" s="4" t="str">
        <f t="shared" si="1225"/>
        <v>TCGA-COAD</v>
      </c>
      <c r="D16315" s="1" t="s">
        <v>493</v>
      </c>
      <c r="E16315" t="s">
        <v>545</v>
      </c>
      <c r="F16315" s="1">
        <v>1</v>
      </c>
      <c r="G16315" s="1" t="s">
        <v>36</v>
      </c>
      <c r="H16315" s="4" t="str">
        <f>HYPERLINK("https://portal.gdc.cancer.gov/cases/fafd4576-0709-49e1-926f-ad1ee09907ec","TCGA-A6-2683-11A")</f>
        <v>TCGA-A6-2683-11A</v>
      </c>
      <c r="I16315" t="s">
        <v>69</v>
      </c>
      <c r="J16315" t="s">
        <v>245</v>
      </c>
      <c r="K16315" t="s">
        <v>33</v>
      </c>
      <c r="L16315" t="s">
        <v>546</v>
      </c>
      <c r="N16315" t="s">
        <v>37</v>
      </c>
    </row>
    <row r="16316" spans="1:14">
      <c r="A16316" s="4" t="str">
        <f t="shared" si="1224"/>
        <v>EXP00421</v>
      </c>
      <c r="B16316" s="3" t="s">
        <v>66</v>
      </c>
      <c r="C16316" s="4" t="str">
        <f t="shared" si="1225"/>
        <v>TCGA-COAD</v>
      </c>
      <c r="D16316" s="1" t="s">
        <v>493</v>
      </c>
      <c r="E16316" t="s">
        <v>545</v>
      </c>
      <c r="F16316" s="1">
        <v>1</v>
      </c>
      <c r="G16316" s="1" t="s">
        <v>36</v>
      </c>
      <c r="H16316" s="4" t="str">
        <f>HYPERLINK("https://portal.gdc.cancer.gov/cases/49929108-023e-4d35-b26d-50ab4d3ae581","TCGA-A6-2684-11A")</f>
        <v>TCGA-A6-2684-11A</v>
      </c>
      <c r="I16316" t="s">
        <v>69</v>
      </c>
      <c r="J16316" t="s">
        <v>245</v>
      </c>
      <c r="K16316" t="s">
        <v>33</v>
      </c>
      <c r="L16316" t="s">
        <v>546</v>
      </c>
      <c r="N16316" t="s">
        <v>37</v>
      </c>
    </row>
    <row r="16317" spans="1:14">
      <c r="A16317" s="4" t="str">
        <f t="shared" si="1224"/>
        <v>EXP00421</v>
      </c>
      <c r="B16317" s="3" t="s">
        <v>66</v>
      </c>
      <c r="C16317" s="4" t="str">
        <f t="shared" si="1225"/>
        <v>TCGA-COAD</v>
      </c>
      <c r="D16317" s="1" t="s">
        <v>493</v>
      </c>
      <c r="E16317" t="s">
        <v>545</v>
      </c>
      <c r="F16317" s="1">
        <v>1</v>
      </c>
      <c r="G16317" s="1" t="s">
        <v>36</v>
      </c>
      <c r="H16317" s="4" t="str">
        <f>HYPERLINK("https://portal.gdc.cancer.gov/cases/e5921d6b-51cf-44be-b295-610cf7c3a69a","TCGA-A6-2685-11A")</f>
        <v>TCGA-A6-2685-11A</v>
      </c>
      <c r="I16317" t="s">
        <v>69</v>
      </c>
      <c r="J16317" t="s">
        <v>245</v>
      </c>
      <c r="K16317" t="s">
        <v>33</v>
      </c>
      <c r="L16317" t="s">
        <v>546</v>
      </c>
      <c r="N16317" t="s">
        <v>37</v>
      </c>
    </row>
    <row r="16318" spans="1:14">
      <c r="A16318" s="4" t="str">
        <f t="shared" si="1224"/>
        <v>EXP00421</v>
      </c>
      <c r="B16318" s="3" t="s">
        <v>66</v>
      </c>
      <c r="C16318" s="4" t="str">
        <f t="shared" si="1225"/>
        <v>TCGA-COAD</v>
      </c>
      <c r="D16318" s="1" t="s">
        <v>493</v>
      </c>
      <c r="E16318" t="s">
        <v>545</v>
      </c>
      <c r="F16318" s="1">
        <v>1</v>
      </c>
      <c r="G16318" s="1" t="s">
        <v>36</v>
      </c>
      <c r="H16318" s="4" t="str">
        <f>HYPERLINK("https://portal.gdc.cancer.gov/cases/5f1399ef-8100-49e7-806f-9f532e55c0ba","TCGA-AA-3520-11A")</f>
        <v>TCGA-AA-3520-11A</v>
      </c>
      <c r="I16318" t="s">
        <v>69</v>
      </c>
      <c r="J16318" t="s">
        <v>245</v>
      </c>
      <c r="K16318" t="s">
        <v>33</v>
      </c>
      <c r="L16318" t="s">
        <v>546</v>
      </c>
      <c r="N16318" t="s">
        <v>37</v>
      </c>
    </row>
    <row r="16319" spans="1:14">
      <c r="A16319" s="4" t="str">
        <f t="shared" si="1224"/>
        <v>EXP00421</v>
      </c>
      <c r="B16319" s="3" t="s">
        <v>66</v>
      </c>
      <c r="C16319" s="4" t="str">
        <f t="shared" si="1225"/>
        <v>TCGA-COAD</v>
      </c>
      <c r="D16319" s="1" t="s">
        <v>493</v>
      </c>
      <c r="E16319" t="s">
        <v>545</v>
      </c>
      <c r="F16319" s="1">
        <v>1</v>
      </c>
      <c r="G16319" s="1" t="s">
        <v>36</v>
      </c>
      <c r="H16319" s="4" t="str">
        <f>HYPERLINK("https://portal.gdc.cancer.gov/cases/b107565b-7558-4745-952b-689178367e1c","TCGA-AA-3525-11A")</f>
        <v>TCGA-AA-3525-11A</v>
      </c>
      <c r="I16319" t="s">
        <v>69</v>
      </c>
      <c r="J16319" t="s">
        <v>245</v>
      </c>
      <c r="K16319" t="s">
        <v>33</v>
      </c>
      <c r="L16319" t="s">
        <v>546</v>
      </c>
      <c r="N16319" t="s">
        <v>37</v>
      </c>
    </row>
    <row r="16320" spans="1:14">
      <c r="A16320" s="4" t="str">
        <f t="shared" si="1224"/>
        <v>EXP00421</v>
      </c>
      <c r="B16320" s="3" t="s">
        <v>66</v>
      </c>
      <c r="C16320" s="4" t="str">
        <f t="shared" si="1225"/>
        <v>TCGA-COAD</v>
      </c>
      <c r="D16320" s="1" t="s">
        <v>493</v>
      </c>
      <c r="E16320" t="s">
        <v>545</v>
      </c>
      <c r="F16320" s="1">
        <v>1</v>
      </c>
      <c r="G16320" s="1" t="s">
        <v>36</v>
      </c>
      <c r="H16320" s="4" t="str">
        <f>HYPERLINK("https://portal.gdc.cancer.gov/cases/269e8ca8-722d-449b-ace1-6545bd72bdd6","TCGA-AA-3527-11A")</f>
        <v>TCGA-AA-3527-11A</v>
      </c>
      <c r="I16320" t="s">
        <v>69</v>
      </c>
      <c r="J16320" t="s">
        <v>245</v>
      </c>
      <c r="K16320" t="s">
        <v>33</v>
      </c>
      <c r="L16320" t="s">
        <v>546</v>
      </c>
      <c r="N16320" t="s">
        <v>37</v>
      </c>
    </row>
    <row r="16321" spans="1:14">
      <c r="A16321" s="4" t="str">
        <f t="shared" si="1224"/>
        <v>EXP00421</v>
      </c>
      <c r="B16321" s="3" t="s">
        <v>66</v>
      </c>
      <c r="C16321" s="4" t="str">
        <f t="shared" si="1225"/>
        <v>TCGA-COAD</v>
      </c>
      <c r="D16321" s="1" t="s">
        <v>493</v>
      </c>
      <c r="E16321" t="s">
        <v>545</v>
      </c>
      <c r="F16321" s="1">
        <v>2</v>
      </c>
      <c r="G16321" s="1" t="s">
        <v>28</v>
      </c>
      <c r="H16321" s="4" t="str">
        <f>HYPERLINK("https://portal.gdc.cancer.gov/cases/a94e1279-a975-480a-93e9-7b1ff05cbcbf","TCGA-3L-AA1B-01A")</f>
        <v>TCGA-3L-AA1B-01A</v>
      </c>
      <c r="I16321" t="s">
        <v>69</v>
      </c>
      <c r="J16321" t="s">
        <v>245</v>
      </c>
      <c r="K16321" t="s">
        <v>33</v>
      </c>
      <c r="L16321" t="s">
        <v>546</v>
      </c>
      <c r="N16321" t="s">
        <v>29</v>
      </c>
    </row>
    <row r="16322" spans="1:14">
      <c r="A16322" s="4" t="str">
        <f t="shared" si="1224"/>
        <v>EXP00421</v>
      </c>
      <c r="B16322" s="3" t="s">
        <v>66</v>
      </c>
      <c r="C16322" s="4" t="str">
        <f t="shared" si="1225"/>
        <v>TCGA-COAD</v>
      </c>
      <c r="D16322" s="1" t="s">
        <v>493</v>
      </c>
      <c r="E16322" t="s">
        <v>545</v>
      </c>
      <c r="F16322" s="1">
        <v>2</v>
      </c>
      <c r="G16322" s="1" t="s">
        <v>28</v>
      </c>
      <c r="H16322" s="4" t="str">
        <f>HYPERLINK("https://portal.gdc.cancer.gov/cases/92554413-9ebc-4354-8e1b-9682f3a031d9","TCGA-4N-A93T-01A")</f>
        <v>TCGA-4N-A93T-01A</v>
      </c>
      <c r="I16322" t="s">
        <v>69</v>
      </c>
      <c r="J16322" t="s">
        <v>245</v>
      </c>
      <c r="K16322" t="s">
        <v>33</v>
      </c>
      <c r="L16322" t="s">
        <v>546</v>
      </c>
      <c r="N16322" t="s">
        <v>29</v>
      </c>
    </row>
    <row r="16323" spans="1:14">
      <c r="A16323" s="4" t="str">
        <f t="shared" si="1224"/>
        <v>EXP00421</v>
      </c>
      <c r="B16323" s="3" t="s">
        <v>66</v>
      </c>
      <c r="C16323" s="4" t="str">
        <f t="shared" si="1225"/>
        <v>TCGA-COAD</v>
      </c>
      <c r="D16323" s="1" t="s">
        <v>493</v>
      </c>
      <c r="E16323" t="s">
        <v>545</v>
      </c>
      <c r="F16323" s="1">
        <v>2</v>
      </c>
      <c r="G16323" s="1" t="s">
        <v>28</v>
      </c>
      <c r="H16323" s="4" t="str">
        <f>HYPERLINK("https://portal.gdc.cancer.gov/cases/a5e14add-1552-4606-9ffe-3a03bcf76640","TCGA-4T-AA8H-01A")</f>
        <v>TCGA-4T-AA8H-01A</v>
      </c>
      <c r="I16323" t="s">
        <v>69</v>
      </c>
      <c r="J16323" t="s">
        <v>245</v>
      </c>
      <c r="K16323" t="s">
        <v>33</v>
      </c>
      <c r="L16323" t="s">
        <v>546</v>
      </c>
      <c r="N16323" t="s">
        <v>29</v>
      </c>
    </row>
    <row r="16324" spans="1:14">
      <c r="A16324" s="4" t="str">
        <f t="shared" si="1224"/>
        <v>EXP00421</v>
      </c>
      <c r="B16324" s="3" t="s">
        <v>66</v>
      </c>
      <c r="C16324" s="4" t="str">
        <f t="shared" si="1225"/>
        <v>TCGA-COAD</v>
      </c>
      <c r="D16324" s="1" t="s">
        <v>493</v>
      </c>
      <c r="E16324" t="s">
        <v>545</v>
      </c>
      <c r="F16324" s="1">
        <v>2</v>
      </c>
      <c r="G16324" s="1" t="s">
        <v>28</v>
      </c>
      <c r="H16324" s="4" t="str">
        <f>HYPERLINK("https://portal.gdc.cancer.gov/cases/1136dd50-242a-4659-aad4-c53f9e759bb3","TCGA-5M-AAT4-01A")</f>
        <v>TCGA-5M-AAT4-01A</v>
      </c>
      <c r="I16324" t="s">
        <v>69</v>
      </c>
      <c r="J16324" t="s">
        <v>245</v>
      </c>
      <c r="K16324" t="s">
        <v>33</v>
      </c>
      <c r="L16324" t="s">
        <v>546</v>
      </c>
      <c r="N16324" t="s">
        <v>29</v>
      </c>
    </row>
    <row r="16325" spans="1:14">
      <c r="A16325" s="4" t="str">
        <f t="shared" si="1224"/>
        <v>EXP00421</v>
      </c>
      <c r="B16325" s="3" t="s">
        <v>66</v>
      </c>
      <c r="C16325" s="4" t="str">
        <f t="shared" si="1225"/>
        <v>TCGA-COAD</v>
      </c>
      <c r="D16325" s="1" t="s">
        <v>493</v>
      </c>
      <c r="E16325" t="s">
        <v>545</v>
      </c>
      <c r="F16325" s="1">
        <v>2</v>
      </c>
      <c r="G16325" s="1" t="s">
        <v>28</v>
      </c>
      <c r="H16325" s="4" t="str">
        <f>HYPERLINK("https://portal.gdc.cancer.gov/cases/ce00896a-f7d2-4123-bb95-24cb6e53fc32","TCGA-5M-AAT6-01A")</f>
        <v>TCGA-5M-AAT6-01A</v>
      </c>
      <c r="I16325" t="s">
        <v>69</v>
      </c>
      <c r="J16325" t="s">
        <v>245</v>
      </c>
      <c r="K16325" t="s">
        <v>33</v>
      </c>
      <c r="L16325" t="s">
        <v>546</v>
      </c>
      <c r="N16325" t="s">
        <v>29</v>
      </c>
    </row>
    <row r="16326" spans="1:14">
      <c r="A16326" s="4" t="str">
        <f t="shared" si="1224"/>
        <v>EXP00421</v>
      </c>
      <c r="B16326" s="3" t="s">
        <v>66</v>
      </c>
      <c r="C16326" s="4" t="str">
        <f t="shared" si="1225"/>
        <v>TCGA-COAD</v>
      </c>
      <c r="D16326" s="1" t="s">
        <v>493</v>
      </c>
      <c r="E16326" t="s">
        <v>545</v>
      </c>
      <c r="F16326" s="1">
        <v>2</v>
      </c>
      <c r="G16326" s="1" t="s">
        <v>28</v>
      </c>
      <c r="H16326" s="4" t="str">
        <f>HYPERLINK("https://portal.gdc.cancer.gov/cases/a54b322b-80d3-435c-8d14-25841b741f6c","TCGA-5M-AATE-01A")</f>
        <v>TCGA-5M-AATE-01A</v>
      </c>
      <c r="I16326" t="s">
        <v>69</v>
      </c>
      <c r="J16326" t="s">
        <v>245</v>
      </c>
      <c r="K16326" t="s">
        <v>33</v>
      </c>
      <c r="L16326" t="s">
        <v>546</v>
      </c>
      <c r="N16326" t="s">
        <v>29</v>
      </c>
    </row>
    <row r="16327" spans="1:14">
      <c r="A16327" s="4" t="str">
        <f t="shared" si="1224"/>
        <v>EXP00421</v>
      </c>
      <c r="B16327" s="3" t="s">
        <v>66</v>
      </c>
      <c r="C16327" s="4" t="str">
        <f t="shared" si="1225"/>
        <v>TCGA-COAD</v>
      </c>
      <c r="D16327" s="1" t="s">
        <v>493</v>
      </c>
      <c r="E16327" t="s">
        <v>545</v>
      </c>
      <c r="F16327" s="1">
        <v>2</v>
      </c>
      <c r="G16327" s="1" t="s">
        <v>28</v>
      </c>
      <c r="H16327" s="4" t="str">
        <f>HYPERLINK("https://portal.gdc.cancer.gov/cases/565e2726-4942-4726-89d3-c5e3797f7204","TCGA-A6-2671-01A")</f>
        <v>TCGA-A6-2671-01A</v>
      </c>
      <c r="I16327" t="s">
        <v>69</v>
      </c>
      <c r="J16327" t="s">
        <v>245</v>
      </c>
      <c r="K16327" t="s">
        <v>33</v>
      </c>
      <c r="L16327" t="s">
        <v>546</v>
      </c>
      <c r="N16327" t="s">
        <v>29</v>
      </c>
    </row>
    <row r="16328" spans="1:14">
      <c r="A16328" s="4" t="str">
        <f t="shared" si="1224"/>
        <v>EXP00421</v>
      </c>
      <c r="B16328" s="3" t="s">
        <v>66</v>
      </c>
      <c r="C16328" s="4" t="str">
        <f t="shared" si="1225"/>
        <v>TCGA-COAD</v>
      </c>
      <c r="D16328" s="1" t="s">
        <v>493</v>
      </c>
      <c r="E16328" t="s">
        <v>545</v>
      </c>
      <c r="F16328" s="1">
        <v>2</v>
      </c>
      <c r="G16328" s="1" t="s">
        <v>28</v>
      </c>
      <c r="H16328" s="4" t="str">
        <f>HYPERLINK("https://portal.gdc.cancer.gov/cases/b612d491-7442-4119-a53c-5ebcc35c31f4","TCGA-A6-2672-01A")</f>
        <v>TCGA-A6-2672-01A</v>
      </c>
      <c r="I16328" t="s">
        <v>69</v>
      </c>
      <c r="J16328" t="s">
        <v>245</v>
      </c>
      <c r="K16328" t="s">
        <v>33</v>
      </c>
      <c r="L16328" t="s">
        <v>546</v>
      </c>
      <c r="N16328" t="s">
        <v>29</v>
      </c>
    </row>
    <row r="16329" spans="1:14">
      <c r="A16329" s="4" t="str">
        <f t="shared" si="1224"/>
        <v>EXP00421</v>
      </c>
      <c r="B16329" s="3" t="s">
        <v>66</v>
      </c>
      <c r="C16329" s="4" t="str">
        <f t="shared" si="1225"/>
        <v>TCGA-COAD</v>
      </c>
      <c r="D16329" s="1" t="s">
        <v>493</v>
      </c>
      <c r="E16329" t="s">
        <v>545</v>
      </c>
      <c r="F16329" s="1">
        <v>2</v>
      </c>
      <c r="G16329" s="1" t="s">
        <v>28</v>
      </c>
      <c r="H16329" s="4" t="str">
        <f>HYPERLINK("https://portal.gdc.cancer.gov/cases/b612d491-7442-4119-a53c-5ebcc35c31f4","TCGA-A6-2672-01B")</f>
        <v>TCGA-A6-2672-01B</v>
      </c>
      <c r="I16329" t="s">
        <v>69</v>
      </c>
      <c r="J16329" t="s">
        <v>245</v>
      </c>
      <c r="K16329" t="s">
        <v>33</v>
      </c>
      <c r="L16329" t="s">
        <v>546</v>
      </c>
      <c r="N16329" t="s">
        <v>29</v>
      </c>
    </row>
    <row r="16330" spans="1:14">
      <c r="A16330" s="4" t="str">
        <f t="shared" si="1224"/>
        <v>EXP00421</v>
      </c>
      <c r="B16330" s="3" t="s">
        <v>66</v>
      </c>
      <c r="C16330" s="4" t="str">
        <f t="shared" si="1225"/>
        <v>TCGA-COAD</v>
      </c>
      <c r="D16330" s="1" t="s">
        <v>493</v>
      </c>
      <c r="E16330" t="s">
        <v>545</v>
      </c>
      <c r="F16330" s="1">
        <v>2</v>
      </c>
      <c r="G16330" s="1" t="s">
        <v>28</v>
      </c>
      <c r="H16330" s="4" t="str">
        <f>HYPERLINK("https://portal.gdc.cancer.gov/cases/57cdaa1c-4e94-4a28-ab3b-300c0457555f","TCGA-A6-2674-01A")</f>
        <v>TCGA-A6-2674-01A</v>
      </c>
      <c r="I16330" t="s">
        <v>69</v>
      </c>
      <c r="J16330" t="s">
        <v>245</v>
      </c>
      <c r="K16330" t="s">
        <v>33</v>
      </c>
      <c r="L16330" t="s">
        <v>546</v>
      </c>
      <c r="N16330" t="s">
        <v>29</v>
      </c>
    </row>
    <row r="16331" spans="1:14">
      <c r="A16331" s="4" t="str">
        <f t="shared" si="1224"/>
        <v>EXP00421</v>
      </c>
      <c r="B16331" s="3" t="s">
        <v>66</v>
      </c>
      <c r="C16331" s="4" t="str">
        <f t="shared" si="1225"/>
        <v>TCGA-COAD</v>
      </c>
      <c r="D16331" s="1" t="s">
        <v>493</v>
      </c>
      <c r="E16331" t="s">
        <v>545</v>
      </c>
      <c r="F16331" s="1">
        <v>2</v>
      </c>
      <c r="G16331" s="1" t="s">
        <v>28</v>
      </c>
      <c r="H16331" s="4" t="str">
        <f>HYPERLINK("https://portal.gdc.cancer.gov/cases/07dc5a1d-64b7-42ba-928e-9753bd533c1e","TCGA-A6-2675-01A")</f>
        <v>TCGA-A6-2675-01A</v>
      </c>
      <c r="I16331" t="s">
        <v>69</v>
      </c>
      <c r="J16331" t="s">
        <v>245</v>
      </c>
      <c r="K16331" t="s">
        <v>33</v>
      </c>
      <c r="L16331" t="s">
        <v>546</v>
      </c>
      <c r="N16331" t="s">
        <v>29</v>
      </c>
    </row>
    <row r="16332" spans="1:14">
      <c r="A16332" s="4" t="str">
        <f t="shared" si="1224"/>
        <v>EXP00421</v>
      </c>
      <c r="B16332" s="3" t="s">
        <v>66</v>
      </c>
      <c r="C16332" s="4" t="str">
        <f t="shared" si="1225"/>
        <v>TCGA-COAD</v>
      </c>
      <c r="D16332" s="1" t="s">
        <v>493</v>
      </c>
      <c r="E16332" t="s">
        <v>545</v>
      </c>
      <c r="F16332" s="1">
        <v>2</v>
      </c>
      <c r="G16332" s="1" t="s">
        <v>28</v>
      </c>
      <c r="H16332" s="4" t="str">
        <f>HYPERLINK("https://portal.gdc.cancer.gov/cases/89a6384e-1cea-440b-9f17-d57cb0805174","TCGA-A6-2676-01A")</f>
        <v>TCGA-A6-2676-01A</v>
      </c>
      <c r="I16332" t="s">
        <v>69</v>
      </c>
      <c r="J16332" t="s">
        <v>245</v>
      </c>
      <c r="K16332" t="s">
        <v>33</v>
      </c>
      <c r="L16332" t="s">
        <v>546</v>
      </c>
      <c r="N16332" t="s">
        <v>29</v>
      </c>
    </row>
    <row r="16333" spans="1:14">
      <c r="A16333" s="4" t="str">
        <f t="shared" si="1224"/>
        <v>EXP00421</v>
      </c>
      <c r="B16333" s="3" t="s">
        <v>66</v>
      </c>
      <c r="C16333" s="4" t="str">
        <f t="shared" si="1225"/>
        <v>TCGA-COAD</v>
      </c>
      <c r="D16333" s="1" t="s">
        <v>493</v>
      </c>
      <c r="E16333" t="s">
        <v>545</v>
      </c>
      <c r="F16333" s="1">
        <v>2</v>
      </c>
      <c r="G16333" s="1" t="s">
        <v>28</v>
      </c>
      <c r="H16333" s="4" t="str">
        <f>HYPERLINK("https://portal.gdc.cancer.gov/cases/d976782c-90c1-421d-b83c-7fc2617e2709","TCGA-A6-2677-01A")</f>
        <v>TCGA-A6-2677-01A</v>
      </c>
      <c r="I16333" t="s">
        <v>69</v>
      </c>
      <c r="J16333" t="s">
        <v>245</v>
      </c>
      <c r="K16333" t="s">
        <v>33</v>
      </c>
      <c r="L16333" t="s">
        <v>546</v>
      </c>
      <c r="N16333" t="s">
        <v>29</v>
      </c>
    </row>
    <row r="16334" spans="1:14">
      <c r="A16334" s="4" t="str">
        <f t="shared" si="1224"/>
        <v>EXP00421</v>
      </c>
      <c r="B16334" s="3" t="s">
        <v>66</v>
      </c>
      <c r="C16334" s="4" t="str">
        <f t="shared" si="1225"/>
        <v>TCGA-COAD</v>
      </c>
      <c r="D16334" s="1" t="s">
        <v>493</v>
      </c>
      <c r="E16334" t="s">
        <v>545</v>
      </c>
      <c r="F16334" s="1">
        <v>2</v>
      </c>
      <c r="G16334" s="1" t="s">
        <v>28</v>
      </c>
      <c r="H16334" s="4" t="str">
        <f>HYPERLINK("https://portal.gdc.cancer.gov/cases/3a785e32-7960-4c72-84c4-fb42c4dd86f1","TCGA-A6-2678-01A")</f>
        <v>TCGA-A6-2678-01A</v>
      </c>
      <c r="I16334" t="s">
        <v>69</v>
      </c>
      <c r="J16334" t="s">
        <v>245</v>
      </c>
      <c r="K16334" t="s">
        <v>33</v>
      </c>
      <c r="L16334" t="s">
        <v>546</v>
      </c>
      <c r="N16334" t="s">
        <v>29</v>
      </c>
    </row>
    <row r="16335" spans="1:14">
      <c r="A16335" s="4" t="str">
        <f t="shared" si="1224"/>
        <v>EXP00421</v>
      </c>
      <c r="B16335" s="3" t="s">
        <v>66</v>
      </c>
      <c r="C16335" s="4" t="str">
        <f t="shared" si="1225"/>
        <v>TCGA-COAD</v>
      </c>
      <c r="D16335" s="1" t="s">
        <v>493</v>
      </c>
      <c r="E16335" t="s">
        <v>545</v>
      </c>
      <c r="F16335" s="1">
        <v>2</v>
      </c>
      <c r="G16335" s="1" t="s">
        <v>28</v>
      </c>
      <c r="H16335" s="4" t="str">
        <f>HYPERLINK("https://portal.gdc.cancer.gov/cases/0f74d992-00da-4728-9564-086ca1b95921","TCGA-A6-2679-01A")</f>
        <v>TCGA-A6-2679-01A</v>
      </c>
      <c r="I16335" t="s">
        <v>69</v>
      </c>
      <c r="J16335" t="s">
        <v>245</v>
      </c>
      <c r="K16335" t="s">
        <v>33</v>
      </c>
      <c r="L16335" t="s">
        <v>546</v>
      </c>
      <c r="N16335" t="s">
        <v>29</v>
      </c>
    </row>
    <row r="16336" spans="1:14">
      <c r="A16336" s="4" t="str">
        <f t="shared" si="1224"/>
        <v>EXP00421</v>
      </c>
      <c r="B16336" s="3" t="s">
        <v>66</v>
      </c>
      <c r="C16336" s="4" t="str">
        <f t="shared" si="1225"/>
        <v>TCGA-COAD</v>
      </c>
      <c r="D16336" s="1" t="s">
        <v>493</v>
      </c>
      <c r="E16336" t="s">
        <v>545</v>
      </c>
      <c r="F16336" s="1">
        <v>2</v>
      </c>
      <c r="G16336" s="1" t="s">
        <v>28</v>
      </c>
      <c r="H16336" s="4" t="str">
        <f>HYPERLINK("https://portal.gdc.cancer.gov/cases/ff1407c6-9174-4bae-a19b-d34ca71b898c","TCGA-A6-2680-01A")</f>
        <v>TCGA-A6-2680-01A</v>
      </c>
      <c r="I16336" t="s">
        <v>69</v>
      </c>
      <c r="J16336" t="s">
        <v>245</v>
      </c>
      <c r="K16336" t="s">
        <v>33</v>
      </c>
      <c r="L16336" t="s">
        <v>546</v>
      </c>
      <c r="N16336" t="s">
        <v>29</v>
      </c>
    </row>
    <row r="16337" spans="1:14">
      <c r="A16337" s="4" t="str">
        <f t="shared" si="1224"/>
        <v>EXP00421</v>
      </c>
      <c r="B16337" s="3" t="s">
        <v>66</v>
      </c>
      <c r="C16337" s="4" t="str">
        <f t="shared" si="1225"/>
        <v>TCGA-COAD</v>
      </c>
      <c r="D16337" s="1" t="s">
        <v>493</v>
      </c>
      <c r="E16337" t="s">
        <v>545</v>
      </c>
      <c r="F16337" s="1">
        <v>2</v>
      </c>
      <c r="G16337" s="1" t="s">
        <v>28</v>
      </c>
      <c r="H16337" s="4" t="str">
        <f>HYPERLINK("https://portal.gdc.cancer.gov/cases/7d8eab0a-e6c8-4449-9ebf-50c41db94a06","TCGA-A6-2681-01A")</f>
        <v>TCGA-A6-2681-01A</v>
      </c>
      <c r="I16337" t="s">
        <v>69</v>
      </c>
      <c r="J16337" t="s">
        <v>245</v>
      </c>
      <c r="K16337" t="s">
        <v>33</v>
      </c>
      <c r="L16337" t="s">
        <v>546</v>
      </c>
      <c r="N16337" t="s">
        <v>29</v>
      </c>
    </row>
    <row r="16338" spans="1:14">
      <c r="A16338" s="4" t="str">
        <f t="shared" si="1224"/>
        <v>EXP00421</v>
      </c>
      <c r="B16338" s="3" t="s">
        <v>66</v>
      </c>
      <c r="C16338" s="4" t="str">
        <f t="shared" si="1225"/>
        <v>TCGA-COAD</v>
      </c>
      <c r="D16338" s="1" t="s">
        <v>493</v>
      </c>
      <c r="E16338" t="s">
        <v>545</v>
      </c>
      <c r="F16338" s="1">
        <v>2</v>
      </c>
      <c r="G16338" s="1" t="s">
        <v>28</v>
      </c>
      <c r="H16338" s="4" t="str">
        <f>HYPERLINK("https://portal.gdc.cancer.gov/cases/77a44132-af22-4115-9fa2-78f2f74bf687","TCGA-A6-2682-01A")</f>
        <v>TCGA-A6-2682-01A</v>
      </c>
      <c r="I16338" t="s">
        <v>69</v>
      </c>
      <c r="J16338" t="s">
        <v>245</v>
      </c>
      <c r="K16338" t="s">
        <v>33</v>
      </c>
      <c r="L16338" t="s">
        <v>546</v>
      </c>
      <c r="N16338" t="s">
        <v>29</v>
      </c>
    </row>
    <row r="16339" spans="1:14">
      <c r="A16339" s="4" t="str">
        <f t="shared" si="1224"/>
        <v>EXP00421</v>
      </c>
      <c r="B16339" s="3" t="s">
        <v>66</v>
      </c>
      <c r="C16339" s="4" t="str">
        <f t="shared" si="1225"/>
        <v>TCGA-COAD</v>
      </c>
      <c r="D16339" s="1" t="s">
        <v>493</v>
      </c>
      <c r="E16339" t="s">
        <v>545</v>
      </c>
      <c r="F16339" s="1">
        <v>2</v>
      </c>
      <c r="G16339" s="1" t="s">
        <v>28</v>
      </c>
      <c r="H16339" s="4" t="str">
        <f>HYPERLINK("https://portal.gdc.cancer.gov/cases/fafd4576-0709-49e1-926f-ad1ee09907ec","TCGA-A6-2683-01A")</f>
        <v>TCGA-A6-2683-01A</v>
      </c>
      <c r="I16339" t="s">
        <v>69</v>
      </c>
      <c r="J16339" t="s">
        <v>245</v>
      </c>
      <c r="K16339" t="s">
        <v>33</v>
      </c>
      <c r="L16339" t="s">
        <v>546</v>
      </c>
      <c r="N16339" t="s">
        <v>29</v>
      </c>
    </row>
    <row r="16340" spans="1:14">
      <c r="A16340" s="4" t="str">
        <f t="shared" si="1224"/>
        <v>EXP00421</v>
      </c>
      <c r="B16340" s="3" t="s">
        <v>66</v>
      </c>
      <c r="C16340" s="4" t="str">
        <f t="shared" si="1225"/>
        <v>TCGA-COAD</v>
      </c>
      <c r="D16340" s="1" t="s">
        <v>493</v>
      </c>
      <c r="E16340" t="s">
        <v>545</v>
      </c>
      <c r="F16340" s="1">
        <v>2</v>
      </c>
      <c r="G16340" s="1" t="s">
        <v>28</v>
      </c>
      <c r="H16340" s="4" t="str">
        <f>HYPERLINK("https://portal.gdc.cancer.gov/cases/49929108-023e-4d35-b26d-50ab4d3ae581","TCGA-A6-2684-01A")</f>
        <v>TCGA-A6-2684-01A</v>
      </c>
      <c r="I16340" t="s">
        <v>69</v>
      </c>
      <c r="J16340" t="s">
        <v>245</v>
      </c>
      <c r="K16340" t="s">
        <v>33</v>
      </c>
      <c r="L16340" t="s">
        <v>546</v>
      </c>
      <c r="N16340" t="s">
        <v>29</v>
      </c>
    </row>
    <row r="16341" spans="1:14">
      <c r="A16341" s="4" t="str">
        <f t="shared" si="1224"/>
        <v>EXP00421</v>
      </c>
      <c r="B16341" s="3" t="s">
        <v>66</v>
      </c>
      <c r="C16341" s="4" t="str">
        <f t="shared" si="1225"/>
        <v>TCGA-COAD</v>
      </c>
      <c r="D16341" s="1" t="s">
        <v>493</v>
      </c>
      <c r="E16341" t="s">
        <v>545</v>
      </c>
      <c r="F16341" s="1">
        <v>2</v>
      </c>
      <c r="G16341" s="1" t="s">
        <v>28</v>
      </c>
      <c r="H16341" s="4" t="str">
        <f>HYPERLINK("https://portal.gdc.cancer.gov/cases/e5921d6b-51cf-44be-b295-610cf7c3a69a","TCGA-A6-2685-01A")</f>
        <v>TCGA-A6-2685-01A</v>
      </c>
      <c r="I16341" t="s">
        <v>69</v>
      </c>
      <c r="J16341" t="s">
        <v>245</v>
      </c>
      <c r="K16341" t="s">
        <v>33</v>
      </c>
      <c r="L16341" t="s">
        <v>546</v>
      </c>
      <c r="N16341" t="s">
        <v>29</v>
      </c>
    </row>
    <row r="16342" spans="1:14">
      <c r="A16342" s="4" t="str">
        <f t="shared" si="1224"/>
        <v>EXP00421</v>
      </c>
      <c r="B16342" s="3" t="s">
        <v>66</v>
      </c>
      <c r="C16342" s="4" t="str">
        <f t="shared" si="1225"/>
        <v>TCGA-COAD</v>
      </c>
      <c r="D16342" s="1" t="s">
        <v>493</v>
      </c>
      <c r="E16342" t="s">
        <v>545</v>
      </c>
      <c r="F16342" s="1">
        <v>2</v>
      </c>
      <c r="G16342" s="1" t="s">
        <v>28</v>
      </c>
      <c r="H16342" s="4" t="str">
        <f>HYPERLINK("https://portal.gdc.cancer.gov/cases/19d1a5fc-3ce9-4e43-a364-a4150bcf911b","TCGA-A6-2686-01A")</f>
        <v>TCGA-A6-2686-01A</v>
      </c>
      <c r="I16342" t="s">
        <v>69</v>
      </c>
      <c r="J16342" t="s">
        <v>245</v>
      </c>
      <c r="K16342" t="s">
        <v>33</v>
      </c>
      <c r="L16342" t="s">
        <v>546</v>
      </c>
      <c r="N16342" t="s">
        <v>29</v>
      </c>
    </row>
    <row r="16343" spans="1:14">
      <c r="A16343" s="4" t="str">
        <f t="shared" si="1224"/>
        <v>EXP00421</v>
      </c>
      <c r="B16343" s="3" t="s">
        <v>66</v>
      </c>
      <c r="C16343" s="4" t="str">
        <f t="shared" si="1225"/>
        <v>TCGA-COAD</v>
      </c>
      <c r="D16343" s="1" t="s">
        <v>493</v>
      </c>
      <c r="E16343" t="s">
        <v>545</v>
      </c>
      <c r="F16343" s="1">
        <v>2</v>
      </c>
      <c r="G16343" s="1" t="s">
        <v>28</v>
      </c>
      <c r="H16343" s="4" t="str">
        <f>HYPERLINK("https://portal.gdc.cancer.gov/cases/5116e3b4-2bac-40f5-8046-b9c1783faaa5","TCGA-A6-3807-01A")</f>
        <v>TCGA-A6-3807-01A</v>
      </c>
      <c r="I16343" t="s">
        <v>69</v>
      </c>
      <c r="J16343" t="s">
        <v>245</v>
      </c>
      <c r="K16343" t="s">
        <v>33</v>
      </c>
      <c r="L16343" t="s">
        <v>546</v>
      </c>
      <c r="N16343" t="s">
        <v>29</v>
      </c>
    </row>
    <row r="16344" spans="1:14">
      <c r="A16344" s="4" t="str">
        <f t="shared" si="1224"/>
        <v>EXP00421</v>
      </c>
      <c r="B16344" s="3" t="s">
        <v>66</v>
      </c>
      <c r="C16344" s="4" t="str">
        <f t="shared" si="1225"/>
        <v>TCGA-COAD</v>
      </c>
      <c r="D16344" s="1" t="s">
        <v>493</v>
      </c>
      <c r="E16344" t="s">
        <v>545</v>
      </c>
      <c r="F16344" s="1">
        <v>2</v>
      </c>
      <c r="G16344" s="1" t="s">
        <v>28</v>
      </c>
      <c r="H16344" s="4" t="str">
        <f>HYPERLINK("https://portal.gdc.cancer.gov/cases/4f9775f2-b663-4daf-aa9e-50915cae9407","TCGA-A6-3808-01A")</f>
        <v>TCGA-A6-3808-01A</v>
      </c>
      <c r="I16344" t="s">
        <v>69</v>
      </c>
      <c r="J16344" t="s">
        <v>245</v>
      </c>
      <c r="K16344" t="s">
        <v>33</v>
      </c>
      <c r="L16344" t="s">
        <v>546</v>
      </c>
      <c r="N16344" t="s">
        <v>29</v>
      </c>
    </row>
    <row r="16345" spans="1:14">
      <c r="A16345" s="4" t="str">
        <f t="shared" si="1224"/>
        <v>EXP00421</v>
      </c>
      <c r="B16345" s="3" t="s">
        <v>66</v>
      </c>
      <c r="C16345" s="4" t="str">
        <f t="shared" si="1225"/>
        <v>TCGA-COAD</v>
      </c>
      <c r="D16345" s="1" t="s">
        <v>493</v>
      </c>
      <c r="E16345" t="s">
        <v>545</v>
      </c>
      <c r="F16345" s="1">
        <v>2</v>
      </c>
      <c r="G16345" s="1" t="s">
        <v>28</v>
      </c>
      <c r="H16345" s="4" t="str">
        <f>HYPERLINK("https://portal.gdc.cancer.gov/cases/8632579e-d318-4dab-9994-d3945afc42ab","TCGA-A6-3809-01A")</f>
        <v>TCGA-A6-3809-01A</v>
      </c>
      <c r="I16345" t="s">
        <v>69</v>
      </c>
      <c r="J16345" t="s">
        <v>245</v>
      </c>
      <c r="K16345" t="s">
        <v>33</v>
      </c>
      <c r="L16345" t="s">
        <v>546</v>
      </c>
      <c r="N16345" t="s">
        <v>29</v>
      </c>
    </row>
    <row r="16346" spans="1:14">
      <c r="A16346" s="4" t="str">
        <f t="shared" si="1224"/>
        <v>EXP00421</v>
      </c>
      <c r="B16346" s="3" t="s">
        <v>66</v>
      </c>
      <c r="C16346" s="4" t="str">
        <f t="shared" si="1225"/>
        <v>TCGA-COAD</v>
      </c>
      <c r="D16346" s="1" t="s">
        <v>493</v>
      </c>
      <c r="E16346" t="s">
        <v>545</v>
      </c>
      <c r="F16346" s="1">
        <v>2</v>
      </c>
      <c r="G16346" s="1" t="s">
        <v>28</v>
      </c>
      <c r="H16346" s="4" t="str">
        <f>HYPERLINK("https://portal.gdc.cancer.gov/cases/b728e6e8-a0e4-496b-904c-6f07c12e901f","TCGA-A6-3810-01A")</f>
        <v>TCGA-A6-3810-01A</v>
      </c>
      <c r="I16346" t="s">
        <v>69</v>
      </c>
      <c r="J16346" t="s">
        <v>245</v>
      </c>
      <c r="K16346" t="s">
        <v>33</v>
      </c>
      <c r="L16346" t="s">
        <v>546</v>
      </c>
      <c r="N16346" t="s">
        <v>29</v>
      </c>
    </row>
    <row r="16347" spans="1:14">
      <c r="A16347" s="4" t="str">
        <f t="shared" si="1224"/>
        <v>EXP00421</v>
      </c>
      <c r="B16347" s="3" t="s">
        <v>66</v>
      </c>
      <c r="C16347" s="4" t="str">
        <f t="shared" si="1225"/>
        <v>TCGA-COAD</v>
      </c>
      <c r="D16347" s="1" t="s">
        <v>493</v>
      </c>
      <c r="E16347" t="s">
        <v>545</v>
      </c>
      <c r="F16347" s="1">
        <v>2</v>
      </c>
      <c r="G16347" s="1" t="s">
        <v>28</v>
      </c>
      <c r="H16347" s="4" t="str">
        <f>HYPERLINK("https://portal.gdc.cancer.gov/cases/95d4f0c4-5997-4ffb-b876-0ddfeee972bb","TCGA-A6-4105-01A")</f>
        <v>TCGA-A6-4105-01A</v>
      </c>
      <c r="I16347" t="s">
        <v>69</v>
      </c>
      <c r="J16347" t="s">
        <v>245</v>
      </c>
      <c r="K16347" t="s">
        <v>33</v>
      </c>
      <c r="L16347" t="s">
        <v>546</v>
      </c>
      <c r="N16347" t="s">
        <v>29</v>
      </c>
    </row>
    <row r="16348" spans="1:14">
      <c r="A16348" s="4" t="str">
        <f t="shared" si="1224"/>
        <v>EXP00421</v>
      </c>
      <c r="B16348" s="3" t="s">
        <v>66</v>
      </c>
      <c r="C16348" s="4" t="str">
        <f t="shared" si="1225"/>
        <v>TCGA-COAD</v>
      </c>
      <c r="D16348" s="1" t="s">
        <v>493</v>
      </c>
      <c r="E16348" t="s">
        <v>545</v>
      </c>
      <c r="F16348" s="1">
        <v>2</v>
      </c>
      <c r="G16348" s="1" t="s">
        <v>28</v>
      </c>
      <c r="H16348" s="4" t="str">
        <f>HYPERLINK("https://portal.gdc.cancer.gov/cases/b079a153-62f9-4026-a2f8-a1390168bbb9","TCGA-A6-4107-01A")</f>
        <v>TCGA-A6-4107-01A</v>
      </c>
      <c r="I16348" t="s">
        <v>69</v>
      </c>
      <c r="J16348" t="s">
        <v>245</v>
      </c>
      <c r="K16348" t="s">
        <v>33</v>
      </c>
      <c r="L16348" t="s">
        <v>546</v>
      </c>
      <c r="N16348" t="s">
        <v>29</v>
      </c>
    </row>
    <row r="16349" spans="1:14">
      <c r="A16349" s="4" t="str">
        <f t="shared" si="1224"/>
        <v>EXP00421</v>
      </c>
      <c r="B16349" s="3" t="s">
        <v>66</v>
      </c>
      <c r="C16349" s="4" t="str">
        <f t="shared" si="1225"/>
        <v>TCGA-COAD</v>
      </c>
      <c r="D16349" s="1" t="s">
        <v>493</v>
      </c>
      <c r="E16349" t="s">
        <v>545</v>
      </c>
      <c r="F16349" s="1">
        <v>2</v>
      </c>
      <c r="G16349" s="1" t="s">
        <v>28</v>
      </c>
      <c r="H16349" s="4" t="str">
        <f>HYPERLINK("https://portal.gdc.cancer.gov/cases/eb4e4e09-98b3-4e85-8dd2-75676ff2af14","TCGA-A6-5656-01A")</f>
        <v>TCGA-A6-5656-01A</v>
      </c>
      <c r="I16349" t="s">
        <v>69</v>
      </c>
      <c r="J16349" t="s">
        <v>245</v>
      </c>
      <c r="K16349" t="s">
        <v>33</v>
      </c>
      <c r="L16349" t="s">
        <v>546</v>
      </c>
      <c r="N16349" t="s">
        <v>29</v>
      </c>
    </row>
    <row r="16350" spans="1:14">
      <c r="A16350" s="4" t="str">
        <f t="shared" si="1224"/>
        <v>EXP00421</v>
      </c>
      <c r="B16350" s="3" t="s">
        <v>66</v>
      </c>
      <c r="C16350" s="4" t="str">
        <f t="shared" si="1225"/>
        <v>TCGA-COAD</v>
      </c>
      <c r="D16350" s="1" t="s">
        <v>493</v>
      </c>
      <c r="E16350" t="s">
        <v>545</v>
      </c>
      <c r="F16350" s="1">
        <v>2</v>
      </c>
      <c r="G16350" s="1" t="s">
        <v>28</v>
      </c>
      <c r="H16350" s="4" t="str">
        <f>HYPERLINK("https://portal.gdc.cancer.gov/cases/eb4e4e09-98b3-4e85-8dd2-75676ff2af14","TCGA-A6-5656-01B")</f>
        <v>TCGA-A6-5656-01B</v>
      </c>
      <c r="I16350" t="s">
        <v>69</v>
      </c>
      <c r="J16350" t="s">
        <v>245</v>
      </c>
      <c r="K16350" t="s">
        <v>33</v>
      </c>
      <c r="L16350" t="s">
        <v>546</v>
      </c>
      <c r="N16350" t="s">
        <v>29</v>
      </c>
    </row>
    <row r="16351" spans="1:14">
      <c r="A16351" s="4" t="str">
        <f t="shared" si="1224"/>
        <v>EXP00421</v>
      </c>
      <c r="B16351" s="3" t="s">
        <v>66</v>
      </c>
      <c r="C16351" s="4" t="str">
        <f t="shared" si="1225"/>
        <v>TCGA-COAD</v>
      </c>
      <c r="D16351" s="1" t="s">
        <v>493</v>
      </c>
      <c r="E16351" t="s">
        <v>545</v>
      </c>
      <c r="F16351" s="1">
        <v>2</v>
      </c>
      <c r="G16351" s="1" t="s">
        <v>28</v>
      </c>
      <c r="H16351" s="4" t="str">
        <f>HYPERLINK("https://portal.gdc.cancer.gov/cases/dbbee8f5-d83d-4195-85cf-f89d327da0a9","TCGA-A6-5657-01A")</f>
        <v>TCGA-A6-5657-01A</v>
      </c>
      <c r="I16351" t="s">
        <v>69</v>
      </c>
      <c r="J16351" t="s">
        <v>245</v>
      </c>
      <c r="K16351" t="s">
        <v>33</v>
      </c>
      <c r="L16351" t="s">
        <v>546</v>
      </c>
      <c r="N16351" t="s">
        <v>29</v>
      </c>
    </row>
    <row r="16352" spans="1:14">
      <c r="A16352" s="4" t="str">
        <f t="shared" si="1224"/>
        <v>EXP00421</v>
      </c>
      <c r="B16352" s="3" t="s">
        <v>66</v>
      </c>
      <c r="C16352" s="4" t="str">
        <f t="shared" si="1225"/>
        <v>TCGA-COAD</v>
      </c>
      <c r="D16352" s="1" t="s">
        <v>493</v>
      </c>
      <c r="E16352" t="s">
        <v>545</v>
      </c>
      <c r="F16352" s="1">
        <v>2</v>
      </c>
      <c r="G16352" s="1" t="s">
        <v>28</v>
      </c>
      <c r="H16352" s="4" t="str">
        <f>HYPERLINK("https://portal.gdc.cancer.gov/cases/98d45099-feae-4dad-aa38-ec03fed6d999","TCGA-A6-5659-01A")</f>
        <v>TCGA-A6-5659-01A</v>
      </c>
      <c r="I16352" t="s">
        <v>69</v>
      </c>
      <c r="J16352" t="s">
        <v>245</v>
      </c>
      <c r="K16352" t="s">
        <v>33</v>
      </c>
      <c r="L16352" t="s">
        <v>546</v>
      </c>
      <c r="N16352" t="s">
        <v>29</v>
      </c>
    </row>
    <row r="16353" spans="1:14">
      <c r="A16353" s="4" t="str">
        <f t="shared" si="1224"/>
        <v>EXP00421</v>
      </c>
      <c r="B16353" s="3" t="s">
        <v>66</v>
      </c>
      <c r="C16353" s="4" t="str">
        <f t="shared" si="1225"/>
        <v>TCGA-COAD</v>
      </c>
      <c r="D16353" s="1" t="s">
        <v>493</v>
      </c>
      <c r="E16353" t="s">
        <v>545</v>
      </c>
      <c r="F16353" s="1">
        <v>2</v>
      </c>
      <c r="G16353" s="1" t="s">
        <v>28</v>
      </c>
      <c r="H16353" s="4" t="str">
        <f>HYPERLINK("https://portal.gdc.cancer.gov/cases/0dc41cd5-0672-407c-9b4a-0f5f3970aa54","TCGA-A6-5660-01A")</f>
        <v>TCGA-A6-5660-01A</v>
      </c>
      <c r="I16353" t="s">
        <v>69</v>
      </c>
      <c r="J16353" t="s">
        <v>245</v>
      </c>
      <c r="K16353" t="s">
        <v>33</v>
      </c>
      <c r="L16353" t="s">
        <v>546</v>
      </c>
      <c r="N16353" t="s">
        <v>29</v>
      </c>
    </row>
    <row r="16354" spans="1:14">
      <c r="A16354" s="4" t="str">
        <f t="shared" si="1224"/>
        <v>EXP00421</v>
      </c>
      <c r="B16354" s="3" t="s">
        <v>66</v>
      </c>
      <c r="C16354" s="4" t="str">
        <f t="shared" si="1225"/>
        <v>TCGA-COAD</v>
      </c>
      <c r="D16354" s="1" t="s">
        <v>493</v>
      </c>
      <c r="E16354" t="s">
        <v>545</v>
      </c>
      <c r="F16354" s="1">
        <v>2</v>
      </c>
      <c r="G16354" s="1" t="s">
        <v>28</v>
      </c>
      <c r="H16354" s="4" t="str">
        <f>HYPERLINK("https://portal.gdc.cancer.gov/cases/4beee9d4-ee52-4fed-bcc4-d300f5ddd4d0","TCGA-A6-5661-01A")</f>
        <v>TCGA-A6-5661-01A</v>
      </c>
      <c r="I16354" t="s">
        <v>69</v>
      </c>
      <c r="J16354" t="s">
        <v>245</v>
      </c>
      <c r="K16354" t="s">
        <v>33</v>
      </c>
      <c r="L16354" t="s">
        <v>546</v>
      </c>
      <c r="N16354" t="s">
        <v>29</v>
      </c>
    </row>
    <row r="16355" spans="1:14">
      <c r="A16355" s="4" t="str">
        <f t="shared" si="1224"/>
        <v>EXP00421</v>
      </c>
      <c r="B16355" s="3" t="s">
        <v>66</v>
      </c>
      <c r="C16355" s="4" t="str">
        <f t="shared" si="1225"/>
        <v>TCGA-COAD</v>
      </c>
      <c r="D16355" s="1" t="s">
        <v>493</v>
      </c>
      <c r="E16355" t="s">
        <v>545</v>
      </c>
      <c r="F16355" s="1">
        <v>2</v>
      </c>
      <c r="G16355" s="1" t="s">
        <v>28</v>
      </c>
      <c r="H16355" s="4" t="str">
        <f>HYPERLINK("https://portal.gdc.cancer.gov/cases/4beee9d4-ee52-4fed-bcc4-d300f5ddd4d0","TCGA-A6-5661-01B")</f>
        <v>TCGA-A6-5661-01B</v>
      </c>
      <c r="I16355" t="s">
        <v>69</v>
      </c>
      <c r="J16355" t="s">
        <v>245</v>
      </c>
      <c r="K16355" t="s">
        <v>33</v>
      </c>
      <c r="L16355" t="s">
        <v>546</v>
      </c>
      <c r="N16355" t="s">
        <v>29</v>
      </c>
    </row>
    <row r="16356" spans="1:14">
      <c r="A16356" s="4" t="str">
        <f t="shared" si="1224"/>
        <v>EXP00421</v>
      </c>
      <c r="B16356" s="3" t="s">
        <v>66</v>
      </c>
      <c r="C16356" s="4" t="str">
        <f t="shared" si="1225"/>
        <v>TCGA-COAD</v>
      </c>
      <c r="D16356" s="1" t="s">
        <v>493</v>
      </c>
      <c r="E16356" t="s">
        <v>545</v>
      </c>
      <c r="F16356" s="1">
        <v>2</v>
      </c>
      <c r="G16356" s="1" t="s">
        <v>28</v>
      </c>
      <c r="H16356" s="4" t="str">
        <f>HYPERLINK("https://portal.gdc.cancer.gov/cases/960d278c-c87d-42dc-ad28-42e010d8f0f1","TCGA-A6-5662-01A")</f>
        <v>TCGA-A6-5662-01A</v>
      </c>
      <c r="I16356" t="s">
        <v>69</v>
      </c>
      <c r="J16356" t="s">
        <v>245</v>
      </c>
      <c r="K16356" t="s">
        <v>33</v>
      </c>
      <c r="L16356" t="s">
        <v>546</v>
      </c>
      <c r="N16356" t="s">
        <v>29</v>
      </c>
    </row>
    <row r="16357" spans="1:14">
      <c r="A16357" s="4" t="str">
        <f t="shared" si="1224"/>
        <v>EXP00421</v>
      </c>
      <c r="B16357" s="3" t="s">
        <v>66</v>
      </c>
      <c r="C16357" s="4" t="str">
        <f t="shared" si="1225"/>
        <v>TCGA-COAD</v>
      </c>
      <c r="D16357" s="1" t="s">
        <v>493</v>
      </c>
      <c r="E16357" t="s">
        <v>545</v>
      </c>
      <c r="F16357" s="1">
        <v>2</v>
      </c>
      <c r="G16357" s="1" t="s">
        <v>28</v>
      </c>
      <c r="H16357" s="4" t="str">
        <f>HYPERLINK("https://portal.gdc.cancer.gov/cases/f88c0259-58ff-4bcc-a777-7705cdbd8213","TCGA-A6-5664-01A")</f>
        <v>TCGA-A6-5664-01A</v>
      </c>
      <c r="I16357" t="s">
        <v>69</v>
      </c>
      <c r="J16357" t="s">
        <v>245</v>
      </c>
      <c r="K16357" t="s">
        <v>33</v>
      </c>
      <c r="L16357" t="s">
        <v>546</v>
      </c>
      <c r="N16357" t="s">
        <v>29</v>
      </c>
    </row>
    <row r="16358" spans="1:14">
      <c r="A16358" s="4" t="str">
        <f t="shared" si="1224"/>
        <v>EXP00421</v>
      </c>
      <c r="B16358" s="3" t="s">
        <v>66</v>
      </c>
      <c r="C16358" s="4" t="str">
        <f t="shared" si="1225"/>
        <v>TCGA-COAD</v>
      </c>
      <c r="D16358" s="1" t="s">
        <v>493</v>
      </c>
      <c r="E16358" t="s">
        <v>545</v>
      </c>
      <c r="F16358" s="1">
        <v>2</v>
      </c>
      <c r="G16358" s="1" t="s">
        <v>28</v>
      </c>
      <c r="H16358" s="4" t="str">
        <f>HYPERLINK("https://portal.gdc.cancer.gov/cases/4c6c8d3d-e4a3-490a-9211-cfbe7e6ee25b","TCGA-A6-5665-01A")</f>
        <v>TCGA-A6-5665-01A</v>
      </c>
      <c r="I16358" t="s">
        <v>69</v>
      </c>
      <c r="J16358" t="s">
        <v>245</v>
      </c>
      <c r="K16358" t="s">
        <v>33</v>
      </c>
      <c r="L16358" t="s">
        <v>546</v>
      </c>
      <c r="N16358" t="s">
        <v>29</v>
      </c>
    </row>
    <row r="16359" spans="1:14">
      <c r="A16359" s="4" t="str">
        <f t="shared" si="1224"/>
        <v>EXP00421</v>
      </c>
      <c r="B16359" s="3" t="s">
        <v>66</v>
      </c>
      <c r="C16359" s="4" t="str">
        <f t="shared" si="1225"/>
        <v>TCGA-COAD</v>
      </c>
      <c r="D16359" s="1" t="s">
        <v>493</v>
      </c>
      <c r="E16359" t="s">
        <v>545</v>
      </c>
      <c r="F16359" s="1">
        <v>2</v>
      </c>
      <c r="G16359" s="1" t="s">
        <v>28</v>
      </c>
      <c r="H16359" s="4" t="str">
        <f>HYPERLINK("https://portal.gdc.cancer.gov/cases/4c6c8d3d-e4a3-490a-9211-cfbe7e6ee25b","TCGA-A6-5665-01B")</f>
        <v>TCGA-A6-5665-01B</v>
      </c>
      <c r="I16359" t="s">
        <v>69</v>
      </c>
      <c r="J16359" t="s">
        <v>245</v>
      </c>
      <c r="K16359" t="s">
        <v>33</v>
      </c>
      <c r="L16359" t="s">
        <v>546</v>
      </c>
      <c r="N16359" t="s">
        <v>29</v>
      </c>
    </row>
    <row r="16360" spans="1:14">
      <c r="A16360" s="4" t="str">
        <f t="shared" si="1224"/>
        <v>EXP00421</v>
      </c>
      <c r="B16360" s="3" t="s">
        <v>66</v>
      </c>
      <c r="C16360" s="4" t="str">
        <f t="shared" si="1225"/>
        <v>TCGA-COAD</v>
      </c>
      <c r="D16360" s="1" t="s">
        <v>493</v>
      </c>
      <c r="E16360" t="s">
        <v>545</v>
      </c>
      <c r="F16360" s="1">
        <v>2</v>
      </c>
      <c r="G16360" s="1" t="s">
        <v>28</v>
      </c>
      <c r="H16360" s="4" t="str">
        <f>HYPERLINK("https://portal.gdc.cancer.gov/cases/25c3201a-3dd5-4edf-ad09-104e5c10663e","TCGA-A6-5666-01A")</f>
        <v>TCGA-A6-5666-01A</v>
      </c>
      <c r="I16360" t="s">
        <v>69</v>
      </c>
      <c r="J16360" t="s">
        <v>245</v>
      </c>
      <c r="K16360" t="s">
        <v>33</v>
      </c>
      <c r="L16360" t="s">
        <v>546</v>
      </c>
      <c r="N16360" t="s">
        <v>29</v>
      </c>
    </row>
    <row r="16361" spans="1:14">
      <c r="A16361" s="4" t="str">
        <f t="shared" si="1224"/>
        <v>EXP00421</v>
      </c>
      <c r="B16361" s="3" t="s">
        <v>66</v>
      </c>
      <c r="C16361" s="4" t="str">
        <f t="shared" si="1225"/>
        <v>TCGA-COAD</v>
      </c>
      <c r="D16361" s="1" t="s">
        <v>493</v>
      </c>
      <c r="E16361" t="s">
        <v>545</v>
      </c>
      <c r="F16361" s="1">
        <v>2</v>
      </c>
      <c r="G16361" s="1" t="s">
        <v>28</v>
      </c>
      <c r="H16361" s="4" t="str">
        <f>HYPERLINK("https://portal.gdc.cancer.gov/cases/28d03569-8717-40da-8989-70baf2b18f9f","TCGA-A6-5667-01A")</f>
        <v>TCGA-A6-5667-01A</v>
      </c>
      <c r="I16361" t="s">
        <v>69</v>
      </c>
      <c r="J16361" t="s">
        <v>245</v>
      </c>
      <c r="K16361" t="s">
        <v>33</v>
      </c>
      <c r="L16361" t="s">
        <v>546</v>
      </c>
      <c r="N16361" t="s">
        <v>29</v>
      </c>
    </row>
    <row r="16362" spans="1:14">
      <c r="A16362" s="4" t="str">
        <f t="shared" si="1224"/>
        <v>EXP00421</v>
      </c>
      <c r="B16362" s="3" t="s">
        <v>66</v>
      </c>
      <c r="C16362" s="4" t="str">
        <f t="shared" si="1225"/>
        <v>TCGA-COAD</v>
      </c>
      <c r="D16362" s="1" t="s">
        <v>493</v>
      </c>
      <c r="E16362" t="s">
        <v>545</v>
      </c>
      <c r="F16362" s="1">
        <v>2</v>
      </c>
      <c r="G16362" s="1" t="s">
        <v>28</v>
      </c>
      <c r="H16362" s="4" t="str">
        <f>HYPERLINK("https://portal.gdc.cancer.gov/cases/326c1637-ea91-4006-b440-d38420af1ae5","TCGA-A6-6137-01A")</f>
        <v>TCGA-A6-6137-01A</v>
      </c>
      <c r="I16362" t="s">
        <v>69</v>
      </c>
      <c r="J16362" t="s">
        <v>245</v>
      </c>
      <c r="K16362" t="s">
        <v>33</v>
      </c>
      <c r="L16362" t="s">
        <v>546</v>
      </c>
      <c r="N16362" t="s">
        <v>29</v>
      </c>
    </row>
    <row r="16363" spans="1:14">
      <c r="A16363" s="4" t="str">
        <f t="shared" si="1224"/>
        <v>EXP00421</v>
      </c>
      <c r="B16363" s="3" t="s">
        <v>66</v>
      </c>
      <c r="C16363" s="4" t="str">
        <f t="shared" si="1225"/>
        <v>TCGA-COAD</v>
      </c>
      <c r="D16363" s="1" t="s">
        <v>493</v>
      </c>
      <c r="E16363" t="s">
        <v>545</v>
      </c>
      <c r="F16363" s="1">
        <v>2</v>
      </c>
      <c r="G16363" s="1" t="s">
        <v>28</v>
      </c>
      <c r="H16363" s="4" t="str">
        <f>HYPERLINK("https://portal.gdc.cancer.gov/cases/4ad9784e-1edc-4186-9b45-4dfe0003f74b","TCGA-A6-6138-01A")</f>
        <v>TCGA-A6-6138-01A</v>
      </c>
      <c r="I16363" t="s">
        <v>69</v>
      </c>
      <c r="J16363" t="s">
        <v>245</v>
      </c>
      <c r="K16363" t="s">
        <v>33</v>
      </c>
      <c r="L16363" t="s">
        <v>546</v>
      </c>
      <c r="N16363" t="s">
        <v>29</v>
      </c>
    </row>
    <row r="16364" spans="1:14">
      <c r="A16364" s="4" t="str">
        <f t="shared" si="1224"/>
        <v>EXP00421</v>
      </c>
      <c r="B16364" s="3" t="s">
        <v>66</v>
      </c>
      <c r="C16364" s="4" t="str">
        <f t="shared" si="1225"/>
        <v>TCGA-COAD</v>
      </c>
      <c r="D16364" s="1" t="s">
        <v>493</v>
      </c>
      <c r="E16364" t="s">
        <v>545</v>
      </c>
      <c r="F16364" s="1">
        <v>2</v>
      </c>
      <c r="G16364" s="1" t="s">
        <v>28</v>
      </c>
      <c r="H16364" s="4" t="str">
        <f>HYPERLINK("https://portal.gdc.cancer.gov/cases/21ddbfaa-1b21-4a2b-be2c-237dd69b20ff","TCGA-A6-6140-01A")</f>
        <v>TCGA-A6-6140-01A</v>
      </c>
      <c r="I16364" t="s">
        <v>69</v>
      </c>
      <c r="J16364" t="s">
        <v>245</v>
      </c>
      <c r="K16364" t="s">
        <v>33</v>
      </c>
      <c r="L16364" t="s">
        <v>546</v>
      </c>
      <c r="N16364" t="s">
        <v>29</v>
      </c>
    </row>
    <row r="16365" spans="1:14">
      <c r="A16365" s="4" t="str">
        <f t="shared" si="1224"/>
        <v>EXP00421</v>
      </c>
      <c r="B16365" s="3" t="s">
        <v>66</v>
      </c>
      <c r="C16365" s="4" t="str">
        <f t="shared" si="1225"/>
        <v>TCGA-COAD</v>
      </c>
      <c r="D16365" s="1" t="s">
        <v>493</v>
      </c>
      <c r="E16365" t="s">
        <v>545</v>
      </c>
      <c r="F16365" s="1">
        <v>2</v>
      </c>
      <c r="G16365" s="1" t="s">
        <v>28</v>
      </c>
      <c r="H16365" s="4" t="str">
        <f>HYPERLINK("https://portal.gdc.cancer.gov/cases/58facedb-fcb8-4ecf-8338-2bfa4947acef","TCGA-A6-6141-01A")</f>
        <v>TCGA-A6-6141-01A</v>
      </c>
      <c r="I16365" t="s">
        <v>69</v>
      </c>
      <c r="J16365" t="s">
        <v>245</v>
      </c>
      <c r="K16365" t="s">
        <v>33</v>
      </c>
      <c r="L16365" t="s">
        <v>546</v>
      </c>
      <c r="N16365" t="s">
        <v>29</v>
      </c>
    </row>
    <row r="16366" spans="1:14">
      <c r="A16366" s="4" t="str">
        <f t="shared" si="1224"/>
        <v>EXP00421</v>
      </c>
      <c r="B16366" s="3" t="s">
        <v>66</v>
      </c>
      <c r="C16366" s="4" t="str">
        <f t="shared" si="1225"/>
        <v>TCGA-COAD</v>
      </c>
      <c r="D16366" s="1" t="s">
        <v>493</v>
      </c>
      <c r="E16366" t="s">
        <v>545</v>
      </c>
      <c r="F16366" s="1">
        <v>2</v>
      </c>
      <c r="G16366" s="1" t="s">
        <v>28</v>
      </c>
      <c r="H16366" s="4" t="str">
        <f>HYPERLINK("https://portal.gdc.cancer.gov/cases/c7c5348f-5708-45bf-b40e-1bf7c9348f60","TCGA-A6-6142-01A")</f>
        <v>TCGA-A6-6142-01A</v>
      </c>
      <c r="I16366" t="s">
        <v>69</v>
      </c>
      <c r="J16366" t="s">
        <v>245</v>
      </c>
      <c r="K16366" t="s">
        <v>33</v>
      </c>
      <c r="L16366" t="s">
        <v>546</v>
      </c>
      <c r="N16366" t="s">
        <v>29</v>
      </c>
    </row>
    <row r="16367" spans="1:14">
      <c r="A16367" s="4" t="str">
        <f t="shared" si="1224"/>
        <v>EXP00421</v>
      </c>
      <c r="B16367" s="3" t="s">
        <v>66</v>
      </c>
      <c r="C16367" s="4" t="str">
        <f t="shared" si="1225"/>
        <v>TCGA-COAD</v>
      </c>
      <c r="D16367" s="1" t="s">
        <v>493</v>
      </c>
      <c r="E16367" t="s">
        <v>545</v>
      </c>
      <c r="F16367" s="1">
        <v>2</v>
      </c>
      <c r="G16367" s="1" t="s">
        <v>28</v>
      </c>
      <c r="H16367" s="4" t="str">
        <f>HYPERLINK("https://portal.gdc.cancer.gov/cases/65056295-8fcd-4f82-a3c9-a5acd79521fe","TCGA-A6-6648-01A")</f>
        <v>TCGA-A6-6648-01A</v>
      </c>
      <c r="I16367" t="s">
        <v>69</v>
      </c>
      <c r="J16367" t="s">
        <v>245</v>
      </c>
      <c r="K16367" t="s">
        <v>33</v>
      </c>
      <c r="L16367" t="s">
        <v>546</v>
      </c>
      <c r="N16367" t="s">
        <v>29</v>
      </c>
    </row>
    <row r="16368" spans="1:14">
      <c r="A16368" s="4" t="str">
        <f t="shared" si="1224"/>
        <v>EXP00421</v>
      </c>
      <c r="B16368" s="3" t="s">
        <v>66</v>
      </c>
      <c r="C16368" s="4" t="str">
        <f t="shared" si="1225"/>
        <v>TCGA-COAD</v>
      </c>
      <c r="D16368" s="1" t="s">
        <v>493</v>
      </c>
      <c r="E16368" t="s">
        <v>545</v>
      </c>
      <c r="F16368" s="1">
        <v>2</v>
      </c>
      <c r="G16368" s="1" t="s">
        <v>28</v>
      </c>
      <c r="H16368" s="4" t="str">
        <f>HYPERLINK("https://portal.gdc.cancer.gov/cases/39b6ae01-c97b-4234-8a28-208fdf170432","TCGA-A6-6649-01A")</f>
        <v>TCGA-A6-6649-01A</v>
      </c>
      <c r="I16368" t="s">
        <v>69</v>
      </c>
      <c r="J16368" t="s">
        <v>245</v>
      </c>
      <c r="K16368" t="s">
        <v>33</v>
      </c>
      <c r="L16368" t="s">
        <v>546</v>
      </c>
      <c r="N16368" t="s">
        <v>29</v>
      </c>
    </row>
    <row r="16369" spans="1:14">
      <c r="A16369" s="4" t="str">
        <f t="shared" si="1224"/>
        <v>EXP00421</v>
      </c>
      <c r="B16369" s="3" t="s">
        <v>66</v>
      </c>
      <c r="C16369" s="4" t="str">
        <f t="shared" si="1225"/>
        <v>TCGA-COAD</v>
      </c>
      <c r="D16369" s="1" t="s">
        <v>493</v>
      </c>
      <c r="E16369" t="s">
        <v>545</v>
      </c>
      <c r="F16369" s="1">
        <v>2</v>
      </c>
      <c r="G16369" s="1" t="s">
        <v>28</v>
      </c>
      <c r="H16369" s="4" t="str">
        <f>HYPERLINK("https://portal.gdc.cancer.gov/cases/6cd8d2dd-5545-43b0-b796-ae0506d62eb8","TCGA-A6-6650-01A")</f>
        <v>TCGA-A6-6650-01A</v>
      </c>
      <c r="I16369" t="s">
        <v>69</v>
      </c>
      <c r="J16369" t="s">
        <v>245</v>
      </c>
      <c r="K16369" t="s">
        <v>33</v>
      </c>
      <c r="L16369" t="s">
        <v>546</v>
      </c>
      <c r="N16369" t="s">
        <v>29</v>
      </c>
    </row>
    <row r="16370" spans="1:14">
      <c r="A16370" s="4" t="str">
        <f t="shared" si="1224"/>
        <v>EXP00421</v>
      </c>
      <c r="B16370" s="3" t="s">
        <v>66</v>
      </c>
      <c r="C16370" s="4" t="str">
        <f t="shared" si="1225"/>
        <v>TCGA-COAD</v>
      </c>
      <c r="D16370" s="1" t="s">
        <v>493</v>
      </c>
      <c r="E16370" t="s">
        <v>545</v>
      </c>
      <c r="F16370" s="1">
        <v>2</v>
      </c>
      <c r="G16370" s="1" t="s">
        <v>28</v>
      </c>
      <c r="H16370" s="4" t="str">
        <f>HYPERLINK("https://portal.gdc.cancer.gov/cases/6cd8d2dd-5545-43b0-b796-ae0506d62eb8","TCGA-A6-6650-01B")</f>
        <v>TCGA-A6-6650-01B</v>
      </c>
      <c r="I16370" t="s">
        <v>69</v>
      </c>
      <c r="J16370" t="s">
        <v>245</v>
      </c>
      <c r="K16370" t="s">
        <v>33</v>
      </c>
      <c r="L16370" t="s">
        <v>546</v>
      </c>
      <c r="N16370" t="s">
        <v>29</v>
      </c>
    </row>
    <row r="16371" spans="1:14">
      <c r="A16371" s="4" t="str">
        <f t="shared" si="1224"/>
        <v>EXP00421</v>
      </c>
      <c r="B16371" s="3" t="s">
        <v>66</v>
      </c>
      <c r="C16371" s="4" t="str">
        <f t="shared" si="1225"/>
        <v>TCGA-COAD</v>
      </c>
      <c r="D16371" s="1" t="s">
        <v>493</v>
      </c>
      <c r="E16371" t="s">
        <v>545</v>
      </c>
      <c r="F16371" s="1">
        <v>2</v>
      </c>
      <c r="G16371" s="1" t="s">
        <v>28</v>
      </c>
      <c r="H16371" s="4" t="str">
        <f>HYPERLINK("https://portal.gdc.cancer.gov/cases/0ec6ed47-db99-4273-9823-ffbde6a77091","TCGA-A6-6651-01A")</f>
        <v>TCGA-A6-6651-01A</v>
      </c>
      <c r="I16371" t="s">
        <v>69</v>
      </c>
      <c r="J16371" t="s">
        <v>245</v>
      </c>
      <c r="K16371" t="s">
        <v>33</v>
      </c>
      <c r="L16371" t="s">
        <v>546</v>
      </c>
      <c r="N16371" t="s">
        <v>29</v>
      </c>
    </row>
    <row r="16372" spans="1:14">
      <c r="A16372" s="4" t="str">
        <f t="shared" si="1224"/>
        <v>EXP00421</v>
      </c>
      <c r="B16372" s="3" t="s">
        <v>66</v>
      </c>
      <c r="C16372" s="4" t="str">
        <f t="shared" si="1225"/>
        <v>TCGA-COAD</v>
      </c>
      <c r="D16372" s="1" t="s">
        <v>493</v>
      </c>
      <c r="E16372" t="s">
        <v>545</v>
      </c>
      <c r="F16372" s="1">
        <v>2</v>
      </c>
      <c r="G16372" s="1" t="s">
        <v>28</v>
      </c>
      <c r="H16372" s="4" t="str">
        <f>HYPERLINK("https://portal.gdc.cancer.gov/cases/96ac1f4b-79b0-4517-8caf-fc05abcaaf4f","TCGA-A6-6652-01A")</f>
        <v>TCGA-A6-6652-01A</v>
      </c>
      <c r="I16372" t="s">
        <v>69</v>
      </c>
      <c r="J16372" t="s">
        <v>245</v>
      </c>
      <c r="K16372" t="s">
        <v>33</v>
      </c>
      <c r="L16372" t="s">
        <v>546</v>
      </c>
      <c r="N16372" t="s">
        <v>29</v>
      </c>
    </row>
    <row r="16373" spans="1:14">
      <c r="A16373" s="4" t="str">
        <f t="shared" si="1224"/>
        <v>EXP00421</v>
      </c>
      <c r="B16373" s="3" t="s">
        <v>66</v>
      </c>
      <c r="C16373" s="4" t="str">
        <f t="shared" si="1225"/>
        <v>TCGA-COAD</v>
      </c>
      <c r="D16373" s="1" t="s">
        <v>493</v>
      </c>
      <c r="E16373" t="s">
        <v>545</v>
      </c>
      <c r="F16373" s="1">
        <v>2</v>
      </c>
      <c r="G16373" s="1" t="s">
        <v>28</v>
      </c>
      <c r="H16373" s="4" t="str">
        <f>HYPERLINK("https://portal.gdc.cancer.gov/cases/68801d41-535f-4b38-989b-ef4fe5f00039","TCGA-A6-6653-01A")</f>
        <v>TCGA-A6-6653-01A</v>
      </c>
      <c r="I16373" t="s">
        <v>69</v>
      </c>
      <c r="J16373" t="s">
        <v>245</v>
      </c>
      <c r="K16373" t="s">
        <v>33</v>
      </c>
      <c r="L16373" t="s">
        <v>546</v>
      </c>
      <c r="N16373" t="s">
        <v>29</v>
      </c>
    </row>
    <row r="16374" spans="1:14">
      <c r="A16374" s="4" t="str">
        <f t="shared" si="1224"/>
        <v>EXP00421</v>
      </c>
      <c r="B16374" s="3" t="s">
        <v>66</v>
      </c>
      <c r="C16374" s="4" t="str">
        <f t="shared" si="1225"/>
        <v>TCGA-COAD</v>
      </c>
      <c r="D16374" s="1" t="s">
        <v>493</v>
      </c>
      <c r="E16374" t="s">
        <v>545</v>
      </c>
      <c r="F16374" s="1">
        <v>2</v>
      </c>
      <c r="G16374" s="1" t="s">
        <v>28</v>
      </c>
      <c r="H16374" s="4" t="str">
        <f>HYPERLINK("https://portal.gdc.cancer.gov/cases/81e7cca8-2d71-4446-9692-872c2fe68d0a","TCGA-A6-6654-01A")</f>
        <v>TCGA-A6-6654-01A</v>
      </c>
      <c r="I16374" t="s">
        <v>69</v>
      </c>
      <c r="J16374" t="s">
        <v>245</v>
      </c>
      <c r="K16374" t="s">
        <v>33</v>
      </c>
      <c r="L16374" t="s">
        <v>546</v>
      </c>
      <c r="N16374" t="s">
        <v>29</v>
      </c>
    </row>
    <row r="16375" spans="1:14">
      <c r="A16375" s="4" t="str">
        <f t="shared" si="1224"/>
        <v>EXP00421</v>
      </c>
      <c r="B16375" s="3" t="s">
        <v>66</v>
      </c>
      <c r="C16375" s="4" t="str">
        <f t="shared" si="1225"/>
        <v>TCGA-COAD</v>
      </c>
      <c r="D16375" s="1" t="s">
        <v>493</v>
      </c>
      <c r="E16375" t="s">
        <v>545</v>
      </c>
      <c r="F16375" s="1">
        <v>2</v>
      </c>
      <c r="G16375" s="1" t="s">
        <v>28</v>
      </c>
      <c r="H16375" s="4" t="str">
        <f>HYPERLINK("https://portal.gdc.cancer.gov/cases/88832340-46ad-449c-8f81-6a8e5b495510","TCGA-A6-6780-01A")</f>
        <v>TCGA-A6-6780-01A</v>
      </c>
      <c r="I16375" t="s">
        <v>69</v>
      </c>
      <c r="J16375" t="s">
        <v>245</v>
      </c>
      <c r="K16375" t="s">
        <v>33</v>
      </c>
      <c r="L16375" t="s">
        <v>546</v>
      </c>
      <c r="N16375" t="s">
        <v>29</v>
      </c>
    </row>
    <row r="16376" spans="1:14">
      <c r="A16376" s="4" t="str">
        <f t="shared" si="1224"/>
        <v>EXP00421</v>
      </c>
      <c r="B16376" s="3" t="s">
        <v>66</v>
      </c>
      <c r="C16376" s="4" t="str">
        <f t="shared" si="1225"/>
        <v>TCGA-COAD</v>
      </c>
      <c r="D16376" s="1" t="s">
        <v>493</v>
      </c>
      <c r="E16376" t="s">
        <v>545</v>
      </c>
      <c r="F16376" s="1">
        <v>2</v>
      </c>
      <c r="G16376" s="1" t="s">
        <v>28</v>
      </c>
      <c r="H16376" s="4" t="str">
        <f>HYPERLINK("https://portal.gdc.cancer.gov/cases/88832340-46ad-449c-8f81-6a8e5b495510","TCGA-A6-6780-01B")</f>
        <v>TCGA-A6-6780-01B</v>
      </c>
      <c r="I16376" t="s">
        <v>69</v>
      </c>
      <c r="J16376" t="s">
        <v>245</v>
      </c>
      <c r="K16376" t="s">
        <v>33</v>
      </c>
      <c r="L16376" t="s">
        <v>546</v>
      </c>
      <c r="N16376" t="s">
        <v>29</v>
      </c>
    </row>
    <row r="16377" spans="1:14">
      <c r="A16377" s="4" t="str">
        <f t="shared" ref="A16377:A16440" si="1226">HYPERLINK("http://hcmdb.i-sanger.com/experiment/details/experiment_id/EXP00421","EXP00421")</f>
        <v>EXP00421</v>
      </c>
      <c r="B16377" s="3" t="s">
        <v>66</v>
      </c>
      <c r="C16377" s="4" t="str">
        <f t="shared" ref="C16377:C16440" si="1227">HYPERLINK("https://portal.gdc.cancer.gov/projects/TCGA-COAD","TCGA-COAD")</f>
        <v>TCGA-COAD</v>
      </c>
      <c r="D16377" s="1" t="s">
        <v>493</v>
      </c>
      <c r="E16377" t="s">
        <v>545</v>
      </c>
      <c r="F16377" s="1">
        <v>2</v>
      </c>
      <c r="G16377" s="1" t="s">
        <v>28</v>
      </c>
      <c r="H16377" s="4" t="str">
        <f>HYPERLINK("https://portal.gdc.cancer.gov/cases/b54865b6-824e-4163-b759-21a6eacc98ce","TCGA-A6-6781-01A")</f>
        <v>TCGA-A6-6781-01A</v>
      </c>
      <c r="I16377" t="s">
        <v>69</v>
      </c>
      <c r="J16377" t="s">
        <v>245</v>
      </c>
      <c r="K16377" t="s">
        <v>33</v>
      </c>
      <c r="L16377" t="s">
        <v>546</v>
      </c>
      <c r="N16377" t="s">
        <v>29</v>
      </c>
    </row>
    <row r="16378" spans="1:14">
      <c r="A16378" s="4" t="str">
        <f t="shared" si="1226"/>
        <v>EXP00421</v>
      </c>
      <c r="B16378" s="3" t="s">
        <v>66</v>
      </c>
      <c r="C16378" s="4" t="str">
        <f t="shared" si="1227"/>
        <v>TCGA-COAD</v>
      </c>
      <c r="D16378" s="1" t="s">
        <v>493</v>
      </c>
      <c r="E16378" t="s">
        <v>545</v>
      </c>
      <c r="F16378" s="1">
        <v>2</v>
      </c>
      <c r="G16378" s="1" t="s">
        <v>28</v>
      </c>
      <c r="H16378" s="4" t="str">
        <f>HYPERLINK("https://portal.gdc.cancer.gov/cases/b54865b6-824e-4163-b759-21a6eacc98ce","TCGA-A6-6781-01B")</f>
        <v>TCGA-A6-6781-01B</v>
      </c>
      <c r="I16378" t="s">
        <v>69</v>
      </c>
      <c r="J16378" t="s">
        <v>245</v>
      </c>
      <c r="K16378" t="s">
        <v>33</v>
      </c>
      <c r="L16378" t="s">
        <v>546</v>
      </c>
      <c r="N16378" t="s">
        <v>29</v>
      </c>
    </row>
    <row r="16379" spans="1:14">
      <c r="A16379" s="4" t="str">
        <f t="shared" si="1226"/>
        <v>EXP00421</v>
      </c>
      <c r="B16379" s="3" t="s">
        <v>66</v>
      </c>
      <c r="C16379" s="4" t="str">
        <f t="shared" si="1227"/>
        <v>TCGA-COAD</v>
      </c>
      <c r="D16379" s="1" t="s">
        <v>493</v>
      </c>
      <c r="E16379" t="s">
        <v>545</v>
      </c>
      <c r="F16379" s="1">
        <v>2</v>
      </c>
      <c r="G16379" s="1" t="s">
        <v>28</v>
      </c>
      <c r="H16379" s="4" t="str">
        <f>HYPERLINK("https://portal.gdc.cancer.gov/cases/3eb37b12-b8b4-40a3-bd8b-f89fc39c05fa","TCGA-A6-6782-01A")</f>
        <v>TCGA-A6-6782-01A</v>
      </c>
      <c r="I16379" t="s">
        <v>69</v>
      </c>
      <c r="J16379" t="s">
        <v>245</v>
      </c>
      <c r="K16379" t="s">
        <v>33</v>
      </c>
      <c r="L16379" t="s">
        <v>546</v>
      </c>
      <c r="N16379" t="s">
        <v>29</v>
      </c>
    </row>
    <row r="16380" spans="1:14">
      <c r="A16380" s="4" t="str">
        <f t="shared" si="1226"/>
        <v>EXP00421</v>
      </c>
      <c r="B16380" s="3" t="s">
        <v>66</v>
      </c>
      <c r="C16380" s="4" t="str">
        <f t="shared" si="1227"/>
        <v>TCGA-COAD</v>
      </c>
      <c r="D16380" s="1" t="s">
        <v>493</v>
      </c>
      <c r="E16380" t="s">
        <v>545</v>
      </c>
      <c r="F16380" s="1">
        <v>2</v>
      </c>
      <c r="G16380" s="1" t="s">
        <v>28</v>
      </c>
      <c r="H16380" s="4" t="str">
        <f>HYPERLINK("https://portal.gdc.cancer.gov/cases/dd7a53ee-cb08-40c4-9935-51d1ca17e9e8","TCGA-A6-A565-01A")</f>
        <v>TCGA-A6-A565-01A</v>
      </c>
      <c r="I16380" t="s">
        <v>69</v>
      </c>
      <c r="J16380" t="s">
        <v>245</v>
      </c>
      <c r="K16380" t="s">
        <v>33</v>
      </c>
      <c r="L16380" t="s">
        <v>546</v>
      </c>
      <c r="N16380" t="s">
        <v>29</v>
      </c>
    </row>
    <row r="16381" spans="1:14">
      <c r="A16381" s="4" t="str">
        <f t="shared" si="1226"/>
        <v>EXP00421</v>
      </c>
      <c r="B16381" s="3" t="s">
        <v>66</v>
      </c>
      <c r="C16381" s="4" t="str">
        <f t="shared" si="1227"/>
        <v>TCGA-COAD</v>
      </c>
      <c r="D16381" s="1" t="s">
        <v>493</v>
      </c>
      <c r="E16381" t="s">
        <v>545</v>
      </c>
      <c r="F16381" s="1">
        <v>2</v>
      </c>
      <c r="G16381" s="1" t="s">
        <v>28</v>
      </c>
      <c r="H16381" s="4" t="str">
        <f>HYPERLINK("https://portal.gdc.cancer.gov/cases/790266bc-c252-43f4-85d1-1b06ee529cf8","TCGA-A6-A566-01A")</f>
        <v>TCGA-A6-A566-01A</v>
      </c>
      <c r="I16381" t="s">
        <v>69</v>
      </c>
      <c r="J16381" t="s">
        <v>245</v>
      </c>
      <c r="K16381" t="s">
        <v>33</v>
      </c>
      <c r="L16381" t="s">
        <v>546</v>
      </c>
      <c r="N16381" t="s">
        <v>29</v>
      </c>
    </row>
    <row r="16382" spans="1:14">
      <c r="A16382" s="4" t="str">
        <f t="shared" si="1226"/>
        <v>EXP00421</v>
      </c>
      <c r="B16382" s="3" t="s">
        <v>66</v>
      </c>
      <c r="C16382" s="4" t="str">
        <f t="shared" si="1227"/>
        <v>TCGA-COAD</v>
      </c>
      <c r="D16382" s="1" t="s">
        <v>493</v>
      </c>
      <c r="E16382" t="s">
        <v>545</v>
      </c>
      <c r="F16382" s="1">
        <v>2</v>
      </c>
      <c r="G16382" s="1" t="s">
        <v>28</v>
      </c>
      <c r="H16382" s="4" t="str">
        <f>HYPERLINK("https://portal.gdc.cancer.gov/cases/857a5889-19e7-4208-8362-f1377c408037","TCGA-A6-A567-01A")</f>
        <v>TCGA-A6-A567-01A</v>
      </c>
      <c r="I16382" t="s">
        <v>69</v>
      </c>
      <c r="J16382" t="s">
        <v>245</v>
      </c>
      <c r="K16382" t="s">
        <v>33</v>
      </c>
      <c r="L16382" t="s">
        <v>546</v>
      </c>
      <c r="N16382" t="s">
        <v>29</v>
      </c>
    </row>
    <row r="16383" spans="1:14">
      <c r="A16383" s="4" t="str">
        <f t="shared" si="1226"/>
        <v>EXP00421</v>
      </c>
      <c r="B16383" s="3" t="s">
        <v>66</v>
      </c>
      <c r="C16383" s="4" t="str">
        <f t="shared" si="1227"/>
        <v>TCGA-COAD</v>
      </c>
      <c r="D16383" s="1" t="s">
        <v>493</v>
      </c>
      <c r="E16383" t="s">
        <v>545</v>
      </c>
      <c r="F16383" s="1">
        <v>2</v>
      </c>
      <c r="G16383" s="1" t="s">
        <v>28</v>
      </c>
      <c r="H16383" s="4" t="str">
        <f>HYPERLINK("https://portal.gdc.cancer.gov/cases/74a0264d-1d31-430d-9a88-e7334c8aa96c","TCGA-A6-A56B-01A")</f>
        <v>TCGA-A6-A56B-01A</v>
      </c>
      <c r="I16383" t="s">
        <v>69</v>
      </c>
      <c r="J16383" t="s">
        <v>245</v>
      </c>
      <c r="K16383" t="s">
        <v>33</v>
      </c>
      <c r="L16383" t="s">
        <v>546</v>
      </c>
      <c r="N16383" t="s">
        <v>29</v>
      </c>
    </row>
    <row r="16384" spans="1:14">
      <c r="A16384" s="4" t="str">
        <f t="shared" si="1226"/>
        <v>EXP00421</v>
      </c>
      <c r="B16384" s="3" t="s">
        <v>66</v>
      </c>
      <c r="C16384" s="4" t="str">
        <f t="shared" si="1227"/>
        <v>TCGA-COAD</v>
      </c>
      <c r="D16384" s="1" t="s">
        <v>493</v>
      </c>
      <c r="E16384" t="s">
        <v>545</v>
      </c>
      <c r="F16384" s="1">
        <v>2</v>
      </c>
      <c r="G16384" s="1" t="s">
        <v>28</v>
      </c>
      <c r="H16384" s="4" t="str">
        <f>HYPERLINK("https://portal.gdc.cancer.gov/cases/4881a390-c4e4-48b4-ae66-140c64a87614","TCGA-A6-A5ZU-01A")</f>
        <v>TCGA-A6-A5ZU-01A</v>
      </c>
      <c r="I16384" t="s">
        <v>69</v>
      </c>
      <c r="J16384" t="s">
        <v>245</v>
      </c>
      <c r="K16384" t="s">
        <v>33</v>
      </c>
      <c r="L16384" t="s">
        <v>546</v>
      </c>
      <c r="N16384" t="s">
        <v>29</v>
      </c>
    </row>
    <row r="16385" spans="1:14">
      <c r="A16385" s="4" t="str">
        <f t="shared" si="1226"/>
        <v>EXP00421</v>
      </c>
      <c r="B16385" s="3" t="s">
        <v>66</v>
      </c>
      <c r="C16385" s="4" t="str">
        <f t="shared" si="1227"/>
        <v>TCGA-COAD</v>
      </c>
      <c r="D16385" s="1" t="s">
        <v>493</v>
      </c>
      <c r="E16385" t="s">
        <v>545</v>
      </c>
      <c r="F16385" s="1">
        <v>2</v>
      </c>
      <c r="G16385" s="1" t="s">
        <v>28</v>
      </c>
      <c r="H16385" s="4" t="str">
        <f>HYPERLINK("https://portal.gdc.cancer.gov/cases/6e9e0c2f-2ddb-40f1-8e8c-618119e62ec1","TCGA-AA-3488-01A")</f>
        <v>TCGA-AA-3488-01A</v>
      </c>
      <c r="I16385" t="s">
        <v>69</v>
      </c>
      <c r="J16385" t="s">
        <v>245</v>
      </c>
      <c r="K16385" t="s">
        <v>33</v>
      </c>
      <c r="L16385" t="s">
        <v>546</v>
      </c>
      <c r="N16385" t="s">
        <v>29</v>
      </c>
    </row>
    <row r="16386" spans="1:14">
      <c r="A16386" s="4" t="str">
        <f t="shared" si="1226"/>
        <v>EXP00421</v>
      </c>
      <c r="B16386" s="3" t="s">
        <v>66</v>
      </c>
      <c r="C16386" s="4" t="str">
        <f t="shared" si="1227"/>
        <v>TCGA-COAD</v>
      </c>
      <c r="D16386" s="1" t="s">
        <v>493</v>
      </c>
      <c r="E16386" t="s">
        <v>545</v>
      </c>
      <c r="F16386" s="1">
        <v>2</v>
      </c>
      <c r="G16386" s="1" t="s">
        <v>28</v>
      </c>
      <c r="H16386" s="4" t="str">
        <f>HYPERLINK("https://portal.gdc.cancer.gov/cases/b95720b1-aa00-4c6a-b202-3350d035829f","TCGA-AA-3489-01A")</f>
        <v>TCGA-AA-3489-01A</v>
      </c>
      <c r="I16386" t="s">
        <v>69</v>
      </c>
      <c r="J16386" t="s">
        <v>245</v>
      </c>
      <c r="K16386" t="s">
        <v>33</v>
      </c>
      <c r="L16386" t="s">
        <v>546</v>
      </c>
      <c r="N16386" t="s">
        <v>29</v>
      </c>
    </row>
    <row r="16387" spans="1:14">
      <c r="A16387" s="4" t="str">
        <f t="shared" si="1226"/>
        <v>EXP00421</v>
      </c>
      <c r="B16387" s="3" t="s">
        <v>66</v>
      </c>
      <c r="C16387" s="4" t="str">
        <f t="shared" si="1227"/>
        <v>TCGA-COAD</v>
      </c>
      <c r="D16387" s="1" t="s">
        <v>493</v>
      </c>
      <c r="E16387" t="s">
        <v>545</v>
      </c>
      <c r="F16387" s="1">
        <v>2</v>
      </c>
      <c r="G16387" s="1" t="s">
        <v>28</v>
      </c>
      <c r="H16387" s="4" t="str">
        <f>HYPERLINK("https://portal.gdc.cancer.gov/cases/85e95dda-6198-464a-9187-fd0832bebb72","TCGA-AA-3492-01A")</f>
        <v>TCGA-AA-3492-01A</v>
      </c>
      <c r="I16387" t="s">
        <v>69</v>
      </c>
      <c r="J16387" t="s">
        <v>245</v>
      </c>
      <c r="K16387" t="s">
        <v>33</v>
      </c>
      <c r="L16387" t="s">
        <v>546</v>
      </c>
      <c r="N16387" t="s">
        <v>29</v>
      </c>
    </row>
    <row r="16388" spans="1:14">
      <c r="A16388" s="4" t="str">
        <f t="shared" si="1226"/>
        <v>EXP00421</v>
      </c>
      <c r="B16388" s="3" t="s">
        <v>66</v>
      </c>
      <c r="C16388" s="4" t="str">
        <f t="shared" si="1227"/>
        <v>TCGA-COAD</v>
      </c>
      <c r="D16388" s="1" t="s">
        <v>493</v>
      </c>
      <c r="E16388" t="s">
        <v>545</v>
      </c>
      <c r="F16388" s="1">
        <v>2</v>
      </c>
      <c r="G16388" s="1" t="s">
        <v>28</v>
      </c>
      <c r="H16388" s="4" t="str">
        <f>HYPERLINK("https://portal.gdc.cancer.gov/cases/67ba29e7-f294-4dcd-9630-ad768c22c588","TCGA-AA-3494-01A")</f>
        <v>TCGA-AA-3494-01A</v>
      </c>
      <c r="I16388" t="s">
        <v>69</v>
      </c>
      <c r="J16388" t="s">
        <v>245</v>
      </c>
      <c r="K16388" t="s">
        <v>33</v>
      </c>
      <c r="L16388" t="s">
        <v>546</v>
      </c>
      <c r="N16388" t="s">
        <v>29</v>
      </c>
    </row>
    <row r="16389" spans="1:14">
      <c r="A16389" s="4" t="str">
        <f t="shared" si="1226"/>
        <v>EXP00421</v>
      </c>
      <c r="B16389" s="3" t="s">
        <v>66</v>
      </c>
      <c r="C16389" s="4" t="str">
        <f t="shared" si="1227"/>
        <v>TCGA-COAD</v>
      </c>
      <c r="D16389" s="1" t="s">
        <v>493</v>
      </c>
      <c r="E16389" t="s">
        <v>545</v>
      </c>
      <c r="F16389" s="1">
        <v>2</v>
      </c>
      <c r="G16389" s="1" t="s">
        <v>28</v>
      </c>
      <c r="H16389" s="4" t="str">
        <f>HYPERLINK("https://portal.gdc.cancer.gov/cases/15b987ba-77ab-477b-a54a-65ec5c7c399e","TCGA-AA-3495-01A")</f>
        <v>TCGA-AA-3495-01A</v>
      </c>
      <c r="I16389" t="s">
        <v>69</v>
      </c>
      <c r="J16389" t="s">
        <v>245</v>
      </c>
      <c r="K16389" t="s">
        <v>33</v>
      </c>
      <c r="L16389" t="s">
        <v>546</v>
      </c>
      <c r="N16389" t="s">
        <v>29</v>
      </c>
    </row>
    <row r="16390" spans="1:14">
      <c r="A16390" s="4" t="str">
        <f t="shared" si="1226"/>
        <v>EXP00421</v>
      </c>
      <c r="B16390" s="3" t="s">
        <v>66</v>
      </c>
      <c r="C16390" s="4" t="str">
        <f t="shared" si="1227"/>
        <v>TCGA-COAD</v>
      </c>
      <c r="D16390" s="1" t="s">
        <v>493</v>
      </c>
      <c r="E16390" t="s">
        <v>545</v>
      </c>
      <c r="F16390" s="1">
        <v>2</v>
      </c>
      <c r="G16390" s="1" t="s">
        <v>28</v>
      </c>
      <c r="H16390" s="4" t="str">
        <f>HYPERLINK("https://portal.gdc.cancer.gov/cases/639e1050-088a-48fe-a0ef-4a01a3468cac","TCGA-AA-3496-01A")</f>
        <v>TCGA-AA-3496-01A</v>
      </c>
      <c r="I16390" t="s">
        <v>69</v>
      </c>
      <c r="J16390" t="s">
        <v>245</v>
      </c>
      <c r="K16390" t="s">
        <v>33</v>
      </c>
      <c r="L16390" t="s">
        <v>546</v>
      </c>
      <c r="N16390" t="s">
        <v>29</v>
      </c>
    </row>
    <row r="16391" spans="1:14">
      <c r="A16391" s="4" t="str">
        <f t="shared" si="1226"/>
        <v>EXP00421</v>
      </c>
      <c r="B16391" s="3" t="s">
        <v>66</v>
      </c>
      <c r="C16391" s="4" t="str">
        <f t="shared" si="1227"/>
        <v>TCGA-COAD</v>
      </c>
      <c r="D16391" s="1" t="s">
        <v>493</v>
      </c>
      <c r="E16391" t="s">
        <v>545</v>
      </c>
      <c r="F16391" s="1">
        <v>2</v>
      </c>
      <c r="G16391" s="1" t="s">
        <v>28</v>
      </c>
      <c r="H16391" s="4" t="str">
        <f>HYPERLINK("https://portal.gdc.cancer.gov/cases/8368d745-c74d-4236-ba75-16ca7aaeb3ca","TCGA-AA-3502-01A")</f>
        <v>TCGA-AA-3502-01A</v>
      </c>
      <c r="I16391" t="s">
        <v>69</v>
      </c>
      <c r="J16391" t="s">
        <v>245</v>
      </c>
      <c r="K16391" t="s">
        <v>33</v>
      </c>
      <c r="L16391" t="s">
        <v>546</v>
      </c>
      <c r="N16391" t="s">
        <v>29</v>
      </c>
    </row>
    <row r="16392" spans="1:14">
      <c r="A16392" s="4" t="str">
        <f t="shared" si="1226"/>
        <v>EXP00421</v>
      </c>
      <c r="B16392" s="3" t="s">
        <v>66</v>
      </c>
      <c r="C16392" s="4" t="str">
        <f t="shared" si="1227"/>
        <v>TCGA-COAD</v>
      </c>
      <c r="D16392" s="1" t="s">
        <v>493</v>
      </c>
      <c r="E16392" t="s">
        <v>545</v>
      </c>
      <c r="F16392" s="1">
        <v>2</v>
      </c>
      <c r="G16392" s="1" t="s">
        <v>28</v>
      </c>
      <c r="H16392" s="4" t="str">
        <f>HYPERLINK("https://portal.gdc.cancer.gov/cases/28033279-cc74-4775-afdf-2497f6ddb55c","TCGA-AA-3506-01A")</f>
        <v>TCGA-AA-3506-01A</v>
      </c>
      <c r="I16392" t="s">
        <v>69</v>
      </c>
      <c r="J16392" t="s">
        <v>245</v>
      </c>
      <c r="K16392" t="s">
        <v>33</v>
      </c>
      <c r="L16392" t="s">
        <v>546</v>
      </c>
      <c r="N16392" t="s">
        <v>29</v>
      </c>
    </row>
    <row r="16393" spans="1:14">
      <c r="A16393" s="4" t="str">
        <f t="shared" si="1226"/>
        <v>EXP00421</v>
      </c>
      <c r="B16393" s="3" t="s">
        <v>66</v>
      </c>
      <c r="C16393" s="4" t="str">
        <f t="shared" si="1227"/>
        <v>TCGA-COAD</v>
      </c>
      <c r="D16393" s="1" t="s">
        <v>493</v>
      </c>
      <c r="E16393" t="s">
        <v>545</v>
      </c>
      <c r="F16393" s="1">
        <v>2</v>
      </c>
      <c r="G16393" s="1" t="s">
        <v>28</v>
      </c>
      <c r="H16393" s="4" t="str">
        <f>HYPERLINK("https://portal.gdc.cancer.gov/cases/80e677b1-5ebe-4069-a1a5-1538ffee6642","TCGA-AA-3509-01A")</f>
        <v>TCGA-AA-3509-01A</v>
      </c>
      <c r="I16393" t="s">
        <v>69</v>
      </c>
      <c r="J16393" t="s">
        <v>245</v>
      </c>
      <c r="K16393" t="s">
        <v>33</v>
      </c>
      <c r="L16393" t="s">
        <v>546</v>
      </c>
      <c r="N16393" t="s">
        <v>29</v>
      </c>
    </row>
    <row r="16394" spans="1:14">
      <c r="A16394" s="4" t="str">
        <f t="shared" si="1226"/>
        <v>EXP00421</v>
      </c>
      <c r="B16394" s="3" t="s">
        <v>66</v>
      </c>
      <c r="C16394" s="4" t="str">
        <f t="shared" si="1227"/>
        <v>TCGA-COAD</v>
      </c>
      <c r="D16394" s="1" t="s">
        <v>493</v>
      </c>
      <c r="E16394" t="s">
        <v>545</v>
      </c>
      <c r="F16394" s="1">
        <v>2</v>
      </c>
      <c r="G16394" s="1" t="s">
        <v>28</v>
      </c>
      <c r="H16394" s="4" t="str">
        <f>HYPERLINK("https://portal.gdc.cancer.gov/cases/35c295c2-37d1-44b2-87a3-1039645e5bae","TCGA-AA-3510-01A")</f>
        <v>TCGA-AA-3510-01A</v>
      </c>
      <c r="I16394" t="s">
        <v>69</v>
      </c>
      <c r="J16394" t="s">
        <v>245</v>
      </c>
      <c r="K16394" t="s">
        <v>33</v>
      </c>
      <c r="L16394" t="s">
        <v>546</v>
      </c>
      <c r="N16394" t="s">
        <v>29</v>
      </c>
    </row>
    <row r="16395" spans="1:14">
      <c r="A16395" s="4" t="str">
        <f t="shared" si="1226"/>
        <v>EXP00421</v>
      </c>
      <c r="B16395" s="3" t="s">
        <v>66</v>
      </c>
      <c r="C16395" s="4" t="str">
        <f t="shared" si="1227"/>
        <v>TCGA-COAD</v>
      </c>
      <c r="D16395" s="1" t="s">
        <v>493</v>
      </c>
      <c r="E16395" t="s">
        <v>545</v>
      </c>
      <c r="F16395" s="1">
        <v>2</v>
      </c>
      <c r="G16395" s="1" t="s">
        <v>28</v>
      </c>
      <c r="H16395" s="4" t="str">
        <f>HYPERLINK("https://portal.gdc.cancer.gov/cases/93edb105-5dc9-4a4a-9fca-c91f0161fcc7","TCGA-AA-3511-01A")</f>
        <v>TCGA-AA-3511-01A</v>
      </c>
      <c r="I16395" t="s">
        <v>69</v>
      </c>
      <c r="J16395" t="s">
        <v>245</v>
      </c>
      <c r="K16395" t="s">
        <v>33</v>
      </c>
      <c r="L16395" t="s">
        <v>546</v>
      </c>
      <c r="N16395" t="s">
        <v>29</v>
      </c>
    </row>
    <row r="16396" spans="1:14">
      <c r="A16396" s="4" t="str">
        <f t="shared" si="1226"/>
        <v>EXP00421</v>
      </c>
      <c r="B16396" s="3" t="s">
        <v>66</v>
      </c>
      <c r="C16396" s="4" t="str">
        <f t="shared" si="1227"/>
        <v>TCGA-COAD</v>
      </c>
      <c r="D16396" s="1" t="s">
        <v>493</v>
      </c>
      <c r="E16396" t="s">
        <v>545</v>
      </c>
      <c r="F16396" s="1">
        <v>2</v>
      </c>
      <c r="G16396" s="1" t="s">
        <v>28</v>
      </c>
      <c r="H16396" s="4" t="str">
        <f>HYPERLINK("https://portal.gdc.cancer.gov/cases/ddf69ed9-4c53-48b8-9f01-495bd60c3425","TCGA-AA-3514-01A")</f>
        <v>TCGA-AA-3514-01A</v>
      </c>
      <c r="I16396" t="s">
        <v>69</v>
      </c>
      <c r="J16396" t="s">
        <v>245</v>
      </c>
      <c r="K16396" t="s">
        <v>33</v>
      </c>
      <c r="L16396" t="s">
        <v>546</v>
      </c>
      <c r="N16396" t="s">
        <v>29</v>
      </c>
    </row>
    <row r="16397" spans="1:14">
      <c r="A16397" s="4" t="str">
        <f t="shared" si="1226"/>
        <v>EXP00421</v>
      </c>
      <c r="B16397" s="3" t="s">
        <v>66</v>
      </c>
      <c r="C16397" s="4" t="str">
        <f t="shared" si="1227"/>
        <v>TCGA-COAD</v>
      </c>
      <c r="D16397" s="1" t="s">
        <v>493</v>
      </c>
      <c r="E16397" t="s">
        <v>545</v>
      </c>
      <c r="F16397" s="1">
        <v>2</v>
      </c>
      <c r="G16397" s="1" t="s">
        <v>28</v>
      </c>
      <c r="H16397" s="4" t="str">
        <f>HYPERLINK("https://portal.gdc.cancer.gov/cases/d9d7f0d4-fa64-48f2-8037-52cbf0b34ad8","TCGA-AA-3516-01A")</f>
        <v>TCGA-AA-3516-01A</v>
      </c>
      <c r="I16397" t="s">
        <v>69</v>
      </c>
      <c r="J16397" t="s">
        <v>245</v>
      </c>
      <c r="K16397" t="s">
        <v>33</v>
      </c>
      <c r="L16397" t="s">
        <v>546</v>
      </c>
      <c r="N16397" t="s">
        <v>29</v>
      </c>
    </row>
    <row r="16398" spans="1:14">
      <c r="A16398" s="4" t="str">
        <f t="shared" si="1226"/>
        <v>EXP00421</v>
      </c>
      <c r="B16398" s="3" t="s">
        <v>66</v>
      </c>
      <c r="C16398" s="4" t="str">
        <f t="shared" si="1227"/>
        <v>TCGA-COAD</v>
      </c>
      <c r="D16398" s="1" t="s">
        <v>493</v>
      </c>
      <c r="E16398" t="s">
        <v>545</v>
      </c>
      <c r="F16398" s="1">
        <v>2</v>
      </c>
      <c r="G16398" s="1" t="s">
        <v>28</v>
      </c>
      <c r="H16398" s="4" t="str">
        <f>HYPERLINK("https://portal.gdc.cancer.gov/cases/c4d74653-d26b-4e51-aee0-82ee3d42f883","TCGA-AA-3517-01A")</f>
        <v>TCGA-AA-3517-01A</v>
      </c>
      <c r="I16398" t="s">
        <v>69</v>
      </c>
      <c r="J16398" t="s">
        <v>245</v>
      </c>
      <c r="K16398" t="s">
        <v>33</v>
      </c>
      <c r="L16398" t="s">
        <v>546</v>
      </c>
      <c r="N16398" t="s">
        <v>29</v>
      </c>
    </row>
    <row r="16399" spans="1:14">
      <c r="A16399" s="4" t="str">
        <f t="shared" si="1226"/>
        <v>EXP00421</v>
      </c>
      <c r="B16399" s="3" t="s">
        <v>66</v>
      </c>
      <c r="C16399" s="4" t="str">
        <f t="shared" si="1227"/>
        <v>TCGA-COAD</v>
      </c>
      <c r="D16399" s="1" t="s">
        <v>493</v>
      </c>
      <c r="E16399" t="s">
        <v>545</v>
      </c>
      <c r="F16399" s="1">
        <v>2</v>
      </c>
      <c r="G16399" s="1" t="s">
        <v>28</v>
      </c>
      <c r="H16399" s="4" t="str">
        <f>HYPERLINK("https://portal.gdc.cancer.gov/cases/c5c4a0a5-900d-483d-9282-475654d63265","TCGA-AA-3518-01A")</f>
        <v>TCGA-AA-3518-01A</v>
      </c>
      <c r="I16399" t="s">
        <v>69</v>
      </c>
      <c r="J16399" t="s">
        <v>245</v>
      </c>
      <c r="K16399" t="s">
        <v>33</v>
      </c>
      <c r="L16399" t="s">
        <v>546</v>
      </c>
      <c r="N16399" t="s">
        <v>29</v>
      </c>
    </row>
    <row r="16400" spans="1:14">
      <c r="A16400" s="4" t="str">
        <f t="shared" si="1226"/>
        <v>EXP00421</v>
      </c>
      <c r="B16400" s="3" t="s">
        <v>66</v>
      </c>
      <c r="C16400" s="4" t="str">
        <f t="shared" si="1227"/>
        <v>TCGA-COAD</v>
      </c>
      <c r="D16400" s="1" t="s">
        <v>493</v>
      </c>
      <c r="E16400" t="s">
        <v>545</v>
      </c>
      <c r="F16400" s="1">
        <v>2</v>
      </c>
      <c r="G16400" s="1" t="s">
        <v>28</v>
      </c>
      <c r="H16400" s="4" t="str">
        <f>HYPERLINK("https://portal.gdc.cancer.gov/cases/09942e9f-c178-44bc-9cd9-f5bfa350b23f","TCGA-AA-3519-01A")</f>
        <v>TCGA-AA-3519-01A</v>
      </c>
      <c r="I16400" t="s">
        <v>69</v>
      </c>
      <c r="J16400" t="s">
        <v>245</v>
      </c>
      <c r="K16400" t="s">
        <v>33</v>
      </c>
      <c r="L16400" t="s">
        <v>546</v>
      </c>
      <c r="N16400" t="s">
        <v>29</v>
      </c>
    </row>
    <row r="16401" spans="1:14">
      <c r="A16401" s="4" t="str">
        <f t="shared" si="1226"/>
        <v>EXP00421</v>
      </c>
      <c r="B16401" s="3" t="s">
        <v>66</v>
      </c>
      <c r="C16401" s="4" t="str">
        <f t="shared" si="1227"/>
        <v>TCGA-COAD</v>
      </c>
      <c r="D16401" s="1" t="s">
        <v>493</v>
      </c>
      <c r="E16401" t="s">
        <v>545</v>
      </c>
      <c r="F16401" s="1">
        <v>2</v>
      </c>
      <c r="G16401" s="1" t="s">
        <v>28</v>
      </c>
      <c r="H16401" s="4" t="str">
        <f>HYPERLINK("https://portal.gdc.cancer.gov/cases/5f1399ef-8100-49e7-806f-9f532e55c0ba","TCGA-AA-3520-01A")</f>
        <v>TCGA-AA-3520-01A</v>
      </c>
      <c r="I16401" t="s">
        <v>69</v>
      </c>
      <c r="J16401" t="s">
        <v>245</v>
      </c>
      <c r="K16401" t="s">
        <v>33</v>
      </c>
      <c r="L16401" t="s">
        <v>546</v>
      </c>
      <c r="N16401" t="s">
        <v>29</v>
      </c>
    </row>
    <row r="16402" spans="1:14">
      <c r="A16402" s="4" t="str">
        <f t="shared" si="1226"/>
        <v>EXP00421</v>
      </c>
      <c r="B16402" s="3" t="s">
        <v>66</v>
      </c>
      <c r="C16402" s="4" t="str">
        <f t="shared" si="1227"/>
        <v>TCGA-COAD</v>
      </c>
      <c r="D16402" s="1" t="s">
        <v>493</v>
      </c>
      <c r="E16402" t="s">
        <v>545</v>
      </c>
      <c r="F16402" s="1">
        <v>2</v>
      </c>
      <c r="G16402" s="1" t="s">
        <v>28</v>
      </c>
      <c r="H16402" s="4" t="str">
        <f>HYPERLINK("https://portal.gdc.cancer.gov/cases/ad440651-a2de-4bb1-90da-1e5e8975ab59","TCGA-AA-3521-01A")</f>
        <v>TCGA-AA-3521-01A</v>
      </c>
      <c r="I16402" t="s">
        <v>69</v>
      </c>
      <c r="J16402" t="s">
        <v>245</v>
      </c>
      <c r="K16402" t="s">
        <v>33</v>
      </c>
      <c r="L16402" t="s">
        <v>546</v>
      </c>
      <c r="N16402" t="s">
        <v>29</v>
      </c>
    </row>
    <row r="16403" spans="1:14">
      <c r="A16403" s="4" t="str">
        <f t="shared" si="1226"/>
        <v>EXP00421</v>
      </c>
      <c r="B16403" s="3" t="s">
        <v>66</v>
      </c>
      <c r="C16403" s="4" t="str">
        <f t="shared" si="1227"/>
        <v>TCGA-COAD</v>
      </c>
      <c r="D16403" s="1" t="s">
        <v>493</v>
      </c>
      <c r="E16403" t="s">
        <v>545</v>
      </c>
      <c r="F16403" s="1">
        <v>2</v>
      </c>
      <c r="G16403" s="1" t="s">
        <v>28</v>
      </c>
      <c r="H16403" s="4" t="str">
        <f>HYPERLINK("https://portal.gdc.cancer.gov/cases/d7ba64d7-b4e5-488d-9f28-bcb7bf3c0f35","TCGA-AA-3522-01A")</f>
        <v>TCGA-AA-3522-01A</v>
      </c>
      <c r="I16403" t="s">
        <v>69</v>
      </c>
      <c r="J16403" t="s">
        <v>245</v>
      </c>
      <c r="K16403" t="s">
        <v>33</v>
      </c>
      <c r="L16403" t="s">
        <v>546</v>
      </c>
      <c r="N16403" t="s">
        <v>29</v>
      </c>
    </row>
    <row r="16404" spans="1:14">
      <c r="A16404" s="4" t="str">
        <f t="shared" si="1226"/>
        <v>EXP00421</v>
      </c>
      <c r="B16404" s="3" t="s">
        <v>66</v>
      </c>
      <c r="C16404" s="4" t="str">
        <f t="shared" si="1227"/>
        <v>TCGA-COAD</v>
      </c>
      <c r="D16404" s="1" t="s">
        <v>493</v>
      </c>
      <c r="E16404" t="s">
        <v>545</v>
      </c>
      <c r="F16404" s="1">
        <v>2</v>
      </c>
      <c r="G16404" s="1" t="s">
        <v>28</v>
      </c>
      <c r="H16404" s="4" t="str">
        <f>HYPERLINK("https://portal.gdc.cancer.gov/cases/03efbc94-a43d-4db0-9377-e397348430a6","TCGA-AA-3524-01A")</f>
        <v>TCGA-AA-3524-01A</v>
      </c>
      <c r="I16404" t="s">
        <v>69</v>
      </c>
      <c r="J16404" t="s">
        <v>245</v>
      </c>
      <c r="K16404" t="s">
        <v>33</v>
      </c>
      <c r="L16404" t="s">
        <v>546</v>
      </c>
      <c r="N16404" t="s">
        <v>29</v>
      </c>
    </row>
    <row r="16405" spans="1:14">
      <c r="A16405" s="4" t="str">
        <f t="shared" si="1226"/>
        <v>EXP00421</v>
      </c>
      <c r="B16405" s="3" t="s">
        <v>66</v>
      </c>
      <c r="C16405" s="4" t="str">
        <f t="shared" si="1227"/>
        <v>TCGA-COAD</v>
      </c>
      <c r="D16405" s="1" t="s">
        <v>493</v>
      </c>
      <c r="E16405" t="s">
        <v>545</v>
      </c>
      <c r="F16405" s="1">
        <v>2</v>
      </c>
      <c r="G16405" s="1" t="s">
        <v>28</v>
      </c>
      <c r="H16405" s="4" t="str">
        <f>HYPERLINK("https://portal.gdc.cancer.gov/cases/b107565b-7558-4745-952b-689178367e1c","TCGA-AA-3525-01A")</f>
        <v>TCGA-AA-3525-01A</v>
      </c>
      <c r="I16405" t="s">
        <v>69</v>
      </c>
      <c r="J16405" t="s">
        <v>245</v>
      </c>
      <c r="K16405" t="s">
        <v>33</v>
      </c>
      <c r="L16405" t="s">
        <v>546</v>
      </c>
      <c r="N16405" t="s">
        <v>29</v>
      </c>
    </row>
    <row r="16406" spans="1:14">
      <c r="A16406" s="4" t="str">
        <f t="shared" si="1226"/>
        <v>EXP00421</v>
      </c>
      <c r="B16406" s="3" t="s">
        <v>66</v>
      </c>
      <c r="C16406" s="4" t="str">
        <f t="shared" si="1227"/>
        <v>TCGA-COAD</v>
      </c>
      <c r="D16406" s="1" t="s">
        <v>493</v>
      </c>
      <c r="E16406" t="s">
        <v>545</v>
      </c>
      <c r="F16406" s="1">
        <v>2</v>
      </c>
      <c r="G16406" s="1" t="s">
        <v>28</v>
      </c>
      <c r="H16406" s="4" t="str">
        <f>HYPERLINK("https://portal.gdc.cancer.gov/cases/88e64f45-adc4-4223-9838-4d7d45b8f0c0","TCGA-AA-3526-01A")</f>
        <v>TCGA-AA-3526-01A</v>
      </c>
      <c r="I16406" t="s">
        <v>69</v>
      </c>
      <c r="J16406" t="s">
        <v>245</v>
      </c>
      <c r="K16406" t="s">
        <v>33</v>
      </c>
      <c r="L16406" t="s">
        <v>546</v>
      </c>
      <c r="N16406" t="s">
        <v>29</v>
      </c>
    </row>
    <row r="16407" spans="1:14">
      <c r="A16407" s="4" t="str">
        <f t="shared" si="1226"/>
        <v>EXP00421</v>
      </c>
      <c r="B16407" s="3" t="s">
        <v>66</v>
      </c>
      <c r="C16407" s="4" t="str">
        <f t="shared" si="1227"/>
        <v>TCGA-COAD</v>
      </c>
      <c r="D16407" s="1" t="s">
        <v>493</v>
      </c>
      <c r="E16407" t="s">
        <v>545</v>
      </c>
      <c r="F16407" s="1">
        <v>2</v>
      </c>
      <c r="G16407" s="1" t="s">
        <v>28</v>
      </c>
      <c r="H16407" s="4" t="str">
        <f>HYPERLINK("https://portal.gdc.cancer.gov/cases/269e8ca8-722d-449b-ace1-6545bd72bdd6","TCGA-AA-3527-01A")</f>
        <v>TCGA-AA-3527-01A</v>
      </c>
      <c r="I16407" t="s">
        <v>69</v>
      </c>
      <c r="J16407" t="s">
        <v>245</v>
      </c>
      <c r="K16407" t="s">
        <v>33</v>
      </c>
      <c r="L16407" t="s">
        <v>546</v>
      </c>
      <c r="N16407" t="s">
        <v>29</v>
      </c>
    </row>
    <row r="16408" spans="1:14">
      <c r="A16408" s="4" t="str">
        <f t="shared" si="1226"/>
        <v>EXP00421</v>
      </c>
      <c r="B16408" s="3" t="s">
        <v>66</v>
      </c>
      <c r="C16408" s="4" t="str">
        <f t="shared" si="1227"/>
        <v>TCGA-COAD</v>
      </c>
      <c r="D16408" s="1" t="s">
        <v>493</v>
      </c>
      <c r="E16408" t="s">
        <v>545</v>
      </c>
      <c r="F16408" s="1">
        <v>2</v>
      </c>
      <c r="G16408" s="1" t="s">
        <v>28</v>
      </c>
      <c r="H16408" s="4" t="str">
        <f>HYPERLINK("https://portal.gdc.cancer.gov/cases/bfb07784-693b-4c25-874e-4ad6e04a5d46","TCGA-AA-3529-01A")</f>
        <v>TCGA-AA-3529-01A</v>
      </c>
      <c r="I16408" t="s">
        <v>69</v>
      </c>
      <c r="J16408" t="s">
        <v>245</v>
      </c>
      <c r="K16408" t="s">
        <v>33</v>
      </c>
      <c r="L16408" t="s">
        <v>546</v>
      </c>
      <c r="N16408" t="s">
        <v>29</v>
      </c>
    </row>
    <row r="16409" spans="1:14">
      <c r="A16409" s="4" t="str">
        <f t="shared" si="1226"/>
        <v>EXP00421</v>
      </c>
      <c r="B16409" s="3" t="s">
        <v>66</v>
      </c>
      <c r="C16409" s="4" t="str">
        <f t="shared" si="1227"/>
        <v>TCGA-COAD</v>
      </c>
      <c r="D16409" s="1" t="s">
        <v>493</v>
      </c>
      <c r="E16409" t="s">
        <v>545</v>
      </c>
      <c r="F16409" s="1">
        <v>2</v>
      </c>
      <c r="G16409" s="1" t="s">
        <v>28</v>
      </c>
      <c r="H16409" s="4" t="str">
        <f>HYPERLINK("https://portal.gdc.cancer.gov/cases/1ad0b9b9-7ded-4281-b114-9dcc6138c037","TCGA-AA-3530-01A")</f>
        <v>TCGA-AA-3530-01A</v>
      </c>
      <c r="I16409" t="s">
        <v>69</v>
      </c>
      <c r="J16409" t="s">
        <v>245</v>
      </c>
      <c r="K16409" t="s">
        <v>33</v>
      </c>
      <c r="L16409" t="s">
        <v>546</v>
      </c>
      <c r="N16409" t="s">
        <v>29</v>
      </c>
    </row>
    <row r="16410" spans="1:14">
      <c r="A16410" s="4" t="str">
        <f t="shared" si="1226"/>
        <v>EXP00421</v>
      </c>
      <c r="B16410" s="3" t="s">
        <v>66</v>
      </c>
      <c r="C16410" s="4" t="str">
        <f t="shared" si="1227"/>
        <v>TCGA-COAD</v>
      </c>
      <c r="D16410" s="1" t="s">
        <v>493</v>
      </c>
      <c r="E16410" t="s">
        <v>545</v>
      </c>
      <c r="F16410" s="1">
        <v>2</v>
      </c>
      <c r="G16410" s="1" t="s">
        <v>28</v>
      </c>
      <c r="H16410" s="4" t="str">
        <f>HYPERLINK("https://portal.gdc.cancer.gov/cases/401a37f3-6630-4400-a811-a262351e37de","TCGA-AA-3531-01A")</f>
        <v>TCGA-AA-3531-01A</v>
      </c>
      <c r="I16410" t="s">
        <v>69</v>
      </c>
      <c r="J16410" t="s">
        <v>245</v>
      </c>
      <c r="K16410" t="s">
        <v>33</v>
      </c>
      <c r="L16410" t="s">
        <v>546</v>
      </c>
      <c r="N16410" t="s">
        <v>29</v>
      </c>
    </row>
    <row r="16411" spans="1:14">
      <c r="A16411" s="4" t="str">
        <f t="shared" si="1226"/>
        <v>EXP00421</v>
      </c>
      <c r="B16411" s="3" t="s">
        <v>66</v>
      </c>
      <c r="C16411" s="4" t="str">
        <f t="shared" si="1227"/>
        <v>TCGA-COAD</v>
      </c>
      <c r="D16411" s="1" t="s">
        <v>493</v>
      </c>
      <c r="E16411" t="s">
        <v>545</v>
      </c>
      <c r="F16411" s="1">
        <v>2</v>
      </c>
      <c r="G16411" s="1" t="s">
        <v>28</v>
      </c>
      <c r="H16411" s="4" t="str">
        <f>HYPERLINK("https://portal.gdc.cancer.gov/cases/aa85d9e8-caa6-422c-95ce-780e4ac2a5e4","TCGA-AA-3532-01A")</f>
        <v>TCGA-AA-3532-01A</v>
      </c>
      <c r="I16411" t="s">
        <v>69</v>
      </c>
      <c r="J16411" t="s">
        <v>245</v>
      </c>
      <c r="K16411" t="s">
        <v>33</v>
      </c>
      <c r="L16411" t="s">
        <v>546</v>
      </c>
      <c r="N16411" t="s">
        <v>29</v>
      </c>
    </row>
    <row r="16412" spans="1:14">
      <c r="A16412" s="4" t="str">
        <f t="shared" si="1226"/>
        <v>EXP00421</v>
      </c>
      <c r="B16412" s="3" t="s">
        <v>66</v>
      </c>
      <c r="C16412" s="4" t="str">
        <f t="shared" si="1227"/>
        <v>TCGA-COAD</v>
      </c>
      <c r="D16412" s="1" t="s">
        <v>493</v>
      </c>
      <c r="E16412" t="s">
        <v>545</v>
      </c>
      <c r="F16412" s="1">
        <v>2</v>
      </c>
      <c r="G16412" s="1" t="s">
        <v>28</v>
      </c>
      <c r="H16412" s="4" t="str">
        <f>HYPERLINK("https://portal.gdc.cancer.gov/cases/df228c56-89ac-4122-93b3-6c0740c4ec09","TCGA-AA-3534-01A")</f>
        <v>TCGA-AA-3534-01A</v>
      </c>
      <c r="I16412" t="s">
        <v>69</v>
      </c>
      <c r="J16412" t="s">
        <v>245</v>
      </c>
      <c r="K16412" t="s">
        <v>33</v>
      </c>
      <c r="L16412" t="s">
        <v>546</v>
      </c>
      <c r="N16412" t="s">
        <v>29</v>
      </c>
    </row>
    <row r="16413" spans="1:14">
      <c r="A16413" s="4" t="str">
        <f t="shared" si="1226"/>
        <v>EXP00421</v>
      </c>
      <c r="B16413" s="3" t="s">
        <v>66</v>
      </c>
      <c r="C16413" s="4" t="str">
        <f t="shared" si="1227"/>
        <v>TCGA-COAD</v>
      </c>
      <c r="D16413" s="1" t="s">
        <v>493</v>
      </c>
      <c r="E16413" t="s">
        <v>545</v>
      </c>
      <c r="F16413" s="1">
        <v>2</v>
      </c>
      <c r="G16413" s="1" t="s">
        <v>28</v>
      </c>
      <c r="H16413" s="4" t="str">
        <f>HYPERLINK("https://portal.gdc.cancer.gov/cases/c594196e-49ef-4195-a6b6-4ef4a1d9ec15","TCGA-AA-3538-01A")</f>
        <v>TCGA-AA-3538-01A</v>
      </c>
      <c r="I16413" t="s">
        <v>69</v>
      </c>
      <c r="J16413" t="s">
        <v>245</v>
      </c>
      <c r="K16413" t="s">
        <v>33</v>
      </c>
      <c r="L16413" t="s">
        <v>546</v>
      </c>
      <c r="N16413" t="s">
        <v>29</v>
      </c>
    </row>
    <row r="16414" spans="1:14">
      <c r="A16414" s="4" t="str">
        <f t="shared" si="1226"/>
        <v>EXP00421</v>
      </c>
      <c r="B16414" s="3" t="s">
        <v>66</v>
      </c>
      <c r="C16414" s="4" t="str">
        <f t="shared" si="1227"/>
        <v>TCGA-COAD</v>
      </c>
      <c r="D16414" s="1" t="s">
        <v>493</v>
      </c>
      <c r="E16414" t="s">
        <v>545</v>
      </c>
      <c r="F16414" s="1">
        <v>2</v>
      </c>
      <c r="G16414" s="1" t="s">
        <v>28</v>
      </c>
      <c r="H16414" s="4" t="str">
        <f>HYPERLINK("https://portal.gdc.cancer.gov/cases/9dcb4e16-b582-4cd0-87cf-04f480ec2cec","TCGA-AA-3542-01A")</f>
        <v>TCGA-AA-3542-01A</v>
      </c>
      <c r="I16414" t="s">
        <v>69</v>
      </c>
      <c r="J16414" t="s">
        <v>245</v>
      </c>
      <c r="K16414" t="s">
        <v>33</v>
      </c>
      <c r="L16414" t="s">
        <v>546</v>
      </c>
      <c r="N16414" t="s">
        <v>29</v>
      </c>
    </row>
    <row r="16415" spans="1:14">
      <c r="A16415" s="4" t="str">
        <f t="shared" si="1226"/>
        <v>EXP00421</v>
      </c>
      <c r="B16415" s="3" t="s">
        <v>66</v>
      </c>
      <c r="C16415" s="4" t="str">
        <f t="shared" si="1227"/>
        <v>TCGA-COAD</v>
      </c>
      <c r="D16415" s="1" t="s">
        <v>493</v>
      </c>
      <c r="E16415" t="s">
        <v>545</v>
      </c>
      <c r="F16415" s="1">
        <v>2</v>
      </c>
      <c r="G16415" s="1" t="s">
        <v>28</v>
      </c>
      <c r="H16415" s="4" t="str">
        <f>HYPERLINK("https://portal.gdc.cancer.gov/cases/912b61a1-6a5b-451c-b753-9c3dac03e8cb","TCGA-AA-3543-01A")</f>
        <v>TCGA-AA-3543-01A</v>
      </c>
      <c r="I16415" t="s">
        <v>69</v>
      </c>
      <c r="J16415" t="s">
        <v>245</v>
      </c>
      <c r="K16415" t="s">
        <v>33</v>
      </c>
      <c r="L16415" t="s">
        <v>546</v>
      </c>
      <c r="N16415" t="s">
        <v>29</v>
      </c>
    </row>
    <row r="16416" spans="1:14">
      <c r="A16416" s="4" t="str">
        <f t="shared" si="1226"/>
        <v>EXP00421</v>
      </c>
      <c r="B16416" s="3" t="s">
        <v>66</v>
      </c>
      <c r="C16416" s="4" t="str">
        <f t="shared" si="1227"/>
        <v>TCGA-COAD</v>
      </c>
      <c r="D16416" s="1" t="s">
        <v>493</v>
      </c>
      <c r="E16416" t="s">
        <v>545</v>
      </c>
      <c r="F16416" s="1">
        <v>2</v>
      </c>
      <c r="G16416" s="1" t="s">
        <v>28</v>
      </c>
      <c r="H16416" s="4" t="str">
        <f>HYPERLINK("https://portal.gdc.cancer.gov/cases/e831369c-78c0-4c75-9cf3-f46ed669312e","TCGA-AA-3544-01A")</f>
        <v>TCGA-AA-3544-01A</v>
      </c>
      <c r="I16416" t="s">
        <v>69</v>
      </c>
      <c r="J16416" t="s">
        <v>245</v>
      </c>
      <c r="K16416" t="s">
        <v>33</v>
      </c>
      <c r="L16416" t="s">
        <v>546</v>
      </c>
      <c r="N16416" t="s">
        <v>29</v>
      </c>
    </row>
    <row r="16417" spans="1:14">
      <c r="A16417" s="4" t="str">
        <f t="shared" si="1226"/>
        <v>EXP00421</v>
      </c>
      <c r="B16417" s="3" t="s">
        <v>66</v>
      </c>
      <c r="C16417" s="4" t="str">
        <f t="shared" si="1227"/>
        <v>TCGA-COAD</v>
      </c>
      <c r="D16417" s="1" t="s">
        <v>493</v>
      </c>
      <c r="E16417" t="s">
        <v>545</v>
      </c>
      <c r="F16417" s="1">
        <v>2</v>
      </c>
      <c r="G16417" s="1" t="s">
        <v>28</v>
      </c>
      <c r="H16417" s="4" t="str">
        <f>HYPERLINK("https://portal.gdc.cancer.gov/cases/2dced66c-1f0d-4039-a5e5-54cca77c16e9","TCGA-AA-3548-01A")</f>
        <v>TCGA-AA-3548-01A</v>
      </c>
      <c r="I16417" t="s">
        <v>69</v>
      </c>
      <c r="J16417" t="s">
        <v>245</v>
      </c>
      <c r="K16417" t="s">
        <v>33</v>
      </c>
      <c r="L16417" t="s">
        <v>546</v>
      </c>
      <c r="N16417" t="s">
        <v>29</v>
      </c>
    </row>
    <row r="16418" spans="1:14">
      <c r="A16418" s="4" t="str">
        <f t="shared" si="1226"/>
        <v>EXP00421</v>
      </c>
      <c r="B16418" s="3" t="s">
        <v>66</v>
      </c>
      <c r="C16418" s="4" t="str">
        <f t="shared" si="1227"/>
        <v>TCGA-COAD</v>
      </c>
      <c r="D16418" s="1" t="s">
        <v>493</v>
      </c>
      <c r="E16418" t="s">
        <v>545</v>
      </c>
      <c r="F16418" s="1">
        <v>2</v>
      </c>
      <c r="G16418" s="1" t="s">
        <v>28</v>
      </c>
      <c r="H16418" s="4" t="str">
        <f>HYPERLINK("https://portal.gdc.cancer.gov/cases/e6ec5a68-7555-4f26-bd7e-9cdb4c5f7004","TCGA-AA-3549-01A")</f>
        <v>TCGA-AA-3549-01A</v>
      </c>
      <c r="I16418" t="s">
        <v>69</v>
      </c>
      <c r="J16418" t="s">
        <v>245</v>
      </c>
      <c r="K16418" t="s">
        <v>33</v>
      </c>
      <c r="L16418" t="s">
        <v>546</v>
      </c>
      <c r="N16418" t="s">
        <v>29</v>
      </c>
    </row>
    <row r="16419" spans="1:14">
      <c r="A16419" s="4" t="str">
        <f t="shared" si="1226"/>
        <v>EXP00421</v>
      </c>
      <c r="B16419" s="3" t="s">
        <v>66</v>
      </c>
      <c r="C16419" s="4" t="str">
        <f t="shared" si="1227"/>
        <v>TCGA-COAD</v>
      </c>
      <c r="D16419" s="1" t="s">
        <v>493</v>
      </c>
      <c r="E16419" t="s">
        <v>545</v>
      </c>
      <c r="F16419" s="1">
        <v>2</v>
      </c>
      <c r="G16419" s="1" t="s">
        <v>28</v>
      </c>
      <c r="H16419" s="4" t="str">
        <f>HYPERLINK("https://portal.gdc.cancer.gov/cases/265d7b06-65fe-42c5-ad21-e6b160e94718","TCGA-AA-3552-01A")</f>
        <v>TCGA-AA-3552-01A</v>
      </c>
      <c r="I16419" t="s">
        <v>69</v>
      </c>
      <c r="J16419" t="s">
        <v>245</v>
      </c>
      <c r="K16419" t="s">
        <v>33</v>
      </c>
      <c r="L16419" t="s">
        <v>546</v>
      </c>
      <c r="N16419" t="s">
        <v>29</v>
      </c>
    </row>
    <row r="16420" spans="1:14">
      <c r="A16420" s="4" t="str">
        <f t="shared" si="1226"/>
        <v>EXP00421</v>
      </c>
      <c r="B16420" s="3" t="s">
        <v>66</v>
      </c>
      <c r="C16420" s="4" t="str">
        <f t="shared" si="1227"/>
        <v>TCGA-COAD</v>
      </c>
      <c r="D16420" s="1" t="s">
        <v>493</v>
      </c>
      <c r="E16420" t="s">
        <v>545</v>
      </c>
      <c r="F16420" s="1">
        <v>2</v>
      </c>
      <c r="G16420" s="1" t="s">
        <v>28</v>
      </c>
      <c r="H16420" s="4" t="str">
        <f>HYPERLINK("https://portal.gdc.cancer.gov/cases/d181c72b-843c-4b2d-b014-2a6dd1c3c1ec","TCGA-AA-3553-01A")</f>
        <v>TCGA-AA-3553-01A</v>
      </c>
      <c r="I16420" t="s">
        <v>69</v>
      </c>
      <c r="J16420" t="s">
        <v>245</v>
      </c>
      <c r="K16420" t="s">
        <v>33</v>
      </c>
      <c r="L16420" t="s">
        <v>546</v>
      </c>
      <c r="N16420" t="s">
        <v>29</v>
      </c>
    </row>
    <row r="16421" spans="1:14">
      <c r="A16421" s="4" t="str">
        <f t="shared" si="1226"/>
        <v>EXP00421</v>
      </c>
      <c r="B16421" s="3" t="s">
        <v>66</v>
      </c>
      <c r="C16421" s="4" t="str">
        <f t="shared" si="1227"/>
        <v>TCGA-COAD</v>
      </c>
      <c r="D16421" s="1" t="s">
        <v>493</v>
      </c>
      <c r="E16421" t="s">
        <v>545</v>
      </c>
      <c r="F16421" s="1">
        <v>2</v>
      </c>
      <c r="G16421" s="1" t="s">
        <v>28</v>
      </c>
      <c r="H16421" s="4" t="str">
        <f>HYPERLINK("https://portal.gdc.cancer.gov/cases/ba49b428-246d-46d2-b549-39a5fc8f7003","TCGA-AA-3554-01A")</f>
        <v>TCGA-AA-3554-01A</v>
      </c>
      <c r="I16421" t="s">
        <v>69</v>
      </c>
      <c r="J16421" t="s">
        <v>245</v>
      </c>
      <c r="K16421" t="s">
        <v>33</v>
      </c>
      <c r="L16421" t="s">
        <v>546</v>
      </c>
      <c r="N16421" t="s">
        <v>29</v>
      </c>
    </row>
    <row r="16422" spans="1:14">
      <c r="A16422" s="4" t="str">
        <f t="shared" si="1226"/>
        <v>EXP00421</v>
      </c>
      <c r="B16422" s="3" t="s">
        <v>66</v>
      </c>
      <c r="C16422" s="4" t="str">
        <f t="shared" si="1227"/>
        <v>TCGA-COAD</v>
      </c>
      <c r="D16422" s="1" t="s">
        <v>493</v>
      </c>
      <c r="E16422" t="s">
        <v>545</v>
      </c>
      <c r="F16422" s="1">
        <v>2</v>
      </c>
      <c r="G16422" s="1" t="s">
        <v>28</v>
      </c>
      <c r="H16422" s="4" t="str">
        <f>HYPERLINK("https://portal.gdc.cancer.gov/cases/36eaf209-c332-4321-b6aa-51a3368ecd79","TCGA-AA-3555-01A")</f>
        <v>TCGA-AA-3555-01A</v>
      </c>
      <c r="I16422" t="s">
        <v>69</v>
      </c>
      <c r="J16422" t="s">
        <v>245</v>
      </c>
      <c r="K16422" t="s">
        <v>33</v>
      </c>
      <c r="L16422" t="s">
        <v>546</v>
      </c>
      <c r="N16422" t="s">
        <v>29</v>
      </c>
    </row>
    <row r="16423" spans="1:14">
      <c r="A16423" s="4" t="str">
        <f t="shared" si="1226"/>
        <v>EXP00421</v>
      </c>
      <c r="B16423" s="3" t="s">
        <v>66</v>
      </c>
      <c r="C16423" s="4" t="str">
        <f t="shared" si="1227"/>
        <v>TCGA-COAD</v>
      </c>
      <c r="D16423" s="1" t="s">
        <v>493</v>
      </c>
      <c r="E16423" t="s">
        <v>545</v>
      </c>
      <c r="F16423" s="1">
        <v>2</v>
      </c>
      <c r="G16423" s="1" t="s">
        <v>28</v>
      </c>
      <c r="H16423" s="4" t="str">
        <f>HYPERLINK("https://portal.gdc.cancer.gov/cases/fd16b634-2e04-44a3-862d-fb03cd73c057","TCGA-AA-3556-01A")</f>
        <v>TCGA-AA-3556-01A</v>
      </c>
      <c r="I16423" t="s">
        <v>69</v>
      </c>
      <c r="J16423" t="s">
        <v>245</v>
      </c>
      <c r="K16423" t="s">
        <v>33</v>
      </c>
      <c r="L16423" t="s">
        <v>546</v>
      </c>
      <c r="N16423" t="s">
        <v>29</v>
      </c>
    </row>
    <row r="16424" spans="1:14">
      <c r="A16424" s="4" t="str">
        <f t="shared" si="1226"/>
        <v>EXP00421</v>
      </c>
      <c r="B16424" s="3" t="s">
        <v>66</v>
      </c>
      <c r="C16424" s="4" t="str">
        <f t="shared" si="1227"/>
        <v>TCGA-COAD</v>
      </c>
      <c r="D16424" s="1" t="s">
        <v>493</v>
      </c>
      <c r="E16424" t="s">
        <v>545</v>
      </c>
      <c r="F16424" s="1">
        <v>2</v>
      </c>
      <c r="G16424" s="1" t="s">
        <v>28</v>
      </c>
      <c r="H16424" s="4" t="str">
        <f>HYPERLINK("https://portal.gdc.cancer.gov/cases/2d02bd7a-5beb-4e43-9ccb-18d89c9d5ca2","TCGA-AA-3560-01A")</f>
        <v>TCGA-AA-3560-01A</v>
      </c>
      <c r="I16424" t="s">
        <v>69</v>
      </c>
      <c r="J16424" t="s">
        <v>245</v>
      </c>
      <c r="K16424" t="s">
        <v>33</v>
      </c>
      <c r="L16424" t="s">
        <v>546</v>
      </c>
      <c r="N16424" t="s">
        <v>29</v>
      </c>
    </row>
    <row r="16425" spans="1:14">
      <c r="A16425" s="4" t="str">
        <f t="shared" si="1226"/>
        <v>EXP00421</v>
      </c>
      <c r="B16425" s="3" t="s">
        <v>66</v>
      </c>
      <c r="C16425" s="4" t="str">
        <f t="shared" si="1227"/>
        <v>TCGA-COAD</v>
      </c>
      <c r="D16425" s="1" t="s">
        <v>493</v>
      </c>
      <c r="E16425" t="s">
        <v>545</v>
      </c>
      <c r="F16425" s="1">
        <v>2</v>
      </c>
      <c r="G16425" s="1" t="s">
        <v>28</v>
      </c>
      <c r="H16425" s="4" t="str">
        <f>HYPERLINK("https://portal.gdc.cancer.gov/cases/01ad5016-f691-4bca-82a0-910429d8d25b","TCGA-AA-3561-01A")</f>
        <v>TCGA-AA-3561-01A</v>
      </c>
      <c r="I16425" t="s">
        <v>69</v>
      </c>
      <c r="J16425" t="s">
        <v>245</v>
      </c>
      <c r="K16425" t="s">
        <v>33</v>
      </c>
      <c r="L16425" t="s">
        <v>546</v>
      </c>
      <c r="N16425" t="s">
        <v>29</v>
      </c>
    </row>
    <row r="16426" spans="1:14">
      <c r="A16426" s="4" t="str">
        <f t="shared" si="1226"/>
        <v>EXP00421</v>
      </c>
      <c r="B16426" s="3" t="s">
        <v>66</v>
      </c>
      <c r="C16426" s="4" t="str">
        <f t="shared" si="1227"/>
        <v>TCGA-COAD</v>
      </c>
      <c r="D16426" s="1" t="s">
        <v>493</v>
      </c>
      <c r="E16426" t="s">
        <v>545</v>
      </c>
      <c r="F16426" s="1">
        <v>2</v>
      </c>
      <c r="G16426" s="1" t="s">
        <v>28</v>
      </c>
      <c r="H16426" s="4" t="str">
        <f>HYPERLINK("https://portal.gdc.cancer.gov/cases/127f738d-afa1-42f6-a9a0-f33806667b84","TCGA-AA-3562-01A")</f>
        <v>TCGA-AA-3562-01A</v>
      </c>
      <c r="I16426" t="s">
        <v>69</v>
      </c>
      <c r="J16426" t="s">
        <v>245</v>
      </c>
      <c r="K16426" t="s">
        <v>33</v>
      </c>
      <c r="L16426" t="s">
        <v>546</v>
      </c>
      <c r="N16426" t="s">
        <v>29</v>
      </c>
    </row>
    <row r="16427" spans="1:14">
      <c r="A16427" s="4" t="str">
        <f t="shared" si="1226"/>
        <v>EXP00421</v>
      </c>
      <c r="B16427" s="3" t="s">
        <v>66</v>
      </c>
      <c r="C16427" s="4" t="str">
        <f t="shared" si="1227"/>
        <v>TCGA-COAD</v>
      </c>
      <c r="D16427" s="1" t="s">
        <v>493</v>
      </c>
      <c r="E16427" t="s">
        <v>545</v>
      </c>
      <c r="F16427" s="1">
        <v>2</v>
      </c>
      <c r="G16427" s="1" t="s">
        <v>28</v>
      </c>
      <c r="H16427" s="4" t="str">
        <f>HYPERLINK("https://portal.gdc.cancer.gov/cases/31a3877d-3e82-450e-811f-3448b06f3950","TCGA-AA-3655-01A")</f>
        <v>TCGA-AA-3655-01A</v>
      </c>
      <c r="I16427" t="s">
        <v>69</v>
      </c>
      <c r="J16427" t="s">
        <v>245</v>
      </c>
      <c r="K16427" t="s">
        <v>33</v>
      </c>
      <c r="L16427" t="s">
        <v>546</v>
      </c>
      <c r="N16427" t="s">
        <v>29</v>
      </c>
    </row>
    <row r="16428" spans="1:14">
      <c r="A16428" s="4" t="str">
        <f t="shared" si="1226"/>
        <v>EXP00421</v>
      </c>
      <c r="B16428" s="3" t="s">
        <v>66</v>
      </c>
      <c r="C16428" s="4" t="str">
        <f t="shared" si="1227"/>
        <v>TCGA-COAD</v>
      </c>
      <c r="D16428" s="1" t="s">
        <v>493</v>
      </c>
      <c r="E16428" t="s">
        <v>545</v>
      </c>
      <c r="F16428" s="1">
        <v>2</v>
      </c>
      <c r="G16428" s="1" t="s">
        <v>28</v>
      </c>
      <c r="H16428" s="4" t="str">
        <f>HYPERLINK("https://portal.gdc.cancer.gov/cases/f9b5e6a5-c2da-4a0d-9251-bb6f557b7b58","TCGA-AA-3660-01A")</f>
        <v>TCGA-AA-3660-01A</v>
      </c>
      <c r="I16428" t="s">
        <v>69</v>
      </c>
      <c r="J16428" t="s">
        <v>245</v>
      </c>
      <c r="K16428" t="s">
        <v>33</v>
      </c>
      <c r="L16428" t="s">
        <v>546</v>
      </c>
      <c r="N16428" t="s">
        <v>29</v>
      </c>
    </row>
    <row r="16429" spans="1:14">
      <c r="A16429" s="4" t="str">
        <f t="shared" si="1226"/>
        <v>EXP00421</v>
      </c>
      <c r="B16429" s="3" t="s">
        <v>66</v>
      </c>
      <c r="C16429" s="4" t="str">
        <f t="shared" si="1227"/>
        <v>TCGA-COAD</v>
      </c>
      <c r="D16429" s="1" t="s">
        <v>493</v>
      </c>
      <c r="E16429" t="s">
        <v>545</v>
      </c>
      <c r="F16429" s="1">
        <v>2</v>
      </c>
      <c r="G16429" s="1" t="s">
        <v>28</v>
      </c>
      <c r="H16429" s="4" t="str">
        <f>HYPERLINK("https://portal.gdc.cancer.gov/cases/d9fb85c3-ade1-47bf-8159-170f81eb130f","TCGA-AA-3662-01A")</f>
        <v>TCGA-AA-3662-01A</v>
      </c>
      <c r="I16429" t="s">
        <v>69</v>
      </c>
      <c r="J16429" t="s">
        <v>245</v>
      </c>
      <c r="K16429" t="s">
        <v>33</v>
      </c>
      <c r="L16429" t="s">
        <v>546</v>
      </c>
      <c r="N16429" t="s">
        <v>29</v>
      </c>
    </row>
    <row r="16430" spans="1:14">
      <c r="A16430" s="4" t="str">
        <f t="shared" si="1226"/>
        <v>EXP00421</v>
      </c>
      <c r="B16430" s="3" t="s">
        <v>66</v>
      </c>
      <c r="C16430" s="4" t="str">
        <f t="shared" si="1227"/>
        <v>TCGA-COAD</v>
      </c>
      <c r="D16430" s="1" t="s">
        <v>493</v>
      </c>
      <c r="E16430" t="s">
        <v>545</v>
      </c>
      <c r="F16430" s="1">
        <v>2</v>
      </c>
      <c r="G16430" s="1" t="s">
        <v>28</v>
      </c>
      <c r="H16430" s="4" t="str">
        <f>HYPERLINK("https://portal.gdc.cancer.gov/cases/c21d2c68-920f-4526-b754-286579c049f3","TCGA-AA-3663-01A")</f>
        <v>TCGA-AA-3663-01A</v>
      </c>
      <c r="I16430" t="s">
        <v>69</v>
      </c>
      <c r="J16430" t="s">
        <v>245</v>
      </c>
      <c r="K16430" t="s">
        <v>33</v>
      </c>
      <c r="L16430" t="s">
        <v>546</v>
      </c>
      <c r="N16430" t="s">
        <v>29</v>
      </c>
    </row>
    <row r="16431" spans="1:14">
      <c r="A16431" s="4" t="str">
        <f t="shared" si="1226"/>
        <v>EXP00421</v>
      </c>
      <c r="B16431" s="3" t="s">
        <v>66</v>
      </c>
      <c r="C16431" s="4" t="str">
        <f t="shared" si="1227"/>
        <v>TCGA-COAD</v>
      </c>
      <c r="D16431" s="1" t="s">
        <v>493</v>
      </c>
      <c r="E16431" t="s">
        <v>545</v>
      </c>
      <c r="F16431" s="1">
        <v>2</v>
      </c>
      <c r="G16431" s="1" t="s">
        <v>28</v>
      </c>
      <c r="H16431" s="4" t="str">
        <f>HYPERLINK("https://portal.gdc.cancer.gov/cases/a06c09a8-0951-49f4-a765-5147bbcae109","TCGA-AA-3664-01A")</f>
        <v>TCGA-AA-3664-01A</v>
      </c>
      <c r="I16431" t="s">
        <v>69</v>
      </c>
      <c r="J16431" t="s">
        <v>245</v>
      </c>
      <c r="K16431" t="s">
        <v>33</v>
      </c>
      <c r="L16431" t="s">
        <v>546</v>
      </c>
      <c r="N16431" t="s">
        <v>29</v>
      </c>
    </row>
    <row r="16432" spans="1:14">
      <c r="A16432" s="4" t="str">
        <f t="shared" si="1226"/>
        <v>EXP00421</v>
      </c>
      <c r="B16432" s="3" t="s">
        <v>66</v>
      </c>
      <c r="C16432" s="4" t="str">
        <f t="shared" si="1227"/>
        <v>TCGA-COAD</v>
      </c>
      <c r="D16432" s="1" t="s">
        <v>493</v>
      </c>
      <c r="E16432" t="s">
        <v>545</v>
      </c>
      <c r="F16432" s="1">
        <v>2</v>
      </c>
      <c r="G16432" s="1" t="s">
        <v>28</v>
      </c>
      <c r="H16432" s="4" t="str">
        <f>HYPERLINK("https://portal.gdc.cancer.gov/cases/a512701f-88bb-4b05-8c94-fd285b9dd13e","TCGA-AA-3666-01A")</f>
        <v>TCGA-AA-3666-01A</v>
      </c>
      <c r="I16432" t="s">
        <v>69</v>
      </c>
      <c r="J16432" t="s">
        <v>245</v>
      </c>
      <c r="K16432" t="s">
        <v>33</v>
      </c>
      <c r="L16432" t="s">
        <v>546</v>
      </c>
      <c r="N16432" t="s">
        <v>29</v>
      </c>
    </row>
    <row r="16433" spans="1:14">
      <c r="A16433" s="4" t="str">
        <f t="shared" si="1226"/>
        <v>EXP00421</v>
      </c>
      <c r="B16433" s="3" t="s">
        <v>66</v>
      </c>
      <c r="C16433" s="4" t="str">
        <f t="shared" si="1227"/>
        <v>TCGA-COAD</v>
      </c>
      <c r="D16433" s="1" t="s">
        <v>493</v>
      </c>
      <c r="E16433" t="s">
        <v>545</v>
      </c>
      <c r="F16433" s="1">
        <v>2</v>
      </c>
      <c r="G16433" s="1" t="s">
        <v>28</v>
      </c>
      <c r="H16433" s="4" t="str">
        <f>HYPERLINK("https://portal.gdc.cancer.gov/cases/d651f9ba-8746-46c4-852c-6c2992c7d10e","TCGA-AA-3667-01A")</f>
        <v>TCGA-AA-3667-01A</v>
      </c>
      <c r="I16433" t="s">
        <v>69</v>
      </c>
      <c r="J16433" t="s">
        <v>245</v>
      </c>
      <c r="K16433" t="s">
        <v>33</v>
      </c>
      <c r="L16433" t="s">
        <v>546</v>
      </c>
      <c r="N16433" t="s">
        <v>29</v>
      </c>
    </row>
    <row r="16434" spans="1:14">
      <c r="A16434" s="4" t="str">
        <f t="shared" si="1226"/>
        <v>EXP00421</v>
      </c>
      <c r="B16434" s="3" t="s">
        <v>66</v>
      </c>
      <c r="C16434" s="4" t="str">
        <f t="shared" si="1227"/>
        <v>TCGA-COAD</v>
      </c>
      <c r="D16434" s="1" t="s">
        <v>493</v>
      </c>
      <c r="E16434" t="s">
        <v>545</v>
      </c>
      <c r="F16434" s="1">
        <v>2</v>
      </c>
      <c r="G16434" s="1" t="s">
        <v>28</v>
      </c>
      <c r="H16434" s="4" t="str">
        <f>HYPERLINK("https://portal.gdc.cancer.gov/cases/c46971a1-cbac-425d-bac2-f4142c92522e","TCGA-AA-3672-01A")</f>
        <v>TCGA-AA-3672-01A</v>
      </c>
      <c r="I16434" t="s">
        <v>69</v>
      </c>
      <c r="J16434" t="s">
        <v>245</v>
      </c>
      <c r="K16434" t="s">
        <v>33</v>
      </c>
      <c r="L16434" t="s">
        <v>546</v>
      </c>
      <c r="N16434" t="s">
        <v>29</v>
      </c>
    </row>
    <row r="16435" spans="1:14">
      <c r="A16435" s="4" t="str">
        <f t="shared" si="1226"/>
        <v>EXP00421</v>
      </c>
      <c r="B16435" s="3" t="s">
        <v>66</v>
      </c>
      <c r="C16435" s="4" t="str">
        <f t="shared" si="1227"/>
        <v>TCGA-COAD</v>
      </c>
      <c r="D16435" s="1" t="s">
        <v>493</v>
      </c>
      <c r="E16435" t="s">
        <v>545</v>
      </c>
      <c r="F16435" s="1">
        <v>2</v>
      </c>
      <c r="G16435" s="1" t="s">
        <v>28</v>
      </c>
      <c r="H16435" s="4" t="str">
        <f>HYPERLINK("https://portal.gdc.cancer.gov/cases/628408ce-0691-4e0b-b4c7-aca9a0d73bb0","TCGA-AA-3673-01A")</f>
        <v>TCGA-AA-3673-01A</v>
      </c>
      <c r="I16435" t="s">
        <v>69</v>
      </c>
      <c r="J16435" t="s">
        <v>245</v>
      </c>
      <c r="K16435" t="s">
        <v>33</v>
      </c>
      <c r="L16435" t="s">
        <v>546</v>
      </c>
      <c r="N16435" t="s">
        <v>29</v>
      </c>
    </row>
    <row r="16436" spans="1:14">
      <c r="A16436" s="4" t="str">
        <f t="shared" si="1226"/>
        <v>EXP00421</v>
      </c>
      <c r="B16436" s="3" t="s">
        <v>66</v>
      </c>
      <c r="C16436" s="4" t="str">
        <f t="shared" si="1227"/>
        <v>TCGA-COAD</v>
      </c>
      <c r="D16436" s="1" t="s">
        <v>493</v>
      </c>
      <c r="E16436" t="s">
        <v>545</v>
      </c>
      <c r="F16436" s="1">
        <v>2</v>
      </c>
      <c r="G16436" s="1" t="s">
        <v>28</v>
      </c>
      <c r="H16436" s="4" t="str">
        <f>HYPERLINK("https://portal.gdc.cancer.gov/cases/41658cf8-0de1-4a97-bb60-0f0107c84e00","TCGA-AA-3675-01A")</f>
        <v>TCGA-AA-3675-01A</v>
      </c>
      <c r="I16436" t="s">
        <v>69</v>
      </c>
      <c r="J16436" t="s">
        <v>245</v>
      </c>
      <c r="K16436" t="s">
        <v>33</v>
      </c>
      <c r="L16436" t="s">
        <v>546</v>
      </c>
      <c r="N16436" t="s">
        <v>29</v>
      </c>
    </row>
    <row r="16437" spans="1:14">
      <c r="A16437" s="4" t="str">
        <f t="shared" si="1226"/>
        <v>EXP00421</v>
      </c>
      <c r="B16437" s="3" t="s">
        <v>66</v>
      </c>
      <c r="C16437" s="4" t="str">
        <f t="shared" si="1227"/>
        <v>TCGA-COAD</v>
      </c>
      <c r="D16437" s="1" t="s">
        <v>493</v>
      </c>
      <c r="E16437" t="s">
        <v>545</v>
      </c>
      <c r="F16437" s="1">
        <v>2</v>
      </c>
      <c r="G16437" s="1" t="s">
        <v>28</v>
      </c>
      <c r="H16437" s="4" t="str">
        <f>HYPERLINK("https://portal.gdc.cancer.gov/cases/c616f95f-4ea1-4019-8c17-041878085c88","TCGA-AA-3678-01A")</f>
        <v>TCGA-AA-3678-01A</v>
      </c>
      <c r="I16437" t="s">
        <v>69</v>
      </c>
      <c r="J16437" t="s">
        <v>245</v>
      </c>
      <c r="K16437" t="s">
        <v>33</v>
      </c>
      <c r="L16437" t="s">
        <v>546</v>
      </c>
      <c r="N16437" t="s">
        <v>29</v>
      </c>
    </row>
    <row r="16438" spans="1:14">
      <c r="A16438" s="4" t="str">
        <f t="shared" si="1226"/>
        <v>EXP00421</v>
      </c>
      <c r="B16438" s="3" t="s">
        <v>66</v>
      </c>
      <c r="C16438" s="4" t="str">
        <f t="shared" si="1227"/>
        <v>TCGA-COAD</v>
      </c>
      <c r="D16438" s="1" t="s">
        <v>493</v>
      </c>
      <c r="E16438" t="s">
        <v>545</v>
      </c>
      <c r="F16438" s="1">
        <v>2</v>
      </c>
      <c r="G16438" s="1" t="s">
        <v>28</v>
      </c>
      <c r="H16438" s="4" t="str">
        <f>HYPERLINK("https://portal.gdc.cancer.gov/cases/d17a2ab0-faef-40de-a87d-1291868b200d","TCGA-AA-3679-01A")</f>
        <v>TCGA-AA-3679-01A</v>
      </c>
      <c r="I16438" t="s">
        <v>69</v>
      </c>
      <c r="J16438" t="s">
        <v>245</v>
      </c>
      <c r="K16438" t="s">
        <v>33</v>
      </c>
      <c r="L16438" t="s">
        <v>546</v>
      </c>
      <c r="N16438" t="s">
        <v>29</v>
      </c>
    </row>
    <row r="16439" spans="1:14">
      <c r="A16439" s="4" t="str">
        <f t="shared" si="1226"/>
        <v>EXP00421</v>
      </c>
      <c r="B16439" s="3" t="s">
        <v>66</v>
      </c>
      <c r="C16439" s="4" t="str">
        <f t="shared" si="1227"/>
        <v>TCGA-COAD</v>
      </c>
      <c r="D16439" s="1" t="s">
        <v>493</v>
      </c>
      <c r="E16439" t="s">
        <v>545</v>
      </c>
      <c r="F16439" s="1">
        <v>2</v>
      </c>
      <c r="G16439" s="1" t="s">
        <v>28</v>
      </c>
      <c r="H16439" s="4" t="str">
        <f>HYPERLINK("https://portal.gdc.cancer.gov/cases/f3b9defb-88ed-4c95-9feb-7197d869676c","TCGA-AA-3680-01A")</f>
        <v>TCGA-AA-3680-01A</v>
      </c>
      <c r="I16439" t="s">
        <v>69</v>
      </c>
      <c r="J16439" t="s">
        <v>245</v>
      </c>
      <c r="K16439" t="s">
        <v>33</v>
      </c>
      <c r="L16439" t="s">
        <v>546</v>
      </c>
      <c r="N16439" t="s">
        <v>29</v>
      </c>
    </row>
    <row r="16440" spans="1:14">
      <c r="A16440" s="4" t="str">
        <f t="shared" si="1226"/>
        <v>EXP00421</v>
      </c>
      <c r="B16440" s="3" t="s">
        <v>66</v>
      </c>
      <c r="C16440" s="4" t="str">
        <f t="shared" si="1227"/>
        <v>TCGA-COAD</v>
      </c>
      <c r="D16440" s="1" t="s">
        <v>493</v>
      </c>
      <c r="E16440" t="s">
        <v>545</v>
      </c>
      <c r="F16440" s="1">
        <v>2</v>
      </c>
      <c r="G16440" s="1" t="s">
        <v>28</v>
      </c>
      <c r="H16440" s="4" t="str">
        <f>HYPERLINK("https://portal.gdc.cancer.gov/cases/abb0d53f-f74e-45dc-8fbb-40863016f3c6","TCGA-AA-3681-01A")</f>
        <v>TCGA-AA-3681-01A</v>
      </c>
      <c r="I16440" t="s">
        <v>69</v>
      </c>
      <c r="J16440" t="s">
        <v>245</v>
      </c>
      <c r="K16440" t="s">
        <v>33</v>
      </c>
      <c r="L16440" t="s">
        <v>546</v>
      </c>
      <c r="N16440" t="s">
        <v>29</v>
      </c>
    </row>
    <row r="16441" spans="1:14">
      <c r="A16441" s="4" t="str">
        <f t="shared" ref="A16441:A16504" si="1228">HYPERLINK("http://hcmdb.i-sanger.com/experiment/details/experiment_id/EXP00421","EXP00421")</f>
        <v>EXP00421</v>
      </c>
      <c r="B16441" s="3" t="s">
        <v>66</v>
      </c>
      <c r="C16441" s="4" t="str">
        <f t="shared" ref="C16441:C16504" si="1229">HYPERLINK("https://portal.gdc.cancer.gov/projects/TCGA-COAD","TCGA-COAD")</f>
        <v>TCGA-COAD</v>
      </c>
      <c r="D16441" s="1" t="s">
        <v>493</v>
      </c>
      <c r="E16441" t="s">
        <v>545</v>
      </c>
      <c r="F16441" s="1">
        <v>2</v>
      </c>
      <c r="G16441" s="1" t="s">
        <v>28</v>
      </c>
      <c r="H16441" s="4" t="str">
        <f>HYPERLINK("https://portal.gdc.cancer.gov/cases/d761bc06-dee8-478a-be99-8af9c504e49c","TCGA-AA-3684-01A")</f>
        <v>TCGA-AA-3684-01A</v>
      </c>
      <c r="I16441" t="s">
        <v>69</v>
      </c>
      <c r="J16441" t="s">
        <v>245</v>
      </c>
      <c r="K16441" t="s">
        <v>33</v>
      </c>
      <c r="L16441" t="s">
        <v>546</v>
      </c>
      <c r="N16441" t="s">
        <v>29</v>
      </c>
    </row>
    <row r="16442" spans="1:14">
      <c r="A16442" s="4" t="str">
        <f t="shared" si="1228"/>
        <v>EXP00421</v>
      </c>
      <c r="B16442" s="3" t="s">
        <v>66</v>
      </c>
      <c r="C16442" s="4" t="str">
        <f t="shared" si="1229"/>
        <v>TCGA-COAD</v>
      </c>
      <c r="D16442" s="1" t="s">
        <v>493</v>
      </c>
      <c r="E16442" t="s">
        <v>545</v>
      </c>
      <c r="F16442" s="1">
        <v>2</v>
      </c>
      <c r="G16442" s="1" t="s">
        <v>28</v>
      </c>
      <c r="H16442" s="4" t="str">
        <f>HYPERLINK("https://portal.gdc.cancer.gov/cases/dca004bf-9c14-45a1-b186-ab3759f6c7fe","TCGA-AA-3685-01A")</f>
        <v>TCGA-AA-3685-01A</v>
      </c>
      <c r="I16442" t="s">
        <v>69</v>
      </c>
      <c r="J16442" t="s">
        <v>245</v>
      </c>
      <c r="K16442" t="s">
        <v>33</v>
      </c>
      <c r="L16442" t="s">
        <v>546</v>
      </c>
      <c r="N16442" t="s">
        <v>29</v>
      </c>
    </row>
    <row r="16443" spans="1:14">
      <c r="A16443" s="4" t="str">
        <f t="shared" si="1228"/>
        <v>EXP00421</v>
      </c>
      <c r="B16443" s="3" t="s">
        <v>66</v>
      </c>
      <c r="C16443" s="4" t="str">
        <f t="shared" si="1229"/>
        <v>TCGA-COAD</v>
      </c>
      <c r="D16443" s="1" t="s">
        <v>493</v>
      </c>
      <c r="E16443" t="s">
        <v>545</v>
      </c>
      <c r="F16443" s="1">
        <v>2</v>
      </c>
      <c r="G16443" s="1" t="s">
        <v>28</v>
      </c>
      <c r="H16443" s="4" t="str">
        <f>HYPERLINK("https://portal.gdc.cancer.gov/cases/2c9996bb-af6e-4424-881a-e81b9c9aeb78","TCGA-AA-3688-01A")</f>
        <v>TCGA-AA-3688-01A</v>
      </c>
      <c r="I16443" t="s">
        <v>69</v>
      </c>
      <c r="J16443" t="s">
        <v>245</v>
      </c>
      <c r="K16443" t="s">
        <v>33</v>
      </c>
      <c r="L16443" t="s">
        <v>546</v>
      </c>
      <c r="N16443" t="s">
        <v>29</v>
      </c>
    </row>
    <row r="16444" spans="1:14">
      <c r="A16444" s="4" t="str">
        <f t="shared" si="1228"/>
        <v>EXP00421</v>
      </c>
      <c r="B16444" s="3" t="s">
        <v>66</v>
      </c>
      <c r="C16444" s="4" t="str">
        <f t="shared" si="1229"/>
        <v>TCGA-COAD</v>
      </c>
      <c r="D16444" s="1" t="s">
        <v>493</v>
      </c>
      <c r="E16444" t="s">
        <v>545</v>
      </c>
      <c r="F16444" s="1">
        <v>2</v>
      </c>
      <c r="G16444" s="1" t="s">
        <v>28</v>
      </c>
      <c r="H16444" s="4" t="str">
        <f>HYPERLINK("https://portal.gdc.cancer.gov/cases/bce3ce45-4fb3-4d8e-9ec7-d24427c2ba4d","TCGA-AA-3692-01A")</f>
        <v>TCGA-AA-3692-01A</v>
      </c>
      <c r="I16444" t="s">
        <v>69</v>
      </c>
      <c r="J16444" t="s">
        <v>245</v>
      </c>
      <c r="K16444" t="s">
        <v>33</v>
      </c>
      <c r="L16444" t="s">
        <v>546</v>
      </c>
      <c r="N16444" t="s">
        <v>29</v>
      </c>
    </row>
    <row r="16445" spans="1:14">
      <c r="A16445" s="4" t="str">
        <f t="shared" si="1228"/>
        <v>EXP00421</v>
      </c>
      <c r="B16445" s="3" t="s">
        <v>66</v>
      </c>
      <c r="C16445" s="4" t="str">
        <f t="shared" si="1229"/>
        <v>TCGA-COAD</v>
      </c>
      <c r="D16445" s="1" t="s">
        <v>493</v>
      </c>
      <c r="E16445" t="s">
        <v>545</v>
      </c>
      <c r="F16445" s="1">
        <v>2</v>
      </c>
      <c r="G16445" s="1" t="s">
        <v>28</v>
      </c>
      <c r="H16445" s="4" t="str">
        <f>HYPERLINK("https://portal.gdc.cancer.gov/cases/33522271-b2ca-4da4-a942-501ab9117c51","TCGA-AA-3693-01A")</f>
        <v>TCGA-AA-3693-01A</v>
      </c>
      <c r="I16445" t="s">
        <v>69</v>
      </c>
      <c r="J16445" t="s">
        <v>245</v>
      </c>
      <c r="K16445" t="s">
        <v>33</v>
      </c>
      <c r="L16445" t="s">
        <v>546</v>
      </c>
      <c r="N16445" t="s">
        <v>29</v>
      </c>
    </row>
    <row r="16446" spans="1:14">
      <c r="A16446" s="4" t="str">
        <f t="shared" si="1228"/>
        <v>EXP00421</v>
      </c>
      <c r="B16446" s="3" t="s">
        <v>66</v>
      </c>
      <c r="C16446" s="4" t="str">
        <f t="shared" si="1229"/>
        <v>TCGA-COAD</v>
      </c>
      <c r="D16446" s="1" t="s">
        <v>493</v>
      </c>
      <c r="E16446" t="s">
        <v>545</v>
      </c>
      <c r="F16446" s="1">
        <v>2</v>
      </c>
      <c r="G16446" s="1" t="s">
        <v>28</v>
      </c>
      <c r="H16446" s="4" t="str">
        <f>HYPERLINK("https://portal.gdc.cancer.gov/cases/aa909ffb-03e1-4e3f-8888-2212b23d90b7","TCGA-AA-3696-01A")</f>
        <v>TCGA-AA-3696-01A</v>
      </c>
      <c r="I16446" t="s">
        <v>69</v>
      </c>
      <c r="J16446" t="s">
        <v>245</v>
      </c>
      <c r="K16446" t="s">
        <v>33</v>
      </c>
      <c r="L16446" t="s">
        <v>546</v>
      </c>
      <c r="N16446" t="s">
        <v>29</v>
      </c>
    </row>
    <row r="16447" spans="1:14">
      <c r="A16447" s="4" t="str">
        <f t="shared" si="1228"/>
        <v>EXP00421</v>
      </c>
      <c r="B16447" s="3" t="s">
        <v>66</v>
      </c>
      <c r="C16447" s="4" t="str">
        <f t="shared" si="1229"/>
        <v>TCGA-COAD</v>
      </c>
      <c r="D16447" s="1" t="s">
        <v>493</v>
      </c>
      <c r="E16447" t="s">
        <v>545</v>
      </c>
      <c r="F16447" s="1">
        <v>2</v>
      </c>
      <c r="G16447" s="1" t="s">
        <v>28</v>
      </c>
      <c r="H16447" s="4" t="str">
        <f>HYPERLINK("https://portal.gdc.cancer.gov/cases/dde411b2-5d2b-4638-8149-89bc1eb3c7ad","TCGA-AA-3697-01A")</f>
        <v>TCGA-AA-3697-01A</v>
      </c>
      <c r="I16447" t="s">
        <v>69</v>
      </c>
      <c r="J16447" t="s">
        <v>245</v>
      </c>
      <c r="K16447" t="s">
        <v>33</v>
      </c>
      <c r="L16447" t="s">
        <v>546</v>
      </c>
      <c r="N16447" t="s">
        <v>29</v>
      </c>
    </row>
    <row r="16448" spans="1:14">
      <c r="A16448" s="4" t="str">
        <f t="shared" si="1228"/>
        <v>EXP00421</v>
      </c>
      <c r="B16448" s="3" t="s">
        <v>66</v>
      </c>
      <c r="C16448" s="4" t="str">
        <f t="shared" si="1229"/>
        <v>TCGA-COAD</v>
      </c>
      <c r="D16448" s="1" t="s">
        <v>493</v>
      </c>
      <c r="E16448" t="s">
        <v>545</v>
      </c>
      <c r="F16448" s="1">
        <v>2</v>
      </c>
      <c r="G16448" s="1" t="s">
        <v>28</v>
      </c>
      <c r="H16448" s="4" t="str">
        <f>HYPERLINK("https://portal.gdc.cancer.gov/cases/f5c3bc61-1018-4351-bb23-aacc1459365f","TCGA-AA-3710-01A")</f>
        <v>TCGA-AA-3710-01A</v>
      </c>
      <c r="I16448" t="s">
        <v>69</v>
      </c>
      <c r="J16448" t="s">
        <v>245</v>
      </c>
      <c r="K16448" t="s">
        <v>33</v>
      </c>
      <c r="L16448" t="s">
        <v>546</v>
      </c>
      <c r="N16448" t="s">
        <v>29</v>
      </c>
    </row>
    <row r="16449" spans="1:14">
      <c r="A16449" s="4" t="str">
        <f t="shared" si="1228"/>
        <v>EXP00421</v>
      </c>
      <c r="B16449" s="3" t="s">
        <v>66</v>
      </c>
      <c r="C16449" s="4" t="str">
        <f t="shared" si="1229"/>
        <v>TCGA-COAD</v>
      </c>
      <c r="D16449" s="1" t="s">
        <v>493</v>
      </c>
      <c r="E16449" t="s">
        <v>545</v>
      </c>
      <c r="F16449" s="1">
        <v>2</v>
      </c>
      <c r="G16449" s="1" t="s">
        <v>28</v>
      </c>
      <c r="H16449" s="4" t="str">
        <f>HYPERLINK("https://portal.gdc.cancer.gov/cases/2b94070a-21ec-457b-88af-3d2a89b97ac6","TCGA-AA-3712-01A")</f>
        <v>TCGA-AA-3712-01A</v>
      </c>
      <c r="I16449" t="s">
        <v>69</v>
      </c>
      <c r="J16449" t="s">
        <v>245</v>
      </c>
      <c r="K16449" t="s">
        <v>33</v>
      </c>
      <c r="L16449" t="s">
        <v>546</v>
      </c>
      <c r="N16449" t="s">
        <v>29</v>
      </c>
    </row>
    <row r="16450" spans="1:14">
      <c r="A16450" s="4" t="str">
        <f t="shared" si="1228"/>
        <v>EXP00421</v>
      </c>
      <c r="B16450" s="3" t="s">
        <v>66</v>
      </c>
      <c r="C16450" s="4" t="str">
        <f t="shared" si="1229"/>
        <v>TCGA-COAD</v>
      </c>
      <c r="D16450" s="1" t="s">
        <v>493</v>
      </c>
      <c r="E16450" t="s">
        <v>545</v>
      </c>
      <c r="F16450" s="1">
        <v>2</v>
      </c>
      <c r="G16450" s="1" t="s">
        <v>28</v>
      </c>
      <c r="H16450" s="4" t="str">
        <f>HYPERLINK("https://portal.gdc.cancer.gov/cases/57a2044d-20cc-4d02-b268-ce570a0fabe3","TCGA-AA-3713-01A")</f>
        <v>TCGA-AA-3713-01A</v>
      </c>
      <c r="I16450" t="s">
        <v>69</v>
      </c>
      <c r="J16450" t="s">
        <v>245</v>
      </c>
      <c r="K16450" t="s">
        <v>33</v>
      </c>
      <c r="L16450" t="s">
        <v>546</v>
      </c>
      <c r="N16450" t="s">
        <v>29</v>
      </c>
    </row>
    <row r="16451" spans="1:14">
      <c r="A16451" s="4" t="str">
        <f t="shared" si="1228"/>
        <v>EXP00421</v>
      </c>
      <c r="B16451" s="3" t="s">
        <v>66</v>
      </c>
      <c r="C16451" s="4" t="str">
        <f t="shared" si="1229"/>
        <v>TCGA-COAD</v>
      </c>
      <c r="D16451" s="1" t="s">
        <v>493</v>
      </c>
      <c r="E16451" t="s">
        <v>545</v>
      </c>
      <c r="F16451" s="1">
        <v>2</v>
      </c>
      <c r="G16451" s="1" t="s">
        <v>28</v>
      </c>
      <c r="H16451" s="4" t="str">
        <f>HYPERLINK("https://portal.gdc.cancer.gov/cases/e394e9ec-7288-4ede-9ef8-41b631d100dd","TCGA-AA-3715-01A")</f>
        <v>TCGA-AA-3715-01A</v>
      </c>
      <c r="I16451" t="s">
        <v>69</v>
      </c>
      <c r="J16451" t="s">
        <v>245</v>
      </c>
      <c r="K16451" t="s">
        <v>33</v>
      </c>
      <c r="L16451" t="s">
        <v>546</v>
      </c>
      <c r="N16451" t="s">
        <v>29</v>
      </c>
    </row>
    <row r="16452" spans="1:14">
      <c r="A16452" s="4" t="str">
        <f t="shared" si="1228"/>
        <v>EXP00421</v>
      </c>
      <c r="B16452" s="3" t="s">
        <v>66</v>
      </c>
      <c r="C16452" s="4" t="str">
        <f t="shared" si="1229"/>
        <v>TCGA-COAD</v>
      </c>
      <c r="D16452" s="1" t="s">
        <v>493</v>
      </c>
      <c r="E16452" t="s">
        <v>545</v>
      </c>
      <c r="F16452" s="1">
        <v>2</v>
      </c>
      <c r="G16452" s="1" t="s">
        <v>28</v>
      </c>
      <c r="H16452" s="4" t="str">
        <f>HYPERLINK("https://portal.gdc.cancer.gov/cases/d7ebd11a-1339-4b28-be90-a788d2cfa706","TCGA-AA-3811-01A")</f>
        <v>TCGA-AA-3811-01A</v>
      </c>
      <c r="I16452" t="s">
        <v>69</v>
      </c>
      <c r="J16452" t="s">
        <v>245</v>
      </c>
      <c r="K16452" t="s">
        <v>33</v>
      </c>
      <c r="L16452" t="s">
        <v>546</v>
      </c>
      <c r="N16452" t="s">
        <v>29</v>
      </c>
    </row>
    <row r="16453" spans="1:14">
      <c r="A16453" s="4" t="str">
        <f t="shared" si="1228"/>
        <v>EXP00421</v>
      </c>
      <c r="B16453" s="3" t="s">
        <v>66</v>
      </c>
      <c r="C16453" s="4" t="str">
        <f t="shared" si="1229"/>
        <v>TCGA-COAD</v>
      </c>
      <c r="D16453" s="1" t="s">
        <v>493</v>
      </c>
      <c r="E16453" t="s">
        <v>545</v>
      </c>
      <c r="F16453" s="1">
        <v>2</v>
      </c>
      <c r="G16453" s="1" t="s">
        <v>28</v>
      </c>
      <c r="H16453" s="4" t="str">
        <f>HYPERLINK("https://portal.gdc.cancer.gov/cases/4563e4e0-a661-46de-ad25-9c86a621e147","TCGA-AA-3812-01A")</f>
        <v>TCGA-AA-3812-01A</v>
      </c>
      <c r="I16453" t="s">
        <v>69</v>
      </c>
      <c r="J16453" t="s">
        <v>245</v>
      </c>
      <c r="K16453" t="s">
        <v>33</v>
      </c>
      <c r="L16453" t="s">
        <v>546</v>
      </c>
      <c r="N16453" t="s">
        <v>29</v>
      </c>
    </row>
    <row r="16454" spans="1:14">
      <c r="A16454" s="4" t="str">
        <f t="shared" si="1228"/>
        <v>EXP00421</v>
      </c>
      <c r="B16454" s="3" t="s">
        <v>66</v>
      </c>
      <c r="C16454" s="4" t="str">
        <f t="shared" si="1229"/>
        <v>TCGA-COAD</v>
      </c>
      <c r="D16454" s="1" t="s">
        <v>493</v>
      </c>
      <c r="E16454" t="s">
        <v>545</v>
      </c>
      <c r="F16454" s="1">
        <v>2</v>
      </c>
      <c r="G16454" s="1" t="s">
        <v>28</v>
      </c>
      <c r="H16454" s="4" t="str">
        <f>HYPERLINK("https://portal.gdc.cancer.gov/cases/f38d49b7-6cad-4460-abd0-3685a3b2d941","TCGA-AA-3814-01A")</f>
        <v>TCGA-AA-3814-01A</v>
      </c>
      <c r="I16454" t="s">
        <v>69</v>
      </c>
      <c r="J16454" t="s">
        <v>245</v>
      </c>
      <c r="K16454" t="s">
        <v>33</v>
      </c>
      <c r="L16454" t="s">
        <v>546</v>
      </c>
      <c r="N16454" t="s">
        <v>29</v>
      </c>
    </row>
    <row r="16455" spans="1:14">
      <c r="A16455" s="4" t="str">
        <f t="shared" si="1228"/>
        <v>EXP00421</v>
      </c>
      <c r="B16455" s="3" t="s">
        <v>66</v>
      </c>
      <c r="C16455" s="4" t="str">
        <f t="shared" si="1229"/>
        <v>TCGA-COAD</v>
      </c>
      <c r="D16455" s="1" t="s">
        <v>493</v>
      </c>
      <c r="E16455" t="s">
        <v>545</v>
      </c>
      <c r="F16455" s="1">
        <v>2</v>
      </c>
      <c r="G16455" s="1" t="s">
        <v>28</v>
      </c>
      <c r="H16455" s="4" t="str">
        <f>HYPERLINK("https://portal.gdc.cancer.gov/cases/b16bb717-d1cf-4237-a554-43f3995b82f2","TCGA-AA-3815-01A")</f>
        <v>TCGA-AA-3815-01A</v>
      </c>
      <c r="I16455" t="s">
        <v>69</v>
      </c>
      <c r="J16455" t="s">
        <v>245</v>
      </c>
      <c r="K16455" t="s">
        <v>33</v>
      </c>
      <c r="L16455" t="s">
        <v>546</v>
      </c>
      <c r="N16455" t="s">
        <v>29</v>
      </c>
    </row>
    <row r="16456" spans="1:14">
      <c r="A16456" s="4" t="str">
        <f t="shared" si="1228"/>
        <v>EXP00421</v>
      </c>
      <c r="B16456" s="3" t="s">
        <v>66</v>
      </c>
      <c r="C16456" s="4" t="str">
        <f t="shared" si="1229"/>
        <v>TCGA-COAD</v>
      </c>
      <c r="D16456" s="1" t="s">
        <v>493</v>
      </c>
      <c r="E16456" t="s">
        <v>545</v>
      </c>
      <c r="F16456" s="1">
        <v>2</v>
      </c>
      <c r="G16456" s="1" t="s">
        <v>28</v>
      </c>
      <c r="H16456" s="4" t="str">
        <f>HYPERLINK("https://portal.gdc.cancer.gov/cases/fdffda5f-72b2-4153-b7f1-d7043b7ca898","TCGA-AA-3818-01A")</f>
        <v>TCGA-AA-3818-01A</v>
      </c>
      <c r="I16456" t="s">
        <v>69</v>
      </c>
      <c r="J16456" t="s">
        <v>245</v>
      </c>
      <c r="K16456" t="s">
        <v>33</v>
      </c>
      <c r="L16456" t="s">
        <v>546</v>
      </c>
      <c r="N16456" t="s">
        <v>29</v>
      </c>
    </row>
    <row r="16457" spans="1:14">
      <c r="A16457" s="4" t="str">
        <f t="shared" si="1228"/>
        <v>EXP00421</v>
      </c>
      <c r="B16457" s="3" t="s">
        <v>66</v>
      </c>
      <c r="C16457" s="4" t="str">
        <f t="shared" si="1229"/>
        <v>TCGA-COAD</v>
      </c>
      <c r="D16457" s="1" t="s">
        <v>493</v>
      </c>
      <c r="E16457" t="s">
        <v>545</v>
      </c>
      <c r="F16457" s="1">
        <v>2</v>
      </c>
      <c r="G16457" s="1" t="s">
        <v>28</v>
      </c>
      <c r="H16457" s="4" t="str">
        <f>HYPERLINK("https://portal.gdc.cancer.gov/cases/192da41f-f0a5-494e-8eb9-96bcdae56ff8","TCGA-AA-3819-01A")</f>
        <v>TCGA-AA-3819-01A</v>
      </c>
      <c r="I16457" t="s">
        <v>69</v>
      </c>
      <c r="J16457" t="s">
        <v>245</v>
      </c>
      <c r="K16457" t="s">
        <v>33</v>
      </c>
      <c r="L16457" t="s">
        <v>546</v>
      </c>
      <c r="N16457" t="s">
        <v>29</v>
      </c>
    </row>
    <row r="16458" spans="1:14">
      <c r="A16458" s="4" t="str">
        <f t="shared" si="1228"/>
        <v>EXP00421</v>
      </c>
      <c r="B16458" s="3" t="s">
        <v>66</v>
      </c>
      <c r="C16458" s="4" t="str">
        <f t="shared" si="1229"/>
        <v>TCGA-COAD</v>
      </c>
      <c r="D16458" s="1" t="s">
        <v>493</v>
      </c>
      <c r="E16458" t="s">
        <v>545</v>
      </c>
      <c r="F16458" s="1">
        <v>2</v>
      </c>
      <c r="G16458" s="1" t="s">
        <v>28</v>
      </c>
      <c r="H16458" s="4" t="str">
        <f>HYPERLINK("https://portal.gdc.cancer.gov/cases/0e87e5fd-d5bb-4c0d-952d-711a6abbf336","TCGA-AA-3821-01A")</f>
        <v>TCGA-AA-3821-01A</v>
      </c>
      <c r="I16458" t="s">
        <v>69</v>
      </c>
      <c r="J16458" t="s">
        <v>245</v>
      </c>
      <c r="K16458" t="s">
        <v>33</v>
      </c>
      <c r="L16458" t="s">
        <v>546</v>
      </c>
      <c r="N16458" t="s">
        <v>29</v>
      </c>
    </row>
    <row r="16459" spans="1:14">
      <c r="A16459" s="4" t="str">
        <f t="shared" si="1228"/>
        <v>EXP00421</v>
      </c>
      <c r="B16459" s="3" t="s">
        <v>66</v>
      </c>
      <c r="C16459" s="4" t="str">
        <f t="shared" si="1229"/>
        <v>TCGA-COAD</v>
      </c>
      <c r="D16459" s="1" t="s">
        <v>493</v>
      </c>
      <c r="E16459" t="s">
        <v>545</v>
      </c>
      <c r="F16459" s="1">
        <v>2</v>
      </c>
      <c r="G16459" s="1" t="s">
        <v>28</v>
      </c>
      <c r="H16459" s="4" t="str">
        <f>HYPERLINK("https://portal.gdc.cancer.gov/cases/bce5579c-08c6-48e9-853e-fac85ba8cbea","TCGA-AA-3831-01A")</f>
        <v>TCGA-AA-3831-01A</v>
      </c>
      <c r="I16459" t="s">
        <v>69</v>
      </c>
      <c r="J16459" t="s">
        <v>245</v>
      </c>
      <c r="K16459" t="s">
        <v>33</v>
      </c>
      <c r="L16459" t="s">
        <v>546</v>
      </c>
      <c r="N16459" t="s">
        <v>29</v>
      </c>
    </row>
    <row r="16460" spans="1:14">
      <c r="A16460" s="4" t="str">
        <f t="shared" si="1228"/>
        <v>EXP00421</v>
      </c>
      <c r="B16460" s="3" t="s">
        <v>66</v>
      </c>
      <c r="C16460" s="4" t="str">
        <f t="shared" si="1229"/>
        <v>TCGA-COAD</v>
      </c>
      <c r="D16460" s="1" t="s">
        <v>493</v>
      </c>
      <c r="E16460" t="s">
        <v>545</v>
      </c>
      <c r="F16460" s="1">
        <v>2</v>
      </c>
      <c r="G16460" s="1" t="s">
        <v>28</v>
      </c>
      <c r="H16460" s="4" t="str">
        <f>HYPERLINK("https://portal.gdc.cancer.gov/cases/1a09207e-9184-4f32-bd07-a9f4dc6c825d","TCGA-AA-3833-01A")</f>
        <v>TCGA-AA-3833-01A</v>
      </c>
      <c r="I16460" t="s">
        <v>69</v>
      </c>
      <c r="J16460" t="s">
        <v>245</v>
      </c>
      <c r="K16460" t="s">
        <v>33</v>
      </c>
      <c r="L16460" t="s">
        <v>546</v>
      </c>
      <c r="N16460" t="s">
        <v>29</v>
      </c>
    </row>
    <row r="16461" spans="1:14">
      <c r="A16461" s="4" t="str">
        <f t="shared" si="1228"/>
        <v>EXP00421</v>
      </c>
      <c r="B16461" s="3" t="s">
        <v>66</v>
      </c>
      <c r="C16461" s="4" t="str">
        <f t="shared" si="1229"/>
        <v>TCGA-COAD</v>
      </c>
      <c r="D16461" s="1" t="s">
        <v>493</v>
      </c>
      <c r="E16461" t="s">
        <v>545</v>
      </c>
      <c r="F16461" s="1">
        <v>2</v>
      </c>
      <c r="G16461" s="1" t="s">
        <v>28</v>
      </c>
      <c r="H16461" s="4" t="str">
        <f>HYPERLINK("https://portal.gdc.cancer.gov/cases/0f940ec0-eb0b-422a-a764-a26c8e5c216d","TCGA-AA-3837-01A")</f>
        <v>TCGA-AA-3837-01A</v>
      </c>
      <c r="I16461" t="s">
        <v>69</v>
      </c>
      <c r="J16461" t="s">
        <v>245</v>
      </c>
      <c r="K16461" t="s">
        <v>33</v>
      </c>
      <c r="L16461" t="s">
        <v>546</v>
      </c>
      <c r="N16461" t="s">
        <v>29</v>
      </c>
    </row>
    <row r="16462" spans="1:14">
      <c r="A16462" s="4" t="str">
        <f t="shared" si="1228"/>
        <v>EXP00421</v>
      </c>
      <c r="B16462" s="3" t="s">
        <v>66</v>
      </c>
      <c r="C16462" s="4" t="str">
        <f t="shared" si="1229"/>
        <v>TCGA-COAD</v>
      </c>
      <c r="D16462" s="1" t="s">
        <v>493</v>
      </c>
      <c r="E16462" t="s">
        <v>545</v>
      </c>
      <c r="F16462" s="1">
        <v>2</v>
      </c>
      <c r="G16462" s="1" t="s">
        <v>28</v>
      </c>
      <c r="H16462" s="4" t="str">
        <f>HYPERLINK("https://portal.gdc.cancer.gov/cases/80311cf5-7e18-4545-92ad-c4b7dd5c9677","TCGA-AA-3842-01A")</f>
        <v>TCGA-AA-3842-01A</v>
      </c>
      <c r="I16462" t="s">
        <v>69</v>
      </c>
      <c r="J16462" t="s">
        <v>245</v>
      </c>
      <c r="K16462" t="s">
        <v>33</v>
      </c>
      <c r="L16462" t="s">
        <v>546</v>
      </c>
      <c r="N16462" t="s">
        <v>29</v>
      </c>
    </row>
    <row r="16463" spans="1:14">
      <c r="A16463" s="4" t="str">
        <f t="shared" si="1228"/>
        <v>EXP00421</v>
      </c>
      <c r="B16463" s="3" t="s">
        <v>66</v>
      </c>
      <c r="C16463" s="4" t="str">
        <f t="shared" si="1229"/>
        <v>TCGA-COAD</v>
      </c>
      <c r="D16463" s="1" t="s">
        <v>493</v>
      </c>
      <c r="E16463" t="s">
        <v>545</v>
      </c>
      <c r="F16463" s="1">
        <v>2</v>
      </c>
      <c r="G16463" s="1" t="s">
        <v>28</v>
      </c>
      <c r="H16463" s="4" t="str">
        <f>HYPERLINK("https://portal.gdc.cancer.gov/cases/4f786107-3cf5-4ab3-bba4-f399dee23f0e","TCGA-AA-3844-01A")</f>
        <v>TCGA-AA-3844-01A</v>
      </c>
      <c r="I16463" t="s">
        <v>69</v>
      </c>
      <c r="J16463" t="s">
        <v>245</v>
      </c>
      <c r="K16463" t="s">
        <v>33</v>
      </c>
      <c r="L16463" t="s">
        <v>546</v>
      </c>
      <c r="N16463" t="s">
        <v>29</v>
      </c>
    </row>
    <row r="16464" spans="1:14">
      <c r="A16464" s="4" t="str">
        <f t="shared" si="1228"/>
        <v>EXP00421</v>
      </c>
      <c r="B16464" s="3" t="s">
        <v>66</v>
      </c>
      <c r="C16464" s="4" t="str">
        <f t="shared" si="1229"/>
        <v>TCGA-COAD</v>
      </c>
      <c r="D16464" s="1" t="s">
        <v>493</v>
      </c>
      <c r="E16464" t="s">
        <v>545</v>
      </c>
      <c r="F16464" s="1">
        <v>2</v>
      </c>
      <c r="G16464" s="1" t="s">
        <v>28</v>
      </c>
      <c r="H16464" s="4" t="str">
        <f>HYPERLINK("https://portal.gdc.cancer.gov/cases/bc02f801-081b-489b-87cb-d275c70299d5","TCGA-AA-3845-01A")</f>
        <v>TCGA-AA-3845-01A</v>
      </c>
      <c r="I16464" t="s">
        <v>69</v>
      </c>
      <c r="J16464" t="s">
        <v>245</v>
      </c>
      <c r="K16464" t="s">
        <v>33</v>
      </c>
      <c r="L16464" t="s">
        <v>546</v>
      </c>
      <c r="N16464" t="s">
        <v>29</v>
      </c>
    </row>
    <row r="16465" spans="1:14">
      <c r="A16465" s="4" t="str">
        <f t="shared" si="1228"/>
        <v>EXP00421</v>
      </c>
      <c r="B16465" s="3" t="s">
        <v>66</v>
      </c>
      <c r="C16465" s="4" t="str">
        <f t="shared" si="1229"/>
        <v>TCGA-COAD</v>
      </c>
      <c r="D16465" s="1" t="s">
        <v>493</v>
      </c>
      <c r="E16465" t="s">
        <v>545</v>
      </c>
      <c r="F16465" s="1">
        <v>2</v>
      </c>
      <c r="G16465" s="1" t="s">
        <v>28</v>
      </c>
      <c r="H16465" s="4" t="str">
        <f>HYPERLINK("https://portal.gdc.cancer.gov/cases/f2ef5afa-6191-43a1-a023-d53c0d985139","TCGA-AA-3846-01A")</f>
        <v>TCGA-AA-3846-01A</v>
      </c>
      <c r="I16465" t="s">
        <v>69</v>
      </c>
      <c r="J16465" t="s">
        <v>245</v>
      </c>
      <c r="K16465" t="s">
        <v>33</v>
      </c>
      <c r="L16465" t="s">
        <v>546</v>
      </c>
      <c r="N16465" t="s">
        <v>29</v>
      </c>
    </row>
    <row r="16466" spans="1:14">
      <c r="A16466" s="4" t="str">
        <f t="shared" si="1228"/>
        <v>EXP00421</v>
      </c>
      <c r="B16466" s="3" t="s">
        <v>66</v>
      </c>
      <c r="C16466" s="4" t="str">
        <f t="shared" si="1229"/>
        <v>TCGA-COAD</v>
      </c>
      <c r="D16466" s="1" t="s">
        <v>493</v>
      </c>
      <c r="E16466" t="s">
        <v>545</v>
      </c>
      <c r="F16466" s="1">
        <v>2</v>
      </c>
      <c r="G16466" s="1" t="s">
        <v>28</v>
      </c>
      <c r="H16466" s="4" t="str">
        <f>HYPERLINK("https://portal.gdc.cancer.gov/cases/0a815133-0edd-4422-89f2-2f067b6f2156","TCGA-AA-3848-01A")</f>
        <v>TCGA-AA-3848-01A</v>
      </c>
      <c r="I16466" t="s">
        <v>69</v>
      </c>
      <c r="J16466" t="s">
        <v>245</v>
      </c>
      <c r="K16466" t="s">
        <v>33</v>
      </c>
      <c r="L16466" t="s">
        <v>546</v>
      </c>
      <c r="N16466" t="s">
        <v>29</v>
      </c>
    </row>
    <row r="16467" spans="1:14">
      <c r="A16467" s="4" t="str">
        <f t="shared" si="1228"/>
        <v>EXP00421</v>
      </c>
      <c r="B16467" s="3" t="s">
        <v>66</v>
      </c>
      <c r="C16467" s="4" t="str">
        <f t="shared" si="1229"/>
        <v>TCGA-COAD</v>
      </c>
      <c r="D16467" s="1" t="s">
        <v>493</v>
      </c>
      <c r="E16467" t="s">
        <v>545</v>
      </c>
      <c r="F16467" s="1">
        <v>2</v>
      </c>
      <c r="G16467" s="1" t="s">
        <v>28</v>
      </c>
      <c r="H16467" s="4" t="str">
        <f>HYPERLINK("https://portal.gdc.cancer.gov/cases/21bdad0d-c6a2-428c-b2b4-0de282b34abc","TCGA-AA-3850-01A")</f>
        <v>TCGA-AA-3850-01A</v>
      </c>
      <c r="I16467" t="s">
        <v>69</v>
      </c>
      <c r="J16467" t="s">
        <v>245</v>
      </c>
      <c r="K16467" t="s">
        <v>33</v>
      </c>
      <c r="L16467" t="s">
        <v>546</v>
      </c>
      <c r="N16467" t="s">
        <v>29</v>
      </c>
    </row>
    <row r="16468" spans="1:14">
      <c r="A16468" s="4" t="str">
        <f t="shared" si="1228"/>
        <v>EXP00421</v>
      </c>
      <c r="B16468" s="3" t="s">
        <v>66</v>
      </c>
      <c r="C16468" s="4" t="str">
        <f t="shared" si="1229"/>
        <v>TCGA-COAD</v>
      </c>
      <c r="D16468" s="1" t="s">
        <v>493</v>
      </c>
      <c r="E16468" t="s">
        <v>545</v>
      </c>
      <c r="F16468" s="1">
        <v>2</v>
      </c>
      <c r="G16468" s="1" t="s">
        <v>28</v>
      </c>
      <c r="H16468" s="4" t="str">
        <f>HYPERLINK("https://portal.gdc.cancer.gov/cases/1add38c2-df6f-47c9-9373-0bec0e40baf8","TCGA-AA-3851-01A")</f>
        <v>TCGA-AA-3851-01A</v>
      </c>
      <c r="I16468" t="s">
        <v>69</v>
      </c>
      <c r="J16468" t="s">
        <v>245</v>
      </c>
      <c r="K16468" t="s">
        <v>33</v>
      </c>
      <c r="L16468" t="s">
        <v>546</v>
      </c>
      <c r="N16468" t="s">
        <v>29</v>
      </c>
    </row>
    <row r="16469" spans="1:14">
      <c r="A16469" s="4" t="str">
        <f t="shared" si="1228"/>
        <v>EXP00421</v>
      </c>
      <c r="B16469" s="3" t="s">
        <v>66</v>
      </c>
      <c r="C16469" s="4" t="str">
        <f t="shared" si="1229"/>
        <v>TCGA-COAD</v>
      </c>
      <c r="D16469" s="1" t="s">
        <v>493</v>
      </c>
      <c r="E16469" t="s">
        <v>545</v>
      </c>
      <c r="F16469" s="1">
        <v>2</v>
      </c>
      <c r="G16469" s="1" t="s">
        <v>28</v>
      </c>
      <c r="H16469" s="4" t="str">
        <f>HYPERLINK("https://portal.gdc.cancer.gov/cases/6fc5e56a-1f5e-4ff1-948e-5ef636ebb48d","TCGA-AA-3852-01A")</f>
        <v>TCGA-AA-3852-01A</v>
      </c>
      <c r="I16469" t="s">
        <v>69</v>
      </c>
      <c r="J16469" t="s">
        <v>245</v>
      </c>
      <c r="K16469" t="s">
        <v>33</v>
      </c>
      <c r="L16469" t="s">
        <v>546</v>
      </c>
      <c r="N16469" t="s">
        <v>29</v>
      </c>
    </row>
    <row r="16470" spans="1:14">
      <c r="A16470" s="4" t="str">
        <f t="shared" si="1228"/>
        <v>EXP00421</v>
      </c>
      <c r="B16470" s="3" t="s">
        <v>66</v>
      </c>
      <c r="C16470" s="4" t="str">
        <f t="shared" si="1229"/>
        <v>TCGA-COAD</v>
      </c>
      <c r="D16470" s="1" t="s">
        <v>493</v>
      </c>
      <c r="E16470" t="s">
        <v>545</v>
      </c>
      <c r="F16470" s="1">
        <v>2</v>
      </c>
      <c r="G16470" s="1" t="s">
        <v>28</v>
      </c>
      <c r="H16470" s="4" t="str">
        <f>HYPERLINK("https://portal.gdc.cancer.gov/cases/7a6c54f1-f4e4-426b-b306-2ca3c4de12ca","TCGA-AA-3854-01A")</f>
        <v>TCGA-AA-3854-01A</v>
      </c>
      <c r="I16470" t="s">
        <v>69</v>
      </c>
      <c r="J16470" t="s">
        <v>245</v>
      </c>
      <c r="K16470" t="s">
        <v>33</v>
      </c>
      <c r="L16470" t="s">
        <v>546</v>
      </c>
      <c r="N16470" t="s">
        <v>29</v>
      </c>
    </row>
    <row r="16471" spans="1:14">
      <c r="A16471" s="4" t="str">
        <f t="shared" si="1228"/>
        <v>EXP00421</v>
      </c>
      <c r="B16471" s="3" t="s">
        <v>66</v>
      </c>
      <c r="C16471" s="4" t="str">
        <f t="shared" si="1229"/>
        <v>TCGA-COAD</v>
      </c>
      <c r="D16471" s="1" t="s">
        <v>493</v>
      </c>
      <c r="E16471" t="s">
        <v>545</v>
      </c>
      <c r="F16471" s="1">
        <v>2</v>
      </c>
      <c r="G16471" s="1" t="s">
        <v>28</v>
      </c>
      <c r="H16471" s="4" t="str">
        <f>HYPERLINK("https://portal.gdc.cancer.gov/cases/b4c3cf95-a27c-4bcf-9321-38723473e83b","TCGA-AA-3855-01A")</f>
        <v>TCGA-AA-3855-01A</v>
      </c>
      <c r="I16471" t="s">
        <v>69</v>
      </c>
      <c r="J16471" t="s">
        <v>245</v>
      </c>
      <c r="K16471" t="s">
        <v>33</v>
      </c>
      <c r="L16471" t="s">
        <v>546</v>
      </c>
      <c r="N16471" t="s">
        <v>29</v>
      </c>
    </row>
    <row r="16472" spans="1:14">
      <c r="A16472" s="4" t="str">
        <f t="shared" si="1228"/>
        <v>EXP00421</v>
      </c>
      <c r="B16472" s="3" t="s">
        <v>66</v>
      </c>
      <c r="C16472" s="4" t="str">
        <f t="shared" si="1229"/>
        <v>TCGA-COAD</v>
      </c>
      <c r="D16472" s="1" t="s">
        <v>493</v>
      </c>
      <c r="E16472" t="s">
        <v>545</v>
      </c>
      <c r="F16472" s="1">
        <v>2</v>
      </c>
      <c r="G16472" s="1" t="s">
        <v>28</v>
      </c>
      <c r="H16472" s="4" t="str">
        <f>HYPERLINK("https://portal.gdc.cancer.gov/cases/0b8de222-119a-40f3-8beb-12b9d933225b","TCGA-AA-3856-01A")</f>
        <v>TCGA-AA-3856-01A</v>
      </c>
      <c r="I16472" t="s">
        <v>69</v>
      </c>
      <c r="J16472" t="s">
        <v>245</v>
      </c>
      <c r="K16472" t="s">
        <v>33</v>
      </c>
      <c r="L16472" t="s">
        <v>546</v>
      </c>
      <c r="N16472" t="s">
        <v>29</v>
      </c>
    </row>
    <row r="16473" spans="1:14">
      <c r="A16473" s="4" t="str">
        <f t="shared" si="1228"/>
        <v>EXP00421</v>
      </c>
      <c r="B16473" s="3" t="s">
        <v>66</v>
      </c>
      <c r="C16473" s="4" t="str">
        <f t="shared" si="1229"/>
        <v>TCGA-COAD</v>
      </c>
      <c r="D16473" s="1" t="s">
        <v>493</v>
      </c>
      <c r="E16473" t="s">
        <v>545</v>
      </c>
      <c r="F16473" s="1">
        <v>2</v>
      </c>
      <c r="G16473" s="1" t="s">
        <v>28</v>
      </c>
      <c r="H16473" s="4" t="str">
        <f>HYPERLINK("https://portal.gdc.cancer.gov/cases/44c2854e-3f8c-48e1-b4d5-1b5778d4fce4","TCGA-AA-3858-01A")</f>
        <v>TCGA-AA-3858-01A</v>
      </c>
      <c r="I16473" t="s">
        <v>69</v>
      </c>
      <c r="J16473" t="s">
        <v>245</v>
      </c>
      <c r="K16473" t="s">
        <v>33</v>
      </c>
      <c r="L16473" t="s">
        <v>546</v>
      </c>
      <c r="N16473" t="s">
        <v>29</v>
      </c>
    </row>
    <row r="16474" spans="1:14">
      <c r="A16474" s="4" t="str">
        <f t="shared" si="1228"/>
        <v>EXP00421</v>
      </c>
      <c r="B16474" s="3" t="s">
        <v>66</v>
      </c>
      <c r="C16474" s="4" t="str">
        <f t="shared" si="1229"/>
        <v>TCGA-COAD</v>
      </c>
      <c r="D16474" s="1" t="s">
        <v>493</v>
      </c>
      <c r="E16474" t="s">
        <v>545</v>
      </c>
      <c r="F16474" s="1">
        <v>2</v>
      </c>
      <c r="G16474" s="1" t="s">
        <v>28</v>
      </c>
      <c r="H16474" s="4" t="str">
        <f>HYPERLINK("https://portal.gdc.cancer.gov/cases/ac6a3df9-41b1-4e5a-a15e-f44481384c23","TCGA-AA-3860-01A")</f>
        <v>TCGA-AA-3860-01A</v>
      </c>
      <c r="I16474" t="s">
        <v>69</v>
      </c>
      <c r="J16474" t="s">
        <v>245</v>
      </c>
      <c r="K16474" t="s">
        <v>33</v>
      </c>
      <c r="L16474" t="s">
        <v>546</v>
      </c>
      <c r="N16474" t="s">
        <v>29</v>
      </c>
    </row>
    <row r="16475" spans="1:14">
      <c r="A16475" s="4" t="str">
        <f t="shared" si="1228"/>
        <v>EXP00421</v>
      </c>
      <c r="B16475" s="3" t="s">
        <v>66</v>
      </c>
      <c r="C16475" s="4" t="str">
        <f t="shared" si="1229"/>
        <v>TCGA-COAD</v>
      </c>
      <c r="D16475" s="1" t="s">
        <v>493</v>
      </c>
      <c r="E16475" t="s">
        <v>545</v>
      </c>
      <c r="F16475" s="1">
        <v>2</v>
      </c>
      <c r="G16475" s="1" t="s">
        <v>28</v>
      </c>
      <c r="H16475" s="4" t="str">
        <f>HYPERLINK("https://portal.gdc.cancer.gov/cases/5da56982-6de7-4994-aa9e-3b01200b2959","TCGA-AA-3861-01A")</f>
        <v>TCGA-AA-3861-01A</v>
      </c>
      <c r="I16475" t="s">
        <v>69</v>
      </c>
      <c r="J16475" t="s">
        <v>245</v>
      </c>
      <c r="K16475" t="s">
        <v>33</v>
      </c>
      <c r="L16475" t="s">
        <v>546</v>
      </c>
      <c r="N16475" t="s">
        <v>29</v>
      </c>
    </row>
    <row r="16476" spans="1:14">
      <c r="A16476" s="4" t="str">
        <f t="shared" si="1228"/>
        <v>EXP00421</v>
      </c>
      <c r="B16476" s="3" t="s">
        <v>66</v>
      </c>
      <c r="C16476" s="4" t="str">
        <f t="shared" si="1229"/>
        <v>TCGA-COAD</v>
      </c>
      <c r="D16476" s="1" t="s">
        <v>493</v>
      </c>
      <c r="E16476" t="s">
        <v>545</v>
      </c>
      <c r="F16476" s="1">
        <v>2</v>
      </c>
      <c r="G16476" s="1" t="s">
        <v>28</v>
      </c>
      <c r="H16476" s="4" t="str">
        <f>HYPERLINK("https://portal.gdc.cancer.gov/cases/05ff79c5-1127-4cac-8f4c-84089a3f2cde","TCGA-AA-3862-01A")</f>
        <v>TCGA-AA-3862-01A</v>
      </c>
      <c r="I16476" t="s">
        <v>69</v>
      </c>
      <c r="J16476" t="s">
        <v>245</v>
      </c>
      <c r="K16476" t="s">
        <v>33</v>
      </c>
      <c r="L16476" t="s">
        <v>546</v>
      </c>
      <c r="N16476" t="s">
        <v>29</v>
      </c>
    </row>
    <row r="16477" spans="1:14">
      <c r="A16477" s="4" t="str">
        <f t="shared" si="1228"/>
        <v>EXP00421</v>
      </c>
      <c r="B16477" s="3" t="s">
        <v>66</v>
      </c>
      <c r="C16477" s="4" t="str">
        <f t="shared" si="1229"/>
        <v>TCGA-COAD</v>
      </c>
      <c r="D16477" s="1" t="s">
        <v>493</v>
      </c>
      <c r="E16477" t="s">
        <v>545</v>
      </c>
      <c r="F16477" s="1">
        <v>2</v>
      </c>
      <c r="G16477" s="1" t="s">
        <v>28</v>
      </c>
      <c r="H16477" s="4" t="str">
        <f>HYPERLINK("https://portal.gdc.cancer.gov/cases/c82bbe23-0264-45a7-b1a6-82b4654108c8","TCGA-AA-3864-01A")</f>
        <v>TCGA-AA-3864-01A</v>
      </c>
      <c r="I16477" t="s">
        <v>69</v>
      </c>
      <c r="J16477" t="s">
        <v>245</v>
      </c>
      <c r="K16477" t="s">
        <v>33</v>
      </c>
      <c r="L16477" t="s">
        <v>546</v>
      </c>
      <c r="N16477" t="s">
        <v>29</v>
      </c>
    </row>
    <row r="16478" spans="1:14">
      <c r="A16478" s="4" t="str">
        <f t="shared" si="1228"/>
        <v>EXP00421</v>
      </c>
      <c r="B16478" s="3" t="s">
        <v>66</v>
      </c>
      <c r="C16478" s="4" t="str">
        <f t="shared" si="1229"/>
        <v>TCGA-COAD</v>
      </c>
      <c r="D16478" s="1" t="s">
        <v>493</v>
      </c>
      <c r="E16478" t="s">
        <v>545</v>
      </c>
      <c r="F16478" s="1">
        <v>2</v>
      </c>
      <c r="G16478" s="1" t="s">
        <v>28</v>
      </c>
      <c r="H16478" s="4" t="str">
        <f>HYPERLINK("https://portal.gdc.cancer.gov/cases/02f9668c-71e6-485f-88b1-b37dc8bdd2ab","TCGA-AA-3866-01A")</f>
        <v>TCGA-AA-3866-01A</v>
      </c>
      <c r="I16478" t="s">
        <v>69</v>
      </c>
      <c r="J16478" t="s">
        <v>245</v>
      </c>
      <c r="K16478" t="s">
        <v>33</v>
      </c>
      <c r="L16478" t="s">
        <v>546</v>
      </c>
      <c r="N16478" t="s">
        <v>29</v>
      </c>
    </row>
    <row r="16479" spans="1:14">
      <c r="A16479" s="4" t="str">
        <f t="shared" si="1228"/>
        <v>EXP00421</v>
      </c>
      <c r="B16479" s="3" t="s">
        <v>66</v>
      </c>
      <c r="C16479" s="4" t="str">
        <f t="shared" si="1229"/>
        <v>TCGA-COAD</v>
      </c>
      <c r="D16479" s="1" t="s">
        <v>493</v>
      </c>
      <c r="E16479" t="s">
        <v>545</v>
      </c>
      <c r="F16479" s="1">
        <v>2</v>
      </c>
      <c r="G16479" s="1" t="s">
        <v>28</v>
      </c>
      <c r="H16479" s="4" t="str">
        <f>HYPERLINK("https://portal.gdc.cancer.gov/cases/d655bbf6-c710-411d-aff5-ceb0fb6e6680","TCGA-AA-3867-01A")</f>
        <v>TCGA-AA-3867-01A</v>
      </c>
      <c r="I16479" t="s">
        <v>69</v>
      </c>
      <c r="J16479" t="s">
        <v>245</v>
      </c>
      <c r="K16479" t="s">
        <v>33</v>
      </c>
      <c r="L16479" t="s">
        <v>546</v>
      </c>
      <c r="N16479" t="s">
        <v>29</v>
      </c>
    </row>
    <row r="16480" spans="1:14">
      <c r="A16480" s="4" t="str">
        <f t="shared" si="1228"/>
        <v>EXP00421</v>
      </c>
      <c r="B16480" s="3" t="s">
        <v>66</v>
      </c>
      <c r="C16480" s="4" t="str">
        <f t="shared" si="1229"/>
        <v>TCGA-COAD</v>
      </c>
      <c r="D16480" s="1" t="s">
        <v>493</v>
      </c>
      <c r="E16480" t="s">
        <v>545</v>
      </c>
      <c r="F16480" s="1">
        <v>2</v>
      </c>
      <c r="G16480" s="1" t="s">
        <v>28</v>
      </c>
      <c r="H16480" s="4" t="str">
        <f>HYPERLINK("https://portal.gdc.cancer.gov/cases/39d3b5b3-d51e-4d77-a8aa-2977fa734fab","TCGA-AA-3869-01A")</f>
        <v>TCGA-AA-3869-01A</v>
      </c>
      <c r="I16480" t="s">
        <v>69</v>
      </c>
      <c r="J16480" t="s">
        <v>245</v>
      </c>
      <c r="K16480" t="s">
        <v>33</v>
      </c>
      <c r="L16480" t="s">
        <v>546</v>
      </c>
      <c r="N16480" t="s">
        <v>29</v>
      </c>
    </row>
    <row r="16481" spans="1:14">
      <c r="A16481" s="4" t="str">
        <f t="shared" si="1228"/>
        <v>EXP00421</v>
      </c>
      <c r="B16481" s="3" t="s">
        <v>66</v>
      </c>
      <c r="C16481" s="4" t="str">
        <f t="shared" si="1229"/>
        <v>TCGA-COAD</v>
      </c>
      <c r="D16481" s="1" t="s">
        <v>493</v>
      </c>
      <c r="E16481" t="s">
        <v>545</v>
      </c>
      <c r="F16481" s="1">
        <v>2</v>
      </c>
      <c r="G16481" s="1" t="s">
        <v>28</v>
      </c>
      <c r="H16481" s="4" t="str">
        <f>HYPERLINK("https://portal.gdc.cancer.gov/cases/beb63625-d9bf-4ccd-bc53-635b53d24240","TCGA-AA-3870-01A")</f>
        <v>TCGA-AA-3870-01A</v>
      </c>
      <c r="I16481" t="s">
        <v>69</v>
      </c>
      <c r="J16481" t="s">
        <v>245</v>
      </c>
      <c r="K16481" t="s">
        <v>33</v>
      </c>
      <c r="L16481" t="s">
        <v>546</v>
      </c>
      <c r="N16481" t="s">
        <v>29</v>
      </c>
    </row>
    <row r="16482" spans="1:14">
      <c r="A16482" s="4" t="str">
        <f t="shared" si="1228"/>
        <v>EXP00421</v>
      </c>
      <c r="B16482" s="3" t="s">
        <v>66</v>
      </c>
      <c r="C16482" s="4" t="str">
        <f t="shared" si="1229"/>
        <v>TCGA-COAD</v>
      </c>
      <c r="D16482" s="1" t="s">
        <v>493</v>
      </c>
      <c r="E16482" t="s">
        <v>545</v>
      </c>
      <c r="F16482" s="1">
        <v>2</v>
      </c>
      <c r="G16482" s="1" t="s">
        <v>28</v>
      </c>
      <c r="H16482" s="4" t="str">
        <f>HYPERLINK("https://portal.gdc.cancer.gov/cases/20ccd267-74e5-4574-a8e1-028bcd74aaeb","TCGA-AA-3872-01A")</f>
        <v>TCGA-AA-3872-01A</v>
      </c>
      <c r="I16482" t="s">
        <v>69</v>
      </c>
      <c r="J16482" t="s">
        <v>245</v>
      </c>
      <c r="K16482" t="s">
        <v>33</v>
      </c>
      <c r="L16482" t="s">
        <v>546</v>
      </c>
      <c r="N16482" t="s">
        <v>29</v>
      </c>
    </row>
    <row r="16483" spans="1:14">
      <c r="A16483" s="4" t="str">
        <f t="shared" si="1228"/>
        <v>EXP00421</v>
      </c>
      <c r="B16483" s="3" t="s">
        <v>66</v>
      </c>
      <c r="C16483" s="4" t="str">
        <f t="shared" si="1229"/>
        <v>TCGA-COAD</v>
      </c>
      <c r="D16483" s="1" t="s">
        <v>493</v>
      </c>
      <c r="E16483" t="s">
        <v>545</v>
      </c>
      <c r="F16483" s="1">
        <v>2</v>
      </c>
      <c r="G16483" s="1" t="s">
        <v>28</v>
      </c>
      <c r="H16483" s="4" t="str">
        <f>HYPERLINK("https://portal.gdc.cancer.gov/cases/5498d5ef-ad24-4034-9750-7c996c5355e1","TCGA-AA-3875-01A")</f>
        <v>TCGA-AA-3875-01A</v>
      </c>
      <c r="I16483" t="s">
        <v>69</v>
      </c>
      <c r="J16483" t="s">
        <v>245</v>
      </c>
      <c r="K16483" t="s">
        <v>33</v>
      </c>
      <c r="L16483" t="s">
        <v>546</v>
      </c>
      <c r="N16483" t="s">
        <v>29</v>
      </c>
    </row>
    <row r="16484" spans="1:14">
      <c r="A16484" s="4" t="str">
        <f t="shared" si="1228"/>
        <v>EXP00421</v>
      </c>
      <c r="B16484" s="3" t="s">
        <v>66</v>
      </c>
      <c r="C16484" s="4" t="str">
        <f t="shared" si="1229"/>
        <v>TCGA-COAD</v>
      </c>
      <c r="D16484" s="1" t="s">
        <v>493</v>
      </c>
      <c r="E16484" t="s">
        <v>545</v>
      </c>
      <c r="F16484" s="1">
        <v>2</v>
      </c>
      <c r="G16484" s="1" t="s">
        <v>28</v>
      </c>
      <c r="H16484" s="4" t="str">
        <f>HYPERLINK("https://portal.gdc.cancer.gov/cases/043a4745-566b-4106-b159-99cb8b394b81","TCGA-AA-3877-01A")</f>
        <v>TCGA-AA-3877-01A</v>
      </c>
      <c r="I16484" t="s">
        <v>69</v>
      </c>
      <c r="J16484" t="s">
        <v>245</v>
      </c>
      <c r="K16484" t="s">
        <v>33</v>
      </c>
      <c r="L16484" t="s">
        <v>546</v>
      </c>
      <c r="N16484" t="s">
        <v>29</v>
      </c>
    </row>
    <row r="16485" spans="1:14">
      <c r="A16485" s="4" t="str">
        <f t="shared" si="1228"/>
        <v>EXP00421</v>
      </c>
      <c r="B16485" s="3" t="s">
        <v>66</v>
      </c>
      <c r="C16485" s="4" t="str">
        <f t="shared" si="1229"/>
        <v>TCGA-COAD</v>
      </c>
      <c r="D16485" s="1" t="s">
        <v>493</v>
      </c>
      <c r="E16485" t="s">
        <v>545</v>
      </c>
      <c r="F16485" s="1">
        <v>2</v>
      </c>
      <c r="G16485" s="1" t="s">
        <v>28</v>
      </c>
      <c r="H16485" s="4" t="str">
        <f>HYPERLINK("https://portal.gdc.cancer.gov/cases/81f6b141-2195-4091-9cd3-dfb022663949","TCGA-AA-3930-01A")</f>
        <v>TCGA-AA-3930-01A</v>
      </c>
      <c r="I16485" t="s">
        <v>69</v>
      </c>
      <c r="J16485" t="s">
        <v>245</v>
      </c>
      <c r="K16485" t="s">
        <v>33</v>
      </c>
      <c r="L16485" t="s">
        <v>546</v>
      </c>
      <c r="N16485" t="s">
        <v>29</v>
      </c>
    </row>
    <row r="16486" spans="1:14">
      <c r="A16486" s="4" t="str">
        <f t="shared" si="1228"/>
        <v>EXP00421</v>
      </c>
      <c r="B16486" s="3" t="s">
        <v>66</v>
      </c>
      <c r="C16486" s="4" t="str">
        <f t="shared" si="1229"/>
        <v>TCGA-COAD</v>
      </c>
      <c r="D16486" s="1" t="s">
        <v>493</v>
      </c>
      <c r="E16486" t="s">
        <v>545</v>
      </c>
      <c r="F16486" s="1">
        <v>2</v>
      </c>
      <c r="G16486" s="1" t="s">
        <v>28</v>
      </c>
      <c r="H16486" s="4" t="str">
        <f>HYPERLINK("https://portal.gdc.cancer.gov/cases/81555ac5-9cc2-49ae-9033-657f56243f20","TCGA-AA-3939-01A")</f>
        <v>TCGA-AA-3939-01A</v>
      </c>
      <c r="I16486" t="s">
        <v>69</v>
      </c>
      <c r="J16486" t="s">
        <v>245</v>
      </c>
      <c r="K16486" t="s">
        <v>33</v>
      </c>
      <c r="L16486" t="s">
        <v>546</v>
      </c>
      <c r="N16486" t="s">
        <v>29</v>
      </c>
    </row>
    <row r="16487" spans="1:14">
      <c r="A16487" s="4" t="str">
        <f t="shared" si="1228"/>
        <v>EXP00421</v>
      </c>
      <c r="B16487" s="3" t="s">
        <v>66</v>
      </c>
      <c r="C16487" s="4" t="str">
        <f t="shared" si="1229"/>
        <v>TCGA-COAD</v>
      </c>
      <c r="D16487" s="1" t="s">
        <v>493</v>
      </c>
      <c r="E16487" t="s">
        <v>545</v>
      </c>
      <c r="F16487" s="1">
        <v>2</v>
      </c>
      <c r="G16487" s="1" t="s">
        <v>28</v>
      </c>
      <c r="H16487" s="4" t="str">
        <f>HYPERLINK("https://portal.gdc.cancer.gov/cases/835c3e23-ac2b-4bc9-ac65-e3e81adecf77","TCGA-AA-3941-01A")</f>
        <v>TCGA-AA-3941-01A</v>
      </c>
      <c r="I16487" t="s">
        <v>69</v>
      </c>
      <c r="J16487" t="s">
        <v>245</v>
      </c>
      <c r="K16487" t="s">
        <v>33</v>
      </c>
      <c r="L16487" t="s">
        <v>546</v>
      </c>
      <c r="N16487" t="s">
        <v>29</v>
      </c>
    </row>
    <row r="16488" spans="1:14">
      <c r="A16488" s="4" t="str">
        <f t="shared" si="1228"/>
        <v>EXP00421</v>
      </c>
      <c r="B16488" s="3" t="s">
        <v>66</v>
      </c>
      <c r="C16488" s="4" t="str">
        <f t="shared" si="1229"/>
        <v>TCGA-COAD</v>
      </c>
      <c r="D16488" s="1" t="s">
        <v>493</v>
      </c>
      <c r="E16488" t="s">
        <v>545</v>
      </c>
      <c r="F16488" s="1">
        <v>2</v>
      </c>
      <c r="G16488" s="1" t="s">
        <v>28</v>
      </c>
      <c r="H16488" s="4" t="str">
        <f>HYPERLINK("https://portal.gdc.cancer.gov/cases/654c6f5c-3e5c-49f0-b53f-87cd9797d7c9","TCGA-AA-3947-01A")</f>
        <v>TCGA-AA-3947-01A</v>
      </c>
      <c r="I16488" t="s">
        <v>69</v>
      </c>
      <c r="J16488" t="s">
        <v>245</v>
      </c>
      <c r="K16488" t="s">
        <v>33</v>
      </c>
      <c r="L16488" t="s">
        <v>546</v>
      </c>
      <c r="N16488" t="s">
        <v>29</v>
      </c>
    </row>
    <row r="16489" spans="1:14">
      <c r="A16489" s="4" t="str">
        <f t="shared" si="1228"/>
        <v>EXP00421</v>
      </c>
      <c r="B16489" s="3" t="s">
        <v>66</v>
      </c>
      <c r="C16489" s="4" t="str">
        <f t="shared" si="1229"/>
        <v>TCGA-COAD</v>
      </c>
      <c r="D16489" s="1" t="s">
        <v>493</v>
      </c>
      <c r="E16489" t="s">
        <v>545</v>
      </c>
      <c r="F16489" s="1">
        <v>2</v>
      </c>
      <c r="G16489" s="1" t="s">
        <v>28</v>
      </c>
      <c r="H16489" s="4" t="str">
        <f>HYPERLINK("https://portal.gdc.cancer.gov/cases/cbdabbcd-d8f1-4d7c-9e18-ebd83d888c51","TCGA-AA-3949-01A")</f>
        <v>TCGA-AA-3949-01A</v>
      </c>
      <c r="I16489" t="s">
        <v>69</v>
      </c>
      <c r="J16489" t="s">
        <v>245</v>
      </c>
      <c r="K16489" t="s">
        <v>33</v>
      </c>
      <c r="L16489" t="s">
        <v>546</v>
      </c>
      <c r="N16489" t="s">
        <v>29</v>
      </c>
    </row>
    <row r="16490" spans="1:14">
      <c r="A16490" s="4" t="str">
        <f t="shared" si="1228"/>
        <v>EXP00421</v>
      </c>
      <c r="B16490" s="3" t="s">
        <v>66</v>
      </c>
      <c r="C16490" s="4" t="str">
        <f t="shared" si="1229"/>
        <v>TCGA-COAD</v>
      </c>
      <c r="D16490" s="1" t="s">
        <v>493</v>
      </c>
      <c r="E16490" t="s">
        <v>545</v>
      </c>
      <c r="F16490" s="1">
        <v>2</v>
      </c>
      <c r="G16490" s="1" t="s">
        <v>28</v>
      </c>
      <c r="H16490" s="4" t="str">
        <f>HYPERLINK("https://portal.gdc.cancer.gov/cases/cc53bf9e-5e27-4305-a08b-552120c10aa5","TCGA-AA-3950-01A")</f>
        <v>TCGA-AA-3950-01A</v>
      </c>
      <c r="I16490" t="s">
        <v>69</v>
      </c>
      <c r="J16490" t="s">
        <v>245</v>
      </c>
      <c r="K16490" t="s">
        <v>33</v>
      </c>
      <c r="L16490" t="s">
        <v>546</v>
      </c>
      <c r="N16490" t="s">
        <v>29</v>
      </c>
    </row>
    <row r="16491" spans="1:14">
      <c r="A16491" s="4" t="str">
        <f t="shared" si="1228"/>
        <v>EXP00421</v>
      </c>
      <c r="B16491" s="3" t="s">
        <v>66</v>
      </c>
      <c r="C16491" s="4" t="str">
        <f t="shared" si="1229"/>
        <v>TCGA-COAD</v>
      </c>
      <c r="D16491" s="1" t="s">
        <v>493</v>
      </c>
      <c r="E16491" t="s">
        <v>545</v>
      </c>
      <c r="F16491" s="1">
        <v>2</v>
      </c>
      <c r="G16491" s="1" t="s">
        <v>28</v>
      </c>
      <c r="H16491" s="4" t="str">
        <f>HYPERLINK("https://portal.gdc.cancer.gov/cases/c1e141af-bdd1-4176-8c0e-cf1ab0c1d9d3","TCGA-AA-3952-01A")</f>
        <v>TCGA-AA-3952-01A</v>
      </c>
      <c r="I16491" t="s">
        <v>69</v>
      </c>
      <c r="J16491" t="s">
        <v>245</v>
      </c>
      <c r="K16491" t="s">
        <v>33</v>
      </c>
      <c r="L16491" t="s">
        <v>546</v>
      </c>
      <c r="N16491" t="s">
        <v>29</v>
      </c>
    </row>
    <row r="16492" spans="1:14">
      <c r="A16492" s="4" t="str">
        <f t="shared" si="1228"/>
        <v>EXP00421</v>
      </c>
      <c r="B16492" s="3" t="s">
        <v>66</v>
      </c>
      <c r="C16492" s="4" t="str">
        <f t="shared" si="1229"/>
        <v>TCGA-COAD</v>
      </c>
      <c r="D16492" s="1" t="s">
        <v>493</v>
      </c>
      <c r="E16492" t="s">
        <v>545</v>
      </c>
      <c r="F16492" s="1">
        <v>2</v>
      </c>
      <c r="G16492" s="1" t="s">
        <v>28</v>
      </c>
      <c r="H16492" s="4" t="str">
        <f>HYPERLINK("https://portal.gdc.cancer.gov/cases/5c24435e-8e50-42c2-80c7-919b1cad0133","TCGA-AA-3955-01A")</f>
        <v>TCGA-AA-3955-01A</v>
      </c>
      <c r="I16492" t="s">
        <v>69</v>
      </c>
      <c r="J16492" t="s">
        <v>245</v>
      </c>
      <c r="K16492" t="s">
        <v>33</v>
      </c>
      <c r="L16492" t="s">
        <v>546</v>
      </c>
      <c r="N16492" t="s">
        <v>29</v>
      </c>
    </row>
    <row r="16493" spans="1:14">
      <c r="A16493" s="4" t="str">
        <f t="shared" si="1228"/>
        <v>EXP00421</v>
      </c>
      <c r="B16493" s="3" t="s">
        <v>66</v>
      </c>
      <c r="C16493" s="4" t="str">
        <f t="shared" si="1229"/>
        <v>TCGA-COAD</v>
      </c>
      <c r="D16493" s="1" t="s">
        <v>493</v>
      </c>
      <c r="E16493" t="s">
        <v>545</v>
      </c>
      <c r="F16493" s="1">
        <v>2</v>
      </c>
      <c r="G16493" s="1" t="s">
        <v>28</v>
      </c>
      <c r="H16493" s="4" t="str">
        <f>HYPERLINK("https://portal.gdc.cancer.gov/cases/7b47489f-c3cc-4388-b5d7-c7c02790a5f6","TCGA-AA-3956-01A")</f>
        <v>TCGA-AA-3956-01A</v>
      </c>
      <c r="I16493" t="s">
        <v>69</v>
      </c>
      <c r="J16493" t="s">
        <v>245</v>
      </c>
      <c r="K16493" t="s">
        <v>33</v>
      </c>
      <c r="L16493" t="s">
        <v>546</v>
      </c>
      <c r="N16493" t="s">
        <v>29</v>
      </c>
    </row>
    <row r="16494" spans="1:14">
      <c r="A16494" s="4" t="str">
        <f t="shared" si="1228"/>
        <v>EXP00421</v>
      </c>
      <c r="B16494" s="3" t="s">
        <v>66</v>
      </c>
      <c r="C16494" s="4" t="str">
        <f t="shared" si="1229"/>
        <v>TCGA-COAD</v>
      </c>
      <c r="D16494" s="1" t="s">
        <v>493</v>
      </c>
      <c r="E16494" t="s">
        <v>545</v>
      </c>
      <c r="F16494" s="1">
        <v>2</v>
      </c>
      <c r="G16494" s="1" t="s">
        <v>28</v>
      </c>
      <c r="H16494" s="4" t="str">
        <f>HYPERLINK("https://portal.gdc.cancer.gov/cases/bc42fe2d-1a33-428d-a601-b1871f4c8d9b","TCGA-AA-3966-01A")</f>
        <v>TCGA-AA-3966-01A</v>
      </c>
      <c r="I16494" t="s">
        <v>69</v>
      </c>
      <c r="J16494" t="s">
        <v>245</v>
      </c>
      <c r="K16494" t="s">
        <v>33</v>
      </c>
      <c r="L16494" t="s">
        <v>546</v>
      </c>
      <c r="N16494" t="s">
        <v>29</v>
      </c>
    </row>
    <row r="16495" spans="1:14">
      <c r="A16495" s="4" t="str">
        <f t="shared" si="1228"/>
        <v>EXP00421</v>
      </c>
      <c r="B16495" s="3" t="s">
        <v>66</v>
      </c>
      <c r="C16495" s="4" t="str">
        <f t="shared" si="1229"/>
        <v>TCGA-COAD</v>
      </c>
      <c r="D16495" s="1" t="s">
        <v>493</v>
      </c>
      <c r="E16495" t="s">
        <v>545</v>
      </c>
      <c r="F16495" s="1">
        <v>2</v>
      </c>
      <c r="G16495" s="1" t="s">
        <v>28</v>
      </c>
      <c r="H16495" s="4" t="str">
        <f>HYPERLINK("https://portal.gdc.cancer.gov/cases/cab7bdbc-0a11-4901-97c3-26b884f79cb5","TCGA-AA-3968-01A")</f>
        <v>TCGA-AA-3968-01A</v>
      </c>
      <c r="I16495" t="s">
        <v>69</v>
      </c>
      <c r="J16495" t="s">
        <v>245</v>
      </c>
      <c r="K16495" t="s">
        <v>33</v>
      </c>
      <c r="L16495" t="s">
        <v>546</v>
      </c>
      <c r="N16495" t="s">
        <v>29</v>
      </c>
    </row>
    <row r="16496" spans="1:14">
      <c r="A16496" s="4" t="str">
        <f t="shared" si="1228"/>
        <v>EXP00421</v>
      </c>
      <c r="B16496" s="3" t="s">
        <v>66</v>
      </c>
      <c r="C16496" s="4" t="str">
        <f t="shared" si="1229"/>
        <v>TCGA-COAD</v>
      </c>
      <c r="D16496" s="1" t="s">
        <v>493</v>
      </c>
      <c r="E16496" t="s">
        <v>545</v>
      </c>
      <c r="F16496" s="1">
        <v>2</v>
      </c>
      <c r="G16496" s="1" t="s">
        <v>28</v>
      </c>
      <c r="H16496" s="4" t="str">
        <f>HYPERLINK("https://portal.gdc.cancer.gov/cases/733d8b6a-ca9d-4a69-8c9c-1f88733e8b68","TCGA-AA-3970-01A")</f>
        <v>TCGA-AA-3970-01A</v>
      </c>
      <c r="I16496" t="s">
        <v>69</v>
      </c>
      <c r="J16496" t="s">
        <v>245</v>
      </c>
      <c r="K16496" t="s">
        <v>33</v>
      </c>
      <c r="L16496" t="s">
        <v>546</v>
      </c>
      <c r="N16496" t="s">
        <v>29</v>
      </c>
    </row>
    <row r="16497" spans="1:14">
      <c r="A16497" s="4" t="str">
        <f t="shared" si="1228"/>
        <v>EXP00421</v>
      </c>
      <c r="B16497" s="3" t="s">
        <v>66</v>
      </c>
      <c r="C16497" s="4" t="str">
        <f t="shared" si="1229"/>
        <v>TCGA-COAD</v>
      </c>
      <c r="D16497" s="1" t="s">
        <v>493</v>
      </c>
      <c r="E16497" t="s">
        <v>545</v>
      </c>
      <c r="F16497" s="1">
        <v>2</v>
      </c>
      <c r="G16497" s="1" t="s">
        <v>28</v>
      </c>
      <c r="H16497" s="4" t="str">
        <f>HYPERLINK("https://portal.gdc.cancer.gov/cases/10994156-7c2f-420e-aeb8-11d566b3d5e4","TCGA-AA-3971-01A")</f>
        <v>TCGA-AA-3971-01A</v>
      </c>
      <c r="I16497" t="s">
        <v>69</v>
      </c>
      <c r="J16497" t="s">
        <v>245</v>
      </c>
      <c r="K16497" t="s">
        <v>33</v>
      </c>
      <c r="L16497" t="s">
        <v>546</v>
      </c>
      <c r="N16497" t="s">
        <v>29</v>
      </c>
    </row>
    <row r="16498" spans="1:14">
      <c r="A16498" s="4" t="str">
        <f t="shared" si="1228"/>
        <v>EXP00421</v>
      </c>
      <c r="B16498" s="3" t="s">
        <v>66</v>
      </c>
      <c r="C16498" s="4" t="str">
        <f t="shared" si="1229"/>
        <v>TCGA-COAD</v>
      </c>
      <c r="D16498" s="1" t="s">
        <v>493</v>
      </c>
      <c r="E16498" t="s">
        <v>545</v>
      </c>
      <c r="F16498" s="1">
        <v>2</v>
      </c>
      <c r="G16498" s="1" t="s">
        <v>28</v>
      </c>
      <c r="H16498" s="4" t="str">
        <f>HYPERLINK("https://portal.gdc.cancer.gov/cases/93cd5d07-e0d3-40f8-ae7f-beadb1efb7c1","TCGA-AA-3972-01A")</f>
        <v>TCGA-AA-3972-01A</v>
      </c>
      <c r="I16498" t="s">
        <v>69</v>
      </c>
      <c r="J16498" t="s">
        <v>245</v>
      </c>
      <c r="K16498" t="s">
        <v>33</v>
      </c>
      <c r="L16498" t="s">
        <v>546</v>
      </c>
      <c r="N16498" t="s">
        <v>29</v>
      </c>
    </row>
    <row r="16499" spans="1:14">
      <c r="A16499" s="4" t="str">
        <f t="shared" si="1228"/>
        <v>EXP00421</v>
      </c>
      <c r="B16499" s="3" t="s">
        <v>66</v>
      </c>
      <c r="C16499" s="4" t="str">
        <f t="shared" si="1229"/>
        <v>TCGA-COAD</v>
      </c>
      <c r="D16499" s="1" t="s">
        <v>493</v>
      </c>
      <c r="E16499" t="s">
        <v>545</v>
      </c>
      <c r="F16499" s="1">
        <v>2</v>
      </c>
      <c r="G16499" s="1" t="s">
        <v>28</v>
      </c>
      <c r="H16499" s="4" t="str">
        <f>HYPERLINK("https://portal.gdc.cancer.gov/cases/e8841edf-e070-425b-b4d4-bbb2115f9dbd","TCGA-AA-3973-01A")</f>
        <v>TCGA-AA-3973-01A</v>
      </c>
      <c r="I16499" t="s">
        <v>69</v>
      </c>
      <c r="J16499" t="s">
        <v>245</v>
      </c>
      <c r="K16499" t="s">
        <v>33</v>
      </c>
      <c r="L16499" t="s">
        <v>546</v>
      </c>
      <c r="N16499" t="s">
        <v>29</v>
      </c>
    </row>
    <row r="16500" spans="1:14">
      <c r="A16500" s="4" t="str">
        <f t="shared" si="1228"/>
        <v>EXP00421</v>
      </c>
      <c r="B16500" s="3" t="s">
        <v>66</v>
      </c>
      <c r="C16500" s="4" t="str">
        <f t="shared" si="1229"/>
        <v>TCGA-COAD</v>
      </c>
      <c r="D16500" s="1" t="s">
        <v>493</v>
      </c>
      <c r="E16500" t="s">
        <v>545</v>
      </c>
      <c r="F16500" s="1">
        <v>2</v>
      </c>
      <c r="G16500" s="1" t="s">
        <v>28</v>
      </c>
      <c r="H16500" s="4" t="str">
        <f>HYPERLINK("https://portal.gdc.cancer.gov/cases/a9cb21d1-4c4a-4f30-ad4d-c54bed26f187","TCGA-AA-3975-01A")</f>
        <v>TCGA-AA-3975-01A</v>
      </c>
      <c r="I16500" t="s">
        <v>69</v>
      </c>
      <c r="J16500" t="s">
        <v>245</v>
      </c>
      <c r="K16500" t="s">
        <v>33</v>
      </c>
      <c r="L16500" t="s">
        <v>546</v>
      </c>
      <c r="N16500" t="s">
        <v>29</v>
      </c>
    </row>
    <row r="16501" spans="1:14">
      <c r="A16501" s="4" t="str">
        <f t="shared" si="1228"/>
        <v>EXP00421</v>
      </c>
      <c r="B16501" s="3" t="s">
        <v>66</v>
      </c>
      <c r="C16501" s="4" t="str">
        <f t="shared" si="1229"/>
        <v>TCGA-COAD</v>
      </c>
      <c r="D16501" s="1" t="s">
        <v>493</v>
      </c>
      <c r="E16501" t="s">
        <v>545</v>
      </c>
      <c r="F16501" s="1">
        <v>2</v>
      </c>
      <c r="G16501" s="1" t="s">
        <v>28</v>
      </c>
      <c r="H16501" s="4" t="str">
        <f>HYPERLINK("https://portal.gdc.cancer.gov/cases/14efca0c-882d-4fba-b15c-64af6e213b80","TCGA-AA-3976-01A")</f>
        <v>TCGA-AA-3976-01A</v>
      </c>
      <c r="I16501" t="s">
        <v>69</v>
      </c>
      <c r="J16501" t="s">
        <v>245</v>
      </c>
      <c r="K16501" t="s">
        <v>33</v>
      </c>
      <c r="L16501" t="s">
        <v>546</v>
      </c>
      <c r="N16501" t="s">
        <v>29</v>
      </c>
    </row>
    <row r="16502" spans="1:14">
      <c r="A16502" s="4" t="str">
        <f t="shared" si="1228"/>
        <v>EXP00421</v>
      </c>
      <c r="B16502" s="3" t="s">
        <v>66</v>
      </c>
      <c r="C16502" s="4" t="str">
        <f t="shared" si="1229"/>
        <v>TCGA-COAD</v>
      </c>
      <c r="D16502" s="1" t="s">
        <v>493</v>
      </c>
      <c r="E16502" t="s">
        <v>545</v>
      </c>
      <c r="F16502" s="1">
        <v>2</v>
      </c>
      <c r="G16502" s="1" t="s">
        <v>28</v>
      </c>
      <c r="H16502" s="4" t="str">
        <f>HYPERLINK("https://portal.gdc.cancer.gov/cases/33e989b9-fac4-47d8-b429-269044ac772a","TCGA-AA-3977-01A")</f>
        <v>TCGA-AA-3977-01A</v>
      </c>
      <c r="I16502" t="s">
        <v>69</v>
      </c>
      <c r="J16502" t="s">
        <v>245</v>
      </c>
      <c r="K16502" t="s">
        <v>33</v>
      </c>
      <c r="L16502" t="s">
        <v>546</v>
      </c>
      <c r="N16502" t="s">
        <v>29</v>
      </c>
    </row>
    <row r="16503" spans="1:14">
      <c r="A16503" s="4" t="str">
        <f t="shared" si="1228"/>
        <v>EXP00421</v>
      </c>
      <c r="B16503" s="3" t="s">
        <v>66</v>
      </c>
      <c r="C16503" s="4" t="str">
        <f t="shared" si="1229"/>
        <v>TCGA-COAD</v>
      </c>
      <c r="D16503" s="1" t="s">
        <v>493</v>
      </c>
      <c r="E16503" t="s">
        <v>545</v>
      </c>
      <c r="F16503" s="1">
        <v>2</v>
      </c>
      <c r="G16503" s="1" t="s">
        <v>28</v>
      </c>
      <c r="H16503" s="4" t="str">
        <f>HYPERLINK("https://portal.gdc.cancer.gov/cases/af17788e-a562-43aa-bd36-fd3e031f483c","TCGA-AA-3979-01A")</f>
        <v>TCGA-AA-3979-01A</v>
      </c>
      <c r="I16503" t="s">
        <v>69</v>
      </c>
      <c r="J16503" t="s">
        <v>245</v>
      </c>
      <c r="K16503" t="s">
        <v>33</v>
      </c>
      <c r="L16503" t="s">
        <v>546</v>
      </c>
      <c r="N16503" t="s">
        <v>29</v>
      </c>
    </row>
    <row r="16504" spans="1:14">
      <c r="A16504" s="4" t="str">
        <f t="shared" si="1228"/>
        <v>EXP00421</v>
      </c>
      <c r="B16504" s="3" t="s">
        <v>66</v>
      </c>
      <c r="C16504" s="4" t="str">
        <f t="shared" si="1229"/>
        <v>TCGA-COAD</v>
      </c>
      <c r="D16504" s="1" t="s">
        <v>493</v>
      </c>
      <c r="E16504" t="s">
        <v>545</v>
      </c>
      <c r="F16504" s="1">
        <v>2</v>
      </c>
      <c r="G16504" s="1" t="s">
        <v>28</v>
      </c>
      <c r="H16504" s="4" t="str">
        <f>HYPERLINK("https://portal.gdc.cancer.gov/cases/384400c1-98d6-4cc3-8724-de6711f6208b","TCGA-AA-3980-01A")</f>
        <v>TCGA-AA-3980-01A</v>
      </c>
      <c r="I16504" t="s">
        <v>69</v>
      </c>
      <c r="J16504" t="s">
        <v>245</v>
      </c>
      <c r="K16504" t="s">
        <v>33</v>
      </c>
      <c r="L16504" t="s">
        <v>546</v>
      </c>
      <c r="N16504" t="s">
        <v>29</v>
      </c>
    </row>
    <row r="16505" spans="1:14">
      <c r="A16505" s="4" t="str">
        <f t="shared" ref="A16505:A16568" si="1230">HYPERLINK("http://hcmdb.i-sanger.com/experiment/details/experiment_id/EXP00421","EXP00421")</f>
        <v>EXP00421</v>
      </c>
      <c r="B16505" s="3" t="s">
        <v>66</v>
      </c>
      <c r="C16505" s="4" t="str">
        <f t="shared" ref="C16505:C16568" si="1231">HYPERLINK("https://portal.gdc.cancer.gov/projects/TCGA-COAD","TCGA-COAD")</f>
        <v>TCGA-COAD</v>
      </c>
      <c r="D16505" s="1" t="s">
        <v>493</v>
      </c>
      <c r="E16505" t="s">
        <v>545</v>
      </c>
      <c r="F16505" s="1">
        <v>2</v>
      </c>
      <c r="G16505" s="1" t="s">
        <v>28</v>
      </c>
      <c r="H16505" s="4" t="str">
        <f>HYPERLINK("https://portal.gdc.cancer.gov/cases/5a195baa-2d05-4273-a7c4-64cc816b0406","TCGA-AA-3982-01A")</f>
        <v>TCGA-AA-3982-01A</v>
      </c>
      <c r="I16505" t="s">
        <v>69</v>
      </c>
      <c r="J16505" t="s">
        <v>245</v>
      </c>
      <c r="K16505" t="s">
        <v>33</v>
      </c>
      <c r="L16505" t="s">
        <v>546</v>
      </c>
      <c r="N16505" t="s">
        <v>29</v>
      </c>
    </row>
    <row r="16506" spans="1:14">
      <c r="A16506" s="4" t="str">
        <f t="shared" si="1230"/>
        <v>EXP00421</v>
      </c>
      <c r="B16506" s="3" t="s">
        <v>66</v>
      </c>
      <c r="C16506" s="4" t="str">
        <f t="shared" si="1231"/>
        <v>TCGA-COAD</v>
      </c>
      <c r="D16506" s="1" t="s">
        <v>493</v>
      </c>
      <c r="E16506" t="s">
        <v>545</v>
      </c>
      <c r="F16506" s="1">
        <v>2</v>
      </c>
      <c r="G16506" s="1" t="s">
        <v>28</v>
      </c>
      <c r="H16506" s="4" t="str">
        <f>HYPERLINK("https://portal.gdc.cancer.gov/cases/db246424-3979-4f23-b316-8d30c449ee15","TCGA-AA-3984-01A")</f>
        <v>TCGA-AA-3984-01A</v>
      </c>
      <c r="I16506" t="s">
        <v>69</v>
      </c>
      <c r="J16506" t="s">
        <v>245</v>
      </c>
      <c r="K16506" t="s">
        <v>33</v>
      </c>
      <c r="L16506" t="s">
        <v>546</v>
      </c>
      <c r="N16506" t="s">
        <v>29</v>
      </c>
    </row>
    <row r="16507" spans="1:14">
      <c r="A16507" s="4" t="str">
        <f t="shared" si="1230"/>
        <v>EXP00421</v>
      </c>
      <c r="B16507" s="3" t="s">
        <v>66</v>
      </c>
      <c r="C16507" s="4" t="str">
        <f t="shared" si="1231"/>
        <v>TCGA-COAD</v>
      </c>
      <c r="D16507" s="1" t="s">
        <v>493</v>
      </c>
      <c r="E16507" t="s">
        <v>545</v>
      </c>
      <c r="F16507" s="1">
        <v>2</v>
      </c>
      <c r="G16507" s="1" t="s">
        <v>28</v>
      </c>
      <c r="H16507" s="4" t="str">
        <f>HYPERLINK("https://portal.gdc.cancer.gov/cases/04d7a52f-a89b-4114-a608-a6254b4d604f","TCGA-AA-3986-01A")</f>
        <v>TCGA-AA-3986-01A</v>
      </c>
      <c r="I16507" t="s">
        <v>69</v>
      </c>
      <c r="J16507" t="s">
        <v>245</v>
      </c>
      <c r="K16507" t="s">
        <v>33</v>
      </c>
      <c r="L16507" t="s">
        <v>546</v>
      </c>
      <c r="N16507" t="s">
        <v>29</v>
      </c>
    </row>
    <row r="16508" spans="1:14">
      <c r="A16508" s="4" t="str">
        <f t="shared" si="1230"/>
        <v>EXP00421</v>
      </c>
      <c r="B16508" s="3" t="s">
        <v>66</v>
      </c>
      <c r="C16508" s="4" t="str">
        <f t="shared" si="1231"/>
        <v>TCGA-COAD</v>
      </c>
      <c r="D16508" s="1" t="s">
        <v>493</v>
      </c>
      <c r="E16508" t="s">
        <v>545</v>
      </c>
      <c r="F16508" s="1">
        <v>2</v>
      </c>
      <c r="G16508" s="1" t="s">
        <v>28</v>
      </c>
      <c r="H16508" s="4" t="str">
        <f>HYPERLINK("https://portal.gdc.cancer.gov/cases/d5619045-060a-4b60-86e4-6a5774994fd4","TCGA-AA-3989-01A")</f>
        <v>TCGA-AA-3989-01A</v>
      </c>
      <c r="I16508" t="s">
        <v>69</v>
      </c>
      <c r="J16508" t="s">
        <v>245</v>
      </c>
      <c r="K16508" t="s">
        <v>33</v>
      </c>
      <c r="L16508" t="s">
        <v>546</v>
      </c>
      <c r="N16508" t="s">
        <v>29</v>
      </c>
    </row>
    <row r="16509" spans="1:14">
      <c r="A16509" s="4" t="str">
        <f t="shared" si="1230"/>
        <v>EXP00421</v>
      </c>
      <c r="B16509" s="3" t="s">
        <v>66</v>
      </c>
      <c r="C16509" s="4" t="str">
        <f t="shared" si="1231"/>
        <v>TCGA-COAD</v>
      </c>
      <c r="D16509" s="1" t="s">
        <v>493</v>
      </c>
      <c r="E16509" t="s">
        <v>545</v>
      </c>
      <c r="F16509" s="1">
        <v>2</v>
      </c>
      <c r="G16509" s="1" t="s">
        <v>28</v>
      </c>
      <c r="H16509" s="4" t="str">
        <f>HYPERLINK("https://portal.gdc.cancer.gov/cases/750770db-53cf-4021-a8c2-5e0ddb97fef5","TCGA-AA-3994-01A")</f>
        <v>TCGA-AA-3994-01A</v>
      </c>
      <c r="I16509" t="s">
        <v>69</v>
      </c>
      <c r="J16509" t="s">
        <v>245</v>
      </c>
      <c r="K16509" t="s">
        <v>33</v>
      </c>
      <c r="L16509" t="s">
        <v>546</v>
      </c>
      <c r="N16509" t="s">
        <v>29</v>
      </c>
    </row>
    <row r="16510" spans="1:14">
      <c r="A16510" s="4" t="str">
        <f t="shared" si="1230"/>
        <v>EXP00421</v>
      </c>
      <c r="B16510" s="3" t="s">
        <v>66</v>
      </c>
      <c r="C16510" s="4" t="str">
        <f t="shared" si="1231"/>
        <v>TCGA-COAD</v>
      </c>
      <c r="D16510" s="1" t="s">
        <v>493</v>
      </c>
      <c r="E16510" t="s">
        <v>545</v>
      </c>
      <c r="F16510" s="1">
        <v>2</v>
      </c>
      <c r="G16510" s="1" t="s">
        <v>28</v>
      </c>
      <c r="H16510" s="4" t="str">
        <f>HYPERLINK("https://portal.gdc.cancer.gov/cases/081a3dc7-45e1-457d-add0-c4686140a8d0","TCGA-AA-A00D-01A")</f>
        <v>TCGA-AA-A00D-01A</v>
      </c>
      <c r="I16510" t="s">
        <v>69</v>
      </c>
      <c r="J16510" t="s">
        <v>245</v>
      </c>
      <c r="K16510" t="s">
        <v>33</v>
      </c>
      <c r="L16510" t="s">
        <v>546</v>
      </c>
      <c r="N16510" t="s">
        <v>29</v>
      </c>
    </row>
    <row r="16511" spans="1:14">
      <c r="A16511" s="4" t="str">
        <f t="shared" si="1230"/>
        <v>EXP00421</v>
      </c>
      <c r="B16511" s="3" t="s">
        <v>66</v>
      </c>
      <c r="C16511" s="4" t="str">
        <f t="shared" si="1231"/>
        <v>TCGA-COAD</v>
      </c>
      <c r="D16511" s="1" t="s">
        <v>493</v>
      </c>
      <c r="E16511" t="s">
        <v>545</v>
      </c>
      <c r="F16511" s="1">
        <v>2</v>
      </c>
      <c r="G16511" s="1" t="s">
        <v>28</v>
      </c>
      <c r="H16511" s="4" t="str">
        <f>HYPERLINK("https://portal.gdc.cancer.gov/cases/56e612e8-2c29-4782-be79-2813cc8dd2e6","TCGA-AA-A00J-01A")</f>
        <v>TCGA-AA-A00J-01A</v>
      </c>
      <c r="I16511" t="s">
        <v>69</v>
      </c>
      <c r="J16511" t="s">
        <v>245</v>
      </c>
      <c r="K16511" t="s">
        <v>33</v>
      </c>
      <c r="L16511" t="s">
        <v>546</v>
      </c>
      <c r="N16511" t="s">
        <v>29</v>
      </c>
    </row>
    <row r="16512" spans="1:14">
      <c r="A16512" s="4" t="str">
        <f t="shared" si="1230"/>
        <v>EXP00421</v>
      </c>
      <c r="B16512" s="3" t="s">
        <v>66</v>
      </c>
      <c r="C16512" s="4" t="str">
        <f t="shared" si="1231"/>
        <v>TCGA-COAD</v>
      </c>
      <c r="D16512" s="1" t="s">
        <v>493</v>
      </c>
      <c r="E16512" t="s">
        <v>545</v>
      </c>
      <c r="F16512" s="1">
        <v>2</v>
      </c>
      <c r="G16512" s="1" t="s">
        <v>28</v>
      </c>
      <c r="H16512" s="4" t="str">
        <f>HYPERLINK("https://portal.gdc.cancer.gov/cases/381cf7f3-cd7b-4660-8175-ff8062f7bf78","TCGA-AA-A00L-01A")</f>
        <v>TCGA-AA-A00L-01A</v>
      </c>
      <c r="I16512" t="s">
        <v>69</v>
      </c>
      <c r="J16512" t="s">
        <v>245</v>
      </c>
      <c r="K16512" t="s">
        <v>33</v>
      </c>
      <c r="L16512" t="s">
        <v>546</v>
      </c>
      <c r="N16512" t="s">
        <v>29</v>
      </c>
    </row>
    <row r="16513" spans="1:14">
      <c r="A16513" s="4" t="str">
        <f t="shared" si="1230"/>
        <v>EXP00421</v>
      </c>
      <c r="B16513" s="3" t="s">
        <v>66</v>
      </c>
      <c r="C16513" s="4" t="str">
        <f t="shared" si="1231"/>
        <v>TCGA-COAD</v>
      </c>
      <c r="D16513" s="1" t="s">
        <v>493</v>
      </c>
      <c r="E16513" t="s">
        <v>545</v>
      </c>
      <c r="F16513" s="1">
        <v>2</v>
      </c>
      <c r="G16513" s="1" t="s">
        <v>28</v>
      </c>
      <c r="H16513" s="4" t="str">
        <f>HYPERLINK("https://portal.gdc.cancer.gov/cases/01f493d4-229d-47a6-baa8-32a342c65d01","TCGA-AA-A00O-01A")</f>
        <v>TCGA-AA-A00O-01A</v>
      </c>
      <c r="I16513" t="s">
        <v>69</v>
      </c>
      <c r="J16513" t="s">
        <v>245</v>
      </c>
      <c r="K16513" t="s">
        <v>33</v>
      </c>
      <c r="L16513" t="s">
        <v>546</v>
      </c>
      <c r="N16513" t="s">
        <v>29</v>
      </c>
    </row>
    <row r="16514" spans="1:14">
      <c r="A16514" s="4" t="str">
        <f t="shared" si="1230"/>
        <v>EXP00421</v>
      </c>
      <c r="B16514" s="3" t="s">
        <v>66</v>
      </c>
      <c r="C16514" s="4" t="str">
        <f t="shared" si="1231"/>
        <v>TCGA-COAD</v>
      </c>
      <c r="D16514" s="1" t="s">
        <v>493</v>
      </c>
      <c r="E16514" t="s">
        <v>545</v>
      </c>
      <c r="F16514" s="1">
        <v>2</v>
      </c>
      <c r="G16514" s="1" t="s">
        <v>28</v>
      </c>
      <c r="H16514" s="4" t="str">
        <f>HYPERLINK("https://portal.gdc.cancer.gov/cases/62d39be5-f029-4eb8-8b00-46470e06a755","TCGA-AA-A00Q-01A")</f>
        <v>TCGA-AA-A00Q-01A</v>
      </c>
      <c r="I16514" t="s">
        <v>69</v>
      </c>
      <c r="J16514" t="s">
        <v>245</v>
      </c>
      <c r="K16514" t="s">
        <v>33</v>
      </c>
      <c r="L16514" t="s">
        <v>546</v>
      </c>
      <c r="N16514" t="s">
        <v>29</v>
      </c>
    </row>
    <row r="16515" spans="1:14">
      <c r="A16515" s="4" t="str">
        <f t="shared" si="1230"/>
        <v>EXP00421</v>
      </c>
      <c r="B16515" s="3" t="s">
        <v>66</v>
      </c>
      <c r="C16515" s="4" t="str">
        <f t="shared" si="1231"/>
        <v>TCGA-COAD</v>
      </c>
      <c r="D16515" s="1" t="s">
        <v>493</v>
      </c>
      <c r="E16515" t="s">
        <v>545</v>
      </c>
      <c r="F16515" s="1">
        <v>2</v>
      </c>
      <c r="G16515" s="1" t="s">
        <v>28</v>
      </c>
      <c r="H16515" s="4" t="str">
        <f>HYPERLINK("https://portal.gdc.cancer.gov/cases/091e3084-04ee-4497-893c-d46226dec78f","TCGA-AA-A00U-01A")</f>
        <v>TCGA-AA-A00U-01A</v>
      </c>
      <c r="I16515" t="s">
        <v>69</v>
      </c>
      <c r="J16515" t="s">
        <v>245</v>
      </c>
      <c r="K16515" t="s">
        <v>33</v>
      </c>
      <c r="L16515" t="s">
        <v>546</v>
      </c>
      <c r="N16515" t="s">
        <v>29</v>
      </c>
    </row>
    <row r="16516" spans="1:14">
      <c r="A16516" s="4" t="str">
        <f t="shared" si="1230"/>
        <v>EXP00421</v>
      </c>
      <c r="B16516" s="3" t="s">
        <v>66</v>
      </c>
      <c r="C16516" s="4" t="str">
        <f t="shared" si="1231"/>
        <v>TCGA-COAD</v>
      </c>
      <c r="D16516" s="1" t="s">
        <v>493</v>
      </c>
      <c r="E16516" t="s">
        <v>545</v>
      </c>
      <c r="F16516" s="1">
        <v>2</v>
      </c>
      <c r="G16516" s="1" t="s">
        <v>28</v>
      </c>
      <c r="H16516" s="4" t="str">
        <f>HYPERLINK("https://portal.gdc.cancer.gov/cases/fa96d094-0165-401c-8fd5-6d1ee4ef3994","TCGA-AA-A00W-01A")</f>
        <v>TCGA-AA-A00W-01A</v>
      </c>
      <c r="I16516" t="s">
        <v>69</v>
      </c>
      <c r="J16516" t="s">
        <v>245</v>
      </c>
      <c r="K16516" t="s">
        <v>33</v>
      </c>
      <c r="L16516" t="s">
        <v>546</v>
      </c>
      <c r="N16516" t="s">
        <v>29</v>
      </c>
    </row>
    <row r="16517" spans="1:14">
      <c r="A16517" s="4" t="str">
        <f t="shared" si="1230"/>
        <v>EXP00421</v>
      </c>
      <c r="B16517" s="3" t="s">
        <v>66</v>
      </c>
      <c r="C16517" s="4" t="str">
        <f t="shared" si="1231"/>
        <v>TCGA-COAD</v>
      </c>
      <c r="D16517" s="1" t="s">
        <v>493</v>
      </c>
      <c r="E16517" t="s">
        <v>545</v>
      </c>
      <c r="F16517" s="1">
        <v>2</v>
      </c>
      <c r="G16517" s="1" t="s">
        <v>28</v>
      </c>
      <c r="H16517" s="4" t="str">
        <f>HYPERLINK("https://portal.gdc.cancer.gov/cases/0712566e-3371-4715-95f1-5b792e72d758","TCGA-AA-A010-01A")</f>
        <v>TCGA-AA-A010-01A</v>
      </c>
      <c r="I16517" t="s">
        <v>69</v>
      </c>
      <c r="J16517" t="s">
        <v>245</v>
      </c>
      <c r="K16517" t="s">
        <v>33</v>
      </c>
      <c r="L16517" t="s">
        <v>546</v>
      </c>
      <c r="N16517" t="s">
        <v>29</v>
      </c>
    </row>
    <row r="16518" spans="1:14">
      <c r="A16518" s="4" t="str">
        <f t="shared" si="1230"/>
        <v>EXP00421</v>
      </c>
      <c r="B16518" s="3" t="s">
        <v>66</v>
      </c>
      <c r="C16518" s="4" t="str">
        <f t="shared" si="1231"/>
        <v>TCGA-COAD</v>
      </c>
      <c r="D16518" s="1" t="s">
        <v>493</v>
      </c>
      <c r="E16518" t="s">
        <v>545</v>
      </c>
      <c r="F16518" s="1">
        <v>2</v>
      </c>
      <c r="G16518" s="1" t="s">
        <v>28</v>
      </c>
      <c r="H16518" s="4" t="str">
        <f>HYPERLINK("https://portal.gdc.cancer.gov/cases/e2edbf3f-25d8-49aa-b656-2a59c3b99aeb","TCGA-AA-A01D-01A")</f>
        <v>TCGA-AA-A01D-01A</v>
      </c>
      <c r="I16518" t="s">
        <v>69</v>
      </c>
      <c r="J16518" t="s">
        <v>245</v>
      </c>
      <c r="K16518" t="s">
        <v>33</v>
      </c>
      <c r="L16518" t="s">
        <v>546</v>
      </c>
      <c r="N16518" t="s">
        <v>29</v>
      </c>
    </row>
    <row r="16519" spans="1:14">
      <c r="A16519" s="4" t="str">
        <f t="shared" si="1230"/>
        <v>EXP00421</v>
      </c>
      <c r="B16519" s="3" t="s">
        <v>66</v>
      </c>
      <c r="C16519" s="4" t="str">
        <f t="shared" si="1231"/>
        <v>TCGA-COAD</v>
      </c>
      <c r="D16519" s="1" t="s">
        <v>493</v>
      </c>
      <c r="E16519" t="s">
        <v>545</v>
      </c>
      <c r="F16519" s="1">
        <v>2</v>
      </c>
      <c r="G16519" s="1" t="s">
        <v>28</v>
      </c>
      <c r="H16519" s="4" t="str">
        <f>HYPERLINK("https://portal.gdc.cancer.gov/cases/132229e5-947d-43e9-a54c-a97d4be7d604","TCGA-AA-A01F-01A")</f>
        <v>TCGA-AA-A01F-01A</v>
      </c>
      <c r="I16519" t="s">
        <v>69</v>
      </c>
      <c r="J16519" t="s">
        <v>245</v>
      </c>
      <c r="K16519" t="s">
        <v>33</v>
      </c>
      <c r="L16519" t="s">
        <v>546</v>
      </c>
      <c r="N16519" t="s">
        <v>29</v>
      </c>
    </row>
    <row r="16520" spans="1:14">
      <c r="A16520" s="4" t="str">
        <f t="shared" si="1230"/>
        <v>EXP00421</v>
      </c>
      <c r="B16520" s="3" t="s">
        <v>66</v>
      </c>
      <c r="C16520" s="4" t="str">
        <f t="shared" si="1231"/>
        <v>TCGA-COAD</v>
      </c>
      <c r="D16520" s="1" t="s">
        <v>493</v>
      </c>
      <c r="E16520" t="s">
        <v>545</v>
      </c>
      <c r="F16520" s="1">
        <v>2</v>
      </c>
      <c r="G16520" s="1" t="s">
        <v>28</v>
      </c>
      <c r="H16520" s="4" t="str">
        <f>HYPERLINK("https://portal.gdc.cancer.gov/cases/6f2b5a14-569c-4084-8c67-b1a44d787897","TCGA-AA-A01G-01A")</f>
        <v>TCGA-AA-A01G-01A</v>
      </c>
      <c r="I16520" t="s">
        <v>69</v>
      </c>
      <c r="J16520" t="s">
        <v>245</v>
      </c>
      <c r="K16520" t="s">
        <v>33</v>
      </c>
      <c r="L16520" t="s">
        <v>546</v>
      </c>
      <c r="N16520" t="s">
        <v>29</v>
      </c>
    </row>
    <row r="16521" spans="1:14">
      <c r="A16521" s="4" t="str">
        <f t="shared" si="1230"/>
        <v>EXP00421</v>
      </c>
      <c r="B16521" s="3" t="s">
        <v>66</v>
      </c>
      <c r="C16521" s="4" t="str">
        <f t="shared" si="1231"/>
        <v>TCGA-COAD</v>
      </c>
      <c r="D16521" s="1" t="s">
        <v>493</v>
      </c>
      <c r="E16521" t="s">
        <v>545</v>
      </c>
      <c r="F16521" s="1">
        <v>2</v>
      </c>
      <c r="G16521" s="1" t="s">
        <v>28</v>
      </c>
      <c r="H16521" s="4" t="str">
        <f>HYPERLINK("https://portal.gdc.cancer.gov/cases/13ae9d83-a22f-451f-88bb-686051725cf3","TCGA-AA-A01P-01A")</f>
        <v>TCGA-AA-A01P-01A</v>
      </c>
      <c r="I16521" t="s">
        <v>69</v>
      </c>
      <c r="J16521" t="s">
        <v>245</v>
      </c>
      <c r="K16521" t="s">
        <v>33</v>
      </c>
      <c r="L16521" t="s">
        <v>546</v>
      </c>
      <c r="N16521" t="s">
        <v>29</v>
      </c>
    </row>
    <row r="16522" spans="1:14">
      <c r="A16522" s="4" t="str">
        <f t="shared" si="1230"/>
        <v>EXP00421</v>
      </c>
      <c r="B16522" s="3" t="s">
        <v>66</v>
      </c>
      <c r="C16522" s="4" t="str">
        <f t="shared" si="1231"/>
        <v>TCGA-COAD</v>
      </c>
      <c r="D16522" s="1" t="s">
        <v>493</v>
      </c>
      <c r="E16522" t="s">
        <v>545</v>
      </c>
      <c r="F16522" s="1">
        <v>2</v>
      </c>
      <c r="G16522" s="1" t="s">
        <v>28</v>
      </c>
      <c r="H16522" s="4" t="str">
        <f>HYPERLINK("https://portal.gdc.cancer.gov/cases/97f6c8d3-09a0-4128-8f10-41e736648a5f","TCGA-AA-A01R-01A")</f>
        <v>TCGA-AA-A01R-01A</v>
      </c>
      <c r="I16522" t="s">
        <v>69</v>
      </c>
      <c r="J16522" t="s">
        <v>245</v>
      </c>
      <c r="K16522" t="s">
        <v>33</v>
      </c>
      <c r="L16522" t="s">
        <v>546</v>
      </c>
      <c r="N16522" t="s">
        <v>29</v>
      </c>
    </row>
    <row r="16523" spans="1:14">
      <c r="A16523" s="4" t="str">
        <f t="shared" si="1230"/>
        <v>EXP00421</v>
      </c>
      <c r="B16523" s="3" t="s">
        <v>66</v>
      </c>
      <c r="C16523" s="4" t="str">
        <f t="shared" si="1231"/>
        <v>TCGA-COAD</v>
      </c>
      <c r="D16523" s="1" t="s">
        <v>493</v>
      </c>
      <c r="E16523" t="s">
        <v>545</v>
      </c>
      <c r="F16523" s="1">
        <v>2</v>
      </c>
      <c r="G16523" s="1" t="s">
        <v>28</v>
      </c>
      <c r="H16523" s="4" t="str">
        <f>HYPERLINK("https://portal.gdc.cancer.gov/cases/84e34cf2-b3bb-4a1a-8fb7-6c2c604c4008","TCGA-AA-A01S-01A")</f>
        <v>TCGA-AA-A01S-01A</v>
      </c>
      <c r="I16523" t="s">
        <v>69</v>
      </c>
      <c r="J16523" t="s">
        <v>245</v>
      </c>
      <c r="K16523" t="s">
        <v>33</v>
      </c>
      <c r="L16523" t="s">
        <v>546</v>
      </c>
      <c r="N16523" t="s">
        <v>29</v>
      </c>
    </row>
    <row r="16524" spans="1:14">
      <c r="A16524" s="4" t="str">
        <f t="shared" si="1230"/>
        <v>EXP00421</v>
      </c>
      <c r="B16524" s="3" t="s">
        <v>66</v>
      </c>
      <c r="C16524" s="4" t="str">
        <f t="shared" si="1231"/>
        <v>TCGA-COAD</v>
      </c>
      <c r="D16524" s="1" t="s">
        <v>493</v>
      </c>
      <c r="E16524" t="s">
        <v>545</v>
      </c>
      <c r="F16524" s="1">
        <v>2</v>
      </c>
      <c r="G16524" s="1" t="s">
        <v>28</v>
      </c>
      <c r="H16524" s="4" t="str">
        <f>HYPERLINK("https://portal.gdc.cancer.gov/cases/f87c6dcc-1a9e-4df5-962c-1f946e2611f8","TCGA-AA-A01T-01A")</f>
        <v>TCGA-AA-A01T-01A</v>
      </c>
      <c r="I16524" t="s">
        <v>69</v>
      </c>
      <c r="J16524" t="s">
        <v>245</v>
      </c>
      <c r="K16524" t="s">
        <v>33</v>
      </c>
      <c r="L16524" t="s">
        <v>546</v>
      </c>
      <c r="N16524" t="s">
        <v>29</v>
      </c>
    </row>
    <row r="16525" spans="1:14">
      <c r="A16525" s="4" t="str">
        <f t="shared" si="1230"/>
        <v>EXP00421</v>
      </c>
      <c r="B16525" s="3" t="s">
        <v>66</v>
      </c>
      <c r="C16525" s="4" t="str">
        <f t="shared" si="1231"/>
        <v>TCGA-COAD</v>
      </c>
      <c r="D16525" s="1" t="s">
        <v>493</v>
      </c>
      <c r="E16525" t="s">
        <v>545</v>
      </c>
      <c r="F16525" s="1">
        <v>2</v>
      </c>
      <c r="G16525" s="1" t="s">
        <v>28</v>
      </c>
      <c r="H16525" s="4" t="str">
        <f>HYPERLINK("https://portal.gdc.cancer.gov/cases/0cb0dac8-4ce2-444a-b1ae-1550e065b4d9","TCGA-AA-A01V-01A")</f>
        <v>TCGA-AA-A01V-01A</v>
      </c>
      <c r="I16525" t="s">
        <v>69</v>
      </c>
      <c r="J16525" t="s">
        <v>245</v>
      </c>
      <c r="K16525" t="s">
        <v>33</v>
      </c>
      <c r="L16525" t="s">
        <v>546</v>
      </c>
      <c r="N16525" t="s">
        <v>29</v>
      </c>
    </row>
    <row r="16526" spans="1:14">
      <c r="A16526" s="4" t="str">
        <f t="shared" si="1230"/>
        <v>EXP00421</v>
      </c>
      <c r="B16526" s="3" t="s">
        <v>66</v>
      </c>
      <c r="C16526" s="4" t="str">
        <f t="shared" si="1231"/>
        <v>TCGA-COAD</v>
      </c>
      <c r="D16526" s="1" t="s">
        <v>493</v>
      </c>
      <c r="E16526" t="s">
        <v>545</v>
      </c>
      <c r="F16526" s="1">
        <v>2</v>
      </c>
      <c r="G16526" s="1" t="s">
        <v>28</v>
      </c>
      <c r="H16526" s="4" t="str">
        <f>HYPERLINK("https://portal.gdc.cancer.gov/cases/2e386e48-b99b-4806-a3e3-081d72a606e7","TCGA-AA-A01X-01A")</f>
        <v>TCGA-AA-A01X-01A</v>
      </c>
      <c r="I16526" t="s">
        <v>69</v>
      </c>
      <c r="J16526" t="s">
        <v>245</v>
      </c>
      <c r="K16526" t="s">
        <v>33</v>
      </c>
      <c r="L16526" t="s">
        <v>546</v>
      </c>
      <c r="N16526" t="s">
        <v>29</v>
      </c>
    </row>
    <row r="16527" spans="1:14">
      <c r="A16527" s="4" t="str">
        <f t="shared" si="1230"/>
        <v>EXP00421</v>
      </c>
      <c r="B16527" s="3" t="s">
        <v>66</v>
      </c>
      <c r="C16527" s="4" t="str">
        <f t="shared" si="1231"/>
        <v>TCGA-COAD</v>
      </c>
      <c r="D16527" s="1" t="s">
        <v>493</v>
      </c>
      <c r="E16527" t="s">
        <v>545</v>
      </c>
      <c r="F16527" s="1">
        <v>2</v>
      </c>
      <c r="G16527" s="1" t="s">
        <v>28</v>
      </c>
      <c r="H16527" s="4" t="str">
        <f>HYPERLINK("https://portal.gdc.cancer.gov/cases/c9e829d9-cd08-41a9-a5a4-34f2d7d619c7","TCGA-AA-A01Z-01A")</f>
        <v>TCGA-AA-A01Z-01A</v>
      </c>
      <c r="I16527" t="s">
        <v>69</v>
      </c>
      <c r="J16527" t="s">
        <v>245</v>
      </c>
      <c r="K16527" t="s">
        <v>33</v>
      </c>
      <c r="L16527" t="s">
        <v>546</v>
      </c>
      <c r="N16527" t="s">
        <v>29</v>
      </c>
    </row>
    <row r="16528" spans="1:14">
      <c r="A16528" s="4" t="str">
        <f t="shared" si="1230"/>
        <v>EXP00421</v>
      </c>
      <c r="B16528" s="3" t="s">
        <v>66</v>
      </c>
      <c r="C16528" s="4" t="str">
        <f t="shared" si="1231"/>
        <v>TCGA-COAD</v>
      </c>
      <c r="D16528" s="1" t="s">
        <v>493</v>
      </c>
      <c r="E16528" t="s">
        <v>545</v>
      </c>
      <c r="F16528" s="1">
        <v>2</v>
      </c>
      <c r="G16528" s="1" t="s">
        <v>28</v>
      </c>
      <c r="H16528" s="4" t="str">
        <f>HYPERLINK("https://portal.gdc.cancer.gov/cases/7a481097-14a3-4916-9632-d899c25fd284","TCGA-AA-A022-01A")</f>
        <v>TCGA-AA-A022-01A</v>
      </c>
      <c r="I16528" t="s">
        <v>69</v>
      </c>
      <c r="J16528" t="s">
        <v>245</v>
      </c>
      <c r="K16528" t="s">
        <v>33</v>
      </c>
      <c r="L16528" t="s">
        <v>546</v>
      </c>
      <c r="N16528" t="s">
        <v>29</v>
      </c>
    </row>
    <row r="16529" spans="1:14">
      <c r="A16529" s="4" t="str">
        <f t="shared" si="1230"/>
        <v>EXP00421</v>
      </c>
      <c r="B16529" s="3" t="s">
        <v>66</v>
      </c>
      <c r="C16529" s="4" t="str">
        <f t="shared" si="1231"/>
        <v>TCGA-COAD</v>
      </c>
      <c r="D16529" s="1" t="s">
        <v>493</v>
      </c>
      <c r="E16529" t="s">
        <v>545</v>
      </c>
      <c r="F16529" s="1">
        <v>2</v>
      </c>
      <c r="G16529" s="1" t="s">
        <v>28</v>
      </c>
      <c r="H16529" s="4" t="str">
        <f>HYPERLINK("https://portal.gdc.cancer.gov/cases/d4e1472a-7b5f-46f4-acb7-b961f634e28e","TCGA-AA-A024-01A")</f>
        <v>TCGA-AA-A024-01A</v>
      </c>
      <c r="I16529" t="s">
        <v>69</v>
      </c>
      <c r="J16529" t="s">
        <v>245</v>
      </c>
      <c r="K16529" t="s">
        <v>33</v>
      </c>
      <c r="L16529" t="s">
        <v>546</v>
      </c>
      <c r="N16529" t="s">
        <v>29</v>
      </c>
    </row>
    <row r="16530" spans="1:14">
      <c r="A16530" s="4" t="str">
        <f t="shared" si="1230"/>
        <v>EXP00421</v>
      </c>
      <c r="B16530" s="3" t="s">
        <v>66</v>
      </c>
      <c r="C16530" s="4" t="str">
        <f t="shared" si="1231"/>
        <v>TCGA-COAD</v>
      </c>
      <c r="D16530" s="1" t="s">
        <v>493</v>
      </c>
      <c r="E16530" t="s">
        <v>545</v>
      </c>
      <c r="F16530" s="1">
        <v>2</v>
      </c>
      <c r="G16530" s="1" t="s">
        <v>28</v>
      </c>
      <c r="H16530" s="4" t="str">
        <f>HYPERLINK("https://portal.gdc.cancer.gov/cases/93ca8937-97c0-4f6e-bdec-66d32f2a7b3d","TCGA-AA-A029-01A")</f>
        <v>TCGA-AA-A029-01A</v>
      </c>
      <c r="I16530" t="s">
        <v>69</v>
      </c>
      <c r="J16530" t="s">
        <v>245</v>
      </c>
      <c r="K16530" t="s">
        <v>33</v>
      </c>
      <c r="L16530" t="s">
        <v>546</v>
      </c>
      <c r="N16530" t="s">
        <v>29</v>
      </c>
    </row>
    <row r="16531" spans="1:14">
      <c r="A16531" s="4" t="str">
        <f t="shared" si="1230"/>
        <v>EXP00421</v>
      </c>
      <c r="B16531" s="3" t="s">
        <v>66</v>
      </c>
      <c r="C16531" s="4" t="str">
        <f t="shared" si="1231"/>
        <v>TCGA-COAD</v>
      </c>
      <c r="D16531" s="1" t="s">
        <v>493</v>
      </c>
      <c r="E16531" t="s">
        <v>545</v>
      </c>
      <c r="F16531" s="1">
        <v>2</v>
      </c>
      <c r="G16531" s="1" t="s">
        <v>28</v>
      </c>
      <c r="H16531" s="4" t="str">
        <f>HYPERLINK("https://portal.gdc.cancer.gov/cases/35620be9-3ba5-4be7-9e00-83103e6a92e6","TCGA-AA-A02E-01A")</f>
        <v>TCGA-AA-A02E-01A</v>
      </c>
      <c r="I16531" t="s">
        <v>69</v>
      </c>
      <c r="J16531" t="s">
        <v>245</v>
      </c>
      <c r="K16531" t="s">
        <v>33</v>
      </c>
      <c r="L16531" t="s">
        <v>546</v>
      </c>
      <c r="N16531" t="s">
        <v>29</v>
      </c>
    </row>
    <row r="16532" spans="1:14">
      <c r="A16532" s="4" t="str">
        <f t="shared" si="1230"/>
        <v>EXP00421</v>
      </c>
      <c r="B16532" s="3" t="s">
        <v>66</v>
      </c>
      <c r="C16532" s="4" t="str">
        <f t="shared" si="1231"/>
        <v>TCGA-COAD</v>
      </c>
      <c r="D16532" s="1" t="s">
        <v>493</v>
      </c>
      <c r="E16532" t="s">
        <v>545</v>
      </c>
      <c r="F16532" s="1">
        <v>2</v>
      </c>
      <c r="G16532" s="1" t="s">
        <v>28</v>
      </c>
      <c r="H16532" s="4" t="str">
        <f>HYPERLINK("https://portal.gdc.cancer.gov/cases/dd4be58e-da22-4bcd-bf4c-2b9e60ffda19","TCGA-AA-A02F-01A")</f>
        <v>TCGA-AA-A02F-01A</v>
      </c>
      <c r="I16532" t="s">
        <v>69</v>
      </c>
      <c r="J16532" t="s">
        <v>245</v>
      </c>
      <c r="K16532" t="s">
        <v>33</v>
      </c>
      <c r="L16532" t="s">
        <v>546</v>
      </c>
      <c r="N16532" t="s">
        <v>29</v>
      </c>
    </row>
    <row r="16533" spans="1:14">
      <c r="A16533" s="4" t="str">
        <f t="shared" si="1230"/>
        <v>EXP00421</v>
      </c>
      <c r="B16533" s="3" t="s">
        <v>66</v>
      </c>
      <c r="C16533" s="4" t="str">
        <f t="shared" si="1231"/>
        <v>TCGA-COAD</v>
      </c>
      <c r="D16533" s="1" t="s">
        <v>493</v>
      </c>
      <c r="E16533" t="s">
        <v>545</v>
      </c>
      <c r="F16533" s="1">
        <v>2</v>
      </c>
      <c r="G16533" s="1" t="s">
        <v>28</v>
      </c>
      <c r="H16533" s="4" t="str">
        <f>HYPERLINK("https://portal.gdc.cancer.gov/cases/69fb431f-0caf-4cdd-9085-eda5b18ed15d","TCGA-AA-A02H-01A")</f>
        <v>TCGA-AA-A02H-01A</v>
      </c>
      <c r="I16533" t="s">
        <v>69</v>
      </c>
      <c r="J16533" t="s">
        <v>245</v>
      </c>
      <c r="K16533" t="s">
        <v>33</v>
      </c>
      <c r="L16533" t="s">
        <v>546</v>
      </c>
      <c r="N16533" t="s">
        <v>29</v>
      </c>
    </row>
    <row r="16534" spans="1:14">
      <c r="A16534" s="4" t="str">
        <f t="shared" si="1230"/>
        <v>EXP00421</v>
      </c>
      <c r="B16534" s="3" t="s">
        <v>66</v>
      </c>
      <c r="C16534" s="4" t="str">
        <f t="shared" si="1231"/>
        <v>TCGA-COAD</v>
      </c>
      <c r="D16534" s="1" t="s">
        <v>493</v>
      </c>
      <c r="E16534" t="s">
        <v>545</v>
      </c>
      <c r="F16534" s="1">
        <v>2</v>
      </c>
      <c r="G16534" s="1" t="s">
        <v>28</v>
      </c>
      <c r="H16534" s="4" t="str">
        <f>HYPERLINK("https://portal.gdc.cancer.gov/cases/73a142e1-8ac2-4cfe-b8cf-7e9dea64f488","TCGA-AA-A02J-01A")</f>
        <v>TCGA-AA-A02J-01A</v>
      </c>
      <c r="I16534" t="s">
        <v>69</v>
      </c>
      <c r="J16534" t="s">
        <v>245</v>
      </c>
      <c r="K16534" t="s">
        <v>33</v>
      </c>
      <c r="L16534" t="s">
        <v>546</v>
      </c>
      <c r="N16534" t="s">
        <v>29</v>
      </c>
    </row>
    <row r="16535" spans="1:14">
      <c r="A16535" s="4" t="str">
        <f t="shared" si="1230"/>
        <v>EXP00421</v>
      </c>
      <c r="B16535" s="3" t="s">
        <v>66</v>
      </c>
      <c r="C16535" s="4" t="str">
        <f t="shared" si="1231"/>
        <v>TCGA-COAD</v>
      </c>
      <c r="D16535" s="1" t="s">
        <v>493</v>
      </c>
      <c r="E16535" t="s">
        <v>545</v>
      </c>
      <c r="F16535" s="1">
        <v>2</v>
      </c>
      <c r="G16535" s="1" t="s">
        <v>28</v>
      </c>
      <c r="H16535" s="4" t="str">
        <f>HYPERLINK("https://portal.gdc.cancer.gov/cases/10881458-55b2-41d1-8358-4ee6ccb8ec85","TCGA-AA-A02K-01A")</f>
        <v>TCGA-AA-A02K-01A</v>
      </c>
      <c r="I16535" t="s">
        <v>69</v>
      </c>
      <c r="J16535" t="s">
        <v>245</v>
      </c>
      <c r="K16535" t="s">
        <v>33</v>
      </c>
      <c r="L16535" t="s">
        <v>546</v>
      </c>
      <c r="N16535" t="s">
        <v>29</v>
      </c>
    </row>
    <row r="16536" spans="1:14">
      <c r="A16536" s="4" t="str">
        <f t="shared" si="1230"/>
        <v>EXP00421</v>
      </c>
      <c r="B16536" s="3" t="s">
        <v>66</v>
      </c>
      <c r="C16536" s="4" t="str">
        <f t="shared" si="1231"/>
        <v>TCGA-COAD</v>
      </c>
      <c r="D16536" s="1" t="s">
        <v>493</v>
      </c>
      <c r="E16536" t="s">
        <v>545</v>
      </c>
      <c r="F16536" s="1">
        <v>2</v>
      </c>
      <c r="G16536" s="1" t="s">
        <v>28</v>
      </c>
      <c r="H16536" s="4" t="str">
        <f>HYPERLINK("https://portal.gdc.cancer.gov/cases/6fa41234-9077-4d05-a295-6820f3bedf5b","TCGA-AA-A02O-01A")</f>
        <v>TCGA-AA-A02O-01A</v>
      </c>
      <c r="I16536" t="s">
        <v>69</v>
      </c>
      <c r="J16536" t="s">
        <v>245</v>
      </c>
      <c r="K16536" t="s">
        <v>33</v>
      </c>
      <c r="L16536" t="s">
        <v>546</v>
      </c>
      <c r="N16536" t="s">
        <v>29</v>
      </c>
    </row>
    <row r="16537" spans="1:14">
      <c r="A16537" s="4" t="str">
        <f t="shared" si="1230"/>
        <v>EXP00421</v>
      </c>
      <c r="B16537" s="3" t="s">
        <v>66</v>
      </c>
      <c r="C16537" s="4" t="str">
        <f t="shared" si="1231"/>
        <v>TCGA-COAD</v>
      </c>
      <c r="D16537" s="1" t="s">
        <v>493</v>
      </c>
      <c r="E16537" t="s">
        <v>545</v>
      </c>
      <c r="F16537" s="1">
        <v>2</v>
      </c>
      <c r="G16537" s="1" t="s">
        <v>28</v>
      </c>
      <c r="H16537" s="4" t="str">
        <f>HYPERLINK("https://portal.gdc.cancer.gov/cases/764c97c9-01d3-45cb-86bd-f8a52b5468da","TCGA-AA-A02R-01A")</f>
        <v>TCGA-AA-A02R-01A</v>
      </c>
      <c r="I16537" t="s">
        <v>69</v>
      </c>
      <c r="J16537" t="s">
        <v>245</v>
      </c>
      <c r="K16537" t="s">
        <v>33</v>
      </c>
      <c r="L16537" t="s">
        <v>546</v>
      </c>
      <c r="N16537" t="s">
        <v>29</v>
      </c>
    </row>
    <row r="16538" spans="1:14">
      <c r="A16538" s="4" t="str">
        <f t="shared" si="1230"/>
        <v>EXP00421</v>
      </c>
      <c r="B16538" s="3" t="s">
        <v>66</v>
      </c>
      <c r="C16538" s="4" t="str">
        <f t="shared" si="1231"/>
        <v>TCGA-COAD</v>
      </c>
      <c r="D16538" s="1" t="s">
        <v>493</v>
      </c>
      <c r="E16538" t="s">
        <v>545</v>
      </c>
      <c r="F16538" s="1">
        <v>2</v>
      </c>
      <c r="G16538" s="1" t="s">
        <v>28</v>
      </c>
      <c r="H16538" s="4" t="str">
        <f>HYPERLINK("https://portal.gdc.cancer.gov/cases/a435fdf4-a89a-499e-9006-cbb5693eab26","TCGA-AA-A02Y-01A")</f>
        <v>TCGA-AA-A02Y-01A</v>
      </c>
      <c r="I16538" t="s">
        <v>69</v>
      </c>
      <c r="J16538" t="s">
        <v>245</v>
      </c>
      <c r="K16538" t="s">
        <v>33</v>
      </c>
      <c r="L16538" t="s">
        <v>546</v>
      </c>
      <c r="N16538" t="s">
        <v>29</v>
      </c>
    </row>
    <row r="16539" spans="1:14">
      <c r="A16539" s="4" t="str">
        <f t="shared" si="1230"/>
        <v>EXP00421</v>
      </c>
      <c r="B16539" s="3" t="s">
        <v>66</v>
      </c>
      <c r="C16539" s="4" t="str">
        <f t="shared" si="1231"/>
        <v>TCGA-COAD</v>
      </c>
      <c r="D16539" s="1" t="s">
        <v>493</v>
      </c>
      <c r="E16539" t="s">
        <v>545</v>
      </c>
      <c r="F16539" s="1">
        <v>2</v>
      </c>
      <c r="G16539" s="1" t="s">
        <v>28</v>
      </c>
      <c r="H16539" s="4" t="str">
        <f>HYPERLINK("https://portal.gdc.cancer.gov/cases/2a971e32-b0e7-4a3f-8c40-62d69c0307d8","TCGA-AA-A03F-01A")</f>
        <v>TCGA-AA-A03F-01A</v>
      </c>
      <c r="I16539" t="s">
        <v>69</v>
      </c>
      <c r="J16539" t="s">
        <v>245</v>
      </c>
      <c r="K16539" t="s">
        <v>33</v>
      </c>
      <c r="L16539" t="s">
        <v>546</v>
      </c>
      <c r="N16539" t="s">
        <v>29</v>
      </c>
    </row>
    <row r="16540" spans="1:14">
      <c r="A16540" s="4" t="str">
        <f t="shared" si="1230"/>
        <v>EXP00421</v>
      </c>
      <c r="B16540" s="3" t="s">
        <v>66</v>
      </c>
      <c r="C16540" s="4" t="str">
        <f t="shared" si="1231"/>
        <v>TCGA-COAD</v>
      </c>
      <c r="D16540" s="1" t="s">
        <v>493</v>
      </c>
      <c r="E16540" t="s">
        <v>545</v>
      </c>
      <c r="F16540" s="1">
        <v>2</v>
      </c>
      <c r="G16540" s="1" t="s">
        <v>28</v>
      </c>
      <c r="H16540" s="4" t="str">
        <f>HYPERLINK("https://portal.gdc.cancer.gov/cases/e6c8c5fc-158a-4de4-b3f6-3b645584bbc7","TCGA-AA-A03J-01A")</f>
        <v>TCGA-AA-A03J-01A</v>
      </c>
      <c r="I16540" t="s">
        <v>69</v>
      </c>
      <c r="J16540" t="s">
        <v>245</v>
      </c>
      <c r="K16540" t="s">
        <v>33</v>
      </c>
      <c r="L16540" t="s">
        <v>546</v>
      </c>
      <c r="N16540" t="s">
        <v>29</v>
      </c>
    </row>
    <row r="16541" spans="1:14">
      <c r="A16541" s="4" t="str">
        <f t="shared" si="1230"/>
        <v>EXP00421</v>
      </c>
      <c r="B16541" s="3" t="s">
        <v>66</v>
      </c>
      <c r="C16541" s="4" t="str">
        <f t="shared" si="1231"/>
        <v>TCGA-COAD</v>
      </c>
      <c r="D16541" s="1" t="s">
        <v>493</v>
      </c>
      <c r="E16541" t="s">
        <v>545</v>
      </c>
      <c r="F16541" s="1">
        <v>2</v>
      </c>
      <c r="G16541" s="1" t="s">
        <v>28</v>
      </c>
      <c r="H16541" s="4" t="str">
        <f>HYPERLINK("https://portal.gdc.cancer.gov/cases/0f008098-d8aa-46dc-8445-cca59838c582","TCGA-AD-5900-01A")</f>
        <v>TCGA-AD-5900-01A</v>
      </c>
      <c r="I16541" t="s">
        <v>69</v>
      </c>
      <c r="J16541" t="s">
        <v>245</v>
      </c>
      <c r="K16541" t="s">
        <v>33</v>
      </c>
      <c r="L16541" t="s">
        <v>546</v>
      </c>
      <c r="N16541" t="s">
        <v>29</v>
      </c>
    </row>
    <row r="16542" spans="1:14">
      <c r="A16542" s="4" t="str">
        <f t="shared" si="1230"/>
        <v>EXP00421</v>
      </c>
      <c r="B16542" s="3" t="s">
        <v>66</v>
      </c>
      <c r="C16542" s="4" t="str">
        <f t="shared" si="1231"/>
        <v>TCGA-COAD</v>
      </c>
      <c r="D16542" s="1" t="s">
        <v>493</v>
      </c>
      <c r="E16542" t="s">
        <v>545</v>
      </c>
      <c r="F16542" s="1">
        <v>2</v>
      </c>
      <c r="G16542" s="1" t="s">
        <v>28</v>
      </c>
      <c r="H16542" s="4" t="str">
        <f>HYPERLINK("https://portal.gdc.cancer.gov/cases/c113808a-773f-4179-82d6-9083518404b5","TCGA-AD-6548-01A")</f>
        <v>TCGA-AD-6548-01A</v>
      </c>
      <c r="I16542" t="s">
        <v>69</v>
      </c>
      <c r="J16542" t="s">
        <v>245</v>
      </c>
      <c r="K16542" t="s">
        <v>33</v>
      </c>
      <c r="L16542" t="s">
        <v>546</v>
      </c>
      <c r="N16542" t="s">
        <v>29</v>
      </c>
    </row>
    <row r="16543" spans="1:14">
      <c r="A16543" s="4" t="str">
        <f t="shared" si="1230"/>
        <v>EXP00421</v>
      </c>
      <c r="B16543" s="3" t="s">
        <v>66</v>
      </c>
      <c r="C16543" s="4" t="str">
        <f t="shared" si="1231"/>
        <v>TCGA-COAD</v>
      </c>
      <c r="D16543" s="1" t="s">
        <v>493</v>
      </c>
      <c r="E16543" t="s">
        <v>545</v>
      </c>
      <c r="F16543" s="1">
        <v>2</v>
      </c>
      <c r="G16543" s="1" t="s">
        <v>28</v>
      </c>
      <c r="H16543" s="4" t="str">
        <f>HYPERLINK("https://portal.gdc.cancer.gov/cases/13eff2e5-e33a-485f-9ba4-8a7ccb3c7528","TCGA-AD-6888-01A")</f>
        <v>TCGA-AD-6888-01A</v>
      </c>
      <c r="I16543" t="s">
        <v>69</v>
      </c>
      <c r="J16543" t="s">
        <v>245</v>
      </c>
      <c r="K16543" t="s">
        <v>33</v>
      </c>
      <c r="L16543" t="s">
        <v>546</v>
      </c>
      <c r="N16543" t="s">
        <v>29</v>
      </c>
    </row>
    <row r="16544" spans="1:14">
      <c r="A16544" s="4" t="str">
        <f t="shared" si="1230"/>
        <v>EXP00421</v>
      </c>
      <c r="B16544" s="3" t="s">
        <v>66</v>
      </c>
      <c r="C16544" s="4" t="str">
        <f t="shared" si="1231"/>
        <v>TCGA-COAD</v>
      </c>
      <c r="D16544" s="1" t="s">
        <v>493</v>
      </c>
      <c r="E16544" t="s">
        <v>545</v>
      </c>
      <c r="F16544" s="1">
        <v>2</v>
      </c>
      <c r="G16544" s="1" t="s">
        <v>28</v>
      </c>
      <c r="H16544" s="4" t="str">
        <f>HYPERLINK("https://portal.gdc.cancer.gov/cases/955464c8-9c62-430c-87b8-107db5c980a8","TCGA-AD-6889-01A")</f>
        <v>TCGA-AD-6889-01A</v>
      </c>
      <c r="I16544" t="s">
        <v>69</v>
      </c>
      <c r="J16544" t="s">
        <v>245</v>
      </c>
      <c r="K16544" t="s">
        <v>33</v>
      </c>
      <c r="L16544" t="s">
        <v>546</v>
      </c>
      <c r="N16544" t="s">
        <v>29</v>
      </c>
    </row>
    <row r="16545" spans="1:14">
      <c r="A16545" s="4" t="str">
        <f t="shared" si="1230"/>
        <v>EXP00421</v>
      </c>
      <c r="B16545" s="3" t="s">
        <v>66</v>
      </c>
      <c r="C16545" s="4" t="str">
        <f t="shared" si="1231"/>
        <v>TCGA-COAD</v>
      </c>
      <c r="D16545" s="1" t="s">
        <v>493</v>
      </c>
      <c r="E16545" t="s">
        <v>545</v>
      </c>
      <c r="F16545" s="1">
        <v>2</v>
      </c>
      <c r="G16545" s="1" t="s">
        <v>28</v>
      </c>
      <c r="H16545" s="4" t="str">
        <f>HYPERLINK("https://portal.gdc.cancer.gov/cases/e8e80df9-e3ba-4dec-b8fc-a5e80d8c6798","TCGA-AD-6890-01A")</f>
        <v>TCGA-AD-6890-01A</v>
      </c>
      <c r="I16545" t="s">
        <v>69</v>
      </c>
      <c r="J16545" t="s">
        <v>245</v>
      </c>
      <c r="K16545" t="s">
        <v>33</v>
      </c>
      <c r="L16545" t="s">
        <v>546</v>
      </c>
      <c r="N16545" t="s">
        <v>29</v>
      </c>
    </row>
    <row r="16546" spans="1:14">
      <c r="A16546" s="4" t="str">
        <f t="shared" si="1230"/>
        <v>EXP00421</v>
      </c>
      <c r="B16546" s="3" t="s">
        <v>66</v>
      </c>
      <c r="C16546" s="4" t="str">
        <f t="shared" si="1231"/>
        <v>TCGA-COAD</v>
      </c>
      <c r="D16546" s="1" t="s">
        <v>493</v>
      </c>
      <c r="E16546" t="s">
        <v>545</v>
      </c>
      <c r="F16546" s="1">
        <v>2</v>
      </c>
      <c r="G16546" s="1" t="s">
        <v>28</v>
      </c>
      <c r="H16546" s="4" t="str">
        <f>HYPERLINK("https://portal.gdc.cancer.gov/cases/4f601d7b-8db1-4c6d-9374-21dcd804980d","TCGA-AD-6895-01A")</f>
        <v>TCGA-AD-6895-01A</v>
      </c>
      <c r="I16546" t="s">
        <v>69</v>
      </c>
      <c r="J16546" t="s">
        <v>245</v>
      </c>
      <c r="K16546" t="s">
        <v>33</v>
      </c>
      <c r="L16546" t="s">
        <v>546</v>
      </c>
      <c r="N16546" t="s">
        <v>29</v>
      </c>
    </row>
    <row r="16547" spans="1:14">
      <c r="A16547" s="4" t="str">
        <f t="shared" si="1230"/>
        <v>EXP00421</v>
      </c>
      <c r="B16547" s="3" t="s">
        <v>66</v>
      </c>
      <c r="C16547" s="4" t="str">
        <f t="shared" si="1231"/>
        <v>TCGA-COAD</v>
      </c>
      <c r="D16547" s="1" t="s">
        <v>493</v>
      </c>
      <c r="E16547" t="s">
        <v>545</v>
      </c>
      <c r="F16547" s="1">
        <v>2</v>
      </c>
      <c r="G16547" s="1" t="s">
        <v>28</v>
      </c>
      <c r="H16547" s="4" t="str">
        <f>HYPERLINK("https://portal.gdc.cancer.gov/cases/ea923671-3903-4a79-830d-e7e4b1eabab0","TCGA-AD-6899-01A")</f>
        <v>TCGA-AD-6899-01A</v>
      </c>
      <c r="I16547" t="s">
        <v>69</v>
      </c>
      <c r="J16547" t="s">
        <v>245</v>
      </c>
      <c r="K16547" t="s">
        <v>33</v>
      </c>
      <c r="L16547" t="s">
        <v>546</v>
      </c>
      <c r="N16547" t="s">
        <v>29</v>
      </c>
    </row>
    <row r="16548" spans="1:14">
      <c r="A16548" s="4" t="str">
        <f t="shared" si="1230"/>
        <v>EXP00421</v>
      </c>
      <c r="B16548" s="3" t="s">
        <v>66</v>
      </c>
      <c r="C16548" s="4" t="str">
        <f t="shared" si="1231"/>
        <v>TCGA-COAD</v>
      </c>
      <c r="D16548" s="1" t="s">
        <v>493</v>
      </c>
      <c r="E16548" t="s">
        <v>545</v>
      </c>
      <c r="F16548" s="1">
        <v>2</v>
      </c>
      <c r="G16548" s="1" t="s">
        <v>28</v>
      </c>
      <c r="H16548" s="4" t="str">
        <f>HYPERLINK("https://portal.gdc.cancer.gov/cases/b76d1de7-6447-474d-bf67-77e0bb2da73a","TCGA-AD-6901-01A")</f>
        <v>TCGA-AD-6901-01A</v>
      </c>
      <c r="I16548" t="s">
        <v>69</v>
      </c>
      <c r="J16548" t="s">
        <v>245</v>
      </c>
      <c r="K16548" t="s">
        <v>33</v>
      </c>
      <c r="L16548" t="s">
        <v>546</v>
      </c>
      <c r="N16548" t="s">
        <v>29</v>
      </c>
    </row>
    <row r="16549" spans="1:14">
      <c r="A16549" s="4" t="str">
        <f t="shared" si="1230"/>
        <v>EXP00421</v>
      </c>
      <c r="B16549" s="3" t="s">
        <v>66</v>
      </c>
      <c r="C16549" s="4" t="str">
        <f t="shared" si="1231"/>
        <v>TCGA-COAD</v>
      </c>
      <c r="D16549" s="1" t="s">
        <v>493</v>
      </c>
      <c r="E16549" t="s">
        <v>545</v>
      </c>
      <c r="F16549" s="1">
        <v>2</v>
      </c>
      <c r="G16549" s="1" t="s">
        <v>28</v>
      </c>
      <c r="H16549" s="4" t="str">
        <f>HYPERLINK("https://portal.gdc.cancer.gov/cases/47a8e514-904c-4867-8f43-7eb573be835b","TCGA-AD-6963-01A")</f>
        <v>TCGA-AD-6963-01A</v>
      </c>
      <c r="I16549" t="s">
        <v>69</v>
      </c>
      <c r="J16549" t="s">
        <v>245</v>
      </c>
      <c r="K16549" t="s">
        <v>33</v>
      </c>
      <c r="L16549" t="s">
        <v>546</v>
      </c>
      <c r="N16549" t="s">
        <v>29</v>
      </c>
    </row>
    <row r="16550" spans="1:14">
      <c r="A16550" s="4" t="str">
        <f t="shared" si="1230"/>
        <v>EXP00421</v>
      </c>
      <c r="B16550" s="3" t="s">
        <v>66</v>
      </c>
      <c r="C16550" s="4" t="str">
        <f t="shared" si="1231"/>
        <v>TCGA-COAD</v>
      </c>
      <c r="D16550" s="1" t="s">
        <v>493</v>
      </c>
      <c r="E16550" t="s">
        <v>545</v>
      </c>
      <c r="F16550" s="1">
        <v>2</v>
      </c>
      <c r="G16550" s="1" t="s">
        <v>28</v>
      </c>
      <c r="H16550" s="4" t="str">
        <f>HYPERLINK("https://portal.gdc.cancer.gov/cases/5e7074a6-5011-4dc5-950c-41365dbc6d09","TCGA-AD-6964-01A")</f>
        <v>TCGA-AD-6964-01A</v>
      </c>
      <c r="I16550" t="s">
        <v>69</v>
      </c>
      <c r="J16550" t="s">
        <v>245</v>
      </c>
      <c r="K16550" t="s">
        <v>33</v>
      </c>
      <c r="L16550" t="s">
        <v>546</v>
      </c>
      <c r="N16550" t="s">
        <v>29</v>
      </c>
    </row>
    <row r="16551" spans="1:14">
      <c r="A16551" s="4" t="str">
        <f t="shared" si="1230"/>
        <v>EXP00421</v>
      </c>
      <c r="B16551" s="3" t="s">
        <v>66</v>
      </c>
      <c r="C16551" s="4" t="str">
        <f t="shared" si="1231"/>
        <v>TCGA-COAD</v>
      </c>
      <c r="D16551" s="1" t="s">
        <v>493</v>
      </c>
      <c r="E16551" t="s">
        <v>545</v>
      </c>
      <c r="F16551" s="1">
        <v>2</v>
      </c>
      <c r="G16551" s="1" t="s">
        <v>28</v>
      </c>
      <c r="H16551" s="4" t="str">
        <f>HYPERLINK("https://portal.gdc.cancer.gov/cases/c8de215d-53a4-4e6c-be58-5887a8094815","TCGA-AD-6965-01A")</f>
        <v>TCGA-AD-6965-01A</v>
      </c>
      <c r="I16551" t="s">
        <v>69</v>
      </c>
      <c r="J16551" t="s">
        <v>245</v>
      </c>
      <c r="K16551" t="s">
        <v>33</v>
      </c>
      <c r="L16551" t="s">
        <v>546</v>
      </c>
      <c r="N16551" t="s">
        <v>29</v>
      </c>
    </row>
    <row r="16552" spans="1:14">
      <c r="A16552" s="4" t="str">
        <f t="shared" si="1230"/>
        <v>EXP00421</v>
      </c>
      <c r="B16552" s="3" t="s">
        <v>66</v>
      </c>
      <c r="C16552" s="4" t="str">
        <f t="shared" si="1231"/>
        <v>TCGA-COAD</v>
      </c>
      <c r="D16552" s="1" t="s">
        <v>493</v>
      </c>
      <c r="E16552" t="s">
        <v>545</v>
      </c>
      <c r="F16552" s="1">
        <v>2</v>
      </c>
      <c r="G16552" s="1" t="s">
        <v>28</v>
      </c>
      <c r="H16552" s="4" t="str">
        <f>HYPERLINK("https://portal.gdc.cancer.gov/cases/613aa3e8-a70b-45a9-9c08-0c2346c8bf00","TCGA-AD-A5EJ-01A")</f>
        <v>TCGA-AD-A5EJ-01A</v>
      </c>
      <c r="I16552" t="s">
        <v>69</v>
      </c>
      <c r="J16552" t="s">
        <v>245</v>
      </c>
      <c r="K16552" t="s">
        <v>33</v>
      </c>
      <c r="L16552" t="s">
        <v>546</v>
      </c>
      <c r="N16552" t="s">
        <v>29</v>
      </c>
    </row>
    <row r="16553" spans="1:14">
      <c r="A16553" s="4" t="str">
        <f t="shared" si="1230"/>
        <v>EXP00421</v>
      </c>
      <c r="B16553" s="3" t="s">
        <v>66</v>
      </c>
      <c r="C16553" s="4" t="str">
        <f t="shared" si="1231"/>
        <v>TCGA-COAD</v>
      </c>
      <c r="D16553" s="1" t="s">
        <v>493</v>
      </c>
      <c r="E16553" t="s">
        <v>545</v>
      </c>
      <c r="F16553" s="1">
        <v>2</v>
      </c>
      <c r="G16553" s="1" t="s">
        <v>28</v>
      </c>
      <c r="H16553" s="4" t="str">
        <f>HYPERLINK("https://portal.gdc.cancer.gov/cases/e8ec26bd-c88d-42b9-ac8a-ab121b8140f8","TCGA-AD-A5EK-01A")</f>
        <v>TCGA-AD-A5EK-01A</v>
      </c>
      <c r="I16553" t="s">
        <v>69</v>
      </c>
      <c r="J16553" t="s">
        <v>245</v>
      </c>
      <c r="K16553" t="s">
        <v>33</v>
      </c>
      <c r="L16553" t="s">
        <v>546</v>
      </c>
      <c r="N16553" t="s">
        <v>29</v>
      </c>
    </row>
    <row r="16554" spans="1:14">
      <c r="A16554" s="4" t="str">
        <f t="shared" si="1230"/>
        <v>EXP00421</v>
      </c>
      <c r="B16554" s="3" t="s">
        <v>66</v>
      </c>
      <c r="C16554" s="4" t="str">
        <f t="shared" si="1231"/>
        <v>TCGA-COAD</v>
      </c>
      <c r="D16554" s="1" t="s">
        <v>493</v>
      </c>
      <c r="E16554" t="s">
        <v>545</v>
      </c>
      <c r="F16554" s="1">
        <v>2</v>
      </c>
      <c r="G16554" s="1" t="s">
        <v>28</v>
      </c>
      <c r="H16554" s="4" t="str">
        <f>HYPERLINK("https://portal.gdc.cancer.gov/cases/26a12266-c6d8-42f9-bd4e-5093d827ac9a","TCGA-AM-5820-01A")</f>
        <v>TCGA-AM-5820-01A</v>
      </c>
      <c r="I16554" t="s">
        <v>69</v>
      </c>
      <c r="J16554" t="s">
        <v>245</v>
      </c>
      <c r="K16554" t="s">
        <v>33</v>
      </c>
      <c r="L16554" t="s">
        <v>546</v>
      </c>
      <c r="N16554" t="s">
        <v>29</v>
      </c>
    </row>
    <row r="16555" spans="1:14">
      <c r="A16555" s="4" t="str">
        <f t="shared" si="1230"/>
        <v>EXP00421</v>
      </c>
      <c r="B16555" s="3" t="s">
        <v>66</v>
      </c>
      <c r="C16555" s="4" t="str">
        <f t="shared" si="1231"/>
        <v>TCGA-COAD</v>
      </c>
      <c r="D16555" s="1" t="s">
        <v>493</v>
      </c>
      <c r="E16555" t="s">
        <v>545</v>
      </c>
      <c r="F16555" s="1">
        <v>2</v>
      </c>
      <c r="G16555" s="1" t="s">
        <v>28</v>
      </c>
      <c r="H16555" s="4" t="str">
        <f>HYPERLINK("https://portal.gdc.cancer.gov/cases/605baa86-79e3-484d-82d2-4de27d405ba1","TCGA-AM-5821-01A")</f>
        <v>TCGA-AM-5821-01A</v>
      </c>
      <c r="I16555" t="s">
        <v>69</v>
      </c>
      <c r="J16555" t="s">
        <v>245</v>
      </c>
      <c r="K16555" t="s">
        <v>33</v>
      </c>
      <c r="L16555" t="s">
        <v>546</v>
      </c>
      <c r="N16555" t="s">
        <v>29</v>
      </c>
    </row>
    <row r="16556" spans="1:14">
      <c r="A16556" s="4" t="str">
        <f t="shared" si="1230"/>
        <v>EXP00421</v>
      </c>
      <c r="B16556" s="3" t="s">
        <v>66</v>
      </c>
      <c r="C16556" s="4" t="str">
        <f t="shared" si="1231"/>
        <v>TCGA-COAD</v>
      </c>
      <c r="D16556" s="1" t="s">
        <v>493</v>
      </c>
      <c r="E16556" t="s">
        <v>545</v>
      </c>
      <c r="F16556" s="1">
        <v>2</v>
      </c>
      <c r="G16556" s="1" t="s">
        <v>28</v>
      </c>
      <c r="H16556" s="4" t="str">
        <f>HYPERLINK("https://portal.gdc.cancer.gov/cases/fb4cc403-694c-421f-b360-3108b6d57ad5","TCGA-AU-3779-01A")</f>
        <v>TCGA-AU-3779-01A</v>
      </c>
      <c r="I16556" t="s">
        <v>69</v>
      </c>
      <c r="J16556" t="s">
        <v>245</v>
      </c>
      <c r="K16556" t="s">
        <v>33</v>
      </c>
      <c r="L16556" t="s">
        <v>546</v>
      </c>
      <c r="N16556" t="s">
        <v>29</v>
      </c>
    </row>
    <row r="16557" spans="1:14">
      <c r="A16557" s="4" t="str">
        <f t="shared" si="1230"/>
        <v>EXP00421</v>
      </c>
      <c r="B16557" s="3" t="s">
        <v>66</v>
      </c>
      <c r="C16557" s="4" t="str">
        <f t="shared" si="1231"/>
        <v>TCGA-COAD</v>
      </c>
      <c r="D16557" s="1" t="s">
        <v>493</v>
      </c>
      <c r="E16557" t="s">
        <v>545</v>
      </c>
      <c r="F16557" s="1">
        <v>2</v>
      </c>
      <c r="G16557" s="1" t="s">
        <v>28</v>
      </c>
      <c r="H16557" s="4" t="str">
        <f>HYPERLINK("https://portal.gdc.cancer.gov/cases/32b77693-18e1-4692-8488-add1940c9e7c","TCGA-AU-6004-01A")</f>
        <v>TCGA-AU-6004-01A</v>
      </c>
      <c r="I16557" t="s">
        <v>69</v>
      </c>
      <c r="J16557" t="s">
        <v>245</v>
      </c>
      <c r="K16557" t="s">
        <v>33</v>
      </c>
      <c r="L16557" t="s">
        <v>546</v>
      </c>
      <c r="N16557" t="s">
        <v>29</v>
      </c>
    </row>
    <row r="16558" spans="1:14">
      <c r="A16558" s="4" t="str">
        <f t="shared" si="1230"/>
        <v>EXP00421</v>
      </c>
      <c r="B16558" s="3" t="s">
        <v>66</v>
      </c>
      <c r="C16558" s="4" t="str">
        <f t="shared" si="1231"/>
        <v>TCGA-COAD</v>
      </c>
      <c r="D16558" s="1" t="s">
        <v>493</v>
      </c>
      <c r="E16558" t="s">
        <v>545</v>
      </c>
      <c r="F16558" s="1">
        <v>2</v>
      </c>
      <c r="G16558" s="1" t="s">
        <v>28</v>
      </c>
      <c r="H16558" s="4" t="str">
        <f>HYPERLINK("https://portal.gdc.cancer.gov/cases/6baf61b6-ae5b-42f0-adc9-0d26fda231f7","TCGA-AY-4070-01A")</f>
        <v>TCGA-AY-4070-01A</v>
      </c>
      <c r="I16558" t="s">
        <v>69</v>
      </c>
      <c r="J16558" t="s">
        <v>245</v>
      </c>
      <c r="K16558" t="s">
        <v>33</v>
      </c>
      <c r="L16558" t="s">
        <v>546</v>
      </c>
      <c r="N16558" t="s">
        <v>29</v>
      </c>
    </row>
    <row r="16559" spans="1:14">
      <c r="A16559" s="4" t="str">
        <f t="shared" si="1230"/>
        <v>EXP00421</v>
      </c>
      <c r="B16559" s="3" t="s">
        <v>66</v>
      </c>
      <c r="C16559" s="4" t="str">
        <f t="shared" si="1231"/>
        <v>TCGA-COAD</v>
      </c>
      <c r="D16559" s="1" t="s">
        <v>493</v>
      </c>
      <c r="E16559" t="s">
        <v>545</v>
      </c>
      <c r="F16559" s="1">
        <v>2</v>
      </c>
      <c r="G16559" s="1" t="s">
        <v>28</v>
      </c>
      <c r="H16559" s="4" t="str">
        <f>HYPERLINK("https://portal.gdc.cancer.gov/cases/315ef7f6-ca21-4d87-8f19-40bd455885ec","TCGA-AY-4071-01A")</f>
        <v>TCGA-AY-4071-01A</v>
      </c>
      <c r="I16559" t="s">
        <v>69</v>
      </c>
      <c r="J16559" t="s">
        <v>245</v>
      </c>
      <c r="K16559" t="s">
        <v>33</v>
      </c>
      <c r="L16559" t="s">
        <v>546</v>
      </c>
      <c r="N16559" t="s">
        <v>29</v>
      </c>
    </row>
    <row r="16560" spans="1:14">
      <c r="A16560" s="4" t="str">
        <f t="shared" si="1230"/>
        <v>EXP00421</v>
      </c>
      <c r="B16560" s="3" t="s">
        <v>66</v>
      </c>
      <c r="C16560" s="4" t="str">
        <f t="shared" si="1231"/>
        <v>TCGA-COAD</v>
      </c>
      <c r="D16560" s="1" t="s">
        <v>493</v>
      </c>
      <c r="E16560" t="s">
        <v>545</v>
      </c>
      <c r="F16560" s="1">
        <v>2</v>
      </c>
      <c r="G16560" s="1" t="s">
        <v>28</v>
      </c>
      <c r="H16560" s="4" t="str">
        <f>HYPERLINK("https://portal.gdc.cancer.gov/cases/14cc6f5b-5692-471e-98b4-ae200b3d8fed","TCGA-AY-5543-01A")</f>
        <v>TCGA-AY-5543-01A</v>
      </c>
      <c r="I16560" t="s">
        <v>69</v>
      </c>
      <c r="J16560" t="s">
        <v>245</v>
      </c>
      <c r="K16560" t="s">
        <v>33</v>
      </c>
      <c r="L16560" t="s">
        <v>546</v>
      </c>
      <c r="N16560" t="s">
        <v>29</v>
      </c>
    </row>
    <row r="16561" spans="1:14">
      <c r="A16561" s="4" t="str">
        <f t="shared" si="1230"/>
        <v>EXP00421</v>
      </c>
      <c r="B16561" s="3" t="s">
        <v>66</v>
      </c>
      <c r="C16561" s="4" t="str">
        <f t="shared" si="1231"/>
        <v>TCGA-COAD</v>
      </c>
      <c r="D16561" s="1" t="s">
        <v>493</v>
      </c>
      <c r="E16561" t="s">
        <v>545</v>
      </c>
      <c r="F16561" s="1">
        <v>2</v>
      </c>
      <c r="G16561" s="1" t="s">
        <v>28</v>
      </c>
      <c r="H16561" s="4" t="str">
        <f>HYPERLINK("https://portal.gdc.cancer.gov/cases/2c30dc20-18a8-44f9-ab10-558c1e5634dc","TCGA-AY-6196-01A")</f>
        <v>TCGA-AY-6196-01A</v>
      </c>
      <c r="I16561" t="s">
        <v>69</v>
      </c>
      <c r="J16561" t="s">
        <v>245</v>
      </c>
      <c r="K16561" t="s">
        <v>33</v>
      </c>
      <c r="L16561" t="s">
        <v>546</v>
      </c>
      <c r="N16561" t="s">
        <v>29</v>
      </c>
    </row>
    <row r="16562" spans="1:14">
      <c r="A16562" s="4" t="str">
        <f t="shared" si="1230"/>
        <v>EXP00421</v>
      </c>
      <c r="B16562" s="3" t="s">
        <v>66</v>
      </c>
      <c r="C16562" s="4" t="str">
        <f t="shared" si="1231"/>
        <v>TCGA-COAD</v>
      </c>
      <c r="D16562" s="1" t="s">
        <v>493</v>
      </c>
      <c r="E16562" t="s">
        <v>545</v>
      </c>
      <c r="F16562" s="1">
        <v>2</v>
      </c>
      <c r="G16562" s="1" t="s">
        <v>28</v>
      </c>
      <c r="H16562" s="4" t="str">
        <f>HYPERLINK("https://portal.gdc.cancer.gov/cases/f6c674bf-396d-4bfe-8d08-e7266c314be3","TCGA-AY-6197-01A")</f>
        <v>TCGA-AY-6197-01A</v>
      </c>
      <c r="I16562" t="s">
        <v>69</v>
      </c>
      <c r="J16562" t="s">
        <v>245</v>
      </c>
      <c r="K16562" t="s">
        <v>33</v>
      </c>
      <c r="L16562" t="s">
        <v>546</v>
      </c>
      <c r="N16562" t="s">
        <v>29</v>
      </c>
    </row>
    <row r="16563" spans="1:14">
      <c r="A16563" s="4" t="str">
        <f t="shared" si="1230"/>
        <v>EXP00421</v>
      </c>
      <c r="B16563" s="3" t="s">
        <v>66</v>
      </c>
      <c r="C16563" s="4" t="str">
        <f t="shared" si="1231"/>
        <v>TCGA-COAD</v>
      </c>
      <c r="D16563" s="1" t="s">
        <v>493</v>
      </c>
      <c r="E16563" t="s">
        <v>545</v>
      </c>
      <c r="F16563" s="1">
        <v>2</v>
      </c>
      <c r="G16563" s="1" t="s">
        <v>28</v>
      </c>
      <c r="H16563" s="4" t="str">
        <f>HYPERLINK("https://portal.gdc.cancer.gov/cases/35c9264f-34ec-4d75-ab80-aaac86108fc8","TCGA-AY-6386-01A")</f>
        <v>TCGA-AY-6386-01A</v>
      </c>
      <c r="I16563" t="s">
        <v>69</v>
      </c>
      <c r="J16563" t="s">
        <v>245</v>
      </c>
      <c r="K16563" t="s">
        <v>33</v>
      </c>
      <c r="L16563" t="s">
        <v>546</v>
      </c>
      <c r="N16563" t="s">
        <v>29</v>
      </c>
    </row>
    <row r="16564" spans="1:14">
      <c r="A16564" s="4" t="str">
        <f t="shared" si="1230"/>
        <v>EXP00421</v>
      </c>
      <c r="B16564" s="3" t="s">
        <v>66</v>
      </c>
      <c r="C16564" s="4" t="str">
        <f t="shared" si="1231"/>
        <v>TCGA-COAD</v>
      </c>
      <c r="D16564" s="1" t="s">
        <v>493</v>
      </c>
      <c r="E16564" t="s">
        <v>545</v>
      </c>
      <c r="F16564" s="1">
        <v>2</v>
      </c>
      <c r="G16564" s="1" t="s">
        <v>28</v>
      </c>
      <c r="H16564" s="4" t="str">
        <f>HYPERLINK("https://portal.gdc.cancer.gov/cases/d8e9ea52-ff28-4626-baa3-71350fd53ddf","TCGA-AY-A54L-01A")</f>
        <v>TCGA-AY-A54L-01A</v>
      </c>
      <c r="I16564" t="s">
        <v>69</v>
      </c>
      <c r="J16564" t="s">
        <v>245</v>
      </c>
      <c r="K16564" t="s">
        <v>33</v>
      </c>
      <c r="L16564" t="s">
        <v>546</v>
      </c>
      <c r="N16564" t="s">
        <v>29</v>
      </c>
    </row>
    <row r="16565" spans="1:14">
      <c r="A16565" s="4" t="str">
        <f t="shared" si="1230"/>
        <v>EXP00421</v>
      </c>
      <c r="B16565" s="3" t="s">
        <v>66</v>
      </c>
      <c r="C16565" s="4" t="str">
        <f t="shared" si="1231"/>
        <v>TCGA-COAD</v>
      </c>
      <c r="D16565" s="1" t="s">
        <v>493</v>
      </c>
      <c r="E16565" t="s">
        <v>545</v>
      </c>
      <c r="F16565" s="1">
        <v>2</v>
      </c>
      <c r="G16565" s="1" t="s">
        <v>28</v>
      </c>
      <c r="H16565" s="4" t="str">
        <f>HYPERLINK("https://portal.gdc.cancer.gov/cases/acd51808-870c-4684-a2de-aa0b058729e1","TCGA-AY-A69D-01A")</f>
        <v>TCGA-AY-A69D-01A</v>
      </c>
      <c r="I16565" t="s">
        <v>69</v>
      </c>
      <c r="J16565" t="s">
        <v>245</v>
      </c>
      <c r="K16565" t="s">
        <v>33</v>
      </c>
      <c r="L16565" t="s">
        <v>546</v>
      </c>
      <c r="N16565" t="s">
        <v>29</v>
      </c>
    </row>
    <row r="16566" spans="1:14">
      <c r="A16566" s="4" t="str">
        <f t="shared" si="1230"/>
        <v>EXP00421</v>
      </c>
      <c r="B16566" s="3" t="s">
        <v>66</v>
      </c>
      <c r="C16566" s="4" t="str">
        <f t="shared" si="1231"/>
        <v>TCGA-COAD</v>
      </c>
      <c r="D16566" s="1" t="s">
        <v>493</v>
      </c>
      <c r="E16566" t="s">
        <v>545</v>
      </c>
      <c r="F16566" s="1">
        <v>2</v>
      </c>
      <c r="G16566" s="1" t="s">
        <v>28</v>
      </c>
      <c r="H16566" s="4" t="str">
        <f>HYPERLINK("https://portal.gdc.cancer.gov/cases/d4da3298-3a02-44a6-bdcd-d260f38e520b","TCGA-AY-A71X-01A")</f>
        <v>TCGA-AY-A71X-01A</v>
      </c>
      <c r="I16566" t="s">
        <v>69</v>
      </c>
      <c r="J16566" t="s">
        <v>245</v>
      </c>
      <c r="K16566" t="s">
        <v>33</v>
      </c>
      <c r="L16566" t="s">
        <v>546</v>
      </c>
      <c r="N16566" t="s">
        <v>29</v>
      </c>
    </row>
    <row r="16567" spans="1:14">
      <c r="A16567" s="4" t="str">
        <f t="shared" si="1230"/>
        <v>EXP00421</v>
      </c>
      <c r="B16567" s="3" t="s">
        <v>66</v>
      </c>
      <c r="C16567" s="4" t="str">
        <f t="shared" si="1231"/>
        <v>TCGA-COAD</v>
      </c>
      <c r="D16567" s="1" t="s">
        <v>493</v>
      </c>
      <c r="E16567" t="s">
        <v>545</v>
      </c>
      <c r="F16567" s="1">
        <v>2</v>
      </c>
      <c r="G16567" s="1" t="s">
        <v>28</v>
      </c>
      <c r="H16567" s="4" t="str">
        <f>HYPERLINK("https://portal.gdc.cancer.gov/cases/c6f6c032-5d4e-4028-aed0-24a587620354","TCGA-AY-A8YK-01A")</f>
        <v>TCGA-AY-A8YK-01A</v>
      </c>
      <c r="I16567" t="s">
        <v>69</v>
      </c>
      <c r="J16567" t="s">
        <v>245</v>
      </c>
      <c r="K16567" t="s">
        <v>33</v>
      </c>
      <c r="L16567" t="s">
        <v>546</v>
      </c>
      <c r="N16567" t="s">
        <v>29</v>
      </c>
    </row>
    <row r="16568" spans="1:14">
      <c r="A16568" s="4" t="str">
        <f t="shared" si="1230"/>
        <v>EXP00421</v>
      </c>
      <c r="B16568" s="3" t="s">
        <v>66</v>
      </c>
      <c r="C16568" s="4" t="str">
        <f t="shared" si="1231"/>
        <v>TCGA-COAD</v>
      </c>
      <c r="D16568" s="1" t="s">
        <v>493</v>
      </c>
      <c r="E16568" t="s">
        <v>545</v>
      </c>
      <c r="F16568" s="1">
        <v>2</v>
      </c>
      <c r="G16568" s="1" t="s">
        <v>28</v>
      </c>
      <c r="H16568" s="4" t="str">
        <f>HYPERLINK("https://portal.gdc.cancer.gov/cases/3d8fd9b2-9aa2-4c81-8843-535ae66d6140","TCGA-AZ-4308-01A")</f>
        <v>TCGA-AZ-4308-01A</v>
      </c>
      <c r="I16568" t="s">
        <v>69</v>
      </c>
      <c r="J16568" t="s">
        <v>245</v>
      </c>
      <c r="K16568" t="s">
        <v>33</v>
      </c>
      <c r="L16568" t="s">
        <v>546</v>
      </c>
      <c r="N16568" t="s">
        <v>29</v>
      </c>
    </row>
    <row r="16569" spans="1:14">
      <c r="A16569" s="4" t="str">
        <f t="shared" ref="A16569:A16632" si="1232">HYPERLINK("http://hcmdb.i-sanger.com/experiment/details/experiment_id/EXP00421","EXP00421")</f>
        <v>EXP00421</v>
      </c>
      <c r="B16569" s="3" t="s">
        <v>66</v>
      </c>
      <c r="C16569" s="4" t="str">
        <f t="shared" ref="C16569:C16632" si="1233">HYPERLINK("https://portal.gdc.cancer.gov/projects/TCGA-COAD","TCGA-COAD")</f>
        <v>TCGA-COAD</v>
      </c>
      <c r="D16569" s="1" t="s">
        <v>493</v>
      </c>
      <c r="E16569" t="s">
        <v>545</v>
      </c>
      <c r="F16569" s="1">
        <v>2</v>
      </c>
      <c r="G16569" s="1" t="s">
        <v>28</v>
      </c>
      <c r="H16569" s="4" t="str">
        <f>HYPERLINK("https://portal.gdc.cancer.gov/cases/1fd75c4d-e74c-410c-a150-814722c6c1cc","TCGA-AZ-4313-01A")</f>
        <v>TCGA-AZ-4313-01A</v>
      </c>
      <c r="I16569" t="s">
        <v>69</v>
      </c>
      <c r="J16569" t="s">
        <v>245</v>
      </c>
      <c r="K16569" t="s">
        <v>33</v>
      </c>
      <c r="L16569" t="s">
        <v>546</v>
      </c>
      <c r="N16569" t="s">
        <v>29</v>
      </c>
    </row>
    <row r="16570" spans="1:14">
      <c r="A16570" s="4" t="str">
        <f t="shared" si="1232"/>
        <v>EXP00421</v>
      </c>
      <c r="B16570" s="3" t="s">
        <v>66</v>
      </c>
      <c r="C16570" s="4" t="str">
        <f t="shared" si="1233"/>
        <v>TCGA-COAD</v>
      </c>
      <c r="D16570" s="1" t="s">
        <v>493</v>
      </c>
      <c r="E16570" t="s">
        <v>545</v>
      </c>
      <c r="F16570" s="1">
        <v>2</v>
      </c>
      <c r="G16570" s="1" t="s">
        <v>28</v>
      </c>
      <c r="H16570" s="4" t="str">
        <f>HYPERLINK("https://portal.gdc.cancer.gov/cases/de287a25-981d-49f8-81af-fe0300e4cd31","TCGA-AZ-4315-01A")</f>
        <v>TCGA-AZ-4315-01A</v>
      </c>
      <c r="I16570" t="s">
        <v>69</v>
      </c>
      <c r="J16570" t="s">
        <v>245</v>
      </c>
      <c r="K16570" t="s">
        <v>33</v>
      </c>
      <c r="L16570" t="s">
        <v>546</v>
      </c>
      <c r="N16570" t="s">
        <v>29</v>
      </c>
    </row>
    <row r="16571" spans="1:14">
      <c r="A16571" s="4" t="str">
        <f t="shared" si="1232"/>
        <v>EXP00421</v>
      </c>
      <c r="B16571" s="3" t="s">
        <v>66</v>
      </c>
      <c r="C16571" s="4" t="str">
        <f t="shared" si="1233"/>
        <v>TCGA-COAD</v>
      </c>
      <c r="D16571" s="1" t="s">
        <v>493</v>
      </c>
      <c r="E16571" t="s">
        <v>545</v>
      </c>
      <c r="F16571" s="1">
        <v>2</v>
      </c>
      <c r="G16571" s="1" t="s">
        <v>28</v>
      </c>
      <c r="H16571" s="4" t="str">
        <f>HYPERLINK("https://portal.gdc.cancer.gov/cases/c59d90a6-9cda-426d-b8ea-41f0a87033d5","TCGA-AZ-4323-01A")</f>
        <v>TCGA-AZ-4323-01A</v>
      </c>
      <c r="I16571" t="s">
        <v>69</v>
      </c>
      <c r="J16571" t="s">
        <v>245</v>
      </c>
      <c r="K16571" t="s">
        <v>33</v>
      </c>
      <c r="L16571" t="s">
        <v>546</v>
      </c>
      <c r="N16571" t="s">
        <v>29</v>
      </c>
    </row>
    <row r="16572" spans="1:14">
      <c r="A16572" s="4" t="str">
        <f t="shared" si="1232"/>
        <v>EXP00421</v>
      </c>
      <c r="B16572" s="3" t="s">
        <v>66</v>
      </c>
      <c r="C16572" s="4" t="str">
        <f t="shared" si="1233"/>
        <v>TCGA-COAD</v>
      </c>
      <c r="D16572" s="1" t="s">
        <v>493</v>
      </c>
      <c r="E16572" t="s">
        <v>545</v>
      </c>
      <c r="F16572" s="1">
        <v>2</v>
      </c>
      <c r="G16572" s="1" t="s">
        <v>28</v>
      </c>
      <c r="H16572" s="4" t="str">
        <f>HYPERLINK("https://portal.gdc.cancer.gov/cases/3334201d-a3c0-45ec-a9ed-cf48cc8c38e8","TCGA-AZ-4614-01A")</f>
        <v>TCGA-AZ-4614-01A</v>
      </c>
      <c r="I16572" t="s">
        <v>69</v>
      </c>
      <c r="J16572" t="s">
        <v>245</v>
      </c>
      <c r="K16572" t="s">
        <v>33</v>
      </c>
      <c r="L16572" t="s">
        <v>546</v>
      </c>
      <c r="N16572" t="s">
        <v>29</v>
      </c>
    </row>
    <row r="16573" spans="1:14">
      <c r="A16573" s="4" t="str">
        <f t="shared" si="1232"/>
        <v>EXP00421</v>
      </c>
      <c r="B16573" s="3" t="s">
        <v>66</v>
      </c>
      <c r="C16573" s="4" t="str">
        <f t="shared" si="1233"/>
        <v>TCGA-COAD</v>
      </c>
      <c r="D16573" s="1" t="s">
        <v>493</v>
      </c>
      <c r="E16573" t="s">
        <v>545</v>
      </c>
      <c r="F16573" s="1">
        <v>2</v>
      </c>
      <c r="G16573" s="1" t="s">
        <v>28</v>
      </c>
      <c r="H16573" s="4" t="str">
        <f>HYPERLINK("https://portal.gdc.cancer.gov/cases/bf69a4ce-ec7e-4752-a86d-dcc80e3c9a57","TCGA-AZ-4615-01A")</f>
        <v>TCGA-AZ-4615-01A</v>
      </c>
      <c r="I16573" t="s">
        <v>69</v>
      </c>
      <c r="J16573" t="s">
        <v>245</v>
      </c>
      <c r="K16573" t="s">
        <v>33</v>
      </c>
      <c r="L16573" t="s">
        <v>546</v>
      </c>
      <c r="N16573" t="s">
        <v>29</v>
      </c>
    </row>
    <row r="16574" spans="1:14">
      <c r="A16574" s="4" t="str">
        <f t="shared" si="1232"/>
        <v>EXP00421</v>
      </c>
      <c r="B16574" s="3" t="s">
        <v>66</v>
      </c>
      <c r="C16574" s="4" t="str">
        <f t="shared" si="1233"/>
        <v>TCGA-COAD</v>
      </c>
      <c r="D16574" s="1" t="s">
        <v>493</v>
      </c>
      <c r="E16574" t="s">
        <v>545</v>
      </c>
      <c r="F16574" s="1">
        <v>2</v>
      </c>
      <c r="G16574" s="1" t="s">
        <v>28</v>
      </c>
      <c r="H16574" s="4" t="str">
        <f>HYPERLINK("https://portal.gdc.cancer.gov/cases/e703af88-c05f-4d7b-b225-d640e4d1a2a5","TCGA-AZ-4616-01A")</f>
        <v>TCGA-AZ-4616-01A</v>
      </c>
      <c r="I16574" t="s">
        <v>69</v>
      </c>
      <c r="J16574" t="s">
        <v>245</v>
      </c>
      <c r="K16574" t="s">
        <v>33</v>
      </c>
      <c r="L16574" t="s">
        <v>546</v>
      </c>
      <c r="N16574" t="s">
        <v>29</v>
      </c>
    </row>
    <row r="16575" spans="1:14">
      <c r="A16575" s="4" t="str">
        <f t="shared" si="1232"/>
        <v>EXP00421</v>
      </c>
      <c r="B16575" s="3" t="s">
        <v>66</v>
      </c>
      <c r="C16575" s="4" t="str">
        <f t="shared" si="1233"/>
        <v>TCGA-COAD</v>
      </c>
      <c r="D16575" s="1" t="s">
        <v>493</v>
      </c>
      <c r="E16575" t="s">
        <v>545</v>
      </c>
      <c r="F16575" s="1">
        <v>2</v>
      </c>
      <c r="G16575" s="1" t="s">
        <v>28</v>
      </c>
      <c r="H16575" s="4" t="str">
        <f>HYPERLINK("https://portal.gdc.cancer.gov/cases/e588714a-7753-4c3c-abb6-eaf1aab53ab3","TCGA-AZ-4682-01B")</f>
        <v>TCGA-AZ-4682-01B</v>
      </c>
      <c r="I16575" t="s">
        <v>69</v>
      </c>
      <c r="J16575" t="s">
        <v>245</v>
      </c>
      <c r="K16575" t="s">
        <v>33</v>
      </c>
      <c r="L16575" t="s">
        <v>546</v>
      </c>
      <c r="N16575" t="s">
        <v>29</v>
      </c>
    </row>
    <row r="16576" spans="1:14">
      <c r="A16576" s="4" t="str">
        <f t="shared" si="1232"/>
        <v>EXP00421</v>
      </c>
      <c r="B16576" s="3" t="s">
        <v>66</v>
      </c>
      <c r="C16576" s="4" t="str">
        <f t="shared" si="1233"/>
        <v>TCGA-COAD</v>
      </c>
      <c r="D16576" s="1" t="s">
        <v>493</v>
      </c>
      <c r="E16576" t="s">
        <v>545</v>
      </c>
      <c r="F16576" s="1">
        <v>2</v>
      </c>
      <c r="G16576" s="1" t="s">
        <v>28</v>
      </c>
      <c r="H16576" s="4" t="str">
        <f>HYPERLINK("https://portal.gdc.cancer.gov/cases/cac80259-3a26-4a99-b0d3-13454068e6ed","TCGA-AZ-4684-01A")</f>
        <v>TCGA-AZ-4684-01A</v>
      </c>
      <c r="I16576" t="s">
        <v>69</v>
      </c>
      <c r="J16576" t="s">
        <v>245</v>
      </c>
      <c r="K16576" t="s">
        <v>33</v>
      </c>
      <c r="L16576" t="s">
        <v>546</v>
      </c>
      <c r="N16576" t="s">
        <v>29</v>
      </c>
    </row>
    <row r="16577" spans="1:14">
      <c r="A16577" s="4" t="str">
        <f t="shared" si="1232"/>
        <v>EXP00421</v>
      </c>
      <c r="B16577" s="3" t="s">
        <v>66</v>
      </c>
      <c r="C16577" s="4" t="str">
        <f t="shared" si="1233"/>
        <v>TCGA-COAD</v>
      </c>
      <c r="D16577" s="1" t="s">
        <v>493</v>
      </c>
      <c r="E16577" t="s">
        <v>545</v>
      </c>
      <c r="F16577" s="1">
        <v>2</v>
      </c>
      <c r="G16577" s="1" t="s">
        <v>28</v>
      </c>
      <c r="H16577" s="4" t="str">
        <f>HYPERLINK("https://portal.gdc.cancer.gov/cases/85a57cfe-f1c9-44d9-8b50-022c0d3438d1","TCGA-AZ-5403-01A")</f>
        <v>TCGA-AZ-5403-01A</v>
      </c>
      <c r="I16577" t="s">
        <v>69</v>
      </c>
      <c r="J16577" t="s">
        <v>245</v>
      </c>
      <c r="K16577" t="s">
        <v>33</v>
      </c>
      <c r="L16577" t="s">
        <v>546</v>
      </c>
      <c r="N16577" t="s">
        <v>29</v>
      </c>
    </row>
    <row r="16578" spans="1:14">
      <c r="A16578" s="4" t="str">
        <f t="shared" si="1232"/>
        <v>EXP00421</v>
      </c>
      <c r="B16578" s="3" t="s">
        <v>66</v>
      </c>
      <c r="C16578" s="4" t="str">
        <f t="shared" si="1233"/>
        <v>TCGA-COAD</v>
      </c>
      <c r="D16578" s="1" t="s">
        <v>493</v>
      </c>
      <c r="E16578" t="s">
        <v>545</v>
      </c>
      <c r="F16578" s="1">
        <v>2</v>
      </c>
      <c r="G16578" s="1" t="s">
        <v>28</v>
      </c>
      <c r="H16578" s="4" t="str">
        <f>HYPERLINK("https://portal.gdc.cancer.gov/cases/b718134c-5231-4f29-a423-7bad17c93fc5","TCGA-AZ-5407-01A")</f>
        <v>TCGA-AZ-5407-01A</v>
      </c>
      <c r="I16578" t="s">
        <v>69</v>
      </c>
      <c r="J16578" t="s">
        <v>245</v>
      </c>
      <c r="K16578" t="s">
        <v>33</v>
      </c>
      <c r="L16578" t="s">
        <v>546</v>
      </c>
      <c r="N16578" t="s">
        <v>29</v>
      </c>
    </row>
    <row r="16579" spans="1:14">
      <c r="A16579" s="4" t="str">
        <f t="shared" si="1232"/>
        <v>EXP00421</v>
      </c>
      <c r="B16579" s="3" t="s">
        <v>66</v>
      </c>
      <c r="C16579" s="4" t="str">
        <f t="shared" si="1233"/>
        <v>TCGA-COAD</v>
      </c>
      <c r="D16579" s="1" t="s">
        <v>493</v>
      </c>
      <c r="E16579" t="s">
        <v>545</v>
      </c>
      <c r="F16579" s="1">
        <v>2</v>
      </c>
      <c r="G16579" s="1" t="s">
        <v>28</v>
      </c>
      <c r="H16579" s="4" t="str">
        <f>HYPERLINK("https://portal.gdc.cancer.gov/cases/a8b4284d-cbbb-43e3-897b-d04af4bfba74","TCGA-AZ-6598-01A")</f>
        <v>TCGA-AZ-6598-01A</v>
      </c>
      <c r="I16579" t="s">
        <v>69</v>
      </c>
      <c r="J16579" t="s">
        <v>245</v>
      </c>
      <c r="K16579" t="s">
        <v>33</v>
      </c>
      <c r="L16579" t="s">
        <v>546</v>
      </c>
      <c r="N16579" t="s">
        <v>29</v>
      </c>
    </row>
    <row r="16580" spans="1:14">
      <c r="A16580" s="4" t="str">
        <f t="shared" si="1232"/>
        <v>EXP00421</v>
      </c>
      <c r="B16580" s="3" t="s">
        <v>66</v>
      </c>
      <c r="C16580" s="4" t="str">
        <f t="shared" si="1233"/>
        <v>TCGA-COAD</v>
      </c>
      <c r="D16580" s="1" t="s">
        <v>493</v>
      </c>
      <c r="E16580" t="s">
        <v>545</v>
      </c>
      <c r="F16580" s="1">
        <v>2</v>
      </c>
      <c r="G16580" s="1" t="s">
        <v>28</v>
      </c>
      <c r="H16580" s="4" t="str">
        <f>HYPERLINK("https://portal.gdc.cancer.gov/cases/fbb69964-f962-4b89-b59b-dd05f8faf61a","TCGA-AZ-6599-01A")</f>
        <v>TCGA-AZ-6599-01A</v>
      </c>
      <c r="I16580" t="s">
        <v>69</v>
      </c>
      <c r="J16580" t="s">
        <v>245</v>
      </c>
      <c r="K16580" t="s">
        <v>33</v>
      </c>
      <c r="L16580" t="s">
        <v>546</v>
      </c>
      <c r="N16580" t="s">
        <v>29</v>
      </c>
    </row>
    <row r="16581" spans="1:14">
      <c r="A16581" s="4" t="str">
        <f t="shared" si="1232"/>
        <v>EXP00421</v>
      </c>
      <c r="B16581" s="3" t="s">
        <v>66</v>
      </c>
      <c r="C16581" s="4" t="str">
        <f t="shared" si="1233"/>
        <v>TCGA-COAD</v>
      </c>
      <c r="D16581" s="1" t="s">
        <v>493</v>
      </c>
      <c r="E16581" t="s">
        <v>545</v>
      </c>
      <c r="F16581" s="1">
        <v>2</v>
      </c>
      <c r="G16581" s="1" t="s">
        <v>28</v>
      </c>
      <c r="H16581" s="4" t="str">
        <f>HYPERLINK("https://portal.gdc.cancer.gov/cases/aee20b98-df51-4ead-86cc-0d5f60a74b90","TCGA-AZ-6600-01A")</f>
        <v>TCGA-AZ-6600-01A</v>
      </c>
      <c r="I16581" t="s">
        <v>69</v>
      </c>
      <c r="J16581" t="s">
        <v>245</v>
      </c>
      <c r="K16581" t="s">
        <v>33</v>
      </c>
      <c r="L16581" t="s">
        <v>546</v>
      </c>
      <c r="N16581" t="s">
        <v>29</v>
      </c>
    </row>
    <row r="16582" spans="1:14">
      <c r="A16582" s="4" t="str">
        <f t="shared" si="1232"/>
        <v>EXP00421</v>
      </c>
      <c r="B16582" s="3" t="s">
        <v>66</v>
      </c>
      <c r="C16582" s="4" t="str">
        <f t="shared" si="1233"/>
        <v>TCGA-COAD</v>
      </c>
      <c r="D16582" s="1" t="s">
        <v>493</v>
      </c>
      <c r="E16582" t="s">
        <v>545</v>
      </c>
      <c r="F16582" s="1">
        <v>2</v>
      </c>
      <c r="G16582" s="1" t="s">
        <v>28</v>
      </c>
      <c r="H16582" s="4" t="str">
        <f>HYPERLINK("https://portal.gdc.cancer.gov/cases/7ad0617e-bc4a-4869-8419-744f04d9b7a3","TCGA-AZ-6601-01A")</f>
        <v>TCGA-AZ-6601-01A</v>
      </c>
      <c r="I16582" t="s">
        <v>69</v>
      </c>
      <c r="J16582" t="s">
        <v>245</v>
      </c>
      <c r="K16582" t="s">
        <v>33</v>
      </c>
      <c r="L16582" t="s">
        <v>546</v>
      </c>
      <c r="N16582" t="s">
        <v>29</v>
      </c>
    </row>
    <row r="16583" spans="1:14">
      <c r="A16583" s="4" t="str">
        <f t="shared" si="1232"/>
        <v>EXP00421</v>
      </c>
      <c r="B16583" s="3" t="s">
        <v>66</v>
      </c>
      <c r="C16583" s="4" t="str">
        <f t="shared" si="1233"/>
        <v>TCGA-COAD</v>
      </c>
      <c r="D16583" s="1" t="s">
        <v>493</v>
      </c>
      <c r="E16583" t="s">
        <v>545</v>
      </c>
      <c r="F16583" s="1">
        <v>2</v>
      </c>
      <c r="G16583" s="1" t="s">
        <v>28</v>
      </c>
      <c r="H16583" s="4" t="str">
        <f>HYPERLINK("https://portal.gdc.cancer.gov/cases/56d5b0b9-9093-4286-a2c6-7faa9a1680f5","TCGA-AZ-6603-01A")</f>
        <v>TCGA-AZ-6603-01A</v>
      </c>
      <c r="I16583" t="s">
        <v>69</v>
      </c>
      <c r="J16583" t="s">
        <v>245</v>
      </c>
      <c r="K16583" t="s">
        <v>33</v>
      </c>
      <c r="L16583" t="s">
        <v>546</v>
      </c>
      <c r="N16583" t="s">
        <v>29</v>
      </c>
    </row>
    <row r="16584" spans="1:14">
      <c r="A16584" s="4" t="str">
        <f t="shared" si="1232"/>
        <v>EXP00421</v>
      </c>
      <c r="B16584" s="3" t="s">
        <v>66</v>
      </c>
      <c r="C16584" s="4" t="str">
        <f t="shared" si="1233"/>
        <v>TCGA-COAD</v>
      </c>
      <c r="D16584" s="1" t="s">
        <v>493</v>
      </c>
      <c r="E16584" t="s">
        <v>545</v>
      </c>
      <c r="F16584" s="1">
        <v>2</v>
      </c>
      <c r="G16584" s="1" t="s">
        <v>28</v>
      </c>
      <c r="H16584" s="4" t="str">
        <f>HYPERLINK("https://portal.gdc.cancer.gov/cases/849031de-ac8a-4012-9362-d192512997f1","TCGA-AZ-6605-01A")</f>
        <v>TCGA-AZ-6605-01A</v>
      </c>
      <c r="I16584" t="s">
        <v>69</v>
      </c>
      <c r="J16584" t="s">
        <v>245</v>
      </c>
      <c r="K16584" t="s">
        <v>33</v>
      </c>
      <c r="L16584" t="s">
        <v>546</v>
      </c>
      <c r="N16584" t="s">
        <v>29</v>
      </c>
    </row>
    <row r="16585" spans="1:14">
      <c r="A16585" s="4" t="str">
        <f t="shared" si="1232"/>
        <v>EXP00421</v>
      </c>
      <c r="B16585" s="3" t="s">
        <v>66</v>
      </c>
      <c r="C16585" s="4" t="str">
        <f t="shared" si="1233"/>
        <v>TCGA-COAD</v>
      </c>
      <c r="D16585" s="1" t="s">
        <v>493</v>
      </c>
      <c r="E16585" t="s">
        <v>545</v>
      </c>
      <c r="F16585" s="1">
        <v>2</v>
      </c>
      <c r="G16585" s="1" t="s">
        <v>28</v>
      </c>
      <c r="H16585" s="4" t="str">
        <f>HYPERLINK("https://portal.gdc.cancer.gov/cases/c8d6fe73-3504-42a5-9723-e1916fba8208","TCGA-AZ-6606-01A")</f>
        <v>TCGA-AZ-6606-01A</v>
      </c>
      <c r="I16585" t="s">
        <v>69</v>
      </c>
      <c r="J16585" t="s">
        <v>245</v>
      </c>
      <c r="K16585" t="s">
        <v>33</v>
      </c>
      <c r="L16585" t="s">
        <v>546</v>
      </c>
      <c r="N16585" t="s">
        <v>29</v>
      </c>
    </row>
    <row r="16586" spans="1:14">
      <c r="A16586" s="4" t="str">
        <f t="shared" si="1232"/>
        <v>EXP00421</v>
      </c>
      <c r="B16586" s="3" t="s">
        <v>66</v>
      </c>
      <c r="C16586" s="4" t="str">
        <f t="shared" si="1233"/>
        <v>TCGA-COAD</v>
      </c>
      <c r="D16586" s="1" t="s">
        <v>493</v>
      </c>
      <c r="E16586" t="s">
        <v>545</v>
      </c>
      <c r="F16586" s="1">
        <v>2</v>
      </c>
      <c r="G16586" s="1" t="s">
        <v>28</v>
      </c>
      <c r="H16586" s="4" t="str">
        <f>HYPERLINK("https://portal.gdc.cancer.gov/cases/64dcf1a5-c78c-4d3f-852c-15865b3b6189","TCGA-AZ-6607-01A")</f>
        <v>TCGA-AZ-6607-01A</v>
      </c>
      <c r="I16586" t="s">
        <v>69</v>
      </c>
      <c r="J16586" t="s">
        <v>245</v>
      </c>
      <c r="K16586" t="s">
        <v>33</v>
      </c>
      <c r="L16586" t="s">
        <v>546</v>
      </c>
      <c r="N16586" t="s">
        <v>29</v>
      </c>
    </row>
    <row r="16587" spans="1:14">
      <c r="A16587" s="4" t="str">
        <f t="shared" si="1232"/>
        <v>EXP00421</v>
      </c>
      <c r="B16587" s="3" t="s">
        <v>66</v>
      </c>
      <c r="C16587" s="4" t="str">
        <f t="shared" si="1233"/>
        <v>TCGA-COAD</v>
      </c>
      <c r="D16587" s="1" t="s">
        <v>493</v>
      </c>
      <c r="E16587" t="s">
        <v>545</v>
      </c>
      <c r="F16587" s="1">
        <v>2</v>
      </c>
      <c r="G16587" s="1" t="s">
        <v>28</v>
      </c>
      <c r="H16587" s="4" t="str">
        <f>HYPERLINK("https://portal.gdc.cancer.gov/cases/f1e6ce83-b4a0-4643-8e8e-a1ef8a158a27","TCGA-AZ-6608-01A")</f>
        <v>TCGA-AZ-6608-01A</v>
      </c>
      <c r="I16587" t="s">
        <v>69</v>
      </c>
      <c r="J16587" t="s">
        <v>245</v>
      </c>
      <c r="K16587" t="s">
        <v>33</v>
      </c>
      <c r="L16587" t="s">
        <v>546</v>
      </c>
      <c r="N16587" t="s">
        <v>29</v>
      </c>
    </row>
    <row r="16588" spans="1:14">
      <c r="A16588" s="4" t="str">
        <f t="shared" si="1232"/>
        <v>EXP00421</v>
      </c>
      <c r="B16588" s="3" t="s">
        <v>66</v>
      </c>
      <c r="C16588" s="4" t="str">
        <f t="shared" si="1233"/>
        <v>TCGA-COAD</v>
      </c>
      <c r="D16588" s="1" t="s">
        <v>493</v>
      </c>
      <c r="E16588" t="s">
        <v>545</v>
      </c>
      <c r="F16588" s="1">
        <v>2</v>
      </c>
      <c r="G16588" s="1" t="s">
        <v>28</v>
      </c>
      <c r="H16588" s="4" t="str">
        <f>HYPERLINK("https://portal.gdc.cancer.gov/cases/26a41625-4680-47b2-afa9-6a72b148e1c0","TCGA-CA-5254-01A")</f>
        <v>TCGA-CA-5254-01A</v>
      </c>
      <c r="I16588" t="s">
        <v>69</v>
      </c>
      <c r="J16588" t="s">
        <v>245</v>
      </c>
      <c r="K16588" t="s">
        <v>33</v>
      </c>
      <c r="L16588" t="s">
        <v>546</v>
      </c>
      <c r="N16588" t="s">
        <v>29</v>
      </c>
    </row>
    <row r="16589" spans="1:14">
      <c r="A16589" s="4" t="str">
        <f t="shared" si="1232"/>
        <v>EXP00421</v>
      </c>
      <c r="B16589" s="3" t="s">
        <v>66</v>
      </c>
      <c r="C16589" s="4" t="str">
        <f t="shared" si="1233"/>
        <v>TCGA-COAD</v>
      </c>
      <c r="D16589" s="1" t="s">
        <v>493</v>
      </c>
      <c r="E16589" t="s">
        <v>545</v>
      </c>
      <c r="F16589" s="1">
        <v>2</v>
      </c>
      <c r="G16589" s="1" t="s">
        <v>28</v>
      </c>
      <c r="H16589" s="4" t="str">
        <f>HYPERLINK("https://portal.gdc.cancer.gov/cases/563d67a1-f1ba-4722-aa2d-9b35b1689468","TCGA-CA-5255-01A")</f>
        <v>TCGA-CA-5255-01A</v>
      </c>
      <c r="I16589" t="s">
        <v>69</v>
      </c>
      <c r="J16589" t="s">
        <v>245</v>
      </c>
      <c r="K16589" t="s">
        <v>33</v>
      </c>
      <c r="L16589" t="s">
        <v>546</v>
      </c>
      <c r="N16589" t="s">
        <v>29</v>
      </c>
    </row>
    <row r="16590" spans="1:14">
      <c r="A16590" s="4" t="str">
        <f t="shared" si="1232"/>
        <v>EXP00421</v>
      </c>
      <c r="B16590" s="3" t="s">
        <v>66</v>
      </c>
      <c r="C16590" s="4" t="str">
        <f t="shared" si="1233"/>
        <v>TCGA-COAD</v>
      </c>
      <c r="D16590" s="1" t="s">
        <v>493</v>
      </c>
      <c r="E16590" t="s">
        <v>545</v>
      </c>
      <c r="F16590" s="1">
        <v>2</v>
      </c>
      <c r="G16590" s="1" t="s">
        <v>28</v>
      </c>
      <c r="H16590" s="4" t="str">
        <f>HYPERLINK("https://portal.gdc.cancer.gov/cases/17633a60-e12b-4a7c-bd8a-c16341ddc606","TCGA-CA-5256-01A")</f>
        <v>TCGA-CA-5256-01A</v>
      </c>
      <c r="I16590" t="s">
        <v>69</v>
      </c>
      <c r="J16590" t="s">
        <v>245</v>
      </c>
      <c r="K16590" t="s">
        <v>33</v>
      </c>
      <c r="L16590" t="s">
        <v>546</v>
      </c>
      <c r="N16590" t="s">
        <v>29</v>
      </c>
    </row>
    <row r="16591" spans="1:14">
      <c r="A16591" s="4" t="str">
        <f t="shared" si="1232"/>
        <v>EXP00421</v>
      </c>
      <c r="B16591" s="3" t="s">
        <v>66</v>
      </c>
      <c r="C16591" s="4" t="str">
        <f t="shared" si="1233"/>
        <v>TCGA-COAD</v>
      </c>
      <c r="D16591" s="1" t="s">
        <v>493</v>
      </c>
      <c r="E16591" t="s">
        <v>545</v>
      </c>
      <c r="F16591" s="1">
        <v>2</v>
      </c>
      <c r="G16591" s="1" t="s">
        <v>28</v>
      </c>
      <c r="H16591" s="4" t="str">
        <f>HYPERLINK("https://portal.gdc.cancer.gov/cases/65ab030d-39f2-48ab-80ac-90cb1faa823a","TCGA-CA-5796-01A")</f>
        <v>TCGA-CA-5796-01A</v>
      </c>
      <c r="I16591" t="s">
        <v>69</v>
      </c>
      <c r="J16591" t="s">
        <v>245</v>
      </c>
      <c r="K16591" t="s">
        <v>33</v>
      </c>
      <c r="L16591" t="s">
        <v>546</v>
      </c>
      <c r="N16591" t="s">
        <v>29</v>
      </c>
    </row>
    <row r="16592" spans="1:14">
      <c r="A16592" s="4" t="str">
        <f t="shared" si="1232"/>
        <v>EXP00421</v>
      </c>
      <c r="B16592" s="3" t="s">
        <v>66</v>
      </c>
      <c r="C16592" s="4" t="str">
        <f t="shared" si="1233"/>
        <v>TCGA-COAD</v>
      </c>
      <c r="D16592" s="1" t="s">
        <v>493</v>
      </c>
      <c r="E16592" t="s">
        <v>545</v>
      </c>
      <c r="F16592" s="1">
        <v>2</v>
      </c>
      <c r="G16592" s="1" t="s">
        <v>28</v>
      </c>
      <c r="H16592" s="4" t="str">
        <f>HYPERLINK("https://portal.gdc.cancer.gov/cases/3e0c34cb-fca5-4bcf-a5c1-5a7d286dd072","TCGA-CA-5797-01A")</f>
        <v>TCGA-CA-5797-01A</v>
      </c>
      <c r="I16592" t="s">
        <v>69</v>
      </c>
      <c r="J16592" t="s">
        <v>245</v>
      </c>
      <c r="K16592" t="s">
        <v>33</v>
      </c>
      <c r="L16592" t="s">
        <v>546</v>
      </c>
      <c r="N16592" t="s">
        <v>29</v>
      </c>
    </row>
    <row r="16593" spans="1:14">
      <c r="A16593" s="4" t="str">
        <f t="shared" si="1232"/>
        <v>EXP00421</v>
      </c>
      <c r="B16593" s="3" t="s">
        <v>66</v>
      </c>
      <c r="C16593" s="4" t="str">
        <f t="shared" si="1233"/>
        <v>TCGA-COAD</v>
      </c>
      <c r="D16593" s="1" t="s">
        <v>493</v>
      </c>
      <c r="E16593" t="s">
        <v>545</v>
      </c>
      <c r="F16593" s="1">
        <v>2</v>
      </c>
      <c r="G16593" s="1" t="s">
        <v>28</v>
      </c>
      <c r="H16593" s="4" t="str">
        <f>HYPERLINK("https://portal.gdc.cancer.gov/cases/794131b8-f4be-4f15-b3b9-6f0b10a5a38b","TCGA-CA-6715-01A")</f>
        <v>TCGA-CA-6715-01A</v>
      </c>
      <c r="I16593" t="s">
        <v>69</v>
      </c>
      <c r="J16593" t="s">
        <v>245</v>
      </c>
      <c r="K16593" t="s">
        <v>33</v>
      </c>
      <c r="L16593" t="s">
        <v>546</v>
      </c>
      <c r="N16593" t="s">
        <v>29</v>
      </c>
    </row>
    <row r="16594" spans="1:14">
      <c r="A16594" s="4" t="str">
        <f t="shared" si="1232"/>
        <v>EXP00421</v>
      </c>
      <c r="B16594" s="3" t="s">
        <v>66</v>
      </c>
      <c r="C16594" s="4" t="str">
        <f t="shared" si="1233"/>
        <v>TCGA-COAD</v>
      </c>
      <c r="D16594" s="1" t="s">
        <v>493</v>
      </c>
      <c r="E16594" t="s">
        <v>545</v>
      </c>
      <c r="F16594" s="1">
        <v>2</v>
      </c>
      <c r="G16594" s="1" t="s">
        <v>28</v>
      </c>
      <c r="H16594" s="4" t="str">
        <f>HYPERLINK("https://portal.gdc.cancer.gov/cases/95a54459-3fac-42d5-8ec1-ed66d971d64d","TCGA-CA-6716-01A")</f>
        <v>TCGA-CA-6716-01A</v>
      </c>
      <c r="I16594" t="s">
        <v>69</v>
      </c>
      <c r="J16594" t="s">
        <v>245</v>
      </c>
      <c r="K16594" t="s">
        <v>33</v>
      </c>
      <c r="L16594" t="s">
        <v>546</v>
      </c>
      <c r="N16594" t="s">
        <v>29</v>
      </c>
    </row>
    <row r="16595" spans="1:14">
      <c r="A16595" s="4" t="str">
        <f t="shared" si="1232"/>
        <v>EXP00421</v>
      </c>
      <c r="B16595" s="3" t="s">
        <v>66</v>
      </c>
      <c r="C16595" s="4" t="str">
        <f t="shared" si="1233"/>
        <v>TCGA-COAD</v>
      </c>
      <c r="D16595" s="1" t="s">
        <v>493</v>
      </c>
      <c r="E16595" t="s">
        <v>545</v>
      </c>
      <c r="F16595" s="1">
        <v>2</v>
      </c>
      <c r="G16595" s="1" t="s">
        <v>28</v>
      </c>
      <c r="H16595" s="4" t="str">
        <f>HYPERLINK("https://portal.gdc.cancer.gov/cases/268c01b3-d2ce-44c0-a2fe-ea846a1253cc","TCGA-CA-6717-01A")</f>
        <v>TCGA-CA-6717-01A</v>
      </c>
      <c r="I16595" t="s">
        <v>69</v>
      </c>
      <c r="J16595" t="s">
        <v>245</v>
      </c>
      <c r="K16595" t="s">
        <v>33</v>
      </c>
      <c r="L16595" t="s">
        <v>546</v>
      </c>
      <c r="N16595" t="s">
        <v>29</v>
      </c>
    </row>
    <row r="16596" spans="1:14">
      <c r="A16596" s="4" t="str">
        <f t="shared" si="1232"/>
        <v>EXP00421</v>
      </c>
      <c r="B16596" s="3" t="s">
        <v>66</v>
      </c>
      <c r="C16596" s="4" t="str">
        <f t="shared" si="1233"/>
        <v>TCGA-COAD</v>
      </c>
      <c r="D16596" s="1" t="s">
        <v>493</v>
      </c>
      <c r="E16596" t="s">
        <v>545</v>
      </c>
      <c r="F16596" s="1">
        <v>2</v>
      </c>
      <c r="G16596" s="1" t="s">
        <v>28</v>
      </c>
      <c r="H16596" s="4" t="str">
        <f>HYPERLINK("https://portal.gdc.cancer.gov/cases/df5ab6cc-6f68-4b6b-95e2-954c6b57ba9c","TCGA-CA-6718-01A")</f>
        <v>TCGA-CA-6718-01A</v>
      </c>
      <c r="I16596" t="s">
        <v>69</v>
      </c>
      <c r="J16596" t="s">
        <v>245</v>
      </c>
      <c r="K16596" t="s">
        <v>33</v>
      </c>
      <c r="L16596" t="s">
        <v>546</v>
      </c>
      <c r="N16596" t="s">
        <v>29</v>
      </c>
    </row>
    <row r="16597" spans="1:14">
      <c r="A16597" s="4" t="str">
        <f t="shared" si="1232"/>
        <v>EXP00421</v>
      </c>
      <c r="B16597" s="3" t="s">
        <v>66</v>
      </c>
      <c r="C16597" s="4" t="str">
        <f t="shared" si="1233"/>
        <v>TCGA-COAD</v>
      </c>
      <c r="D16597" s="1" t="s">
        <v>493</v>
      </c>
      <c r="E16597" t="s">
        <v>545</v>
      </c>
      <c r="F16597" s="1">
        <v>2</v>
      </c>
      <c r="G16597" s="1" t="s">
        <v>28</v>
      </c>
      <c r="H16597" s="4" t="str">
        <f>HYPERLINK("https://portal.gdc.cancer.gov/cases/9cdca5d8-ea77-4df9-b2ba-0d5e8ec37bcd","TCGA-CA-6719-01A")</f>
        <v>TCGA-CA-6719-01A</v>
      </c>
      <c r="I16597" t="s">
        <v>69</v>
      </c>
      <c r="J16597" t="s">
        <v>245</v>
      </c>
      <c r="K16597" t="s">
        <v>33</v>
      </c>
      <c r="L16597" t="s">
        <v>546</v>
      </c>
      <c r="N16597" t="s">
        <v>29</v>
      </c>
    </row>
    <row r="16598" spans="1:14">
      <c r="A16598" s="4" t="str">
        <f t="shared" si="1232"/>
        <v>EXP00421</v>
      </c>
      <c r="B16598" s="3" t="s">
        <v>66</v>
      </c>
      <c r="C16598" s="4" t="str">
        <f t="shared" si="1233"/>
        <v>TCGA-COAD</v>
      </c>
      <c r="D16598" s="1" t="s">
        <v>493</v>
      </c>
      <c r="E16598" t="s">
        <v>545</v>
      </c>
      <c r="F16598" s="1">
        <v>2</v>
      </c>
      <c r="G16598" s="1" t="s">
        <v>28</v>
      </c>
      <c r="H16598" s="4" t="str">
        <f>HYPERLINK("https://portal.gdc.cancer.gov/cases/73f9681a-f9ef-4880-bd16-93624fd117c6","TCGA-CK-4947-01B")</f>
        <v>TCGA-CK-4947-01B</v>
      </c>
      <c r="I16598" t="s">
        <v>69</v>
      </c>
      <c r="J16598" t="s">
        <v>245</v>
      </c>
      <c r="K16598" t="s">
        <v>33</v>
      </c>
      <c r="L16598" t="s">
        <v>546</v>
      </c>
      <c r="N16598" t="s">
        <v>29</v>
      </c>
    </row>
    <row r="16599" spans="1:14">
      <c r="A16599" s="4" t="str">
        <f t="shared" si="1232"/>
        <v>EXP00421</v>
      </c>
      <c r="B16599" s="3" t="s">
        <v>66</v>
      </c>
      <c r="C16599" s="4" t="str">
        <f t="shared" si="1233"/>
        <v>TCGA-COAD</v>
      </c>
      <c r="D16599" s="1" t="s">
        <v>493</v>
      </c>
      <c r="E16599" t="s">
        <v>545</v>
      </c>
      <c r="F16599" s="1">
        <v>2</v>
      </c>
      <c r="G16599" s="1" t="s">
        <v>28</v>
      </c>
      <c r="H16599" s="4" t="str">
        <f>HYPERLINK("https://portal.gdc.cancer.gov/cases/5d73b382-3da3-4220-890e-2095228bbe6c","TCGA-CK-4948-01B")</f>
        <v>TCGA-CK-4948-01B</v>
      </c>
      <c r="I16599" t="s">
        <v>69</v>
      </c>
      <c r="J16599" t="s">
        <v>245</v>
      </c>
      <c r="K16599" t="s">
        <v>33</v>
      </c>
      <c r="L16599" t="s">
        <v>546</v>
      </c>
      <c r="N16599" t="s">
        <v>29</v>
      </c>
    </row>
    <row r="16600" spans="1:14">
      <c r="A16600" s="4" t="str">
        <f t="shared" si="1232"/>
        <v>EXP00421</v>
      </c>
      <c r="B16600" s="3" t="s">
        <v>66</v>
      </c>
      <c r="C16600" s="4" t="str">
        <f t="shared" si="1233"/>
        <v>TCGA-COAD</v>
      </c>
      <c r="D16600" s="1" t="s">
        <v>493</v>
      </c>
      <c r="E16600" t="s">
        <v>545</v>
      </c>
      <c r="F16600" s="1">
        <v>2</v>
      </c>
      <c r="G16600" s="1" t="s">
        <v>28</v>
      </c>
      <c r="H16600" s="4" t="str">
        <f>HYPERLINK("https://portal.gdc.cancer.gov/cases/c293a148-a88c-4fb3-b2f4-e64e918044f9","TCGA-CK-4950-01A")</f>
        <v>TCGA-CK-4950-01A</v>
      </c>
      <c r="I16600" t="s">
        <v>69</v>
      </c>
      <c r="J16600" t="s">
        <v>245</v>
      </c>
      <c r="K16600" t="s">
        <v>33</v>
      </c>
      <c r="L16600" t="s">
        <v>546</v>
      </c>
      <c r="N16600" t="s">
        <v>29</v>
      </c>
    </row>
    <row r="16601" spans="1:14">
      <c r="A16601" s="4" t="str">
        <f t="shared" si="1232"/>
        <v>EXP00421</v>
      </c>
      <c r="B16601" s="3" t="s">
        <v>66</v>
      </c>
      <c r="C16601" s="4" t="str">
        <f t="shared" si="1233"/>
        <v>TCGA-COAD</v>
      </c>
      <c r="D16601" s="1" t="s">
        <v>493</v>
      </c>
      <c r="E16601" t="s">
        <v>545</v>
      </c>
      <c r="F16601" s="1">
        <v>2</v>
      </c>
      <c r="G16601" s="1" t="s">
        <v>28</v>
      </c>
      <c r="H16601" s="4" t="str">
        <f>HYPERLINK("https://portal.gdc.cancer.gov/cases/2db3c23d-c591-4ea0-b0a8-ed9c4343c80e","TCGA-CK-4951-01A")</f>
        <v>TCGA-CK-4951-01A</v>
      </c>
      <c r="I16601" t="s">
        <v>69</v>
      </c>
      <c r="J16601" t="s">
        <v>245</v>
      </c>
      <c r="K16601" t="s">
        <v>33</v>
      </c>
      <c r="L16601" t="s">
        <v>546</v>
      </c>
      <c r="N16601" t="s">
        <v>29</v>
      </c>
    </row>
    <row r="16602" spans="1:14">
      <c r="A16602" s="4" t="str">
        <f t="shared" si="1232"/>
        <v>EXP00421</v>
      </c>
      <c r="B16602" s="3" t="s">
        <v>66</v>
      </c>
      <c r="C16602" s="4" t="str">
        <f t="shared" si="1233"/>
        <v>TCGA-COAD</v>
      </c>
      <c r="D16602" s="1" t="s">
        <v>493</v>
      </c>
      <c r="E16602" t="s">
        <v>545</v>
      </c>
      <c r="F16602" s="1">
        <v>2</v>
      </c>
      <c r="G16602" s="1" t="s">
        <v>28</v>
      </c>
      <c r="H16602" s="4" t="str">
        <f>HYPERLINK("https://portal.gdc.cancer.gov/cases/5342e2e8-1465-4f7b-9450-ef27280f80c7","TCGA-CK-4952-01A")</f>
        <v>TCGA-CK-4952-01A</v>
      </c>
      <c r="I16602" t="s">
        <v>69</v>
      </c>
      <c r="J16602" t="s">
        <v>245</v>
      </c>
      <c r="K16602" t="s">
        <v>33</v>
      </c>
      <c r="L16602" t="s">
        <v>546</v>
      </c>
      <c r="N16602" t="s">
        <v>29</v>
      </c>
    </row>
    <row r="16603" spans="1:14">
      <c r="A16603" s="4" t="str">
        <f t="shared" si="1232"/>
        <v>EXP00421</v>
      </c>
      <c r="B16603" s="3" t="s">
        <v>66</v>
      </c>
      <c r="C16603" s="4" t="str">
        <f t="shared" si="1233"/>
        <v>TCGA-COAD</v>
      </c>
      <c r="D16603" s="1" t="s">
        <v>493</v>
      </c>
      <c r="E16603" t="s">
        <v>545</v>
      </c>
      <c r="F16603" s="1">
        <v>2</v>
      </c>
      <c r="G16603" s="1" t="s">
        <v>28</v>
      </c>
      <c r="H16603" s="4" t="str">
        <f>HYPERLINK("https://portal.gdc.cancer.gov/cases/c085da47-d634-491a-80ea-514e5a231f70","TCGA-CK-5912-01A")</f>
        <v>TCGA-CK-5912-01A</v>
      </c>
      <c r="I16603" t="s">
        <v>69</v>
      </c>
      <c r="J16603" t="s">
        <v>245</v>
      </c>
      <c r="K16603" t="s">
        <v>33</v>
      </c>
      <c r="L16603" t="s">
        <v>546</v>
      </c>
      <c r="N16603" t="s">
        <v>29</v>
      </c>
    </row>
    <row r="16604" spans="1:14">
      <c r="A16604" s="4" t="str">
        <f t="shared" si="1232"/>
        <v>EXP00421</v>
      </c>
      <c r="B16604" s="3" t="s">
        <v>66</v>
      </c>
      <c r="C16604" s="4" t="str">
        <f t="shared" si="1233"/>
        <v>TCGA-COAD</v>
      </c>
      <c r="D16604" s="1" t="s">
        <v>493</v>
      </c>
      <c r="E16604" t="s">
        <v>545</v>
      </c>
      <c r="F16604" s="1">
        <v>2</v>
      </c>
      <c r="G16604" s="1" t="s">
        <v>28</v>
      </c>
      <c r="H16604" s="4" t="str">
        <f>HYPERLINK("https://portal.gdc.cancer.gov/cases/3758f4f7-ac2f-4f9d-bee2-526196f8129a","TCGA-CK-5913-01A")</f>
        <v>TCGA-CK-5913-01A</v>
      </c>
      <c r="I16604" t="s">
        <v>69</v>
      </c>
      <c r="J16604" t="s">
        <v>245</v>
      </c>
      <c r="K16604" t="s">
        <v>33</v>
      </c>
      <c r="L16604" t="s">
        <v>546</v>
      </c>
      <c r="N16604" t="s">
        <v>29</v>
      </c>
    </row>
    <row r="16605" spans="1:14">
      <c r="A16605" s="4" t="str">
        <f t="shared" si="1232"/>
        <v>EXP00421</v>
      </c>
      <c r="B16605" s="3" t="s">
        <v>66</v>
      </c>
      <c r="C16605" s="4" t="str">
        <f t="shared" si="1233"/>
        <v>TCGA-COAD</v>
      </c>
      <c r="D16605" s="1" t="s">
        <v>493</v>
      </c>
      <c r="E16605" t="s">
        <v>545</v>
      </c>
      <c r="F16605" s="1">
        <v>2</v>
      </c>
      <c r="G16605" s="1" t="s">
        <v>28</v>
      </c>
      <c r="H16605" s="4" t="str">
        <f>HYPERLINK("https://portal.gdc.cancer.gov/cases/57b0f89f-1b75-453e-922c-01cd4d44ca49","TCGA-CK-5914-01A")</f>
        <v>TCGA-CK-5914-01A</v>
      </c>
      <c r="I16605" t="s">
        <v>69</v>
      </c>
      <c r="J16605" t="s">
        <v>245</v>
      </c>
      <c r="K16605" t="s">
        <v>33</v>
      </c>
      <c r="L16605" t="s">
        <v>546</v>
      </c>
      <c r="N16605" t="s">
        <v>29</v>
      </c>
    </row>
    <row r="16606" spans="1:14">
      <c r="A16606" s="4" t="str">
        <f t="shared" si="1232"/>
        <v>EXP00421</v>
      </c>
      <c r="B16606" s="3" t="s">
        <v>66</v>
      </c>
      <c r="C16606" s="4" t="str">
        <f t="shared" si="1233"/>
        <v>TCGA-COAD</v>
      </c>
      <c r="D16606" s="1" t="s">
        <v>493</v>
      </c>
      <c r="E16606" t="s">
        <v>545</v>
      </c>
      <c r="F16606" s="1">
        <v>2</v>
      </c>
      <c r="G16606" s="1" t="s">
        <v>28</v>
      </c>
      <c r="H16606" s="4" t="str">
        <f>HYPERLINK("https://portal.gdc.cancer.gov/cases/c658f35d-ceeb-4189-8e3d-03e3b9706667","TCGA-CK-5915-01A")</f>
        <v>TCGA-CK-5915-01A</v>
      </c>
      <c r="I16606" t="s">
        <v>69</v>
      </c>
      <c r="J16606" t="s">
        <v>245</v>
      </c>
      <c r="K16606" t="s">
        <v>33</v>
      </c>
      <c r="L16606" t="s">
        <v>546</v>
      </c>
      <c r="N16606" t="s">
        <v>29</v>
      </c>
    </row>
    <row r="16607" spans="1:14">
      <c r="A16607" s="4" t="str">
        <f t="shared" si="1232"/>
        <v>EXP00421</v>
      </c>
      <c r="B16607" s="3" t="s">
        <v>66</v>
      </c>
      <c r="C16607" s="4" t="str">
        <f t="shared" si="1233"/>
        <v>TCGA-COAD</v>
      </c>
      <c r="D16607" s="1" t="s">
        <v>493</v>
      </c>
      <c r="E16607" t="s">
        <v>545</v>
      </c>
      <c r="F16607" s="1">
        <v>2</v>
      </c>
      <c r="G16607" s="1" t="s">
        <v>28</v>
      </c>
      <c r="H16607" s="4" t="str">
        <f>HYPERLINK("https://portal.gdc.cancer.gov/cases/38d65618-4857-490e-86b3-0a3f772a9f60","TCGA-CK-5916-01A")</f>
        <v>TCGA-CK-5916-01A</v>
      </c>
      <c r="I16607" t="s">
        <v>69</v>
      </c>
      <c r="J16607" t="s">
        <v>245</v>
      </c>
      <c r="K16607" t="s">
        <v>33</v>
      </c>
      <c r="L16607" t="s">
        <v>546</v>
      </c>
      <c r="N16607" t="s">
        <v>29</v>
      </c>
    </row>
    <row r="16608" spans="1:14">
      <c r="A16608" s="4" t="str">
        <f t="shared" si="1232"/>
        <v>EXP00421</v>
      </c>
      <c r="B16608" s="3" t="s">
        <v>66</v>
      </c>
      <c r="C16608" s="4" t="str">
        <f t="shared" si="1233"/>
        <v>TCGA-COAD</v>
      </c>
      <c r="D16608" s="1" t="s">
        <v>493</v>
      </c>
      <c r="E16608" t="s">
        <v>545</v>
      </c>
      <c r="F16608" s="1">
        <v>2</v>
      </c>
      <c r="G16608" s="1" t="s">
        <v>28</v>
      </c>
      <c r="H16608" s="4" t="str">
        <f>HYPERLINK("https://portal.gdc.cancer.gov/cases/a6f98ee5-9638-4ebe-804b-fba54aea9f90","TCGA-CK-6746-01A")</f>
        <v>TCGA-CK-6746-01A</v>
      </c>
      <c r="I16608" t="s">
        <v>69</v>
      </c>
      <c r="J16608" t="s">
        <v>245</v>
      </c>
      <c r="K16608" t="s">
        <v>33</v>
      </c>
      <c r="L16608" t="s">
        <v>546</v>
      </c>
      <c r="N16608" t="s">
        <v>29</v>
      </c>
    </row>
    <row r="16609" spans="1:14">
      <c r="A16609" s="4" t="str">
        <f t="shared" si="1232"/>
        <v>EXP00421</v>
      </c>
      <c r="B16609" s="3" t="s">
        <v>66</v>
      </c>
      <c r="C16609" s="4" t="str">
        <f t="shared" si="1233"/>
        <v>TCGA-COAD</v>
      </c>
      <c r="D16609" s="1" t="s">
        <v>493</v>
      </c>
      <c r="E16609" t="s">
        <v>545</v>
      </c>
      <c r="F16609" s="1">
        <v>2</v>
      </c>
      <c r="G16609" s="1" t="s">
        <v>28</v>
      </c>
      <c r="H16609" s="4" t="str">
        <f>HYPERLINK("https://portal.gdc.cancer.gov/cases/755d3bde-76c3-45c1-8427-8e4d5d686dc1","TCGA-CK-6747-01A")</f>
        <v>TCGA-CK-6747-01A</v>
      </c>
      <c r="I16609" t="s">
        <v>69</v>
      </c>
      <c r="J16609" t="s">
        <v>245</v>
      </c>
      <c r="K16609" t="s">
        <v>33</v>
      </c>
      <c r="L16609" t="s">
        <v>546</v>
      </c>
      <c r="N16609" t="s">
        <v>29</v>
      </c>
    </row>
    <row r="16610" spans="1:14">
      <c r="A16610" s="4" t="str">
        <f t="shared" si="1232"/>
        <v>EXP00421</v>
      </c>
      <c r="B16610" s="3" t="s">
        <v>66</v>
      </c>
      <c r="C16610" s="4" t="str">
        <f t="shared" si="1233"/>
        <v>TCGA-COAD</v>
      </c>
      <c r="D16610" s="1" t="s">
        <v>493</v>
      </c>
      <c r="E16610" t="s">
        <v>545</v>
      </c>
      <c r="F16610" s="1">
        <v>2</v>
      </c>
      <c r="G16610" s="1" t="s">
        <v>28</v>
      </c>
      <c r="H16610" s="4" t="str">
        <f>HYPERLINK("https://portal.gdc.cancer.gov/cases/8a84b03a-e37e-4827-98f0-4d480ec31037","TCGA-CK-6748-01A")</f>
        <v>TCGA-CK-6748-01A</v>
      </c>
      <c r="I16610" t="s">
        <v>69</v>
      </c>
      <c r="J16610" t="s">
        <v>245</v>
      </c>
      <c r="K16610" t="s">
        <v>33</v>
      </c>
      <c r="L16610" t="s">
        <v>546</v>
      </c>
      <c r="N16610" t="s">
        <v>29</v>
      </c>
    </row>
    <row r="16611" spans="1:14">
      <c r="A16611" s="4" t="str">
        <f t="shared" si="1232"/>
        <v>EXP00421</v>
      </c>
      <c r="B16611" s="3" t="s">
        <v>66</v>
      </c>
      <c r="C16611" s="4" t="str">
        <f t="shared" si="1233"/>
        <v>TCGA-COAD</v>
      </c>
      <c r="D16611" s="1" t="s">
        <v>493</v>
      </c>
      <c r="E16611" t="s">
        <v>545</v>
      </c>
      <c r="F16611" s="1">
        <v>2</v>
      </c>
      <c r="G16611" s="1" t="s">
        <v>28</v>
      </c>
      <c r="H16611" s="4" t="str">
        <f>HYPERLINK("https://portal.gdc.cancer.gov/cases/7a70f061-9a6f-408e-a416-7f5295ceba3b","TCGA-CK-6751-01A")</f>
        <v>TCGA-CK-6751-01A</v>
      </c>
      <c r="I16611" t="s">
        <v>69</v>
      </c>
      <c r="J16611" t="s">
        <v>245</v>
      </c>
      <c r="K16611" t="s">
        <v>33</v>
      </c>
      <c r="L16611" t="s">
        <v>546</v>
      </c>
      <c r="N16611" t="s">
        <v>29</v>
      </c>
    </row>
    <row r="16612" spans="1:14">
      <c r="A16612" s="4" t="str">
        <f t="shared" si="1232"/>
        <v>EXP00421</v>
      </c>
      <c r="B16612" s="3" t="s">
        <v>66</v>
      </c>
      <c r="C16612" s="4" t="str">
        <f t="shared" si="1233"/>
        <v>TCGA-COAD</v>
      </c>
      <c r="D16612" s="1" t="s">
        <v>493</v>
      </c>
      <c r="E16612" t="s">
        <v>545</v>
      </c>
      <c r="F16612" s="1">
        <v>2</v>
      </c>
      <c r="G16612" s="1" t="s">
        <v>28</v>
      </c>
      <c r="H16612" s="4" t="str">
        <f>HYPERLINK("https://portal.gdc.cancer.gov/cases/c8d7eb0f-2502-4277-a8ef-435b08f3c863","TCGA-CM-4743-01A")</f>
        <v>TCGA-CM-4743-01A</v>
      </c>
      <c r="I16612" t="s">
        <v>69</v>
      </c>
      <c r="J16612" t="s">
        <v>245</v>
      </c>
      <c r="K16612" t="s">
        <v>33</v>
      </c>
      <c r="L16612" t="s">
        <v>546</v>
      </c>
      <c r="N16612" t="s">
        <v>29</v>
      </c>
    </row>
    <row r="16613" spans="1:14">
      <c r="A16613" s="4" t="str">
        <f t="shared" si="1232"/>
        <v>EXP00421</v>
      </c>
      <c r="B16613" s="3" t="s">
        <v>66</v>
      </c>
      <c r="C16613" s="4" t="str">
        <f t="shared" si="1233"/>
        <v>TCGA-COAD</v>
      </c>
      <c r="D16613" s="1" t="s">
        <v>493</v>
      </c>
      <c r="E16613" t="s">
        <v>545</v>
      </c>
      <c r="F16613" s="1">
        <v>2</v>
      </c>
      <c r="G16613" s="1" t="s">
        <v>28</v>
      </c>
      <c r="H16613" s="4" t="str">
        <f>HYPERLINK("https://portal.gdc.cancer.gov/cases/cc15469c-7bad-4e86-9da3-ae0c72e9d380","TCGA-CM-4744-01A")</f>
        <v>TCGA-CM-4744-01A</v>
      </c>
      <c r="I16613" t="s">
        <v>69</v>
      </c>
      <c r="J16613" t="s">
        <v>245</v>
      </c>
      <c r="K16613" t="s">
        <v>33</v>
      </c>
      <c r="L16613" t="s">
        <v>546</v>
      </c>
      <c r="N16613" t="s">
        <v>29</v>
      </c>
    </row>
    <row r="16614" spans="1:14">
      <c r="A16614" s="4" t="str">
        <f t="shared" si="1232"/>
        <v>EXP00421</v>
      </c>
      <c r="B16614" s="3" t="s">
        <v>66</v>
      </c>
      <c r="C16614" s="4" t="str">
        <f t="shared" si="1233"/>
        <v>TCGA-COAD</v>
      </c>
      <c r="D16614" s="1" t="s">
        <v>493</v>
      </c>
      <c r="E16614" t="s">
        <v>545</v>
      </c>
      <c r="F16614" s="1">
        <v>2</v>
      </c>
      <c r="G16614" s="1" t="s">
        <v>28</v>
      </c>
      <c r="H16614" s="4" t="str">
        <f>HYPERLINK("https://portal.gdc.cancer.gov/cases/c0b8c55c-b993-481d-aeea-9ebfa64ee20e","TCGA-CM-4746-01A")</f>
        <v>TCGA-CM-4746-01A</v>
      </c>
      <c r="I16614" t="s">
        <v>69</v>
      </c>
      <c r="J16614" t="s">
        <v>245</v>
      </c>
      <c r="K16614" t="s">
        <v>33</v>
      </c>
      <c r="L16614" t="s">
        <v>546</v>
      </c>
      <c r="N16614" t="s">
        <v>29</v>
      </c>
    </row>
    <row r="16615" spans="1:14">
      <c r="A16615" s="4" t="str">
        <f t="shared" si="1232"/>
        <v>EXP00421</v>
      </c>
      <c r="B16615" s="3" t="s">
        <v>66</v>
      </c>
      <c r="C16615" s="4" t="str">
        <f t="shared" si="1233"/>
        <v>TCGA-COAD</v>
      </c>
      <c r="D16615" s="1" t="s">
        <v>493</v>
      </c>
      <c r="E16615" t="s">
        <v>545</v>
      </c>
      <c r="F16615" s="1">
        <v>2</v>
      </c>
      <c r="G16615" s="1" t="s">
        <v>28</v>
      </c>
      <c r="H16615" s="4" t="str">
        <f>HYPERLINK("https://portal.gdc.cancer.gov/cases/56eb96a4-d2c2-42fb-b26c-1a80012bcb8e","TCGA-CM-4747-01A")</f>
        <v>TCGA-CM-4747-01A</v>
      </c>
      <c r="I16615" t="s">
        <v>69</v>
      </c>
      <c r="J16615" t="s">
        <v>245</v>
      </c>
      <c r="K16615" t="s">
        <v>33</v>
      </c>
      <c r="L16615" t="s">
        <v>546</v>
      </c>
      <c r="N16615" t="s">
        <v>29</v>
      </c>
    </row>
    <row r="16616" spans="1:14">
      <c r="A16616" s="4" t="str">
        <f t="shared" si="1232"/>
        <v>EXP00421</v>
      </c>
      <c r="B16616" s="3" t="s">
        <v>66</v>
      </c>
      <c r="C16616" s="4" t="str">
        <f t="shared" si="1233"/>
        <v>TCGA-COAD</v>
      </c>
      <c r="D16616" s="1" t="s">
        <v>493</v>
      </c>
      <c r="E16616" t="s">
        <v>545</v>
      </c>
      <c r="F16616" s="1">
        <v>2</v>
      </c>
      <c r="G16616" s="1" t="s">
        <v>28</v>
      </c>
      <c r="H16616" s="4" t="str">
        <f>HYPERLINK("https://portal.gdc.cancer.gov/cases/cd845618-4cc4-49c2-9055-c171d4c24ee1","TCGA-CM-4748-01A")</f>
        <v>TCGA-CM-4748-01A</v>
      </c>
      <c r="I16616" t="s">
        <v>69</v>
      </c>
      <c r="J16616" t="s">
        <v>245</v>
      </c>
      <c r="K16616" t="s">
        <v>33</v>
      </c>
      <c r="L16616" t="s">
        <v>546</v>
      </c>
      <c r="N16616" t="s">
        <v>29</v>
      </c>
    </row>
    <row r="16617" spans="1:14">
      <c r="A16617" s="4" t="str">
        <f t="shared" si="1232"/>
        <v>EXP00421</v>
      </c>
      <c r="B16617" s="3" t="s">
        <v>66</v>
      </c>
      <c r="C16617" s="4" t="str">
        <f t="shared" si="1233"/>
        <v>TCGA-COAD</v>
      </c>
      <c r="D16617" s="1" t="s">
        <v>493</v>
      </c>
      <c r="E16617" t="s">
        <v>545</v>
      </c>
      <c r="F16617" s="1">
        <v>2</v>
      </c>
      <c r="G16617" s="1" t="s">
        <v>28</v>
      </c>
      <c r="H16617" s="4" t="str">
        <f>HYPERLINK("https://portal.gdc.cancer.gov/cases/c777a777-373a-4773-9566-6c373261f00a","TCGA-CM-4750-01A")</f>
        <v>TCGA-CM-4750-01A</v>
      </c>
      <c r="I16617" t="s">
        <v>69</v>
      </c>
      <c r="J16617" t="s">
        <v>245</v>
      </c>
      <c r="K16617" t="s">
        <v>33</v>
      </c>
      <c r="L16617" t="s">
        <v>546</v>
      </c>
      <c r="N16617" t="s">
        <v>29</v>
      </c>
    </row>
    <row r="16618" spans="1:14">
      <c r="A16618" s="4" t="str">
        <f t="shared" si="1232"/>
        <v>EXP00421</v>
      </c>
      <c r="B16618" s="3" t="s">
        <v>66</v>
      </c>
      <c r="C16618" s="4" t="str">
        <f t="shared" si="1233"/>
        <v>TCGA-COAD</v>
      </c>
      <c r="D16618" s="1" t="s">
        <v>493</v>
      </c>
      <c r="E16618" t="s">
        <v>545</v>
      </c>
      <c r="F16618" s="1">
        <v>2</v>
      </c>
      <c r="G16618" s="1" t="s">
        <v>28</v>
      </c>
      <c r="H16618" s="4" t="str">
        <f>HYPERLINK("https://portal.gdc.cancer.gov/cases/e3ca9046-9634-4332-b19f-88b18110f941","TCGA-CM-4751-01A")</f>
        <v>TCGA-CM-4751-01A</v>
      </c>
      <c r="I16618" t="s">
        <v>69</v>
      </c>
      <c r="J16618" t="s">
        <v>245</v>
      </c>
      <c r="K16618" t="s">
        <v>33</v>
      </c>
      <c r="L16618" t="s">
        <v>546</v>
      </c>
      <c r="N16618" t="s">
        <v>29</v>
      </c>
    </row>
    <row r="16619" spans="1:14">
      <c r="A16619" s="4" t="str">
        <f t="shared" si="1232"/>
        <v>EXP00421</v>
      </c>
      <c r="B16619" s="3" t="s">
        <v>66</v>
      </c>
      <c r="C16619" s="4" t="str">
        <f t="shared" si="1233"/>
        <v>TCGA-COAD</v>
      </c>
      <c r="D16619" s="1" t="s">
        <v>493</v>
      </c>
      <c r="E16619" t="s">
        <v>545</v>
      </c>
      <c r="F16619" s="1">
        <v>2</v>
      </c>
      <c r="G16619" s="1" t="s">
        <v>28</v>
      </c>
      <c r="H16619" s="4" t="str">
        <f>HYPERLINK("https://portal.gdc.cancer.gov/cases/7ea546ce-f48a-4d9c-96b4-a0124c692870","TCGA-CM-4752-01A")</f>
        <v>TCGA-CM-4752-01A</v>
      </c>
      <c r="I16619" t="s">
        <v>69</v>
      </c>
      <c r="J16619" t="s">
        <v>245</v>
      </c>
      <c r="K16619" t="s">
        <v>33</v>
      </c>
      <c r="L16619" t="s">
        <v>546</v>
      </c>
      <c r="N16619" t="s">
        <v>29</v>
      </c>
    </row>
    <row r="16620" spans="1:14">
      <c r="A16620" s="4" t="str">
        <f t="shared" si="1232"/>
        <v>EXP00421</v>
      </c>
      <c r="B16620" s="3" t="s">
        <v>66</v>
      </c>
      <c r="C16620" s="4" t="str">
        <f t="shared" si="1233"/>
        <v>TCGA-COAD</v>
      </c>
      <c r="D16620" s="1" t="s">
        <v>493</v>
      </c>
      <c r="E16620" t="s">
        <v>545</v>
      </c>
      <c r="F16620" s="1">
        <v>2</v>
      </c>
      <c r="G16620" s="1" t="s">
        <v>28</v>
      </c>
      <c r="H16620" s="4" t="str">
        <f>HYPERLINK("https://portal.gdc.cancer.gov/cases/2d3ce817-b269-4662-a92d-392bd3662399","TCGA-CM-5341-01A")</f>
        <v>TCGA-CM-5341-01A</v>
      </c>
      <c r="I16620" t="s">
        <v>69</v>
      </c>
      <c r="J16620" t="s">
        <v>245</v>
      </c>
      <c r="K16620" t="s">
        <v>33</v>
      </c>
      <c r="L16620" t="s">
        <v>546</v>
      </c>
      <c r="N16620" t="s">
        <v>29</v>
      </c>
    </row>
    <row r="16621" spans="1:14">
      <c r="A16621" s="4" t="str">
        <f t="shared" si="1232"/>
        <v>EXP00421</v>
      </c>
      <c r="B16621" s="3" t="s">
        <v>66</v>
      </c>
      <c r="C16621" s="4" t="str">
        <f t="shared" si="1233"/>
        <v>TCGA-COAD</v>
      </c>
      <c r="D16621" s="1" t="s">
        <v>493</v>
      </c>
      <c r="E16621" t="s">
        <v>545</v>
      </c>
      <c r="F16621" s="1">
        <v>2</v>
      </c>
      <c r="G16621" s="1" t="s">
        <v>28</v>
      </c>
      <c r="H16621" s="4" t="str">
        <f>HYPERLINK("https://portal.gdc.cancer.gov/cases/b6202d8d-dd3c-4fa2-9242-6e55759846af","TCGA-CM-5344-01A")</f>
        <v>TCGA-CM-5344-01A</v>
      </c>
      <c r="I16621" t="s">
        <v>69</v>
      </c>
      <c r="J16621" t="s">
        <v>245</v>
      </c>
      <c r="K16621" t="s">
        <v>33</v>
      </c>
      <c r="L16621" t="s">
        <v>546</v>
      </c>
      <c r="N16621" t="s">
        <v>29</v>
      </c>
    </row>
    <row r="16622" spans="1:14">
      <c r="A16622" s="4" t="str">
        <f t="shared" si="1232"/>
        <v>EXP00421</v>
      </c>
      <c r="B16622" s="3" t="s">
        <v>66</v>
      </c>
      <c r="C16622" s="4" t="str">
        <f t="shared" si="1233"/>
        <v>TCGA-COAD</v>
      </c>
      <c r="D16622" s="1" t="s">
        <v>493</v>
      </c>
      <c r="E16622" t="s">
        <v>545</v>
      </c>
      <c r="F16622" s="1">
        <v>2</v>
      </c>
      <c r="G16622" s="1" t="s">
        <v>28</v>
      </c>
      <c r="H16622" s="4" t="str">
        <f>HYPERLINK("https://portal.gdc.cancer.gov/cases/b89267a4-0e6b-401e-85b0-e66775858aa6","TCGA-CM-5348-01A")</f>
        <v>TCGA-CM-5348-01A</v>
      </c>
      <c r="I16622" t="s">
        <v>69</v>
      </c>
      <c r="J16622" t="s">
        <v>245</v>
      </c>
      <c r="K16622" t="s">
        <v>33</v>
      </c>
      <c r="L16622" t="s">
        <v>546</v>
      </c>
      <c r="N16622" t="s">
        <v>29</v>
      </c>
    </row>
    <row r="16623" spans="1:14">
      <c r="A16623" s="4" t="str">
        <f t="shared" si="1232"/>
        <v>EXP00421</v>
      </c>
      <c r="B16623" s="3" t="s">
        <v>66</v>
      </c>
      <c r="C16623" s="4" t="str">
        <f t="shared" si="1233"/>
        <v>TCGA-COAD</v>
      </c>
      <c r="D16623" s="1" t="s">
        <v>493</v>
      </c>
      <c r="E16623" t="s">
        <v>545</v>
      </c>
      <c r="F16623" s="1">
        <v>2</v>
      </c>
      <c r="G16623" s="1" t="s">
        <v>28</v>
      </c>
      <c r="H16623" s="4" t="str">
        <f>HYPERLINK("https://portal.gdc.cancer.gov/cases/227f945f-76fd-4a63-9609-d4e730a3d22a","TCGA-CM-5349-01A")</f>
        <v>TCGA-CM-5349-01A</v>
      </c>
      <c r="I16623" t="s">
        <v>69</v>
      </c>
      <c r="J16623" t="s">
        <v>245</v>
      </c>
      <c r="K16623" t="s">
        <v>33</v>
      </c>
      <c r="L16623" t="s">
        <v>546</v>
      </c>
      <c r="N16623" t="s">
        <v>29</v>
      </c>
    </row>
    <row r="16624" spans="1:14">
      <c r="A16624" s="4" t="str">
        <f t="shared" si="1232"/>
        <v>EXP00421</v>
      </c>
      <c r="B16624" s="3" t="s">
        <v>66</v>
      </c>
      <c r="C16624" s="4" t="str">
        <f t="shared" si="1233"/>
        <v>TCGA-COAD</v>
      </c>
      <c r="D16624" s="1" t="s">
        <v>493</v>
      </c>
      <c r="E16624" t="s">
        <v>545</v>
      </c>
      <c r="F16624" s="1">
        <v>2</v>
      </c>
      <c r="G16624" s="1" t="s">
        <v>28</v>
      </c>
      <c r="H16624" s="4" t="str">
        <f>HYPERLINK("https://portal.gdc.cancer.gov/cases/96e013d9-8e89-46a7-8d07-bae95af36708","TCGA-CM-5860-01A")</f>
        <v>TCGA-CM-5860-01A</v>
      </c>
      <c r="I16624" t="s">
        <v>69</v>
      </c>
      <c r="J16624" t="s">
        <v>245</v>
      </c>
      <c r="K16624" t="s">
        <v>33</v>
      </c>
      <c r="L16624" t="s">
        <v>546</v>
      </c>
      <c r="N16624" t="s">
        <v>29</v>
      </c>
    </row>
    <row r="16625" spans="1:14">
      <c r="A16625" s="4" t="str">
        <f t="shared" si="1232"/>
        <v>EXP00421</v>
      </c>
      <c r="B16625" s="3" t="s">
        <v>66</v>
      </c>
      <c r="C16625" s="4" t="str">
        <f t="shared" si="1233"/>
        <v>TCGA-COAD</v>
      </c>
      <c r="D16625" s="1" t="s">
        <v>493</v>
      </c>
      <c r="E16625" t="s">
        <v>545</v>
      </c>
      <c r="F16625" s="1">
        <v>2</v>
      </c>
      <c r="G16625" s="1" t="s">
        <v>28</v>
      </c>
      <c r="H16625" s="4" t="str">
        <f>HYPERLINK("https://portal.gdc.cancer.gov/cases/9743d31a-ea8f-4847-87d2-ebf77cc5983d","TCGA-CM-5861-01A")</f>
        <v>TCGA-CM-5861-01A</v>
      </c>
      <c r="I16625" t="s">
        <v>69</v>
      </c>
      <c r="J16625" t="s">
        <v>245</v>
      </c>
      <c r="K16625" t="s">
        <v>33</v>
      </c>
      <c r="L16625" t="s">
        <v>546</v>
      </c>
      <c r="N16625" t="s">
        <v>29</v>
      </c>
    </row>
    <row r="16626" spans="1:14">
      <c r="A16626" s="4" t="str">
        <f t="shared" si="1232"/>
        <v>EXP00421</v>
      </c>
      <c r="B16626" s="3" t="s">
        <v>66</v>
      </c>
      <c r="C16626" s="4" t="str">
        <f t="shared" si="1233"/>
        <v>TCGA-COAD</v>
      </c>
      <c r="D16626" s="1" t="s">
        <v>493</v>
      </c>
      <c r="E16626" t="s">
        <v>545</v>
      </c>
      <c r="F16626" s="1">
        <v>2</v>
      </c>
      <c r="G16626" s="1" t="s">
        <v>28</v>
      </c>
      <c r="H16626" s="4" t="str">
        <f>HYPERLINK("https://portal.gdc.cancer.gov/cases/a19cd9f8-482b-4b70-b7d7-06d6bb1b0260","TCGA-CM-5862-01A")</f>
        <v>TCGA-CM-5862-01A</v>
      </c>
      <c r="I16626" t="s">
        <v>69</v>
      </c>
      <c r="J16626" t="s">
        <v>245</v>
      </c>
      <c r="K16626" t="s">
        <v>33</v>
      </c>
      <c r="L16626" t="s">
        <v>546</v>
      </c>
      <c r="N16626" t="s">
        <v>29</v>
      </c>
    </row>
    <row r="16627" spans="1:14">
      <c r="A16627" s="4" t="str">
        <f t="shared" si="1232"/>
        <v>EXP00421</v>
      </c>
      <c r="B16627" s="3" t="s">
        <v>66</v>
      </c>
      <c r="C16627" s="4" t="str">
        <f t="shared" si="1233"/>
        <v>TCGA-COAD</v>
      </c>
      <c r="D16627" s="1" t="s">
        <v>493</v>
      </c>
      <c r="E16627" t="s">
        <v>545</v>
      </c>
      <c r="F16627" s="1">
        <v>2</v>
      </c>
      <c r="G16627" s="1" t="s">
        <v>28</v>
      </c>
      <c r="H16627" s="4" t="str">
        <f>HYPERLINK("https://portal.gdc.cancer.gov/cases/cc1d6ad3-b60d-482e-8fa4-0af26823007d","TCGA-CM-5863-01A")</f>
        <v>TCGA-CM-5863-01A</v>
      </c>
      <c r="I16627" t="s">
        <v>69</v>
      </c>
      <c r="J16627" t="s">
        <v>245</v>
      </c>
      <c r="K16627" t="s">
        <v>33</v>
      </c>
      <c r="L16627" t="s">
        <v>546</v>
      </c>
      <c r="N16627" t="s">
        <v>29</v>
      </c>
    </row>
    <row r="16628" spans="1:14">
      <c r="A16628" s="4" t="str">
        <f t="shared" si="1232"/>
        <v>EXP00421</v>
      </c>
      <c r="B16628" s="3" t="s">
        <v>66</v>
      </c>
      <c r="C16628" s="4" t="str">
        <f t="shared" si="1233"/>
        <v>TCGA-COAD</v>
      </c>
      <c r="D16628" s="1" t="s">
        <v>493</v>
      </c>
      <c r="E16628" t="s">
        <v>545</v>
      </c>
      <c r="F16628" s="1">
        <v>2</v>
      </c>
      <c r="G16628" s="1" t="s">
        <v>28</v>
      </c>
      <c r="H16628" s="4" t="str">
        <f>HYPERLINK("https://portal.gdc.cancer.gov/cases/5b259d18-3976-4f44-967f-fe5fa8447c8b","TCGA-CM-5864-01A")</f>
        <v>TCGA-CM-5864-01A</v>
      </c>
      <c r="I16628" t="s">
        <v>69</v>
      </c>
      <c r="J16628" t="s">
        <v>245</v>
      </c>
      <c r="K16628" t="s">
        <v>33</v>
      </c>
      <c r="L16628" t="s">
        <v>546</v>
      </c>
      <c r="N16628" t="s">
        <v>29</v>
      </c>
    </row>
    <row r="16629" spans="1:14">
      <c r="A16629" s="4" t="str">
        <f t="shared" si="1232"/>
        <v>EXP00421</v>
      </c>
      <c r="B16629" s="3" t="s">
        <v>66</v>
      </c>
      <c r="C16629" s="4" t="str">
        <f t="shared" si="1233"/>
        <v>TCGA-COAD</v>
      </c>
      <c r="D16629" s="1" t="s">
        <v>493</v>
      </c>
      <c r="E16629" t="s">
        <v>545</v>
      </c>
      <c r="F16629" s="1">
        <v>2</v>
      </c>
      <c r="G16629" s="1" t="s">
        <v>28</v>
      </c>
      <c r="H16629" s="4" t="str">
        <f>HYPERLINK("https://portal.gdc.cancer.gov/cases/4aadf2a2-ce1e-4f94-b146-59292e83e7fd","TCGA-CM-5868-01A")</f>
        <v>TCGA-CM-5868-01A</v>
      </c>
      <c r="I16629" t="s">
        <v>69</v>
      </c>
      <c r="J16629" t="s">
        <v>245</v>
      </c>
      <c r="K16629" t="s">
        <v>33</v>
      </c>
      <c r="L16629" t="s">
        <v>546</v>
      </c>
      <c r="N16629" t="s">
        <v>29</v>
      </c>
    </row>
    <row r="16630" spans="1:14">
      <c r="A16630" s="4" t="str">
        <f t="shared" si="1232"/>
        <v>EXP00421</v>
      </c>
      <c r="B16630" s="3" t="s">
        <v>66</v>
      </c>
      <c r="C16630" s="4" t="str">
        <f t="shared" si="1233"/>
        <v>TCGA-COAD</v>
      </c>
      <c r="D16630" s="1" t="s">
        <v>493</v>
      </c>
      <c r="E16630" t="s">
        <v>545</v>
      </c>
      <c r="F16630" s="1">
        <v>2</v>
      </c>
      <c r="G16630" s="1" t="s">
        <v>28</v>
      </c>
      <c r="H16630" s="4" t="str">
        <f>HYPERLINK("https://portal.gdc.cancer.gov/cases/3470b1af-689f-467a-9f9e-de74088f9b94","TCGA-CM-6161-01A")</f>
        <v>TCGA-CM-6161-01A</v>
      </c>
      <c r="I16630" t="s">
        <v>69</v>
      </c>
      <c r="J16630" t="s">
        <v>245</v>
      </c>
      <c r="K16630" t="s">
        <v>33</v>
      </c>
      <c r="L16630" t="s">
        <v>546</v>
      </c>
      <c r="N16630" t="s">
        <v>29</v>
      </c>
    </row>
    <row r="16631" spans="1:14">
      <c r="A16631" s="4" t="str">
        <f t="shared" si="1232"/>
        <v>EXP00421</v>
      </c>
      <c r="B16631" s="3" t="s">
        <v>66</v>
      </c>
      <c r="C16631" s="4" t="str">
        <f t="shared" si="1233"/>
        <v>TCGA-COAD</v>
      </c>
      <c r="D16631" s="1" t="s">
        <v>493</v>
      </c>
      <c r="E16631" t="s">
        <v>545</v>
      </c>
      <c r="F16631" s="1">
        <v>2</v>
      </c>
      <c r="G16631" s="1" t="s">
        <v>28</v>
      </c>
      <c r="H16631" s="4" t="str">
        <f>HYPERLINK("https://portal.gdc.cancer.gov/cases/ec3f3f11-75df-4fcc-ba03-f19aca907645","TCGA-CM-6162-01A")</f>
        <v>TCGA-CM-6162-01A</v>
      </c>
      <c r="I16631" t="s">
        <v>69</v>
      </c>
      <c r="J16631" t="s">
        <v>245</v>
      </c>
      <c r="K16631" t="s">
        <v>33</v>
      </c>
      <c r="L16631" t="s">
        <v>546</v>
      </c>
      <c r="N16631" t="s">
        <v>29</v>
      </c>
    </row>
    <row r="16632" spans="1:14">
      <c r="A16632" s="4" t="str">
        <f t="shared" si="1232"/>
        <v>EXP00421</v>
      </c>
      <c r="B16632" s="3" t="s">
        <v>66</v>
      </c>
      <c r="C16632" s="4" t="str">
        <f t="shared" si="1233"/>
        <v>TCGA-COAD</v>
      </c>
      <c r="D16632" s="1" t="s">
        <v>493</v>
      </c>
      <c r="E16632" t="s">
        <v>545</v>
      </c>
      <c r="F16632" s="1">
        <v>2</v>
      </c>
      <c r="G16632" s="1" t="s">
        <v>28</v>
      </c>
      <c r="H16632" s="4" t="str">
        <f>HYPERLINK("https://portal.gdc.cancer.gov/cases/8c043ecd-2265-411f-bc3b-dc341cf56ac2","TCGA-CM-6163-01A")</f>
        <v>TCGA-CM-6163-01A</v>
      </c>
      <c r="I16632" t="s">
        <v>69</v>
      </c>
      <c r="J16632" t="s">
        <v>245</v>
      </c>
      <c r="K16632" t="s">
        <v>33</v>
      </c>
      <c r="L16632" t="s">
        <v>546</v>
      </c>
      <c r="N16632" t="s">
        <v>29</v>
      </c>
    </row>
    <row r="16633" spans="1:14">
      <c r="A16633" s="4" t="str">
        <f t="shared" ref="A16633:A16696" si="1234">HYPERLINK("http://hcmdb.i-sanger.com/experiment/details/experiment_id/EXP00421","EXP00421")</f>
        <v>EXP00421</v>
      </c>
      <c r="B16633" s="3" t="s">
        <v>66</v>
      </c>
      <c r="C16633" s="4" t="str">
        <f t="shared" ref="C16633:C16696" si="1235">HYPERLINK("https://portal.gdc.cancer.gov/projects/TCGA-COAD","TCGA-COAD")</f>
        <v>TCGA-COAD</v>
      </c>
      <c r="D16633" s="1" t="s">
        <v>493</v>
      </c>
      <c r="E16633" t="s">
        <v>545</v>
      </c>
      <c r="F16633" s="1">
        <v>2</v>
      </c>
      <c r="G16633" s="1" t="s">
        <v>28</v>
      </c>
      <c r="H16633" s="4" t="str">
        <f>HYPERLINK("https://portal.gdc.cancer.gov/cases/6a4031c6-ee88-48be-81a5-a522720edd02","TCGA-CM-6164-01A")</f>
        <v>TCGA-CM-6164-01A</v>
      </c>
      <c r="I16633" t="s">
        <v>69</v>
      </c>
      <c r="J16633" t="s">
        <v>245</v>
      </c>
      <c r="K16633" t="s">
        <v>33</v>
      </c>
      <c r="L16633" t="s">
        <v>546</v>
      </c>
      <c r="N16633" t="s">
        <v>29</v>
      </c>
    </row>
    <row r="16634" spans="1:14">
      <c r="A16634" s="4" t="str">
        <f t="shared" si="1234"/>
        <v>EXP00421</v>
      </c>
      <c r="B16634" s="3" t="s">
        <v>66</v>
      </c>
      <c r="C16634" s="4" t="str">
        <f t="shared" si="1235"/>
        <v>TCGA-COAD</v>
      </c>
      <c r="D16634" s="1" t="s">
        <v>493</v>
      </c>
      <c r="E16634" t="s">
        <v>545</v>
      </c>
      <c r="F16634" s="1">
        <v>2</v>
      </c>
      <c r="G16634" s="1" t="s">
        <v>28</v>
      </c>
      <c r="H16634" s="4" t="str">
        <f>HYPERLINK("https://portal.gdc.cancer.gov/cases/f4e047a5-bdb2-4bc2-aff0-e0f45bcc9062","TCGA-CM-6165-01A")</f>
        <v>TCGA-CM-6165-01A</v>
      </c>
      <c r="I16634" t="s">
        <v>69</v>
      </c>
      <c r="J16634" t="s">
        <v>245</v>
      </c>
      <c r="K16634" t="s">
        <v>33</v>
      </c>
      <c r="L16634" t="s">
        <v>546</v>
      </c>
      <c r="N16634" t="s">
        <v>29</v>
      </c>
    </row>
    <row r="16635" spans="1:14">
      <c r="A16635" s="4" t="str">
        <f t="shared" si="1234"/>
        <v>EXP00421</v>
      </c>
      <c r="B16635" s="3" t="s">
        <v>66</v>
      </c>
      <c r="C16635" s="4" t="str">
        <f t="shared" si="1235"/>
        <v>TCGA-COAD</v>
      </c>
      <c r="D16635" s="1" t="s">
        <v>493</v>
      </c>
      <c r="E16635" t="s">
        <v>545</v>
      </c>
      <c r="F16635" s="1">
        <v>2</v>
      </c>
      <c r="G16635" s="1" t="s">
        <v>28</v>
      </c>
      <c r="H16635" s="4" t="str">
        <f>HYPERLINK("https://portal.gdc.cancer.gov/cases/aedde4a5-6520-40b9-9721-c9b826490b7a","TCGA-CM-6166-01A")</f>
        <v>TCGA-CM-6166-01A</v>
      </c>
      <c r="I16635" t="s">
        <v>69</v>
      </c>
      <c r="J16635" t="s">
        <v>245</v>
      </c>
      <c r="K16635" t="s">
        <v>33</v>
      </c>
      <c r="L16635" t="s">
        <v>546</v>
      </c>
      <c r="N16635" t="s">
        <v>29</v>
      </c>
    </row>
    <row r="16636" spans="1:14">
      <c r="A16636" s="4" t="str">
        <f t="shared" si="1234"/>
        <v>EXP00421</v>
      </c>
      <c r="B16636" s="3" t="s">
        <v>66</v>
      </c>
      <c r="C16636" s="4" t="str">
        <f t="shared" si="1235"/>
        <v>TCGA-COAD</v>
      </c>
      <c r="D16636" s="1" t="s">
        <v>493</v>
      </c>
      <c r="E16636" t="s">
        <v>545</v>
      </c>
      <c r="F16636" s="1">
        <v>2</v>
      </c>
      <c r="G16636" s="1" t="s">
        <v>28</v>
      </c>
      <c r="H16636" s="4" t="str">
        <f>HYPERLINK("https://portal.gdc.cancer.gov/cases/d42bc7f0-cfb2-4ece-ae47-521308635633","TCGA-CM-6167-01A")</f>
        <v>TCGA-CM-6167-01A</v>
      </c>
      <c r="I16636" t="s">
        <v>69</v>
      </c>
      <c r="J16636" t="s">
        <v>245</v>
      </c>
      <c r="K16636" t="s">
        <v>33</v>
      </c>
      <c r="L16636" t="s">
        <v>546</v>
      </c>
      <c r="N16636" t="s">
        <v>29</v>
      </c>
    </row>
    <row r="16637" spans="1:14">
      <c r="A16637" s="4" t="str">
        <f t="shared" si="1234"/>
        <v>EXP00421</v>
      </c>
      <c r="B16637" s="3" t="s">
        <v>66</v>
      </c>
      <c r="C16637" s="4" t="str">
        <f t="shared" si="1235"/>
        <v>TCGA-COAD</v>
      </c>
      <c r="D16637" s="1" t="s">
        <v>493</v>
      </c>
      <c r="E16637" t="s">
        <v>545</v>
      </c>
      <c r="F16637" s="1">
        <v>2</v>
      </c>
      <c r="G16637" s="1" t="s">
        <v>28</v>
      </c>
      <c r="H16637" s="4" t="str">
        <f>HYPERLINK("https://portal.gdc.cancer.gov/cases/75c3004d-1ef4-49f9-86e0-1bb7b9553a3d","TCGA-CM-6168-01A")</f>
        <v>TCGA-CM-6168-01A</v>
      </c>
      <c r="I16637" t="s">
        <v>69</v>
      </c>
      <c r="J16637" t="s">
        <v>245</v>
      </c>
      <c r="K16637" t="s">
        <v>33</v>
      </c>
      <c r="L16637" t="s">
        <v>546</v>
      </c>
      <c r="N16637" t="s">
        <v>29</v>
      </c>
    </row>
    <row r="16638" spans="1:14">
      <c r="A16638" s="4" t="str">
        <f t="shared" si="1234"/>
        <v>EXP00421</v>
      </c>
      <c r="B16638" s="3" t="s">
        <v>66</v>
      </c>
      <c r="C16638" s="4" t="str">
        <f t="shared" si="1235"/>
        <v>TCGA-COAD</v>
      </c>
      <c r="D16638" s="1" t="s">
        <v>493</v>
      </c>
      <c r="E16638" t="s">
        <v>545</v>
      </c>
      <c r="F16638" s="1">
        <v>2</v>
      </c>
      <c r="G16638" s="1" t="s">
        <v>28</v>
      </c>
      <c r="H16638" s="4" t="str">
        <f>HYPERLINK("https://portal.gdc.cancer.gov/cases/8e87ddca-f43e-4c6f-9d5b-430b666a7f6c","TCGA-CM-6169-01A")</f>
        <v>TCGA-CM-6169-01A</v>
      </c>
      <c r="I16638" t="s">
        <v>69</v>
      </c>
      <c r="J16638" t="s">
        <v>245</v>
      </c>
      <c r="K16638" t="s">
        <v>33</v>
      </c>
      <c r="L16638" t="s">
        <v>546</v>
      </c>
      <c r="N16638" t="s">
        <v>29</v>
      </c>
    </row>
    <row r="16639" spans="1:14">
      <c r="A16639" s="4" t="str">
        <f t="shared" si="1234"/>
        <v>EXP00421</v>
      </c>
      <c r="B16639" s="3" t="s">
        <v>66</v>
      </c>
      <c r="C16639" s="4" t="str">
        <f t="shared" si="1235"/>
        <v>TCGA-COAD</v>
      </c>
      <c r="D16639" s="1" t="s">
        <v>493</v>
      </c>
      <c r="E16639" t="s">
        <v>545</v>
      </c>
      <c r="F16639" s="1">
        <v>2</v>
      </c>
      <c r="G16639" s="1" t="s">
        <v>28</v>
      </c>
      <c r="H16639" s="4" t="str">
        <f>HYPERLINK("https://portal.gdc.cancer.gov/cases/9d8c4693-8e36-473b-bb34-a7cdc04dd223","TCGA-CM-6170-01A")</f>
        <v>TCGA-CM-6170-01A</v>
      </c>
      <c r="I16639" t="s">
        <v>69</v>
      </c>
      <c r="J16639" t="s">
        <v>245</v>
      </c>
      <c r="K16639" t="s">
        <v>33</v>
      </c>
      <c r="L16639" t="s">
        <v>546</v>
      </c>
      <c r="N16639" t="s">
        <v>29</v>
      </c>
    </row>
    <row r="16640" spans="1:14">
      <c r="A16640" s="4" t="str">
        <f t="shared" si="1234"/>
        <v>EXP00421</v>
      </c>
      <c r="B16640" s="3" t="s">
        <v>66</v>
      </c>
      <c r="C16640" s="4" t="str">
        <f t="shared" si="1235"/>
        <v>TCGA-COAD</v>
      </c>
      <c r="D16640" s="1" t="s">
        <v>493</v>
      </c>
      <c r="E16640" t="s">
        <v>545</v>
      </c>
      <c r="F16640" s="1">
        <v>2</v>
      </c>
      <c r="G16640" s="1" t="s">
        <v>28</v>
      </c>
      <c r="H16640" s="4" t="str">
        <f>HYPERLINK("https://portal.gdc.cancer.gov/cases/eed7405f-f8f3-41a4-a0e7-242f23087f59","TCGA-CM-6171-01A")</f>
        <v>TCGA-CM-6171-01A</v>
      </c>
      <c r="I16640" t="s">
        <v>69</v>
      </c>
      <c r="J16640" t="s">
        <v>245</v>
      </c>
      <c r="K16640" t="s">
        <v>33</v>
      </c>
      <c r="L16640" t="s">
        <v>546</v>
      </c>
      <c r="N16640" t="s">
        <v>29</v>
      </c>
    </row>
    <row r="16641" spans="1:14">
      <c r="A16641" s="4" t="str">
        <f t="shared" si="1234"/>
        <v>EXP00421</v>
      </c>
      <c r="B16641" s="3" t="s">
        <v>66</v>
      </c>
      <c r="C16641" s="4" t="str">
        <f t="shared" si="1235"/>
        <v>TCGA-COAD</v>
      </c>
      <c r="D16641" s="1" t="s">
        <v>493</v>
      </c>
      <c r="E16641" t="s">
        <v>545</v>
      </c>
      <c r="F16641" s="1">
        <v>2</v>
      </c>
      <c r="G16641" s="1" t="s">
        <v>28</v>
      </c>
      <c r="H16641" s="4" t="str">
        <f>HYPERLINK("https://portal.gdc.cancer.gov/cases/40c217ee-429f-41f4-adc6-db9186622b17","TCGA-CM-6172-01A")</f>
        <v>TCGA-CM-6172-01A</v>
      </c>
      <c r="I16641" t="s">
        <v>69</v>
      </c>
      <c r="J16641" t="s">
        <v>245</v>
      </c>
      <c r="K16641" t="s">
        <v>33</v>
      </c>
      <c r="L16641" t="s">
        <v>546</v>
      </c>
      <c r="N16641" t="s">
        <v>29</v>
      </c>
    </row>
    <row r="16642" spans="1:14">
      <c r="A16642" s="4" t="str">
        <f t="shared" si="1234"/>
        <v>EXP00421</v>
      </c>
      <c r="B16642" s="3" t="s">
        <v>66</v>
      </c>
      <c r="C16642" s="4" t="str">
        <f t="shared" si="1235"/>
        <v>TCGA-COAD</v>
      </c>
      <c r="D16642" s="1" t="s">
        <v>493</v>
      </c>
      <c r="E16642" t="s">
        <v>545</v>
      </c>
      <c r="F16642" s="1">
        <v>2</v>
      </c>
      <c r="G16642" s="1" t="s">
        <v>28</v>
      </c>
      <c r="H16642" s="4" t="str">
        <f>HYPERLINK("https://portal.gdc.cancer.gov/cases/55697871-b9aa-4acd-8dbe-dcd5391db8f0","TCGA-CM-6674-01A")</f>
        <v>TCGA-CM-6674-01A</v>
      </c>
      <c r="I16642" t="s">
        <v>69</v>
      </c>
      <c r="J16642" t="s">
        <v>245</v>
      </c>
      <c r="K16642" t="s">
        <v>33</v>
      </c>
      <c r="L16642" t="s">
        <v>546</v>
      </c>
      <c r="N16642" t="s">
        <v>29</v>
      </c>
    </row>
    <row r="16643" spans="1:14">
      <c r="A16643" s="4" t="str">
        <f t="shared" si="1234"/>
        <v>EXP00421</v>
      </c>
      <c r="B16643" s="3" t="s">
        <v>66</v>
      </c>
      <c r="C16643" s="4" t="str">
        <f t="shared" si="1235"/>
        <v>TCGA-COAD</v>
      </c>
      <c r="D16643" s="1" t="s">
        <v>493</v>
      </c>
      <c r="E16643" t="s">
        <v>545</v>
      </c>
      <c r="F16643" s="1">
        <v>2</v>
      </c>
      <c r="G16643" s="1" t="s">
        <v>28</v>
      </c>
      <c r="H16643" s="4" t="str">
        <f>HYPERLINK("https://portal.gdc.cancer.gov/cases/fce1fd5a-54d2-4260-b187-4eb7035e96e9","TCGA-CM-6675-01A")</f>
        <v>TCGA-CM-6675-01A</v>
      </c>
      <c r="I16643" t="s">
        <v>69</v>
      </c>
      <c r="J16643" t="s">
        <v>245</v>
      </c>
      <c r="K16643" t="s">
        <v>33</v>
      </c>
      <c r="L16643" t="s">
        <v>546</v>
      </c>
      <c r="N16643" t="s">
        <v>29</v>
      </c>
    </row>
    <row r="16644" spans="1:14">
      <c r="A16644" s="4" t="str">
        <f t="shared" si="1234"/>
        <v>EXP00421</v>
      </c>
      <c r="B16644" s="3" t="s">
        <v>66</v>
      </c>
      <c r="C16644" s="4" t="str">
        <f t="shared" si="1235"/>
        <v>TCGA-COAD</v>
      </c>
      <c r="D16644" s="1" t="s">
        <v>493</v>
      </c>
      <c r="E16644" t="s">
        <v>545</v>
      </c>
      <c r="F16644" s="1">
        <v>2</v>
      </c>
      <c r="G16644" s="1" t="s">
        <v>28</v>
      </c>
      <c r="H16644" s="4" t="str">
        <f>HYPERLINK("https://portal.gdc.cancer.gov/cases/4138aca8-e085-45fb-b353-74852efe61bf","TCGA-CM-6676-01A")</f>
        <v>TCGA-CM-6676-01A</v>
      </c>
      <c r="I16644" t="s">
        <v>69</v>
      </c>
      <c r="J16644" t="s">
        <v>245</v>
      </c>
      <c r="K16644" t="s">
        <v>33</v>
      </c>
      <c r="L16644" t="s">
        <v>546</v>
      </c>
      <c r="N16644" t="s">
        <v>29</v>
      </c>
    </row>
    <row r="16645" spans="1:14">
      <c r="A16645" s="4" t="str">
        <f t="shared" si="1234"/>
        <v>EXP00421</v>
      </c>
      <c r="B16645" s="3" t="s">
        <v>66</v>
      </c>
      <c r="C16645" s="4" t="str">
        <f t="shared" si="1235"/>
        <v>TCGA-COAD</v>
      </c>
      <c r="D16645" s="1" t="s">
        <v>493</v>
      </c>
      <c r="E16645" t="s">
        <v>545</v>
      </c>
      <c r="F16645" s="1">
        <v>2</v>
      </c>
      <c r="G16645" s="1" t="s">
        <v>28</v>
      </c>
      <c r="H16645" s="4" t="str">
        <f>HYPERLINK("https://portal.gdc.cancer.gov/cases/a85e8208-a6f5-4e91-8f35-ef574f4273fc","TCGA-CM-6677-01A")</f>
        <v>TCGA-CM-6677-01A</v>
      </c>
      <c r="I16645" t="s">
        <v>69</v>
      </c>
      <c r="J16645" t="s">
        <v>245</v>
      </c>
      <c r="K16645" t="s">
        <v>33</v>
      </c>
      <c r="L16645" t="s">
        <v>546</v>
      </c>
      <c r="N16645" t="s">
        <v>29</v>
      </c>
    </row>
    <row r="16646" spans="1:14">
      <c r="A16646" s="4" t="str">
        <f t="shared" si="1234"/>
        <v>EXP00421</v>
      </c>
      <c r="B16646" s="3" t="s">
        <v>66</v>
      </c>
      <c r="C16646" s="4" t="str">
        <f t="shared" si="1235"/>
        <v>TCGA-COAD</v>
      </c>
      <c r="D16646" s="1" t="s">
        <v>493</v>
      </c>
      <c r="E16646" t="s">
        <v>545</v>
      </c>
      <c r="F16646" s="1">
        <v>2</v>
      </c>
      <c r="G16646" s="1" t="s">
        <v>28</v>
      </c>
      <c r="H16646" s="4" t="str">
        <f>HYPERLINK("https://portal.gdc.cancer.gov/cases/d7048098-09b3-4763-ad54-9c5c6fe14bc0","TCGA-CM-6678-01A")</f>
        <v>TCGA-CM-6678-01A</v>
      </c>
      <c r="I16646" t="s">
        <v>69</v>
      </c>
      <c r="J16646" t="s">
        <v>245</v>
      </c>
      <c r="K16646" t="s">
        <v>33</v>
      </c>
      <c r="L16646" t="s">
        <v>546</v>
      </c>
      <c r="N16646" t="s">
        <v>29</v>
      </c>
    </row>
    <row r="16647" spans="1:14">
      <c r="A16647" s="4" t="str">
        <f t="shared" si="1234"/>
        <v>EXP00421</v>
      </c>
      <c r="B16647" s="3" t="s">
        <v>66</v>
      </c>
      <c r="C16647" s="4" t="str">
        <f t="shared" si="1235"/>
        <v>TCGA-COAD</v>
      </c>
      <c r="D16647" s="1" t="s">
        <v>493</v>
      </c>
      <c r="E16647" t="s">
        <v>545</v>
      </c>
      <c r="F16647" s="1">
        <v>2</v>
      </c>
      <c r="G16647" s="1" t="s">
        <v>28</v>
      </c>
      <c r="H16647" s="4" t="str">
        <f>HYPERLINK("https://portal.gdc.cancer.gov/cases/76e96b5a-b565-42c7-a651-34d5132e6dde","TCGA-CM-6679-01A")</f>
        <v>TCGA-CM-6679-01A</v>
      </c>
      <c r="I16647" t="s">
        <v>69</v>
      </c>
      <c r="J16647" t="s">
        <v>245</v>
      </c>
      <c r="K16647" t="s">
        <v>33</v>
      </c>
      <c r="L16647" t="s">
        <v>546</v>
      </c>
      <c r="N16647" t="s">
        <v>29</v>
      </c>
    </row>
    <row r="16648" spans="1:14">
      <c r="A16648" s="4" t="str">
        <f t="shared" si="1234"/>
        <v>EXP00421</v>
      </c>
      <c r="B16648" s="3" t="s">
        <v>66</v>
      </c>
      <c r="C16648" s="4" t="str">
        <f t="shared" si="1235"/>
        <v>TCGA-COAD</v>
      </c>
      <c r="D16648" s="1" t="s">
        <v>493</v>
      </c>
      <c r="E16648" t="s">
        <v>545</v>
      </c>
      <c r="F16648" s="1">
        <v>2</v>
      </c>
      <c r="G16648" s="1" t="s">
        <v>28</v>
      </c>
      <c r="H16648" s="4" t="str">
        <f>HYPERLINK("https://portal.gdc.cancer.gov/cases/fb9e7684-a7f7-4f17-bc5d-1f359e1b0d42","TCGA-CM-6680-01A")</f>
        <v>TCGA-CM-6680-01A</v>
      </c>
      <c r="I16648" t="s">
        <v>69</v>
      </c>
      <c r="J16648" t="s">
        <v>245</v>
      </c>
      <c r="K16648" t="s">
        <v>33</v>
      </c>
      <c r="L16648" t="s">
        <v>546</v>
      </c>
      <c r="N16648" t="s">
        <v>29</v>
      </c>
    </row>
    <row r="16649" spans="1:14">
      <c r="A16649" s="4" t="str">
        <f t="shared" si="1234"/>
        <v>EXP00421</v>
      </c>
      <c r="B16649" s="3" t="s">
        <v>66</v>
      </c>
      <c r="C16649" s="4" t="str">
        <f t="shared" si="1235"/>
        <v>TCGA-COAD</v>
      </c>
      <c r="D16649" s="1" t="s">
        <v>493</v>
      </c>
      <c r="E16649" t="s">
        <v>545</v>
      </c>
      <c r="F16649" s="1">
        <v>2</v>
      </c>
      <c r="G16649" s="1" t="s">
        <v>28</v>
      </c>
      <c r="H16649" s="4" t="str">
        <f>HYPERLINK("https://portal.gdc.cancer.gov/cases/ae6b315f-3f78-4695-adfa-48b0bbab2c89","TCGA-D5-5537-01A")</f>
        <v>TCGA-D5-5537-01A</v>
      </c>
      <c r="I16649" t="s">
        <v>69</v>
      </c>
      <c r="J16649" t="s">
        <v>245</v>
      </c>
      <c r="K16649" t="s">
        <v>33</v>
      </c>
      <c r="L16649" t="s">
        <v>546</v>
      </c>
      <c r="N16649" t="s">
        <v>29</v>
      </c>
    </row>
    <row r="16650" spans="1:14">
      <c r="A16650" s="4" t="str">
        <f t="shared" si="1234"/>
        <v>EXP00421</v>
      </c>
      <c r="B16650" s="3" t="s">
        <v>66</v>
      </c>
      <c r="C16650" s="4" t="str">
        <f t="shared" si="1235"/>
        <v>TCGA-COAD</v>
      </c>
      <c r="D16650" s="1" t="s">
        <v>493</v>
      </c>
      <c r="E16650" t="s">
        <v>545</v>
      </c>
      <c r="F16650" s="1">
        <v>2</v>
      </c>
      <c r="G16650" s="1" t="s">
        <v>28</v>
      </c>
      <c r="H16650" s="4" t="str">
        <f>HYPERLINK("https://portal.gdc.cancer.gov/cases/0dacc5ce-498f-4c60-9f78-7a013ffaa9ce","TCGA-D5-5538-01A")</f>
        <v>TCGA-D5-5538-01A</v>
      </c>
      <c r="I16650" t="s">
        <v>69</v>
      </c>
      <c r="J16650" t="s">
        <v>245</v>
      </c>
      <c r="K16650" t="s">
        <v>33</v>
      </c>
      <c r="L16650" t="s">
        <v>546</v>
      </c>
      <c r="N16650" t="s">
        <v>29</v>
      </c>
    </row>
    <row r="16651" spans="1:14">
      <c r="A16651" s="4" t="str">
        <f t="shared" si="1234"/>
        <v>EXP00421</v>
      </c>
      <c r="B16651" s="3" t="s">
        <v>66</v>
      </c>
      <c r="C16651" s="4" t="str">
        <f t="shared" si="1235"/>
        <v>TCGA-COAD</v>
      </c>
      <c r="D16651" s="1" t="s">
        <v>493</v>
      </c>
      <c r="E16651" t="s">
        <v>545</v>
      </c>
      <c r="F16651" s="1">
        <v>2</v>
      </c>
      <c r="G16651" s="1" t="s">
        <v>28</v>
      </c>
      <c r="H16651" s="4" t="str">
        <f>HYPERLINK("https://portal.gdc.cancer.gov/cases/15d1b0fb-5c5f-4689-94f5-b33120a2bfae","TCGA-D5-5539-01A")</f>
        <v>TCGA-D5-5539-01A</v>
      </c>
      <c r="I16651" t="s">
        <v>69</v>
      </c>
      <c r="J16651" t="s">
        <v>245</v>
      </c>
      <c r="K16651" t="s">
        <v>33</v>
      </c>
      <c r="L16651" t="s">
        <v>546</v>
      </c>
      <c r="N16651" t="s">
        <v>29</v>
      </c>
    </row>
    <row r="16652" spans="1:14">
      <c r="A16652" s="4" t="str">
        <f t="shared" si="1234"/>
        <v>EXP00421</v>
      </c>
      <c r="B16652" s="3" t="s">
        <v>66</v>
      </c>
      <c r="C16652" s="4" t="str">
        <f t="shared" si="1235"/>
        <v>TCGA-COAD</v>
      </c>
      <c r="D16652" s="1" t="s">
        <v>493</v>
      </c>
      <c r="E16652" t="s">
        <v>545</v>
      </c>
      <c r="F16652" s="1">
        <v>2</v>
      </c>
      <c r="G16652" s="1" t="s">
        <v>28</v>
      </c>
      <c r="H16652" s="4" t="str">
        <f>HYPERLINK("https://portal.gdc.cancer.gov/cases/31d960d7-8f5b-4d22-bf5e-fae0849c4efd","TCGA-D5-5540-01A")</f>
        <v>TCGA-D5-5540-01A</v>
      </c>
      <c r="I16652" t="s">
        <v>69</v>
      </c>
      <c r="J16652" t="s">
        <v>245</v>
      </c>
      <c r="K16652" t="s">
        <v>33</v>
      </c>
      <c r="L16652" t="s">
        <v>546</v>
      </c>
      <c r="N16652" t="s">
        <v>29</v>
      </c>
    </row>
    <row r="16653" spans="1:14">
      <c r="A16653" s="4" t="str">
        <f t="shared" si="1234"/>
        <v>EXP00421</v>
      </c>
      <c r="B16653" s="3" t="s">
        <v>66</v>
      </c>
      <c r="C16653" s="4" t="str">
        <f t="shared" si="1235"/>
        <v>TCGA-COAD</v>
      </c>
      <c r="D16653" s="1" t="s">
        <v>493</v>
      </c>
      <c r="E16653" t="s">
        <v>545</v>
      </c>
      <c r="F16653" s="1">
        <v>2</v>
      </c>
      <c r="G16653" s="1" t="s">
        <v>28</v>
      </c>
      <c r="H16653" s="4" t="str">
        <f>HYPERLINK("https://portal.gdc.cancer.gov/cases/94067eb7-98b7-4975-bab1-c09e1b454a25","TCGA-D5-5541-01A")</f>
        <v>TCGA-D5-5541-01A</v>
      </c>
      <c r="I16653" t="s">
        <v>69</v>
      </c>
      <c r="J16653" t="s">
        <v>245</v>
      </c>
      <c r="K16653" t="s">
        <v>33</v>
      </c>
      <c r="L16653" t="s">
        <v>546</v>
      </c>
      <c r="N16653" t="s">
        <v>29</v>
      </c>
    </row>
    <row r="16654" spans="1:14">
      <c r="A16654" s="4" t="str">
        <f t="shared" si="1234"/>
        <v>EXP00421</v>
      </c>
      <c r="B16654" s="3" t="s">
        <v>66</v>
      </c>
      <c r="C16654" s="4" t="str">
        <f t="shared" si="1235"/>
        <v>TCGA-COAD</v>
      </c>
      <c r="D16654" s="1" t="s">
        <v>493</v>
      </c>
      <c r="E16654" t="s">
        <v>545</v>
      </c>
      <c r="F16654" s="1">
        <v>2</v>
      </c>
      <c r="G16654" s="1" t="s">
        <v>28</v>
      </c>
      <c r="H16654" s="4" t="str">
        <f>HYPERLINK("https://portal.gdc.cancer.gov/cases/9c34830b-4d7f-4b41-9659-fbfc36c145c9","TCGA-D5-6529-01A")</f>
        <v>TCGA-D5-6529-01A</v>
      </c>
      <c r="I16654" t="s">
        <v>69</v>
      </c>
      <c r="J16654" t="s">
        <v>245</v>
      </c>
      <c r="K16654" t="s">
        <v>33</v>
      </c>
      <c r="L16654" t="s">
        <v>546</v>
      </c>
      <c r="N16654" t="s">
        <v>29</v>
      </c>
    </row>
    <row r="16655" spans="1:14">
      <c r="A16655" s="4" t="str">
        <f t="shared" si="1234"/>
        <v>EXP00421</v>
      </c>
      <c r="B16655" s="3" t="s">
        <v>66</v>
      </c>
      <c r="C16655" s="4" t="str">
        <f t="shared" si="1235"/>
        <v>TCGA-COAD</v>
      </c>
      <c r="D16655" s="1" t="s">
        <v>493</v>
      </c>
      <c r="E16655" t="s">
        <v>545</v>
      </c>
      <c r="F16655" s="1">
        <v>2</v>
      </c>
      <c r="G16655" s="1" t="s">
        <v>28</v>
      </c>
      <c r="H16655" s="4" t="str">
        <f>HYPERLINK("https://portal.gdc.cancer.gov/cases/f89bbd17-c732-4847-b71c-a8627a702747","TCGA-D5-6530-01A")</f>
        <v>TCGA-D5-6530-01A</v>
      </c>
      <c r="I16655" t="s">
        <v>69</v>
      </c>
      <c r="J16655" t="s">
        <v>245</v>
      </c>
      <c r="K16655" t="s">
        <v>33</v>
      </c>
      <c r="L16655" t="s">
        <v>546</v>
      </c>
      <c r="N16655" t="s">
        <v>29</v>
      </c>
    </row>
    <row r="16656" spans="1:14">
      <c r="A16656" s="4" t="str">
        <f t="shared" si="1234"/>
        <v>EXP00421</v>
      </c>
      <c r="B16656" s="3" t="s">
        <v>66</v>
      </c>
      <c r="C16656" s="4" t="str">
        <f t="shared" si="1235"/>
        <v>TCGA-COAD</v>
      </c>
      <c r="D16656" s="1" t="s">
        <v>493</v>
      </c>
      <c r="E16656" t="s">
        <v>545</v>
      </c>
      <c r="F16656" s="1">
        <v>2</v>
      </c>
      <c r="G16656" s="1" t="s">
        <v>28</v>
      </c>
      <c r="H16656" s="4" t="str">
        <f>HYPERLINK("https://portal.gdc.cancer.gov/cases/e4c0d890-a634-48bd-9108-e674532b0d2e","TCGA-D5-6531-01A")</f>
        <v>TCGA-D5-6531-01A</v>
      </c>
      <c r="I16656" t="s">
        <v>69</v>
      </c>
      <c r="J16656" t="s">
        <v>245</v>
      </c>
      <c r="K16656" t="s">
        <v>33</v>
      </c>
      <c r="L16656" t="s">
        <v>546</v>
      </c>
      <c r="N16656" t="s">
        <v>29</v>
      </c>
    </row>
    <row r="16657" spans="1:14">
      <c r="A16657" s="4" t="str">
        <f t="shared" si="1234"/>
        <v>EXP00421</v>
      </c>
      <c r="B16657" s="3" t="s">
        <v>66</v>
      </c>
      <c r="C16657" s="4" t="str">
        <f t="shared" si="1235"/>
        <v>TCGA-COAD</v>
      </c>
      <c r="D16657" s="1" t="s">
        <v>493</v>
      </c>
      <c r="E16657" t="s">
        <v>545</v>
      </c>
      <c r="F16657" s="1">
        <v>2</v>
      </c>
      <c r="G16657" s="1" t="s">
        <v>28</v>
      </c>
      <c r="H16657" s="4" t="str">
        <f>HYPERLINK("https://portal.gdc.cancer.gov/cases/ac13d568-f79e-4ba7-b7bf-18e4354e0920","TCGA-D5-6532-01A")</f>
        <v>TCGA-D5-6532-01A</v>
      </c>
      <c r="I16657" t="s">
        <v>69</v>
      </c>
      <c r="J16657" t="s">
        <v>245</v>
      </c>
      <c r="K16657" t="s">
        <v>33</v>
      </c>
      <c r="L16657" t="s">
        <v>546</v>
      </c>
      <c r="N16657" t="s">
        <v>29</v>
      </c>
    </row>
    <row r="16658" spans="1:14">
      <c r="A16658" s="4" t="str">
        <f t="shared" si="1234"/>
        <v>EXP00421</v>
      </c>
      <c r="B16658" s="3" t="s">
        <v>66</v>
      </c>
      <c r="C16658" s="4" t="str">
        <f t="shared" si="1235"/>
        <v>TCGA-COAD</v>
      </c>
      <c r="D16658" s="1" t="s">
        <v>493</v>
      </c>
      <c r="E16658" t="s">
        <v>545</v>
      </c>
      <c r="F16658" s="1">
        <v>2</v>
      </c>
      <c r="G16658" s="1" t="s">
        <v>28</v>
      </c>
      <c r="H16658" s="4" t="str">
        <f>HYPERLINK("https://portal.gdc.cancer.gov/cases/fa83dfb5-7386-4a35-9861-aa866478d5f1","TCGA-D5-6533-01A")</f>
        <v>TCGA-D5-6533-01A</v>
      </c>
      <c r="I16658" t="s">
        <v>69</v>
      </c>
      <c r="J16658" t="s">
        <v>245</v>
      </c>
      <c r="K16658" t="s">
        <v>33</v>
      </c>
      <c r="L16658" t="s">
        <v>546</v>
      </c>
      <c r="N16658" t="s">
        <v>29</v>
      </c>
    </row>
    <row r="16659" spans="1:14">
      <c r="A16659" s="4" t="str">
        <f t="shared" si="1234"/>
        <v>EXP00421</v>
      </c>
      <c r="B16659" s="3" t="s">
        <v>66</v>
      </c>
      <c r="C16659" s="4" t="str">
        <f t="shared" si="1235"/>
        <v>TCGA-COAD</v>
      </c>
      <c r="D16659" s="1" t="s">
        <v>493</v>
      </c>
      <c r="E16659" t="s">
        <v>545</v>
      </c>
      <c r="F16659" s="1">
        <v>2</v>
      </c>
      <c r="G16659" s="1" t="s">
        <v>28</v>
      </c>
      <c r="H16659" s="4" t="str">
        <f>HYPERLINK("https://portal.gdc.cancer.gov/cases/d259eeb2-d15e-436d-9d37-2d0b7658bc91","TCGA-D5-6534-01A")</f>
        <v>TCGA-D5-6534-01A</v>
      </c>
      <c r="I16659" t="s">
        <v>69</v>
      </c>
      <c r="J16659" t="s">
        <v>245</v>
      </c>
      <c r="K16659" t="s">
        <v>33</v>
      </c>
      <c r="L16659" t="s">
        <v>546</v>
      </c>
      <c r="N16659" t="s">
        <v>29</v>
      </c>
    </row>
    <row r="16660" spans="1:14">
      <c r="A16660" s="4" t="str">
        <f t="shared" si="1234"/>
        <v>EXP00421</v>
      </c>
      <c r="B16660" s="3" t="s">
        <v>66</v>
      </c>
      <c r="C16660" s="4" t="str">
        <f t="shared" si="1235"/>
        <v>TCGA-COAD</v>
      </c>
      <c r="D16660" s="1" t="s">
        <v>493</v>
      </c>
      <c r="E16660" t="s">
        <v>545</v>
      </c>
      <c r="F16660" s="1">
        <v>2</v>
      </c>
      <c r="G16660" s="1" t="s">
        <v>28</v>
      </c>
      <c r="H16660" s="4" t="str">
        <f>HYPERLINK("https://portal.gdc.cancer.gov/cases/a123dc45-e427-461e-8d60-c51307aa498c","TCGA-D5-6535-01A")</f>
        <v>TCGA-D5-6535-01A</v>
      </c>
      <c r="I16660" t="s">
        <v>69</v>
      </c>
      <c r="J16660" t="s">
        <v>245</v>
      </c>
      <c r="K16660" t="s">
        <v>33</v>
      </c>
      <c r="L16660" t="s">
        <v>546</v>
      </c>
      <c r="N16660" t="s">
        <v>29</v>
      </c>
    </row>
    <row r="16661" spans="1:14">
      <c r="A16661" s="4" t="str">
        <f t="shared" si="1234"/>
        <v>EXP00421</v>
      </c>
      <c r="B16661" s="3" t="s">
        <v>66</v>
      </c>
      <c r="C16661" s="4" t="str">
        <f t="shared" si="1235"/>
        <v>TCGA-COAD</v>
      </c>
      <c r="D16661" s="1" t="s">
        <v>493</v>
      </c>
      <c r="E16661" t="s">
        <v>545</v>
      </c>
      <c r="F16661" s="1">
        <v>2</v>
      </c>
      <c r="G16661" s="1" t="s">
        <v>28</v>
      </c>
      <c r="H16661" s="4" t="str">
        <f>HYPERLINK("https://portal.gdc.cancer.gov/cases/e83e5700-f968-4978-bb78-56a83936ce8c","TCGA-D5-6536-01A")</f>
        <v>TCGA-D5-6536-01A</v>
      </c>
      <c r="I16661" t="s">
        <v>69</v>
      </c>
      <c r="J16661" t="s">
        <v>245</v>
      </c>
      <c r="K16661" t="s">
        <v>33</v>
      </c>
      <c r="L16661" t="s">
        <v>546</v>
      </c>
      <c r="N16661" t="s">
        <v>29</v>
      </c>
    </row>
    <row r="16662" spans="1:14">
      <c r="A16662" s="4" t="str">
        <f t="shared" si="1234"/>
        <v>EXP00421</v>
      </c>
      <c r="B16662" s="3" t="s">
        <v>66</v>
      </c>
      <c r="C16662" s="4" t="str">
        <f t="shared" si="1235"/>
        <v>TCGA-COAD</v>
      </c>
      <c r="D16662" s="1" t="s">
        <v>493</v>
      </c>
      <c r="E16662" t="s">
        <v>545</v>
      </c>
      <c r="F16662" s="1">
        <v>2</v>
      </c>
      <c r="G16662" s="1" t="s">
        <v>28</v>
      </c>
      <c r="H16662" s="4" t="str">
        <f>HYPERLINK("https://portal.gdc.cancer.gov/cases/ebc5a6f8-34fd-48c1-a2b9-7f60f45fbf27","TCGA-D5-6537-01A")</f>
        <v>TCGA-D5-6537-01A</v>
      </c>
      <c r="I16662" t="s">
        <v>69</v>
      </c>
      <c r="J16662" t="s">
        <v>245</v>
      </c>
      <c r="K16662" t="s">
        <v>33</v>
      </c>
      <c r="L16662" t="s">
        <v>546</v>
      </c>
      <c r="N16662" t="s">
        <v>29</v>
      </c>
    </row>
    <row r="16663" spans="1:14">
      <c r="A16663" s="4" t="str">
        <f t="shared" si="1234"/>
        <v>EXP00421</v>
      </c>
      <c r="B16663" s="3" t="s">
        <v>66</v>
      </c>
      <c r="C16663" s="4" t="str">
        <f t="shared" si="1235"/>
        <v>TCGA-COAD</v>
      </c>
      <c r="D16663" s="1" t="s">
        <v>493</v>
      </c>
      <c r="E16663" t="s">
        <v>545</v>
      </c>
      <c r="F16663" s="1">
        <v>2</v>
      </c>
      <c r="G16663" s="1" t="s">
        <v>28</v>
      </c>
      <c r="H16663" s="4" t="str">
        <f>HYPERLINK("https://portal.gdc.cancer.gov/cases/a117ace8-ac5a-48d8-8aee-3024d6f0f873","TCGA-D5-6538-01A")</f>
        <v>TCGA-D5-6538-01A</v>
      </c>
      <c r="I16663" t="s">
        <v>69</v>
      </c>
      <c r="J16663" t="s">
        <v>245</v>
      </c>
      <c r="K16663" t="s">
        <v>33</v>
      </c>
      <c r="L16663" t="s">
        <v>546</v>
      </c>
      <c r="N16663" t="s">
        <v>29</v>
      </c>
    </row>
    <row r="16664" spans="1:14">
      <c r="A16664" s="4" t="str">
        <f t="shared" si="1234"/>
        <v>EXP00421</v>
      </c>
      <c r="B16664" s="3" t="s">
        <v>66</v>
      </c>
      <c r="C16664" s="4" t="str">
        <f t="shared" si="1235"/>
        <v>TCGA-COAD</v>
      </c>
      <c r="D16664" s="1" t="s">
        <v>493</v>
      </c>
      <c r="E16664" t="s">
        <v>545</v>
      </c>
      <c r="F16664" s="1">
        <v>2</v>
      </c>
      <c r="G16664" s="1" t="s">
        <v>28</v>
      </c>
      <c r="H16664" s="4" t="str">
        <f>HYPERLINK("https://portal.gdc.cancer.gov/cases/ef4bb5bf-4535-4bd1-8a74-aba920123ee2","TCGA-D5-6539-01A")</f>
        <v>TCGA-D5-6539-01A</v>
      </c>
      <c r="I16664" t="s">
        <v>69</v>
      </c>
      <c r="J16664" t="s">
        <v>245</v>
      </c>
      <c r="K16664" t="s">
        <v>33</v>
      </c>
      <c r="L16664" t="s">
        <v>546</v>
      </c>
      <c r="N16664" t="s">
        <v>29</v>
      </c>
    </row>
    <row r="16665" spans="1:14">
      <c r="A16665" s="4" t="str">
        <f t="shared" si="1234"/>
        <v>EXP00421</v>
      </c>
      <c r="B16665" s="3" t="s">
        <v>66</v>
      </c>
      <c r="C16665" s="4" t="str">
        <f t="shared" si="1235"/>
        <v>TCGA-COAD</v>
      </c>
      <c r="D16665" s="1" t="s">
        <v>493</v>
      </c>
      <c r="E16665" t="s">
        <v>545</v>
      </c>
      <c r="F16665" s="1">
        <v>2</v>
      </c>
      <c r="G16665" s="1" t="s">
        <v>28</v>
      </c>
      <c r="H16665" s="4" t="str">
        <f>HYPERLINK("https://portal.gdc.cancer.gov/cases/b08b5f49-9434-4653-9772-097ec29b2ca3","TCGA-D5-6540-01A")</f>
        <v>TCGA-D5-6540-01A</v>
      </c>
      <c r="I16665" t="s">
        <v>69</v>
      </c>
      <c r="J16665" t="s">
        <v>245</v>
      </c>
      <c r="K16665" t="s">
        <v>33</v>
      </c>
      <c r="L16665" t="s">
        <v>546</v>
      </c>
      <c r="N16665" t="s">
        <v>29</v>
      </c>
    </row>
    <row r="16666" spans="1:14">
      <c r="A16666" s="4" t="str">
        <f t="shared" si="1234"/>
        <v>EXP00421</v>
      </c>
      <c r="B16666" s="3" t="s">
        <v>66</v>
      </c>
      <c r="C16666" s="4" t="str">
        <f t="shared" si="1235"/>
        <v>TCGA-COAD</v>
      </c>
      <c r="D16666" s="1" t="s">
        <v>493</v>
      </c>
      <c r="E16666" t="s">
        <v>545</v>
      </c>
      <c r="F16666" s="1">
        <v>2</v>
      </c>
      <c r="G16666" s="1" t="s">
        <v>28</v>
      </c>
      <c r="H16666" s="4" t="str">
        <f>HYPERLINK("https://portal.gdc.cancer.gov/cases/39aec099-a33e-47a4-a602-cbf65ddd3830","TCGA-D5-6541-01A")</f>
        <v>TCGA-D5-6541-01A</v>
      </c>
      <c r="I16666" t="s">
        <v>69</v>
      </c>
      <c r="J16666" t="s">
        <v>245</v>
      </c>
      <c r="K16666" t="s">
        <v>33</v>
      </c>
      <c r="L16666" t="s">
        <v>546</v>
      </c>
      <c r="N16666" t="s">
        <v>29</v>
      </c>
    </row>
    <row r="16667" spans="1:14">
      <c r="A16667" s="4" t="str">
        <f t="shared" si="1234"/>
        <v>EXP00421</v>
      </c>
      <c r="B16667" s="3" t="s">
        <v>66</v>
      </c>
      <c r="C16667" s="4" t="str">
        <f t="shared" si="1235"/>
        <v>TCGA-COAD</v>
      </c>
      <c r="D16667" s="1" t="s">
        <v>493</v>
      </c>
      <c r="E16667" t="s">
        <v>545</v>
      </c>
      <c r="F16667" s="1">
        <v>2</v>
      </c>
      <c r="G16667" s="1" t="s">
        <v>28</v>
      </c>
      <c r="H16667" s="4" t="str">
        <f>HYPERLINK("https://portal.gdc.cancer.gov/cases/27e2438d-bd01-4c50-9102-563276ed9922","TCGA-D5-6898-01A")</f>
        <v>TCGA-D5-6898-01A</v>
      </c>
      <c r="I16667" t="s">
        <v>69</v>
      </c>
      <c r="J16667" t="s">
        <v>245</v>
      </c>
      <c r="K16667" t="s">
        <v>33</v>
      </c>
      <c r="L16667" t="s">
        <v>546</v>
      </c>
      <c r="N16667" t="s">
        <v>29</v>
      </c>
    </row>
    <row r="16668" spans="1:14">
      <c r="A16668" s="4" t="str">
        <f t="shared" si="1234"/>
        <v>EXP00421</v>
      </c>
      <c r="B16668" s="3" t="s">
        <v>66</v>
      </c>
      <c r="C16668" s="4" t="str">
        <f t="shared" si="1235"/>
        <v>TCGA-COAD</v>
      </c>
      <c r="D16668" s="1" t="s">
        <v>493</v>
      </c>
      <c r="E16668" t="s">
        <v>545</v>
      </c>
      <c r="F16668" s="1">
        <v>2</v>
      </c>
      <c r="G16668" s="1" t="s">
        <v>28</v>
      </c>
      <c r="H16668" s="4" t="str">
        <f>HYPERLINK("https://portal.gdc.cancer.gov/cases/dc22eba5-6fb7-4875-b30a-99fa00758301","TCGA-D5-6920-01A")</f>
        <v>TCGA-D5-6920-01A</v>
      </c>
      <c r="I16668" t="s">
        <v>69</v>
      </c>
      <c r="J16668" t="s">
        <v>245</v>
      </c>
      <c r="K16668" t="s">
        <v>33</v>
      </c>
      <c r="L16668" t="s">
        <v>546</v>
      </c>
      <c r="N16668" t="s">
        <v>29</v>
      </c>
    </row>
    <row r="16669" spans="1:14">
      <c r="A16669" s="4" t="str">
        <f t="shared" si="1234"/>
        <v>EXP00421</v>
      </c>
      <c r="B16669" s="3" t="s">
        <v>66</v>
      </c>
      <c r="C16669" s="4" t="str">
        <f t="shared" si="1235"/>
        <v>TCGA-COAD</v>
      </c>
      <c r="D16669" s="1" t="s">
        <v>493</v>
      </c>
      <c r="E16669" t="s">
        <v>545</v>
      </c>
      <c r="F16669" s="1">
        <v>2</v>
      </c>
      <c r="G16669" s="1" t="s">
        <v>28</v>
      </c>
      <c r="H16669" s="4" t="str">
        <f>HYPERLINK("https://portal.gdc.cancer.gov/cases/0a94eecf-4db2-4846-8383-c83ff02e4a9f","TCGA-D5-6922-01A")</f>
        <v>TCGA-D5-6922-01A</v>
      </c>
      <c r="I16669" t="s">
        <v>69</v>
      </c>
      <c r="J16669" t="s">
        <v>245</v>
      </c>
      <c r="K16669" t="s">
        <v>33</v>
      </c>
      <c r="L16669" t="s">
        <v>546</v>
      </c>
      <c r="N16669" t="s">
        <v>29</v>
      </c>
    </row>
    <row r="16670" spans="1:14">
      <c r="A16670" s="4" t="str">
        <f t="shared" si="1234"/>
        <v>EXP00421</v>
      </c>
      <c r="B16670" s="3" t="s">
        <v>66</v>
      </c>
      <c r="C16670" s="4" t="str">
        <f t="shared" si="1235"/>
        <v>TCGA-COAD</v>
      </c>
      <c r="D16670" s="1" t="s">
        <v>493</v>
      </c>
      <c r="E16670" t="s">
        <v>545</v>
      </c>
      <c r="F16670" s="1">
        <v>2</v>
      </c>
      <c r="G16670" s="1" t="s">
        <v>28</v>
      </c>
      <c r="H16670" s="4" t="str">
        <f>HYPERLINK("https://portal.gdc.cancer.gov/cases/b3c267aa-345d-40d8-a8da-f9f08c64f9c7","TCGA-D5-6923-01A")</f>
        <v>TCGA-D5-6923-01A</v>
      </c>
      <c r="I16670" t="s">
        <v>69</v>
      </c>
      <c r="J16670" t="s">
        <v>245</v>
      </c>
      <c r="K16670" t="s">
        <v>33</v>
      </c>
      <c r="L16670" t="s">
        <v>546</v>
      </c>
      <c r="N16670" t="s">
        <v>29</v>
      </c>
    </row>
    <row r="16671" spans="1:14">
      <c r="A16671" s="4" t="str">
        <f t="shared" si="1234"/>
        <v>EXP00421</v>
      </c>
      <c r="B16671" s="3" t="s">
        <v>66</v>
      </c>
      <c r="C16671" s="4" t="str">
        <f t="shared" si="1235"/>
        <v>TCGA-COAD</v>
      </c>
      <c r="D16671" s="1" t="s">
        <v>493</v>
      </c>
      <c r="E16671" t="s">
        <v>545</v>
      </c>
      <c r="F16671" s="1">
        <v>2</v>
      </c>
      <c r="G16671" s="1" t="s">
        <v>28</v>
      </c>
      <c r="H16671" s="4" t="str">
        <f>HYPERLINK("https://portal.gdc.cancer.gov/cases/be85f845-b281-467c-8b97-bed7b7fdff64","TCGA-D5-6924-01A")</f>
        <v>TCGA-D5-6924-01A</v>
      </c>
      <c r="I16671" t="s">
        <v>69</v>
      </c>
      <c r="J16671" t="s">
        <v>245</v>
      </c>
      <c r="K16671" t="s">
        <v>33</v>
      </c>
      <c r="L16671" t="s">
        <v>546</v>
      </c>
      <c r="N16671" t="s">
        <v>29</v>
      </c>
    </row>
    <row r="16672" spans="1:14">
      <c r="A16672" s="4" t="str">
        <f t="shared" si="1234"/>
        <v>EXP00421</v>
      </c>
      <c r="B16672" s="3" t="s">
        <v>66</v>
      </c>
      <c r="C16672" s="4" t="str">
        <f t="shared" si="1235"/>
        <v>TCGA-COAD</v>
      </c>
      <c r="D16672" s="1" t="s">
        <v>493</v>
      </c>
      <c r="E16672" t="s">
        <v>545</v>
      </c>
      <c r="F16672" s="1">
        <v>2</v>
      </c>
      <c r="G16672" s="1" t="s">
        <v>28</v>
      </c>
      <c r="H16672" s="4" t="str">
        <f>HYPERLINK("https://portal.gdc.cancer.gov/cases/3a8ca50f-bc9f-4250-8c8d-22893763ea46","TCGA-D5-6926-01A")</f>
        <v>TCGA-D5-6926-01A</v>
      </c>
      <c r="I16672" t="s">
        <v>69</v>
      </c>
      <c r="J16672" t="s">
        <v>245</v>
      </c>
      <c r="K16672" t="s">
        <v>33</v>
      </c>
      <c r="L16672" t="s">
        <v>546</v>
      </c>
      <c r="N16672" t="s">
        <v>29</v>
      </c>
    </row>
    <row r="16673" spans="1:14">
      <c r="A16673" s="4" t="str">
        <f t="shared" si="1234"/>
        <v>EXP00421</v>
      </c>
      <c r="B16673" s="3" t="s">
        <v>66</v>
      </c>
      <c r="C16673" s="4" t="str">
        <f t="shared" si="1235"/>
        <v>TCGA-COAD</v>
      </c>
      <c r="D16673" s="1" t="s">
        <v>493</v>
      </c>
      <c r="E16673" t="s">
        <v>545</v>
      </c>
      <c r="F16673" s="1">
        <v>2</v>
      </c>
      <c r="G16673" s="1" t="s">
        <v>28</v>
      </c>
      <c r="H16673" s="4" t="str">
        <f>HYPERLINK("https://portal.gdc.cancer.gov/cases/a782f174-241d-42c6-9bc4-61cc39f8b397","TCGA-D5-6927-01A")</f>
        <v>TCGA-D5-6927-01A</v>
      </c>
      <c r="I16673" t="s">
        <v>69</v>
      </c>
      <c r="J16673" t="s">
        <v>245</v>
      </c>
      <c r="K16673" t="s">
        <v>33</v>
      </c>
      <c r="L16673" t="s">
        <v>546</v>
      </c>
      <c r="N16673" t="s">
        <v>29</v>
      </c>
    </row>
    <row r="16674" spans="1:14">
      <c r="A16674" s="4" t="str">
        <f t="shared" si="1234"/>
        <v>EXP00421</v>
      </c>
      <c r="B16674" s="3" t="s">
        <v>66</v>
      </c>
      <c r="C16674" s="4" t="str">
        <f t="shared" si="1235"/>
        <v>TCGA-COAD</v>
      </c>
      <c r="D16674" s="1" t="s">
        <v>493</v>
      </c>
      <c r="E16674" t="s">
        <v>545</v>
      </c>
      <c r="F16674" s="1">
        <v>2</v>
      </c>
      <c r="G16674" s="1" t="s">
        <v>28</v>
      </c>
      <c r="H16674" s="4" t="str">
        <f>HYPERLINK("https://portal.gdc.cancer.gov/cases/eecaa5cd-0b69-4af2-a782-035025f207b6","TCGA-D5-6928-01A")</f>
        <v>TCGA-D5-6928-01A</v>
      </c>
      <c r="I16674" t="s">
        <v>69</v>
      </c>
      <c r="J16674" t="s">
        <v>245</v>
      </c>
      <c r="K16674" t="s">
        <v>33</v>
      </c>
      <c r="L16674" t="s">
        <v>546</v>
      </c>
      <c r="N16674" t="s">
        <v>29</v>
      </c>
    </row>
    <row r="16675" spans="1:14">
      <c r="A16675" s="4" t="str">
        <f t="shared" si="1234"/>
        <v>EXP00421</v>
      </c>
      <c r="B16675" s="3" t="s">
        <v>66</v>
      </c>
      <c r="C16675" s="4" t="str">
        <f t="shared" si="1235"/>
        <v>TCGA-COAD</v>
      </c>
      <c r="D16675" s="1" t="s">
        <v>493</v>
      </c>
      <c r="E16675" t="s">
        <v>545</v>
      </c>
      <c r="F16675" s="1">
        <v>2</v>
      </c>
      <c r="G16675" s="1" t="s">
        <v>28</v>
      </c>
      <c r="H16675" s="4" t="str">
        <f>HYPERLINK("https://portal.gdc.cancer.gov/cases/64b0461f-038d-4712-948e-818dc2f10eef","TCGA-D5-6929-01A")</f>
        <v>TCGA-D5-6929-01A</v>
      </c>
      <c r="I16675" t="s">
        <v>69</v>
      </c>
      <c r="J16675" t="s">
        <v>245</v>
      </c>
      <c r="K16675" t="s">
        <v>33</v>
      </c>
      <c r="L16675" t="s">
        <v>546</v>
      </c>
      <c r="N16675" t="s">
        <v>29</v>
      </c>
    </row>
    <row r="16676" spans="1:14">
      <c r="A16676" s="4" t="str">
        <f t="shared" si="1234"/>
        <v>EXP00421</v>
      </c>
      <c r="B16676" s="3" t="s">
        <v>66</v>
      </c>
      <c r="C16676" s="4" t="str">
        <f t="shared" si="1235"/>
        <v>TCGA-COAD</v>
      </c>
      <c r="D16676" s="1" t="s">
        <v>493</v>
      </c>
      <c r="E16676" t="s">
        <v>545</v>
      </c>
      <c r="F16676" s="1">
        <v>2</v>
      </c>
      <c r="G16676" s="1" t="s">
        <v>28</v>
      </c>
      <c r="H16676" s="4" t="str">
        <f>HYPERLINK("https://portal.gdc.cancer.gov/cases/286cbae3-8324-43b7-9b20-0f40dda1588e","TCGA-D5-6930-01A")</f>
        <v>TCGA-D5-6930-01A</v>
      </c>
      <c r="I16676" t="s">
        <v>69</v>
      </c>
      <c r="J16676" t="s">
        <v>245</v>
      </c>
      <c r="K16676" t="s">
        <v>33</v>
      </c>
      <c r="L16676" t="s">
        <v>546</v>
      </c>
      <c r="N16676" t="s">
        <v>29</v>
      </c>
    </row>
    <row r="16677" spans="1:14">
      <c r="A16677" s="4" t="str">
        <f t="shared" si="1234"/>
        <v>EXP00421</v>
      </c>
      <c r="B16677" s="3" t="s">
        <v>66</v>
      </c>
      <c r="C16677" s="4" t="str">
        <f t="shared" si="1235"/>
        <v>TCGA-COAD</v>
      </c>
      <c r="D16677" s="1" t="s">
        <v>493</v>
      </c>
      <c r="E16677" t="s">
        <v>545</v>
      </c>
      <c r="F16677" s="1">
        <v>2</v>
      </c>
      <c r="G16677" s="1" t="s">
        <v>28</v>
      </c>
      <c r="H16677" s="4" t="str">
        <f>HYPERLINK("https://portal.gdc.cancer.gov/cases/5d66191d-da49-4d7e-89a4-a382db338340","TCGA-D5-6931-01A")</f>
        <v>TCGA-D5-6931-01A</v>
      </c>
      <c r="I16677" t="s">
        <v>69</v>
      </c>
      <c r="J16677" t="s">
        <v>245</v>
      </c>
      <c r="K16677" t="s">
        <v>33</v>
      </c>
      <c r="L16677" t="s">
        <v>546</v>
      </c>
      <c r="N16677" t="s">
        <v>29</v>
      </c>
    </row>
    <row r="16678" spans="1:14">
      <c r="A16678" s="4" t="str">
        <f t="shared" si="1234"/>
        <v>EXP00421</v>
      </c>
      <c r="B16678" s="3" t="s">
        <v>66</v>
      </c>
      <c r="C16678" s="4" t="str">
        <f t="shared" si="1235"/>
        <v>TCGA-COAD</v>
      </c>
      <c r="D16678" s="1" t="s">
        <v>493</v>
      </c>
      <c r="E16678" t="s">
        <v>545</v>
      </c>
      <c r="F16678" s="1">
        <v>2</v>
      </c>
      <c r="G16678" s="1" t="s">
        <v>28</v>
      </c>
      <c r="H16678" s="4" t="str">
        <f>HYPERLINK("https://portal.gdc.cancer.gov/cases/131e0571-de86-415f-b3fb-dc9f971258d3","TCGA-D5-6932-01A")</f>
        <v>TCGA-D5-6932-01A</v>
      </c>
      <c r="I16678" t="s">
        <v>69</v>
      </c>
      <c r="J16678" t="s">
        <v>245</v>
      </c>
      <c r="K16678" t="s">
        <v>33</v>
      </c>
      <c r="L16678" t="s">
        <v>546</v>
      </c>
      <c r="N16678" t="s">
        <v>29</v>
      </c>
    </row>
    <row r="16679" spans="1:14">
      <c r="A16679" s="4" t="str">
        <f t="shared" si="1234"/>
        <v>EXP00421</v>
      </c>
      <c r="B16679" s="3" t="s">
        <v>66</v>
      </c>
      <c r="C16679" s="4" t="str">
        <f t="shared" si="1235"/>
        <v>TCGA-COAD</v>
      </c>
      <c r="D16679" s="1" t="s">
        <v>493</v>
      </c>
      <c r="E16679" t="s">
        <v>545</v>
      </c>
      <c r="F16679" s="1">
        <v>2</v>
      </c>
      <c r="G16679" s="1" t="s">
        <v>28</v>
      </c>
      <c r="H16679" s="4" t="str">
        <f>HYPERLINK("https://portal.gdc.cancer.gov/cases/d5a296ae-c165-413c-adcc-33c9e99ff873","TCGA-D5-7000-01A")</f>
        <v>TCGA-D5-7000-01A</v>
      </c>
      <c r="I16679" t="s">
        <v>69</v>
      </c>
      <c r="J16679" t="s">
        <v>245</v>
      </c>
      <c r="K16679" t="s">
        <v>33</v>
      </c>
      <c r="L16679" t="s">
        <v>546</v>
      </c>
      <c r="N16679" t="s">
        <v>29</v>
      </c>
    </row>
    <row r="16680" spans="1:14">
      <c r="A16680" s="4" t="str">
        <f t="shared" si="1234"/>
        <v>EXP00421</v>
      </c>
      <c r="B16680" s="3" t="s">
        <v>66</v>
      </c>
      <c r="C16680" s="4" t="str">
        <f t="shared" si="1235"/>
        <v>TCGA-COAD</v>
      </c>
      <c r="D16680" s="1" t="s">
        <v>493</v>
      </c>
      <c r="E16680" t="s">
        <v>545</v>
      </c>
      <c r="F16680" s="1">
        <v>2</v>
      </c>
      <c r="G16680" s="1" t="s">
        <v>28</v>
      </c>
      <c r="H16680" s="4" t="str">
        <f>HYPERLINK("https://portal.gdc.cancer.gov/cases/75ea63a9-357b-4566-bd78-eaa67809decd","TCGA-DM-A0X9-01A")</f>
        <v>TCGA-DM-A0X9-01A</v>
      </c>
      <c r="I16680" t="s">
        <v>69</v>
      </c>
      <c r="J16680" t="s">
        <v>245</v>
      </c>
      <c r="K16680" t="s">
        <v>33</v>
      </c>
      <c r="L16680" t="s">
        <v>546</v>
      </c>
      <c r="N16680" t="s">
        <v>29</v>
      </c>
    </row>
    <row r="16681" spans="1:14">
      <c r="A16681" s="4" t="str">
        <f t="shared" si="1234"/>
        <v>EXP00421</v>
      </c>
      <c r="B16681" s="3" t="s">
        <v>66</v>
      </c>
      <c r="C16681" s="4" t="str">
        <f t="shared" si="1235"/>
        <v>TCGA-COAD</v>
      </c>
      <c r="D16681" s="1" t="s">
        <v>493</v>
      </c>
      <c r="E16681" t="s">
        <v>545</v>
      </c>
      <c r="F16681" s="1">
        <v>2</v>
      </c>
      <c r="G16681" s="1" t="s">
        <v>28</v>
      </c>
      <c r="H16681" s="4" t="str">
        <f>HYPERLINK("https://portal.gdc.cancer.gov/cases/a56f6562-d2af-47b9-bf81-94b3b4893173","TCGA-DM-A0XD-01A")</f>
        <v>TCGA-DM-A0XD-01A</v>
      </c>
      <c r="I16681" t="s">
        <v>69</v>
      </c>
      <c r="J16681" t="s">
        <v>245</v>
      </c>
      <c r="K16681" t="s">
        <v>33</v>
      </c>
      <c r="L16681" t="s">
        <v>546</v>
      </c>
      <c r="N16681" t="s">
        <v>29</v>
      </c>
    </row>
    <row r="16682" spans="1:14">
      <c r="A16682" s="4" t="str">
        <f t="shared" si="1234"/>
        <v>EXP00421</v>
      </c>
      <c r="B16682" s="3" t="s">
        <v>66</v>
      </c>
      <c r="C16682" s="4" t="str">
        <f t="shared" si="1235"/>
        <v>TCGA-COAD</v>
      </c>
      <c r="D16682" s="1" t="s">
        <v>493</v>
      </c>
      <c r="E16682" t="s">
        <v>545</v>
      </c>
      <c r="F16682" s="1">
        <v>2</v>
      </c>
      <c r="G16682" s="1" t="s">
        <v>28</v>
      </c>
      <c r="H16682" s="4" t="str">
        <f>HYPERLINK("https://portal.gdc.cancer.gov/cases/b823d6e5-54b0-43d3-95e2-9be33dc6f734","TCGA-DM-A0XF-01A")</f>
        <v>TCGA-DM-A0XF-01A</v>
      </c>
      <c r="I16682" t="s">
        <v>69</v>
      </c>
      <c r="J16682" t="s">
        <v>245</v>
      </c>
      <c r="K16682" t="s">
        <v>33</v>
      </c>
      <c r="L16682" t="s">
        <v>546</v>
      </c>
      <c r="N16682" t="s">
        <v>29</v>
      </c>
    </row>
    <row r="16683" spans="1:14">
      <c r="A16683" s="4" t="str">
        <f t="shared" si="1234"/>
        <v>EXP00421</v>
      </c>
      <c r="B16683" s="3" t="s">
        <v>66</v>
      </c>
      <c r="C16683" s="4" t="str">
        <f t="shared" si="1235"/>
        <v>TCGA-COAD</v>
      </c>
      <c r="D16683" s="1" t="s">
        <v>493</v>
      </c>
      <c r="E16683" t="s">
        <v>545</v>
      </c>
      <c r="F16683" s="1">
        <v>2</v>
      </c>
      <c r="G16683" s="1" t="s">
        <v>28</v>
      </c>
      <c r="H16683" s="4" t="str">
        <f>HYPERLINK("https://portal.gdc.cancer.gov/cases/1b0b0533-7c4f-4edd-a75e-8b56f49d54ab","TCGA-DM-A1D0-01A")</f>
        <v>TCGA-DM-A1D0-01A</v>
      </c>
      <c r="I16683" t="s">
        <v>69</v>
      </c>
      <c r="J16683" t="s">
        <v>245</v>
      </c>
      <c r="K16683" t="s">
        <v>33</v>
      </c>
      <c r="L16683" t="s">
        <v>546</v>
      </c>
      <c r="N16683" t="s">
        <v>29</v>
      </c>
    </row>
    <row r="16684" spans="1:14">
      <c r="A16684" s="4" t="str">
        <f t="shared" si="1234"/>
        <v>EXP00421</v>
      </c>
      <c r="B16684" s="3" t="s">
        <v>66</v>
      </c>
      <c r="C16684" s="4" t="str">
        <f t="shared" si="1235"/>
        <v>TCGA-COAD</v>
      </c>
      <c r="D16684" s="1" t="s">
        <v>493</v>
      </c>
      <c r="E16684" t="s">
        <v>545</v>
      </c>
      <c r="F16684" s="1">
        <v>2</v>
      </c>
      <c r="G16684" s="1" t="s">
        <v>28</v>
      </c>
      <c r="H16684" s="4" t="str">
        <f>HYPERLINK("https://portal.gdc.cancer.gov/cases/849442d3-eb82-416e-9d36-2fc15dfac67a","TCGA-DM-A1D4-01A")</f>
        <v>TCGA-DM-A1D4-01A</v>
      </c>
      <c r="I16684" t="s">
        <v>69</v>
      </c>
      <c r="J16684" t="s">
        <v>245</v>
      </c>
      <c r="K16684" t="s">
        <v>33</v>
      </c>
      <c r="L16684" t="s">
        <v>546</v>
      </c>
      <c r="N16684" t="s">
        <v>29</v>
      </c>
    </row>
    <row r="16685" spans="1:14">
      <c r="A16685" s="4" t="str">
        <f t="shared" si="1234"/>
        <v>EXP00421</v>
      </c>
      <c r="B16685" s="3" t="s">
        <v>66</v>
      </c>
      <c r="C16685" s="4" t="str">
        <f t="shared" si="1235"/>
        <v>TCGA-COAD</v>
      </c>
      <c r="D16685" s="1" t="s">
        <v>493</v>
      </c>
      <c r="E16685" t="s">
        <v>545</v>
      </c>
      <c r="F16685" s="1">
        <v>2</v>
      </c>
      <c r="G16685" s="1" t="s">
        <v>28</v>
      </c>
      <c r="H16685" s="4" t="str">
        <f>HYPERLINK("https://portal.gdc.cancer.gov/cases/eb191e71-4b6e-4c8d-8348-519be5a1e657","TCGA-DM-A1D6-01A")</f>
        <v>TCGA-DM-A1D6-01A</v>
      </c>
      <c r="I16685" t="s">
        <v>69</v>
      </c>
      <c r="J16685" t="s">
        <v>245</v>
      </c>
      <c r="K16685" t="s">
        <v>33</v>
      </c>
      <c r="L16685" t="s">
        <v>546</v>
      </c>
      <c r="N16685" t="s">
        <v>29</v>
      </c>
    </row>
    <row r="16686" spans="1:14">
      <c r="A16686" s="4" t="str">
        <f t="shared" si="1234"/>
        <v>EXP00421</v>
      </c>
      <c r="B16686" s="3" t="s">
        <v>66</v>
      </c>
      <c r="C16686" s="4" t="str">
        <f t="shared" si="1235"/>
        <v>TCGA-COAD</v>
      </c>
      <c r="D16686" s="1" t="s">
        <v>493</v>
      </c>
      <c r="E16686" t="s">
        <v>545</v>
      </c>
      <c r="F16686" s="1">
        <v>2</v>
      </c>
      <c r="G16686" s="1" t="s">
        <v>28</v>
      </c>
      <c r="H16686" s="4" t="str">
        <f>HYPERLINK("https://portal.gdc.cancer.gov/cases/fac2c617-8149-45bb-b766-fbe13dc3c425","TCGA-DM-A1D7-01A")</f>
        <v>TCGA-DM-A1D7-01A</v>
      </c>
      <c r="I16686" t="s">
        <v>69</v>
      </c>
      <c r="J16686" t="s">
        <v>245</v>
      </c>
      <c r="K16686" t="s">
        <v>33</v>
      </c>
      <c r="L16686" t="s">
        <v>546</v>
      </c>
      <c r="N16686" t="s">
        <v>29</v>
      </c>
    </row>
    <row r="16687" spans="1:14">
      <c r="A16687" s="4" t="str">
        <f t="shared" si="1234"/>
        <v>EXP00421</v>
      </c>
      <c r="B16687" s="3" t="s">
        <v>66</v>
      </c>
      <c r="C16687" s="4" t="str">
        <f t="shared" si="1235"/>
        <v>TCGA-COAD</v>
      </c>
      <c r="D16687" s="1" t="s">
        <v>493</v>
      </c>
      <c r="E16687" t="s">
        <v>545</v>
      </c>
      <c r="F16687" s="1">
        <v>2</v>
      </c>
      <c r="G16687" s="1" t="s">
        <v>28</v>
      </c>
      <c r="H16687" s="4" t="str">
        <f>HYPERLINK("https://portal.gdc.cancer.gov/cases/92c043b6-8d53-4c1c-808a-c4be5e2926e6","TCGA-DM-A1D8-01A")</f>
        <v>TCGA-DM-A1D8-01A</v>
      </c>
      <c r="I16687" t="s">
        <v>69</v>
      </c>
      <c r="J16687" t="s">
        <v>245</v>
      </c>
      <c r="K16687" t="s">
        <v>33</v>
      </c>
      <c r="L16687" t="s">
        <v>546</v>
      </c>
      <c r="N16687" t="s">
        <v>29</v>
      </c>
    </row>
    <row r="16688" spans="1:14">
      <c r="A16688" s="4" t="str">
        <f t="shared" si="1234"/>
        <v>EXP00421</v>
      </c>
      <c r="B16688" s="3" t="s">
        <v>66</v>
      </c>
      <c r="C16688" s="4" t="str">
        <f t="shared" si="1235"/>
        <v>TCGA-COAD</v>
      </c>
      <c r="D16688" s="1" t="s">
        <v>493</v>
      </c>
      <c r="E16688" t="s">
        <v>545</v>
      </c>
      <c r="F16688" s="1">
        <v>2</v>
      </c>
      <c r="G16688" s="1" t="s">
        <v>28</v>
      </c>
      <c r="H16688" s="4" t="str">
        <f>HYPERLINK("https://portal.gdc.cancer.gov/cases/e3b6018c-ab2c-47c5-b183-a295d0110835","TCGA-DM-A1D9-01A")</f>
        <v>TCGA-DM-A1D9-01A</v>
      </c>
      <c r="I16688" t="s">
        <v>69</v>
      </c>
      <c r="J16688" t="s">
        <v>245</v>
      </c>
      <c r="K16688" t="s">
        <v>33</v>
      </c>
      <c r="L16688" t="s">
        <v>546</v>
      </c>
      <c r="N16688" t="s">
        <v>29</v>
      </c>
    </row>
    <row r="16689" spans="1:14">
      <c r="A16689" s="4" t="str">
        <f t="shared" si="1234"/>
        <v>EXP00421</v>
      </c>
      <c r="B16689" s="3" t="s">
        <v>66</v>
      </c>
      <c r="C16689" s="4" t="str">
        <f t="shared" si="1235"/>
        <v>TCGA-COAD</v>
      </c>
      <c r="D16689" s="1" t="s">
        <v>493</v>
      </c>
      <c r="E16689" t="s">
        <v>545</v>
      </c>
      <c r="F16689" s="1">
        <v>2</v>
      </c>
      <c r="G16689" s="1" t="s">
        <v>28</v>
      </c>
      <c r="H16689" s="4" t="str">
        <f>HYPERLINK("https://portal.gdc.cancer.gov/cases/f4a804d3-b5c4-4da5-800f-6e5757ecfa1c","TCGA-DM-A1DA-01A")</f>
        <v>TCGA-DM-A1DA-01A</v>
      </c>
      <c r="I16689" t="s">
        <v>69</v>
      </c>
      <c r="J16689" t="s">
        <v>245</v>
      </c>
      <c r="K16689" t="s">
        <v>33</v>
      </c>
      <c r="L16689" t="s">
        <v>546</v>
      </c>
      <c r="N16689" t="s">
        <v>29</v>
      </c>
    </row>
    <row r="16690" spans="1:14">
      <c r="A16690" s="4" t="str">
        <f t="shared" si="1234"/>
        <v>EXP00421</v>
      </c>
      <c r="B16690" s="3" t="s">
        <v>66</v>
      </c>
      <c r="C16690" s="4" t="str">
        <f t="shared" si="1235"/>
        <v>TCGA-COAD</v>
      </c>
      <c r="D16690" s="1" t="s">
        <v>493</v>
      </c>
      <c r="E16690" t="s">
        <v>545</v>
      </c>
      <c r="F16690" s="1">
        <v>2</v>
      </c>
      <c r="G16690" s="1" t="s">
        <v>28</v>
      </c>
      <c r="H16690" s="4" t="str">
        <f>HYPERLINK("https://portal.gdc.cancer.gov/cases/d71ae66e-2c8a-4fd8-8b4b-a5a2d456a21d","TCGA-DM-A1DB-01A")</f>
        <v>TCGA-DM-A1DB-01A</v>
      </c>
      <c r="I16690" t="s">
        <v>69</v>
      </c>
      <c r="J16690" t="s">
        <v>245</v>
      </c>
      <c r="K16690" t="s">
        <v>33</v>
      </c>
      <c r="L16690" t="s">
        <v>546</v>
      </c>
      <c r="N16690" t="s">
        <v>29</v>
      </c>
    </row>
    <row r="16691" spans="1:14">
      <c r="A16691" s="4" t="str">
        <f t="shared" si="1234"/>
        <v>EXP00421</v>
      </c>
      <c r="B16691" s="3" t="s">
        <v>66</v>
      </c>
      <c r="C16691" s="4" t="str">
        <f t="shared" si="1235"/>
        <v>TCGA-COAD</v>
      </c>
      <c r="D16691" s="1" t="s">
        <v>493</v>
      </c>
      <c r="E16691" t="s">
        <v>545</v>
      </c>
      <c r="F16691" s="1">
        <v>2</v>
      </c>
      <c r="G16691" s="1" t="s">
        <v>28</v>
      </c>
      <c r="H16691" s="4" t="str">
        <f>HYPERLINK("https://portal.gdc.cancer.gov/cases/56c8b812-ca8e-4eb2-b0fe-f264316789bf","TCGA-DM-A1HA-01A")</f>
        <v>TCGA-DM-A1HA-01A</v>
      </c>
      <c r="I16691" t="s">
        <v>69</v>
      </c>
      <c r="J16691" t="s">
        <v>245</v>
      </c>
      <c r="K16691" t="s">
        <v>33</v>
      </c>
      <c r="L16691" t="s">
        <v>546</v>
      </c>
      <c r="N16691" t="s">
        <v>29</v>
      </c>
    </row>
    <row r="16692" spans="1:14">
      <c r="A16692" s="4" t="str">
        <f t="shared" si="1234"/>
        <v>EXP00421</v>
      </c>
      <c r="B16692" s="3" t="s">
        <v>66</v>
      </c>
      <c r="C16692" s="4" t="str">
        <f t="shared" si="1235"/>
        <v>TCGA-COAD</v>
      </c>
      <c r="D16692" s="1" t="s">
        <v>493</v>
      </c>
      <c r="E16692" t="s">
        <v>545</v>
      </c>
      <c r="F16692" s="1">
        <v>2</v>
      </c>
      <c r="G16692" s="1" t="s">
        <v>28</v>
      </c>
      <c r="H16692" s="4" t="str">
        <f>HYPERLINK("https://portal.gdc.cancer.gov/cases/8c0894fb-5e78-40ae-be0b-329ca30f758a","TCGA-DM-A1HB-01A")</f>
        <v>TCGA-DM-A1HB-01A</v>
      </c>
      <c r="I16692" t="s">
        <v>69</v>
      </c>
      <c r="J16692" t="s">
        <v>245</v>
      </c>
      <c r="K16692" t="s">
        <v>33</v>
      </c>
      <c r="L16692" t="s">
        <v>546</v>
      </c>
      <c r="N16692" t="s">
        <v>29</v>
      </c>
    </row>
    <row r="16693" spans="1:14">
      <c r="A16693" s="4" t="str">
        <f t="shared" si="1234"/>
        <v>EXP00421</v>
      </c>
      <c r="B16693" s="3" t="s">
        <v>66</v>
      </c>
      <c r="C16693" s="4" t="str">
        <f t="shared" si="1235"/>
        <v>TCGA-COAD</v>
      </c>
      <c r="D16693" s="1" t="s">
        <v>493</v>
      </c>
      <c r="E16693" t="s">
        <v>545</v>
      </c>
      <c r="F16693" s="1">
        <v>2</v>
      </c>
      <c r="G16693" s="1" t="s">
        <v>28</v>
      </c>
      <c r="H16693" s="4" t="str">
        <f>HYPERLINK("https://portal.gdc.cancer.gov/cases/6775ce57-b4cf-425c-a898-061bb9a8a1a8","TCGA-DM-A280-01A")</f>
        <v>TCGA-DM-A280-01A</v>
      </c>
      <c r="I16693" t="s">
        <v>69</v>
      </c>
      <c r="J16693" t="s">
        <v>245</v>
      </c>
      <c r="K16693" t="s">
        <v>33</v>
      </c>
      <c r="L16693" t="s">
        <v>546</v>
      </c>
      <c r="N16693" t="s">
        <v>29</v>
      </c>
    </row>
    <row r="16694" spans="1:14">
      <c r="A16694" s="4" t="str">
        <f t="shared" si="1234"/>
        <v>EXP00421</v>
      </c>
      <c r="B16694" s="3" t="s">
        <v>66</v>
      </c>
      <c r="C16694" s="4" t="str">
        <f t="shared" si="1235"/>
        <v>TCGA-COAD</v>
      </c>
      <c r="D16694" s="1" t="s">
        <v>493</v>
      </c>
      <c r="E16694" t="s">
        <v>545</v>
      </c>
      <c r="F16694" s="1">
        <v>2</v>
      </c>
      <c r="G16694" s="1" t="s">
        <v>28</v>
      </c>
      <c r="H16694" s="4" t="str">
        <f>HYPERLINK("https://portal.gdc.cancer.gov/cases/e75985cb-357e-4072-b047-eea37965d70c","TCGA-DM-A282-01A")</f>
        <v>TCGA-DM-A282-01A</v>
      </c>
      <c r="I16694" t="s">
        <v>69</v>
      </c>
      <c r="J16694" t="s">
        <v>245</v>
      </c>
      <c r="K16694" t="s">
        <v>33</v>
      </c>
      <c r="L16694" t="s">
        <v>546</v>
      </c>
      <c r="N16694" t="s">
        <v>29</v>
      </c>
    </row>
    <row r="16695" spans="1:14">
      <c r="A16695" s="4" t="str">
        <f t="shared" si="1234"/>
        <v>EXP00421</v>
      </c>
      <c r="B16695" s="3" t="s">
        <v>66</v>
      </c>
      <c r="C16695" s="4" t="str">
        <f t="shared" si="1235"/>
        <v>TCGA-COAD</v>
      </c>
      <c r="D16695" s="1" t="s">
        <v>493</v>
      </c>
      <c r="E16695" t="s">
        <v>545</v>
      </c>
      <c r="F16695" s="1">
        <v>2</v>
      </c>
      <c r="G16695" s="1" t="s">
        <v>28</v>
      </c>
      <c r="H16695" s="4" t="str">
        <f>HYPERLINK("https://portal.gdc.cancer.gov/cases/99c532b0-6b42-4925-a344-fc7262c415ee","TCGA-DM-A285-01A")</f>
        <v>TCGA-DM-A285-01A</v>
      </c>
      <c r="I16695" t="s">
        <v>69</v>
      </c>
      <c r="J16695" t="s">
        <v>245</v>
      </c>
      <c r="K16695" t="s">
        <v>33</v>
      </c>
      <c r="L16695" t="s">
        <v>546</v>
      </c>
      <c r="N16695" t="s">
        <v>29</v>
      </c>
    </row>
    <row r="16696" spans="1:14">
      <c r="A16696" s="4" t="str">
        <f t="shared" si="1234"/>
        <v>EXP00421</v>
      </c>
      <c r="B16696" s="3" t="s">
        <v>66</v>
      </c>
      <c r="C16696" s="4" t="str">
        <f t="shared" si="1235"/>
        <v>TCGA-COAD</v>
      </c>
      <c r="D16696" s="1" t="s">
        <v>493</v>
      </c>
      <c r="E16696" t="s">
        <v>545</v>
      </c>
      <c r="F16696" s="1">
        <v>2</v>
      </c>
      <c r="G16696" s="1" t="s">
        <v>28</v>
      </c>
      <c r="H16696" s="4" t="str">
        <f>HYPERLINK("https://portal.gdc.cancer.gov/cases/143f2dd6-a280-41c5-9242-442ef91b73ec","TCGA-DM-A288-01A")</f>
        <v>TCGA-DM-A288-01A</v>
      </c>
      <c r="I16696" t="s">
        <v>69</v>
      </c>
      <c r="J16696" t="s">
        <v>245</v>
      </c>
      <c r="K16696" t="s">
        <v>33</v>
      </c>
      <c r="L16696" t="s">
        <v>546</v>
      </c>
      <c r="N16696" t="s">
        <v>29</v>
      </c>
    </row>
    <row r="16697" spans="1:14">
      <c r="A16697" s="4" t="str">
        <f t="shared" ref="A16697:A16765" si="1236">HYPERLINK("http://hcmdb.i-sanger.com/experiment/details/experiment_id/EXP00421","EXP00421")</f>
        <v>EXP00421</v>
      </c>
      <c r="B16697" s="3" t="s">
        <v>66</v>
      </c>
      <c r="C16697" s="4" t="str">
        <f t="shared" ref="C16697:C16765" si="1237">HYPERLINK("https://portal.gdc.cancer.gov/projects/TCGA-COAD","TCGA-COAD")</f>
        <v>TCGA-COAD</v>
      </c>
      <c r="D16697" s="1" t="s">
        <v>493</v>
      </c>
      <c r="E16697" t="s">
        <v>545</v>
      </c>
      <c r="F16697" s="1">
        <v>2</v>
      </c>
      <c r="G16697" s="1" t="s">
        <v>28</v>
      </c>
      <c r="H16697" s="4" t="str">
        <f>HYPERLINK("https://portal.gdc.cancer.gov/cases/9b2c325c-1f03-43c7-ad5c-b49c6d205635","TCGA-DM-A28A-01A")</f>
        <v>TCGA-DM-A28A-01A</v>
      </c>
      <c r="I16697" t="s">
        <v>69</v>
      </c>
      <c r="J16697" t="s">
        <v>245</v>
      </c>
      <c r="K16697" t="s">
        <v>33</v>
      </c>
      <c r="L16697" t="s">
        <v>546</v>
      </c>
      <c r="N16697" t="s">
        <v>29</v>
      </c>
    </row>
    <row r="16698" spans="1:14">
      <c r="A16698" s="4" t="str">
        <f t="shared" si="1236"/>
        <v>EXP00421</v>
      </c>
      <c r="B16698" s="3" t="s">
        <v>66</v>
      </c>
      <c r="C16698" s="4" t="str">
        <f t="shared" si="1237"/>
        <v>TCGA-COAD</v>
      </c>
      <c r="D16698" s="1" t="s">
        <v>493</v>
      </c>
      <c r="E16698" t="s">
        <v>545</v>
      </c>
      <c r="F16698" s="1">
        <v>2</v>
      </c>
      <c r="G16698" s="1" t="s">
        <v>28</v>
      </c>
      <c r="H16698" s="4" t="str">
        <f>HYPERLINK("https://portal.gdc.cancer.gov/cases/f83b909c-da90-41ed-b532-a2ef9371cff9","TCGA-DM-A28C-01A")</f>
        <v>TCGA-DM-A28C-01A</v>
      </c>
      <c r="I16698" t="s">
        <v>69</v>
      </c>
      <c r="J16698" t="s">
        <v>245</v>
      </c>
      <c r="K16698" t="s">
        <v>33</v>
      </c>
      <c r="L16698" t="s">
        <v>546</v>
      </c>
      <c r="N16698" t="s">
        <v>29</v>
      </c>
    </row>
    <row r="16699" spans="1:14">
      <c r="A16699" s="4" t="str">
        <f t="shared" si="1236"/>
        <v>EXP00421</v>
      </c>
      <c r="B16699" s="3" t="s">
        <v>66</v>
      </c>
      <c r="C16699" s="4" t="str">
        <f t="shared" si="1237"/>
        <v>TCGA-COAD</v>
      </c>
      <c r="D16699" s="1" t="s">
        <v>493</v>
      </c>
      <c r="E16699" t="s">
        <v>545</v>
      </c>
      <c r="F16699" s="1">
        <v>2</v>
      </c>
      <c r="G16699" s="1" t="s">
        <v>28</v>
      </c>
      <c r="H16699" s="4" t="str">
        <f>HYPERLINK("https://portal.gdc.cancer.gov/cases/85bdc1ac-a1a4-46c2-bc2d-e5fabf5c89e9","TCGA-DM-A28E-01A")</f>
        <v>TCGA-DM-A28E-01A</v>
      </c>
      <c r="I16699" t="s">
        <v>69</v>
      </c>
      <c r="J16699" t="s">
        <v>245</v>
      </c>
      <c r="K16699" t="s">
        <v>33</v>
      </c>
      <c r="L16699" t="s">
        <v>546</v>
      </c>
      <c r="N16699" t="s">
        <v>29</v>
      </c>
    </row>
    <row r="16700" spans="1:14">
      <c r="A16700" s="4" t="str">
        <f t="shared" si="1236"/>
        <v>EXP00421</v>
      </c>
      <c r="B16700" s="3" t="s">
        <v>66</v>
      </c>
      <c r="C16700" s="4" t="str">
        <f t="shared" si="1237"/>
        <v>TCGA-COAD</v>
      </c>
      <c r="D16700" s="1" t="s">
        <v>493</v>
      </c>
      <c r="E16700" t="s">
        <v>545</v>
      </c>
      <c r="F16700" s="1">
        <v>2</v>
      </c>
      <c r="G16700" s="1" t="s">
        <v>28</v>
      </c>
      <c r="H16700" s="4" t="str">
        <f>HYPERLINK("https://portal.gdc.cancer.gov/cases/022f39e9-57ee-4b2b-8b3a-8929e3d69a37","TCGA-DM-A28F-01A")</f>
        <v>TCGA-DM-A28F-01A</v>
      </c>
      <c r="I16700" t="s">
        <v>69</v>
      </c>
      <c r="J16700" t="s">
        <v>245</v>
      </c>
      <c r="K16700" t="s">
        <v>33</v>
      </c>
      <c r="L16700" t="s">
        <v>546</v>
      </c>
      <c r="N16700" t="s">
        <v>29</v>
      </c>
    </row>
    <row r="16701" spans="1:14">
      <c r="A16701" s="4" t="str">
        <f t="shared" si="1236"/>
        <v>EXP00421</v>
      </c>
      <c r="B16701" s="3" t="s">
        <v>66</v>
      </c>
      <c r="C16701" s="4" t="str">
        <f t="shared" si="1237"/>
        <v>TCGA-COAD</v>
      </c>
      <c r="D16701" s="1" t="s">
        <v>493</v>
      </c>
      <c r="E16701" t="s">
        <v>545</v>
      </c>
      <c r="F16701" s="1">
        <v>2</v>
      </c>
      <c r="G16701" s="1" t="s">
        <v>28</v>
      </c>
      <c r="H16701" s="4" t="str">
        <f>HYPERLINK("https://portal.gdc.cancer.gov/cases/ffa7e03a-4a3c-41f0-937a-4fb862fd2194","TCGA-DM-A28G-01A")</f>
        <v>TCGA-DM-A28G-01A</v>
      </c>
      <c r="I16701" t="s">
        <v>69</v>
      </c>
      <c r="J16701" t="s">
        <v>245</v>
      </c>
      <c r="K16701" t="s">
        <v>33</v>
      </c>
      <c r="L16701" t="s">
        <v>546</v>
      </c>
      <c r="N16701" t="s">
        <v>29</v>
      </c>
    </row>
    <row r="16702" spans="1:14">
      <c r="A16702" s="4" t="str">
        <f t="shared" si="1236"/>
        <v>EXP00421</v>
      </c>
      <c r="B16702" s="3" t="s">
        <v>66</v>
      </c>
      <c r="C16702" s="4" t="str">
        <f t="shared" si="1237"/>
        <v>TCGA-COAD</v>
      </c>
      <c r="D16702" s="1" t="s">
        <v>493</v>
      </c>
      <c r="E16702" t="s">
        <v>545</v>
      </c>
      <c r="F16702" s="1">
        <v>2</v>
      </c>
      <c r="G16702" s="1" t="s">
        <v>28</v>
      </c>
      <c r="H16702" s="4" t="str">
        <f>HYPERLINK("https://portal.gdc.cancer.gov/cases/aec0c661-afac-4f7a-8c31-154d743f2499","TCGA-DM-A28H-01A")</f>
        <v>TCGA-DM-A28H-01A</v>
      </c>
      <c r="I16702" t="s">
        <v>69</v>
      </c>
      <c r="J16702" t="s">
        <v>245</v>
      </c>
      <c r="K16702" t="s">
        <v>33</v>
      </c>
      <c r="L16702" t="s">
        <v>546</v>
      </c>
      <c r="N16702" t="s">
        <v>29</v>
      </c>
    </row>
    <row r="16703" spans="1:14">
      <c r="A16703" s="4" t="str">
        <f t="shared" si="1236"/>
        <v>EXP00421</v>
      </c>
      <c r="B16703" s="3" t="s">
        <v>66</v>
      </c>
      <c r="C16703" s="4" t="str">
        <f t="shared" si="1237"/>
        <v>TCGA-COAD</v>
      </c>
      <c r="D16703" s="1" t="s">
        <v>493</v>
      </c>
      <c r="E16703" t="s">
        <v>545</v>
      </c>
      <c r="F16703" s="1">
        <v>2</v>
      </c>
      <c r="G16703" s="1" t="s">
        <v>28</v>
      </c>
      <c r="H16703" s="4" t="str">
        <f>HYPERLINK("https://portal.gdc.cancer.gov/cases/3e1886a8-2ed2-41ee-8b58-10f5321ade6f","TCGA-DM-A28K-01A")</f>
        <v>TCGA-DM-A28K-01A</v>
      </c>
      <c r="I16703" t="s">
        <v>69</v>
      </c>
      <c r="J16703" t="s">
        <v>245</v>
      </c>
      <c r="K16703" t="s">
        <v>33</v>
      </c>
      <c r="L16703" t="s">
        <v>546</v>
      </c>
      <c r="N16703" t="s">
        <v>29</v>
      </c>
    </row>
    <row r="16704" spans="1:14">
      <c r="A16704" s="4" t="str">
        <f t="shared" si="1236"/>
        <v>EXP00421</v>
      </c>
      <c r="B16704" s="3" t="s">
        <v>66</v>
      </c>
      <c r="C16704" s="4" t="str">
        <f t="shared" si="1237"/>
        <v>TCGA-COAD</v>
      </c>
      <c r="D16704" s="1" t="s">
        <v>493</v>
      </c>
      <c r="E16704" t="s">
        <v>545</v>
      </c>
      <c r="F16704" s="1">
        <v>2</v>
      </c>
      <c r="G16704" s="1" t="s">
        <v>28</v>
      </c>
      <c r="H16704" s="4" t="str">
        <f>HYPERLINK("https://portal.gdc.cancer.gov/cases/c48e2ce0-3806-4675-92f3-d38ff67c5efa","TCGA-DM-A28M-01A")</f>
        <v>TCGA-DM-A28M-01A</v>
      </c>
      <c r="I16704" t="s">
        <v>69</v>
      </c>
      <c r="J16704" t="s">
        <v>245</v>
      </c>
      <c r="K16704" t="s">
        <v>33</v>
      </c>
      <c r="L16704" t="s">
        <v>546</v>
      </c>
      <c r="N16704" t="s">
        <v>29</v>
      </c>
    </row>
    <row r="16705" spans="1:14">
      <c r="A16705" s="4" t="str">
        <f t="shared" si="1236"/>
        <v>EXP00421</v>
      </c>
      <c r="B16705" s="3" t="s">
        <v>66</v>
      </c>
      <c r="C16705" s="4" t="str">
        <f t="shared" si="1237"/>
        <v>TCGA-COAD</v>
      </c>
      <c r="D16705" s="1" t="s">
        <v>493</v>
      </c>
      <c r="E16705" t="s">
        <v>545</v>
      </c>
      <c r="F16705" s="1">
        <v>2</v>
      </c>
      <c r="G16705" s="1" t="s">
        <v>28</v>
      </c>
      <c r="H16705" s="4" t="str">
        <f>HYPERLINK("https://portal.gdc.cancer.gov/cases/9fd08502-355b-4f5a-a25c-73ec7184f6d3","TCGA-F4-6459-01A")</f>
        <v>TCGA-F4-6459-01A</v>
      </c>
      <c r="I16705" t="s">
        <v>69</v>
      </c>
      <c r="J16705" t="s">
        <v>245</v>
      </c>
      <c r="K16705" t="s">
        <v>33</v>
      </c>
      <c r="L16705" t="s">
        <v>546</v>
      </c>
      <c r="N16705" t="s">
        <v>29</v>
      </c>
    </row>
    <row r="16706" spans="1:14">
      <c r="A16706" s="4" t="str">
        <f t="shared" si="1236"/>
        <v>EXP00421</v>
      </c>
      <c r="B16706" s="3" t="s">
        <v>66</v>
      </c>
      <c r="C16706" s="4" t="str">
        <f t="shared" si="1237"/>
        <v>TCGA-COAD</v>
      </c>
      <c r="D16706" s="1" t="s">
        <v>493</v>
      </c>
      <c r="E16706" t="s">
        <v>545</v>
      </c>
      <c r="F16706" s="1">
        <v>2</v>
      </c>
      <c r="G16706" s="1" t="s">
        <v>28</v>
      </c>
      <c r="H16706" s="4" t="str">
        <f>HYPERLINK("https://portal.gdc.cancer.gov/cases/2a7bbafe-d499-4241-ba3d-a52ba0a5db3c","TCGA-F4-6460-01A")</f>
        <v>TCGA-F4-6460-01A</v>
      </c>
      <c r="I16706" t="s">
        <v>69</v>
      </c>
      <c r="J16706" t="s">
        <v>245</v>
      </c>
      <c r="K16706" t="s">
        <v>33</v>
      </c>
      <c r="L16706" t="s">
        <v>546</v>
      </c>
      <c r="N16706" t="s">
        <v>29</v>
      </c>
    </row>
    <row r="16707" spans="1:14">
      <c r="A16707" s="4" t="str">
        <f t="shared" si="1236"/>
        <v>EXP00421</v>
      </c>
      <c r="B16707" s="3" t="s">
        <v>66</v>
      </c>
      <c r="C16707" s="4" t="str">
        <f t="shared" si="1237"/>
        <v>TCGA-COAD</v>
      </c>
      <c r="D16707" s="1" t="s">
        <v>493</v>
      </c>
      <c r="E16707" t="s">
        <v>545</v>
      </c>
      <c r="F16707" s="1">
        <v>2</v>
      </c>
      <c r="G16707" s="1" t="s">
        <v>28</v>
      </c>
      <c r="H16707" s="4" t="str">
        <f>HYPERLINK("https://portal.gdc.cancer.gov/cases/2900eadd-7e27-4371-94e5-7d58cdff0138","TCGA-F4-6461-01A")</f>
        <v>TCGA-F4-6461-01A</v>
      </c>
      <c r="I16707" t="s">
        <v>69</v>
      </c>
      <c r="J16707" t="s">
        <v>245</v>
      </c>
      <c r="K16707" t="s">
        <v>33</v>
      </c>
      <c r="L16707" t="s">
        <v>546</v>
      </c>
      <c r="N16707" t="s">
        <v>29</v>
      </c>
    </row>
    <row r="16708" spans="1:14">
      <c r="A16708" s="4" t="str">
        <f t="shared" si="1236"/>
        <v>EXP00421</v>
      </c>
      <c r="B16708" s="3" t="s">
        <v>66</v>
      </c>
      <c r="C16708" s="4" t="str">
        <f t="shared" si="1237"/>
        <v>TCGA-COAD</v>
      </c>
      <c r="D16708" s="1" t="s">
        <v>493</v>
      </c>
      <c r="E16708" t="s">
        <v>545</v>
      </c>
      <c r="F16708" s="1">
        <v>2</v>
      </c>
      <c r="G16708" s="1" t="s">
        <v>28</v>
      </c>
      <c r="H16708" s="4" t="str">
        <f>HYPERLINK("https://portal.gdc.cancer.gov/cases/cbe23011-93b7-4e9f-b934-bd0122f91f54","TCGA-F4-6463-01A")</f>
        <v>TCGA-F4-6463-01A</v>
      </c>
      <c r="I16708" t="s">
        <v>69</v>
      </c>
      <c r="J16708" t="s">
        <v>245</v>
      </c>
      <c r="K16708" t="s">
        <v>33</v>
      </c>
      <c r="L16708" t="s">
        <v>546</v>
      </c>
      <c r="N16708" t="s">
        <v>29</v>
      </c>
    </row>
    <row r="16709" spans="1:14">
      <c r="A16709" s="4" t="str">
        <f t="shared" si="1236"/>
        <v>EXP00421</v>
      </c>
      <c r="B16709" s="3" t="s">
        <v>66</v>
      </c>
      <c r="C16709" s="4" t="str">
        <f t="shared" si="1237"/>
        <v>TCGA-COAD</v>
      </c>
      <c r="D16709" s="1" t="s">
        <v>493</v>
      </c>
      <c r="E16709" t="s">
        <v>545</v>
      </c>
      <c r="F16709" s="1">
        <v>2</v>
      </c>
      <c r="G16709" s="1" t="s">
        <v>28</v>
      </c>
      <c r="H16709" s="4" t="str">
        <f>HYPERLINK("https://portal.gdc.cancer.gov/cases/d3062aac-4c42-41b4-a9f3-90aa72e6fb1e","TCGA-F4-6569-01A")</f>
        <v>TCGA-F4-6569-01A</v>
      </c>
      <c r="I16709" t="s">
        <v>69</v>
      </c>
      <c r="J16709" t="s">
        <v>245</v>
      </c>
      <c r="K16709" t="s">
        <v>33</v>
      </c>
      <c r="L16709" t="s">
        <v>546</v>
      </c>
      <c r="N16709" t="s">
        <v>29</v>
      </c>
    </row>
    <row r="16710" spans="1:14">
      <c r="A16710" s="4" t="str">
        <f t="shared" si="1236"/>
        <v>EXP00421</v>
      </c>
      <c r="B16710" s="3" t="s">
        <v>66</v>
      </c>
      <c r="C16710" s="4" t="str">
        <f t="shared" si="1237"/>
        <v>TCGA-COAD</v>
      </c>
      <c r="D16710" s="1" t="s">
        <v>493</v>
      </c>
      <c r="E16710" t="s">
        <v>545</v>
      </c>
      <c r="F16710" s="1">
        <v>2</v>
      </c>
      <c r="G16710" s="1" t="s">
        <v>28</v>
      </c>
      <c r="H16710" s="4" t="str">
        <f>HYPERLINK("https://portal.gdc.cancer.gov/cases/eeb42912-0c7a-46bb-bd95-369b2b425727","TCGA-F4-6570-01A")</f>
        <v>TCGA-F4-6570-01A</v>
      </c>
      <c r="I16710" t="s">
        <v>69</v>
      </c>
      <c r="J16710" t="s">
        <v>245</v>
      </c>
      <c r="K16710" t="s">
        <v>33</v>
      </c>
      <c r="L16710" t="s">
        <v>546</v>
      </c>
      <c r="N16710" t="s">
        <v>29</v>
      </c>
    </row>
    <row r="16711" spans="1:14">
      <c r="A16711" s="4" t="str">
        <f t="shared" si="1236"/>
        <v>EXP00421</v>
      </c>
      <c r="B16711" s="3" t="s">
        <v>66</v>
      </c>
      <c r="C16711" s="4" t="str">
        <f t="shared" si="1237"/>
        <v>TCGA-COAD</v>
      </c>
      <c r="D16711" s="1" t="s">
        <v>493</v>
      </c>
      <c r="E16711" t="s">
        <v>545</v>
      </c>
      <c r="F16711" s="1">
        <v>2</v>
      </c>
      <c r="G16711" s="1" t="s">
        <v>28</v>
      </c>
      <c r="H16711" s="4" t="str">
        <f>HYPERLINK("https://portal.gdc.cancer.gov/cases/0c53b010-4243-4da3-a059-7f54c9a850ec","TCGA-F4-6703-01A")</f>
        <v>TCGA-F4-6703-01A</v>
      </c>
      <c r="I16711" t="s">
        <v>69</v>
      </c>
      <c r="J16711" t="s">
        <v>245</v>
      </c>
      <c r="K16711" t="s">
        <v>33</v>
      </c>
      <c r="L16711" t="s">
        <v>546</v>
      </c>
      <c r="N16711" t="s">
        <v>29</v>
      </c>
    </row>
    <row r="16712" spans="1:14">
      <c r="A16712" s="4" t="str">
        <f t="shared" si="1236"/>
        <v>EXP00421</v>
      </c>
      <c r="B16712" s="3" t="s">
        <v>66</v>
      </c>
      <c r="C16712" s="4" t="str">
        <f t="shared" si="1237"/>
        <v>TCGA-COAD</v>
      </c>
      <c r="D16712" s="1" t="s">
        <v>493</v>
      </c>
      <c r="E16712" t="s">
        <v>545</v>
      </c>
      <c r="F16712" s="1">
        <v>2</v>
      </c>
      <c r="G16712" s="1" t="s">
        <v>28</v>
      </c>
      <c r="H16712" s="4" t="str">
        <f>HYPERLINK("https://portal.gdc.cancer.gov/cases/c6ed47f4-358b-4f06-b5cd-cdf1d5c47b43","TCGA-F4-6704-01A")</f>
        <v>TCGA-F4-6704-01A</v>
      </c>
      <c r="I16712" t="s">
        <v>69</v>
      </c>
      <c r="J16712" t="s">
        <v>245</v>
      </c>
      <c r="K16712" t="s">
        <v>33</v>
      </c>
      <c r="L16712" t="s">
        <v>546</v>
      </c>
      <c r="N16712" t="s">
        <v>29</v>
      </c>
    </row>
    <row r="16713" spans="1:14">
      <c r="A16713" s="4" t="str">
        <f t="shared" si="1236"/>
        <v>EXP00421</v>
      </c>
      <c r="B16713" s="3" t="s">
        <v>66</v>
      </c>
      <c r="C16713" s="4" t="str">
        <f t="shared" si="1237"/>
        <v>TCGA-COAD</v>
      </c>
      <c r="D16713" s="1" t="s">
        <v>493</v>
      </c>
      <c r="E16713" t="s">
        <v>545</v>
      </c>
      <c r="F16713" s="1">
        <v>2</v>
      </c>
      <c r="G16713" s="1" t="s">
        <v>28</v>
      </c>
      <c r="H16713" s="4" t="str">
        <f>HYPERLINK("https://portal.gdc.cancer.gov/cases/e76258b7-e13a-4b05-855b-d792701ffba1","TCGA-F4-6805-01A")</f>
        <v>TCGA-F4-6805-01A</v>
      </c>
      <c r="I16713" t="s">
        <v>69</v>
      </c>
      <c r="J16713" t="s">
        <v>245</v>
      </c>
      <c r="K16713" t="s">
        <v>33</v>
      </c>
      <c r="L16713" t="s">
        <v>546</v>
      </c>
      <c r="N16713" t="s">
        <v>29</v>
      </c>
    </row>
    <row r="16714" spans="1:14">
      <c r="A16714" s="4" t="str">
        <f t="shared" si="1236"/>
        <v>EXP00421</v>
      </c>
      <c r="B16714" s="3" t="s">
        <v>66</v>
      </c>
      <c r="C16714" s="4" t="str">
        <f t="shared" si="1237"/>
        <v>TCGA-COAD</v>
      </c>
      <c r="D16714" s="1" t="s">
        <v>493</v>
      </c>
      <c r="E16714" t="s">
        <v>545</v>
      </c>
      <c r="F16714" s="1">
        <v>2</v>
      </c>
      <c r="G16714" s="1" t="s">
        <v>28</v>
      </c>
      <c r="H16714" s="4" t="str">
        <f>HYPERLINK("https://portal.gdc.cancer.gov/cases/bab21810-f51b-421e-a87f-1f1136cbc77a","TCGA-F4-6806-01A")</f>
        <v>TCGA-F4-6806-01A</v>
      </c>
      <c r="I16714" t="s">
        <v>69</v>
      </c>
      <c r="J16714" t="s">
        <v>245</v>
      </c>
      <c r="K16714" t="s">
        <v>33</v>
      </c>
      <c r="L16714" t="s">
        <v>546</v>
      </c>
      <c r="N16714" t="s">
        <v>29</v>
      </c>
    </row>
    <row r="16715" spans="1:14">
      <c r="A16715" s="4" t="str">
        <f t="shared" si="1236"/>
        <v>EXP00421</v>
      </c>
      <c r="B16715" s="3" t="s">
        <v>66</v>
      </c>
      <c r="C16715" s="4" t="str">
        <f t="shared" si="1237"/>
        <v>TCGA-COAD</v>
      </c>
      <c r="D16715" s="1" t="s">
        <v>493</v>
      </c>
      <c r="E16715" t="s">
        <v>545</v>
      </c>
      <c r="F16715" s="1">
        <v>2</v>
      </c>
      <c r="G16715" s="1" t="s">
        <v>28</v>
      </c>
      <c r="H16715" s="4" t="str">
        <f>HYPERLINK("https://portal.gdc.cancer.gov/cases/9382987c-b5b3-48fe-8194-4d83fe340cd0","TCGA-F4-6807-01A")</f>
        <v>TCGA-F4-6807-01A</v>
      </c>
      <c r="I16715" t="s">
        <v>69</v>
      </c>
      <c r="J16715" t="s">
        <v>245</v>
      </c>
      <c r="K16715" t="s">
        <v>33</v>
      </c>
      <c r="L16715" t="s">
        <v>546</v>
      </c>
      <c r="N16715" t="s">
        <v>29</v>
      </c>
    </row>
    <row r="16716" spans="1:14">
      <c r="A16716" s="4" t="str">
        <f t="shared" si="1236"/>
        <v>EXP00421</v>
      </c>
      <c r="B16716" s="3" t="s">
        <v>66</v>
      </c>
      <c r="C16716" s="4" t="str">
        <f t="shared" si="1237"/>
        <v>TCGA-COAD</v>
      </c>
      <c r="D16716" s="1" t="s">
        <v>493</v>
      </c>
      <c r="E16716" t="s">
        <v>545</v>
      </c>
      <c r="F16716" s="1">
        <v>2</v>
      </c>
      <c r="G16716" s="1" t="s">
        <v>28</v>
      </c>
      <c r="H16716" s="4" t="str">
        <f>HYPERLINK("https://portal.gdc.cancer.gov/cases/4a785dc7-f5f6-4607-a19d-e6354b2fb5a9","TCGA-F4-6808-01A")</f>
        <v>TCGA-F4-6808-01A</v>
      </c>
      <c r="I16716" t="s">
        <v>69</v>
      </c>
      <c r="J16716" t="s">
        <v>245</v>
      </c>
      <c r="K16716" t="s">
        <v>33</v>
      </c>
      <c r="L16716" t="s">
        <v>546</v>
      </c>
      <c r="N16716" t="s">
        <v>29</v>
      </c>
    </row>
    <row r="16717" spans="1:14">
      <c r="A16717" s="4" t="str">
        <f t="shared" si="1236"/>
        <v>EXP00421</v>
      </c>
      <c r="B16717" s="3" t="s">
        <v>66</v>
      </c>
      <c r="C16717" s="4" t="str">
        <f t="shared" si="1237"/>
        <v>TCGA-COAD</v>
      </c>
      <c r="D16717" s="1" t="s">
        <v>493</v>
      </c>
      <c r="E16717" t="s">
        <v>545</v>
      </c>
      <c r="F16717" s="1">
        <v>2</v>
      </c>
      <c r="G16717" s="1" t="s">
        <v>28</v>
      </c>
      <c r="H16717" s="4" t="str">
        <f>HYPERLINK("https://portal.gdc.cancer.gov/cases/e7af286b-3dec-4cf2-8fbd-fa64b3efdf7f","TCGA-F4-6809-01A")</f>
        <v>TCGA-F4-6809-01A</v>
      </c>
      <c r="I16717" t="s">
        <v>69</v>
      </c>
      <c r="J16717" t="s">
        <v>245</v>
      </c>
      <c r="K16717" t="s">
        <v>33</v>
      </c>
      <c r="L16717" t="s">
        <v>546</v>
      </c>
      <c r="N16717" t="s">
        <v>29</v>
      </c>
    </row>
    <row r="16718" spans="1:14">
      <c r="A16718" s="4" t="str">
        <f t="shared" si="1236"/>
        <v>EXP00421</v>
      </c>
      <c r="B16718" s="3" t="s">
        <v>66</v>
      </c>
      <c r="C16718" s="4" t="str">
        <f t="shared" si="1237"/>
        <v>TCGA-COAD</v>
      </c>
      <c r="D16718" s="1" t="s">
        <v>493</v>
      </c>
      <c r="E16718" t="s">
        <v>545</v>
      </c>
      <c r="F16718" s="1">
        <v>2</v>
      </c>
      <c r="G16718" s="1" t="s">
        <v>28</v>
      </c>
      <c r="H16718" s="4" t="str">
        <f>HYPERLINK("https://portal.gdc.cancer.gov/cases/01240896-3f3f-4bf9-9799-55c87bfacf36","TCGA-F4-6854-01A")</f>
        <v>TCGA-F4-6854-01A</v>
      </c>
      <c r="I16718" t="s">
        <v>69</v>
      </c>
      <c r="J16718" t="s">
        <v>245</v>
      </c>
      <c r="K16718" t="s">
        <v>33</v>
      </c>
      <c r="L16718" t="s">
        <v>546</v>
      </c>
      <c r="N16718" t="s">
        <v>29</v>
      </c>
    </row>
    <row r="16719" spans="1:14">
      <c r="A16719" s="4" t="str">
        <f t="shared" si="1236"/>
        <v>EXP00421</v>
      </c>
      <c r="B16719" s="3" t="s">
        <v>66</v>
      </c>
      <c r="C16719" s="4" t="str">
        <f t="shared" si="1237"/>
        <v>TCGA-COAD</v>
      </c>
      <c r="D16719" s="1" t="s">
        <v>493</v>
      </c>
      <c r="E16719" t="s">
        <v>545</v>
      </c>
      <c r="F16719" s="1">
        <v>2</v>
      </c>
      <c r="G16719" s="1" t="s">
        <v>28</v>
      </c>
      <c r="H16719" s="4" t="str">
        <f>HYPERLINK("https://portal.gdc.cancer.gov/cases/1c111912-c664-42f5-9802-065b1994a2f4","TCGA-F4-6855-01A")</f>
        <v>TCGA-F4-6855-01A</v>
      </c>
      <c r="I16719" t="s">
        <v>69</v>
      </c>
      <c r="J16719" t="s">
        <v>245</v>
      </c>
      <c r="K16719" t="s">
        <v>33</v>
      </c>
      <c r="L16719" t="s">
        <v>546</v>
      </c>
      <c r="N16719" t="s">
        <v>29</v>
      </c>
    </row>
    <row r="16720" spans="1:14">
      <c r="A16720" s="4" t="str">
        <f t="shared" si="1236"/>
        <v>EXP00421</v>
      </c>
      <c r="B16720" s="3" t="s">
        <v>66</v>
      </c>
      <c r="C16720" s="4" t="str">
        <f t="shared" si="1237"/>
        <v>TCGA-COAD</v>
      </c>
      <c r="D16720" s="1" t="s">
        <v>493</v>
      </c>
      <c r="E16720" t="s">
        <v>545</v>
      </c>
      <c r="F16720" s="1">
        <v>2</v>
      </c>
      <c r="G16720" s="1" t="s">
        <v>28</v>
      </c>
      <c r="H16720" s="4" t="str">
        <f>HYPERLINK("https://portal.gdc.cancer.gov/cases/64bd568d-0509-48fe-8d0a-aef2a85d5c57","TCGA-F4-6856-01A")</f>
        <v>TCGA-F4-6856-01A</v>
      </c>
      <c r="I16720" t="s">
        <v>69</v>
      </c>
      <c r="J16720" t="s">
        <v>245</v>
      </c>
      <c r="K16720" t="s">
        <v>33</v>
      </c>
      <c r="L16720" t="s">
        <v>546</v>
      </c>
      <c r="N16720" t="s">
        <v>29</v>
      </c>
    </row>
    <row r="16721" spans="1:14">
      <c r="A16721" s="4" t="str">
        <f t="shared" si="1236"/>
        <v>EXP00421</v>
      </c>
      <c r="B16721" s="3" t="s">
        <v>66</v>
      </c>
      <c r="C16721" s="4" t="str">
        <f t="shared" si="1237"/>
        <v>TCGA-COAD</v>
      </c>
      <c r="D16721" s="1" t="s">
        <v>493</v>
      </c>
      <c r="E16721" t="s">
        <v>545</v>
      </c>
      <c r="F16721" s="1">
        <v>2</v>
      </c>
      <c r="G16721" s="1" t="s">
        <v>28</v>
      </c>
      <c r="H16721" s="4" t="str">
        <f>HYPERLINK("https://portal.gdc.cancer.gov/cases/27d9c162-11bb-48fb-a41a-aa05fcb4c1c2","TCGA-G4-6293-01A")</f>
        <v>TCGA-G4-6293-01A</v>
      </c>
      <c r="I16721" t="s">
        <v>69</v>
      </c>
      <c r="J16721" t="s">
        <v>245</v>
      </c>
      <c r="K16721" t="s">
        <v>33</v>
      </c>
      <c r="L16721" t="s">
        <v>546</v>
      </c>
      <c r="N16721" t="s">
        <v>29</v>
      </c>
    </row>
    <row r="16722" spans="1:14">
      <c r="A16722" s="4" t="str">
        <f t="shared" si="1236"/>
        <v>EXP00421</v>
      </c>
      <c r="B16722" s="3" t="s">
        <v>66</v>
      </c>
      <c r="C16722" s="4" t="str">
        <f t="shared" si="1237"/>
        <v>TCGA-COAD</v>
      </c>
      <c r="D16722" s="1" t="s">
        <v>493</v>
      </c>
      <c r="E16722" t="s">
        <v>545</v>
      </c>
      <c r="F16722" s="1">
        <v>2</v>
      </c>
      <c r="G16722" s="1" t="s">
        <v>28</v>
      </c>
      <c r="H16722" s="4" t="str">
        <f>HYPERLINK("https://portal.gdc.cancer.gov/cases/41f8c9fd-ae52-4458-886b-faf37de77dd0","TCGA-G4-6294-01A")</f>
        <v>TCGA-G4-6294-01A</v>
      </c>
      <c r="I16722" t="s">
        <v>69</v>
      </c>
      <c r="J16722" t="s">
        <v>245</v>
      </c>
      <c r="K16722" t="s">
        <v>33</v>
      </c>
      <c r="L16722" t="s">
        <v>546</v>
      </c>
      <c r="N16722" t="s">
        <v>29</v>
      </c>
    </row>
    <row r="16723" spans="1:14">
      <c r="A16723" s="4" t="str">
        <f t="shared" si="1236"/>
        <v>EXP00421</v>
      </c>
      <c r="B16723" s="3" t="s">
        <v>66</v>
      </c>
      <c r="C16723" s="4" t="str">
        <f t="shared" si="1237"/>
        <v>TCGA-COAD</v>
      </c>
      <c r="D16723" s="1" t="s">
        <v>493</v>
      </c>
      <c r="E16723" t="s">
        <v>545</v>
      </c>
      <c r="F16723" s="1">
        <v>2</v>
      </c>
      <c r="G16723" s="1" t="s">
        <v>28</v>
      </c>
      <c r="H16723" s="4" t="str">
        <f>HYPERLINK("https://portal.gdc.cancer.gov/cases/e17959bd-045d-4540-b43a-c3863e8ff3c0","TCGA-G4-6295-01A")</f>
        <v>TCGA-G4-6295-01A</v>
      </c>
      <c r="I16723" t="s">
        <v>69</v>
      </c>
      <c r="J16723" t="s">
        <v>245</v>
      </c>
      <c r="K16723" t="s">
        <v>33</v>
      </c>
      <c r="L16723" t="s">
        <v>546</v>
      </c>
      <c r="N16723" t="s">
        <v>29</v>
      </c>
    </row>
    <row r="16724" spans="1:14">
      <c r="A16724" s="4" t="str">
        <f t="shared" si="1236"/>
        <v>EXP00421</v>
      </c>
      <c r="B16724" s="3" t="s">
        <v>66</v>
      </c>
      <c r="C16724" s="4" t="str">
        <f t="shared" si="1237"/>
        <v>TCGA-COAD</v>
      </c>
      <c r="D16724" s="1" t="s">
        <v>493</v>
      </c>
      <c r="E16724" t="s">
        <v>545</v>
      </c>
      <c r="F16724" s="1">
        <v>2</v>
      </c>
      <c r="G16724" s="1" t="s">
        <v>28</v>
      </c>
      <c r="H16724" s="4" t="str">
        <f>HYPERLINK("https://portal.gdc.cancer.gov/cases/622cc1c4-d721-4b5c-a88b-216d6368660b","TCGA-G4-6297-01A")</f>
        <v>TCGA-G4-6297-01A</v>
      </c>
      <c r="I16724" t="s">
        <v>69</v>
      </c>
      <c r="J16724" t="s">
        <v>245</v>
      </c>
      <c r="K16724" t="s">
        <v>33</v>
      </c>
      <c r="L16724" t="s">
        <v>546</v>
      </c>
      <c r="N16724" t="s">
        <v>29</v>
      </c>
    </row>
    <row r="16725" spans="1:14">
      <c r="A16725" s="4" t="str">
        <f t="shared" si="1236"/>
        <v>EXP00421</v>
      </c>
      <c r="B16725" s="3" t="s">
        <v>66</v>
      </c>
      <c r="C16725" s="4" t="str">
        <f t="shared" si="1237"/>
        <v>TCGA-COAD</v>
      </c>
      <c r="D16725" s="1" t="s">
        <v>493</v>
      </c>
      <c r="E16725" t="s">
        <v>545</v>
      </c>
      <c r="F16725" s="1">
        <v>2</v>
      </c>
      <c r="G16725" s="1" t="s">
        <v>28</v>
      </c>
      <c r="H16725" s="4" t="str">
        <f>HYPERLINK("https://portal.gdc.cancer.gov/cases/ab9cc98a-86ae-4913-bcb2-cc3aeff8abb1","TCGA-G4-6298-01A")</f>
        <v>TCGA-G4-6298-01A</v>
      </c>
      <c r="I16725" t="s">
        <v>69</v>
      </c>
      <c r="J16725" t="s">
        <v>245</v>
      </c>
      <c r="K16725" t="s">
        <v>33</v>
      </c>
      <c r="L16725" t="s">
        <v>546</v>
      </c>
      <c r="N16725" t="s">
        <v>29</v>
      </c>
    </row>
    <row r="16726" spans="1:14">
      <c r="A16726" s="4" t="str">
        <f t="shared" si="1236"/>
        <v>EXP00421</v>
      </c>
      <c r="B16726" s="3" t="s">
        <v>66</v>
      </c>
      <c r="C16726" s="4" t="str">
        <f t="shared" si="1237"/>
        <v>TCGA-COAD</v>
      </c>
      <c r="D16726" s="1" t="s">
        <v>493</v>
      </c>
      <c r="E16726" t="s">
        <v>545</v>
      </c>
      <c r="F16726" s="1">
        <v>2</v>
      </c>
      <c r="G16726" s="1" t="s">
        <v>28</v>
      </c>
      <c r="H16726" s="4" t="str">
        <f>HYPERLINK("https://portal.gdc.cancer.gov/cases/23252dca-e836-47a0-b294-758ad60aa259","TCGA-G4-6299-01A")</f>
        <v>TCGA-G4-6299-01A</v>
      </c>
      <c r="I16726" t="s">
        <v>69</v>
      </c>
      <c r="J16726" t="s">
        <v>245</v>
      </c>
      <c r="K16726" t="s">
        <v>33</v>
      </c>
      <c r="L16726" t="s">
        <v>546</v>
      </c>
      <c r="N16726" t="s">
        <v>29</v>
      </c>
    </row>
    <row r="16727" spans="1:14">
      <c r="A16727" s="4" t="str">
        <f t="shared" si="1236"/>
        <v>EXP00421</v>
      </c>
      <c r="B16727" s="3" t="s">
        <v>66</v>
      </c>
      <c r="C16727" s="4" t="str">
        <f t="shared" si="1237"/>
        <v>TCGA-COAD</v>
      </c>
      <c r="D16727" s="1" t="s">
        <v>493</v>
      </c>
      <c r="E16727" t="s">
        <v>545</v>
      </c>
      <c r="F16727" s="1">
        <v>2</v>
      </c>
      <c r="G16727" s="1" t="s">
        <v>28</v>
      </c>
      <c r="H16727" s="4" t="str">
        <f>HYPERLINK("https://portal.gdc.cancer.gov/cases/7144a65f-a63f-4b79-8fe2-cfe48696de03","TCGA-G4-6302-01A")</f>
        <v>TCGA-G4-6302-01A</v>
      </c>
      <c r="I16727" t="s">
        <v>69</v>
      </c>
      <c r="J16727" t="s">
        <v>245</v>
      </c>
      <c r="K16727" t="s">
        <v>33</v>
      </c>
      <c r="L16727" t="s">
        <v>546</v>
      </c>
      <c r="N16727" t="s">
        <v>29</v>
      </c>
    </row>
    <row r="16728" spans="1:14">
      <c r="A16728" s="4" t="str">
        <f t="shared" si="1236"/>
        <v>EXP00421</v>
      </c>
      <c r="B16728" s="3" t="s">
        <v>66</v>
      </c>
      <c r="C16728" s="4" t="str">
        <f t="shared" si="1237"/>
        <v>TCGA-COAD</v>
      </c>
      <c r="D16728" s="1" t="s">
        <v>493</v>
      </c>
      <c r="E16728" t="s">
        <v>545</v>
      </c>
      <c r="F16728" s="1">
        <v>2</v>
      </c>
      <c r="G16728" s="1" t="s">
        <v>28</v>
      </c>
      <c r="H16728" s="4" t="str">
        <f>HYPERLINK("https://portal.gdc.cancer.gov/cases/264c0d45-078a-4207-a101-71f99bcd237e","TCGA-G4-6303-01A")</f>
        <v>TCGA-G4-6303-01A</v>
      </c>
      <c r="I16728" t="s">
        <v>69</v>
      </c>
      <c r="J16728" t="s">
        <v>245</v>
      </c>
      <c r="K16728" t="s">
        <v>33</v>
      </c>
      <c r="L16728" t="s">
        <v>546</v>
      </c>
      <c r="N16728" t="s">
        <v>29</v>
      </c>
    </row>
    <row r="16729" spans="1:14">
      <c r="A16729" s="4" t="str">
        <f t="shared" si="1236"/>
        <v>EXP00421</v>
      </c>
      <c r="B16729" s="3" t="s">
        <v>66</v>
      </c>
      <c r="C16729" s="4" t="str">
        <f t="shared" si="1237"/>
        <v>TCGA-COAD</v>
      </c>
      <c r="D16729" s="1" t="s">
        <v>493</v>
      </c>
      <c r="E16729" t="s">
        <v>545</v>
      </c>
      <c r="F16729" s="1">
        <v>2</v>
      </c>
      <c r="G16729" s="1" t="s">
        <v>28</v>
      </c>
      <c r="H16729" s="4" t="str">
        <f>HYPERLINK("https://portal.gdc.cancer.gov/cases/567ddc8e-2b00-417d-a326-479cb02e08dd","TCGA-G4-6304-01A")</f>
        <v>TCGA-G4-6304-01A</v>
      </c>
      <c r="I16729" t="s">
        <v>69</v>
      </c>
      <c r="J16729" t="s">
        <v>245</v>
      </c>
      <c r="K16729" t="s">
        <v>33</v>
      </c>
      <c r="L16729" t="s">
        <v>546</v>
      </c>
      <c r="N16729" t="s">
        <v>29</v>
      </c>
    </row>
    <row r="16730" spans="1:14">
      <c r="A16730" s="4" t="str">
        <f t="shared" si="1236"/>
        <v>EXP00421</v>
      </c>
      <c r="B16730" s="3" t="s">
        <v>66</v>
      </c>
      <c r="C16730" s="4" t="str">
        <f t="shared" si="1237"/>
        <v>TCGA-COAD</v>
      </c>
      <c r="D16730" s="1" t="s">
        <v>493</v>
      </c>
      <c r="E16730" t="s">
        <v>545</v>
      </c>
      <c r="F16730" s="1">
        <v>2</v>
      </c>
      <c r="G16730" s="1" t="s">
        <v>28</v>
      </c>
      <c r="H16730" s="4" t="str">
        <f>HYPERLINK("https://portal.gdc.cancer.gov/cases/303286c2-bc58-4bbb-9171-74cdb1d7f62f","TCGA-G4-6306-01A")</f>
        <v>TCGA-G4-6306-01A</v>
      </c>
      <c r="I16730" t="s">
        <v>69</v>
      </c>
      <c r="J16730" t="s">
        <v>245</v>
      </c>
      <c r="K16730" t="s">
        <v>33</v>
      </c>
      <c r="L16730" t="s">
        <v>546</v>
      </c>
      <c r="N16730" t="s">
        <v>29</v>
      </c>
    </row>
    <row r="16731" spans="1:14">
      <c r="A16731" s="4" t="str">
        <f t="shared" si="1236"/>
        <v>EXP00421</v>
      </c>
      <c r="B16731" s="3" t="s">
        <v>66</v>
      </c>
      <c r="C16731" s="4" t="str">
        <f t="shared" si="1237"/>
        <v>TCGA-COAD</v>
      </c>
      <c r="D16731" s="1" t="s">
        <v>493</v>
      </c>
      <c r="E16731" t="s">
        <v>545</v>
      </c>
      <c r="F16731" s="1">
        <v>2</v>
      </c>
      <c r="G16731" s="1" t="s">
        <v>28</v>
      </c>
      <c r="H16731" s="4" t="str">
        <f>HYPERLINK("https://portal.gdc.cancer.gov/cases/568dbda7-88b5-4330-881f-dc5d6c7ce4ae","TCGA-G4-6307-01A")</f>
        <v>TCGA-G4-6307-01A</v>
      </c>
      <c r="I16731" t="s">
        <v>69</v>
      </c>
      <c r="J16731" t="s">
        <v>245</v>
      </c>
      <c r="K16731" t="s">
        <v>33</v>
      </c>
      <c r="L16731" t="s">
        <v>546</v>
      </c>
      <c r="N16731" t="s">
        <v>29</v>
      </c>
    </row>
    <row r="16732" spans="1:14">
      <c r="A16732" s="4" t="str">
        <f t="shared" si="1236"/>
        <v>EXP00421</v>
      </c>
      <c r="B16732" s="3" t="s">
        <v>66</v>
      </c>
      <c r="C16732" s="4" t="str">
        <f t="shared" si="1237"/>
        <v>TCGA-COAD</v>
      </c>
      <c r="D16732" s="1" t="s">
        <v>493</v>
      </c>
      <c r="E16732" t="s">
        <v>545</v>
      </c>
      <c r="F16732" s="1">
        <v>2</v>
      </c>
      <c r="G16732" s="1" t="s">
        <v>28</v>
      </c>
      <c r="H16732" s="4" t="str">
        <f>HYPERLINK("https://portal.gdc.cancer.gov/cases/e4be17c8-0855-432c-bb80-28bb24b62f32","TCGA-G4-6309-01A")</f>
        <v>TCGA-G4-6309-01A</v>
      </c>
      <c r="I16732" t="s">
        <v>69</v>
      </c>
      <c r="J16732" t="s">
        <v>245</v>
      </c>
      <c r="K16732" t="s">
        <v>33</v>
      </c>
      <c r="L16732" t="s">
        <v>546</v>
      </c>
      <c r="N16732" t="s">
        <v>29</v>
      </c>
    </row>
    <row r="16733" spans="1:14">
      <c r="A16733" s="4" t="str">
        <f t="shared" si="1236"/>
        <v>EXP00421</v>
      </c>
      <c r="B16733" s="3" t="s">
        <v>66</v>
      </c>
      <c r="C16733" s="4" t="str">
        <f t="shared" si="1237"/>
        <v>TCGA-COAD</v>
      </c>
      <c r="D16733" s="1" t="s">
        <v>493</v>
      </c>
      <c r="E16733" t="s">
        <v>545</v>
      </c>
      <c r="F16733" s="1">
        <v>2</v>
      </c>
      <c r="G16733" s="1" t="s">
        <v>28</v>
      </c>
      <c r="H16733" s="4" t="str">
        <f>HYPERLINK("https://portal.gdc.cancer.gov/cases/14c13b05-abfe-472e-83a9-b28f60e58ad8","TCGA-G4-6310-01A")</f>
        <v>TCGA-G4-6310-01A</v>
      </c>
      <c r="I16733" t="s">
        <v>69</v>
      </c>
      <c r="J16733" t="s">
        <v>245</v>
      </c>
      <c r="K16733" t="s">
        <v>33</v>
      </c>
      <c r="L16733" t="s">
        <v>546</v>
      </c>
      <c r="N16733" t="s">
        <v>29</v>
      </c>
    </row>
    <row r="16734" spans="1:14">
      <c r="A16734" s="4" t="str">
        <f t="shared" si="1236"/>
        <v>EXP00421</v>
      </c>
      <c r="B16734" s="3" t="s">
        <v>66</v>
      </c>
      <c r="C16734" s="4" t="str">
        <f t="shared" si="1237"/>
        <v>TCGA-COAD</v>
      </c>
      <c r="D16734" s="1" t="s">
        <v>493</v>
      </c>
      <c r="E16734" t="s">
        <v>545</v>
      </c>
      <c r="F16734" s="1">
        <v>2</v>
      </c>
      <c r="G16734" s="1" t="s">
        <v>28</v>
      </c>
      <c r="H16734" s="4" t="str">
        <f>HYPERLINK("https://portal.gdc.cancer.gov/cases/79d33c28-a7e2-4fca-8be1-a16fb6d68d49","TCGA-G4-6311-01A")</f>
        <v>TCGA-G4-6311-01A</v>
      </c>
      <c r="I16734" t="s">
        <v>69</v>
      </c>
      <c r="J16734" t="s">
        <v>245</v>
      </c>
      <c r="K16734" t="s">
        <v>33</v>
      </c>
      <c r="L16734" t="s">
        <v>546</v>
      </c>
      <c r="N16734" t="s">
        <v>29</v>
      </c>
    </row>
    <row r="16735" spans="1:14">
      <c r="A16735" s="4" t="str">
        <f t="shared" si="1236"/>
        <v>EXP00421</v>
      </c>
      <c r="B16735" s="3" t="s">
        <v>66</v>
      </c>
      <c r="C16735" s="4" t="str">
        <f t="shared" si="1237"/>
        <v>TCGA-COAD</v>
      </c>
      <c r="D16735" s="1" t="s">
        <v>493</v>
      </c>
      <c r="E16735" t="s">
        <v>545</v>
      </c>
      <c r="F16735" s="1">
        <v>2</v>
      </c>
      <c r="G16735" s="1" t="s">
        <v>28</v>
      </c>
      <c r="H16735" s="4" t="str">
        <f>HYPERLINK("https://portal.gdc.cancer.gov/cases/abe658e0-33f9-4f57-849b-dec4d20964d6","TCGA-G4-6314-01A")</f>
        <v>TCGA-G4-6314-01A</v>
      </c>
      <c r="I16735" t="s">
        <v>69</v>
      </c>
      <c r="J16735" t="s">
        <v>245</v>
      </c>
      <c r="K16735" t="s">
        <v>33</v>
      </c>
      <c r="L16735" t="s">
        <v>546</v>
      </c>
      <c r="N16735" t="s">
        <v>29</v>
      </c>
    </row>
    <row r="16736" spans="1:14">
      <c r="A16736" s="4" t="str">
        <f t="shared" si="1236"/>
        <v>EXP00421</v>
      </c>
      <c r="B16736" s="3" t="s">
        <v>66</v>
      </c>
      <c r="C16736" s="4" t="str">
        <f t="shared" si="1237"/>
        <v>TCGA-COAD</v>
      </c>
      <c r="D16736" s="1" t="s">
        <v>493</v>
      </c>
      <c r="E16736" t="s">
        <v>545</v>
      </c>
      <c r="F16736" s="1">
        <v>2</v>
      </c>
      <c r="G16736" s="1" t="s">
        <v>28</v>
      </c>
      <c r="H16736" s="4" t="str">
        <f>HYPERLINK("https://portal.gdc.cancer.gov/cases/ca5b878f-8bff-410a-8e6e-b1c133018c8d","TCGA-G4-6315-01A")</f>
        <v>TCGA-G4-6315-01A</v>
      </c>
      <c r="I16736" t="s">
        <v>69</v>
      </c>
      <c r="J16736" t="s">
        <v>245</v>
      </c>
      <c r="K16736" t="s">
        <v>33</v>
      </c>
      <c r="L16736" t="s">
        <v>546</v>
      </c>
      <c r="N16736" t="s">
        <v>29</v>
      </c>
    </row>
    <row r="16737" spans="1:14">
      <c r="A16737" s="4" t="str">
        <f t="shared" si="1236"/>
        <v>EXP00421</v>
      </c>
      <c r="B16737" s="3" t="s">
        <v>66</v>
      </c>
      <c r="C16737" s="4" t="str">
        <f t="shared" si="1237"/>
        <v>TCGA-COAD</v>
      </c>
      <c r="D16737" s="1" t="s">
        <v>493</v>
      </c>
      <c r="E16737" t="s">
        <v>545</v>
      </c>
      <c r="F16737" s="1">
        <v>2</v>
      </c>
      <c r="G16737" s="1" t="s">
        <v>28</v>
      </c>
      <c r="H16737" s="4" t="str">
        <f>HYPERLINK("https://portal.gdc.cancer.gov/cases/cee553c8-460d-436b-b55d-8f41624816cc","TCGA-G4-6317-01A")</f>
        <v>TCGA-G4-6317-01A</v>
      </c>
      <c r="I16737" t="s">
        <v>69</v>
      </c>
      <c r="J16737" t="s">
        <v>245</v>
      </c>
      <c r="K16737" t="s">
        <v>33</v>
      </c>
      <c r="L16737" t="s">
        <v>546</v>
      </c>
      <c r="N16737" t="s">
        <v>29</v>
      </c>
    </row>
    <row r="16738" spans="1:14">
      <c r="A16738" s="4" t="str">
        <f t="shared" si="1236"/>
        <v>EXP00421</v>
      </c>
      <c r="B16738" s="3" t="s">
        <v>66</v>
      </c>
      <c r="C16738" s="4" t="str">
        <f t="shared" si="1237"/>
        <v>TCGA-COAD</v>
      </c>
      <c r="D16738" s="1" t="s">
        <v>493</v>
      </c>
      <c r="E16738" t="s">
        <v>545</v>
      </c>
      <c r="F16738" s="1">
        <v>2</v>
      </c>
      <c r="G16738" s="1" t="s">
        <v>28</v>
      </c>
      <c r="H16738" s="4" t="str">
        <f>HYPERLINK("https://portal.gdc.cancer.gov/cases/da21e143-dbf6-4ac7-8872-f1d9ae39512d","TCGA-G4-6320-01A")</f>
        <v>TCGA-G4-6320-01A</v>
      </c>
      <c r="I16738" t="s">
        <v>69</v>
      </c>
      <c r="J16738" t="s">
        <v>245</v>
      </c>
      <c r="K16738" t="s">
        <v>33</v>
      </c>
      <c r="L16738" t="s">
        <v>546</v>
      </c>
      <c r="N16738" t="s">
        <v>29</v>
      </c>
    </row>
    <row r="16739" spans="1:14">
      <c r="A16739" s="4" t="str">
        <f t="shared" si="1236"/>
        <v>EXP00421</v>
      </c>
      <c r="B16739" s="3" t="s">
        <v>66</v>
      </c>
      <c r="C16739" s="4" t="str">
        <f t="shared" si="1237"/>
        <v>TCGA-COAD</v>
      </c>
      <c r="D16739" s="1" t="s">
        <v>493</v>
      </c>
      <c r="E16739" t="s">
        <v>545</v>
      </c>
      <c r="F16739" s="1">
        <v>2</v>
      </c>
      <c r="G16739" s="1" t="s">
        <v>28</v>
      </c>
      <c r="H16739" s="4" t="str">
        <f>HYPERLINK("https://portal.gdc.cancer.gov/cases/e7dbfca1-9657-4952-8e0d-dec6373dda5b","TCGA-G4-6321-01A")</f>
        <v>TCGA-G4-6321-01A</v>
      </c>
      <c r="I16739" t="s">
        <v>69</v>
      </c>
      <c r="J16739" t="s">
        <v>245</v>
      </c>
      <c r="K16739" t="s">
        <v>33</v>
      </c>
      <c r="L16739" t="s">
        <v>546</v>
      </c>
      <c r="N16739" t="s">
        <v>29</v>
      </c>
    </row>
    <row r="16740" spans="1:14">
      <c r="A16740" s="4" t="str">
        <f t="shared" si="1236"/>
        <v>EXP00421</v>
      </c>
      <c r="B16740" s="3" t="s">
        <v>66</v>
      </c>
      <c r="C16740" s="4" t="str">
        <f t="shared" si="1237"/>
        <v>TCGA-COAD</v>
      </c>
      <c r="D16740" s="1" t="s">
        <v>493</v>
      </c>
      <c r="E16740" t="s">
        <v>545</v>
      </c>
      <c r="F16740" s="1">
        <v>2</v>
      </c>
      <c r="G16740" s="1" t="s">
        <v>28</v>
      </c>
      <c r="H16740" s="4" t="str">
        <f>HYPERLINK("https://portal.gdc.cancer.gov/cases/b3fea9bb-53f9-4ddb-922d-b570562d7a7d","TCGA-G4-6322-01A")</f>
        <v>TCGA-G4-6322-01A</v>
      </c>
      <c r="I16740" t="s">
        <v>69</v>
      </c>
      <c r="J16740" t="s">
        <v>245</v>
      </c>
      <c r="K16740" t="s">
        <v>33</v>
      </c>
      <c r="L16740" t="s">
        <v>546</v>
      </c>
      <c r="N16740" t="s">
        <v>29</v>
      </c>
    </row>
    <row r="16741" spans="1:14">
      <c r="A16741" s="4" t="str">
        <f t="shared" si="1236"/>
        <v>EXP00421</v>
      </c>
      <c r="B16741" s="3" t="s">
        <v>66</v>
      </c>
      <c r="C16741" s="4" t="str">
        <f t="shared" si="1237"/>
        <v>TCGA-COAD</v>
      </c>
      <c r="D16741" s="1" t="s">
        <v>493</v>
      </c>
      <c r="E16741" t="s">
        <v>545</v>
      </c>
      <c r="F16741" s="1">
        <v>2</v>
      </c>
      <c r="G16741" s="1" t="s">
        <v>28</v>
      </c>
      <c r="H16741" s="4" t="str">
        <f>HYPERLINK("https://portal.gdc.cancer.gov/cases/0c463362-7925-4d9a-9d63-098b50af2fb9","TCGA-G4-6323-01A")</f>
        <v>TCGA-G4-6323-01A</v>
      </c>
      <c r="I16741" t="s">
        <v>69</v>
      </c>
      <c r="J16741" t="s">
        <v>245</v>
      </c>
      <c r="K16741" t="s">
        <v>33</v>
      </c>
      <c r="L16741" t="s">
        <v>546</v>
      </c>
      <c r="N16741" t="s">
        <v>29</v>
      </c>
    </row>
    <row r="16742" spans="1:14">
      <c r="A16742" s="4" t="str">
        <f t="shared" si="1236"/>
        <v>EXP00421</v>
      </c>
      <c r="B16742" s="3" t="s">
        <v>66</v>
      </c>
      <c r="C16742" s="4" t="str">
        <f t="shared" si="1237"/>
        <v>TCGA-COAD</v>
      </c>
      <c r="D16742" s="1" t="s">
        <v>493</v>
      </c>
      <c r="E16742" t="s">
        <v>545</v>
      </c>
      <c r="F16742" s="1">
        <v>2</v>
      </c>
      <c r="G16742" s="1" t="s">
        <v>28</v>
      </c>
      <c r="H16742" s="4" t="str">
        <f>HYPERLINK("https://portal.gdc.cancer.gov/cases/7570761b-c333-40df-ac8c-9b7f94c58ef9","TCGA-G4-6586-01A")</f>
        <v>TCGA-G4-6586-01A</v>
      </c>
      <c r="I16742" t="s">
        <v>69</v>
      </c>
      <c r="J16742" t="s">
        <v>245</v>
      </c>
      <c r="K16742" t="s">
        <v>33</v>
      </c>
      <c r="L16742" t="s">
        <v>546</v>
      </c>
      <c r="N16742" t="s">
        <v>29</v>
      </c>
    </row>
    <row r="16743" spans="1:14">
      <c r="A16743" s="4" t="str">
        <f t="shared" si="1236"/>
        <v>EXP00421</v>
      </c>
      <c r="B16743" s="3" t="s">
        <v>66</v>
      </c>
      <c r="C16743" s="4" t="str">
        <f t="shared" si="1237"/>
        <v>TCGA-COAD</v>
      </c>
      <c r="D16743" s="1" t="s">
        <v>493</v>
      </c>
      <c r="E16743" t="s">
        <v>545</v>
      </c>
      <c r="F16743" s="1">
        <v>2</v>
      </c>
      <c r="G16743" s="1" t="s">
        <v>28</v>
      </c>
      <c r="H16743" s="4" t="str">
        <f>HYPERLINK("https://portal.gdc.cancer.gov/cases/93690a96-421c-4c59-85ba-fa6dd538c721","TCGA-G4-6588-01A")</f>
        <v>TCGA-G4-6588-01A</v>
      </c>
      <c r="I16743" t="s">
        <v>69</v>
      </c>
      <c r="J16743" t="s">
        <v>245</v>
      </c>
      <c r="K16743" t="s">
        <v>33</v>
      </c>
      <c r="L16743" t="s">
        <v>546</v>
      </c>
      <c r="N16743" t="s">
        <v>29</v>
      </c>
    </row>
    <row r="16744" spans="1:14">
      <c r="A16744" s="4" t="str">
        <f t="shared" si="1236"/>
        <v>EXP00421</v>
      </c>
      <c r="B16744" s="3" t="s">
        <v>66</v>
      </c>
      <c r="C16744" s="4" t="str">
        <f t="shared" si="1237"/>
        <v>TCGA-COAD</v>
      </c>
      <c r="D16744" s="1" t="s">
        <v>493</v>
      </c>
      <c r="E16744" t="s">
        <v>545</v>
      </c>
      <c r="F16744" s="1">
        <v>2</v>
      </c>
      <c r="G16744" s="1" t="s">
        <v>28</v>
      </c>
      <c r="H16744" s="4" t="str">
        <f>HYPERLINK("https://portal.gdc.cancer.gov/cases/5eed7e8a-c219-4497-a99f-bfc48faca4d8","TCGA-G4-6625-01A")</f>
        <v>TCGA-G4-6625-01A</v>
      </c>
      <c r="I16744" t="s">
        <v>69</v>
      </c>
      <c r="J16744" t="s">
        <v>245</v>
      </c>
      <c r="K16744" t="s">
        <v>33</v>
      </c>
      <c r="L16744" t="s">
        <v>546</v>
      </c>
      <c r="N16744" t="s">
        <v>29</v>
      </c>
    </row>
    <row r="16745" spans="1:14">
      <c r="A16745" s="4" t="str">
        <f t="shared" si="1236"/>
        <v>EXP00421</v>
      </c>
      <c r="B16745" s="3" t="s">
        <v>66</v>
      </c>
      <c r="C16745" s="4" t="str">
        <f t="shared" si="1237"/>
        <v>TCGA-COAD</v>
      </c>
      <c r="D16745" s="1" t="s">
        <v>493</v>
      </c>
      <c r="E16745" t="s">
        <v>545</v>
      </c>
      <c r="F16745" s="1">
        <v>2</v>
      </c>
      <c r="G16745" s="1" t="s">
        <v>28</v>
      </c>
      <c r="H16745" s="4" t="str">
        <f>HYPERLINK("https://portal.gdc.cancer.gov/cases/3aae5316-6a5d-4b83-9020-ad691d4edf99","TCGA-G4-6626-01A")</f>
        <v>TCGA-G4-6626-01A</v>
      </c>
      <c r="I16745" t="s">
        <v>69</v>
      </c>
      <c r="J16745" t="s">
        <v>245</v>
      </c>
      <c r="K16745" t="s">
        <v>33</v>
      </c>
      <c r="L16745" t="s">
        <v>546</v>
      </c>
      <c r="N16745" t="s">
        <v>29</v>
      </c>
    </row>
    <row r="16746" spans="1:14">
      <c r="A16746" s="4" t="str">
        <f t="shared" si="1236"/>
        <v>EXP00421</v>
      </c>
      <c r="B16746" s="3" t="s">
        <v>66</v>
      </c>
      <c r="C16746" s="4" t="str">
        <f t="shared" si="1237"/>
        <v>TCGA-COAD</v>
      </c>
      <c r="D16746" s="1" t="s">
        <v>493</v>
      </c>
      <c r="E16746" t="s">
        <v>545</v>
      </c>
      <c r="F16746" s="1">
        <v>2</v>
      </c>
      <c r="G16746" s="1" t="s">
        <v>28</v>
      </c>
      <c r="H16746" s="4" t="str">
        <f>HYPERLINK("https://portal.gdc.cancer.gov/cases/19089ae0-b590-4649-9d94-a147fa506e32","TCGA-G4-6627-01A")</f>
        <v>TCGA-G4-6627-01A</v>
      </c>
      <c r="I16746" t="s">
        <v>69</v>
      </c>
      <c r="J16746" t="s">
        <v>245</v>
      </c>
      <c r="K16746" t="s">
        <v>33</v>
      </c>
      <c r="L16746" t="s">
        <v>546</v>
      </c>
      <c r="N16746" t="s">
        <v>29</v>
      </c>
    </row>
    <row r="16747" spans="1:14">
      <c r="A16747" s="4" t="str">
        <f t="shared" si="1236"/>
        <v>EXP00421</v>
      </c>
      <c r="B16747" s="3" t="s">
        <v>66</v>
      </c>
      <c r="C16747" s="4" t="str">
        <f t="shared" si="1237"/>
        <v>TCGA-COAD</v>
      </c>
      <c r="D16747" s="1" t="s">
        <v>493</v>
      </c>
      <c r="E16747" t="s">
        <v>545</v>
      </c>
      <c r="F16747" s="1">
        <v>2</v>
      </c>
      <c r="G16747" s="1" t="s">
        <v>28</v>
      </c>
      <c r="H16747" s="4" t="str">
        <f>HYPERLINK("https://portal.gdc.cancer.gov/cases/2c0a725a-e829-4d84-89d9-d0d47f6cfa37","TCGA-G4-6628-01A")</f>
        <v>TCGA-G4-6628-01A</v>
      </c>
      <c r="I16747" t="s">
        <v>69</v>
      </c>
      <c r="J16747" t="s">
        <v>245</v>
      </c>
      <c r="K16747" t="s">
        <v>33</v>
      </c>
      <c r="L16747" t="s">
        <v>546</v>
      </c>
      <c r="N16747" t="s">
        <v>29</v>
      </c>
    </row>
    <row r="16748" spans="1:14">
      <c r="A16748" s="4" t="str">
        <f t="shared" si="1236"/>
        <v>EXP00421</v>
      </c>
      <c r="B16748" s="3" t="s">
        <v>66</v>
      </c>
      <c r="C16748" s="4" t="str">
        <f t="shared" si="1237"/>
        <v>TCGA-COAD</v>
      </c>
      <c r="D16748" s="1" t="s">
        <v>493</v>
      </c>
      <c r="E16748" t="s">
        <v>545</v>
      </c>
      <c r="F16748" s="1">
        <v>2</v>
      </c>
      <c r="G16748" s="1" t="s">
        <v>28</v>
      </c>
      <c r="H16748" s="4" t="str">
        <f>HYPERLINK("https://portal.gdc.cancer.gov/cases/490eabca-4575-4bd6-9604-6b6e23d069ce","TCGA-NH-A50T-01A")</f>
        <v>TCGA-NH-A50T-01A</v>
      </c>
      <c r="I16748" t="s">
        <v>69</v>
      </c>
      <c r="J16748" t="s">
        <v>245</v>
      </c>
      <c r="K16748" t="s">
        <v>33</v>
      </c>
      <c r="L16748" t="s">
        <v>546</v>
      </c>
      <c r="N16748" t="s">
        <v>29</v>
      </c>
    </row>
    <row r="16749" spans="1:14">
      <c r="A16749" s="4" t="str">
        <f t="shared" si="1236"/>
        <v>EXP00421</v>
      </c>
      <c r="B16749" s="3" t="s">
        <v>66</v>
      </c>
      <c r="C16749" s="4" t="str">
        <f t="shared" si="1237"/>
        <v>TCGA-COAD</v>
      </c>
      <c r="D16749" s="1" t="s">
        <v>493</v>
      </c>
      <c r="E16749" t="s">
        <v>545</v>
      </c>
      <c r="F16749" s="1">
        <v>2</v>
      </c>
      <c r="G16749" s="1" t="s">
        <v>28</v>
      </c>
      <c r="H16749" s="4" t="str">
        <f>HYPERLINK("https://portal.gdc.cancer.gov/cases/9d68516e-7e5c-403e-8aca-ea1abe0d6014","TCGA-NH-A50U-01A")</f>
        <v>TCGA-NH-A50U-01A</v>
      </c>
      <c r="I16749" t="s">
        <v>69</v>
      </c>
      <c r="J16749" t="s">
        <v>245</v>
      </c>
      <c r="K16749" t="s">
        <v>33</v>
      </c>
      <c r="L16749" t="s">
        <v>546</v>
      </c>
      <c r="N16749" t="s">
        <v>29</v>
      </c>
    </row>
    <row r="16750" spans="1:14">
      <c r="A16750" s="4" t="str">
        <f t="shared" si="1236"/>
        <v>EXP00421</v>
      </c>
      <c r="B16750" s="3" t="s">
        <v>66</v>
      </c>
      <c r="C16750" s="4" t="str">
        <f t="shared" si="1237"/>
        <v>TCGA-COAD</v>
      </c>
      <c r="D16750" s="1" t="s">
        <v>493</v>
      </c>
      <c r="E16750" t="s">
        <v>545</v>
      </c>
      <c r="F16750" s="1">
        <v>2</v>
      </c>
      <c r="G16750" s="1" t="s">
        <v>28</v>
      </c>
      <c r="H16750" s="4" t="str">
        <f>HYPERLINK("https://portal.gdc.cancer.gov/cases/d3b7ada6-5395-4212-a921-8e97c92b605d","TCGA-NH-A50V-01A")</f>
        <v>TCGA-NH-A50V-01A</v>
      </c>
      <c r="I16750" t="s">
        <v>69</v>
      </c>
      <c r="J16750" t="s">
        <v>245</v>
      </c>
      <c r="K16750" t="s">
        <v>33</v>
      </c>
      <c r="L16750" t="s">
        <v>546</v>
      </c>
      <c r="N16750" t="s">
        <v>29</v>
      </c>
    </row>
    <row r="16751" spans="1:14">
      <c r="A16751" s="4" t="str">
        <f t="shared" si="1236"/>
        <v>EXP00421</v>
      </c>
      <c r="B16751" s="3" t="s">
        <v>66</v>
      </c>
      <c r="C16751" s="4" t="str">
        <f t="shared" si="1237"/>
        <v>TCGA-COAD</v>
      </c>
      <c r="D16751" s="1" t="s">
        <v>493</v>
      </c>
      <c r="E16751" t="s">
        <v>545</v>
      </c>
      <c r="F16751" s="1">
        <v>2</v>
      </c>
      <c r="G16751" s="1" t="s">
        <v>28</v>
      </c>
      <c r="H16751" s="4" t="str">
        <f>HYPERLINK("https://portal.gdc.cancer.gov/cases/cc22913d-2dda-48bb-82aa-9960b73f3e44","TCGA-NH-A5IV-01A")</f>
        <v>TCGA-NH-A5IV-01A</v>
      </c>
      <c r="I16751" t="s">
        <v>69</v>
      </c>
      <c r="J16751" t="s">
        <v>245</v>
      </c>
      <c r="K16751" t="s">
        <v>33</v>
      </c>
      <c r="L16751" t="s">
        <v>546</v>
      </c>
      <c r="N16751" t="s">
        <v>29</v>
      </c>
    </row>
    <row r="16752" spans="1:14">
      <c r="A16752" s="4" t="str">
        <f t="shared" si="1236"/>
        <v>EXP00421</v>
      </c>
      <c r="B16752" s="3" t="s">
        <v>66</v>
      </c>
      <c r="C16752" s="4" t="str">
        <f t="shared" si="1237"/>
        <v>TCGA-COAD</v>
      </c>
      <c r="D16752" s="1" t="s">
        <v>493</v>
      </c>
      <c r="E16752" t="s">
        <v>545</v>
      </c>
      <c r="F16752" s="1">
        <v>2</v>
      </c>
      <c r="G16752" s="1" t="s">
        <v>28</v>
      </c>
      <c r="H16752" s="4" t="str">
        <f>HYPERLINK("https://portal.gdc.cancer.gov/cases/51dcbfac-6f04-4364-877d-0bf1bd566335","TCGA-NH-A6GA-01A")</f>
        <v>TCGA-NH-A6GA-01A</v>
      </c>
      <c r="I16752" t="s">
        <v>69</v>
      </c>
      <c r="J16752" t="s">
        <v>245</v>
      </c>
      <c r="K16752" t="s">
        <v>33</v>
      </c>
      <c r="L16752" t="s">
        <v>546</v>
      </c>
      <c r="N16752" t="s">
        <v>29</v>
      </c>
    </row>
    <row r="16753" spans="1:14">
      <c r="A16753" s="4" t="str">
        <f t="shared" si="1236"/>
        <v>EXP00421</v>
      </c>
      <c r="B16753" s="3" t="s">
        <v>66</v>
      </c>
      <c r="C16753" s="4" t="str">
        <f t="shared" si="1237"/>
        <v>TCGA-COAD</v>
      </c>
      <c r="D16753" s="1" t="s">
        <v>493</v>
      </c>
      <c r="E16753" t="s">
        <v>545</v>
      </c>
      <c r="F16753" s="1">
        <v>2</v>
      </c>
      <c r="G16753" s="1" t="s">
        <v>28</v>
      </c>
      <c r="H16753" s="4" t="str">
        <f>HYPERLINK("https://portal.gdc.cancer.gov/cases/e3b0ee77-c419-4b2b-833f-90a221415489","TCGA-NH-A6GB-01A")</f>
        <v>TCGA-NH-A6GB-01A</v>
      </c>
      <c r="I16753" t="s">
        <v>69</v>
      </c>
      <c r="J16753" t="s">
        <v>245</v>
      </c>
      <c r="K16753" t="s">
        <v>33</v>
      </c>
      <c r="L16753" t="s">
        <v>546</v>
      </c>
      <c r="N16753" t="s">
        <v>29</v>
      </c>
    </row>
    <row r="16754" spans="1:14">
      <c r="A16754" s="4" t="str">
        <f t="shared" si="1236"/>
        <v>EXP00421</v>
      </c>
      <c r="B16754" s="3" t="s">
        <v>66</v>
      </c>
      <c r="C16754" s="4" t="str">
        <f t="shared" si="1237"/>
        <v>TCGA-COAD</v>
      </c>
      <c r="D16754" s="1" t="s">
        <v>493</v>
      </c>
      <c r="E16754" t="s">
        <v>545</v>
      </c>
      <c r="F16754" s="1">
        <v>2</v>
      </c>
      <c r="G16754" s="1" t="s">
        <v>28</v>
      </c>
      <c r="H16754" s="4" t="str">
        <f>HYPERLINK("https://portal.gdc.cancer.gov/cases/0687bea4-911a-4ef2-9fa2-531ef6ba7910","TCGA-NH-A6GC-01A")</f>
        <v>TCGA-NH-A6GC-01A</v>
      </c>
      <c r="I16754" t="s">
        <v>69</v>
      </c>
      <c r="J16754" t="s">
        <v>245</v>
      </c>
      <c r="K16754" t="s">
        <v>33</v>
      </c>
      <c r="L16754" t="s">
        <v>546</v>
      </c>
      <c r="N16754" t="s">
        <v>29</v>
      </c>
    </row>
    <row r="16755" spans="1:14">
      <c r="A16755" s="4" t="str">
        <f t="shared" si="1236"/>
        <v>EXP00421</v>
      </c>
      <c r="B16755" s="3" t="s">
        <v>66</v>
      </c>
      <c r="C16755" s="4" t="str">
        <f t="shared" si="1237"/>
        <v>TCGA-COAD</v>
      </c>
      <c r="D16755" s="1" t="s">
        <v>493</v>
      </c>
      <c r="E16755" t="s">
        <v>545</v>
      </c>
      <c r="F16755" s="1">
        <v>2</v>
      </c>
      <c r="G16755" s="1" t="s">
        <v>28</v>
      </c>
      <c r="H16755" s="4" t="str">
        <f>HYPERLINK("https://portal.gdc.cancer.gov/cases/1e0789d6-7efb-4807-8d36-cd9224675a0c","TCGA-NH-A8F8-01A")</f>
        <v>TCGA-NH-A8F8-01A</v>
      </c>
      <c r="I16755" t="s">
        <v>69</v>
      </c>
      <c r="J16755" t="s">
        <v>245</v>
      </c>
      <c r="K16755" t="s">
        <v>33</v>
      </c>
      <c r="L16755" t="s">
        <v>546</v>
      </c>
      <c r="N16755" t="s">
        <v>29</v>
      </c>
    </row>
    <row r="16756" spans="1:14">
      <c r="A16756" s="4" t="str">
        <f t="shared" si="1236"/>
        <v>EXP00421</v>
      </c>
      <c r="B16756" s="3" t="s">
        <v>66</v>
      </c>
      <c r="C16756" s="4" t="str">
        <f t="shared" si="1237"/>
        <v>TCGA-COAD</v>
      </c>
      <c r="D16756" s="1" t="s">
        <v>493</v>
      </c>
      <c r="E16756" t="s">
        <v>545</v>
      </c>
      <c r="F16756" s="1">
        <v>2</v>
      </c>
      <c r="G16756" s="1" t="s">
        <v>28</v>
      </c>
      <c r="H16756" s="4" t="str">
        <f>HYPERLINK("https://portal.gdc.cancer.gov/cases/c83d38fc-e011-4f75-a100-96513611f3e9","TCGA-QG-A5YV-01A")</f>
        <v>TCGA-QG-A5YV-01A</v>
      </c>
      <c r="I16756" t="s">
        <v>69</v>
      </c>
      <c r="J16756" t="s">
        <v>245</v>
      </c>
      <c r="K16756" t="s">
        <v>33</v>
      </c>
      <c r="L16756" t="s">
        <v>546</v>
      </c>
      <c r="N16756" t="s">
        <v>29</v>
      </c>
    </row>
    <row r="16757" spans="1:14">
      <c r="A16757" s="4" t="str">
        <f t="shared" si="1236"/>
        <v>EXP00421</v>
      </c>
      <c r="B16757" s="3" t="s">
        <v>66</v>
      </c>
      <c r="C16757" s="4" t="str">
        <f t="shared" si="1237"/>
        <v>TCGA-COAD</v>
      </c>
      <c r="D16757" s="1" t="s">
        <v>493</v>
      </c>
      <c r="E16757" t="s">
        <v>545</v>
      </c>
      <c r="F16757" s="1">
        <v>2</v>
      </c>
      <c r="G16757" s="1" t="s">
        <v>28</v>
      </c>
      <c r="H16757" s="4" t="str">
        <f>HYPERLINK("https://portal.gdc.cancer.gov/cases/9f45a227-1fd5-478c-a194-4a5c61b68cc3","TCGA-QG-A5YW-01A")</f>
        <v>TCGA-QG-A5YW-01A</v>
      </c>
      <c r="I16757" t="s">
        <v>69</v>
      </c>
      <c r="J16757" t="s">
        <v>245</v>
      </c>
      <c r="K16757" t="s">
        <v>33</v>
      </c>
      <c r="L16757" t="s">
        <v>546</v>
      </c>
      <c r="N16757" t="s">
        <v>29</v>
      </c>
    </row>
    <row r="16758" spans="1:14">
      <c r="A16758" s="4" t="str">
        <f t="shared" si="1236"/>
        <v>EXP00421</v>
      </c>
      <c r="B16758" s="3" t="s">
        <v>66</v>
      </c>
      <c r="C16758" s="4" t="str">
        <f t="shared" si="1237"/>
        <v>TCGA-COAD</v>
      </c>
      <c r="D16758" s="1" t="s">
        <v>493</v>
      </c>
      <c r="E16758" t="s">
        <v>545</v>
      </c>
      <c r="F16758" s="1">
        <v>2</v>
      </c>
      <c r="G16758" s="1" t="s">
        <v>28</v>
      </c>
      <c r="H16758" s="4" t="str">
        <f>HYPERLINK("https://portal.gdc.cancer.gov/cases/300fff5a-0f61-402d-b845-3938ba7b1294","TCGA-QG-A5YX-01A")</f>
        <v>TCGA-QG-A5YX-01A</v>
      </c>
      <c r="I16758" t="s">
        <v>69</v>
      </c>
      <c r="J16758" t="s">
        <v>245</v>
      </c>
      <c r="K16758" t="s">
        <v>33</v>
      </c>
      <c r="L16758" t="s">
        <v>546</v>
      </c>
      <c r="N16758" t="s">
        <v>29</v>
      </c>
    </row>
    <row r="16759" spans="1:14">
      <c r="A16759" s="4" t="str">
        <f t="shared" si="1236"/>
        <v>EXP00421</v>
      </c>
      <c r="B16759" s="3" t="s">
        <v>66</v>
      </c>
      <c r="C16759" s="4" t="str">
        <f t="shared" si="1237"/>
        <v>TCGA-COAD</v>
      </c>
      <c r="D16759" s="1" t="s">
        <v>493</v>
      </c>
      <c r="E16759" t="s">
        <v>545</v>
      </c>
      <c r="F16759" s="1">
        <v>2</v>
      </c>
      <c r="G16759" s="1" t="s">
        <v>28</v>
      </c>
      <c r="H16759" s="4" t="str">
        <f>HYPERLINK("https://portal.gdc.cancer.gov/cases/9c45eaec-d854-4f51-80a3-2d80d6b4aebc","TCGA-QG-A5Z1-01A")</f>
        <v>TCGA-QG-A5Z1-01A</v>
      </c>
      <c r="I16759" t="s">
        <v>69</v>
      </c>
      <c r="J16759" t="s">
        <v>245</v>
      </c>
      <c r="K16759" t="s">
        <v>33</v>
      </c>
      <c r="L16759" t="s">
        <v>546</v>
      </c>
      <c r="N16759" t="s">
        <v>29</v>
      </c>
    </row>
    <row r="16760" spans="1:14">
      <c r="A16760" s="4" t="str">
        <f t="shared" si="1236"/>
        <v>EXP00421</v>
      </c>
      <c r="B16760" s="3" t="s">
        <v>66</v>
      </c>
      <c r="C16760" s="4" t="str">
        <f t="shared" si="1237"/>
        <v>TCGA-COAD</v>
      </c>
      <c r="D16760" s="1" t="s">
        <v>493</v>
      </c>
      <c r="E16760" t="s">
        <v>545</v>
      </c>
      <c r="F16760" s="1">
        <v>2</v>
      </c>
      <c r="G16760" s="1" t="s">
        <v>28</v>
      </c>
      <c r="H16760" s="4" t="str">
        <f>HYPERLINK("https://portal.gdc.cancer.gov/cases/84959e50-17f5-4f2b-8e0c-5ebb139d2c3a","TCGA-QG-A5Z2-01A")</f>
        <v>TCGA-QG-A5Z2-01A</v>
      </c>
      <c r="I16760" t="s">
        <v>69</v>
      </c>
      <c r="J16760" t="s">
        <v>245</v>
      </c>
      <c r="K16760" t="s">
        <v>33</v>
      </c>
      <c r="L16760" t="s">
        <v>546</v>
      </c>
      <c r="N16760" t="s">
        <v>29</v>
      </c>
    </row>
    <row r="16761" spans="1:14">
      <c r="A16761" s="4" t="str">
        <f t="shared" si="1236"/>
        <v>EXP00421</v>
      </c>
      <c r="B16761" s="3" t="s">
        <v>66</v>
      </c>
      <c r="C16761" s="4" t="str">
        <f t="shared" si="1237"/>
        <v>TCGA-COAD</v>
      </c>
      <c r="D16761" s="1" t="s">
        <v>493</v>
      </c>
      <c r="E16761" t="s">
        <v>545</v>
      </c>
      <c r="F16761" s="1">
        <v>2</v>
      </c>
      <c r="G16761" s="1" t="s">
        <v>28</v>
      </c>
      <c r="H16761" s="4" t="str">
        <f>HYPERLINK("https://portal.gdc.cancer.gov/cases/d5a1f43e-25a7-47f5-b63e-43714f9f732a","TCGA-QL-A97D-01A")</f>
        <v>TCGA-QL-A97D-01A</v>
      </c>
      <c r="I16761" t="s">
        <v>69</v>
      </c>
      <c r="J16761" t="s">
        <v>245</v>
      </c>
      <c r="K16761" t="s">
        <v>33</v>
      </c>
      <c r="L16761" t="s">
        <v>546</v>
      </c>
      <c r="N16761" t="s">
        <v>29</v>
      </c>
    </row>
    <row r="16762" spans="1:14">
      <c r="A16762" s="4" t="str">
        <f t="shared" si="1236"/>
        <v>EXP00421</v>
      </c>
      <c r="B16762" s="3" t="s">
        <v>66</v>
      </c>
      <c r="C16762" s="4" t="str">
        <f t="shared" si="1237"/>
        <v>TCGA-COAD</v>
      </c>
      <c r="D16762" s="1" t="s">
        <v>493</v>
      </c>
      <c r="E16762" t="s">
        <v>545</v>
      </c>
      <c r="F16762" s="1">
        <v>2</v>
      </c>
      <c r="G16762" s="1" t="s">
        <v>28</v>
      </c>
      <c r="H16762" s="4" t="str">
        <f>HYPERLINK("https://portal.gdc.cancer.gov/cases/5f6ed48b-3b5a-4d20-8fbf-c9aa3feea186","TCGA-RU-A8FL-01A")</f>
        <v>TCGA-RU-A8FL-01A</v>
      </c>
      <c r="I16762" t="s">
        <v>69</v>
      </c>
      <c r="J16762" t="s">
        <v>245</v>
      </c>
      <c r="K16762" t="s">
        <v>33</v>
      </c>
      <c r="L16762" t="s">
        <v>546</v>
      </c>
      <c r="N16762" t="s">
        <v>29</v>
      </c>
    </row>
    <row r="16763" spans="1:14">
      <c r="A16763" s="4" t="str">
        <f t="shared" si="1236"/>
        <v>EXP00421</v>
      </c>
      <c r="B16763" s="3" t="s">
        <v>66</v>
      </c>
      <c r="C16763" s="4" t="str">
        <f t="shared" si="1237"/>
        <v>TCGA-COAD</v>
      </c>
      <c r="D16763" s="1" t="s">
        <v>493</v>
      </c>
      <c r="E16763" t="s">
        <v>545</v>
      </c>
      <c r="F16763" s="1">
        <v>2</v>
      </c>
      <c r="G16763" s="1" t="s">
        <v>28</v>
      </c>
      <c r="H16763" s="4" t="str">
        <f>HYPERLINK("https://portal.gdc.cancer.gov/cases/8d0fa506-3f51-4108-8427-7dabf270bcd4","TCGA-SS-A7HO-01A")</f>
        <v>TCGA-SS-A7HO-01A</v>
      </c>
      <c r="I16763" t="s">
        <v>69</v>
      </c>
      <c r="J16763" t="s">
        <v>245</v>
      </c>
      <c r="K16763" t="s">
        <v>33</v>
      </c>
      <c r="L16763" t="s">
        <v>546</v>
      </c>
      <c r="N16763" t="s">
        <v>29</v>
      </c>
    </row>
    <row r="16764" spans="1:14">
      <c r="A16764" s="4" t="str">
        <f t="shared" si="1236"/>
        <v>EXP00421</v>
      </c>
      <c r="B16764" s="3" t="s">
        <v>66</v>
      </c>
      <c r="C16764" s="4" t="str">
        <f t="shared" si="1237"/>
        <v>TCGA-COAD</v>
      </c>
      <c r="D16764" s="1" t="s">
        <v>493</v>
      </c>
      <c r="E16764" t="s">
        <v>545</v>
      </c>
      <c r="F16764" s="1">
        <v>2</v>
      </c>
      <c r="G16764" s="1" t="s">
        <v>28</v>
      </c>
      <c r="H16764" s="4" t="str">
        <f>HYPERLINK("https://portal.gdc.cancer.gov/cases/81a7184e-f9f5-4e3f-9603-5f5642386c1e","TCGA-T9-A92H-01A")</f>
        <v>TCGA-T9-A92H-01A</v>
      </c>
      <c r="I16764" t="s">
        <v>69</v>
      </c>
      <c r="J16764" t="s">
        <v>245</v>
      </c>
      <c r="K16764" t="s">
        <v>33</v>
      </c>
      <c r="L16764" t="s">
        <v>546</v>
      </c>
      <c r="N16764" t="s">
        <v>29</v>
      </c>
    </row>
    <row r="16765" spans="1:14">
      <c r="A16765" s="4" t="str">
        <f t="shared" si="1236"/>
        <v>EXP00421</v>
      </c>
      <c r="B16765" s="3" t="s">
        <v>66</v>
      </c>
      <c r="C16765" s="4" t="str">
        <f t="shared" si="1237"/>
        <v>TCGA-COAD</v>
      </c>
      <c r="D16765" s="1" t="s">
        <v>493</v>
      </c>
      <c r="E16765" t="s">
        <v>545</v>
      </c>
      <c r="F16765" s="1">
        <v>2</v>
      </c>
      <c r="G16765" s="1" t="s">
        <v>28</v>
      </c>
      <c r="H16765" s="4" t="str">
        <f>HYPERLINK("https://portal.gdc.cancer.gov/cases/7f6898e2-a840-4ad1-80f7-783f8b766fcc","TCGA-WS-AB45-01A")</f>
        <v>TCGA-WS-AB45-01A</v>
      </c>
      <c r="I16765" t="s">
        <v>69</v>
      </c>
      <c r="J16765" t="s">
        <v>245</v>
      </c>
      <c r="K16765" t="s">
        <v>33</v>
      </c>
      <c r="L16765" t="s">
        <v>546</v>
      </c>
      <c r="N16765" t="s">
        <v>29</v>
      </c>
    </row>
    <row r="16766" spans="1:14">
      <c r="A16766" s="4" t="str">
        <f t="shared" ref="A16766:A16776" si="1238">HYPERLINK("http://hcmdb.i-sanger.com/experiment/details/experiment_id/EXP00422","EXP00422")</f>
        <v>EXP00422</v>
      </c>
      <c r="B16766" s="3" t="s">
        <v>66</v>
      </c>
      <c r="C16766" s="4" t="str">
        <f t="shared" ref="C16766:C16829" si="1239">HYPERLINK("https://portal.gdc.cancer.gov/projects/TCGA-ESCA","TCGA-ESCA")</f>
        <v>TCGA-ESCA</v>
      </c>
      <c r="D16766" s="1" t="s">
        <v>493</v>
      </c>
      <c r="E16766" t="s">
        <v>547</v>
      </c>
      <c r="F16766" s="1">
        <v>1</v>
      </c>
      <c r="G16766" s="1" t="s">
        <v>548</v>
      </c>
      <c r="H16766" s="4" t="str">
        <f>HYPERLINK("https://portal.gdc.cancer.gov/cases/70084008-697d-442d-8f74-c12f8f598570","TCGA-2H-A9GG-01A")</f>
        <v>TCGA-2H-A9GG-01A</v>
      </c>
      <c r="I16766" t="s">
        <v>549</v>
      </c>
      <c r="J16766" t="s">
        <v>550</v>
      </c>
      <c r="K16766" t="s">
        <v>19</v>
      </c>
      <c r="L16766" t="s">
        <v>551</v>
      </c>
      <c r="M16766" t="s">
        <v>21</v>
      </c>
      <c r="N16766" t="s">
        <v>29</v>
      </c>
    </row>
    <row r="16767" spans="1:14">
      <c r="A16767" s="4" t="str">
        <f t="shared" si="1238"/>
        <v>EXP00422</v>
      </c>
      <c r="B16767" s="3" t="s">
        <v>66</v>
      </c>
      <c r="C16767" s="4" t="str">
        <f t="shared" si="1239"/>
        <v>TCGA-ESCA</v>
      </c>
      <c r="D16767" s="1" t="s">
        <v>493</v>
      </c>
      <c r="E16767" t="s">
        <v>547</v>
      </c>
      <c r="F16767" s="1">
        <v>1</v>
      </c>
      <c r="G16767" s="1" t="s">
        <v>548</v>
      </c>
      <c r="H16767" s="4" t="str">
        <f>HYPERLINK("https://portal.gdc.cancer.gov/cases/3df30783-c93d-4204-9703-c24c2349ba15","TCGA-R6-A6XG-01B")</f>
        <v>TCGA-R6-A6XG-01B</v>
      </c>
      <c r="I16767" t="s">
        <v>549</v>
      </c>
      <c r="J16767" t="s">
        <v>550</v>
      </c>
      <c r="K16767" t="s">
        <v>19</v>
      </c>
      <c r="L16767" t="s">
        <v>551</v>
      </c>
      <c r="M16767" t="s">
        <v>21</v>
      </c>
      <c r="N16767" t="s">
        <v>29</v>
      </c>
    </row>
    <row r="16768" spans="1:14">
      <c r="A16768" s="4" t="str">
        <f t="shared" si="1238"/>
        <v>EXP00422</v>
      </c>
      <c r="B16768" s="3" t="s">
        <v>66</v>
      </c>
      <c r="C16768" s="4" t="str">
        <f t="shared" si="1239"/>
        <v>TCGA-ESCA</v>
      </c>
      <c r="D16768" s="1" t="s">
        <v>493</v>
      </c>
      <c r="E16768" t="s">
        <v>547</v>
      </c>
      <c r="F16768" s="1">
        <v>2</v>
      </c>
      <c r="G16768" s="1" t="s">
        <v>552</v>
      </c>
      <c r="H16768" s="4" t="str">
        <f>HYPERLINK("https://portal.gdc.cancer.gov/cases/f23794d7-35cc-4550-a03f-8e3cde1a2bcd","TCGA-2H-A9GQ-01A")</f>
        <v>TCGA-2H-A9GQ-01A</v>
      </c>
      <c r="I16768" t="s">
        <v>549</v>
      </c>
      <c r="J16768" t="s">
        <v>550</v>
      </c>
      <c r="K16768" t="s">
        <v>19</v>
      </c>
      <c r="L16768" t="s">
        <v>551</v>
      </c>
      <c r="M16768" t="s">
        <v>44</v>
      </c>
      <c r="N16768" t="s">
        <v>29</v>
      </c>
    </row>
    <row r="16769" spans="1:14">
      <c r="A16769" s="4" t="str">
        <f t="shared" si="1238"/>
        <v>EXP00422</v>
      </c>
      <c r="B16769" s="3" t="s">
        <v>66</v>
      </c>
      <c r="C16769" s="4" t="str">
        <f t="shared" si="1239"/>
        <v>TCGA-ESCA</v>
      </c>
      <c r="D16769" s="1" t="s">
        <v>493</v>
      </c>
      <c r="E16769" t="s">
        <v>547</v>
      </c>
      <c r="F16769" s="1">
        <v>2</v>
      </c>
      <c r="G16769" s="1" t="s">
        <v>552</v>
      </c>
      <c r="H16769" s="4" t="str">
        <f>HYPERLINK("https://portal.gdc.cancer.gov/cases/209e2e16-cb88-4a8f-9cdb-10e152caa26c","TCGA-L5-A43J-01A")</f>
        <v>TCGA-L5-A43J-01A</v>
      </c>
      <c r="I16769" t="s">
        <v>549</v>
      </c>
      <c r="J16769" t="s">
        <v>550</v>
      </c>
      <c r="K16769" t="s">
        <v>19</v>
      </c>
      <c r="L16769" t="s">
        <v>551</v>
      </c>
      <c r="M16769" t="s">
        <v>44</v>
      </c>
      <c r="N16769" t="s">
        <v>29</v>
      </c>
    </row>
    <row r="16770" spans="1:14">
      <c r="A16770" s="4" t="str">
        <f t="shared" si="1238"/>
        <v>EXP00422</v>
      </c>
      <c r="B16770" s="3" t="s">
        <v>66</v>
      </c>
      <c r="C16770" s="4" t="str">
        <f t="shared" si="1239"/>
        <v>TCGA-ESCA</v>
      </c>
      <c r="D16770" s="1" t="s">
        <v>493</v>
      </c>
      <c r="E16770" t="s">
        <v>547</v>
      </c>
      <c r="F16770" s="1">
        <v>2</v>
      </c>
      <c r="G16770" s="1" t="s">
        <v>552</v>
      </c>
      <c r="H16770" s="4" t="str">
        <f>HYPERLINK("https://portal.gdc.cancer.gov/cases/bf3074e6-8780-490e-a8c3-4237c19ca877","TCGA-L5-A88W-01A")</f>
        <v>TCGA-L5-A88W-01A</v>
      </c>
      <c r="I16770" t="s">
        <v>549</v>
      </c>
      <c r="J16770" t="s">
        <v>550</v>
      </c>
      <c r="K16770" t="s">
        <v>19</v>
      </c>
      <c r="L16770" t="s">
        <v>551</v>
      </c>
      <c r="M16770" t="s">
        <v>44</v>
      </c>
      <c r="N16770" t="s">
        <v>29</v>
      </c>
    </row>
    <row r="16771" spans="1:14">
      <c r="A16771" s="4" t="str">
        <f t="shared" si="1238"/>
        <v>EXP00422</v>
      </c>
      <c r="B16771" s="3" t="s">
        <v>66</v>
      </c>
      <c r="C16771" s="4" t="str">
        <f t="shared" si="1239"/>
        <v>TCGA-ESCA</v>
      </c>
      <c r="D16771" s="1" t="s">
        <v>493</v>
      </c>
      <c r="E16771" t="s">
        <v>547</v>
      </c>
      <c r="F16771" s="1">
        <v>2</v>
      </c>
      <c r="G16771" s="1" t="s">
        <v>552</v>
      </c>
      <c r="H16771" s="4" t="str">
        <f>HYPERLINK("https://portal.gdc.cancer.gov/cases/da33c637-e9db-4a67-9198-2eda750dead7","TCGA-L5-A8NR-01A")</f>
        <v>TCGA-L5-A8NR-01A</v>
      </c>
      <c r="I16771" t="s">
        <v>549</v>
      </c>
      <c r="J16771" t="s">
        <v>550</v>
      </c>
      <c r="K16771" t="s">
        <v>19</v>
      </c>
      <c r="L16771" t="s">
        <v>551</v>
      </c>
      <c r="M16771" t="s">
        <v>44</v>
      </c>
      <c r="N16771" t="s">
        <v>29</v>
      </c>
    </row>
    <row r="16772" spans="1:14">
      <c r="A16772" s="4" t="str">
        <f t="shared" si="1238"/>
        <v>EXP00422</v>
      </c>
      <c r="B16772" s="3" t="s">
        <v>66</v>
      </c>
      <c r="C16772" s="4" t="str">
        <f t="shared" si="1239"/>
        <v>TCGA-ESCA</v>
      </c>
      <c r="D16772" s="1" t="s">
        <v>493</v>
      </c>
      <c r="E16772" t="s">
        <v>547</v>
      </c>
      <c r="F16772" s="1">
        <v>2</v>
      </c>
      <c r="G16772" s="1" t="s">
        <v>552</v>
      </c>
      <c r="H16772" s="4" t="str">
        <f>HYPERLINK("https://portal.gdc.cancer.gov/cases/66118386-6ffe-4375-97d3-01908814ae32","TCGA-L5-A8NT-01A")</f>
        <v>TCGA-L5-A8NT-01A</v>
      </c>
      <c r="I16772" t="s">
        <v>549</v>
      </c>
      <c r="J16772" t="s">
        <v>550</v>
      </c>
      <c r="K16772" t="s">
        <v>19</v>
      </c>
      <c r="L16772" t="s">
        <v>551</v>
      </c>
      <c r="M16772" t="s">
        <v>44</v>
      </c>
      <c r="N16772" t="s">
        <v>29</v>
      </c>
    </row>
    <row r="16773" spans="1:14">
      <c r="A16773" s="4" t="str">
        <f t="shared" si="1238"/>
        <v>EXP00422</v>
      </c>
      <c r="B16773" s="3" t="s">
        <v>66</v>
      </c>
      <c r="C16773" s="4" t="str">
        <f t="shared" si="1239"/>
        <v>TCGA-ESCA</v>
      </c>
      <c r="D16773" s="1" t="s">
        <v>493</v>
      </c>
      <c r="E16773" t="s">
        <v>547</v>
      </c>
      <c r="F16773" s="1">
        <v>2</v>
      </c>
      <c r="G16773" s="1" t="s">
        <v>552</v>
      </c>
      <c r="H16773" s="4" t="str">
        <f>HYPERLINK("https://portal.gdc.cancer.gov/cases/d125a297-88be-4500-8ef8-b8bb02362f2b","TCGA-R6-A6L4-01A")</f>
        <v>TCGA-R6-A6L4-01A</v>
      </c>
      <c r="I16773" t="s">
        <v>549</v>
      </c>
      <c r="J16773" t="s">
        <v>550</v>
      </c>
      <c r="K16773" t="s">
        <v>19</v>
      </c>
      <c r="L16773" t="s">
        <v>551</v>
      </c>
      <c r="M16773" t="s">
        <v>44</v>
      </c>
      <c r="N16773" t="s">
        <v>29</v>
      </c>
    </row>
    <row r="16774" spans="1:14">
      <c r="A16774" s="4" t="str">
        <f t="shared" si="1238"/>
        <v>EXP00422</v>
      </c>
      <c r="B16774" s="3" t="s">
        <v>66</v>
      </c>
      <c r="C16774" s="4" t="str">
        <f t="shared" si="1239"/>
        <v>TCGA-ESCA</v>
      </c>
      <c r="D16774" s="1" t="s">
        <v>493</v>
      </c>
      <c r="E16774" t="s">
        <v>547</v>
      </c>
      <c r="F16774" s="1">
        <v>2</v>
      </c>
      <c r="G16774" s="1" t="s">
        <v>552</v>
      </c>
      <c r="H16774" s="4" t="str">
        <f>HYPERLINK("https://portal.gdc.cancer.gov/cases/1946f60d-51ca-48ba-8e94-79142594986e","TCGA-R6-A8W5-01B")</f>
        <v>TCGA-R6-A8W5-01B</v>
      </c>
      <c r="I16774" t="s">
        <v>549</v>
      </c>
      <c r="J16774" t="s">
        <v>550</v>
      </c>
      <c r="K16774" t="s">
        <v>19</v>
      </c>
      <c r="L16774" t="s">
        <v>551</v>
      </c>
      <c r="M16774" t="s">
        <v>44</v>
      </c>
      <c r="N16774" t="s">
        <v>29</v>
      </c>
    </row>
    <row r="16775" spans="1:14">
      <c r="A16775" s="4" t="str">
        <f t="shared" si="1238"/>
        <v>EXP00422</v>
      </c>
      <c r="B16775" s="3" t="s">
        <v>66</v>
      </c>
      <c r="C16775" s="4" t="str">
        <f t="shared" si="1239"/>
        <v>TCGA-ESCA</v>
      </c>
      <c r="D16775" s="1" t="s">
        <v>493</v>
      </c>
      <c r="E16775" t="s">
        <v>547</v>
      </c>
      <c r="F16775" s="1">
        <v>2</v>
      </c>
      <c r="G16775" s="1" t="s">
        <v>552</v>
      </c>
      <c r="H16775" s="4" t="str">
        <f>HYPERLINK("https://portal.gdc.cancer.gov/cases/aac385c1-42f9-4d9e-b9bf-94ca13ebc5ae","TCGA-V5-A7RC-01B")</f>
        <v>TCGA-V5-A7RC-01B</v>
      </c>
      <c r="I16775" t="s">
        <v>549</v>
      </c>
      <c r="J16775" t="s">
        <v>550</v>
      </c>
      <c r="K16775" t="s">
        <v>19</v>
      </c>
      <c r="L16775" t="s">
        <v>551</v>
      </c>
      <c r="M16775" t="s">
        <v>44</v>
      </c>
      <c r="N16775" t="s">
        <v>29</v>
      </c>
    </row>
    <row r="16776" spans="1:14">
      <c r="A16776" s="4" t="str">
        <f t="shared" si="1238"/>
        <v>EXP00422</v>
      </c>
      <c r="B16776" s="3" t="s">
        <v>66</v>
      </c>
      <c r="C16776" s="4" t="str">
        <f t="shared" si="1239"/>
        <v>TCGA-ESCA</v>
      </c>
      <c r="D16776" s="1" t="s">
        <v>493</v>
      </c>
      <c r="E16776" t="s">
        <v>547</v>
      </c>
      <c r="F16776" s="1">
        <v>2</v>
      </c>
      <c r="G16776" s="1" t="s">
        <v>552</v>
      </c>
      <c r="H16776" s="4" t="str">
        <f>HYPERLINK("https://portal.gdc.cancer.gov/cases/fdcdf592-66f1-4027-962f-a64d49be474f","TCGA-ZR-A9CJ-01B")</f>
        <v>TCGA-ZR-A9CJ-01B</v>
      </c>
      <c r="I16776" t="s">
        <v>549</v>
      </c>
      <c r="J16776" t="s">
        <v>550</v>
      </c>
      <c r="K16776" t="s">
        <v>19</v>
      </c>
      <c r="L16776" t="s">
        <v>551</v>
      </c>
      <c r="M16776" t="s">
        <v>44</v>
      </c>
      <c r="N16776" t="s">
        <v>29</v>
      </c>
    </row>
    <row r="16777" spans="1:14">
      <c r="A16777" s="4" t="str">
        <f t="shared" ref="A16777:A16781" si="1240">HYPERLINK("http://hcmdb.i-sanger.com/experiment/details/experiment_id/EXP00423","EXP00423")</f>
        <v>EXP00423</v>
      </c>
      <c r="B16777" s="3" t="s">
        <v>66</v>
      </c>
      <c r="C16777" s="4" t="str">
        <f t="shared" si="1239"/>
        <v>TCGA-ESCA</v>
      </c>
      <c r="D16777" s="1" t="s">
        <v>493</v>
      </c>
      <c r="E16777" t="s">
        <v>547</v>
      </c>
      <c r="F16777" s="1">
        <v>1</v>
      </c>
      <c r="G16777" s="1" t="s">
        <v>548</v>
      </c>
      <c r="H16777" s="4" t="str">
        <f>HYPERLINK("https://portal.gdc.cancer.gov/cases/70084008-697d-442d-8f74-c12f8f598570","TCGA-2H-A9GG-01A")</f>
        <v>TCGA-2H-A9GG-01A</v>
      </c>
      <c r="I16777" t="s">
        <v>549</v>
      </c>
      <c r="J16777" t="s">
        <v>550</v>
      </c>
      <c r="K16777" t="s">
        <v>19</v>
      </c>
      <c r="L16777" t="s">
        <v>551</v>
      </c>
      <c r="M16777" t="s">
        <v>21</v>
      </c>
      <c r="N16777" t="s">
        <v>29</v>
      </c>
    </row>
    <row r="16778" spans="1:14">
      <c r="A16778" s="4" t="str">
        <f t="shared" si="1240"/>
        <v>EXP00423</v>
      </c>
      <c r="B16778" s="3" t="s">
        <v>66</v>
      </c>
      <c r="C16778" s="4" t="str">
        <f t="shared" si="1239"/>
        <v>TCGA-ESCA</v>
      </c>
      <c r="D16778" s="1" t="s">
        <v>493</v>
      </c>
      <c r="E16778" t="s">
        <v>547</v>
      </c>
      <c r="F16778" s="1">
        <v>1</v>
      </c>
      <c r="G16778" s="1" t="s">
        <v>548</v>
      </c>
      <c r="H16778" s="4" t="str">
        <f>HYPERLINK("https://portal.gdc.cancer.gov/cases/3df30783-c93d-4204-9703-c24c2349ba15","TCGA-R6-A6XG-01B")</f>
        <v>TCGA-R6-A6XG-01B</v>
      </c>
      <c r="I16778" t="s">
        <v>549</v>
      </c>
      <c r="J16778" t="s">
        <v>550</v>
      </c>
      <c r="K16778" t="s">
        <v>19</v>
      </c>
      <c r="L16778" t="s">
        <v>551</v>
      </c>
      <c r="M16778" t="s">
        <v>21</v>
      </c>
      <c r="N16778" t="s">
        <v>29</v>
      </c>
    </row>
    <row r="16779" spans="1:14">
      <c r="A16779" s="4" t="str">
        <f t="shared" si="1240"/>
        <v>EXP00423</v>
      </c>
      <c r="B16779" s="3" t="s">
        <v>66</v>
      </c>
      <c r="C16779" s="4" t="str">
        <f t="shared" si="1239"/>
        <v>TCGA-ESCA</v>
      </c>
      <c r="D16779" s="1" t="s">
        <v>493</v>
      </c>
      <c r="E16779" t="s">
        <v>547</v>
      </c>
      <c r="F16779" s="1">
        <v>2</v>
      </c>
      <c r="G16779" s="1" t="s">
        <v>553</v>
      </c>
      <c r="H16779" s="4" t="str">
        <f>HYPERLINK("https://portal.gdc.cancer.gov/cases/606dc5b8-7625-42a6-a936-504ef25623a4","TCGA-2H-A9GH-01A")</f>
        <v>TCGA-2H-A9GH-01A</v>
      </c>
      <c r="I16779" t="s">
        <v>549</v>
      </c>
      <c r="J16779" t="s">
        <v>550</v>
      </c>
      <c r="K16779" t="s">
        <v>19</v>
      </c>
      <c r="L16779" t="s">
        <v>551</v>
      </c>
      <c r="M16779" t="s">
        <v>499</v>
      </c>
      <c r="N16779" t="s">
        <v>29</v>
      </c>
    </row>
    <row r="16780" spans="1:14">
      <c r="A16780" s="4" t="str">
        <f t="shared" si="1240"/>
        <v>EXP00423</v>
      </c>
      <c r="B16780" s="3" t="s">
        <v>66</v>
      </c>
      <c r="C16780" s="4" t="str">
        <f t="shared" si="1239"/>
        <v>TCGA-ESCA</v>
      </c>
      <c r="D16780" s="1" t="s">
        <v>493</v>
      </c>
      <c r="E16780" t="s">
        <v>547</v>
      </c>
      <c r="F16780" s="1">
        <v>2</v>
      </c>
      <c r="G16780" s="1" t="s">
        <v>553</v>
      </c>
      <c r="H16780" s="4" t="str">
        <f>HYPERLINK("https://portal.gdc.cancer.gov/cases/ca400ea1-3e4e-437e-a54c-446431b741da","TCGA-2H-A9GO-01A")</f>
        <v>TCGA-2H-A9GO-01A</v>
      </c>
      <c r="I16780" t="s">
        <v>549</v>
      </c>
      <c r="J16780" t="s">
        <v>550</v>
      </c>
      <c r="K16780" t="s">
        <v>19</v>
      </c>
      <c r="L16780" t="s">
        <v>551</v>
      </c>
      <c r="M16780" t="s">
        <v>499</v>
      </c>
      <c r="N16780" t="s">
        <v>29</v>
      </c>
    </row>
    <row r="16781" spans="1:14">
      <c r="A16781" s="4" t="str">
        <f t="shared" si="1240"/>
        <v>EXP00423</v>
      </c>
      <c r="B16781" s="3" t="s">
        <v>66</v>
      </c>
      <c r="C16781" s="4" t="str">
        <f t="shared" si="1239"/>
        <v>TCGA-ESCA</v>
      </c>
      <c r="D16781" s="1" t="s">
        <v>493</v>
      </c>
      <c r="E16781" t="s">
        <v>547</v>
      </c>
      <c r="F16781" s="1">
        <v>2</v>
      </c>
      <c r="G16781" s="1" t="s">
        <v>553</v>
      </c>
      <c r="H16781" s="4" t="str">
        <f>HYPERLINK("https://portal.gdc.cancer.gov/cases/bd1c3d3b-d174-4186-bb35-364e167a1d18","TCGA-JY-A6FH-01A")</f>
        <v>TCGA-JY-A6FH-01A</v>
      </c>
      <c r="I16781" t="s">
        <v>549</v>
      </c>
      <c r="J16781" t="s">
        <v>550</v>
      </c>
      <c r="K16781" t="s">
        <v>19</v>
      </c>
      <c r="L16781" t="s">
        <v>551</v>
      </c>
      <c r="M16781" t="s">
        <v>499</v>
      </c>
      <c r="N16781" t="s">
        <v>29</v>
      </c>
    </row>
    <row r="16782" spans="1:14">
      <c r="A16782" s="4" t="str">
        <f t="shared" ref="A16782:A16786" si="1241">HYPERLINK("http://hcmdb.i-sanger.com/experiment/details/experiment_id/EXP00424","EXP00424")</f>
        <v>EXP00424</v>
      </c>
      <c r="B16782" s="3" t="s">
        <v>66</v>
      </c>
      <c r="C16782" s="4" t="str">
        <f t="shared" si="1239"/>
        <v>TCGA-ESCA</v>
      </c>
      <c r="D16782" s="1" t="s">
        <v>493</v>
      </c>
      <c r="E16782" t="s">
        <v>547</v>
      </c>
      <c r="F16782" s="1">
        <v>1</v>
      </c>
      <c r="G16782" s="1" t="s">
        <v>548</v>
      </c>
      <c r="H16782" s="4" t="str">
        <f>HYPERLINK("https://portal.gdc.cancer.gov/cases/70084008-697d-442d-8f74-c12f8f598570","TCGA-2H-A9GG-01A")</f>
        <v>TCGA-2H-A9GG-01A</v>
      </c>
      <c r="I16782" t="s">
        <v>549</v>
      </c>
      <c r="J16782" t="s">
        <v>550</v>
      </c>
      <c r="K16782" t="s">
        <v>19</v>
      </c>
      <c r="L16782" t="s">
        <v>551</v>
      </c>
      <c r="M16782" t="s">
        <v>21</v>
      </c>
      <c r="N16782" t="s">
        <v>29</v>
      </c>
    </row>
    <row r="16783" spans="1:14">
      <c r="A16783" s="4" t="str">
        <f t="shared" si="1241"/>
        <v>EXP00424</v>
      </c>
      <c r="B16783" s="3" t="s">
        <v>66</v>
      </c>
      <c r="C16783" s="4" t="str">
        <f t="shared" si="1239"/>
        <v>TCGA-ESCA</v>
      </c>
      <c r="D16783" s="1" t="s">
        <v>493</v>
      </c>
      <c r="E16783" t="s">
        <v>547</v>
      </c>
      <c r="F16783" s="1">
        <v>1</v>
      </c>
      <c r="G16783" s="1" t="s">
        <v>548</v>
      </c>
      <c r="H16783" s="4" t="str">
        <f>HYPERLINK("https://portal.gdc.cancer.gov/cases/3df30783-c93d-4204-9703-c24c2349ba15","TCGA-R6-A6XG-01B")</f>
        <v>TCGA-R6-A6XG-01B</v>
      </c>
      <c r="I16783" t="s">
        <v>549</v>
      </c>
      <c r="J16783" t="s">
        <v>550</v>
      </c>
      <c r="K16783" t="s">
        <v>19</v>
      </c>
      <c r="L16783" t="s">
        <v>551</v>
      </c>
      <c r="M16783" t="s">
        <v>21</v>
      </c>
      <c r="N16783" t="s">
        <v>29</v>
      </c>
    </row>
    <row r="16784" spans="1:14">
      <c r="A16784" s="4" t="str">
        <f t="shared" si="1241"/>
        <v>EXP00424</v>
      </c>
      <c r="B16784" s="3" t="s">
        <v>66</v>
      </c>
      <c r="C16784" s="4" t="str">
        <f t="shared" si="1239"/>
        <v>TCGA-ESCA</v>
      </c>
      <c r="D16784" s="1" t="s">
        <v>493</v>
      </c>
      <c r="E16784" t="s">
        <v>547</v>
      </c>
      <c r="F16784" s="1">
        <v>2</v>
      </c>
      <c r="G16784" s="1" t="s">
        <v>554</v>
      </c>
      <c r="H16784" s="4" t="str">
        <f>HYPERLINK("https://portal.gdc.cancer.gov/cases/3633aeab-a763-438f-ad03-1b4ac8b3a621","TCGA-JY-A6FA-01A")</f>
        <v>TCGA-JY-A6FA-01A</v>
      </c>
      <c r="I16784" t="s">
        <v>549</v>
      </c>
      <c r="J16784" t="s">
        <v>550</v>
      </c>
      <c r="K16784" t="s">
        <v>19</v>
      </c>
      <c r="L16784" t="s">
        <v>551</v>
      </c>
      <c r="M16784" t="s">
        <v>41</v>
      </c>
      <c r="N16784" t="s">
        <v>29</v>
      </c>
    </row>
    <row r="16785" spans="1:14">
      <c r="A16785" s="4" t="str">
        <f t="shared" si="1241"/>
        <v>EXP00424</v>
      </c>
      <c r="B16785" s="3" t="s">
        <v>66</v>
      </c>
      <c r="C16785" s="4" t="str">
        <f t="shared" si="1239"/>
        <v>TCGA-ESCA</v>
      </c>
      <c r="D16785" s="1" t="s">
        <v>493</v>
      </c>
      <c r="E16785" t="s">
        <v>547</v>
      </c>
      <c r="F16785" s="1">
        <v>2</v>
      </c>
      <c r="G16785" s="1" t="s">
        <v>554</v>
      </c>
      <c r="H16785" s="4" t="str">
        <f>HYPERLINK("https://portal.gdc.cancer.gov/cases/9e02a368-8858-4ec5-8c27-9e0876d387a4","TCGA-L5-A8NJ-01A")</f>
        <v>TCGA-L5-A8NJ-01A</v>
      </c>
      <c r="I16785" t="s">
        <v>549</v>
      </c>
      <c r="J16785" t="s">
        <v>550</v>
      </c>
      <c r="K16785" t="s">
        <v>19</v>
      </c>
      <c r="L16785" t="s">
        <v>551</v>
      </c>
      <c r="M16785" t="s">
        <v>41</v>
      </c>
      <c r="N16785" t="s">
        <v>29</v>
      </c>
    </row>
    <row r="16786" spans="1:14">
      <c r="A16786" s="4" t="str">
        <f t="shared" si="1241"/>
        <v>EXP00424</v>
      </c>
      <c r="B16786" s="3" t="s">
        <v>66</v>
      </c>
      <c r="C16786" s="4" t="str">
        <f t="shared" si="1239"/>
        <v>TCGA-ESCA</v>
      </c>
      <c r="D16786" s="1" t="s">
        <v>493</v>
      </c>
      <c r="E16786" t="s">
        <v>547</v>
      </c>
      <c r="F16786" s="1">
        <v>2</v>
      </c>
      <c r="G16786" s="1" t="s">
        <v>554</v>
      </c>
      <c r="H16786" s="4" t="str">
        <f>HYPERLINK("https://portal.gdc.cancer.gov/cases/318e257e-7bff-4ca0-8f0e-acb02516437e","TCGA-L5-A8NS-01A")</f>
        <v>TCGA-L5-A8NS-01A</v>
      </c>
      <c r="I16786" t="s">
        <v>549</v>
      </c>
      <c r="J16786" t="s">
        <v>550</v>
      </c>
      <c r="K16786" t="s">
        <v>19</v>
      </c>
      <c r="L16786" t="s">
        <v>551</v>
      </c>
      <c r="M16786" t="s">
        <v>41</v>
      </c>
      <c r="N16786" t="s">
        <v>29</v>
      </c>
    </row>
    <row r="16787" spans="1:14">
      <c r="A16787" s="4" t="str">
        <f t="shared" ref="A16787:A16793" si="1242">HYPERLINK("http://hcmdb.i-sanger.com/experiment/details/experiment_id/EXP00425","EXP00425")</f>
        <v>EXP00425</v>
      </c>
      <c r="B16787" s="3" t="s">
        <v>66</v>
      </c>
      <c r="C16787" s="4" t="str">
        <f t="shared" si="1239"/>
        <v>TCGA-ESCA</v>
      </c>
      <c r="D16787" s="1" t="s">
        <v>493</v>
      </c>
      <c r="E16787" t="s">
        <v>547</v>
      </c>
      <c r="F16787" s="1">
        <v>1</v>
      </c>
      <c r="G16787" s="1" t="s">
        <v>548</v>
      </c>
      <c r="H16787" s="4" t="str">
        <f>HYPERLINK("https://portal.gdc.cancer.gov/cases/70084008-697d-442d-8f74-c12f8f598570","TCGA-2H-A9GG-01A")</f>
        <v>TCGA-2H-A9GG-01A</v>
      </c>
      <c r="I16787" t="s">
        <v>549</v>
      </c>
      <c r="J16787" t="s">
        <v>550</v>
      </c>
      <c r="K16787" t="s">
        <v>19</v>
      </c>
      <c r="L16787" t="s">
        <v>551</v>
      </c>
      <c r="M16787" t="s">
        <v>21</v>
      </c>
      <c r="N16787" t="s">
        <v>29</v>
      </c>
    </row>
    <row r="16788" spans="1:14">
      <c r="A16788" s="4" t="str">
        <f t="shared" si="1242"/>
        <v>EXP00425</v>
      </c>
      <c r="B16788" s="3" t="s">
        <v>66</v>
      </c>
      <c r="C16788" s="4" t="str">
        <f t="shared" si="1239"/>
        <v>TCGA-ESCA</v>
      </c>
      <c r="D16788" s="1" t="s">
        <v>493</v>
      </c>
      <c r="E16788" t="s">
        <v>547</v>
      </c>
      <c r="F16788" s="1">
        <v>1</v>
      </c>
      <c r="G16788" s="1" t="s">
        <v>548</v>
      </c>
      <c r="H16788" s="4" t="str">
        <f>HYPERLINK("https://portal.gdc.cancer.gov/cases/3df30783-c93d-4204-9703-c24c2349ba15","TCGA-R6-A6XG-01B")</f>
        <v>TCGA-R6-A6XG-01B</v>
      </c>
      <c r="I16788" t="s">
        <v>549</v>
      </c>
      <c r="J16788" t="s">
        <v>550</v>
      </c>
      <c r="K16788" t="s">
        <v>19</v>
      </c>
      <c r="L16788" t="s">
        <v>551</v>
      </c>
      <c r="M16788" t="s">
        <v>21</v>
      </c>
      <c r="N16788" t="s">
        <v>29</v>
      </c>
    </row>
    <row r="16789" spans="1:14">
      <c r="A16789" s="4" t="str">
        <f t="shared" si="1242"/>
        <v>EXP00425</v>
      </c>
      <c r="B16789" s="3" t="s">
        <v>66</v>
      </c>
      <c r="C16789" s="4" t="str">
        <f t="shared" si="1239"/>
        <v>TCGA-ESCA</v>
      </c>
      <c r="D16789" s="1" t="s">
        <v>493</v>
      </c>
      <c r="E16789" t="s">
        <v>547</v>
      </c>
      <c r="F16789" s="1">
        <v>2</v>
      </c>
      <c r="G16789" s="1" t="s">
        <v>555</v>
      </c>
      <c r="H16789" s="4" t="str">
        <f>HYPERLINK("https://portal.gdc.cancer.gov/cases/ee47cd59-c8d8-4b1e-96db-91c679e4106f","TCGA-2H-A9GJ-01A")</f>
        <v>TCGA-2H-A9GJ-01A</v>
      </c>
      <c r="I16789" t="s">
        <v>549</v>
      </c>
      <c r="J16789" t="s">
        <v>550</v>
      </c>
      <c r="K16789" t="s">
        <v>19</v>
      </c>
      <c r="L16789" t="s">
        <v>551</v>
      </c>
      <c r="M16789" t="s">
        <v>47</v>
      </c>
      <c r="N16789" t="s">
        <v>29</v>
      </c>
    </row>
    <row r="16790" spans="1:14">
      <c r="A16790" s="4" t="str">
        <f t="shared" si="1242"/>
        <v>EXP00425</v>
      </c>
      <c r="B16790" s="3" t="s">
        <v>66</v>
      </c>
      <c r="C16790" s="4" t="str">
        <f t="shared" si="1239"/>
        <v>TCGA-ESCA</v>
      </c>
      <c r="D16790" s="1" t="s">
        <v>493</v>
      </c>
      <c r="E16790" t="s">
        <v>547</v>
      </c>
      <c r="F16790" s="1">
        <v>2</v>
      </c>
      <c r="G16790" s="1" t="s">
        <v>555</v>
      </c>
      <c r="H16790" s="4" t="str">
        <f>HYPERLINK("https://portal.gdc.cancer.gov/cases/6584fa8f-b4f4-4844-a71e-3bfb731ad445","TCGA-2H-A9GM-01A")</f>
        <v>TCGA-2H-A9GM-01A</v>
      </c>
      <c r="I16790" t="s">
        <v>549</v>
      </c>
      <c r="J16790" t="s">
        <v>550</v>
      </c>
      <c r="K16790" t="s">
        <v>19</v>
      </c>
      <c r="L16790" t="s">
        <v>551</v>
      </c>
      <c r="M16790" t="s">
        <v>47</v>
      </c>
      <c r="N16790" t="s">
        <v>29</v>
      </c>
    </row>
    <row r="16791" spans="1:14">
      <c r="A16791" s="4" t="str">
        <f t="shared" si="1242"/>
        <v>EXP00425</v>
      </c>
      <c r="B16791" s="3" t="s">
        <v>66</v>
      </c>
      <c r="C16791" s="4" t="str">
        <f t="shared" si="1239"/>
        <v>TCGA-ESCA</v>
      </c>
      <c r="D16791" s="1" t="s">
        <v>493</v>
      </c>
      <c r="E16791" t="s">
        <v>547</v>
      </c>
      <c r="F16791" s="1">
        <v>2</v>
      </c>
      <c r="G16791" s="1" t="s">
        <v>555</v>
      </c>
      <c r="H16791" s="4" t="str">
        <f>HYPERLINK("https://portal.gdc.cancer.gov/cases/26e7f083-a91b-4c04-84fe-d43be9722b18","TCGA-JY-A6FE-01A")</f>
        <v>TCGA-JY-A6FE-01A</v>
      </c>
      <c r="I16791" t="s">
        <v>549</v>
      </c>
      <c r="J16791" t="s">
        <v>550</v>
      </c>
      <c r="K16791" t="s">
        <v>19</v>
      </c>
      <c r="L16791" t="s">
        <v>551</v>
      </c>
      <c r="M16791" t="s">
        <v>47</v>
      </c>
      <c r="N16791" t="s">
        <v>29</v>
      </c>
    </row>
    <row r="16792" spans="1:14">
      <c r="A16792" s="4" t="str">
        <f t="shared" si="1242"/>
        <v>EXP00425</v>
      </c>
      <c r="B16792" s="3" t="s">
        <v>66</v>
      </c>
      <c r="C16792" s="4" t="str">
        <f t="shared" si="1239"/>
        <v>TCGA-ESCA</v>
      </c>
      <c r="D16792" s="1" t="s">
        <v>493</v>
      </c>
      <c r="E16792" t="s">
        <v>547</v>
      </c>
      <c r="F16792" s="1">
        <v>2</v>
      </c>
      <c r="G16792" s="1" t="s">
        <v>555</v>
      </c>
      <c r="H16792" s="4" t="str">
        <f>HYPERLINK("https://portal.gdc.cancer.gov/cases/97394c78-2815-4348-b4c9-df0b3b3d6b5e","TCGA-JY-A938-01A")</f>
        <v>TCGA-JY-A938-01A</v>
      </c>
      <c r="I16792" t="s">
        <v>549</v>
      </c>
      <c r="J16792" t="s">
        <v>550</v>
      </c>
      <c r="K16792" t="s">
        <v>19</v>
      </c>
      <c r="L16792" t="s">
        <v>551</v>
      </c>
      <c r="M16792" t="s">
        <v>47</v>
      </c>
      <c r="N16792" t="s">
        <v>29</v>
      </c>
    </row>
    <row r="16793" spans="1:14">
      <c r="A16793" s="4" t="str">
        <f t="shared" si="1242"/>
        <v>EXP00425</v>
      </c>
      <c r="B16793" s="3" t="s">
        <v>66</v>
      </c>
      <c r="C16793" s="4" t="str">
        <f t="shared" si="1239"/>
        <v>TCGA-ESCA</v>
      </c>
      <c r="D16793" s="1" t="s">
        <v>493</v>
      </c>
      <c r="E16793" t="s">
        <v>547</v>
      </c>
      <c r="F16793" s="1">
        <v>2</v>
      </c>
      <c r="G16793" s="1" t="s">
        <v>555</v>
      </c>
      <c r="H16793" s="4" t="str">
        <f>HYPERLINK("https://portal.gdc.cancer.gov/cases/608ef42f-ccd7-4ae0-8156-8775a0f09bcf","TCGA-R6-A8WG-01A")</f>
        <v>TCGA-R6-A8WG-01A</v>
      </c>
      <c r="I16793" t="s">
        <v>549</v>
      </c>
      <c r="J16793" t="s">
        <v>550</v>
      </c>
      <c r="K16793" t="s">
        <v>19</v>
      </c>
      <c r="L16793" t="s">
        <v>551</v>
      </c>
      <c r="M16793" t="s">
        <v>47</v>
      </c>
      <c r="N16793" t="s">
        <v>29</v>
      </c>
    </row>
    <row r="16794" spans="1:14">
      <c r="A16794" s="4" t="str">
        <f t="shared" ref="A16794:A16805" si="1243">HYPERLINK("http://hcmdb.i-sanger.com/experiment/details/experiment_id/EXP00426","EXP00426")</f>
        <v>EXP00426</v>
      </c>
      <c r="B16794" s="3" t="s">
        <v>66</v>
      </c>
      <c r="C16794" s="4" t="str">
        <f t="shared" si="1239"/>
        <v>TCGA-ESCA</v>
      </c>
      <c r="D16794" s="1" t="s">
        <v>493</v>
      </c>
      <c r="E16794" t="s">
        <v>547</v>
      </c>
      <c r="F16794" s="1">
        <v>1</v>
      </c>
      <c r="G16794" s="1" t="s">
        <v>552</v>
      </c>
      <c r="H16794" s="4" t="str">
        <f>HYPERLINK("https://portal.gdc.cancer.gov/cases/f23794d7-35cc-4550-a03f-8e3cde1a2bcd","TCGA-2H-A9GQ-01A")</f>
        <v>TCGA-2H-A9GQ-01A</v>
      </c>
      <c r="I16794" t="s">
        <v>549</v>
      </c>
      <c r="J16794" t="s">
        <v>550</v>
      </c>
      <c r="K16794" t="s">
        <v>19</v>
      </c>
      <c r="L16794" t="s">
        <v>551</v>
      </c>
      <c r="M16794" t="s">
        <v>44</v>
      </c>
      <c r="N16794" t="s">
        <v>29</v>
      </c>
    </row>
    <row r="16795" spans="1:14">
      <c r="A16795" s="4" t="str">
        <f t="shared" si="1243"/>
        <v>EXP00426</v>
      </c>
      <c r="B16795" s="3" t="s">
        <v>66</v>
      </c>
      <c r="C16795" s="4" t="str">
        <f t="shared" si="1239"/>
        <v>TCGA-ESCA</v>
      </c>
      <c r="D16795" s="1" t="s">
        <v>493</v>
      </c>
      <c r="E16795" t="s">
        <v>547</v>
      </c>
      <c r="F16795" s="1">
        <v>1</v>
      </c>
      <c r="G16795" s="1" t="s">
        <v>552</v>
      </c>
      <c r="H16795" s="4" t="str">
        <f>HYPERLINK("https://portal.gdc.cancer.gov/cases/209e2e16-cb88-4a8f-9cdb-10e152caa26c","TCGA-L5-A43J-01A")</f>
        <v>TCGA-L5-A43J-01A</v>
      </c>
      <c r="I16795" t="s">
        <v>549</v>
      </c>
      <c r="J16795" t="s">
        <v>550</v>
      </c>
      <c r="K16795" t="s">
        <v>19</v>
      </c>
      <c r="L16795" t="s">
        <v>551</v>
      </c>
      <c r="M16795" t="s">
        <v>44</v>
      </c>
      <c r="N16795" t="s">
        <v>29</v>
      </c>
    </row>
    <row r="16796" spans="1:14">
      <c r="A16796" s="4" t="str">
        <f t="shared" si="1243"/>
        <v>EXP00426</v>
      </c>
      <c r="B16796" s="3" t="s">
        <v>66</v>
      </c>
      <c r="C16796" s="4" t="str">
        <f t="shared" si="1239"/>
        <v>TCGA-ESCA</v>
      </c>
      <c r="D16796" s="1" t="s">
        <v>493</v>
      </c>
      <c r="E16796" t="s">
        <v>547</v>
      </c>
      <c r="F16796" s="1">
        <v>1</v>
      </c>
      <c r="G16796" s="1" t="s">
        <v>552</v>
      </c>
      <c r="H16796" s="4" t="str">
        <f>HYPERLINK("https://portal.gdc.cancer.gov/cases/bf3074e6-8780-490e-a8c3-4237c19ca877","TCGA-L5-A88W-01A")</f>
        <v>TCGA-L5-A88W-01A</v>
      </c>
      <c r="I16796" t="s">
        <v>549</v>
      </c>
      <c r="J16796" t="s">
        <v>550</v>
      </c>
      <c r="K16796" t="s">
        <v>19</v>
      </c>
      <c r="L16796" t="s">
        <v>551</v>
      </c>
      <c r="M16796" t="s">
        <v>44</v>
      </c>
      <c r="N16796" t="s">
        <v>29</v>
      </c>
    </row>
    <row r="16797" spans="1:14">
      <c r="A16797" s="4" t="str">
        <f t="shared" si="1243"/>
        <v>EXP00426</v>
      </c>
      <c r="B16797" s="3" t="s">
        <v>66</v>
      </c>
      <c r="C16797" s="4" t="str">
        <f t="shared" si="1239"/>
        <v>TCGA-ESCA</v>
      </c>
      <c r="D16797" s="1" t="s">
        <v>493</v>
      </c>
      <c r="E16797" t="s">
        <v>547</v>
      </c>
      <c r="F16797" s="1">
        <v>1</v>
      </c>
      <c r="G16797" s="1" t="s">
        <v>552</v>
      </c>
      <c r="H16797" s="4" t="str">
        <f>HYPERLINK("https://portal.gdc.cancer.gov/cases/da33c637-e9db-4a67-9198-2eda750dead7","TCGA-L5-A8NR-01A")</f>
        <v>TCGA-L5-A8NR-01A</v>
      </c>
      <c r="I16797" t="s">
        <v>549</v>
      </c>
      <c r="J16797" t="s">
        <v>550</v>
      </c>
      <c r="K16797" t="s">
        <v>19</v>
      </c>
      <c r="L16797" t="s">
        <v>551</v>
      </c>
      <c r="M16797" t="s">
        <v>44</v>
      </c>
      <c r="N16797" t="s">
        <v>29</v>
      </c>
    </row>
    <row r="16798" spans="1:14">
      <c r="A16798" s="4" t="str">
        <f t="shared" si="1243"/>
        <v>EXP00426</v>
      </c>
      <c r="B16798" s="3" t="s">
        <v>66</v>
      </c>
      <c r="C16798" s="4" t="str">
        <f t="shared" si="1239"/>
        <v>TCGA-ESCA</v>
      </c>
      <c r="D16798" s="1" t="s">
        <v>493</v>
      </c>
      <c r="E16798" t="s">
        <v>547</v>
      </c>
      <c r="F16798" s="1">
        <v>1</v>
      </c>
      <c r="G16798" s="1" t="s">
        <v>552</v>
      </c>
      <c r="H16798" s="4" t="str">
        <f>HYPERLINK("https://portal.gdc.cancer.gov/cases/66118386-6ffe-4375-97d3-01908814ae32","TCGA-L5-A8NT-01A")</f>
        <v>TCGA-L5-A8NT-01A</v>
      </c>
      <c r="I16798" t="s">
        <v>549</v>
      </c>
      <c r="J16798" t="s">
        <v>550</v>
      </c>
      <c r="K16798" t="s">
        <v>19</v>
      </c>
      <c r="L16798" t="s">
        <v>551</v>
      </c>
      <c r="M16798" t="s">
        <v>44</v>
      </c>
      <c r="N16798" t="s">
        <v>29</v>
      </c>
    </row>
    <row r="16799" spans="1:14">
      <c r="A16799" s="4" t="str">
        <f t="shared" si="1243"/>
        <v>EXP00426</v>
      </c>
      <c r="B16799" s="3" t="s">
        <v>66</v>
      </c>
      <c r="C16799" s="4" t="str">
        <f t="shared" si="1239"/>
        <v>TCGA-ESCA</v>
      </c>
      <c r="D16799" s="1" t="s">
        <v>493</v>
      </c>
      <c r="E16799" t="s">
        <v>547</v>
      </c>
      <c r="F16799" s="1">
        <v>1</v>
      </c>
      <c r="G16799" s="1" t="s">
        <v>552</v>
      </c>
      <c r="H16799" s="4" t="str">
        <f>HYPERLINK("https://portal.gdc.cancer.gov/cases/d125a297-88be-4500-8ef8-b8bb02362f2b","TCGA-R6-A6L4-01A")</f>
        <v>TCGA-R6-A6L4-01A</v>
      </c>
      <c r="I16799" t="s">
        <v>549</v>
      </c>
      <c r="J16799" t="s">
        <v>550</v>
      </c>
      <c r="K16799" t="s">
        <v>19</v>
      </c>
      <c r="L16799" t="s">
        <v>551</v>
      </c>
      <c r="M16799" t="s">
        <v>44</v>
      </c>
      <c r="N16799" t="s">
        <v>29</v>
      </c>
    </row>
    <row r="16800" spans="1:14">
      <c r="A16800" s="4" t="str">
        <f t="shared" si="1243"/>
        <v>EXP00426</v>
      </c>
      <c r="B16800" s="3" t="s">
        <v>66</v>
      </c>
      <c r="C16800" s="4" t="str">
        <f t="shared" si="1239"/>
        <v>TCGA-ESCA</v>
      </c>
      <c r="D16800" s="1" t="s">
        <v>493</v>
      </c>
      <c r="E16800" t="s">
        <v>547</v>
      </c>
      <c r="F16800" s="1">
        <v>1</v>
      </c>
      <c r="G16800" s="1" t="s">
        <v>552</v>
      </c>
      <c r="H16800" s="4" t="str">
        <f>HYPERLINK("https://portal.gdc.cancer.gov/cases/1946f60d-51ca-48ba-8e94-79142594986e","TCGA-R6-A8W5-01B")</f>
        <v>TCGA-R6-A8W5-01B</v>
      </c>
      <c r="I16800" t="s">
        <v>549</v>
      </c>
      <c r="J16800" t="s">
        <v>550</v>
      </c>
      <c r="K16800" t="s">
        <v>19</v>
      </c>
      <c r="L16800" t="s">
        <v>551</v>
      </c>
      <c r="M16800" t="s">
        <v>44</v>
      </c>
      <c r="N16800" t="s">
        <v>29</v>
      </c>
    </row>
    <row r="16801" spans="1:14">
      <c r="A16801" s="4" t="str">
        <f t="shared" si="1243"/>
        <v>EXP00426</v>
      </c>
      <c r="B16801" s="3" t="s">
        <v>66</v>
      </c>
      <c r="C16801" s="4" t="str">
        <f t="shared" si="1239"/>
        <v>TCGA-ESCA</v>
      </c>
      <c r="D16801" s="1" t="s">
        <v>493</v>
      </c>
      <c r="E16801" t="s">
        <v>547</v>
      </c>
      <c r="F16801" s="1">
        <v>1</v>
      </c>
      <c r="G16801" s="1" t="s">
        <v>552</v>
      </c>
      <c r="H16801" s="4" t="str">
        <f>HYPERLINK("https://portal.gdc.cancer.gov/cases/aac385c1-42f9-4d9e-b9bf-94ca13ebc5ae","TCGA-V5-A7RC-01B")</f>
        <v>TCGA-V5-A7RC-01B</v>
      </c>
      <c r="I16801" t="s">
        <v>549</v>
      </c>
      <c r="J16801" t="s">
        <v>550</v>
      </c>
      <c r="K16801" t="s">
        <v>19</v>
      </c>
      <c r="L16801" t="s">
        <v>551</v>
      </c>
      <c r="M16801" t="s">
        <v>44</v>
      </c>
      <c r="N16801" t="s">
        <v>29</v>
      </c>
    </row>
    <row r="16802" spans="1:14">
      <c r="A16802" s="4" t="str">
        <f t="shared" si="1243"/>
        <v>EXP00426</v>
      </c>
      <c r="B16802" s="3" t="s">
        <v>66</v>
      </c>
      <c r="C16802" s="4" t="str">
        <f t="shared" si="1239"/>
        <v>TCGA-ESCA</v>
      </c>
      <c r="D16802" s="1" t="s">
        <v>493</v>
      </c>
      <c r="E16802" t="s">
        <v>547</v>
      </c>
      <c r="F16802" s="1">
        <v>1</v>
      </c>
      <c r="G16802" s="1" t="s">
        <v>552</v>
      </c>
      <c r="H16802" s="4" t="str">
        <f>HYPERLINK("https://portal.gdc.cancer.gov/cases/fdcdf592-66f1-4027-962f-a64d49be474f","TCGA-ZR-A9CJ-01B")</f>
        <v>TCGA-ZR-A9CJ-01B</v>
      </c>
      <c r="I16802" t="s">
        <v>549</v>
      </c>
      <c r="J16802" t="s">
        <v>550</v>
      </c>
      <c r="K16802" t="s">
        <v>19</v>
      </c>
      <c r="L16802" t="s">
        <v>551</v>
      </c>
      <c r="M16802" t="s">
        <v>44</v>
      </c>
      <c r="N16802" t="s">
        <v>29</v>
      </c>
    </row>
    <row r="16803" spans="1:14">
      <c r="A16803" s="4" t="str">
        <f t="shared" si="1243"/>
        <v>EXP00426</v>
      </c>
      <c r="B16803" s="3" t="s">
        <v>66</v>
      </c>
      <c r="C16803" s="4" t="str">
        <f t="shared" si="1239"/>
        <v>TCGA-ESCA</v>
      </c>
      <c r="D16803" s="1" t="s">
        <v>493</v>
      </c>
      <c r="E16803" t="s">
        <v>547</v>
      </c>
      <c r="F16803" s="1">
        <v>2</v>
      </c>
      <c r="G16803" s="1" t="s">
        <v>553</v>
      </c>
      <c r="H16803" s="4" t="str">
        <f>HYPERLINK("https://portal.gdc.cancer.gov/cases/606dc5b8-7625-42a6-a936-504ef25623a4","TCGA-2H-A9GH-01A")</f>
        <v>TCGA-2H-A9GH-01A</v>
      </c>
      <c r="I16803" t="s">
        <v>549</v>
      </c>
      <c r="J16803" t="s">
        <v>550</v>
      </c>
      <c r="K16803" t="s">
        <v>19</v>
      </c>
      <c r="L16803" t="s">
        <v>551</v>
      </c>
      <c r="M16803" t="s">
        <v>499</v>
      </c>
      <c r="N16803" t="s">
        <v>29</v>
      </c>
    </row>
    <row r="16804" spans="1:14">
      <c r="A16804" s="4" t="str">
        <f t="shared" si="1243"/>
        <v>EXP00426</v>
      </c>
      <c r="B16804" s="3" t="s">
        <v>66</v>
      </c>
      <c r="C16804" s="4" t="str">
        <f t="shared" si="1239"/>
        <v>TCGA-ESCA</v>
      </c>
      <c r="D16804" s="1" t="s">
        <v>493</v>
      </c>
      <c r="E16804" t="s">
        <v>547</v>
      </c>
      <c r="F16804" s="1">
        <v>2</v>
      </c>
      <c r="G16804" s="1" t="s">
        <v>553</v>
      </c>
      <c r="H16804" s="4" t="str">
        <f>HYPERLINK("https://portal.gdc.cancer.gov/cases/ca400ea1-3e4e-437e-a54c-446431b741da","TCGA-2H-A9GO-01A")</f>
        <v>TCGA-2H-A9GO-01A</v>
      </c>
      <c r="I16804" t="s">
        <v>549</v>
      </c>
      <c r="J16804" t="s">
        <v>550</v>
      </c>
      <c r="K16804" t="s">
        <v>19</v>
      </c>
      <c r="L16804" t="s">
        <v>551</v>
      </c>
      <c r="M16804" t="s">
        <v>499</v>
      </c>
      <c r="N16804" t="s">
        <v>29</v>
      </c>
    </row>
    <row r="16805" spans="1:14">
      <c r="A16805" s="4" t="str">
        <f t="shared" si="1243"/>
        <v>EXP00426</v>
      </c>
      <c r="B16805" s="3" t="s">
        <v>66</v>
      </c>
      <c r="C16805" s="4" t="str">
        <f t="shared" si="1239"/>
        <v>TCGA-ESCA</v>
      </c>
      <c r="D16805" s="1" t="s">
        <v>493</v>
      </c>
      <c r="E16805" t="s">
        <v>547</v>
      </c>
      <c r="F16805" s="1">
        <v>2</v>
      </c>
      <c r="G16805" s="1" t="s">
        <v>553</v>
      </c>
      <c r="H16805" s="4" t="str">
        <f>HYPERLINK("https://portal.gdc.cancer.gov/cases/bd1c3d3b-d174-4186-bb35-364e167a1d18","TCGA-JY-A6FH-01A")</f>
        <v>TCGA-JY-A6FH-01A</v>
      </c>
      <c r="I16805" t="s">
        <v>549</v>
      </c>
      <c r="J16805" t="s">
        <v>550</v>
      </c>
      <c r="K16805" t="s">
        <v>19</v>
      </c>
      <c r="L16805" t="s">
        <v>551</v>
      </c>
      <c r="M16805" t="s">
        <v>499</v>
      </c>
      <c r="N16805" t="s">
        <v>29</v>
      </c>
    </row>
    <row r="16806" spans="1:14">
      <c r="A16806" s="4" t="str">
        <f t="shared" ref="A16806:A16817" si="1244">HYPERLINK("http://hcmdb.i-sanger.com/experiment/details/experiment_id/EXP00427","EXP00427")</f>
        <v>EXP00427</v>
      </c>
      <c r="B16806" s="3" t="s">
        <v>66</v>
      </c>
      <c r="C16806" s="4" t="str">
        <f t="shared" si="1239"/>
        <v>TCGA-ESCA</v>
      </c>
      <c r="D16806" s="1" t="s">
        <v>493</v>
      </c>
      <c r="E16806" t="s">
        <v>547</v>
      </c>
      <c r="F16806" s="1">
        <v>1</v>
      </c>
      <c r="G16806" s="1" t="s">
        <v>552</v>
      </c>
      <c r="H16806" s="4" t="str">
        <f>HYPERLINK("https://portal.gdc.cancer.gov/cases/f23794d7-35cc-4550-a03f-8e3cde1a2bcd","TCGA-2H-A9GQ-01A")</f>
        <v>TCGA-2H-A9GQ-01A</v>
      </c>
      <c r="I16806" t="s">
        <v>549</v>
      </c>
      <c r="J16806" t="s">
        <v>550</v>
      </c>
      <c r="K16806" t="s">
        <v>19</v>
      </c>
      <c r="L16806" t="s">
        <v>551</v>
      </c>
      <c r="M16806" t="s">
        <v>44</v>
      </c>
      <c r="N16806" t="s">
        <v>29</v>
      </c>
    </row>
    <row r="16807" spans="1:14">
      <c r="A16807" s="4" t="str">
        <f t="shared" si="1244"/>
        <v>EXP00427</v>
      </c>
      <c r="B16807" s="3" t="s">
        <v>66</v>
      </c>
      <c r="C16807" s="4" t="str">
        <f t="shared" si="1239"/>
        <v>TCGA-ESCA</v>
      </c>
      <c r="D16807" s="1" t="s">
        <v>493</v>
      </c>
      <c r="E16807" t="s">
        <v>547</v>
      </c>
      <c r="F16807" s="1">
        <v>1</v>
      </c>
      <c r="G16807" s="1" t="s">
        <v>552</v>
      </c>
      <c r="H16807" s="4" t="str">
        <f>HYPERLINK("https://portal.gdc.cancer.gov/cases/209e2e16-cb88-4a8f-9cdb-10e152caa26c","TCGA-L5-A43J-01A")</f>
        <v>TCGA-L5-A43J-01A</v>
      </c>
      <c r="I16807" t="s">
        <v>549</v>
      </c>
      <c r="J16807" t="s">
        <v>550</v>
      </c>
      <c r="K16807" t="s">
        <v>19</v>
      </c>
      <c r="L16807" t="s">
        <v>551</v>
      </c>
      <c r="M16807" t="s">
        <v>44</v>
      </c>
      <c r="N16807" t="s">
        <v>29</v>
      </c>
    </row>
    <row r="16808" spans="1:14">
      <c r="A16808" s="4" t="str">
        <f t="shared" si="1244"/>
        <v>EXP00427</v>
      </c>
      <c r="B16808" s="3" t="s">
        <v>66</v>
      </c>
      <c r="C16808" s="4" t="str">
        <f t="shared" si="1239"/>
        <v>TCGA-ESCA</v>
      </c>
      <c r="D16808" s="1" t="s">
        <v>493</v>
      </c>
      <c r="E16808" t="s">
        <v>547</v>
      </c>
      <c r="F16808" s="1">
        <v>1</v>
      </c>
      <c r="G16808" s="1" t="s">
        <v>552</v>
      </c>
      <c r="H16808" s="4" t="str">
        <f>HYPERLINK("https://portal.gdc.cancer.gov/cases/bf3074e6-8780-490e-a8c3-4237c19ca877","TCGA-L5-A88W-01A")</f>
        <v>TCGA-L5-A88W-01A</v>
      </c>
      <c r="I16808" t="s">
        <v>549</v>
      </c>
      <c r="J16808" t="s">
        <v>550</v>
      </c>
      <c r="K16808" t="s">
        <v>19</v>
      </c>
      <c r="L16808" t="s">
        <v>551</v>
      </c>
      <c r="M16808" t="s">
        <v>44</v>
      </c>
      <c r="N16808" t="s">
        <v>29</v>
      </c>
    </row>
    <row r="16809" spans="1:14">
      <c r="A16809" s="4" t="str">
        <f t="shared" si="1244"/>
        <v>EXP00427</v>
      </c>
      <c r="B16809" s="3" t="s">
        <v>66</v>
      </c>
      <c r="C16809" s="4" t="str">
        <f t="shared" si="1239"/>
        <v>TCGA-ESCA</v>
      </c>
      <c r="D16809" s="1" t="s">
        <v>493</v>
      </c>
      <c r="E16809" t="s">
        <v>547</v>
      </c>
      <c r="F16809" s="1">
        <v>1</v>
      </c>
      <c r="G16809" s="1" t="s">
        <v>552</v>
      </c>
      <c r="H16809" s="4" t="str">
        <f>HYPERLINK("https://portal.gdc.cancer.gov/cases/da33c637-e9db-4a67-9198-2eda750dead7","TCGA-L5-A8NR-01A")</f>
        <v>TCGA-L5-A8NR-01A</v>
      </c>
      <c r="I16809" t="s">
        <v>549</v>
      </c>
      <c r="J16809" t="s">
        <v>550</v>
      </c>
      <c r="K16809" t="s">
        <v>19</v>
      </c>
      <c r="L16809" t="s">
        <v>551</v>
      </c>
      <c r="M16809" t="s">
        <v>44</v>
      </c>
      <c r="N16809" t="s">
        <v>29</v>
      </c>
    </row>
    <row r="16810" spans="1:14">
      <c r="A16810" s="4" t="str">
        <f t="shared" si="1244"/>
        <v>EXP00427</v>
      </c>
      <c r="B16810" s="3" t="s">
        <v>66</v>
      </c>
      <c r="C16810" s="4" t="str">
        <f t="shared" si="1239"/>
        <v>TCGA-ESCA</v>
      </c>
      <c r="D16810" s="1" t="s">
        <v>493</v>
      </c>
      <c r="E16810" t="s">
        <v>547</v>
      </c>
      <c r="F16810" s="1">
        <v>1</v>
      </c>
      <c r="G16810" s="1" t="s">
        <v>552</v>
      </c>
      <c r="H16810" s="4" t="str">
        <f>HYPERLINK("https://portal.gdc.cancer.gov/cases/66118386-6ffe-4375-97d3-01908814ae32","TCGA-L5-A8NT-01A")</f>
        <v>TCGA-L5-A8NT-01A</v>
      </c>
      <c r="I16810" t="s">
        <v>549</v>
      </c>
      <c r="J16810" t="s">
        <v>550</v>
      </c>
      <c r="K16810" t="s">
        <v>19</v>
      </c>
      <c r="L16810" t="s">
        <v>551</v>
      </c>
      <c r="M16810" t="s">
        <v>44</v>
      </c>
      <c r="N16810" t="s">
        <v>29</v>
      </c>
    </row>
    <row r="16811" spans="1:14">
      <c r="A16811" s="4" t="str">
        <f t="shared" si="1244"/>
        <v>EXP00427</v>
      </c>
      <c r="B16811" s="3" t="s">
        <v>66</v>
      </c>
      <c r="C16811" s="4" t="str">
        <f t="shared" si="1239"/>
        <v>TCGA-ESCA</v>
      </c>
      <c r="D16811" s="1" t="s">
        <v>493</v>
      </c>
      <c r="E16811" t="s">
        <v>547</v>
      </c>
      <c r="F16811" s="1">
        <v>1</v>
      </c>
      <c r="G16811" s="1" t="s">
        <v>552</v>
      </c>
      <c r="H16811" s="4" t="str">
        <f>HYPERLINK("https://portal.gdc.cancer.gov/cases/d125a297-88be-4500-8ef8-b8bb02362f2b","TCGA-R6-A6L4-01A")</f>
        <v>TCGA-R6-A6L4-01A</v>
      </c>
      <c r="I16811" t="s">
        <v>549</v>
      </c>
      <c r="J16811" t="s">
        <v>550</v>
      </c>
      <c r="K16811" t="s">
        <v>19</v>
      </c>
      <c r="L16811" t="s">
        <v>551</v>
      </c>
      <c r="M16811" t="s">
        <v>44</v>
      </c>
      <c r="N16811" t="s">
        <v>29</v>
      </c>
    </row>
    <row r="16812" spans="1:14">
      <c r="A16812" s="4" t="str">
        <f t="shared" si="1244"/>
        <v>EXP00427</v>
      </c>
      <c r="B16812" s="3" t="s">
        <v>66</v>
      </c>
      <c r="C16812" s="4" t="str">
        <f t="shared" si="1239"/>
        <v>TCGA-ESCA</v>
      </c>
      <c r="D16812" s="1" t="s">
        <v>493</v>
      </c>
      <c r="E16812" t="s">
        <v>547</v>
      </c>
      <c r="F16812" s="1">
        <v>1</v>
      </c>
      <c r="G16812" s="1" t="s">
        <v>552</v>
      </c>
      <c r="H16812" s="4" t="str">
        <f>HYPERLINK("https://portal.gdc.cancer.gov/cases/1946f60d-51ca-48ba-8e94-79142594986e","TCGA-R6-A8W5-01B")</f>
        <v>TCGA-R6-A8W5-01B</v>
      </c>
      <c r="I16812" t="s">
        <v>549</v>
      </c>
      <c r="J16812" t="s">
        <v>550</v>
      </c>
      <c r="K16812" t="s">
        <v>19</v>
      </c>
      <c r="L16812" t="s">
        <v>551</v>
      </c>
      <c r="M16812" t="s">
        <v>44</v>
      </c>
      <c r="N16812" t="s">
        <v>29</v>
      </c>
    </row>
    <row r="16813" spans="1:14">
      <c r="A16813" s="4" t="str">
        <f t="shared" si="1244"/>
        <v>EXP00427</v>
      </c>
      <c r="B16813" s="3" t="s">
        <v>66</v>
      </c>
      <c r="C16813" s="4" t="str">
        <f t="shared" si="1239"/>
        <v>TCGA-ESCA</v>
      </c>
      <c r="D16813" s="1" t="s">
        <v>493</v>
      </c>
      <c r="E16813" t="s">
        <v>547</v>
      </c>
      <c r="F16813" s="1">
        <v>1</v>
      </c>
      <c r="G16813" s="1" t="s">
        <v>552</v>
      </c>
      <c r="H16813" s="4" t="str">
        <f>HYPERLINK("https://portal.gdc.cancer.gov/cases/aac385c1-42f9-4d9e-b9bf-94ca13ebc5ae","TCGA-V5-A7RC-01B")</f>
        <v>TCGA-V5-A7RC-01B</v>
      </c>
      <c r="I16813" t="s">
        <v>549</v>
      </c>
      <c r="J16813" t="s">
        <v>550</v>
      </c>
      <c r="K16813" t="s">
        <v>19</v>
      </c>
      <c r="L16813" t="s">
        <v>551</v>
      </c>
      <c r="M16813" t="s">
        <v>44</v>
      </c>
      <c r="N16813" t="s">
        <v>29</v>
      </c>
    </row>
    <row r="16814" spans="1:14">
      <c r="A16814" s="4" t="str">
        <f t="shared" si="1244"/>
        <v>EXP00427</v>
      </c>
      <c r="B16814" s="3" t="s">
        <v>66</v>
      </c>
      <c r="C16814" s="4" t="str">
        <f t="shared" si="1239"/>
        <v>TCGA-ESCA</v>
      </c>
      <c r="D16814" s="1" t="s">
        <v>493</v>
      </c>
      <c r="E16814" t="s">
        <v>547</v>
      </c>
      <c r="F16814" s="1">
        <v>1</v>
      </c>
      <c r="G16814" s="1" t="s">
        <v>552</v>
      </c>
      <c r="H16814" s="4" t="str">
        <f>HYPERLINK("https://portal.gdc.cancer.gov/cases/fdcdf592-66f1-4027-962f-a64d49be474f","TCGA-ZR-A9CJ-01B")</f>
        <v>TCGA-ZR-A9CJ-01B</v>
      </c>
      <c r="I16814" t="s">
        <v>549</v>
      </c>
      <c r="J16814" t="s">
        <v>550</v>
      </c>
      <c r="K16814" t="s">
        <v>19</v>
      </c>
      <c r="L16814" t="s">
        <v>551</v>
      </c>
      <c r="M16814" t="s">
        <v>44</v>
      </c>
      <c r="N16814" t="s">
        <v>29</v>
      </c>
    </row>
    <row r="16815" spans="1:14">
      <c r="A16815" s="4" t="str">
        <f t="shared" si="1244"/>
        <v>EXP00427</v>
      </c>
      <c r="B16815" s="3" t="s">
        <v>66</v>
      </c>
      <c r="C16815" s="4" t="str">
        <f t="shared" si="1239"/>
        <v>TCGA-ESCA</v>
      </c>
      <c r="D16815" s="1" t="s">
        <v>493</v>
      </c>
      <c r="E16815" t="s">
        <v>547</v>
      </c>
      <c r="F16815" s="1">
        <v>2</v>
      </c>
      <c r="G16815" s="1" t="s">
        <v>554</v>
      </c>
      <c r="H16815" s="4" t="str">
        <f>HYPERLINK("https://portal.gdc.cancer.gov/cases/3633aeab-a763-438f-ad03-1b4ac8b3a621","TCGA-JY-A6FA-01A")</f>
        <v>TCGA-JY-A6FA-01A</v>
      </c>
      <c r="I16815" t="s">
        <v>549</v>
      </c>
      <c r="J16815" t="s">
        <v>550</v>
      </c>
      <c r="K16815" t="s">
        <v>19</v>
      </c>
      <c r="L16815" t="s">
        <v>551</v>
      </c>
      <c r="M16815" t="s">
        <v>41</v>
      </c>
      <c r="N16815" t="s">
        <v>29</v>
      </c>
    </row>
    <row r="16816" spans="1:14">
      <c r="A16816" s="4" t="str">
        <f t="shared" si="1244"/>
        <v>EXP00427</v>
      </c>
      <c r="B16816" s="3" t="s">
        <v>66</v>
      </c>
      <c r="C16816" s="4" t="str">
        <f t="shared" si="1239"/>
        <v>TCGA-ESCA</v>
      </c>
      <c r="D16816" s="1" t="s">
        <v>493</v>
      </c>
      <c r="E16816" t="s">
        <v>547</v>
      </c>
      <c r="F16816" s="1">
        <v>2</v>
      </c>
      <c r="G16816" s="1" t="s">
        <v>554</v>
      </c>
      <c r="H16816" s="4" t="str">
        <f>HYPERLINK("https://portal.gdc.cancer.gov/cases/9e02a368-8858-4ec5-8c27-9e0876d387a4","TCGA-L5-A8NJ-01A")</f>
        <v>TCGA-L5-A8NJ-01A</v>
      </c>
      <c r="I16816" t="s">
        <v>549</v>
      </c>
      <c r="J16816" t="s">
        <v>550</v>
      </c>
      <c r="K16816" t="s">
        <v>19</v>
      </c>
      <c r="L16816" t="s">
        <v>551</v>
      </c>
      <c r="M16816" t="s">
        <v>41</v>
      </c>
      <c r="N16816" t="s">
        <v>29</v>
      </c>
    </row>
    <row r="16817" spans="1:14">
      <c r="A16817" s="4" t="str">
        <f t="shared" si="1244"/>
        <v>EXP00427</v>
      </c>
      <c r="B16817" s="3" t="s">
        <v>66</v>
      </c>
      <c r="C16817" s="4" t="str">
        <f t="shared" si="1239"/>
        <v>TCGA-ESCA</v>
      </c>
      <c r="D16817" s="1" t="s">
        <v>493</v>
      </c>
      <c r="E16817" t="s">
        <v>547</v>
      </c>
      <c r="F16817" s="1">
        <v>2</v>
      </c>
      <c r="G16817" s="1" t="s">
        <v>554</v>
      </c>
      <c r="H16817" s="4" t="str">
        <f>HYPERLINK("https://portal.gdc.cancer.gov/cases/318e257e-7bff-4ca0-8f0e-acb02516437e","TCGA-L5-A8NS-01A")</f>
        <v>TCGA-L5-A8NS-01A</v>
      </c>
      <c r="I16817" t="s">
        <v>549</v>
      </c>
      <c r="J16817" t="s">
        <v>550</v>
      </c>
      <c r="K16817" t="s">
        <v>19</v>
      </c>
      <c r="L16817" t="s">
        <v>551</v>
      </c>
      <c r="M16817" t="s">
        <v>41</v>
      </c>
      <c r="N16817" t="s">
        <v>29</v>
      </c>
    </row>
    <row r="16818" spans="1:14">
      <c r="A16818" s="4" t="str">
        <f t="shared" ref="A16818:A16831" si="1245">HYPERLINK("http://hcmdb.i-sanger.com/experiment/details/experiment_id/EXP00428","EXP00428")</f>
        <v>EXP00428</v>
      </c>
      <c r="B16818" s="3" t="s">
        <v>66</v>
      </c>
      <c r="C16818" s="4" t="str">
        <f t="shared" si="1239"/>
        <v>TCGA-ESCA</v>
      </c>
      <c r="D16818" s="1" t="s">
        <v>493</v>
      </c>
      <c r="E16818" t="s">
        <v>547</v>
      </c>
      <c r="F16818" s="1">
        <v>1</v>
      </c>
      <c r="G16818" s="1" t="s">
        <v>552</v>
      </c>
      <c r="H16818" s="4" t="str">
        <f>HYPERLINK("https://portal.gdc.cancer.gov/cases/f23794d7-35cc-4550-a03f-8e3cde1a2bcd","TCGA-2H-A9GQ-01A")</f>
        <v>TCGA-2H-A9GQ-01A</v>
      </c>
      <c r="I16818" t="s">
        <v>549</v>
      </c>
      <c r="J16818" t="s">
        <v>550</v>
      </c>
      <c r="K16818" t="s">
        <v>19</v>
      </c>
      <c r="L16818" t="s">
        <v>551</v>
      </c>
      <c r="M16818" t="s">
        <v>44</v>
      </c>
      <c r="N16818" t="s">
        <v>29</v>
      </c>
    </row>
    <row r="16819" spans="1:14">
      <c r="A16819" s="4" t="str">
        <f t="shared" si="1245"/>
        <v>EXP00428</v>
      </c>
      <c r="B16819" s="3" t="s">
        <v>66</v>
      </c>
      <c r="C16819" s="4" t="str">
        <f t="shared" si="1239"/>
        <v>TCGA-ESCA</v>
      </c>
      <c r="D16819" s="1" t="s">
        <v>493</v>
      </c>
      <c r="E16819" t="s">
        <v>547</v>
      </c>
      <c r="F16819" s="1">
        <v>1</v>
      </c>
      <c r="G16819" s="1" t="s">
        <v>552</v>
      </c>
      <c r="H16819" s="4" t="str">
        <f>HYPERLINK("https://portal.gdc.cancer.gov/cases/209e2e16-cb88-4a8f-9cdb-10e152caa26c","TCGA-L5-A43J-01A")</f>
        <v>TCGA-L5-A43J-01A</v>
      </c>
      <c r="I16819" t="s">
        <v>549</v>
      </c>
      <c r="J16819" t="s">
        <v>550</v>
      </c>
      <c r="K16819" t="s">
        <v>19</v>
      </c>
      <c r="L16819" t="s">
        <v>551</v>
      </c>
      <c r="M16819" t="s">
        <v>44</v>
      </c>
      <c r="N16819" t="s">
        <v>29</v>
      </c>
    </row>
    <row r="16820" spans="1:14">
      <c r="A16820" s="4" t="str">
        <f t="shared" si="1245"/>
        <v>EXP00428</v>
      </c>
      <c r="B16820" s="3" t="s">
        <v>66</v>
      </c>
      <c r="C16820" s="4" t="str">
        <f t="shared" si="1239"/>
        <v>TCGA-ESCA</v>
      </c>
      <c r="D16820" s="1" t="s">
        <v>493</v>
      </c>
      <c r="E16820" t="s">
        <v>547</v>
      </c>
      <c r="F16820" s="1">
        <v>1</v>
      </c>
      <c r="G16820" s="1" t="s">
        <v>552</v>
      </c>
      <c r="H16820" s="4" t="str">
        <f>HYPERLINK("https://portal.gdc.cancer.gov/cases/bf3074e6-8780-490e-a8c3-4237c19ca877","TCGA-L5-A88W-01A")</f>
        <v>TCGA-L5-A88W-01A</v>
      </c>
      <c r="I16820" t="s">
        <v>549</v>
      </c>
      <c r="J16820" t="s">
        <v>550</v>
      </c>
      <c r="K16820" t="s">
        <v>19</v>
      </c>
      <c r="L16820" t="s">
        <v>551</v>
      </c>
      <c r="M16820" t="s">
        <v>44</v>
      </c>
      <c r="N16820" t="s">
        <v>29</v>
      </c>
    </row>
    <row r="16821" spans="1:14">
      <c r="A16821" s="4" t="str">
        <f t="shared" si="1245"/>
        <v>EXP00428</v>
      </c>
      <c r="B16821" s="3" t="s">
        <v>66</v>
      </c>
      <c r="C16821" s="4" t="str">
        <f t="shared" si="1239"/>
        <v>TCGA-ESCA</v>
      </c>
      <c r="D16821" s="1" t="s">
        <v>493</v>
      </c>
      <c r="E16821" t="s">
        <v>547</v>
      </c>
      <c r="F16821" s="1">
        <v>1</v>
      </c>
      <c r="G16821" s="1" t="s">
        <v>552</v>
      </c>
      <c r="H16821" s="4" t="str">
        <f>HYPERLINK("https://portal.gdc.cancer.gov/cases/da33c637-e9db-4a67-9198-2eda750dead7","TCGA-L5-A8NR-01A")</f>
        <v>TCGA-L5-A8NR-01A</v>
      </c>
      <c r="I16821" t="s">
        <v>549</v>
      </c>
      <c r="J16821" t="s">
        <v>550</v>
      </c>
      <c r="K16821" t="s">
        <v>19</v>
      </c>
      <c r="L16821" t="s">
        <v>551</v>
      </c>
      <c r="M16821" t="s">
        <v>44</v>
      </c>
      <c r="N16821" t="s">
        <v>29</v>
      </c>
    </row>
    <row r="16822" spans="1:14">
      <c r="A16822" s="4" t="str">
        <f t="shared" si="1245"/>
        <v>EXP00428</v>
      </c>
      <c r="B16822" s="3" t="s">
        <v>66</v>
      </c>
      <c r="C16822" s="4" t="str">
        <f t="shared" si="1239"/>
        <v>TCGA-ESCA</v>
      </c>
      <c r="D16822" s="1" t="s">
        <v>493</v>
      </c>
      <c r="E16822" t="s">
        <v>547</v>
      </c>
      <c r="F16822" s="1">
        <v>1</v>
      </c>
      <c r="G16822" s="1" t="s">
        <v>552</v>
      </c>
      <c r="H16822" s="4" t="str">
        <f>HYPERLINK("https://portal.gdc.cancer.gov/cases/66118386-6ffe-4375-97d3-01908814ae32","TCGA-L5-A8NT-01A")</f>
        <v>TCGA-L5-A8NT-01A</v>
      </c>
      <c r="I16822" t="s">
        <v>549</v>
      </c>
      <c r="J16822" t="s">
        <v>550</v>
      </c>
      <c r="K16822" t="s">
        <v>19</v>
      </c>
      <c r="L16822" t="s">
        <v>551</v>
      </c>
      <c r="M16822" t="s">
        <v>44</v>
      </c>
      <c r="N16822" t="s">
        <v>29</v>
      </c>
    </row>
    <row r="16823" spans="1:14">
      <c r="A16823" s="4" t="str">
        <f t="shared" si="1245"/>
        <v>EXP00428</v>
      </c>
      <c r="B16823" s="3" t="s">
        <v>66</v>
      </c>
      <c r="C16823" s="4" t="str">
        <f t="shared" si="1239"/>
        <v>TCGA-ESCA</v>
      </c>
      <c r="D16823" s="1" t="s">
        <v>493</v>
      </c>
      <c r="E16823" t="s">
        <v>547</v>
      </c>
      <c r="F16823" s="1">
        <v>1</v>
      </c>
      <c r="G16823" s="1" t="s">
        <v>552</v>
      </c>
      <c r="H16823" s="4" t="str">
        <f>HYPERLINK("https://portal.gdc.cancer.gov/cases/d125a297-88be-4500-8ef8-b8bb02362f2b","TCGA-R6-A6L4-01A")</f>
        <v>TCGA-R6-A6L4-01A</v>
      </c>
      <c r="I16823" t="s">
        <v>549</v>
      </c>
      <c r="J16823" t="s">
        <v>550</v>
      </c>
      <c r="K16823" t="s">
        <v>19</v>
      </c>
      <c r="L16823" t="s">
        <v>551</v>
      </c>
      <c r="M16823" t="s">
        <v>44</v>
      </c>
      <c r="N16823" t="s">
        <v>29</v>
      </c>
    </row>
    <row r="16824" spans="1:14">
      <c r="A16824" s="4" t="str">
        <f t="shared" si="1245"/>
        <v>EXP00428</v>
      </c>
      <c r="B16824" s="3" t="s">
        <v>66</v>
      </c>
      <c r="C16824" s="4" t="str">
        <f t="shared" si="1239"/>
        <v>TCGA-ESCA</v>
      </c>
      <c r="D16824" s="1" t="s">
        <v>493</v>
      </c>
      <c r="E16824" t="s">
        <v>547</v>
      </c>
      <c r="F16824" s="1">
        <v>1</v>
      </c>
      <c r="G16824" s="1" t="s">
        <v>552</v>
      </c>
      <c r="H16824" s="4" t="str">
        <f>HYPERLINK("https://portal.gdc.cancer.gov/cases/1946f60d-51ca-48ba-8e94-79142594986e","TCGA-R6-A8W5-01B")</f>
        <v>TCGA-R6-A8W5-01B</v>
      </c>
      <c r="I16824" t="s">
        <v>549</v>
      </c>
      <c r="J16824" t="s">
        <v>550</v>
      </c>
      <c r="K16824" t="s">
        <v>19</v>
      </c>
      <c r="L16824" t="s">
        <v>551</v>
      </c>
      <c r="M16824" t="s">
        <v>44</v>
      </c>
      <c r="N16824" t="s">
        <v>29</v>
      </c>
    </row>
    <row r="16825" spans="1:14">
      <c r="A16825" s="4" t="str">
        <f t="shared" si="1245"/>
        <v>EXP00428</v>
      </c>
      <c r="B16825" s="3" t="s">
        <v>66</v>
      </c>
      <c r="C16825" s="4" t="str">
        <f t="shared" si="1239"/>
        <v>TCGA-ESCA</v>
      </c>
      <c r="D16825" s="1" t="s">
        <v>493</v>
      </c>
      <c r="E16825" t="s">
        <v>547</v>
      </c>
      <c r="F16825" s="1">
        <v>1</v>
      </c>
      <c r="G16825" s="1" t="s">
        <v>552</v>
      </c>
      <c r="H16825" s="4" t="str">
        <f>HYPERLINK("https://portal.gdc.cancer.gov/cases/aac385c1-42f9-4d9e-b9bf-94ca13ebc5ae","TCGA-V5-A7RC-01B")</f>
        <v>TCGA-V5-A7RC-01B</v>
      </c>
      <c r="I16825" t="s">
        <v>549</v>
      </c>
      <c r="J16825" t="s">
        <v>550</v>
      </c>
      <c r="K16825" t="s">
        <v>19</v>
      </c>
      <c r="L16825" t="s">
        <v>551</v>
      </c>
      <c r="M16825" t="s">
        <v>44</v>
      </c>
      <c r="N16825" t="s">
        <v>29</v>
      </c>
    </row>
    <row r="16826" spans="1:14">
      <c r="A16826" s="4" t="str">
        <f t="shared" si="1245"/>
        <v>EXP00428</v>
      </c>
      <c r="B16826" s="3" t="s">
        <v>66</v>
      </c>
      <c r="C16826" s="4" t="str">
        <f t="shared" si="1239"/>
        <v>TCGA-ESCA</v>
      </c>
      <c r="D16826" s="1" t="s">
        <v>493</v>
      </c>
      <c r="E16826" t="s">
        <v>547</v>
      </c>
      <c r="F16826" s="1">
        <v>1</v>
      </c>
      <c r="G16826" s="1" t="s">
        <v>552</v>
      </c>
      <c r="H16826" s="4" t="str">
        <f>HYPERLINK("https://portal.gdc.cancer.gov/cases/fdcdf592-66f1-4027-962f-a64d49be474f","TCGA-ZR-A9CJ-01B")</f>
        <v>TCGA-ZR-A9CJ-01B</v>
      </c>
      <c r="I16826" t="s">
        <v>549</v>
      </c>
      <c r="J16826" t="s">
        <v>550</v>
      </c>
      <c r="K16826" t="s">
        <v>19</v>
      </c>
      <c r="L16826" t="s">
        <v>551</v>
      </c>
      <c r="M16826" t="s">
        <v>44</v>
      </c>
      <c r="N16826" t="s">
        <v>29</v>
      </c>
    </row>
    <row r="16827" spans="1:14">
      <c r="A16827" s="4" t="str">
        <f t="shared" si="1245"/>
        <v>EXP00428</v>
      </c>
      <c r="B16827" s="3" t="s">
        <v>66</v>
      </c>
      <c r="C16827" s="4" t="str">
        <f t="shared" si="1239"/>
        <v>TCGA-ESCA</v>
      </c>
      <c r="D16827" s="1" t="s">
        <v>493</v>
      </c>
      <c r="E16827" t="s">
        <v>547</v>
      </c>
      <c r="F16827" s="1">
        <v>2</v>
      </c>
      <c r="G16827" s="1" t="s">
        <v>555</v>
      </c>
      <c r="H16827" s="4" t="str">
        <f>HYPERLINK("https://portal.gdc.cancer.gov/cases/ee47cd59-c8d8-4b1e-96db-91c679e4106f","TCGA-2H-A9GJ-01A")</f>
        <v>TCGA-2H-A9GJ-01A</v>
      </c>
      <c r="I16827" t="s">
        <v>549</v>
      </c>
      <c r="J16827" t="s">
        <v>550</v>
      </c>
      <c r="K16827" t="s">
        <v>19</v>
      </c>
      <c r="L16827" t="s">
        <v>551</v>
      </c>
      <c r="M16827" t="s">
        <v>47</v>
      </c>
      <c r="N16827" t="s">
        <v>29</v>
      </c>
    </row>
    <row r="16828" spans="1:14">
      <c r="A16828" s="4" t="str">
        <f t="shared" si="1245"/>
        <v>EXP00428</v>
      </c>
      <c r="B16828" s="3" t="s">
        <v>66</v>
      </c>
      <c r="C16828" s="4" t="str">
        <f t="shared" si="1239"/>
        <v>TCGA-ESCA</v>
      </c>
      <c r="D16828" s="1" t="s">
        <v>493</v>
      </c>
      <c r="E16828" t="s">
        <v>547</v>
      </c>
      <c r="F16828" s="1">
        <v>2</v>
      </c>
      <c r="G16828" s="1" t="s">
        <v>555</v>
      </c>
      <c r="H16828" s="4" t="str">
        <f>HYPERLINK("https://portal.gdc.cancer.gov/cases/6584fa8f-b4f4-4844-a71e-3bfb731ad445","TCGA-2H-A9GM-01A")</f>
        <v>TCGA-2H-A9GM-01A</v>
      </c>
      <c r="I16828" t="s">
        <v>549</v>
      </c>
      <c r="J16828" t="s">
        <v>550</v>
      </c>
      <c r="K16828" t="s">
        <v>19</v>
      </c>
      <c r="L16828" t="s">
        <v>551</v>
      </c>
      <c r="M16828" t="s">
        <v>47</v>
      </c>
      <c r="N16828" t="s">
        <v>29</v>
      </c>
    </row>
    <row r="16829" spans="1:14">
      <c r="A16829" s="4" t="str">
        <f t="shared" si="1245"/>
        <v>EXP00428</v>
      </c>
      <c r="B16829" s="3" t="s">
        <v>66</v>
      </c>
      <c r="C16829" s="4" t="str">
        <f t="shared" si="1239"/>
        <v>TCGA-ESCA</v>
      </c>
      <c r="D16829" s="1" t="s">
        <v>493</v>
      </c>
      <c r="E16829" t="s">
        <v>547</v>
      </c>
      <c r="F16829" s="1">
        <v>2</v>
      </c>
      <c r="G16829" s="1" t="s">
        <v>555</v>
      </c>
      <c r="H16829" s="4" t="str">
        <f>HYPERLINK("https://portal.gdc.cancer.gov/cases/26e7f083-a91b-4c04-84fe-d43be9722b18","TCGA-JY-A6FE-01A")</f>
        <v>TCGA-JY-A6FE-01A</v>
      </c>
      <c r="I16829" t="s">
        <v>549</v>
      </c>
      <c r="J16829" t="s">
        <v>550</v>
      </c>
      <c r="K16829" t="s">
        <v>19</v>
      </c>
      <c r="L16829" t="s">
        <v>551</v>
      </c>
      <c r="M16829" t="s">
        <v>47</v>
      </c>
      <c r="N16829" t="s">
        <v>29</v>
      </c>
    </row>
    <row r="16830" spans="1:14">
      <c r="A16830" s="4" t="str">
        <f t="shared" si="1245"/>
        <v>EXP00428</v>
      </c>
      <c r="B16830" s="3" t="s">
        <v>66</v>
      </c>
      <c r="C16830" s="4" t="str">
        <f t="shared" ref="C16830:C16893" si="1246">HYPERLINK("https://portal.gdc.cancer.gov/projects/TCGA-ESCA","TCGA-ESCA")</f>
        <v>TCGA-ESCA</v>
      </c>
      <c r="D16830" s="1" t="s">
        <v>493</v>
      </c>
      <c r="E16830" t="s">
        <v>547</v>
      </c>
      <c r="F16830" s="1">
        <v>2</v>
      </c>
      <c r="G16830" s="1" t="s">
        <v>555</v>
      </c>
      <c r="H16830" s="4" t="str">
        <f>HYPERLINK("https://portal.gdc.cancer.gov/cases/97394c78-2815-4348-b4c9-df0b3b3d6b5e","TCGA-JY-A938-01A")</f>
        <v>TCGA-JY-A938-01A</v>
      </c>
      <c r="I16830" t="s">
        <v>549</v>
      </c>
      <c r="J16830" t="s">
        <v>550</v>
      </c>
      <c r="K16830" t="s">
        <v>19</v>
      </c>
      <c r="L16830" t="s">
        <v>551</v>
      </c>
      <c r="M16830" t="s">
        <v>47</v>
      </c>
      <c r="N16830" t="s">
        <v>29</v>
      </c>
    </row>
    <row r="16831" spans="1:14">
      <c r="A16831" s="4" t="str">
        <f t="shared" si="1245"/>
        <v>EXP00428</v>
      </c>
      <c r="B16831" s="3" t="s">
        <v>66</v>
      </c>
      <c r="C16831" s="4" t="str">
        <f t="shared" si="1246"/>
        <v>TCGA-ESCA</v>
      </c>
      <c r="D16831" s="1" t="s">
        <v>493</v>
      </c>
      <c r="E16831" t="s">
        <v>547</v>
      </c>
      <c r="F16831" s="1">
        <v>2</v>
      </c>
      <c r="G16831" s="1" t="s">
        <v>555</v>
      </c>
      <c r="H16831" s="4" t="str">
        <f>HYPERLINK("https://portal.gdc.cancer.gov/cases/608ef42f-ccd7-4ae0-8156-8775a0f09bcf","TCGA-R6-A8WG-01A")</f>
        <v>TCGA-R6-A8WG-01A</v>
      </c>
      <c r="I16831" t="s">
        <v>549</v>
      </c>
      <c r="J16831" t="s">
        <v>550</v>
      </c>
      <c r="K16831" t="s">
        <v>19</v>
      </c>
      <c r="L16831" t="s">
        <v>551</v>
      </c>
      <c r="M16831" t="s">
        <v>47</v>
      </c>
      <c r="N16831" t="s">
        <v>29</v>
      </c>
    </row>
    <row r="16832" spans="1:14">
      <c r="A16832" s="4" t="str">
        <f t="shared" ref="A16832:A16837" si="1247">HYPERLINK("http://hcmdb.i-sanger.com/experiment/details/experiment_id/EXP00429","EXP00429")</f>
        <v>EXP00429</v>
      </c>
      <c r="B16832" s="3" t="s">
        <v>66</v>
      </c>
      <c r="C16832" s="4" t="str">
        <f t="shared" si="1246"/>
        <v>TCGA-ESCA</v>
      </c>
      <c r="D16832" s="1" t="s">
        <v>493</v>
      </c>
      <c r="E16832" t="s">
        <v>547</v>
      </c>
      <c r="F16832" s="1">
        <v>1</v>
      </c>
      <c r="G16832" s="1" t="s">
        <v>553</v>
      </c>
      <c r="H16832" s="4" t="str">
        <f>HYPERLINK("https://portal.gdc.cancer.gov/cases/606dc5b8-7625-42a6-a936-504ef25623a4","TCGA-2H-A9GH-01A")</f>
        <v>TCGA-2H-A9GH-01A</v>
      </c>
      <c r="I16832" t="s">
        <v>549</v>
      </c>
      <c r="J16832" t="s">
        <v>550</v>
      </c>
      <c r="K16832" t="s">
        <v>19</v>
      </c>
      <c r="L16832" t="s">
        <v>551</v>
      </c>
      <c r="M16832" t="s">
        <v>499</v>
      </c>
      <c r="N16832" t="s">
        <v>29</v>
      </c>
    </row>
    <row r="16833" spans="1:14">
      <c r="A16833" s="4" t="str">
        <f t="shared" si="1247"/>
        <v>EXP00429</v>
      </c>
      <c r="B16833" s="3" t="s">
        <v>66</v>
      </c>
      <c r="C16833" s="4" t="str">
        <f t="shared" si="1246"/>
        <v>TCGA-ESCA</v>
      </c>
      <c r="D16833" s="1" t="s">
        <v>493</v>
      </c>
      <c r="E16833" t="s">
        <v>547</v>
      </c>
      <c r="F16833" s="1">
        <v>1</v>
      </c>
      <c r="G16833" s="1" t="s">
        <v>553</v>
      </c>
      <c r="H16833" s="4" t="str">
        <f>HYPERLINK("https://portal.gdc.cancer.gov/cases/ca400ea1-3e4e-437e-a54c-446431b741da","TCGA-2H-A9GO-01A")</f>
        <v>TCGA-2H-A9GO-01A</v>
      </c>
      <c r="I16833" t="s">
        <v>549</v>
      </c>
      <c r="J16833" t="s">
        <v>550</v>
      </c>
      <c r="K16833" t="s">
        <v>19</v>
      </c>
      <c r="L16833" t="s">
        <v>551</v>
      </c>
      <c r="M16833" t="s">
        <v>499</v>
      </c>
      <c r="N16833" t="s">
        <v>29</v>
      </c>
    </row>
    <row r="16834" spans="1:14">
      <c r="A16834" s="4" t="str">
        <f t="shared" si="1247"/>
        <v>EXP00429</v>
      </c>
      <c r="B16834" s="3" t="s">
        <v>66</v>
      </c>
      <c r="C16834" s="4" t="str">
        <f t="shared" si="1246"/>
        <v>TCGA-ESCA</v>
      </c>
      <c r="D16834" s="1" t="s">
        <v>493</v>
      </c>
      <c r="E16834" t="s">
        <v>547</v>
      </c>
      <c r="F16834" s="1">
        <v>1</v>
      </c>
      <c r="G16834" s="1" t="s">
        <v>553</v>
      </c>
      <c r="H16834" s="4" t="str">
        <f>HYPERLINK("https://portal.gdc.cancer.gov/cases/bd1c3d3b-d174-4186-bb35-364e167a1d18","TCGA-JY-A6FH-01A")</f>
        <v>TCGA-JY-A6FH-01A</v>
      </c>
      <c r="I16834" t="s">
        <v>549</v>
      </c>
      <c r="J16834" t="s">
        <v>550</v>
      </c>
      <c r="K16834" t="s">
        <v>19</v>
      </c>
      <c r="L16834" t="s">
        <v>551</v>
      </c>
      <c r="M16834" t="s">
        <v>499</v>
      </c>
      <c r="N16834" t="s">
        <v>29</v>
      </c>
    </row>
    <row r="16835" spans="1:14">
      <c r="A16835" s="4" t="str">
        <f t="shared" si="1247"/>
        <v>EXP00429</v>
      </c>
      <c r="B16835" s="3" t="s">
        <v>66</v>
      </c>
      <c r="C16835" s="4" t="str">
        <f t="shared" si="1246"/>
        <v>TCGA-ESCA</v>
      </c>
      <c r="D16835" s="1" t="s">
        <v>493</v>
      </c>
      <c r="E16835" t="s">
        <v>547</v>
      </c>
      <c r="F16835" s="1">
        <v>2</v>
      </c>
      <c r="G16835" s="1" t="s">
        <v>554</v>
      </c>
      <c r="H16835" s="4" t="str">
        <f>HYPERLINK("https://portal.gdc.cancer.gov/cases/3633aeab-a763-438f-ad03-1b4ac8b3a621","TCGA-JY-A6FA-01A")</f>
        <v>TCGA-JY-A6FA-01A</v>
      </c>
      <c r="I16835" t="s">
        <v>549</v>
      </c>
      <c r="J16835" t="s">
        <v>550</v>
      </c>
      <c r="K16835" t="s">
        <v>19</v>
      </c>
      <c r="L16835" t="s">
        <v>551</v>
      </c>
      <c r="M16835" t="s">
        <v>41</v>
      </c>
      <c r="N16835" t="s">
        <v>29</v>
      </c>
    </row>
    <row r="16836" spans="1:14">
      <c r="A16836" s="4" t="str">
        <f t="shared" si="1247"/>
        <v>EXP00429</v>
      </c>
      <c r="B16836" s="3" t="s">
        <v>66</v>
      </c>
      <c r="C16836" s="4" t="str">
        <f t="shared" si="1246"/>
        <v>TCGA-ESCA</v>
      </c>
      <c r="D16836" s="1" t="s">
        <v>493</v>
      </c>
      <c r="E16836" t="s">
        <v>547</v>
      </c>
      <c r="F16836" s="1">
        <v>2</v>
      </c>
      <c r="G16836" s="1" t="s">
        <v>554</v>
      </c>
      <c r="H16836" s="4" t="str">
        <f>HYPERLINK("https://portal.gdc.cancer.gov/cases/9e02a368-8858-4ec5-8c27-9e0876d387a4","TCGA-L5-A8NJ-01A")</f>
        <v>TCGA-L5-A8NJ-01A</v>
      </c>
      <c r="I16836" t="s">
        <v>549</v>
      </c>
      <c r="J16836" t="s">
        <v>550</v>
      </c>
      <c r="K16836" t="s">
        <v>19</v>
      </c>
      <c r="L16836" t="s">
        <v>551</v>
      </c>
      <c r="M16836" t="s">
        <v>41</v>
      </c>
      <c r="N16836" t="s">
        <v>29</v>
      </c>
    </row>
    <row r="16837" spans="1:14">
      <c r="A16837" s="4" t="str">
        <f t="shared" si="1247"/>
        <v>EXP00429</v>
      </c>
      <c r="B16837" s="3" t="s">
        <v>66</v>
      </c>
      <c r="C16837" s="4" t="str">
        <f t="shared" si="1246"/>
        <v>TCGA-ESCA</v>
      </c>
      <c r="D16837" s="1" t="s">
        <v>493</v>
      </c>
      <c r="E16837" t="s">
        <v>547</v>
      </c>
      <c r="F16837" s="1">
        <v>2</v>
      </c>
      <c r="G16837" s="1" t="s">
        <v>554</v>
      </c>
      <c r="H16837" s="4" t="str">
        <f>HYPERLINK("https://portal.gdc.cancer.gov/cases/318e257e-7bff-4ca0-8f0e-acb02516437e","TCGA-L5-A8NS-01A")</f>
        <v>TCGA-L5-A8NS-01A</v>
      </c>
      <c r="I16837" t="s">
        <v>549</v>
      </c>
      <c r="J16837" t="s">
        <v>550</v>
      </c>
      <c r="K16837" t="s">
        <v>19</v>
      </c>
      <c r="L16837" t="s">
        <v>551</v>
      </c>
      <c r="M16837" t="s">
        <v>41</v>
      </c>
      <c r="N16837" t="s">
        <v>29</v>
      </c>
    </row>
    <row r="16838" spans="1:14">
      <c r="A16838" s="4" t="str">
        <f t="shared" ref="A16838:A16845" si="1248">HYPERLINK("http://hcmdb.i-sanger.com/experiment/details/experiment_id/EXP00430","EXP00430")</f>
        <v>EXP00430</v>
      </c>
      <c r="B16838" s="3" t="s">
        <v>66</v>
      </c>
      <c r="C16838" s="4" t="str">
        <f t="shared" si="1246"/>
        <v>TCGA-ESCA</v>
      </c>
      <c r="D16838" s="1" t="s">
        <v>493</v>
      </c>
      <c r="E16838" t="s">
        <v>547</v>
      </c>
      <c r="F16838" s="1">
        <v>1</v>
      </c>
      <c r="G16838" s="1" t="s">
        <v>553</v>
      </c>
      <c r="H16838" s="4" t="str">
        <f>HYPERLINK("https://portal.gdc.cancer.gov/cases/606dc5b8-7625-42a6-a936-504ef25623a4","TCGA-2H-A9GH-01A")</f>
        <v>TCGA-2H-A9GH-01A</v>
      </c>
      <c r="I16838" t="s">
        <v>549</v>
      </c>
      <c r="J16838" t="s">
        <v>550</v>
      </c>
      <c r="K16838" t="s">
        <v>19</v>
      </c>
      <c r="L16838" t="s">
        <v>551</v>
      </c>
      <c r="M16838" t="s">
        <v>499</v>
      </c>
      <c r="N16838" t="s">
        <v>29</v>
      </c>
    </row>
    <row r="16839" spans="1:14">
      <c r="A16839" s="4" t="str">
        <f t="shared" si="1248"/>
        <v>EXP00430</v>
      </c>
      <c r="B16839" s="3" t="s">
        <v>66</v>
      </c>
      <c r="C16839" s="4" t="str">
        <f t="shared" si="1246"/>
        <v>TCGA-ESCA</v>
      </c>
      <c r="D16839" s="1" t="s">
        <v>493</v>
      </c>
      <c r="E16839" t="s">
        <v>547</v>
      </c>
      <c r="F16839" s="1">
        <v>1</v>
      </c>
      <c r="G16839" s="1" t="s">
        <v>553</v>
      </c>
      <c r="H16839" s="4" t="str">
        <f>HYPERLINK("https://portal.gdc.cancer.gov/cases/ca400ea1-3e4e-437e-a54c-446431b741da","TCGA-2H-A9GO-01A")</f>
        <v>TCGA-2H-A9GO-01A</v>
      </c>
      <c r="I16839" t="s">
        <v>549</v>
      </c>
      <c r="J16839" t="s">
        <v>550</v>
      </c>
      <c r="K16839" t="s">
        <v>19</v>
      </c>
      <c r="L16839" t="s">
        <v>551</v>
      </c>
      <c r="M16839" t="s">
        <v>499</v>
      </c>
      <c r="N16839" t="s">
        <v>29</v>
      </c>
    </row>
    <row r="16840" spans="1:14">
      <c r="A16840" s="4" t="str">
        <f t="shared" si="1248"/>
        <v>EXP00430</v>
      </c>
      <c r="B16840" s="3" t="s">
        <v>66</v>
      </c>
      <c r="C16840" s="4" t="str">
        <f t="shared" si="1246"/>
        <v>TCGA-ESCA</v>
      </c>
      <c r="D16840" s="1" t="s">
        <v>493</v>
      </c>
      <c r="E16840" t="s">
        <v>547</v>
      </c>
      <c r="F16840" s="1">
        <v>1</v>
      </c>
      <c r="G16840" s="1" t="s">
        <v>553</v>
      </c>
      <c r="H16840" s="4" t="str">
        <f>HYPERLINK("https://portal.gdc.cancer.gov/cases/bd1c3d3b-d174-4186-bb35-364e167a1d18","TCGA-JY-A6FH-01A")</f>
        <v>TCGA-JY-A6FH-01A</v>
      </c>
      <c r="I16840" t="s">
        <v>549</v>
      </c>
      <c r="J16840" t="s">
        <v>550</v>
      </c>
      <c r="K16840" t="s">
        <v>19</v>
      </c>
      <c r="L16840" t="s">
        <v>551</v>
      </c>
      <c r="M16840" t="s">
        <v>499</v>
      </c>
      <c r="N16840" t="s">
        <v>29</v>
      </c>
    </row>
    <row r="16841" spans="1:14">
      <c r="A16841" s="4" t="str">
        <f t="shared" si="1248"/>
        <v>EXP00430</v>
      </c>
      <c r="B16841" s="3" t="s">
        <v>66</v>
      </c>
      <c r="C16841" s="4" t="str">
        <f t="shared" si="1246"/>
        <v>TCGA-ESCA</v>
      </c>
      <c r="D16841" s="1" t="s">
        <v>493</v>
      </c>
      <c r="E16841" t="s">
        <v>547</v>
      </c>
      <c r="F16841" s="1">
        <v>2</v>
      </c>
      <c r="G16841" s="1" t="s">
        <v>555</v>
      </c>
      <c r="H16841" s="4" t="str">
        <f>HYPERLINK("https://portal.gdc.cancer.gov/cases/ee47cd59-c8d8-4b1e-96db-91c679e4106f","TCGA-2H-A9GJ-01A")</f>
        <v>TCGA-2H-A9GJ-01A</v>
      </c>
      <c r="I16841" t="s">
        <v>549</v>
      </c>
      <c r="J16841" t="s">
        <v>550</v>
      </c>
      <c r="K16841" t="s">
        <v>19</v>
      </c>
      <c r="L16841" t="s">
        <v>551</v>
      </c>
      <c r="M16841" t="s">
        <v>47</v>
      </c>
      <c r="N16841" t="s">
        <v>29</v>
      </c>
    </row>
    <row r="16842" spans="1:14">
      <c r="A16842" s="4" t="str">
        <f t="shared" si="1248"/>
        <v>EXP00430</v>
      </c>
      <c r="B16842" s="3" t="s">
        <v>66</v>
      </c>
      <c r="C16842" s="4" t="str">
        <f t="shared" si="1246"/>
        <v>TCGA-ESCA</v>
      </c>
      <c r="D16842" s="1" t="s">
        <v>493</v>
      </c>
      <c r="E16842" t="s">
        <v>547</v>
      </c>
      <c r="F16842" s="1">
        <v>2</v>
      </c>
      <c r="G16842" s="1" t="s">
        <v>555</v>
      </c>
      <c r="H16842" s="4" t="str">
        <f>HYPERLINK("https://portal.gdc.cancer.gov/cases/6584fa8f-b4f4-4844-a71e-3bfb731ad445","TCGA-2H-A9GM-01A")</f>
        <v>TCGA-2H-A9GM-01A</v>
      </c>
      <c r="I16842" t="s">
        <v>549</v>
      </c>
      <c r="J16842" t="s">
        <v>550</v>
      </c>
      <c r="K16842" t="s">
        <v>19</v>
      </c>
      <c r="L16842" t="s">
        <v>551</v>
      </c>
      <c r="M16842" t="s">
        <v>47</v>
      </c>
      <c r="N16842" t="s">
        <v>29</v>
      </c>
    </row>
    <row r="16843" spans="1:14">
      <c r="A16843" s="4" t="str">
        <f t="shared" si="1248"/>
        <v>EXP00430</v>
      </c>
      <c r="B16843" s="3" t="s">
        <v>66</v>
      </c>
      <c r="C16843" s="4" t="str">
        <f t="shared" si="1246"/>
        <v>TCGA-ESCA</v>
      </c>
      <c r="D16843" s="1" t="s">
        <v>493</v>
      </c>
      <c r="E16843" t="s">
        <v>547</v>
      </c>
      <c r="F16843" s="1">
        <v>2</v>
      </c>
      <c r="G16843" s="1" t="s">
        <v>555</v>
      </c>
      <c r="H16843" s="4" t="str">
        <f>HYPERLINK("https://portal.gdc.cancer.gov/cases/26e7f083-a91b-4c04-84fe-d43be9722b18","TCGA-JY-A6FE-01A")</f>
        <v>TCGA-JY-A6FE-01A</v>
      </c>
      <c r="I16843" t="s">
        <v>549</v>
      </c>
      <c r="J16843" t="s">
        <v>550</v>
      </c>
      <c r="K16843" t="s">
        <v>19</v>
      </c>
      <c r="L16843" t="s">
        <v>551</v>
      </c>
      <c r="M16843" t="s">
        <v>47</v>
      </c>
      <c r="N16843" t="s">
        <v>29</v>
      </c>
    </row>
    <row r="16844" spans="1:14">
      <c r="A16844" s="4" t="str">
        <f t="shared" si="1248"/>
        <v>EXP00430</v>
      </c>
      <c r="B16844" s="3" t="s">
        <v>66</v>
      </c>
      <c r="C16844" s="4" t="str">
        <f t="shared" si="1246"/>
        <v>TCGA-ESCA</v>
      </c>
      <c r="D16844" s="1" t="s">
        <v>493</v>
      </c>
      <c r="E16844" t="s">
        <v>547</v>
      </c>
      <c r="F16844" s="1">
        <v>2</v>
      </c>
      <c r="G16844" s="1" t="s">
        <v>555</v>
      </c>
      <c r="H16844" s="4" t="str">
        <f>HYPERLINK("https://portal.gdc.cancer.gov/cases/97394c78-2815-4348-b4c9-df0b3b3d6b5e","TCGA-JY-A938-01A")</f>
        <v>TCGA-JY-A938-01A</v>
      </c>
      <c r="I16844" t="s">
        <v>549</v>
      </c>
      <c r="J16844" t="s">
        <v>550</v>
      </c>
      <c r="K16844" t="s">
        <v>19</v>
      </c>
      <c r="L16844" t="s">
        <v>551</v>
      </c>
      <c r="M16844" t="s">
        <v>47</v>
      </c>
      <c r="N16844" t="s">
        <v>29</v>
      </c>
    </row>
    <row r="16845" spans="1:14">
      <c r="A16845" s="4" t="str">
        <f t="shared" si="1248"/>
        <v>EXP00430</v>
      </c>
      <c r="B16845" s="3" t="s">
        <v>66</v>
      </c>
      <c r="C16845" s="4" t="str">
        <f t="shared" si="1246"/>
        <v>TCGA-ESCA</v>
      </c>
      <c r="D16845" s="1" t="s">
        <v>493</v>
      </c>
      <c r="E16845" t="s">
        <v>547</v>
      </c>
      <c r="F16845" s="1">
        <v>2</v>
      </c>
      <c r="G16845" s="1" t="s">
        <v>555</v>
      </c>
      <c r="H16845" s="4" t="str">
        <f>HYPERLINK("https://portal.gdc.cancer.gov/cases/608ef42f-ccd7-4ae0-8156-8775a0f09bcf","TCGA-R6-A8WG-01A")</f>
        <v>TCGA-R6-A8WG-01A</v>
      </c>
      <c r="I16845" t="s">
        <v>549</v>
      </c>
      <c r="J16845" t="s">
        <v>550</v>
      </c>
      <c r="K16845" t="s">
        <v>19</v>
      </c>
      <c r="L16845" t="s">
        <v>551</v>
      </c>
      <c r="M16845" t="s">
        <v>47</v>
      </c>
      <c r="N16845" t="s">
        <v>29</v>
      </c>
    </row>
    <row r="16846" spans="1:14">
      <c r="A16846" s="4" t="str">
        <f t="shared" ref="A16846:A16853" si="1249">HYPERLINK("http://hcmdb.i-sanger.com/experiment/details/experiment_id/EXP00431","EXP00431")</f>
        <v>EXP00431</v>
      </c>
      <c r="B16846" s="3" t="s">
        <v>66</v>
      </c>
      <c r="C16846" s="4" t="str">
        <f t="shared" si="1246"/>
        <v>TCGA-ESCA</v>
      </c>
      <c r="D16846" s="1" t="s">
        <v>493</v>
      </c>
      <c r="E16846" t="s">
        <v>547</v>
      </c>
      <c r="F16846" s="1">
        <v>1</v>
      </c>
      <c r="G16846" s="1" t="s">
        <v>554</v>
      </c>
      <c r="H16846" s="4" t="str">
        <f>HYPERLINK("https://portal.gdc.cancer.gov/cases/3633aeab-a763-438f-ad03-1b4ac8b3a621","TCGA-JY-A6FA-01A")</f>
        <v>TCGA-JY-A6FA-01A</v>
      </c>
      <c r="I16846" t="s">
        <v>549</v>
      </c>
      <c r="J16846" t="s">
        <v>550</v>
      </c>
      <c r="K16846" t="s">
        <v>19</v>
      </c>
      <c r="L16846" t="s">
        <v>551</v>
      </c>
      <c r="M16846" t="s">
        <v>41</v>
      </c>
      <c r="N16846" t="s">
        <v>29</v>
      </c>
    </row>
    <row r="16847" spans="1:14">
      <c r="A16847" s="4" t="str">
        <f t="shared" si="1249"/>
        <v>EXP00431</v>
      </c>
      <c r="B16847" s="3" t="s">
        <v>66</v>
      </c>
      <c r="C16847" s="4" t="str">
        <f t="shared" si="1246"/>
        <v>TCGA-ESCA</v>
      </c>
      <c r="D16847" s="1" t="s">
        <v>493</v>
      </c>
      <c r="E16847" t="s">
        <v>547</v>
      </c>
      <c r="F16847" s="1">
        <v>1</v>
      </c>
      <c r="G16847" s="1" t="s">
        <v>554</v>
      </c>
      <c r="H16847" s="4" t="str">
        <f>HYPERLINK("https://portal.gdc.cancer.gov/cases/9e02a368-8858-4ec5-8c27-9e0876d387a4","TCGA-L5-A8NJ-01A")</f>
        <v>TCGA-L5-A8NJ-01A</v>
      </c>
      <c r="I16847" t="s">
        <v>549</v>
      </c>
      <c r="J16847" t="s">
        <v>550</v>
      </c>
      <c r="K16847" t="s">
        <v>19</v>
      </c>
      <c r="L16847" t="s">
        <v>551</v>
      </c>
      <c r="M16847" t="s">
        <v>41</v>
      </c>
      <c r="N16847" t="s">
        <v>29</v>
      </c>
    </row>
    <row r="16848" spans="1:14">
      <c r="A16848" s="4" t="str">
        <f t="shared" si="1249"/>
        <v>EXP00431</v>
      </c>
      <c r="B16848" s="3" t="s">
        <v>66</v>
      </c>
      <c r="C16848" s="4" t="str">
        <f t="shared" si="1246"/>
        <v>TCGA-ESCA</v>
      </c>
      <c r="D16848" s="1" t="s">
        <v>493</v>
      </c>
      <c r="E16848" t="s">
        <v>547</v>
      </c>
      <c r="F16848" s="1">
        <v>1</v>
      </c>
      <c r="G16848" s="1" t="s">
        <v>554</v>
      </c>
      <c r="H16848" s="4" t="str">
        <f>HYPERLINK("https://portal.gdc.cancer.gov/cases/318e257e-7bff-4ca0-8f0e-acb02516437e","TCGA-L5-A8NS-01A")</f>
        <v>TCGA-L5-A8NS-01A</v>
      </c>
      <c r="I16848" t="s">
        <v>549</v>
      </c>
      <c r="J16848" t="s">
        <v>550</v>
      </c>
      <c r="K16848" t="s">
        <v>19</v>
      </c>
      <c r="L16848" t="s">
        <v>551</v>
      </c>
      <c r="M16848" t="s">
        <v>41</v>
      </c>
      <c r="N16848" t="s">
        <v>29</v>
      </c>
    </row>
    <row r="16849" spans="1:14">
      <c r="A16849" s="4" t="str">
        <f t="shared" si="1249"/>
        <v>EXP00431</v>
      </c>
      <c r="B16849" s="3" t="s">
        <v>66</v>
      </c>
      <c r="C16849" s="4" t="str">
        <f t="shared" si="1246"/>
        <v>TCGA-ESCA</v>
      </c>
      <c r="D16849" s="1" t="s">
        <v>493</v>
      </c>
      <c r="E16849" t="s">
        <v>547</v>
      </c>
      <c r="F16849" s="1">
        <v>2</v>
      </c>
      <c r="G16849" s="1" t="s">
        <v>555</v>
      </c>
      <c r="H16849" s="4" t="str">
        <f>HYPERLINK("https://portal.gdc.cancer.gov/cases/ee47cd59-c8d8-4b1e-96db-91c679e4106f","TCGA-2H-A9GJ-01A")</f>
        <v>TCGA-2H-A9GJ-01A</v>
      </c>
      <c r="I16849" t="s">
        <v>549</v>
      </c>
      <c r="J16849" t="s">
        <v>550</v>
      </c>
      <c r="K16849" t="s">
        <v>19</v>
      </c>
      <c r="L16849" t="s">
        <v>551</v>
      </c>
      <c r="M16849" t="s">
        <v>47</v>
      </c>
      <c r="N16849" t="s">
        <v>29</v>
      </c>
    </row>
    <row r="16850" spans="1:14">
      <c r="A16850" s="4" t="str">
        <f t="shared" si="1249"/>
        <v>EXP00431</v>
      </c>
      <c r="B16850" s="3" t="s">
        <v>66</v>
      </c>
      <c r="C16850" s="4" t="str">
        <f t="shared" si="1246"/>
        <v>TCGA-ESCA</v>
      </c>
      <c r="D16850" s="1" t="s">
        <v>493</v>
      </c>
      <c r="E16850" t="s">
        <v>547</v>
      </c>
      <c r="F16850" s="1">
        <v>2</v>
      </c>
      <c r="G16850" s="1" t="s">
        <v>555</v>
      </c>
      <c r="H16850" s="4" t="str">
        <f>HYPERLINK("https://portal.gdc.cancer.gov/cases/6584fa8f-b4f4-4844-a71e-3bfb731ad445","TCGA-2H-A9GM-01A")</f>
        <v>TCGA-2H-A9GM-01A</v>
      </c>
      <c r="I16850" t="s">
        <v>549</v>
      </c>
      <c r="J16850" t="s">
        <v>550</v>
      </c>
      <c r="K16850" t="s">
        <v>19</v>
      </c>
      <c r="L16850" t="s">
        <v>551</v>
      </c>
      <c r="M16850" t="s">
        <v>47</v>
      </c>
      <c r="N16850" t="s">
        <v>29</v>
      </c>
    </row>
    <row r="16851" spans="1:14">
      <c r="A16851" s="4" t="str">
        <f t="shared" si="1249"/>
        <v>EXP00431</v>
      </c>
      <c r="B16851" s="3" t="s">
        <v>66</v>
      </c>
      <c r="C16851" s="4" t="str">
        <f t="shared" si="1246"/>
        <v>TCGA-ESCA</v>
      </c>
      <c r="D16851" s="1" t="s">
        <v>493</v>
      </c>
      <c r="E16851" t="s">
        <v>547</v>
      </c>
      <c r="F16851" s="1">
        <v>2</v>
      </c>
      <c r="G16851" s="1" t="s">
        <v>555</v>
      </c>
      <c r="H16851" s="4" t="str">
        <f>HYPERLINK("https://portal.gdc.cancer.gov/cases/26e7f083-a91b-4c04-84fe-d43be9722b18","TCGA-JY-A6FE-01A")</f>
        <v>TCGA-JY-A6FE-01A</v>
      </c>
      <c r="I16851" t="s">
        <v>549</v>
      </c>
      <c r="J16851" t="s">
        <v>550</v>
      </c>
      <c r="K16851" t="s">
        <v>19</v>
      </c>
      <c r="L16851" t="s">
        <v>551</v>
      </c>
      <c r="M16851" t="s">
        <v>47</v>
      </c>
      <c r="N16851" t="s">
        <v>29</v>
      </c>
    </row>
    <row r="16852" spans="1:14">
      <c r="A16852" s="4" t="str">
        <f t="shared" si="1249"/>
        <v>EXP00431</v>
      </c>
      <c r="B16852" s="3" t="s">
        <v>66</v>
      </c>
      <c r="C16852" s="4" t="str">
        <f t="shared" si="1246"/>
        <v>TCGA-ESCA</v>
      </c>
      <c r="D16852" s="1" t="s">
        <v>493</v>
      </c>
      <c r="E16852" t="s">
        <v>547</v>
      </c>
      <c r="F16852" s="1">
        <v>2</v>
      </c>
      <c r="G16852" s="1" t="s">
        <v>555</v>
      </c>
      <c r="H16852" s="4" t="str">
        <f>HYPERLINK("https://portal.gdc.cancer.gov/cases/97394c78-2815-4348-b4c9-df0b3b3d6b5e","TCGA-JY-A938-01A")</f>
        <v>TCGA-JY-A938-01A</v>
      </c>
      <c r="I16852" t="s">
        <v>549</v>
      </c>
      <c r="J16852" t="s">
        <v>550</v>
      </c>
      <c r="K16852" t="s">
        <v>19</v>
      </c>
      <c r="L16852" t="s">
        <v>551</v>
      </c>
      <c r="M16852" t="s">
        <v>47</v>
      </c>
      <c r="N16852" t="s">
        <v>29</v>
      </c>
    </row>
    <row r="16853" spans="1:14">
      <c r="A16853" s="4" t="str">
        <f t="shared" si="1249"/>
        <v>EXP00431</v>
      </c>
      <c r="B16853" s="3" t="s">
        <v>66</v>
      </c>
      <c r="C16853" s="4" t="str">
        <f t="shared" si="1246"/>
        <v>TCGA-ESCA</v>
      </c>
      <c r="D16853" s="1" t="s">
        <v>493</v>
      </c>
      <c r="E16853" t="s">
        <v>547</v>
      </c>
      <c r="F16853" s="1">
        <v>2</v>
      </c>
      <c r="G16853" s="1" t="s">
        <v>555</v>
      </c>
      <c r="H16853" s="4" t="str">
        <f>HYPERLINK("https://portal.gdc.cancer.gov/cases/608ef42f-ccd7-4ae0-8156-8775a0f09bcf","TCGA-R6-A8WG-01A")</f>
        <v>TCGA-R6-A8WG-01A</v>
      </c>
      <c r="I16853" t="s">
        <v>549</v>
      </c>
      <c r="J16853" t="s">
        <v>550</v>
      </c>
      <c r="K16853" t="s">
        <v>19</v>
      </c>
      <c r="L16853" t="s">
        <v>551</v>
      </c>
      <c r="M16853" t="s">
        <v>47</v>
      </c>
      <c r="N16853" t="s">
        <v>29</v>
      </c>
    </row>
    <row r="16854" spans="1:14">
      <c r="A16854" s="4" t="str">
        <f t="shared" ref="A16854:A16885" si="1250">HYPERLINK("http://hcmdb.i-sanger.com/experiment/details/experiment_id/EXP00432","EXP00432")</f>
        <v>EXP00432</v>
      </c>
      <c r="B16854" s="3" t="s">
        <v>66</v>
      </c>
      <c r="C16854" s="4" t="str">
        <f t="shared" si="1246"/>
        <v>TCGA-ESCA</v>
      </c>
      <c r="D16854" s="1" t="s">
        <v>493</v>
      </c>
      <c r="E16854" t="s">
        <v>556</v>
      </c>
      <c r="F16854" s="1">
        <v>1</v>
      </c>
      <c r="G16854" s="1" t="s">
        <v>31</v>
      </c>
      <c r="H16854" s="4" t="str">
        <f>HYPERLINK("https://portal.gdc.cancer.gov/cases/0500f1a6-a528-43f3-b035-12d3b7c99c0f","TCGA-2H-A9GF-01A")</f>
        <v>TCGA-2H-A9GF-01A</v>
      </c>
      <c r="I16854" t="s">
        <v>549</v>
      </c>
      <c r="J16854" t="s">
        <v>550</v>
      </c>
      <c r="K16854" t="s">
        <v>19</v>
      </c>
      <c r="L16854" t="s">
        <v>551</v>
      </c>
      <c r="M16854" t="s">
        <v>557</v>
      </c>
      <c r="N16854" t="s">
        <v>29</v>
      </c>
    </row>
    <row r="16855" spans="1:14">
      <c r="A16855" s="4" t="str">
        <f t="shared" si="1250"/>
        <v>EXP00432</v>
      </c>
      <c r="B16855" s="3" t="s">
        <v>66</v>
      </c>
      <c r="C16855" s="4" t="str">
        <f t="shared" si="1246"/>
        <v>TCGA-ESCA</v>
      </c>
      <c r="D16855" s="1" t="s">
        <v>493</v>
      </c>
      <c r="E16855" t="s">
        <v>556</v>
      </c>
      <c r="F16855" s="1">
        <v>1</v>
      </c>
      <c r="G16855" s="1" t="s">
        <v>31</v>
      </c>
      <c r="H16855" s="4" t="str">
        <f>HYPERLINK("https://portal.gdc.cancer.gov/cases/70084008-697d-442d-8f74-c12f8f598570","TCGA-2H-A9GG-01A")</f>
        <v>TCGA-2H-A9GG-01A</v>
      </c>
      <c r="I16855" t="s">
        <v>549</v>
      </c>
      <c r="J16855" t="s">
        <v>550</v>
      </c>
      <c r="K16855" t="s">
        <v>19</v>
      </c>
      <c r="L16855" t="s">
        <v>551</v>
      </c>
      <c r="M16855" t="s">
        <v>21</v>
      </c>
      <c r="N16855" t="s">
        <v>29</v>
      </c>
    </row>
    <row r="16856" spans="1:14">
      <c r="A16856" s="4" t="str">
        <f t="shared" si="1250"/>
        <v>EXP00432</v>
      </c>
      <c r="B16856" s="3" t="s">
        <v>66</v>
      </c>
      <c r="C16856" s="4" t="str">
        <f t="shared" si="1246"/>
        <v>TCGA-ESCA</v>
      </c>
      <c r="D16856" s="1" t="s">
        <v>493</v>
      </c>
      <c r="E16856" t="s">
        <v>556</v>
      </c>
      <c r="F16856" s="1">
        <v>1</v>
      </c>
      <c r="G16856" s="1" t="s">
        <v>31</v>
      </c>
      <c r="H16856" s="4" t="str">
        <f>HYPERLINK("https://portal.gdc.cancer.gov/cases/606dc5b8-7625-42a6-a936-504ef25623a4","TCGA-2H-A9GH-01A")</f>
        <v>TCGA-2H-A9GH-01A</v>
      </c>
      <c r="I16856" t="s">
        <v>549</v>
      </c>
      <c r="J16856" t="s">
        <v>550</v>
      </c>
      <c r="K16856" t="s">
        <v>19</v>
      </c>
      <c r="L16856" t="s">
        <v>551</v>
      </c>
      <c r="M16856" t="s">
        <v>499</v>
      </c>
      <c r="N16856" t="s">
        <v>29</v>
      </c>
    </row>
    <row r="16857" spans="1:14">
      <c r="A16857" s="4" t="str">
        <f t="shared" si="1250"/>
        <v>EXP00432</v>
      </c>
      <c r="B16857" s="3" t="s">
        <v>66</v>
      </c>
      <c r="C16857" s="4" t="str">
        <f t="shared" si="1246"/>
        <v>TCGA-ESCA</v>
      </c>
      <c r="D16857" s="1" t="s">
        <v>493</v>
      </c>
      <c r="E16857" t="s">
        <v>556</v>
      </c>
      <c r="F16857" s="1">
        <v>1</v>
      </c>
      <c r="G16857" s="1" t="s">
        <v>31</v>
      </c>
      <c r="H16857" s="4" t="str">
        <f>HYPERLINK("https://portal.gdc.cancer.gov/cases/ceaf98f8-517e-457a-bf29-acfe22893d49","TCGA-2H-A9GI-01A")</f>
        <v>TCGA-2H-A9GI-01A</v>
      </c>
      <c r="I16857" t="s">
        <v>549</v>
      </c>
      <c r="J16857" t="s">
        <v>550</v>
      </c>
      <c r="K16857" t="s">
        <v>19</v>
      </c>
      <c r="L16857" t="s">
        <v>551</v>
      </c>
      <c r="M16857" t="s">
        <v>510</v>
      </c>
      <c r="N16857" t="s">
        <v>29</v>
      </c>
    </row>
    <row r="16858" spans="1:14">
      <c r="A16858" s="4" t="str">
        <f t="shared" si="1250"/>
        <v>EXP00432</v>
      </c>
      <c r="B16858" s="3" t="s">
        <v>66</v>
      </c>
      <c r="C16858" s="4" t="str">
        <f t="shared" si="1246"/>
        <v>TCGA-ESCA</v>
      </c>
      <c r="D16858" s="1" t="s">
        <v>493</v>
      </c>
      <c r="E16858" t="s">
        <v>556</v>
      </c>
      <c r="F16858" s="1">
        <v>1</v>
      </c>
      <c r="G16858" s="1" t="s">
        <v>31</v>
      </c>
      <c r="H16858" s="4" t="str">
        <f>HYPERLINK("https://portal.gdc.cancer.gov/cases/ee47cd59-c8d8-4b1e-96db-91c679e4106f","TCGA-2H-A9GJ-01A")</f>
        <v>TCGA-2H-A9GJ-01A</v>
      </c>
      <c r="I16858" t="s">
        <v>549</v>
      </c>
      <c r="J16858" t="s">
        <v>550</v>
      </c>
      <c r="K16858" t="s">
        <v>19</v>
      </c>
      <c r="L16858" t="s">
        <v>551</v>
      </c>
      <c r="M16858" t="s">
        <v>47</v>
      </c>
      <c r="N16858" t="s">
        <v>29</v>
      </c>
    </row>
    <row r="16859" spans="1:14">
      <c r="A16859" s="4" t="str">
        <f t="shared" si="1250"/>
        <v>EXP00432</v>
      </c>
      <c r="B16859" s="3" t="s">
        <v>66</v>
      </c>
      <c r="C16859" s="4" t="str">
        <f t="shared" si="1246"/>
        <v>TCGA-ESCA</v>
      </c>
      <c r="D16859" s="1" t="s">
        <v>493</v>
      </c>
      <c r="E16859" t="s">
        <v>556</v>
      </c>
      <c r="F16859" s="1">
        <v>1</v>
      </c>
      <c r="G16859" s="1" t="s">
        <v>31</v>
      </c>
      <c r="H16859" s="4" t="str">
        <f>HYPERLINK("https://portal.gdc.cancer.gov/cases/61df8a4b-95f8-40ab-a252-d00c4300c290","TCGA-2H-A9GK-01A")</f>
        <v>TCGA-2H-A9GK-01A</v>
      </c>
      <c r="I16859" t="s">
        <v>549</v>
      </c>
      <c r="J16859" t="s">
        <v>550</v>
      </c>
      <c r="K16859" t="s">
        <v>19</v>
      </c>
      <c r="L16859" t="s">
        <v>551</v>
      </c>
      <c r="M16859" t="s">
        <v>521</v>
      </c>
      <c r="N16859" t="s">
        <v>29</v>
      </c>
    </row>
    <row r="16860" spans="1:14">
      <c r="A16860" s="4" t="str">
        <f t="shared" si="1250"/>
        <v>EXP00432</v>
      </c>
      <c r="B16860" s="3" t="s">
        <v>66</v>
      </c>
      <c r="C16860" s="4" t="str">
        <f t="shared" si="1246"/>
        <v>TCGA-ESCA</v>
      </c>
      <c r="D16860" s="1" t="s">
        <v>493</v>
      </c>
      <c r="E16860" t="s">
        <v>556</v>
      </c>
      <c r="F16860" s="1">
        <v>1</v>
      </c>
      <c r="G16860" s="1" t="s">
        <v>31</v>
      </c>
      <c r="H16860" s="4" t="str">
        <f>HYPERLINK("https://portal.gdc.cancer.gov/cases/6584fa8f-b4f4-4844-a71e-3bfb731ad445","TCGA-2H-A9GM-01A")</f>
        <v>TCGA-2H-A9GM-01A</v>
      </c>
      <c r="I16860" t="s">
        <v>549</v>
      </c>
      <c r="J16860" t="s">
        <v>550</v>
      </c>
      <c r="K16860" t="s">
        <v>19</v>
      </c>
      <c r="L16860" t="s">
        <v>551</v>
      </c>
      <c r="M16860" t="s">
        <v>47</v>
      </c>
      <c r="N16860" t="s">
        <v>29</v>
      </c>
    </row>
    <row r="16861" spans="1:14">
      <c r="A16861" s="4" t="str">
        <f t="shared" si="1250"/>
        <v>EXP00432</v>
      </c>
      <c r="B16861" s="3" t="s">
        <v>66</v>
      </c>
      <c r="C16861" s="4" t="str">
        <f t="shared" si="1246"/>
        <v>TCGA-ESCA</v>
      </c>
      <c r="D16861" s="1" t="s">
        <v>493</v>
      </c>
      <c r="E16861" t="s">
        <v>556</v>
      </c>
      <c r="F16861" s="1">
        <v>1</v>
      </c>
      <c r="G16861" s="1" t="s">
        <v>31</v>
      </c>
      <c r="H16861" s="4" t="str">
        <f>HYPERLINK("https://portal.gdc.cancer.gov/cases/078dc5f1-d2dc-4408-b785-27703c7813f1","TCGA-2H-A9GN-01A")</f>
        <v>TCGA-2H-A9GN-01A</v>
      </c>
      <c r="I16861" t="s">
        <v>549</v>
      </c>
      <c r="J16861" t="s">
        <v>550</v>
      </c>
      <c r="K16861" t="s">
        <v>19</v>
      </c>
      <c r="L16861" t="s">
        <v>551</v>
      </c>
      <c r="M16861" t="s">
        <v>558</v>
      </c>
      <c r="N16861" t="s">
        <v>29</v>
      </c>
    </row>
    <row r="16862" spans="1:14">
      <c r="A16862" s="4" t="str">
        <f t="shared" si="1250"/>
        <v>EXP00432</v>
      </c>
      <c r="B16862" s="3" t="s">
        <v>66</v>
      </c>
      <c r="C16862" s="4" t="str">
        <f t="shared" si="1246"/>
        <v>TCGA-ESCA</v>
      </c>
      <c r="D16862" s="1" t="s">
        <v>493</v>
      </c>
      <c r="E16862" t="s">
        <v>556</v>
      </c>
      <c r="F16862" s="1">
        <v>1</v>
      </c>
      <c r="G16862" s="1" t="s">
        <v>31</v>
      </c>
      <c r="H16862" s="4" t="str">
        <f>HYPERLINK("https://portal.gdc.cancer.gov/cases/ca400ea1-3e4e-437e-a54c-446431b741da","TCGA-2H-A9GO-01A")</f>
        <v>TCGA-2H-A9GO-01A</v>
      </c>
      <c r="I16862" t="s">
        <v>549</v>
      </c>
      <c r="J16862" t="s">
        <v>550</v>
      </c>
      <c r="K16862" t="s">
        <v>19</v>
      </c>
      <c r="L16862" t="s">
        <v>551</v>
      </c>
      <c r="M16862" t="s">
        <v>499</v>
      </c>
      <c r="N16862" t="s">
        <v>29</v>
      </c>
    </row>
    <row r="16863" spans="1:14">
      <c r="A16863" s="4" t="str">
        <f t="shared" si="1250"/>
        <v>EXP00432</v>
      </c>
      <c r="B16863" s="3" t="s">
        <v>66</v>
      </c>
      <c r="C16863" s="4" t="str">
        <f t="shared" si="1246"/>
        <v>TCGA-ESCA</v>
      </c>
      <c r="D16863" s="1" t="s">
        <v>493</v>
      </c>
      <c r="E16863" t="s">
        <v>556</v>
      </c>
      <c r="F16863" s="1">
        <v>1</v>
      </c>
      <c r="G16863" s="1" t="s">
        <v>31</v>
      </c>
      <c r="H16863" s="4" t="str">
        <f>HYPERLINK("https://portal.gdc.cancer.gov/cases/f23794d7-35cc-4550-a03f-8e3cde1a2bcd","TCGA-2H-A9GQ-01A")</f>
        <v>TCGA-2H-A9GQ-01A</v>
      </c>
      <c r="I16863" t="s">
        <v>549</v>
      </c>
      <c r="J16863" t="s">
        <v>550</v>
      </c>
      <c r="K16863" t="s">
        <v>19</v>
      </c>
      <c r="L16863" t="s">
        <v>551</v>
      </c>
      <c r="M16863" t="s">
        <v>44</v>
      </c>
      <c r="N16863" t="s">
        <v>29</v>
      </c>
    </row>
    <row r="16864" spans="1:14">
      <c r="A16864" s="4" t="str">
        <f t="shared" si="1250"/>
        <v>EXP00432</v>
      </c>
      <c r="B16864" s="3" t="s">
        <v>66</v>
      </c>
      <c r="C16864" s="4" t="str">
        <f t="shared" si="1246"/>
        <v>TCGA-ESCA</v>
      </c>
      <c r="D16864" s="1" t="s">
        <v>493</v>
      </c>
      <c r="E16864" t="s">
        <v>556</v>
      </c>
      <c r="F16864" s="1">
        <v>1</v>
      </c>
      <c r="G16864" s="1" t="s">
        <v>31</v>
      </c>
      <c r="H16864" s="4" t="str">
        <f>HYPERLINK("https://portal.gdc.cancer.gov/cases/3633aeab-a763-438f-ad03-1b4ac8b3a621","TCGA-JY-A6FA-01A")</f>
        <v>TCGA-JY-A6FA-01A</v>
      </c>
      <c r="I16864" t="s">
        <v>549</v>
      </c>
      <c r="J16864" t="s">
        <v>550</v>
      </c>
      <c r="K16864" t="s">
        <v>19</v>
      </c>
      <c r="L16864" t="s">
        <v>551</v>
      </c>
      <c r="M16864" t="s">
        <v>41</v>
      </c>
      <c r="N16864" t="s">
        <v>29</v>
      </c>
    </row>
    <row r="16865" spans="1:14">
      <c r="A16865" s="4" t="str">
        <f t="shared" si="1250"/>
        <v>EXP00432</v>
      </c>
      <c r="B16865" s="3" t="s">
        <v>66</v>
      </c>
      <c r="C16865" s="4" t="str">
        <f t="shared" si="1246"/>
        <v>TCGA-ESCA</v>
      </c>
      <c r="D16865" s="1" t="s">
        <v>493</v>
      </c>
      <c r="E16865" t="s">
        <v>556</v>
      </c>
      <c r="F16865" s="1">
        <v>1</v>
      </c>
      <c r="G16865" s="1" t="s">
        <v>31</v>
      </c>
      <c r="H16865" s="4" t="str">
        <f>HYPERLINK("https://portal.gdc.cancer.gov/cases/26e7f083-a91b-4c04-84fe-d43be9722b18","TCGA-JY-A6FE-01A")</f>
        <v>TCGA-JY-A6FE-01A</v>
      </c>
      <c r="I16865" t="s">
        <v>549</v>
      </c>
      <c r="J16865" t="s">
        <v>550</v>
      </c>
      <c r="K16865" t="s">
        <v>19</v>
      </c>
      <c r="L16865" t="s">
        <v>551</v>
      </c>
      <c r="M16865" t="s">
        <v>47</v>
      </c>
      <c r="N16865" t="s">
        <v>29</v>
      </c>
    </row>
    <row r="16866" spans="1:14">
      <c r="A16866" s="4" t="str">
        <f t="shared" si="1250"/>
        <v>EXP00432</v>
      </c>
      <c r="B16866" s="3" t="s">
        <v>66</v>
      </c>
      <c r="C16866" s="4" t="str">
        <f t="shared" si="1246"/>
        <v>TCGA-ESCA</v>
      </c>
      <c r="D16866" s="1" t="s">
        <v>493</v>
      </c>
      <c r="E16866" t="s">
        <v>556</v>
      </c>
      <c r="F16866" s="1">
        <v>1</v>
      </c>
      <c r="G16866" s="1" t="s">
        <v>31</v>
      </c>
      <c r="H16866" s="4" t="str">
        <f>HYPERLINK("https://portal.gdc.cancer.gov/cases/bd1c3d3b-d174-4186-bb35-364e167a1d18","TCGA-JY-A6FH-01A")</f>
        <v>TCGA-JY-A6FH-01A</v>
      </c>
      <c r="I16866" t="s">
        <v>549</v>
      </c>
      <c r="J16866" t="s">
        <v>550</v>
      </c>
      <c r="K16866" t="s">
        <v>19</v>
      </c>
      <c r="L16866" t="s">
        <v>551</v>
      </c>
      <c r="M16866" t="s">
        <v>499</v>
      </c>
      <c r="N16866" t="s">
        <v>29</v>
      </c>
    </row>
    <row r="16867" spans="1:14">
      <c r="A16867" s="4" t="str">
        <f t="shared" si="1250"/>
        <v>EXP00432</v>
      </c>
      <c r="B16867" s="3" t="s">
        <v>66</v>
      </c>
      <c r="C16867" s="4" t="str">
        <f t="shared" si="1246"/>
        <v>TCGA-ESCA</v>
      </c>
      <c r="D16867" s="1" t="s">
        <v>493</v>
      </c>
      <c r="E16867" t="s">
        <v>556</v>
      </c>
      <c r="F16867" s="1">
        <v>1</v>
      </c>
      <c r="G16867" s="1" t="s">
        <v>31</v>
      </c>
      <c r="H16867" s="4" t="str">
        <f>HYPERLINK("https://portal.gdc.cancer.gov/cases/97394c78-2815-4348-b4c9-df0b3b3d6b5e","TCGA-JY-A938-01A")</f>
        <v>TCGA-JY-A938-01A</v>
      </c>
      <c r="I16867" t="s">
        <v>549</v>
      </c>
      <c r="J16867" t="s">
        <v>550</v>
      </c>
      <c r="K16867" t="s">
        <v>19</v>
      </c>
      <c r="L16867" t="s">
        <v>551</v>
      </c>
      <c r="M16867" t="s">
        <v>47</v>
      </c>
      <c r="N16867" t="s">
        <v>29</v>
      </c>
    </row>
    <row r="16868" spans="1:14">
      <c r="A16868" s="4" t="str">
        <f t="shared" si="1250"/>
        <v>EXP00432</v>
      </c>
      <c r="B16868" s="3" t="s">
        <v>66</v>
      </c>
      <c r="C16868" s="4" t="str">
        <f t="shared" si="1246"/>
        <v>TCGA-ESCA</v>
      </c>
      <c r="D16868" s="1" t="s">
        <v>493</v>
      </c>
      <c r="E16868" t="s">
        <v>556</v>
      </c>
      <c r="F16868" s="1">
        <v>1</v>
      </c>
      <c r="G16868" s="1" t="s">
        <v>31</v>
      </c>
      <c r="H16868" s="4" t="str">
        <f>HYPERLINK("https://portal.gdc.cancer.gov/cases/209e2e16-cb88-4a8f-9cdb-10e152caa26c","TCGA-L5-A43J-01A")</f>
        <v>TCGA-L5-A43J-01A</v>
      </c>
      <c r="I16868" t="s">
        <v>549</v>
      </c>
      <c r="J16868" t="s">
        <v>550</v>
      </c>
      <c r="K16868" t="s">
        <v>19</v>
      </c>
      <c r="L16868" t="s">
        <v>551</v>
      </c>
      <c r="M16868" t="s">
        <v>44</v>
      </c>
      <c r="N16868" t="s">
        <v>29</v>
      </c>
    </row>
    <row r="16869" spans="1:14">
      <c r="A16869" s="4" t="str">
        <f t="shared" si="1250"/>
        <v>EXP00432</v>
      </c>
      <c r="B16869" s="3" t="s">
        <v>66</v>
      </c>
      <c r="C16869" s="4" t="str">
        <f t="shared" si="1246"/>
        <v>TCGA-ESCA</v>
      </c>
      <c r="D16869" s="1" t="s">
        <v>493</v>
      </c>
      <c r="E16869" t="s">
        <v>556</v>
      </c>
      <c r="F16869" s="1">
        <v>1</v>
      </c>
      <c r="G16869" s="1" t="s">
        <v>31</v>
      </c>
      <c r="H16869" s="4" t="str">
        <f>HYPERLINK("https://portal.gdc.cancer.gov/cases/bf3074e6-8780-490e-a8c3-4237c19ca877","TCGA-L5-A88W-01A")</f>
        <v>TCGA-L5-A88W-01A</v>
      </c>
      <c r="I16869" t="s">
        <v>549</v>
      </c>
      <c r="J16869" t="s">
        <v>550</v>
      </c>
      <c r="K16869" t="s">
        <v>19</v>
      </c>
      <c r="L16869" t="s">
        <v>551</v>
      </c>
      <c r="M16869" t="s">
        <v>44</v>
      </c>
      <c r="N16869" t="s">
        <v>29</v>
      </c>
    </row>
    <row r="16870" spans="1:14">
      <c r="A16870" s="4" t="str">
        <f t="shared" si="1250"/>
        <v>EXP00432</v>
      </c>
      <c r="B16870" s="3" t="s">
        <v>66</v>
      </c>
      <c r="C16870" s="4" t="str">
        <f t="shared" si="1246"/>
        <v>TCGA-ESCA</v>
      </c>
      <c r="D16870" s="1" t="s">
        <v>493</v>
      </c>
      <c r="E16870" t="s">
        <v>556</v>
      </c>
      <c r="F16870" s="1">
        <v>1</v>
      </c>
      <c r="G16870" s="1" t="s">
        <v>31</v>
      </c>
      <c r="H16870" s="4" t="str">
        <f>HYPERLINK("https://portal.gdc.cancer.gov/cases/9e02a368-8858-4ec5-8c27-9e0876d387a4","TCGA-L5-A8NJ-01A")</f>
        <v>TCGA-L5-A8NJ-01A</v>
      </c>
      <c r="I16870" t="s">
        <v>549</v>
      </c>
      <c r="J16870" t="s">
        <v>550</v>
      </c>
      <c r="K16870" t="s">
        <v>19</v>
      </c>
      <c r="L16870" t="s">
        <v>551</v>
      </c>
      <c r="M16870" t="s">
        <v>41</v>
      </c>
      <c r="N16870" t="s">
        <v>29</v>
      </c>
    </row>
    <row r="16871" spans="1:14">
      <c r="A16871" s="4" t="str">
        <f t="shared" si="1250"/>
        <v>EXP00432</v>
      </c>
      <c r="B16871" s="3" t="s">
        <v>66</v>
      </c>
      <c r="C16871" s="4" t="str">
        <f t="shared" si="1246"/>
        <v>TCGA-ESCA</v>
      </c>
      <c r="D16871" s="1" t="s">
        <v>493</v>
      </c>
      <c r="E16871" t="s">
        <v>556</v>
      </c>
      <c r="F16871" s="1">
        <v>1</v>
      </c>
      <c r="G16871" s="1" t="s">
        <v>31</v>
      </c>
      <c r="H16871" s="4" t="str">
        <f>HYPERLINK("https://portal.gdc.cancer.gov/cases/da33c637-e9db-4a67-9198-2eda750dead7","TCGA-L5-A8NR-01A")</f>
        <v>TCGA-L5-A8NR-01A</v>
      </c>
      <c r="I16871" t="s">
        <v>549</v>
      </c>
      <c r="J16871" t="s">
        <v>550</v>
      </c>
      <c r="K16871" t="s">
        <v>19</v>
      </c>
      <c r="L16871" t="s">
        <v>551</v>
      </c>
      <c r="M16871" t="s">
        <v>44</v>
      </c>
      <c r="N16871" t="s">
        <v>29</v>
      </c>
    </row>
    <row r="16872" spans="1:14">
      <c r="A16872" s="4" t="str">
        <f t="shared" si="1250"/>
        <v>EXP00432</v>
      </c>
      <c r="B16872" s="3" t="s">
        <v>66</v>
      </c>
      <c r="C16872" s="4" t="str">
        <f t="shared" si="1246"/>
        <v>TCGA-ESCA</v>
      </c>
      <c r="D16872" s="1" t="s">
        <v>493</v>
      </c>
      <c r="E16872" t="s">
        <v>556</v>
      </c>
      <c r="F16872" s="1">
        <v>1</v>
      </c>
      <c r="G16872" s="1" t="s">
        <v>31</v>
      </c>
      <c r="H16872" s="4" t="str">
        <f>HYPERLINK("https://portal.gdc.cancer.gov/cases/318e257e-7bff-4ca0-8f0e-acb02516437e","TCGA-L5-A8NS-01A")</f>
        <v>TCGA-L5-A8NS-01A</v>
      </c>
      <c r="I16872" t="s">
        <v>549</v>
      </c>
      <c r="J16872" t="s">
        <v>550</v>
      </c>
      <c r="K16872" t="s">
        <v>19</v>
      </c>
      <c r="L16872" t="s">
        <v>551</v>
      </c>
      <c r="M16872" t="s">
        <v>41</v>
      </c>
      <c r="N16872" t="s">
        <v>29</v>
      </c>
    </row>
    <row r="16873" spans="1:14">
      <c r="A16873" s="4" t="str">
        <f t="shared" si="1250"/>
        <v>EXP00432</v>
      </c>
      <c r="B16873" s="3" t="s">
        <v>66</v>
      </c>
      <c r="C16873" s="4" t="str">
        <f t="shared" si="1246"/>
        <v>TCGA-ESCA</v>
      </c>
      <c r="D16873" s="1" t="s">
        <v>493</v>
      </c>
      <c r="E16873" t="s">
        <v>556</v>
      </c>
      <c r="F16873" s="1">
        <v>1</v>
      </c>
      <c r="G16873" s="1" t="s">
        <v>31</v>
      </c>
      <c r="H16873" s="4" t="str">
        <f>HYPERLINK("https://portal.gdc.cancer.gov/cases/66118386-6ffe-4375-97d3-01908814ae32","TCGA-L5-A8NT-01A")</f>
        <v>TCGA-L5-A8NT-01A</v>
      </c>
      <c r="I16873" t="s">
        <v>549</v>
      </c>
      <c r="J16873" t="s">
        <v>550</v>
      </c>
      <c r="K16873" t="s">
        <v>19</v>
      </c>
      <c r="L16873" t="s">
        <v>551</v>
      </c>
      <c r="M16873" t="s">
        <v>44</v>
      </c>
      <c r="N16873" t="s">
        <v>29</v>
      </c>
    </row>
    <row r="16874" spans="1:14">
      <c r="A16874" s="4" t="str">
        <f t="shared" si="1250"/>
        <v>EXP00432</v>
      </c>
      <c r="B16874" s="3" t="s">
        <v>66</v>
      </c>
      <c r="C16874" s="4" t="str">
        <f t="shared" si="1246"/>
        <v>TCGA-ESCA</v>
      </c>
      <c r="D16874" s="1" t="s">
        <v>493</v>
      </c>
      <c r="E16874" t="s">
        <v>556</v>
      </c>
      <c r="F16874" s="1">
        <v>1</v>
      </c>
      <c r="G16874" s="1" t="s">
        <v>31</v>
      </c>
      <c r="H16874" s="4" t="str">
        <f>HYPERLINK("https://portal.gdc.cancer.gov/cases/d125a297-88be-4500-8ef8-b8bb02362f2b","TCGA-R6-A6L4-01A")</f>
        <v>TCGA-R6-A6L4-01A</v>
      </c>
      <c r="I16874" t="s">
        <v>549</v>
      </c>
      <c r="J16874" t="s">
        <v>550</v>
      </c>
      <c r="K16874" t="s">
        <v>19</v>
      </c>
      <c r="L16874" t="s">
        <v>551</v>
      </c>
      <c r="M16874" t="s">
        <v>44</v>
      </c>
      <c r="N16874" t="s">
        <v>29</v>
      </c>
    </row>
    <row r="16875" spans="1:14">
      <c r="A16875" s="4" t="str">
        <f t="shared" si="1250"/>
        <v>EXP00432</v>
      </c>
      <c r="B16875" s="3" t="s">
        <v>66</v>
      </c>
      <c r="C16875" s="4" t="str">
        <f t="shared" si="1246"/>
        <v>TCGA-ESCA</v>
      </c>
      <c r="D16875" s="1" t="s">
        <v>493</v>
      </c>
      <c r="E16875" t="s">
        <v>556</v>
      </c>
      <c r="F16875" s="1">
        <v>1</v>
      </c>
      <c r="G16875" s="1" t="s">
        <v>31</v>
      </c>
      <c r="H16875" s="4" t="str">
        <f>HYPERLINK("https://portal.gdc.cancer.gov/cases/3df30783-c93d-4204-9703-c24c2349ba15","TCGA-R6-A6XG-01B")</f>
        <v>TCGA-R6-A6XG-01B</v>
      </c>
      <c r="I16875" t="s">
        <v>549</v>
      </c>
      <c r="J16875" t="s">
        <v>550</v>
      </c>
      <c r="K16875" t="s">
        <v>19</v>
      </c>
      <c r="L16875" t="s">
        <v>551</v>
      </c>
      <c r="M16875" t="s">
        <v>21</v>
      </c>
      <c r="N16875" t="s">
        <v>29</v>
      </c>
    </row>
    <row r="16876" spans="1:14">
      <c r="A16876" s="4" t="str">
        <f t="shared" si="1250"/>
        <v>EXP00432</v>
      </c>
      <c r="B16876" s="3" t="s">
        <v>66</v>
      </c>
      <c r="C16876" s="4" t="str">
        <f t="shared" si="1246"/>
        <v>TCGA-ESCA</v>
      </c>
      <c r="D16876" s="1" t="s">
        <v>493</v>
      </c>
      <c r="E16876" t="s">
        <v>556</v>
      </c>
      <c r="F16876" s="1">
        <v>1</v>
      </c>
      <c r="G16876" s="1" t="s">
        <v>31</v>
      </c>
      <c r="H16876" s="4" t="str">
        <f>HYPERLINK("https://portal.gdc.cancer.gov/cases/1946f60d-51ca-48ba-8e94-79142594986e","TCGA-R6-A8W5-01B")</f>
        <v>TCGA-R6-A8W5-01B</v>
      </c>
      <c r="I16876" t="s">
        <v>549</v>
      </c>
      <c r="J16876" t="s">
        <v>550</v>
      </c>
      <c r="K16876" t="s">
        <v>19</v>
      </c>
      <c r="L16876" t="s">
        <v>551</v>
      </c>
      <c r="M16876" t="s">
        <v>44</v>
      </c>
      <c r="N16876" t="s">
        <v>29</v>
      </c>
    </row>
    <row r="16877" spans="1:14">
      <c r="A16877" s="4" t="str">
        <f t="shared" si="1250"/>
        <v>EXP00432</v>
      </c>
      <c r="B16877" s="3" t="s">
        <v>66</v>
      </c>
      <c r="C16877" s="4" t="str">
        <f t="shared" si="1246"/>
        <v>TCGA-ESCA</v>
      </c>
      <c r="D16877" s="1" t="s">
        <v>493</v>
      </c>
      <c r="E16877" t="s">
        <v>556</v>
      </c>
      <c r="F16877" s="1">
        <v>1</v>
      </c>
      <c r="G16877" s="1" t="s">
        <v>31</v>
      </c>
      <c r="H16877" s="4" t="str">
        <f>HYPERLINK("https://portal.gdc.cancer.gov/cases/608ef42f-ccd7-4ae0-8156-8775a0f09bcf","TCGA-R6-A8WG-01A")</f>
        <v>TCGA-R6-A8WG-01A</v>
      </c>
      <c r="I16877" t="s">
        <v>549</v>
      </c>
      <c r="J16877" t="s">
        <v>550</v>
      </c>
      <c r="K16877" t="s">
        <v>19</v>
      </c>
      <c r="L16877" t="s">
        <v>551</v>
      </c>
      <c r="M16877" t="s">
        <v>47</v>
      </c>
      <c r="N16877" t="s">
        <v>29</v>
      </c>
    </row>
    <row r="16878" spans="1:14">
      <c r="A16878" s="4" t="str">
        <f t="shared" si="1250"/>
        <v>EXP00432</v>
      </c>
      <c r="B16878" s="3" t="s">
        <v>66</v>
      </c>
      <c r="C16878" s="4" t="str">
        <f t="shared" si="1246"/>
        <v>TCGA-ESCA</v>
      </c>
      <c r="D16878" s="1" t="s">
        <v>493</v>
      </c>
      <c r="E16878" t="s">
        <v>556</v>
      </c>
      <c r="F16878" s="1">
        <v>1</v>
      </c>
      <c r="G16878" s="1" t="s">
        <v>31</v>
      </c>
      <c r="H16878" s="4" t="str">
        <f>HYPERLINK("https://portal.gdc.cancer.gov/cases/aac385c1-42f9-4d9e-b9bf-94ca13ebc5ae","TCGA-V5-A7RC-01B")</f>
        <v>TCGA-V5-A7RC-01B</v>
      </c>
      <c r="I16878" t="s">
        <v>549</v>
      </c>
      <c r="J16878" t="s">
        <v>550</v>
      </c>
      <c r="K16878" t="s">
        <v>19</v>
      </c>
      <c r="L16878" t="s">
        <v>551</v>
      </c>
      <c r="M16878" t="s">
        <v>44</v>
      </c>
      <c r="N16878" t="s">
        <v>29</v>
      </c>
    </row>
    <row r="16879" spans="1:14">
      <c r="A16879" s="4" t="str">
        <f t="shared" si="1250"/>
        <v>EXP00432</v>
      </c>
      <c r="B16879" s="3" t="s">
        <v>66</v>
      </c>
      <c r="C16879" s="4" t="str">
        <f t="shared" si="1246"/>
        <v>TCGA-ESCA</v>
      </c>
      <c r="D16879" s="1" t="s">
        <v>493</v>
      </c>
      <c r="E16879" t="s">
        <v>556</v>
      </c>
      <c r="F16879" s="1">
        <v>1</v>
      </c>
      <c r="G16879" s="1" t="s">
        <v>31</v>
      </c>
      <c r="H16879" s="4" t="str">
        <f>HYPERLINK("https://portal.gdc.cancer.gov/cases/fd62f7b4-a2da-4acd-8a85-8fa8f91521cb","TCGA-VR-A8EZ-01A")</f>
        <v>TCGA-VR-A8EZ-01A</v>
      </c>
      <c r="I16879" t="s">
        <v>549</v>
      </c>
      <c r="J16879" t="s">
        <v>550</v>
      </c>
      <c r="K16879" t="s">
        <v>19</v>
      </c>
      <c r="L16879" t="s">
        <v>551</v>
      </c>
      <c r="M16879" t="s">
        <v>50</v>
      </c>
      <c r="N16879" t="s">
        <v>29</v>
      </c>
    </row>
    <row r="16880" spans="1:14">
      <c r="A16880" s="4" t="str">
        <f t="shared" si="1250"/>
        <v>EXP00432</v>
      </c>
      <c r="B16880" s="3" t="s">
        <v>66</v>
      </c>
      <c r="C16880" s="4" t="str">
        <f t="shared" si="1246"/>
        <v>TCGA-ESCA</v>
      </c>
      <c r="D16880" s="1" t="s">
        <v>493</v>
      </c>
      <c r="E16880" t="s">
        <v>556</v>
      </c>
      <c r="F16880" s="1">
        <v>1</v>
      </c>
      <c r="G16880" s="1" t="s">
        <v>31</v>
      </c>
      <c r="H16880" s="4" t="str">
        <f>HYPERLINK("https://portal.gdc.cancer.gov/cases/02d98b0a-8360-49b9-bbd6-b70c79cbd32d","TCGA-VR-AA4D-01A")</f>
        <v>TCGA-VR-AA4D-01A</v>
      </c>
      <c r="I16880" t="s">
        <v>549</v>
      </c>
      <c r="J16880" t="s">
        <v>550</v>
      </c>
      <c r="K16880" t="s">
        <v>19</v>
      </c>
      <c r="L16880" t="s">
        <v>551</v>
      </c>
      <c r="M16880" t="s">
        <v>559</v>
      </c>
      <c r="N16880" t="s">
        <v>29</v>
      </c>
    </row>
    <row r="16881" spans="1:14">
      <c r="A16881" s="4" t="str">
        <f t="shared" si="1250"/>
        <v>EXP00432</v>
      </c>
      <c r="B16881" s="3" t="s">
        <v>66</v>
      </c>
      <c r="C16881" s="4" t="str">
        <f t="shared" si="1246"/>
        <v>TCGA-ESCA</v>
      </c>
      <c r="D16881" s="1" t="s">
        <v>493</v>
      </c>
      <c r="E16881" t="s">
        <v>556</v>
      </c>
      <c r="F16881" s="1">
        <v>1</v>
      </c>
      <c r="G16881" s="1" t="s">
        <v>31</v>
      </c>
      <c r="H16881" s="4" t="str">
        <f>HYPERLINK("https://portal.gdc.cancer.gov/cases/fdcdf592-66f1-4027-962f-a64d49be474f","TCGA-ZR-A9CJ-01B")</f>
        <v>TCGA-ZR-A9CJ-01B</v>
      </c>
      <c r="I16881" t="s">
        <v>549</v>
      </c>
      <c r="J16881" t="s">
        <v>550</v>
      </c>
      <c r="K16881" t="s">
        <v>19</v>
      </c>
      <c r="L16881" t="s">
        <v>551</v>
      </c>
      <c r="M16881" t="s">
        <v>44</v>
      </c>
      <c r="N16881" t="s">
        <v>29</v>
      </c>
    </row>
    <row r="16882" spans="1:14">
      <c r="A16882" s="4" t="str">
        <f t="shared" si="1250"/>
        <v>EXP00432</v>
      </c>
      <c r="B16882" s="3" t="s">
        <v>66</v>
      </c>
      <c r="C16882" s="4" t="str">
        <f t="shared" si="1246"/>
        <v>TCGA-ESCA</v>
      </c>
      <c r="D16882" s="1" t="s">
        <v>493</v>
      </c>
      <c r="E16882" t="s">
        <v>556</v>
      </c>
      <c r="F16882" s="1">
        <v>2</v>
      </c>
      <c r="G16882" s="1" t="s">
        <v>32</v>
      </c>
      <c r="H16882" s="4" t="str">
        <f>HYPERLINK("https://portal.gdc.cancer.gov/cases/ab2755d2-5bd9-4e2f-b255-e813afc8d268","TCGA-2H-A9GL-01A")</f>
        <v>TCGA-2H-A9GL-01A</v>
      </c>
      <c r="I16882" t="s">
        <v>549</v>
      </c>
      <c r="J16882" t="s">
        <v>550</v>
      </c>
      <c r="K16882" t="s">
        <v>33</v>
      </c>
      <c r="L16882" t="s">
        <v>551</v>
      </c>
      <c r="N16882" t="s">
        <v>29</v>
      </c>
    </row>
    <row r="16883" spans="1:14">
      <c r="A16883" s="4" t="str">
        <f t="shared" si="1250"/>
        <v>EXP00432</v>
      </c>
      <c r="B16883" s="3" t="s">
        <v>66</v>
      </c>
      <c r="C16883" s="4" t="str">
        <f t="shared" si="1246"/>
        <v>TCGA-ESCA</v>
      </c>
      <c r="D16883" s="1" t="s">
        <v>493</v>
      </c>
      <c r="E16883" t="s">
        <v>556</v>
      </c>
      <c r="F16883" s="1">
        <v>2</v>
      </c>
      <c r="G16883" s="1" t="s">
        <v>32</v>
      </c>
      <c r="H16883" s="4" t="str">
        <f>HYPERLINK("https://portal.gdc.cancer.gov/cases/e9aa4430-0203-413c-a8fe-bb89e95cf6a3","TCGA-2H-A9GR-01A")</f>
        <v>TCGA-2H-A9GR-01A</v>
      </c>
      <c r="I16883" t="s">
        <v>549</v>
      </c>
      <c r="J16883" t="s">
        <v>550</v>
      </c>
      <c r="K16883" t="s">
        <v>33</v>
      </c>
      <c r="L16883" t="s">
        <v>551</v>
      </c>
      <c r="N16883" t="s">
        <v>29</v>
      </c>
    </row>
    <row r="16884" spans="1:14">
      <c r="A16884" s="4" t="str">
        <f t="shared" si="1250"/>
        <v>EXP00432</v>
      </c>
      <c r="B16884" s="3" t="s">
        <v>66</v>
      </c>
      <c r="C16884" s="4" t="str">
        <f t="shared" si="1246"/>
        <v>TCGA-ESCA</v>
      </c>
      <c r="D16884" s="1" t="s">
        <v>493</v>
      </c>
      <c r="E16884" t="s">
        <v>556</v>
      </c>
      <c r="F16884" s="1">
        <v>2</v>
      </c>
      <c r="G16884" s="1" t="s">
        <v>32</v>
      </c>
      <c r="H16884" s="4" t="str">
        <f>HYPERLINK("https://portal.gdc.cancer.gov/cases/64aa95b2-ccf7-4bfa-8d4f-98de09f03e71","TCGA-IC-A6RE-01A")</f>
        <v>TCGA-IC-A6RE-01A</v>
      </c>
      <c r="I16884" t="s">
        <v>549</v>
      </c>
      <c r="J16884" t="s">
        <v>550</v>
      </c>
      <c r="K16884" t="s">
        <v>33</v>
      </c>
      <c r="L16884" t="s">
        <v>551</v>
      </c>
      <c r="N16884" t="s">
        <v>29</v>
      </c>
    </row>
    <row r="16885" spans="1:14">
      <c r="A16885" s="4" t="str">
        <f t="shared" si="1250"/>
        <v>EXP00432</v>
      </c>
      <c r="B16885" s="3" t="s">
        <v>66</v>
      </c>
      <c r="C16885" s="4" t="str">
        <f t="shared" si="1246"/>
        <v>TCGA-ESCA</v>
      </c>
      <c r="D16885" s="1" t="s">
        <v>493</v>
      </c>
      <c r="E16885" t="s">
        <v>556</v>
      </c>
      <c r="F16885" s="1">
        <v>2</v>
      </c>
      <c r="G16885" s="1" t="s">
        <v>32</v>
      </c>
      <c r="H16885" s="4" t="str">
        <f>HYPERLINK("https://portal.gdc.cancer.gov/cases/9dfddc49-1e66-4e26-9d71-40d748cca0a6","TCGA-IC-A6RF-01A")</f>
        <v>TCGA-IC-A6RF-01A</v>
      </c>
      <c r="I16885" t="s">
        <v>549</v>
      </c>
      <c r="J16885" t="s">
        <v>550</v>
      </c>
      <c r="K16885" t="s">
        <v>33</v>
      </c>
      <c r="L16885" t="s">
        <v>551</v>
      </c>
      <c r="N16885" t="s">
        <v>29</v>
      </c>
    </row>
    <row r="16886" spans="1:14">
      <c r="A16886" s="4" t="str">
        <f t="shared" ref="A16886:A16917" si="1251">HYPERLINK("http://hcmdb.i-sanger.com/experiment/details/experiment_id/EXP00432","EXP00432")</f>
        <v>EXP00432</v>
      </c>
      <c r="B16886" s="3" t="s">
        <v>66</v>
      </c>
      <c r="C16886" s="4" t="str">
        <f t="shared" si="1246"/>
        <v>TCGA-ESCA</v>
      </c>
      <c r="D16886" s="1" t="s">
        <v>493</v>
      </c>
      <c r="E16886" t="s">
        <v>556</v>
      </c>
      <c r="F16886" s="1">
        <v>2</v>
      </c>
      <c r="G16886" s="1" t="s">
        <v>32</v>
      </c>
      <c r="H16886" s="4" t="str">
        <f>HYPERLINK("https://portal.gdc.cancer.gov/cases/7bf3f18b-a013-48d2-a743-26a57fdbe4c4","TCGA-IG-A3I8-01A")</f>
        <v>TCGA-IG-A3I8-01A</v>
      </c>
      <c r="I16886" t="s">
        <v>549</v>
      </c>
      <c r="J16886" t="s">
        <v>550</v>
      </c>
      <c r="K16886" t="s">
        <v>33</v>
      </c>
      <c r="L16886" t="s">
        <v>551</v>
      </c>
      <c r="N16886" t="s">
        <v>29</v>
      </c>
    </row>
    <row r="16887" spans="1:14">
      <c r="A16887" s="4" t="str">
        <f t="shared" si="1251"/>
        <v>EXP00432</v>
      </c>
      <c r="B16887" s="3" t="s">
        <v>66</v>
      </c>
      <c r="C16887" s="4" t="str">
        <f t="shared" si="1246"/>
        <v>TCGA-ESCA</v>
      </c>
      <c r="D16887" s="1" t="s">
        <v>493</v>
      </c>
      <c r="E16887" t="s">
        <v>556</v>
      </c>
      <c r="F16887" s="1">
        <v>2</v>
      </c>
      <c r="G16887" s="1" t="s">
        <v>32</v>
      </c>
      <c r="H16887" s="4" t="str">
        <f>HYPERLINK("https://portal.gdc.cancer.gov/cases/0ac08ecf-4d70-48a4-9dfd-f44032551cb9","TCGA-IG-A3QL-01A")</f>
        <v>TCGA-IG-A3QL-01A</v>
      </c>
      <c r="I16887" t="s">
        <v>549</v>
      </c>
      <c r="J16887" t="s">
        <v>550</v>
      </c>
      <c r="K16887" t="s">
        <v>33</v>
      </c>
      <c r="L16887" t="s">
        <v>551</v>
      </c>
      <c r="N16887" t="s">
        <v>29</v>
      </c>
    </row>
    <row r="16888" spans="1:14">
      <c r="A16888" s="4" t="str">
        <f t="shared" si="1251"/>
        <v>EXP00432</v>
      </c>
      <c r="B16888" s="3" t="s">
        <v>66</v>
      </c>
      <c r="C16888" s="4" t="str">
        <f t="shared" si="1246"/>
        <v>TCGA-ESCA</v>
      </c>
      <c r="D16888" s="1" t="s">
        <v>493</v>
      </c>
      <c r="E16888" t="s">
        <v>556</v>
      </c>
      <c r="F16888" s="1">
        <v>2</v>
      </c>
      <c r="G16888" s="1" t="s">
        <v>32</v>
      </c>
      <c r="H16888" s="4" t="str">
        <f>HYPERLINK("https://portal.gdc.cancer.gov/cases/7ab6de57-d659-47f1-a70f-1b67650e99d7","TCGA-IG-A3YA-01A")</f>
        <v>TCGA-IG-A3YA-01A</v>
      </c>
      <c r="I16888" t="s">
        <v>549</v>
      </c>
      <c r="J16888" t="s">
        <v>550</v>
      </c>
      <c r="K16888" t="s">
        <v>33</v>
      </c>
      <c r="L16888" t="s">
        <v>551</v>
      </c>
      <c r="N16888" t="s">
        <v>29</v>
      </c>
    </row>
    <row r="16889" spans="1:14">
      <c r="A16889" s="4" t="str">
        <f t="shared" si="1251"/>
        <v>EXP00432</v>
      </c>
      <c r="B16889" s="3" t="s">
        <v>66</v>
      </c>
      <c r="C16889" s="4" t="str">
        <f t="shared" si="1246"/>
        <v>TCGA-ESCA</v>
      </c>
      <c r="D16889" s="1" t="s">
        <v>493</v>
      </c>
      <c r="E16889" t="s">
        <v>556</v>
      </c>
      <c r="F16889" s="1">
        <v>2</v>
      </c>
      <c r="G16889" s="1" t="s">
        <v>32</v>
      </c>
      <c r="H16889" s="4" t="str">
        <f>HYPERLINK("https://portal.gdc.cancer.gov/cases/a1a233ea-5dda-4eeb-bd92-6667e8b3ef57","TCGA-IG-A3YB-01A")</f>
        <v>TCGA-IG-A3YB-01A</v>
      </c>
      <c r="I16889" t="s">
        <v>549</v>
      </c>
      <c r="J16889" t="s">
        <v>550</v>
      </c>
      <c r="K16889" t="s">
        <v>33</v>
      </c>
      <c r="L16889" t="s">
        <v>551</v>
      </c>
      <c r="N16889" t="s">
        <v>29</v>
      </c>
    </row>
    <row r="16890" spans="1:14">
      <c r="A16890" s="4" t="str">
        <f t="shared" si="1251"/>
        <v>EXP00432</v>
      </c>
      <c r="B16890" s="3" t="s">
        <v>66</v>
      </c>
      <c r="C16890" s="4" t="str">
        <f t="shared" si="1246"/>
        <v>TCGA-ESCA</v>
      </c>
      <c r="D16890" s="1" t="s">
        <v>493</v>
      </c>
      <c r="E16890" t="s">
        <v>556</v>
      </c>
      <c r="F16890" s="1">
        <v>2</v>
      </c>
      <c r="G16890" s="1" t="s">
        <v>32</v>
      </c>
      <c r="H16890" s="4" t="str">
        <f>HYPERLINK("https://portal.gdc.cancer.gov/cases/6a05288e-d051-40a5-9f4e-864ab806a5dc","TCGA-IG-A3YC-01A")</f>
        <v>TCGA-IG-A3YC-01A</v>
      </c>
      <c r="I16890" t="s">
        <v>549</v>
      </c>
      <c r="J16890" t="s">
        <v>550</v>
      </c>
      <c r="K16890" t="s">
        <v>33</v>
      </c>
      <c r="L16890" t="s">
        <v>551</v>
      </c>
      <c r="N16890" t="s">
        <v>29</v>
      </c>
    </row>
    <row r="16891" spans="1:14">
      <c r="A16891" s="4" t="str">
        <f t="shared" si="1251"/>
        <v>EXP00432</v>
      </c>
      <c r="B16891" s="3" t="s">
        <v>66</v>
      </c>
      <c r="C16891" s="4" t="str">
        <f t="shared" si="1246"/>
        <v>TCGA-ESCA</v>
      </c>
      <c r="D16891" s="1" t="s">
        <v>493</v>
      </c>
      <c r="E16891" t="s">
        <v>556</v>
      </c>
      <c r="F16891" s="1">
        <v>2</v>
      </c>
      <c r="G16891" s="1" t="s">
        <v>32</v>
      </c>
      <c r="H16891" s="4" t="str">
        <f>HYPERLINK("https://portal.gdc.cancer.gov/cases/6594acd5-4d2a-4cc5-8cf8-4064e252c5f6","TCGA-IG-A4P3-01A")</f>
        <v>TCGA-IG-A4P3-01A</v>
      </c>
      <c r="I16891" t="s">
        <v>549</v>
      </c>
      <c r="J16891" t="s">
        <v>550</v>
      </c>
      <c r="K16891" t="s">
        <v>33</v>
      </c>
      <c r="L16891" t="s">
        <v>551</v>
      </c>
      <c r="N16891" t="s">
        <v>29</v>
      </c>
    </row>
    <row r="16892" spans="1:14">
      <c r="A16892" s="4" t="str">
        <f t="shared" si="1251"/>
        <v>EXP00432</v>
      </c>
      <c r="B16892" s="3" t="s">
        <v>66</v>
      </c>
      <c r="C16892" s="4" t="str">
        <f t="shared" si="1246"/>
        <v>TCGA-ESCA</v>
      </c>
      <c r="D16892" s="1" t="s">
        <v>493</v>
      </c>
      <c r="E16892" t="s">
        <v>556</v>
      </c>
      <c r="F16892" s="1">
        <v>2</v>
      </c>
      <c r="G16892" s="1" t="s">
        <v>32</v>
      </c>
      <c r="H16892" s="4" t="str">
        <f>HYPERLINK("https://portal.gdc.cancer.gov/cases/990c6412-6dc0-4dba-a7c1-5bcb3751b1cc","TCGA-IG-A4QS-01A")</f>
        <v>TCGA-IG-A4QS-01A</v>
      </c>
      <c r="I16892" t="s">
        <v>549</v>
      </c>
      <c r="J16892" t="s">
        <v>550</v>
      </c>
      <c r="K16892" t="s">
        <v>33</v>
      </c>
      <c r="L16892" t="s">
        <v>551</v>
      </c>
      <c r="N16892" t="s">
        <v>29</v>
      </c>
    </row>
    <row r="16893" spans="1:14">
      <c r="A16893" s="4" t="str">
        <f t="shared" si="1251"/>
        <v>EXP00432</v>
      </c>
      <c r="B16893" s="3" t="s">
        <v>66</v>
      </c>
      <c r="C16893" s="4" t="str">
        <f t="shared" si="1246"/>
        <v>TCGA-ESCA</v>
      </c>
      <c r="D16893" s="1" t="s">
        <v>493</v>
      </c>
      <c r="E16893" t="s">
        <v>556</v>
      </c>
      <c r="F16893" s="1">
        <v>2</v>
      </c>
      <c r="G16893" s="1" t="s">
        <v>32</v>
      </c>
      <c r="H16893" s="4" t="str">
        <f>HYPERLINK("https://portal.gdc.cancer.gov/cases/9e54a27f-d0fa-4a5b-91bc-13e27fed2a3d","TCGA-IG-A50L-01A")</f>
        <v>TCGA-IG-A50L-01A</v>
      </c>
      <c r="I16893" t="s">
        <v>549</v>
      </c>
      <c r="J16893" t="s">
        <v>550</v>
      </c>
      <c r="K16893" t="s">
        <v>33</v>
      </c>
      <c r="L16893" t="s">
        <v>551</v>
      </c>
      <c r="N16893" t="s">
        <v>29</v>
      </c>
    </row>
    <row r="16894" spans="1:14">
      <c r="A16894" s="4" t="str">
        <f t="shared" si="1251"/>
        <v>EXP00432</v>
      </c>
      <c r="B16894" s="3" t="s">
        <v>66</v>
      </c>
      <c r="C16894" s="4" t="str">
        <f t="shared" ref="C16894:C16957" si="1252">HYPERLINK("https://portal.gdc.cancer.gov/projects/TCGA-ESCA","TCGA-ESCA")</f>
        <v>TCGA-ESCA</v>
      </c>
      <c r="D16894" s="1" t="s">
        <v>493</v>
      </c>
      <c r="E16894" t="s">
        <v>556</v>
      </c>
      <c r="F16894" s="1">
        <v>2</v>
      </c>
      <c r="G16894" s="1" t="s">
        <v>32</v>
      </c>
      <c r="H16894" s="4" t="str">
        <f>HYPERLINK("https://portal.gdc.cancer.gov/cases/f8dbab24-b9f4-4b8a-bfea-57856ccf6364","TCGA-IG-A51D-01A")</f>
        <v>TCGA-IG-A51D-01A</v>
      </c>
      <c r="I16894" t="s">
        <v>549</v>
      </c>
      <c r="J16894" t="s">
        <v>550</v>
      </c>
      <c r="K16894" t="s">
        <v>33</v>
      </c>
      <c r="L16894" t="s">
        <v>551</v>
      </c>
      <c r="N16894" t="s">
        <v>29</v>
      </c>
    </row>
    <row r="16895" spans="1:14">
      <c r="A16895" s="4" t="str">
        <f t="shared" si="1251"/>
        <v>EXP00432</v>
      </c>
      <c r="B16895" s="3" t="s">
        <v>66</v>
      </c>
      <c r="C16895" s="4" t="str">
        <f t="shared" si="1252"/>
        <v>TCGA-ESCA</v>
      </c>
      <c r="D16895" s="1" t="s">
        <v>493</v>
      </c>
      <c r="E16895" t="s">
        <v>556</v>
      </c>
      <c r="F16895" s="1">
        <v>2</v>
      </c>
      <c r="G16895" s="1" t="s">
        <v>32</v>
      </c>
      <c r="H16895" s="4" t="str">
        <f>HYPERLINK("https://portal.gdc.cancer.gov/cases/a4d36e09-5d8e-4006-855c-e466682b6813","TCGA-IG-A5B8-01A")</f>
        <v>TCGA-IG-A5B8-01A</v>
      </c>
      <c r="I16895" t="s">
        <v>549</v>
      </c>
      <c r="J16895" t="s">
        <v>550</v>
      </c>
      <c r="K16895" t="s">
        <v>33</v>
      </c>
      <c r="L16895" t="s">
        <v>551</v>
      </c>
      <c r="N16895" t="s">
        <v>29</v>
      </c>
    </row>
    <row r="16896" spans="1:14">
      <c r="A16896" s="4" t="str">
        <f t="shared" si="1251"/>
        <v>EXP00432</v>
      </c>
      <c r="B16896" s="3" t="s">
        <v>66</v>
      </c>
      <c r="C16896" s="4" t="str">
        <f t="shared" si="1252"/>
        <v>TCGA-ESCA</v>
      </c>
      <c r="D16896" s="1" t="s">
        <v>493</v>
      </c>
      <c r="E16896" t="s">
        <v>556</v>
      </c>
      <c r="F16896" s="1">
        <v>2</v>
      </c>
      <c r="G16896" s="1" t="s">
        <v>32</v>
      </c>
      <c r="H16896" s="4" t="str">
        <f>HYPERLINK("https://portal.gdc.cancer.gov/cases/df0125b2-5278-4ded-b3b7-9fc829fe9f63","TCGA-IG-A5S3-01A")</f>
        <v>TCGA-IG-A5S3-01A</v>
      </c>
      <c r="I16896" t="s">
        <v>549</v>
      </c>
      <c r="J16896" t="s">
        <v>550</v>
      </c>
      <c r="K16896" t="s">
        <v>33</v>
      </c>
      <c r="L16896" t="s">
        <v>551</v>
      </c>
      <c r="N16896" t="s">
        <v>29</v>
      </c>
    </row>
    <row r="16897" spans="1:14">
      <c r="A16897" s="4" t="str">
        <f t="shared" si="1251"/>
        <v>EXP00432</v>
      </c>
      <c r="B16897" s="3" t="s">
        <v>66</v>
      </c>
      <c r="C16897" s="4" t="str">
        <f t="shared" si="1252"/>
        <v>TCGA-ESCA</v>
      </c>
      <c r="D16897" s="1" t="s">
        <v>493</v>
      </c>
      <c r="E16897" t="s">
        <v>556</v>
      </c>
      <c r="F16897" s="1">
        <v>2</v>
      </c>
      <c r="G16897" s="1" t="s">
        <v>32</v>
      </c>
      <c r="H16897" s="4" t="str">
        <f>HYPERLINK("https://portal.gdc.cancer.gov/cases/5da26ba5-297a-4d04-883d-32719db3886a","TCGA-IG-A625-01A")</f>
        <v>TCGA-IG-A625-01A</v>
      </c>
      <c r="I16897" t="s">
        <v>549</v>
      </c>
      <c r="J16897" t="s">
        <v>550</v>
      </c>
      <c r="K16897" t="s">
        <v>33</v>
      </c>
      <c r="L16897" t="s">
        <v>551</v>
      </c>
      <c r="N16897" t="s">
        <v>29</v>
      </c>
    </row>
    <row r="16898" spans="1:14">
      <c r="A16898" s="4" t="str">
        <f t="shared" si="1251"/>
        <v>EXP00432</v>
      </c>
      <c r="B16898" s="3" t="s">
        <v>66</v>
      </c>
      <c r="C16898" s="4" t="str">
        <f t="shared" si="1252"/>
        <v>TCGA-ESCA</v>
      </c>
      <c r="D16898" s="1" t="s">
        <v>493</v>
      </c>
      <c r="E16898" t="s">
        <v>556</v>
      </c>
      <c r="F16898" s="1">
        <v>2</v>
      </c>
      <c r="G16898" s="1" t="s">
        <v>32</v>
      </c>
      <c r="H16898" s="4" t="str">
        <f>HYPERLINK("https://portal.gdc.cancer.gov/cases/41b6c417-1ec1-4db9-91a8-11aa4dbad05d","TCGA-IG-A6QS-01A")</f>
        <v>TCGA-IG-A6QS-01A</v>
      </c>
      <c r="I16898" t="s">
        <v>549</v>
      </c>
      <c r="J16898" t="s">
        <v>550</v>
      </c>
      <c r="K16898" t="s">
        <v>33</v>
      </c>
      <c r="L16898" t="s">
        <v>551</v>
      </c>
      <c r="N16898" t="s">
        <v>29</v>
      </c>
    </row>
    <row r="16899" spans="1:14">
      <c r="A16899" s="4" t="str">
        <f t="shared" si="1251"/>
        <v>EXP00432</v>
      </c>
      <c r="B16899" s="3" t="s">
        <v>66</v>
      </c>
      <c r="C16899" s="4" t="str">
        <f t="shared" si="1252"/>
        <v>TCGA-ESCA</v>
      </c>
      <c r="D16899" s="1" t="s">
        <v>493</v>
      </c>
      <c r="E16899" t="s">
        <v>556</v>
      </c>
      <c r="F16899" s="1">
        <v>2</v>
      </c>
      <c r="G16899" s="1" t="s">
        <v>32</v>
      </c>
      <c r="H16899" s="4" t="str">
        <f>HYPERLINK("https://portal.gdc.cancer.gov/cases/41b3dd5a-6413-40f5-9721-78cb218567b7","TCGA-IG-A7DP-01A")</f>
        <v>TCGA-IG-A7DP-01A</v>
      </c>
      <c r="I16899" t="s">
        <v>549</v>
      </c>
      <c r="J16899" t="s">
        <v>550</v>
      </c>
      <c r="K16899" t="s">
        <v>33</v>
      </c>
      <c r="L16899" t="s">
        <v>551</v>
      </c>
      <c r="N16899" t="s">
        <v>29</v>
      </c>
    </row>
    <row r="16900" spans="1:14">
      <c r="A16900" s="4" t="str">
        <f t="shared" si="1251"/>
        <v>EXP00432</v>
      </c>
      <c r="B16900" s="3" t="s">
        <v>66</v>
      </c>
      <c r="C16900" s="4" t="str">
        <f t="shared" si="1252"/>
        <v>TCGA-ESCA</v>
      </c>
      <c r="D16900" s="1" t="s">
        <v>493</v>
      </c>
      <c r="E16900" t="s">
        <v>556</v>
      </c>
      <c r="F16900" s="1">
        <v>2</v>
      </c>
      <c r="G16900" s="1" t="s">
        <v>32</v>
      </c>
      <c r="H16900" s="4" t="str">
        <f>HYPERLINK("https://portal.gdc.cancer.gov/cases/a248bfe7-59af-43ec-8129-692f44b2b218","TCGA-IG-A8O2-01A")</f>
        <v>TCGA-IG-A8O2-01A</v>
      </c>
      <c r="I16900" t="s">
        <v>549</v>
      </c>
      <c r="J16900" t="s">
        <v>550</v>
      </c>
      <c r="K16900" t="s">
        <v>33</v>
      </c>
      <c r="L16900" t="s">
        <v>551</v>
      </c>
      <c r="N16900" t="s">
        <v>29</v>
      </c>
    </row>
    <row r="16901" spans="1:14">
      <c r="A16901" s="4" t="str">
        <f t="shared" si="1251"/>
        <v>EXP00432</v>
      </c>
      <c r="B16901" s="3" t="s">
        <v>66</v>
      </c>
      <c r="C16901" s="4" t="str">
        <f t="shared" si="1252"/>
        <v>TCGA-ESCA</v>
      </c>
      <c r="D16901" s="1" t="s">
        <v>493</v>
      </c>
      <c r="E16901" t="s">
        <v>556</v>
      </c>
      <c r="F16901" s="1">
        <v>2</v>
      </c>
      <c r="G16901" s="1" t="s">
        <v>32</v>
      </c>
      <c r="H16901" s="4" t="str">
        <f>HYPERLINK("https://portal.gdc.cancer.gov/cases/5e491131-b567-4e96-a2d3-69ce16caec50","TCGA-IG-A97H-01A")</f>
        <v>TCGA-IG-A97H-01A</v>
      </c>
      <c r="I16901" t="s">
        <v>549</v>
      </c>
      <c r="J16901" t="s">
        <v>550</v>
      </c>
      <c r="K16901" t="s">
        <v>33</v>
      </c>
      <c r="L16901" t="s">
        <v>551</v>
      </c>
      <c r="N16901" t="s">
        <v>29</v>
      </c>
    </row>
    <row r="16902" spans="1:14">
      <c r="A16902" s="4" t="str">
        <f t="shared" si="1251"/>
        <v>EXP00432</v>
      </c>
      <c r="B16902" s="3" t="s">
        <v>66</v>
      </c>
      <c r="C16902" s="4" t="str">
        <f t="shared" si="1252"/>
        <v>TCGA-ESCA</v>
      </c>
      <c r="D16902" s="1" t="s">
        <v>493</v>
      </c>
      <c r="E16902" t="s">
        <v>556</v>
      </c>
      <c r="F16902" s="1">
        <v>2</v>
      </c>
      <c r="G16902" s="1" t="s">
        <v>32</v>
      </c>
      <c r="H16902" s="4" t="str">
        <f>HYPERLINK("https://portal.gdc.cancer.gov/cases/7aa71c68-4205-4745-838b-0d00bd49a501","TCGA-IG-A97I-01A")</f>
        <v>TCGA-IG-A97I-01A</v>
      </c>
      <c r="I16902" t="s">
        <v>549</v>
      </c>
      <c r="J16902" t="s">
        <v>550</v>
      </c>
      <c r="K16902" t="s">
        <v>33</v>
      </c>
      <c r="L16902" t="s">
        <v>551</v>
      </c>
      <c r="N16902" t="s">
        <v>29</v>
      </c>
    </row>
    <row r="16903" spans="1:14">
      <c r="A16903" s="4" t="str">
        <f t="shared" si="1251"/>
        <v>EXP00432</v>
      </c>
      <c r="B16903" s="3" t="s">
        <v>66</v>
      </c>
      <c r="C16903" s="4" t="str">
        <f t="shared" si="1252"/>
        <v>TCGA-ESCA</v>
      </c>
      <c r="D16903" s="1" t="s">
        <v>493</v>
      </c>
      <c r="E16903" t="s">
        <v>556</v>
      </c>
      <c r="F16903" s="1">
        <v>2</v>
      </c>
      <c r="G16903" s="1" t="s">
        <v>32</v>
      </c>
      <c r="H16903" s="4" t="str">
        <f>HYPERLINK("https://portal.gdc.cancer.gov/cases/c17331fb-c47b-40b5-8d39-9803ee37a42a","TCGA-JY-A6FB-01A")</f>
        <v>TCGA-JY-A6FB-01A</v>
      </c>
      <c r="I16903" t="s">
        <v>549</v>
      </c>
      <c r="J16903" t="s">
        <v>550</v>
      </c>
      <c r="K16903" t="s">
        <v>33</v>
      </c>
      <c r="L16903" t="s">
        <v>551</v>
      </c>
      <c r="N16903" t="s">
        <v>29</v>
      </c>
    </row>
    <row r="16904" spans="1:14">
      <c r="A16904" s="4" t="str">
        <f t="shared" si="1251"/>
        <v>EXP00432</v>
      </c>
      <c r="B16904" s="3" t="s">
        <v>66</v>
      </c>
      <c r="C16904" s="4" t="str">
        <f t="shared" si="1252"/>
        <v>TCGA-ESCA</v>
      </c>
      <c r="D16904" s="1" t="s">
        <v>493</v>
      </c>
      <c r="E16904" t="s">
        <v>556</v>
      </c>
      <c r="F16904" s="1">
        <v>2</v>
      </c>
      <c r="G16904" s="1" t="s">
        <v>32</v>
      </c>
      <c r="H16904" s="4" t="str">
        <f>HYPERLINK("https://portal.gdc.cancer.gov/cases/0396743b-98a6-4ad5-aa13-1b9b23e5b9f9","TCGA-JY-A6FD-01A")</f>
        <v>TCGA-JY-A6FD-01A</v>
      </c>
      <c r="I16904" t="s">
        <v>549</v>
      </c>
      <c r="J16904" t="s">
        <v>550</v>
      </c>
      <c r="K16904" t="s">
        <v>33</v>
      </c>
      <c r="L16904" t="s">
        <v>551</v>
      </c>
      <c r="N16904" t="s">
        <v>29</v>
      </c>
    </row>
    <row r="16905" spans="1:14">
      <c r="A16905" s="4" t="str">
        <f t="shared" si="1251"/>
        <v>EXP00432</v>
      </c>
      <c r="B16905" s="3" t="s">
        <v>66</v>
      </c>
      <c r="C16905" s="4" t="str">
        <f t="shared" si="1252"/>
        <v>TCGA-ESCA</v>
      </c>
      <c r="D16905" s="1" t="s">
        <v>493</v>
      </c>
      <c r="E16905" t="s">
        <v>556</v>
      </c>
      <c r="F16905" s="1">
        <v>2</v>
      </c>
      <c r="G16905" s="1" t="s">
        <v>32</v>
      </c>
      <c r="H16905" s="4" t="str">
        <f>HYPERLINK("https://portal.gdc.cancer.gov/cases/517738f6-ba1c-43b0-8d68-81a7c34118ea","TCGA-JY-A6FG-01A")</f>
        <v>TCGA-JY-A6FG-01A</v>
      </c>
      <c r="I16905" t="s">
        <v>549</v>
      </c>
      <c r="J16905" t="s">
        <v>550</v>
      </c>
      <c r="K16905" t="s">
        <v>33</v>
      </c>
      <c r="L16905" t="s">
        <v>551</v>
      </c>
      <c r="N16905" t="s">
        <v>29</v>
      </c>
    </row>
    <row r="16906" spans="1:14">
      <c r="A16906" s="4" t="str">
        <f t="shared" si="1251"/>
        <v>EXP00432</v>
      </c>
      <c r="B16906" s="3" t="s">
        <v>66</v>
      </c>
      <c r="C16906" s="4" t="str">
        <f t="shared" si="1252"/>
        <v>TCGA-ESCA</v>
      </c>
      <c r="D16906" s="1" t="s">
        <v>493</v>
      </c>
      <c r="E16906" t="s">
        <v>556</v>
      </c>
      <c r="F16906" s="1">
        <v>2</v>
      </c>
      <c r="G16906" s="1" t="s">
        <v>32</v>
      </c>
      <c r="H16906" s="4" t="str">
        <f>HYPERLINK("https://portal.gdc.cancer.gov/cases/0ee03772-f38c-43c1-8484-3c4cb8459468","TCGA-JY-A939-01A")</f>
        <v>TCGA-JY-A939-01A</v>
      </c>
      <c r="I16906" t="s">
        <v>549</v>
      </c>
      <c r="J16906" t="s">
        <v>550</v>
      </c>
      <c r="K16906" t="s">
        <v>33</v>
      </c>
      <c r="L16906" t="s">
        <v>551</v>
      </c>
      <c r="N16906" t="s">
        <v>29</v>
      </c>
    </row>
    <row r="16907" spans="1:14">
      <c r="A16907" s="4" t="str">
        <f t="shared" si="1251"/>
        <v>EXP00432</v>
      </c>
      <c r="B16907" s="3" t="s">
        <v>66</v>
      </c>
      <c r="C16907" s="4" t="str">
        <f t="shared" si="1252"/>
        <v>TCGA-ESCA</v>
      </c>
      <c r="D16907" s="1" t="s">
        <v>493</v>
      </c>
      <c r="E16907" t="s">
        <v>556</v>
      </c>
      <c r="F16907" s="1">
        <v>2</v>
      </c>
      <c r="G16907" s="1" t="s">
        <v>32</v>
      </c>
      <c r="H16907" s="4" t="str">
        <f>HYPERLINK("https://portal.gdc.cancer.gov/cases/bcab5381-c037-4723-904e-d01ea386b61e","TCGA-JY-A93C-01A")</f>
        <v>TCGA-JY-A93C-01A</v>
      </c>
      <c r="I16907" t="s">
        <v>549</v>
      </c>
      <c r="J16907" t="s">
        <v>550</v>
      </c>
      <c r="K16907" t="s">
        <v>33</v>
      </c>
      <c r="L16907" t="s">
        <v>551</v>
      </c>
      <c r="N16907" t="s">
        <v>29</v>
      </c>
    </row>
    <row r="16908" spans="1:14">
      <c r="A16908" s="4" t="str">
        <f t="shared" si="1251"/>
        <v>EXP00432</v>
      </c>
      <c r="B16908" s="3" t="s">
        <v>66</v>
      </c>
      <c r="C16908" s="4" t="str">
        <f t="shared" si="1252"/>
        <v>TCGA-ESCA</v>
      </c>
      <c r="D16908" s="1" t="s">
        <v>493</v>
      </c>
      <c r="E16908" t="s">
        <v>556</v>
      </c>
      <c r="F16908" s="1">
        <v>2</v>
      </c>
      <c r="G16908" s="1" t="s">
        <v>32</v>
      </c>
      <c r="H16908" s="4" t="str">
        <f>HYPERLINK("https://portal.gdc.cancer.gov/cases/7cd5ace2-d340-487e-beb2-1b576f6d751d","TCGA-JY-A93D-01A")</f>
        <v>TCGA-JY-A93D-01A</v>
      </c>
      <c r="I16908" t="s">
        <v>549</v>
      </c>
      <c r="J16908" t="s">
        <v>550</v>
      </c>
      <c r="K16908" t="s">
        <v>33</v>
      </c>
      <c r="L16908" t="s">
        <v>551</v>
      </c>
      <c r="N16908" t="s">
        <v>29</v>
      </c>
    </row>
    <row r="16909" spans="1:14">
      <c r="A16909" s="4" t="str">
        <f t="shared" si="1251"/>
        <v>EXP00432</v>
      </c>
      <c r="B16909" s="3" t="s">
        <v>66</v>
      </c>
      <c r="C16909" s="4" t="str">
        <f t="shared" si="1252"/>
        <v>TCGA-ESCA</v>
      </c>
      <c r="D16909" s="1" t="s">
        <v>493</v>
      </c>
      <c r="E16909" t="s">
        <v>556</v>
      </c>
      <c r="F16909" s="1">
        <v>2</v>
      </c>
      <c r="G16909" s="1" t="s">
        <v>32</v>
      </c>
      <c r="H16909" s="4" t="str">
        <f>HYPERLINK("https://portal.gdc.cancer.gov/cases/50f15b12-4dc4-403f-94b0-9d121306ee30","TCGA-JY-A93E-01A")</f>
        <v>TCGA-JY-A93E-01A</v>
      </c>
      <c r="I16909" t="s">
        <v>549</v>
      </c>
      <c r="J16909" t="s">
        <v>550</v>
      </c>
      <c r="K16909" t="s">
        <v>33</v>
      </c>
      <c r="L16909" t="s">
        <v>551</v>
      </c>
      <c r="N16909" t="s">
        <v>29</v>
      </c>
    </row>
    <row r="16910" spans="1:14">
      <c r="A16910" s="4" t="str">
        <f t="shared" si="1251"/>
        <v>EXP00432</v>
      </c>
      <c r="B16910" s="3" t="s">
        <v>66</v>
      </c>
      <c r="C16910" s="4" t="str">
        <f t="shared" si="1252"/>
        <v>TCGA-ESCA</v>
      </c>
      <c r="D16910" s="1" t="s">
        <v>493</v>
      </c>
      <c r="E16910" t="s">
        <v>556</v>
      </c>
      <c r="F16910" s="1">
        <v>2</v>
      </c>
      <c r="G16910" s="1" t="s">
        <v>32</v>
      </c>
      <c r="H16910" s="4" t="str">
        <f>HYPERLINK("https://portal.gdc.cancer.gov/cases/a6bbfc3c-bd42-47f8-af01-99fa821ea176","TCGA-JY-A93F-01A")</f>
        <v>TCGA-JY-A93F-01A</v>
      </c>
      <c r="I16910" t="s">
        <v>549</v>
      </c>
      <c r="J16910" t="s">
        <v>550</v>
      </c>
      <c r="K16910" t="s">
        <v>33</v>
      </c>
      <c r="L16910" t="s">
        <v>551</v>
      </c>
      <c r="N16910" t="s">
        <v>29</v>
      </c>
    </row>
    <row r="16911" spans="1:14">
      <c r="A16911" s="4" t="str">
        <f t="shared" si="1251"/>
        <v>EXP00432</v>
      </c>
      <c r="B16911" s="3" t="s">
        <v>66</v>
      </c>
      <c r="C16911" s="4" t="str">
        <f t="shared" si="1252"/>
        <v>TCGA-ESCA</v>
      </c>
      <c r="D16911" s="1" t="s">
        <v>493</v>
      </c>
      <c r="E16911" t="s">
        <v>556</v>
      </c>
      <c r="F16911" s="1">
        <v>2</v>
      </c>
      <c r="G16911" s="1" t="s">
        <v>32</v>
      </c>
      <c r="H16911" s="4" t="str">
        <f>HYPERLINK("https://portal.gdc.cancer.gov/cases/ef573329-9659-4106-b391-9a33e1c732c4","TCGA-KH-A6WC-01A")</f>
        <v>TCGA-KH-A6WC-01A</v>
      </c>
      <c r="I16911" t="s">
        <v>549</v>
      </c>
      <c r="J16911" t="s">
        <v>550</v>
      </c>
      <c r="K16911" t="s">
        <v>33</v>
      </c>
      <c r="L16911" t="s">
        <v>551</v>
      </c>
      <c r="N16911" t="s">
        <v>29</v>
      </c>
    </row>
    <row r="16912" spans="1:14">
      <c r="A16912" s="4" t="str">
        <f t="shared" si="1251"/>
        <v>EXP00432</v>
      </c>
      <c r="B16912" s="3" t="s">
        <v>66</v>
      </c>
      <c r="C16912" s="4" t="str">
        <f t="shared" si="1252"/>
        <v>TCGA-ESCA</v>
      </c>
      <c r="D16912" s="1" t="s">
        <v>493</v>
      </c>
      <c r="E16912" t="s">
        <v>556</v>
      </c>
      <c r="F16912" s="1">
        <v>2</v>
      </c>
      <c r="G16912" s="1" t="s">
        <v>32</v>
      </c>
      <c r="H16912" s="4" t="str">
        <f>HYPERLINK("https://portal.gdc.cancer.gov/cases/a935daeb-1efd-4113-a614-a5e4d446c72b","TCGA-L5-A43C-01A")</f>
        <v>TCGA-L5-A43C-01A</v>
      </c>
      <c r="I16912" t="s">
        <v>549</v>
      </c>
      <c r="J16912" t="s">
        <v>550</v>
      </c>
      <c r="K16912" t="s">
        <v>33</v>
      </c>
      <c r="L16912" t="s">
        <v>551</v>
      </c>
      <c r="N16912" t="s">
        <v>29</v>
      </c>
    </row>
    <row r="16913" spans="1:14">
      <c r="A16913" s="4" t="str">
        <f t="shared" si="1251"/>
        <v>EXP00432</v>
      </c>
      <c r="B16913" s="3" t="s">
        <v>66</v>
      </c>
      <c r="C16913" s="4" t="str">
        <f t="shared" si="1252"/>
        <v>TCGA-ESCA</v>
      </c>
      <c r="D16913" s="1" t="s">
        <v>493</v>
      </c>
      <c r="E16913" t="s">
        <v>556</v>
      </c>
      <c r="F16913" s="1">
        <v>2</v>
      </c>
      <c r="G16913" s="1" t="s">
        <v>32</v>
      </c>
      <c r="H16913" s="4" t="str">
        <f>HYPERLINK("https://portal.gdc.cancer.gov/cases/6969fe5a-5993-48e5-95c5-c5c7d3d08205","TCGA-L5-A43E-01A")</f>
        <v>TCGA-L5-A43E-01A</v>
      </c>
      <c r="I16913" t="s">
        <v>549</v>
      </c>
      <c r="J16913" t="s">
        <v>550</v>
      </c>
      <c r="K16913" t="s">
        <v>33</v>
      </c>
      <c r="L16913" t="s">
        <v>551</v>
      </c>
      <c r="N16913" t="s">
        <v>29</v>
      </c>
    </row>
    <row r="16914" spans="1:14">
      <c r="A16914" s="4" t="str">
        <f t="shared" si="1251"/>
        <v>EXP00432</v>
      </c>
      <c r="B16914" s="3" t="s">
        <v>66</v>
      </c>
      <c r="C16914" s="4" t="str">
        <f t="shared" si="1252"/>
        <v>TCGA-ESCA</v>
      </c>
      <c r="D16914" s="1" t="s">
        <v>493</v>
      </c>
      <c r="E16914" t="s">
        <v>556</v>
      </c>
      <c r="F16914" s="1">
        <v>2</v>
      </c>
      <c r="G16914" s="1" t="s">
        <v>32</v>
      </c>
      <c r="H16914" s="4" t="str">
        <f>HYPERLINK("https://portal.gdc.cancer.gov/cases/0a466142-c513-4257-85d4-4bd7cfd0ef29","TCGA-L5-A4OE-01A")</f>
        <v>TCGA-L5-A4OE-01A</v>
      </c>
      <c r="I16914" t="s">
        <v>549</v>
      </c>
      <c r="J16914" t="s">
        <v>550</v>
      </c>
      <c r="K16914" t="s">
        <v>33</v>
      </c>
      <c r="L16914" t="s">
        <v>551</v>
      </c>
      <c r="N16914" t="s">
        <v>29</v>
      </c>
    </row>
    <row r="16915" spans="1:14">
      <c r="A16915" s="4" t="str">
        <f t="shared" si="1251"/>
        <v>EXP00432</v>
      </c>
      <c r="B16915" s="3" t="s">
        <v>66</v>
      </c>
      <c r="C16915" s="4" t="str">
        <f t="shared" si="1252"/>
        <v>TCGA-ESCA</v>
      </c>
      <c r="D16915" s="1" t="s">
        <v>493</v>
      </c>
      <c r="E16915" t="s">
        <v>556</v>
      </c>
      <c r="F16915" s="1">
        <v>2</v>
      </c>
      <c r="G16915" s="1" t="s">
        <v>32</v>
      </c>
      <c r="H16915" s="4" t="str">
        <f>HYPERLINK("https://portal.gdc.cancer.gov/cases/eb4ad376-4cc1-4d2c-9b93-ad2b082c77c4","TCGA-L5-A4OG-01A")</f>
        <v>TCGA-L5-A4OG-01A</v>
      </c>
      <c r="I16915" t="s">
        <v>549</v>
      </c>
      <c r="J16915" t="s">
        <v>550</v>
      </c>
      <c r="K16915" t="s">
        <v>33</v>
      </c>
      <c r="L16915" t="s">
        <v>551</v>
      </c>
      <c r="N16915" t="s">
        <v>29</v>
      </c>
    </row>
    <row r="16916" spans="1:14">
      <c r="A16916" s="4" t="str">
        <f t="shared" si="1251"/>
        <v>EXP00432</v>
      </c>
      <c r="B16916" s="3" t="s">
        <v>66</v>
      </c>
      <c r="C16916" s="4" t="str">
        <f t="shared" si="1252"/>
        <v>TCGA-ESCA</v>
      </c>
      <c r="D16916" s="1" t="s">
        <v>493</v>
      </c>
      <c r="E16916" t="s">
        <v>556</v>
      </c>
      <c r="F16916" s="1">
        <v>2</v>
      </c>
      <c r="G16916" s="1" t="s">
        <v>32</v>
      </c>
      <c r="H16916" s="4" t="str">
        <f>HYPERLINK("https://portal.gdc.cancer.gov/cases/3fa7fc16-49da-4bf6-90c4-74df5cf68b65","TCGA-L5-A4OH-01A")</f>
        <v>TCGA-L5-A4OH-01A</v>
      </c>
      <c r="I16916" t="s">
        <v>549</v>
      </c>
      <c r="J16916" t="s">
        <v>550</v>
      </c>
      <c r="K16916" t="s">
        <v>33</v>
      </c>
      <c r="L16916" t="s">
        <v>551</v>
      </c>
      <c r="N16916" t="s">
        <v>29</v>
      </c>
    </row>
    <row r="16917" spans="1:14">
      <c r="A16917" s="4" t="str">
        <f t="shared" si="1251"/>
        <v>EXP00432</v>
      </c>
      <c r="B16917" s="3" t="s">
        <v>66</v>
      </c>
      <c r="C16917" s="4" t="str">
        <f t="shared" si="1252"/>
        <v>TCGA-ESCA</v>
      </c>
      <c r="D16917" s="1" t="s">
        <v>493</v>
      </c>
      <c r="E16917" t="s">
        <v>556</v>
      </c>
      <c r="F16917" s="1">
        <v>2</v>
      </c>
      <c r="G16917" s="1" t="s">
        <v>32</v>
      </c>
      <c r="H16917" s="4" t="str">
        <f>HYPERLINK("https://portal.gdc.cancer.gov/cases/cb2af13b-cbed-4657-8fd4-fed8db375cba","TCGA-L5-A4OI-01A")</f>
        <v>TCGA-L5-A4OI-01A</v>
      </c>
      <c r="I16917" t="s">
        <v>549</v>
      </c>
      <c r="J16917" t="s">
        <v>550</v>
      </c>
      <c r="K16917" t="s">
        <v>33</v>
      </c>
      <c r="L16917" t="s">
        <v>551</v>
      </c>
      <c r="N16917" t="s">
        <v>29</v>
      </c>
    </row>
    <row r="16918" spans="1:14">
      <c r="A16918" s="4" t="str">
        <f t="shared" ref="A16918:A16949" si="1253">HYPERLINK("http://hcmdb.i-sanger.com/experiment/details/experiment_id/EXP00432","EXP00432")</f>
        <v>EXP00432</v>
      </c>
      <c r="B16918" s="3" t="s">
        <v>66</v>
      </c>
      <c r="C16918" s="4" t="str">
        <f t="shared" si="1252"/>
        <v>TCGA-ESCA</v>
      </c>
      <c r="D16918" s="1" t="s">
        <v>493</v>
      </c>
      <c r="E16918" t="s">
        <v>556</v>
      </c>
      <c r="F16918" s="1">
        <v>2</v>
      </c>
      <c r="G16918" s="1" t="s">
        <v>32</v>
      </c>
      <c r="H16918" s="4" t="str">
        <f>HYPERLINK("https://portal.gdc.cancer.gov/cases/cb419344-6148-43d4-b549-570bd09b3e05","TCGA-L5-A4OJ-01A")</f>
        <v>TCGA-L5-A4OJ-01A</v>
      </c>
      <c r="I16918" t="s">
        <v>549</v>
      </c>
      <c r="J16918" t="s">
        <v>550</v>
      </c>
      <c r="K16918" t="s">
        <v>33</v>
      </c>
      <c r="L16918" t="s">
        <v>551</v>
      </c>
      <c r="N16918" t="s">
        <v>29</v>
      </c>
    </row>
    <row r="16919" spans="1:14">
      <c r="A16919" s="4" t="str">
        <f t="shared" si="1253"/>
        <v>EXP00432</v>
      </c>
      <c r="B16919" s="3" t="s">
        <v>66</v>
      </c>
      <c r="C16919" s="4" t="str">
        <f t="shared" si="1252"/>
        <v>TCGA-ESCA</v>
      </c>
      <c r="D16919" s="1" t="s">
        <v>493</v>
      </c>
      <c r="E16919" t="s">
        <v>556</v>
      </c>
      <c r="F16919" s="1">
        <v>2</v>
      </c>
      <c r="G16919" s="1" t="s">
        <v>32</v>
      </c>
      <c r="H16919" s="4" t="str">
        <f>HYPERLINK("https://portal.gdc.cancer.gov/cases/1a578ae7-5c0b-48ef-8baf-7189df703a93","TCGA-L5-A4OM-01A")</f>
        <v>TCGA-L5-A4OM-01A</v>
      </c>
      <c r="I16919" t="s">
        <v>549</v>
      </c>
      <c r="J16919" t="s">
        <v>550</v>
      </c>
      <c r="K16919" t="s">
        <v>33</v>
      </c>
      <c r="L16919" t="s">
        <v>551</v>
      </c>
      <c r="N16919" t="s">
        <v>29</v>
      </c>
    </row>
    <row r="16920" spans="1:14">
      <c r="A16920" s="4" t="str">
        <f t="shared" si="1253"/>
        <v>EXP00432</v>
      </c>
      <c r="B16920" s="3" t="s">
        <v>66</v>
      </c>
      <c r="C16920" s="4" t="str">
        <f t="shared" si="1252"/>
        <v>TCGA-ESCA</v>
      </c>
      <c r="D16920" s="1" t="s">
        <v>493</v>
      </c>
      <c r="E16920" t="s">
        <v>556</v>
      </c>
      <c r="F16920" s="1">
        <v>2</v>
      </c>
      <c r="G16920" s="1" t="s">
        <v>32</v>
      </c>
      <c r="H16920" s="4" t="str">
        <f>HYPERLINK("https://portal.gdc.cancer.gov/cases/caba34f2-3877-48ca-9fbc-665c3960f574","TCGA-L5-A4ON-01A")</f>
        <v>TCGA-L5-A4ON-01A</v>
      </c>
      <c r="I16920" t="s">
        <v>549</v>
      </c>
      <c r="J16920" t="s">
        <v>550</v>
      </c>
      <c r="K16920" t="s">
        <v>33</v>
      </c>
      <c r="L16920" t="s">
        <v>551</v>
      </c>
      <c r="N16920" t="s">
        <v>29</v>
      </c>
    </row>
    <row r="16921" spans="1:14">
      <c r="A16921" s="4" t="str">
        <f t="shared" si="1253"/>
        <v>EXP00432</v>
      </c>
      <c r="B16921" s="3" t="s">
        <v>66</v>
      </c>
      <c r="C16921" s="4" t="str">
        <f t="shared" si="1252"/>
        <v>TCGA-ESCA</v>
      </c>
      <c r="D16921" s="1" t="s">
        <v>493</v>
      </c>
      <c r="E16921" t="s">
        <v>556</v>
      </c>
      <c r="F16921" s="1">
        <v>2</v>
      </c>
      <c r="G16921" s="1" t="s">
        <v>32</v>
      </c>
      <c r="H16921" s="4" t="str">
        <f>HYPERLINK("https://portal.gdc.cancer.gov/cases/53990b20-16bd-4792-a4ca-4fd411c841f4","TCGA-L5-A4OO-01A")</f>
        <v>TCGA-L5-A4OO-01A</v>
      </c>
      <c r="I16921" t="s">
        <v>549</v>
      </c>
      <c r="J16921" t="s">
        <v>550</v>
      </c>
      <c r="K16921" t="s">
        <v>33</v>
      </c>
      <c r="L16921" t="s">
        <v>551</v>
      </c>
      <c r="N16921" t="s">
        <v>29</v>
      </c>
    </row>
    <row r="16922" spans="1:14">
      <c r="A16922" s="4" t="str">
        <f t="shared" si="1253"/>
        <v>EXP00432</v>
      </c>
      <c r="B16922" s="3" t="s">
        <v>66</v>
      </c>
      <c r="C16922" s="4" t="str">
        <f t="shared" si="1252"/>
        <v>TCGA-ESCA</v>
      </c>
      <c r="D16922" s="1" t="s">
        <v>493</v>
      </c>
      <c r="E16922" t="s">
        <v>556</v>
      </c>
      <c r="F16922" s="1">
        <v>2</v>
      </c>
      <c r="G16922" s="1" t="s">
        <v>32</v>
      </c>
      <c r="H16922" s="4" t="str">
        <f>HYPERLINK("https://portal.gdc.cancer.gov/cases/97031483-1185-41d6-9722-0a03b63caa19","TCGA-L5-A4OP-01A")</f>
        <v>TCGA-L5-A4OP-01A</v>
      </c>
      <c r="I16922" t="s">
        <v>549</v>
      </c>
      <c r="J16922" t="s">
        <v>550</v>
      </c>
      <c r="K16922" t="s">
        <v>33</v>
      </c>
      <c r="L16922" t="s">
        <v>551</v>
      </c>
      <c r="N16922" t="s">
        <v>29</v>
      </c>
    </row>
    <row r="16923" spans="1:14">
      <c r="A16923" s="4" t="str">
        <f t="shared" si="1253"/>
        <v>EXP00432</v>
      </c>
      <c r="B16923" s="3" t="s">
        <v>66</v>
      </c>
      <c r="C16923" s="4" t="str">
        <f t="shared" si="1252"/>
        <v>TCGA-ESCA</v>
      </c>
      <c r="D16923" s="1" t="s">
        <v>493</v>
      </c>
      <c r="E16923" t="s">
        <v>556</v>
      </c>
      <c r="F16923" s="1">
        <v>2</v>
      </c>
      <c r="G16923" s="1" t="s">
        <v>32</v>
      </c>
      <c r="H16923" s="4" t="str">
        <f>HYPERLINK("https://portal.gdc.cancer.gov/cases/d5ac647f-0c6d-40d7-87a8-faa1cc968c82","TCGA-L5-A4OS-01A")</f>
        <v>TCGA-L5-A4OS-01A</v>
      </c>
      <c r="I16923" t="s">
        <v>549</v>
      </c>
      <c r="J16923" t="s">
        <v>550</v>
      </c>
      <c r="K16923" t="s">
        <v>33</v>
      </c>
      <c r="L16923" t="s">
        <v>551</v>
      </c>
      <c r="N16923" t="s">
        <v>29</v>
      </c>
    </row>
    <row r="16924" spans="1:14">
      <c r="A16924" s="4" t="str">
        <f t="shared" si="1253"/>
        <v>EXP00432</v>
      </c>
      <c r="B16924" s="3" t="s">
        <v>66</v>
      </c>
      <c r="C16924" s="4" t="str">
        <f t="shared" si="1252"/>
        <v>TCGA-ESCA</v>
      </c>
      <c r="D16924" s="1" t="s">
        <v>493</v>
      </c>
      <c r="E16924" t="s">
        <v>556</v>
      </c>
      <c r="F16924" s="1">
        <v>2</v>
      </c>
      <c r="G16924" s="1" t="s">
        <v>32</v>
      </c>
      <c r="H16924" s="4" t="str">
        <f>HYPERLINK("https://portal.gdc.cancer.gov/cases/9559f579-5d9a-4c96-9836-8a039d394795","TCGA-L5-A4OT-01A")</f>
        <v>TCGA-L5-A4OT-01A</v>
      </c>
      <c r="I16924" t="s">
        <v>549</v>
      </c>
      <c r="J16924" t="s">
        <v>550</v>
      </c>
      <c r="K16924" t="s">
        <v>33</v>
      </c>
      <c r="L16924" t="s">
        <v>551</v>
      </c>
      <c r="N16924" t="s">
        <v>29</v>
      </c>
    </row>
    <row r="16925" spans="1:14">
      <c r="A16925" s="4" t="str">
        <f t="shared" si="1253"/>
        <v>EXP00432</v>
      </c>
      <c r="B16925" s="3" t="s">
        <v>66</v>
      </c>
      <c r="C16925" s="4" t="str">
        <f t="shared" si="1252"/>
        <v>TCGA-ESCA</v>
      </c>
      <c r="D16925" s="1" t="s">
        <v>493</v>
      </c>
      <c r="E16925" t="s">
        <v>556</v>
      </c>
      <c r="F16925" s="1">
        <v>2</v>
      </c>
      <c r="G16925" s="1" t="s">
        <v>32</v>
      </c>
      <c r="H16925" s="4" t="str">
        <f>HYPERLINK("https://portal.gdc.cancer.gov/cases/ae6c307a-ca04-4618-b270-e8641afd1daa","TCGA-L5-A4OU-01A")</f>
        <v>TCGA-L5-A4OU-01A</v>
      </c>
      <c r="I16925" t="s">
        <v>549</v>
      </c>
      <c r="J16925" t="s">
        <v>550</v>
      </c>
      <c r="K16925" t="s">
        <v>33</v>
      </c>
      <c r="L16925" t="s">
        <v>551</v>
      </c>
      <c r="N16925" t="s">
        <v>29</v>
      </c>
    </row>
    <row r="16926" spans="1:14">
      <c r="A16926" s="4" t="str">
        <f t="shared" si="1253"/>
        <v>EXP00432</v>
      </c>
      <c r="B16926" s="3" t="s">
        <v>66</v>
      </c>
      <c r="C16926" s="4" t="str">
        <f t="shared" si="1252"/>
        <v>TCGA-ESCA</v>
      </c>
      <c r="D16926" s="1" t="s">
        <v>493</v>
      </c>
      <c r="E16926" t="s">
        <v>556</v>
      </c>
      <c r="F16926" s="1">
        <v>2</v>
      </c>
      <c r="G16926" s="1" t="s">
        <v>32</v>
      </c>
      <c r="H16926" s="4" t="str">
        <f>HYPERLINK("https://portal.gdc.cancer.gov/cases/10724958-d007-44fc-ada2-d5874614ddba","TCGA-L5-A4OW-01A")</f>
        <v>TCGA-L5-A4OW-01A</v>
      </c>
      <c r="I16926" t="s">
        <v>549</v>
      </c>
      <c r="J16926" t="s">
        <v>550</v>
      </c>
      <c r="K16926" t="s">
        <v>33</v>
      </c>
      <c r="L16926" t="s">
        <v>551</v>
      </c>
      <c r="N16926" t="s">
        <v>29</v>
      </c>
    </row>
    <row r="16927" spans="1:14">
      <c r="A16927" s="4" t="str">
        <f t="shared" si="1253"/>
        <v>EXP00432</v>
      </c>
      <c r="B16927" s="3" t="s">
        <v>66</v>
      </c>
      <c r="C16927" s="4" t="str">
        <f t="shared" si="1252"/>
        <v>TCGA-ESCA</v>
      </c>
      <c r="D16927" s="1" t="s">
        <v>493</v>
      </c>
      <c r="E16927" t="s">
        <v>556</v>
      </c>
      <c r="F16927" s="1">
        <v>2</v>
      </c>
      <c r="G16927" s="1" t="s">
        <v>32</v>
      </c>
      <c r="H16927" s="4" t="str">
        <f>HYPERLINK("https://portal.gdc.cancer.gov/cases/80bfe92b-fb00-48bb-b659-8f8ef103bc29","TCGA-L5-A4OX-01A")</f>
        <v>TCGA-L5-A4OX-01A</v>
      </c>
      <c r="I16927" t="s">
        <v>549</v>
      </c>
      <c r="J16927" t="s">
        <v>550</v>
      </c>
      <c r="K16927" t="s">
        <v>33</v>
      </c>
      <c r="L16927" t="s">
        <v>551</v>
      </c>
      <c r="N16927" t="s">
        <v>29</v>
      </c>
    </row>
    <row r="16928" spans="1:14">
      <c r="A16928" s="4" t="str">
        <f t="shared" si="1253"/>
        <v>EXP00432</v>
      </c>
      <c r="B16928" s="3" t="s">
        <v>66</v>
      </c>
      <c r="C16928" s="4" t="str">
        <f t="shared" si="1252"/>
        <v>TCGA-ESCA</v>
      </c>
      <c r="D16928" s="1" t="s">
        <v>493</v>
      </c>
      <c r="E16928" t="s">
        <v>556</v>
      </c>
      <c r="F16928" s="1">
        <v>2</v>
      </c>
      <c r="G16928" s="1" t="s">
        <v>32</v>
      </c>
      <c r="H16928" s="4" t="str">
        <f>HYPERLINK("https://portal.gdc.cancer.gov/cases/25eb6a8a-5bd9-480d-baab-6113e1b3be51","TCGA-L5-A88S-01A")</f>
        <v>TCGA-L5-A88S-01A</v>
      </c>
      <c r="I16928" t="s">
        <v>549</v>
      </c>
      <c r="J16928" t="s">
        <v>550</v>
      </c>
      <c r="K16928" t="s">
        <v>33</v>
      </c>
      <c r="L16928" t="s">
        <v>551</v>
      </c>
      <c r="N16928" t="s">
        <v>29</v>
      </c>
    </row>
    <row r="16929" spans="1:14">
      <c r="A16929" s="4" t="str">
        <f t="shared" si="1253"/>
        <v>EXP00432</v>
      </c>
      <c r="B16929" s="3" t="s">
        <v>66</v>
      </c>
      <c r="C16929" s="4" t="str">
        <f t="shared" si="1252"/>
        <v>TCGA-ESCA</v>
      </c>
      <c r="D16929" s="1" t="s">
        <v>493</v>
      </c>
      <c r="E16929" t="s">
        <v>556</v>
      </c>
      <c r="F16929" s="1">
        <v>2</v>
      </c>
      <c r="G16929" s="1" t="s">
        <v>32</v>
      </c>
      <c r="H16929" s="4" t="str">
        <f>HYPERLINK("https://portal.gdc.cancer.gov/cases/6826bcdd-24a4-4dd1-9fab-201cf774e166","TCGA-L5-A88T-01A")</f>
        <v>TCGA-L5-A88T-01A</v>
      </c>
      <c r="I16929" t="s">
        <v>549</v>
      </c>
      <c r="J16929" t="s">
        <v>550</v>
      </c>
      <c r="K16929" t="s">
        <v>33</v>
      </c>
      <c r="L16929" t="s">
        <v>551</v>
      </c>
      <c r="N16929" t="s">
        <v>29</v>
      </c>
    </row>
    <row r="16930" spans="1:14">
      <c r="A16930" s="4" t="str">
        <f t="shared" si="1253"/>
        <v>EXP00432</v>
      </c>
      <c r="B16930" s="3" t="s">
        <v>66</v>
      </c>
      <c r="C16930" s="4" t="str">
        <f t="shared" si="1252"/>
        <v>TCGA-ESCA</v>
      </c>
      <c r="D16930" s="1" t="s">
        <v>493</v>
      </c>
      <c r="E16930" t="s">
        <v>556</v>
      </c>
      <c r="F16930" s="1">
        <v>2</v>
      </c>
      <c r="G16930" s="1" t="s">
        <v>32</v>
      </c>
      <c r="H16930" s="4" t="str">
        <f>HYPERLINK("https://portal.gdc.cancer.gov/cases/c61536a4-761c-4ca2-a1cd-aad738dcd940","TCGA-L5-A88V-01A")</f>
        <v>TCGA-L5-A88V-01A</v>
      </c>
      <c r="I16930" t="s">
        <v>549</v>
      </c>
      <c r="J16930" t="s">
        <v>550</v>
      </c>
      <c r="K16930" t="s">
        <v>33</v>
      </c>
      <c r="L16930" t="s">
        <v>551</v>
      </c>
      <c r="N16930" t="s">
        <v>29</v>
      </c>
    </row>
    <row r="16931" spans="1:14">
      <c r="A16931" s="4" t="str">
        <f t="shared" si="1253"/>
        <v>EXP00432</v>
      </c>
      <c r="B16931" s="3" t="s">
        <v>66</v>
      </c>
      <c r="C16931" s="4" t="str">
        <f t="shared" si="1252"/>
        <v>TCGA-ESCA</v>
      </c>
      <c r="D16931" s="1" t="s">
        <v>493</v>
      </c>
      <c r="E16931" t="s">
        <v>556</v>
      </c>
      <c r="F16931" s="1">
        <v>2</v>
      </c>
      <c r="G16931" s="1" t="s">
        <v>32</v>
      </c>
      <c r="H16931" s="4" t="str">
        <f>HYPERLINK("https://portal.gdc.cancer.gov/cases/fd43a93a-a26d-427b-be04-466630f3d949","TCGA-L5-A88Y-01A")</f>
        <v>TCGA-L5-A88Y-01A</v>
      </c>
      <c r="I16931" t="s">
        <v>549</v>
      </c>
      <c r="J16931" t="s">
        <v>550</v>
      </c>
      <c r="K16931" t="s">
        <v>33</v>
      </c>
      <c r="L16931" t="s">
        <v>551</v>
      </c>
      <c r="N16931" t="s">
        <v>29</v>
      </c>
    </row>
    <row r="16932" spans="1:14">
      <c r="A16932" s="4" t="str">
        <f t="shared" si="1253"/>
        <v>EXP00432</v>
      </c>
      <c r="B16932" s="3" t="s">
        <v>66</v>
      </c>
      <c r="C16932" s="4" t="str">
        <f t="shared" si="1252"/>
        <v>TCGA-ESCA</v>
      </c>
      <c r="D16932" s="1" t="s">
        <v>493</v>
      </c>
      <c r="E16932" t="s">
        <v>556</v>
      </c>
      <c r="F16932" s="1">
        <v>2</v>
      </c>
      <c r="G16932" s="1" t="s">
        <v>32</v>
      </c>
      <c r="H16932" s="4" t="str">
        <f>HYPERLINK("https://portal.gdc.cancer.gov/cases/4d4e15d1-5d54-4ee3-808f-0b28dfc77871","TCGA-L5-A88Z-01A")</f>
        <v>TCGA-L5-A88Z-01A</v>
      </c>
      <c r="I16932" t="s">
        <v>549</v>
      </c>
      <c r="J16932" t="s">
        <v>550</v>
      </c>
      <c r="K16932" t="s">
        <v>33</v>
      </c>
      <c r="L16932" t="s">
        <v>551</v>
      </c>
      <c r="N16932" t="s">
        <v>29</v>
      </c>
    </row>
    <row r="16933" spans="1:14">
      <c r="A16933" s="4" t="str">
        <f t="shared" si="1253"/>
        <v>EXP00432</v>
      </c>
      <c r="B16933" s="3" t="s">
        <v>66</v>
      </c>
      <c r="C16933" s="4" t="str">
        <f t="shared" si="1252"/>
        <v>TCGA-ESCA</v>
      </c>
      <c r="D16933" s="1" t="s">
        <v>493</v>
      </c>
      <c r="E16933" t="s">
        <v>556</v>
      </c>
      <c r="F16933" s="1">
        <v>2</v>
      </c>
      <c r="G16933" s="1" t="s">
        <v>32</v>
      </c>
      <c r="H16933" s="4" t="str">
        <f>HYPERLINK("https://portal.gdc.cancer.gov/cases/f28f37a0-8e24-4a36-90f0-83cf5a27be10","TCGA-L5-A891-01A")</f>
        <v>TCGA-L5-A891-01A</v>
      </c>
      <c r="I16933" t="s">
        <v>549</v>
      </c>
      <c r="J16933" t="s">
        <v>550</v>
      </c>
      <c r="K16933" t="s">
        <v>33</v>
      </c>
      <c r="L16933" t="s">
        <v>551</v>
      </c>
      <c r="N16933" t="s">
        <v>29</v>
      </c>
    </row>
    <row r="16934" spans="1:14">
      <c r="A16934" s="4" t="str">
        <f t="shared" si="1253"/>
        <v>EXP00432</v>
      </c>
      <c r="B16934" s="3" t="s">
        <v>66</v>
      </c>
      <c r="C16934" s="4" t="str">
        <f t="shared" si="1252"/>
        <v>TCGA-ESCA</v>
      </c>
      <c r="D16934" s="1" t="s">
        <v>493</v>
      </c>
      <c r="E16934" t="s">
        <v>556</v>
      </c>
      <c r="F16934" s="1">
        <v>2</v>
      </c>
      <c r="G16934" s="1" t="s">
        <v>32</v>
      </c>
      <c r="H16934" s="4" t="str">
        <f>HYPERLINK("https://portal.gdc.cancer.gov/cases/fb777a96-2e24-4b60-9c7e-9d5dc3e7f35a","TCGA-L5-A893-01A")</f>
        <v>TCGA-L5-A893-01A</v>
      </c>
      <c r="I16934" t="s">
        <v>549</v>
      </c>
      <c r="J16934" t="s">
        <v>550</v>
      </c>
      <c r="K16934" t="s">
        <v>33</v>
      </c>
      <c r="L16934" t="s">
        <v>551</v>
      </c>
      <c r="N16934" t="s">
        <v>29</v>
      </c>
    </row>
    <row r="16935" spans="1:14">
      <c r="A16935" s="4" t="str">
        <f t="shared" si="1253"/>
        <v>EXP00432</v>
      </c>
      <c r="B16935" s="3" t="s">
        <v>66</v>
      </c>
      <c r="C16935" s="4" t="str">
        <f t="shared" si="1252"/>
        <v>TCGA-ESCA</v>
      </c>
      <c r="D16935" s="1" t="s">
        <v>493</v>
      </c>
      <c r="E16935" t="s">
        <v>556</v>
      </c>
      <c r="F16935" s="1">
        <v>2</v>
      </c>
      <c r="G16935" s="1" t="s">
        <v>32</v>
      </c>
      <c r="H16935" s="4" t="str">
        <f>HYPERLINK("https://portal.gdc.cancer.gov/cases/67fae19c-3ce9-4f91-b01e-4b130abf632e","TCGA-L5-A8NE-01A")</f>
        <v>TCGA-L5-A8NE-01A</v>
      </c>
      <c r="I16935" t="s">
        <v>549</v>
      </c>
      <c r="J16935" t="s">
        <v>550</v>
      </c>
      <c r="K16935" t="s">
        <v>33</v>
      </c>
      <c r="L16935" t="s">
        <v>551</v>
      </c>
      <c r="N16935" t="s">
        <v>29</v>
      </c>
    </row>
    <row r="16936" spans="1:14">
      <c r="A16936" s="4" t="str">
        <f t="shared" si="1253"/>
        <v>EXP00432</v>
      </c>
      <c r="B16936" s="3" t="s">
        <v>66</v>
      </c>
      <c r="C16936" s="4" t="str">
        <f t="shared" si="1252"/>
        <v>TCGA-ESCA</v>
      </c>
      <c r="D16936" s="1" t="s">
        <v>493</v>
      </c>
      <c r="E16936" t="s">
        <v>556</v>
      </c>
      <c r="F16936" s="1">
        <v>2</v>
      </c>
      <c r="G16936" s="1" t="s">
        <v>32</v>
      </c>
      <c r="H16936" s="4" t="str">
        <f>HYPERLINK("https://portal.gdc.cancer.gov/cases/df78950c-198d-4afc-a81e-8cfa4dea0abd","TCGA-L5-A8NF-01A")</f>
        <v>TCGA-L5-A8NF-01A</v>
      </c>
      <c r="I16936" t="s">
        <v>549</v>
      </c>
      <c r="J16936" t="s">
        <v>550</v>
      </c>
      <c r="K16936" t="s">
        <v>33</v>
      </c>
      <c r="L16936" t="s">
        <v>551</v>
      </c>
      <c r="N16936" t="s">
        <v>29</v>
      </c>
    </row>
    <row r="16937" spans="1:14">
      <c r="A16937" s="4" t="str">
        <f t="shared" si="1253"/>
        <v>EXP00432</v>
      </c>
      <c r="B16937" s="3" t="s">
        <v>66</v>
      </c>
      <c r="C16937" s="4" t="str">
        <f t="shared" si="1252"/>
        <v>TCGA-ESCA</v>
      </c>
      <c r="D16937" s="1" t="s">
        <v>493</v>
      </c>
      <c r="E16937" t="s">
        <v>556</v>
      </c>
      <c r="F16937" s="1">
        <v>2</v>
      </c>
      <c r="G16937" s="1" t="s">
        <v>32</v>
      </c>
      <c r="H16937" s="4" t="str">
        <f>HYPERLINK("https://portal.gdc.cancer.gov/cases/81be56da-bea2-426b-9576-950a909cc153","TCGA-L5-A8NG-01A")</f>
        <v>TCGA-L5-A8NG-01A</v>
      </c>
      <c r="I16937" t="s">
        <v>549</v>
      </c>
      <c r="J16937" t="s">
        <v>550</v>
      </c>
      <c r="K16937" t="s">
        <v>33</v>
      </c>
      <c r="L16937" t="s">
        <v>551</v>
      </c>
      <c r="N16937" t="s">
        <v>29</v>
      </c>
    </row>
    <row r="16938" spans="1:14">
      <c r="A16938" s="4" t="str">
        <f t="shared" si="1253"/>
        <v>EXP00432</v>
      </c>
      <c r="B16938" s="3" t="s">
        <v>66</v>
      </c>
      <c r="C16938" s="4" t="str">
        <f t="shared" si="1252"/>
        <v>TCGA-ESCA</v>
      </c>
      <c r="D16938" s="1" t="s">
        <v>493</v>
      </c>
      <c r="E16938" t="s">
        <v>556</v>
      </c>
      <c r="F16938" s="1">
        <v>2</v>
      </c>
      <c r="G16938" s="1" t="s">
        <v>32</v>
      </c>
      <c r="H16938" s="4" t="str">
        <f>HYPERLINK("https://portal.gdc.cancer.gov/cases/5af0e222-3dc8-400b-ba61-2225921f2fd3","TCGA-L5-A8NH-01A")</f>
        <v>TCGA-L5-A8NH-01A</v>
      </c>
      <c r="I16938" t="s">
        <v>549</v>
      </c>
      <c r="J16938" t="s">
        <v>550</v>
      </c>
      <c r="K16938" t="s">
        <v>33</v>
      </c>
      <c r="L16938" t="s">
        <v>551</v>
      </c>
      <c r="N16938" t="s">
        <v>29</v>
      </c>
    </row>
    <row r="16939" spans="1:14">
      <c r="A16939" s="4" t="str">
        <f t="shared" si="1253"/>
        <v>EXP00432</v>
      </c>
      <c r="B16939" s="3" t="s">
        <v>66</v>
      </c>
      <c r="C16939" s="4" t="str">
        <f t="shared" si="1252"/>
        <v>TCGA-ESCA</v>
      </c>
      <c r="D16939" s="1" t="s">
        <v>493</v>
      </c>
      <c r="E16939" t="s">
        <v>556</v>
      </c>
      <c r="F16939" s="1">
        <v>2</v>
      </c>
      <c r="G16939" s="1" t="s">
        <v>32</v>
      </c>
      <c r="H16939" s="4" t="str">
        <f>HYPERLINK("https://portal.gdc.cancer.gov/cases/4b0274a5-56bd-4e69-9616-f878392edb13","TCGA-L5-A8NI-01A")</f>
        <v>TCGA-L5-A8NI-01A</v>
      </c>
      <c r="I16939" t="s">
        <v>549</v>
      </c>
      <c r="J16939" t="s">
        <v>550</v>
      </c>
      <c r="K16939" t="s">
        <v>33</v>
      </c>
      <c r="L16939" t="s">
        <v>551</v>
      </c>
      <c r="N16939" t="s">
        <v>29</v>
      </c>
    </row>
    <row r="16940" spans="1:14">
      <c r="A16940" s="4" t="str">
        <f t="shared" si="1253"/>
        <v>EXP00432</v>
      </c>
      <c r="B16940" s="3" t="s">
        <v>66</v>
      </c>
      <c r="C16940" s="4" t="str">
        <f t="shared" si="1252"/>
        <v>TCGA-ESCA</v>
      </c>
      <c r="D16940" s="1" t="s">
        <v>493</v>
      </c>
      <c r="E16940" t="s">
        <v>556</v>
      </c>
      <c r="F16940" s="1">
        <v>2</v>
      </c>
      <c r="G16940" s="1" t="s">
        <v>32</v>
      </c>
      <c r="H16940" s="4" t="str">
        <f>HYPERLINK("https://portal.gdc.cancer.gov/cases/5111b51d-0c7a-4b3a-847e-200b0b3ee2c4","TCGA-L5-A8NK-01A")</f>
        <v>TCGA-L5-A8NK-01A</v>
      </c>
      <c r="I16940" t="s">
        <v>549</v>
      </c>
      <c r="J16940" t="s">
        <v>550</v>
      </c>
      <c r="K16940" t="s">
        <v>33</v>
      </c>
      <c r="L16940" t="s">
        <v>551</v>
      </c>
      <c r="N16940" t="s">
        <v>29</v>
      </c>
    </row>
    <row r="16941" spans="1:14">
      <c r="A16941" s="4" t="str">
        <f t="shared" si="1253"/>
        <v>EXP00432</v>
      </c>
      <c r="B16941" s="3" t="s">
        <v>66</v>
      </c>
      <c r="C16941" s="4" t="str">
        <f t="shared" si="1252"/>
        <v>TCGA-ESCA</v>
      </c>
      <c r="D16941" s="1" t="s">
        <v>493</v>
      </c>
      <c r="E16941" t="s">
        <v>556</v>
      </c>
      <c r="F16941" s="1">
        <v>2</v>
      </c>
      <c r="G16941" s="1" t="s">
        <v>32</v>
      </c>
      <c r="H16941" s="4" t="str">
        <f>HYPERLINK("https://portal.gdc.cancer.gov/cases/9c32a8f1-49a4-4662-a5fb-b99f955c3b1a","TCGA-L5-A8NL-01A")</f>
        <v>TCGA-L5-A8NL-01A</v>
      </c>
      <c r="I16941" t="s">
        <v>549</v>
      </c>
      <c r="J16941" t="s">
        <v>550</v>
      </c>
      <c r="K16941" t="s">
        <v>33</v>
      </c>
      <c r="L16941" t="s">
        <v>551</v>
      </c>
      <c r="N16941" t="s">
        <v>29</v>
      </c>
    </row>
    <row r="16942" spans="1:14">
      <c r="A16942" s="4" t="str">
        <f t="shared" si="1253"/>
        <v>EXP00432</v>
      </c>
      <c r="B16942" s="3" t="s">
        <v>66</v>
      </c>
      <c r="C16942" s="4" t="str">
        <f t="shared" si="1252"/>
        <v>TCGA-ESCA</v>
      </c>
      <c r="D16942" s="1" t="s">
        <v>493</v>
      </c>
      <c r="E16942" t="s">
        <v>556</v>
      </c>
      <c r="F16942" s="1">
        <v>2</v>
      </c>
      <c r="G16942" s="1" t="s">
        <v>32</v>
      </c>
      <c r="H16942" s="4" t="str">
        <f>HYPERLINK("https://portal.gdc.cancer.gov/cases/a9904356-f050-4bd8-b48a-50b64f6dc3a1","TCGA-L5-A8NM-01A")</f>
        <v>TCGA-L5-A8NM-01A</v>
      </c>
      <c r="I16942" t="s">
        <v>549</v>
      </c>
      <c r="J16942" t="s">
        <v>550</v>
      </c>
      <c r="K16942" t="s">
        <v>33</v>
      </c>
      <c r="L16942" t="s">
        <v>551</v>
      </c>
      <c r="N16942" t="s">
        <v>29</v>
      </c>
    </row>
    <row r="16943" spans="1:14">
      <c r="A16943" s="4" t="str">
        <f t="shared" si="1253"/>
        <v>EXP00432</v>
      </c>
      <c r="B16943" s="3" t="s">
        <v>66</v>
      </c>
      <c r="C16943" s="4" t="str">
        <f t="shared" si="1252"/>
        <v>TCGA-ESCA</v>
      </c>
      <c r="D16943" s="1" t="s">
        <v>493</v>
      </c>
      <c r="E16943" t="s">
        <v>556</v>
      </c>
      <c r="F16943" s="1">
        <v>2</v>
      </c>
      <c r="G16943" s="1" t="s">
        <v>32</v>
      </c>
      <c r="H16943" s="4" t="str">
        <f>HYPERLINK("https://portal.gdc.cancer.gov/cases/90940ff1-c270-44f5-9949-f726838aaa57","TCGA-L5-A8NN-01A")</f>
        <v>TCGA-L5-A8NN-01A</v>
      </c>
      <c r="I16943" t="s">
        <v>549</v>
      </c>
      <c r="J16943" t="s">
        <v>550</v>
      </c>
      <c r="K16943" t="s">
        <v>33</v>
      </c>
      <c r="L16943" t="s">
        <v>551</v>
      </c>
      <c r="N16943" t="s">
        <v>29</v>
      </c>
    </row>
    <row r="16944" spans="1:14">
      <c r="A16944" s="4" t="str">
        <f t="shared" si="1253"/>
        <v>EXP00432</v>
      </c>
      <c r="B16944" s="3" t="s">
        <v>66</v>
      </c>
      <c r="C16944" s="4" t="str">
        <f t="shared" si="1252"/>
        <v>TCGA-ESCA</v>
      </c>
      <c r="D16944" s="1" t="s">
        <v>493</v>
      </c>
      <c r="E16944" t="s">
        <v>556</v>
      </c>
      <c r="F16944" s="1">
        <v>2</v>
      </c>
      <c r="G16944" s="1" t="s">
        <v>32</v>
      </c>
      <c r="H16944" s="4" t="str">
        <f>HYPERLINK("https://portal.gdc.cancer.gov/cases/19f61a54-2db5-4e2d-8572-f294d7a41486","TCGA-L5-A8NQ-01A")</f>
        <v>TCGA-L5-A8NQ-01A</v>
      </c>
      <c r="I16944" t="s">
        <v>549</v>
      </c>
      <c r="J16944" t="s">
        <v>550</v>
      </c>
      <c r="K16944" t="s">
        <v>33</v>
      </c>
      <c r="L16944" t="s">
        <v>551</v>
      </c>
      <c r="N16944" t="s">
        <v>29</v>
      </c>
    </row>
    <row r="16945" spans="1:14">
      <c r="A16945" s="4" t="str">
        <f t="shared" si="1253"/>
        <v>EXP00432</v>
      </c>
      <c r="B16945" s="3" t="s">
        <v>66</v>
      </c>
      <c r="C16945" s="4" t="str">
        <f t="shared" si="1252"/>
        <v>TCGA-ESCA</v>
      </c>
      <c r="D16945" s="1" t="s">
        <v>493</v>
      </c>
      <c r="E16945" t="s">
        <v>556</v>
      </c>
      <c r="F16945" s="1">
        <v>2</v>
      </c>
      <c r="G16945" s="1" t="s">
        <v>32</v>
      </c>
      <c r="H16945" s="4" t="str">
        <f>HYPERLINK("https://portal.gdc.cancer.gov/cases/cf7b2de3-f4be-4d29-b537-499dd948c1b7","TCGA-L5-A8NU-01A")</f>
        <v>TCGA-L5-A8NU-01A</v>
      </c>
      <c r="I16945" t="s">
        <v>549</v>
      </c>
      <c r="J16945" t="s">
        <v>550</v>
      </c>
      <c r="K16945" t="s">
        <v>33</v>
      </c>
      <c r="L16945" t="s">
        <v>551</v>
      </c>
      <c r="N16945" t="s">
        <v>29</v>
      </c>
    </row>
    <row r="16946" spans="1:14">
      <c r="A16946" s="4" t="str">
        <f t="shared" si="1253"/>
        <v>EXP00432</v>
      </c>
      <c r="B16946" s="3" t="s">
        <v>66</v>
      </c>
      <c r="C16946" s="4" t="str">
        <f t="shared" si="1252"/>
        <v>TCGA-ESCA</v>
      </c>
      <c r="D16946" s="1" t="s">
        <v>493</v>
      </c>
      <c r="E16946" t="s">
        <v>556</v>
      </c>
      <c r="F16946" s="1">
        <v>2</v>
      </c>
      <c r="G16946" s="1" t="s">
        <v>32</v>
      </c>
      <c r="H16946" s="4" t="str">
        <f>HYPERLINK("https://portal.gdc.cancer.gov/cases/c6ae1d70-a6a2-4a46-b67a-d1bff73a1709","TCGA-L5-A8NV-01A")</f>
        <v>TCGA-L5-A8NV-01A</v>
      </c>
      <c r="I16946" t="s">
        <v>549</v>
      </c>
      <c r="J16946" t="s">
        <v>550</v>
      </c>
      <c r="K16946" t="s">
        <v>33</v>
      </c>
      <c r="L16946" t="s">
        <v>551</v>
      </c>
      <c r="N16946" t="s">
        <v>29</v>
      </c>
    </row>
    <row r="16947" spans="1:14">
      <c r="A16947" s="4" t="str">
        <f t="shared" si="1253"/>
        <v>EXP00432</v>
      </c>
      <c r="B16947" s="3" t="s">
        <v>66</v>
      </c>
      <c r="C16947" s="4" t="str">
        <f t="shared" si="1252"/>
        <v>TCGA-ESCA</v>
      </c>
      <c r="D16947" s="1" t="s">
        <v>493</v>
      </c>
      <c r="E16947" t="s">
        <v>556</v>
      </c>
      <c r="F16947" s="1">
        <v>2</v>
      </c>
      <c r="G16947" s="1" t="s">
        <v>32</v>
      </c>
      <c r="H16947" s="4" t="str">
        <f>HYPERLINK("https://portal.gdc.cancer.gov/cases/d30ab67a-a40c-49b4-8fbc-d7dd5442277d","TCGA-L5-A8NW-01A")</f>
        <v>TCGA-L5-A8NW-01A</v>
      </c>
      <c r="I16947" t="s">
        <v>549</v>
      </c>
      <c r="J16947" t="s">
        <v>550</v>
      </c>
      <c r="K16947" t="s">
        <v>33</v>
      </c>
      <c r="L16947" t="s">
        <v>551</v>
      </c>
      <c r="N16947" t="s">
        <v>29</v>
      </c>
    </row>
    <row r="16948" spans="1:14">
      <c r="A16948" s="4" t="str">
        <f t="shared" si="1253"/>
        <v>EXP00432</v>
      </c>
      <c r="B16948" s="3" t="s">
        <v>66</v>
      </c>
      <c r="C16948" s="4" t="str">
        <f t="shared" si="1252"/>
        <v>TCGA-ESCA</v>
      </c>
      <c r="D16948" s="1" t="s">
        <v>493</v>
      </c>
      <c r="E16948" t="s">
        <v>556</v>
      </c>
      <c r="F16948" s="1">
        <v>2</v>
      </c>
      <c r="G16948" s="1" t="s">
        <v>32</v>
      </c>
      <c r="H16948" s="4" t="str">
        <f>HYPERLINK("https://portal.gdc.cancer.gov/cases/70c5ce85-4022-46c0-8bd0-f5e9009ddf41","TCGA-L7-A56G-01A")</f>
        <v>TCGA-L7-A56G-01A</v>
      </c>
      <c r="I16948" t="s">
        <v>549</v>
      </c>
      <c r="J16948" t="s">
        <v>550</v>
      </c>
      <c r="K16948" t="s">
        <v>33</v>
      </c>
      <c r="L16948" t="s">
        <v>551</v>
      </c>
      <c r="N16948" t="s">
        <v>29</v>
      </c>
    </row>
    <row r="16949" spans="1:14">
      <c r="A16949" s="4" t="str">
        <f t="shared" si="1253"/>
        <v>EXP00432</v>
      </c>
      <c r="B16949" s="3" t="s">
        <v>66</v>
      </c>
      <c r="C16949" s="4" t="str">
        <f t="shared" si="1252"/>
        <v>TCGA-ESCA</v>
      </c>
      <c r="D16949" s="1" t="s">
        <v>493</v>
      </c>
      <c r="E16949" t="s">
        <v>556</v>
      </c>
      <c r="F16949" s="1">
        <v>2</v>
      </c>
      <c r="G16949" s="1" t="s">
        <v>32</v>
      </c>
      <c r="H16949" s="4" t="str">
        <f>HYPERLINK("https://portal.gdc.cancer.gov/cases/dc4062d7-1c81-4b19-aabd-8307a0df5029","TCGA-L7-A6VZ-01A")</f>
        <v>TCGA-L7-A6VZ-01A</v>
      </c>
      <c r="I16949" t="s">
        <v>549</v>
      </c>
      <c r="J16949" t="s">
        <v>550</v>
      </c>
      <c r="K16949" t="s">
        <v>33</v>
      </c>
      <c r="L16949" t="s">
        <v>551</v>
      </c>
      <c r="N16949" t="s">
        <v>29</v>
      </c>
    </row>
    <row r="16950" spans="1:14">
      <c r="A16950" s="4" t="str">
        <f t="shared" ref="A16950:A16981" si="1254">HYPERLINK("http://hcmdb.i-sanger.com/experiment/details/experiment_id/EXP00432","EXP00432")</f>
        <v>EXP00432</v>
      </c>
      <c r="B16950" s="3" t="s">
        <v>66</v>
      </c>
      <c r="C16950" s="4" t="str">
        <f t="shared" si="1252"/>
        <v>TCGA-ESCA</v>
      </c>
      <c r="D16950" s="1" t="s">
        <v>493</v>
      </c>
      <c r="E16950" t="s">
        <v>556</v>
      </c>
      <c r="F16950" s="1">
        <v>2</v>
      </c>
      <c r="G16950" s="1" t="s">
        <v>32</v>
      </c>
      <c r="H16950" s="4" t="str">
        <f>HYPERLINK("https://portal.gdc.cancer.gov/cases/b3e248b5-5d40-495c-bd10-90ecf0ed6a95","TCGA-LN-A49M-01A")</f>
        <v>TCGA-LN-A49M-01A</v>
      </c>
      <c r="I16950" t="s">
        <v>549</v>
      </c>
      <c r="J16950" t="s">
        <v>550</v>
      </c>
      <c r="K16950" t="s">
        <v>33</v>
      </c>
      <c r="L16950" t="s">
        <v>551</v>
      </c>
      <c r="N16950" t="s">
        <v>29</v>
      </c>
    </row>
    <row r="16951" spans="1:14">
      <c r="A16951" s="4" t="str">
        <f t="shared" si="1254"/>
        <v>EXP00432</v>
      </c>
      <c r="B16951" s="3" t="s">
        <v>66</v>
      </c>
      <c r="C16951" s="4" t="str">
        <f t="shared" si="1252"/>
        <v>TCGA-ESCA</v>
      </c>
      <c r="D16951" s="1" t="s">
        <v>493</v>
      </c>
      <c r="E16951" t="s">
        <v>556</v>
      </c>
      <c r="F16951" s="1">
        <v>2</v>
      </c>
      <c r="G16951" s="1" t="s">
        <v>32</v>
      </c>
      <c r="H16951" s="4" t="str">
        <f>HYPERLINK("https://portal.gdc.cancer.gov/cases/3df1b9db-d900-47d2-839d-3900829cb2a9","TCGA-LN-A49O-01A")</f>
        <v>TCGA-LN-A49O-01A</v>
      </c>
      <c r="I16951" t="s">
        <v>549</v>
      </c>
      <c r="J16951" t="s">
        <v>550</v>
      </c>
      <c r="K16951" t="s">
        <v>33</v>
      </c>
      <c r="L16951" t="s">
        <v>551</v>
      </c>
      <c r="N16951" t="s">
        <v>29</v>
      </c>
    </row>
    <row r="16952" spans="1:14">
      <c r="A16952" s="4" t="str">
        <f t="shared" si="1254"/>
        <v>EXP00432</v>
      </c>
      <c r="B16952" s="3" t="s">
        <v>66</v>
      </c>
      <c r="C16952" s="4" t="str">
        <f t="shared" si="1252"/>
        <v>TCGA-ESCA</v>
      </c>
      <c r="D16952" s="1" t="s">
        <v>493</v>
      </c>
      <c r="E16952" t="s">
        <v>556</v>
      </c>
      <c r="F16952" s="1">
        <v>2</v>
      </c>
      <c r="G16952" s="1" t="s">
        <v>32</v>
      </c>
      <c r="H16952" s="4" t="str">
        <f>HYPERLINK("https://portal.gdc.cancer.gov/cases/b64a5f5a-5913-432e-9d08-0ff67a8c6b64","TCGA-LN-A49P-01A")</f>
        <v>TCGA-LN-A49P-01A</v>
      </c>
      <c r="I16952" t="s">
        <v>549</v>
      </c>
      <c r="J16952" t="s">
        <v>550</v>
      </c>
      <c r="K16952" t="s">
        <v>33</v>
      </c>
      <c r="L16952" t="s">
        <v>551</v>
      </c>
      <c r="N16952" t="s">
        <v>29</v>
      </c>
    </row>
    <row r="16953" spans="1:14">
      <c r="A16953" s="4" t="str">
        <f t="shared" si="1254"/>
        <v>EXP00432</v>
      </c>
      <c r="B16953" s="3" t="s">
        <v>66</v>
      </c>
      <c r="C16953" s="4" t="str">
        <f t="shared" si="1252"/>
        <v>TCGA-ESCA</v>
      </c>
      <c r="D16953" s="1" t="s">
        <v>493</v>
      </c>
      <c r="E16953" t="s">
        <v>556</v>
      </c>
      <c r="F16953" s="1">
        <v>2</v>
      </c>
      <c r="G16953" s="1" t="s">
        <v>32</v>
      </c>
      <c r="H16953" s="4" t="str">
        <f>HYPERLINK("https://portal.gdc.cancer.gov/cases/e9f82800-647a-4d61-bd1f-2c17c4ccafba","TCGA-LN-A49S-01A")</f>
        <v>TCGA-LN-A49S-01A</v>
      </c>
      <c r="I16953" t="s">
        <v>549</v>
      </c>
      <c r="J16953" t="s">
        <v>550</v>
      </c>
      <c r="K16953" t="s">
        <v>33</v>
      </c>
      <c r="L16953" t="s">
        <v>551</v>
      </c>
      <c r="N16953" t="s">
        <v>29</v>
      </c>
    </row>
    <row r="16954" spans="1:14">
      <c r="A16954" s="4" t="str">
        <f t="shared" si="1254"/>
        <v>EXP00432</v>
      </c>
      <c r="B16954" s="3" t="s">
        <v>66</v>
      </c>
      <c r="C16954" s="4" t="str">
        <f t="shared" si="1252"/>
        <v>TCGA-ESCA</v>
      </c>
      <c r="D16954" s="1" t="s">
        <v>493</v>
      </c>
      <c r="E16954" t="s">
        <v>556</v>
      </c>
      <c r="F16954" s="1">
        <v>2</v>
      </c>
      <c r="G16954" s="1" t="s">
        <v>32</v>
      </c>
      <c r="H16954" s="4" t="str">
        <f>HYPERLINK("https://portal.gdc.cancer.gov/cases/931a50ff-3149-4c4a-9456-45ed3a9dd457","TCGA-LN-A49U-01A")</f>
        <v>TCGA-LN-A49U-01A</v>
      </c>
      <c r="I16954" t="s">
        <v>549</v>
      </c>
      <c r="J16954" t="s">
        <v>550</v>
      </c>
      <c r="K16954" t="s">
        <v>33</v>
      </c>
      <c r="L16954" t="s">
        <v>551</v>
      </c>
      <c r="N16954" t="s">
        <v>29</v>
      </c>
    </row>
    <row r="16955" spans="1:14">
      <c r="A16955" s="4" t="str">
        <f t="shared" si="1254"/>
        <v>EXP00432</v>
      </c>
      <c r="B16955" s="3" t="s">
        <v>66</v>
      </c>
      <c r="C16955" s="4" t="str">
        <f t="shared" si="1252"/>
        <v>TCGA-ESCA</v>
      </c>
      <c r="D16955" s="1" t="s">
        <v>493</v>
      </c>
      <c r="E16955" t="s">
        <v>556</v>
      </c>
      <c r="F16955" s="1">
        <v>2</v>
      </c>
      <c r="G16955" s="1" t="s">
        <v>32</v>
      </c>
      <c r="H16955" s="4" t="str">
        <f>HYPERLINK("https://portal.gdc.cancer.gov/cases/daf211f2-941e-4244-8cf5-d31492269443","TCGA-LN-A49W-01A")</f>
        <v>TCGA-LN-A49W-01A</v>
      </c>
      <c r="I16955" t="s">
        <v>549</v>
      </c>
      <c r="J16955" t="s">
        <v>550</v>
      </c>
      <c r="K16955" t="s">
        <v>33</v>
      </c>
      <c r="L16955" t="s">
        <v>551</v>
      </c>
      <c r="N16955" t="s">
        <v>29</v>
      </c>
    </row>
    <row r="16956" spans="1:14">
      <c r="A16956" s="4" t="str">
        <f t="shared" si="1254"/>
        <v>EXP00432</v>
      </c>
      <c r="B16956" s="3" t="s">
        <v>66</v>
      </c>
      <c r="C16956" s="4" t="str">
        <f t="shared" si="1252"/>
        <v>TCGA-ESCA</v>
      </c>
      <c r="D16956" s="1" t="s">
        <v>493</v>
      </c>
      <c r="E16956" t="s">
        <v>556</v>
      </c>
      <c r="F16956" s="1">
        <v>2</v>
      </c>
      <c r="G16956" s="1" t="s">
        <v>32</v>
      </c>
      <c r="H16956" s="4" t="str">
        <f>HYPERLINK("https://portal.gdc.cancer.gov/cases/b05aefc4-2d61-44b6-9451-e660d10d8a79","TCGA-LN-A49X-01A")</f>
        <v>TCGA-LN-A49X-01A</v>
      </c>
      <c r="I16956" t="s">
        <v>549</v>
      </c>
      <c r="J16956" t="s">
        <v>550</v>
      </c>
      <c r="K16956" t="s">
        <v>33</v>
      </c>
      <c r="L16956" t="s">
        <v>551</v>
      </c>
      <c r="N16956" t="s">
        <v>29</v>
      </c>
    </row>
    <row r="16957" spans="1:14">
      <c r="A16957" s="4" t="str">
        <f t="shared" si="1254"/>
        <v>EXP00432</v>
      </c>
      <c r="B16957" s="3" t="s">
        <v>66</v>
      </c>
      <c r="C16957" s="4" t="str">
        <f t="shared" si="1252"/>
        <v>TCGA-ESCA</v>
      </c>
      <c r="D16957" s="1" t="s">
        <v>493</v>
      </c>
      <c r="E16957" t="s">
        <v>556</v>
      </c>
      <c r="F16957" s="1">
        <v>2</v>
      </c>
      <c r="G16957" s="1" t="s">
        <v>32</v>
      </c>
      <c r="H16957" s="4" t="str">
        <f>HYPERLINK("https://portal.gdc.cancer.gov/cases/87faba0e-28e7-4a7e-a7e1-12582ec68fac","TCGA-LN-A49Y-01A")</f>
        <v>TCGA-LN-A49Y-01A</v>
      </c>
      <c r="I16957" t="s">
        <v>549</v>
      </c>
      <c r="J16957" t="s">
        <v>550</v>
      </c>
      <c r="K16957" t="s">
        <v>33</v>
      </c>
      <c r="L16957" t="s">
        <v>551</v>
      </c>
      <c r="N16957" t="s">
        <v>29</v>
      </c>
    </row>
    <row r="16958" spans="1:14">
      <c r="A16958" s="4" t="str">
        <f t="shared" si="1254"/>
        <v>EXP00432</v>
      </c>
      <c r="B16958" s="3" t="s">
        <v>66</v>
      </c>
      <c r="C16958" s="4" t="str">
        <f t="shared" ref="C16958:C17021" si="1255">HYPERLINK("https://portal.gdc.cancer.gov/projects/TCGA-ESCA","TCGA-ESCA")</f>
        <v>TCGA-ESCA</v>
      </c>
      <c r="D16958" s="1" t="s">
        <v>493</v>
      </c>
      <c r="E16958" t="s">
        <v>556</v>
      </c>
      <c r="F16958" s="1">
        <v>2</v>
      </c>
      <c r="G16958" s="1" t="s">
        <v>32</v>
      </c>
      <c r="H16958" s="4" t="str">
        <f>HYPERLINK("https://portal.gdc.cancer.gov/cases/3c1f8b73-bad7-4649-b08e-c7afc647edf3","TCGA-LN-A4A1-01A")</f>
        <v>TCGA-LN-A4A1-01A</v>
      </c>
      <c r="I16958" t="s">
        <v>549</v>
      </c>
      <c r="J16958" t="s">
        <v>550</v>
      </c>
      <c r="K16958" t="s">
        <v>33</v>
      </c>
      <c r="L16958" t="s">
        <v>551</v>
      </c>
      <c r="N16958" t="s">
        <v>29</v>
      </c>
    </row>
    <row r="16959" spans="1:14">
      <c r="A16959" s="4" t="str">
        <f t="shared" si="1254"/>
        <v>EXP00432</v>
      </c>
      <c r="B16959" s="3" t="s">
        <v>66</v>
      </c>
      <c r="C16959" s="4" t="str">
        <f t="shared" si="1255"/>
        <v>TCGA-ESCA</v>
      </c>
      <c r="D16959" s="1" t="s">
        <v>493</v>
      </c>
      <c r="E16959" t="s">
        <v>556</v>
      </c>
      <c r="F16959" s="1">
        <v>2</v>
      </c>
      <c r="G16959" s="1" t="s">
        <v>32</v>
      </c>
      <c r="H16959" s="4" t="str">
        <f>HYPERLINK("https://portal.gdc.cancer.gov/cases/3c0bb5e2-ad33-4d91-a31e-2a18f1c94d2d","TCGA-LN-A4A3-01A")</f>
        <v>TCGA-LN-A4A3-01A</v>
      </c>
      <c r="I16959" t="s">
        <v>549</v>
      </c>
      <c r="J16959" t="s">
        <v>550</v>
      </c>
      <c r="K16959" t="s">
        <v>33</v>
      </c>
      <c r="L16959" t="s">
        <v>551</v>
      </c>
      <c r="N16959" t="s">
        <v>29</v>
      </c>
    </row>
    <row r="16960" spans="1:14">
      <c r="A16960" s="4" t="str">
        <f t="shared" si="1254"/>
        <v>EXP00432</v>
      </c>
      <c r="B16960" s="3" t="s">
        <v>66</v>
      </c>
      <c r="C16960" s="4" t="str">
        <f t="shared" si="1255"/>
        <v>TCGA-ESCA</v>
      </c>
      <c r="D16960" s="1" t="s">
        <v>493</v>
      </c>
      <c r="E16960" t="s">
        <v>556</v>
      </c>
      <c r="F16960" s="1">
        <v>2</v>
      </c>
      <c r="G16960" s="1" t="s">
        <v>32</v>
      </c>
      <c r="H16960" s="4" t="str">
        <f>HYPERLINK("https://portal.gdc.cancer.gov/cases/e89d7900-915d-4936-b1b2-cac3670ea2f4","TCGA-LN-A4A4-01A")</f>
        <v>TCGA-LN-A4A4-01A</v>
      </c>
      <c r="I16960" t="s">
        <v>549</v>
      </c>
      <c r="J16960" t="s">
        <v>550</v>
      </c>
      <c r="K16960" t="s">
        <v>33</v>
      </c>
      <c r="L16960" t="s">
        <v>551</v>
      </c>
      <c r="N16960" t="s">
        <v>29</v>
      </c>
    </row>
    <row r="16961" spans="1:14">
      <c r="A16961" s="4" t="str">
        <f t="shared" si="1254"/>
        <v>EXP00432</v>
      </c>
      <c r="B16961" s="3" t="s">
        <v>66</v>
      </c>
      <c r="C16961" s="4" t="str">
        <f t="shared" si="1255"/>
        <v>TCGA-ESCA</v>
      </c>
      <c r="D16961" s="1" t="s">
        <v>493</v>
      </c>
      <c r="E16961" t="s">
        <v>556</v>
      </c>
      <c r="F16961" s="1">
        <v>2</v>
      </c>
      <c r="G16961" s="1" t="s">
        <v>32</v>
      </c>
      <c r="H16961" s="4" t="str">
        <f>HYPERLINK("https://portal.gdc.cancer.gov/cases/5080e9d1-d1e0-4ce7-a4ba-9935dd362263","TCGA-LN-A4A5-01A")</f>
        <v>TCGA-LN-A4A5-01A</v>
      </c>
      <c r="I16961" t="s">
        <v>549</v>
      </c>
      <c r="J16961" t="s">
        <v>550</v>
      </c>
      <c r="K16961" t="s">
        <v>33</v>
      </c>
      <c r="L16961" t="s">
        <v>551</v>
      </c>
      <c r="N16961" t="s">
        <v>29</v>
      </c>
    </row>
    <row r="16962" spans="1:14">
      <c r="A16962" s="4" t="str">
        <f t="shared" si="1254"/>
        <v>EXP00432</v>
      </c>
      <c r="B16962" s="3" t="s">
        <v>66</v>
      </c>
      <c r="C16962" s="4" t="str">
        <f t="shared" si="1255"/>
        <v>TCGA-ESCA</v>
      </c>
      <c r="D16962" s="1" t="s">
        <v>493</v>
      </c>
      <c r="E16962" t="s">
        <v>556</v>
      </c>
      <c r="F16962" s="1">
        <v>2</v>
      </c>
      <c r="G16962" s="1" t="s">
        <v>32</v>
      </c>
      <c r="H16962" s="4" t="str">
        <f>HYPERLINK("https://portal.gdc.cancer.gov/cases/aa364b98-0097-43a4-976d-742faa0276df","TCGA-LN-A4A8-01A")</f>
        <v>TCGA-LN-A4A8-01A</v>
      </c>
      <c r="I16962" t="s">
        <v>549</v>
      </c>
      <c r="J16962" t="s">
        <v>550</v>
      </c>
      <c r="K16962" t="s">
        <v>33</v>
      </c>
      <c r="L16962" t="s">
        <v>551</v>
      </c>
      <c r="N16962" t="s">
        <v>29</v>
      </c>
    </row>
    <row r="16963" spans="1:14">
      <c r="A16963" s="4" t="str">
        <f t="shared" si="1254"/>
        <v>EXP00432</v>
      </c>
      <c r="B16963" s="3" t="s">
        <v>66</v>
      </c>
      <c r="C16963" s="4" t="str">
        <f t="shared" si="1255"/>
        <v>TCGA-ESCA</v>
      </c>
      <c r="D16963" s="1" t="s">
        <v>493</v>
      </c>
      <c r="E16963" t="s">
        <v>556</v>
      </c>
      <c r="F16963" s="1">
        <v>2</v>
      </c>
      <c r="G16963" s="1" t="s">
        <v>32</v>
      </c>
      <c r="H16963" s="4" t="str">
        <f>HYPERLINK("https://portal.gdc.cancer.gov/cases/c965a778-8696-47db-a7c7-8b9f75417cbd","TCGA-LN-A4A9-01A")</f>
        <v>TCGA-LN-A4A9-01A</v>
      </c>
      <c r="I16963" t="s">
        <v>549</v>
      </c>
      <c r="J16963" t="s">
        <v>550</v>
      </c>
      <c r="K16963" t="s">
        <v>33</v>
      </c>
      <c r="L16963" t="s">
        <v>551</v>
      </c>
      <c r="N16963" t="s">
        <v>29</v>
      </c>
    </row>
    <row r="16964" spans="1:14">
      <c r="A16964" s="4" t="str">
        <f t="shared" si="1254"/>
        <v>EXP00432</v>
      </c>
      <c r="B16964" s="3" t="s">
        <v>66</v>
      </c>
      <c r="C16964" s="4" t="str">
        <f t="shared" si="1255"/>
        <v>TCGA-ESCA</v>
      </c>
      <c r="D16964" s="1" t="s">
        <v>493</v>
      </c>
      <c r="E16964" t="s">
        <v>556</v>
      </c>
      <c r="F16964" s="1">
        <v>2</v>
      </c>
      <c r="G16964" s="1" t="s">
        <v>32</v>
      </c>
      <c r="H16964" s="4" t="str">
        <f>HYPERLINK("https://portal.gdc.cancer.gov/cases/33c0199a-be0c-46d1-bb1e-889bfaedf20b","TCGA-LN-A4MQ-01A")</f>
        <v>TCGA-LN-A4MQ-01A</v>
      </c>
      <c r="I16964" t="s">
        <v>549</v>
      </c>
      <c r="J16964" t="s">
        <v>550</v>
      </c>
      <c r="K16964" t="s">
        <v>33</v>
      </c>
      <c r="L16964" t="s">
        <v>551</v>
      </c>
      <c r="N16964" t="s">
        <v>29</v>
      </c>
    </row>
    <row r="16965" spans="1:14">
      <c r="A16965" s="4" t="str">
        <f t="shared" si="1254"/>
        <v>EXP00432</v>
      </c>
      <c r="B16965" s="3" t="s">
        <v>66</v>
      </c>
      <c r="C16965" s="4" t="str">
        <f t="shared" si="1255"/>
        <v>TCGA-ESCA</v>
      </c>
      <c r="D16965" s="1" t="s">
        <v>493</v>
      </c>
      <c r="E16965" t="s">
        <v>556</v>
      </c>
      <c r="F16965" s="1">
        <v>2</v>
      </c>
      <c r="G16965" s="1" t="s">
        <v>32</v>
      </c>
      <c r="H16965" s="4" t="str">
        <f>HYPERLINK("https://portal.gdc.cancer.gov/cases/656e3c14-1fc6-473a-813e-719753e7b408","TCGA-LN-A5U5-01A")</f>
        <v>TCGA-LN-A5U5-01A</v>
      </c>
      <c r="I16965" t="s">
        <v>549</v>
      </c>
      <c r="J16965" t="s">
        <v>550</v>
      </c>
      <c r="K16965" t="s">
        <v>33</v>
      </c>
      <c r="L16965" t="s">
        <v>551</v>
      </c>
      <c r="N16965" t="s">
        <v>29</v>
      </c>
    </row>
    <row r="16966" spans="1:14">
      <c r="A16966" s="4" t="str">
        <f t="shared" si="1254"/>
        <v>EXP00432</v>
      </c>
      <c r="B16966" s="3" t="s">
        <v>66</v>
      </c>
      <c r="C16966" s="4" t="str">
        <f t="shared" si="1255"/>
        <v>TCGA-ESCA</v>
      </c>
      <c r="D16966" s="1" t="s">
        <v>493</v>
      </c>
      <c r="E16966" t="s">
        <v>556</v>
      </c>
      <c r="F16966" s="1">
        <v>2</v>
      </c>
      <c r="G16966" s="1" t="s">
        <v>32</v>
      </c>
      <c r="H16966" s="4" t="str">
        <f>HYPERLINK("https://portal.gdc.cancer.gov/cases/4e7f0fff-7b17-4da9-95ea-f68797c427f5","TCGA-LN-A5U6-01A")</f>
        <v>TCGA-LN-A5U6-01A</v>
      </c>
      <c r="I16966" t="s">
        <v>549</v>
      </c>
      <c r="J16966" t="s">
        <v>550</v>
      </c>
      <c r="K16966" t="s">
        <v>33</v>
      </c>
      <c r="L16966" t="s">
        <v>551</v>
      </c>
      <c r="N16966" t="s">
        <v>29</v>
      </c>
    </row>
    <row r="16967" spans="1:14">
      <c r="A16967" s="4" t="str">
        <f t="shared" si="1254"/>
        <v>EXP00432</v>
      </c>
      <c r="B16967" s="3" t="s">
        <v>66</v>
      </c>
      <c r="C16967" s="4" t="str">
        <f t="shared" si="1255"/>
        <v>TCGA-ESCA</v>
      </c>
      <c r="D16967" s="1" t="s">
        <v>493</v>
      </c>
      <c r="E16967" t="s">
        <v>556</v>
      </c>
      <c r="F16967" s="1">
        <v>2</v>
      </c>
      <c r="G16967" s="1" t="s">
        <v>32</v>
      </c>
      <c r="H16967" s="4" t="str">
        <f>HYPERLINK("https://portal.gdc.cancer.gov/cases/d67330ee-1791-4f5a-8996-8687a2d5cccb","TCGA-LN-A5U7-01A")</f>
        <v>TCGA-LN-A5U7-01A</v>
      </c>
      <c r="I16967" t="s">
        <v>549</v>
      </c>
      <c r="J16967" t="s">
        <v>550</v>
      </c>
      <c r="K16967" t="s">
        <v>33</v>
      </c>
      <c r="L16967" t="s">
        <v>551</v>
      </c>
      <c r="N16967" t="s">
        <v>29</v>
      </c>
    </row>
    <row r="16968" spans="1:14">
      <c r="A16968" s="4" t="str">
        <f t="shared" si="1254"/>
        <v>EXP00432</v>
      </c>
      <c r="B16968" s="3" t="s">
        <v>66</v>
      </c>
      <c r="C16968" s="4" t="str">
        <f t="shared" si="1255"/>
        <v>TCGA-ESCA</v>
      </c>
      <c r="D16968" s="1" t="s">
        <v>493</v>
      </c>
      <c r="E16968" t="s">
        <v>556</v>
      </c>
      <c r="F16968" s="1">
        <v>2</v>
      </c>
      <c r="G16968" s="1" t="s">
        <v>32</v>
      </c>
      <c r="H16968" s="4" t="str">
        <f>HYPERLINK("https://portal.gdc.cancer.gov/cases/2c792b77-1bf1-42f7-bd94-73c6474c6c7d","TCGA-LN-A7HV-01A")</f>
        <v>TCGA-LN-A7HV-01A</v>
      </c>
      <c r="I16968" t="s">
        <v>549</v>
      </c>
      <c r="J16968" t="s">
        <v>550</v>
      </c>
      <c r="K16968" t="s">
        <v>33</v>
      </c>
      <c r="L16968" t="s">
        <v>551</v>
      </c>
      <c r="N16968" t="s">
        <v>29</v>
      </c>
    </row>
    <row r="16969" spans="1:14">
      <c r="A16969" s="4" t="str">
        <f t="shared" si="1254"/>
        <v>EXP00432</v>
      </c>
      <c r="B16969" s="3" t="s">
        <v>66</v>
      </c>
      <c r="C16969" s="4" t="str">
        <f t="shared" si="1255"/>
        <v>TCGA-ESCA</v>
      </c>
      <c r="D16969" s="1" t="s">
        <v>493</v>
      </c>
      <c r="E16969" t="s">
        <v>556</v>
      </c>
      <c r="F16969" s="1">
        <v>2</v>
      </c>
      <c r="G16969" s="1" t="s">
        <v>32</v>
      </c>
      <c r="H16969" s="4" t="str">
        <f>HYPERLINK("https://portal.gdc.cancer.gov/cases/95858ea9-f71b-48d4-aa15-7dfdf21ca9e7","TCGA-LN-A7HW-01A")</f>
        <v>TCGA-LN-A7HW-01A</v>
      </c>
      <c r="I16969" t="s">
        <v>549</v>
      </c>
      <c r="J16969" t="s">
        <v>550</v>
      </c>
      <c r="K16969" t="s">
        <v>33</v>
      </c>
      <c r="L16969" t="s">
        <v>551</v>
      </c>
      <c r="N16969" t="s">
        <v>29</v>
      </c>
    </row>
    <row r="16970" spans="1:14">
      <c r="A16970" s="4" t="str">
        <f t="shared" si="1254"/>
        <v>EXP00432</v>
      </c>
      <c r="B16970" s="3" t="s">
        <v>66</v>
      </c>
      <c r="C16970" s="4" t="str">
        <f t="shared" si="1255"/>
        <v>TCGA-ESCA</v>
      </c>
      <c r="D16970" s="1" t="s">
        <v>493</v>
      </c>
      <c r="E16970" t="s">
        <v>556</v>
      </c>
      <c r="F16970" s="1">
        <v>2</v>
      </c>
      <c r="G16970" s="1" t="s">
        <v>32</v>
      </c>
      <c r="H16970" s="4" t="str">
        <f>HYPERLINK("https://portal.gdc.cancer.gov/cases/8c4f5492-3567-4e12-8607-2cd65fab9baa","TCGA-LN-A7HX-01A")</f>
        <v>TCGA-LN-A7HX-01A</v>
      </c>
      <c r="I16970" t="s">
        <v>549</v>
      </c>
      <c r="J16970" t="s">
        <v>550</v>
      </c>
      <c r="K16970" t="s">
        <v>33</v>
      </c>
      <c r="L16970" t="s">
        <v>551</v>
      </c>
      <c r="N16970" t="s">
        <v>29</v>
      </c>
    </row>
    <row r="16971" spans="1:14">
      <c r="A16971" s="4" t="str">
        <f t="shared" si="1254"/>
        <v>EXP00432</v>
      </c>
      <c r="B16971" s="3" t="s">
        <v>66</v>
      </c>
      <c r="C16971" s="4" t="str">
        <f t="shared" si="1255"/>
        <v>TCGA-ESCA</v>
      </c>
      <c r="D16971" s="1" t="s">
        <v>493</v>
      </c>
      <c r="E16971" t="s">
        <v>556</v>
      </c>
      <c r="F16971" s="1">
        <v>2</v>
      </c>
      <c r="G16971" s="1" t="s">
        <v>32</v>
      </c>
      <c r="H16971" s="4" t="str">
        <f>HYPERLINK("https://portal.gdc.cancer.gov/cases/7a32847f-69bb-4592-8feb-cfd5d355ada9","TCGA-LN-A7HY-01A")</f>
        <v>TCGA-LN-A7HY-01A</v>
      </c>
      <c r="I16971" t="s">
        <v>549</v>
      </c>
      <c r="J16971" t="s">
        <v>550</v>
      </c>
      <c r="K16971" t="s">
        <v>33</v>
      </c>
      <c r="L16971" t="s">
        <v>551</v>
      </c>
      <c r="N16971" t="s">
        <v>29</v>
      </c>
    </row>
    <row r="16972" spans="1:14">
      <c r="A16972" s="4" t="str">
        <f t="shared" si="1254"/>
        <v>EXP00432</v>
      </c>
      <c r="B16972" s="3" t="s">
        <v>66</v>
      </c>
      <c r="C16972" s="4" t="str">
        <f t="shared" si="1255"/>
        <v>TCGA-ESCA</v>
      </c>
      <c r="D16972" s="1" t="s">
        <v>493</v>
      </c>
      <c r="E16972" t="s">
        <v>556</v>
      </c>
      <c r="F16972" s="1">
        <v>2</v>
      </c>
      <c r="G16972" s="1" t="s">
        <v>32</v>
      </c>
      <c r="H16972" s="4" t="str">
        <f>HYPERLINK("https://portal.gdc.cancer.gov/cases/ef8bec6f-f594-4076-9f38-157165633ef1","TCGA-LN-A7HZ-01A")</f>
        <v>TCGA-LN-A7HZ-01A</v>
      </c>
      <c r="I16972" t="s">
        <v>549</v>
      </c>
      <c r="J16972" t="s">
        <v>550</v>
      </c>
      <c r="K16972" t="s">
        <v>33</v>
      </c>
      <c r="L16972" t="s">
        <v>551</v>
      </c>
      <c r="N16972" t="s">
        <v>29</v>
      </c>
    </row>
    <row r="16973" spans="1:14">
      <c r="A16973" s="4" t="str">
        <f t="shared" si="1254"/>
        <v>EXP00432</v>
      </c>
      <c r="B16973" s="3" t="s">
        <v>66</v>
      </c>
      <c r="C16973" s="4" t="str">
        <f t="shared" si="1255"/>
        <v>TCGA-ESCA</v>
      </c>
      <c r="D16973" s="1" t="s">
        <v>493</v>
      </c>
      <c r="E16973" t="s">
        <v>556</v>
      </c>
      <c r="F16973" s="1">
        <v>2</v>
      </c>
      <c r="G16973" s="1" t="s">
        <v>32</v>
      </c>
      <c r="H16973" s="4" t="str">
        <f>HYPERLINK("https://portal.gdc.cancer.gov/cases/b782c157-6b33-4247-83df-a82dc5e5d432","TCGA-LN-A8HZ-01A")</f>
        <v>TCGA-LN-A8HZ-01A</v>
      </c>
      <c r="I16973" t="s">
        <v>549</v>
      </c>
      <c r="J16973" t="s">
        <v>550</v>
      </c>
      <c r="K16973" t="s">
        <v>33</v>
      </c>
      <c r="L16973" t="s">
        <v>551</v>
      </c>
      <c r="N16973" t="s">
        <v>29</v>
      </c>
    </row>
    <row r="16974" spans="1:14">
      <c r="A16974" s="4" t="str">
        <f t="shared" si="1254"/>
        <v>EXP00432</v>
      </c>
      <c r="B16974" s="3" t="s">
        <v>66</v>
      </c>
      <c r="C16974" s="4" t="str">
        <f t="shared" si="1255"/>
        <v>TCGA-ESCA</v>
      </c>
      <c r="D16974" s="1" t="s">
        <v>493</v>
      </c>
      <c r="E16974" t="s">
        <v>556</v>
      </c>
      <c r="F16974" s="1">
        <v>2</v>
      </c>
      <c r="G16974" s="1" t="s">
        <v>32</v>
      </c>
      <c r="H16974" s="4" t="str">
        <f>HYPERLINK("https://portal.gdc.cancer.gov/cases/59da377a-12a6-454a-be01-886eda894179","TCGA-LN-A8I0-01A")</f>
        <v>TCGA-LN-A8I0-01A</v>
      </c>
      <c r="I16974" t="s">
        <v>549</v>
      </c>
      <c r="J16974" t="s">
        <v>550</v>
      </c>
      <c r="K16974" t="s">
        <v>33</v>
      </c>
      <c r="L16974" t="s">
        <v>551</v>
      </c>
      <c r="N16974" t="s">
        <v>29</v>
      </c>
    </row>
    <row r="16975" spans="1:14">
      <c r="A16975" s="4" t="str">
        <f t="shared" si="1254"/>
        <v>EXP00432</v>
      </c>
      <c r="B16975" s="3" t="s">
        <v>66</v>
      </c>
      <c r="C16975" s="4" t="str">
        <f t="shared" si="1255"/>
        <v>TCGA-ESCA</v>
      </c>
      <c r="D16975" s="1" t="s">
        <v>493</v>
      </c>
      <c r="E16975" t="s">
        <v>556</v>
      </c>
      <c r="F16975" s="1">
        <v>2</v>
      </c>
      <c r="G16975" s="1" t="s">
        <v>32</v>
      </c>
      <c r="H16975" s="4" t="str">
        <f>HYPERLINK("https://portal.gdc.cancer.gov/cases/83762308-4dba-4870-b90b-64331ebc9baa","TCGA-LN-A8I1-01A")</f>
        <v>TCGA-LN-A8I1-01A</v>
      </c>
      <c r="I16975" t="s">
        <v>549</v>
      </c>
      <c r="J16975" t="s">
        <v>550</v>
      </c>
      <c r="K16975" t="s">
        <v>33</v>
      </c>
      <c r="L16975" t="s">
        <v>551</v>
      </c>
      <c r="N16975" t="s">
        <v>29</v>
      </c>
    </row>
    <row r="16976" spans="1:14">
      <c r="A16976" s="4" t="str">
        <f t="shared" si="1254"/>
        <v>EXP00432</v>
      </c>
      <c r="B16976" s="3" t="s">
        <v>66</v>
      </c>
      <c r="C16976" s="4" t="str">
        <f t="shared" si="1255"/>
        <v>TCGA-ESCA</v>
      </c>
      <c r="D16976" s="1" t="s">
        <v>493</v>
      </c>
      <c r="E16976" t="s">
        <v>556</v>
      </c>
      <c r="F16976" s="1">
        <v>2</v>
      </c>
      <c r="G16976" s="1" t="s">
        <v>32</v>
      </c>
      <c r="H16976" s="4" t="str">
        <f>HYPERLINK("https://portal.gdc.cancer.gov/cases/cad8bd3a-ffd8-4baf-9de6-3ac3a1eb19e1","TCGA-LN-A9FO-01A")</f>
        <v>TCGA-LN-A9FO-01A</v>
      </c>
      <c r="I16976" t="s">
        <v>549</v>
      </c>
      <c r="J16976" t="s">
        <v>550</v>
      </c>
      <c r="K16976" t="s">
        <v>33</v>
      </c>
      <c r="L16976" t="s">
        <v>551</v>
      </c>
      <c r="N16976" t="s">
        <v>29</v>
      </c>
    </row>
    <row r="16977" spans="1:14">
      <c r="A16977" s="4" t="str">
        <f t="shared" si="1254"/>
        <v>EXP00432</v>
      </c>
      <c r="B16977" s="3" t="s">
        <v>66</v>
      </c>
      <c r="C16977" s="4" t="str">
        <f t="shared" si="1255"/>
        <v>TCGA-ESCA</v>
      </c>
      <c r="D16977" s="1" t="s">
        <v>493</v>
      </c>
      <c r="E16977" t="s">
        <v>556</v>
      </c>
      <c r="F16977" s="1">
        <v>2</v>
      </c>
      <c r="G16977" s="1" t="s">
        <v>32</v>
      </c>
      <c r="H16977" s="4" t="str">
        <f>HYPERLINK("https://portal.gdc.cancer.gov/cases/981066ec-eca6-4621-8979-e935279aa1ca","TCGA-LN-A9FP-01A")</f>
        <v>TCGA-LN-A9FP-01A</v>
      </c>
      <c r="I16977" t="s">
        <v>549</v>
      </c>
      <c r="J16977" t="s">
        <v>550</v>
      </c>
      <c r="K16977" t="s">
        <v>33</v>
      </c>
      <c r="L16977" t="s">
        <v>551</v>
      </c>
      <c r="N16977" t="s">
        <v>29</v>
      </c>
    </row>
    <row r="16978" spans="1:14">
      <c r="A16978" s="4" t="str">
        <f t="shared" si="1254"/>
        <v>EXP00432</v>
      </c>
      <c r="B16978" s="3" t="s">
        <v>66</v>
      </c>
      <c r="C16978" s="4" t="str">
        <f t="shared" si="1255"/>
        <v>TCGA-ESCA</v>
      </c>
      <c r="D16978" s="1" t="s">
        <v>493</v>
      </c>
      <c r="E16978" t="s">
        <v>556</v>
      </c>
      <c r="F16978" s="1">
        <v>2</v>
      </c>
      <c r="G16978" s="1" t="s">
        <v>32</v>
      </c>
      <c r="H16978" s="4" t="str">
        <f>HYPERLINK("https://portal.gdc.cancer.gov/cases/37d13493-975c-432c-bd21-65f383fc66c9","TCGA-LN-A9FQ-01A")</f>
        <v>TCGA-LN-A9FQ-01A</v>
      </c>
      <c r="I16978" t="s">
        <v>549</v>
      </c>
      <c r="J16978" t="s">
        <v>550</v>
      </c>
      <c r="K16978" t="s">
        <v>33</v>
      </c>
      <c r="L16978" t="s">
        <v>551</v>
      </c>
      <c r="N16978" t="s">
        <v>29</v>
      </c>
    </row>
    <row r="16979" spans="1:14">
      <c r="A16979" s="4" t="str">
        <f t="shared" si="1254"/>
        <v>EXP00432</v>
      </c>
      <c r="B16979" s="3" t="s">
        <v>66</v>
      </c>
      <c r="C16979" s="4" t="str">
        <f t="shared" si="1255"/>
        <v>TCGA-ESCA</v>
      </c>
      <c r="D16979" s="1" t="s">
        <v>493</v>
      </c>
      <c r="E16979" t="s">
        <v>556</v>
      </c>
      <c r="F16979" s="1">
        <v>2</v>
      </c>
      <c r="G16979" s="1" t="s">
        <v>32</v>
      </c>
      <c r="H16979" s="4" t="str">
        <f>HYPERLINK("https://portal.gdc.cancer.gov/cases/cfdc8f4d-a25b-4c63-9832-58444581a505","TCGA-LN-A9FR-01A")</f>
        <v>TCGA-LN-A9FR-01A</v>
      </c>
      <c r="I16979" t="s">
        <v>549</v>
      </c>
      <c r="J16979" t="s">
        <v>550</v>
      </c>
      <c r="K16979" t="s">
        <v>33</v>
      </c>
      <c r="L16979" t="s">
        <v>551</v>
      </c>
      <c r="N16979" t="s">
        <v>29</v>
      </c>
    </row>
    <row r="16980" spans="1:14">
      <c r="A16980" s="4" t="str">
        <f t="shared" si="1254"/>
        <v>EXP00432</v>
      </c>
      <c r="B16980" s="3" t="s">
        <v>66</v>
      </c>
      <c r="C16980" s="4" t="str">
        <f t="shared" si="1255"/>
        <v>TCGA-ESCA</v>
      </c>
      <c r="D16980" s="1" t="s">
        <v>493</v>
      </c>
      <c r="E16980" t="s">
        <v>556</v>
      </c>
      <c r="F16980" s="1">
        <v>2</v>
      </c>
      <c r="G16980" s="1" t="s">
        <v>32</v>
      </c>
      <c r="H16980" s="4" t="str">
        <f>HYPERLINK("https://portal.gdc.cancer.gov/cases/124c1d54-1836-4f8f-920f-14047376120f","TCGA-M9-A5M8-01A")</f>
        <v>TCGA-M9-A5M8-01A</v>
      </c>
      <c r="I16980" t="s">
        <v>549</v>
      </c>
      <c r="J16980" t="s">
        <v>550</v>
      </c>
      <c r="K16980" t="s">
        <v>33</v>
      </c>
      <c r="L16980" t="s">
        <v>551</v>
      </c>
      <c r="N16980" t="s">
        <v>29</v>
      </c>
    </row>
    <row r="16981" spans="1:14">
      <c r="A16981" s="4" t="str">
        <f t="shared" si="1254"/>
        <v>EXP00432</v>
      </c>
      <c r="B16981" s="3" t="s">
        <v>66</v>
      </c>
      <c r="C16981" s="4" t="str">
        <f t="shared" si="1255"/>
        <v>TCGA-ESCA</v>
      </c>
      <c r="D16981" s="1" t="s">
        <v>493</v>
      </c>
      <c r="E16981" t="s">
        <v>556</v>
      </c>
      <c r="F16981" s="1">
        <v>2</v>
      </c>
      <c r="G16981" s="1" t="s">
        <v>32</v>
      </c>
      <c r="H16981" s="4" t="str">
        <f>HYPERLINK("https://portal.gdc.cancer.gov/cases/c89f6ea5-786d-4d3c-aa93-681664a908f9","TCGA-Q9-A6FW-01A")</f>
        <v>TCGA-Q9-A6FW-01A</v>
      </c>
      <c r="I16981" t="s">
        <v>549</v>
      </c>
      <c r="J16981" t="s">
        <v>550</v>
      </c>
      <c r="K16981" t="s">
        <v>33</v>
      </c>
      <c r="L16981" t="s">
        <v>551</v>
      </c>
      <c r="N16981" t="s">
        <v>29</v>
      </c>
    </row>
    <row r="16982" spans="1:14">
      <c r="A16982" s="4" t="str">
        <f t="shared" ref="A16982:A17014" si="1256">HYPERLINK("http://hcmdb.i-sanger.com/experiment/details/experiment_id/EXP00432","EXP00432")</f>
        <v>EXP00432</v>
      </c>
      <c r="B16982" s="3" t="s">
        <v>66</v>
      </c>
      <c r="C16982" s="4" t="str">
        <f t="shared" si="1255"/>
        <v>TCGA-ESCA</v>
      </c>
      <c r="D16982" s="1" t="s">
        <v>493</v>
      </c>
      <c r="E16982" t="s">
        <v>556</v>
      </c>
      <c r="F16982" s="1">
        <v>2</v>
      </c>
      <c r="G16982" s="1" t="s">
        <v>32</v>
      </c>
      <c r="H16982" s="4" t="str">
        <f>HYPERLINK("https://portal.gdc.cancer.gov/cases/ac437816-e057-4f2c-9443-6289199431ed","TCGA-R6-A6DN-01B")</f>
        <v>TCGA-R6-A6DN-01B</v>
      </c>
      <c r="I16982" t="s">
        <v>549</v>
      </c>
      <c r="J16982" t="s">
        <v>550</v>
      </c>
      <c r="K16982" t="s">
        <v>33</v>
      </c>
      <c r="L16982" t="s">
        <v>551</v>
      </c>
      <c r="N16982" t="s">
        <v>29</v>
      </c>
    </row>
    <row r="16983" spans="1:14">
      <c r="A16983" s="4" t="str">
        <f t="shared" si="1256"/>
        <v>EXP00432</v>
      </c>
      <c r="B16983" s="3" t="s">
        <v>66</v>
      </c>
      <c r="C16983" s="4" t="str">
        <f t="shared" si="1255"/>
        <v>TCGA-ESCA</v>
      </c>
      <c r="D16983" s="1" t="s">
        <v>493</v>
      </c>
      <c r="E16983" t="s">
        <v>556</v>
      </c>
      <c r="F16983" s="1">
        <v>2</v>
      </c>
      <c r="G16983" s="1" t="s">
        <v>32</v>
      </c>
      <c r="H16983" s="4" t="str">
        <f>HYPERLINK("https://portal.gdc.cancer.gov/cases/dde17514-bd86-41e7-ae6d-88dda6d854bb","TCGA-R6-A6DQ-01B")</f>
        <v>TCGA-R6-A6DQ-01B</v>
      </c>
      <c r="I16983" t="s">
        <v>549</v>
      </c>
      <c r="J16983" t="s">
        <v>550</v>
      </c>
      <c r="K16983" t="s">
        <v>33</v>
      </c>
      <c r="L16983" t="s">
        <v>551</v>
      </c>
      <c r="N16983" t="s">
        <v>29</v>
      </c>
    </row>
    <row r="16984" spans="1:14">
      <c r="A16984" s="4" t="str">
        <f t="shared" si="1256"/>
        <v>EXP00432</v>
      </c>
      <c r="B16984" s="3" t="s">
        <v>66</v>
      </c>
      <c r="C16984" s="4" t="str">
        <f t="shared" si="1255"/>
        <v>TCGA-ESCA</v>
      </c>
      <c r="D16984" s="1" t="s">
        <v>493</v>
      </c>
      <c r="E16984" t="s">
        <v>556</v>
      </c>
      <c r="F16984" s="1">
        <v>2</v>
      </c>
      <c r="G16984" s="1" t="s">
        <v>32</v>
      </c>
      <c r="H16984" s="4" t="str">
        <f>HYPERLINK("https://portal.gdc.cancer.gov/cases/8d5788ca-9131-4604-870f-c7eea84c9ff6","TCGA-R6-A6KZ-01A")</f>
        <v>TCGA-R6-A6KZ-01A</v>
      </c>
      <c r="I16984" t="s">
        <v>549</v>
      </c>
      <c r="J16984" t="s">
        <v>550</v>
      </c>
      <c r="K16984" t="s">
        <v>33</v>
      </c>
      <c r="L16984" t="s">
        <v>551</v>
      </c>
      <c r="N16984" t="s">
        <v>29</v>
      </c>
    </row>
    <row r="16985" spans="1:14">
      <c r="A16985" s="4" t="str">
        <f t="shared" si="1256"/>
        <v>EXP00432</v>
      </c>
      <c r="B16985" s="3" t="s">
        <v>66</v>
      </c>
      <c r="C16985" s="4" t="str">
        <f t="shared" si="1255"/>
        <v>TCGA-ESCA</v>
      </c>
      <c r="D16985" s="1" t="s">
        <v>493</v>
      </c>
      <c r="E16985" t="s">
        <v>556</v>
      </c>
      <c r="F16985" s="1">
        <v>2</v>
      </c>
      <c r="G16985" s="1" t="s">
        <v>32</v>
      </c>
      <c r="H16985" s="4" t="str">
        <f>HYPERLINK("https://portal.gdc.cancer.gov/cases/8373bc4a-490d-4050-bbb1-48b6472eba34","TCGA-R6-A6XQ-01B")</f>
        <v>TCGA-R6-A6XQ-01B</v>
      </c>
      <c r="I16985" t="s">
        <v>549</v>
      </c>
      <c r="J16985" t="s">
        <v>550</v>
      </c>
      <c r="K16985" t="s">
        <v>33</v>
      </c>
      <c r="L16985" t="s">
        <v>551</v>
      </c>
      <c r="N16985" t="s">
        <v>29</v>
      </c>
    </row>
    <row r="16986" spans="1:14">
      <c r="A16986" s="4" t="str">
        <f t="shared" si="1256"/>
        <v>EXP00432</v>
      </c>
      <c r="B16986" s="3" t="s">
        <v>66</v>
      </c>
      <c r="C16986" s="4" t="str">
        <f t="shared" si="1255"/>
        <v>TCGA-ESCA</v>
      </c>
      <c r="D16986" s="1" t="s">
        <v>493</v>
      </c>
      <c r="E16986" t="s">
        <v>556</v>
      </c>
      <c r="F16986" s="1">
        <v>2</v>
      </c>
      <c r="G16986" s="1" t="s">
        <v>32</v>
      </c>
      <c r="H16986" s="4" t="str">
        <f>HYPERLINK("https://portal.gdc.cancer.gov/cases/77b3ec30-1e9f-466a-944b-6b187635edb7","TCGA-R6-A6Y0-01B")</f>
        <v>TCGA-R6-A6Y0-01B</v>
      </c>
      <c r="I16986" t="s">
        <v>549</v>
      </c>
      <c r="J16986" t="s">
        <v>550</v>
      </c>
      <c r="K16986" t="s">
        <v>33</v>
      </c>
      <c r="L16986" t="s">
        <v>551</v>
      </c>
      <c r="N16986" t="s">
        <v>29</v>
      </c>
    </row>
    <row r="16987" spans="1:14">
      <c r="A16987" s="4" t="str">
        <f t="shared" si="1256"/>
        <v>EXP00432</v>
      </c>
      <c r="B16987" s="3" t="s">
        <v>66</v>
      </c>
      <c r="C16987" s="4" t="str">
        <f t="shared" si="1255"/>
        <v>TCGA-ESCA</v>
      </c>
      <c r="D16987" s="1" t="s">
        <v>493</v>
      </c>
      <c r="E16987" t="s">
        <v>556</v>
      </c>
      <c r="F16987" s="1">
        <v>2</v>
      </c>
      <c r="G16987" s="1" t="s">
        <v>32</v>
      </c>
      <c r="H16987" s="4" t="str">
        <f>HYPERLINK("https://portal.gdc.cancer.gov/cases/cccd0568-e267-44a2-8421-6471736bb45f","TCGA-R6-A8W8-01B")</f>
        <v>TCGA-R6-A8W8-01B</v>
      </c>
      <c r="I16987" t="s">
        <v>549</v>
      </c>
      <c r="J16987" t="s">
        <v>550</v>
      </c>
      <c r="K16987" t="s">
        <v>33</v>
      </c>
      <c r="L16987" t="s">
        <v>551</v>
      </c>
      <c r="N16987" t="s">
        <v>29</v>
      </c>
    </row>
    <row r="16988" spans="1:14">
      <c r="A16988" s="4" t="str">
        <f t="shared" si="1256"/>
        <v>EXP00432</v>
      </c>
      <c r="B16988" s="3" t="s">
        <v>66</v>
      </c>
      <c r="C16988" s="4" t="str">
        <f t="shared" si="1255"/>
        <v>TCGA-ESCA</v>
      </c>
      <c r="D16988" s="1" t="s">
        <v>493</v>
      </c>
      <c r="E16988" t="s">
        <v>556</v>
      </c>
      <c r="F16988" s="1">
        <v>2</v>
      </c>
      <c r="G16988" s="1" t="s">
        <v>32</v>
      </c>
      <c r="H16988" s="4" t="str">
        <f>HYPERLINK("https://portal.gdc.cancer.gov/cases/9a1c83cd-d746-4008-8ed3-22cd44951e29","TCGA-R6-A8WC-01A")</f>
        <v>TCGA-R6-A8WC-01A</v>
      </c>
      <c r="I16988" t="s">
        <v>549</v>
      </c>
      <c r="J16988" t="s">
        <v>550</v>
      </c>
      <c r="K16988" t="s">
        <v>33</v>
      </c>
      <c r="L16988" t="s">
        <v>551</v>
      </c>
      <c r="N16988" t="s">
        <v>29</v>
      </c>
    </row>
    <row r="16989" spans="1:14">
      <c r="A16989" s="4" t="str">
        <f t="shared" si="1256"/>
        <v>EXP00432</v>
      </c>
      <c r="B16989" s="3" t="s">
        <v>66</v>
      </c>
      <c r="C16989" s="4" t="str">
        <f t="shared" si="1255"/>
        <v>TCGA-ESCA</v>
      </c>
      <c r="D16989" s="1" t="s">
        <v>493</v>
      </c>
      <c r="E16989" t="s">
        <v>556</v>
      </c>
      <c r="F16989" s="1">
        <v>2</v>
      </c>
      <c r="G16989" s="1" t="s">
        <v>32</v>
      </c>
      <c r="H16989" s="4" t="str">
        <f>HYPERLINK("https://portal.gdc.cancer.gov/cases/9112a681-e5a2-4dc8-b5af-0187d3bfc1d3","TCGA-RE-A7BO-01A")</f>
        <v>TCGA-RE-A7BO-01A</v>
      </c>
      <c r="I16989" t="s">
        <v>549</v>
      </c>
      <c r="J16989" t="s">
        <v>550</v>
      </c>
      <c r="K16989" t="s">
        <v>33</v>
      </c>
      <c r="L16989" t="s">
        <v>551</v>
      </c>
      <c r="N16989" t="s">
        <v>29</v>
      </c>
    </row>
    <row r="16990" spans="1:14">
      <c r="A16990" s="4" t="str">
        <f t="shared" si="1256"/>
        <v>EXP00432</v>
      </c>
      <c r="B16990" s="3" t="s">
        <v>66</v>
      </c>
      <c r="C16990" s="4" t="str">
        <f t="shared" si="1255"/>
        <v>TCGA-ESCA</v>
      </c>
      <c r="D16990" s="1" t="s">
        <v>493</v>
      </c>
      <c r="E16990" t="s">
        <v>556</v>
      </c>
      <c r="F16990" s="1">
        <v>2</v>
      </c>
      <c r="G16990" s="1" t="s">
        <v>32</v>
      </c>
      <c r="H16990" s="4" t="str">
        <f>HYPERLINK("https://portal.gdc.cancer.gov/cases/48633bb8-c5f3-45aa-a406-e46c624391b4","TCGA-S8-A6BV-01A")</f>
        <v>TCGA-S8-A6BV-01A</v>
      </c>
      <c r="I16990" t="s">
        <v>549</v>
      </c>
      <c r="J16990" t="s">
        <v>550</v>
      </c>
      <c r="K16990" t="s">
        <v>33</v>
      </c>
      <c r="L16990" t="s">
        <v>551</v>
      </c>
      <c r="N16990" t="s">
        <v>29</v>
      </c>
    </row>
    <row r="16991" spans="1:14">
      <c r="A16991" s="4" t="str">
        <f t="shared" si="1256"/>
        <v>EXP00432</v>
      </c>
      <c r="B16991" s="3" t="s">
        <v>66</v>
      </c>
      <c r="C16991" s="4" t="str">
        <f t="shared" si="1255"/>
        <v>TCGA-ESCA</v>
      </c>
      <c r="D16991" s="1" t="s">
        <v>493</v>
      </c>
      <c r="E16991" t="s">
        <v>556</v>
      </c>
      <c r="F16991" s="1">
        <v>2</v>
      </c>
      <c r="G16991" s="1" t="s">
        <v>32</v>
      </c>
      <c r="H16991" s="4" t="str">
        <f>HYPERLINK("https://portal.gdc.cancer.gov/cases/65cee80a-4c0a-4594-afca-d7088f7e5857","TCGA-S8-A6BW-01A")</f>
        <v>TCGA-S8-A6BW-01A</v>
      </c>
      <c r="I16991" t="s">
        <v>549</v>
      </c>
      <c r="J16991" t="s">
        <v>550</v>
      </c>
      <c r="K16991" t="s">
        <v>33</v>
      </c>
      <c r="L16991" t="s">
        <v>551</v>
      </c>
      <c r="N16991" t="s">
        <v>29</v>
      </c>
    </row>
    <row r="16992" spans="1:14">
      <c r="A16992" s="4" t="str">
        <f t="shared" si="1256"/>
        <v>EXP00432</v>
      </c>
      <c r="B16992" s="3" t="s">
        <v>66</v>
      </c>
      <c r="C16992" s="4" t="str">
        <f t="shared" si="1255"/>
        <v>TCGA-ESCA</v>
      </c>
      <c r="D16992" s="1" t="s">
        <v>493</v>
      </c>
      <c r="E16992" t="s">
        <v>556</v>
      </c>
      <c r="F16992" s="1">
        <v>2</v>
      </c>
      <c r="G16992" s="1" t="s">
        <v>32</v>
      </c>
      <c r="H16992" s="4" t="str">
        <f>HYPERLINK("https://portal.gdc.cancer.gov/cases/cd2f37a3-1912-4e64-89c5-a92a070efd5b","TCGA-V5-A7RB-01A")</f>
        <v>TCGA-V5-A7RB-01A</v>
      </c>
      <c r="I16992" t="s">
        <v>549</v>
      </c>
      <c r="J16992" t="s">
        <v>550</v>
      </c>
      <c r="K16992" t="s">
        <v>33</v>
      </c>
      <c r="L16992" t="s">
        <v>551</v>
      </c>
      <c r="N16992" t="s">
        <v>29</v>
      </c>
    </row>
    <row r="16993" spans="1:14">
      <c r="A16993" s="4" t="str">
        <f t="shared" si="1256"/>
        <v>EXP00432</v>
      </c>
      <c r="B16993" s="3" t="s">
        <v>66</v>
      </c>
      <c r="C16993" s="4" t="str">
        <f t="shared" si="1255"/>
        <v>TCGA-ESCA</v>
      </c>
      <c r="D16993" s="1" t="s">
        <v>493</v>
      </c>
      <c r="E16993" t="s">
        <v>556</v>
      </c>
      <c r="F16993" s="1">
        <v>2</v>
      </c>
      <c r="G16993" s="1" t="s">
        <v>32</v>
      </c>
      <c r="H16993" s="4" t="str">
        <f>HYPERLINK("https://portal.gdc.cancer.gov/cases/3b076d77-6276-4233-867b-6a10d9e17343","TCGA-V5-A7RE-01A")</f>
        <v>TCGA-V5-A7RE-01A</v>
      </c>
      <c r="I16993" t="s">
        <v>549</v>
      </c>
      <c r="J16993" t="s">
        <v>550</v>
      </c>
      <c r="K16993" t="s">
        <v>33</v>
      </c>
      <c r="L16993" t="s">
        <v>551</v>
      </c>
      <c r="N16993" t="s">
        <v>29</v>
      </c>
    </row>
    <row r="16994" spans="1:14">
      <c r="A16994" s="4" t="str">
        <f t="shared" si="1256"/>
        <v>EXP00432</v>
      </c>
      <c r="B16994" s="3" t="s">
        <v>66</v>
      </c>
      <c r="C16994" s="4" t="str">
        <f t="shared" si="1255"/>
        <v>TCGA-ESCA</v>
      </c>
      <c r="D16994" s="1" t="s">
        <v>493</v>
      </c>
      <c r="E16994" t="s">
        <v>556</v>
      </c>
      <c r="F16994" s="1">
        <v>2</v>
      </c>
      <c r="G16994" s="1" t="s">
        <v>32</v>
      </c>
      <c r="H16994" s="4" t="str">
        <f>HYPERLINK("https://portal.gdc.cancer.gov/cases/89aab5c2-9761-43bb-9053-eed42ee08969","TCGA-V5-AASV-01A")</f>
        <v>TCGA-V5-AASV-01A</v>
      </c>
      <c r="I16994" t="s">
        <v>549</v>
      </c>
      <c r="J16994" t="s">
        <v>550</v>
      </c>
      <c r="K16994" t="s">
        <v>33</v>
      </c>
      <c r="L16994" t="s">
        <v>551</v>
      </c>
      <c r="N16994" t="s">
        <v>29</v>
      </c>
    </row>
    <row r="16995" spans="1:14">
      <c r="A16995" s="4" t="str">
        <f t="shared" si="1256"/>
        <v>EXP00432</v>
      </c>
      <c r="B16995" s="3" t="s">
        <v>66</v>
      </c>
      <c r="C16995" s="4" t="str">
        <f t="shared" si="1255"/>
        <v>TCGA-ESCA</v>
      </c>
      <c r="D16995" s="1" t="s">
        <v>493</v>
      </c>
      <c r="E16995" t="s">
        <v>556</v>
      </c>
      <c r="F16995" s="1">
        <v>2</v>
      </c>
      <c r="G16995" s="1" t="s">
        <v>32</v>
      </c>
      <c r="H16995" s="4" t="str">
        <f>HYPERLINK("https://portal.gdc.cancer.gov/cases/ad2fe57c-2f44-4d57-83a9-349c8a25c414","TCGA-V5-AASW-01A")</f>
        <v>TCGA-V5-AASW-01A</v>
      </c>
      <c r="I16995" t="s">
        <v>549</v>
      </c>
      <c r="J16995" t="s">
        <v>550</v>
      </c>
      <c r="K16995" t="s">
        <v>33</v>
      </c>
      <c r="L16995" t="s">
        <v>551</v>
      </c>
      <c r="N16995" t="s">
        <v>29</v>
      </c>
    </row>
    <row r="16996" spans="1:14">
      <c r="A16996" s="4" t="str">
        <f t="shared" si="1256"/>
        <v>EXP00432</v>
      </c>
      <c r="B16996" s="3" t="s">
        <v>66</v>
      </c>
      <c r="C16996" s="4" t="str">
        <f t="shared" si="1255"/>
        <v>TCGA-ESCA</v>
      </c>
      <c r="D16996" s="1" t="s">
        <v>493</v>
      </c>
      <c r="E16996" t="s">
        <v>556</v>
      </c>
      <c r="F16996" s="1">
        <v>2</v>
      </c>
      <c r="G16996" s="1" t="s">
        <v>32</v>
      </c>
      <c r="H16996" s="4" t="str">
        <f>HYPERLINK("https://portal.gdc.cancer.gov/cases/6c7d464e-09f1-4478-837d-bfbf6addf062","TCGA-V5-AASX-01A")</f>
        <v>TCGA-V5-AASX-01A</v>
      </c>
      <c r="I16996" t="s">
        <v>549</v>
      </c>
      <c r="J16996" t="s">
        <v>550</v>
      </c>
      <c r="K16996" t="s">
        <v>33</v>
      </c>
      <c r="L16996" t="s">
        <v>551</v>
      </c>
      <c r="N16996" t="s">
        <v>29</v>
      </c>
    </row>
    <row r="16997" spans="1:14">
      <c r="A16997" s="4" t="str">
        <f t="shared" si="1256"/>
        <v>EXP00432</v>
      </c>
      <c r="B16997" s="3" t="s">
        <v>66</v>
      </c>
      <c r="C16997" s="4" t="str">
        <f t="shared" si="1255"/>
        <v>TCGA-ESCA</v>
      </c>
      <c r="D16997" s="1" t="s">
        <v>493</v>
      </c>
      <c r="E16997" t="s">
        <v>556</v>
      </c>
      <c r="F16997" s="1">
        <v>2</v>
      </c>
      <c r="G16997" s="1" t="s">
        <v>32</v>
      </c>
      <c r="H16997" s="4" t="str">
        <f>HYPERLINK("https://portal.gdc.cancer.gov/cases/705f9841-988a-488a-8cdd-3e00bc731e76","TCGA-VR-A8EO-01A")</f>
        <v>TCGA-VR-A8EO-01A</v>
      </c>
      <c r="I16997" t="s">
        <v>549</v>
      </c>
      <c r="J16997" t="s">
        <v>550</v>
      </c>
      <c r="K16997" t="s">
        <v>33</v>
      </c>
      <c r="L16997" t="s">
        <v>551</v>
      </c>
      <c r="N16997" t="s">
        <v>29</v>
      </c>
    </row>
    <row r="16998" spans="1:14">
      <c r="A16998" s="4" t="str">
        <f t="shared" si="1256"/>
        <v>EXP00432</v>
      </c>
      <c r="B16998" s="3" t="s">
        <v>66</v>
      </c>
      <c r="C16998" s="4" t="str">
        <f t="shared" si="1255"/>
        <v>TCGA-ESCA</v>
      </c>
      <c r="D16998" s="1" t="s">
        <v>493</v>
      </c>
      <c r="E16998" t="s">
        <v>556</v>
      </c>
      <c r="F16998" s="1">
        <v>2</v>
      </c>
      <c r="G16998" s="1" t="s">
        <v>32</v>
      </c>
      <c r="H16998" s="4" t="str">
        <f>HYPERLINK("https://portal.gdc.cancer.gov/cases/d86eab07-8cb2-49a8-b00f-2986efd7ea3b","TCGA-VR-A8EP-01A")</f>
        <v>TCGA-VR-A8EP-01A</v>
      </c>
      <c r="I16998" t="s">
        <v>549</v>
      </c>
      <c r="J16998" t="s">
        <v>550</v>
      </c>
      <c r="K16998" t="s">
        <v>33</v>
      </c>
      <c r="L16998" t="s">
        <v>551</v>
      </c>
      <c r="N16998" t="s">
        <v>29</v>
      </c>
    </row>
    <row r="16999" spans="1:14">
      <c r="A16999" s="4" t="str">
        <f t="shared" si="1256"/>
        <v>EXP00432</v>
      </c>
      <c r="B16999" s="3" t="s">
        <v>66</v>
      </c>
      <c r="C16999" s="4" t="str">
        <f t="shared" si="1255"/>
        <v>TCGA-ESCA</v>
      </c>
      <c r="D16999" s="1" t="s">
        <v>493</v>
      </c>
      <c r="E16999" t="s">
        <v>556</v>
      </c>
      <c r="F16999" s="1">
        <v>2</v>
      </c>
      <c r="G16999" s="1" t="s">
        <v>32</v>
      </c>
      <c r="H16999" s="4" t="str">
        <f>HYPERLINK("https://portal.gdc.cancer.gov/cases/49a3c7c6-81b0-4b14-8e13-03f6901171f8","TCGA-VR-A8EQ-01A")</f>
        <v>TCGA-VR-A8EQ-01A</v>
      </c>
      <c r="I16999" t="s">
        <v>549</v>
      </c>
      <c r="J16999" t="s">
        <v>550</v>
      </c>
      <c r="K16999" t="s">
        <v>33</v>
      </c>
      <c r="L16999" t="s">
        <v>551</v>
      </c>
      <c r="N16999" t="s">
        <v>29</v>
      </c>
    </row>
    <row r="17000" spans="1:14">
      <c r="A17000" s="4" t="str">
        <f t="shared" si="1256"/>
        <v>EXP00432</v>
      </c>
      <c r="B17000" s="3" t="s">
        <v>66</v>
      </c>
      <c r="C17000" s="4" t="str">
        <f t="shared" si="1255"/>
        <v>TCGA-ESCA</v>
      </c>
      <c r="D17000" s="1" t="s">
        <v>493</v>
      </c>
      <c r="E17000" t="s">
        <v>556</v>
      </c>
      <c r="F17000" s="1">
        <v>2</v>
      </c>
      <c r="G17000" s="1" t="s">
        <v>32</v>
      </c>
      <c r="H17000" s="4" t="str">
        <f>HYPERLINK("https://portal.gdc.cancer.gov/cases/54e45b43-363a-47a3-b43b-5e41ff589b47","TCGA-VR-A8ER-01A")</f>
        <v>TCGA-VR-A8ER-01A</v>
      </c>
      <c r="I17000" t="s">
        <v>549</v>
      </c>
      <c r="J17000" t="s">
        <v>550</v>
      </c>
      <c r="K17000" t="s">
        <v>33</v>
      </c>
      <c r="L17000" t="s">
        <v>551</v>
      </c>
      <c r="N17000" t="s">
        <v>29</v>
      </c>
    </row>
    <row r="17001" spans="1:14">
      <c r="A17001" s="4" t="str">
        <f t="shared" si="1256"/>
        <v>EXP00432</v>
      </c>
      <c r="B17001" s="3" t="s">
        <v>66</v>
      </c>
      <c r="C17001" s="4" t="str">
        <f t="shared" si="1255"/>
        <v>TCGA-ESCA</v>
      </c>
      <c r="D17001" s="1" t="s">
        <v>493</v>
      </c>
      <c r="E17001" t="s">
        <v>556</v>
      </c>
      <c r="F17001" s="1">
        <v>2</v>
      </c>
      <c r="G17001" s="1" t="s">
        <v>32</v>
      </c>
      <c r="H17001" s="4" t="str">
        <f>HYPERLINK("https://portal.gdc.cancer.gov/cases/d064c0bf-ecac-4069-aeae-4cc36bc87b38","TCGA-VR-A8ET-01A")</f>
        <v>TCGA-VR-A8ET-01A</v>
      </c>
      <c r="I17001" t="s">
        <v>549</v>
      </c>
      <c r="J17001" t="s">
        <v>550</v>
      </c>
      <c r="K17001" t="s">
        <v>33</v>
      </c>
      <c r="L17001" t="s">
        <v>551</v>
      </c>
      <c r="N17001" t="s">
        <v>29</v>
      </c>
    </row>
    <row r="17002" spans="1:14">
      <c r="A17002" s="4" t="str">
        <f t="shared" si="1256"/>
        <v>EXP00432</v>
      </c>
      <c r="B17002" s="3" t="s">
        <v>66</v>
      </c>
      <c r="C17002" s="4" t="str">
        <f t="shared" si="1255"/>
        <v>TCGA-ESCA</v>
      </c>
      <c r="D17002" s="1" t="s">
        <v>493</v>
      </c>
      <c r="E17002" t="s">
        <v>556</v>
      </c>
      <c r="F17002" s="1">
        <v>2</v>
      </c>
      <c r="G17002" s="1" t="s">
        <v>32</v>
      </c>
      <c r="H17002" s="4" t="str">
        <f>HYPERLINK("https://portal.gdc.cancer.gov/cases/b5fa3ac1-0691-4b6a-b6e4-765311b419ed","TCGA-VR-A8EU-01A")</f>
        <v>TCGA-VR-A8EU-01A</v>
      </c>
      <c r="I17002" t="s">
        <v>549</v>
      </c>
      <c r="J17002" t="s">
        <v>550</v>
      </c>
      <c r="K17002" t="s">
        <v>33</v>
      </c>
      <c r="L17002" t="s">
        <v>551</v>
      </c>
      <c r="N17002" t="s">
        <v>29</v>
      </c>
    </row>
    <row r="17003" spans="1:14">
      <c r="A17003" s="4" t="str">
        <f t="shared" si="1256"/>
        <v>EXP00432</v>
      </c>
      <c r="B17003" s="3" t="s">
        <v>66</v>
      </c>
      <c r="C17003" s="4" t="str">
        <f t="shared" si="1255"/>
        <v>TCGA-ESCA</v>
      </c>
      <c r="D17003" s="1" t="s">
        <v>493</v>
      </c>
      <c r="E17003" t="s">
        <v>556</v>
      </c>
      <c r="F17003" s="1">
        <v>2</v>
      </c>
      <c r="G17003" s="1" t="s">
        <v>32</v>
      </c>
      <c r="H17003" s="4" t="str">
        <f>HYPERLINK("https://portal.gdc.cancer.gov/cases/71f9f567-3687-4e3f-ad20-aed026a5b7e1","TCGA-VR-A8EW-01A")</f>
        <v>TCGA-VR-A8EW-01A</v>
      </c>
      <c r="I17003" t="s">
        <v>549</v>
      </c>
      <c r="J17003" t="s">
        <v>550</v>
      </c>
      <c r="K17003" t="s">
        <v>33</v>
      </c>
      <c r="L17003" t="s">
        <v>551</v>
      </c>
      <c r="N17003" t="s">
        <v>29</v>
      </c>
    </row>
    <row r="17004" spans="1:14">
      <c r="A17004" s="4" t="str">
        <f t="shared" si="1256"/>
        <v>EXP00432</v>
      </c>
      <c r="B17004" s="3" t="s">
        <v>66</v>
      </c>
      <c r="C17004" s="4" t="str">
        <f t="shared" si="1255"/>
        <v>TCGA-ESCA</v>
      </c>
      <c r="D17004" s="1" t="s">
        <v>493</v>
      </c>
      <c r="E17004" t="s">
        <v>556</v>
      </c>
      <c r="F17004" s="1">
        <v>2</v>
      </c>
      <c r="G17004" s="1" t="s">
        <v>32</v>
      </c>
      <c r="H17004" s="4" t="str">
        <f>HYPERLINK("https://portal.gdc.cancer.gov/cases/0b831729-8c3f-472b-9d76-50bbb4aeab0e","TCGA-VR-A8EX-01A")</f>
        <v>TCGA-VR-A8EX-01A</v>
      </c>
      <c r="I17004" t="s">
        <v>549</v>
      </c>
      <c r="J17004" t="s">
        <v>550</v>
      </c>
      <c r="K17004" t="s">
        <v>33</v>
      </c>
      <c r="L17004" t="s">
        <v>551</v>
      </c>
      <c r="N17004" t="s">
        <v>29</v>
      </c>
    </row>
    <row r="17005" spans="1:14">
      <c r="A17005" s="4" t="str">
        <f t="shared" si="1256"/>
        <v>EXP00432</v>
      </c>
      <c r="B17005" s="3" t="s">
        <v>66</v>
      </c>
      <c r="C17005" s="4" t="str">
        <f t="shared" si="1255"/>
        <v>TCGA-ESCA</v>
      </c>
      <c r="D17005" s="1" t="s">
        <v>493</v>
      </c>
      <c r="E17005" t="s">
        <v>556</v>
      </c>
      <c r="F17005" s="1">
        <v>2</v>
      </c>
      <c r="G17005" s="1" t="s">
        <v>32</v>
      </c>
      <c r="H17005" s="4" t="str">
        <f>HYPERLINK("https://portal.gdc.cancer.gov/cases/c305aa0c-430c-4e3f-93ac-e611b32db30a","TCGA-VR-A8EY-01A")</f>
        <v>TCGA-VR-A8EY-01A</v>
      </c>
      <c r="I17005" t="s">
        <v>549</v>
      </c>
      <c r="J17005" t="s">
        <v>550</v>
      </c>
      <c r="K17005" t="s">
        <v>33</v>
      </c>
      <c r="L17005" t="s">
        <v>551</v>
      </c>
      <c r="N17005" t="s">
        <v>29</v>
      </c>
    </row>
    <row r="17006" spans="1:14">
      <c r="A17006" s="4" t="str">
        <f t="shared" si="1256"/>
        <v>EXP00432</v>
      </c>
      <c r="B17006" s="3" t="s">
        <v>66</v>
      </c>
      <c r="C17006" s="4" t="str">
        <f t="shared" si="1255"/>
        <v>TCGA-ESCA</v>
      </c>
      <c r="D17006" s="1" t="s">
        <v>493</v>
      </c>
      <c r="E17006" t="s">
        <v>556</v>
      </c>
      <c r="F17006" s="1">
        <v>2</v>
      </c>
      <c r="G17006" s="1" t="s">
        <v>32</v>
      </c>
      <c r="H17006" s="4" t="str">
        <f>HYPERLINK("https://portal.gdc.cancer.gov/cases/2795badd-5c70-442d-8780-8f458539d506","TCGA-VR-A8Q7-01A")</f>
        <v>TCGA-VR-A8Q7-01A</v>
      </c>
      <c r="I17006" t="s">
        <v>549</v>
      </c>
      <c r="J17006" t="s">
        <v>550</v>
      </c>
      <c r="K17006" t="s">
        <v>33</v>
      </c>
      <c r="L17006" t="s">
        <v>551</v>
      </c>
      <c r="N17006" t="s">
        <v>29</v>
      </c>
    </row>
    <row r="17007" spans="1:14">
      <c r="A17007" s="4" t="str">
        <f t="shared" si="1256"/>
        <v>EXP00432</v>
      </c>
      <c r="B17007" s="3" t="s">
        <v>66</v>
      </c>
      <c r="C17007" s="4" t="str">
        <f t="shared" si="1255"/>
        <v>TCGA-ESCA</v>
      </c>
      <c r="D17007" s="1" t="s">
        <v>493</v>
      </c>
      <c r="E17007" t="s">
        <v>556</v>
      </c>
      <c r="F17007" s="1">
        <v>2</v>
      </c>
      <c r="G17007" s="1" t="s">
        <v>32</v>
      </c>
      <c r="H17007" s="4" t="str">
        <f>HYPERLINK("https://portal.gdc.cancer.gov/cases/df5bd25c-d70b-4126-89cb-6c838044ae3b","TCGA-VR-AA4G-01A")</f>
        <v>TCGA-VR-AA4G-01A</v>
      </c>
      <c r="I17007" t="s">
        <v>549</v>
      </c>
      <c r="J17007" t="s">
        <v>550</v>
      </c>
      <c r="K17007" t="s">
        <v>33</v>
      </c>
      <c r="L17007" t="s">
        <v>551</v>
      </c>
      <c r="N17007" t="s">
        <v>29</v>
      </c>
    </row>
    <row r="17008" spans="1:14">
      <c r="A17008" s="4" t="str">
        <f t="shared" si="1256"/>
        <v>EXP00432</v>
      </c>
      <c r="B17008" s="3" t="s">
        <v>66</v>
      </c>
      <c r="C17008" s="4" t="str">
        <f t="shared" si="1255"/>
        <v>TCGA-ESCA</v>
      </c>
      <c r="D17008" s="1" t="s">
        <v>493</v>
      </c>
      <c r="E17008" t="s">
        <v>556</v>
      </c>
      <c r="F17008" s="1">
        <v>2</v>
      </c>
      <c r="G17008" s="1" t="s">
        <v>32</v>
      </c>
      <c r="H17008" s="4" t="str">
        <f>HYPERLINK("https://portal.gdc.cancer.gov/cases/a34c2eda-3e24-4eb8-94cc-a5ccc819d771","TCGA-VR-AA7I-01A")</f>
        <v>TCGA-VR-AA7I-01A</v>
      </c>
      <c r="I17008" t="s">
        <v>549</v>
      </c>
      <c r="J17008" t="s">
        <v>550</v>
      </c>
      <c r="K17008" t="s">
        <v>33</v>
      </c>
      <c r="L17008" t="s">
        <v>551</v>
      </c>
      <c r="N17008" t="s">
        <v>29</v>
      </c>
    </row>
    <row r="17009" spans="1:14">
      <c r="A17009" s="4" t="str">
        <f t="shared" si="1256"/>
        <v>EXP00432</v>
      </c>
      <c r="B17009" s="3" t="s">
        <v>66</v>
      </c>
      <c r="C17009" s="4" t="str">
        <f t="shared" si="1255"/>
        <v>TCGA-ESCA</v>
      </c>
      <c r="D17009" s="1" t="s">
        <v>493</v>
      </c>
      <c r="E17009" t="s">
        <v>556</v>
      </c>
      <c r="F17009" s="1">
        <v>2</v>
      </c>
      <c r="G17009" s="1" t="s">
        <v>32</v>
      </c>
      <c r="H17009" s="4" t="str">
        <f>HYPERLINK("https://portal.gdc.cancer.gov/cases/f4cb24e9-e7fd-4245-9c9b-7e0934038446","TCGA-XP-A8T6-01A")</f>
        <v>TCGA-XP-A8T6-01A</v>
      </c>
      <c r="I17009" t="s">
        <v>549</v>
      </c>
      <c r="J17009" t="s">
        <v>550</v>
      </c>
      <c r="K17009" t="s">
        <v>33</v>
      </c>
      <c r="L17009" t="s">
        <v>551</v>
      </c>
      <c r="N17009" t="s">
        <v>29</v>
      </c>
    </row>
    <row r="17010" spans="1:14">
      <c r="A17010" s="4" t="str">
        <f t="shared" si="1256"/>
        <v>EXP00432</v>
      </c>
      <c r="B17010" s="3" t="s">
        <v>66</v>
      </c>
      <c r="C17010" s="4" t="str">
        <f t="shared" si="1255"/>
        <v>TCGA-ESCA</v>
      </c>
      <c r="D17010" s="1" t="s">
        <v>493</v>
      </c>
      <c r="E17010" t="s">
        <v>556</v>
      </c>
      <c r="F17010" s="1">
        <v>2</v>
      </c>
      <c r="G17010" s="1" t="s">
        <v>32</v>
      </c>
      <c r="H17010" s="4" t="str">
        <f>HYPERLINK("https://portal.gdc.cancer.gov/cases/8d3ccaf0-872a-4ee3-b4b7-847180fec3ab","TCGA-XP-A8T8-01A")</f>
        <v>TCGA-XP-A8T8-01A</v>
      </c>
      <c r="I17010" t="s">
        <v>549</v>
      </c>
      <c r="J17010" t="s">
        <v>550</v>
      </c>
      <c r="K17010" t="s">
        <v>33</v>
      </c>
      <c r="L17010" t="s">
        <v>551</v>
      </c>
      <c r="N17010" t="s">
        <v>29</v>
      </c>
    </row>
    <row r="17011" spans="1:14">
      <c r="A17011" s="4" t="str">
        <f t="shared" si="1256"/>
        <v>EXP00432</v>
      </c>
      <c r="B17011" s="3" t="s">
        <v>66</v>
      </c>
      <c r="C17011" s="4" t="str">
        <f t="shared" si="1255"/>
        <v>TCGA-ESCA</v>
      </c>
      <c r="D17011" s="1" t="s">
        <v>493</v>
      </c>
      <c r="E17011" t="s">
        <v>556</v>
      </c>
      <c r="F17011" s="1">
        <v>2</v>
      </c>
      <c r="G17011" s="1" t="s">
        <v>32</v>
      </c>
      <c r="H17011" s="4" t="str">
        <f>HYPERLINK("https://portal.gdc.cancer.gov/cases/b997d486-8c71-4926-9df1-d2afdaf2785f","TCGA-Z6-A8JD-01A")</f>
        <v>TCGA-Z6-A8JD-01A</v>
      </c>
      <c r="I17011" t="s">
        <v>549</v>
      </c>
      <c r="J17011" t="s">
        <v>550</v>
      </c>
      <c r="K17011" t="s">
        <v>33</v>
      </c>
      <c r="L17011" t="s">
        <v>551</v>
      </c>
      <c r="N17011" t="s">
        <v>29</v>
      </c>
    </row>
    <row r="17012" spans="1:14">
      <c r="A17012" s="4" t="str">
        <f t="shared" si="1256"/>
        <v>EXP00432</v>
      </c>
      <c r="B17012" s="3" t="s">
        <v>66</v>
      </c>
      <c r="C17012" s="4" t="str">
        <f t="shared" si="1255"/>
        <v>TCGA-ESCA</v>
      </c>
      <c r="D17012" s="1" t="s">
        <v>493</v>
      </c>
      <c r="E17012" t="s">
        <v>556</v>
      </c>
      <c r="F17012" s="1">
        <v>2</v>
      </c>
      <c r="G17012" s="1" t="s">
        <v>32</v>
      </c>
      <c r="H17012" s="4" t="str">
        <f>HYPERLINK("https://portal.gdc.cancer.gov/cases/1116ddae-76b0-48d6-869c-be65d8b09d35","TCGA-Z6-A8JE-01A")</f>
        <v>TCGA-Z6-A8JE-01A</v>
      </c>
      <c r="I17012" t="s">
        <v>549</v>
      </c>
      <c r="J17012" t="s">
        <v>550</v>
      </c>
      <c r="K17012" t="s">
        <v>33</v>
      </c>
      <c r="L17012" t="s">
        <v>551</v>
      </c>
      <c r="N17012" t="s">
        <v>29</v>
      </c>
    </row>
    <row r="17013" spans="1:14">
      <c r="A17013" s="4" t="str">
        <f t="shared" si="1256"/>
        <v>EXP00432</v>
      </c>
      <c r="B17013" s="3" t="s">
        <v>66</v>
      </c>
      <c r="C17013" s="4" t="str">
        <f t="shared" si="1255"/>
        <v>TCGA-ESCA</v>
      </c>
      <c r="D17013" s="1" t="s">
        <v>493</v>
      </c>
      <c r="E17013" t="s">
        <v>556</v>
      </c>
      <c r="F17013" s="1">
        <v>2</v>
      </c>
      <c r="G17013" s="1" t="s">
        <v>32</v>
      </c>
      <c r="H17013" s="4" t="str">
        <f>HYPERLINK("https://portal.gdc.cancer.gov/cases/1c2837d4-bd2c-46f7-9e22-683b82a16350","TCGA-Z6-A9VB-01A")</f>
        <v>TCGA-Z6-A9VB-01A</v>
      </c>
      <c r="I17013" t="s">
        <v>549</v>
      </c>
      <c r="J17013" t="s">
        <v>550</v>
      </c>
      <c r="K17013" t="s">
        <v>33</v>
      </c>
      <c r="L17013" t="s">
        <v>551</v>
      </c>
      <c r="N17013" t="s">
        <v>29</v>
      </c>
    </row>
    <row r="17014" spans="1:14">
      <c r="A17014" s="4" t="str">
        <f t="shared" si="1256"/>
        <v>EXP00432</v>
      </c>
      <c r="B17014" s="3" t="s">
        <v>66</v>
      </c>
      <c r="C17014" s="4" t="str">
        <f t="shared" si="1255"/>
        <v>TCGA-ESCA</v>
      </c>
      <c r="D17014" s="1" t="s">
        <v>493</v>
      </c>
      <c r="E17014" t="s">
        <v>556</v>
      </c>
      <c r="F17014" s="1">
        <v>2</v>
      </c>
      <c r="G17014" s="1" t="s">
        <v>32</v>
      </c>
      <c r="H17014" s="4" t="str">
        <f>HYPERLINK("https://portal.gdc.cancer.gov/cases/2659bb79-95f9-4476-a516-f3800536422d","TCGA-Z6-AAPN-01A")</f>
        <v>TCGA-Z6-AAPN-01A</v>
      </c>
      <c r="I17014" t="s">
        <v>549</v>
      </c>
      <c r="J17014" t="s">
        <v>550</v>
      </c>
      <c r="K17014" t="s">
        <v>33</v>
      </c>
      <c r="L17014" t="s">
        <v>551</v>
      </c>
      <c r="N17014" t="s">
        <v>29</v>
      </c>
    </row>
    <row r="17015" spans="1:14">
      <c r="A17015" s="4" t="str">
        <f t="shared" ref="A17015:A17046" si="1257">HYPERLINK("http://hcmdb.i-sanger.com/experiment/details/experiment_id/EXP00433","EXP00433")</f>
        <v>EXP00433</v>
      </c>
      <c r="B17015" s="3" t="s">
        <v>66</v>
      </c>
      <c r="C17015" s="4" t="str">
        <f t="shared" si="1255"/>
        <v>TCGA-ESCA</v>
      </c>
      <c r="D17015" s="1" t="s">
        <v>493</v>
      </c>
      <c r="E17015" t="s">
        <v>560</v>
      </c>
      <c r="F17015" s="1">
        <v>1</v>
      </c>
      <c r="G17015" s="1" t="s">
        <v>36</v>
      </c>
      <c r="H17015" s="4" t="str">
        <f>HYPERLINK("https://portal.gdc.cancer.gov/cases/64aa95b2-ccf7-4bfa-8d4f-98de09f03e71","TCGA-IC-A6RE-11A")</f>
        <v>TCGA-IC-A6RE-11A</v>
      </c>
      <c r="I17015" t="s">
        <v>549</v>
      </c>
      <c r="J17015" t="s">
        <v>550</v>
      </c>
      <c r="K17015" t="s">
        <v>33</v>
      </c>
      <c r="L17015" t="s">
        <v>551</v>
      </c>
      <c r="N17015" t="s">
        <v>37</v>
      </c>
    </row>
    <row r="17016" spans="1:14">
      <c r="A17016" s="4" t="str">
        <f t="shared" si="1257"/>
        <v>EXP00433</v>
      </c>
      <c r="B17016" s="3" t="s">
        <v>66</v>
      </c>
      <c r="C17016" s="4" t="str">
        <f t="shared" si="1255"/>
        <v>TCGA-ESCA</v>
      </c>
      <c r="D17016" s="1" t="s">
        <v>493</v>
      </c>
      <c r="E17016" t="s">
        <v>560</v>
      </c>
      <c r="F17016" s="1">
        <v>1</v>
      </c>
      <c r="G17016" s="1" t="s">
        <v>36</v>
      </c>
      <c r="H17016" s="4" t="str">
        <f>HYPERLINK("https://portal.gdc.cancer.gov/cases/9dfddc49-1e66-4e26-9d71-40d748cca0a6","TCGA-IC-A6RF-11A")</f>
        <v>TCGA-IC-A6RF-11A</v>
      </c>
      <c r="I17016" t="s">
        <v>549</v>
      </c>
      <c r="J17016" t="s">
        <v>550</v>
      </c>
      <c r="K17016" t="s">
        <v>33</v>
      </c>
      <c r="L17016" t="s">
        <v>551</v>
      </c>
      <c r="N17016" t="s">
        <v>37</v>
      </c>
    </row>
    <row r="17017" spans="1:14">
      <c r="A17017" s="4" t="str">
        <f t="shared" si="1257"/>
        <v>EXP00433</v>
      </c>
      <c r="B17017" s="3" t="s">
        <v>66</v>
      </c>
      <c r="C17017" s="4" t="str">
        <f t="shared" si="1255"/>
        <v>TCGA-ESCA</v>
      </c>
      <c r="D17017" s="1" t="s">
        <v>493</v>
      </c>
      <c r="E17017" t="s">
        <v>560</v>
      </c>
      <c r="F17017" s="1">
        <v>1</v>
      </c>
      <c r="G17017" s="1" t="s">
        <v>36</v>
      </c>
      <c r="H17017" s="4" t="str">
        <f>HYPERLINK("https://portal.gdc.cancer.gov/cases/a935daeb-1efd-4113-a614-a5e4d446c72b","TCGA-L5-A43C-11A")</f>
        <v>TCGA-L5-A43C-11A</v>
      </c>
      <c r="I17017" t="s">
        <v>549</v>
      </c>
      <c r="J17017" t="s">
        <v>550</v>
      </c>
      <c r="K17017" t="s">
        <v>33</v>
      </c>
      <c r="L17017" t="s">
        <v>551</v>
      </c>
      <c r="N17017" t="s">
        <v>37</v>
      </c>
    </row>
    <row r="17018" spans="1:14">
      <c r="A17018" s="4" t="str">
        <f t="shared" si="1257"/>
        <v>EXP00433</v>
      </c>
      <c r="B17018" s="3" t="s">
        <v>66</v>
      </c>
      <c r="C17018" s="4" t="str">
        <f t="shared" si="1255"/>
        <v>TCGA-ESCA</v>
      </c>
      <c r="D17018" s="1" t="s">
        <v>493</v>
      </c>
      <c r="E17018" t="s">
        <v>560</v>
      </c>
      <c r="F17018" s="1">
        <v>1</v>
      </c>
      <c r="G17018" s="1" t="s">
        <v>36</v>
      </c>
      <c r="H17018" s="4" t="str">
        <f>HYPERLINK("https://portal.gdc.cancer.gov/cases/0c78b1b5-f480-45ad-a253-19297bc886b4","TCGA-L5-A4OF-11A")</f>
        <v>TCGA-L5-A4OF-11A</v>
      </c>
      <c r="I17018" t="s">
        <v>549</v>
      </c>
      <c r="J17018" t="s">
        <v>550</v>
      </c>
      <c r="K17018" t="s">
        <v>33</v>
      </c>
      <c r="L17018" t="s">
        <v>551</v>
      </c>
      <c r="N17018" t="s">
        <v>37</v>
      </c>
    </row>
    <row r="17019" spans="1:14">
      <c r="A17019" s="4" t="str">
        <f t="shared" si="1257"/>
        <v>EXP00433</v>
      </c>
      <c r="B17019" s="3" t="s">
        <v>66</v>
      </c>
      <c r="C17019" s="4" t="str">
        <f t="shared" si="1255"/>
        <v>TCGA-ESCA</v>
      </c>
      <c r="D17019" s="1" t="s">
        <v>493</v>
      </c>
      <c r="E17019" t="s">
        <v>560</v>
      </c>
      <c r="F17019" s="1">
        <v>1</v>
      </c>
      <c r="G17019" s="1" t="s">
        <v>36</v>
      </c>
      <c r="H17019" s="4" t="str">
        <f>HYPERLINK("https://portal.gdc.cancer.gov/cases/eb4ad376-4cc1-4d2c-9b93-ad2b082c77c4","TCGA-L5-A4OG-11A")</f>
        <v>TCGA-L5-A4OG-11A</v>
      </c>
      <c r="I17019" t="s">
        <v>549</v>
      </c>
      <c r="J17019" t="s">
        <v>550</v>
      </c>
      <c r="K17019" t="s">
        <v>33</v>
      </c>
      <c r="L17019" t="s">
        <v>551</v>
      </c>
      <c r="N17019" t="s">
        <v>37</v>
      </c>
    </row>
    <row r="17020" spans="1:14">
      <c r="A17020" s="4" t="str">
        <f t="shared" si="1257"/>
        <v>EXP00433</v>
      </c>
      <c r="B17020" s="3" t="s">
        <v>66</v>
      </c>
      <c r="C17020" s="4" t="str">
        <f t="shared" si="1255"/>
        <v>TCGA-ESCA</v>
      </c>
      <c r="D17020" s="1" t="s">
        <v>493</v>
      </c>
      <c r="E17020" t="s">
        <v>560</v>
      </c>
      <c r="F17020" s="1">
        <v>1</v>
      </c>
      <c r="G17020" s="1" t="s">
        <v>36</v>
      </c>
      <c r="H17020" s="4" t="str">
        <f>HYPERLINK("https://portal.gdc.cancer.gov/cases/cb419344-6148-43d4-b549-570bd09b3e05","TCGA-L5-A4OJ-11A")</f>
        <v>TCGA-L5-A4OJ-11A</v>
      </c>
      <c r="I17020" t="s">
        <v>549</v>
      </c>
      <c r="J17020" t="s">
        <v>550</v>
      </c>
      <c r="K17020" t="s">
        <v>33</v>
      </c>
      <c r="L17020" t="s">
        <v>551</v>
      </c>
      <c r="N17020" t="s">
        <v>37</v>
      </c>
    </row>
    <row r="17021" spans="1:14">
      <c r="A17021" s="4" t="str">
        <f t="shared" si="1257"/>
        <v>EXP00433</v>
      </c>
      <c r="B17021" s="3" t="s">
        <v>66</v>
      </c>
      <c r="C17021" s="4" t="str">
        <f t="shared" si="1255"/>
        <v>TCGA-ESCA</v>
      </c>
      <c r="D17021" s="1" t="s">
        <v>493</v>
      </c>
      <c r="E17021" t="s">
        <v>560</v>
      </c>
      <c r="F17021" s="1">
        <v>1</v>
      </c>
      <c r="G17021" s="1" t="s">
        <v>36</v>
      </c>
      <c r="H17021" s="4" t="str">
        <f>HYPERLINK("https://portal.gdc.cancer.gov/cases/53990b20-16bd-4792-a4ca-4fd411c841f4","TCGA-L5-A4OO-11A")</f>
        <v>TCGA-L5-A4OO-11A</v>
      </c>
      <c r="I17021" t="s">
        <v>549</v>
      </c>
      <c r="J17021" t="s">
        <v>550</v>
      </c>
      <c r="K17021" t="s">
        <v>33</v>
      </c>
      <c r="L17021" t="s">
        <v>551</v>
      </c>
      <c r="N17021" t="s">
        <v>37</v>
      </c>
    </row>
    <row r="17022" spans="1:14">
      <c r="A17022" s="4" t="str">
        <f t="shared" si="1257"/>
        <v>EXP00433</v>
      </c>
      <c r="B17022" s="3" t="s">
        <v>66</v>
      </c>
      <c r="C17022" s="4" t="str">
        <f t="shared" ref="C17022:C17085" si="1258">HYPERLINK("https://portal.gdc.cancer.gov/projects/TCGA-ESCA","TCGA-ESCA")</f>
        <v>TCGA-ESCA</v>
      </c>
      <c r="D17022" s="1" t="s">
        <v>493</v>
      </c>
      <c r="E17022" t="s">
        <v>560</v>
      </c>
      <c r="F17022" s="1">
        <v>1</v>
      </c>
      <c r="G17022" s="1" t="s">
        <v>36</v>
      </c>
      <c r="H17022" s="4" t="str">
        <f>HYPERLINK("https://portal.gdc.cancer.gov/cases/09eacbfd-3f4a-4d2b-b7a7-c021535e2981","TCGA-L5-A4OR-11A")</f>
        <v>TCGA-L5-A4OR-11A</v>
      </c>
      <c r="I17022" t="s">
        <v>549</v>
      </c>
      <c r="J17022" t="s">
        <v>550</v>
      </c>
      <c r="K17022" t="s">
        <v>33</v>
      </c>
      <c r="L17022" t="s">
        <v>551</v>
      </c>
      <c r="N17022" t="s">
        <v>37</v>
      </c>
    </row>
    <row r="17023" spans="1:14">
      <c r="A17023" s="4" t="str">
        <f t="shared" si="1257"/>
        <v>EXP00433</v>
      </c>
      <c r="B17023" s="3" t="s">
        <v>66</v>
      </c>
      <c r="C17023" s="4" t="str">
        <f t="shared" si="1258"/>
        <v>TCGA-ESCA</v>
      </c>
      <c r="D17023" s="1" t="s">
        <v>493</v>
      </c>
      <c r="E17023" t="s">
        <v>560</v>
      </c>
      <c r="F17023" s="1">
        <v>1</v>
      </c>
      <c r="G17023" s="1" t="s">
        <v>36</v>
      </c>
      <c r="H17023" s="4" t="str">
        <f>HYPERLINK("https://portal.gdc.cancer.gov/cases/3b076d77-6276-4233-867b-6a10d9e17343","TCGA-V5-A7RE-11A")</f>
        <v>TCGA-V5-A7RE-11A</v>
      </c>
      <c r="I17023" t="s">
        <v>549</v>
      </c>
      <c r="J17023" t="s">
        <v>550</v>
      </c>
      <c r="K17023" t="s">
        <v>33</v>
      </c>
      <c r="L17023" t="s">
        <v>551</v>
      </c>
      <c r="N17023" t="s">
        <v>37</v>
      </c>
    </row>
    <row r="17024" spans="1:14">
      <c r="A17024" s="4" t="str">
        <f t="shared" si="1257"/>
        <v>EXP00433</v>
      </c>
      <c r="B17024" s="3" t="s">
        <v>66</v>
      </c>
      <c r="C17024" s="4" t="str">
        <f t="shared" si="1258"/>
        <v>TCGA-ESCA</v>
      </c>
      <c r="D17024" s="1" t="s">
        <v>493</v>
      </c>
      <c r="E17024" t="s">
        <v>560</v>
      </c>
      <c r="F17024" s="1">
        <v>1</v>
      </c>
      <c r="G17024" s="1" t="s">
        <v>36</v>
      </c>
      <c r="H17024" s="4" t="str">
        <f>HYPERLINK("https://portal.gdc.cancer.gov/cases/6c7d464e-09f1-4478-837d-bfbf6addf062","TCGA-V5-AASX-11A")</f>
        <v>TCGA-V5-AASX-11A</v>
      </c>
      <c r="I17024" t="s">
        <v>549</v>
      </c>
      <c r="J17024" t="s">
        <v>550</v>
      </c>
      <c r="K17024" t="s">
        <v>33</v>
      </c>
      <c r="L17024" t="s">
        <v>551</v>
      </c>
      <c r="N17024" t="s">
        <v>37</v>
      </c>
    </row>
    <row r="17025" spans="1:14">
      <c r="A17025" s="4" t="str">
        <f t="shared" si="1257"/>
        <v>EXP00433</v>
      </c>
      <c r="B17025" s="3" t="s">
        <v>66</v>
      </c>
      <c r="C17025" s="4" t="str">
        <f t="shared" si="1258"/>
        <v>TCGA-ESCA</v>
      </c>
      <c r="D17025" s="1" t="s">
        <v>493</v>
      </c>
      <c r="E17025" t="s">
        <v>560</v>
      </c>
      <c r="F17025" s="1">
        <v>2</v>
      </c>
      <c r="G17025" s="1" t="s">
        <v>28</v>
      </c>
      <c r="H17025" s="4" t="str">
        <f>HYPERLINK("https://portal.gdc.cancer.gov/cases/ab2755d2-5bd9-4e2f-b255-e813afc8d268","TCGA-2H-A9GL-01A")</f>
        <v>TCGA-2H-A9GL-01A</v>
      </c>
      <c r="I17025" t="s">
        <v>549</v>
      </c>
      <c r="J17025" t="s">
        <v>550</v>
      </c>
      <c r="K17025" t="s">
        <v>33</v>
      </c>
      <c r="L17025" t="s">
        <v>551</v>
      </c>
      <c r="N17025" t="s">
        <v>29</v>
      </c>
    </row>
    <row r="17026" spans="1:14">
      <c r="A17026" s="4" t="str">
        <f t="shared" si="1257"/>
        <v>EXP00433</v>
      </c>
      <c r="B17026" s="3" t="s">
        <v>66</v>
      </c>
      <c r="C17026" s="4" t="str">
        <f t="shared" si="1258"/>
        <v>TCGA-ESCA</v>
      </c>
      <c r="D17026" s="1" t="s">
        <v>493</v>
      </c>
      <c r="E17026" t="s">
        <v>560</v>
      </c>
      <c r="F17026" s="1">
        <v>2</v>
      </c>
      <c r="G17026" s="1" t="s">
        <v>28</v>
      </c>
      <c r="H17026" s="4" t="str">
        <f>HYPERLINK("https://portal.gdc.cancer.gov/cases/e9aa4430-0203-413c-a8fe-bb89e95cf6a3","TCGA-2H-A9GR-01A")</f>
        <v>TCGA-2H-A9GR-01A</v>
      </c>
      <c r="I17026" t="s">
        <v>549</v>
      </c>
      <c r="J17026" t="s">
        <v>550</v>
      </c>
      <c r="K17026" t="s">
        <v>33</v>
      </c>
      <c r="L17026" t="s">
        <v>551</v>
      </c>
      <c r="N17026" t="s">
        <v>29</v>
      </c>
    </row>
    <row r="17027" spans="1:14">
      <c r="A17027" s="4" t="str">
        <f t="shared" si="1257"/>
        <v>EXP00433</v>
      </c>
      <c r="B17027" s="3" t="s">
        <v>66</v>
      </c>
      <c r="C17027" s="4" t="str">
        <f t="shared" si="1258"/>
        <v>TCGA-ESCA</v>
      </c>
      <c r="D17027" s="1" t="s">
        <v>493</v>
      </c>
      <c r="E17027" t="s">
        <v>560</v>
      </c>
      <c r="F17027" s="1">
        <v>2</v>
      </c>
      <c r="G17027" s="1" t="s">
        <v>28</v>
      </c>
      <c r="H17027" s="4" t="str">
        <f>HYPERLINK("https://portal.gdc.cancer.gov/cases/64aa95b2-ccf7-4bfa-8d4f-98de09f03e71","TCGA-IC-A6RE-01A")</f>
        <v>TCGA-IC-A6RE-01A</v>
      </c>
      <c r="I17027" t="s">
        <v>549</v>
      </c>
      <c r="J17027" t="s">
        <v>550</v>
      </c>
      <c r="K17027" t="s">
        <v>33</v>
      </c>
      <c r="L17027" t="s">
        <v>551</v>
      </c>
      <c r="N17027" t="s">
        <v>29</v>
      </c>
    </row>
    <row r="17028" spans="1:14">
      <c r="A17028" s="4" t="str">
        <f t="shared" si="1257"/>
        <v>EXP00433</v>
      </c>
      <c r="B17028" s="3" t="s">
        <v>66</v>
      </c>
      <c r="C17028" s="4" t="str">
        <f t="shared" si="1258"/>
        <v>TCGA-ESCA</v>
      </c>
      <c r="D17028" s="1" t="s">
        <v>493</v>
      </c>
      <c r="E17028" t="s">
        <v>560</v>
      </c>
      <c r="F17028" s="1">
        <v>2</v>
      </c>
      <c r="G17028" s="1" t="s">
        <v>28</v>
      </c>
      <c r="H17028" s="4" t="str">
        <f>HYPERLINK("https://portal.gdc.cancer.gov/cases/9dfddc49-1e66-4e26-9d71-40d748cca0a6","TCGA-IC-A6RF-01A")</f>
        <v>TCGA-IC-A6RF-01A</v>
      </c>
      <c r="I17028" t="s">
        <v>549</v>
      </c>
      <c r="J17028" t="s">
        <v>550</v>
      </c>
      <c r="K17028" t="s">
        <v>33</v>
      </c>
      <c r="L17028" t="s">
        <v>551</v>
      </c>
      <c r="N17028" t="s">
        <v>29</v>
      </c>
    </row>
    <row r="17029" spans="1:14">
      <c r="A17029" s="4" t="str">
        <f t="shared" si="1257"/>
        <v>EXP00433</v>
      </c>
      <c r="B17029" s="3" t="s">
        <v>66</v>
      </c>
      <c r="C17029" s="4" t="str">
        <f t="shared" si="1258"/>
        <v>TCGA-ESCA</v>
      </c>
      <c r="D17029" s="1" t="s">
        <v>493</v>
      </c>
      <c r="E17029" t="s">
        <v>560</v>
      </c>
      <c r="F17029" s="1">
        <v>2</v>
      </c>
      <c r="G17029" s="1" t="s">
        <v>28</v>
      </c>
      <c r="H17029" s="4" t="str">
        <f>HYPERLINK("https://portal.gdc.cancer.gov/cases/7bf3f18b-a013-48d2-a743-26a57fdbe4c4","TCGA-IG-A3I8-01A")</f>
        <v>TCGA-IG-A3I8-01A</v>
      </c>
      <c r="I17029" t="s">
        <v>549</v>
      </c>
      <c r="J17029" t="s">
        <v>550</v>
      </c>
      <c r="K17029" t="s">
        <v>33</v>
      </c>
      <c r="L17029" t="s">
        <v>551</v>
      </c>
      <c r="N17029" t="s">
        <v>29</v>
      </c>
    </row>
    <row r="17030" spans="1:14">
      <c r="A17030" s="4" t="str">
        <f t="shared" si="1257"/>
        <v>EXP00433</v>
      </c>
      <c r="B17030" s="3" t="s">
        <v>66</v>
      </c>
      <c r="C17030" s="4" t="str">
        <f t="shared" si="1258"/>
        <v>TCGA-ESCA</v>
      </c>
      <c r="D17030" s="1" t="s">
        <v>493</v>
      </c>
      <c r="E17030" t="s">
        <v>560</v>
      </c>
      <c r="F17030" s="1">
        <v>2</v>
      </c>
      <c r="G17030" s="1" t="s">
        <v>28</v>
      </c>
      <c r="H17030" s="4" t="str">
        <f>HYPERLINK("https://portal.gdc.cancer.gov/cases/0ac08ecf-4d70-48a4-9dfd-f44032551cb9","TCGA-IG-A3QL-01A")</f>
        <v>TCGA-IG-A3QL-01A</v>
      </c>
      <c r="I17030" t="s">
        <v>549</v>
      </c>
      <c r="J17030" t="s">
        <v>550</v>
      </c>
      <c r="K17030" t="s">
        <v>33</v>
      </c>
      <c r="L17030" t="s">
        <v>551</v>
      </c>
      <c r="N17030" t="s">
        <v>29</v>
      </c>
    </row>
    <row r="17031" spans="1:14">
      <c r="A17031" s="4" t="str">
        <f t="shared" si="1257"/>
        <v>EXP00433</v>
      </c>
      <c r="B17031" s="3" t="s">
        <v>66</v>
      </c>
      <c r="C17031" s="4" t="str">
        <f t="shared" si="1258"/>
        <v>TCGA-ESCA</v>
      </c>
      <c r="D17031" s="1" t="s">
        <v>493</v>
      </c>
      <c r="E17031" t="s">
        <v>560</v>
      </c>
      <c r="F17031" s="1">
        <v>2</v>
      </c>
      <c r="G17031" s="1" t="s">
        <v>28</v>
      </c>
      <c r="H17031" s="4" t="str">
        <f>HYPERLINK("https://portal.gdc.cancer.gov/cases/7ab6de57-d659-47f1-a70f-1b67650e99d7","TCGA-IG-A3YA-01A")</f>
        <v>TCGA-IG-A3YA-01A</v>
      </c>
      <c r="I17031" t="s">
        <v>549</v>
      </c>
      <c r="J17031" t="s">
        <v>550</v>
      </c>
      <c r="K17031" t="s">
        <v>33</v>
      </c>
      <c r="L17031" t="s">
        <v>551</v>
      </c>
      <c r="N17031" t="s">
        <v>29</v>
      </c>
    </row>
    <row r="17032" spans="1:14">
      <c r="A17032" s="4" t="str">
        <f t="shared" si="1257"/>
        <v>EXP00433</v>
      </c>
      <c r="B17032" s="3" t="s">
        <v>66</v>
      </c>
      <c r="C17032" s="4" t="str">
        <f t="shared" si="1258"/>
        <v>TCGA-ESCA</v>
      </c>
      <c r="D17032" s="1" t="s">
        <v>493</v>
      </c>
      <c r="E17032" t="s">
        <v>560</v>
      </c>
      <c r="F17032" s="1">
        <v>2</v>
      </c>
      <c r="G17032" s="1" t="s">
        <v>28</v>
      </c>
      <c r="H17032" s="4" t="str">
        <f>HYPERLINK("https://portal.gdc.cancer.gov/cases/a1a233ea-5dda-4eeb-bd92-6667e8b3ef57","TCGA-IG-A3YB-01A")</f>
        <v>TCGA-IG-A3YB-01A</v>
      </c>
      <c r="I17032" t="s">
        <v>549</v>
      </c>
      <c r="J17032" t="s">
        <v>550</v>
      </c>
      <c r="K17032" t="s">
        <v>33</v>
      </c>
      <c r="L17032" t="s">
        <v>551</v>
      </c>
      <c r="N17032" t="s">
        <v>29</v>
      </c>
    </row>
    <row r="17033" spans="1:14">
      <c r="A17033" s="4" t="str">
        <f t="shared" si="1257"/>
        <v>EXP00433</v>
      </c>
      <c r="B17033" s="3" t="s">
        <v>66</v>
      </c>
      <c r="C17033" s="4" t="str">
        <f t="shared" si="1258"/>
        <v>TCGA-ESCA</v>
      </c>
      <c r="D17033" s="1" t="s">
        <v>493</v>
      </c>
      <c r="E17033" t="s">
        <v>560</v>
      </c>
      <c r="F17033" s="1">
        <v>2</v>
      </c>
      <c r="G17033" s="1" t="s">
        <v>28</v>
      </c>
      <c r="H17033" s="4" t="str">
        <f>HYPERLINK("https://portal.gdc.cancer.gov/cases/6a05288e-d051-40a5-9f4e-864ab806a5dc","TCGA-IG-A3YC-01A")</f>
        <v>TCGA-IG-A3YC-01A</v>
      </c>
      <c r="I17033" t="s">
        <v>549</v>
      </c>
      <c r="J17033" t="s">
        <v>550</v>
      </c>
      <c r="K17033" t="s">
        <v>33</v>
      </c>
      <c r="L17033" t="s">
        <v>551</v>
      </c>
      <c r="N17033" t="s">
        <v>29</v>
      </c>
    </row>
    <row r="17034" spans="1:14">
      <c r="A17034" s="4" t="str">
        <f t="shared" si="1257"/>
        <v>EXP00433</v>
      </c>
      <c r="B17034" s="3" t="s">
        <v>66</v>
      </c>
      <c r="C17034" s="4" t="str">
        <f t="shared" si="1258"/>
        <v>TCGA-ESCA</v>
      </c>
      <c r="D17034" s="1" t="s">
        <v>493</v>
      </c>
      <c r="E17034" t="s">
        <v>560</v>
      </c>
      <c r="F17034" s="1">
        <v>2</v>
      </c>
      <c r="G17034" s="1" t="s">
        <v>28</v>
      </c>
      <c r="H17034" s="4" t="str">
        <f>HYPERLINK("https://portal.gdc.cancer.gov/cases/6594acd5-4d2a-4cc5-8cf8-4064e252c5f6","TCGA-IG-A4P3-01A")</f>
        <v>TCGA-IG-A4P3-01A</v>
      </c>
      <c r="I17034" t="s">
        <v>549</v>
      </c>
      <c r="J17034" t="s">
        <v>550</v>
      </c>
      <c r="K17034" t="s">
        <v>33</v>
      </c>
      <c r="L17034" t="s">
        <v>551</v>
      </c>
      <c r="N17034" t="s">
        <v>29</v>
      </c>
    </row>
    <row r="17035" spans="1:14">
      <c r="A17035" s="4" t="str">
        <f t="shared" si="1257"/>
        <v>EXP00433</v>
      </c>
      <c r="B17035" s="3" t="s">
        <v>66</v>
      </c>
      <c r="C17035" s="4" t="str">
        <f t="shared" si="1258"/>
        <v>TCGA-ESCA</v>
      </c>
      <c r="D17035" s="1" t="s">
        <v>493</v>
      </c>
      <c r="E17035" t="s">
        <v>560</v>
      </c>
      <c r="F17035" s="1">
        <v>2</v>
      </c>
      <c r="G17035" s="1" t="s">
        <v>28</v>
      </c>
      <c r="H17035" s="4" t="str">
        <f>HYPERLINK("https://portal.gdc.cancer.gov/cases/990c6412-6dc0-4dba-a7c1-5bcb3751b1cc","TCGA-IG-A4QS-01A")</f>
        <v>TCGA-IG-A4QS-01A</v>
      </c>
      <c r="I17035" t="s">
        <v>549</v>
      </c>
      <c r="J17035" t="s">
        <v>550</v>
      </c>
      <c r="K17035" t="s">
        <v>33</v>
      </c>
      <c r="L17035" t="s">
        <v>551</v>
      </c>
      <c r="N17035" t="s">
        <v>29</v>
      </c>
    </row>
    <row r="17036" spans="1:14">
      <c r="A17036" s="4" t="str">
        <f t="shared" si="1257"/>
        <v>EXP00433</v>
      </c>
      <c r="B17036" s="3" t="s">
        <v>66</v>
      </c>
      <c r="C17036" s="4" t="str">
        <f t="shared" si="1258"/>
        <v>TCGA-ESCA</v>
      </c>
      <c r="D17036" s="1" t="s">
        <v>493</v>
      </c>
      <c r="E17036" t="s">
        <v>560</v>
      </c>
      <c r="F17036" s="1">
        <v>2</v>
      </c>
      <c r="G17036" s="1" t="s">
        <v>28</v>
      </c>
      <c r="H17036" s="4" t="str">
        <f>HYPERLINK("https://portal.gdc.cancer.gov/cases/9e54a27f-d0fa-4a5b-91bc-13e27fed2a3d","TCGA-IG-A50L-01A")</f>
        <v>TCGA-IG-A50L-01A</v>
      </c>
      <c r="I17036" t="s">
        <v>549</v>
      </c>
      <c r="J17036" t="s">
        <v>550</v>
      </c>
      <c r="K17036" t="s">
        <v>33</v>
      </c>
      <c r="L17036" t="s">
        <v>551</v>
      </c>
      <c r="N17036" t="s">
        <v>29</v>
      </c>
    </row>
    <row r="17037" spans="1:14">
      <c r="A17037" s="4" t="str">
        <f t="shared" si="1257"/>
        <v>EXP00433</v>
      </c>
      <c r="B17037" s="3" t="s">
        <v>66</v>
      </c>
      <c r="C17037" s="4" t="str">
        <f t="shared" si="1258"/>
        <v>TCGA-ESCA</v>
      </c>
      <c r="D17037" s="1" t="s">
        <v>493</v>
      </c>
      <c r="E17037" t="s">
        <v>560</v>
      </c>
      <c r="F17037" s="1">
        <v>2</v>
      </c>
      <c r="G17037" s="1" t="s">
        <v>28</v>
      </c>
      <c r="H17037" s="4" t="str">
        <f>HYPERLINK("https://portal.gdc.cancer.gov/cases/f8dbab24-b9f4-4b8a-bfea-57856ccf6364","TCGA-IG-A51D-01A")</f>
        <v>TCGA-IG-A51D-01A</v>
      </c>
      <c r="I17037" t="s">
        <v>549</v>
      </c>
      <c r="J17037" t="s">
        <v>550</v>
      </c>
      <c r="K17037" t="s">
        <v>33</v>
      </c>
      <c r="L17037" t="s">
        <v>551</v>
      </c>
      <c r="N17037" t="s">
        <v>29</v>
      </c>
    </row>
    <row r="17038" spans="1:14">
      <c r="A17038" s="4" t="str">
        <f t="shared" si="1257"/>
        <v>EXP00433</v>
      </c>
      <c r="B17038" s="3" t="s">
        <v>66</v>
      </c>
      <c r="C17038" s="4" t="str">
        <f t="shared" si="1258"/>
        <v>TCGA-ESCA</v>
      </c>
      <c r="D17038" s="1" t="s">
        <v>493</v>
      </c>
      <c r="E17038" t="s">
        <v>560</v>
      </c>
      <c r="F17038" s="1">
        <v>2</v>
      </c>
      <c r="G17038" s="1" t="s">
        <v>28</v>
      </c>
      <c r="H17038" s="4" t="str">
        <f>HYPERLINK("https://portal.gdc.cancer.gov/cases/a4d36e09-5d8e-4006-855c-e466682b6813","TCGA-IG-A5B8-01A")</f>
        <v>TCGA-IG-A5B8-01A</v>
      </c>
      <c r="I17038" t="s">
        <v>549</v>
      </c>
      <c r="J17038" t="s">
        <v>550</v>
      </c>
      <c r="K17038" t="s">
        <v>33</v>
      </c>
      <c r="L17038" t="s">
        <v>551</v>
      </c>
      <c r="N17038" t="s">
        <v>29</v>
      </c>
    </row>
    <row r="17039" spans="1:14">
      <c r="A17039" s="4" t="str">
        <f t="shared" si="1257"/>
        <v>EXP00433</v>
      </c>
      <c r="B17039" s="3" t="s">
        <v>66</v>
      </c>
      <c r="C17039" s="4" t="str">
        <f t="shared" si="1258"/>
        <v>TCGA-ESCA</v>
      </c>
      <c r="D17039" s="1" t="s">
        <v>493</v>
      </c>
      <c r="E17039" t="s">
        <v>560</v>
      </c>
      <c r="F17039" s="1">
        <v>2</v>
      </c>
      <c r="G17039" s="1" t="s">
        <v>28</v>
      </c>
      <c r="H17039" s="4" t="str">
        <f>HYPERLINK("https://portal.gdc.cancer.gov/cases/df0125b2-5278-4ded-b3b7-9fc829fe9f63","TCGA-IG-A5S3-01A")</f>
        <v>TCGA-IG-A5S3-01A</v>
      </c>
      <c r="I17039" t="s">
        <v>549</v>
      </c>
      <c r="J17039" t="s">
        <v>550</v>
      </c>
      <c r="K17039" t="s">
        <v>33</v>
      </c>
      <c r="L17039" t="s">
        <v>551</v>
      </c>
      <c r="N17039" t="s">
        <v>29</v>
      </c>
    </row>
    <row r="17040" spans="1:14">
      <c r="A17040" s="4" t="str">
        <f t="shared" si="1257"/>
        <v>EXP00433</v>
      </c>
      <c r="B17040" s="3" t="s">
        <v>66</v>
      </c>
      <c r="C17040" s="4" t="str">
        <f t="shared" si="1258"/>
        <v>TCGA-ESCA</v>
      </c>
      <c r="D17040" s="1" t="s">
        <v>493</v>
      </c>
      <c r="E17040" t="s">
        <v>560</v>
      </c>
      <c r="F17040" s="1">
        <v>2</v>
      </c>
      <c r="G17040" s="1" t="s">
        <v>28</v>
      </c>
      <c r="H17040" s="4" t="str">
        <f>HYPERLINK("https://portal.gdc.cancer.gov/cases/5da26ba5-297a-4d04-883d-32719db3886a","TCGA-IG-A625-01A")</f>
        <v>TCGA-IG-A625-01A</v>
      </c>
      <c r="I17040" t="s">
        <v>549</v>
      </c>
      <c r="J17040" t="s">
        <v>550</v>
      </c>
      <c r="K17040" t="s">
        <v>33</v>
      </c>
      <c r="L17040" t="s">
        <v>551</v>
      </c>
      <c r="N17040" t="s">
        <v>29</v>
      </c>
    </row>
    <row r="17041" spans="1:14">
      <c r="A17041" s="4" t="str">
        <f t="shared" si="1257"/>
        <v>EXP00433</v>
      </c>
      <c r="B17041" s="3" t="s">
        <v>66</v>
      </c>
      <c r="C17041" s="4" t="str">
        <f t="shared" si="1258"/>
        <v>TCGA-ESCA</v>
      </c>
      <c r="D17041" s="1" t="s">
        <v>493</v>
      </c>
      <c r="E17041" t="s">
        <v>560</v>
      </c>
      <c r="F17041" s="1">
        <v>2</v>
      </c>
      <c r="G17041" s="1" t="s">
        <v>28</v>
      </c>
      <c r="H17041" s="4" t="str">
        <f>HYPERLINK("https://portal.gdc.cancer.gov/cases/41b6c417-1ec1-4db9-91a8-11aa4dbad05d","TCGA-IG-A6QS-01A")</f>
        <v>TCGA-IG-A6QS-01A</v>
      </c>
      <c r="I17041" t="s">
        <v>549</v>
      </c>
      <c r="J17041" t="s">
        <v>550</v>
      </c>
      <c r="K17041" t="s">
        <v>33</v>
      </c>
      <c r="L17041" t="s">
        <v>551</v>
      </c>
      <c r="N17041" t="s">
        <v>29</v>
      </c>
    </row>
    <row r="17042" spans="1:14">
      <c r="A17042" s="4" t="str">
        <f t="shared" si="1257"/>
        <v>EXP00433</v>
      </c>
      <c r="B17042" s="3" t="s">
        <v>66</v>
      </c>
      <c r="C17042" s="4" t="str">
        <f t="shared" si="1258"/>
        <v>TCGA-ESCA</v>
      </c>
      <c r="D17042" s="1" t="s">
        <v>493</v>
      </c>
      <c r="E17042" t="s">
        <v>560</v>
      </c>
      <c r="F17042" s="1">
        <v>2</v>
      </c>
      <c r="G17042" s="1" t="s">
        <v>28</v>
      </c>
      <c r="H17042" s="4" t="str">
        <f>HYPERLINK("https://portal.gdc.cancer.gov/cases/41b3dd5a-6413-40f5-9721-78cb218567b7","TCGA-IG-A7DP-01A")</f>
        <v>TCGA-IG-A7DP-01A</v>
      </c>
      <c r="I17042" t="s">
        <v>549</v>
      </c>
      <c r="J17042" t="s">
        <v>550</v>
      </c>
      <c r="K17042" t="s">
        <v>33</v>
      </c>
      <c r="L17042" t="s">
        <v>551</v>
      </c>
      <c r="N17042" t="s">
        <v>29</v>
      </c>
    </row>
    <row r="17043" spans="1:14">
      <c r="A17043" s="4" t="str">
        <f t="shared" si="1257"/>
        <v>EXP00433</v>
      </c>
      <c r="B17043" s="3" t="s">
        <v>66</v>
      </c>
      <c r="C17043" s="4" t="str">
        <f t="shared" si="1258"/>
        <v>TCGA-ESCA</v>
      </c>
      <c r="D17043" s="1" t="s">
        <v>493</v>
      </c>
      <c r="E17043" t="s">
        <v>560</v>
      </c>
      <c r="F17043" s="1">
        <v>2</v>
      </c>
      <c r="G17043" s="1" t="s">
        <v>28</v>
      </c>
      <c r="H17043" s="4" t="str">
        <f>HYPERLINK("https://portal.gdc.cancer.gov/cases/a248bfe7-59af-43ec-8129-692f44b2b218","TCGA-IG-A8O2-01A")</f>
        <v>TCGA-IG-A8O2-01A</v>
      </c>
      <c r="I17043" t="s">
        <v>549</v>
      </c>
      <c r="J17043" t="s">
        <v>550</v>
      </c>
      <c r="K17043" t="s">
        <v>33</v>
      </c>
      <c r="L17043" t="s">
        <v>551</v>
      </c>
      <c r="N17043" t="s">
        <v>29</v>
      </c>
    </row>
    <row r="17044" spans="1:14">
      <c r="A17044" s="4" t="str">
        <f t="shared" si="1257"/>
        <v>EXP00433</v>
      </c>
      <c r="B17044" s="3" t="s">
        <v>66</v>
      </c>
      <c r="C17044" s="4" t="str">
        <f t="shared" si="1258"/>
        <v>TCGA-ESCA</v>
      </c>
      <c r="D17044" s="1" t="s">
        <v>493</v>
      </c>
      <c r="E17044" t="s">
        <v>560</v>
      </c>
      <c r="F17044" s="1">
        <v>2</v>
      </c>
      <c r="G17044" s="1" t="s">
        <v>28</v>
      </c>
      <c r="H17044" s="4" t="str">
        <f>HYPERLINK("https://portal.gdc.cancer.gov/cases/5e491131-b567-4e96-a2d3-69ce16caec50","TCGA-IG-A97H-01A")</f>
        <v>TCGA-IG-A97H-01A</v>
      </c>
      <c r="I17044" t="s">
        <v>549</v>
      </c>
      <c r="J17044" t="s">
        <v>550</v>
      </c>
      <c r="K17044" t="s">
        <v>33</v>
      </c>
      <c r="L17044" t="s">
        <v>551</v>
      </c>
      <c r="N17044" t="s">
        <v>29</v>
      </c>
    </row>
    <row r="17045" spans="1:14">
      <c r="A17045" s="4" t="str">
        <f t="shared" si="1257"/>
        <v>EXP00433</v>
      </c>
      <c r="B17045" s="3" t="s">
        <v>66</v>
      </c>
      <c r="C17045" s="4" t="str">
        <f t="shared" si="1258"/>
        <v>TCGA-ESCA</v>
      </c>
      <c r="D17045" s="1" t="s">
        <v>493</v>
      </c>
      <c r="E17045" t="s">
        <v>560</v>
      </c>
      <c r="F17045" s="1">
        <v>2</v>
      </c>
      <c r="G17045" s="1" t="s">
        <v>28</v>
      </c>
      <c r="H17045" s="4" t="str">
        <f>HYPERLINK("https://portal.gdc.cancer.gov/cases/7aa71c68-4205-4745-838b-0d00bd49a501","TCGA-IG-A97I-01A")</f>
        <v>TCGA-IG-A97I-01A</v>
      </c>
      <c r="I17045" t="s">
        <v>549</v>
      </c>
      <c r="J17045" t="s">
        <v>550</v>
      </c>
      <c r="K17045" t="s">
        <v>33</v>
      </c>
      <c r="L17045" t="s">
        <v>551</v>
      </c>
      <c r="N17045" t="s">
        <v>29</v>
      </c>
    </row>
    <row r="17046" spans="1:14">
      <c r="A17046" s="4" t="str">
        <f t="shared" si="1257"/>
        <v>EXP00433</v>
      </c>
      <c r="B17046" s="3" t="s">
        <v>66</v>
      </c>
      <c r="C17046" s="4" t="str">
        <f t="shared" si="1258"/>
        <v>TCGA-ESCA</v>
      </c>
      <c r="D17046" s="1" t="s">
        <v>493</v>
      </c>
      <c r="E17046" t="s">
        <v>560</v>
      </c>
      <c r="F17046" s="1">
        <v>2</v>
      </c>
      <c r="G17046" s="1" t="s">
        <v>28</v>
      </c>
      <c r="H17046" s="4" t="str">
        <f>HYPERLINK("https://portal.gdc.cancer.gov/cases/c17331fb-c47b-40b5-8d39-9803ee37a42a","TCGA-JY-A6FB-01A")</f>
        <v>TCGA-JY-A6FB-01A</v>
      </c>
      <c r="I17046" t="s">
        <v>549</v>
      </c>
      <c r="J17046" t="s">
        <v>550</v>
      </c>
      <c r="K17046" t="s">
        <v>33</v>
      </c>
      <c r="L17046" t="s">
        <v>551</v>
      </c>
      <c r="N17046" t="s">
        <v>29</v>
      </c>
    </row>
    <row r="17047" spans="1:14">
      <c r="A17047" s="4" t="str">
        <f t="shared" ref="A17047:A17078" si="1259">HYPERLINK("http://hcmdb.i-sanger.com/experiment/details/experiment_id/EXP00433","EXP00433")</f>
        <v>EXP00433</v>
      </c>
      <c r="B17047" s="3" t="s">
        <v>66</v>
      </c>
      <c r="C17047" s="4" t="str">
        <f t="shared" si="1258"/>
        <v>TCGA-ESCA</v>
      </c>
      <c r="D17047" s="1" t="s">
        <v>493</v>
      </c>
      <c r="E17047" t="s">
        <v>560</v>
      </c>
      <c r="F17047" s="1">
        <v>2</v>
      </c>
      <c r="G17047" s="1" t="s">
        <v>28</v>
      </c>
      <c r="H17047" s="4" t="str">
        <f>HYPERLINK("https://portal.gdc.cancer.gov/cases/0396743b-98a6-4ad5-aa13-1b9b23e5b9f9","TCGA-JY-A6FD-01A")</f>
        <v>TCGA-JY-A6FD-01A</v>
      </c>
      <c r="I17047" t="s">
        <v>549</v>
      </c>
      <c r="J17047" t="s">
        <v>550</v>
      </c>
      <c r="K17047" t="s">
        <v>33</v>
      </c>
      <c r="L17047" t="s">
        <v>551</v>
      </c>
      <c r="N17047" t="s">
        <v>29</v>
      </c>
    </row>
    <row r="17048" spans="1:14">
      <c r="A17048" s="4" t="str">
        <f t="shared" si="1259"/>
        <v>EXP00433</v>
      </c>
      <c r="B17048" s="3" t="s">
        <v>66</v>
      </c>
      <c r="C17048" s="4" t="str">
        <f t="shared" si="1258"/>
        <v>TCGA-ESCA</v>
      </c>
      <c r="D17048" s="1" t="s">
        <v>493</v>
      </c>
      <c r="E17048" t="s">
        <v>560</v>
      </c>
      <c r="F17048" s="1">
        <v>2</v>
      </c>
      <c r="G17048" s="1" t="s">
        <v>28</v>
      </c>
      <c r="H17048" s="4" t="str">
        <f>HYPERLINK("https://portal.gdc.cancer.gov/cases/517738f6-ba1c-43b0-8d68-81a7c34118ea","TCGA-JY-A6FG-01A")</f>
        <v>TCGA-JY-A6FG-01A</v>
      </c>
      <c r="I17048" t="s">
        <v>549</v>
      </c>
      <c r="J17048" t="s">
        <v>550</v>
      </c>
      <c r="K17048" t="s">
        <v>33</v>
      </c>
      <c r="L17048" t="s">
        <v>551</v>
      </c>
      <c r="N17048" t="s">
        <v>29</v>
      </c>
    </row>
    <row r="17049" spans="1:14">
      <c r="A17049" s="4" t="str">
        <f t="shared" si="1259"/>
        <v>EXP00433</v>
      </c>
      <c r="B17049" s="3" t="s">
        <v>66</v>
      </c>
      <c r="C17049" s="4" t="str">
        <f t="shared" si="1258"/>
        <v>TCGA-ESCA</v>
      </c>
      <c r="D17049" s="1" t="s">
        <v>493</v>
      </c>
      <c r="E17049" t="s">
        <v>560</v>
      </c>
      <c r="F17049" s="1">
        <v>2</v>
      </c>
      <c r="G17049" s="1" t="s">
        <v>28</v>
      </c>
      <c r="H17049" s="4" t="str">
        <f>HYPERLINK("https://portal.gdc.cancer.gov/cases/0ee03772-f38c-43c1-8484-3c4cb8459468","TCGA-JY-A939-01A")</f>
        <v>TCGA-JY-A939-01A</v>
      </c>
      <c r="I17049" t="s">
        <v>549</v>
      </c>
      <c r="J17049" t="s">
        <v>550</v>
      </c>
      <c r="K17049" t="s">
        <v>33</v>
      </c>
      <c r="L17049" t="s">
        <v>551</v>
      </c>
      <c r="N17049" t="s">
        <v>29</v>
      </c>
    </row>
    <row r="17050" spans="1:14">
      <c r="A17050" s="4" t="str">
        <f t="shared" si="1259"/>
        <v>EXP00433</v>
      </c>
      <c r="B17050" s="3" t="s">
        <v>66</v>
      </c>
      <c r="C17050" s="4" t="str">
        <f t="shared" si="1258"/>
        <v>TCGA-ESCA</v>
      </c>
      <c r="D17050" s="1" t="s">
        <v>493</v>
      </c>
      <c r="E17050" t="s">
        <v>560</v>
      </c>
      <c r="F17050" s="1">
        <v>2</v>
      </c>
      <c r="G17050" s="1" t="s">
        <v>28</v>
      </c>
      <c r="H17050" s="4" t="str">
        <f>HYPERLINK("https://portal.gdc.cancer.gov/cases/bcab5381-c037-4723-904e-d01ea386b61e","TCGA-JY-A93C-01A")</f>
        <v>TCGA-JY-A93C-01A</v>
      </c>
      <c r="I17050" t="s">
        <v>549</v>
      </c>
      <c r="J17050" t="s">
        <v>550</v>
      </c>
      <c r="K17050" t="s">
        <v>33</v>
      </c>
      <c r="L17050" t="s">
        <v>551</v>
      </c>
      <c r="N17050" t="s">
        <v>29</v>
      </c>
    </row>
    <row r="17051" spans="1:14">
      <c r="A17051" s="4" t="str">
        <f t="shared" si="1259"/>
        <v>EXP00433</v>
      </c>
      <c r="B17051" s="3" t="s">
        <v>66</v>
      </c>
      <c r="C17051" s="4" t="str">
        <f t="shared" si="1258"/>
        <v>TCGA-ESCA</v>
      </c>
      <c r="D17051" s="1" t="s">
        <v>493</v>
      </c>
      <c r="E17051" t="s">
        <v>560</v>
      </c>
      <c r="F17051" s="1">
        <v>2</v>
      </c>
      <c r="G17051" s="1" t="s">
        <v>28</v>
      </c>
      <c r="H17051" s="4" t="str">
        <f>HYPERLINK("https://portal.gdc.cancer.gov/cases/7cd5ace2-d340-487e-beb2-1b576f6d751d","TCGA-JY-A93D-01A")</f>
        <v>TCGA-JY-A93D-01A</v>
      </c>
      <c r="I17051" t="s">
        <v>549</v>
      </c>
      <c r="J17051" t="s">
        <v>550</v>
      </c>
      <c r="K17051" t="s">
        <v>33</v>
      </c>
      <c r="L17051" t="s">
        <v>551</v>
      </c>
      <c r="N17051" t="s">
        <v>29</v>
      </c>
    </row>
    <row r="17052" spans="1:14">
      <c r="A17052" s="4" t="str">
        <f t="shared" si="1259"/>
        <v>EXP00433</v>
      </c>
      <c r="B17052" s="3" t="s">
        <v>66</v>
      </c>
      <c r="C17052" s="4" t="str">
        <f t="shared" si="1258"/>
        <v>TCGA-ESCA</v>
      </c>
      <c r="D17052" s="1" t="s">
        <v>493</v>
      </c>
      <c r="E17052" t="s">
        <v>560</v>
      </c>
      <c r="F17052" s="1">
        <v>2</v>
      </c>
      <c r="G17052" s="1" t="s">
        <v>28</v>
      </c>
      <c r="H17052" s="4" t="str">
        <f>HYPERLINK("https://portal.gdc.cancer.gov/cases/50f15b12-4dc4-403f-94b0-9d121306ee30","TCGA-JY-A93E-01A")</f>
        <v>TCGA-JY-A93E-01A</v>
      </c>
      <c r="I17052" t="s">
        <v>549</v>
      </c>
      <c r="J17052" t="s">
        <v>550</v>
      </c>
      <c r="K17052" t="s">
        <v>33</v>
      </c>
      <c r="L17052" t="s">
        <v>551</v>
      </c>
      <c r="N17052" t="s">
        <v>29</v>
      </c>
    </row>
    <row r="17053" spans="1:14">
      <c r="A17053" s="4" t="str">
        <f t="shared" si="1259"/>
        <v>EXP00433</v>
      </c>
      <c r="B17053" s="3" t="s">
        <v>66</v>
      </c>
      <c r="C17053" s="4" t="str">
        <f t="shared" si="1258"/>
        <v>TCGA-ESCA</v>
      </c>
      <c r="D17053" s="1" t="s">
        <v>493</v>
      </c>
      <c r="E17053" t="s">
        <v>560</v>
      </c>
      <c r="F17053" s="1">
        <v>2</v>
      </c>
      <c r="G17053" s="1" t="s">
        <v>28</v>
      </c>
      <c r="H17053" s="4" t="str">
        <f>HYPERLINK("https://portal.gdc.cancer.gov/cases/a6bbfc3c-bd42-47f8-af01-99fa821ea176","TCGA-JY-A93F-01A")</f>
        <v>TCGA-JY-A93F-01A</v>
      </c>
      <c r="I17053" t="s">
        <v>549</v>
      </c>
      <c r="J17053" t="s">
        <v>550</v>
      </c>
      <c r="K17053" t="s">
        <v>33</v>
      </c>
      <c r="L17053" t="s">
        <v>551</v>
      </c>
      <c r="N17053" t="s">
        <v>29</v>
      </c>
    </row>
    <row r="17054" spans="1:14">
      <c r="A17054" s="4" t="str">
        <f t="shared" si="1259"/>
        <v>EXP00433</v>
      </c>
      <c r="B17054" s="3" t="s">
        <v>66</v>
      </c>
      <c r="C17054" s="4" t="str">
        <f t="shared" si="1258"/>
        <v>TCGA-ESCA</v>
      </c>
      <c r="D17054" s="1" t="s">
        <v>493</v>
      </c>
      <c r="E17054" t="s">
        <v>560</v>
      </c>
      <c r="F17054" s="1">
        <v>2</v>
      </c>
      <c r="G17054" s="1" t="s">
        <v>28</v>
      </c>
      <c r="H17054" s="4" t="str">
        <f>HYPERLINK("https://portal.gdc.cancer.gov/cases/ef573329-9659-4106-b391-9a33e1c732c4","TCGA-KH-A6WC-01A")</f>
        <v>TCGA-KH-A6WC-01A</v>
      </c>
      <c r="I17054" t="s">
        <v>549</v>
      </c>
      <c r="J17054" t="s">
        <v>550</v>
      </c>
      <c r="K17054" t="s">
        <v>33</v>
      </c>
      <c r="L17054" t="s">
        <v>551</v>
      </c>
      <c r="N17054" t="s">
        <v>29</v>
      </c>
    </row>
    <row r="17055" spans="1:14">
      <c r="A17055" s="4" t="str">
        <f t="shared" si="1259"/>
        <v>EXP00433</v>
      </c>
      <c r="B17055" s="3" t="s">
        <v>66</v>
      </c>
      <c r="C17055" s="4" t="str">
        <f t="shared" si="1258"/>
        <v>TCGA-ESCA</v>
      </c>
      <c r="D17055" s="1" t="s">
        <v>493</v>
      </c>
      <c r="E17055" t="s">
        <v>560</v>
      </c>
      <c r="F17055" s="1">
        <v>2</v>
      </c>
      <c r="G17055" s="1" t="s">
        <v>28</v>
      </c>
      <c r="H17055" s="4" t="str">
        <f>HYPERLINK("https://portal.gdc.cancer.gov/cases/a935daeb-1efd-4113-a614-a5e4d446c72b","TCGA-L5-A43C-01A")</f>
        <v>TCGA-L5-A43C-01A</v>
      </c>
      <c r="I17055" t="s">
        <v>549</v>
      </c>
      <c r="J17055" t="s">
        <v>550</v>
      </c>
      <c r="K17055" t="s">
        <v>33</v>
      </c>
      <c r="L17055" t="s">
        <v>551</v>
      </c>
      <c r="N17055" t="s">
        <v>29</v>
      </c>
    </row>
    <row r="17056" spans="1:14">
      <c r="A17056" s="4" t="str">
        <f t="shared" si="1259"/>
        <v>EXP00433</v>
      </c>
      <c r="B17056" s="3" t="s">
        <v>66</v>
      </c>
      <c r="C17056" s="4" t="str">
        <f t="shared" si="1258"/>
        <v>TCGA-ESCA</v>
      </c>
      <c r="D17056" s="1" t="s">
        <v>493</v>
      </c>
      <c r="E17056" t="s">
        <v>560</v>
      </c>
      <c r="F17056" s="1">
        <v>2</v>
      </c>
      <c r="G17056" s="1" t="s">
        <v>28</v>
      </c>
      <c r="H17056" s="4" t="str">
        <f>HYPERLINK("https://portal.gdc.cancer.gov/cases/6969fe5a-5993-48e5-95c5-c5c7d3d08205","TCGA-L5-A43E-01A")</f>
        <v>TCGA-L5-A43E-01A</v>
      </c>
      <c r="I17056" t="s">
        <v>549</v>
      </c>
      <c r="J17056" t="s">
        <v>550</v>
      </c>
      <c r="K17056" t="s">
        <v>33</v>
      </c>
      <c r="L17056" t="s">
        <v>551</v>
      </c>
      <c r="N17056" t="s">
        <v>29</v>
      </c>
    </row>
    <row r="17057" spans="1:14">
      <c r="A17057" s="4" t="str">
        <f t="shared" si="1259"/>
        <v>EXP00433</v>
      </c>
      <c r="B17057" s="3" t="s">
        <v>66</v>
      </c>
      <c r="C17057" s="4" t="str">
        <f t="shared" si="1258"/>
        <v>TCGA-ESCA</v>
      </c>
      <c r="D17057" s="1" t="s">
        <v>493</v>
      </c>
      <c r="E17057" t="s">
        <v>560</v>
      </c>
      <c r="F17057" s="1">
        <v>2</v>
      </c>
      <c r="G17057" s="1" t="s">
        <v>28</v>
      </c>
      <c r="H17057" s="4" t="str">
        <f>HYPERLINK("https://portal.gdc.cancer.gov/cases/0a466142-c513-4257-85d4-4bd7cfd0ef29","TCGA-L5-A4OE-01A")</f>
        <v>TCGA-L5-A4OE-01A</v>
      </c>
      <c r="I17057" t="s">
        <v>549</v>
      </c>
      <c r="J17057" t="s">
        <v>550</v>
      </c>
      <c r="K17057" t="s">
        <v>33</v>
      </c>
      <c r="L17057" t="s">
        <v>551</v>
      </c>
      <c r="N17057" t="s">
        <v>29</v>
      </c>
    </row>
    <row r="17058" spans="1:14">
      <c r="A17058" s="4" t="str">
        <f t="shared" si="1259"/>
        <v>EXP00433</v>
      </c>
      <c r="B17058" s="3" t="s">
        <v>66</v>
      </c>
      <c r="C17058" s="4" t="str">
        <f t="shared" si="1258"/>
        <v>TCGA-ESCA</v>
      </c>
      <c r="D17058" s="1" t="s">
        <v>493</v>
      </c>
      <c r="E17058" t="s">
        <v>560</v>
      </c>
      <c r="F17058" s="1">
        <v>2</v>
      </c>
      <c r="G17058" s="1" t="s">
        <v>28</v>
      </c>
      <c r="H17058" s="4" t="str">
        <f>HYPERLINK("https://portal.gdc.cancer.gov/cases/eb4ad376-4cc1-4d2c-9b93-ad2b082c77c4","TCGA-L5-A4OG-01A")</f>
        <v>TCGA-L5-A4OG-01A</v>
      </c>
      <c r="I17058" t="s">
        <v>549</v>
      </c>
      <c r="J17058" t="s">
        <v>550</v>
      </c>
      <c r="K17058" t="s">
        <v>33</v>
      </c>
      <c r="L17058" t="s">
        <v>551</v>
      </c>
      <c r="N17058" t="s">
        <v>29</v>
      </c>
    </row>
    <row r="17059" spans="1:14">
      <c r="A17059" s="4" t="str">
        <f t="shared" si="1259"/>
        <v>EXP00433</v>
      </c>
      <c r="B17059" s="3" t="s">
        <v>66</v>
      </c>
      <c r="C17059" s="4" t="str">
        <f t="shared" si="1258"/>
        <v>TCGA-ESCA</v>
      </c>
      <c r="D17059" s="1" t="s">
        <v>493</v>
      </c>
      <c r="E17059" t="s">
        <v>560</v>
      </c>
      <c r="F17059" s="1">
        <v>2</v>
      </c>
      <c r="G17059" s="1" t="s">
        <v>28</v>
      </c>
      <c r="H17059" s="4" t="str">
        <f>HYPERLINK("https://portal.gdc.cancer.gov/cases/3fa7fc16-49da-4bf6-90c4-74df5cf68b65","TCGA-L5-A4OH-01A")</f>
        <v>TCGA-L5-A4OH-01A</v>
      </c>
      <c r="I17059" t="s">
        <v>549</v>
      </c>
      <c r="J17059" t="s">
        <v>550</v>
      </c>
      <c r="K17059" t="s">
        <v>33</v>
      </c>
      <c r="L17059" t="s">
        <v>551</v>
      </c>
      <c r="N17059" t="s">
        <v>29</v>
      </c>
    </row>
    <row r="17060" spans="1:14">
      <c r="A17060" s="4" t="str">
        <f t="shared" si="1259"/>
        <v>EXP00433</v>
      </c>
      <c r="B17060" s="3" t="s">
        <v>66</v>
      </c>
      <c r="C17060" s="4" t="str">
        <f t="shared" si="1258"/>
        <v>TCGA-ESCA</v>
      </c>
      <c r="D17060" s="1" t="s">
        <v>493</v>
      </c>
      <c r="E17060" t="s">
        <v>560</v>
      </c>
      <c r="F17060" s="1">
        <v>2</v>
      </c>
      <c r="G17060" s="1" t="s">
        <v>28</v>
      </c>
      <c r="H17060" s="4" t="str">
        <f>HYPERLINK("https://portal.gdc.cancer.gov/cases/cb2af13b-cbed-4657-8fd4-fed8db375cba","TCGA-L5-A4OI-01A")</f>
        <v>TCGA-L5-A4OI-01A</v>
      </c>
      <c r="I17060" t="s">
        <v>549</v>
      </c>
      <c r="J17060" t="s">
        <v>550</v>
      </c>
      <c r="K17060" t="s">
        <v>33</v>
      </c>
      <c r="L17060" t="s">
        <v>551</v>
      </c>
      <c r="N17060" t="s">
        <v>29</v>
      </c>
    </row>
    <row r="17061" spans="1:14">
      <c r="A17061" s="4" t="str">
        <f t="shared" si="1259"/>
        <v>EXP00433</v>
      </c>
      <c r="B17061" s="3" t="s">
        <v>66</v>
      </c>
      <c r="C17061" s="4" t="str">
        <f t="shared" si="1258"/>
        <v>TCGA-ESCA</v>
      </c>
      <c r="D17061" s="1" t="s">
        <v>493</v>
      </c>
      <c r="E17061" t="s">
        <v>560</v>
      </c>
      <c r="F17061" s="1">
        <v>2</v>
      </c>
      <c r="G17061" s="1" t="s">
        <v>28</v>
      </c>
      <c r="H17061" s="4" t="str">
        <f>HYPERLINK("https://portal.gdc.cancer.gov/cases/cb419344-6148-43d4-b549-570bd09b3e05","TCGA-L5-A4OJ-01A")</f>
        <v>TCGA-L5-A4OJ-01A</v>
      </c>
      <c r="I17061" t="s">
        <v>549</v>
      </c>
      <c r="J17061" t="s">
        <v>550</v>
      </c>
      <c r="K17061" t="s">
        <v>33</v>
      </c>
      <c r="L17061" t="s">
        <v>551</v>
      </c>
      <c r="N17061" t="s">
        <v>29</v>
      </c>
    </row>
    <row r="17062" spans="1:14">
      <c r="A17062" s="4" t="str">
        <f t="shared" si="1259"/>
        <v>EXP00433</v>
      </c>
      <c r="B17062" s="3" t="s">
        <v>66</v>
      </c>
      <c r="C17062" s="4" t="str">
        <f t="shared" si="1258"/>
        <v>TCGA-ESCA</v>
      </c>
      <c r="D17062" s="1" t="s">
        <v>493</v>
      </c>
      <c r="E17062" t="s">
        <v>560</v>
      </c>
      <c r="F17062" s="1">
        <v>2</v>
      </c>
      <c r="G17062" s="1" t="s">
        <v>28</v>
      </c>
      <c r="H17062" s="4" t="str">
        <f>HYPERLINK("https://portal.gdc.cancer.gov/cases/1a578ae7-5c0b-48ef-8baf-7189df703a93","TCGA-L5-A4OM-01A")</f>
        <v>TCGA-L5-A4OM-01A</v>
      </c>
      <c r="I17062" t="s">
        <v>549</v>
      </c>
      <c r="J17062" t="s">
        <v>550</v>
      </c>
      <c r="K17062" t="s">
        <v>33</v>
      </c>
      <c r="L17062" t="s">
        <v>551</v>
      </c>
      <c r="N17062" t="s">
        <v>29</v>
      </c>
    </row>
    <row r="17063" spans="1:14">
      <c r="A17063" s="4" t="str">
        <f t="shared" si="1259"/>
        <v>EXP00433</v>
      </c>
      <c r="B17063" s="3" t="s">
        <v>66</v>
      </c>
      <c r="C17063" s="4" t="str">
        <f t="shared" si="1258"/>
        <v>TCGA-ESCA</v>
      </c>
      <c r="D17063" s="1" t="s">
        <v>493</v>
      </c>
      <c r="E17063" t="s">
        <v>560</v>
      </c>
      <c r="F17063" s="1">
        <v>2</v>
      </c>
      <c r="G17063" s="1" t="s">
        <v>28</v>
      </c>
      <c r="H17063" s="4" t="str">
        <f>HYPERLINK("https://portal.gdc.cancer.gov/cases/caba34f2-3877-48ca-9fbc-665c3960f574","TCGA-L5-A4ON-01A")</f>
        <v>TCGA-L5-A4ON-01A</v>
      </c>
      <c r="I17063" t="s">
        <v>549</v>
      </c>
      <c r="J17063" t="s">
        <v>550</v>
      </c>
      <c r="K17063" t="s">
        <v>33</v>
      </c>
      <c r="L17063" t="s">
        <v>551</v>
      </c>
      <c r="N17063" t="s">
        <v>29</v>
      </c>
    </row>
    <row r="17064" spans="1:14">
      <c r="A17064" s="4" t="str">
        <f t="shared" si="1259"/>
        <v>EXP00433</v>
      </c>
      <c r="B17064" s="3" t="s">
        <v>66</v>
      </c>
      <c r="C17064" s="4" t="str">
        <f t="shared" si="1258"/>
        <v>TCGA-ESCA</v>
      </c>
      <c r="D17064" s="1" t="s">
        <v>493</v>
      </c>
      <c r="E17064" t="s">
        <v>560</v>
      </c>
      <c r="F17064" s="1">
        <v>2</v>
      </c>
      <c r="G17064" s="1" t="s">
        <v>28</v>
      </c>
      <c r="H17064" s="4" t="str">
        <f>HYPERLINK("https://portal.gdc.cancer.gov/cases/53990b20-16bd-4792-a4ca-4fd411c841f4","TCGA-L5-A4OO-01A")</f>
        <v>TCGA-L5-A4OO-01A</v>
      </c>
      <c r="I17064" t="s">
        <v>549</v>
      </c>
      <c r="J17064" t="s">
        <v>550</v>
      </c>
      <c r="K17064" t="s">
        <v>33</v>
      </c>
      <c r="L17064" t="s">
        <v>551</v>
      </c>
      <c r="N17064" t="s">
        <v>29</v>
      </c>
    </row>
    <row r="17065" spans="1:14">
      <c r="A17065" s="4" t="str">
        <f t="shared" si="1259"/>
        <v>EXP00433</v>
      </c>
      <c r="B17065" s="3" t="s">
        <v>66</v>
      </c>
      <c r="C17065" s="4" t="str">
        <f t="shared" si="1258"/>
        <v>TCGA-ESCA</v>
      </c>
      <c r="D17065" s="1" t="s">
        <v>493</v>
      </c>
      <c r="E17065" t="s">
        <v>560</v>
      </c>
      <c r="F17065" s="1">
        <v>2</v>
      </c>
      <c r="G17065" s="1" t="s">
        <v>28</v>
      </c>
      <c r="H17065" s="4" t="str">
        <f>HYPERLINK("https://portal.gdc.cancer.gov/cases/97031483-1185-41d6-9722-0a03b63caa19","TCGA-L5-A4OP-01A")</f>
        <v>TCGA-L5-A4OP-01A</v>
      </c>
      <c r="I17065" t="s">
        <v>549</v>
      </c>
      <c r="J17065" t="s">
        <v>550</v>
      </c>
      <c r="K17065" t="s">
        <v>33</v>
      </c>
      <c r="L17065" t="s">
        <v>551</v>
      </c>
      <c r="N17065" t="s">
        <v>29</v>
      </c>
    </row>
    <row r="17066" spans="1:14">
      <c r="A17066" s="4" t="str">
        <f t="shared" si="1259"/>
        <v>EXP00433</v>
      </c>
      <c r="B17066" s="3" t="s">
        <v>66</v>
      </c>
      <c r="C17066" s="4" t="str">
        <f t="shared" si="1258"/>
        <v>TCGA-ESCA</v>
      </c>
      <c r="D17066" s="1" t="s">
        <v>493</v>
      </c>
      <c r="E17066" t="s">
        <v>560</v>
      </c>
      <c r="F17066" s="1">
        <v>2</v>
      </c>
      <c r="G17066" s="1" t="s">
        <v>28</v>
      </c>
      <c r="H17066" s="4" t="str">
        <f>HYPERLINK("https://portal.gdc.cancer.gov/cases/d5ac647f-0c6d-40d7-87a8-faa1cc968c82","TCGA-L5-A4OS-01A")</f>
        <v>TCGA-L5-A4OS-01A</v>
      </c>
      <c r="I17066" t="s">
        <v>549</v>
      </c>
      <c r="J17066" t="s">
        <v>550</v>
      </c>
      <c r="K17066" t="s">
        <v>33</v>
      </c>
      <c r="L17066" t="s">
        <v>551</v>
      </c>
      <c r="N17066" t="s">
        <v>29</v>
      </c>
    </row>
    <row r="17067" spans="1:14">
      <c r="A17067" s="4" t="str">
        <f t="shared" si="1259"/>
        <v>EXP00433</v>
      </c>
      <c r="B17067" s="3" t="s">
        <v>66</v>
      </c>
      <c r="C17067" s="4" t="str">
        <f t="shared" si="1258"/>
        <v>TCGA-ESCA</v>
      </c>
      <c r="D17067" s="1" t="s">
        <v>493</v>
      </c>
      <c r="E17067" t="s">
        <v>560</v>
      </c>
      <c r="F17067" s="1">
        <v>2</v>
      </c>
      <c r="G17067" s="1" t="s">
        <v>28</v>
      </c>
      <c r="H17067" s="4" t="str">
        <f>HYPERLINK("https://portal.gdc.cancer.gov/cases/9559f579-5d9a-4c96-9836-8a039d394795","TCGA-L5-A4OT-01A")</f>
        <v>TCGA-L5-A4OT-01A</v>
      </c>
      <c r="I17067" t="s">
        <v>549</v>
      </c>
      <c r="J17067" t="s">
        <v>550</v>
      </c>
      <c r="K17067" t="s">
        <v>33</v>
      </c>
      <c r="L17067" t="s">
        <v>551</v>
      </c>
      <c r="N17067" t="s">
        <v>29</v>
      </c>
    </row>
    <row r="17068" spans="1:14">
      <c r="A17068" s="4" t="str">
        <f t="shared" si="1259"/>
        <v>EXP00433</v>
      </c>
      <c r="B17068" s="3" t="s">
        <v>66</v>
      </c>
      <c r="C17068" s="4" t="str">
        <f t="shared" si="1258"/>
        <v>TCGA-ESCA</v>
      </c>
      <c r="D17068" s="1" t="s">
        <v>493</v>
      </c>
      <c r="E17068" t="s">
        <v>560</v>
      </c>
      <c r="F17068" s="1">
        <v>2</v>
      </c>
      <c r="G17068" s="1" t="s">
        <v>28</v>
      </c>
      <c r="H17068" s="4" t="str">
        <f>HYPERLINK("https://portal.gdc.cancer.gov/cases/ae6c307a-ca04-4618-b270-e8641afd1daa","TCGA-L5-A4OU-01A")</f>
        <v>TCGA-L5-A4OU-01A</v>
      </c>
      <c r="I17068" t="s">
        <v>549</v>
      </c>
      <c r="J17068" t="s">
        <v>550</v>
      </c>
      <c r="K17068" t="s">
        <v>33</v>
      </c>
      <c r="L17068" t="s">
        <v>551</v>
      </c>
      <c r="N17068" t="s">
        <v>29</v>
      </c>
    </row>
    <row r="17069" spans="1:14">
      <c r="A17069" s="4" t="str">
        <f t="shared" si="1259"/>
        <v>EXP00433</v>
      </c>
      <c r="B17069" s="3" t="s">
        <v>66</v>
      </c>
      <c r="C17069" s="4" t="str">
        <f t="shared" si="1258"/>
        <v>TCGA-ESCA</v>
      </c>
      <c r="D17069" s="1" t="s">
        <v>493</v>
      </c>
      <c r="E17069" t="s">
        <v>560</v>
      </c>
      <c r="F17069" s="1">
        <v>2</v>
      </c>
      <c r="G17069" s="1" t="s">
        <v>28</v>
      </c>
      <c r="H17069" s="4" t="str">
        <f>HYPERLINK("https://portal.gdc.cancer.gov/cases/10724958-d007-44fc-ada2-d5874614ddba","TCGA-L5-A4OW-01A")</f>
        <v>TCGA-L5-A4OW-01A</v>
      </c>
      <c r="I17069" t="s">
        <v>549</v>
      </c>
      <c r="J17069" t="s">
        <v>550</v>
      </c>
      <c r="K17069" t="s">
        <v>33</v>
      </c>
      <c r="L17069" t="s">
        <v>551</v>
      </c>
      <c r="N17069" t="s">
        <v>29</v>
      </c>
    </row>
    <row r="17070" spans="1:14">
      <c r="A17070" s="4" t="str">
        <f t="shared" si="1259"/>
        <v>EXP00433</v>
      </c>
      <c r="B17070" s="3" t="s">
        <v>66</v>
      </c>
      <c r="C17070" s="4" t="str">
        <f t="shared" si="1258"/>
        <v>TCGA-ESCA</v>
      </c>
      <c r="D17070" s="1" t="s">
        <v>493</v>
      </c>
      <c r="E17070" t="s">
        <v>560</v>
      </c>
      <c r="F17070" s="1">
        <v>2</v>
      </c>
      <c r="G17070" s="1" t="s">
        <v>28</v>
      </c>
      <c r="H17070" s="4" t="str">
        <f>HYPERLINK("https://portal.gdc.cancer.gov/cases/80bfe92b-fb00-48bb-b659-8f8ef103bc29","TCGA-L5-A4OX-01A")</f>
        <v>TCGA-L5-A4OX-01A</v>
      </c>
      <c r="I17070" t="s">
        <v>549</v>
      </c>
      <c r="J17070" t="s">
        <v>550</v>
      </c>
      <c r="K17070" t="s">
        <v>33</v>
      </c>
      <c r="L17070" t="s">
        <v>551</v>
      </c>
      <c r="N17070" t="s">
        <v>29</v>
      </c>
    </row>
    <row r="17071" spans="1:14">
      <c r="A17071" s="4" t="str">
        <f t="shared" si="1259"/>
        <v>EXP00433</v>
      </c>
      <c r="B17071" s="3" t="s">
        <v>66</v>
      </c>
      <c r="C17071" s="4" t="str">
        <f t="shared" si="1258"/>
        <v>TCGA-ESCA</v>
      </c>
      <c r="D17071" s="1" t="s">
        <v>493</v>
      </c>
      <c r="E17071" t="s">
        <v>560</v>
      </c>
      <c r="F17071" s="1">
        <v>2</v>
      </c>
      <c r="G17071" s="1" t="s">
        <v>28</v>
      </c>
      <c r="H17071" s="4" t="str">
        <f>HYPERLINK("https://portal.gdc.cancer.gov/cases/25eb6a8a-5bd9-480d-baab-6113e1b3be51","TCGA-L5-A88S-01A")</f>
        <v>TCGA-L5-A88S-01A</v>
      </c>
      <c r="I17071" t="s">
        <v>549</v>
      </c>
      <c r="J17071" t="s">
        <v>550</v>
      </c>
      <c r="K17071" t="s">
        <v>33</v>
      </c>
      <c r="L17071" t="s">
        <v>551</v>
      </c>
      <c r="N17071" t="s">
        <v>29</v>
      </c>
    </row>
    <row r="17072" spans="1:14">
      <c r="A17072" s="4" t="str">
        <f t="shared" si="1259"/>
        <v>EXP00433</v>
      </c>
      <c r="B17072" s="3" t="s">
        <v>66</v>
      </c>
      <c r="C17072" s="4" t="str">
        <f t="shared" si="1258"/>
        <v>TCGA-ESCA</v>
      </c>
      <c r="D17072" s="1" t="s">
        <v>493</v>
      </c>
      <c r="E17072" t="s">
        <v>560</v>
      </c>
      <c r="F17072" s="1">
        <v>2</v>
      </c>
      <c r="G17072" s="1" t="s">
        <v>28</v>
      </c>
      <c r="H17072" s="4" t="str">
        <f>HYPERLINK("https://portal.gdc.cancer.gov/cases/6826bcdd-24a4-4dd1-9fab-201cf774e166","TCGA-L5-A88T-01A")</f>
        <v>TCGA-L5-A88T-01A</v>
      </c>
      <c r="I17072" t="s">
        <v>549</v>
      </c>
      <c r="J17072" t="s">
        <v>550</v>
      </c>
      <c r="K17072" t="s">
        <v>33</v>
      </c>
      <c r="L17072" t="s">
        <v>551</v>
      </c>
      <c r="N17072" t="s">
        <v>29</v>
      </c>
    </row>
    <row r="17073" spans="1:14">
      <c r="A17073" s="4" t="str">
        <f t="shared" si="1259"/>
        <v>EXP00433</v>
      </c>
      <c r="B17073" s="3" t="s">
        <v>66</v>
      </c>
      <c r="C17073" s="4" t="str">
        <f t="shared" si="1258"/>
        <v>TCGA-ESCA</v>
      </c>
      <c r="D17073" s="1" t="s">
        <v>493</v>
      </c>
      <c r="E17073" t="s">
        <v>560</v>
      </c>
      <c r="F17073" s="1">
        <v>2</v>
      </c>
      <c r="G17073" s="1" t="s">
        <v>28</v>
      </c>
      <c r="H17073" s="4" t="str">
        <f>HYPERLINK("https://portal.gdc.cancer.gov/cases/c61536a4-761c-4ca2-a1cd-aad738dcd940","TCGA-L5-A88V-01A")</f>
        <v>TCGA-L5-A88V-01A</v>
      </c>
      <c r="I17073" t="s">
        <v>549</v>
      </c>
      <c r="J17073" t="s">
        <v>550</v>
      </c>
      <c r="K17073" t="s">
        <v>33</v>
      </c>
      <c r="L17073" t="s">
        <v>551</v>
      </c>
      <c r="N17073" t="s">
        <v>29</v>
      </c>
    </row>
    <row r="17074" spans="1:14">
      <c r="A17074" s="4" t="str">
        <f t="shared" si="1259"/>
        <v>EXP00433</v>
      </c>
      <c r="B17074" s="3" t="s">
        <v>66</v>
      </c>
      <c r="C17074" s="4" t="str">
        <f t="shared" si="1258"/>
        <v>TCGA-ESCA</v>
      </c>
      <c r="D17074" s="1" t="s">
        <v>493</v>
      </c>
      <c r="E17074" t="s">
        <v>560</v>
      </c>
      <c r="F17074" s="1">
        <v>2</v>
      </c>
      <c r="G17074" s="1" t="s">
        <v>28</v>
      </c>
      <c r="H17074" s="4" t="str">
        <f>HYPERLINK("https://portal.gdc.cancer.gov/cases/fd43a93a-a26d-427b-be04-466630f3d949","TCGA-L5-A88Y-01A")</f>
        <v>TCGA-L5-A88Y-01A</v>
      </c>
      <c r="I17074" t="s">
        <v>549</v>
      </c>
      <c r="J17074" t="s">
        <v>550</v>
      </c>
      <c r="K17074" t="s">
        <v>33</v>
      </c>
      <c r="L17074" t="s">
        <v>551</v>
      </c>
      <c r="N17074" t="s">
        <v>29</v>
      </c>
    </row>
    <row r="17075" spans="1:14">
      <c r="A17075" s="4" t="str">
        <f t="shared" si="1259"/>
        <v>EXP00433</v>
      </c>
      <c r="B17075" s="3" t="s">
        <v>66</v>
      </c>
      <c r="C17075" s="4" t="str">
        <f t="shared" si="1258"/>
        <v>TCGA-ESCA</v>
      </c>
      <c r="D17075" s="1" t="s">
        <v>493</v>
      </c>
      <c r="E17075" t="s">
        <v>560</v>
      </c>
      <c r="F17075" s="1">
        <v>2</v>
      </c>
      <c r="G17075" s="1" t="s">
        <v>28</v>
      </c>
      <c r="H17075" s="4" t="str">
        <f>HYPERLINK("https://portal.gdc.cancer.gov/cases/4d4e15d1-5d54-4ee3-808f-0b28dfc77871","TCGA-L5-A88Z-01A")</f>
        <v>TCGA-L5-A88Z-01A</v>
      </c>
      <c r="I17075" t="s">
        <v>549</v>
      </c>
      <c r="J17075" t="s">
        <v>550</v>
      </c>
      <c r="K17075" t="s">
        <v>33</v>
      </c>
      <c r="L17075" t="s">
        <v>551</v>
      </c>
      <c r="N17075" t="s">
        <v>29</v>
      </c>
    </row>
    <row r="17076" spans="1:14">
      <c r="A17076" s="4" t="str">
        <f t="shared" si="1259"/>
        <v>EXP00433</v>
      </c>
      <c r="B17076" s="3" t="s">
        <v>66</v>
      </c>
      <c r="C17076" s="4" t="str">
        <f t="shared" si="1258"/>
        <v>TCGA-ESCA</v>
      </c>
      <c r="D17076" s="1" t="s">
        <v>493</v>
      </c>
      <c r="E17076" t="s">
        <v>560</v>
      </c>
      <c r="F17076" s="1">
        <v>2</v>
      </c>
      <c r="G17076" s="1" t="s">
        <v>28</v>
      </c>
      <c r="H17076" s="4" t="str">
        <f>HYPERLINK("https://portal.gdc.cancer.gov/cases/f28f37a0-8e24-4a36-90f0-83cf5a27be10","TCGA-L5-A891-01A")</f>
        <v>TCGA-L5-A891-01A</v>
      </c>
      <c r="I17076" t="s">
        <v>549</v>
      </c>
      <c r="J17076" t="s">
        <v>550</v>
      </c>
      <c r="K17076" t="s">
        <v>33</v>
      </c>
      <c r="L17076" t="s">
        <v>551</v>
      </c>
      <c r="N17076" t="s">
        <v>29</v>
      </c>
    </row>
    <row r="17077" spans="1:14">
      <c r="A17077" s="4" t="str">
        <f t="shared" si="1259"/>
        <v>EXP00433</v>
      </c>
      <c r="B17077" s="3" t="s">
        <v>66</v>
      </c>
      <c r="C17077" s="4" t="str">
        <f t="shared" si="1258"/>
        <v>TCGA-ESCA</v>
      </c>
      <c r="D17077" s="1" t="s">
        <v>493</v>
      </c>
      <c r="E17077" t="s">
        <v>560</v>
      </c>
      <c r="F17077" s="1">
        <v>2</v>
      </c>
      <c r="G17077" s="1" t="s">
        <v>28</v>
      </c>
      <c r="H17077" s="4" t="str">
        <f>HYPERLINK("https://portal.gdc.cancer.gov/cases/fb777a96-2e24-4b60-9c7e-9d5dc3e7f35a","TCGA-L5-A893-01A")</f>
        <v>TCGA-L5-A893-01A</v>
      </c>
      <c r="I17077" t="s">
        <v>549</v>
      </c>
      <c r="J17077" t="s">
        <v>550</v>
      </c>
      <c r="K17077" t="s">
        <v>33</v>
      </c>
      <c r="L17077" t="s">
        <v>551</v>
      </c>
      <c r="N17077" t="s">
        <v>29</v>
      </c>
    </row>
    <row r="17078" spans="1:14">
      <c r="A17078" s="4" t="str">
        <f t="shared" si="1259"/>
        <v>EXP00433</v>
      </c>
      <c r="B17078" s="3" t="s">
        <v>66</v>
      </c>
      <c r="C17078" s="4" t="str">
        <f t="shared" si="1258"/>
        <v>TCGA-ESCA</v>
      </c>
      <c r="D17078" s="1" t="s">
        <v>493</v>
      </c>
      <c r="E17078" t="s">
        <v>560</v>
      </c>
      <c r="F17078" s="1">
        <v>2</v>
      </c>
      <c r="G17078" s="1" t="s">
        <v>28</v>
      </c>
      <c r="H17078" s="4" t="str">
        <f>HYPERLINK("https://portal.gdc.cancer.gov/cases/67fae19c-3ce9-4f91-b01e-4b130abf632e","TCGA-L5-A8NE-01A")</f>
        <v>TCGA-L5-A8NE-01A</v>
      </c>
      <c r="I17078" t="s">
        <v>549</v>
      </c>
      <c r="J17078" t="s">
        <v>550</v>
      </c>
      <c r="K17078" t="s">
        <v>33</v>
      </c>
      <c r="L17078" t="s">
        <v>551</v>
      </c>
      <c r="N17078" t="s">
        <v>29</v>
      </c>
    </row>
    <row r="17079" spans="1:14">
      <c r="A17079" s="4" t="str">
        <f t="shared" ref="A17079:A17110" si="1260">HYPERLINK("http://hcmdb.i-sanger.com/experiment/details/experiment_id/EXP00433","EXP00433")</f>
        <v>EXP00433</v>
      </c>
      <c r="B17079" s="3" t="s">
        <v>66</v>
      </c>
      <c r="C17079" s="4" t="str">
        <f t="shared" si="1258"/>
        <v>TCGA-ESCA</v>
      </c>
      <c r="D17079" s="1" t="s">
        <v>493</v>
      </c>
      <c r="E17079" t="s">
        <v>560</v>
      </c>
      <c r="F17079" s="1">
        <v>2</v>
      </c>
      <c r="G17079" s="1" t="s">
        <v>28</v>
      </c>
      <c r="H17079" s="4" t="str">
        <f>HYPERLINK("https://portal.gdc.cancer.gov/cases/df78950c-198d-4afc-a81e-8cfa4dea0abd","TCGA-L5-A8NF-01A")</f>
        <v>TCGA-L5-A8NF-01A</v>
      </c>
      <c r="I17079" t="s">
        <v>549</v>
      </c>
      <c r="J17079" t="s">
        <v>550</v>
      </c>
      <c r="K17079" t="s">
        <v>33</v>
      </c>
      <c r="L17079" t="s">
        <v>551</v>
      </c>
      <c r="N17079" t="s">
        <v>29</v>
      </c>
    </row>
    <row r="17080" spans="1:14">
      <c r="A17080" s="4" t="str">
        <f t="shared" si="1260"/>
        <v>EXP00433</v>
      </c>
      <c r="B17080" s="3" t="s">
        <v>66</v>
      </c>
      <c r="C17080" s="4" t="str">
        <f t="shared" si="1258"/>
        <v>TCGA-ESCA</v>
      </c>
      <c r="D17080" s="1" t="s">
        <v>493</v>
      </c>
      <c r="E17080" t="s">
        <v>560</v>
      </c>
      <c r="F17080" s="1">
        <v>2</v>
      </c>
      <c r="G17080" s="1" t="s">
        <v>28</v>
      </c>
      <c r="H17080" s="4" t="str">
        <f>HYPERLINK("https://portal.gdc.cancer.gov/cases/81be56da-bea2-426b-9576-950a909cc153","TCGA-L5-A8NG-01A")</f>
        <v>TCGA-L5-A8NG-01A</v>
      </c>
      <c r="I17080" t="s">
        <v>549</v>
      </c>
      <c r="J17080" t="s">
        <v>550</v>
      </c>
      <c r="K17080" t="s">
        <v>33</v>
      </c>
      <c r="L17080" t="s">
        <v>551</v>
      </c>
      <c r="N17080" t="s">
        <v>29</v>
      </c>
    </row>
    <row r="17081" spans="1:14">
      <c r="A17081" s="4" t="str">
        <f t="shared" si="1260"/>
        <v>EXP00433</v>
      </c>
      <c r="B17081" s="3" t="s">
        <v>66</v>
      </c>
      <c r="C17081" s="4" t="str">
        <f t="shared" si="1258"/>
        <v>TCGA-ESCA</v>
      </c>
      <c r="D17081" s="1" t="s">
        <v>493</v>
      </c>
      <c r="E17081" t="s">
        <v>560</v>
      </c>
      <c r="F17081" s="1">
        <v>2</v>
      </c>
      <c r="G17081" s="1" t="s">
        <v>28</v>
      </c>
      <c r="H17081" s="4" t="str">
        <f>HYPERLINK("https://portal.gdc.cancer.gov/cases/5af0e222-3dc8-400b-ba61-2225921f2fd3","TCGA-L5-A8NH-01A")</f>
        <v>TCGA-L5-A8NH-01A</v>
      </c>
      <c r="I17081" t="s">
        <v>549</v>
      </c>
      <c r="J17081" t="s">
        <v>550</v>
      </c>
      <c r="K17081" t="s">
        <v>33</v>
      </c>
      <c r="L17081" t="s">
        <v>551</v>
      </c>
      <c r="N17081" t="s">
        <v>29</v>
      </c>
    </row>
    <row r="17082" spans="1:14">
      <c r="A17082" s="4" t="str">
        <f t="shared" si="1260"/>
        <v>EXP00433</v>
      </c>
      <c r="B17082" s="3" t="s">
        <v>66</v>
      </c>
      <c r="C17082" s="4" t="str">
        <f t="shared" si="1258"/>
        <v>TCGA-ESCA</v>
      </c>
      <c r="D17082" s="1" t="s">
        <v>493</v>
      </c>
      <c r="E17082" t="s">
        <v>560</v>
      </c>
      <c r="F17082" s="1">
        <v>2</v>
      </c>
      <c r="G17082" s="1" t="s">
        <v>28</v>
      </c>
      <c r="H17082" s="4" t="str">
        <f>HYPERLINK("https://portal.gdc.cancer.gov/cases/4b0274a5-56bd-4e69-9616-f878392edb13","TCGA-L5-A8NI-01A")</f>
        <v>TCGA-L5-A8NI-01A</v>
      </c>
      <c r="I17082" t="s">
        <v>549</v>
      </c>
      <c r="J17082" t="s">
        <v>550</v>
      </c>
      <c r="K17082" t="s">
        <v>33</v>
      </c>
      <c r="L17082" t="s">
        <v>551</v>
      </c>
      <c r="N17082" t="s">
        <v>29</v>
      </c>
    </row>
    <row r="17083" spans="1:14">
      <c r="A17083" s="4" t="str">
        <f t="shared" si="1260"/>
        <v>EXP00433</v>
      </c>
      <c r="B17083" s="3" t="s">
        <v>66</v>
      </c>
      <c r="C17083" s="4" t="str">
        <f t="shared" si="1258"/>
        <v>TCGA-ESCA</v>
      </c>
      <c r="D17083" s="1" t="s">
        <v>493</v>
      </c>
      <c r="E17083" t="s">
        <v>560</v>
      </c>
      <c r="F17083" s="1">
        <v>2</v>
      </c>
      <c r="G17083" s="1" t="s">
        <v>28</v>
      </c>
      <c r="H17083" s="4" t="str">
        <f>HYPERLINK("https://portal.gdc.cancer.gov/cases/5111b51d-0c7a-4b3a-847e-200b0b3ee2c4","TCGA-L5-A8NK-01A")</f>
        <v>TCGA-L5-A8NK-01A</v>
      </c>
      <c r="I17083" t="s">
        <v>549</v>
      </c>
      <c r="J17083" t="s">
        <v>550</v>
      </c>
      <c r="K17083" t="s">
        <v>33</v>
      </c>
      <c r="L17083" t="s">
        <v>551</v>
      </c>
      <c r="N17083" t="s">
        <v>29</v>
      </c>
    </row>
    <row r="17084" spans="1:14">
      <c r="A17084" s="4" t="str">
        <f t="shared" si="1260"/>
        <v>EXP00433</v>
      </c>
      <c r="B17084" s="3" t="s">
        <v>66</v>
      </c>
      <c r="C17084" s="4" t="str">
        <f t="shared" si="1258"/>
        <v>TCGA-ESCA</v>
      </c>
      <c r="D17084" s="1" t="s">
        <v>493</v>
      </c>
      <c r="E17084" t="s">
        <v>560</v>
      </c>
      <c r="F17084" s="1">
        <v>2</v>
      </c>
      <c r="G17084" s="1" t="s">
        <v>28</v>
      </c>
      <c r="H17084" s="4" t="str">
        <f>HYPERLINK("https://portal.gdc.cancer.gov/cases/9c32a8f1-49a4-4662-a5fb-b99f955c3b1a","TCGA-L5-A8NL-01A")</f>
        <v>TCGA-L5-A8NL-01A</v>
      </c>
      <c r="I17084" t="s">
        <v>549</v>
      </c>
      <c r="J17084" t="s">
        <v>550</v>
      </c>
      <c r="K17084" t="s">
        <v>33</v>
      </c>
      <c r="L17084" t="s">
        <v>551</v>
      </c>
      <c r="N17084" t="s">
        <v>29</v>
      </c>
    </row>
    <row r="17085" spans="1:14">
      <c r="A17085" s="4" t="str">
        <f t="shared" si="1260"/>
        <v>EXP00433</v>
      </c>
      <c r="B17085" s="3" t="s">
        <v>66</v>
      </c>
      <c r="C17085" s="4" t="str">
        <f t="shared" si="1258"/>
        <v>TCGA-ESCA</v>
      </c>
      <c r="D17085" s="1" t="s">
        <v>493</v>
      </c>
      <c r="E17085" t="s">
        <v>560</v>
      </c>
      <c r="F17085" s="1">
        <v>2</v>
      </c>
      <c r="G17085" s="1" t="s">
        <v>28</v>
      </c>
      <c r="H17085" s="4" t="str">
        <f>HYPERLINK("https://portal.gdc.cancer.gov/cases/a9904356-f050-4bd8-b48a-50b64f6dc3a1","TCGA-L5-A8NM-01A")</f>
        <v>TCGA-L5-A8NM-01A</v>
      </c>
      <c r="I17085" t="s">
        <v>549</v>
      </c>
      <c r="J17085" t="s">
        <v>550</v>
      </c>
      <c r="K17085" t="s">
        <v>33</v>
      </c>
      <c r="L17085" t="s">
        <v>551</v>
      </c>
      <c r="N17085" t="s">
        <v>29</v>
      </c>
    </row>
    <row r="17086" spans="1:14">
      <c r="A17086" s="4" t="str">
        <f t="shared" si="1260"/>
        <v>EXP00433</v>
      </c>
      <c r="B17086" s="3" t="s">
        <v>66</v>
      </c>
      <c r="C17086" s="4" t="str">
        <f t="shared" ref="C17086:C17149" si="1261">HYPERLINK("https://portal.gdc.cancer.gov/projects/TCGA-ESCA","TCGA-ESCA")</f>
        <v>TCGA-ESCA</v>
      </c>
      <c r="D17086" s="1" t="s">
        <v>493</v>
      </c>
      <c r="E17086" t="s">
        <v>560</v>
      </c>
      <c r="F17086" s="1">
        <v>2</v>
      </c>
      <c r="G17086" s="1" t="s">
        <v>28</v>
      </c>
      <c r="H17086" s="4" t="str">
        <f>HYPERLINK("https://portal.gdc.cancer.gov/cases/90940ff1-c270-44f5-9949-f726838aaa57","TCGA-L5-A8NN-01A")</f>
        <v>TCGA-L5-A8NN-01A</v>
      </c>
      <c r="I17086" t="s">
        <v>549</v>
      </c>
      <c r="J17086" t="s">
        <v>550</v>
      </c>
      <c r="K17086" t="s">
        <v>33</v>
      </c>
      <c r="L17086" t="s">
        <v>551</v>
      </c>
      <c r="N17086" t="s">
        <v>29</v>
      </c>
    </row>
    <row r="17087" spans="1:14">
      <c r="A17087" s="4" t="str">
        <f t="shared" si="1260"/>
        <v>EXP00433</v>
      </c>
      <c r="B17087" s="3" t="s">
        <v>66</v>
      </c>
      <c r="C17087" s="4" t="str">
        <f t="shared" si="1261"/>
        <v>TCGA-ESCA</v>
      </c>
      <c r="D17087" s="1" t="s">
        <v>493</v>
      </c>
      <c r="E17087" t="s">
        <v>560</v>
      </c>
      <c r="F17087" s="1">
        <v>2</v>
      </c>
      <c r="G17087" s="1" t="s">
        <v>28</v>
      </c>
      <c r="H17087" s="4" t="str">
        <f>HYPERLINK("https://portal.gdc.cancer.gov/cases/19f61a54-2db5-4e2d-8572-f294d7a41486","TCGA-L5-A8NQ-01A")</f>
        <v>TCGA-L5-A8NQ-01A</v>
      </c>
      <c r="I17087" t="s">
        <v>549</v>
      </c>
      <c r="J17087" t="s">
        <v>550</v>
      </c>
      <c r="K17087" t="s">
        <v>33</v>
      </c>
      <c r="L17087" t="s">
        <v>551</v>
      </c>
      <c r="N17087" t="s">
        <v>29</v>
      </c>
    </row>
    <row r="17088" spans="1:14">
      <c r="A17088" s="4" t="str">
        <f t="shared" si="1260"/>
        <v>EXP00433</v>
      </c>
      <c r="B17088" s="3" t="s">
        <v>66</v>
      </c>
      <c r="C17088" s="4" t="str">
        <f t="shared" si="1261"/>
        <v>TCGA-ESCA</v>
      </c>
      <c r="D17088" s="1" t="s">
        <v>493</v>
      </c>
      <c r="E17088" t="s">
        <v>560</v>
      </c>
      <c r="F17088" s="1">
        <v>2</v>
      </c>
      <c r="G17088" s="1" t="s">
        <v>28</v>
      </c>
      <c r="H17088" s="4" t="str">
        <f>HYPERLINK("https://portal.gdc.cancer.gov/cases/cf7b2de3-f4be-4d29-b537-499dd948c1b7","TCGA-L5-A8NU-01A")</f>
        <v>TCGA-L5-A8NU-01A</v>
      </c>
      <c r="I17088" t="s">
        <v>549</v>
      </c>
      <c r="J17088" t="s">
        <v>550</v>
      </c>
      <c r="K17088" t="s">
        <v>33</v>
      </c>
      <c r="L17088" t="s">
        <v>551</v>
      </c>
      <c r="N17088" t="s">
        <v>29</v>
      </c>
    </row>
    <row r="17089" spans="1:14">
      <c r="A17089" s="4" t="str">
        <f t="shared" si="1260"/>
        <v>EXP00433</v>
      </c>
      <c r="B17089" s="3" t="s">
        <v>66</v>
      </c>
      <c r="C17089" s="4" t="str">
        <f t="shared" si="1261"/>
        <v>TCGA-ESCA</v>
      </c>
      <c r="D17089" s="1" t="s">
        <v>493</v>
      </c>
      <c r="E17089" t="s">
        <v>560</v>
      </c>
      <c r="F17089" s="1">
        <v>2</v>
      </c>
      <c r="G17089" s="1" t="s">
        <v>28</v>
      </c>
      <c r="H17089" s="4" t="str">
        <f>HYPERLINK("https://portal.gdc.cancer.gov/cases/c6ae1d70-a6a2-4a46-b67a-d1bff73a1709","TCGA-L5-A8NV-01A")</f>
        <v>TCGA-L5-A8NV-01A</v>
      </c>
      <c r="I17089" t="s">
        <v>549</v>
      </c>
      <c r="J17089" t="s">
        <v>550</v>
      </c>
      <c r="K17089" t="s">
        <v>33</v>
      </c>
      <c r="L17089" t="s">
        <v>551</v>
      </c>
      <c r="N17089" t="s">
        <v>29</v>
      </c>
    </row>
    <row r="17090" spans="1:14">
      <c r="A17090" s="4" t="str">
        <f t="shared" si="1260"/>
        <v>EXP00433</v>
      </c>
      <c r="B17090" s="3" t="s">
        <v>66</v>
      </c>
      <c r="C17090" s="4" t="str">
        <f t="shared" si="1261"/>
        <v>TCGA-ESCA</v>
      </c>
      <c r="D17090" s="1" t="s">
        <v>493</v>
      </c>
      <c r="E17090" t="s">
        <v>560</v>
      </c>
      <c r="F17090" s="1">
        <v>2</v>
      </c>
      <c r="G17090" s="1" t="s">
        <v>28</v>
      </c>
      <c r="H17090" s="4" t="str">
        <f>HYPERLINK("https://portal.gdc.cancer.gov/cases/d30ab67a-a40c-49b4-8fbc-d7dd5442277d","TCGA-L5-A8NW-01A")</f>
        <v>TCGA-L5-A8NW-01A</v>
      </c>
      <c r="I17090" t="s">
        <v>549</v>
      </c>
      <c r="J17090" t="s">
        <v>550</v>
      </c>
      <c r="K17090" t="s">
        <v>33</v>
      </c>
      <c r="L17090" t="s">
        <v>551</v>
      </c>
      <c r="N17090" t="s">
        <v>29</v>
      </c>
    </row>
    <row r="17091" spans="1:14">
      <c r="A17091" s="4" t="str">
        <f t="shared" si="1260"/>
        <v>EXP00433</v>
      </c>
      <c r="B17091" s="3" t="s">
        <v>66</v>
      </c>
      <c r="C17091" s="4" t="str">
        <f t="shared" si="1261"/>
        <v>TCGA-ESCA</v>
      </c>
      <c r="D17091" s="1" t="s">
        <v>493</v>
      </c>
      <c r="E17091" t="s">
        <v>560</v>
      </c>
      <c r="F17091" s="1">
        <v>2</v>
      </c>
      <c r="G17091" s="1" t="s">
        <v>28</v>
      </c>
      <c r="H17091" s="4" t="str">
        <f>HYPERLINK("https://portal.gdc.cancer.gov/cases/70c5ce85-4022-46c0-8bd0-f5e9009ddf41","TCGA-L7-A56G-01A")</f>
        <v>TCGA-L7-A56G-01A</v>
      </c>
      <c r="I17091" t="s">
        <v>549</v>
      </c>
      <c r="J17091" t="s">
        <v>550</v>
      </c>
      <c r="K17091" t="s">
        <v>33</v>
      </c>
      <c r="L17091" t="s">
        <v>551</v>
      </c>
      <c r="N17091" t="s">
        <v>29</v>
      </c>
    </row>
    <row r="17092" spans="1:14">
      <c r="A17092" s="4" t="str">
        <f t="shared" si="1260"/>
        <v>EXP00433</v>
      </c>
      <c r="B17092" s="3" t="s">
        <v>66</v>
      </c>
      <c r="C17092" s="4" t="str">
        <f t="shared" si="1261"/>
        <v>TCGA-ESCA</v>
      </c>
      <c r="D17092" s="1" t="s">
        <v>493</v>
      </c>
      <c r="E17092" t="s">
        <v>560</v>
      </c>
      <c r="F17092" s="1">
        <v>2</v>
      </c>
      <c r="G17092" s="1" t="s">
        <v>28</v>
      </c>
      <c r="H17092" s="4" t="str">
        <f>HYPERLINK("https://portal.gdc.cancer.gov/cases/dc4062d7-1c81-4b19-aabd-8307a0df5029","TCGA-L7-A6VZ-01A")</f>
        <v>TCGA-L7-A6VZ-01A</v>
      </c>
      <c r="I17092" t="s">
        <v>549</v>
      </c>
      <c r="J17092" t="s">
        <v>550</v>
      </c>
      <c r="K17092" t="s">
        <v>33</v>
      </c>
      <c r="L17092" t="s">
        <v>551</v>
      </c>
      <c r="N17092" t="s">
        <v>29</v>
      </c>
    </row>
    <row r="17093" spans="1:14">
      <c r="A17093" s="4" t="str">
        <f t="shared" si="1260"/>
        <v>EXP00433</v>
      </c>
      <c r="B17093" s="3" t="s">
        <v>66</v>
      </c>
      <c r="C17093" s="4" t="str">
        <f t="shared" si="1261"/>
        <v>TCGA-ESCA</v>
      </c>
      <c r="D17093" s="1" t="s">
        <v>493</v>
      </c>
      <c r="E17093" t="s">
        <v>560</v>
      </c>
      <c r="F17093" s="1">
        <v>2</v>
      </c>
      <c r="G17093" s="1" t="s">
        <v>28</v>
      </c>
      <c r="H17093" s="4" t="str">
        <f>HYPERLINK("https://portal.gdc.cancer.gov/cases/b3e248b5-5d40-495c-bd10-90ecf0ed6a95","TCGA-LN-A49M-01A")</f>
        <v>TCGA-LN-A49M-01A</v>
      </c>
      <c r="I17093" t="s">
        <v>549</v>
      </c>
      <c r="J17093" t="s">
        <v>550</v>
      </c>
      <c r="K17093" t="s">
        <v>33</v>
      </c>
      <c r="L17093" t="s">
        <v>551</v>
      </c>
      <c r="N17093" t="s">
        <v>29</v>
      </c>
    </row>
    <row r="17094" spans="1:14">
      <c r="A17094" s="4" t="str">
        <f t="shared" si="1260"/>
        <v>EXP00433</v>
      </c>
      <c r="B17094" s="3" t="s">
        <v>66</v>
      </c>
      <c r="C17094" s="4" t="str">
        <f t="shared" si="1261"/>
        <v>TCGA-ESCA</v>
      </c>
      <c r="D17094" s="1" t="s">
        <v>493</v>
      </c>
      <c r="E17094" t="s">
        <v>560</v>
      </c>
      <c r="F17094" s="1">
        <v>2</v>
      </c>
      <c r="G17094" s="1" t="s">
        <v>28</v>
      </c>
      <c r="H17094" s="4" t="str">
        <f>HYPERLINK("https://portal.gdc.cancer.gov/cases/3df1b9db-d900-47d2-839d-3900829cb2a9","TCGA-LN-A49O-01A")</f>
        <v>TCGA-LN-A49O-01A</v>
      </c>
      <c r="I17094" t="s">
        <v>549</v>
      </c>
      <c r="J17094" t="s">
        <v>550</v>
      </c>
      <c r="K17094" t="s">
        <v>33</v>
      </c>
      <c r="L17094" t="s">
        <v>551</v>
      </c>
      <c r="N17094" t="s">
        <v>29</v>
      </c>
    </row>
    <row r="17095" spans="1:14">
      <c r="A17095" s="4" t="str">
        <f t="shared" si="1260"/>
        <v>EXP00433</v>
      </c>
      <c r="B17095" s="3" t="s">
        <v>66</v>
      </c>
      <c r="C17095" s="4" t="str">
        <f t="shared" si="1261"/>
        <v>TCGA-ESCA</v>
      </c>
      <c r="D17095" s="1" t="s">
        <v>493</v>
      </c>
      <c r="E17095" t="s">
        <v>560</v>
      </c>
      <c r="F17095" s="1">
        <v>2</v>
      </c>
      <c r="G17095" s="1" t="s">
        <v>28</v>
      </c>
      <c r="H17095" s="4" t="str">
        <f>HYPERLINK("https://portal.gdc.cancer.gov/cases/b64a5f5a-5913-432e-9d08-0ff67a8c6b64","TCGA-LN-A49P-01A")</f>
        <v>TCGA-LN-A49P-01A</v>
      </c>
      <c r="I17095" t="s">
        <v>549</v>
      </c>
      <c r="J17095" t="s">
        <v>550</v>
      </c>
      <c r="K17095" t="s">
        <v>33</v>
      </c>
      <c r="L17095" t="s">
        <v>551</v>
      </c>
      <c r="N17095" t="s">
        <v>29</v>
      </c>
    </row>
    <row r="17096" spans="1:14">
      <c r="A17096" s="4" t="str">
        <f t="shared" si="1260"/>
        <v>EXP00433</v>
      </c>
      <c r="B17096" s="3" t="s">
        <v>66</v>
      </c>
      <c r="C17096" s="4" t="str">
        <f t="shared" si="1261"/>
        <v>TCGA-ESCA</v>
      </c>
      <c r="D17096" s="1" t="s">
        <v>493</v>
      </c>
      <c r="E17096" t="s">
        <v>560</v>
      </c>
      <c r="F17096" s="1">
        <v>2</v>
      </c>
      <c r="G17096" s="1" t="s">
        <v>28</v>
      </c>
      <c r="H17096" s="4" t="str">
        <f>HYPERLINK("https://portal.gdc.cancer.gov/cases/e9f82800-647a-4d61-bd1f-2c17c4ccafba","TCGA-LN-A49S-01A")</f>
        <v>TCGA-LN-A49S-01A</v>
      </c>
      <c r="I17096" t="s">
        <v>549</v>
      </c>
      <c r="J17096" t="s">
        <v>550</v>
      </c>
      <c r="K17096" t="s">
        <v>33</v>
      </c>
      <c r="L17096" t="s">
        <v>551</v>
      </c>
      <c r="N17096" t="s">
        <v>29</v>
      </c>
    </row>
    <row r="17097" spans="1:14">
      <c r="A17097" s="4" t="str">
        <f t="shared" si="1260"/>
        <v>EXP00433</v>
      </c>
      <c r="B17097" s="3" t="s">
        <v>66</v>
      </c>
      <c r="C17097" s="4" t="str">
        <f t="shared" si="1261"/>
        <v>TCGA-ESCA</v>
      </c>
      <c r="D17097" s="1" t="s">
        <v>493</v>
      </c>
      <c r="E17097" t="s">
        <v>560</v>
      </c>
      <c r="F17097" s="1">
        <v>2</v>
      </c>
      <c r="G17097" s="1" t="s">
        <v>28</v>
      </c>
      <c r="H17097" s="4" t="str">
        <f>HYPERLINK("https://portal.gdc.cancer.gov/cases/931a50ff-3149-4c4a-9456-45ed3a9dd457","TCGA-LN-A49U-01A")</f>
        <v>TCGA-LN-A49U-01A</v>
      </c>
      <c r="I17097" t="s">
        <v>549</v>
      </c>
      <c r="J17097" t="s">
        <v>550</v>
      </c>
      <c r="K17097" t="s">
        <v>33</v>
      </c>
      <c r="L17097" t="s">
        <v>551</v>
      </c>
      <c r="N17097" t="s">
        <v>29</v>
      </c>
    </row>
    <row r="17098" spans="1:14">
      <c r="A17098" s="4" t="str">
        <f t="shared" si="1260"/>
        <v>EXP00433</v>
      </c>
      <c r="B17098" s="3" t="s">
        <v>66</v>
      </c>
      <c r="C17098" s="4" t="str">
        <f t="shared" si="1261"/>
        <v>TCGA-ESCA</v>
      </c>
      <c r="D17098" s="1" t="s">
        <v>493</v>
      </c>
      <c r="E17098" t="s">
        <v>560</v>
      </c>
      <c r="F17098" s="1">
        <v>2</v>
      </c>
      <c r="G17098" s="1" t="s">
        <v>28</v>
      </c>
      <c r="H17098" s="4" t="str">
        <f>HYPERLINK("https://portal.gdc.cancer.gov/cases/daf211f2-941e-4244-8cf5-d31492269443","TCGA-LN-A49W-01A")</f>
        <v>TCGA-LN-A49W-01A</v>
      </c>
      <c r="I17098" t="s">
        <v>549</v>
      </c>
      <c r="J17098" t="s">
        <v>550</v>
      </c>
      <c r="K17098" t="s">
        <v>33</v>
      </c>
      <c r="L17098" t="s">
        <v>551</v>
      </c>
      <c r="N17098" t="s">
        <v>29</v>
      </c>
    </row>
    <row r="17099" spans="1:14">
      <c r="A17099" s="4" t="str">
        <f t="shared" si="1260"/>
        <v>EXP00433</v>
      </c>
      <c r="B17099" s="3" t="s">
        <v>66</v>
      </c>
      <c r="C17099" s="4" t="str">
        <f t="shared" si="1261"/>
        <v>TCGA-ESCA</v>
      </c>
      <c r="D17099" s="1" t="s">
        <v>493</v>
      </c>
      <c r="E17099" t="s">
        <v>560</v>
      </c>
      <c r="F17099" s="1">
        <v>2</v>
      </c>
      <c r="G17099" s="1" t="s">
        <v>28</v>
      </c>
      <c r="H17099" s="4" t="str">
        <f>HYPERLINK("https://portal.gdc.cancer.gov/cases/b05aefc4-2d61-44b6-9451-e660d10d8a79","TCGA-LN-A49X-01A")</f>
        <v>TCGA-LN-A49X-01A</v>
      </c>
      <c r="I17099" t="s">
        <v>549</v>
      </c>
      <c r="J17099" t="s">
        <v>550</v>
      </c>
      <c r="K17099" t="s">
        <v>33</v>
      </c>
      <c r="L17099" t="s">
        <v>551</v>
      </c>
      <c r="N17099" t="s">
        <v>29</v>
      </c>
    </row>
    <row r="17100" spans="1:14">
      <c r="A17100" s="4" t="str">
        <f t="shared" si="1260"/>
        <v>EXP00433</v>
      </c>
      <c r="B17100" s="3" t="s">
        <v>66</v>
      </c>
      <c r="C17100" s="4" t="str">
        <f t="shared" si="1261"/>
        <v>TCGA-ESCA</v>
      </c>
      <c r="D17100" s="1" t="s">
        <v>493</v>
      </c>
      <c r="E17100" t="s">
        <v>560</v>
      </c>
      <c r="F17100" s="1">
        <v>2</v>
      </c>
      <c r="G17100" s="1" t="s">
        <v>28</v>
      </c>
      <c r="H17100" s="4" t="str">
        <f>HYPERLINK("https://portal.gdc.cancer.gov/cases/87faba0e-28e7-4a7e-a7e1-12582ec68fac","TCGA-LN-A49Y-01A")</f>
        <v>TCGA-LN-A49Y-01A</v>
      </c>
      <c r="I17100" t="s">
        <v>549</v>
      </c>
      <c r="J17100" t="s">
        <v>550</v>
      </c>
      <c r="K17100" t="s">
        <v>33</v>
      </c>
      <c r="L17100" t="s">
        <v>551</v>
      </c>
      <c r="N17100" t="s">
        <v>29</v>
      </c>
    </row>
    <row r="17101" spans="1:14">
      <c r="A17101" s="4" t="str">
        <f t="shared" si="1260"/>
        <v>EXP00433</v>
      </c>
      <c r="B17101" s="3" t="s">
        <v>66</v>
      </c>
      <c r="C17101" s="4" t="str">
        <f t="shared" si="1261"/>
        <v>TCGA-ESCA</v>
      </c>
      <c r="D17101" s="1" t="s">
        <v>493</v>
      </c>
      <c r="E17101" t="s">
        <v>560</v>
      </c>
      <c r="F17101" s="1">
        <v>2</v>
      </c>
      <c r="G17101" s="1" t="s">
        <v>28</v>
      </c>
      <c r="H17101" s="4" t="str">
        <f>HYPERLINK("https://portal.gdc.cancer.gov/cases/3c1f8b73-bad7-4649-b08e-c7afc647edf3","TCGA-LN-A4A1-01A")</f>
        <v>TCGA-LN-A4A1-01A</v>
      </c>
      <c r="I17101" t="s">
        <v>549</v>
      </c>
      <c r="J17101" t="s">
        <v>550</v>
      </c>
      <c r="K17101" t="s">
        <v>33</v>
      </c>
      <c r="L17101" t="s">
        <v>551</v>
      </c>
      <c r="N17101" t="s">
        <v>29</v>
      </c>
    </row>
    <row r="17102" spans="1:14">
      <c r="A17102" s="4" t="str">
        <f t="shared" si="1260"/>
        <v>EXP00433</v>
      </c>
      <c r="B17102" s="3" t="s">
        <v>66</v>
      </c>
      <c r="C17102" s="4" t="str">
        <f t="shared" si="1261"/>
        <v>TCGA-ESCA</v>
      </c>
      <c r="D17102" s="1" t="s">
        <v>493</v>
      </c>
      <c r="E17102" t="s">
        <v>560</v>
      </c>
      <c r="F17102" s="1">
        <v>2</v>
      </c>
      <c r="G17102" s="1" t="s">
        <v>28</v>
      </c>
      <c r="H17102" s="4" t="str">
        <f>HYPERLINK("https://portal.gdc.cancer.gov/cases/3c0bb5e2-ad33-4d91-a31e-2a18f1c94d2d","TCGA-LN-A4A3-01A")</f>
        <v>TCGA-LN-A4A3-01A</v>
      </c>
      <c r="I17102" t="s">
        <v>549</v>
      </c>
      <c r="J17102" t="s">
        <v>550</v>
      </c>
      <c r="K17102" t="s">
        <v>33</v>
      </c>
      <c r="L17102" t="s">
        <v>551</v>
      </c>
      <c r="N17102" t="s">
        <v>29</v>
      </c>
    </row>
    <row r="17103" spans="1:14">
      <c r="A17103" s="4" t="str">
        <f t="shared" si="1260"/>
        <v>EXP00433</v>
      </c>
      <c r="B17103" s="3" t="s">
        <v>66</v>
      </c>
      <c r="C17103" s="4" t="str">
        <f t="shared" si="1261"/>
        <v>TCGA-ESCA</v>
      </c>
      <c r="D17103" s="1" t="s">
        <v>493</v>
      </c>
      <c r="E17103" t="s">
        <v>560</v>
      </c>
      <c r="F17103" s="1">
        <v>2</v>
      </c>
      <c r="G17103" s="1" t="s">
        <v>28</v>
      </c>
      <c r="H17103" s="4" t="str">
        <f>HYPERLINK("https://portal.gdc.cancer.gov/cases/e89d7900-915d-4936-b1b2-cac3670ea2f4","TCGA-LN-A4A4-01A")</f>
        <v>TCGA-LN-A4A4-01A</v>
      </c>
      <c r="I17103" t="s">
        <v>549</v>
      </c>
      <c r="J17103" t="s">
        <v>550</v>
      </c>
      <c r="K17103" t="s">
        <v>33</v>
      </c>
      <c r="L17103" t="s">
        <v>551</v>
      </c>
      <c r="N17103" t="s">
        <v>29</v>
      </c>
    </row>
    <row r="17104" spans="1:14">
      <c r="A17104" s="4" t="str">
        <f t="shared" si="1260"/>
        <v>EXP00433</v>
      </c>
      <c r="B17104" s="3" t="s">
        <v>66</v>
      </c>
      <c r="C17104" s="4" t="str">
        <f t="shared" si="1261"/>
        <v>TCGA-ESCA</v>
      </c>
      <c r="D17104" s="1" t="s">
        <v>493</v>
      </c>
      <c r="E17104" t="s">
        <v>560</v>
      </c>
      <c r="F17104" s="1">
        <v>2</v>
      </c>
      <c r="G17104" s="1" t="s">
        <v>28</v>
      </c>
      <c r="H17104" s="4" t="str">
        <f>HYPERLINK("https://portal.gdc.cancer.gov/cases/5080e9d1-d1e0-4ce7-a4ba-9935dd362263","TCGA-LN-A4A5-01A")</f>
        <v>TCGA-LN-A4A5-01A</v>
      </c>
      <c r="I17104" t="s">
        <v>549</v>
      </c>
      <c r="J17104" t="s">
        <v>550</v>
      </c>
      <c r="K17104" t="s">
        <v>33</v>
      </c>
      <c r="L17104" t="s">
        <v>551</v>
      </c>
      <c r="N17104" t="s">
        <v>29</v>
      </c>
    </row>
    <row r="17105" spans="1:14">
      <c r="A17105" s="4" t="str">
        <f t="shared" si="1260"/>
        <v>EXP00433</v>
      </c>
      <c r="B17105" s="3" t="s">
        <v>66</v>
      </c>
      <c r="C17105" s="4" t="str">
        <f t="shared" si="1261"/>
        <v>TCGA-ESCA</v>
      </c>
      <c r="D17105" s="1" t="s">
        <v>493</v>
      </c>
      <c r="E17105" t="s">
        <v>560</v>
      </c>
      <c r="F17105" s="1">
        <v>2</v>
      </c>
      <c r="G17105" s="1" t="s">
        <v>28</v>
      </c>
      <c r="H17105" s="4" t="str">
        <f>HYPERLINK("https://portal.gdc.cancer.gov/cases/aa364b98-0097-43a4-976d-742faa0276df","TCGA-LN-A4A8-01A")</f>
        <v>TCGA-LN-A4A8-01A</v>
      </c>
      <c r="I17105" t="s">
        <v>549</v>
      </c>
      <c r="J17105" t="s">
        <v>550</v>
      </c>
      <c r="K17105" t="s">
        <v>33</v>
      </c>
      <c r="L17105" t="s">
        <v>551</v>
      </c>
      <c r="N17105" t="s">
        <v>29</v>
      </c>
    </row>
    <row r="17106" spans="1:14">
      <c r="A17106" s="4" t="str">
        <f t="shared" si="1260"/>
        <v>EXP00433</v>
      </c>
      <c r="B17106" s="3" t="s">
        <v>66</v>
      </c>
      <c r="C17106" s="4" t="str">
        <f t="shared" si="1261"/>
        <v>TCGA-ESCA</v>
      </c>
      <c r="D17106" s="1" t="s">
        <v>493</v>
      </c>
      <c r="E17106" t="s">
        <v>560</v>
      </c>
      <c r="F17106" s="1">
        <v>2</v>
      </c>
      <c r="G17106" s="1" t="s">
        <v>28</v>
      </c>
      <c r="H17106" s="4" t="str">
        <f>HYPERLINK("https://portal.gdc.cancer.gov/cases/c965a778-8696-47db-a7c7-8b9f75417cbd","TCGA-LN-A4A9-01A")</f>
        <v>TCGA-LN-A4A9-01A</v>
      </c>
      <c r="I17106" t="s">
        <v>549</v>
      </c>
      <c r="J17106" t="s">
        <v>550</v>
      </c>
      <c r="K17106" t="s">
        <v>33</v>
      </c>
      <c r="L17106" t="s">
        <v>551</v>
      </c>
      <c r="N17106" t="s">
        <v>29</v>
      </c>
    </row>
    <row r="17107" spans="1:14">
      <c r="A17107" s="4" t="str">
        <f t="shared" si="1260"/>
        <v>EXP00433</v>
      </c>
      <c r="B17107" s="3" t="s">
        <v>66</v>
      </c>
      <c r="C17107" s="4" t="str">
        <f t="shared" si="1261"/>
        <v>TCGA-ESCA</v>
      </c>
      <c r="D17107" s="1" t="s">
        <v>493</v>
      </c>
      <c r="E17107" t="s">
        <v>560</v>
      </c>
      <c r="F17107" s="1">
        <v>2</v>
      </c>
      <c r="G17107" s="1" t="s">
        <v>28</v>
      </c>
      <c r="H17107" s="4" t="str">
        <f>HYPERLINK("https://portal.gdc.cancer.gov/cases/33c0199a-be0c-46d1-bb1e-889bfaedf20b","TCGA-LN-A4MQ-01A")</f>
        <v>TCGA-LN-A4MQ-01A</v>
      </c>
      <c r="I17107" t="s">
        <v>549</v>
      </c>
      <c r="J17107" t="s">
        <v>550</v>
      </c>
      <c r="K17107" t="s">
        <v>33</v>
      </c>
      <c r="L17107" t="s">
        <v>551</v>
      </c>
      <c r="N17107" t="s">
        <v>29</v>
      </c>
    </row>
    <row r="17108" spans="1:14">
      <c r="A17108" s="4" t="str">
        <f t="shared" si="1260"/>
        <v>EXP00433</v>
      </c>
      <c r="B17108" s="3" t="s">
        <v>66</v>
      </c>
      <c r="C17108" s="4" t="str">
        <f t="shared" si="1261"/>
        <v>TCGA-ESCA</v>
      </c>
      <c r="D17108" s="1" t="s">
        <v>493</v>
      </c>
      <c r="E17108" t="s">
        <v>560</v>
      </c>
      <c r="F17108" s="1">
        <v>2</v>
      </c>
      <c r="G17108" s="1" t="s">
        <v>28</v>
      </c>
      <c r="H17108" s="4" t="str">
        <f>HYPERLINK("https://portal.gdc.cancer.gov/cases/656e3c14-1fc6-473a-813e-719753e7b408","TCGA-LN-A5U5-01A")</f>
        <v>TCGA-LN-A5U5-01A</v>
      </c>
      <c r="I17108" t="s">
        <v>549</v>
      </c>
      <c r="J17108" t="s">
        <v>550</v>
      </c>
      <c r="K17108" t="s">
        <v>33</v>
      </c>
      <c r="L17108" t="s">
        <v>551</v>
      </c>
      <c r="N17108" t="s">
        <v>29</v>
      </c>
    </row>
    <row r="17109" spans="1:14">
      <c r="A17109" s="4" t="str">
        <f t="shared" si="1260"/>
        <v>EXP00433</v>
      </c>
      <c r="B17109" s="3" t="s">
        <v>66</v>
      </c>
      <c r="C17109" s="4" t="str">
        <f t="shared" si="1261"/>
        <v>TCGA-ESCA</v>
      </c>
      <c r="D17109" s="1" t="s">
        <v>493</v>
      </c>
      <c r="E17109" t="s">
        <v>560</v>
      </c>
      <c r="F17109" s="1">
        <v>2</v>
      </c>
      <c r="G17109" s="1" t="s">
        <v>28</v>
      </c>
      <c r="H17109" s="4" t="str">
        <f>HYPERLINK("https://portal.gdc.cancer.gov/cases/4e7f0fff-7b17-4da9-95ea-f68797c427f5","TCGA-LN-A5U6-01A")</f>
        <v>TCGA-LN-A5U6-01A</v>
      </c>
      <c r="I17109" t="s">
        <v>549</v>
      </c>
      <c r="J17109" t="s">
        <v>550</v>
      </c>
      <c r="K17109" t="s">
        <v>33</v>
      </c>
      <c r="L17109" t="s">
        <v>551</v>
      </c>
      <c r="N17109" t="s">
        <v>29</v>
      </c>
    </row>
    <row r="17110" spans="1:14">
      <c r="A17110" s="4" t="str">
        <f t="shared" si="1260"/>
        <v>EXP00433</v>
      </c>
      <c r="B17110" s="3" t="s">
        <v>66</v>
      </c>
      <c r="C17110" s="4" t="str">
        <f t="shared" si="1261"/>
        <v>TCGA-ESCA</v>
      </c>
      <c r="D17110" s="1" t="s">
        <v>493</v>
      </c>
      <c r="E17110" t="s">
        <v>560</v>
      </c>
      <c r="F17110" s="1">
        <v>2</v>
      </c>
      <c r="G17110" s="1" t="s">
        <v>28</v>
      </c>
      <c r="H17110" s="4" t="str">
        <f>HYPERLINK("https://portal.gdc.cancer.gov/cases/d67330ee-1791-4f5a-8996-8687a2d5cccb","TCGA-LN-A5U7-01A")</f>
        <v>TCGA-LN-A5U7-01A</v>
      </c>
      <c r="I17110" t="s">
        <v>549</v>
      </c>
      <c r="J17110" t="s">
        <v>550</v>
      </c>
      <c r="K17110" t="s">
        <v>33</v>
      </c>
      <c r="L17110" t="s">
        <v>551</v>
      </c>
      <c r="N17110" t="s">
        <v>29</v>
      </c>
    </row>
    <row r="17111" spans="1:14">
      <c r="A17111" s="4" t="str">
        <f t="shared" ref="A17111:A17142" si="1262">HYPERLINK("http://hcmdb.i-sanger.com/experiment/details/experiment_id/EXP00433","EXP00433")</f>
        <v>EXP00433</v>
      </c>
      <c r="B17111" s="3" t="s">
        <v>66</v>
      </c>
      <c r="C17111" s="4" t="str">
        <f t="shared" si="1261"/>
        <v>TCGA-ESCA</v>
      </c>
      <c r="D17111" s="1" t="s">
        <v>493</v>
      </c>
      <c r="E17111" t="s">
        <v>560</v>
      </c>
      <c r="F17111" s="1">
        <v>2</v>
      </c>
      <c r="G17111" s="1" t="s">
        <v>28</v>
      </c>
      <c r="H17111" s="4" t="str">
        <f>HYPERLINK("https://portal.gdc.cancer.gov/cases/2c792b77-1bf1-42f7-bd94-73c6474c6c7d","TCGA-LN-A7HV-01A")</f>
        <v>TCGA-LN-A7HV-01A</v>
      </c>
      <c r="I17111" t="s">
        <v>549</v>
      </c>
      <c r="J17111" t="s">
        <v>550</v>
      </c>
      <c r="K17111" t="s">
        <v>33</v>
      </c>
      <c r="L17111" t="s">
        <v>551</v>
      </c>
      <c r="N17111" t="s">
        <v>29</v>
      </c>
    </row>
    <row r="17112" spans="1:14">
      <c r="A17112" s="4" t="str">
        <f t="shared" si="1262"/>
        <v>EXP00433</v>
      </c>
      <c r="B17112" s="3" t="s">
        <v>66</v>
      </c>
      <c r="C17112" s="4" t="str">
        <f t="shared" si="1261"/>
        <v>TCGA-ESCA</v>
      </c>
      <c r="D17112" s="1" t="s">
        <v>493</v>
      </c>
      <c r="E17112" t="s">
        <v>560</v>
      </c>
      <c r="F17112" s="1">
        <v>2</v>
      </c>
      <c r="G17112" s="1" t="s">
        <v>28</v>
      </c>
      <c r="H17112" s="4" t="str">
        <f>HYPERLINK("https://portal.gdc.cancer.gov/cases/95858ea9-f71b-48d4-aa15-7dfdf21ca9e7","TCGA-LN-A7HW-01A")</f>
        <v>TCGA-LN-A7HW-01A</v>
      </c>
      <c r="I17112" t="s">
        <v>549</v>
      </c>
      <c r="J17112" t="s">
        <v>550</v>
      </c>
      <c r="K17112" t="s">
        <v>33</v>
      </c>
      <c r="L17112" t="s">
        <v>551</v>
      </c>
      <c r="N17112" t="s">
        <v>29</v>
      </c>
    </row>
    <row r="17113" spans="1:14">
      <c r="A17113" s="4" t="str">
        <f t="shared" si="1262"/>
        <v>EXP00433</v>
      </c>
      <c r="B17113" s="3" t="s">
        <v>66</v>
      </c>
      <c r="C17113" s="4" t="str">
        <f t="shared" si="1261"/>
        <v>TCGA-ESCA</v>
      </c>
      <c r="D17113" s="1" t="s">
        <v>493</v>
      </c>
      <c r="E17113" t="s">
        <v>560</v>
      </c>
      <c r="F17113" s="1">
        <v>2</v>
      </c>
      <c r="G17113" s="1" t="s">
        <v>28</v>
      </c>
      <c r="H17113" s="4" t="str">
        <f>HYPERLINK("https://portal.gdc.cancer.gov/cases/8c4f5492-3567-4e12-8607-2cd65fab9baa","TCGA-LN-A7HX-01A")</f>
        <v>TCGA-LN-A7HX-01A</v>
      </c>
      <c r="I17113" t="s">
        <v>549</v>
      </c>
      <c r="J17113" t="s">
        <v>550</v>
      </c>
      <c r="K17113" t="s">
        <v>33</v>
      </c>
      <c r="L17113" t="s">
        <v>551</v>
      </c>
      <c r="N17113" t="s">
        <v>29</v>
      </c>
    </row>
    <row r="17114" spans="1:14">
      <c r="A17114" s="4" t="str">
        <f t="shared" si="1262"/>
        <v>EXP00433</v>
      </c>
      <c r="B17114" s="3" t="s">
        <v>66</v>
      </c>
      <c r="C17114" s="4" t="str">
        <f t="shared" si="1261"/>
        <v>TCGA-ESCA</v>
      </c>
      <c r="D17114" s="1" t="s">
        <v>493</v>
      </c>
      <c r="E17114" t="s">
        <v>560</v>
      </c>
      <c r="F17114" s="1">
        <v>2</v>
      </c>
      <c r="G17114" s="1" t="s">
        <v>28</v>
      </c>
      <c r="H17114" s="4" t="str">
        <f>HYPERLINK("https://portal.gdc.cancer.gov/cases/7a32847f-69bb-4592-8feb-cfd5d355ada9","TCGA-LN-A7HY-01A")</f>
        <v>TCGA-LN-A7HY-01A</v>
      </c>
      <c r="I17114" t="s">
        <v>549</v>
      </c>
      <c r="J17114" t="s">
        <v>550</v>
      </c>
      <c r="K17114" t="s">
        <v>33</v>
      </c>
      <c r="L17114" t="s">
        <v>551</v>
      </c>
      <c r="N17114" t="s">
        <v>29</v>
      </c>
    </row>
    <row r="17115" spans="1:14">
      <c r="A17115" s="4" t="str">
        <f t="shared" si="1262"/>
        <v>EXP00433</v>
      </c>
      <c r="B17115" s="3" t="s">
        <v>66</v>
      </c>
      <c r="C17115" s="4" t="str">
        <f t="shared" si="1261"/>
        <v>TCGA-ESCA</v>
      </c>
      <c r="D17115" s="1" t="s">
        <v>493</v>
      </c>
      <c r="E17115" t="s">
        <v>560</v>
      </c>
      <c r="F17115" s="1">
        <v>2</v>
      </c>
      <c r="G17115" s="1" t="s">
        <v>28</v>
      </c>
      <c r="H17115" s="4" t="str">
        <f>HYPERLINK("https://portal.gdc.cancer.gov/cases/ef8bec6f-f594-4076-9f38-157165633ef1","TCGA-LN-A7HZ-01A")</f>
        <v>TCGA-LN-A7HZ-01A</v>
      </c>
      <c r="I17115" t="s">
        <v>549</v>
      </c>
      <c r="J17115" t="s">
        <v>550</v>
      </c>
      <c r="K17115" t="s">
        <v>33</v>
      </c>
      <c r="L17115" t="s">
        <v>551</v>
      </c>
      <c r="N17115" t="s">
        <v>29</v>
      </c>
    </row>
    <row r="17116" spans="1:14">
      <c r="A17116" s="4" t="str">
        <f t="shared" si="1262"/>
        <v>EXP00433</v>
      </c>
      <c r="B17116" s="3" t="s">
        <v>66</v>
      </c>
      <c r="C17116" s="4" t="str">
        <f t="shared" si="1261"/>
        <v>TCGA-ESCA</v>
      </c>
      <c r="D17116" s="1" t="s">
        <v>493</v>
      </c>
      <c r="E17116" t="s">
        <v>560</v>
      </c>
      <c r="F17116" s="1">
        <v>2</v>
      </c>
      <c r="G17116" s="1" t="s">
        <v>28</v>
      </c>
      <c r="H17116" s="4" t="str">
        <f>HYPERLINK("https://portal.gdc.cancer.gov/cases/b782c157-6b33-4247-83df-a82dc5e5d432","TCGA-LN-A8HZ-01A")</f>
        <v>TCGA-LN-A8HZ-01A</v>
      </c>
      <c r="I17116" t="s">
        <v>549</v>
      </c>
      <c r="J17116" t="s">
        <v>550</v>
      </c>
      <c r="K17116" t="s">
        <v>33</v>
      </c>
      <c r="L17116" t="s">
        <v>551</v>
      </c>
      <c r="N17116" t="s">
        <v>29</v>
      </c>
    </row>
    <row r="17117" spans="1:14">
      <c r="A17117" s="4" t="str">
        <f t="shared" si="1262"/>
        <v>EXP00433</v>
      </c>
      <c r="B17117" s="3" t="s">
        <v>66</v>
      </c>
      <c r="C17117" s="4" t="str">
        <f t="shared" si="1261"/>
        <v>TCGA-ESCA</v>
      </c>
      <c r="D17117" s="1" t="s">
        <v>493</v>
      </c>
      <c r="E17117" t="s">
        <v>560</v>
      </c>
      <c r="F17117" s="1">
        <v>2</v>
      </c>
      <c r="G17117" s="1" t="s">
        <v>28</v>
      </c>
      <c r="H17117" s="4" t="str">
        <f>HYPERLINK("https://portal.gdc.cancer.gov/cases/59da377a-12a6-454a-be01-886eda894179","TCGA-LN-A8I0-01A")</f>
        <v>TCGA-LN-A8I0-01A</v>
      </c>
      <c r="I17117" t="s">
        <v>549</v>
      </c>
      <c r="J17117" t="s">
        <v>550</v>
      </c>
      <c r="K17117" t="s">
        <v>33</v>
      </c>
      <c r="L17117" t="s">
        <v>551</v>
      </c>
      <c r="N17117" t="s">
        <v>29</v>
      </c>
    </row>
    <row r="17118" spans="1:14">
      <c r="A17118" s="4" t="str">
        <f t="shared" si="1262"/>
        <v>EXP00433</v>
      </c>
      <c r="B17118" s="3" t="s">
        <v>66</v>
      </c>
      <c r="C17118" s="4" t="str">
        <f t="shared" si="1261"/>
        <v>TCGA-ESCA</v>
      </c>
      <c r="D17118" s="1" t="s">
        <v>493</v>
      </c>
      <c r="E17118" t="s">
        <v>560</v>
      </c>
      <c r="F17118" s="1">
        <v>2</v>
      </c>
      <c r="G17118" s="1" t="s">
        <v>28</v>
      </c>
      <c r="H17118" s="4" t="str">
        <f>HYPERLINK("https://portal.gdc.cancer.gov/cases/83762308-4dba-4870-b90b-64331ebc9baa","TCGA-LN-A8I1-01A")</f>
        <v>TCGA-LN-A8I1-01A</v>
      </c>
      <c r="I17118" t="s">
        <v>549</v>
      </c>
      <c r="J17118" t="s">
        <v>550</v>
      </c>
      <c r="K17118" t="s">
        <v>33</v>
      </c>
      <c r="L17118" t="s">
        <v>551</v>
      </c>
      <c r="N17118" t="s">
        <v>29</v>
      </c>
    </row>
    <row r="17119" spans="1:14">
      <c r="A17119" s="4" t="str">
        <f t="shared" si="1262"/>
        <v>EXP00433</v>
      </c>
      <c r="B17119" s="3" t="s">
        <v>66</v>
      </c>
      <c r="C17119" s="4" t="str">
        <f t="shared" si="1261"/>
        <v>TCGA-ESCA</v>
      </c>
      <c r="D17119" s="1" t="s">
        <v>493</v>
      </c>
      <c r="E17119" t="s">
        <v>560</v>
      </c>
      <c r="F17119" s="1">
        <v>2</v>
      </c>
      <c r="G17119" s="1" t="s">
        <v>28</v>
      </c>
      <c r="H17119" s="4" t="str">
        <f>HYPERLINK("https://portal.gdc.cancer.gov/cases/cad8bd3a-ffd8-4baf-9de6-3ac3a1eb19e1","TCGA-LN-A9FO-01A")</f>
        <v>TCGA-LN-A9FO-01A</v>
      </c>
      <c r="I17119" t="s">
        <v>549</v>
      </c>
      <c r="J17119" t="s">
        <v>550</v>
      </c>
      <c r="K17119" t="s">
        <v>33</v>
      </c>
      <c r="L17119" t="s">
        <v>551</v>
      </c>
      <c r="N17119" t="s">
        <v>29</v>
      </c>
    </row>
    <row r="17120" spans="1:14">
      <c r="A17120" s="4" t="str">
        <f t="shared" si="1262"/>
        <v>EXP00433</v>
      </c>
      <c r="B17120" s="3" t="s">
        <v>66</v>
      </c>
      <c r="C17120" s="4" t="str">
        <f t="shared" si="1261"/>
        <v>TCGA-ESCA</v>
      </c>
      <c r="D17120" s="1" t="s">
        <v>493</v>
      </c>
      <c r="E17120" t="s">
        <v>560</v>
      </c>
      <c r="F17120" s="1">
        <v>2</v>
      </c>
      <c r="G17120" s="1" t="s">
        <v>28</v>
      </c>
      <c r="H17120" s="4" t="str">
        <f>HYPERLINK("https://portal.gdc.cancer.gov/cases/981066ec-eca6-4621-8979-e935279aa1ca","TCGA-LN-A9FP-01A")</f>
        <v>TCGA-LN-A9FP-01A</v>
      </c>
      <c r="I17120" t="s">
        <v>549</v>
      </c>
      <c r="J17120" t="s">
        <v>550</v>
      </c>
      <c r="K17120" t="s">
        <v>33</v>
      </c>
      <c r="L17120" t="s">
        <v>551</v>
      </c>
      <c r="N17120" t="s">
        <v>29</v>
      </c>
    </row>
    <row r="17121" spans="1:14">
      <c r="A17121" s="4" t="str">
        <f t="shared" si="1262"/>
        <v>EXP00433</v>
      </c>
      <c r="B17121" s="3" t="s">
        <v>66</v>
      </c>
      <c r="C17121" s="4" t="str">
        <f t="shared" si="1261"/>
        <v>TCGA-ESCA</v>
      </c>
      <c r="D17121" s="1" t="s">
        <v>493</v>
      </c>
      <c r="E17121" t="s">
        <v>560</v>
      </c>
      <c r="F17121" s="1">
        <v>2</v>
      </c>
      <c r="G17121" s="1" t="s">
        <v>28</v>
      </c>
      <c r="H17121" s="4" t="str">
        <f>HYPERLINK("https://portal.gdc.cancer.gov/cases/37d13493-975c-432c-bd21-65f383fc66c9","TCGA-LN-A9FQ-01A")</f>
        <v>TCGA-LN-A9FQ-01A</v>
      </c>
      <c r="I17121" t="s">
        <v>549</v>
      </c>
      <c r="J17121" t="s">
        <v>550</v>
      </c>
      <c r="K17121" t="s">
        <v>33</v>
      </c>
      <c r="L17121" t="s">
        <v>551</v>
      </c>
      <c r="N17121" t="s">
        <v>29</v>
      </c>
    </row>
    <row r="17122" spans="1:14">
      <c r="A17122" s="4" t="str">
        <f t="shared" si="1262"/>
        <v>EXP00433</v>
      </c>
      <c r="B17122" s="3" t="s">
        <v>66</v>
      </c>
      <c r="C17122" s="4" t="str">
        <f t="shared" si="1261"/>
        <v>TCGA-ESCA</v>
      </c>
      <c r="D17122" s="1" t="s">
        <v>493</v>
      </c>
      <c r="E17122" t="s">
        <v>560</v>
      </c>
      <c r="F17122" s="1">
        <v>2</v>
      </c>
      <c r="G17122" s="1" t="s">
        <v>28</v>
      </c>
      <c r="H17122" s="4" t="str">
        <f>HYPERLINK("https://portal.gdc.cancer.gov/cases/cfdc8f4d-a25b-4c63-9832-58444581a505","TCGA-LN-A9FR-01A")</f>
        <v>TCGA-LN-A9FR-01A</v>
      </c>
      <c r="I17122" t="s">
        <v>549</v>
      </c>
      <c r="J17122" t="s">
        <v>550</v>
      </c>
      <c r="K17122" t="s">
        <v>33</v>
      </c>
      <c r="L17122" t="s">
        <v>551</v>
      </c>
      <c r="N17122" t="s">
        <v>29</v>
      </c>
    </row>
    <row r="17123" spans="1:14">
      <c r="A17123" s="4" t="str">
        <f t="shared" si="1262"/>
        <v>EXP00433</v>
      </c>
      <c r="B17123" s="3" t="s">
        <v>66</v>
      </c>
      <c r="C17123" s="4" t="str">
        <f t="shared" si="1261"/>
        <v>TCGA-ESCA</v>
      </c>
      <c r="D17123" s="1" t="s">
        <v>493</v>
      </c>
      <c r="E17123" t="s">
        <v>560</v>
      </c>
      <c r="F17123" s="1">
        <v>2</v>
      </c>
      <c r="G17123" s="1" t="s">
        <v>28</v>
      </c>
      <c r="H17123" s="4" t="str">
        <f>HYPERLINK("https://portal.gdc.cancer.gov/cases/124c1d54-1836-4f8f-920f-14047376120f","TCGA-M9-A5M8-01A")</f>
        <v>TCGA-M9-A5M8-01A</v>
      </c>
      <c r="I17123" t="s">
        <v>549</v>
      </c>
      <c r="J17123" t="s">
        <v>550</v>
      </c>
      <c r="K17123" t="s">
        <v>33</v>
      </c>
      <c r="L17123" t="s">
        <v>551</v>
      </c>
      <c r="N17123" t="s">
        <v>29</v>
      </c>
    </row>
    <row r="17124" spans="1:14">
      <c r="A17124" s="4" t="str">
        <f t="shared" si="1262"/>
        <v>EXP00433</v>
      </c>
      <c r="B17124" s="3" t="s">
        <v>66</v>
      </c>
      <c r="C17124" s="4" t="str">
        <f t="shared" si="1261"/>
        <v>TCGA-ESCA</v>
      </c>
      <c r="D17124" s="1" t="s">
        <v>493</v>
      </c>
      <c r="E17124" t="s">
        <v>560</v>
      </c>
      <c r="F17124" s="1">
        <v>2</v>
      </c>
      <c r="G17124" s="1" t="s">
        <v>28</v>
      </c>
      <c r="H17124" s="4" t="str">
        <f>HYPERLINK("https://portal.gdc.cancer.gov/cases/c89f6ea5-786d-4d3c-aa93-681664a908f9","TCGA-Q9-A6FW-01A")</f>
        <v>TCGA-Q9-A6FW-01A</v>
      </c>
      <c r="I17124" t="s">
        <v>549</v>
      </c>
      <c r="J17124" t="s">
        <v>550</v>
      </c>
      <c r="K17124" t="s">
        <v>33</v>
      </c>
      <c r="L17124" t="s">
        <v>551</v>
      </c>
      <c r="N17124" t="s">
        <v>29</v>
      </c>
    </row>
    <row r="17125" spans="1:14">
      <c r="A17125" s="4" t="str">
        <f t="shared" si="1262"/>
        <v>EXP00433</v>
      </c>
      <c r="B17125" s="3" t="s">
        <v>66</v>
      </c>
      <c r="C17125" s="4" t="str">
        <f t="shared" si="1261"/>
        <v>TCGA-ESCA</v>
      </c>
      <c r="D17125" s="1" t="s">
        <v>493</v>
      </c>
      <c r="E17125" t="s">
        <v>560</v>
      </c>
      <c r="F17125" s="1">
        <v>2</v>
      </c>
      <c r="G17125" s="1" t="s">
        <v>28</v>
      </c>
      <c r="H17125" s="4" t="str">
        <f>HYPERLINK("https://portal.gdc.cancer.gov/cases/ac437816-e057-4f2c-9443-6289199431ed","TCGA-R6-A6DN-01B")</f>
        <v>TCGA-R6-A6DN-01B</v>
      </c>
      <c r="I17125" t="s">
        <v>549</v>
      </c>
      <c r="J17125" t="s">
        <v>550</v>
      </c>
      <c r="K17125" t="s">
        <v>33</v>
      </c>
      <c r="L17125" t="s">
        <v>551</v>
      </c>
      <c r="N17125" t="s">
        <v>29</v>
      </c>
    </row>
    <row r="17126" spans="1:14">
      <c r="A17126" s="4" t="str">
        <f t="shared" si="1262"/>
        <v>EXP00433</v>
      </c>
      <c r="B17126" s="3" t="s">
        <v>66</v>
      </c>
      <c r="C17126" s="4" t="str">
        <f t="shared" si="1261"/>
        <v>TCGA-ESCA</v>
      </c>
      <c r="D17126" s="1" t="s">
        <v>493</v>
      </c>
      <c r="E17126" t="s">
        <v>560</v>
      </c>
      <c r="F17126" s="1">
        <v>2</v>
      </c>
      <c r="G17126" s="1" t="s">
        <v>28</v>
      </c>
      <c r="H17126" s="4" t="str">
        <f>HYPERLINK("https://portal.gdc.cancer.gov/cases/dde17514-bd86-41e7-ae6d-88dda6d854bb","TCGA-R6-A6DQ-01B")</f>
        <v>TCGA-R6-A6DQ-01B</v>
      </c>
      <c r="I17126" t="s">
        <v>549</v>
      </c>
      <c r="J17126" t="s">
        <v>550</v>
      </c>
      <c r="K17126" t="s">
        <v>33</v>
      </c>
      <c r="L17126" t="s">
        <v>551</v>
      </c>
      <c r="N17126" t="s">
        <v>29</v>
      </c>
    </row>
    <row r="17127" spans="1:14">
      <c r="A17127" s="4" t="str">
        <f t="shared" si="1262"/>
        <v>EXP00433</v>
      </c>
      <c r="B17127" s="3" t="s">
        <v>66</v>
      </c>
      <c r="C17127" s="4" t="str">
        <f t="shared" si="1261"/>
        <v>TCGA-ESCA</v>
      </c>
      <c r="D17127" s="1" t="s">
        <v>493</v>
      </c>
      <c r="E17127" t="s">
        <v>560</v>
      </c>
      <c r="F17127" s="1">
        <v>2</v>
      </c>
      <c r="G17127" s="1" t="s">
        <v>28</v>
      </c>
      <c r="H17127" s="4" t="str">
        <f>HYPERLINK("https://portal.gdc.cancer.gov/cases/8d5788ca-9131-4604-870f-c7eea84c9ff6","TCGA-R6-A6KZ-01A")</f>
        <v>TCGA-R6-A6KZ-01A</v>
      </c>
      <c r="I17127" t="s">
        <v>549</v>
      </c>
      <c r="J17127" t="s">
        <v>550</v>
      </c>
      <c r="K17127" t="s">
        <v>33</v>
      </c>
      <c r="L17127" t="s">
        <v>551</v>
      </c>
      <c r="N17127" t="s">
        <v>29</v>
      </c>
    </row>
    <row r="17128" spans="1:14">
      <c r="A17128" s="4" t="str">
        <f t="shared" si="1262"/>
        <v>EXP00433</v>
      </c>
      <c r="B17128" s="3" t="s">
        <v>66</v>
      </c>
      <c r="C17128" s="4" t="str">
        <f t="shared" si="1261"/>
        <v>TCGA-ESCA</v>
      </c>
      <c r="D17128" s="1" t="s">
        <v>493</v>
      </c>
      <c r="E17128" t="s">
        <v>560</v>
      </c>
      <c r="F17128" s="1">
        <v>2</v>
      </c>
      <c r="G17128" s="1" t="s">
        <v>28</v>
      </c>
      <c r="H17128" s="4" t="str">
        <f>HYPERLINK("https://portal.gdc.cancer.gov/cases/8373bc4a-490d-4050-bbb1-48b6472eba34","TCGA-R6-A6XQ-01B")</f>
        <v>TCGA-R6-A6XQ-01B</v>
      </c>
      <c r="I17128" t="s">
        <v>549</v>
      </c>
      <c r="J17128" t="s">
        <v>550</v>
      </c>
      <c r="K17128" t="s">
        <v>33</v>
      </c>
      <c r="L17128" t="s">
        <v>551</v>
      </c>
      <c r="N17128" t="s">
        <v>29</v>
      </c>
    </row>
    <row r="17129" spans="1:14">
      <c r="A17129" s="4" t="str">
        <f t="shared" si="1262"/>
        <v>EXP00433</v>
      </c>
      <c r="B17129" s="3" t="s">
        <v>66</v>
      </c>
      <c r="C17129" s="4" t="str">
        <f t="shared" si="1261"/>
        <v>TCGA-ESCA</v>
      </c>
      <c r="D17129" s="1" t="s">
        <v>493</v>
      </c>
      <c r="E17129" t="s">
        <v>560</v>
      </c>
      <c r="F17129" s="1">
        <v>2</v>
      </c>
      <c r="G17129" s="1" t="s">
        <v>28</v>
      </c>
      <c r="H17129" s="4" t="str">
        <f>HYPERLINK("https://portal.gdc.cancer.gov/cases/77b3ec30-1e9f-466a-944b-6b187635edb7","TCGA-R6-A6Y0-01B")</f>
        <v>TCGA-R6-A6Y0-01B</v>
      </c>
      <c r="I17129" t="s">
        <v>549</v>
      </c>
      <c r="J17129" t="s">
        <v>550</v>
      </c>
      <c r="K17129" t="s">
        <v>33</v>
      </c>
      <c r="L17129" t="s">
        <v>551</v>
      </c>
      <c r="N17129" t="s">
        <v>29</v>
      </c>
    </row>
    <row r="17130" spans="1:14">
      <c r="A17130" s="4" t="str">
        <f t="shared" si="1262"/>
        <v>EXP00433</v>
      </c>
      <c r="B17130" s="3" t="s">
        <v>66</v>
      </c>
      <c r="C17130" s="4" t="str">
        <f t="shared" si="1261"/>
        <v>TCGA-ESCA</v>
      </c>
      <c r="D17130" s="1" t="s">
        <v>493</v>
      </c>
      <c r="E17130" t="s">
        <v>560</v>
      </c>
      <c r="F17130" s="1">
        <v>2</v>
      </c>
      <c r="G17130" s="1" t="s">
        <v>28</v>
      </c>
      <c r="H17130" s="4" t="str">
        <f>HYPERLINK("https://portal.gdc.cancer.gov/cases/cccd0568-e267-44a2-8421-6471736bb45f","TCGA-R6-A8W8-01B")</f>
        <v>TCGA-R6-A8W8-01B</v>
      </c>
      <c r="I17130" t="s">
        <v>549</v>
      </c>
      <c r="J17130" t="s">
        <v>550</v>
      </c>
      <c r="K17130" t="s">
        <v>33</v>
      </c>
      <c r="L17130" t="s">
        <v>551</v>
      </c>
      <c r="N17130" t="s">
        <v>29</v>
      </c>
    </row>
    <row r="17131" spans="1:14">
      <c r="A17131" s="4" t="str">
        <f t="shared" si="1262"/>
        <v>EXP00433</v>
      </c>
      <c r="B17131" s="3" t="s">
        <v>66</v>
      </c>
      <c r="C17131" s="4" t="str">
        <f t="shared" si="1261"/>
        <v>TCGA-ESCA</v>
      </c>
      <c r="D17131" s="1" t="s">
        <v>493</v>
      </c>
      <c r="E17131" t="s">
        <v>560</v>
      </c>
      <c r="F17131" s="1">
        <v>2</v>
      </c>
      <c r="G17131" s="1" t="s">
        <v>28</v>
      </c>
      <c r="H17131" s="4" t="str">
        <f>HYPERLINK("https://portal.gdc.cancer.gov/cases/9a1c83cd-d746-4008-8ed3-22cd44951e29","TCGA-R6-A8WC-01A")</f>
        <v>TCGA-R6-A8WC-01A</v>
      </c>
      <c r="I17131" t="s">
        <v>549</v>
      </c>
      <c r="J17131" t="s">
        <v>550</v>
      </c>
      <c r="K17131" t="s">
        <v>33</v>
      </c>
      <c r="L17131" t="s">
        <v>551</v>
      </c>
      <c r="N17131" t="s">
        <v>29</v>
      </c>
    </row>
    <row r="17132" spans="1:14">
      <c r="A17132" s="4" t="str">
        <f t="shared" si="1262"/>
        <v>EXP00433</v>
      </c>
      <c r="B17132" s="3" t="s">
        <v>66</v>
      </c>
      <c r="C17132" s="4" t="str">
        <f t="shared" si="1261"/>
        <v>TCGA-ESCA</v>
      </c>
      <c r="D17132" s="1" t="s">
        <v>493</v>
      </c>
      <c r="E17132" t="s">
        <v>560</v>
      </c>
      <c r="F17132" s="1">
        <v>2</v>
      </c>
      <c r="G17132" s="1" t="s">
        <v>28</v>
      </c>
      <c r="H17132" s="4" t="str">
        <f>HYPERLINK("https://portal.gdc.cancer.gov/cases/9112a681-e5a2-4dc8-b5af-0187d3bfc1d3","TCGA-RE-A7BO-01A")</f>
        <v>TCGA-RE-A7BO-01A</v>
      </c>
      <c r="I17132" t="s">
        <v>549</v>
      </c>
      <c r="J17132" t="s">
        <v>550</v>
      </c>
      <c r="K17132" t="s">
        <v>33</v>
      </c>
      <c r="L17132" t="s">
        <v>551</v>
      </c>
      <c r="N17132" t="s">
        <v>29</v>
      </c>
    </row>
    <row r="17133" spans="1:14">
      <c r="A17133" s="4" t="str">
        <f t="shared" si="1262"/>
        <v>EXP00433</v>
      </c>
      <c r="B17133" s="3" t="s">
        <v>66</v>
      </c>
      <c r="C17133" s="4" t="str">
        <f t="shared" si="1261"/>
        <v>TCGA-ESCA</v>
      </c>
      <c r="D17133" s="1" t="s">
        <v>493</v>
      </c>
      <c r="E17133" t="s">
        <v>560</v>
      </c>
      <c r="F17133" s="1">
        <v>2</v>
      </c>
      <c r="G17133" s="1" t="s">
        <v>28</v>
      </c>
      <c r="H17133" s="4" t="str">
        <f>HYPERLINK("https://portal.gdc.cancer.gov/cases/48633bb8-c5f3-45aa-a406-e46c624391b4","TCGA-S8-A6BV-01A")</f>
        <v>TCGA-S8-A6BV-01A</v>
      </c>
      <c r="I17133" t="s">
        <v>549</v>
      </c>
      <c r="J17133" t="s">
        <v>550</v>
      </c>
      <c r="K17133" t="s">
        <v>33</v>
      </c>
      <c r="L17133" t="s">
        <v>551</v>
      </c>
      <c r="N17133" t="s">
        <v>29</v>
      </c>
    </row>
    <row r="17134" spans="1:14">
      <c r="A17134" s="4" t="str">
        <f t="shared" si="1262"/>
        <v>EXP00433</v>
      </c>
      <c r="B17134" s="3" t="s">
        <v>66</v>
      </c>
      <c r="C17134" s="4" t="str">
        <f t="shared" si="1261"/>
        <v>TCGA-ESCA</v>
      </c>
      <c r="D17134" s="1" t="s">
        <v>493</v>
      </c>
      <c r="E17134" t="s">
        <v>560</v>
      </c>
      <c r="F17134" s="1">
        <v>2</v>
      </c>
      <c r="G17134" s="1" t="s">
        <v>28</v>
      </c>
      <c r="H17134" s="4" t="str">
        <f>HYPERLINK("https://portal.gdc.cancer.gov/cases/65cee80a-4c0a-4594-afca-d7088f7e5857","TCGA-S8-A6BW-01A")</f>
        <v>TCGA-S8-A6BW-01A</v>
      </c>
      <c r="I17134" t="s">
        <v>549</v>
      </c>
      <c r="J17134" t="s">
        <v>550</v>
      </c>
      <c r="K17134" t="s">
        <v>33</v>
      </c>
      <c r="L17134" t="s">
        <v>551</v>
      </c>
      <c r="N17134" t="s">
        <v>29</v>
      </c>
    </row>
    <row r="17135" spans="1:14">
      <c r="A17135" s="4" t="str">
        <f t="shared" si="1262"/>
        <v>EXP00433</v>
      </c>
      <c r="B17135" s="3" t="s">
        <v>66</v>
      </c>
      <c r="C17135" s="4" t="str">
        <f t="shared" si="1261"/>
        <v>TCGA-ESCA</v>
      </c>
      <c r="D17135" s="1" t="s">
        <v>493</v>
      </c>
      <c r="E17135" t="s">
        <v>560</v>
      </c>
      <c r="F17135" s="1">
        <v>2</v>
      </c>
      <c r="G17135" s="1" t="s">
        <v>28</v>
      </c>
      <c r="H17135" s="4" t="str">
        <f>HYPERLINK("https://portal.gdc.cancer.gov/cases/cd2f37a3-1912-4e64-89c5-a92a070efd5b","TCGA-V5-A7RB-01A")</f>
        <v>TCGA-V5-A7RB-01A</v>
      </c>
      <c r="I17135" t="s">
        <v>549</v>
      </c>
      <c r="J17135" t="s">
        <v>550</v>
      </c>
      <c r="K17135" t="s">
        <v>33</v>
      </c>
      <c r="L17135" t="s">
        <v>551</v>
      </c>
      <c r="N17135" t="s">
        <v>29</v>
      </c>
    </row>
    <row r="17136" spans="1:14">
      <c r="A17136" s="4" t="str">
        <f t="shared" si="1262"/>
        <v>EXP00433</v>
      </c>
      <c r="B17136" s="3" t="s">
        <v>66</v>
      </c>
      <c r="C17136" s="4" t="str">
        <f t="shared" si="1261"/>
        <v>TCGA-ESCA</v>
      </c>
      <c r="D17136" s="1" t="s">
        <v>493</v>
      </c>
      <c r="E17136" t="s">
        <v>560</v>
      </c>
      <c r="F17136" s="1">
        <v>2</v>
      </c>
      <c r="G17136" s="1" t="s">
        <v>28</v>
      </c>
      <c r="H17136" s="4" t="str">
        <f>HYPERLINK("https://portal.gdc.cancer.gov/cases/3b076d77-6276-4233-867b-6a10d9e17343","TCGA-V5-A7RE-01A")</f>
        <v>TCGA-V5-A7RE-01A</v>
      </c>
      <c r="I17136" t="s">
        <v>549</v>
      </c>
      <c r="J17136" t="s">
        <v>550</v>
      </c>
      <c r="K17136" t="s">
        <v>33</v>
      </c>
      <c r="L17136" t="s">
        <v>551</v>
      </c>
      <c r="N17136" t="s">
        <v>29</v>
      </c>
    </row>
    <row r="17137" spans="1:14">
      <c r="A17137" s="4" t="str">
        <f t="shared" si="1262"/>
        <v>EXP00433</v>
      </c>
      <c r="B17137" s="3" t="s">
        <v>66</v>
      </c>
      <c r="C17137" s="4" t="str">
        <f t="shared" si="1261"/>
        <v>TCGA-ESCA</v>
      </c>
      <c r="D17137" s="1" t="s">
        <v>493</v>
      </c>
      <c r="E17137" t="s">
        <v>560</v>
      </c>
      <c r="F17137" s="1">
        <v>2</v>
      </c>
      <c r="G17137" s="1" t="s">
        <v>28</v>
      </c>
      <c r="H17137" s="4" t="str">
        <f>HYPERLINK("https://portal.gdc.cancer.gov/cases/89aab5c2-9761-43bb-9053-eed42ee08969","TCGA-V5-AASV-01A")</f>
        <v>TCGA-V5-AASV-01A</v>
      </c>
      <c r="I17137" t="s">
        <v>549</v>
      </c>
      <c r="J17137" t="s">
        <v>550</v>
      </c>
      <c r="K17137" t="s">
        <v>33</v>
      </c>
      <c r="L17137" t="s">
        <v>551</v>
      </c>
      <c r="N17137" t="s">
        <v>29</v>
      </c>
    </row>
    <row r="17138" spans="1:14">
      <c r="A17138" s="4" t="str">
        <f t="shared" si="1262"/>
        <v>EXP00433</v>
      </c>
      <c r="B17138" s="3" t="s">
        <v>66</v>
      </c>
      <c r="C17138" s="4" t="str">
        <f t="shared" si="1261"/>
        <v>TCGA-ESCA</v>
      </c>
      <c r="D17138" s="1" t="s">
        <v>493</v>
      </c>
      <c r="E17138" t="s">
        <v>560</v>
      </c>
      <c r="F17138" s="1">
        <v>2</v>
      </c>
      <c r="G17138" s="1" t="s">
        <v>28</v>
      </c>
      <c r="H17138" s="4" t="str">
        <f>HYPERLINK("https://portal.gdc.cancer.gov/cases/ad2fe57c-2f44-4d57-83a9-349c8a25c414","TCGA-V5-AASW-01A")</f>
        <v>TCGA-V5-AASW-01A</v>
      </c>
      <c r="I17138" t="s">
        <v>549</v>
      </c>
      <c r="J17138" t="s">
        <v>550</v>
      </c>
      <c r="K17138" t="s">
        <v>33</v>
      </c>
      <c r="L17138" t="s">
        <v>551</v>
      </c>
      <c r="N17138" t="s">
        <v>29</v>
      </c>
    </row>
    <row r="17139" spans="1:14">
      <c r="A17139" s="4" t="str">
        <f t="shared" si="1262"/>
        <v>EXP00433</v>
      </c>
      <c r="B17139" s="3" t="s">
        <v>66</v>
      </c>
      <c r="C17139" s="4" t="str">
        <f t="shared" si="1261"/>
        <v>TCGA-ESCA</v>
      </c>
      <c r="D17139" s="1" t="s">
        <v>493</v>
      </c>
      <c r="E17139" t="s">
        <v>560</v>
      </c>
      <c r="F17139" s="1">
        <v>2</v>
      </c>
      <c r="G17139" s="1" t="s">
        <v>28</v>
      </c>
      <c r="H17139" s="4" t="str">
        <f>HYPERLINK("https://portal.gdc.cancer.gov/cases/6c7d464e-09f1-4478-837d-bfbf6addf062","TCGA-V5-AASX-01A")</f>
        <v>TCGA-V5-AASX-01A</v>
      </c>
      <c r="I17139" t="s">
        <v>549</v>
      </c>
      <c r="J17139" t="s">
        <v>550</v>
      </c>
      <c r="K17139" t="s">
        <v>33</v>
      </c>
      <c r="L17139" t="s">
        <v>551</v>
      </c>
      <c r="N17139" t="s">
        <v>29</v>
      </c>
    </row>
    <row r="17140" spans="1:14">
      <c r="A17140" s="4" t="str">
        <f t="shared" si="1262"/>
        <v>EXP00433</v>
      </c>
      <c r="B17140" s="3" t="s">
        <v>66</v>
      </c>
      <c r="C17140" s="4" t="str">
        <f t="shared" si="1261"/>
        <v>TCGA-ESCA</v>
      </c>
      <c r="D17140" s="1" t="s">
        <v>493</v>
      </c>
      <c r="E17140" t="s">
        <v>560</v>
      </c>
      <c r="F17140" s="1">
        <v>2</v>
      </c>
      <c r="G17140" s="1" t="s">
        <v>28</v>
      </c>
      <c r="H17140" s="4" t="str">
        <f>HYPERLINK("https://portal.gdc.cancer.gov/cases/705f9841-988a-488a-8cdd-3e00bc731e76","TCGA-VR-A8EO-01A")</f>
        <v>TCGA-VR-A8EO-01A</v>
      </c>
      <c r="I17140" t="s">
        <v>549</v>
      </c>
      <c r="J17140" t="s">
        <v>550</v>
      </c>
      <c r="K17140" t="s">
        <v>33</v>
      </c>
      <c r="L17140" t="s">
        <v>551</v>
      </c>
      <c r="N17140" t="s">
        <v>29</v>
      </c>
    </row>
    <row r="17141" spans="1:14">
      <c r="A17141" s="4" t="str">
        <f t="shared" si="1262"/>
        <v>EXP00433</v>
      </c>
      <c r="B17141" s="3" t="s">
        <v>66</v>
      </c>
      <c r="C17141" s="4" t="str">
        <f t="shared" si="1261"/>
        <v>TCGA-ESCA</v>
      </c>
      <c r="D17141" s="1" t="s">
        <v>493</v>
      </c>
      <c r="E17141" t="s">
        <v>560</v>
      </c>
      <c r="F17141" s="1">
        <v>2</v>
      </c>
      <c r="G17141" s="1" t="s">
        <v>28</v>
      </c>
      <c r="H17141" s="4" t="str">
        <f>HYPERLINK("https://portal.gdc.cancer.gov/cases/d86eab07-8cb2-49a8-b00f-2986efd7ea3b","TCGA-VR-A8EP-01A")</f>
        <v>TCGA-VR-A8EP-01A</v>
      </c>
      <c r="I17141" t="s">
        <v>549</v>
      </c>
      <c r="J17141" t="s">
        <v>550</v>
      </c>
      <c r="K17141" t="s">
        <v>33</v>
      </c>
      <c r="L17141" t="s">
        <v>551</v>
      </c>
      <c r="N17141" t="s">
        <v>29</v>
      </c>
    </row>
    <row r="17142" spans="1:14">
      <c r="A17142" s="4" t="str">
        <f t="shared" si="1262"/>
        <v>EXP00433</v>
      </c>
      <c r="B17142" s="3" t="s">
        <v>66</v>
      </c>
      <c r="C17142" s="4" t="str">
        <f t="shared" si="1261"/>
        <v>TCGA-ESCA</v>
      </c>
      <c r="D17142" s="1" t="s">
        <v>493</v>
      </c>
      <c r="E17142" t="s">
        <v>560</v>
      </c>
      <c r="F17142" s="1">
        <v>2</v>
      </c>
      <c r="G17142" s="1" t="s">
        <v>28</v>
      </c>
      <c r="H17142" s="4" t="str">
        <f>HYPERLINK("https://portal.gdc.cancer.gov/cases/49a3c7c6-81b0-4b14-8e13-03f6901171f8","TCGA-VR-A8EQ-01A")</f>
        <v>TCGA-VR-A8EQ-01A</v>
      </c>
      <c r="I17142" t="s">
        <v>549</v>
      </c>
      <c r="J17142" t="s">
        <v>550</v>
      </c>
      <c r="K17142" t="s">
        <v>33</v>
      </c>
      <c r="L17142" t="s">
        <v>551</v>
      </c>
      <c r="N17142" t="s">
        <v>29</v>
      </c>
    </row>
    <row r="17143" spans="1:14">
      <c r="A17143" s="4" t="str">
        <f t="shared" ref="A17143:A17157" si="1263">HYPERLINK("http://hcmdb.i-sanger.com/experiment/details/experiment_id/EXP00433","EXP00433")</f>
        <v>EXP00433</v>
      </c>
      <c r="B17143" s="3" t="s">
        <v>66</v>
      </c>
      <c r="C17143" s="4" t="str">
        <f t="shared" si="1261"/>
        <v>TCGA-ESCA</v>
      </c>
      <c r="D17143" s="1" t="s">
        <v>493</v>
      </c>
      <c r="E17143" t="s">
        <v>560</v>
      </c>
      <c r="F17143" s="1">
        <v>2</v>
      </c>
      <c r="G17143" s="1" t="s">
        <v>28</v>
      </c>
      <c r="H17143" s="4" t="str">
        <f>HYPERLINK("https://portal.gdc.cancer.gov/cases/54e45b43-363a-47a3-b43b-5e41ff589b47","TCGA-VR-A8ER-01A")</f>
        <v>TCGA-VR-A8ER-01A</v>
      </c>
      <c r="I17143" t="s">
        <v>549</v>
      </c>
      <c r="J17143" t="s">
        <v>550</v>
      </c>
      <c r="K17143" t="s">
        <v>33</v>
      </c>
      <c r="L17143" t="s">
        <v>551</v>
      </c>
      <c r="N17143" t="s">
        <v>29</v>
      </c>
    </row>
    <row r="17144" spans="1:14">
      <c r="A17144" s="4" t="str">
        <f t="shared" si="1263"/>
        <v>EXP00433</v>
      </c>
      <c r="B17144" s="3" t="s">
        <v>66</v>
      </c>
      <c r="C17144" s="4" t="str">
        <f t="shared" si="1261"/>
        <v>TCGA-ESCA</v>
      </c>
      <c r="D17144" s="1" t="s">
        <v>493</v>
      </c>
      <c r="E17144" t="s">
        <v>560</v>
      </c>
      <c r="F17144" s="1">
        <v>2</v>
      </c>
      <c r="G17144" s="1" t="s">
        <v>28</v>
      </c>
      <c r="H17144" s="4" t="str">
        <f>HYPERLINK("https://portal.gdc.cancer.gov/cases/d064c0bf-ecac-4069-aeae-4cc36bc87b38","TCGA-VR-A8ET-01A")</f>
        <v>TCGA-VR-A8ET-01A</v>
      </c>
      <c r="I17144" t="s">
        <v>549</v>
      </c>
      <c r="J17144" t="s">
        <v>550</v>
      </c>
      <c r="K17144" t="s">
        <v>33</v>
      </c>
      <c r="L17144" t="s">
        <v>551</v>
      </c>
      <c r="N17144" t="s">
        <v>29</v>
      </c>
    </row>
    <row r="17145" spans="1:14">
      <c r="A17145" s="4" t="str">
        <f t="shared" si="1263"/>
        <v>EXP00433</v>
      </c>
      <c r="B17145" s="3" t="s">
        <v>66</v>
      </c>
      <c r="C17145" s="4" t="str">
        <f t="shared" si="1261"/>
        <v>TCGA-ESCA</v>
      </c>
      <c r="D17145" s="1" t="s">
        <v>493</v>
      </c>
      <c r="E17145" t="s">
        <v>560</v>
      </c>
      <c r="F17145" s="1">
        <v>2</v>
      </c>
      <c r="G17145" s="1" t="s">
        <v>28</v>
      </c>
      <c r="H17145" s="4" t="str">
        <f>HYPERLINK("https://portal.gdc.cancer.gov/cases/b5fa3ac1-0691-4b6a-b6e4-765311b419ed","TCGA-VR-A8EU-01A")</f>
        <v>TCGA-VR-A8EU-01A</v>
      </c>
      <c r="I17145" t="s">
        <v>549</v>
      </c>
      <c r="J17145" t="s">
        <v>550</v>
      </c>
      <c r="K17145" t="s">
        <v>33</v>
      </c>
      <c r="L17145" t="s">
        <v>551</v>
      </c>
      <c r="N17145" t="s">
        <v>29</v>
      </c>
    </row>
    <row r="17146" spans="1:14">
      <c r="A17146" s="4" t="str">
        <f t="shared" si="1263"/>
        <v>EXP00433</v>
      </c>
      <c r="B17146" s="3" t="s">
        <v>66</v>
      </c>
      <c r="C17146" s="4" t="str">
        <f t="shared" si="1261"/>
        <v>TCGA-ESCA</v>
      </c>
      <c r="D17146" s="1" t="s">
        <v>493</v>
      </c>
      <c r="E17146" t="s">
        <v>560</v>
      </c>
      <c r="F17146" s="1">
        <v>2</v>
      </c>
      <c r="G17146" s="1" t="s">
        <v>28</v>
      </c>
      <c r="H17146" s="4" t="str">
        <f>HYPERLINK("https://portal.gdc.cancer.gov/cases/71f9f567-3687-4e3f-ad20-aed026a5b7e1","TCGA-VR-A8EW-01A")</f>
        <v>TCGA-VR-A8EW-01A</v>
      </c>
      <c r="I17146" t="s">
        <v>549</v>
      </c>
      <c r="J17146" t="s">
        <v>550</v>
      </c>
      <c r="K17146" t="s">
        <v>33</v>
      </c>
      <c r="L17146" t="s">
        <v>551</v>
      </c>
      <c r="N17146" t="s">
        <v>29</v>
      </c>
    </row>
    <row r="17147" spans="1:14">
      <c r="A17147" s="4" t="str">
        <f t="shared" si="1263"/>
        <v>EXP00433</v>
      </c>
      <c r="B17147" s="3" t="s">
        <v>66</v>
      </c>
      <c r="C17147" s="4" t="str">
        <f t="shared" si="1261"/>
        <v>TCGA-ESCA</v>
      </c>
      <c r="D17147" s="1" t="s">
        <v>493</v>
      </c>
      <c r="E17147" t="s">
        <v>560</v>
      </c>
      <c r="F17147" s="1">
        <v>2</v>
      </c>
      <c r="G17147" s="1" t="s">
        <v>28</v>
      </c>
      <c r="H17147" s="4" t="str">
        <f>HYPERLINK("https://portal.gdc.cancer.gov/cases/0b831729-8c3f-472b-9d76-50bbb4aeab0e","TCGA-VR-A8EX-01A")</f>
        <v>TCGA-VR-A8EX-01A</v>
      </c>
      <c r="I17147" t="s">
        <v>549</v>
      </c>
      <c r="J17147" t="s">
        <v>550</v>
      </c>
      <c r="K17147" t="s">
        <v>33</v>
      </c>
      <c r="L17147" t="s">
        <v>551</v>
      </c>
      <c r="N17147" t="s">
        <v>29</v>
      </c>
    </row>
    <row r="17148" spans="1:14">
      <c r="A17148" s="4" t="str">
        <f t="shared" si="1263"/>
        <v>EXP00433</v>
      </c>
      <c r="B17148" s="3" t="s">
        <v>66</v>
      </c>
      <c r="C17148" s="4" t="str">
        <f t="shared" si="1261"/>
        <v>TCGA-ESCA</v>
      </c>
      <c r="D17148" s="1" t="s">
        <v>493</v>
      </c>
      <c r="E17148" t="s">
        <v>560</v>
      </c>
      <c r="F17148" s="1">
        <v>2</v>
      </c>
      <c r="G17148" s="1" t="s">
        <v>28</v>
      </c>
      <c r="H17148" s="4" t="str">
        <f>HYPERLINK("https://portal.gdc.cancer.gov/cases/c305aa0c-430c-4e3f-93ac-e611b32db30a","TCGA-VR-A8EY-01A")</f>
        <v>TCGA-VR-A8EY-01A</v>
      </c>
      <c r="I17148" t="s">
        <v>549</v>
      </c>
      <c r="J17148" t="s">
        <v>550</v>
      </c>
      <c r="K17148" t="s">
        <v>33</v>
      </c>
      <c r="L17148" t="s">
        <v>551</v>
      </c>
      <c r="N17148" t="s">
        <v>29</v>
      </c>
    </row>
    <row r="17149" spans="1:14">
      <c r="A17149" s="4" t="str">
        <f t="shared" si="1263"/>
        <v>EXP00433</v>
      </c>
      <c r="B17149" s="3" t="s">
        <v>66</v>
      </c>
      <c r="C17149" s="4" t="str">
        <f t="shared" si="1261"/>
        <v>TCGA-ESCA</v>
      </c>
      <c r="D17149" s="1" t="s">
        <v>493</v>
      </c>
      <c r="E17149" t="s">
        <v>560</v>
      </c>
      <c r="F17149" s="1">
        <v>2</v>
      </c>
      <c r="G17149" s="1" t="s">
        <v>28</v>
      </c>
      <c r="H17149" s="4" t="str">
        <f>HYPERLINK("https://portal.gdc.cancer.gov/cases/2795badd-5c70-442d-8780-8f458539d506","TCGA-VR-A8Q7-01A")</f>
        <v>TCGA-VR-A8Q7-01A</v>
      </c>
      <c r="I17149" t="s">
        <v>549</v>
      </c>
      <c r="J17149" t="s">
        <v>550</v>
      </c>
      <c r="K17149" t="s">
        <v>33</v>
      </c>
      <c r="L17149" t="s">
        <v>551</v>
      </c>
      <c r="N17149" t="s">
        <v>29</v>
      </c>
    </row>
    <row r="17150" spans="1:14">
      <c r="A17150" s="4" t="str">
        <f t="shared" si="1263"/>
        <v>EXP00433</v>
      </c>
      <c r="B17150" s="3" t="s">
        <v>66</v>
      </c>
      <c r="C17150" s="4" t="str">
        <f t="shared" ref="C17150:C17157" si="1264">HYPERLINK("https://portal.gdc.cancer.gov/projects/TCGA-ESCA","TCGA-ESCA")</f>
        <v>TCGA-ESCA</v>
      </c>
      <c r="D17150" s="1" t="s">
        <v>493</v>
      </c>
      <c r="E17150" t="s">
        <v>560</v>
      </c>
      <c r="F17150" s="1">
        <v>2</v>
      </c>
      <c r="G17150" s="1" t="s">
        <v>28</v>
      </c>
      <c r="H17150" s="4" t="str">
        <f>HYPERLINK("https://portal.gdc.cancer.gov/cases/df5bd25c-d70b-4126-89cb-6c838044ae3b","TCGA-VR-AA4G-01A")</f>
        <v>TCGA-VR-AA4G-01A</v>
      </c>
      <c r="I17150" t="s">
        <v>549</v>
      </c>
      <c r="J17150" t="s">
        <v>550</v>
      </c>
      <c r="K17150" t="s">
        <v>33</v>
      </c>
      <c r="L17150" t="s">
        <v>551</v>
      </c>
      <c r="N17150" t="s">
        <v>29</v>
      </c>
    </row>
    <row r="17151" spans="1:14">
      <c r="A17151" s="4" t="str">
        <f t="shared" si="1263"/>
        <v>EXP00433</v>
      </c>
      <c r="B17151" s="3" t="s">
        <v>66</v>
      </c>
      <c r="C17151" s="4" t="str">
        <f t="shared" si="1264"/>
        <v>TCGA-ESCA</v>
      </c>
      <c r="D17151" s="1" t="s">
        <v>493</v>
      </c>
      <c r="E17151" t="s">
        <v>560</v>
      </c>
      <c r="F17151" s="1">
        <v>2</v>
      </c>
      <c r="G17151" s="1" t="s">
        <v>28</v>
      </c>
      <c r="H17151" s="4" t="str">
        <f>HYPERLINK("https://portal.gdc.cancer.gov/cases/a34c2eda-3e24-4eb8-94cc-a5ccc819d771","TCGA-VR-AA7I-01A")</f>
        <v>TCGA-VR-AA7I-01A</v>
      </c>
      <c r="I17151" t="s">
        <v>549</v>
      </c>
      <c r="J17151" t="s">
        <v>550</v>
      </c>
      <c r="K17151" t="s">
        <v>33</v>
      </c>
      <c r="L17151" t="s">
        <v>551</v>
      </c>
      <c r="N17151" t="s">
        <v>29</v>
      </c>
    </row>
    <row r="17152" spans="1:14">
      <c r="A17152" s="4" t="str">
        <f t="shared" si="1263"/>
        <v>EXP00433</v>
      </c>
      <c r="B17152" s="3" t="s">
        <v>66</v>
      </c>
      <c r="C17152" s="4" t="str">
        <f t="shared" si="1264"/>
        <v>TCGA-ESCA</v>
      </c>
      <c r="D17152" s="1" t="s">
        <v>493</v>
      </c>
      <c r="E17152" t="s">
        <v>560</v>
      </c>
      <c r="F17152" s="1">
        <v>2</v>
      </c>
      <c r="G17152" s="1" t="s">
        <v>28</v>
      </c>
      <c r="H17152" s="4" t="str">
        <f>HYPERLINK("https://portal.gdc.cancer.gov/cases/f4cb24e9-e7fd-4245-9c9b-7e0934038446","TCGA-XP-A8T6-01A")</f>
        <v>TCGA-XP-A8T6-01A</v>
      </c>
      <c r="I17152" t="s">
        <v>549</v>
      </c>
      <c r="J17152" t="s">
        <v>550</v>
      </c>
      <c r="K17152" t="s">
        <v>33</v>
      </c>
      <c r="L17152" t="s">
        <v>551</v>
      </c>
      <c r="N17152" t="s">
        <v>29</v>
      </c>
    </row>
    <row r="17153" spans="1:14">
      <c r="A17153" s="4" t="str">
        <f t="shared" si="1263"/>
        <v>EXP00433</v>
      </c>
      <c r="B17153" s="3" t="s">
        <v>66</v>
      </c>
      <c r="C17153" s="4" t="str">
        <f t="shared" si="1264"/>
        <v>TCGA-ESCA</v>
      </c>
      <c r="D17153" s="1" t="s">
        <v>493</v>
      </c>
      <c r="E17153" t="s">
        <v>560</v>
      </c>
      <c r="F17153" s="1">
        <v>2</v>
      </c>
      <c r="G17153" s="1" t="s">
        <v>28</v>
      </c>
      <c r="H17153" s="4" t="str">
        <f>HYPERLINK("https://portal.gdc.cancer.gov/cases/8d3ccaf0-872a-4ee3-b4b7-847180fec3ab","TCGA-XP-A8T8-01A")</f>
        <v>TCGA-XP-A8T8-01A</v>
      </c>
      <c r="I17153" t="s">
        <v>549</v>
      </c>
      <c r="J17153" t="s">
        <v>550</v>
      </c>
      <c r="K17153" t="s">
        <v>33</v>
      </c>
      <c r="L17153" t="s">
        <v>551</v>
      </c>
      <c r="N17153" t="s">
        <v>29</v>
      </c>
    </row>
    <row r="17154" spans="1:14">
      <c r="A17154" s="4" t="str">
        <f t="shared" si="1263"/>
        <v>EXP00433</v>
      </c>
      <c r="B17154" s="3" t="s">
        <v>66</v>
      </c>
      <c r="C17154" s="4" t="str">
        <f t="shared" si="1264"/>
        <v>TCGA-ESCA</v>
      </c>
      <c r="D17154" s="1" t="s">
        <v>493</v>
      </c>
      <c r="E17154" t="s">
        <v>560</v>
      </c>
      <c r="F17154" s="1">
        <v>2</v>
      </c>
      <c r="G17154" s="1" t="s">
        <v>28</v>
      </c>
      <c r="H17154" s="4" t="str">
        <f>HYPERLINK("https://portal.gdc.cancer.gov/cases/b997d486-8c71-4926-9df1-d2afdaf2785f","TCGA-Z6-A8JD-01A")</f>
        <v>TCGA-Z6-A8JD-01A</v>
      </c>
      <c r="I17154" t="s">
        <v>549</v>
      </c>
      <c r="J17154" t="s">
        <v>550</v>
      </c>
      <c r="K17154" t="s">
        <v>33</v>
      </c>
      <c r="L17154" t="s">
        <v>551</v>
      </c>
      <c r="N17154" t="s">
        <v>29</v>
      </c>
    </row>
    <row r="17155" spans="1:14">
      <c r="A17155" s="4" t="str">
        <f t="shared" si="1263"/>
        <v>EXP00433</v>
      </c>
      <c r="B17155" s="3" t="s">
        <v>66</v>
      </c>
      <c r="C17155" s="4" t="str">
        <f t="shared" si="1264"/>
        <v>TCGA-ESCA</v>
      </c>
      <c r="D17155" s="1" t="s">
        <v>493</v>
      </c>
      <c r="E17155" t="s">
        <v>560</v>
      </c>
      <c r="F17155" s="1">
        <v>2</v>
      </c>
      <c r="G17155" s="1" t="s">
        <v>28</v>
      </c>
      <c r="H17155" s="4" t="str">
        <f>HYPERLINK("https://portal.gdc.cancer.gov/cases/1116ddae-76b0-48d6-869c-be65d8b09d35","TCGA-Z6-A8JE-01A")</f>
        <v>TCGA-Z6-A8JE-01A</v>
      </c>
      <c r="I17155" t="s">
        <v>549</v>
      </c>
      <c r="J17155" t="s">
        <v>550</v>
      </c>
      <c r="K17155" t="s">
        <v>33</v>
      </c>
      <c r="L17155" t="s">
        <v>551</v>
      </c>
      <c r="N17155" t="s">
        <v>29</v>
      </c>
    </row>
    <row r="17156" spans="1:14">
      <c r="A17156" s="4" t="str">
        <f t="shared" si="1263"/>
        <v>EXP00433</v>
      </c>
      <c r="B17156" s="3" t="s">
        <v>66</v>
      </c>
      <c r="C17156" s="4" t="str">
        <f t="shared" si="1264"/>
        <v>TCGA-ESCA</v>
      </c>
      <c r="D17156" s="1" t="s">
        <v>493</v>
      </c>
      <c r="E17156" t="s">
        <v>560</v>
      </c>
      <c r="F17156" s="1">
        <v>2</v>
      </c>
      <c r="G17156" s="1" t="s">
        <v>28</v>
      </c>
      <c r="H17156" s="4" t="str">
        <f>HYPERLINK("https://portal.gdc.cancer.gov/cases/1c2837d4-bd2c-46f7-9e22-683b82a16350","TCGA-Z6-A9VB-01A")</f>
        <v>TCGA-Z6-A9VB-01A</v>
      </c>
      <c r="I17156" t="s">
        <v>549</v>
      </c>
      <c r="J17156" t="s">
        <v>550</v>
      </c>
      <c r="K17156" t="s">
        <v>33</v>
      </c>
      <c r="L17156" t="s">
        <v>551</v>
      </c>
      <c r="N17156" t="s">
        <v>29</v>
      </c>
    </row>
    <row r="17157" spans="1:14">
      <c r="A17157" s="4" t="str">
        <f t="shared" si="1263"/>
        <v>EXP00433</v>
      </c>
      <c r="B17157" s="3" t="s">
        <v>66</v>
      </c>
      <c r="C17157" s="4" t="str">
        <f t="shared" si="1264"/>
        <v>TCGA-ESCA</v>
      </c>
      <c r="D17157" s="1" t="s">
        <v>493</v>
      </c>
      <c r="E17157" t="s">
        <v>560</v>
      </c>
      <c r="F17157" s="1">
        <v>2</v>
      </c>
      <c r="G17157" s="1" t="s">
        <v>28</v>
      </c>
      <c r="H17157" s="4" t="str">
        <f>HYPERLINK("https://portal.gdc.cancer.gov/cases/2659bb79-95f9-4476-a516-f3800536422d","TCGA-Z6-AAPN-01A")</f>
        <v>TCGA-Z6-AAPN-01A</v>
      </c>
      <c r="I17157" t="s">
        <v>549</v>
      </c>
      <c r="J17157" t="s">
        <v>550</v>
      </c>
      <c r="K17157" t="s">
        <v>33</v>
      </c>
      <c r="L17157" t="s">
        <v>551</v>
      </c>
      <c r="N17157" t="s">
        <v>29</v>
      </c>
    </row>
    <row r="17158" spans="1:14">
      <c r="A17158" s="4" t="str">
        <f t="shared" ref="A17158:A17185" si="1265">HYPERLINK("http://hcmdb.i-sanger.com/experiment/details/experiment_id/EXP00434","EXP00434")</f>
        <v>EXP00434</v>
      </c>
      <c r="B17158" s="3" t="s">
        <v>66</v>
      </c>
      <c r="C17158" s="4" t="str">
        <f t="shared" ref="C17158:C17221" si="1266">HYPERLINK("https://portal.gdc.cancer.gov/projects/TCGA-PAAD","TCGA-PAAD")</f>
        <v>TCGA-PAAD</v>
      </c>
      <c r="D17158" s="1" t="s">
        <v>493</v>
      </c>
      <c r="E17158" t="s">
        <v>561</v>
      </c>
      <c r="F17158" s="1">
        <v>1</v>
      </c>
      <c r="G17158" s="1" t="s">
        <v>562</v>
      </c>
      <c r="H17158" s="4" t="str">
        <f>HYPERLINK("https://portal.gdc.cancer.gov/cases/70797499-16e6-48cc-8ae4-1e692713dad3","TCGA-2J-AAB6-01A")</f>
        <v>TCGA-2J-AAB6-01A</v>
      </c>
      <c r="I17158" t="s">
        <v>111</v>
      </c>
      <c r="J17158" t="s">
        <v>563</v>
      </c>
      <c r="K17158" t="s">
        <v>19</v>
      </c>
      <c r="L17158" t="s">
        <v>113</v>
      </c>
      <c r="M17158" t="s">
        <v>44</v>
      </c>
      <c r="N17158" t="s">
        <v>29</v>
      </c>
    </row>
    <row r="17159" spans="1:14">
      <c r="A17159" s="4" t="str">
        <f t="shared" si="1265"/>
        <v>EXP00434</v>
      </c>
      <c r="B17159" s="3" t="s">
        <v>66</v>
      </c>
      <c r="C17159" s="4" t="str">
        <f t="shared" si="1266"/>
        <v>TCGA-PAAD</v>
      </c>
      <c r="D17159" s="1" t="s">
        <v>493</v>
      </c>
      <c r="E17159" t="s">
        <v>561</v>
      </c>
      <c r="F17159" s="1">
        <v>1</v>
      </c>
      <c r="G17159" s="1" t="s">
        <v>562</v>
      </c>
      <c r="H17159" s="4" t="str">
        <f>HYPERLINK("https://portal.gdc.cancer.gov/cases/a5748656-5330-417a-8938-01f69ddb3576","TCGA-2J-AAB9-01A")</f>
        <v>TCGA-2J-AAB9-01A</v>
      </c>
      <c r="I17159" t="s">
        <v>111</v>
      </c>
      <c r="J17159" t="s">
        <v>563</v>
      </c>
      <c r="K17159" t="s">
        <v>19</v>
      </c>
      <c r="L17159" t="s">
        <v>113</v>
      </c>
      <c r="M17159" t="s">
        <v>44</v>
      </c>
      <c r="N17159" t="s">
        <v>29</v>
      </c>
    </row>
    <row r="17160" spans="1:14">
      <c r="A17160" s="4" t="str">
        <f t="shared" si="1265"/>
        <v>EXP00434</v>
      </c>
      <c r="B17160" s="3" t="s">
        <v>66</v>
      </c>
      <c r="C17160" s="4" t="str">
        <f t="shared" si="1266"/>
        <v>TCGA-PAAD</v>
      </c>
      <c r="D17160" s="1" t="s">
        <v>493</v>
      </c>
      <c r="E17160" t="s">
        <v>561</v>
      </c>
      <c r="F17160" s="1">
        <v>1</v>
      </c>
      <c r="G17160" s="1" t="s">
        <v>562</v>
      </c>
      <c r="H17160" s="4" t="str">
        <f>HYPERLINK("https://portal.gdc.cancer.gov/cases/2aaf212f-000a-4a9d-8a4a-198fa94f491e","TCGA-2J-AABI-01A")</f>
        <v>TCGA-2J-AABI-01A</v>
      </c>
      <c r="I17160" t="s">
        <v>111</v>
      </c>
      <c r="J17160" t="s">
        <v>563</v>
      </c>
      <c r="K17160" t="s">
        <v>19</v>
      </c>
      <c r="L17160" t="s">
        <v>113</v>
      </c>
      <c r="M17160" t="s">
        <v>44</v>
      </c>
      <c r="N17160" t="s">
        <v>29</v>
      </c>
    </row>
    <row r="17161" spans="1:14">
      <c r="A17161" s="4" t="str">
        <f t="shared" si="1265"/>
        <v>EXP00434</v>
      </c>
      <c r="B17161" s="3" t="s">
        <v>66</v>
      </c>
      <c r="C17161" s="4" t="str">
        <f t="shared" si="1266"/>
        <v>TCGA-PAAD</v>
      </c>
      <c r="D17161" s="1" t="s">
        <v>493</v>
      </c>
      <c r="E17161" t="s">
        <v>561</v>
      </c>
      <c r="F17161" s="1">
        <v>1</v>
      </c>
      <c r="G17161" s="1" t="s">
        <v>562</v>
      </c>
      <c r="H17161" s="4" t="str">
        <f>HYPERLINK("https://portal.gdc.cancer.gov/cases/507a4e05-d5ab-4dbb-9b4f-76b1a21b79dd","TCGA-2J-AABR-01A")</f>
        <v>TCGA-2J-AABR-01A</v>
      </c>
      <c r="I17161" t="s">
        <v>111</v>
      </c>
      <c r="J17161" t="s">
        <v>563</v>
      </c>
      <c r="K17161" t="s">
        <v>19</v>
      </c>
      <c r="L17161" t="s">
        <v>113</v>
      </c>
      <c r="M17161" t="s">
        <v>44</v>
      </c>
      <c r="N17161" t="s">
        <v>29</v>
      </c>
    </row>
    <row r="17162" spans="1:14">
      <c r="A17162" s="4" t="str">
        <f t="shared" si="1265"/>
        <v>EXP00434</v>
      </c>
      <c r="B17162" s="3" t="s">
        <v>66</v>
      </c>
      <c r="C17162" s="4" t="str">
        <f t="shared" si="1266"/>
        <v>TCGA-PAAD</v>
      </c>
      <c r="D17162" s="1" t="s">
        <v>493</v>
      </c>
      <c r="E17162" t="s">
        <v>561</v>
      </c>
      <c r="F17162" s="1">
        <v>1</v>
      </c>
      <c r="G17162" s="1" t="s">
        <v>562</v>
      </c>
      <c r="H17162" s="4" t="str">
        <f>HYPERLINK("https://portal.gdc.cancer.gov/cases/0b4b50c7-aa0b-4a64-807b-d3cb47eeeb6f","TCGA-2J-AABU-01A")</f>
        <v>TCGA-2J-AABU-01A</v>
      </c>
      <c r="I17162" t="s">
        <v>111</v>
      </c>
      <c r="J17162" t="s">
        <v>563</v>
      </c>
      <c r="K17162" t="s">
        <v>19</v>
      </c>
      <c r="L17162" t="s">
        <v>113</v>
      </c>
      <c r="M17162" t="s">
        <v>44</v>
      </c>
      <c r="N17162" t="s">
        <v>29</v>
      </c>
    </row>
    <row r="17163" spans="1:14">
      <c r="A17163" s="4" t="str">
        <f t="shared" si="1265"/>
        <v>EXP00434</v>
      </c>
      <c r="B17163" s="3" t="s">
        <v>66</v>
      </c>
      <c r="C17163" s="4" t="str">
        <f t="shared" si="1266"/>
        <v>TCGA-PAAD</v>
      </c>
      <c r="D17163" s="1" t="s">
        <v>493</v>
      </c>
      <c r="E17163" t="s">
        <v>561</v>
      </c>
      <c r="F17163" s="1">
        <v>1</v>
      </c>
      <c r="G17163" s="1" t="s">
        <v>562</v>
      </c>
      <c r="H17163" s="4" t="str">
        <f>HYPERLINK("https://portal.gdc.cancer.gov/cases/232073a1-2bf3-4539-a396-bde7836f9aeb","TCGA-2J-AABV-01A")</f>
        <v>TCGA-2J-AABV-01A</v>
      </c>
      <c r="I17163" t="s">
        <v>111</v>
      </c>
      <c r="J17163" t="s">
        <v>563</v>
      </c>
      <c r="K17163" t="s">
        <v>19</v>
      </c>
      <c r="L17163" t="s">
        <v>113</v>
      </c>
      <c r="M17163" t="s">
        <v>44</v>
      </c>
      <c r="N17163" t="s">
        <v>29</v>
      </c>
    </row>
    <row r="17164" spans="1:14">
      <c r="A17164" s="4" t="str">
        <f t="shared" si="1265"/>
        <v>EXP00434</v>
      </c>
      <c r="B17164" s="3" t="s">
        <v>66</v>
      </c>
      <c r="C17164" s="4" t="str">
        <f t="shared" si="1266"/>
        <v>TCGA-PAAD</v>
      </c>
      <c r="D17164" s="1" t="s">
        <v>493</v>
      </c>
      <c r="E17164" t="s">
        <v>561</v>
      </c>
      <c r="F17164" s="1">
        <v>1</v>
      </c>
      <c r="G17164" s="1" t="s">
        <v>562</v>
      </c>
      <c r="H17164" s="4" t="str">
        <f>HYPERLINK("https://portal.gdc.cancer.gov/cases/cd9dc5c5-1161-43ea-a617-1356a3b23e16","TCGA-3A-A9IU-01A")</f>
        <v>TCGA-3A-A9IU-01A</v>
      </c>
      <c r="I17164" t="s">
        <v>111</v>
      </c>
      <c r="J17164" t="s">
        <v>563</v>
      </c>
      <c r="K17164" t="s">
        <v>19</v>
      </c>
      <c r="L17164" t="s">
        <v>113</v>
      </c>
      <c r="M17164" t="s">
        <v>44</v>
      </c>
      <c r="N17164" t="s">
        <v>29</v>
      </c>
    </row>
    <row r="17165" spans="1:14">
      <c r="A17165" s="4" t="str">
        <f t="shared" si="1265"/>
        <v>EXP00434</v>
      </c>
      <c r="B17165" s="3" t="s">
        <v>66</v>
      </c>
      <c r="C17165" s="4" t="str">
        <f t="shared" si="1266"/>
        <v>TCGA-PAAD</v>
      </c>
      <c r="D17165" s="1" t="s">
        <v>493</v>
      </c>
      <c r="E17165" t="s">
        <v>561</v>
      </c>
      <c r="F17165" s="1">
        <v>1</v>
      </c>
      <c r="G17165" s="1" t="s">
        <v>562</v>
      </c>
      <c r="H17165" s="4" t="str">
        <f>HYPERLINK("https://portal.gdc.cancer.gov/cases/8d9bd437-8b4b-4da5-87ba-6b5790f05022","TCGA-F2-6879-01A")</f>
        <v>TCGA-F2-6879-01A</v>
      </c>
      <c r="I17165" t="s">
        <v>111</v>
      </c>
      <c r="J17165" t="s">
        <v>563</v>
      </c>
      <c r="K17165" t="s">
        <v>19</v>
      </c>
      <c r="L17165" t="s">
        <v>113</v>
      </c>
      <c r="M17165" t="s">
        <v>44</v>
      </c>
      <c r="N17165" t="s">
        <v>29</v>
      </c>
    </row>
    <row r="17166" spans="1:14">
      <c r="A17166" s="4" t="str">
        <f t="shared" si="1265"/>
        <v>EXP00434</v>
      </c>
      <c r="B17166" s="3" t="s">
        <v>66</v>
      </c>
      <c r="C17166" s="4" t="str">
        <f t="shared" si="1266"/>
        <v>TCGA-PAAD</v>
      </c>
      <c r="D17166" s="1" t="s">
        <v>493</v>
      </c>
      <c r="E17166" t="s">
        <v>561</v>
      </c>
      <c r="F17166" s="1">
        <v>1</v>
      </c>
      <c r="G17166" s="1" t="s">
        <v>562</v>
      </c>
      <c r="H17166" s="4" t="str">
        <f>HYPERLINK("https://portal.gdc.cancer.gov/cases/4c9e6085-41c3-4cfe-ad3d-5f94196a86e0","TCGA-F2-7273-01A")</f>
        <v>TCGA-F2-7273-01A</v>
      </c>
      <c r="I17166" t="s">
        <v>111</v>
      </c>
      <c r="J17166" t="s">
        <v>563</v>
      </c>
      <c r="K17166" t="s">
        <v>19</v>
      </c>
      <c r="L17166" t="s">
        <v>113</v>
      </c>
      <c r="M17166" t="s">
        <v>44</v>
      </c>
      <c r="N17166" t="s">
        <v>29</v>
      </c>
    </row>
    <row r="17167" spans="1:14">
      <c r="A17167" s="4" t="str">
        <f t="shared" si="1265"/>
        <v>EXP00434</v>
      </c>
      <c r="B17167" s="3" t="s">
        <v>66</v>
      </c>
      <c r="C17167" s="4" t="str">
        <f t="shared" si="1266"/>
        <v>TCGA-PAAD</v>
      </c>
      <c r="D17167" s="1" t="s">
        <v>493</v>
      </c>
      <c r="E17167" t="s">
        <v>561</v>
      </c>
      <c r="F17167" s="1">
        <v>1</v>
      </c>
      <c r="G17167" s="1" t="s">
        <v>562</v>
      </c>
      <c r="H17167" s="4" t="str">
        <f>HYPERLINK("https://portal.gdc.cancer.gov/cases/5c51fbfe-153c-4cd2-97bd-e444daa0b20f","TCGA-HV-A7OP-01A")</f>
        <v>TCGA-HV-A7OP-01A</v>
      </c>
      <c r="I17167" t="s">
        <v>111</v>
      </c>
      <c r="J17167" t="s">
        <v>563</v>
      </c>
      <c r="K17167" t="s">
        <v>19</v>
      </c>
      <c r="L17167" t="s">
        <v>113</v>
      </c>
      <c r="M17167" t="s">
        <v>44</v>
      </c>
      <c r="N17167" t="s">
        <v>29</v>
      </c>
    </row>
    <row r="17168" spans="1:14">
      <c r="A17168" s="4" t="str">
        <f t="shared" si="1265"/>
        <v>EXP00434</v>
      </c>
      <c r="B17168" s="3" t="s">
        <v>66</v>
      </c>
      <c r="C17168" s="4" t="str">
        <f t="shared" si="1266"/>
        <v>TCGA-PAAD</v>
      </c>
      <c r="D17168" s="1" t="s">
        <v>493</v>
      </c>
      <c r="E17168" t="s">
        <v>561</v>
      </c>
      <c r="F17168" s="1">
        <v>1</v>
      </c>
      <c r="G17168" s="1" t="s">
        <v>562</v>
      </c>
      <c r="H17168" s="4" t="str">
        <f>HYPERLINK("https://portal.gdc.cancer.gov/cases/7a1d9862-910b-403e-9eab-697dc65618c7","TCGA-IB-7645-01A")</f>
        <v>TCGA-IB-7645-01A</v>
      </c>
      <c r="I17168" t="s">
        <v>111</v>
      </c>
      <c r="J17168" t="s">
        <v>563</v>
      </c>
      <c r="K17168" t="s">
        <v>19</v>
      </c>
      <c r="L17168" t="s">
        <v>113</v>
      </c>
      <c r="M17168" t="s">
        <v>44</v>
      </c>
      <c r="N17168" t="s">
        <v>29</v>
      </c>
    </row>
    <row r="17169" spans="1:14">
      <c r="A17169" s="4" t="str">
        <f t="shared" si="1265"/>
        <v>EXP00434</v>
      </c>
      <c r="B17169" s="3" t="s">
        <v>66</v>
      </c>
      <c r="C17169" s="4" t="str">
        <f t="shared" si="1266"/>
        <v>TCGA-PAAD</v>
      </c>
      <c r="D17169" s="1" t="s">
        <v>493</v>
      </c>
      <c r="E17169" t="s">
        <v>561</v>
      </c>
      <c r="F17169" s="1">
        <v>1</v>
      </c>
      <c r="G17169" s="1" t="s">
        <v>562</v>
      </c>
      <c r="H17169" s="4" t="str">
        <f>HYPERLINK("https://portal.gdc.cancer.gov/cases/ec9ac713-08e9-4559-b606-5f58d2c4df50","TCGA-IB-7649-01A")</f>
        <v>TCGA-IB-7649-01A</v>
      </c>
      <c r="I17169" t="s">
        <v>111</v>
      </c>
      <c r="J17169" t="s">
        <v>563</v>
      </c>
      <c r="K17169" t="s">
        <v>19</v>
      </c>
      <c r="L17169" t="s">
        <v>113</v>
      </c>
      <c r="M17169" t="s">
        <v>44</v>
      </c>
      <c r="N17169" t="s">
        <v>29</v>
      </c>
    </row>
    <row r="17170" spans="1:14">
      <c r="A17170" s="4" t="str">
        <f t="shared" si="1265"/>
        <v>EXP00434</v>
      </c>
      <c r="B17170" s="3" t="s">
        <v>66</v>
      </c>
      <c r="C17170" s="4" t="str">
        <f t="shared" si="1266"/>
        <v>TCGA-PAAD</v>
      </c>
      <c r="D17170" s="1" t="s">
        <v>493</v>
      </c>
      <c r="E17170" t="s">
        <v>561</v>
      </c>
      <c r="F17170" s="1">
        <v>1</v>
      </c>
      <c r="G17170" s="1" t="s">
        <v>562</v>
      </c>
      <c r="H17170" s="4" t="str">
        <f>HYPERLINK("https://portal.gdc.cancer.gov/cases/5494af7d-403a-423b-b7ff-e6db9c117e93","TCGA-IB-7890-01A")</f>
        <v>TCGA-IB-7890-01A</v>
      </c>
      <c r="I17170" t="s">
        <v>111</v>
      </c>
      <c r="J17170" t="s">
        <v>563</v>
      </c>
      <c r="K17170" t="s">
        <v>19</v>
      </c>
      <c r="L17170" t="s">
        <v>113</v>
      </c>
      <c r="M17170" t="s">
        <v>44</v>
      </c>
      <c r="N17170" t="s">
        <v>29</v>
      </c>
    </row>
    <row r="17171" spans="1:14">
      <c r="A17171" s="4" t="str">
        <f t="shared" si="1265"/>
        <v>EXP00434</v>
      </c>
      <c r="B17171" s="3" t="s">
        <v>66</v>
      </c>
      <c r="C17171" s="4" t="str">
        <f t="shared" si="1266"/>
        <v>TCGA-PAAD</v>
      </c>
      <c r="D17171" s="1" t="s">
        <v>493</v>
      </c>
      <c r="E17171" t="s">
        <v>561</v>
      </c>
      <c r="F17171" s="1">
        <v>1</v>
      </c>
      <c r="G17171" s="1" t="s">
        <v>562</v>
      </c>
      <c r="H17171" s="4" t="str">
        <f>HYPERLINK("https://portal.gdc.cancer.gov/cases/31aca8a3-7107-4b9d-8b6a-c07caa2a9339","TCGA-IB-A5SS-01A")</f>
        <v>TCGA-IB-A5SS-01A</v>
      </c>
      <c r="I17171" t="s">
        <v>111</v>
      </c>
      <c r="J17171" t="s">
        <v>563</v>
      </c>
      <c r="K17171" t="s">
        <v>19</v>
      </c>
      <c r="L17171" t="s">
        <v>113</v>
      </c>
      <c r="M17171" t="s">
        <v>44</v>
      </c>
      <c r="N17171" t="s">
        <v>29</v>
      </c>
    </row>
    <row r="17172" spans="1:14">
      <c r="A17172" s="4" t="str">
        <f t="shared" si="1265"/>
        <v>EXP00434</v>
      </c>
      <c r="B17172" s="3" t="s">
        <v>66</v>
      </c>
      <c r="C17172" s="4" t="str">
        <f t="shared" si="1266"/>
        <v>TCGA-PAAD</v>
      </c>
      <c r="D17172" s="1" t="s">
        <v>493</v>
      </c>
      <c r="E17172" t="s">
        <v>561</v>
      </c>
      <c r="F17172" s="1">
        <v>1</v>
      </c>
      <c r="G17172" s="1" t="s">
        <v>562</v>
      </c>
      <c r="H17172" s="4" t="str">
        <f>HYPERLINK("https://portal.gdc.cancer.gov/cases/712c2f78-c736-42ce-b689-a954c5290987","TCGA-IB-A7LX-01A")</f>
        <v>TCGA-IB-A7LX-01A</v>
      </c>
      <c r="I17172" t="s">
        <v>111</v>
      </c>
      <c r="J17172" t="s">
        <v>563</v>
      </c>
      <c r="K17172" t="s">
        <v>19</v>
      </c>
      <c r="L17172" t="s">
        <v>113</v>
      </c>
      <c r="M17172" t="s">
        <v>44</v>
      </c>
      <c r="N17172" t="s">
        <v>29</v>
      </c>
    </row>
    <row r="17173" spans="1:14">
      <c r="A17173" s="4" t="str">
        <f t="shared" si="1265"/>
        <v>EXP00434</v>
      </c>
      <c r="B17173" s="3" t="s">
        <v>66</v>
      </c>
      <c r="C17173" s="4" t="str">
        <f t="shared" si="1266"/>
        <v>TCGA-PAAD</v>
      </c>
      <c r="D17173" s="1" t="s">
        <v>493</v>
      </c>
      <c r="E17173" t="s">
        <v>561</v>
      </c>
      <c r="F17173" s="1">
        <v>1</v>
      </c>
      <c r="G17173" s="1" t="s">
        <v>562</v>
      </c>
      <c r="H17173" s="4" t="str">
        <f>HYPERLINK("https://portal.gdc.cancer.gov/cases/869e61d6-fbbf-4ca2-be1a-57b82a03c7a1","TCGA-IB-AAUO-01A")</f>
        <v>TCGA-IB-AAUO-01A</v>
      </c>
      <c r="I17173" t="s">
        <v>111</v>
      </c>
      <c r="J17173" t="s">
        <v>563</v>
      </c>
      <c r="K17173" t="s">
        <v>19</v>
      </c>
      <c r="L17173" t="s">
        <v>113</v>
      </c>
      <c r="M17173" t="s">
        <v>44</v>
      </c>
      <c r="N17173" t="s">
        <v>29</v>
      </c>
    </row>
    <row r="17174" spans="1:14">
      <c r="A17174" s="4" t="str">
        <f t="shared" si="1265"/>
        <v>EXP00434</v>
      </c>
      <c r="B17174" s="3" t="s">
        <v>66</v>
      </c>
      <c r="C17174" s="4" t="str">
        <f t="shared" si="1266"/>
        <v>TCGA-PAAD</v>
      </c>
      <c r="D17174" s="1" t="s">
        <v>493</v>
      </c>
      <c r="E17174" t="s">
        <v>561</v>
      </c>
      <c r="F17174" s="1">
        <v>1</v>
      </c>
      <c r="G17174" s="1" t="s">
        <v>562</v>
      </c>
      <c r="H17174" s="4" t="str">
        <f>HYPERLINK("https://portal.gdc.cancer.gov/cases/ab449860-46e5-485e-abd5-31c5abef2c58","TCGA-L1-A7W4-01A")</f>
        <v>TCGA-L1-A7W4-01A</v>
      </c>
      <c r="I17174" t="s">
        <v>111</v>
      </c>
      <c r="J17174" t="s">
        <v>563</v>
      </c>
      <c r="K17174" t="s">
        <v>19</v>
      </c>
      <c r="L17174" t="s">
        <v>113</v>
      </c>
      <c r="M17174" t="s">
        <v>44</v>
      </c>
      <c r="N17174" t="s">
        <v>29</v>
      </c>
    </row>
    <row r="17175" spans="1:14">
      <c r="A17175" s="4" t="str">
        <f t="shared" si="1265"/>
        <v>EXP00434</v>
      </c>
      <c r="B17175" s="3" t="s">
        <v>66</v>
      </c>
      <c r="C17175" s="4" t="str">
        <f t="shared" si="1266"/>
        <v>TCGA-PAAD</v>
      </c>
      <c r="D17175" s="1" t="s">
        <v>493</v>
      </c>
      <c r="E17175" t="s">
        <v>561</v>
      </c>
      <c r="F17175" s="1">
        <v>1</v>
      </c>
      <c r="G17175" s="1" t="s">
        <v>562</v>
      </c>
      <c r="H17175" s="4" t="str">
        <f>HYPERLINK("https://portal.gdc.cancer.gov/cases/09fd6d9e-c715-4d57-88f9-238dd74c79a7","TCGA-US-A774-01A")</f>
        <v>TCGA-US-A774-01A</v>
      </c>
      <c r="I17175" t="s">
        <v>111</v>
      </c>
      <c r="J17175" t="s">
        <v>563</v>
      </c>
      <c r="K17175" t="s">
        <v>19</v>
      </c>
      <c r="L17175" t="s">
        <v>113</v>
      </c>
      <c r="M17175" t="s">
        <v>44</v>
      </c>
      <c r="N17175" t="s">
        <v>29</v>
      </c>
    </row>
    <row r="17176" spans="1:14">
      <c r="A17176" s="4" t="str">
        <f t="shared" si="1265"/>
        <v>EXP00434</v>
      </c>
      <c r="B17176" s="3" t="s">
        <v>66</v>
      </c>
      <c r="C17176" s="4" t="str">
        <f t="shared" si="1266"/>
        <v>TCGA-PAAD</v>
      </c>
      <c r="D17176" s="1" t="s">
        <v>493</v>
      </c>
      <c r="E17176" t="s">
        <v>561</v>
      </c>
      <c r="F17176" s="1">
        <v>1</v>
      </c>
      <c r="G17176" s="1" t="s">
        <v>562</v>
      </c>
      <c r="H17176" s="4" t="str">
        <f>HYPERLINK("https://portal.gdc.cancer.gov/cases/5aa57fff-4515-4076-8798-55015bb4f156","TCGA-US-A77E-01A")</f>
        <v>TCGA-US-A77E-01A</v>
      </c>
      <c r="I17176" t="s">
        <v>111</v>
      </c>
      <c r="J17176" t="s">
        <v>563</v>
      </c>
      <c r="K17176" t="s">
        <v>19</v>
      </c>
      <c r="L17176" t="s">
        <v>113</v>
      </c>
      <c r="M17176" t="s">
        <v>44</v>
      </c>
      <c r="N17176" t="s">
        <v>29</v>
      </c>
    </row>
    <row r="17177" spans="1:14">
      <c r="A17177" s="4" t="str">
        <f t="shared" si="1265"/>
        <v>EXP00434</v>
      </c>
      <c r="B17177" s="3" t="s">
        <v>66</v>
      </c>
      <c r="C17177" s="4" t="str">
        <f t="shared" si="1266"/>
        <v>TCGA-PAAD</v>
      </c>
      <c r="D17177" s="1" t="s">
        <v>493</v>
      </c>
      <c r="E17177" t="s">
        <v>561</v>
      </c>
      <c r="F17177" s="1">
        <v>1</v>
      </c>
      <c r="G17177" s="1" t="s">
        <v>562</v>
      </c>
      <c r="H17177" s="4" t="str">
        <f>HYPERLINK("https://portal.gdc.cancer.gov/cases/9a2db69e-d429-45d4-89ca-a2c4e0cfc116","TCGA-XD-AAUI-01A")</f>
        <v>TCGA-XD-AAUI-01A</v>
      </c>
      <c r="I17177" t="s">
        <v>111</v>
      </c>
      <c r="J17177" t="s">
        <v>563</v>
      </c>
      <c r="K17177" t="s">
        <v>19</v>
      </c>
      <c r="L17177" t="s">
        <v>113</v>
      </c>
      <c r="M17177" t="s">
        <v>44</v>
      </c>
      <c r="N17177" t="s">
        <v>29</v>
      </c>
    </row>
    <row r="17178" spans="1:14">
      <c r="A17178" s="4" t="str">
        <f t="shared" si="1265"/>
        <v>EXP00434</v>
      </c>
      <c r="B17178" s="3" t="s">
        <v>66</v>
      </c>
      <c r="C17178" s="4" t="str">
        <f t="shared" si="1266"/>
        <v>TCGA-PAAD</v>
      </c>
      <c r="D17178" s="1" t="s">
        <v>493</v>
      </c>
      <c r="E17178" t="s">
        <v>561</v>
      </c>
      <c r="F17178" s="1">
        <v>1</v>
      </c>
      <c r="G17178" s="1" t="s">
        <v>562</v>
      </c>
      <c r="H17178" s="4" t="str">
        <f>HYPERLINK("https://portal.gdc.cancer.gov/cases/382b279f-87e1-4dbc-a2ca-c1dfde1cf254","TCGA-XN-A8T5-01A")</f>
        <v>TCGA-XN-A8T5-01A</v>
      </c>
      <c r="I17178" t="s">
        <v>111</v>
      </c>
      <c r="J17178" t="s">
        <v>563</v>
      </c>
      <c r="K17178" t="s">
        <v>19</v>
      </c>
      <c r="L17178" t="s">
        <v>113</v>
      </c>
      <c r="M17178" t="s">
        <v>44</v>
      </c>
      <c r="N17178" t="s">
        <v>29</v>
      </c>
    </row>
    <row r="17179" spans="1:14">
      <c r="A17179" s="4" t="str">
        <f t="shared" si="1265"/>
        <v>EXP00434</v>
      </c>
      <c r="B17179" s="3" t="s">
        <v>66</v>
      </c>
      <c r="C17179" s="4" t="str">
        <f t="shared" si="1266"/>
        <v>TCGA-PAAD</v>
      </c>
      <c r="D17179" s="1" t="s">
        <v>493</v>
      </c>
      <c r="E17179" t="s">
        <v>561</v>
      </c>
      <c r="F17179" s="1">
        <v>2</v>
      </c>
      <c r="G17179" s="1" t="s">
        <v>564</v>
      </c>
      <c r="H17179" s="4" t="str">
        <f>HYPERLINK("https://portal.gdc.cancer.gov/cases/a308a5ee-8ea1-47ee-823d-14736d74a925","TCGA-3A-A9J0-01A")</f>
        <v>TCGA-3A-A9J0-01A</v>
      </c>
      <c r="I17179" t="s">
        <v>111</v>
      </c>
      <c r="J17179" t="s">
        <v>563</v>
      </c>
      <c r="K17179" t="s">
        <v>19</v>
      </c>
      <c r="L17179" t="s">
        <v>113</v>
      </c>
      <c r="M17179" t="s">
        <v>41</v>
      </c>
      <c r="N17179" t="s">
        <v>29</v>
      </c>
    </row>
    <row r="17180" spans="1:14">
      <c r="A17180" s="4" t="str">
        <f t="shared" si="1265"/>
        <v>EXP00434</v>
      </c>
      <c r="B17180" s="3" t="s">
        <v>66</v>
      </c>
      <c r="C17180" s="4" t="str">
        <f t="shared" si="1266"/>
        <v>TCGA-PAAD</v>
      </c>
      <c r="D17180" s="1" t="s">
        <v>493</v>
      </c>
      <c r="E17180" t="s">
        <v>561</v>
      </c>
      <c r="F17180" s="1">
        <v>2</v>
      </c>
      <c r="G17180" s="1" t="s">
        <v>564</v>
      </c>
      <c r="H17180" s="4" t="str">
        <f>HYPERLINK("https://portal.gdc.cancer.gov/cases/a643d0b8-aa50-481c-9f12-f2e634d61d90","TCGA-3E-AAAY-01A")</f>
        <v>TCGA-3E-AAAY-01A</v>
      </c>
      <c r="I17180" t="s">
        <v>111</v>
      </c>
      <c r="J17180" t="s">
        <v>563</v>
      </c>
      <c r="K17180" t="s">
        <v>19</v>
      </c>
      <c r="L17180" t="s">
        <v>113</v>
      </c>
      <c r="M17180" t="s">
        <v>41</v>
      </c>
      <c r="N17180" t="s">
        <v>29</v>
      </c>
    </row>
    <row r="17181" spans="1:14">
      <c r="A17181" s="4" t="str">
        <f t="shared" si="1265"/>
        <v>EXP00434</v>
      </c>
      <c r="B17181" s="3" t="s">
        <v>66</v>
      </c>
      <c r="C17181" s="4" t="str">
        <f t="shared" si="1266"/>
        <v>TCGA-PAAD</v>
      </c>
      <c r="D17181" s="1" t="s">
        <v>493</v>
      </c>
      <c r="E17181" t="s">
        <v>561</v>
      </c>
      <c r="F17181" s="1">
        <v>2</v>
      </c>
      <c r="G17181" s="1" t="s">
        <v>564</v>
      </c>
      <c r="H17181" s="4" t="str">
        <f>HYPERLINK("https://portal.gdc.cancer.gov/cases/40fc7973-91c4-4fa8-a105-7fc3d6f3817c","TCGA-HV-A5A6-01A")</f>
        <v>TCGA-HV-A5A6-01A</v>
      </c>
      <c r="I17181" t="s">
        <v>111</v>
      </c>
      <c r="J17181" t="s">
        <v>563</v>
      </c>
      <c r="K17181" t="s">
        <v>19</v>
      </c>
      <c r="L17181" t="s">
        <v>113</v>
      </c>
      <c r="M17181" t="s">
        <v>41</v>
      </c>
      <c r="N17181" t="s">
        <v>29</v>
      </c>
    </row>
    <row r="17182" spans="1:14">
      <c r="A17182" s="4" t="str">
        <f t="shared" si="1265"/>
        <v>EXP00434</v>
      </c>
      <c r="B17182" s="3" t="s">
        <v>66</v>
      </c>
      <c r="C17182" s="4" t="str">
        <f t="shared" si="1266"/>
        <v>TCGA-PAAD</v>
      </c>
      <c r="D17182" s="1" t="s">
        <v>493</v>
      </c>
      <c r="E17182" t="s">
        <v>561</v>
      </c>
      <c r="F17182" s="1">
        <v>2</v>
      </c>
      <c r="G17182" s="1" t="s">
        <v>564</v>
      </c>
      <c r="H17182" s="4" t="str">
        <f>HYPERLINK("https://portal.gdc.cancer.gov/cases/4f87e061-e773-48f2-84ba-32401396500e","TCGA-IB-A5SQ-01A")</f>
        <v>TCGA-IB-A5SQ-01A</v>
      </c>
      <c r="I17182" t="s">
        <v>111</v>
      </c>
      <c r="J17182" t="s">
        <v>563</v>
      </c>
      <c r="K17182" t="s">
        <v>19</v>
      </c>
      <c r="L17182" t="s">
        <v>113</v>
      </c>
      <c r="M17182" t="s">
        <v>41</v>
      </c>
      <c r="N17182" t="s">
        <v>29</v>
      </c>
    </row>
    <row r="17183" spans="1:14">
      <c r="A17183" s="4" t="str">
        <f t="shared" si="1265"/>
        <v>EXP00434</v>
      </c>
      <c r="B17183" s="3" t="s">
        <v>66</v>
      </c>
      <c r="C17183" s="4" t="str">
        <f t="shared" si="1266"/>
        <v>TCGA-PAAD</v>
      </c>
      <c r="D17183" s="1" t="s">
        <v>493</v>
      </c>
      <c r="E17183" t="s">
        <v>561</v>
      </c>
      <c r="F17183" s="1">
        <v>2</v>
      </c>
      <c r="G17183" s="1" t="s">
        <v>564</v>
      </c>
      <c r="H17183" s="4" t="str">
        <f>HYPERLINK("https://portal.gdc.cancer.gov/cases/dd7bcdd8-1660-4dab-9860-9d136c4cee77","TCGA-XN-A8T3-01A")</f>
        <v>TCGA-XN-A8T3-01A</v>
      </c>
      <c r="I17183" t="s">
        <v>111</v>
      </c>
      <c r="J17183" t="s">
        <v>563</v>
      </c>
      <c r="K17183" t="s">
        <v>19</v>
      </c>
      <c r="L17183" t="s">
        <v>113</v>
      </c>
      <c r="M17183" t="s">
        <v>41</v>
      </c>
      <c r="N17183" t="s">
        <v>29</v>
      </c>
    </row>
    <row r="17184" spans="1:14">
      <c r="A17184" s="4" t="str">
        <f t="shared" si="1265"/>
        <v>EXP00434</v>
      </c>
      <c r="B17184" s="3" t="s">
        <v>66</v>
      </c>
      <c r="C17184" s="4" t="str">
        <f t="shared" si="1266"/>
        <v>TCGA-PAAD</v>
      </c>
      <c r="D17184" s="1" t="s">
        <v>493</v>
      </c>
      <c r="E17184" t="s">
        <v>561</v>
      </c>
      <c r="F17184" s="1">
        <v>3</v>
      </c>
      <c r="G17184" s="1" t="s">
        <v>565</v>
      </c>
      <c r="H17184" s="4" t="str">
        <f>HYPERLINK("https://portal.gdc.cancer.gov/cases/94cd2278-7c76-423b-a44b-564776211a07","TCGA-HZ-A9TJ-01A")</f>
        <v>TCGA-HZ-A9TJ-01A</v>
      </c>
      <c r="I17184" t="s">
        <v>111</v>
      </c>
      <c r="J17184" t="s">
        <v>563</v>
      </c>
      <c r="K17184" t="s">
        <v>19</v>
      </c>
      <c r="L17184" t="s">
        <v>113</v>
      </c>
      <c r="M17184" t="s">
        <v>502</v>
      </c>
      <c r="N17184" t="s">
        <v>29</v>
      </c>
    </row>
    <row r="17185" spans="1:14">
      <c r="A17185" s="4" t="str">
        <f t="shared" si="1265"/>
        <v>EXP00434</v>
      </c>
      <c r="B17185" s="3" t="s">
        <v>66</v>
      </c>
      <c r="C17185" s="4" t="str">
        <f t="shared" si="1266"/>
        <v>TCGA-PAAD</v>
      </c>
      <c r="D17185" s="1" t="s">
        <v>493</v>
      </c>
      <c r="E17185" t="s">
        <v>561</v>
      </c>
      <c r="F17185" s="1">
        <v>3</v>
      </c>
      <c r="G17185" s="1" t="s">
        <v>565</v>
      </c>
      <c r="H17185" s="4" t="str">
        <f>HYPERLINK("https://portal.gdc.cancer.gov/cases/0944ce65-a89a-4916-b90a-f674b334281e","TCGA-IB-7893-01A")</f>
        <v>TCGA-IB-7893-01A</v>
      </c>
      <c r="I17185" t="s">
        <v>111</v>
      </c>
      <c r="J17185" t="s">
        <v>563</v>
      </c>
      <c r="K17185" t="s">
        <v>19</v>
      </c>
      <c r="L17185" t="s">
        <v>113</v>
      </c>
      <c r="M17185" t="s">
        <v>502</v>
      </c>
      <c r="N17185" t="s">
        <v>29</v>
      </c>
    </row>
    <row r="17186" spans="1:14">
      <c r="A17186" s="4" t="str">
        <f t="shared" ref="A17186:A17217" si="1267">HYPERLINK("http://hcmdb.i-sanger.com/experiment/details/experiment_id/EXP00435","EXP00435")</f>
        <v>EXP00435</v>
      </c>
      <c r="B17186" s="3" t="s">
        <v>66</v>
      </c>
      <c r="C17186" s="4" t="str">
        <f t="shared" si="1266"/>
        <v>TCGA-PAAD</v>
      </c>
      <c r="D17186" s="1" t="s">
        <v>493</v>
      </c>
      <c r="E17186" t="s">
        <v>566</v>
      </c>
      <c r="F17186" s="1">
        <v>1</v>
      </c>
      <c r="G17186" s="1" t="s">
        <v>31</v>
      </c>
      <c r="H17186" s="4" t="str">
        <f>HYPERLINK("https://portal.gdc.cancer.gov/cases/70797499-16e6-48cc-8ae4-1e692713dad3","TCGA-2J-AAB6-01A")</f>
        <v>TCGA-2J-AAB6-01A</v>
      </c>
      <c r="I17186" t="s">
        <v>111</v>
      </c>
      <c r="J17186" t="s">
        <v>563</v>
      </c>
      <c r="K17186" t="s">
        <v>19</v>
      </c>
      <c r="L17186" t="s">
        <v>113</v>
      </c>
      <c r="M17186" t="s">
        <v>44</v>
      </c>
      <c r="N17186" t="s">
        <v>29</v>
      </c>
    </row>
    <row r="17187" spans="1:14">
      <c r="A17187" s="4" t="str">
        <f t="shared" si="1267"/>
        <v>EXP00435</v>
      </c>
      <c r="B17187" s="3" t="s">
        <v>66</v>
      </c>
      <c r="C17187" s="4" t="str">
        <f t="shared" si="1266"/>
        <v>TCGA-PAAD</v>
      </c>
      <c r="D17187" s="1" t="s">
        <v>493</v>
      </c>
      <c r="E17187" t="s">
        <v>566</v>
      </c>
      <c r="F17187" s="1">
        <v>1</v>
      </c>
      <c r="G17187" s="1" t="s">
        <v>31</v>
      </c>
      <c r="H17187" s="4" t="str">
        <f>HYPERLINK("https://portal.gdc.cancer.gov/cases/a5748656-5330-417a-8938-01f69ddb3576","TCGA-2J-AAB9-01A")</f>
        <v>TCGA-2J-AAB9-01A</v>
      </c>
      <c r="I17187" t="s">
        <v>111</v>
      </c>
      <c r="J17187" t="s">
        <v>563</v>
      </c>
      <c r="K17187" t="s">
        <v>19</v>
      </c>
      <c r="L17187" t="s">
        <v>113</v>
      </c>
      <c r="M17187" t="s">
        <v>44</v>
      </c>
      <c r="N17187" t="s">
        <v>29</v>
      </c>
    </row>
    <row r="17188" spans="1:14">
      <c r="A17188" s="4" t="str">
        <f t="shared" si="1267"/>
        <v>EXP00435</v>
      </c>
      <c r="B17188" s="3" t="s">
        <v>66</v>
      </c>
      <c r="C17188" s="4" t="str">
        <f t="shared" si="1266"/>
        <v>TCGA-PAAD</v>
      </c>
      <c r="D17188" s="1" t="s">
        <v>493</v>
      </c>
      <c r="E17188" t="s">
        <v>566</v>
      </c>
      <c r="F17188" s="1">
        <v>1</v>
      </c>
      <c r="G17188" s="1" t="s">
        <v>31</v>
      </c>
      <c r="H17188" s="4" t="str">
        <f>HYPERLINK("https://portal.gdc.cancer.gov/cases/2aaf212f-000a-4a9d-8a4a-198fa94f491e","TCGA-2J-AABI-01A")</f>
        <v>TCGA-2J-AABI-01A</v>
      </c>
      <c r="I17188" t="s">
        <v>111</v>
      </c>
      <c r="J17188" t="s">
        <v>563</v>
      </c>
      <c r="K17188" t="s">
        <v>19</v>
      </c>
      <c r="L17188" t="s">
        <v>113</v>
      </c>
      <c r="M17188" t="s">
        <v>44</v>
      </c>
      <c r="N17188" t="s">
        <v>29</v>
      </c>
    </row>
    <row r="17189" spans="1:14">
      <c r="A17189" s="4" t="str">
        <f t="shared" si="1267"/>
        <v>EXP00435</v>
      </c>
      <c r="B17189" s="3" t="s">
        <v>66</v>
      </c>
      <c r="C17189" s="4" t="str">
        <f t="shared" si="1266"/>
        <v>TCGA-PAAD</v>
      </c>
      <c r="D17189" s="1" t="s">
        <v>493</v>
      </c>
      <c r="E17189" t="s">
        <v>566</v>
      </c>
      <c r="F17189" s="1">
        <v>1</v>
      </c>
      <c r="G17189" s="1" t="s">
        <v>31</v>
      </c>
      <c r="H17189" s="4" t="str">
        <f>HYPERLINK("https://portal.gdc.cancer.gov/cases/507a4e05-d5ab-4dbb-9b4f-76b1a21b79dd","TCGA-2J-AABR-01A")</f>
        <v>TCGA-2J-AABR-01A</v>
      </c>
      <c r="I17189" t="s">
        <v>111</v>
      </c>
      <c r="J17189" t="s">
        <v>563</v>
      </c>
      <c r="K17189" t="s">
        <v>19</v>
      </c>
      <c r="L17189" t="s">
        <v>113</v>
      </c>
      <c r="M17189" t="s">
        <v>44</v>
      </c>
      <c r="N17189" t="s">
        <v>29</v>
      </c>
    </row>
    <row r="17190" spans="1:14">
      <c r="A17190" s="4" t="str">
        <f t="shared" si="1267"/>
        <v>EXP00435</v>
      </c>
      <c r="B17190" s="3" t="s">
        <v>66</v>
      </c>
      <c r="C17190" s="4" t="str">
        <f t="shared" si="1266"/>
        <v>TCGA-PAAD</v>
      </c>
      <c r="D17190" s="1" t="s">
        <v>493</v>
      </c>
      <c r="E17190" t="s">
        <v>566</v>
      </c>
      <c r="F17190" s="1">
        <v>1</v>
      </c>
      <c r="G17190" s="1" t="s">
        <v>31</v>
      </c>
      <c r="H17190" s="4" t="str">
        <f>HYPERLINK("https://portal.gdc.cancer.gov/cases/0b4b50c7-aa0b-4a64-807b-d3cb47eeeb6f","TCGA-2J-AABU-01A")</f>
        <v>TCGA-2J-AABU-01A</v>
      </c>
      <c r="I17190" t="s">
        <v>111</v>
      </c>
      <c r="J17190" t="s">
        <v>563</v>
      </c>
      <c r="K17190" t="s">
        <v>19</v>
      </c>
      <c r="L17190" t="s">
        <v>113</v>
      </c>
      <c r="M17190" t="s">
        <v>44</v>
      </c>
      <c r="N17190" t="s">
        <v>29</v>
      </c>
    </row>
    <row r="17191" spans="1:14">
      <c r="A17191" s="4" t="str">
        <f t="shared" si="1267"/>
        <v>EXP00435</v>
      </c>
      <c r="B17191" s="3" t="s">
        <v>66</v>
      </c>
      <c r="C17191" s="4" t="str">
        <f t="shared" si="1266"/>
        <v>TCGA-PAAD</v>
      </c>
      <c r="D17191" s="1" t="s">
        <v>493</v>
      </c>
      <c r="E17191" t="s">
        <v>566</v>
      </c>
      <c r="F17191" s="1">
        <v>1</v>
      </c>
      <c r="G17191" s="1" t="s">
        <v>31</v>
      </c>
      <c r="H17191" s="4" t="str">
        <f>HYPERLINK("https://portal.gdc.cancer.gov/cases/232073a1-2bf3-4539-a396-bde7836f9aeb","TCGA-2J-AABV-01A")</f>
        <v>TCGA-2J-AABV-01A</v>
      </c>
      <c r="I17191" t="s">
        <v>111</v>
      </c>
      <c r="J17191" t="s">
        <v>563</v>
      </c>
      <c r="K17191" t="s">
        <v>19</v>
      </c>
      <c r="L17191" t="s">
        <v>113</v>
      </c>
      <c r="M17191" t="s">
        <v>44</v>
      </c>
      <c r="N17191" t="s">
        <v>29</v>
      </c>
    </row>
    <row r="17192" spans="1:14">
      <c r="A17192" s="4" t="str">
        <f t="shared" si="1267"/>
        <v>EXP00435</v>
      </c>
      <c r="B17192" s="3" t="s">
        <v>66</v>
      </c>
      <c r="C17192" s="4" t="str">
        <f t="shared" si="1266"/>
        <v>TCGA-PAAD</v>
      </c>
      <c r="D17192" s="1" t="s">
        <v>493</v>
      </c>
      <c r="E17192" t="s">
        <v>566</v>
      </c>
      <c r="F17192" s="1">
        <v>1</v>
      </c>
      <c r="G17192" s="1" t="s">
        <v>31</v>
      </c>
      <c r="H17192" s="4" t="str">
        <f>HYPERLINK("https://portal.gdc.cancer.gov/cases/cd9dc5c5-1161-43ea-a617-1356a3b23e16","TCGA-3A-A9IU-01A")</f>
        <v>TCGA-3A-A9IU-01A</v>
      </c>
      <c r="I17192" t="s">
        <v>111</v>
      </c>
      <c r="J17192" t="s">
        <v>563</v>
      </c>
      <c r="K17192" t="s">
        <v>19</v>
      </c>
      <c r="L17192" t="s">
        <v>113</v>
      </c>
      <c r="M17192" t="s">
        <v>44</v>
      </c>
      <c r="N17192" t="s">
        <v>29</v>
      </c>
    </row>
    <row r="17193" spans="1:14">
      <c r="A17193" s="4" t="str">
        <f t="shared" si="1267"/>
        <v>EXP00435</v>
      </c>
      <c r="B17193" s="3" t="s">
        <v>66</v>
      </c>
      <c r="C17193" s="4" t="str">
        <f t="shared" si="1266"/>
        <v>TCGA-PAAD</v>
      </c>
      <c r="D17193" s="1" t="s">
        <v>493</v>
      </c>
      <c r="E17193" t="s">
        <v>566</v>
      </c>
      <c r="F17193" s="1">
        <v>1</v>
      </c>
      <c r="G17193" s="1" t="s">
        <v>31</v>
      </c>
      <c r="H17193" s="4" t="str">
        <f>HYPERLINK("https://portal.gdc.cancer.gov/cases/a308a5ee-8ea1-47ee-823d-14736d74a925","TCGA-3A-A9J0-01A")</f>
        <v>TCGA-3A-A9J0-01A</v>
      </c>
      <c r="I17193" t="s">
        <v>111</v>
      </c>
      <c r="J17193" t="s">
        <v>563</v>
      </c>
      <c r="K17193" t="s">
        <v>19</v>
      </c>
      <c r="L17193" t="s">
        <v>113</v>
      </c>
      <c r="M17193" t="s">
        <v>41</v>
      </c>
      <c r="N17193" t="s">
        <v>29</v>
      </c>
    </row>
    <row r="17194" spans="1:14">
      <c r="A17194" s="4" t="str">
        <f t="shared" si="1267"/>
        <v>EXP00435</v>
      </c>
      <c r="B17194" s="3" t="s">
        <v>66</v>
      </c>
      <c r="C17194" s="4" t="str">
        <f t="shared" si="1266"/>
        <v>TCGA-PAAD</v>
      </c>
      <c r="D17194" s="1" t="s">
        <v>493</v>
      </c>
      <c r="E17194" t="s">
        <v>566</v>
      </c>
      <c r="F17194" s="1">
        <v>1</v>
      </c>
      <c r="G17194" s="1" t="s">
        <v>31</v>
      </c>
      <c r="H17194" s="4" t="str">
        <f>HYPERLINK("https://portal.gdc.cancer.gov/cases/a643d0b8-aa50-481c-9f12-f2e634d61d90","TCGA-3E-AAAY-01A")</f>
        <v>TCGA-3E-AAAY-01A</v>
      </c>
      <c r="I17194" t="s">
        <v>111</v>
      </c>
      <c r="J17194" t="s">
        <v>563</v>
      </c>
      <c r="K17194" t="s">
        <v>19</v>
      </c>
      <c r="L17194" t="s">
        <v>113</v>
      </c>
      <c r="M17194" t="s">
        <v>41</v>
      </c>
      <c r="N17194" t="s">
        <v>29</v>
      </c>
    </row>
    <row r="17195" spans="1:14">
      <c r="A17195" s="4" t="str">
        <f t="shared" si="1267"/>
        <v>EXP00435</v>
      </c>
      <c r="B17195" s="3" t="s">
        <v>66</v>
      </c>
      <c r="C17195" s="4" t="str">
        <f t="shared" si="1266"/>
        <v>TCGA-PAAD</v>
      </c>
      <c r="D17195" s="1" t="s">
        <v>493</v>
      </c>
      <c r="E17195" t="s">
        <v>566</v>
      </c>
      <c r="F17195" s="1">
        <v>1</v>
      </c>
      <c r="G17195" s="1" t="s">
        <v>31</v>
      </c>
      <c r="H17195" s="4" t="str">
        <f>HYPERLINK("https://portal.gdc.cancer.gov/cases/8d9bd437-8b4b-4da5-87ba-6b5790f05022","TCGA-F2-6879-01A")</f>
        <v>TCGA-F2-6879-01A</v>
      </c>
      <c r="I17195" t="s">
        <v>111</v>
      </c>
      <c r="J17195" t="s">
        <v>563</v>
      </c>
      <c r="K17195" t="s">
        <v>19</v>
      </c>
      <c r="L17195" t="s">
        <v>113</v>
      </c>
      <c r="M17195" t="s">
        <v>44</v>
      </c>
      <c r="N17195" t="s">
        <v>29</v>
      </c>
    </row>
    <row r="17196" spans="1:14">
      <c r="A17196" s="4" t="str">
        <f t="shared" si="1267"/>
        <v>EXP00435</v>
      </c>
      <c r="B17196" s="3" t="s">
        <v>66</v>
      </c>
      <c r="C17196" s="4" t="str">
        <f t="shared" si="1266"/>
        <v>TCGA-PAAD</v>
      </c>
      <c r="D17196" s="1" t="s">
        <v>493</v>
      </c>
      <c r="E17196" t="s">
        <v>566</v>
      </c>
      <c r="F17196" s="1">
        <v>1</v>
      </c>
      <c r="G17196" s="1" t="s">
        <v>31</v>
      </c>
      <c r="H17196" s="4" t="str">
        <f>HYPERLINK("https://portal.gdc.cancer.gov/cases/4c9e6085-41c3-4cfe-ad3d-5f94196a86e0","TCGA-F2-7273-01A")</f>
        <v>TCGA-F2-7273-01A</v>
      </c>
      <c r="I17196" t="s">
        <v>111</v>
      </c>
      <c r="J17196" t="s">
        <v>563</v>
      </c>
      <c r="K17196" t="s">
        <v>19</v>
      </c>
      <c r="L17196" t="s">
        <v>113</v>
      </c>
      <c r="M17196" t="s">
        <v>44</v>
      </c>
      <c r="N17196" t="s">
        <v>29</v>
      </c>
    </row>
    <row r="17197" spans="1:14">
      <c r="A17197" s="4" t="str">
        <f t="shared" si="1267"/>
        <v>EXP00435</v>
      </c>
      <c r="B17197" s="3" t="s">
        <v>66</v>
      </c>
      <c r="C17197" s="4" t="str">
        <f t="shared" si="1266"/>
        <v>TCGA-PAAD</v>
      </c>
      <c r="D17197" s="1" t="s">
        <v>493</v>
      </c>
      <c r="E17197" t="s">
        <v>566</v>
      </c>
      <c r="F17197" s="1">
        <v>1</v>
      </c>
      <c r="G17197" s="1" t="s">
        <v>31</v>
      </c>
      <c r="H17197" s="4" t="str">
        <f>HYPERLINK("https://portal.gdc.cancer.gov/cases/40fc7973-91c4-4fa8-a105-7fc3d6f3817c","TCGA-HV-A5A6-01A")</f>
        <v>TCGA-HV-A5A6-01A</v>
      </c>
      <c r="I17197" t="s">
        <v>111</v>
      </c>
      <c r="J17197" t="s">
        <v>563</v>
      </c>
      <c r="K17197" t="s">
        <v>19</v>
      </c>
      <c r="L17197" t="s">
        <v>113</v>
      </c>
      <c r="M17197" t="s">
        <v>41</v>
      </c>
      <c r="N17197" t="s">
        <v>29</v>
      </c>
    </row>
    <row r="17198" spans="1:14">
      <c r="A17198" s="4" t="str">
        <f t="shared" si="1267"/>
        <v>EXP00435</v>
      </c>
      <c r="B17198" s="3" t="s">
        <v>66</v>
      </c>
      <c r="C17198" s="4" t="str">
        <f t="shared" si="1266"/>
        <v>TCGA-PAAD</v>
      </c>
      <c r="D17198" s="1" t="s">
        <v>493</v>
      </c>
      <c r="E17198" t="s">
        <v>566</v>
      </c>
      <c r="F17198" s="1">
        <v>1</v>
      </c>
      <c r="G17198" s="1" t="s">
        <v>31</v>
      </c>
      <c r="H17198" s="4" t="str">
        <f>HYPERLINK("https://portal.gdc.cancer.gov/cases/5c51fbfe-153c-4cd2-97bd-e444daa0b20f","TCGA-HV-A7OP-01A")</f>
        <v>TCGA-HV-A7OP-01A</v>
      </c>
      <c r="I17198" t="s">
        <v>111</v>
      </c>
      <c r="J17198" t="s">
        <v>563</v>
      </c>
      <c r="K17198" t="s">
        <v>19</v>
      </c>
      <c r="L17198" t="s">
        <v>113</v>
      </c>
      <c r="M17198" t="s">
        <v>44</v>
      </c>
      <c r="N17198" t="s">
        <v>29</v>
      </c>
    </row>
    <row r="17199" spans="1:14">
      <c r="A17199" s="4" t="str">
        <f t="shared" si="1267"/>
        <v>EXP00435</v>
      </c>
      <c r="B17199" s="3" t="s">
        <v>66</v>
      </c>
      <c r="C17199" s="4" t="str">
        <f t="shared" si="1266"/>
        <v>TCGA-PAAD</v>
      </c>
      <c r="D17199" s="1" t="s">
        <v>493</v>
      </c>
      <c r="E17199" t="s">
        <v>566</v>
      </c>
      <c r="F17199" s="1">
        <v>1</v>
      </c>
      <c r="G17199" s="1" t="s">
        <v>31</v>
      </c>
      <c r="H17199" s="4" t="str">
        <f>HYPERLINK("https://portal.gdc.cancer.gov/cases/94cd2278-7c76-423b-a44b-564776211a07","TCGA-HZ-A9TJ-01A")</f>
        <v>TCGA-HZ-A9TJ-01A</v>
      </c>
      <c r="I17199" t="s">
        <v>111</v>
      </c>
      <c r="J17199" t="s">
        <v>563</v>
      </c>
      <c r="K17199" t="s">
        <v>19</v>
      </c>
      <c r="L17199" t="s">
        <v>113</v>
      </c>
      <c r="M17199" t="s">
        <v>502</v>
      </c>
      <c r="N17199" t="s">
        <v>29</v>
      </c>
    </row>
    <row r="17200" spans="1:14">
      <c r="A17200" s="4" t="str">
        <f t="shared" si="1267"/>
        <v>EXP00435</v>
      </c>
      <c r="B17200" s="3" t="s">
        <v>66</v>
      </c>
      <c r="C17200" s="4" t="str">
        <f t="shared" si="1266"/>
        <v>TCGA-PAAD</v>
      </c>
      <c r="D17200" s="1" t="s">
        <v>493</v>
      </c>
      <c r="E17200" t="s">
        <v>566</v>
      </c>
      <c r="F17200" s="1">
        <v>1</v>
      </c>
      <c r="G17200" s="1" t="s">
        <v>31</v>
      </c>
      <c r="H17200" s="4" t="str">
        <f>HYPERLINK("https://portal.gdc.cancer.gov/cases/7a1d9862-910b-403e-9eab-697dc65618c7","TCGA-IB-7645-01A")</f>
        <v>TCGA-IB-7645-01A</v>
      </c>
      <c r="I17200" t="s">
        <v>111</v>
      </c>
      <c r="J17200" t="s">
        <v>563</v>
      </c>
      <c r="K17200" t="s">
        <v>19</v>
      </c>
      <c r="L17200" t="s">
        <v>113</v>
      </c>
      <c r="M17200" t="s">
        <v>44</v>
      </c>
      <c r="N17200" t="s">
        <v>29</v>
      </c>
    </row>
    <row r="17201" spans="1:14">
      <c r="A17201" s="4" t="str">
        <f t="shared" si="1267"/>
        <v>EXP00435</v>
      </c>
      <c r="B17201" s="3" t="s">
        <v>66</v>
      </c>
      <c r="C17201" s="4" t="str">
        <f t="shared" si="1266"/>
        <v>TCGA-PAAD</v>
      </c>
      <c r="D17201" s="1" t="s">
        <v>493</v>
      </c>
      <c r="E17201" t="s">
        <v>566</v>
      </c>
      <c r="F17201" s="1">
        <v>1</v>
      </c>
      <c r="G17201" s="1" t="s">
        <v>31</v>
      </c>
      <c r="H17201" s="4" t="str">
        <f>HYPERLINK("https://portal.gdc.cancer.gov/cases/ec9ac713-08e9-4559-b606-5f58d2c4df50","TCGA-IB-7649-01A")</f>
        <v>TCGA-IB-7649-01A</v>
      </c>
      <c r="I17201" t="s">
        <v>111</v>
      </c>
      <c r="J17201" t="s">
        <v>563</v>
      </c>
      <c r="K17201" t="s">
        <v>19</v>
      </c>
      <c r="L17201" t="s">
        <v>113</v>
      </c>
      <c r="M17201" t="s">
        <v>44</v>
      </c>
      <c r="N17201" t="s">
        <v>29</v>
      </c>
    </row>
    <row r="17202" spans="1:14">
      <c r="A17202" s="4" t="str">
        <f t="shared" si="1267"/>
        <v>EXP00435</v>
      </c>
      <c r="B17202" s="3" t="s">
        <v>66</v>
      </c>
      <c r="C17202" s="4" t="str">
        <f t="shared" si="1266"/>
        <v>TCGA-PAAD</v>
      </c>
      <c r="D17202" s="1" t="s">
        <v>493</v>
      </c>
      <c r="E17202" t="s">
        <v>566</v>
      </c>
      <c r="F17202" s="1">
        <v>1</v>
      </c>
      <c r="G17202" s="1" t="s">
        <v>31</v>
      </c>
      <c r="H17202" s="4" t="str">
        <f>HYPERLINK("https://portal.gdc.cancer.gov/cases/5494af7d-403a-423b-b7ff-e6db9c117e93","TCGA-IB-7890-01A")</f>
        <v>TCGA-IB-7890-01A</v>
      </c>
      <c r="I17202" t="s">
        <v>111</v>
      </c>
      <c r="J17202" t="s">
        <v>563</v>
      </c>
      <c r="K17202" t="s">
        <v>19</v>
      </c>
      <c r="L17202" t="s">
        <v>113</v>
      </c>
      <c r="M17202" t="s">
        <v>44</v>
      </c>
      <c r="N17202" t="s">
        <v>29</v>
      </c>
    </row>
    <row r="17203" spans="1:14">
      <c r="A17203" s="4" t="str">
        <f t="shared" si="1267"/>
        <v>EXP00435</v>
      </c>
      <c r="B17203" s="3" t="s">
        <v>66</v>
      </c>
      <c r="C17203" s="4" t="str">
        <f t="shared" si="1266"/>
        <v>TCGA-PAAD</v>
      </c>
      <c r="D17203" s="1" t="s">
        <v>493</v>
      </c>
      <c r="E17203" t="s">
        <v>566</v>
      </c>
      <c r="F17203" s="1">
        <v>1</v>
      </c>
      <c r="G17203" s="1" t="s">
        <v>31</v>
      </c>
      <c r="H17203" s="4" t="str">
        <f>HYPERLINK("https://portal.gdc.cancer.gov/cases/0944ce65-a89a-4916-b90a-f674b334281e","TCGA-IB-7893-01A")</f>
        <v>TCGA-IB-7893-01A</v>
      </c>
      <c r="I17203" t="s">
        <v>111</v>
      </c>
      <c r="J17203" t="s">
        <v>563</v>
      </c>
      <c r="K17203" t="s">
        <v>19</v>
      </c>
      <c r="L17203" t="s">
        <v>113</v>
      </c>
      <c r="M17203" t="s">
        <v>502</v>
      </c>
      <c r="N17203" t="s">
        <v>29</v>
      </c>
    </row>
    <row r="17204" spans="1:14">
      <c r="A17204" s="4" t="str">
        <f t="shared" si="1267"/>
        <v>EXP00435</v>
      </c>
      <c r="B17204" s="3" t="s">
        <v>66</v>
      </c>
      <c r="C17204" s="4" t="str">
        <f t="shared" si="1266"/>
        <v>TCGA-PAAD</v>
      </c>
      <c r="D17204" s="1" t="s">
        <v>493</v>
      </c>
      <c r="E17204" t="s">
        <v>566</v>
      </c>
      <c r="F17204" s="1">
        <v>1</v>
      </c>
      <c r="G17204" s="1" t="s">
        <v>31</v>
      </c>
      <c r="H17204" s="4" t="str">
        <f>HYPERLINK("https://portal.gdc.cancer.gov/cases/4f87e061-e773-48f2-84ba-32401396500e","TCGA-IB-A5SQ-01A")</f>
        <v>TCGA-IB-A5SQ-01A</v>
      </c>
      <c r="I17204" t="s">
        <v>111</v>
      </c>
      <c r="J17204" t="s">
        <v>563</v>
      </c>
      <c r="K17204" t="s">
        <v>19</v>
      </c>
      <c r="L17204" t="s">
        <v>113</v>
      </c>
      <c r="M17204" t="s">
        <v>41</v>
      </c>
      <c r="N17204" t="s">
        <v>29</v>
      </c>
    </row>
    <row r="17205" spans="1:14">
      <c r="A17205" s="4" t="str">
        <f t="shared" si="1267"/>
        <v>EXP00435</v>
      </c>
      <c r="B17205" s="3" t="s">
        <v>66</v>
      </c>
      <c r="C17205" s="4" t="str">
        <f t="shared" si="1266"/>
        <v>TCGA-PAAD</v>
      </c>
      <c r="D17205" s="1" t="s">
        <v>493</v>
      </c>
      <c r="E17205" t="s">
        <v>566</v>
      </c>
      <c r="F17205" s="1">
        <v>1</v>
      </c>
      <c r="G17205" s="1" t="s">
        <v>31</v>
      </c>
      <c r="H17205" s="4" t="str">
        <f>HYPERLINK("https://portal.gdc.cancer.gov/cases/31aca8a3-7107-4b9d-8b6a-c07caa2a9339","TCGA-IB-A5SS-01A")</f>
        <v>TCGA-IB-A5SS-01A</v>
      </c>
      <c r="I17205" t="s">
        <v>111</v>
      </c>
      <c r="J17205" t="s">
        <v>563</v>
      </c>
      <c r="K17205" t="s">
        <v>19</v>
      </c>
      <c r="L17205" t="s">
        <v>113</v>
      </c>
      <c r="M17205" t="s">
        <v>44</v>
      </c>
      <c r="N17205" t="s">
        <v>29</v>
      </c>
    </row>
    <row r="17206" spans="1:14">
      <c r="A17206" s="4" t="str">
        <f t="shared" si="1267"/>
        <v>EXP00435</v>
      </c>
      <c r="B17206" s="3" t="s">
        <v>66</v>
      </c>
      <c r="C17206" s="4" t="str">
        <f t="shared" si="1266"/>
        <v>TCGA-PAAD</v>
      </c>
      <c r="D17206" s="1" t="s">
        <v>493</v>
      </c>
      <c r="E17206" t="s">
        <v>566</v>
      </c>
      <c r="F17206" s="1">
        <v>1</v>
      </c>
      <c r="G17206" s="1" t="s">
        <v>31</v>
      </c>
      <c r="H17206" s="4" t="str">
        <f>HYPERLINK("https://portal.gdc.cancer.gov/cases/712c2f78-c736-42ce-b689-a954c5290987","TCGA-IB-A7LX-01A")</f>
        <v>TCGA-IB-A7LX-01A</v>
      </c>
      <c r="I17206" t="s">
        <v>111</v>
      </c>
      <c r="J17206" t="s">
        <v>563</v>
      </c>
      <c r="K17206" t="s">
        <v>19</v>
      </c>
      <c r="L17206" t="s">
        <v>113</v>
      </c>
      <c r="M17206" t="s">
        <v>44</v>
      </c>
      <c r="N17206" t="s">
        <v>29</v>
      </c>
    </row>
    <row r="17207" spans="1:14">
      <c r="A17207" s="4" t="str">
        <f t="shared" si="1267"/>
        <v>EXP00435</v>
      </c>
      <c r="B17207" s="3" t="s">
        <v>66</v>
      </c>
      <c r="C17207" s="4" t="str">
        <f t="shared" si="1266"/>
        <v>TCGA-PAAD</v>
      </c>
      <c r="D17207" s="1" t="s">
        <v>493</v>
      </c>
      <c r="E17207" t="s">
        <v>566</v>
      </c>
      <c r="F17207" s="1">
        <v>1</v>
      </c>
      <c r="G17207" s="1" t="s">
        <v>31</v>
      </c>
      <c r="H17207" s="4" t="str">
        <f>HYPERLINK("https://portal.gdc.cancer.gov/cases/869e61d6-fbbf-4ca2-be1a-57b82a03c7a1","TCGA-IB-AAUO-01A")</f>
        <v>TCGA-IB-AAUO-01A</v>
      </c>
      <c r="I17207" t="s">
        <v>111</v>
      </c>
      <c r="J17207" t="s">
        <v>563</v>
      </c>
      <c r="K17207" t="s">
        <v>19</v>
      </c>
      <c r="L17207" t="s">
        <v>113</v>
      </c>
      <c r="M17207" t="s">
        <v>44</v>
      </c>
      <c r="N17207" t="s">
        <v>29</v>
      </c>
    </row>
    <row r="17208" spans="1:14">
      <c r="A17208" s="4" t="str">
        <f t="shared" si="1267"/>
        <v>EXP00435</v>
      </c>
      <c r="B17208" s="3" t="s">
        <v>66</v>
      </c>
      <c r="C17208" s="4" t="str">
        <f t="shared" si="1266"/>
        <v>TCGA-PAAD</v>
      </c>
      <c r="D17208" s="1" t="s">
        <v>493</v>
      </c>
      <c r="E17208" t="s">
        <v>566</v>
      </c>
      <c r="F17208" s="1">
        <v>1</v>
      </c>
      <c r="G17208" s="1" t="s">
        <v>31</v>
      </c>
      <c r="H17208" s="4" t="str">
        <f>HYPERLINK("https://portal.gdc.cancer.gov/cases/ab449860-46e5-485e-abd5-31c5abef2c58","TCGA-L1-A7W4-01A")</f>
        <v>TCGA-L1-A7W4-01A</v>
      </c>
      <c r="I17208" t="s">
        <v>111</v>
      </c>
      <c r="J17208" t="s">
        <v>563</v>
      </c>
      <c r="K17208" t="s">
        <v>19</v>
      </c>
      <c r="L17208" t="s">
        <v>113</v>
      </c>
      <c r="M17208" t="s">
        <v>44</v>
      </c>
      <c r="N17208" t="s">
        <v>29</v>
      </c>
    </row>
    <row r="17209" spans="1:14">
      <c r="A17209" s="4" t="str">
        <f t="shared" si="1267"/>
        <v>EXP00435</v>
      </c>
      <c r="B17209" s="3" t="s">
        <v>66</v>
      </c>
      <c r="C17209" s="4" t="str">
        <f t="shared" si="1266"/>
        <v>TCGA-PAAD</v>
      </c>
      <c r="D17209" s="1" t="s">
        <v>493</v>
      </c>
      <c r="E17209" t="s">
        <v>566</v>
      </c>
      <c r="F17209" s="1">
        <v>1</v>
      </c>
      <c r="G17209" s="1" t="s">
        <v>31</v>
      </c>
      <c r="H17209" s="4" t="str">
        <f>HYPERLINK("https://portal.gdc.cancer.gov/cases/09fd6d9e-c715-4d57-88f9-238dd74c79a7","TCGA-US-A774-01A")</f>
        <v>TCGA-US-A774-01A</v>
      </c>
      <c r="I17209" t="s">
        <v>111</v>
      </c>
      <c r="J17209" t="s">
        <v>563</v>
      </c>
      <c r="K17209" t="s">
        <v>19</v>
      </c>
      <c r="L17209" t="s">
        <v>113</v>
      </c>
      <c r="M17209" t="s">
        <v>44</v>
      </c>
      <c r="N17209" t="s">
        <v>29</v>
      </c>
    </row>
    <row r="17210" spans="1:14">
      <c r="A17210" s="4" t="str">
        <f t="shared" si="1267"/>
        <v>EXP00435</v>
      </c>
      <c r="B17210" s="3" t="s">
        <v>66</v>
      </c>
      <c r="C17210" s="4" t="str">
        <f t="shared" si="1266"/>
        <v>TCGA-PAAD</v>
      </c>
      <c r="D17210" s="1" t="s">
        <v>493</v>
      </c>
      <c r="E17210" t="s">
        <v>566</v>
      </c>
      <c r="F17210" s="1">
        <v>1</v>
      </c>
      <c r="G17210" s="1" t="s">
        <v>31</v>
      </c>
      <c r="H17210" s="4" t="str">
        <f>HYPERLINK("https://portal.gdc.cancer.gov/cases/5aa57fff-4515-4076-8798-55015bb4f156","TCGA-US-A77E-01A")</f>
        <v>TCGA-US-A77E-01A</v>
      </c>
      <c r="I17210" t="s">
        <v>111</v>
      </c>
      <c r="J17210" t="s">
        <v>563</v>
      </c>
      <c r="K17210" t="s">
        <v>19</v>
      </c>
      <c r="L17210" t="s">
        <v>113</v>
      </c>
      <c r="M17210" t="s">
        <v>44</v>
      </c>
      <c r="N17210" t="s">
        <v>29</v>
      </c>
    </row>
    <row r="17211" spans="1:14">
      <c r="A17211" s="4" t="str">
        <f t="shared" si="1267"/>
        <v>EXP00435</v>
      </c>
      <c r="B17211" s="3" t="s">
        <v>66</v>
      </c>
      <c r="C17211" s="4" t="str">
        <f t="shared" si="1266"/>
        <v>TCGA-PAAD</v>
      </c>
      <c r="D17211" s="1" t="s">
        <v>493</v>
      </c>
      <c r="E17211" t="s">
        <v>566</v>
      </c>
      <c r="F17211" s="1">
        <v>1</v>
      </c>
      <c r="G17211" s="1" t="s">
        <v>31</v>
      </c>
      <c r="H17211" s="4" t="str">
        <f>HYPERLINK("https://portal.gdc.cancer.gov/cases/9a2db69e-d429-45d4-89ca-a2c4e0cfc116","TCGA-XD-AAUI-01A")</f>
        <v>TCGA-XD-AAUI-01A</v>
      </c>
      <c r="I17211" t="s">
        <v>111</v>
      </c>
      <c r="J17211" t="s">
        <v>563</v>
      </c>
      <c r="K17211" t="s">
        <v>19</v>
      </c>
      <c r="L17211" t="s">
        <v>113</v>
      </c>
      <c r="M17211" t="s">
        <v>44</v>
      </c>
      <c r="N17211" t="s">
        <v>29</v>
      </c>
    </row>
    <row r="17212" spans="1:14">
      <c r="A17212" s="4" t="str">
        <f t="shared" si="1267"/>
        <v>EXP00435</v>
      </c>
      <c r="B17212" s="3" t="s">
        <v>66</v>
      </c>
      <c r="C17212" s="4" t="str">
        <f t="shared" si="1266"/>
        <v>TCGA-PAAD</v>
      </c>
      <c r="D17212" s="1" t="s">
        <v>493</v>
      </c>
      <c r="E17212" t="s">
        <v>566</v>
      </c>
      <c r="F17212" s="1">
        <v>1</v>
      </c>
      <c r="G17212" s="1" t="s">
        <v>31</v>
      </c>
      <c r="H17212" s="4" t="str">
        <f>HYPERLINK("https://portal.gdc.cancer.gov/cases/dd7bcdd8-1660-4dab-9860-9d136c4cee77","TCGA-XN-A8T3-01A")</f>
        <v>TCGA-XN-A8T3-01A</v>
      </c>
      <c r="I17212" t="s">
        <v>111</v>
      </c>
      <c r="J17212" t="s">
        <v>563</v>
      </c>
      <c r="K17212" t="s">
        <v>19</v>
      </c>
      <c r="L17212" t="s">
        <v>113</v>
      </c>
      <c r="M17212" t="s">
        <v>41</v>
      </c>
      <c r="N17212" t="s">
        <v>29</v>
      </c>
    </row>
    <row r="17213" spans="1:14">
      <c r="A17213" s="4" t="str">
        <f t="shared" si="1267"/>
        <v>EXP00435</v>
      </c>
      <c r="B17213" s="3" t="s">
        <v>66</v>
      </c>
      <c r="C17213" s="4" t="str">
        <f t="shared" si="1266"/>
        <v>TCGA-PAAD</v>
      </c>
      <c r="D17213" s="1" t="s">
        <v>493</v>
      </c>
      <c r="E17213" t="s">
        <v>566</v>
      </c>
      <c r="F17213" s="1">
        <v>1</v>
      </c>
      <c r="G17213" s="1" t="s">
        <v>31</v>
      </c>
      <c r="H17213" s="4" t="str">
        <f>HYPERLINK("https://portal.gdc.cancer.gov/cases/382b279f-87e1-4dbc-a2ca-c1dfde1cf254","TCGA-XN-A8T5-01A")</f>
        <v>TCGA-XN-A8T5-01A</v>
      </c>
      <c r="I17213" t="s">
        <v>111</v>
      </c>
      <c r="J17213" t="s">
        <v>563</v>
      </c>
      <c r="K17213" t="s">
        <v>19</v>
      </c>
      <c r="L17213" t="s">
        <v>113</v>
      </c>
      <c r="M17213" t="s">
        <v>44</v>
      </c>
      <c r="N17213" t="s">
        <v>29</v>
      </c>
    </row>
    <row r="17214" spans="1:14">
      <c r="A17214" s="4" t="str">
        <f t="shared" si="1267"/>
        <v>EXP00435</v>
      </c>
      <c r="B17214" s="3" t="s">
        <v>66</v>
      </c>
      <c r="C17214" s="4" t="str">
        <f t="shared" si="1266"/>
        <v>TCGA-PAAD</v>
      </c>
      <c r="D17214" s="1" t="s">
        <v>493</v>
      </c>
      <c r="E17214" t="s">
        <v>566</v>
      </c>
      <c r="F17214" s="1">
        <v>2</v>
      </c>
      <c r="G17214" s="1" t="s">
        <v>32</v>
      </c>
      <c r="H17214" s="4" t="str">
        <f>HYPERLINK("https://portal.gdc.cancer.gov/cases/75119d1a-93e5-4ae7-9d60-69ee929a0772","TCGA-2J-AAB1-01A")</f>
        <v>TCGA-2J-AAB1-01A</v>
      </c>
      <c r="I17214" t="s">
        <v>111</v>
      </c>
      <c r="J17214" t="s">
        <v>563</v>
      </c>
      <c r="K17214" t="s">
        <v>33</v>
      </c>
      <c r="L17214" t="s">
        <v>113</v>
      </c>
      <c r="N17214" t="s">
        <v>29</v>
      </c>
    </row>
    <row r="17215" spans="1:14">
      <c r="A17215" s="4" t="str">
        <f t="shared" si="1267"/>
        <v>EXP00435</v>
      </c>
      <c r="B17215" s="3" t="s">
        <v>66</v>
      </c>
      <c r="C17215" s="4" t="str">
        <f t="shared" si="1266"/>
        <v>TCGA-PAAD</v>
      </c>
      <c r="D17215" s="1" t="s">
        <v>493</v>
      </c>
      <c r="E17215" t="s">
        <v>566</v>
      </c>
      <c r="F17215" s="1">
        <v>2</v>
      </c>
      <c r="G17215" s="1" t="s">
        <v>32</v>
      </c>
      <c r="H17215" s="4" t="str">
        <f>HYPERLINK("https://portal.gdc.cancer.gov/cases/33833131-1482-42d5-9cf5-01cade540234","TCGA-2J-AAB4-01A")</f>
        <v>TCGA-2J-AAB4-01A</v>
      </c>
      <c r="I17215" t="s">
        <v>111</v>
      </c>
      <c r="J17215" t="s">
        <v>563</v>
      </c>
      <c r="K17215" t="s">
        <v>33</v>
      </c>
      <c r="L17215" t="s">
        <v>113</v>
      </c>
      <c r="N17215" t="s">
        <v>29</v>
      </c>
    </row>
    <row r="17216" spans="1:14">
      <c r="A17216" s="4" t="str">
        <f t="shared" si="1267"/>
        <v>EXP00435</v>
      </c>
      <c r="B17216" s="3" t="s">
        <v>66</v>
      </c>
      <c r="C17216" s="4" t="str">
        <f t="shared" si="1266"/>
        <v>TCGA-PAAD</v>
      </c>
      <c r="D17216" s="1" t="s">
        <v>493</v>
      </c>
      <c r="E17216" t="s">
        <v>566</v>
      </c>
      <c r="F17216" s="1">
        <v>2</v>
      </c>
      <c r="G17216" s="1" t="s">
        <v>32</v>
      </c>
      <c r="H17216" s="4" t="str">
        <f>HYPERLINK("https://portal.gdc.cancer.gov/cases/2e8f90f4-aed3-43b0-985c-dfdc2581f24f","TCGA-2J-AAB8-01A")</f>
        <v>TCGA-2J-AAB8-01A</v>
      </c>
      <c r="I17216" t="s">
        <v>111</v>
      </c>
      <c r="J17216" t="s">
        <v>563</v>
      </c>
      <c r="K17216" t="s">
        <v>33</v>
      </c>
      <c r="L17216" t="s">
        <v>113</v>
      </c>
      <c r="N17216" t="s">
        <v>29</v>
      </c>
    </row>
    <row r="17217" spans="1:14">
      <c r="A17217" s="4" t="str">
        <f t="shared" si="1267"/>
        <v>EXP00435</v>
      </c>
      <c r="B17217" s="3" t="s">
        <v>66</v>
      </c>
      <c r="C17217" s="4" t="str">
        <f t="shared" si="1266"/>
        <v>TCGA-PAAD</v>
      </c>
      <c r="D17217" s="1" t="s">
        <v>493</v>
      </c>
      <c r="E17217" t="s">
        <v>566</v>
      </c>
      <c r="F17217" s="1">
        <v>2</v>
      </c>
      <c r="G17217" s="1" t="s">
        <v>32</v>
      </c>
      <c r="H17217" s="4" t="str">
        <f>HYPERLINK("https://portal.gdc.cancer.gov/cases/58c1c391-5ea3-4432-bb1e-e7e1974954bc","TCGA-2J-AABE-01A")</f>
        <v>TCGA-2J-AABE-01A</v>
      </c>
      <c r="I17217" t="s">
        <v>111</v>
      </c>
      <c r="J17217" t="s">
        <v>563</v>
      </c>
      <c r="K17217" t="s">
        <v>33</v>
      </c>
      <c r="L17217" t="s">
        <v>113</v>
      </c>
      <c r="N17217" t="s">
        <v>29</v>
      </c>
    </row>
    <row r="17218" spans="1:14">
      <c r="A17218" s="4" t="str">
        <f t="shared" ref="A17218:A17249" si="1268">HYPERLINK("http://hcmdb.i-sanger.com/experiment/details/experiment_id/EXP00435","EXP00435")</f>
        <v>EXP00435</v>
      </c>
      <c r="B17218" s="3" t="s">
        <v>66</v>
      </c>
      <c r="C17218" s="4" t="str">
        <f t="shared" si="1266"/>
        <v>TCGA-PAAD</v>
      </c>
      <c r="D17218" s="1" t="s">
        <v>493</v>
      </c>
      <c r="E17218" t="s">
        <v>566</v>
      </c>
      <c r="F17218" s="1">
        <v>2</v>
      </c>
      <c r="G17218" s="1" t="s">
        <v>32</v>
      </c>
      <c r="H17218" s="4" t="str">
        <f>HYPERLINK("https://portal.gdc.cancer.gov/cases/c53328b4-0930-4e6a-a648-283b5565295e","TCGA-2J-AABH-01A")</f>
        <v>TCGA-2J-AABH-01A</v>
      </c>
      <c r="I17218" t="s">
        <v>111</v>
      </c>
      <c r="J17218" t="s">
        <v>563</v>
      </c>
      <c r="K17218" t="s">
        <v>33</v>
      </c>
      <c r="L17218" t="s">
        <v>113</v>
      </c>
      <c r="N17218" t="s">
        <v>29</v>
      </c>
    </row>
    <row r="17219" spans="1:14">
      <c r="A17219" s="4" t="str">
        <f t="shared" si="1268"/>
        <v>EXP00435</v>
      </c>
      <c r="B17219" s="3" t="s">
        <v>66</v>
      </c>
      <c r="C17219" s="4" t="str">
        <f t="shared" si="1266"/>
        <v>TCGA-PAAD</v>
      </c>
      <c r="D17219" s="1" t="s">
        <v>493</v>
      </c>
      <c r="E17219" t="s">
        <v>566</v>
      </c>
      <c r="F17219" s="1">
        <v>2</v>
      </c>
      <c r="G17219" s="1" t="s">
        <v>32</v>
      </c>
      <c r="H17219" s="4" t="str">
        <f>HYPERLINK("https://portal.gdc.cancer.gov/cases/c24c54ea-4095-460d-bb53-e3629a56cd62","TCGA-2J-AABK-01A")</f>
        <v>TCGA-2J-AABK-01A</v>
      </c>
      <c r="I17219" t="s">
        <v>111</v>
      </c>
      <c r="J17219" t="s">
        <v>563</v>
      </c>
      <c r="K17219" t="s">
        <v>33</v>
      </c>
      <c r="L17219" t="s">
        <v>113</v>
      </c>
      <c r="N17219" t="s">
        <v>29</v>
      </c>
    </row>
    <row r="17220" spans="1:14">
      <c r="A17220" s="4" t="str">
        <f t="shared" si="1268"/>
        <v>EXP00435</v>
      </c>
      <c r="B17220" s="3" t="s">
        <v>66</v>
      </c>
      <c r="C17220" s="4" t="str">
        <f t="shared" si="1266"/>
        <v>TCGA-PAAD</v>
      </c>
      <c r="D17220" s="1" t="s">
        <v>493</v>
      </c>
      <c r="E17220" t="s">
        <v>566</v>
      </c>
      <c r="F17220" s="1">
        <v>2</v>
      </c>
      <c r="G17220" s="1" t="s">
        <v>32</v>
      </c>
      <c r="H17220" s="4" t="str">
        <f>HYPERLINK("https://portal.gdc.cancer.gov/cases/a8c3e333-865d-4060-8ce4-453aa6f9f0e8","TCGA-2J-AABO-01A")</f>
        <v>TCGA-2J-AABO-01A</v>
      </c>
      <c r="I17220" t="s">
        <v>111</v>
      </c>
      <c r="J17220" t="s">
        <v>563</v>
      </c>
      <c r="K17220" t="s">
        <v>33</v>
      </c>
      <c r="L17220" t="s">
        <v>113</v>
      </c>
      <c r="N17220" t="s">
        <v>29</v>
      </c>
    </row>
    <row r="17221" spans="1:14">
      <c r="A17221" s="4" t="str">
        <f t="shared" si="1268"/>
        <v>EXP00435</v>
      </c>
      <c r="B17221" s="3" t="s">
        <v>66</v>
      </c>
      <c r="C17221" s="4" t="str">
        <f t="shared" si="1266"/>
        <v>TCGA-PAAD</v>
      </c>
      <c r="D17221" s="1" t="s">
        <v>493</v>
      </c>
      <c r="E17221" t="s">
        <v>566</v>
      </c>
      <c r="F17221" s="1">
        <v>2</v>
      </c>
      <c r="G17221" s="1" t="s">
        <v>32</v>
      </c>
      <c r="H17221" s="4" t="str">
        <f>HYPERLINK("https://portal.gdc.cancer.gov/cases/a4569ce7-dde7-4660-a24c-409d294b2b8c","TCGA-2J-AABP-01A")</f>
        <v>TCGA-2J-AABP-01A</v>
      </c>
      <c r="I17221" t="s">
        <v>111</v>
      </c>
      <c r="J17221" t="s">
        <v>563</v>
      </c>
      <c r="K17221" t="s">
        <v>33</v>
      </c>
      <c r="L17221" t="s">
        <v>113</v>
      </c>
      <c r="N17221" t="s">
        <v>29</v>
      </c>
    </row>
    <row r="17222" spans="1:14">
      <c r="A17222" s="4" t="str">
        <f t="shared" si="1268"/>
        <v>EXP00435</v>
      </c>
      <c r="B17222" s="3" t="s">
        <v>66</v>
      </c>
      <c r="C17222" s="4" t="str">
        <f t="shared" ref="C17222:C17285" si="1269">HYPERLINK("https://portal.gdc.cancer.gov/projects/TCGA-PAAD","TCGA-PAAD")</f>
        <v>TCGA-PAAD</v>
      </c>
      <c r="D17222" s="1" t="s">
        <v>493</v>
      </c>
      <c r="E17222" t="s">
        <v>566</v>
      </c>
      <c r="F17222" s="1">
        <v>2</v>
      </c>
      <c r="G17222" s="1" t="s">
        <v>32</v>
      </c>
      <c r="H17222" s="4" t="str">
        <f>HYPERLINK("https://portal.gdc.cancer.gov/cases/3f9cc59e-9f7d-40d1-9365-28b40dff3c59","TCGA-2J-AABT-01A")</f>
        <v>TCGA-2J-AABT-01A</v>
      </c>
      <c r="I17222" t="s">
        <v>111</v>
      </c>
      <c r="J17222" t="s">
        <v>563</v>
      </c>
      <c r="K17222" t="s">
        <v>33</v>
      </c>
      <c r="L17222" t="s">
        <v>113</v>
      </c>
      <c r="N17222" t="s">
        <v>29</v>
      </c>
    </row>
    <row r="17223" spans="1:14">
      <c r="A17223" s="4" t="str">
        <f t="shared" si="1268"/>
        <v>EXP00435</v>
      </c>
      <c r="B17223" s="3" t="s">
        <v>66</v>
      </c>
      <c r="C17223" s="4" t="str">
        <f t="shared" si="1269"/>
        <v>TCGA-PAAD</v>
      </c>
      <c r="D17223" s="1" t="s">
        <v>493</v>
      </c>
      <c r="E17223" t="s">
        <v>566</v>
      </c>
      <c r="F17223" s="1">
        <v>2</v>
      </c>
      <c r="G17223" s="1" t="s">
        <v>32</v>
      </c>
      <c r="H17223" s="4" t="str">
        <f>HYPERLINK("https://portal.gdc.cancer.gov/cases/d8aa891c-8050-471e-ad3e-32b9c5e9db03","TCGA-2L-AAQA-01A")</f>
        <v>TCGA-2L-AAQA-01A</v>
      </c>
      <c r="I17223" t="s">
        <v>111</v>
      </c>
      <c r="J17223" t="s">
        <v>563</v>
      </c>
      <c r="K17223" t="s">
        <v>33</v>
      </c>
      <c r="L17223" t="s">
        <v>113</v>
      </c>
      <c r="N17223" t="s">
        <v>29</v>
      </c>
    </row>
    <row r="17224" spans="1:14">
      <c r="A17224" s="4" t="str">
        <f t="shared" si="1268"/>
        <v>EXP00435</v>
      </c>
      <c r="B17224" s="3" t="s">
        <v>66</v>
      </c>
      <c r="C17224" s="4" t="str">
        <f t="shared" si="1269"/>
        <v>TCGA-PAAD</v>
      </c>
      <c r="D17224" s="1" t="s">
        <v>493</v>
      </c>
      <c r="E17224" t="s">
        <v>566</v>
      </c>
      <c r="F17224" s="1">
        <v>2</v>
      </c>
      <c r="G17224" s="1" t="s">
        <v>32</v>
      </c>
      <c r="H17224" s="4" t="str">
        <f>HYPERLINK("https://portal.gdc.cancer.gov/cases/8e7d5615-5142-4d53-a460-2cafade1f690","TCGA-2L-AAQE-01A")</f>
        <v>TCGA-2L-AAQE-01A</v>
      </c>
      <c r="I17224" t="s">
        <v>111</v>
      </c>
      <c r="J17224" t="s">
        <v>563</v>
      </c>
      <c r="K17224" t="s">
        <v>33</v>
      </c>
      <c r="L17224" t="s">
        <v>113</v>
      </c>
      <c r="N17224" t="s">
        <v>29</v>
      </c>
    </row>
    <row r="17225" spans="1:14">
      <c r="A17225" s="4" t="str">
        <f t="shared" si="1268"/>
        <v>EXP00435</v>
      </c>
      <c r="B17225" s="3" t="s">
        <v>66</v>
      </c>
      <c r="C17225" s="4" t="str">
        <f t="shared" si="1269"/>
        <v>TCGA-PAAD</v>
      </c>
      <c r="D17225" s="1" t="s">
        <v>493</v>
      </c>
      <c r="E17225" t="s">
        <v>566</v>
      </c>
      <c r="F17225" s="1">
        <v>2</v>
      </c>
      <c r="G17225" s="1" t="s">
        <v>32</v>
      </c>
      <c r="H17225" s="4" t="str">
        <f>HYPERLINK("https://portal.gdc.cancer.gov/cases/a28cfa95-5a99-40f3-928e-7a94f2492d2c","TCGA-2L-AAQI-01A")</f>
        <v>TCGA-2L-AAQI-01A</v>
      </c>
      <c r="I17225" t="s">
        <v>111</v>
      </c>
      <c r="J17225" t="s">
        <v>563</v>
      </c>
      <c r="K17225" t="s">
        <v>33</v>
      </c>
      <c r="L17225" t="s">
        <v>113</v>
      </c>
      <c r="N17225" t="s">
        <v>29</v>
      </c>
    </row>
    <row r="17226" spans="1:14">
      <c r="A17226" s="4" t="str">
        <f t="shared" si="1268"/>
        <v>EXP00435</v>
      </c>
      <c r="B17226" s="3" t="s">
        <v>66</v>
      </c>
      <c r="C17226" s="4" t="str">
        <f t="shared" si="1269"/>
        <v>TCGA-PAAD</v>
      </c>
      <c r="D17226" s="1" t="s">
        <v>493</v>
      </c>
      <c r="E17226" t="s">
        <v>566</v>
      </c>
      <c r="F17226" s="1">
        <v>2</v>
      </c>
      <c r="G17226" s="1" t="s">
        <v>32</v>
      </c>
      <c r="H17226" s="4" t="str">
        <f>HYPERLINK("https://portal.gdc.cancer.gov/cases/f96ab3fe-bb11-4585-a35e-52d400e55ab7","TCGA-2L-AAQJ-01A")</f>
        <v>TCGA-2L-AAQJ-01A</v>
      </c>
      <c r="I17226" t="s">
        <v>111</v>
      </c>
      <c r="J17226" t="s">
        <v>563</v>
      </c>
      <c r="K17226" t="s">
        <v>33</v>
      </c>
      <c r="L17226" t="s">
        <v>113</v>
      </c>
      <c r="N17226" t="s">
        <v>29</v>
      </c>
    </row>
    <row r="17227" spans="1:14">
      <c r="A17227" s="4" t="str">
        <f t="shared" si="1268"/>
        <v>EXP00435</v>
      </c>
      <c r="B17227" s="3" t="s">
        <v>66</v>
      </c>
      <c r="C17227" s="4" t="str">
        <f t="shared" si="1269"/>
        <v>TCGA-PAAD</v>
      </c>
      <c r="D17227" s="1" t="s">
        <v>493</v>
      </c>
      <c r="E17227" t="s">
        <v>566</v>
      </c>
      <c r="F17227" s="1">
        <v>2</v>
      </c>
      <c r="G17227" s="1" t="s">
        <v>32</v>
      </c>
      <c r="H17227" s="4" t="str">
        <f>HYPERLINK("https://portal.gdc.cancer.gov/cases/1db061c0-9b28-4bf9-8ad2-0383c69b6800","TCGA-2L-AAQL-01A")</f>
        <v>TCGA-2L-AAQL-01A</v>
      </c>
      <c r="I17227" t="s">
        <v>111</v>
      </c>
      <c r="J17227" t="s">
        <v>563</v>
      </c>
      <c r="K17227" t="s">
        <v>33</v>
      </c>
      <c r="L17227" t="s">
        <v>113</v>
      </c>
      <c r="N17227" t="s">
        <v>29</v>
      </c>
    </row>
    <row r="17228" spans="1:14">
      <c r="A17228" s="4" t="str">
        <f t="shared" si="1268"/>
        <v>EXP00435</v>
      </c>
      <c r="B17228" s="3" t="s">
        <v>66</v>
      </c>
      <c r="C17228" s="4" t="str">
        <f t="shared" si="1269"/>
        <v>TCGA-PAAD</v>
      </c>
      <c r="D17228" s="1" t="s">
        <v>493</v>
      </c>
      <c r="E17228" t="s">
        <v>566</v>
      </c>
      <c r="F17228" s="1">
        <v>2</v>
      </c>
      <c r="G17228" s="1" t="s">
        <v>32</v>
      </c>
      <c r="H17228" s="4" t="str">
        <f>HYPERLINK("https://portal.gdc.cancer.gov/cases/7240d5da-b54e-436b-8069-f2c9f516b75e","TCGA-2L-AAQM-01A")</f>
        <v>TCGA-2L-AAQM-01A</v>
      </c>
      <c r="I17228" t="s">
        <v>111</v>
      </c>
      <c r="J17228" t="s">
        <v>563</v>
      </c>
      <c r="K17228" t="s">
        <v>33</v>
      </c>
      <c r="L17228" t="s">
        <v>113</v>
      </c>
      <c r="N17228" t="s">
        <v>29</v>
      </c>
    </row>
    <row r="17229" spans="1:14">
      <c r="A17229" s="4" t="str">
        <f t="shared" si="1268"/>
        <v>EXP00435</v>
      </c>
      <c r="B17229" s="3" t="s">
        <v>66</v>
      </c>
      <c r="C17229" s="4" t="str">
        <f t="shared" si="1269"/>
        <v>TCGA-PAAD</v>
      </c>
      <c r="D17229" s="1" t="s">
        <v>493</v>
      </c>
      <c r="E17229" t="s">
        <v>566</v>
      </c>
      <c r="F17229" s="1">
        <v>2</v>
      </c>
      <c r="G17229" s="1" t="s">
        <v>32</v>
      </c>
      <c r="H17229" s="4" t="str">
        <f>HYPERLINK("https://portal.gdc.cancer.gov/cases/9924e309-5c47-42fe-b937-547f2b3d6842","TCGA-3A-A9I5-01A")</f>
        <v>TCGA-3A-A9I5-01A</v>
      </c>
      <c r="I17229" t="s">
        <v>111</v>
      </c>
      <c r="J17229" t="s">
        <v>563</v>
      </c>
      <c r="K17229" t="s">
        <v>33</v>
      </c>
      <c r="L17229" t="s">
        <v>113</v>
      </c>
      <c r="N17229" t="s">
        <v>29</v>
      </c>
    </row>
    <row r="17230" spans="1:14">
      <c r="A17230" s="4" t="str">
        <f t="shared" si="1268"/>
        <v>EXP00435</v>
      </c>
      <c r="B17230" s="3" t="s">
        <v>66</v>
      </c>
      <c r="C17230" s="4" t="str">
        <f t="shared" si="1269"/>
        <v>TCGA-PAAD</v>
      </c>
      <c r="D17230" s="1" t="s">
        <v>493</v>
      </c>
      <c r="E17230" t="s">
        <v>566</v>
      </c>
      <c r="F17230" s="1">
        <v>2</v>
      </c>
      <c r="G17230" s="1" t="s">
        <v>32</v>
      </c>
      <c r="H17230" s="4" t="str">
        <f>HYPERLINK("https://portal.gdc.cancer.gov/cases/556baca9-03d6-48a3-9216-4fc441e99f90","TCGA-3A-A9I7-01A")</f>
        <v>TCGA-3A-A9I7-01A</v>
      </c>
      <c r="I17230" t="s">
        <v>111</v>
      </c>
      <c r="J17230" t="s">
        <v>563</v>
      </c>
      <c r="K17230" t="s">
        <v>33</v>
      </c>
      <c r="L17230" t="s">
        <v>113</v>
      </c>
      <c r="N17230" t="s">
        <v>29</v>
      </c>
    </row>
    <row r="17231" spans="1:14">
      <c r="A17231" s="4" t="str">
        <f t="shared" si="1268"/>
        <v>EXP00435</v>
      </c>
      <c r="B17231" s="3" t="s">
        <v>66</v>
      </c>
      <c r="C17231" s="4" t="str">
        <f t="shared" si="1269"/>
        <v>TCGA-PAAD</v>
      </c>
      <c r="D17231" s="1" t="s">
        <v>493</v>
      </c>
      <c r="E17231" t="s">
        <v>566</v>
      </c>
      <c r="F17231" s="1">
        <v>2</v>
      </c>
      <c r="G17231" s="1" t="s">
        <v>32</v>
      </c>
      <c r="H17231" s="4" t="str">
        <f>HYPERLINK("https://portal.gdc.cancer.gov/cases/396ff766-a383-4f42-bce3-f2f32b7f1151","TCGA-3A-A9I9-01A")</f>
        <v>TCGA-3A-A9I9-01A</v>
      </c>
      <c r="I17231" t="s">
        <v>111</v>
      </c>
      <c r="J17231" t="s">
        <v>563</v>
      </c>
      <c r="K17231" t="s">
        <v>33</v>
      </c>
      <c r="L17231" t="s">
        <v>113</v>
      </c>
      <c r="N17231" t="s">
        <v>29</v>
      </c>
    </row>
    <row r="17232" spans="1:14">
      <c r="A17232" s="4" t="str">
        <f t="shared" si="1268"/>
        <v>EXP00435</v>
      </c>
      <c r="B17232" s="3" t="s">
        <v>66</v>
      </c>
      <c r="C17232" s="4" t="str">
        <f t="shared" si="1269"/>
        <v>TCGA-PAAD</v>
      </c>
      <c r="D17232" s="1" t="s">
        <v>493</v>
      </c>
      <c r="E17232" t="s">
        <v>566</v>
      </c>
      <c r="F17232" s="1">
        <v>2</v>
      </c>
      <c r="G17232" s="1" t="s">
        <v>32</v>
      </c>
      <c r="H17232" s="4" t="str">
        <f>HYPERLINK("https://portal.gdc.cancer.gov/cases/3cbf56e6-dccc-40fe-b06e-2621a2121e9d","TCGA-3A-A9IB-01A")</f>
        <v>TCGA-3A-A9IB-01A</v>
      </c>
      <c r="I17232" t="s">
        <v>111</v>
      </c>
      <c r="J17232" t="s">
        <v>563</v>
      </c>
      <c r="K17232" t="s">
        <v>33</v>
      </c>
      <c r="L17232" t="s">
        <v>113</v>
      </c>
      <c r="N17232" t="s">
        <v>29</v>
      </c>
    </row>
    <row r="17233" spans="1:14">
      <c r="A17233" s="4" t="str">
        <f t="shared" si="1268"/>
        <v>EXP00435</v>
      </c>
      <c r="B17233" s="3" t="s">
        <v>66</v>
      </c>
      <c r="C17233" s="4" t="str">
        <f t="shared" si="1269"/>
        <v>TCGA-PAAD</v>
      </c>
      <c r="D17233" s="1" t="s">
        <v>493</v>
      </c>
      <c r="E17233" t="s">
        <v>566</v>
      </c>
      <c r="F17233" s="1">
        <v>2</v>
      </c>
      <c r="G17233" s="1" t="s">
        <v>32</v>
      </c>
      <c r="H17233" s="4" t="str">
        <f>HYPERLINK("https://portal.gdc.cancer.gov/cases/67e9abc1-4b6f-4054-bdc4-29906c55c682","TCGA-3A-A9IC-01A")</f>
        <v>TCGA-3A-A9IC-01A</v>
      </c>
      <c r="I17233" t="s">
        <v>111</v>
      </c>
      <c r="J17233" t="s">
        <v>563</v>
      </c>
      <c r="K17233" t="s">
        <v>33</v>
      </c>
      <c r="L17233" t="s">
        <v>113</v>
      </c>
      <c r="N17233" t="s">
        <v>29</v>
      </c>
    </row>
    <row r="17234" spans="1:14">
      <c r="A17234" s="4" t="str">
        <f t="shared" si="1268"/>
        <v>EXP00435</v>
      </c>
      <c r="B17234" s="3" t="s">
        <v>66</v>
      </c>
      <c r="C17234" s="4" t="str">
        <f t="shared" si="1269"/>
        <v>TCGA-PAAD</v>
      </c>
      <c r="D17234" s="1" t="s">
        <v>493</v>
      </c>
      <c r="E17234" t="s">
        <v>566</v>
      </c>
      <c r="F17234" s="1">
        <v>2</v>
      </c>
      <c r="G17234" s="1" t="s">
        <v>32</v>
      </c>
      <c r="H17234" s="4" t="str">
        <f>HYPERLINK("https://portal.gdc.cancer.gov/cases/10f0d40b-c4c4-441b-9cfb-bef5e44aa91e","TCGA-3A-A9IH-01A")</f>
        <v>TCGA-3A-A9IH-01A</v>
      </c>
      <c r="I17234" t="s">
        <v>111</v>
      </c>
      <c r="J17234" t="s">
        <v>563</v>
      </c>
      <c r="K17234" t="s">
        <v>33</v>
      </c>
      <c r="L17234" t="s">
        <v>113</v>
      </c>
      <c r="N17234" t="s">
        <v>29</v>
      </c>
    </row>
    <row r="17235" spans="1:14">
      <c r="A17235" s="4" t="str">
        <f t="shared" si="1268"/>
        <v>EXP00435</v>
      </c>
      <c r="B17235" s="3" t="s">
        <v>66</v>
      </c>
      <c r="C17235" s="4" t="str">
        <f t="shared" si="1269"/>
        <v>TCGA-PAAD</v>
      </c>
      <c r="D17235" s="1" t="s">
        <v>493</v>
      </c>
      <c r="E17235" t="s">
        <v>566</v>
      </c>
      <c r="F17235" s="1">
        <v>2</v>
      </c>
      <c r="G17235" s="1" t="s">
        <v>32</v>
      </c>
      <c r="H17235" s="4" t="str">
        <f>HYPERLINK("https://portal.gdc.cancer.gov/cases/5f468c25-73c3-49d5-ba12-50653dfe2c41","TCGA-3A-A9IJ-01A")</f>
        <v>TCGA-3A-A9IJ-01A</v>
      </c>
      <c r="I17235" t="s">
        <v>111</v>
      </c>
      <c r="J17235" t="s">
        <v>563</v>
      </c>
      <c r="K17235" t="s">
        <v>33</v>
      </c>
      <c r="L17235" t="s">
        <v>113</v>
      </c>
      <c r="N17235" t="s">
        <v>29</v>
      </c>
    </row>
    <row r="17236" spans="1:14">
      <c r="A17236" s="4" t="str">
        <f t="shared" si="1268"/>
        <v>EXP00435</v>
      </c>
      <c r="B17236" s="3" t="s">
        <v>66</v>
      </c>
      <c r="C17236" s="4" t="str">
        <f t="shared" si="1269"/>
        <v>TCGA-PAAD</v>
      </c>
      <c r="D17236" s="1" t="s">
        <v>493</v>
      </c>
      <c r="E17236" t="s">
        <v>566</v>
      </c>
      <c r="F17236" s="1">
        <v>2</v>
      </c>
      <c r="G17236" s="1" t="s">
        <v>32</v>
      </c>
      <c r="H17236" s="4" t="str">
        <f>HYPERLINK("https://portal.gdc.cancer.gov/cases/24a40289-96fd-4c1a-a953-45a46a0a0e9d","TCGA-3A-A9IL-01A")</f>
        <v>TCGA-3A-A9IL-01A</v>
      </c>
      <c r="I17236" t="s">
        <v>111</v>
      </c>
      <c r="J17236" t="s">
        <v>563</v>
      </c>
      <c r="K17236" t="s">
        <v>33</v>
      </c>
      <c r="L17236" t="s">
        <v>113</v>
      </c>
      <c r="N17236" t="s">
        <v>29</v>
      </c>
    </row>
    <row r="17237" spans="1:14">
      <c r="A17237" s="4" t="str">
        <f t="shared" si="1268"/>
        <v>EXP00435</v>
      </c>
      <c r="B17237" s="3" t="s">
        <v>66</v>
      </c>
      <c r="C17237" s="4" t="str">
        <f t="shared" si="1269"/>
        <v>TCGA-PAAD</v>
      </c>
      <c r="D17237" s="1" t="s">
        <v>493</v>
      </c>
      <c r="E17237" t="s">
        <v>566</v>
      </c>
      <c r="F17237" s="1">
        <v>2</v>
      </c>
      <c r="G17237" s="1" t="s">
        <v>32</v>
      </c>
      <c r="H17237" s="4" t="str">
        <f>HYPERLINK("https://portal.gdc.cancer.gov/cases/dd5074b2-462d-4267-8b9b-5a4c54e5978c","TCGA-3A-A9IN-01A")</f>
        <v>TCGA-3A-A9IN-01A</v>
      </c>
      <c r="I17237" t="s">
        <v>111</v>
      </c>
      <c r="J17237" t="s">
        <v>563</v>
      </c>
      <c r="K17237" t="s">
        <v>33</v>
      </c>
      <c r="L17237" t="s">
        <v>113</v>
      </c>
      <c r="N17237" t="s">
        <v>29</v>
      </c>
    </row>
    <row r="17238" spans="1:14">
      <c r="A17238" s="4" t="str">
        <f t="shared" si="1268"/>
        <v>EXP00435</v>
      </c>
      <c r="B17238" s="3" t="s">
        <v>66</v>
      </c>
      <c r="C17238" s="4" t="str">
        <f t="shared" si="1269"/>
        <v>TCGA-PAAD</v>
      </c>
      <c r="D17238" s="1" t="s">
        <v>493</v>
      </c>
      <c r="E17238" t="s">
        <v>566</v>
      </c>
      <c r="F17238" s="1">
        <v>2</v>
      </c>
      <c r="G17238" s="1" t="s">
        <v>32</v>
      </c>
      <c r="H17238" s="4" t="str">
        <f>HYPERLINK("https://portal.gdc.cancer.gov/cases/13cf4e4c-8d5f-4854-a350-428fdf1ff340","TCGA-3A-A9IO-01A")</f>
        <v>TCGA-3A-A9IO-01A</v>
      </c>
      <c r="I17238" t="s">
        <v>111</v>
      </c>
      <c r="J17238" t="s">
        <v>563</v>
      </c>
      <c r="K17238" t="s">
        <v>33</v>
      </c>
      <c r="L17238" t="s">
        <v>113</v>
      </c>
      <c r="N17238" t="s">
        <v>29</v>
      </c>
    </row>
    <row r="17239" spans="1:14">
      <c r="A17239" s="4" t="str">
        <f t="shared" si="1268"/>
        <v>EXP00435</v>
      </c>
      <c r="B17239" s="3" t="s">
        <v>66</v>
      </c>
      <c r="C17239" s="4" t="str">
        <f t="shared" si="1269"/>
        <v>TCGA-PAAD</v>
      </c>
      <c r="D17239" s="1" t="s">
        <v>493</v>
      </c>
      <c r="E17239" t="s">
        <v>566</v>
      </c>
      <c r="F17239" s="1">
        <v>2</v>
      </c>
      <c r="G17239" s="1" t="s">
        <v>32</v>
      </c>
      <c r="H17239" s="4" t="str">
        <f>HYPERLINK("https://portal.gdc.cancer.gov/cases/5898434d-cfa3-4515-a0c0-810d7e515120","TCGA-3A-A9IR-01A")</f>
        <v>TCGA-3A-A9IR-01A</v>
      </c>
      <c r="I17239" t="s">
        <v>111</v>
      </c>
      <c r="J17239" t="s">
        <v>563</v>
      </c>
      <c r="K17239" t="s">
        <v>33</v>
      </c>
      <c r="L17239" t="s">
        <v>113</v>
      </c>
      <c r="N17239" t="s">
        <v>29</v>
      </c>
    </row>
    <row r="17240" spans="1:14">
      <c r="A17240" s="4" t="str">
        <f t="shared" si="1268"/>
        <v>EXP00435</v>
      </c>
      <c r="B17240" s="3" t="s">
        <v>66</v>
      </c>
      <c r="C17240" s="4" t="str">
        <f t="shared" si="1269"/>
        <v>TCGA-PAAD</v>
      </c>
      <c r="D17240" s="1" t="s">
        <v>493</v>
      </c>
      <c r="E17240" t="s">
        <v>566</v>
      </c>
      <c r="F17240" s="1">
        <v>2</v>
      </c>
      <c r="G17240" s="1" t="s">
        <v>32</v>
      </c>
      <c r="H17240" s="4" t="str">
        <f>HYPERLINK("https://portal.gdc.cancer.gov/cases/cf825b86-7ec2-4e90-bcce-3b5637b90b70","TCGA-3A-A9IS-01A")</f>
        <v>TCGA-3A-A9IS-01A</v>
      </c>
      <c r="I17240" t="s">
        <v>111</v>
      </c>
      <c r="J17240" t="s">
        <v>563</v>
      </c>
      <c r="K17240" t="s">
        <v>33</v>
      </c>
      <c r="L17240" t="s">
        <v>113</v>
      </c>
      <c r="N17240" t="s">
        <v>29</v>
      </c>
    </row>
    <row r="17241" spans="1:14">
      <c r="A17241" s="4" t="str">
        <f t="shared" si="1268"/>
        <v>EXP00435</v>
      </c>
      <c r="B17241" s="3" t="s">
        <v>66</v>
      </c>
      <c r="C17241" s="4" t="str">
        <f t="shared" si="1269"/>
        <v>TCGA-PAAD</v>
      </c>
      <c r="D17241" s="1" t="s">
        <v>493</v>
      </c>
      <c r="E17241" t="s">
        <v>566</v>
      </c>
      <c r="F17241" s="1">
        <v>2</v>
      </c>
      <c r="G17241" s="1" t="s">
        <v>32</v>
      </c>
      <c r="H17241" s="4" t="str">
        <f>HYPERLINK("https://portal.gdc.cancer.gov/cases/1c2341f3-558b-4555-90ff-c7a23ef85c0b","TCGA-3A-A9IV-01A")</f>
        <v>TCGA-3A-A9IV-01A</v>
      </c>
      <c r="I17241" t="s">
        <v>111</v>
      </c>
      <c r="J17241" t="s">
        <v>563</v>
      </c>
      <c r="K17241" t="s">
        <v>33</v>
      </c>
      <c r="L17241" t="s">
        <v>113</v>
      </c>
      <c r="N17241" t="s">
        <v>29</v>
      </c>
    </row>
    <row r="17242" spans="1:14">
      <c r="A17242" s="4" t="str">
        <f t="shared" si="1268"/>
        <v>EXP00435</v>
      </c>
      <c r="B17242" s="3" t="s">
        <v>66</v>
      </c>
      <c r="C17242" s="4" t="str">
        <f t="shared" si="1269"/>
        <v>TCGA-PAAD</v>
      </c>
      <c r="D17242" s="1" t="s">
        <v>493</v>
      </c>
      <c r="E17242" t="s">
        <v>566</v>
      </c>
      <c r="F17242" s="1">
        <v>2</v>
      </c>
      <c r="G17242" s="1" t="s">
        <v>32</v>
      </c>
      <c r="H17242" s="4" t="str">
        <f>HYPERLINK("https://portal.gdc.cancer.gov/cases/959e1f13-360e-4e12-add5-bf9a376990d2","TCGA-3A-A9IX-01A")</f>
        <v>TCGA-3A-A9IX-01A</v>
      </c>
      <c r="I17242" t="s">
        <v>111</v>
      </c>
      <c r="J17242" t="s">
        <v>563</v>
      </c>
      <c r="K17242" t="s">
        <v>33</v>
      </c>
      <c r="L17242" t="s">
        <v>113</v>
      </c>
      <c r="N17242" t="s">
        <v>29</v>
      </c>
    </row>
    <row r="17243" spans="1:14">
      <c r="A17243" s="4" t="str">
        <f t="shared" si="1268"/>
        <v>EXP00435</v>
      </c>
      <c r="B17243" s="3" t="s">
        <v>66</v>
      </c>
      <c r="C17243" s="4" t="str">
        <f t="shared" si="1269"/>
        <v>TCGA-PAAD</v>
      </c>
      <c r="D17243" s="1" t="s">
        <v>493</v>
      </c>
      <c r="E17243" t="s">
        <v>566</v>
      </c>
      <c r="F17243" s="1">
        <v>2</v>
      </c>
      <c r="G17243" s="1" t="s">
        <v>32</v>
      </c>
      <c r="H17243" s="4" t="str">
        <f>HYPERLINK("https://portal.gdc.cancer.gov/cases/517e0f20-56cc-470e-8c5f-543efa10cfb5","TCGA-3A-A9IZ-01A")</f>
        <v>TCGA-3A-A9IZ-01A</v>
      </c>
      <c r="I17243" t="s">
        <v>111</v>
      </c>
      <c r="J17243" t="s">
        <v>563</v>
      </c>
      <c r="K17243" t="s">
        <v>33</v>
      </c>
      <c r="L17243" t="s">
        <v>113</v>
      </c>
      <c r="N17243" t="s">
        <v>29</v>
      </c>
    </row>
    <row r="17244" spans="1:14">
      <c r="A17244" s="4" t="str">
        <f t="shared" si="1268"/>
        <v>EXP00435</v>
      </c>
      <c r="B17244" s="3" t="s">
        <v>66</v>
      </c>
      <c r="C17244" s="4" t="str">
        <f t="shared" si="1269"/>
        <v>TCGA-PAAD</v>
      </c>
      <c r="D17244" s="1" t="s">
        <v>493</v>
      </c>
      <c r="E17244" t="s">
        <v>566</v>
      </c>
      <c r="F17244" s="1">
        <v>2</v>
      </c>
      <c r="G17244" s="1" t="s">
        <v>32</v>
      </c>
      <c r="H17244" s="4" t="str">
        <f>HYPERLINK("https://portal.gdc.cancer.gov/cases/9d449aa3-b740-4d5a-9aea-880b6f84cff4","TCGA-3E-AAAZ-01A")</f>
        <v>TCGA-3E-AAAZ-01A</v>
      </c>
      <c r="I17244" t="s">
        <v>111</v>
      </c>
      <c r="J17244" t="s">
        <v>563</v>
      </c>
      <c r="K17244" t="s">
        <v>33</v>
      </c>
      <c r="L17244" t="s">
        <v>113</v>
      </c>
      <c r="N17244" t="s">
        <v>29</v>
      </c>
    </row>
    <row r="17245" spans="1:14">
      <c r="A17245" s="4" t="str">
        <f t="shared" si="1268"/>
        <v>EXP00435</v>
      </c>
      <c r="B17245" s="3" t="s">
        <v>66</v>
      </c>
      <c r="C17245" s="4" t="str">
        <f t="shared" si="1269"/>
        <v>TCGA-PAAD</v>
      </c>
      <c r="D17245" s="1" t="s">
        <v>493</v>
      </c>
      <c r="E17245" t="s">
        <v>566</v>
      </c>
      <c r="F17245" s="1">
        <v>2</v>
      </c>
      <c r="G17245" s="1" t="s">
        <v>32</v>
      </c>
      <c r="H17245" s="4" t="str">
        <f>HYPERLINK("https://portal.gdc.cancer.gov/cases/c60a4c63-607b-4d59-8625-bc5d20207647","TCGA-F2-6880-01A")</f>
        <v>TCGA-F2-6880-01A</v>
      </c>
      <c r="I17245" t="s">
        <v>111</v>
      </c>
      <c r="J17245" t="s">
        <v>563</v>
      </c>
      <c r="K17245" t="s">
        <v>33</v>
      </c>
      <c r="L17245" t="s">
        <v>113</v>
      </c>
      <c r="N17245" t="s">
        <v>29</v>
      </c>
    </row>
    <row r="17246" spans="1:14">
      <c r="A17246" s="4" t="str">
        <f t="shared" si="1268"/>
        <v>EXP00435</v>
      </c>
      <c r="B17246" s="3" t="s">
        <v>66</v>
      </c>
      <c r="C17246" s="4" t="str">
        <f t="shared" si="1269"/>
        <v>TCGA-PAAD</v>
      </c>
      <c r="D17246" s="1" t="s">
        <v>493</v>
      </c>
      <c r="E17246" t="s">
        <v>566</v>
      </c>
      <c r="F17246" s="1">
        <v>2</v>
      </c>
      <c r="G17246" s="1" t="s">
        <v>32</v>
      </c>
      <c r="H17246" s="4" t="str">
        <f>HYPERLINK("https://portal.gdc.cancer.gov/cases/e4babd46-005a-4af3-8041-131648d9c2c6","TCGA-F2-7276-01A")</f>
        <v>TCGA-F2-7276-01A</v>
      </c>
      <c r="I17246" t="s">
        <v>111</v>
      </c>
      <c r="J17246" t="s">
        <v>563</v>
      </c>
      <c r="K17246" t="s">
        <v>33</v>
      </c>
      <c r="L17246" t="s">
        <v>113</v>
      </c>
      <c r="N17246" t="s">
        <v>29</v>
      </c>
    </row>
    <row r="17247" spans="1:14">
      <c r="A17247" s="4" t="str">
        <f t="shared" si="1268"/>
        <v>EXP00435</v>
      </c>
      <c r="B17247" s="3" t="s">
        <v>66</v>
      </c>
      <c r="C17247" s="4" t="str">
        <f t="shared" si="1269"/>
        <v>TCGA-PAAD</v>
      </c>
      <c r="D17247" s="1" t="s">
        <v>493</v>
      </c>
      <c r="E17247" t="s">
        <v>566</v>
      </c>
      <c r="F17247" s="1">
        <v>2</v>
      </c>
      <c r="G17247" s="1" t="s">
        <v>32</v>
      </c>
      <c r="H17247" s="4" t="str">
        <f>HYPERLINK("https://portal.gdc.cancer.gov/cases/20094e3e-cee3-41dd-8553-1fc393117786","TCGA-F2-A44G-01A")</f>
        <v>TCGA-F2-A44G-01A</v>
      </c>
      <c r="I17247" t="s">
        <v>111</v>
      </c>
      <c r="J17247" t="s">
        <v>563</v>
      </c>
      <c r="K17247" t="s">
        <v>33</v>
      </c>
      <c r="L17247" t="s">
        <v>113</v>
      </c>
      <c r="N17247" t="s">
        <v>29</v>
      </c>
    </row>
    <row r="17248" spans="1:14">
      <c r="A17248" s="4" t="str">
        <f t="shared" si="1268"/>
        <v>EXP00435</v>
      </c>
      <c r="B17248" s="3" t="s">
        <v>66</v>
      </c>
      <c r="C17248" s="4" t="str">
        <f t="shared" si="1269"/>
        <v>TCGA-PAAD</v>
      </c>
      <c r="D17248" s="1" t="s">
        <v>493</v>
      </c>
      <c r="E17248" t="s">
        <v>566</v>
      </c>
      <c r="F17248" s="1">
        <v>2</v>
      </c>
      <c r="G17248" s="1" t="s">
        <v>32</v>
      </c>
      <c r="H17248" s="4" t="str">
        <f>HYPERLINK("https://portal.gdc.cancer.gov/cases/570f9947-1ce5-49c7-9619-49439df6c7a9","TCGA-F2-A44H-01A")</f>
        <v>TCGA-F2-A44H-01A</v>
      </c>
      <c r="I17248" t="s">
        <v>111</v>
      </c>
      <c r="J17248" t="s">
        <v>563</v>
      </c>
      <c r="K17248" t="s">
        <v>33</v>
      </c>
      <c r="L17248" t="s">
        <v>113</v>
      </c>
      <c r="N17248" t="s">
        <v>29</v>
      </c>
    </row>
    <row r="17249" spans="1:14">
      <c r="A17249" s="4" t="str">
        <f t="shared" si="1268"/>
        <v>EXP00435</v>
      </c>
      <c r="B17249" s="3" t="s">
        <v>66</v>
      </c>
      <c r="C17249" s="4" t="str">
        <f t="shared" si="1269"/>
        <v>TCGA-PAAD</v>
      </c>
      <c r="D17249" s="1" t="s">
        <v>493</v>
      </c>
      <c r="E17249" t="s">
        <v>566</v>
      </c>
      <c r="F17249" s="1">
        <v>2</v>
      </c>
      <c r="G17249" s="1" t="s">
        <v>32</v>
      </c>
      <c r="H17249" s="4" t="str">
        <f>HYPERLINK("https://portal.gdc.cancer.gov/cases/1f5494c4-e26c-4512-96d9-30412b5b32ce","TCGA-F2-A7TX-01A")</f>
        <v>TCGA-F2-A7TX-01A</v>
      </c>
      <c r="I17249" t="s">
        <v>111</v>
      </c>
      <c r="J17249" t="s">
        <v>563</v>
      </c>
      <c r="K17249" t="s">
        <v>33</v>
      </c>
      <c r="L17249" t="s">
        <v>113</v>
      </c>
      <c r="N17249" t="s">
        <v>29</v>
      </c>
    </row>
    <row r="17250" spans="1:14">
      <c r="A17250" s="4" t="str">
        <f t="shared" ref="A17250:A17281" si="1270">HYPERLINK("http://hcmdb.i-sanger.com/experiment/details/experiment_id/EXP00435","EXP00435")</f>
        <v>EXP00435</v>
      </c>
      <c r="B17250" s="3" t="s">
        <v>66</v>
      </c>
      <c r="C17250" s="4" t="str">
        <f t="shared" si="1269"/>
        <v>TCGA-PAAD</v>
      </c>
      <c r="D17250" s="1" t="s">
        <v>493</v>
      </c>
      <c r="E17250" t="s">
        <v>566</v>
      </c>
      <c r="F17250" s="1">
        <v>2</v>
      </c>
      <c r="G17250" s="1" t="s">
        <v>32</v>
      </c>
      <c r="H17250" s="4" t="str">
        <f>HYPERLINK("https://portal.gdc.cancer.gov/cases/5dbb4642-6636-4d67-9e73-25c7312aec44","TCGA-F2-A8YN-01A")</f>
        <v>TCGA-F2-A8YN-01A</v>
      </c>
      <c r="I17250" t="s">
        <v>111</v>
      </c>
      <c r="J17250" t="s">
        <v>563</v>
      </c>
      <c r="K17250" t="s">
        <v>33</v>
      </c>
      <c r="L17250" t="s">
        <v>113</v>
      </c>
      <c r="N17250" t="s">
        <v>29</v>
      </c>
    </row>
    <row r="17251" spans="1:14">
      <c r="A17251" s="4" t="str">
        <f t="shared" si="1270"/>
        <v>EXP00435</v>
      </c>
      <c r="B17251" s="3" t="s">
        <v>66</v>
      </c>
      <c r="C17251" s="4" t="str">
        <f t="shared" si="1269"/>
        <v>TCGA-PAAD</v>
      </c>
      <c r="D17251" s="1" t="s">
        <v>493</v>
      </c>
      <c r="E17251" t="s">
        <v>566</v>
      </c>
      <c r="F17251" s="1">
        <v>2</v>
      </c>
      <c r="G17251" s="1" t="s">
        <v>32</v>
      </c>
      <c r="H17251" s="4" t="str">
        <f>HYPERLINK("https://portal.gdc.cancer.gov/cases/b2e29f26-29af-4e2d-84dd-c513b4a07c70","TCGA-FB-A4P5-01A")</f>
        <v>TCGA-FB-A4P5-01A</v>
      </c>
      <c r="I17251" t="s">
        <v>111</v>
      </c>
      <c r="J17251" t="s">
        <v>563</v>
      </c>
      <c r="K17251" t="s">
        <v>33</v>
      </c>
      <c r="L17251" t="s">
        <v>113</v>
      </c>
      <c r="N17251" t="s">
        <v>29</v>
      </c>
    </row>
    <row r="17252" spans="1:14">
      <c r="A17252" s="4" t="str">
        <f t="shared" si="1270"/>
        <v>EXP00435</v>
      </c>
      <c r="B17252" s="3" t="s">
        <v>66</v>
      </c>
      <c r="C17252" s="4" t="str">
        <f t="shared" si="1269"/>
        <v>TCGA-PAAD</v>
      </c>
      <c r="D17252" s="1" t="s">
        <v>493</v>
      </c>
      <c r="E17252" t="s">
        <v>566</v>
      </c>
      <c r="F17252" s="1">
        <v>2</v>
      </c>
      <c r="G17252" s="1" t="s">
        <v>32</v>
      </c>
      <c r="H17252" s="4" t="str">
        <f>HYPERLINK("https://portal.gdc.cancer.gov/cases/9246c642-3231-4137-a24b-3efae151b655","TCGA-FB-A4P6-01A")</f>
        <v>TCGA-FB-A4P6-01A</v>
      </c>
      <c r="I17252" t="s">
        <v>111</v>
      </c>
      <c r="J17252" t="s">
        <v>563</v>
      </c>
      <c r="K17252" t="s">
        <v>33</v>
      </c>
      <c r="L17252" t="s">
        <v>113</v>
      </c>
      <c r="N17252" t="s">
        <v>29</v>
      </c>
    </row>
    <row r="17253" spans="1:14">
      <c r="A17253" s="4" t="str">
        <f t="shared" si="1270"/>
        <v>EXP00435</v>
      </c>
      <c r="B17253" s="3" t="s">
        <v>66</v>
      </c>
      <c r="C17253" s="4" t="str">
        <f t="shared" si="1269"/>
        <v>TCGA-PAAD</v>
      </c>
      <c r="D17253" s="1" t="s">
        <v>493</v>
      </c>
      <c r="E17253" t="s">
        <v>566</v>
      </c>
      <c r="F17253" s="1">
        <v>2</v>
      </c>
      <c r="G17253" s="1" t="s">
        <v>32</v>
      </c>
      <c r="H17253" s="4" t="str">
        <f>HYPERLINK("https://portal.gdc.cancer.gov/cases/b0cb81ad-3c20-4d56-ab7d-f64c0caee1ce","TCGA-FB-A545-01A")</f>
        <v>TCGA-FB-A545-01A</v>
      </c>
      <c r="I17253" t="s">
        <v>111</v>
      </c>
      <c r="J17253" t="s">
        <v>563</v>
      </c>
      <c r="K17253" t="s">
        <v>33</v>
      </c>
      <c r="L17253" t="s">
        <v>113</v>
      </c>
      <c r="N17253" t="s">
        <v>29</v>
      </c>
    </row>
    <row r="17254" spans="1:14">
      <c r="A17254" s="4" t="str">
        <f t="shared" si="1270"/>
        <v>EXP00435</v>
      </c>
      <c r="B17254" s="3" t="s">
        <v>66</v>
      </c>
      <c r="C17254" s="4" t="str">
        <f t="shared" si="1269"/>
        <v>TCGA-PAAD</v>
      </c>
      <c r="D17254" s="1" t="s">
        <v>493</v>
      </c>
      <c r="E17254" t="s">
        <v>566</v>
      </c>
      <c r="F17254" s="1">
        <v>2</v>
      </c>
      <c r="G17254" s="1" t="s">
        <v>32</v>
      </c>
      <c r="H17254" s="4" t="str">
        <f>HYPERLINK("https://portal.gdc.cancer.gov/cases/40d9b9f7-42b7-4cfd-af95-660777ad0529","TCGA-FB-A5VM-01A")</f>
        <v>TCGA-FB-A5VM-01A</v>
      </c>
      <c r="I17254" t="s">
        <v>111</v>
      </c>
      <c r="J17254" t="s">
        <v>563</v>
      </c>
      <c r="K17254" t="s">
        <v>33</v>
      </c>
      <c r="L17254" t="s">
        <v>113</v>
      </c>
      <c r="N17254" t="s">
        <v>29</v>
      </c>
    </row>
    <row r="17255" spans="1:14">
      <c r="A17255" s="4" t="str">
        <f t="shared" si="1270"/>
        <v>EXP00435</v>
      </c>
      <c r="B17255" s="3" t="s">
        <v>66</v>
      </c>
      <c r="C17255" s="4" t="str">
        <f t="shared" si="1269"/>
        <v>TCGA-PAAD</v>
      </c>
      <c r="D17255" s="1" t="s">
        <v>493</v>
      </c>
      <c r="E17255" t="s">
        <v>566</v>
      </c>
      <c r="F17255" s="1">
        <v>2</v>
      </c>
      <c r="G17255" s="1" t="s">
        <v>32</v>
      </c>
      <c r="H17255" s="4" t="str">
        <f>HYPERLINK("https://portal.gdc.cancer.gov/cases/2ad10199-1381-42b7-b54f-da34c1b1d3c0","TCGA-FB-A78T-01A")</f>
        <v>TCGA-FB-A78T-01A</v>
      </c>
      <c r="I17255" t="s">
        <v>111</v>
      </c>
      <c r="J17255" t="s">
        <v>563</v>
      </c>
      <c r="K17255" t="s">
        <v>33</v>
      </c>
      <c r="L17255" t="s">
        <v>113</v>
      </c>
      <c r="N17255" t="s">
        <v>29</v>
      </c>
    </row>
    <row r="17256" spans="1:14">
      <c r="A17256" s="4" t="str">
        <f t="shared" si="1270"/>
        <v>EXP00435</v>
      </c>
      <c r="B17256" s="3" t="s">
        <v>66</v>
      </c>
      <c r="C17256" s="4" t="str">
        <f t="shared" si="1269"/>
        <v>TCGA-PAAD</v>
      </c>
      <c r="D17256" s="1" t="s">
        <v>493</v>
      </c>
      <c r="E17256" t="s">
        <v>566</v>
      </c>
      <c r="F17256" s="1">
        <v>2</v>
      </c>
      <c r="G17256" s="1" t="s">
        <v>32</v>
      </c>
      <c r="H17256" s="4" t="str">
        <f>HYPERLINK("https://portal.gdc.cancer.gov/cases/d47e214d-efbc-436d-b928-303d1f5135c4","TCGA-FB-A7DR-01A")</f>
        <v>TCGA-FB-A7DR-01A</v>
      </c>
      <c r="I17256" t="s">
        <v>111</v>
      </c>
      <c r="J17256" t="s">
        <v>563</v>
      </c>
      <c r="K17256" t="s">
        <v>33</v>
      </c>
      <c r="L17256" t="s">
        <v>113</v>
      </c>
      <c r="N17256" t="s">
        <v>29</v>
      </c>
    </row>
    <row r="17257" spans="1:14">
      <c r="A17257" s="4" t="str">
        <f t="shared" si="1270"/>
        <v>EXP00435</v>
      </c>
      <c r="B17257" s="3" t="s">
        <v>66</v>
      </c>
      <c r="C17257" s="4" t="str">
        <f t="shared" si="1269"/>
        <v>TCGA-PAAD</v>
      </c>
      <c r="D17257" s="1" t="s">
        <v>493</v>
      </c>
      <c r="E17257" t="s">
        <v>566</v>
      </c>
      <c r="F17257" s="1">
        <v>2</v>
      </c>
      <c r="G17257" s="1" t="s">
        <v>32</v>
      </c>
      <c r="H17257" s="4" t="str">
        <f>HYPERLINK("https://portal.gdc.cancer.gov/cases/1422bc35-4597-4e76-aa75-8e79613e67d5","TCGA-FB-AAPP-01A")</f>
        <v>TCGA-FB-AAPP-01A</v>
      </c>
      <c r="I17257" t="s">
        <v>111</v>
      </c>
      <c r="J17257" t="s">
        <v>563</v>
      </c>
      <c r="K17257" t="s">
        <v>33</v>
      </c>
      <c r="L17257" t="s">
        <v>113</v>
      </c>
      <c r="N17257" t="s">
        <v>29</v>
      </c>
    </row>
    <row r="17258" spans="1:14">
      <c r="A17258" s="4" t="str">
        <f t="shared" si="1270"/>
        <v>EXP00435</v>
      </c>
      <c r="B17258" s="3" t="s">
        <v>66</v>
      </c>
      <c r="C17258" s="4" t="str">
        <f t="shared" si="1269"/>
        <v>TCGA-PAAD</v>
      </c>
      <c r="D17258" s="1" t="s">
        <v>493</v>
      </c>
      <c r="E17258" t="s">
        <v>566</v>
      </c>
      <c r="F17258" s="1">
        <v>2</v>
      </c>
      <c r="G17258" s="1" t="s">
        <v>32</v>
      </c>
      <c r="H17258" s="4" t="str">
        <f>HYPERLINK("https://portal.gdc.cancer.gov/cases/ecdd0e44-0add-4a08-a3f8-ab2f51df7afd","TCGA-FB-AAPQ-01A")</f>
        <v>TCGA-FB-AAPQ-01A</v>
      </c>
      <c r="I17258" t="s">
        <v>111</v>
      </c>
      <c r="J17258" t="s">
        <v>563</v>
      </c>
      <c r="K17258" t="s">
        <v>33</v>
      </c>
      <c r="L17258" t="s">
        <v>113</v>
      </c>
      <c r="N17258" t="s">
        <v>29</v>
      </c>
    </row>
    <row r="17259" spans="1:14">
      <c r="A17259" s="4" t="str">
        <f t="shared" si="1270"/>
        <v>EXP00435</v>
      </c>
      <c r="B17259" s="3" t="s">
        <v>66</v>
      </c>
      <c r="C17259" s="4" t="str">
        <f t="shared" si="1269"/>
        <v>TCGA-PAAD</v>
      </c>
      <c r="D17259" s="1" t="s">
        <v>493</v>
      </c>
      <c r="E17259" t="s">
        <v>566</v>
      </c>
      <c r="F17259" s="1">
        <v>2</v>
      </c>
      <c r="G17259" s="1" t="s">
        <v>32</v>
      </c>
      <c r="H17259" s="4" t="str">
        <f>HYPERLINK("https://portal.gdc.cancer.gov/cases/2048d0f9-ed9f-46df-bcd4-3dfd9137670f","TCGA-FB-AAPS-01A")</f>
        <v>TCGA-FB-AAPS-01A</v>
      </c>
      <c r="I17259" t="s">
        <v>111</v>
      </c>
      <c r="J17259" t="s">
        <v>563</v>
      </c>
      <c r="K17259" t="s">
        <v>33</v>
      </c>
      <c r="L17259" t="s">
        <v>113</v>
      </c>
      <c r="N17259" t="s">
        <v>29</v>
      </c>
    </row>
    <row r="17260" spans="1:14">
      <c r="A17260" s="4" t="str">
        <f t="shared" si="1270"/>
        <v>EXP00435</v>
      </c>
      <c r="B17260" s="3" t="s">
        <v>66</v>
      </c>
      <c r="C17260" s="4" t="str">
        <f t="shared" si="1269"/>
        <v>TCGA-PAAD</v>
      </c>
      <c r="D17260" s="1" t="s">
        <v>493</v>
      </c>
      <c r="E17260" t="s">
        <v>566</v>
      </c>
      <c r="F17260" s="1">
        <v>2</v>
      </c>
      <c r="G17260" s="1" t="s">
        <v>32</v>
      </c>
      <c r="H17260" s="4" t="str">
        <f>HYPERLINK("https://portal.gdc.cancer.gov/cases/712335e1-f1e9-44b9-957c-497ea5e8fa2f","TCGA-FB-AAPU-01A")</f>
        <v>TCGA-FB-AAPU-01A</v>
      </c>
      <c r="I17260" t="s">
        <v>111</v>
      </c>
      <c r="J17260" t="s">
        <v>563</v>
      </c>
      <c r="K17260" t="s">
        <v>33</v>
      </c>
      <c r="L17260" t="s">
        <v>113</v>
      </c>
      <c r="N17260" t="s">
        <v>29</v>
      </c>
    </row>
    <row r="17261" spans="1:14">
      <c r="A17261" s="4" t="str">
        <f t="shared" si="1270"/>
        <v>EXP00435</v>
      </c>
      <c r="B17261" s="3" t="s">
        <v>66</v>
      </c>
      <c r="C17261" s="4" t="str">
        <f t="shared" si="1269"/>
        <v>TCGA-PAAD</v>
      </c>
      <c r="D17261" s="1" t="s">
        <v>493</v>
      </c>
      <c r="E17261" t="s">
        <v>566</v>
      </c>
      <c r="F17261" s="1">
        <v>2</v>
      </c>
      <c r="G17261" s="1" t="s">
        <v>32</v>
      </c>
      <c r="H17261" s="4" t="str">
        <f>HYPERLINK("https://portal.gdc.cancer.gov/cases/953359da-e535-48e6-97dc-1b4ccad6a671","TCGA-FB-AAPY-01A")</f>
        <v>TCGA-FB-AAPY-01A</v>
      </c>
      <c r="I17261" t="s">
        <v>111</v>
      </c>
      <c r="J17261" t="s">
        <v>563</v>
      </c>
      <c r="K17261" t="s">
        <v>33</v>
      </c>
      <c r="L17261" t="s">
        <v>113</v>
      </c>
      <c r="N17261" t="s">
        <v>29</v>
      </c>
    </row>
    <row r="17262" spans="1:14">
      <c r="A17262" s="4" t="str">
        <f t="shared" si="1270"/>
        <v>EXP00435</v>
      </c>
      <c r="B17262" s="3" t="s">
        <v>66</v>
      </c>
      <c r="C17262" s="4" t="str">
        <f t="shared" si="1269"/>
        <v>TCGA-PAAD</v>
      </c>
      <c r="D17262" s="1" t="s">
        <v>493</v>
      </c>
      <c r="E17262" t="s">
        <v>566</v>
      </c>
      <c r="F17262" s="1">
        <v>2</v>
      </c>
      <c r="G17262" s="1" t="s">
        <v>32</v>
      </c>
      <c r="H17262" s="4" t="str">
        <f>HYPERLINK("https://portal.gdc.cancer.gov/cases/f2313562-c894-486d-a9b6-ed362e12a32a","TCGA-FB-AAPZ-01A")</f>
        <v>TCGA-FB-AAPZ-01A</v>
      </c>
      <c r="I17262" t="s">
        <v>111</v>
      </c>
      <c r="J17262" t="s">
        <v>563</v>
      </c>
      <c r="K17262" t="s">
        <v>33</v>
      </c>
      <c r="L17262" t="s">
        <v>113</v>
      </c>
      <c r="N17262" t="s">
        <v>29</v>
      </c>
    </row>
    <row r="17263" spans="1:14">
      <c r="A17263" s="4" t="str">
        <f t="shared" si="1270"/>
        <v>EXP00435</v>
      </c>
      <c r="B17263" s="3" t="s">
        <v>66</v>
      </c>
      <c r="C17263" s="4" t="str">
        <f t="shared" si="1269"/>
        <v>TCGA-PAAD</v>
      </c>
      <c r="D17263" s="1" t="s">
        <v>493</v>
      </c>
      <c r="E17263" t="s">
        <v>566</v>
      </c>
      <c r="F17263" s="1">
        <v>2</v>
      </c>
      <c r="G17263" s="1" t="s">
        <v>32</v>
      </c>
      <c r="H17263" s="4" t="str">
        <f>HYPERLINK("https://portal.gdc.cancer.gov/cases/81b6b844-d760-4146-9b01-1c4b2596eb77","TCGA-FB-AAQ0-01A")</f>
        <v>TCGA-FB-AAQ0-01A</v>
      </c>
      <c r="I17263" t="s">
        <v>111</v>
      </c>
      <c r="J17263" t="s">
        <v>563</v>
      </c>
      <c r="K17263" t="s">
        <v>33</v>
      </c>
      <c r="L17263" t="s">
        <v>113</v>
      </c>
      <c r="N17263" t="s">
        <v>29</v>
      </c>
    </row>
    <row r="17264" spans="1:14">
      <c r="A17264" s="4" t="str">
        <f t="shared" si="1270"/>
        <v>EXP00435</v>
      </c>
      <c r="B17264" s="3" t="s">
        <v>66</v>
      </c>
      <c r="C17264" s="4" t="str">
        <f t="shared" si="1269"/>
        <v>TCGA-PAAD</v>
      </c>
      <c r="D17264" s="1" t="s">
        <v>493</v>
      </c>
      <c r="E17264" t="s">
        <v>566</v>
      </c>
      <c r="F17264" s="1">
        <v>2</v>
      </c>
      <c r="G17264" s="1" t="s">
        <v>32</v>
      </c>
      <c r="H17264" s="4" t="str">
        <f>HYPERLINK("https://portal.gdc.cancer.gov/cases/ff8dac97-42ff-4f48-81c4-50315ad8de58","TCGA-FB-AAQ1-01A")</f>
        <v>TCGA-FB-AAQ1-01A</v>
      </c>
      <c r="I17264" t="s">
        <v>111</v>
      </c>
      <c r="J17264" t="s">
        <v>563</v>
      </c>
      <c r="K17264" t="s">
        <v>33</v>
      </c>
      <c r="L17264" t="s">
        <v>113</v>
      </c>
      <c r="N17264" t="s">
        <v>29</v>
      </c>
    </row>
    <row r="17265" spans="1:14">
      <c r="A17265" s="4" t="str">
        <f t="shared" si="1270"/>
        <v>EXP00435</v>
      </c>
      <c r="B17265" s="3" t="s">
        <v>66</v>
      </c>
      <c r="C17265" s="4" t="str">
        <f t="shared" si="1269"/>
        <v>TCGA-PAAD</v>
      </c>
      <c r="D17265" s="1" t="s">
        <v>493</v>
      </c>
      <c r="E17265" t="s">
        <v>566</v>
      </c>
      <c r="F17265" s="1">
        <v>2</v>
      </c>
      <c r="G17265" s="1" t="s">
        <v>32</v>
      </c>
      <c r="H17265" s="4" t="str">
        <f>HYPERLINK("https://portal.gdc.cancer.gov/cases/f5558dc7-5bef-426f-a6bf-b704fd5dbda0","TCGA-FB-AAQ2-01A")</f>
        <v>TCGA-FB-AAQ2-01A</v>
      </c>
      <c r="I17265" t="s">
        <v>111</v>
      </c>
      <c r="J17265" t="s">
        <v>563</v>
      </c>
      <c r="K17265" t="s">
        <v>33</v>
      </c>
      <c r="L17265" t="s">
        <v>113</v>
      </c>
      <c r="N17265" t="s">
        <v>29</v>
      </c>
    </row>
    <row r="17266" spans="1:14">
      <c r="A17266" s="4" t="str">
        <f t="shared" si="1270"/>
        <v>EXP00435</v>
      </c>
      <c r="B17266" s="3" t="s">
        <v>66</v>
      </c>
      <c r="C17266" s="4" t="str">
        <f t="shared" si="1269"/>
        <v>TCGA-PAAD</v>
      </c>
      <c r="D17266" s="1" t="s">
        <v>493</v>
      </c>
      <c r="E17266" t="s">
        <v>566</v>
      </c>
      <c r="F17266" s="1">
        <v>2</v>
      </c>
      <c r="G17266" s="1" t="s">
        <v>32</v>
      </c>
      <c r="H17266" s="4" t="str">
        <f>HYPERLINK("https://portal.gdc.cancer.gov/cases/5965cd7b-f384-4473-826a-8381e362d10e","TCGA-FB-AAQ3-01A")</f>
        <v>TCGA-FB-AAQ3-01A</v>
      </c>
      <c r="I17266" t="s">
        <v>111</v>
      </c>
      <c r="J17266" t="s">
        <v>563</v>
      </c>
      <c r="K17266" t="s">
        <v>33</v>
      </c>
      <c r="L17266" t="s">
        <v>113</v>
      </c>
      <c r="N17266" t="s">
        <v>29</v>
      </c>
    </row>
    <row r="17267" spans="1:14">
      <c r="A17267" s="4" t="str">
        <f t="shared" si="1270"/>
        <v>EXP00435</v>
      </c>
      <c r="B17267" s="3" t="s">
        <v>66</v>
      </c>
      <c r="C17267" s="4" t="str">
        <f t="shared" si="1269"/>
        <v>TCGA-PAAD</v>
      </c>
      <c r="D17267" s="1" t="s">
        <v>493</v>
      </c>
      <c r="E17267" t="s">
        <v>566</v>
      </c>
      <c r="F17267" s="1">
        <v>2</v>
      </c>
      <c r="G17267" s="1" t="s">
        <v>32</v>
      </c>
      <c r="H17267" s="4" t="str">
        <f>HYPERLINK("https://portal.gdc.cancer.gov/cases/8475c44d-e091-4c65-b1b4-9a77ae3c0e1d","TCGA-FB-AAQ6-01A")</f>
        <v>TCGA-FB-AAQ6-01A</v>
      </c>
      <c r="I17267" t="s">
        <v>111</v>
      </c>
      <c r="J17267" t="s">
        <v>563</v>
      </c>
      <c r="K17267" t="s">
        <v>33</v>
      </c>
      <c r="L17267" t="s">
        <v>113</v>
      </c>
      <c r="N17267" t="s">
        <v>29</v>
      </c>
    </row>
    <row r="17268" spans="1:14">
      <c r="A17268" s="4" t="str">
        <f t="shared" si="1270"/>
        <v>EXP00435</v>
      </c>
      <c r="B17268" s="3" t="s">
        <v>66</v>
      </c>
      <c r="C17268" s="4" t="str">
        <f t="shared" si="1269"/>
        <v>TCGA-PAAD</v>
      </c>
      <c r="D17268" s="1" t="s">
        <v>493</v>
      </c>
      <c r="E17268" t="s">
        <v>566</v>
      </c>
      <c r="F17268" s="1">
        <v>2</v>
      </c>
      <c r="G17268" s="1" t="s">
        <v>32</v>
      </c>
      <c r="H17268" s="4" t="str">
        <f>HYPERLINK("https://portal.gdc.cancer.gov/cases/7e4e5633-6f83-4b46-b6eb-64b3f2866ba3","TCGA-H6-8124-01A")</f>
        <v>TCGA-H6-8124-01A</v>
      </c>
      <c r="I17268" t="s">
        <v>111</v>
      </c>
      <c r="J17268" t="s">
        <v>563</v>
      </c>
      <c r="K17268" t="s">
        <v>33</v>
      </c>
      <c r="L17268" t="s">
        <v>113</v>
      </c>
      <c r="N17268" t="s">
        <v>29</v>
      </c>
    </row>
    <row r="17269" spans="1:14">
      <c r="A17269" s="4" t="str">
        <f t="shared" si="1270"/>
        <v>EXP00435</v>
      </c>
      <c r="B17269" s="3" t="s">
        <v>66</v>
      </c>
      <c r="C17269" s="4" t="str">
        <f t="shared" si="1269"/>
        <v>TCGA-PAAD</v>
      </c>
      <c r="D17269" s="1" t="s">
        <v>493</v>
      </c>
      <c r="E17269" t="s">
        <v>566</v>
      </c>
      <c r="F17269" s="1">
        <v>2</v>
      </c>
      <c r="G17269" s="1" t="s">
        <v>32</v>
      </c>
      <c r="H17269" s="4" t="str">
        <f>HYPERLINK("https://portal.gdc.cancer.gov/cases/758b70f6-8064-4f43-aabe-e5f968fe2955","TCGA-H6-A45N-01A")</f>
        <v>TCGA-H6-A45N-01A</v>
      </c>
      <c r="I17269" t="s">
        <v>111</v>
      </c>
      <c r="J17269" t="s">
        <v>563</v>
      </c>
      <c r="K17269" t="s">
        <v>33</v>
      </c>
      <c r="L17269" t="s">
        <v>113</v>
      </c>
      <c r="N17269" t="s">
        <v>29</v>
      </c>
    </row>
    <row r="17270" spans="1:14">
      <c r="A17270" s="4" t="str">
        <f t="shared" si="1270"/>
        <v>EXP00435</v>
      </c>
      <c r="B17270" s="3" t="s">
        <v>66</v>
      </c>
      <c r="C17270" s="4" t="str">
        <f t="shared" si="1269"/>
        <v>TCGA-PAAD</v>
      </c>
      <c r="D17270" s="1" t="s">
        <v>493</v>
      </c>
      <c r="E17270" t="s">
        <v>566</v>
      </c>
      <c r="F17270" s="1">
        <v>2</v>
      </c>
      <c r="G17270" s="1" t="s">
        <v>32</v>
      </c>
      <c r="H17270" s="4" t="str">
        <f>HYPERLINK("https://portal.gdc.cancer.gov/cases/3e09fd70-6464-42f6-96a6-b51d7c298fc5","TCGA-H8-A6C1-01A")</f>
        <v>TCGA-H8-A6C1-01A</v>
      </c>
      <c r="I17270" t="s">
        <v>111</v>
      </c>
      <c r="J17270" t="s">
        <v>563</v>
      </c>
      <c r="K17270" t="s">
        <v>33</v>
      </c>
      <c r="L17270" t="s">
        <v>113</v>
      </c>
      <c r="N17270" t="s">
        <v>29</v>
      </c>
    </row>
    <row r="17271" spans="1:14">
      <c r="A17271" s="4" t="str">
        <f t="shared" si="1270"/>
        <v>EXP00435</v>
      </c>
      <c r="B17271" s="3" t="s">
        <v>66</v>
      </c>
      <c r="C17271" s="4" t="str">
        <f t="shared" si="1269"/>
        <v>TCGA-PAAD</v>
      </c>
      <c r="D17271" s="1" t="s">
        <v>493</v>
      </c>
      <c r="E17271" t="s">
        <v>566</v>
      </c>
      <c r="F17271" s="1">
        <v>2</v>
      </c>
      <c r="G17271" s="1" t="s">
        <v>32</v>
      </c>
      <c r="H17271" s="4" t="str">
        <f>HYPERLINK("https://portal.gdc.cancer.gov/cases/d4f66f06-9289-45c1-b9eb-aaef991a4bb6","TCGA-HV-A5A3-01A")</f>
        <v>TCGA-HV-A5A3-01A</v>
      </c>
      <c r="I17271" t="s">
        <v>111</v>
      </c>
      <c r="J17271" t="s">
        <v>563</v>
      </c>
      <c r="K17271" t="s">
        <v>33</v>
      </c>
      <c r="L17271" t="s">
        <v>113</v>
      </c>
      <c r="N17271" t="s">
        <v>29</v>
      </c>
    </row>
    <row r="17272" spans="1:14">
      <c r="A17272" s="4" t="str">
        <f t="shared" si="1270"/>
        <v>EXP00435</v>
      </c>
      <c r="B17272" s="3" t="s">
        <v>66</v>
      </c>
      <c r="C17272" s="4" t="str">
        <f t="shared" si="1269"/>
        <v>TCGA-PAAD</v>
      </c>
      <c r="D17272" s="1" t="s">
        <v>493</v>
      </c>
      <c r="E17272" t="s">
        <v>566</v>
      </c>
      <c r="F17272" s="1">
        <v>2</v>
      </c>
      <c r="G17272" s="1" t="s">
        <v>32</v>
      </c>
      <c r="H17272" s="4" t="str">
        <f>HYPERLINK("https://portal.gdc.cancer.gov/cases/3264459c-adeb-486e-ab8f-274574441593","TCGA-HV-A5A4-01A")</f>
        <v>TCGA-HV-A5A4-01A</v>
      </c>
      <c r="I17272" t="s">
        <v>111</v>
      </c>
      <c r="J17272" t="s">
        <v>563</v>
      </c>
      <c r="K17272" t="s">
        <v>33</v>
      </c>
      <c r="L17272" t="s">
        <v>113</v>
      </c>
      <c r="N17272" t="s">
        <v>29</v>
      </c>
    </row>
    <row r="17273" spans="1:14">
      <c r="A17273" s="4" t="str">
        <f t="shared" si="1270"/>
        <v>EXP00435</v>
      </c>
      <c r="B17273" s="3" t="s">
        <v>66</v>
      </c>
      <c r="C17273" s="4" t="str">
        <f t="shared" si="1269"/>
        <v>TCGA-PAAD</v>
      </c>
      <c r="D17273" s="1" t="s">
        <v>493</v>
      </c>
      <c r="E17273" t="s">
        <v>566</v>
      </c>
      <c r="F17273" s="1">
        <v>2</v>
      </c>
      <c r="G17273" s="1" t="s">
        <v>32</v>
      </c>
      <c r="H17273" s="4" t="str">
        <f>HYPERLINK("https://portal.gdc.cancer.gov/cases/1b31d2e9-5b05-4fff-88d6-3a95bf8f8d43","TCGA-HV-A5A5-01A")</f>
        <v>TCGA-HV-A5A5-01A</v>
      </c>
      <c r="I17273" t="s">
        <v>111</v>
      </c>
      <c r="J17273" t="s">
        <v>563</v>
      </c>
      <c r="K17273" t="s">
        <v>33</v>
      </c>
      <c r="L17273" t="s">
        <v>113</v>
      </c>
      <c r="N17273" t="s">
        <v>29</v>
      </c>
    </row>
    <row r="17274" spans="1:14">
      <c r="A17274" s="4" t="str">
        <f t="shared" si="1270"/>
        <v>EXP00435</v>
      </c>
      <c r="B17274" s="3" t="s">
        <v>66</v>
      </c>
      <c r="C17274" s="4" t="str">
        <f t="shared" si="1269"/>
        <v>TCGA-PAAD</v>
      </c>
      <c r="D17274" s="1" t="s">
        <v>493</v>
      </c>
      <c r="E17274" t="s">
        <v>566</v>
      </c>
      <c r="F17274" s="1">
        <v>2</v>
      </c>
      <c r="G17274" s="1" t="s">
        <v>32</v>
      </c>
      <c r="H17274" s="4" t="str">
        <f>HYPERLINK("https://portal.gdc.cancer.gov/cases/1521ac6d-31f7-4240-9d54-4f7600e78e16","TCGA-HZ-7289-01A")</f>
        <v>TCGA-HZ-7289-01A</v>
      </c>
      <c r="I17274" t="s">
        <v>111</v>
      </c>
      <c r="J17274" t="s">
        <v>563</v>
      </c>
      <c r="K17274" t="s">
        <v>33</v>
      </c>
      <c r="L17274" t="s">
        <v>113</v>
      </c>
      <c r="N17274" t="s">
        <v>29</v>
      </c>
    </row>
    <row r="17275" spans="1:14">
      <c r="A17275" s="4" t="str">
        <f t="shared" si="1270"/>
        <v>EXP00435</v>
      </c>
      <c r="B17275" s="3" t="s">
        <v>66</v>
      </c>
      <c r="C17275" s="4" t="str">
        <f t="shared" si="1269"/>
        <v>TCGA-PAAD</v>
      </c>
      <c r="D17275" s="1" t="s">
        <v>493</v>
      </c>
      <c r="E17275" t="s">
        <v>566</v>
      </c>
      <c r="F17275" s="1">
        <v>2</v>
      </c>
      <c r="G17275" s="1" t="s">
        <v>32</v>
      </c>
      <c r="H17275" s="4" t="str">
        <f>HYPERLINK("https://portal.gdc.cancer.gov/cases/620e0648-ec20-4a12-a6cb-5546fe829c77","TCGA-HZ-7918-01A")</f>
        <v>TCGA-HZ-7918-01A</v>
      </c>
      <c r="I17275" t="s">
        <v>111</v>
      </c>
      <c r="J17275" t="s">
        <v>563</v>
      </c>
      <c r="K17275" t="s">
        <v>33</v>
      </c>
      <c r="L17275" t="s">
        <v>113</v>
      </c>
      <c r="N17275" t="s">
        <v>29</v>
      </c>
    </row>
    <row r="17276" spans="1:14">
      <c r="A17276" s="4" t="str">
        <f t="shared" si="1270"/>
        <v>EXP00435</v>
      </c>
      <c r="B17276" s="3" t="s">
        <v>66</v>
      </c>
      <c r="C17276" s="4" t="str">
        <f t="shared" si="1269"/>
        <v>TCGA-PAAD</v>
      </c>
      <c r="D17276" s="1" t="s">
        <v>493</v>
      </c>
      <c r="E17276" t="s">
        <v>566</v>
      </c>
      <c r="F17276" s="1">
        <v>2</v>
      </c>
      <c r="G17276" s="1" t="s">
        <v>32</v>
      </c>
      <c r="H17276" s="4" t="str">
        <f>HYPERLINK("https://portal.gdc.cancer.gov/cases/2faea98a-edf7-4e92-bfb7-f91a36259872","TCGA-HZ-7919-01A")</f>
        <v>TCGA-HZ-7919-01A</v>
      </c>
      <c r="I17276" t="s">
        <v>111</v>
      </c>
      <c r="J17276" t="s">
        <v>563</v>
      </c>
      <c r="K17276" t="s">
        <v>33</v>
      </c>
      <c r="L17276" t="s">
        <v>113</v>
      </c>
      <c r="N17276" t="s">
        <v>29</v>
      </c>
    </row>
    <row r="17277" spans="1:14">
      <c r="A17277" s="4" t="str">
        <f t="shared" si="1270"/>
        <v>EXP00435</v>
      </c>
      <c r="B17277" s="3" t="s">
        <v>66</v>
      </c>
      <c r="C17277" s="4" t="str">
        <f t="shared" si="1269"/>
        <v>TCGA-PAAD</v>
      </c>
      <c r="D17277" s="1" t="s">
        <v>493</v>
      </c>
      <c r="E17277" t="s">
        <v>566</v>
      </c>
      <c r="F17277" s="1">
        <v>2</v>
      </c>
      <c r="G17277" s="1" t="s">
        <v>32</v>
      </c>
      <c r="H17277" s="4" t="str">
        <f>HYPERLINK("https://portal.gdc.cancer.gov/cases/1fe937f7-b4e5-4cf6-be9b-215a012533c6","TCGA-HZ-7920-01A")</f>
        <v>TCGA-HZ-7920-01A</v>
      </c>
      <c r="I17277" t="s">
        <v>111</v>
      </c>
      <c r="J17277" t="s">
        <v>563</v>
      </c>
      <c r="K17277" t="s">
        <v>33</v>
      </c>
      <c r="L17277" t="s">
        <v>113</v>
      </c>
      <c r="N17277" t="s">
        <v>29</v>
      </c>
    </row>
    <row r="17278" spans="1:14">
      <c r="A17278" s="4" t="str">
        <f t="shared" si="1270"/>
        <v>EXP00435</v>
      </c>
      <c r="B17278" s="3" t="s">
        <v>66</v>
      </c>
      <c r="C17278" s="4" t="str">
        <f t="shared" si="1269"/>
        <v>TCGA-PAAD</v>
      </c>
      <c r="D17278" s="1" t="s">
        <v>493</v>
      </c>
      <c r="E17278" t="s">
        <v>566</v>
      </c>
      <c r="F17278" s="1">
        <v>2</v>
      </c>
      <c r="G17278" s="1" t="s">
        <v>32</v>
      </c>
      <c r="H17278" s="4" t="str">
        <f>HYPERLINK("https://portal.gdc.cancer.gov/cases/6f777943-ffcb-46d9-872d-514559dee00d","TCGA-HZ-7922-01A")</f>
        <v>TCGA-HZ-7922-01A</v>
      </c>
      <c r="I17278" t="s">
        <v>111</v>
      </c>
      <c r="J17278" t="s">
        <v>563</v>
      </c>
      <c r="K17278" t="s">
        <v>33</v>
      </c>
      <c r="L17278" t="s">
        <v>113</v>
      </c>
      <c r="N17278" t="s">
        <v>29</v>
      </c>
    </row>
    <row r="17279" spans="1:14">
      <c r="A17279" s="4" t="str">
        <f t="shared" si="1270"/>
        <v>EXP00435</v>
      </c>
      <c r="B17279" s="3" t="s">
        <v>66</v>
      </c>
      <c r="C17279" s="4" t="str">
        <f t="shared" si="1269"/>
        <v>TCGA-PAAD</v>
      </c>
      <c r="D17279" s="1" t="s">
        <v>493</v>
      </c>
      <c r="E17279" t="s">
        <v>566</v>
      </c>
      <c r="F17279" s="1">
        <v>2</v>
      </c>
      <c r="G17279" s="1" t="s">
        <v>32</v>
      </c>
      <c r="H17279" s="4" t="str">
        <f>HYPERLINK("https://portal.gdc.cancer.gov/cases/565ee830-5236-4414-aeaa-48ea7eb3b753","TCGA-HZ-7923-01A")</f>
        <v>TCGA-HZ-7923-01A</v>
      </c>
      <c r="I17279" t="s">
        <v>111</v>
      </c>
      <c r="J17279" t="s">
        <v>563</v>
      </c>
      <c r="K17279" t="s">
        <v>33</v>
      </c>
      <c r="L17279" t="s">
        <v>113</v>
      </c>
      <c r="N17279" t="s">
        <v>29</v>
      </c>
    </row>
    <row r="17280" spans="1:14">
      <c r="A17280" s="4" t="str">
        <f t="shared" si="1270"/>
        <v>EXP00435</v>
      </c>
      <c r="B17280" s="3" t="s">
        <v>66</v>
      </c>
      <c r="C17280" s="4" t="str">
        <f t="shared" si="1269"/>
        <v>TCGA-PAAD</v>
      </c>
      <c r="D17280" s="1" t="s">
        <v>493</v>
      </c>
      <c r="E17280" t="s">
        <v>566</v>
      </c>
      <c r="F17280" s="1">
        <v>2</v>
      </c>
      <c r="G17280" s="1" t="s">
        <v>32</v>
      </c>
      <c r="H17280" s="4" t="str">
        <f>HYPERLINK("https://portal.gdc.cancer.gov/cases/ad220f0d-06b7-4dad-a87d-36dff31c8623","TCGA-HZ-7924-01A")</f>
        <v>TCGA-HZ-7924-01A</v>
      </c>
      <c r="I17280" t="s">
        <v>111</v>
      </c>
      <c r="J17280" t="s">
        <v>563</v>
      </c>
      <c r="K17280" t="s">
        <v>33</v>
      </c>
      <c r="L17280" t="s">
        <v>113</v>
      </c>
      <c r="N17280" t="s">
        <v>29</v>
      </c>
    </row>
    <row r="17281" spans="1:14">
      <c r="A17281" s="4" t="str">
        <f t="shared" si="1270"/>
        <v>EXP00435</v>
      </c>
      <c r="B17281" s="3" t="s">
        <v>66</v>
      </c>
      <c r="C17281" s="4" t="str">
        <f t="shared" si="1269"/>
        <v>TCGA-PAAD</v>
      </c>
      <c r="D17281" s="1" t="s">
        <v>493</v>
      </c>
      <c r="E17281" t="s">
        <v>566</v>
      </c>
      <c r="F17281" s="1">
        <v>2</v>
      </c>
      <c r="G17281" s="1" t="s">
        <v>32</v>
      </c>
      <c r="H17281" s="4" t="str">
        <f>HYPERLINK("https://portal.gdc.cancer.gov/cases/f91eb33d-76f0-418c-9962-11a5b31ca1dc","TCGA-HZ-7925-01A")</f>
        <v>TCGA-HZ-7925-01A</v>
      </c>
      <c r="I17281" t="s">
        <v>111</v>
      </c>
      <c r="J17281" t="s">
        <v>563</v>
      </c>
      <c r="K17281" t="s">
        <v>33</v>
      </c>
      <c r="L17281" t="s">
        <v>113</v>
      </c>
      <c r="N17281" t="s">
        <v>29</v>
      </c>
    </row>
    <row r="17282" spans="1:14">
      <c r="A17282" s="4" t="str">
        <f t="shared" ref="A17282:A17313" si="1271">HYPERLINK("http://hcmdb.i-sanger.com/experiment/details/experiment_id/EXP00435","EXP00435")</f>
        <v>EXP00435</v>
      </c>
      <c r="B17282" s="3" t="s">
        <v>66</v>
      </c>
      <c r="C17282" s="4" t="str">
        <f t="shared" si="1269"/>
        <v>TCGA-PAAD</v>
      </c>
      <c r="D17282" s="1" t="s">
        <v>493</v>
      </c>
      <c r="E17282" t="s">
        <v>566</v>
      </c>
      <c r="F17282" s="1">
        <v>2</v>
      </c>
      <c r="G17282" s="1" t="s">
        <v>32</v>
      </c>
      <c r="H17282" s="4" t="str">
        <f>HYPERLINK("https://portal.gdc.cancer.gov/cases/2be42cc2-9b97-4821-afc2-d1e42eb3932d","TCGA-HZ-7926-01A")</f>
        <v>TCGA-HZ-7926-01A</v>
      </c>
      <c r="I17282" t="s">
        <v>111</v>
      </c>
      <c r="J17282" t="s">
        <v>563</v>
      </c>
      <c r="K17282" t="s">
        <v>33</v>
      </c>
      <c r="L17282" t="s">
        <v>113</v>
      </c>
      <c r="N17282" t="s">
        <v>29</v>
      </c>
    </row>
    <row r="17283" spans="1:14">
      <c r="A17283" s="4" t="str">
        <f t="shared" si="1271"/>
        <v>EXP00435</v>
      </c>
      <c r="B17283" s="3" t="s">
        <v>66</v>
      </c>
      <c r="C17283" s="4" t="str">
        <f t="shared" si="1269"/>
        <v>TCGA-PAAD</v>
      </c>
      <c r="D17283" s="1" t="s">
        <v>493</v>
      </c>
      <c r="E17283" t="s">
        <v>566</v>
      </c>
      <c r="F17283" s="1">
        <v>2</v>
      </c>
      <c r="G17283" s="1" t="s">
        <v>32</v>
      </c>
      <c r="H17283" s="4" t="str">
        <f>HYPERLINK("https://portal.gdc.cancer.gov/cases/55cee1dd-15a0-4717-a281-63e08e2cfdf9","TCGA-HZ-8001-01A")</f>
        <v>TCGA-HZ-8001-01A</v>
      </c>
      <c r="I17283" t="s">
        <v>111</v>
      </c>
      <c r="J17283" t="s">
        <v>563</v>
      </c>
      <c r="K17283" t="s">
        <v>33</v>
      </c>
      <c r="L17283" t="s">
        <v>113</v>
      </c>
      <c r="N17283" t="s">
        <v>29</v>
      </c>
    </row>
    <row r="17284" spans="1:14">
      <c r="A17284" s="4" t="str">
        <f t="shared" si="1271"/>
        <v>EXP00435</v>
      </c>
      <c r="B17284" s="3" t="s">
        <v>66</v>
      </c>
      <c r="C17284" s="4" t="str">
        <f t="shared" si="1269"/>
        <v>TCGA-PAAD</v>
      </c>
      <c r="D17284" s="1" t="s">
        <v>493</v>
      </c>
      <c r="E17284" t="s">
        <v>566</v>
      </c>
      <c r="F17284" s="1">
        <v>2</v>
      </c>
      <c r="G17284" s="1" t="s">
        <v>32</v>
      </c>
      <c r="H17284" s="4" t="str">
        <f>HYPERLINK("https://portal.gdc.cancer.gov/cases/4b37b026-1d41-4bad-8996-7cb1f0e569af","TCGA-HZ-8002-01A")</f>
        <v>TCGA-HZ-8002-01A</v>
      </c>
      <c r="I17284" t="s">
        <v>111</v>
      </c>
      <c r="J17284" t="s">
        <v>563</v>
      </c>
      <c r="K17284" t="s">
        <v>33</v>
      </c>
      <c r="L17284" t="s">
        <v>113</v>
      </c>
      <c r="N17284" t="s">
        <v>29</v>
      </c>
    </row>
    <row r="17285" spans="1:14">
      <c r="A17285" s="4" t="str">
        <f t="shared" si="1271"/>
        <v>EXP00435</v>
      </c>
      <c r="B17285" s="3" t="s">
        <v>66</v>
      </c>
      <c r="C17285" s="4" t="str">
        <f t="shared" si="1269"/>
        <v>TCGA-PAAD</v>
      </c>
      <c r="D17285" s="1" t="s">
        <v>493</v>
      </c>
      <c r="E17285" t="s">
        <v>566</v>
      </c>
      <c r="F17285" s="1">
        <v>2</v>
      </c>
      <c r="G17285" s="1" t="s">
        <v>32</v>
      </c>
      <c r="H17285" s="4" t="str">
        <f>HYPERLINK("https://portal.gdc.cancer.gov/cases/68c0bc1b-3195-4ed6-8345-3ca53dfc54fc","TCGA-HZ-8003-01A")</f>
        <v>TCGA-HZ-8003-01A</v>
      </c>
      <c r="I17285" t="s">
        <v>111</v>
      </c>
      <c r="J17285" t="s">
        <v>563</v>
      </c>
      <c r="K17285" t="s">
        <v>33</v>
      </c>
      <c r="L17285" t="s">
        <v>113</v>
      </c>
      <c r="N17285" t="s">
        <v>29</v>
      </c>
    </row>
    <row r="17286" spans="1:14">
      <c r="A17286" s="4" t="str">
        <f t="shared" si="1271"/>
        <v>EXP00435</v>
      </c>
      <c r="B17286" s="3" t="s">
        <v>66</v>
      </c>
      <c r="C17286" s="4" t="str">
        <f t="shared" ref="C17286:C17349" si="1272">HYPERLINK("https://portal.gdc.cancer.gov/projects/TCGA-PAAD","TCGA-PAAD")</f>
        <v>TCGA-PAAD</v>
      </c>
      <c r="D17286" s="1" t="s">
        <v>493</v>
      </c>
      <c r="E17286" t="s">
        <v>566</v>
      </c>
      <c r="F17286" s="1">
        <v>2</v>
      </c>
      <c r="G17286" s="1" t="s">
        <v>32</v>
      </c>
      <c r="H17286" s="4" t="str">
        <f>HYPERLINK("https://portal.gdc.cancer.gov/cases/21814c02-6aa5-4b98-8fd8-41ca0b04ccd2","TCGA-HZ-8005-01A")</f>
        <v>TCGA-HZ-8005-01A</v>
      </c>
      <c r="I17286" t="s">
        <v>111</v>
      </c>
      <c r="J17286" t="s">
        <v>563</v>
      </c>
      <c r="K17286" t="s">
        <v>33</v>
      </c>
      <c r="L17286" t="s">
        <v>113</v>
      </c>
      <c r="N17286" t="s">
        <v>29</v>
      </c>
    </row>
    <row r="17287" spans="1:14">
      <c r="A17287" s="4" t="str">
        <f t="shared" si="1271"/>
        <v>EXP00435</v>
      </c>
      <c r="B17287" s="3" t="s">
        <v>66</v>
      </c>
      <c r="C17287" s="4" t="str">
        <f t="shared" si="1272"/>
        <v>TCGA-PAAD</v>
      </c>
      <c r="D17287" s="1" t="s">
        <v>493</v>
      </c>
      <c r="E17287" t="s">
        <v>566</v>
      </c>
      <c r="F17287" s="1">
        <v>2</v>
      </c>
      <c r="G17287" s="1" t="s">
        <v>32</v>
      </c>
      <c r="H17287" s="4" t="str">
        <f>HYPERLINK("https://portal.gdc.cancer.gov/cases/02dbd5fa-e31f-4486-8df8-5b851f2e92bd","TCGA-HZ-8315-01A")</f>
        <v>TCGA-HZ-8315-01A</v>
      </c>
      <c r="I17287" t="s">
        <v>111</v>
      </c>
      <c r="J17287" t="s">
        <v>563</v>
      </c>
      <c r="K17287" t="s">
        <v>33</v>
      </c>
      <c r="L17287" t="s">
        <v>113</v>
      </c>
      <c r="N17287" t="s">
        <v>29</v>
      </c>
    </row>
    <row r="17288" spans="1:14">
      <c r="A17288" s="4" t="str">
        <f t="shared" si="1271"/>
        <v>EXP00435</v>
      </c>
      <c r="B17288" s="3" t="s">
        <v>66</v>
      </c>
      <c r="C17288" s="4" t="str">
        <f t="shared" si="1272"/>
        <v>TCGA-PAAD</v>
      </c>
      <c r="D17288" s="1" t="s">
        <v>493</v>
      </c>
      <c r="E17288" t="s">
        <v>566</v>
      </c>
      <c r="F17288" s="1">
        <v>2</v>
      </c>
      <c r="G17288" s="1" t="s">
        <v>32</v>
      </c>
      <c r="H17288" s="4" t="str">
        <f>HYPERLINK("https://portal.gdc.cancer.gov/cases/a2fd0991-cfbd-4162-8ca9-2ed096f54a14","TCGA-HZ-8317-01A")</f>
        <v>TCGA-HZ-8317-01A</v>
      </c>
      <c r="I17288" t="s">
        <v>111</v>
      </c>
      <c r="J17288" t="s">
        <v>563</v>
      </c>
      <c r="K17288" t="s">
        <v>33</v>
      </c>
      <c r="L17288" t="s">
        <v>113</v>
      </c>
      <c r="N17288" t="s">
        <v>29</v>
      </c>
    </row>
    <row r="17289" spans="1:14">
      <c r="A17289" s="4" t="str">
        <f t="shared" si="1271"/>
        <v>EXP00435</v>
      </c>
      <c r="B17289" s="3" t="s">
        <v>66</v>
      </c>
      <c r="C17289" s="4" t="str">
        <f t="shared" si="1272"/>
        <v>TCGA-PAAD</v>
      </c>
      <c r="D17289" s="1" t="s">
        <v>493</v>
      </c>
      <c r="E17289" t="s">
        <v>566</v>
      </c>
      <c r="F17289" s="1">
        <v>2</v>
      </c>
      <c r="G17289" s="1" t="s">
        <v>32</v>
      </c>
      <c r="H17289" s="4" t="str">
        <f>HYPERLINK("https://portal.gdc.cancer.gov/cases/70c2c861-01de-47bc-abfd-b7d14d68e1a1","TCGA-HZ-8519-01A")</f>
        <v>TCGA-HZ-8519-01A</v>
      </c>
      <c r="I17289" t="s">
        <v>111</v>
      </c>
      <c r="J17289" t="s">
        <v>563</v>
      </c>
      <c r="K17289" t="s">
        <v>33</v>
      </c>
      <c r="L17289" t="s">
        <v>113</v>
      </c>
      <c r="N17289" t="s">
        <v>29</v>
      </c>
    </row>
    <row r="17290" spans="1:14">
      <c r="A17290" s="4" t="str">
        <f t="shared" si="1271"/>
        <v>EXP00435</v>
      </c>
      <c r="B17290" s="3" t="s">
        <v>66</v>
      </c>
      <c r="C17290" s="4" t="str">
        <f t="shared" si="1272"/>
        <v>TCGA-PAAD</v>
      </c>
      <c r="D17290" s="1" t="s">
        <v>493</v>
      </c>
      <c r="E17290" t="s">
        <v>566</v>
      </c>
      <c r="F17290" s="1">
        <v>2</v>
      </c>
      <c r="G17290" s="1" t="s">
        <v>32</v>
      </c>
      <c r="H17290" s="4" t="str">
        <f>HYPERLINK("https://portal.gdc.cancer.gov/cases/02ef2e1a-5afe-4c00-a3ea-7f4a153f1da4","TCGA-HZ-8636-01A")</f>
        <v>TCGA-HZ-8636-01A</v>
      </c>
      <c r="I17290" t="s">
        <v>111</v>
      </c>
      <c r="J17290" t="s">
        <v>563</v>
      </c>
      <c r="K17290" t="s">
        <v>33</v>
      </c>
      <c r="L17290" t="s">
        <v>113</v>
      </c>
      <c r="N17290" t="s">
        <v>29</v>
      </c>
    </row>
    <row r="17291" spans="1:14">
      <c r="A17291" s="4" t="str">
        <f t="shared" si="1271"/>
        <v>EXP00435</v>
      </c>
      <c r="B17291" s="3" t="s">
        <v>66</v>
      </c>
      <c r="C17291" s="4" t="str">
        <f t="shared" si="1272"/>
        <v>TCGA-PAAD</v>
      </c>
      <c r="D17291" s="1" t="s">
        <v>493</v>
      </c>
      <c r="E17291" t="s">
        <v>566</v>
      </c>
      <c r="F17291" s="1">
        <v>2</v>
      </c>
      <c r="G17291" s="1" t="s">
        <v>32</v>
      </c>
      <c r="H17291" s="4" t="str">
        <f>HYPERLINK("https://portal.gdc.cancer.gov/cases/459028fd-0cd8-4e6d-a668-71fd60bd0a37","TCGA-HZ-8637-01A")</f>
        <v>TCGA-HZ-8637-01A</v>
      </c>
      <c r="I17291" t="s">
        <v>111</v>
      </c>
      <c r="J17291" t="s">
        <v>563</v>
      </c>
      <c r="K17291" t="s">
        <v>33</v>
      </c>
      <c r="L17291" t="s">
        <v>113</v>
      </c>
      <c r="N17291" t="s">
        <v>29</v>
      </c>
    </row>
    <row r="17292" spans="1:14">
      <c r="A17292" s="4" t="str">
        <f t="shared" si="1271"/>
        <v>EXP00435</v>
      </c>
      <c r="B17292" s="3" t="s">
        <v>66</v>
      </c>
      <c r="C17292" s="4" t="str">
        <f t="shared" si="1272"/>
        <v>TCGA-PAAD</v>
      </c>
      <c r="D17292" s="1" t="s">
        <v>493</v>
      </c>
      <c r="E17292" t="s">
        <v>566</v>
      </c>
      <c r="F17292" s="1">
        <v>2</v>
      </c>
      <c r="G17292" s="1" t="s">
        <v>32</v>
      </c>
      <c r="H17292" s="4" t="str">
        <f>HYPERLINK("https://portal.gdc.cancer.gov/cases/5f9a5aba-8db8-45cc-8784-c5058445bd6f","TCGA-HZ-8638-01A")</f>
        <v>TCGA-HZ-8638-01A</v>
      </c>
      <c r="I17292" t="s">
        <v>111</v>
      </c>
      <c r="J17292" t="s">
        <v>563</v>
      </c>
      <c r="K17292" t="s">
        <v>33</v>
      </c>
      <c r="L17292" t="s">
        <v>113</v>
      </c>
      <c r="N17292" t="s">
        <v>29</v>
      </c>
    </row>
    <row r="17293" spans="1:14">
      <c r="A17293" s="4" t="str">
        <f t="shared" si="1271"/>
        <v>EXP00435</v>
      </c>
      <c r="B17293" s="3" t="s">
        <v>66</v>
      </c>
      <c r="C17293" s="4" t="str">
        <f t="shared" si="1272"/>
        <v>TCGA-PAAD</v>
      </c>
      <c r="D17293" s="1" t="s">
        <v>493</v>
      </c>
      <c r="E17293" t="s">
        <v>566</v>
      </c>
      <c r="F17293" s="1">
        <v>2</v>
      </c>
      <c r="G17293" s="1" t="s">
        <v>32</v>
      </c>
      <c r="H17293" s="4" t="str">
        <f>HYPERLINK("https://portal.gdc.cancer.gov/cases/47cb93bc-8f6b-4b2a-804c-bb4fc78df9e1","TCGA-HZ-A49G-01A")</f>
        <v>TCGA-HZ-A49G-01A</v>
      </c>
      <c r="I17293" t="s">
        <v>111</v>
      </c>
      <c r="J17293" t="s">
        <v>563</v>
      </c>
      <c r="K17293" t="s">
        <v>33</v>
      </c>
      <c r="L17293" t="s">
        <v>113</v>
      </c>
      <c r="N17293" t="s">
        <v>29</v>
      </c>
    </row>
    <row r="17294" spans="1:14">
      <c r="A17294" s="4" t="str">
        <f t="shared" si="1271"/>
        <v>EXP00435</v>
      </c>
      <c r="B17294" s="3" t="s">
        <v>66</v>
      </c>
      <c r="C17294" s="4" t="str">
        <f t="shared" si="1272"/>
        <v>TCGA-PAAD</v>
      </c>
      <c r="D17294" s="1" t="s">
        <v>493</v>
      </c>
      <c r="E17294" t="s">
        <v>566</v>
      </c>
      <c r="F17294" s="1">
        <v>2</v>
      </c>
      <c r="G17294" s="1" t="s">
        <v>32</v>
      </c>
      <c r="H17294" s="4" t="str">
        <f>HYPERLINK("https://portal.gdc.cancer.gov/cases/17142718-742e-464a-8e0f-a6b9ac8fad75","TCGA-HZ-A49H-01A")</f>
        <v>TCGA-HZ-A49H-01A</v>
      </c>
      <c r="I17294" t="s">
        <v>111</v>
      </c>
      <c r="J17294" t="s">
        <v>563</v>
      </c>
      <c r="K17294" t="s">
        <v>33</v>
      </c>
      <c r="L17294" t="s">
        <v>113</v>
      </c>
      <c r="N17294" t="s">
        <v>29</v>
      </c>
    </row>
    <row r="17295" spans="1:14">
      <c r="A17295" s="4" t="str">
        <f t="shared" si="1271"/>
        <v>EXP00435</v>
      </c>
      <c r="B17295" s="3" t="s">
        <v>66</v>
      </c>
      <c r="C17295" s="4" t="str">
        <f t="shared" si="1272"/>
        <v>TCGA-PAAD</v>
      </c>
      <c r="D17295" s="1" t="s">
        <v>493</v>
      </c>
      <c r="E17295" t="s">
        <v>566</v>
      </c>
      <c r="F17295" s="1">
        <v>2</v>
      </c>
      <c r="G17295" s="1" t="s">
        <v>32</v>
      </c>
      <c r="H17295" s="4" t="str">
        <f>HYPERLINK("https://portal.gdc.cancer.gov/cases/27286a38-1035-4a22-9ebc-874df8c49026","TCGA-HZ-A49I-01A")</f>
        <v>TCGA-HZ-A49I-01A</v>
      </c>
      <c r="I17295" t="s">
        <v>111</v>
      </c>
      <c r="J17295" t="s">
        <v>563</v>
      </c>
      <c r="K17295" t="s">
        <v>33</v>
      </c>
      <c r="L17295" t="s">
        <v>113</v>
      </c>
      <c r="N17295" t="s">
        <v>29</v>
      </c>
    </row>
    <row r="17296" spans="1:14">
      <c r="A17296" s="4" t="str">
        <f t="shared" si="1271"/>
        <v>EXP00435</v>
      </c>
      <c r="B17296" s="3" t="s">
        <v>66</v>
      </c>
      <c r="C17296" s="4" t="str">
        <f t="shared" si="1272"/>
        <v>TCGA-PAAD</v>
      </c>
      <c r="D17296" s="1" t="s">
        <v>493</v>
      </c>
      <c r="E17296" t="s">
        <v>566</v>
      </c>
      <c r="F17296" s="1">
        <v>2</v>
      </c>
      <c r="G17296" s="1" t="s">
        <v>32</v>
      </c>
      <c r="H17296" s="4" t="str">
        <f>HYPERLINK("https://portal.gdc.cancer.gov/cases/2c636fb4-c341-4c55-b920-27bc2d40c815","TCGA-HZ-A4BH-01A")</f>
        <v>TCGA-HZ-A4BH-01A</v>
      </c>
      <c r="I17296" t="s">
        <v>111</v>
      </c>
      <c r="J17296" t="s">
        <v>563</v>
      </c>
      <c r="K17296" t="s">
        <v>33</v>
      </c>
      <c r="L17296" t="s">
        <v>113</v>
      </c>
      <c r="N17296" t="s">
        <v>29</v>
      </c>
    </row>
    <row r="17297" spans="1:14">
      <c r="A17297" s="4" t="str">
        <f t="shared" si="1271"/>
        <v>EXP00435</v>
      </c>
      <c r="B17297" s="3" t="s">
        <v>66</v>
      </c>
      <c r="C17297" s="4" t="str">
        <f t="shared" si="1272"/>
        <v>TCGA-PAAD</v>
      </c>
      <c r="D17297" s="1" t="s">
        <v>493</v>
      </c>
      <c r="E17297" t="s">
        <v>566</v>
      </c>
      <c r="F17297" s="1">
        <v>2</v>
      </c>
      <c r="G17297" s="1" t="s">
        <v>32</v>
      </c>
      <c r="H17297" s="4" t="str">
        <f>HYPERLINK("https://portal.gdc.cancer.gov/cases/514d12b0-6f60-406e-bde9-a090e918ebff","TCGA-HZ-A4BK-01A")</f>
        <v>TCGA-HZ-A4BK-01A</v>
      </c>
      <c r="I17297" t="s">
        <v>111</v>
      </c>
      <c r="J17297" t="s">
        <v>563</v>
      </c>
      <c r="K17297" t="s">
        <v>33</v>
      </c>
      <c r="L17297" t="s">
        <v>113</v>
      </c>
      <c r="N17297" t="s">
        <v>29</v>
      </c>
    </row>
    <row r="17298" spans="1:14">
      <c r="A17298" s="4" t="str">
        <f t="shared" si="1271"/>
        <v>EXP00435</v>
      </c>
      <c r="B17298" s="3" t="s">
        <v>66</v>
      </c>
      <c r="C17298" s="4" t="str">
        <f t="shared" si="1272"/>
        <v>TCGA-PAAD</v>
      </c>
      <c r="D17298" s="1" t="s">
        <v>493</v>
      </c>
      <c r="E17298" t="s">
        <v>566</v>
      </c>
      <c r="F17298" s="1">
        <v>2</v>
      </c>
      <c r="G17298" s="1" t="s">
        <v>32</v>
      </c>
      <c r="H17298" s="4" t="str">
        <f>HYPERLINK("https://portal.gdc.cancer.gov/cases/fe01a390-f45e-4352-a253-af8ef7ee9628","TCGA-HZ-A77O-01A")</f>
        <v>TCGA-HZ-A77O-01A</v>
      </c>
      <c r="I17298" t="s">
        <v>111</v>
      </c>
      <c r="J17298" t="s">
        <v>563</v>
      </c>
      <c r="K17298" t="s">
        <v>33</v>
      </c>
      <c r="L17298" t="s">
        <v>113</v>
      </c>
      <c r="N17298" t="s">
        <v>29</v>
      </c>
    </row>
    <row r="17299" spans="1:14">
      <c r="A17299" s="4" t="str">
        <f t="shared" si="1271"/>
        <v>EXP00435</v>
      </c>
      <c r="B17299" s="3" t="s">
        <v>66</v>
      </c>
      <c r="C17299" s="4" t="str">
        <f t="shared" si="1272"/>
        <v>TCGA-PAAD</v>
      </c>
      <c r="D17299" s="1" t="s">
        <v>493</v>
      </c>
      <c r="E17299" t="s">
        <v>566</v>
      </c>
      <c r="F17299" s="1">
        <v>2</v>
      </c>
      <c r="G17299" s="1" t="s">
        <v>32</v>
      </c>
      <c r="H17299" s="4" t="str">
        <f>HYPERLINK("https://portal.gdc.cancer.gov/cases/5971a597-1e16-4f6d-8d7b-0e69c6bdcead","TCGA-HZ-A77P-01A")</f>
        <v>TCGA-HZ-A77P-01A</v>
      </c>
      <c r="I17299" t="s">
        <v>111</v>
      </c>
      <c r="J17299" t="s">
        <v>563</v>
      </c>
      <c r="K17299" t="s">
        <v>33</v>
      </c>
      <c r="L17299" t="s">
        <v>113</v>
      </c>
      <c r="N17299" t="s">
        <v>29</v>
      </c>
    </row>
    <row r="17300" spans="1:14">
      <c r="A17300" s="4" t="str">
        <f t="shared" si="1271"/>
        <v>EXP00435</v>
      </c>
      <c r="B17300" s="3" t="s">
        <v>66</v>
      </c>
      <c r="C17300" s="4" t="str">
        <f t="shared" si="1272"/>
        <v>TCGA-PAAD</v>
      </c>
      <c r="D17300" s="1" t="s">
        <v>493</v>
      </c>
      <c r="E17300" t="s">
        <v>566</v>
      </c>
      <c r="F17300" s="1">
        <v>2</v>
      </c>
      <c r="G17300" s="1" t="s">
        <v>32</v>
      </c>
      <c r="H17300" s="4" t="str">
        <f>HYPERLINK("https://portal.gdc.cancer.gov/cases/ce9e0431-19a1-4ea9-85b0-44a9e9792e03","TCGA-HZ-A77Q-01A")</f>
        <v>TCGA-HZ-A77Q-01A</v>
      </c>
      <c r="I17300" t="s">
        <v>111</v>
      </c>
      <c r="J17300" t="s">
        <v>563</v>
      </c>
      <c r="K17300" t="s">
        <v>33</v>
      </c>
      <c r="L17300" t="s">
        <v>113</v>
      </c>
      <c r="N17300" t="s">
        <v>29</v>
      </c>
    </row>
    <row r="17301" spans="1:14">
      <c r="A17301" s="4" t="str">
        <f t="shared" si="1271"/>
        <v>EXP00435</v>
      </c>
      <c r="B17301" s="3" t="s">
        <v>66</v>
      </c>
      <c r="C17301" s="4" t="str">
        <f t="shared" si="1272"/>
        <v>TCGA-PAAD</v>
      </c>
      <c r="D17301" s="1" t="s">
        <v>493</v>
      </c>
      <c r="E17301" t="s">
        <v>566</v>
      </c>
      <c r="F17301" s="1">
        <v>2</v>
      </c>
      <c r="G17301" s="1" t="s">
        <v>32</v>
      </c>
      <c r="H17301" s="4" t="str">
        <f>HYPERLINK("https://portal.gdc.cancer.gov/cases/98f1d0eb-0977-4f53-a3b1-e6875a34c27b","TCGA-HZ-A8P0-01A")</f>
        <v>TCGA-HZ-A8P0-01A</v>
      </c>
      <c r="I17301" t="s">
        <v>111</v>
      </c>
      <c r="J17301" t="s">
        <v>563</v>
      </c>
      <c r="K17301" t="s">
        <v>33</v>
      </c>
      <c r="L17301" t="s">
        <v>113</v>
      </c>
      <c r="N17301" t="s">
        <v>29</v>
      </c>
    </row>
    <row r="17302" spans="1:14">
      <c r="A17302" s="4" t="str">
        <f t="shared" si="1271"/>
        <v>EXP00435</v>
      </c>
      <c r="B17302" s="3" t="s">
        <v>66</v>
      </c>
      <c r="C17302" s="4" t="str">
        <f t="shared" si="1272"/>
        <v>TCGA-PAAD</v>
      </c>
      <c r="D17302" s="1" t="s">
        <v>493</v>
      </c>
      <c r="E17302" t="s">
        <v>566</v>
      </c>
      <c r="F17302" s="1">
        <v>2</v>
      </c>
      <c r="G17302" s="1" t="s">
        <v>32</v>
      </c>
      <c r="H17302" s="4" t="str">
        <f>HYPERLINK("https://portal.gdc.cancer.gov/cases/b8e0f4fb-c916-43b8-afd2-8077a7e3aebc","TCGA-HZ-A8P1-01A")</f>
        <v>TCGA-HZ-A8P1-01A</v>
      </c>
      <c r="I17302" t="s">
        <v>111</v>
      </c>
      <c r="J17302" t="s">
        <v>563</v>
      </c>
      <c r="K17302" t="s">
        <v>33</v>
      </c>
      <c r="L17302" t="s">
        <v>113</v>
      </c>
      <c r="N17302" t="s">
        <v>29</v>
      </c>
    </row>
    <row r="17303" spans="1:14">
      <c r="A17303" s="4" t="str">
        <f t="shared" si="1271"/>
        <v>EXP00435</v>
      </c>
      <c r="B17303" s="3" t="s">
        <v>66</v>
      </c>
      <c r="C17303" s="4" t="str">
        <f t="shared" si="1272"/>
        <v>TCGA-PAAD</v>
      </c>
      <c r="D17303" s="1" t="s">
        <v>493</v>
      </c>
      <c r="E17303" t="s">
        <v>566</v>
      </c>
      <c r="F17303" s="1">
        <v>2</v>
      </c>
      <c r="G17303" s="1" t="s">
        <v>32</v>
      </c>
      <c r="H17303" s="4" t="str">
        <f>HYPERLINK("https://portal.gdc.cancer.gov/cases/d1e0f479-77dd-42cd-89cb-c1eeac60c10a","TCGA-IB-7646-01A")</f>
        <v>TCGA-IB-7646-01A</v>
      </c>
      <c r="I17303" t="s">
        <v>111</v>
      </c>
      <c r="J17303" t="s">
        <v>563</v>
      </c>
      <c r="K17303" t="s">
        <v>33</v>
      </c>
      <c r="L17303" t="s">
        <v>113</v>
      </c>
      <c r="N17303" t="s">
        <v>29</v>
      </c>
    </row>
    <row r="17304" spans="1:14">
      <c r="A17304" s="4" t="str">
        <f t="shared" si="1271"/>
        <v>EXP00435</v>
      </c>
      <c r="B17304" s="3" t="s">
        <v>66</v>
      </c>
      <c r="C17304" s="4" t="str">
        <f t="shared" si="1272"/>
        <v>TCGA-PAAD</v>
      </c>
      <c r="D17304" s="1" t="s">
        <v>493</v>
      </c>
      <c r="E17304" t="s">
        <v>566</v>
      </c>
      <c r="F17304" s="1">
        <v>2</v>
      </c>
      <c r="G17304" s="1" t="s">
        <v>32</v>
      </c>
      <c r="H17304" s="4" t="str">
        <f>HYPERLINK("https://portal.gdc.cancer.gov/cases/3559f697-8fec-4f36-962c-632272fe9c9c","TCGA-IB-7651-01A")</f>
        <v>TCGA-IB-7651-01A</v>
      </c>
      <c r="I17304" t="s">
        <v>111</v>
      </c>
      <c r="J17304" t="s">
        <v>563</v>
      </c>
      <c r="K17304" t="s">
        <v>33</v>
      </c>
      <c r="L17304" t="s">
        <v>113</v>
      </c>
      <c r="N17304" t="s">
        <v>29</v>
      </c>
    </row>
    <row r="17305" spans="1:14">
      <c r="A17305" s="4" t="str">
        <f t="shared" si="1271"/>
        <v>EXP00435</v>
      </c>
      <c r="B17305" s="3" t="s">
        <v>66</v>
      </c>
      <c r="C17305" s="4" t="str">
        <f t="shared" si="1272"/>
        <v>TCGA-PAAD</v>
      </c>
      <c r="D17305" s="1" t="s">
        <v>493</v>
      </c>
      <c r="E17305" t="s">
        <v>566</v>
      </c>
      <c r="F17305" s="1">
        <v>2</v>
      </c>
      <c r="G17305" s="1" t="s">
        <v>32</v>
      </c>
      <c r="H17305" s="4" t="str">
        <f>HYPERLINK("https://portal.gdc.cancer.gov/cases/178e68c0-4cb8-4042-a942-5a159ec1e12b","TCGA-IB-7652-01A")</f>
        <v>TCGA-IB-7652-01A</v>
      </c>
      <c r="I17305" t="s">
        <v>111</v>
      </c>
      <c r="J17305" t="s">
        <v>563</v>
      </c>
      <c r="K17305" t="s">
        <v>33</v>
      </c>
      <c r="L17305" t="s">
        <v>113</v>
      </c>
      <c r="N17305" t="s">
        <v>29</v>
      </c>
    </row>
    <row r="17306" spans="1:14">
      <c r="A17306" s="4" t="str">
        <f t="shared" si="1271"/>
        <v>EXP00435</v>
      </c>
      <c r="B17306" s="3" t="s">
        <v>66</v>
      </c>
      <c r="C17306" s="4" t="str">
        <f t="shared" si="1272"/>
        <v>TCGA-PAAD</v>
      </c>
      <c r="D17306" s="1" t="s">
        <v>493</v>
      </c>
      <c r="E17306" t="s">
        <v>566</v>
      </c>
      <c r="F17306" s="1">
        <v>2</v>
      </c>
      <c r="G17306" s="1" t="s">
        <v>32</v>
      </c>
      <c r="H17306" s="4" t="str">
        <f>HYPERLINK("https://portal.gdc.cancer.gov/cases/65e5bf5f-f22a-4ec2-8839-aeda37212b98","TCGA-IB-7654-01A")</f>
        <v>TCGA-IB-7654-01A</v>
      </c>
      <c r="I17306" t="s">
        <v>111</v>
      </c>
      <c r="J17306" t="s">
        <v>563</v>
      </c>
      <c r="K17306" t="s">
        <v>33</v>
      </c>
      <c r="L17306" t="s">
        <v>113</v>
      </c>
      <c r="N17306" t="s">
        <v>29</v>
      </c>
    </row>
    <row r="17307" spans="1:14">
      <c r="A17307" s="4" t="str">
        <f t="shared" si="1271"/>
        <v>EXP00435</v>
      </c>
      <c r="B17307" s="3" t="s">
        <v>66</v>
      </c>
      <c r="C17307" s="4" t="str">
        <f t="shared" si="1272"/>
        <v>TCGA-PAAD</v>
      </c>
      <c r="D17307" s="1" t="s">
        <v>493</v>
      </c>
      <c r="E17307" t="s">
        <v>566</v>
      </c>
      <c r="F17307" s="1">
        <v>2</v>
      </c>
      <c r="G17307" s="1" t="s">
        <v>32</v>
      </c>
      <c r="H17307" s="4" t="str">
        <f>HYPERLINK("https://portal.gdc.cancer.gov/cases/77e49007-3e44-4157-beae-8f7e94234c78","TCGA-IB-7885-01A")</f>
        <v>TCGA-IB-7885-01A</v>
      </c>
      <c r="I17307" t="s">
        <v>111</v>
      </c>
      <c r="J17307" t="s">
        <v>563</v>
      </c>
      <c r="K17307" t="s">
        <v>33</v>
      </c>
      <c r="L17307" t="s">
        <v>113</v>
      </c>
      <c r="N17307" t="s">
        <v>29</v>
      </c>
    </row>
    <row r="17308" spans="1:14">
      <c r="A17308" s="4" t="str">
        <f t="shared" si="1271"/>
        <v>EXP00435</v>
      </c>
      <c r="B17308" s="3" t="s">
        <v>66</v>
      </c>
      <c r="C17308" s="4" t="str">
        <f t="shared" si="1272"/>
        <v>TCGA-PAAD</v>
      </c>
      <c r="D17308" s="1" t="s">
        <v>493</v>
      </c>
      <c r="E17308" t="s">
        <v>566</v>
      </c>
      <c r="F17308" s="1">
        <v>2</v>
      </c>
      <c r="G17308" s="1" t="s">
        <v>32</v>
      </c>
      <c r="H17308" s="4" t="str">
        <f>HYPERLINK("https://portal.gdc.cancer.gov/cases/f73dfd7f-e054-46ff-9485-e8d05afe2da6","TCGA-IB-7886-01A")</f>
        <v>TCGA-IB-7886-01A</v>
      </c>
      <c r="I17308" t="s">
        <v>111</v>
      </c>
      <c r="J17308" t="s">
        <v>563</v>
      </c>
      <c r="K17308" t="s">
        <v>33</v>
      </c>
      <c r="L17308" t="s">
        <v>113</v>
      </c>
      <c r="N17308" t="s">
        <v>29</v>
      </c>
    </row>
    <row r="17309" spans="1:14">
      <c r="A17309" s="4" t="str">
        <f t="shared" si="1271"/>
        <v>EXP00435</v>
      </c>
      <c r="B17309" s="3" t="s">
        <v>66</v>
      </c>
      <c r="C17309" s="4" t="str">
        <f t="shared" si="1272"/>
        <v>TCGA-PAAD</v>
      </c>
      <c r="D17309" s="1" t="s">
        <v>493</v>
      </c>
      <c r="E17309" t="s">
        <v>566</v>
      </c>
      <c r="F17309" s="1">
        <v>2</v>
      </c>
      <c r="G17309" s="1" t="s">
        <v>32</v>
      </c>
      <c r="H17309" s="4" t="str">
        <f>HYPERLINK("https://portal.gdc.cancer.gov/cases/fe699c36-82ef-45dd-b636-8c18a9ef6c76","TCGA-IB-7887-01A")</f>
        <v>TCGA-IB-7887-01A</v>
      </c>
      <c r="I17309" t="s">
        <v>111</v>
      </c>
      <c r="J17309" t="s">
        <v>563</v>
      </c>
      <c r="K17309" t="s">
        <v>33</v>
      </c>
      <c r="L17309" t="s">
        <v>113</v>
      </c>
      <c r="N17309" t="s">
        <v>29</v>
      </c>
    </row>
    <row r="17310" spans="1:14">
      <c r="A17310" s="4" t="str">
        <f t="shared" si="1271"/>
        <v>EXP00435</v>
      </c>
      <c r="B17310" s="3" t="s">
        <v>66</v>
      </c>
      <c r="C17310" s="4" t="str">
        <f t="shared" si="1272"/>
        <v>TCGA-PAAD</v>
      </c>
      <c r="D17310" s="1" t="s">
        <v>493</v>
      </c>
      <c r="E17310" t="s">
        <v>566</v>
      </c>
      <c r="F17310" s="1">
        <v>2</v>
      </c>
      <c r="G17310" s="1" t="s">
        <v>32</v>
      </c>
      <c r="H17310" s="4" t="str">
        <f>HYPERLINK("https://portal.gdc.cancer.gov/cases/31e66b80-c684-4ee8-82ae-36d00f36bc88","TCGA-IB-7889-01A")</f>
        <v>TCGA-IB-7889-01A</v>
      </c>
      <c r="I17310" t="s">
        <v>111</v>
      </c>
      <c r="J17310" t="s">
        <v>563</v>
      </c>
      <c r="K17310" t="s">
        <v>33</v>
      </c>
      <c r="L17310" t="s">
        <v>113</v>
      </c>
      <c r="N17310" t="s">
        <v>29</v>
      </c>
    </row>
    <row r="17311" spans="1:14">
      <c r="A17311" s="4" t="str">
        <f t="shared" si="1271"/>
        <v>EXP00435</v>
      </c>
      <c r="B17311" s="3" t="s">
        <v>66</v>
      </c>
      <c r="C17311" s="4" t="str">
        <f t="shared" si="1272"/>
        <v>TCGA-PAAD</v>
      </c>
      <c r="D17311" s="1" t="s">
        <v>493</v>
      </c>
      <c r="E17311" t="s">
        <v>566</v>
      </c>
      <c r="F17311" s="1">
        <v>2</v>
      </c>
      <c r="G17311" s="1" t="s">
        <v>32</v>
      </c>
      <c r="H17311" s="4" t="str">
        <f>HYPERLINK("https://portal.gdc.cancer.gov/cases/ca2da39a-263c-4238-9826-de7d52e63d0f","TCGA-IB-7891-01A")</f>
        <v>TCGA-IB-7891-01A</v>
      </c>
      <c r="I17311" t="s">
        <v>111</v>
      </c>
      <c r="J17311" t="s">
        <v>563</v>
      </c>
      <c r="K17311" t="s">
        <v>33</v>
      </c>
      <c r="L17311" t="s">
        <v>113</v>
      </c>
      <c r="N17311" t="s">
        <v>29</v>
      </c>
    </row>
    <row r="17312" spans="1:14">
      <c r="A17312" s="4" t="str">
        <f t="shared" si="1271"/>
        <v>EXP00435</v>
      </c>
      <c r="B17312" s="3" t="s">
        <v>66</v>
      </c>
      <c r="C17312" s="4" t="str">
        <f t="shared" si="1272"/>
        <v>TCGA-PAAD</v>
      </c>
      <c r="D17312" s="1" t="s">
        <v>493</v>
      </c>
      <c r="E17312" t="s">
        <v>566</v>
      </c>
      <c r="F17312" s="1">
        <v>2</v>
      </c>
      <c r="G17312" s="1" t="s">
        <v>32</v>
      </c>
      <c r="H17312" s="4" t="str">
        <f>HYPERLINK("https://portal.gdc.cancer.gov/cases/01775b06-5836-469c-8537-120cb8cc94e9","TCGA-IB-7897-01A")</f>
        <v>TCGA-IB-7897-01A</v>
      </c>
      <c r="I17312" t="s">
        <v>111</v>
      </c>
      <c r="J17312" t="s">
        <v>563</v>
      </c>
      <c r="K17312" t="s">
        <v>33</v>
      </c>
      <c r="L17312" t="s">
        <v>113</v>
      </c>
      <c r="N17312" t="s">
        <v>29</v>
      </c>
    </row>
    <row r="17313" spans="1:14">
      <c r="A17313" s="4" t="str">
        <f t="shared" si="1271"/>
        <v>EXP00435</v>
      </c>
      <c r="B17313" s="3" t="s">
        <v>66</v>
      </c>
      <c r="C17313" s="4" t="str">
        <f t="shared" si="1272"/>
        <v>TCGA-PAAD</v>
      </c>
      <c r="D17313" s="1" t="s">
        <v>493</v>
      </c>
      <c r="E17313" t="s">
        <v>566</v>
      </c>
      <c r="F17313" s="1">
        <v>2</v>
      </c>
      <c r="G17313" s="1" t="s">
        <v>32</v>
      </c>
      <c r="H17313" s="4" t="str">
        <f>HYPERLINK("https://portal.gdc.cancer.gov/cases/4387a2c2-8007-4735-a48c-34a2b476018e","TCGA-IB-8126-01A")</f>
        <v>TCGA-IB-8126-01A</v>
      </c>
      <c r="I17313" t="s">
        <v>111</v>
      </c>
      <c r="J17313" t="s">
        <v>563</v>
      </c>
      <c r="K17313" t="s">
        <v>33</v>
      </c>
      <c r="L17313" t="s">
        <v>113</v>
      </c>
      <c r="N17313" t="s">
        <v>29</v>
      </c>
    </row>
    <row r="17314" spans="1:14">
      <c r="A17314" s="4" t="str">
        <f t="shared" ref="A17314:A17345" si="1273">HYPERLINK("http://hcmdb.i-sanger.com/experiment/details/experiment_id/EXP00435","EXP00435")</f>
        <v>EXP00435</v>
      </c>
      <c r="B17314" s="3" t="s">
        <v>66</v>
      </c>
      <c r="C17314" s="4" t="str">
        <f t="shared" si="1272"/>
        <v>TCGA-PAAD</v>
      </c>
      <c r="D17314" s="1" t="s">
        <v>493</v>
      </c>
      <c r="E17314" t="s">
        <v>566</v>
      </c>
      <c r="F17314" s="1">
        <v>2</v>
      </c>
      <c r="G17314" s="1" t="s">
        <v>32</v>
      </c>
      <c r="H17314" s="4" t="str">
        <f>HYPERLINK("https://portal.gdc.cancer.gov/cases/0b4443a0-087d-47e7-9e67-795eac6750c3","TCGA-IB-8127-01A")</f>
        <v>TCGA-IB-8127-01A</v>
      </c>
      <c r="I17314" t="s">
        <v>111</v>
      </c>
      <c r="J17314" t="s">
        <v>563</v>
      </c>
      <c r="K17314" t="s">
        <v>33</v>
      </c>
      <c r="L17314" t="s">
        <v>113</v>
      </c>
      <c r="N17314" t="s">
        <v>29</v>
      </c>
    </row>
    <row r="17315" spans="1:14">
      <c r="A17315" s="4" t="str">
        <f t="shared" si="1273"/>
        <v>EXP00435</v>
      </c>
      <c r="B17315" s="3" t="s">
        <v>66</v>
      </c>
      <c r="C17315" s="4" t="str">
        <f t="shared" si="1272"/>
        <v>TCGA-PAAD</v>
      </c>
      <c r="D17315" s="1" t="s">
        <v>493</v>
      </c>
      <c r="E17315" t="s">
        <v>566</v>
      </c>
      <c r="F17315" s="1">
        <v>2</v>
      </c>
      <c r="G17315" s="1" t="s">
        <v>32</v>
      </c>
      <c r="H17315" s="4" t="str">
        <f>HYPERLINK("https://portal.gdc.cancer.gov/cases/c6388925-c0a1-4610-a6b9-d9d9500d88c6","TCGA-IB-A5SO-01A")</f>
        <v>TCGA-IB-A5SO-01A</v>
      </c>
      <c r="I17315" t="s">
        <v>111</v>
      </c>
      <c r="J17315" t="s">
        <v>563</v>
      </c>
      <c r="K17315" t="s">
        <v>33</v>
      </c>
      <c r="L17315" t="s">
        <v>113</v>
      </c>
      <c r="N17315" t="s">
        <v>29</v>
      </c>
    </row>
    <row r="17316" spans="1:14">
      <c r="A17316" s="4" t="str">
        <f t="shared" si="1273"/>
        <v>EXP00435</v>
      </c>
      <c r="B17316" s="3" t="s">
        <v>66</v>
      </c>
      <c r="C17316" s="4" t="str">
        <f t="shared" si="1272"/>
        <v>TCGA-PAAD</v>
      </c>
      <c r="D17316" s="1" t="s">
        <v>493</v>
      </c>
      <c r="E17316" t="s">
        <v>566</v>
      </c>
      <c r="F17316" s="1">
        <v>2</v>
      </c>
      <c r="G17316" s="1" t="s">
        <v>32</v>
      </c>
      <c r="H17316" s="4" t="str">
        <f>HYPERLINK("https://portal.gdc.cancer.gov/cases/bd73ed94-5f4f-4eb3-8b9b-391af4422d0e","TCGA-IB-A5SP-01A")</f>
        <v>TCGA-IB-A5SP-01A</v>
      </c>
      <c r="I17316" t="s">
        <v>111</v>
      </c>
      <c r="J17316" t="s">
        <v>563</v>
      </c>
      <c r="K17316" t="s">
        <v>33</v>
      </c>
      <c r="L17316" t="s">
        <v>113</v>
      </c>
      <c r="N17316" t="s">
        <v>29</v>
      </c>
    </row>
    <row r="17317" spans="1:14">
      <c r="A17317" s="4" t="str">
        <f t="shared" si="1273"/>
        <v>EXP00435</v>
      </c>
      <c r="B17317" s="3" t="s">
        <v>66</v>
      </c>
      <c r="C17317" s="4" t="str">
        <f t="shared" si="1272"/>
        <v>TCGA-PAAD</v>
      </c>
      <c r="D17317" s="1" t="s">
        <v>493</v>
      </c>
      <c r="E17317" t="s">
        <v>566</v>
      </c>
      <c r="F17317" s="1">
        <v>2</v>
      </c>
      <c r="G17317" s="1" t="s">
        <v>32</v>
      </c>
      <c r="H17317" s="4" t="str">
        <f>HYPERLINK("https://portal.gdc.cancer.gov/cases/6c0ea771-ea86-4db6-994a-2372b2b8f536","TCGA-IB-A5ST-01A")</f>
        <v>TCGA-IB-A5ST-01A</v>
      </c>
      <c r="I17317" t="s">
        <v>111</v>
      </c>
      <c r="J17317" t="s">
        <v>563</v>
      </c>
      <c r="K17317" t="s">
        <v>33</v>
      </c>
      <c r="L17317" t="s">
        <v>113</v>
      </c>
      <c r="N17317" t="s">
        <v>29</v>
      </c>
    </row>
    <row r="17318" spans="1:14">
      <c r="A17318" s="4" t="str">
        <f t="shared" si="1273"/>
        <v>EXP00435</v>
      </c>
      <c r="B17318" s="3" t="s">
        <v>66</v>
      </c>
      <c r="C17318" s="4" t="str">
        <f t="shared" si="1272"/>
        <v>TCGA-PAAD</v>
      </c>
      <c r="D17318" s="1" t="s">
        <v>493</v>
      </c>
      <c r="E17318" t="s">
        <v>566</v>
      </c>
      <c r="F17318" s="1">
        <v>2</v>
      </c>
      <c r="G17318" s="1" t="s">
        <v>32</v>
      </c>
      <c r="H17318" s="4" t="str">
        <f>HYPERLINK("https://portal.gdc.cancer.gov/cases/56a1b8ff-a71c-4e5f-9c3c-d8162ff896aa","TCGA-IB-A6UF-01A")</f>
        <v>TCGA-IB-A6UF-01A</v>
      </c>
      <c r="I17318" t="s">
        <v>111</v>
      </c>
      <c r="J17318" t="s">
        <v>563</v>
      </c>
      <c r="K17318" t="s">
        <v>33</v>
      </c>
      <c r="L17318" t="s">
        <v>113</v>
      </c>
      <c r="N17318" t="s">
        <v>29</v>
      </c>
    </row>
    <row r="17319" spans="1:14">
      <c r="A17319" s="4" t="str">
        <f t="shared" si="1273"/>
        <v>EXP00435</v>
      </c>
      <c r="B17319" s="3" t="s">
        <v>66</v>
      </c>
      <c r="C17319" s="4" t="str">
        <f t="shared" si="1272"/>
        <v>TCGA-PAAD</v>
      </c>
      <c r="D17319" s="1" t="s">
        <v>493</v>
      </c>
      <c r="E17319" t="s">
        <v>566</v>
      </c>
      <c r="F17319" s="1">
        <v>2</v>
      </c>
      <c r="G17319" s="1" t="s">
        <v>32</v>
      </c>
      <c r="H17319" s="4" t="str">
        <f>HYPERLINK("https://portal.gdc.cancer.gov/cases/45e48080-0b27-45f4-8149-1ae7e36c6933","TCGA-IB-A6UG-01A")</f>
        <v>TCGA-IB-A6UG-01A</v>
      </c>
      <c r="I17319" t="s">
        <v>111</v>
      </c>
      <c r="J17319" t="s">
        <v>563</v>
      </c>
      <c r="K17319" t="s">
        <v>33</v>
      </c>
      <c r="L17319" t="s">
        <v>113</v>
      </c>
      <c r="N17319" t="s">
        <v>29</v>
      </c>
    </row>
    <row r="17320" spans="1:14">
      <c r="A17320" s="4" t="str">
        <f t="shared" si="1273"/>
        <v>EXP00435</v>
      </c>
      <c r="B17320" s="3" t="s">
        <v>66</v>
      </c>
      <c r="C17320" s="4" t="str">
        <f t="shared" si="1272"/>
        <v>TCGA-PAAD</v>
      </c>
      <c r="D17320" s="1" t="s">
        <v>493</v>
      </c>
      <c r="E17320" t="s">
        <v>566</v>
      </c>
      <c r="F17320" s="1">
        <v>2</v>
      </c>
      <c r="G17320" s="1" t="s">
        <v>32</v>
      </c>
      <c r="H17320" s="4" t="str">
        <f>HYPERLINK("https://portal.gdc.cancer.gov/cases/6a0a280d-4a30-4071-afe7-de6b82a6e34c","TCGA-IB-A7M4-01A")</f>
        <v>TCGA-IB-A7M4-01A</v>
      </c>
      <c r="I17320" t="s">
        <v>111</v>
      </c>
      <c r="J17320" t="s">
        <v>563</v>
      </c>
      <c r="K17320" t="s">
        <v>33</v>
      </c>
      <c r="L17320" t="s">
        <v>113</v>
      </c>
      <c r="N17320" t="s">
        <v>29</v>
      </c>
    </row>
    <row r="17321" spans="1:14">
      <c r="A17321" s="4" t="str">
        <f t="shared" si="1273"/>
        <v>EXP00435</v>
      </c>
      <c r="B17321" s="3" t="s">
        <v>66</v>
      </c>
      <c r="C17321" s="4" t="str">
        <f t="shared" si="1272"/>
        <v>TCGA-PAAD</v>
      </c>
      <c r="D17321" s="1" t="s">
        <v>493</v>
      </c>
      <c r="E17321" t="s">
        <v>566</v>
      </c>
      <c r="F17321" s="1">
        <v>2</v>
      </c>
      <c r="G17321" s="1" t="s">
        <v>32</v>
      </c>
      <c r="H17321" s="4" t="str">
        <f>HYPERLINK("https://portal.gdc.cancer.gov/cases/cfda26b9-d417-425c-9a72-fa76ca4b296c","TCGA-IB-AAUM-01A")</f>
        <v>TCGA-IB-AAUM-01A</v>
      </c>
      <c r="I17321" t="s">
        <v>111</v>
      </c>
      <c r="J17321" t="s">
        <v>563</v>
      </c>
      <c r="K17321" t="s">
        <v>33</v>
      </c>
      <c r="L17321" t="s">
        <v>113</v>
      </c>
      <c r="N17321" t="s">
        <v>29</v>
      </c>
    </row>
    <row r="17322" spans="1:14">
      <c r="A17322" s="4" t="str">
        <f t="shared" si="1273"/>
        <v>EXP00435</v>
      </c>
      <c r="B17322" s="3" t="s">
        <v>66</v>
      </c>
      <c r="C17322" s="4" t="str">
        <f t="shared" si="1272"/>
        <v>TCGA-PAAD</v>
      </c>
      <c r="D17322" s="1" t="s">
        <v>493</v>
      </c>
      <c r="E17322" t="s">
        <v>566</v>
      </c>
      <c r="F17322" s="1">
        <v>2</v>
      </c>
      <c r="G17322" s="1" t="s">
        <v>32</v>
      </c>
      <c r="H17322" s="4" t="str">
        <f>HYPERLINK("https://portal.gdc.cancer.gov/cases/638b1a6a-c222-414c-96bc-f259f0afb278","TCGA-IB-AAUN-01A")</f>
        <v>TCGA-IB-AAUN-01A</v>
      </c>
      <c r="I17322" t="s">
        <v>111</v>
      </c>
      <c r="J17322" t="s">
        <v>563</v>
      </c>
      <c r="K17322" t="s">
        <v>33</v>
      </c>
      <c r="L17322" t="s">
        <v>113</v>
      </c>
      <c r="N17322" t="s">
        <v>29</v>
      </c>
    </row>
    <row r="17323" spans="1:14">
      <c r="A17323" s="4" t="str">
        <f t="shared" si="1273"/>
        <v>EXP00435</v>
      </c>
      <c r="B17323" s="3" t="s">
        <v>66</v>
      </c>
      <c r="C17323" s="4" t="str">
        <f t="shared" si="1272"/>
        <v>TCGA-PAAD</v>
      </c>
      <c r="D17323" s="1" t="s">
        <v>493</v>
      </c>
      <c r="E17323" t="s">
        <v>566</v>
      </c>
      <c r="F17323" s="1">
        <v>2</v>
      </c>
      <c r="G17323" s="1" t="s">
        <v>32</v>
      </c>
      <c r="H17323" s="4" t="str">
        <f>HYPERLINK("https://portal.gdc.cancer.gov/cases/0a3c8161-4186-4c95-8288-9928d6db0355","TCGA-IB-AAUP-01A")</f>
        <v>TCGA-IB-AAUP-01A</v>
      </c>
      <c r="I17323" t="s">
        <v>111</v>
      </c>
      <c r="J17323" t="s">
        <v>563</v>
      </c>
      <c r="K17323" t="s">
        <v>33</v>
      </c>
      <c r="L17323" t="s">
        <v>113</v>
      </c>
      <c r="N17323" t="s">
        <v>29</v>
      </c>
    </row>
    <row r="17324" spans="1:14">
      <c r="A17324" s="4" t="str">
        <f t="shared" si="1273"/>
        <v>EXP00435</v>
      </c>
      <c r="B17324" s="3" t="s">
        <v>66</v>
      </c>
      <c r="C17324" s="4" t="str">
        <f t="shared" si="1272"/>
        <v>TCGA-PAAD</v>
      </c>
      <c r="D17324" s="1" t="s">
        <v>493</v>
      </c>
      <c r="E17324" t="s">
        <v>566</v>
      </c>
      <c r="F17324" s="1">
        <v>2</v>
      </c>
      <c r="G17324" s="1" t="s">
        <v>32</v>
      </c>
      <c r="H17324" s="4" t="str">
        <f>HYPERLINK("https://portal.gdc.cancer.gov/cases/6788e0e5-b67f-4fe6-aabb-6d0430ae2d06","TCGA-IB-AAUR-01A")</f>
        <v>TCGA-IB-AAUR-01A</v>
      </c>
      <c r="I17324" t="s">
        <v>111</v>
      </c>
      <c r="J17324" t="s">
        <v>563</v>
      </c>
      <c r="K17324" t="s">
        <v>33</v>
      </c>
      <c r="L17324" t="s">
        <v>113</v>
      </c>
      <c r="N17324" t="s">
        <v>29</v>
      </c>
    </row>
    <row r="17325" spans="1:14">
      <c r="A17325" s="4" t="str">
        <f t="shared" si="1273"/>
        <v>EXP00435</v>
      </c>
      <c r="B17325" s="3" t="s">
        <v>66</v>
      </c>
      <c r="C17325" s="4" t="str">
        <f t="shared" si="1272"/>
        <v>TCGA-PAAD</v>
      </c>
      <c r="D17325" s="1" t="s">
        <v>493</v>
      </c>
      <c r="E17325" t="s">
        <v>566</v>
      </c>
      <c r="F17325" s="1">
        <v>2</v>
      </c>
      <c r="G17325" s="1" t="s">
        <v>32</v>
      </c>
      <c r="H17325" s="4" t="str">
        <f>HYPERLINK("https://portal.gdc.cancer.gov/cases/69285f58-9b70-4262-acc0-8cf3d47540c3","TCGA-IB-AAUS-01A")</f>
        <v>TCGA-IB-AAUS-01A</v>
      </c>
      <c r="I17325" t="s">
        <v>111</v>
      </c>
      <c r="J17325" t="s">
        <v>563</v>
      </c>
      <c r="K17325" t="s">
        <v>33</v>
      </c>
      <c r="L17325" t="s">
        <v>113</v>
      </c>
      <c r="N17325" t="s">
        <v>29</v>
      </c>
    </row>
    <row r="17326" spans="1:14">
      <c r="A17326" s="4" t="str">
        <f t="shared" si="1273"/>
        <v>EXP00435</v>
      </c>
      <c r="B17326" s="3" t="s">
        <v>66</v>
      </c>
      <c r="C17326" s="4" t="str">
        <f t="shared" si="1272"/>
        <v>TCGA-PAAD</v>
      </c>
      <c r="D17326" s="1" t="s">
        <v>493</v>
      </c>
      <c r="E17326" t="s">
        <v>566</v>
      </c>
      <c r="F17326" s="1">
        <v>2</v>
      </c>
      <c r="G17326" s="1" t="s">
        <v>32</v>
      </c>
      <c r="H17326" s="4" t="str">
        <f>HYPERLINK("https://portal.gdc.cancer.gov/cases/88eaebfc-d740-4cdc-88f5-df5e08633e2d","TCGA-IB-AAUT-01A")</f>
        <v>TCGA-IB-AAUT-01A</v>
      </c>
      <c r="I17326" t="s">
        <v>111</v>
      </c>
      <c r="J17326" t="s">
        <v>563</v>
      </c>
      <c r="K17326" t="s">
        <v>33</v>
      </c>
      <c r="L17326" t="s">
        <v>113</v>
      </c>
      <c r="N17326" t="s">
        <v>29</v>
      </c>
    </row>
    <row r="17327" spans="1:14">
      <c r="A17327" s="4" t="str">
        <f t="shared" si="1273"/>
        <v>EXP00435</v>
      </c>
      <c r="B17327" s="3" t="s">
        <v>66</v>
      </c>
      <c r="C17327" s="4" t="str">
        <f t="shared" si="1272"/>
        <v>TCGA-PAAD</v>
      </c>
      <c r="D17327" s="1" t="s">
        <v>493</v>
      </c>
      <c r="E17327" t="s">
        <v>566</v>
      </c>
      <c r="F17327" s="1">
        <v>2</v>
      </c>
      <c r="G17327" s="1" t="s">
        <v>32</v>
      </c>
      <c r="H17327" s="4" t="str">
        <f>HYPERLINK("https://portal.gdc.cancer.gov/cases/a53c919a-4e08-46f1-af3f-30b16b597c33","TCGA-IB-AAUU-01A")</f>
        <v>TCGA-IB-AAUU-01A</v>
      </c>
      <c r="I17327" t="s">
        <v>111</v>
      </c>
      <c r="J17327" t="s">
        <v>563</v>
      </c>
      <c r="K17327" t="s">
        <v>33</v>
      </c>
      <c r="L17327" t="s">
        <v>113</v>
      </c>
      <c r="N17327" t="s">
        <v>29</v>
      </c>
    </row>
    <row r="17328" spans="1:14">
      <c r="A17328" s="4" t="str">
        <f t="shared" si="1273"/>
        <v>EXP00435</v>
      </c>
      <c r="B17328" s="3" t="s">
        <v>66</v>
      </c>
      <c r="C17328" s="4" t="str">
        <f t="shared" si="1272"/>
        <v>TCGA-PAAD</v>
      </c>
      <c r="D17328" s="1" t="s">
        <v>493</v>
      </c>
      <c r="E17328" t="s">
        <v>566</v>
      </c>
      <c r="F17328" s="1">
        <v>2</v>
      </c>
      <c r="G17328" s="1" t="s">
        <v>32</v>
      </c>
      <c r="H17328" s="4" t="str">
        <f>HYPERLINK("https://portal.gdc.cancer.gov/cases/6983fc34-9577-45e1-b246-40e18fab953f","TCGA-IB-AAUV-01A")</f>
        <v>TCGA-IB-AAUV-01A</v>
      </c>
      <c r="I17328" t="s">
        <v>111</v>
      </c>
      <c r="J17328" t="s">
        <v>563</v>
      </c>
      <c r="K17328" t="s">
        <v>33</v>
      </c>
      <c r="L17328" t="s">
        <v>113</v>
      </c>
      <c r="N17328" t="s">
        <v>29</v>
      </c>
    </row>
    <row r="17329" spans="1:14">
      <c r="A17329" s="4" t="str">
        <f t="shared" si="1273"/>
        <v>EXP00435</v>
      </c>
      <c r="B17329" s="3" t="s">
        <v>66</v>
      </c>
      <c r="C17329" s="4" t="str">
        <f t="shared" si="1272"/>
        <v>TCGA-PAAD</v>
      </c>
      <c r="D17329" s="1" t="s">
        <v>493</v>
      </c>
      <c r="E17329" t="s">
        <v>566</v>
      </c>
      <c r="F17329" s="1">
        <v>2</v>
      </c>
      <c r="G17329" s="1" t="s">
        <v>32</v>
      </c>
      <c r="H17329" s="4" t="str">
        <f>HYPERLINK("https://portal.gdc.cancer.gov/cases/18960eb6-2d79-4d12-886a-4cd1e8fc1e21","TCGA-IB-AAUW-01A")</f>
        <v>TCGA-IB-AAUW-01A</v>
      </c>
      <c r="I17329" t="s">
        <v>111</v>
      </c>
      <c r="J17329" t="s">
        <v>563</v>
      </c>
      <c r="K17329" t="s">
        <v>33</v>
      </c>
      <c r="L17329" t="s">
        <v>113</v>
      </c>
      <c r="N17329" t="s">
        <v>29</v>
      </c>
    </row>
    <row r="17330" spans="1:14">
      <c r="A17330" s="4" t="str">
        <f t="shared" si="1273"/>
        <v>EXP00435</v>
      </c>
      <c r="B17330" s="3" t="s">
        <v>66</v>
      </c>
      <c r="C17330" s="4" t="str">
        <f t="shared" si="1272"/>
        <v>TCGA-PAAD</v>
      </c>
      <c r="D17330" s="1" t="s">
        <v>493</v>
      </c>
      <c r="E17330" t="s">
        <v>566</v>
      </c>
      <c r="F17330" s="1">
        <v>2</v>
      </c>
      <c r="G17330" s="1" t="s">
        <v>32</v>
      </c>
      <c r="H17330" s="4" t="str">
        <f>HYPERLINK("https://portal.gdc.cancer.gov/cases/5750a6ed-2516-456d-97d4-2f6486845ed8","TCGA-LB-A7SX-01A")</f>
        <v>TCGA-LB-A7SX-01A</v>
      </c>
      <c r="I17330" t="s">
        <v>111</v>
      </c>
      <c r="J17330" t="s">
        <v>563</v>
      </c>
      <c r="K17330" t="s">
        <v>33</v>
      </c>
      <c r="L17330" t="s">
        <v>113</v>
      </c>
      <c r="N17330" t="s">
        <v>29</v>
      </c>
    </row>
    <row r="17331" spans="1:14">
      <c r="A17331" s="4" t="str">
        <f t="shared" si="1273"/>
        <v>EXP00435</v>
      </c>
      <c r="B17331" s="3" t="s">
        <v>66</v>
      </c>
      <c r="C17331" s="4" t="str">
        <f t="shared" si="1272"/>
        <v>TCGA-PAAD</v>
      </c>
      <c r="D17331" s="1" t="s">
        <v>493</v>
      </c>
      <c r="E17331" t="s">
        <v>566</v>
      </c>
      <c r="F17331" s="1">
        <v>2</v>
      </c>
      <c r="G17331" s="1" t="s">
        <v>32</v>
      </c>
      <c r="H17331" s="4" t="str">
        <f>HYPERLINK("https://portal.gdc.cancer.gov/cases/f852de27-b600-44a4-ab30-d74108dfc2e9","TCGA-LB-A8F3-01A")</f>
        <v>TCGA-LB-A8F3-01A</v>
      </c>
      <c r="I17331" t="s">
        <v>111</v>
      </c>
      <c r="J17331" t="s">
        <v>563</v>
      </c>
      <c r="K17331" t="s">
        <v>33</v>
      </c>
      <c r="L17331" t="s">
        <v>113</v>
      </c>
      <c r="N17331" t="s">
        <v>29</v>
      </c>
    </row>
    <row r="17332" spans="1:14">
      <c r="A17332" s="4" t="str">
        <f t="shared" si="1273"/>
        <v>EXP00435</v>
      </c>
      <c r="B17332" s="3" t="s">
        <v>66</v>
      </c>
      <c r="C17332" s="4" t="str">
        <f t="shared" si="1272"/>
        <v>TCGA-PAAD</v>
      </c>
      <c r="D17332" s="1" t="s">
        <v>493</v>
      </c>
      <c r="E17332" t="s">
        <v>566</v>
      </c>
      <c r="F17332" s="1">
        <v>2</v>
      </c>
      <c r="G17332" s="1" t="s">
        <v>32</v>
      </c>
      <c r="H17332" s="4" t="str">
        <f>HYPERLINK("https://portal.gdc.cancer.gov/cases/31c23e65-1f18-4f59-8a54-31febedef8a2","TCGA-LB-A9Q5-01A")</f>
        <v>TCGA-LB-A9Q5-01A</v>
      </c>
      <c r="I17332" t="s">
        <v>111</v>
      </c>
      <c r="J17332" t="s">
        <v>563</v>
      </c>
      <c r="K17332" t="s">
        <v>33</v>
      </c>
      <c r="L17332" t="s">
        <v>113</v>
      </c>
      <c r="N17332" t="s">
        <v>29</v>
      </c>
    </row>
    <row r="17333" spans="1:14">
      <c r="A17333" s="4" t="str">
        <f t="shared" si="1273"/>
        <v>EXP00435</v>
      </c>
      <c r="B17333" s="3" t="s">
        <v>66</v>
      </c>
      <c r="C17333" s="4" t="str">
        <f t="shared" si="1272"/>
        <v>TCGA-PAAD</v>
      </c>
      <c r="D17333" s="1" t="s">
        <v>493</v>
      </c>
      <c r="E17333" t="s">
        <v>566</v>
      </c>
      <c r="F17333" s="1">
        <v>2</v>
      </c>
      <c r="G17333" s="1" t="s">
        <v>32</v>
      </c>
      <c r="H17333" s="4" t="str">
        <f>HYPERLINK("https://portal.gdc.cancer.gov/cases/f0a4944c-d6cf-4163-a1ab-189803464b03","TCGA-M8-A5N4-01A")</f>
        <v>TCGA-M8-A5N4-01A</v>
      </c>
      <c r="I17333" t="s">
        <v>111</v>
      </c>
      <c r="J17333" t="s">
        <v>563</v>
      </c>
      <c r="K17333" t="s">
        <v>33</v>
      </c>
      <c r="L17333" t="s">
        <v>113</v>
      </c>
      <c r="N17333" t="s">
        <v>29</v>
      </c>
    </row>
    <row r="17334" spans="1:14">
      <c r="A17334" s="4" t="str">
        <f t="shared" si="1273"/>
        <v>EXP00435</v>
      </c>
      <c r="B17334" s="3" t="s">
        <v>66</v>
      </c>
      <c r="C17334" s="4" t="str">
        <f t="shared" si="1272"/>
        <v>TCGA-PAAD</v>
      </c>
      <c r="D17334" s="1" t="s">
        <v>493</v>
      </c>
      <c r="E17334" t="s">
        <v>566</v>
      </c>
      <c r="F17334" s="1">
        <v>2</v>
      </c>
      <c r="G17334" s="1" t="s">
        <v>32</v>
      </c>
      <c r="H17334" s="4" t="str">
        <f>HYPERLINK("https://portal.gdc.cancer.gov/cases/4a60e87e-6bc1-4ae0-9ccb-4cdc3e99c608","TCGA-OE-A75W-01A")</f>
        <v>TCGA-OE-A75W-01A</v>
      </c>
      <c r="I17334" t="s">
        <v>111</v>
      </c>
      <c r="J17334" t="s">
        <v>563</v>
      </c>
      <c r="K17334" t="s">
        <v>33</v>
      </c>
      <c r="L17334" t="s">
        <v>113</v>
      </c>
      <c r="N17334" t="s">
        <v>29</v>
      </c>
    </row>
    <row r="17335" spans="1:14">
      <c r="A17335" s="4" t="str">
        <f t="shared" si="1273"/>
        <v>EXP00435</v>
      </c>
      <c r="B17335" s="3" t="s">
        <v>66</v>
      </c>
      <c r="C17335" s="4" t="str">
        <f t="shared" si="1272"/>
        <v>TCGA-PAAD</v>
      </c>
      <c r="D17335" s="1" t="s">
        <v>493</v>
      </c>
      <c r="E17335" t="s">
        <v>566</v>
      </c>
      <c r="F17335" s="1">
        <v>2</v>
      </c>
      <c r="G17335" s="1" t="s">
        <v>32</v>
      </c>
      <c r="H17335" s="4" t="str">
        <f>HYPERLINK("https://portal.gdc.cancer.gov/cases/c26002e7-abf1-42b9-bf36-0e97249d872f","TCGA-PZ-A5RE-01A")</f>
        <v>TCGA-PZ-A5RE-01A</v>
      </c>
      <c r="I17335" t="s">
        <v>111</v>
      </c>
      <c r="J17335" t="s">
        <v>563</v>
      </c>
      <c r="K17335" t="s">
        <v>33</v>
      </c>
      <c r="L17335" t="s">
        <v>113</v>
      </c>
      <c r="N17335" t="s">
        <v>29</v>
      </c>
    </row>
    <row r="17336" spans="1:14">
      <c r="A17336" s="4" t="str">
        <f t="shared" si="1273"/>
        <v>EXP00435</v>
      </c>
      <c r="B17336" s="3" t="s">
        <v>66</v>
      </c>
      <c r="C17336" s="4" t="str">
        <f t="shared" si="1272"/>
        <v>TCGA-PAAD</v>
      </c>
      <c r="D17336" s="1" t="s">
        <v>493</v>
      </c>
      <c r="E17336" t="s">
        <v>566</v>
      </c>
      <c r="F17336" s="1">
        <v>2</v>
      </c>
      <c r="G17336" s="1" t="s">
        <v>32</v>
      </c>
      <c r="H17336" s="4" t="str">
        <f>HYPERLINK("https://portal.gdc.cancer.gov/cases/1756244e-13bc-4ed7-8b91-005608803d91","TCGA-Q3-A5QY-01A")</f>
        <v>TCGA-Q3-A5QY-01A</v>
      </c>
      <c r="I17336" t="s">
        <v>111</v>
      </c>
      <c r="J17336" t="s">
        <v>563</v>
      </c>
      <c r="K17336" t="s">
        <v>33</v>
      </c>
      <c r="L17336" t="s">
        <v>113</v>
      </c>
      <c r="N17336" t="s">
        <v>29</v>
      </c>
    </row>
    <row r="17337" spans="1:14">
      <c r="A17337" s="4" t="str">
        <f t="shared" si="1273"/>
        <v>EXP00435</v>
      </c>
      <c r="B17337" s="3" t="s">
        <v>66</v>
      </c>
      <c r="C17337" s="4" t="str">
        <f t="shared" si="1272"/>
        <v>TCGA-PAAD</v>
      </c>
      <c r="D17337" s="1" t="s">
        <v>493</v>
      </c>
      <c r="E17337" t="s">
        <v>566</v>
      </c>
      <c r="F17337" s="1">
        <v>2</v>
      </c>
      <c r="G17337" s="1" t="s">
        <v>32</v>
      </c>
      <c r="H17337" s="4" t="str">
        <f>HYPERLINK("https://portal.gdc.cancer.gov/cases/23908554-b98e-4ff8-98e7-dee3e2c5feaf","TCGA-Q3-AA2A-01A")</f>
        <v>TCGA-Q3-AA2A-01A</v>
      </c>
      <c r="I17337" t="s">
        <v>111</v>
      </c>
      <c r="J17337" t="s">
        <v>563</v>
      </c>
      <c r="K17337" t="s">
        <v>33</v>
      </c>
      <c r="L17337" t="s">
        <v>113</v>
      </c>
      <c r="N17337" t="s">
        <v>29</v>
      </c>
    </row>
    <row r="17338" spans="1:14">
      <c r="A17338" s="4" t="str">
        <f t="shared" si="1273"/>
        <v>EXP00435</v>
      </c>
      <c r="B17338" s="3" t="s">
        <v>66</v>
      </c>
      <c r="C17338" s="4" t="str">
        <f t="shared" si="1272"/>
        <v>TCGA-PAAD</v>
      </c>
      <c r="D17338" s="1" t="s">
        <v>493</v>
      </c>
      <c r="E17338" t="s">
        <v>566</v>
      </c>
      <c r="F17338" s="1">
        <v>2</v>
      </c>
      <c r="G17338" s="1" t="s">
        <v>32</v>
      </c>
      <c r="H17338" s="4" t="str">
        <f>HYPERLINK("https://portal.gdc.cancer.gov/cases/5bfe94ed-88b9-44ce-8bbd-1285ab9678a4","TCGA-RB-A7B8-01A")</f>
        <v>TCGA-RB-A7B8-01A</v>
      </c>
      <c r="I17338" t="s">
        <v>111</v>
      </c>
      <c r="J17338" t="s">
        <v>563</v>
      </c>
      <c r="K17338" t="s">
        <v>33</v>
      </c>
      <c r="L17338" t="s">
        <v>113</v>
      </c>
      <c r="N17338" t="s">
        <v>29</v>
      </c>
    </row>
    <row r="17339" spans="1:14">
      <c r="A17339" s="4" t="str">
        <f t="shared" si="1273"/>
        <v>EXP00435</v>
      </c>
      <c r="B17339" s="3" t="s">
        <v>66</v>
      </c>
      <c r="C17339" s="4" t="str">
        <f t="shared" si="1272"/>
        <v>TCGA-PAAD</v>
      </c>
      <c r="D17339" s="1" t="s">
        <v>493</v>
      </c>
      <c r="E17339" t="s">
        <v>566</v>
      </c>
      <c r="F17339" s="1">
        <v>2</v>
      </c>
      <c r="G17339" s="1" t="s">
        <v>32</v>
      </c>
      <c r="H17339" s="4" t="str">
        <f>HYPERLINK("https://portal.gdc.cancer.gov/cases/9d5c5303-550f-454f-8fd4-8abcdd311215","TCGA-RB-AA9M-01A")</f>
        <v>TCGA-RB-AA9M-01A</v>
      </c>
      <c r="I17339" t="s">
        <v>111</v>
      </c>
      <c r="J17339" t="s">
        <v>563</v>
      </c>
      <c r="K17339" t="s">
        <v>33</v>
      </c>
      <c r="L17339" t="s">
        <v>113</v>
      </c>
      <c r="N17339" t="s">
        <v>29</v>
      </c>
    </row>
    <row r="17340" spans="1:14">
      <c r="A17340" s="4" t="str">
        <f t="shared" si="1273"/>
        <v>EXP00435</v>
      </c>
      <c r="B17340" s="3" t="s">
        <v>66</v>
      </c>
      <c r="C17340" s="4" t="str">
        <f t="shared" si="1272"/>
        <v>TCGA-PAAD</v>
      </c>
      <c r="D17340" s="1" t="s">
        <v>493</v>
      </c>
      <c r="E17340" t="s">
        <v>566</v>
      </c>
      <c r="F17340" s="1">
        <v>2</v>
      </c>
      <c r="G17340" s="1" t="s">
        <v>32</v>
      </c>
      <c r="H17340" s="4" t="str">
        <f>HYPERLINK("https://portal.gdc.cancer.gov/cases/c53d66d9-ad9a-417e-a441-df5bcf1ae13f","TCGA-RL-AAAS-01A")</f>
        <v>TCGA-RL-AAAS-01A</v>
      </c>
      <c r="I17340" t="s">
        <v>111</v>
      </c>
      <c r="J17340" t="s">
        <v>563</v>
      </c>
      <c r="K17340" t="s">
        <v>33</v>
      </c>
      <c r="L17340" t="s">
        <v>113</v>
      </c>
      <c r="N17340" t="s">
        <v>29</v>
      </c>
    </row>
    <row r="17341" spans="1:14">
      <c r="A17341" s="4" t="str">
        <f t="shared" si="1273"/>
        <v>EXP00435</v>
      </c>
      <c r="B17341" s="3" t="s">
        <v>66</v>
      </c>
      <c r="C17341" s="4" t="str">
        <f t="shared" si="1272"/>
        <v>TCGA-PAAD</v>
      </c>
      <c r="D17341" s="1" t="s">
        <v>493</v>
      </c>
      <c r="E17341" t="s">
        <v>566</v>
      </c>
      <c r="F17341" s="1">
        <v>2</v>
      </c>
      <c r="G17341" s="1" t="s">
        <v>32</v>
      </c>
      <c r="H17341" s="4" t="str">
        <f>HYPERLINK("https://portal.gdc.cancer.gov/cases/c70621cc-c8e1-441d-93ec-bd6922cc7f61","TCGA-S4-A8RM-01A")</f>
        <v>TCGA-S4-A8RM-01A</v>
      </c>
      <c r="I17341" t="s">
        <v>111</v>
      </c>
      <c r="J17341" t="s">
        <v>563</v>
      </c>
      <c r="K17341" t="s">
        <v>33</v>
      </c>
      <c r="L17341" t="s">
        <v>113</v>
      </c>
      <c r="N17341" t="s">
        <v>29</v>
      </c>
    </row>
    <row r="17342" spans="1:14">
      <c r="A17342" s="4" t="str">
        <f t="shared" si="1273"/>
        <v>EXP00435</v>
      </c>
      <c r="B17342" s="3" t="s">
        <v>66</v>
      </c>
      <c r="C17342" s="4" t="str">
        <f t="shared" si="1272"/>
        <v>TCGA-PAAD</v>
      </c>
      <c r="D17342" s="1" t="s">
        <v>493</v>
      </c>
      <c r="E17342" t="s">
        <v>566</v>
      </c>
      <c r="F17342" s="1">
        <v>2</v>
      </c>
      <c r="G17342" s="1" t="s">
        <v>32</v>
      </c>
      <c r="H17342" s="4" t="str">
        <f>HYPERLINK("https://portal.gdc.cancer.gov/cases/a9c0f3a1-01eb-4f01-b58a-708b2960e685","TCGA-S4-A8RO-01A")</f>
        <v>TCGA-S4-A8RO-01A</v>
      </c>
      <c r="I17342" t="s">
        <v>111</v>
      </c>
      <c r="J17342" t="s">
        <v>563</v>
      </c>
      <c r="K17342" t="s">
        <v>33</v>
      </c>
      <c r="L17342" t="s">
        <v>113</v>
      </c>
      <c r="N17342" t="s">
        <v>29</v>
      </c>
    </row>
    <row r="17343" spans="1:14">
      <c r="A17343" s="4" t="str">
        <f t="shared" si="1273"/>
        <v>EXP00435</v>
      </c>
      <c r="B17343" s="3" t="s">
        <v>66</v>
      </c>
      <c r="C17343" s="4" t="str">
        <f t="shared" si="1272"/>
        <v>TCGA-PAAD</v>
      </c>
      <c r="D17343" s="1" t="s">
        <v>493</v>
      </c>
      <c r="E17343" t="s">
        <v>566</v>
      </c>
      <c r="F17343" s="1">
        <v>2</v>
      </c>
      <c r="G17343" s="1" t="s">
        <v>32</v>
      </c>
      <c r="H17343" s="4" t="str">
        <f>HYPERLINK("https://portal.gdc.cancer.gov/cases/ce2bfd9e-6382-47bb-9fd1-b77afe57e948","TCGA-S4-A8RP-01A")</f>
        <v>TCGA-S4-A8RP-01A</v>
      </c>
      <c r="I17343" t="s">
        <v>111</v>
      </c>
      <c r="J17343" t="s">
        <v>563</v>
      </c>
      <c r="K17343" t="s">
        <v>33</v>
      </c>
      <c r="L17343" t="s">
        <v>113</v>
      </c>
      <c r="N17343" t="s">
        <v>29</v>
      </c>
    </row>
    <row r="17344" spans="1:14">
      <c r="A17344" s="4" t="str">
        <f t="shared" si="1273"/>
        <v>EXP00435</v>
      </c>
      <c r="B17344" s="3" t="s">
        <v>66</v>
      </c>
      <c r="C17344" s="4" t="str">
        <f t="shared" si="1272"/>
        <v>TCGA-PAAD</v>
      </c>
      <c r="D17344" s="1" t="s">
        <v>493</v>
      </c>
      <c r="E17344" t="s">
        <v>566</v>
      </c>
      <c r="F17344" s="1">
        <v>2</v>
      </c>
      <c r="G17344" s="1" t="s">
        <v>32</v>
      </c>
      <c r="H17344" s="4" t="str">
        <f>HYPERLINK("https://portal.gdc.cancer.gov/cases/d211e0c1-7968-4343-8aae-27fab0039367","TCGA-US-A776-01A")</f>
        <v>TCGA-US-A776-01A</v>
      </c>
      <c r="I17344" t="s">
        <v>111</v>
      </c>
      <c r="J17344" t="s">
        <v>563</v>
      </c>
      <c r="K17344" t="s">
        <v>33</v>
      </c>
      <c r="L17344" t="s">
        <v>113</v>
      </c>
      <c r="N17344" t="s">
        <v>29</v>
      </c>
    </row>
    <row r="17345" spans="1:14">
      <c r="A17345" s="4" t="str">
        <f t="shared" si="1273"/>
        <v>EXP00435</v>
      </c>
      <c r="B17345" s="3" t="s">
        <v>66</v>
      </c>
      <c r="C17345" s="4" t="str">
        <f t="shared" si="1272"/>
        <v>TCGA-PAAD</v>
      </c>
      <c r="D17345" s="1" t="s">
        <v>493</v>
      </c>
      <c r="E17345" t="s">
        <v>566</v>
      </c>
      <c r="F17345" s="1">
        <v>2</v>
      </c>
      <c r="G17345" s="1" t="s">
        <v>32</v>
      </c>
      <c r="H17345" s="4" t="str">
        <f>HYPERLINK("https://portal.gdc.cancer.gov/cases/53c94a86-1b4d-4833-a169-d990c460b301","TCGA-US-A779-01A")</f>
        <v>TCGA-US-A779-01A</v>
      </c>
      <c r="I17345" t="s">
        <v>111</v>
      </c>
      <c r="J17345" t="s">
        <v>563</v>
      </c>
      <c r="K17345" t="s">
        <v>33</v>
      </c>
      <c r="L17345" t="s">
        <v>113</v>
      </c>
      <c r="N17345" t="s">
        <v>29</v>
      </c>
    </row>
    <row r="17346" spans="1:14">
      <c r="A17346" s="4" t="str">
        <f t="shared" ref="A17346:A17354" si="1274">HYPERLINK("http://hcmdb.i-sanger.com/experiment/details/experiment_id/EXP00435","EXP00435")</f>
        <v>EXP00435</v>
      </c>
      <c r="B17346" s="3" t="s">
        <v>66</v>
      </c>
      <c r="C17346" s="4" t="str">
        <f t="shared" si="1272"/>
        <v>TCGA-PAAD</v>
      </c>
      <c r="D17346" s="1" t="s">
        <v>493</v>
      </c>
      <c r="E17346" t="s">
        <v>566</v>
      </c>
      <c r="F17346" s="1">
        <v>2</v>
      </c>
      <c r="G17346" s="1" t="s">
        <v>32</v>
      </c>
      <c r="H17346" s="4" t="str">
        <f>HYPERLINK("https://portal.gdc.cancer.gov/cases/74aa6675-28b7-46dc-9015-f07a07c7b018","TCGA-US-A77G-01A")</f>
        <v>TCGA-US-A77G-01A</v>
      </c>
      <c r="I17346" t="s">
        <v>111</v>
      </c>
      <c r="J17346" t="s">
        <v>563</v>
      </c>
      <c r="K17346" t="s">
        <v>33</v>
      </c>
      <c r="L17346" t="s">
        <v>113</v>
      </c>
      <c r="N17346" t="s">
        <v>29</v>
      </c>
    </row>
    <row r="17347" spans="1:14">
      <c r="A17347" s="4" t="str">
        <f t="shared" si="1274"/>
        <v>EXP00435</v>
      </c>
      <c r="B17347" s="3" t="s">
        <v>66</v>
      </c>
      <c r="C17347" s="4" t="str">
        <f t="shared" si="1272"/>
        <v>TCGA-PAAD</v>
      </c>
      <c r="D17347" s="1" t="s">
        <v>493</v>
      </c>
      <c r="E17347" t="s">
        <v>566</v>
      </c>
      <c r="F17347" s="1">
        <v>2</v>
      </c>
      <c r="G17347" s="1" t="s">
        <v>32</v>
      </c>
      <c r="H17347" s="4" t="str">
        <f>HYPERLINK("https://portal.gdc.cancer.gov/cases/3a3a8fe1-e35c-45d0-aa0b-4fefa9ee9183","TCGA-US-A77J-01A")</f>
        <v>TCGA-US-A77J-01A</v>
      </c>
      <c r="I17347" t="s">
        <v>111</v>
      </c>
      <c r="J17347" t="s">
        <v>563</v>
      </c>
      <c r="K17347" t="s">
        <v>33</v>
      </c>
      <c r="L17347" t="s">
        <v>113</v>
      </c>
      <c r="N17347" t="s">
        <v>29</v>
      </c>
    </row>
    <row r="17348" spans="1:14">
      <c r="A17348" s="4" t="str">
        <f t="shared" si="1274"/>
        <v>EXP00435</v>
      </c>
      <c r="B17348" s="3" t="s">
        <v>66</v>
      </c>
      <c r="C17348" s="4" t="str">
        <f t="shared" si="1272"/>
        <v>TCGA-PAAD</v>
      </c>
      <c r="D17348" s="1" t="s">
        <v>493</v>
      </c>
      <c r="E17348" t="s">
        <v>566</v>
      </c>
      <c r="F17348" s="1">
        <v>2</v>
      </c>
      <c r="G17348" s="1" t="s">
        <v>32</v>
      </c>
      <c r="H17348" s="4" t="str">
        <f>HYPERLINK("https://portal.gdc.cancer.gov/cases/f89d429f-4747-468b-b894-89583bd8ab02","TCGA-XD-AAUG-01A")</f>
        <v>TCGA-XD-AAUG-01A</v>
      </c>
      <c r="I17348" t="s">
        <v>111</v>
      </c>
      <c r="J17348" t="s">
        <v>563</v>
      </c>
      <c r="K17348" t="s">
        <v>33</v>
      </c>
      <c r="L17348" t="s">
        <v>113</v>
      </c>
      <c r="N17348" t="s">
        <v>29</v>
      </c>
    </row>
    <row r="17349" spans="1:14">
      <c r="A17349" s="4" t="str">
        <f t="shared" si="1274"/>
        <v>EXP00435</v>
      </c>
      <c r="B17349" s="3" t="s">
        <v>66</v>
      </c>
      <c r="C17349" s="4" t="str">
        <f t="shared" si="1272"/>
        <v>TCGA-PAAD</v>
      </c>
      <c r="D17349" s="1" t="s">
        <v>493</v>
      </c>
      <c r="E17349" t="s">
        <v>566</v>
      </c>
      <c r="F17349" s="1">
        <v>2</v>
      </c>
      <c r="G17349" s="1" t="s">
        <v>32</v>
      </c>
      <c r="H17349" s="4" t="str">
        <f>HYPERLINK("https://portal.gdc.cancer.gov/cases/b46b5a4c-59fc-4769-b05a-d15f9aaa753a","TCGA-XD-AAUH-01A")</f>
        <v>TCGA-XD-AAUH-01A</v>
      </c>
      <c r="I17349" t="s">
        <v>111</v>
      </c>
      <c r="J17349" t="s">
        <v>563</v>
      </c>
      <c r="K17349" t="s">
        <v>33</v>
      </c>
      <c r="L17349" t="s">
        <v>113</v>
      </c>
      <c r="N17349" t="s">
        <v>29</v>
      </c>
    </row>
    <row r="17350" spans="1:14">
      <c r="A17350" s="4" t="str">
        <f t="shared" si="1274"/>
        <v>EXP00435</v>
      </c>
      <c r="B17350" s="3" t="s">
        <v>66</v>
      </c>
      <c r="C17350" s="4" t="str">
        <f t="shared" ref="C17350:C17413" si="1275">HYPERLINK("https://portal.gdc.cancer.gov/projects/TCGA-PAAD","TCGA-PAAD")</f>
        <v>TCGA-PAAD</v>
      </c>
      <c r="D17350" s="1" t="s">
        <v>493</v>
      </c>
      <c r="E17350" t="s">
        <v>566</v>
      </c>
      <c r="F17350" s="1">
        <v>2</v>
      </c>
      <c r="G17350" s="1" t="s">
        <v>32</v>
      </c>
      <c r="H17350" s="4" t="str">
        <f>HYPERLINK("https://portal.gdc.cancer.gov/cases/597a5a56-244b-4218-a55d-5d08217ea28c","TCGA-XD-AAUL-01A")</f>
        <v>TCGA-XD-AAUL-01A</v>
      </c>
      <c r="I17350" t="s">
        <v>111</v>
      </c>
      <c r="J17350" t="s">
        <v>563</v>
      </c>
      <c r="K17350" t="s">
        <v>33</v>
      </c>
      <c r="L17350" t="s">
        <v>113</v>
      </c>
      <c r="N17350" t="s">
        <v>29</v>
      </c>
    </row>
    <row r="17351" spans="1:14">
      <c r="A17351" s="4" t="str">
        <f t="shared" si="1274"/>
        <v>EXP00435</v>
      </c>
      <c r="B17351" s="3" t="s">
        <v>66</v>
      </c>
      <c r="C17351" s="4" t="str">
        <f t="shared" si="1275"/>
        <v>TCGA-PAAD</v>
      </c>
      <c r="D17351" s="1" t="s">
        <v>493</v>
      </c>
      <c r="E17351" t="s">
        <v>566</v>
      </c>
      <c r="F17351" s="1">
        <v>2</v>
      </c>
      <c r="G17351" s="1" t="s">
        <v>32</v>
      </c>
      <c r="H17351" s="4" t="str">
        <f>HYPERLINK("https://portal.gdc.cancer.gov/cases/b84b58c7-95b8-4162-8e61-414f8fe422c6","TCGA-YB-A89D-01A")</f>
        <v>TCGA-YB-A89D-01A</v>
      </c>
      <c r="I17351" t="s">
        <v>111</v>
      </c>
      <c r="J17351" t="s">
        <v>563</v>
      </c>
      <c r="K17351" t="s">
        <v>33</v>
      </c>
      <c r="L17351" t="s">
        <v>113</v>
      </c>
      <c r="N17351" t="s">
        <v>29</v>
      </c>
    </row>
    <row r="17352" spans="1:14">
      <c r="A17352" s="4" t="str">
        <f t="shared" si="1274"/>
        <v>EXP00435</v>
      </c>
      <c r="B17352" s="3" t="s">
        <v>66</v>
      </c>
      <c r="C17352" s="4" t="str">
        <f t="shared" si="1275"/>
        <v>TCGA-PAAD</v>
      </c>
      <c r="D17352" s="1" t="s">
        <v>493</v>
      </c>
      <c r="E17352" t="s">
        <v>566</v>
      </c>
      <c r="F17352" s="1">
        <v>2</v>
      </c>
      <c r="G17352" s="1" t="s">
        <v>32</v>
      </c>
      <c r="H17352" s="4" t="str">
        <f>HYPERLINK("https://portal.gdc.cancer.gov/cases/503d7e36-df78-428d-9971-09ff707645c2","TCGA-YH-A8SY-01A")</f>
        <v>TCGA-YH-A8SY-01A</v>
      </c>
      <c r="I17352" t="s">
        <v>111</v>
      </c>
      <c r="J17352" t="s">
        <v>563</v>
      </c>
      <c r="K17352" t="s">
        <v>33</v>
      </c>
      <c r="L17352" t="s">
        <v>113</v>
      </c>
      <c r="N17352" t="s">
        <v>29</v>
      </c>
    </row>
    <row r="17353" spans="1:14">
      <c r="A17353" s="4" t="str">
        <f t="shared" si="1274"/>
        <v>EXP00435</v>
      </c>
      <c r="B17353" s="3" t="s">
        <v>66</v>
      </c>
      <c r="C17353" s="4" t="str">
        <f t="shared" si="1275"/>
        <v>TCGA-PAAD</v>
      </c>
      <c r="D17353" s="1" t="s">
        <v>493</v>
      </c>
      <c r="E17353" t="s">
        <v>566</v>
      </c>
      <c r="F17353" s="1">
        <v>2</v>
      </c>
      <c r="G17353" s="1" t="s">
        <v>32</v>
      </c>
      <c r="H17353" s="4" t="str">
        <f>HYPERLINK("https://portal.gdc.cancer.gov/cases/ede2e8a7-465e-4725-880d-519899aba0c0","TCGA-YY-A8LH-01A")</f>
        <v>TCGA-YY-A8LH-01A</v>
      </c>
      <c r="I17353" t="s">
        <v>111</v>
      </c>
      <c r="J17353" t="s">
        <v>563</v>
      </c>
      <c r="K17353" t="s">
        <v>33</v>
      </c>
      <c r="L17353" t="s">
        <v>113</v>
      </c>
      <c r="N17353" t="s">
        <v>29</v>
      </c>
    </row>
    <row r="17354" spans="1:14">
      <c r="A17354" s="4" t="str">
        <f t="shared" si="1274"/>
        <v>EXP00435</v>
      </c>
      <c r="B17354" s="3" t="s">
        <v>66</v>
      </c>
      <c r="C17354" s="4" t="str">
        <f t="shared" si="1275"/>
        <v>TCGA-PAAD</v>
      </c>
      <c r="D17354" s="1" t="s">
        <v>493</v>
      </c>
      <c r="E17354" t="s">
        <v>566</v>
      </c>
      <c r="F17354" s="1">
        <v>2</v>
      </c>
      <c r="G17354" s="1" t="s">
        <v>32</v>
      </c>
      <c r="H17354" s="4" t="str">
        <f>HYPERLINK("https://portal.gdc.cancer.gov/cases/6a4e10b6-e6c4-4210-ae4d-0d8e8d0cb3ec","TCGA-Z5-AAPL-01A")</f>
        <v>TCGA-Z5-AAPL-01A</v>
      </c>
      <c r="I17354" t="s">
        <v>111</v>
      </c>
      <c r="J17354" t="s">
        <v>563</v>
      </c>
      <c r="K17354" t="s">
        <v>33</v>
      </c>
      <c r="L17354" t="s">
        <v>113</v>
      </c>
      <c r="N17354" t="s">
        <v>29</v>
      </c>
    </row>
    <row r="17355" spans="1:14">
      <c r="A17355" s="4" t="str">
        <f t="shared" ref="A17355:A17386" si="1276">HYPERLINK("http://hcmdb.i-sanger.com/experiment/details/experiment_id/EXP00436","EXP00436")</f>
        <v>EXP00436</v>
      </c>
      <c r="B17355" s="3" t="s">
        <v>66</v>
      </c>
      <c r="C17355" s="4" t="str">
        <f t="shared" si="1275"/>
        <v>TCGA-PAAD</v>
      </c>
      <c r="D17355" s="1" t="s">
        <v>493</v>
      </c>
      <c r="E17355" t="s">
        <v>567</v>
      </c>
      <c r="F17355" s="1">
        <v>1</v>
      </c>
      <c r="G17355" s="1" t="s">
        <v>36</v>
      </c>
      <c r="H17355" s="4" t="str">
        <f>HYPERLINK("https://portal.gdc.cancer.gov/cases/7e4e5633-6f83-4b46-b6eb-64b3f2866ba3","TCGA-H6-8124-11A")</f>
        <v>TCGA-H6-8124-11A</v>
      </c>
      <c r="I17355" t="s">
        <v>111</v>
      </c>
      <c r="J17355" t="s">
        <v>563</v>
      </c>
      <c r="K17355" t="s">
        <v>33</v>
      </c>
      <c r="L17355" t="s">
        <v>113</v>
      </c>
      <c r="N17355" t="s">
        <v>37</v>
      </c>
    </row>
    <row r="17356" spans="1:14">
      <c r="A17356" s="4" t="str">
        <f t="shared" si="1276"/>
        <v>EXP00436</v>
      </c>
      <c r="B17356" s="3" t="s">
        <v>66</v>
      </c>
      <c r="C17356" s="4" t="str">
        <f t="shared" si="1275"/>
        <v>TCGA-PAAD</v>
      </c>
      <c r="D17356" s="1" t="s">
        <v>493</v>
      </c>
      <c r="E17356" t="s">
        <v>567</v>
      </c>
      <c r="F17356" s="1">
        <v>1</v>
      </c>
      <c r="G17356" s="1" t="s">
        <v>36</v>
      </c>
      <c r="H17356" s="4" t="str">
        <f>HYPERLINK("https://portal.gdc.cancer.gov/cases/758b70f6-8064-4f43-aabe-e5f968fe2955","TCGA-H6-A45N-11A")</f>
        <v>TCGA-H6-A45N-11A</v>
      </c>
      <c r="I17356" t="s">
        <v>111</v>
      </c>
      <c r="J17356" t="s">
        <v>563</v>
      </c>
      <c r="K17356" t="s">
        <v>33</v>
      </c>
      <c r="L17356" t="s">
        <v>113</v>
      </c>
      <c r="N17356" t="s">
        <v>37</v>
      </c>
    </row>
    <row r="17357" spans="1:14">
      <c r="A17357" s="4" t="str">
        <f t="shared" si="1276"/>
        <v>EXP00436</v>
      </c>
      <c r="B17357" s="3" t="s">
        <v>66</v>
      </c>
      <c r="C17357" s="4" t="str">
        <f t="shared" si="1275"/>
        <v>TCGA-PAAD</v>
      </c>
      <c r="D17357" s="1" t="s">
        <v>493</v>
      </c>
      <c r="E17357" t="s">
        <v>567</v>
      </c>
      <c r="F17357" s="1">
        <v>1</v>
      </c>
      <c r="G17357" s="1" t="s">
        <v>36</v>
      </c>
      <c r="H17357" s="4" t="str">
        <f>HYPERLINK("https://portal.gdc.cancer.gov/cases/d4f66f06-9289-45c1-b9eb-aaef991a4bb6","TCGA-HV-A5A3-11A")</f>
        <v>TCGA-HV-A5A3-11A</v>
      </c>
      <c r="I17357" t="s">
        <v>111</v>
      </c>
      <c r="J17357" t="s">
        <v>563</v>
      </c>
      <c r="K17357" t="s">
        <v>33</v>
      </c>
      <c r="L17357" t="s">
        <v>113</v>
      </c>
      <c r="N17357" t="s">
        <v>37</v>
      </c>
    </row>
    <row r="17358" spans="1:14">
      <c r="A17358" s="4" t="str">
        <f t="shared" si="1276"/>
        <v>EXP00436</v>
      </c>
      <c r="B17358" s="3" t="s">
        <v>66</v>
      </c>
      <c r="C17358" s="4" t="str">
        <f t="shared" si="1275"/>
        <v>TCGA-PAAD</v>
      </c>
      <c r="D17358" s="1" t="s">
        <v>493</v>
      </c>
      <c r="E17358" t="s">
        <v>567</v>
      </c>
      <c r="F17358" s="1">
        <v>1</v>
      </c>
      <c r="G17358" s="1" t="s">
        <v>36</v>
      </c>
      <c r="H17358" s="4" t="str">
        <f>HYPERLINK("https://portal.gdc.cancer.gov/cases/b84b58c7-95b8-4162-8e61-414f8fe422c6","TCGA-YB-A89D-11A")</f>
        <v>TCGA-YB-A89D-11A</v>
      </c>
      <c r="I17358" t="s">
        <v>111</v>
      </c>
      <c r="J17358" t="s">
        <v>563</v>
      </c>
      <c r="K17358" t="s">
        <v>33</v>
      </c>
      <c r="L17358" t="s">
        <v>113</v>
      </c>
      <c r="N17358" t="s">
        <v>37</v>
      </c>
    </row>
    <row r="17359" spans="1:14">
      <c r="A17359" s="4" t="str">
        <f t="shared" si="1276"/>
        <v>EXP00436</v>
      </c>
      <c r="B17359" s="3" t="s">
        <v>66</v>
      </c>
      <c r="C17359" s="4" t="str">
        <f t="shared" si="1275"/>
        <v>TCGA-PAAD</v>
      </c>
      <c r="D17359" s="1" t="s">
        <v>493</v>
      </c>
      <c r="E17359" t="s">
        <v>567</v>
      </c>
      <c r="F17359" s="1">
        <v>2</v>
      </c>
      <c r="G17359" s="1" t="s">
        <v>28</v>
      </c>
      <c r="H17359" s="4" t="str">
        <f>HYPERLINK("https://portal.gdc.cancer.gov/cases/75119d1a-93e5-4ae7-9d60-69ee929a0772","TCGA-2J-AAB1-01A")</f>
        <v>TCGA-2J-AAB1-01A</v>
      </c>
      <c r="I17359" t="s">
        <v>111</v>
      </c>
      <c r="J17359" t="s">
        <v>563</v>
      </c>
      <c r="K17359" t="s">
        <v>33</v>
      </c>
      <c r="L17359" t="s">
        <v>113</v>
      </c>
      <c r="N17359" t="s">
        <v>29</v>
      </c>
    </row>
    <row r="17360" spans="1:14">
      <c r="A17360" s="4" t="str">
        <f t="shared" si="1276"/>
        <v>EXP00436</v>
      </c>
      <c r="B17360" s="3" t="s">
        <v>66</v>
      </c>
      <c r="C17360" s="4" t="str">
        <f t="shared" si="1275"/>
        <v>TCGA-PAAD</v>
      </c>
      <c r="D17360" s="1" t="s">
        <v>493</v>
      </c>
      <c r="E17360" t="s">
        <v>567</v>
      </c>
      <c r="F17360" s="1">
        <v>2</v>
      </c>
      <c r="G17360" s="1" t="s">
        <v>28</v>
      </c>
      <c r="H17360" s="4" t="str">
        <f>HYPERLINK("https://portal.gdc.cancer.gov/cases/33833131-1482-42d5-9cf5-01cade540234","TCGA-2J-AAB4-01A")</f>
        <v>TCGA-2J-AAB4-01A</v>
      </c>
      <c r="I17360" t="s">
        <v>111</v>
      </c>
      <c r="J17360" t="s">
        <v>563</v>
      </c>
      <c r="K17360" t="s">
        <v>33</v>
      </c>
      <c r="L17360" t="s">
        <v>113</v>
      </c>
      <c r="N17360" t="s">
        <v>29</v>
      </c>
    </row>
    <row r="17361" spans="1:14">
      <c r="A17361" s="4" t="str">
        <f t="shared" si="1276"/>
        <v>EXP00436</v>
      </c>
      <c r="B17361" s="3" t="s">
        <v>66</v>
      </c>
      <c r="C17361" s="4" t="str">
        <f t="shared" si="1275"/>
        <v>TCGA-PAAD</v>
      </c>
      <c r="D17361" s="1" t="s">
        <v>493</v>
      </c>
      <c r="E17361" t="s">
        <v>567</v>
      </c>
      <c r="F17361" s="1">
        <v>2</v>
      </c>
      <c r="G17361" s="1" t="s">
        <v>28</v>
      </c>
      <c r="H17361" s="4" t="str">
        <f>HYPERLINK("https://portal.gdc.cancer.gov/cases/2e8f90f4-aed3-43b0-985c-dfdc2581f24f","TCGA-2J-AAB8-01A")</f>
        <v>TCGA-2J-AAB8-01A</v>
      </c>
      <c r="I17361" t="s">
        <v>111</v>
      </c>
      <c r="J17361" t="s">
        <v>563</v>
      </c>
      <c r="K17361" t="s">
        <v>33</v>
      </c>
      <c r="L17361" t="s">
        <v>113</v>
      </c>
      <c r="N17361" t="s">
        <v>29</v>
      </c>
    </row>
    <row r="17362" spans="1:14">
      <c r="A17362" s="4" t="str">
        <f t="shared" si="1276"/>
        <v>EXP00436</v>
      </c>
      <c r="B17362" s="3" t="s">
        <v>66</v>
      </c>
      <c r="C17362" s="4" t="str">
        <f t="shared" si="1275"/>
        <v>TCGA-PAAD</v>
      </c>
      <c r="D17362" s="1" t="s">
        <v>493</v>
      </c>
      <c r="E17362" t="s">
        <v>567</v>
      </c>
      <c r="F17362" s="1">
        <v>2</v>
      </c>
      <c r="G17362" s="1" t="s">
        <v>28</v>
      </c>
      <c r="H17362" s="4" t="str">
        <f>HYPERLINK("https://portal.gdc.cancer.gov/cases/58c1c391-5ea3-4432-bb1e-e7e1974954bc","TCGA-2J-AABE-01A")</f>
        <v>TCGA-2J-AABE-01A</v>
      </c>
      <c r="I17362" t="s">
        <v>111</v>
      </c>
      <c r="J17362" t="s">
        <v>563</v>
      </c>
      <c r="K17362" t="s">
        <v>33</v>
      </c>
      <c r="L17362" t="s">
        <v>113</v>
      </c>
      <c r="N17362" t="s">
        <v>29</v>
      </c>
    </row>
    <row r="17363" spans="1:14">
      <c r="A17363" s="4" t="str">
        <f t="shared" si="1276"/>
        <v>EXP00436</v>
      </c>
      <c r="B17363" s="3" t="s">
        <v>66</v>
      </c>
      <c r="C17363" s="4" t="str">
        <f t="shared" si="1275"/>
        <v>TCGA-PAAD</v>
      </c>
      <c r="D17363" s="1" t="s">
        <v>493</v>
      </c>
      <c r="E17363" t="s">
        <v>567</v>
      </c>
      <c r="F17363" s="1">
        <v>2</v>
      </c>
      <c r="G17363" s="1" t="s">
        <v>28</v>
      </c>
      <c r="H17363" s="4" t="str">
        <f>HYPERLINK("https://portal.gdc.cancer.gov/cases/c53328b4-0930-4e6a-a648-283b5565295e","TCGA-2J-AABH-01A")</f>
        <v>TCGA-2J-AABH-01A</v>
      </c>
      <c r="I17363" t="s">
        <v>111</v>
      </c>
      <c r="J17363" t="s">
        <v>563</v>
      </c>
      <c r="K17363" t="s">
        <v>33</v>
      </c>
      <c r="L17363" t="s">
        <v>113</v>
      </c>
      <c r="N17363" t="s">
        <v>29</v>
      </c>
    </row>
    <row r="17364" spans="1:14">
      <c r="A17364" s="4" t="str">
        <f t="shared" si="1276"/>
        <v>EXP00436</v>
      </c>
      <c r="B17364" s="3" t="s">
        <v>66</v>
      </c>
      <c r="C17364" s="4" t="str">
        <f t="shared" si="1275"/>
        <v>TCGA-PAAD</v>
      </c>
      <c r="D17364" s="1" t="s">
        <v>493</v>
      </c>
      <c r="E17364" t="s">
        <v>567</v>
      </c>
      <c r="F17364" s="1">
        <v>2</v>
      </c>
      <c r="G17364" s="1" t="s">
        <v>28</v>
      </c>
      <c r="H17364" s="4" t="str">
        <f>HYPERLINK("https://portal.gdc.cancer.gov/cases/c24c54ea-4095-460d-bb53-e3629a56cd62","TCGA-2J-AABK-01A")</f>
        <v>TCGA-2J-AABK-01A</v>
      </c>
      <c r="I17364" t="s">
        <v>111</v>
      </c>
      <c r="J17364" t="s">
        <v>563</v>
      </c>
      <c r="K17364" t="s">
        <v>33</v>
      </c>
      <c r="L17364" t="s">
        <v>113</v>
      </c>
      <c r="N17364" t="s">
        <v>29</v>
      </c>
    </row>
    <row r="17365" spans="1:14">
      <c r="A17365" s="4" t="str">
        <f t="shared" si="1276"/>
        <v>EXP00436</v>
      </c>
      <c r="B17365" s="3" t="s">
        <v>66</v>
      </c>
      <c r="C17365" s="4" t="str">
        <f t="shared" si="1275"/>
        <v>TCGA-PAAD</v>
      </c>
      <c r="D17365" s="1" t="s">
        <v>493</v>
      </c>
      <c r="E17365" t="s">
        <v>567</v>
      </c>
      <c r="F17365" s="1">
        <v>2</v>
      </c>
      <c r="G17365" s="1" t="s">
        <v>28</v>
      </c>
      <c r="H17365" s="4" t="str">
        <f>HYPERLINK("https://portal.gdc.cancer.gov/cases/a8c3e333-865d-4060-8ce4-453aa6f9f0e8","TCGA-2J-AABO-01A")</f>
        <v>TCGA-2J-AABO-01A</v>
      </c>
      <c r="I17365" t="s">
        <v>111</v>
      </c>
      <c r="J17365" t="s">
        <v>563</v>
      </c>
      <c r="K17365" t="s">
        <v>33</v>
      </c>
      <c r="L17365" t="s">
        <v>113</v>
      </c>
      <c r="N17365" t="s">
        <v>29</v>
      </c>
    </row>
    <row r="17366" spans="1:14">
      <c r="A17366" s="4" t="str">
        <f t="shared" si="1276"/>
        <v>EXP00436</v>
      </c>
      <c r="B17366" s="3" t="s">
        <v>66</v>
      </c>
      <c r="C17366" s="4" t="str">
        <f t="shared" si="1275"/>
        <v>TCGA-PAAD</v>
      </c>
      <c r="D17366" s="1" t="s">
        <v>493</v>
      </c>
      <c r="E17366" t="s">
        <v>567</v>
      </c>
      <c r="F17366" s="1">
        <v>2</v>
      </c>
      <c r="G17366" s="1" t="s">
        <v>28</v>
      </c>
      <c r="H17366" s="4" t="str">
        <f>HYPERLINK("https://portal.gdc.cancer.gov/cases/a4569ce7-dde7-4660-a24c-409d294b2b8c","TCGA-2J-AABP-01A")</f>
        <v>TCGA-2J-AABP-01A</v>
      </c>
      <c r="I17366" t="s">
        <v>111</v>
      </c>
      <c r="J17366" t="s">
        <v>563</v>
      </c>
      <c r="K17366" t="s">
        <v>33</v>
      </c>
      <c r="L17366" t="s">
        <v>113</v>
      </c>
      <c r="N17366" t="s">
        <v>29</v>
      </c>
    </row>
    <row r="17367" spans="1:14">
      <c r="A17367" s="4" t="str">
        <f t="shared" si="1276"/>
        <v>EXP00436</v>
      </c>
      <c r="B17367" s="3" t="s">
        <v>66</v>
      </c>
      <c r="C17367" s="4" t="str">
        <f t="shared" si="1275"/>
        <v>TCGA-PAAD</v>
      </c>
      <c r="D17367" s="1" t="s">
        <v>493</v>
      </c>
      <c r="E17367" t="s">
        <v>567</v>
      </c>
      <c r="F17367" s="1">
        <v>2</v>
      </c>
      <c r="G17367" s="1" t="s">
        <v>28</v>
      </c>
      <c r="H17367" s="4" t="str">
        <f>HYPERLINK("https://portal.gdc.cancer.gov/cases/3f9cc59e-9f7d-40d1-9365-28b40dff3c59","TCGA-2J-AABT-01A")</f>
        <v>TCGA-2J-AABT-01A</v>
      </c>
      <c r="I17367" t="s">
        <v>111</v>
      </c>
      <c r="J17367" t="s">
        <v>563</v>
      </c>
      <c r="K17367" t="s">
        <v>33</v>
      </c>
      <c r="L17367" t="s">
        <v>113</v>
      </c>
      <c r="N17367" t="s">
        <v>29</v>
      </c>
    </row>
    <row r="17368" spans="1:14">
      <c r="A17368" s="4" t="str">
        <f t="shared" si="1276"/>
        <v>EXP00436</v>
      </c>
      <c r="B17368" s="3" t="s">
        <v>66</v>
      </c>
      <c r="C17368" s="4" t="str">
        <f t="shared" si="1275"/>
        <v>TCGA-PAAD</v>
      </c>
      <c r="D17368" s="1" t="s">
        <v>493</v>
      </c>
      <c r="E17368" t="s">
        <v>567</v>
      </c>
      <c r="F17368" s="1">
        <v>2</v>
      </c>
      <c r="G17368" s="1" t="s">
        <v>28</v>
      </c>
      <c r="H17368" s="4" t="str">
        <f>HYPERLINK("https://portal.gdc.cancer.gov/cases/d8aa891c-8050-471e-ad3e-32b9c5e9db03","TCGA-2L-AAQA-01A")</f>
        <v>TCGA-2L-AAQA-01A</v>
      </c>
      <c r="I17368" t="s">
        <v>111</v>
      </c>
      <c r="J17368" t="s">
        <v>563</v>
      </c>
      <c r="K17368" t="s">
        <v>33</v>
      </c>
      <c r="L17368" t="s">
        <v>113</v>
      </c>
      <c r="N17368" t="s">
        <v>29</v>
      </c>
    </row>
    <row r="17369" spans="1:14">
      <c r="A17369" s="4" t="str">
        <f t="shared" si="1276"/>
        <v>EXP00436</v>
      </c>
      <c r="B17369" s="3" t="s">
        <v>66</v>
      </c>
      <c r="C17369" s="4" t="str">
        <f t="shared" si="1275"/>
        <v>TCGA-PAAD</v>
      </c>
      <c r="D17369" s="1" t="s">
        <v>493</v>
      </c>
      <c r="E17369" t="s">
        <v>567</v>
      </c>
      <c r="F17369" s="1">
        <v>2</v>
      </c>
      <c r="G17369" s="1" t="s">
        <v>28</v>
      </c>
      <c r="H17369" s="4" t="str">
        <f>HYPERLINK("https://portal.gdc.cancer.gov/cases/8e7d5615-5142-4d53-a460-2cafade1f690","TCGA-2L-AAQE-01A")</f>
        <v>TCGA-2L-AAQE-01A</v>
      </c>
      <c r="I17369" t="s">
        <v>111</v>
      </c>
      <c r="J17369" t="s">
        <v>563</v>
      </c>
      <c r="K17369" t="s">
        <v>33</v>
      </c>
      <c r="L17369" t="s">
        <v>113</v>
      </c>
      <c r="N17369" t="s">
        <v>29</v>
      </c>
    </row>
    <row r="17370" spans="1:14">
      <c r="A17370" s="4" t="str">
        <f t="shared" si="1276"/>
        <v>EXP00436</v>
      </c>
      <c r="B17370" s="3" t="s">
        <v>66</v>
      </c>
      <c r="C17370" s="4" t="str">
        <f t="shared" si="1275"/>
        <v>TCGA-PAAD</v>
      </c>
      <c r="D17370" s="1" t="s">
        <v>493</v>
      </c>
      <c r="E17370" t="s">
        <v>567</v>
      </c>
      <c r="F17370" s="1">
        <v>2</v>
      </c>
      <c r="G17370" s="1" t="s">
        <v>28</v>
      </c>
      <c r="H17370" s="4" t="str">
        <f>HYPERLINK("https://portal.gdc.cancer.gov/cases/a28cfa95-5a99-40f3-928e-7a94f2492d2c","TCGA-2L-AAQI-01A")</f>
        <v>TCGA-2L-AAQI-01A</v>
      </c>
      <c r="I17370" t="s">
        <v>111</v>
      </c>
      <c r="J17370" t="s">
        <v>563</v>
      </c>
      <c r="K17370" t="s">
        <v>33</v>
      </c>
      <c r="L17370" t="s">
        <v>113</v>
      </c>
      <c r="N17370" t="s">
        <v>29</v>
      </c>
    </row>
    <row r="17371" spans="1:14">
      <c r="A17371" s="4" t="str">
        <f t="shared" si="1276"/>
        <v>EXP00436</v>
      </c>
      <c r="B17371" s="3" t="s">
        <v>66</v>
      </c>
      <c r="C17371" s="4" t="str">
        <f t="shared" si="1275"/>
        <v>TCGA-PAAD</v>
      </c>
      <c r="D17371" s="1" t="s">
        <v>493</v>
      </c>
      <c r="E17371" t="s">
        <v>567</v>
      </c>
      <c r="F17371" s="1">
        <v>2</v>
      </c>
      <c r="G17371" s="1" t="s">
        <v>28</v>
      </c>
      <c r="H17371" s="4" t="str">
        <f>HYPERLINK("https://portal.gdc.cancer.gov/cases/f96ab3fe-bb11-4585-a35e-52d400e55ab7","TCGA-2L-AAQJ-01A")</f>
        <v>TCGA-2L-AAQJ-01A</v>
      </c>
      <c r="I17371" t="s">
        <v>111</v>
      </c>
      <c r="J17371" t="s">
        <v>563</v>
      </c>
      <c r="K17371" t="s">
        <v>33</v>
      </c>
      <c r="L17371" t="s">
        <v>113</v>
      </c>
      <c r="N17371" t="s">
        <v>29</v>
      </c>
    </row>
    <row r="17372" spans="1:14">
      <c r="A17372" s="4" t="str">
        <f t="shared" si="1276"/>
        <v>EXP00436</v>
      </c>
      <c r="B17372" s="3" t="s">
        <v>66</v>
      </c>
      <c r="C17372" s="4" t="str">
        <f t="shared" si="1275"/>
        <v>TCGA-PAAD</v>
      </c>
      <c r="D17372" s="1" t="s">
        <v>493</v>
      </c>
      <c r="E17372" t="s">
        <v>567</v>
      </c>
      <c r="F17372" s="1">
        <v>2</v>
      </c>
      <c r="G17372" s="1" t="s">
        <v>28</v>
      </c>
      <c r="H17372" s="4" t="str">
        <f>HYPERLINK("https://portal.gdc.cancer.gov/cases/1db061c0-9b28-4bf9-8ad2-0383c69b6800","TCGA-2L-AAQL-01A")</f>
        <v>TCGA-2L-AAQL-01A</v>
      </c>
      <c r="I17372" t="s">
        <v>111</v>
      </c>
      <c r="J17372" t="s">
        <v>563</v>
      </c>
      <c r="K17372" t="s">
        <v>33</v>
      </c>
      <c r="L17372" t="s">
        <v>113</v>
      </c>
      <c r="N17372" t="s">
        <v>29</v>
      </c>
    </row>
    <row r="17373" spans="1:14">
      <c r="A17373" s="4" t="str">
        <f t="shared" si="1276"/>
        <v>EXP00436</v>
      </c>
      <c r="B17373" s="3" t="s">
        <v>66</v>
      </c>
      <c r="C17373" s="4" t="str">
        <f t="shared" si="1275"/>
        <v>TCGA-PAAD</v>
      </c>
      <c r="D17373" s="1" t="s">
        <v>493</v>
      </c>
      <c r="E17373" t="s">
        <v>567</v>
      </c>
      <c r="F17373" s="1">
        <v>2</v>
      </c>
      <c r="G17373" s="1" t="s">
        <v>28</v>
      </c>
      <c r="H17373" s="4" t="str">
        <f>HYPERLINK("https://portal.gdc.cancer.gov/cases/7240d5da-b54e-436b-8069-f2c9f516b75e","TCGA-2L-AAQM-01A")</f>
        <v>TCGA-2L-AAQM-01A</v>
      </c>
      <c r="I17373" t="s">
        <v>111</v>
      </c>
      <c r="J17373" t="s">
        <v>563</v>
      </c>
      <c r="K17373" t="s">
        <v>33</v>
      </c>
      <c r="L17373" t="s">
        <v>113</v>
      </c>
      <c r="N17373" t="s">
        <v>29</v>
      </c>
    </row>
    <row r="17374" spans="1:14">
      <c r="A17374" s="4" t="str">
        <f t="shared" si="1276"/>
        <v>EXP00436</v>
      </c>
      <c r="B17374" s="3" t="s">
        <v>66</v>
      </c>
      <c r="C17374" s="4" t="str">
        <f t="shared" si="1275"/>
        <v>TCGA-PAAD</v>
      </c>
      <c r="D17374" s="1" t="s">
        <v>493</v>
      </c>
      <c r="E17374" t="s">
        <v>567</v>
      </c>
      <c r="F17374" s="1">
        <v>2</v>
      </c>
      <c r="G17374" s="1" t="s">
        <v>28</v>
      </c>
      <c r="H17374" s="4" t="str">
        <f>HYPERLINK("https://portal.gdc.cancer.gov/cases/9924e309-5c47-42fe-b937-547f2b3d6842","TCGA-3A-A9I5-01A")</f>
        <v>TCGA-3A-A9I5-01A</v>
      </c>
      <c r="I17374" t="s">
        <v>111</v>
      </c>
      <c r="J17374" t="s">
        <v>563</v>
      </c>
      <c r="K17374" t="s">
        <v>33</v>
      </c>
      <c r="L17374" t="s">
        <v>113</v>
      </c>
      <c r="N17374" t="s">
        <v>29</v>
      </c>
    </row>
    <row r="17375" spans="1:14">
      <c r="A17375" s="4" t="str">
        <f t="shared" si="1276"/>
        <v>EXP00436</v>
      </c>
      <c r="B17375" s="3" t="s">
        <v>66</v>
      </c>
      <c r="C17375" s="4" t="str">
        <f t="shared" si="1275"/>
        <v>TCGA-PAAD</v>
      </c>
      <c r="D17375" s="1" t="s">
        <v>493</v>
      </c>
      <c r="E17375" t="s">
        <v>567</v>
      </c>
      <c r="F17375" s="1">
        <v>2</v>
      </c>
      <c r="G17375" s="1" t="s">
        <v>28</v>
      </c>
      <c r="H17375" s="4" t="str">
        <f>HYPERLINK("https://portal.gdc.cancer.gov/cases/556baca9-03d6-48a3-9216-4fc441e99f90","TCGA-3A-A9I7-01A")</f>
        <v>TCGA-3A-A9I7-01A</v>
      </c>
      <c r="I17375" t="s">
        <v>111</v>
      </c>
      <c r="J17375" t="s">
        <v>563</v>
      </c>
      <c r="K17375" t="s">
        <v>33</v>
      </c>
      <c r="L17375" t="s">
        <v>113</v>
      </c>
      <c r="N17375" t="s">
        <v>29</v>
      </c>
    </row>
    <row r="17376" spans="1:14">
      <c r="A17376" s="4" t="str">
        <f t="shared" si="1276"/>
        <v>EXP00436</v>
      </c>
      <c r="B17376" s="3" t="s">
        <v>66</v>
      </c>
      <c r="C17376" s="4" t="str">
        <f t="shared" si="1275"/>
        <v>TCGA-PAAD</v>
      </c>
      <c r="D17376" s="1" t="s">
        <v>493</v>
      </c>
      <c r="E17376" t="s">
        <v>567</v>
      </c>
      <c r="F17376" s="1">
        <v>2</v>
      </c>
      <c r="G17376" s="1" t="s">
        <v>28</v>
      </c>
      <c r="H17376" s="4" t="str">
        <f>HYPERLINK("https://portal.gdc.cancer.gov/cases/396ff766-a383-4f42-bce3-f2f32b7f1151","TCGA-3A-A9I9-01A")</f>
        <v>TCGA-3A-A9I9-01A</v>
      </c>
      <c r="I17376" t="s">
        <v>111</v>
      </c>
      <c r="J17376" t="s">
        <v>563</v>
      </c>
      <c r="K17376" t="s">
        <v>33</v>
      </c>
      <c r="L17376" t="s">
        <v>113</v>
      </c>
      <c r="N17376" t="s">
        <v>29</v>
      </c>
    </row>
    <row r="17377" spans="1:14">
      <c r="A17377" s="4" t="str">
        <f t="shared" si="1276"/>
        <v>EXP00436</v>
      </c>
      <c r="B17377" s="3" t="s">
        <v>66</v>
      </c>
      <c r="C17377" s="4" t="str">
        <f t="shared" si="1275"/>
        <v>TCGA-PAAD</v>
      </c>
      <c r="D17377" s="1" t="s">
        <v>493</v>
      </c>
      <c r="E17377" t="s">
        <v>567</v>
      </c>
      <c r="F17377" s="1">
        <v>2</v>
      </c>
      <c r="G17377" s="1" t="s">
        <v>28</v>
      </c>
      <c r="H17377" s="4" t="str">
        <f>HYPERLINK("https://portal.gdc.cancer.gov/cases/3cbf56e6-dccc-40fe-b06e-2621a2121e9d","TCGA-3A-A9IB-01A")</f>
        <v>TCGA-3A-A9IB-01A</v>
      </c>
      <c r="I17377" t="s">
        <v>111</v>
      </c>
      <c r="J17377" t="s">
        <v>563</v>
      </c>
      <c r="K17377" t="s">
        <v>33</v>
      </c>
      <c r="L17377" t="s">
        <v>113</v>
      </c>
      <c r="N17377" t="s">
        <v>29</v>
      </c>
    </row>
    <row r="17378" spans="1:14">
      <c r="A17378" s="4" t="str">
        <f t="shared" si="1276"/>
        <v>EXP00436</v>
      </c>
      <c r="B17378" s="3" t="s">
        <v>66</v>
      </c>
      <c r="C17378" s="4" t="str">
        <f t="shared" si="1275"/>
        <v>TCGA-PAAD</v>
      </c>
      <c r="D17378" s="1" t="s">
        <v>493</v>
      </c>
      <c r="E17378" t="s">
        <v>567</v>
      </c>
      <c r="F17378" s="1">
        <v>2</v>
      </c>
      <c r="G17378" s="1" t="s">
        <v>28</v>
      </c>
      <c r="H17378" s="4" t="str">
        <f>HYPERLINK("https://portal.gdc.cancer.gov/cases/67e9abc1-4b6f-4054-bdc4-29906c55c682","TCGA-3A-A9IC-01A")</f>
        <v>TCGA-3A-A9IC-01A</v>
      </c>
      <c r="I17378" t="s">
        <v>111</v>
      </c>
      <c r="J17378" t="s">
        <v>563</v>
      </c>
      <c r="K17378" t="s">
        <v>33</v>
      </c>
      <c r="L17378" t="s">
        <v>113</v>
      </c>
      <c r="N17378" t="s">
        <v>29</v>
      </c>
    </row>
    <row r="17379" spans="1:14">
      <c r="A17379" s="4" t="str">
        <f t="shared" si="1276"/>
        <v>EXP00436</v>
      </c>
      <c r="B17379" s="3" t="s">
        <v>66</v>
      </c>
      <c r="C17379" s="4" t="str">
        <f t="shared" si="1275"/>
        <v>TCGA-PAAD</v>
      </c>
      <c r="D17379" s="1" t="s">
        <v>493</v>
      </c>
      <c r="E17379" t="s">
        <v>567</v>
      </c>
      <c r="F17379" s="1">
        <v>2</v>
      </c>
      <c r="G17379" s="1" t="s">
        <v>28</v>
      </c>
      <c r="H17379" s="4" t="str">
        <f>HYPERLINK("https://portal.gdc.cancer.gov/cases/10f0d40b-c4c4-441b-9cfb-bef5e44aa91e","TCGA-3A-A9IH-01A")</f>
        <v>TCGA-3A-A9IH-01A</v>
      </c>
      <c r="I17379" t="s">
        <v>111</v>
      </c>
      <c r="J17379" t="s">
        <v>563</v>
      </c>
      <c r="K17379" t="s">
        <v>33</v>
      </c>
      <c r="L17379" t="s">
        <v>113</v>
      </c>
      <c r="N17379" t="s">
        <v>29</v>
      </c>
    </row>
    <row r="17380" spans="1:14">
      <c r="A17380" s="4" t="str">
        <f t="shared" si="1276"/>
        <v>EXP00436</v>
      </c>
      <c r="B17380" s="3" t="s">
        <v>66</v>
      </c>
      <c r="C17380" s="4" t="str">
        <f t="shared" si="1275"/>
        <v>TCGA-PAAD</v>
      </c>
      <c r="D17380" s="1" t="s">
        <v>493</v>
      </c>
      <c r="E17380" t="s">
        <v>567</v>
      </c>
      <c r="F17380" s="1">
        <v>2</v>
      </c>
      <c r="G17380" s="1" t="s">
        <v>28</v>
      </c>
      <c r="H17380" s="4" t="str">
        <f>HYPERLINK("https://portal.gdc.cancer.gov/cases/5f468c25-73c3-49d5-ba12-50653dfe2c41","TCGA-3A-A9IJ-01A")</f>
        <v>TCGA-3A-A9IJ-01A</v>
      </c>
      <c r="I17380" t="s">
        <v>111</v>
      </c>
      <c r="J17380" t="s">
        <v>563</v>
      </c>
      <c r="K17380" t="s">
        <v>33</v>
      </c>
      <c r="L17380" t="s">
        <v>113</v>
      </c>
      <c r="N17380" t="s">
        <v>29</v>
      </c>
    </row>
    <row r="17381" spans="1:14">
      <c r="A17381" s="4" t="str">
        <f t="shared" si="1276"/>
        <v>EXP00436</v>
      </c>
      <c r="B17381" s="3" t="s">
        <v>66</v>
      </c>
      <c r="C17381" s="4" t="str">
        <f t="shared" si="1275"/>
        <v>TCGA-PAAD</v>
      </c>
      <c r="D17381" s="1" t="s">
        <v>493</v>
      </c>
      <c r="E17381" t="s">
        <v>567</v>
      </c>
      <c r="F17381" s="1">
        <v>2</v>
      </c>
      <c r="G17381" s="1" t="s">
        <v>28</v>
      </c>
      <c r="H17381" s="4" t="str">
        <f>HYPERLINK("https://portal.gdc.cancer.gov/cases/24a40289-96fd-4c1a-a953-45a46a0a0e9d","TCGA-3A-A9IL-01A")</f>
        <v>TCGA-3A-A9IL-01A</v>
      </c>
      <c r="I17381" t="s">
        <v>111</v>
      </c>
      <c r="J17381" t="s">
        <v>563</v>
      </c>
      <c r="K17381" t="s">
        <v>33</v>
      </c>
      <c r="L17381" t="s">
        <v>113</v>
      </c>
      <c r="N17381" t="s">
        <v>29</v>
      </c>
    </row>
    <row r="17382" spans="1:14">
      <c r="A17382" s="4" t="str">
        <f t="shared" si="1276"/>
        <v>EXP00436</v>
      </c>
      <c r="B17382" s="3" t="s">
        <v>66</v>
      </c>
      <c r="C17382" s="4" t="str">
        <f t="shared" si="1275"/>
        <v>TCGA-PAAD</v>
      </c>
      <c r="D17382" s="1" t="s">
        <v>493</v>
      </c>
      <c r="E17382" t="s">
        <v>567</v>
      </c>
      <c r="F17382" s="1">
        <v>2</v>
      </c>
      <c r="G17382" s="1" t="s">
        <v>28</v>
      </c>
      <c r="H17382" s="4" t="str">
        <f>HYPERLINK("https://portal.gdc.cancer.gov/cases/dd5074b2-462d-4267-8b9b-5a4c54e5978c","TCGA-3A-A9IN-01A")</f>
        <v>TCGA-3A-A9IN-01A</v>
      </c>
      <c r="I17382" t="s">
        <v>111</v>
      </c>
      <c r="J17382" t="s">
        <v>563</v>
      </c>
      <c r="K17382" t="s">
        <v>33</v>
      </c>
      <c r="L17382" t="s">
        <v>113</v>
      </c>
      <c r="N17382" t="s">
        <v>29</v>
      </c>
    </row>
    <row r="17383" spans="1:14">
      <c r="A17383" s="4" t="str">
        <f t="shared" si="1276"/>
        <v>EXP00436</v>
      </c>
      <c r="B17383" s="3" t="s">
        <v>66</v>
      </c>
      <c r="C17383" s="4" t="str">
        <f t="shared" si="1275"/>
        <v>TCGA-PAAD</v>
      </c>
      <c r="D17383" s="1" t="s">
        <v>493</v>
      </c>
      <c r="E17383" t="s">
        <v>567</v>
      </c>
      <c r="F17383" s="1">
        <v>2</v>
      </c>
      <c r="G17383" s="1" t="s">
        <v>28</v>
      </c>
      <c r="H17383" s="4" t="str">
        <f>HYPERLINK("https://portal.gdc.cancer.gov/cases/13cf4e4c-8d5f-4854-a350-428fdf1ff340","TCGA-3A-A9IO-01A")</f>
        <v>TCGA-3A-A9IO-01A</v>
      </c>
      <c r="I17383" t="s">
        <v>111</v>
      </c>
      <c r="J17383" t="s">
        <v>563</v>
      </c>
      <c r="K17383" t="s">
        <v>33</v>
      </c>
      <c r="L17383" t="s">
        <v>113</v>
      </c>
      <c r="N17383" t="s">
        <v>29</v>
      </c>
    </row>
    <row r="17384" spans="1:14">
      <c r="A17384" s="4" t="str">
        <f t="shared" si="1276"/>
        <v>EXP00436</v>
      </c>
      <c r="B17384" s="3" t="s">
        <v>66</v>
      </c>
      <c r="C17384" s="4" t="str">
        <f t="shared" si="1275"/>
        <v>TCGA-PAAD</v>
      </c>
      <c r="D17384" s="1" t="s">
        <v>493</v>
      </c>
      <c r="E17384" t="s">
        <v>567</v>
      </c>
      <c r="F17384" s="1">
        <v>2</v>
      </c>
      <c r="G17384" s="1" t="s">
        <v>28</v>
      </c>
      <c r="H17384" s="4" t="str">
        <f>HYPERLINK("https://portal.gdc.cancer.gov/cases/5898434d-cfa3-4515-a0c0-810d7e515120","TCGA-3A-A9IR-01A")</f>
        <v>TCGA-3A-A9IR-01A</v>
      </c>
      <c r="I17384" t="s">
        <v>111</v>
      </c>
      <c r="J17384" t="s">
        <v>563</v>
      </c>
      <c r="K17384" t="s">
        <v>33</v>
      </c>
      <c r="L17384" t="s">
        <v>113</v>
      </c>
      <c r="N17384" t="s">
        <v>29</v>
      </c>
    </row>
    <row r="17385" spans="1:14">
      <c r="A17385" s="4" t="str">
        <f t="shared" si="1276"/>
        <v>EXP00436</v>
      </c>
      <c r="B17385" s="3" t="s">
        <v>66</v>
      </c>
      <c r="C17385" s="4" t="str">
        <f t="shared" si="1275"/>
        <v>TCGA-PAAD</v>
      </c>
      <c r="D17385" s="1" t="s">
        <v>493</v>
      </c>
      <c r="E17385" t="s">
        <v>567</v>
      </c>
      <c r="F17385" s="1">
        <v>2</v>
      </c>
      <c r="G17385" s="1" t="s">
        <v>28</v>
      </c>
      <c r="H17385" s="4" t="str">
        <f>HYPERLINK("https://portal.gdc.cancer.gov/cases/cf825b86-7ec2-4e90-bcce-3b5637b90b70","TCGA-3A-A9IS-01A")</f>
        <v>TCGA-3A-A9IS-01A</v>
      </c>
      <c r="I17385" t="s">
        <v>111</v>
      </c>
      <c r="J17385" t="s">
        <v>563</v>
      </c>
      <c r="K17385" t="s">
        <v>33</v>
      </c>
      <c r="L17385" t="s">
        <v>113</v>
      </c>
      <c r="N17385" t="s">
        <v>29</v>
      </c>
    </row>
    <row r="17386" spans="1:14">
      <c r="A17386" s="4" t="str">
        <f t="shared" si="1276"/>
        <v>EXP00436</v>
      </c>
      <c r="B17386" s="3" t="s">
        <v>66</v>
      </c>
      <c r="C17386" s="4" t="str">
        <f t="shared" si="1275"/>
        <v>TCGA-PAAD</v>
      </c>
      <c r="D17386" s="1" t="s">
        <v>493</v>
      </c>
      <c r="E17386" t="s">
        <v>567</v>
      </c>
      <c r="F17386" s="1">
        <v>2</v>
      </c>
      <c r="G17386" s="1" t="s">
        <v>28</v>
      </c>
      <c r="H17386" s="4" t="str">
        <f>HYPERLINK("https://portal.gdc.cancer.gov/cases/1c2341f3-558b-4555-90ff-c7a23ef85c0b","TCGA-3A-A9IV-01A")</f>
        <v>TCGA-3A-A9IV-01A</v>
      </c>
      <c r="I17386" t="s">
        <v>111</v>
      </c>
      <c r="J17386" t="s">
        <v>563</v>
      </c>
      <c r="K17386" t="s">
        <v>33</v>
      </c>
      <c r="L17386" t="s">
        <v>113</v>
      </c>
      <c r="N17386" t="s">
        <v>29</v>
      </c>
    </row>
    <row r="17387" spans="1:14">
      <c r="A17387" s="4" t="str">
        <f t="shared" ref="A17387:A17418" si="1277">HYPERLINK("http://hcmdb.i-sanger.com/experiment/details/experiment_id/EXP00436","EXP00436")</f>
        <v>EXP00436</v>
      </c>
      <c r="B17387" s="3" t="s">
        <v>66</v>
      </c>
      <c r="C17387" s="4" t="str">
        <f t="shared" si="1275"/>
        <v>TCGA-PAAD</v>
      </c>
      <c r="D17387" s="1" t="s">
        <v>493</v>
      </c>
      <c r="E17387" t="s">
        <v>567</v>
      </c>
      <c r="F17387" s="1">
        <v>2</v>
      </c>
      <c r="G17387" s="1" t="s">
        <v>28</v>
      </c>
      <c r="H17387" s="4" t="str">
        <f>HYPERLINK("https://portal.gdc.cancer.gov/cases/959e1f13-360e-4e12-add5-bf9a376990d2","TCGA-3A-A9IX-01A")</f>
        <v>TCGA-3A-A9IX-01A</v>
      </c>
      <c r="I17387" t="s">
        <v>111</v>
      </c>
      <c r="J17387" t="s">
        <v>563</v>
      </c>
      <c r="K17387" t="s">
        <v>33</v>
      </c>
      <c r="L17387" t="s">
        <v>113</v>
      </c>
      <c r="N17387" t="s">
        <v>29</v>
      </c>
    </row>
    <row r="17388" spans="1:14">
      <c r="A17388" s="4" t="str">
        <f t="shared" si="1277"/>
        <v>EXP00436</v>
      </c>
      <c r="B17388" s="3" t="s">
        <v>66</v>
      </c>
      <c r="C17388" s="4" t="str">
        <f t="shared" si="1275"/>
        <v>TCGA-PAAD</v>
      </c>
      <c r="D17388" s="1" t="s">
        <v>493</v>
      </c>
      <c r="E17388" t="s">
        <v>567</v>
      </c>
      <c r="F17388" s="1">
        <v>2</v>
      </c>
      <c r="G17388" s="1" t="s">
        <v>28</v>
      </c>
      <c r="H17388" s="4" t="str">
        <f>HYPERLINK("https://portal.gdc.cancer.gov/cases/517e0f20-56cc-470e-8c5f-543efa10cfb5","TCGA-3A-A9IZ-01A")</f>
        <v>TCGA-3A-A9IZ-01A</v>
      </c>
      <c r="I17388" t="s">
        <v>111</v>
      </c>
      <c r="J17388" t="s">
        <v>563</v>
      </c>
      <c r="K17388" t="s">
        <v>33</v>
      </c>
      <c r="L17388" t="s">
        <v>113</v>
      </c>
      <c r="N17388" t="s">
        <v>29</v>
      </c>
    </row>
    <row r="17389" spans="1:14">
      <c r="A17389" s="4" t="str">
        <f t="shared" si="1277"/>
        <v>EXP00436</v>
      </c>
      <c r="B17389" s="3" t="s">
        <v>66</v>
      </c>
      <c r="C17389" s="4" t="str">
        <f t="shared" si="1275"/>
        <v>TCGA-PAAD</v>
      </c>
      <c r="D17389" s="1" t="s">
        <v>493</v>
      </c>
      <c r="E17389" t="s">
        <v>567</v>
      </c>
      <c r="F17389" s="1">
        <v>2</v>
      </c>
      <c r="G17389" s="1" t="s">
        <v>28</v>
      </c>
      <c r="H17389" s="4" t="str">
        <f>HYPERLINK("https://portal.gdc.cancer.gov/cases/9d449aa3-b740-4d5a-9aea-880b6f84cff4","TCGA-3E-AAAZ-01A")</f>
        <v>TCGA-3E-AAAZ-01A</v>
      </c>
      <c r="I17389" t="s">
        <v>111</v>
      </c>
      <c r="J17389" t="s">
        <v>563</v>
      </c>
      <c r="K17389" t="s">
        <v>33</v>
      </c>
      <c r="L17389" t="s">
        <v>113</v>
      </c>
      <c r="N17389" t="s">
        <v>29</v>
      </c>
    </row>
    <row r="17390" spans="1:14">
      <c r="A17390" s="4" t="str">
        <f t="shared" si="1277"/>
        <v>EXP00436</v>
      </c>
      <c r="B17390" s="3" t="s">
        <v>66</v>
      </c>
      <c r="C17390" s="4" t="str">
        <f t="shared" si="1275"/>
        <v>TCGA-PAAD</v>
      </c>
      <c r="D17390" s="1" t="s">
        <v>493</v>
      </c>
      <c r="E17390" t="s">
        <v>567</v>
      </c>
      <c r="F17390" s="1">
        <v>2</v>
      </c>
      <c r="G17390" s="1" t="s">
        <v>28</v>
      </c>
      <c r="H17390" s="4" t="str">
        <f>HYPERLINK("https://portal.gdc.cancer.gov/cases/c60a4c63-607b-4d59-8625-bc5d20207647","TCGA-F2-6880-01A")</f>
        <v>TCGA-F2-6880-01A</v>
      </c>
      <c r="I17390" t="s">
        <v>111</v>
      </c>
      <c r="J17390" t="s">
        <v>563</v>
      </c>
      <c r="K17390" t="s">
        <v>33</v>
      </c>
      <c r="L17390" t="s">
        <v>113</v>
      </c>
      <c r="N17390" t="s">
        <v>29</v>
      </c>
    </row>
    <row r="17391" spans="1:14">
      <c r="A17391" s="4" t="str">
        <f t="shared" si="1277"/>
        <v>EXP00436</v>
      </c>
      <c r="B17391" s="3" t="s">
        <v>66</v>
      </c>
      <c r="C17391" s="4" t="str">
        <f t="shared" si="1275"/>
        <v>TCGA-PAAD</v>
      </c>
      <c r="D17391" s="1" t="s">
        <v>493</v>
      </c>
      <c r="E17391" t="s">
        <v>567</v>
      </c>
      <c r="F17391" s="1">
        <v>2</v>
      </c>
      <c r="G17391" s="1" t="s">
        <v>28</v>
      </c>
      <c r="H17391" s="4" t="str">
        <f>HYPERLINK("https://portal.gdc.cancer.gov/cases/e4babd46-005a-4af3-8041-131648d9c2c6","TCGA-F2-7276-01A")</f>
        <v>TCGA-F2-7276-01A</v>
      </c>
      <c r="I17391" t="s">
        <v>111</v>
      </c>
      <c r="J17391" t="s">
        <v>563</v>
      </c>
      <c r="K17391" t="s">
        <v>33</v>
      </c>
      <c r="L17391" t="s">
        <v>113</v>
      </c>
      <c r="N17391" t="s">
        <v>29</v>
      </c>
    </row>
    <row r="17392" spans="1:14">
      <c r="A17392" s="4" t="str">
        <f t="shared" si="1277"/>
        <v>EXP00436</v>
      </c>
      <c r="B17392" s="3" t="s">
        <v>66</v>
      </c>
      <c r="C17392" s="4" t="str">
        <f t="shared" si="1275"/>
        <v>TCGA-PAAD</v>
      </c>
      <c r="D17392" s="1" t="s">
        <v>493</v>
      </c>
      <c r="E17392" t="s">
        <v>567</v>
      </c>
      <c r="F17392" s="1">
        <v>2</v>
      </c>
      <c r="G17392" s="1" t="s">
        <v>28</v>
      </c>
      <c r="H17392" s="4" t="str">
        <f>HYPERLINK("https://portal.gdc.cancer.gov/cases/20094e3e-cee3-41dd-8553-1fc393117786","TCGA-F2-A44G-01A")</f>
        <v>TCGA-F2-A44G-01A</v>
      </c>
      <c r="I17392" t="s">
        <v>111</v>
      </c>
      <c r="J17392" t="s">
        <v>563</v>
      </c>
      <c r="K17392" t="s">
        <v>33</v>
      </c>
      <c r="L17392" t="s">
        <v>113</v>
      </c>
      <c r="N17392" t="s">
        <v>29</v>
      </c>
    </row>
    <row r="17393" spans="1:14">
      <c r="A17393" s="4" t="str">
        <f t="shared" si="1277"/>
        <v>EXP00436</v>
      </c>
      <c r="B17393" s="3" t="s">
        <v>66</v>
      </c>
      <c r="C17393" s="4" t="str">
        <f t="shared" si="1275"/>
        <v>TCGA-PAAD</v>
      </c>
      <c r="D17393" s="1" t="s">
        <v>493</v>
      </c>
      <c r="E17393" t="s">
        <v>567</v>
      </c>
      <c r="F17393" s="1">
        <v>2</v>
      </c>
      <c r="G17393" s="1" t="s">
        <v>28</v>
      </c>
      <c r="H17393" s="4" t="str">
        <f>HYPERLINK("https://portal.gdc.cancer.gov/cases/570f9947-1ce5-49c7-9619-49439df6c7a9","TCGA-F2-A44H-01A")</f>
        <v>TCGA-F2-A44H-01A</v>
      </c>
      <c r="I17393" t="s">
        <v>111</v>
      </c>
      <c r="J17393" t="s">
        <v>563</v>
      </c>
      <c r="K17393" t="s">
        <v>33</v>
      </c>
      <c r="L17393" t="s">
        <v>113</v>
      </c>
      <c r="N17393" t="s">
        <v>29</v>
      </c>
    </row>
    <row r="17394" spans="1:14">
      <c r="A17394" s="4" t="str">
        <f t="shared" si="1277"/>
        <v>EXP00436</v>
      </c>
      <c r="B17394" s="3" t="s">
        <v>66</v>
      </c>
      <c r="C17394" s="4" t="str">
        <f t="shared" si="1275"/>
        <v>TCGA-PAAD</v>
      </c>
      <c r="D17394" s="1" t="s">
        <v>493</v>
      </c>
      <c r="E17394" t="s">
        <v>567</v>
      </c>
      <c r="F17394" s="1">
        <v>2</v>
      </c>
      <c r="G17394" s="1" t="s">
        <v>28</v>
      </c>
      <c r="H17394" s="4" t="str">
        <f>HYPERLINK("https://portal.gdc.cancer.gov/cases/1f5494c4-e26c-4512-96d9-30412b5b32ce","TCGA-F2-A7TX-01A")</f>
        <v>TCGA-F2-A7TX-01A</v>
      </c>
      <c r="I17394" t="s">
        <v>111</v>
      </c>
      <c r="J17394" t="s">
        <v>563</v>
      </c>
      <c r="K17394" t="s">
        <v>33</v>
      </c>
      <c r="L17394" t="s">
        <v>113</v>
      </c>
      <c r="N17394" t="s">
        <v>29</v>
      </c>
    </row>
    <row r="17395" spans="1:14">
      <c r="A17395" s="4" t="str">
        <f t="shared" si="1277"/>
        <v>EXP00436</v>
      </c>
      <c r="B17395" s="3" t="s">
        <v>66</v>
      </c>
      <c r="C17395" s="4" t="str">
        <f t="shared" si="1275"/>
        <v>TCGA-PAAD</v>
      </c>
      <c r="D17395" s="1" t="s">
        <v>493</v>
      </c>
      <c r="E17395" t="s">
        <v>567</v>
      </c>
      <c r="F17395" s="1">
        <v>2</v>
      </c>
      <c r="G17395" s="1" t="s">
        <v>28</v>
      </c>
      <c r="H17395" s="4" t="str">
        <f>HYPERLINK("https://portal.gdc.cancer.gov/cases/5dbb4642-6636-4d67-9e73-25c7312aec44","TCGA-F2-A8YN-01A")</f>
        <v>TCGA-F2-A8YN-01A</v>
      </c>
      <c r="I17395" t="s">
        <v>111</v>
      </c>
      <c r="J17395" t="s">
        <v>563</v>
      </c>
      <c r="K17395" t="s">
        <v>33</v>
      </c>
      <c r="L17395" t="s">
        <v>113</v>
      </c>
      <c r="N17395" t="s">
        <v>29</v>
      </c>
    </row>
    <row r="17396" spans="1:14">
      <c r="A17396" s="4" t="str">
        <f t="shared" si="1277"/>
        <v>EXP00436</v>
      </c>
      <c r="B17396" s="3" t="s">
        <v>66</v>
      </c>
      <c r="C17396" s="4" t="str">
        <f t="shared" si="1275"/>
        <v>TCGA-PAAD</v>
      </c>
      <c r="D17396" s="1" t="s">
        <v>493</v>
      </c>
      <c r="E17396" t="s">
        <v>567</v>
      </c>
      <c r="F17396" s="1">
        <v>2</v>
      </c>
      <c r="G17396" s="1" t="s">
        <v>28</v>
      </c>
      <c r="H17396" s="4" t="str">
        <f>HYPERLINK("https://portal.gdc.cancer.gov/cases/b2e29f26-29af-4e2d-84dd-c513b4a07c70","TCGA-FB-A4P5-01A")</f>
        <v>TCGA-FB-A4P5-01A</v>
      </c>
      <c r="I17396" t="s">
        <v>111</v>
      </c>
      <c r="J17396" t="s">
        <v>563</v>
      </c>
      <c r="K17396" t="s">
        <v>33</v>
      </c>
      <c r="L17396" t="s">
        <v>113</v>
      </c>
      <c r="N17396" t="s">
        <v>29</v>
      </c>
    </row>
    <row r="17397" spans="1:14">
      <c r="A17397" s="4" t="str">
        <f t="shared" si="1277"/>
        <v>EXP00436</v>
      </c>
      <c r="B17397" s="3" t="s">
        <v>66</v>
      </c>
      <c r="C17397" s="4" t="str">
        <f t="shared" si="1275"/>
        <v>TCGA-PAAD</v>
      </c>
      <c r="D17397" s="1" t="s">
        <v>493</v>
      </c>
      <c r="E17397" t="s">
        <v>567</v>
      </c>
      <c r="F17397" s="1">
        <v>2</v>
      </c>
      <c r="G17397" s="1" t="s">
        <v>28</v>
      </c>
      <c r="H17397" s="4" t="str">
        <f>HYPERLINK("https://portal.gdc.cancer.gov/cases/9246c642-3231-4137-a24b-3efae151b655","TCGA-FB-A4P6-01A")</f>
        <v>TCGA-FB-A4P6-01A</v>
      </c>
      <c r="I17397" t="s">
        <v>111</v>
      </c>
      <c r="J17397" t="s">
        <v>563</v>
      </c>
      <c r="K17397" t="s">
        <v>33</v>
      </c>
      <c r="L17397" t="s">
        <v>113</v>
      </c>
      <c r="N17397" t="s">
        <v>29</v>
      </c>
    </row>
    <row r="17398" spans="1:14">
      <c r="A17398" s="4" t="str">
        <f t="shared" si="1277"/>
        <v>EXP00436</v>
      </c>
      <c r="B17398" s="3" t="s">
        <v>66</v>
      </c>
      <c r="C17398" s="4" t="str">
        <f t="shared" si="1275"/>
        <v>TCGA-PAAD</v>
      </c>
      <c r="D17398" s="1" t="s">
        <v>493</v>
      </c>
      <c r="E17398" t="s">
        <v>567</v>
      </c>
      <c r="F17398" s="1">
        <v>2</v>
      </c>
      <c r="G17398" s="1" t="s">
        <v>28</v>
      </c>
      <c r="H17398" s="4" t="str">
        <f>HYPERLINK("https://portal.gdc.cancer.gov/cases/b0cb81ad-3c20-4d56-ab7d-f64c0caee1ce","TCGA-FB-A545-01A")</f>
        <v>TCGA-FB-A545-01A</v>
      </c>
      <c r="I17398" t="s">
        <v>111</v>
      </c>
      <c r="J17398" t="s">
        <v>563</v>
      </c>
      <c r="K17398" t="s">
        <v>33</v>
      </c>
      <c r="L17398" t="s">
        <v>113</v>
      </c>
      <c r="N17398" t="s">
        <v>29</v>
      </c>
    </row>
    <row r="17399" spans="1:14">
      <c r="A17399" s="4" t="str">
        <f t="shared" si="1277"/>
        <v>EXP00436</v>
      </c>
      <c r="B17399" s="3" t="s">
        <v>66</v>
      </c>
      <c r="C17399" s="4" t="str">
        <f t="shared" si="1275"/>
        <v>TCGA-PAAD</v>
      </c>
      <c r="D17399" s="1" t="s">
        <v>493</v>
      </c>
      <c r="E17399" t="s">
        <v>567</v>
      </c>
      <c r="F17399" s="1">
        <v>2</v>
      </c>
      <c r="G17399" s="1" t="s">
        <v>28</v>
      </c>
      <c r="H17399" s="4" t="str">
        <f>HYPERLINK("https://portal.gdc.cancer.gov/cases/40d9b9f7-42b7-4cfd-af95-660777ad0529","TCGA-FB-A5VM-01A")</f>
        <v>TCGA-FB-A5VM-01A</v>
      </c>
      <c r="I17399" t="s">
        <v>111</v>
      </c>
      <c r="J17399" t="s">
        <v>563</v>
      </c>
      <c r="K17399" t="s">
        <v>33</v>
      </c>
      <c r="L17399" t="s">
        <v>113</v>
      </c>
      <c r="N17399" t="s">
        <v>29</v>
      </c>
    </row>
    <row r="17400" spans="1:14">
      <c r="A17400" s="4" t="str">
        <f t="shared" si="1277"/>
        <v>EXP00436</v>
      </c>
      <c r="B17400" s="3" t="s">
        <v>66</v>
      </c>
      <c r="C17400" s="4" t="str">
        <f t="shared" si="1275"/>
        <v>TCGA-PAAD</v>
      </c>
      <c r="D17400" s="1" t="s">
        <v>493</v>
      </c>
      <c r="E17400" t="s">
        <v>567</v>
      </c>
      <c r="F17400" s="1">
        <v>2</v>
      </c>
      <c r="G17400" s="1" t="s">
        <v>28</v>
      </c>
      <c r="H17400" s="4" t="str">
        <f>HYPERLINK("https://portal.gdc.cancer.gov/cases/2ad10199-1381-42b7-b54f-da34c1b1d3c0","TCGA-FB-A78T-01A")</f>
        <v>TCGA-FB-A78T-01A</v>
      </c>
      <c r="I17400" t="s">
        <v>111</v>
      </c>
      <c r="J17400" t="s">
        <v>563</v>
      </c>
      <c r="K17400" t="s">
        <v>33</v>
      </c>
      <c r="L17400" t="s">
        <v>113</v>
      </c>
      <c r="N17400" t="s">
        <v>29</v>
      </c>
    </row>
    <row r="17401" spans="1:14">
      <c r="A17401" s="4" t="str">
        <f t="shared" si="1277"/>
        <v>EXP00436</v>
      </c>
      <c r="B17401" s="3" t="s">
        <v>66</v>
      </c>
      <c r="C17401" s="4" t="str">
        <f t="shared" si="1275"/>
        <v>TCGA-PAAD</v>
      </c>
      <c r="D17401" s="1" t="s">
        <v>493</v>
      </c>
      <c r="E17401" t="s">
        <v>567</v>
      </c>
      <c r="F17401" s="1">
        <v>2</v>
      </c>
      <c r="G17401" s="1" t="s">
        <v>28</v>
      </c>
      <c r="H17401" s="4" t="str">
        <f>HYPERLINK("https://portal.gdc.cancer.gov/cases/d47e214d-efbc-436d-b928-303d1f5135c4","TCGA-FB-A7DR-01A")</f>
        <v>TCGA-FB-A7DR-01A</v>
      </c>
      <c r="I17401" t="s">
        <v>111</v>
      </c>
      <c r="J17401" t="s">
        <v>563</v>
      </c>
      <c r="K17401" t="s">
        <v>33</v>
      </c>
      <c r="L17401" t="s">
        <v>113</v>
      </c>
      <c r="N17401" t="s">
        <v>29</v>
      </c>
    </row>
    <row r="17402" spans="1:14">
      <c r="A17402" s="4" t="str">
        <f t="shared" si="1277"/>
        <v>EXP00436</v>
      </c>
      <c r="B17402" s="3" t="s">
        <v>66</v>
      </c>
      <c r="C17402" s="4" t="str">
        <f t="shared" si="1275"/>
        <v>TCGA-PAAD</v>
      </c>
      <c r="D17402" s="1" t="s">
        <v>493</v>
      </c>
      <c r="E17402" t="s">
        <v>567</v>
      </c>
      <c r="F17402" s="1">
        <v>2</v>
      </c>
      <c r="G17402" s="1" t="s">
        <v>28</v>
      </c>
      <c r="H17402" s="4" t="str">
        <f>HYPERLINK("https://portal.gdc.cancer.gov/cases/1422bc35-4597-4e76-aa75-8e79613e67d5","TCGA-FB-AAPP-01A")</f>
        <v>TCGA-FB-AAPP-01A</v>
      </c>
      <c r="I17402" t="s">
        <v>111</v>
      </c>
      <c r="J17402" t="s">
        <v>563</v>
      </c>
      <c r="K17402" t="s">
        <v>33</v>
      </c>
      <c r="L17402" t="s">
        <v>113</v>
      </c>
      <c r="N17402" t="s">
        <v>29</v>
      </c>
    </row>
    <row r="17403" spans="1:14">
      <c r="A17403" s="4" t="str">
        <f t="shared" si="1277"/>
        <v>EXP00436</v>
      </c>
      <c r="B17403" s="3" t="s">
        <v>66</v>
      </c>
      <c r="C17403" s="4" t="str">
        <f t="shared" si="1275"/>
        <v>TCGA-PAAD</v>
      </c>
      <c r="D17403" s="1" t="s">
        <v>493</v>
      </c>
      <c r="E17403" t="s">
        <v>567</v>
      </c>
      <c r="F17403" s="1">
        <v>2</v>
      </c>
      <c r="G17403" s="1" t="s">
        <v>28</v>
      </c>
      <c r="H17403" s="4" t="str">
        <f>HYPERLINK("https://portal.gdc.cancer.gov/cases/ecdd0e44-0add-4a08-a3f8-ab2f51df7afd","TCGA-FB-AAPQ-01A")</f>
        <v>TCGA-FB-AAPQ-01A</v>
      </c>
      <c r="I17403" t="s">
        <v>111</v>
      </c>
      <c r="J17403" t="s">
        <v>563</v>
      </c>
      <c r="K17403" t="s">
        <v>33</v>
      </c>
      <c r="L17403" t="s">
        <v>113</v>
      </c>
      <c r="N17403" t="s">
        <v>29</v>
      </c>
    </row>
    <row r="17404" spans="1:14">
      <c r="A17404" s="4" t="str">
        <f t="shared" si="1277"/>
        <v>EXP00436</v>
      </c>
      <c r="B17404" s="3" t="s">
        <v>66</v>
      </c>
      <c r="C17404" s="4" t="str">
        <f t="shared" si="1275"/>
        <v>TCGA-PAAD</v>
      </c>
      <c r="D17404" s="1" t="s">
        <v>493</v>
      </c>
      <c r="E17404" t="s">
        <v>567</v>
      </c>
      <c r="F17404" s="1">
        <v>2</v>
      </c>
      <c r="G17404" s="1" t="s">
        <v>28</v>
      </c>
      <c r="H17404" s="4" t="str">
        <f>HYPERLINK("https://portal.gdc.cancer.gov/cases/2048d0f9-ed9f-46df-bcd4-3dfd9137670f","TCGA-FB-AAPS-01A")</f>
        <v>TCGA-FB-AAPS-01A</v>
      </c>
      <c r="I17404" t="s">
        <v>111</v>
      </c>
      <c r="J17404" t="s">
        <v>563</v>
      </c>
      <c r="K17404" t="s">
        <v>33</v>
      </c>
      <c r="L17404" t="s">
        <v>113</v>
      </c>
      <c r="N17404" t="s">
        <v>29</v>
      </c>
    </row>
    <row r="17405" spans="1:14">
      <c r="A17405" s="4" t="str">
        <f t="shared" si="1277"/>
        <v>EXP00436</v>
      </c>
      <c r="B17405" s="3" t="s">
        <v>66</v>
      </c>
      <c r="C17405" s="4" t="str">
        <f t="shared" si="1275"/>
        <v>TCGA-PAAD</v>
      </c>
      <c r="D17405" s="1" t="s">
        <v>493</v>
      </c>
      <c r="E17405" t="s">
        <v>567</v>
      </c>
      <c r="F17405" s="1">
        <v>2</v>
      </c>
      <c r="G17405" s="1" t="s">
        <v>28</v>
      </c>
      <c r="H17405" s="4" t="str">
        <f>HYPERLINK("https://portal.gdc.cancer.gov/cases/712335e1-f1e9-44b9-957c-497ea5e8fa2f","TCGA-FB-AAPU-01A")</f>
        <v>TCGA-FB-AAPU-01A</v>
      </c>
      <c r="I17405" t="s">
        <v>111</v>
      </c>
      <c r="J17405" t="s">
        <v>563</v>
      </c>
      <c r="K17405" t="s">
        <v>33</v>
      </c>
      <c r="L17405" t="s">
        <v>113</v>
      </c>
      <c r="N17405" t="s">
        <v>29</v>
      </c>
    </row>
    <row r="17406" spans="1:14">
      <c r="A17406" s="4" t="str">
        <f t="shared" si="1277"/>
        <v>EXP00436</v>
      </c>
      <c r="B17406" s="3" t="s">
        <v>66</v>
      </c>
      <c r="C17406" s="4" t="str">
        <f t="shared" si="1275"/>
        <v>TCGA-PAAD</v>
      </c>
      <c r="D17406" s="1" t="s">
        <v>493</v>
      </c>
      <c r="E17406" t="s">
        <v>567</v>
      </c>
      <c r="F17406" s="1">
        <v>2</v>
      </c>
      <c r="G17406" s="1" t="s">
        <v>28</v>
      </c>
      <c r="H17406" s="4" t="str">
        <f>HYPERLINK("https://portal.gdc.cancer.gov/cases/953359da-e535-48e6-97dc-1b4ccad6a671","TCGA-FB-AAPY-01A")</f>
        <v>TCGA-FB-AAPY-01A</v>
      </c>
      <c r="I17406" t="s">
        <v>111</v>
      </c>
      <c r="J17406" t="s">
        <v>563</v>
      </c>
      <c r="K17406" t="s">
        <v>33</v>
      </c>
      <c r="L17406" t="s">
        <v>113</v>
      </c>
      <c r="N17406" t="s">
        <v>29</v>
      </c>
    </row>
    <row r="17407" spans="1:14">
      <c r="A17407" s="4" t="str">
        <f t="shared" si="1277"/>
        <v>EXP00436</v>
      </c>
      <c r="B17407" s="3" t="s">
        <v>66</v>
      </c>
      <c r="C17407" s="4" t="str">
        <f t="shared" si="1275"/>
        <v>TCGA-PAAD</v>
      </c>
      <c r="D17407" s="1" t="s">
        <v>493</v>
      </c>
      <c r="E17407" t="s">
        <v>567</v>
      </c>
      <c r="F17407" s="1">
        <v>2</v>
      </c>
      <c r="G17407" s="1" t="s">
        <v>28</v>
      </c>
      <c r="H17407" s="4" t="str">
        <f>HYPERLINK("https://portal.gdc.cancer.gov/cases/f2313562-c894-486d-a9b6-ed362e12a32a","TCGA-FB-AAPZ-01A")</f>
        <v>TCGA-FB-AAPZ-01A</v>
      </c>
      <c r="I17407" t="s">
        <v>111</v>
      </c>
      <c r="J17407" t="s">
        <v>563</v>
      </c>
      <c r="K17407" t="s">
        <v>33</v>
      </c>
      <c r="L17407" t="s">
        <v>113</v>
      </c>
      <c r="N17407" t="s">
        <v>29</v>
      </c>
    </row>
    <row r="17408" spans="1:14">
      <c r="A17408" s="4" t="str">
        <f t="shared" si="1277"/>
        <v>EXP00436</v>
      </c>
      <c r="B17408" s="3" t="s">
        <v>66</v>
      </c>
      <c r="C17408" s="4" t="str">
        <f t="shared" si="1275"/>
        <v>TCGA-PAAD</v>
      </c>
      <c r="D17408" s="1" t="s">
        <v>493</v>
      </c>
      <c r="E17408" t="s">
        <v>567</v>
      </c>
      <c r="F17408" s="1">
        <v>2</v>
      </c>
      <c r="G17408" s="1" t="s">
        <v>28</v>
      </c>
      <c r="H17408" s="4" t="str">
        <f>HYPERLINK("https://portal.gdc.cancer.gov/cases/81b6b844-d760-4146-9b01-1c4b2596eb77","TCGA-FB-AAQ0-01A")</f>
        <v>TCGA-FB-AAQ0-01A</v>
      </c>
      <c r="I17408" t="s">
        <v>111</v>
      </c>
      <c r="J17408" t="s">
        <v>563</v>
      </c>
      <c r="K17408" t="s">
        <v>33</v>
      </c>
      <c r="L17408" t="s">
        <v>113</v>
      </c>
      <c r="N17408" t="s">
        <v>29</v>
      </c>
    </row>
    <row r="17409" spans="1:14">
      <c r="A17409" s="4" t="str">
        <f t="shared" si="1277"/>
        <v>EXP00436</v>
      </c>
      <c r="B17409" s="3" t="s">
        <v>66</v>
      </c>
      <c r="C17409" s="4" t="str">
        <f t="shared" si="1275"/>
        <v>TCGA-PAAD</v>
      </c>
      <c r="D17409" s="1" t="s">
        <v>493</v>
      </c>
      <c r="E17409" t="s">
        <v>567</v>
      </c>
      <c r="F17409" s="1">
        <v>2</v>
      </c>
      <c r="G17409" s="1" t="s">
        <v>28</v>
      </c>
      <c r="H17409" s="4" t="str">
        <f>HYPERLINK("https://portal.gdc.cancer.gov/cases/ff8dac97-42ff-4f48-81c4-50315ad8de58","TCGA-FB-AAQ1-01A")</f>
        <v>TCGA-FB-AAQ1-01A</v>
      </c>
      <c r="I17409" t="s">
        <v>111</v>
      </c>
      <c r="J17409" t="s">
        <v>563</v>
      </c>
      <c r="K17409" t="s">
        <v>33</v>
      </c>
      <c r="L17409" t="s">
        <v>113</v>
      </c>
      <c r="N17409" t="s">
        <v>29</v>
      </c>
    </row>
    <row r="17410" spans="1:14">
      <c r="A17410" s="4" t="str">
        <f t="shared" si="1277"/>
        <v>EXP00436</v>
      </c>
      <c r="B17410" s="3" t="s">
        <v>66</v>
      </c>
      <c r="C17410" s="4" t="str">
        <f t="shared" si="1275"/>
        <v>TCGA-PAAD</v>
      </c>
      <c r="D17410" s="1" t="s">
        <v>493</v>
      </c>
      <c r="E17410" t="s">
        <v>567</v>
      </c>
      <c r="F17410" s="1">
        <v>2</v>
      </c>
      <c r="G17410" s="1" t="s">
        <v>28</v>
      </c>
      <c r="H17410" s="4" t="str">
        <f>HYPERLINK("https://portal.gdc.cancer.gov/cases/f5558dc7-5bef-426f-a6bf-b704fd5dbda0","TCGA-FB-AAQ2-01A")</f>
        <v>TCGA-FB-AAQ2-01A</v>
      </c>
      <c r="I17410" t="s">
        <v>111</v>
      </c>
      <c r="J17410" t="s">
        <v>563</v>
      </c>
      <c r="K17410" t="s">
        <v>33</v>
      </c>
      <c r="L17410" t="s">
        <v>113</v>
      </c>
      <c r="N17410" t="s">
        <v>29</v>
      </c>
    </row>
    <row r="17411" spans="1:14">
      <c r="A17411" s="4" t="str">
        <f t="shared" si="1277"/>
        <v>EXP00436</v>
      </c>
      <c r="B17411" s="3" t="s">
        <v>66</v>
      </c>
      <c r="C17411" s="4" t="str">
        <f t="shared" si="1275"/>
        <v>TCGA-PAAD</v>
      </c>
      <c r="D17411" s="1" t="s">
        <v>493</v>
      </c>
      <c r="E17411" t="s">
        <v>567</v>
      </c>
      <c r="F17411" s="1">
        <v>2</v>
      </c>
      <c r="G17411" s="1" t="s">
        <v>28</v>
      </c>
      <c r="H17411" s="4" t="str">
        <f>HYPERLINK("https://portal.gdc.cancer.gov/cases/5965cd7b-f384-4473-826a-8381e362d10e","TCGA-FB-AAQ3-01A")</f>
        <v>TCGA-FB-AAQ3-01A</v>
      </c>
      <c r="I17411" t="s">
        <v>111</v>
      </c>
      <c r="J17411" t="s">
        <v>563</v>
      </c>
      <c r="K17411" t="s">
        <v>33</v>
      </c>
      <c r="L17411" t="s">
        <v>113</v>
      </c>
      <c r="N17411" t="s">
        <v>29</v>
      </c>
    </row>
    <row r="17412" spans="1:14">
      <c r="A17412" s="4" t="str">
        <f t="shared" si="1277"/>
        <v>EXP00436</v>
      </c>
      <c r="B17412" s="3" t="s">
        <v>66</v>
      </c>
      <c r="C17412" s="4" t="str">
        <f t="shared" si="1275"/>
        <v>TCGA-PAAD</v>
      </c>
      <c r="D17412" s="1" t="s">
        <v>493</v>
      </c>
      <c r="E17412" t="s">
        <v>567</v>
      </c>
      <c r="F17412" s="1">
        <v>2</v>
      </c>
      <c r="G17412" s="1" t="s">
        <v>28</v>
      </c>
      <c r="H17412" s="4" t="str">
        <f>HYPERLINK("https://portal.gdc.cancer.gov/cases/8475c44d-e091-4c65-b1b4-9a77ae3c0e1d","TCGA-FB-AAQ6-01A")</f>
        <v>TCGA-FB-AAQ6-01A</v>
      </c>
      <c r="I17412" t="s">
        <v>111</v>
      </c>
      <c r="J17412" t="s">
        <v>563</v>
      </c>
      <c r="K17412" t="s">
        <v>33</v>
      </c>
      <c r="L17412" t="s">
        <v>113</v>
      </c>
      <c r="N17412" t="s">
        <v>29</v>
      </c>
    </row>
    <row r="17413" spans="1:14">
      <c r="A17413" s="4" t="str">
        <f t="shared" si="1277"/>
        <v>EXP00436</v>
      </c>
      <c r="B17413" s="3" t="s">
        <v>66</v>
      </c>
      <c r="C17413" s="4" t="str">
        <f t="shared" si="1275"/>
        <v>TCGA-PAAD</v>
      </c>
      <c r="D17413" s="1" t="s">
        <v>493</v>
      </c>
      <c r="E17413" t="s">
        <v>567</v>
      </c>
      <c r="F17413" s="1">
        <v>2</v>
      </c>
      <c r="G17413" s="1" t="s">
        <v>28</v>
      </c>
      <c r="H17413" s="4" t="str">
        <f>HYPERLINK("https://portal.gdc.cancer.gov/cases/7e4e5633-6f83-4b46-b6eb-64b3f2866ba3","TCGA-H6-8124-01A")</f>
        <v>TCGA-H6-8124-01A</v>
      </c>
      <c r="I17413" t="s">
        <v>111</v>
      </c>
      <c r="J17413" t="s">
        <v>563</v>
      </c>
      <c r="K17413" t="s">
        <v>33</v>
      </c>
      <c r="L17413" t="s">
        <v>113</v>
      </c>
      <c r="N17413" t="s">
        <v>29</v>
      </c>
    </row>
    <row r="17414" spans="1:14">
      <c r="A17414" s="4" t="str">
        <f t="shared" si="1277"/>
        <v>EXP00436</v>
      </c>
      <c r="B17414" s="3" t="s">
        <v>66</v>
      </c>
      <c r="C17414" s="4" t="str">
        <f t="shared" ref="C17414:C17477" si="1278">HYPERLINK("https://portal.gdc.cancer.gov/projects/TCGA-PAAD","TCGA-PAAD")</f>
        <v>TCGA-PAAD</v>
      </c>
      <c r="D17414" s="1" t="s">
        <v>493</v>
      </c>
      <c r="E17414" t="s">
        <v>567</v>
      </c>
      <c r="F17414" s="1">
        <v>2</v>
      </c>
      <c r="G17414" s="1" t="s">
        <v>28</v>
      </c>
      <c r="H17414" s="4" t="str">
        <f>HYPERLINK("https://portal.gdc.cancer.gov/cases/758b70f6-8064-4f43-aabe-e5f968fe2955","TCGA-H6-A45N-01A")</f>
        <v>TCGA-H6-A45N-01A</v>
      </c>
      <c r="I17414" t="s">
        <v>111</v>
      </c>
      <c r="J17414" t="s">
        <v>563</v>
      </c>
      <c r="K17414" t="s">
        <v>33</v>
      </c>
      <c r="L17414" t="s">
        <v>113</v>
      </c>
      <c r="N17414" t="s">
        <v>29</v>
      </c>
    </row>
    <row r="17415" spans="1:14">
      <c r="A17415" s="4" t="str">
        <f t="shared" si="1277"/>
        <v>EXP00436</v>
      </c>
      <c r="B17415" s="3" t="s">
        <v>66</v>
      </c>
      <c r="C17415" s="4" t="str">
        <f t="shared" si="1278"/>
        <v>TCGA-PAAD</v>
      </c>
      <c r="D17415" s="1" t="s">
        <v>493</v>
      </c>
      <c r="E17415" t="s">
        <v>567</v>
      </c>
      <c r="F17415" s="1">
        <v>2</v>
      </c>
      <c r="G17415" s="1" t="s">
        <v>28</v>
      </c>
      <c r="H17415" s="4" t="str">
        <f>HYPERLINK("https://portal.gdc.cancer.gov/cases/3e09fd70-6464-42f6-96a6-b51d7c298fc5","TCGA-H8-A6C1-01A")</f>
        <v>TCGA-H8-A6C1-01A</v>
      </c>
      <c r="I17415" t="s">
        <v>111</v>
      </c>
      <c r="J17415" t="s">
        <v>563</v>
      </c>
      <c r="K17415" t="s">
        <v>33</v>
      </c>
      <c r="L17415" t="s">
        <v>113</v>
      </c>
      <c r="N17415" t="s">
        <v>29</v>
      </c>
    </row>
    <row r="17416" spans="1:14">
      <c r="A17416" s="4" t="str">
        <f t="shared" si="1277"/>
        <v>EXP00436</v>
      </c>
      <c r="B17416" s="3" t="s">
        <v>66</v>
      </c>
      <c r="C17416" s="4" t="str">
        <f t="shared" si="1278"/>
        <v>TCGA-PAAD</v>
      </c>
      <c r="D17416" s="1" t="s">
        <v>493</v>
      </c>
      <c r="E17416" t="s">
        <v>567</v>
      </c>
      <c r="F17416" s="1">
        <v>2</v>
      </c>
      <c r="G17416" s="1" t="s">
        <v>28</v>
      </c>
      <c r="H17416" s="4" t="str">
        <f>HYPERLINK("https://portal.gdc.cancer.gov/cases/d4f66f06-9289-45c1-b9eb-aaef991a4bb6","TCGA-HV-A5A3-01A")</f>
        <v>TCGA-HV-A5A3-01A</v>
      </c>
      <c r="I17416" t="s">
        <v>111</v>
      </c>
      <c r="J17416" t="s">
        <v>563</v>
      </c>
      <c r="K17416" t="s">
        <v>33</v>
      </c>
      <c r="L17416" t="s">
        <v>113</v>
      </c>
      <c r="N17416" t="s">
        <v>29</v>
      </c>
    </row>
    <row r="17417" spans="1:14">
      <c r="A17417" s="4" t="str">
        <f t="shared" si="1277"/>
        <v>EXP00436</v>
      </c>
      <c r="B17417" s="3" t="s">
        <v>66</v>
      </c>
      <c r="C17417" s="4" t="str">
        <f t="shared" si="1278"/>
        <v>TCGA-PAAD</v>
      </c>
      <c r="D17417" s="1" t="s">
        <v>493</v>
      </c>
      <c r="E17417" t="s">
        <v>567</v>
      </c>
      <c r="F17417" s="1">
        <v>2</v>
      </c>
      <c r="G17417" s="1" t="s">
        <v>28</v>
      </c>
      <c r="H17417" s="4" t="str">
        <f>HYPERLINK("https://portal.gdc.cancer.gov/cases/3264459c-adeb-486e-ab8f-274574441593","TCGA-HV-A5A4-01A")</f>
        <v>TCGA-HV-A5A4-01A</v>
      </c>
      <c r="I17417" t="s">
        <v>111</v>
      </c>
      <c r="J17417" t="s">
        <v>563</v>
      </c>
      <c r="K17417" t="s">
        <v>33</v>
      </c>
      <c r="L17417" t="s">
        <v>113</v>
      </c>
      <c r="N17417" t="s">
        <v>29</v>
      </c>
    </row>
    <row r="17418" spans="1:14">
      <c r="A17418" s="4" t="str">
        <f t="shared" si="1277"/>
        <v>EXP00436</v>
      </c>
      <c r="B17418" s="3" t="s">
        <v>66</v>
      </c>
      <c r="C17418" s="4" t="str">
        <f t="shared" si="1278"/>
        <v>TCGA-PAAD</v>
      </c>
      <c r="D17418" s="1" t="s">
        <v>493</v>
      </c>
      <c r="E17418" t="s">
        <v>567</v>
      </c>
      <c r="F17418" s="1">
        <v>2</v>
      </c>
      <c r="G17418" s="1" t="s">
        <v>28</v>
      </c>
      <c r="H17418" s="4" t="str">
        <f>HYPERLINK("https://portal.gdc.cancer.gov/cases/1b31d2e9-5b05-4fff-88d6-3a95bf8f8d43","TCGA-HV-A5A5-01A")</f>
        <v>TCGA-HV-A5A5-01A</v>
      </c>
      <c r="I17418" t="s">
        <v>111</v>
      </c>
      <c r="J17418" t="s">
        <v>563</v>
      </c>
      <c r="K17418" t="s">
        <v>33</v>
      </c>
      <c r="L17418" t="s">
        <v>113</v>
      </c>
      <c r="N17418" t="s">
        <v>29</v>
      </c>
    </row>
    <row r="17419" spans="1:14">
      <c r="A17419" s="4" t="str">
        <f t="shared" ref="A17419:A17450" si="1279">HYPERLINK("http://hcmdb.i-sanger.com/experiment/details/experiment_id/EXP00436","EXP00436")</f>
        <v>EXP00436</v>
      </c>
      <c r="B17419" s="3" t="s">
        <v>66</v>
      </c>
      <c r="C17419" s="4" t="str">
        <f t="shared" si="1278"/>
        <v>TCGA-PAAD</v>
      </c>
      <c r="D17419" s="1" t="s">
        <v>493</v>
      </c>
      <c r="E17419" t="s">
        <v>567</v>
      </c>
      <c r="F17419" s="1">
        <v>2</v>
      </c>
      <c r="G17419" s="1" t="s">
        <v>28</v>
      </c>
      <c r="H17419" s="4" t="str">
        <f>HYPERLINK("https://portal.gdc.cancer.gov/cases/1521ac6d-31f7-4240-9d54-4f7600e78e16","TCGA-HZ-7289-01A")</f>
        <v>TCGA-HZ-7289-01A</v>
      </c>
      <c r="I17419" t="s">
        <v>111</v>
      </c>
      <c r="J17419" t="s">
        <v>563</v>
      </c>
      <c r="K17419" t="s">
        <v>33</v>
      </c>
      <c r="L17419" t="s">
        <v>113</v>
      </c>
      <c r="N17419" t="s">
        <v>29</v>
      </c>
    </row>
    <row r="17420" spans="1:14">
      <c r="A17420" s="4" t="str">
        <f t="shared" si="1279"/>
        <v>EXP00436</v>
      </c>
      <c r="B17420" s="3" t="s">
        <v>66</v>
      </c>
      <c r="C17420" s="4" t="str">
        <f t="shared" si="1278"/>
        <v>TCGA-PAAD</v>
      </c>
      <c r="D17420" s="1" t="s">
        <v>493</v>
      </c>
      <c r="E17420" t="s">
        <v>567</v>
      </c>
      <c r="F17420" s="1">
        <v>2</v>
      </c>
      <c r="G17420" s="1" t="s">
        <v>28</v>
      </c>
      <c r="H17420" s="4" t="str">
        <f>HYPERLINK("https://portal.gdc.cancer.gov/cases/620e0648-ec20-4a12-a6cb-5546fe829c77","TCGA-HZ-7918-01A")</f>
        <v>TCGA-HZ-7918-01A</v>
      </c>
      <c r="I17420" t="s">
        <v>111</v>
      </c>
      <c r="J17420" t="s">
        <v>563</v>
      </c>
      <c r="K17420" t="s">
        <v>33</v>
      </c>
      <c r="L17420" t="s">
        <v>113</v>
      </c>
      <c r="N17420" t="s">
        <v>29</v>
      </c>
    </row>
    <row r="17421" spans="1:14">
      <c r="A17421" s="4" t="str">
        <f t="shared" si="1279"/>
        <v>EXP00436</v>
      </c>
      <c r="B17421" s="3" t="s">
        <v>66</v>
      </c>
      <c r="C17421" s="4" t="str">
        <f t="shared" si="1278"/>
        <v>TCGA-PAAD</v>
      </c>
      <c r="D17421" s="1" t="s">
        <v>493</v>
      </c>
      <c r="E17421" t="s">
        <v>567</v>
      </c>
      <c r="F17421" s="1">
        <v>2</v>
      </c>
      <c r="G17421" s="1" t="s">
        <v>28</v>
      </c>
      <c r="H17421" s="4" t="str">
        <f>HYPERLINK("https://portal.gdc.cancer.gov/cases/2faea98a-edf7-4e92-bfb7-f91a36259872","TCGA-HZ-7919-01A")</f>
        <v>TCGA-HZ-7919-01A</v>
      </c>
      <c r="I17421" t="s">
        <v>111</v>
      </c>
      <c r="J17421" t="s">
        <v>563</v>
      </c>
      <c r="K17421" t="s">
        <v>33</v>
      </c>
      <c r="L17421" t="s">
        <v>113</v>
      </c>
      <c r="N17421" t="s">
        <v>29</v>
      </c>
    </row>
    <row r="17422" spans="1:14">
      <c r="A17422" s="4" t="str">
        <f t="shared" si="1279"/>
        <v>EXP00436</v>
      </c>
      <c r="B17422" s="3" t="s">
        <v>66</v>
      </c>
      <c r="C17422" s="4" t="str">
        <f t="shared" si="1278"/>
        <v>TCGA-PAAD</v>
      </c>
      <c r="D17422" s="1" t="s">
        <v>493</v>
      </c>
      <c r="E17422" t="s">
        <v>567</v>
      </c>
      <c r="F17422" s="1">
        <v>2</v>
      </c>
      <c r="G17422" s="1" t="s">
        <v>28</v>
      </c>
      <c r="H17422" s="4" t="str">
        <f>HYPERLINK("https://portal.gdc.cancer.gov/cases/1fe937f7-b4e5-4cf6-be9b-215a012533c6","TCGA-HZ-7920-01A")</f>
        <v>TCGA-HZ-7920-01A</v>
      </c>
      <c r="I17422" t="s">
        <v>111</v>
      </c>
      <c r="J17422" t="s">
        <v>563</v>
      </c>
      <c r="K17422" t="s">
        <v>33</v>
      </c>
      <c r="L17422" t="s">
        <v>113</v>
      </c>
      <c r="N17422" t="s">
        <v>29</v>
      </c>
    </row>
    <row r="17423" spans="1:14">
      <c r="A17423" s="4" t="str">
        <f t="shared" si="1279"/>
        <v>EXP00436</v>
      </c>
      <c r="B17423" s="3" t="s">
        <v>66</v>
      </c>
      <c r="C17423" s="4" t="str">
        <f t="shared" si="1278"/>
        <v>TCGA-PAAD</v>
      </c>
      <c r="D17423" s="1" t="s">
        <v>493</v>
      </c>
      <c r="E17423" t="s">
        <v>567</v>
      </c>
      <c r="F17423" s="1">
        <v>2</v>
      </c>
      <c r="G17423" s="1" t="s">
        <v>28</v>
      </c>
      <c r="H17423" s="4" t="str">
        <f>HYPERLINK("https://portal.gdc.cancer.gov/cases/6f777943-ffcb-46d9-872d-514559dee00d","TCGA-HZ-7922-01A")</f>
        <v>TCGA-HZ-7922-01A</v>
      </c>
      <c r="I17423" t="s">
        <v>111</v>
      </c>
      <c r="J17423" t="s">
        <v>563</v>
      </c>
      <c r="K17423" t="s">
        <v>33</v>
      </c>
      <c r="L17423" t="s">
        <v>113</v>
      </c>
      <c r="N17423" t="s">
        <v>29</v>
      </c>
    </row>
    <row r="17424" spans="1:14">
      <c r="A17424" s="4" t="str">
        <f t="shared" si="1279"/>
        <v>EXP00436</v>
      </c>
      <c r="B17424" s="3" t="s">
        <v>66</v>
      </c>
      <c r="C17424" s="4" t="str">
        <f t="shared" si="1278"/>
        <v>TCGA-PAAD</v>
      </c>
      <c r="D17424" s="1" t="s">
        <v>493</v>
      </c>
      <c r="E17424" t="s">
        <v>567</v>
      </c>
      <c r="F17424" s="1">
        <v>2</v>
      </c>
      <c r="G17424" s="1" t="s">
        <v>28</v>
      </c>
      <c r="H17424" s="4" t="str">
        <f>HYPERLINK("https://portal.gdc.cancer.gov/cases/565ee830-5236-4414-aeaa-48ea7eb3b753","TCGA-HZ-7923-01A")</f>
        <v>TCGA-HZ-7923-01A</v>
      </c>
      <c r="I17424" t="s">
        <v>111</v>
      </c>
      <c r="J17424" t="s">
        <v>563</v>
      </c>
      <c r="K17424" t="s">
        <v>33</v>
      </c>
      <c r="L17424" t="s">
        <v>113</v>
      </c>
      <c r="N17424" t="s">
        <v>29</v>
      </c>
    </row>
    <row r="17425" spans="1:14">
      <c r="A17425" s="4" t="str">
        <f t="shared" si="1279"/>
        <v>EXP00436</v>
      </c>
      <c r="B17425" s="3" t="s">
        <v>66</v>
      </c>
      <c r="C17425" s="4" t="str">
        <f t="shared" si="1278"/>
        <v>TCGA-PAAD</v>
      </c>
      <c r="D17425" s="1" t="s">
        <v>493</v>
      </c>
      <c r="E17425" t="s">
        <v>567</v>
      </c>
      <c r="F17425" s="1">
        <v>2</v>
      </c>
      <c r="G17425" s="1" t="s">
        <v>28</v>
      </c>
      <c r="H17425" s="4" t="str">
        <f>HYPERLINK("https://portal.gdc.cancer.gov/cases/ad220f0d-06b7-4dad-a87d-36dff31c8623","TCGA-HZ-7924-01A")</f>
        <v>TCGA-HZ-7924-01A</v>
      </c>
      <c r="I17425" t="s">
        <v>111</v>
      </c>
      <c r="J17425" t="s">
        <v>563</v>
      </c>
      <c r="K17425" t="s">
        <v>33</v>
      </c>
      <c r="L17425" t="s">
        <v>113</v>
      </c>
      <c r="N17425" t="s">
        <v>29</v>
      </c>
    </row>
    <row r="17426" spans="1:14">
      <c r="A17426" s="4" t="str">
        <f t="shared" si="1279"/>
        <v>EXP00436</v>
      </c>
      <c r="B17426" s="3" t="s">
        <v>66</v>
      </c>
      <c r="C17426" s="4" t="str">
        <f t="shared" si="1278"/>
        <v>TCGA-PAAD</v>
      </c>
      <c r="D17426" s="1" t="s">
        <v>493</v>
      </c>
      <c r="E17426" t="s">
        <v>567</v>
      </c>
      <c r="F17426" s="1">
        <v>2</v>
      </c>
      <c r="G17426" s="1" t="s">
        <v>28</v>
      </c>
      <c r="H17426" s="4" t="str">
        <f>HYPERLINK("https://portal.gdc.cancer.gov/cases/f91eb33d-76f0-418c-9962-11a5b31ca1dc","TCGA-HZ-7925-01A")</f>
        <v>TCGA-HZ-7925-01A</v>
      </c>
      <c r="I17426" t="s">
        <v>111</v>
      </c>
      <c r="J17426" t="s">
        <v>563</v>
      </c>
      <c r="K17426" t="s">
        <v>33</v>
      </c>
      <c r="L17426" t="s">
        <v>113</v>
      </c>
      <c r="N17426" t="s">
        <v>29</v>
      </c>
    </row>
    <row r="17427" spans="1:14">
      <c r="A17427" s="4" t="str">
        <f t="shared" si="1279"/>
        <v>EXP00436</v>
      </c>
      <c r="B17427" s="3" t="s">
        <v>66</v>
      </c>
      <c r="C17427" s="4" t="str">
        <f t="shared" si="1278"/>
        <v>TCGA-PAAD</v>
      </c>
      <c r="D17427" s="1" t="s">
        <v>493</v>
      </c>
      <c r="E17427" t="s">
        <v>567</v>
      </c>
      <c r="F17427" s="1">
        <v>2</v>
      </c>
      <c r="G17427" s="1" t="s">
        <v>28</v>
      </c>
      <c r="H17427" s="4" t="str">
        <f>HYPERLINK("https://portal.gdc.cancer.gov/cases/2be42cc2-9b97-4821-afc2-d1e42eb3932d","TCGA-HZ-7926-01A")</f>
        <v>TCGA-HZ-7926-01A</v>
      </c>
      <c r="I17427" t="s">
        <v>111</v>
      </c>
      <c r="J17427" t="s">
        <v>563</v>
      </c>
      <c r="K17427" t="s">
        <v>33</v>
      </c>
      <c r="L17427" t="s">
        <v>113</v>
      </c>
      <c r="N17427" t="s">
        <v>29</v>
      </c>
    </row>
    <row r="17428" spans="1:14">
      <c r="A17428" s="4" t="str">
        <f t="shared" si="1279"/>
        <v>EXP00436</v>
      </c>
      <c r="B17428" s="3" t="s">
        <v>66</v>
      </c>
      <c r="C17428" s="4" t="str">
        <f t="shared" si="1278"/>
        <v>TCGA-PAAD</v>
      </c>
      <c r="D17428" s="1" t="s">
        <v>493</v>
      </c>
      <c r="E17428" t="s">
        <v>567</v>
      </c>
      <c r="F17428" s="1">
        <v>2</v>
      </c>
      <c r="G17428" s="1" t="s">
        <v>28</v>
      </c>
      <c r="H17428" s="4" t="str">
        <f>HYPERLINK("https://portal.gdc.cancer.gov/cases/55cee1dd-15a0-4717-a281-63e08e2cfdf9","TCGA-HZ-8001-01A")</f>
        <v>TCGA-HZ-8001-01A</v>
      </c>
      <c r="I17428" t="s">
        <v>111</v>
      </c>
      <c r="J17428" t="s">
        <v>563</v>
      </c>
      <c r="K17428" t="s">
        <v>33</v>
      </c>
      <c r="L17428" t="s">
        <v>113</v>
      </c>
      <c r="N17428" t="s">
        <v>29</v>
      </c>
    </row>
    <row r="17429" spans="1:14">
      <c r="A17429" s="4" t="str">
        <f t="shared" si="1279"/>
        <v>EXP00436</v>
      </c>
      <c r="B17429" s="3" t="s">
        <v>66</v>
      </c>
      <c r="C17429" s="4" t="str">
        <f t="shared" si="1278"/>
        <v>TCGA-PAAD</v>
      </c>
      <c r="D17429" s="1" t="s">
        <v>493</v>
      </c>
      <c r="E17429" t="s">
        <v>567</v>
      </c>
      <c r="F17429" s="1">
        <v>2</v>
      </c>
      <c r="G17429" s="1" t="s">
        <v>28</v>
      </c>
      <c r="H17429" s="4" t="str">
        <f>HYPERLINK("https://portal.gdc.cancer.gov/cases/4b37b026-1d41-4bad-8996-7cb1f0e569af","TCGA-HZ-8002-01A")</f>
        <v>TCGA-HZ-8002-01A</v>
      </c>
      <c r="I17429" t="s">
        <v>111</v>
      </c>
      <c r="J17429" t="s">
        <v>563</v>
      </c>
      <c r="K17429" t="s">
        <v>33</v>
      </c>
      <c r="L17429" t="s">
        <v>113</v>
      </c>
      <c r="N17429" t="s">
        <v>29</v>
      </c>
    </row>
    <row r="17430" spans="1:14">
      <c r="A17430" s="4" t="str">
        <f t="shared" si="1279"/>
        <v>EXP00436</v>
      </c>
      <c r="B17430" s="3" t="s">
        <v>66</v>
      </c>
      <c r="C17430" s="4" t="str">
        <f t="shared" si="1278"/>
        <v>TCGA-PAAD</v>
      </c>
      <c r="D17430" s="1" t="s">
        <v>493</v>
      </c>
      <c r="E17430" t="s">
        <v>567</v>
      </c>
      <c r="F17430" s="1">
        <v>2</v>
      </c>
      <c r="G17430" s="1" t="s">
        <v>28</v>
      </c>
      <c r="H17430" s="4" t="str">
        <f>HYPERLINK("https://portal.gdc.cancer.gov/cases/68c0bc1b-3195-4ed6-8345-3ca53dfc54fc","TCGA-HZ-8003-01A")</f>
        <v>TCGA-HZ-8003-01A</v>
      </c>
      <c r="I17430" t="s">
        <v>111</v>
      </c>
      <c r="J17430" t="s">
        <v>563</v>
      </c>
      <c r="K17430" t="s">
        <v>33</v>
      </c>
      <c r="L17430" t="s">
        <v>113</v>
      </c>
      <c r="N17430" t="s">
        <v>29</v>
      </c>
    </row>
    <row r="17431" spans="1:14">
      <c r="A17431" s="4" t="str">
        <f t="shared" si="1279"/>
        <v>EXP00436</v>
      </c>
      <c r="B17431" s="3" t="s">
        <v>66</v>
      </c>
      <c r="C17431" s="4" t="str">
        <f t="shared" si="1278"/>
        <v>TCGA-PAAD</v>
      </c>
      <c r="D17431" s="1" t="s">
        <v>493</v>
      </c>
      <c r="E17431" t="s">
        <v>567</v>
      </c>
      <c r="F17431" s="1">
        <v>2</v>
      </c>
      <c r="G17431" s="1" t="s">
        <v>28</v>
      </c>
      <c r="H17431" s="4" t="str">
        <f>HYPERLINK("https://portal.gdc.cancer.gov/cases/21814c02-6aa5-4b98-8fd8-41ca0b04ccd2","TCGA-HZ-8005-01A")</f>
        <v>TCGA-HZ-8005-01A</v>
      </c>
      <c r="I17431" t="s">
        <v>111</v>
      </c>
      <c r="J17431" t="s">
        <v>563</v>
      </c>
      <c r="K17431" t="s">
        <v>33</v>
      </c>
      <c r="L17431" t="s">
        <v>113</v>
      </c>
      <c r="N17431" t="s">
        <v>29</v>
      </c>
    </row>
    <row r="17432" spans="1:14">
      <c r="A17432" s="4" t="str">
        <f t="shared" si="1279"/>
        <v>EXP00436</v>
      </c>
      <c r="B17432" s="3" t="s">
        <v>66</v>
      </c>
      <c r="C17432" s="4" t="str">
        <f t="shared" si="1278"/>
        <v>TCGA-PAAD</v>
      </c>
      <c r="D17432" s="1" t="s">
        <v>493</v>
      </c>
      <c r="E17432" t="s">
        <v>567</v>
      </c>
      <c r="F17432" s="1">
        <v>2</v>
      </c>
      <c r="G17432" s="1" t="s">
        <v>28</v>
      </c>
      <c r="H17432" s="4" t="str">
        <f>HYPERLINK("https://portal.gdc.cancer.gov/cases/02dbd5fa-e31f-4486-8df8-5b851f2e92bd","TCGA-HZ-8315-01A")</f>
        <v>TCGA-HZ-8315-01A</v>
      </c>
      <c r="I17432" t="s">
        <v>111</v>
      </c>
      <c r="J17432" t="s">
        <v>563</v>
      </c>
      <c r="K17432" t="s">
        <v>33</v>
      </c>
      <c r="L17432" t="s">
        <v>113</v>
      </c>
      <c r="N17432" t="s">
        <v>29</v>
      </c>
    </row>
    <row r="17433" spans="1:14">
      <c r="A17433" s="4" t="str">
        <f t="shared" si="1279"/>
        <v>EXP00436</v>
      </c>
      <c r="B17433" s="3" t="s">
        <v>66</v>
      </c>
      <c r="C17433" s="4" t="str">
        <f t="shared" si="1278"/>
        <v>TCGA-PAAD</v>
      </c>
      <c r="D17433" s="1" t="s">
        <v>493</v>
      </c>
      <c r="E17433" t="s">
        <v>567</v>
      </c>
      <c r="F17433" s="1">
        <v>2</v>
      </c>
      <c r="G17433" s="1" t="s">
        <v>28</v>
      </c>
      <c r="H17433" s="4" t="str">
        <f>HYPERLINK("https://portal.gdc.cancer.gov/cases/a2fd0991-cfbd-4162-8ca9-2ed096f54a14","TCGA-HZ-8317-01A")</f>
        <v>TCGA-HZ-8317-01A</v>
      </c>
      <c r="I17433" t="s">
        <v>111</v>
      </c>
      <c r="J17433" t="s">
        <v>563</v>
      </c>
      <c r="K17433" t="s">
        <v>33</v>
      </c>
      <c r="L17433" t="s">
        <v>113</v>
      </c>
      <c r="N17433" t="s">
        <v>29</v>
      </c>
    </row>
    <row r="17434" spans="1:14">
      <c r="A17434" s="4" t="str">
        <f t="shared" si="1279"/>
        <v>EXP00436</v>
      </c>
      <c r="B17434" s="3" t="s">
        <v>66</v>
      </c>
      <c r="C17434" s="4" t="str">
        <f t="shared" si="1278"/>
        <v>TCGA-PAAD</v>
      </c>
      <c r="D17434" s="1" t="s">
        <v>493</v>
      </c>
      <c r="E17434" t="s">
        <v>567</v>
      </c>
      <c r="F17434" s="1">
        <v>2</v>
      </c>
      <c r="G17434" s="1" t="s">
        <v>28</v>
      </c>
      <c r="H17434" s="4" t="str">
        <f>HYPERLINK("https://portal.gdc.cancer.gov/cases/70c2c861-01de-47bc-abfd-b7d14d68e1a1","TCGA-HZ-8519-01A")</f>
        <v>TCGA-HZ-8519-01A</v>
      </c>
      <c r="I17434" t="s">
        <v>111</v>
      </c>
      <c r="J17434" t="s">
        <v>563</v>
      </c>
      <c r="K17434" t="s">
        <v>33</v>
      </c>
      <c r="L17434" t="s">
        <v>113</v>
      </c>
      <c r="N17434" t="s">
        <v>29</v>
      </c>
    </row>
    <row r="17435" spans="1:14">
      <c r="A17435" s="4" t="str">
        <f t="shared" si="1279"/>
        <v>EXP00436</v>
      </c>
      <c r="B17435" s="3" t="s">
        <v>66</v>
      </c>
      <c r="C17435" s="4" t="str">
        <f t="shared" si="1278"/>
        <v>TCGA-PAAD</v>
      </c>
      <c r="D17435" s="1" t="s">
        <v>493</v>
      </c>
      <c r="E17435" t="s">
        <v>567</v>
      </c>
      <c r="F17435" s="1">
        <v>2</v>
      </c>
      <c r="G17435" s="1" t="s">
        <v>28</v>
      </c>
      <c r="H17435" s="4" t="str">
        <f>HYPERLINK("https://portal.gdc.cancer.gov/cases/02ef2e1a-5afe-4c00-a3ea-7f4a153f1da4","TCGA-HZ-8636-01A")</f>
        <v>TCGA-HZ-8636-01A</v>
      </c>
      <c r="I17435" t="s">
        <v>111</v>
      </c>
      <c r="J17435" t="s">
        <v>563</v>
      </c>
      <c r="K17435" t="s">
        <v>33</v>
      </c>
      <c r="L17435" t="s">
        <v>113</v>
      </c>
      <c r="N17435" t="s">
        <v>29</v>
      </c>
    </row>
    <row r="17436" spans="1:14">
      <c r="A17436" s="4" t="str">
        <f t="shared" si="1279"/>
        <v>EXP00436</v>
      </c>
      <c r="B17436" s="3" t="s">
        <v>66</v>
      </c>
      <c r="C17436" s="4" t="str">
        <f t="shared" si="1278"/>
        <v>TCGA-PAAD</v>
      </c>
      <c r="D17436" s="1" t="s">
        <v>493</v>
      </c>
      <c r="E17436" t="s">
        <v>567</v>
      </c>
      <c r="F17436" s="1">
        <v>2</v>
      </c>
      <c r="G17436" s="1" t="s">
        <v>28</v>
      </c>
      <c r="H17436" s="4" t="str">
        <f>HYPERLINK("https://portal.gdc.cancer.gov/cases/459028fd-0cd8-4e6d-a668-71fd60bd0a37","TCGA-HZ-8637-01A")</f>
        <v>TCGA-HZ-8637-01A</v>
      </c>
      <c r="I17436" t="s">
        <v>111</v>
      </c>
      <c r="J17436" t="s">
        <v>563</v>
      </c>
      <c r="K17436" t="s">
        <v>33</v>
      </c>
      <c r="L17436" t="s">
        <v>113</v>
      </c>
      <c r="N17436" t="s">
        <v>29</v>
      </c>
    </row>
    <row r="17437" spans="1:14">
      <c r="A17437" s="4" t="str">
        <f t="shared" si="1279"/>
        <v>EXP00436</v>
      </c>
      <c r="B17437" s="3" t="s">
        <v>66</v>
      </c>
      <c r="C17437" s="4" t="str">
        <f t="shared" si="1278"/>
        <v>TCGA-PAAD</v>
      </c>
      <c r="D17437" s="1" t="s">
        <v>493</v>
      </c>
      <c r="E17437" t="s">
        <v>567</v>
      </c>
      <c r="F17437" s="1">
        <v>2</v>
      </c>
      <c r="G17437" s="1" t="s">
        <v>28</v>
      </c>
      <c r="H17437" s="4" t="str">
        <f>HYPERLINK("https://portal.gdc.cancer.gov/cases/5f9a5aba-8db8-45cc-8784-c5058445bd6f","TCGA-HZ-8638-01A")</f>
        <v>TCGA-HZ-8638-01A</v>
      </c>
      <c r="I17437" t="s">
        <v>111</v>
      </c>
      <c r="J17437" t="s">
        <v>563</v>
      </c>
      <c r="K17437" t="s">
        <v>33</v>
      </c>
      <c r="L17437" t="s">
        <v>113</v>
      </c>
      <c r="N17437" t="s">
        <v>29</v>
      </c>
    </row>
    <row r="17438" spans="1:14">
      <c r="A17438" s="4" t="str">
        <f t="shared" si="1279"/>
        <v>EXP00436</v>
      </c>
      <c r="B17438" s="3" t="s">
        <v>66</v>
      </c>
      <c r="C17438" s="4" t="str">
        <f t="shared" si="1278"/>
        <v>TCGA-PAAD</v>
      </c>
      <c r="D17438" s="1" t="s">
        <v>493</v>
      </c>
      <c r="E17438" t="s">
        <v>567</v>
      </c>
      <c r="F17438" s="1">
        <v>2</v>
      </c>
      <c r="G17438" s="1" t="s">
        <v>28</v>
      </c>
      <c r="H17438" s="4" t="str">
        <f>HYPERLINK("https://portal.gdc.cancer.gov/cases/47cb93bc-8f6b-4b2a-804c-bb4fc78df9e1","TCGA-HZ-A49G-01A")</f>
        <v>TCGA-HZ-A49G-01A</v>
      </c>
      <c r="I17438" t="s">
        <v>111</v>
      </c>
      <c r="J17438" t="s">
        <v>563</v>
      </c>
      <c r="K17438" t="s">
        <v>33</v>
      </c>
      <c r="L17438" t="s">
        <v>113</v>
      </c>
      <c r="N17438" t="s">
        <v>29</v>
      </c>
    </row>
    <row r="17439" spans="1:14">
      <c r="A17439" s="4" t="str">
        <f t="shared" si="1279"/>
        <v>EXP00436</v>
      </c>
      <c r="B17439" s="3" t="s">
        <v>66</v>
      </c>
      <c r="C17439" s="4" t="str">
        <f t="shared" si="1278"/>
        <v>TCGA-PAAD</v>
      </c>
      <c r="D17439" s="1" t="s">
        <v>493</v>
      </c>
      <c r="E17439" t="s">
        <v>567</v>
      </c>
      <c r="F17439" s="1">
        <v>2</v>
      </c>
      <c r="G17439" s="1" t="s">
        <v>28</v>
      </c>
      <c r="H17439" s="4" t="str">
        <f>HYPERLINK("https://portal.gdc.cancer.gov/cases/17142718-742e-464a-8e0f-a6b9ac8fad75","TCGA-HZ-A49H-01A")</f>
        <v>TCGA-HZ-A49H-01A</v>
      </c>
      <c r="I17439" t="s">
        <v>111</v>
      </c>
      <c r="J17439" t="s">
        <v>563</v>
      </c>
      <c r="K17439" t="s">
        <v>33</v>
      </c>
      <c r="L17439" t="s">
        <v>113</v>
      </c>
      <c r="N17439" t="s">
        <v>29</v>
      </c>
    </row>
    <row r="17440" spans="1:14">
      <c r="A17440" s="4" t="str">
        <f t="shared" si="1279"/>
        <v>EXP00436</v>
      </c>
      <c r="B17440" s="3" t="s">
        <v>66</v>
      </c>
      <c r="C17440" s="4" t="str">
        <f t="shared" si="1278"/>
        <v>TCGA-PAAD</v>
      </c>
      <c r="D17440" s="1" t="s">
        <v>493</v>
      </c>
      <c r="E17440" t="s">
        <v>567</v>
      </c>
      <c r="F17440" s="1">
        <v>2</v>
      </c>
      <c r="G17440" s="1" t="s">
        <v>28</v>
      </c>
      <c r="H17440" s="4" t="str">
        <f>HYPERLINK("https://portal.gdc.cancer.gov/cases/27286a38-1035-4a22-9ebc-874df8c49026","TCGA-HZ-A49I-01A")</f>
        <v>TCGA-HZ-A49I-01A</v>
      </c>
      <c r="I17440" t="s">
        <v>111</v>
      </c>
      <c r="J17440" t="s">
        <v>563</v>
      </c>
      <c r="K17440" t="s">
        <v>33</v>
      </c>
      <c r="L17440" t="s">
        <v>113</v>
      </c>
      <c r="N17440" t="s">
        <v>29</v>
      </c>
    </row>
    <row r="17441" spans="1:14">
      <c r="A17441" s="4" t="str">
        <f t="shared" si="1279"/>
        <v>EXP00436</v>
      </c>
      <c r="B17441" s="3" t="s">
        <v>66</v>
      </c>
      <c r="C17441" s="4" t="str">
        <f t="shared" si="1278"/>
        <v>TCGA-PAAD</v>
      </c>
      <c r="D17441" s="1" t="s">
        <v>493</v>
      </c>
      <c r="E17441" t="s">
        <v>567</v>
      </c>
      <c r="F17441" s="1">
        <v>2</v>
      </c>
      <c r="G17441" s="1" t="s">
        <v>28</v>
      </c>
      <c r="H17441" s="4" t="str">
        <f>HYPERLINK("https://portal.gdc.cancer.gov/cases/2c636fb4-c341-4c55-b920-27bc2d40c815","TCGA-HZ-A4BH-01A")</f>
        <v>TCGA-HZ-A4BH-01A</v>
      </c>
      <c r="I17441" t="s">
        <v>111</v>
      </c>
      <c r="J17441" t="s">
        <v>563</v>
      </c>
      <c r="K17441" t="s">
        <v>33</v>
      </c>
      <c r="L17441" t="s">
        <v>113</v>
      </c>
      <c r="N17441" t="s">
        <v>29</v>
      </c>
    </row>
    <row r="17442" spans="1:14">
      <c r="A17442" s="4" t="str">
        <f t="shared" si="1279"/>
        <v>EXP00436</v>
      </c>
      <c r="B17442" s="3" t="s">
        <v>66</v>
      </c>
      <c r="C17442" s="4" t="str">
        <f t="shared" si="1278"/>
        <v>TCGA-PAAD</v>
      </c>
      <c r="D17442" s="1" t="s">
        <v>493</v>
      </c>
      <c r="E17442" t="s">
        <v>567</v>
      </c>
      <c r="F17442" s="1">
        <v>2</v>
      </c>
      <c r="G17442" s="1" t="s">
        <v>28</v>
      </c>
      <c r="H17442" s="4" t="str">
        <f>HYPERLINK("https://portal.gdc.cancer.gov/cases/514d12b0-6f60-406e-bde9-a090e918ebff","TCGA-HZ-A4BK-01A")</f>
        <v>TCGA-HZ-A4BK-01A</v>
      </c>
      <c r="I17442" t="s">
        <v>111</v>
      </c>
      <c r="J17442" t="s">
        <v>563</v>
      </c>
      <c r="K17442" t="s">
        <v>33</v>
      </c>
      <c r="L17442" t="s">
        <v>113</v>
      </c>
      <c r="N17442" t="s">
        <v>29</v>
      </c>
    </row>
    <row r="17443" spans="1:14">
      <c r="A17443" s="4" t="str">
        <f t="shared" si="1279"/>
        <v>EXP00436</v>
      </c>
      <c r="B17443" s="3" t="s">
        <v>66</v>
      </c>
      <c r="C17443" s="4" t="str">
        <f t="shared" si="1278"/>
        <v>TCGA-PAAD</v>
      </c>
      <c r="D17443" s="1" t="s">
        <v>493</v>
      </c>
      <c r="E17443" t="s">
        <v>567</v>
      </c>
      <c r="F17443" s="1">
        <v>2</v>
      </c>
      <c r="G17443" s="1" t="s">
        <v>28</v>
      </c>
      <c r="H17443" s="4" t="str">
        <f>HYPERLINK("https://portal.gdc.cancer.gov/cases/fe01a390-f45e-4352-a253-af8ef7ee9628","TCGA-HZ-A77O-01A")</f>
        <v>TCGA-HZ-A77O-01A</v>
      </c>
      <c r="I17443" t="s">
        <v>111</v>
      </c>
      <c r="J17443" t="s">
        <v>563</v>
      </c>
      <c r="K17443" t="s">
        <v>33</v>
      </c>
      <c r="L17443" t="s">
        <v>113</v>
      </c>
      <c r="N17443" t="s">
        <v>29</v>
      </c>
    </row>
    <row r="17444" spans="1:14">
      <c r="A17444" s="4" t="str">
        <f t="shared" si="1279"/>
        <v>EXP00436</v>
      </c>
      <c r="B17444" s="3" t="s">
        <v>66</v>
      </c>
      <c r="C17444" s="4" t="str">
        <f t="shared" si="1278"/>
        <v>TCGA-PAAD</v>
      </c>
      <c r="D17444" s="1" t="s">
        <v>493</v>
      </c>
      <c r="E17444" t="s">
        <v>567</v>
      </c>
      <c r="F17444" s="1">
        <v>2</v>
      </c>
      <c r="G17444" s="1" t="s">
        <v>28</v>
      </c>
      <c r="H17444" s="4" t="str">
        <f>HYPERLINK("https://portal.gdc.cancer.gov/cases/5971a597-1e16-4f6d-8d7b-0e69c6bdcead","TCGA-HZ-A77P-01A")</f>
        <v>TCGA-HZ-A77P-01A</v>
      </c>
      <c r="I17444" t="s">
        <v>111</v>
      </c>
      <c r="J17444" t="s">
        <v>563</v>
      </c>
      <c r="K17444" t="s">
        <v>33</v>
      </c>
      <c r="L17444" t="s">
        <v>113</v>
      </c>
      <c r="N17444" t="s">
        <v>29</v>
      </c>
    </row>
    <row r="17445" spans="1:14">
      <c r="A17445" s="4" t="str">
        <f t="shared" si="1279"/>
        <v>EXP00436</v>
      </c>
      <c r="B17445" s="3" t="s">
        <v>66</v>
      </c>
      <c r="C17445" s="4" t="str">
        <f t="shared" si="1278"/>
        <v>TCGA-PAAD</v>
      </c>
      <c r="D17445" s="1" t="s">
        <v>493</v>
      </c>
      <c r="E17445" t="s">
        <v>567</v>
      </c>
      <c r="F17445" s="1">
        <v>2</v>
      </c>
      <c r="G17445" s="1" t="s">
        <v>28</v>
      </c>
      <c r="H17445" s="4" t="str">
        <f>HYPERLINK("https://portal.gdc.cancer.gov/cases/ce9e0431-19a1-4ea9-85b0-44a9e9792e03","TCGA-HZ-A77Q-01A")</f>
        <v>TCGA-HZ-A77Q-01A</v>
      </c>
      <c r="I17445" t="s">
        <v>111</v>
      </c>
      <c r="J17445" t="s">
        <v>563</v>
      </c>
      <c r="K17445" t="s">
        <v>33</v>
      </c>
      <c r="L17445" t="s">
        <v>113</v>
      </c>
      <c r="N17445" t="s">
        <v>29</v>
      </c>
    </row>
    <row r="17446" spans="1:14">
      <c r="A17446" s="4" t="str">
        <f t="shared" si="1279"/>
        <v>EXP00436</v>
      </c>
      <c r="B17446" s="3" t="s">
        <v>66</v>
      </c>
      <c r="C17446" s="4" t="str">
        <f t="shared" si="1278"/>
        <v>TCGA-PAAD</v>
      </c>
      <c r="D17446" s="1" t="s">
        <v>493</v>
      </c>
      <c r="E17446" t="s">
        <v>567</v>
      </c>
      <c r="F17446" s="1">
        <v>2</v>
      </c>
      <c r="G17446" s="1" t="s">
        <v>28</v>
      </c>
      <c r="H17446" s="4" t="str">
        <f>HYPERLINK("https://portal.gdc.cancer.gov/cases/98f1d0eb-0977-4f53-a3b1-e6875a34c27b","TCGA-HZ-A8P0-01A")</f>
        <v>TCGA-HZ-A8P0-01A</v>
      </c>
      <c r="I17446" t="s">
        <v>111</v>
      </c>
      <c r="J17446" t="s">
        <v>563</v>
      </c>
      <c r="K17446" t="s">
        <v>33</v>
      </c>
      <c r="L17446" t="s">
        <v>113</v>
      </c>
      <c r="N17446" t="s">
        <v>29</v>
      </c>
    </row>
    <row r="17447" spans="1:14">
      <c r="A17447" s="4" t="str">
        <f t="shared" si="1279"/>
        <v>EXP00436</v>
      </c>
      <c r="B17447" s="3" t="s">
        <v>66</v>
      </c>
      <c r="C17447" s="4" t="str">
        <f t="shared" si="1278"/>
        <v>TCGA-PAAD</v>
      </c>
      <c r="D17447" s="1" t="s">
        <v>493</v>
      </c>
      <c r="E17447" t="s">
        <v>567</v>
      </c>
      <c r="F17447" s="1">
        <v>2</v>
      </c>
      <c r="G17447" s="1" t="s">
        <v>28</v>
      </c>
      <c r="H17447" s="4" t="str">
        <f>HYPERLINK("https://portal.gdc.cancer.gov/cases/b8e0f4fb-c916-43b8-afd2-8077a7e3aebc","TCGA-HZ-A8P1-01A")</f>
        <v>TCGA-HZ-A8P1-01A</v>
      </c>
      <c r="I17447" t="s">
        <v>111</v>
      </c>
      <c r="J17447" t="s">
        <v>563</v>
      </c>
      <c r="K17447" t="s">
        <v>33</v>
      </c>
      <c r="L17447" t="s">
        <v>113</v>
      </c>
      <c r="N17447" t="s">
        <v>29</v>
      </c>
    </row>
    <row r="17448" spans="1:14">
      <c r="A17448" s="4" t="str">
        <f t="shared" si="1279"/>
        <v>EXP00436</v>
      </c>
      <c r="B17448" s="3" t="s">
        <v>66</v>
      </c>
      <c r="C17448" s="4" t="str">
        <f t="shared" si="1278"/>
        <v>TCGA-PAAD</v>
      </c>
      <c r="D17448" s="1" t="s">
        <v>493</v>
      </c>
      <c r="E17448" t="s">
        <v>567</v>
      </c>
      <c r="F17448" s="1">
        <v>2</v>
      </c>
      <c r="G17448" s="1" t="s">
        <v>28</v>
      </c>
      <c r="H17448" s="4" t="str">
        <f>HYPERLINK("https://portal.gdc.cancer.gov/cases/d1e0f479-77dd-42cd-89cb-c1eeac60c10a","TCGA-IB-7646-01A")</f>
        <v>TCGA-IB-7646-01A</v>
      </c>
      <c r="I17448" t="s">
        <v>111</v>
      </c>
      <c r="J17448" t="s">
        <v>563</v>
      </c>
      <c r="K17448" t="s">
        <v>33</v>
      </c>
      <c r="L17448" t="s">
        <v>113</v>
      </c>
      <c r="N17448" t="s">
        <v>29</v>
      </c>
    </row>
    <row r="17449" spans="1:14">
      <c r="A17449" s="4" t="str">
        <f t="shared" si="1279"/>
        <v>EXP00436</v>
      </c>
      <c r="B17449" s="3" t="s">
        <v>66</v>
      </c>
      <c r="C17449" s="4" t="str">
        <f t="shared" si="1278"/>
        <v>TCGA-PAAD</v>
      </c>
      <c r="D17449" s="1" t="s">
        <v>493</v>
      </c>
      <c r="E17449" t="s">
        <v>567</v>
      </c>
      <c r="F17449" s="1">
        <v>2</v>
      </c>
      <c r="G17449" s="1" t="s">
        <v>28</v>
      </c>
      <c r="H17449" s="4" t="str">
        <f>HYPERLINK("https://portal.gdc.cancer.gov/cases/3559f697-8fec-4f36-962c-632272fe9c9c","TCGA-IB-7651-01A")</f>
        <v>TCGA-IB-7651-01A</v>
      </c>
      <c r="I17449" t="s">
        <v>111</v>
      </c>
      <c r="J17449" t="s">
        <v>563</v>
      </c>
      <c r="K17449" t="s">
        <v>33</v>
      </c>
      <c r="L17449" t="s">
        <v>113</v>
      </c>
      <c r="N17449" t="s">
        <v>29</v>
      </c>
    </row>
    <row r="17450" spans="1:14">
      <c r="A17450" s="4" t="str">
        <f t="shared" si="1279"/>
        <v>EXP00436</v>
      </c>
      <c r="B17450" s="3" t="s">
        <v>66</v>
      </c>
      <c r="C17450" s="4" t="str">
        <f t="shared" si="1278"/>
        <v>TCGA-PAAD</v>
      </c>
      <c r="D17450" s="1" t="s">
        <v>493</v>
      </c>
      <c r="E17450" t="s">
        <v>567</v>
      </c>
      <c r="F17450" s="1">
        <v>2</v>
      </c>
      <c r="G17450" s="1" t="s">
        <v>28</v>
      </c>
      <c r="H17450" s="4" t="str">
        <f>HYPERLINK("https://portal.gdc.cancer.gov/cases/178e68c0-4cb8-4042-a942-5a159ec1e12b","TCGA-IB-7652-01A")</f>
        <v>TCGA-IB-7652-01A</v>
      </c>
      <c r="I17450" t="s">
        <v>111</v>
      </c>
      <c r="J17450" t="s">
        <v>563</v>
      </c>
      <c r="K17450" t="s">
        <v>33</v>
      </c>
      <c r="L17450" t="s">
        <v>113</v>
      </c>
      <c r="N17450" t="s">
        <v>29</v>
      </c>
    </row>
    <row r="17451" spans="1:14">
      <c r="A17451" s="4" t="str">
        <f t="shared" ref="A17451:A17482" si="1280">HYPERLINK("http://hcmdb.i-sanger.com/experiment/details/experiment_id/EXP00436","EXP00436")</f>
        <v>EXP00436</v>
      </c>
      <c r="B17451" s="3" t="s">
        <v>66</v>
      </c>
      <c r="C17451" s="4" t="str">
        <f t="shared" si="1278"/>
        <v>TCGA-PAAD</v>
      </c>
      <c r="D17451" s="1" t="s">
        <v>493</v>
      </c>
      <c r="E17451" t="s">
        <v>567</v>
      </c>
      <c r="F17451" s="1">
        <v>2</v>
      </c>
      <c r="G17451" s="1" t="s">
        <v>28</v>
      </c>
      <c r="H17451" s="4" t="str">
        <f>HYPERLINK("https://portal.gdc.cancer.gov/cases/65e5bf5f-f22a-4ec2-8839-aeda37212b98","TCGA-IB-7654-01A")</f>
        <v>TCGA-IB-7654-01A</v>
      </c>
      <c r="I17451" t="s">
        <v>111</v>
      </c>
      <c r="J17451" t="s">
        <v>563</v>
      </c>
      <c r="K17451" t="s">
        <v>33</v>
      </c>
      <c r="L17451" t="s">
        <v>113</v>
      </c>
      <c r="N17451" t="s">
        <v>29</v>
      </c>
    </row>
    <row r="17452" spans="1:14">
      <c r="A17452" s="4" t="str">
        <f t="shared" si="1280"/>
        <v>EXP00436</v>
      </c>
      <c r="B17452" s="3" t="s">
        <v>66</v>
      </c>
      <c r="C17452" s="4" t="str">
        <f t="shared" si="1278"/>
        <v>TCGA-PAAD</v>
      </c>
      <c r="D17452" s="1" t="s">
        <v>493</v>
      </c>
      <c r="E17452" t="s">
        <v>567</v>
      </c>
      <c r="F17452" s="1">
        <v>2</v>
      </c>
      <c r="G17452" s="1" t="s">
        <v>28</v>
      </c>
      <c r="H17452" s="4" t="str">
        <f>HYPERLINK("https://portal.gdc.cancer.gov/cases/77e49007-3e44-4157-beae-8f7e94234c78","TCGA-IB-7885-01A")</f>
        <v>TCGA-IB-7885-01A</v>
      </c>
      <c r="I17452" t="s">
        <v>111</v>
      </c>
      <c r="J17452" t="s">
        <v>563</v>
      </c>
      <c r="K17452" t="s">
        <v>33</v>
      </c>
      <c r="L17452" t="s">
        <v>113</v>
      </c>
      <c r="N17452" t="s">
        <v>29</v>
      </c>
    </row>
    <row r="17453" spans="1:14">
      <c r="A17453" s="4" t="str">
        <f t="shared" si="1280"/>
        <v>EXP00436</v>
      </c>
      <c r="B17453" s="3" t="s">
        <v>66</v>
      </c>
      <c r="C17453" s="4" t="str">
        <f t="shared" si="1278"/>
        <v>TCGA-PAAD</v>
      </c>
      <c r="D17453" s="1" t="s">
        <v>493</v>
      </c>
      <c r="E17453" t="s">
        <v>567</v>
      </c>
      <c r="F17453" s="1">
        <v>2</v>
      </c>
      <c r="G17453" s="1" t="s">
        <v>28</v>
      </c>
      <c r="H17453" s="4" t="str">
        <f>HYPERLINK("https://portal.gdc.cancer.gov/cases/f73dfd7f-e054-46ff-9485-e8d05afe2da6","TCGA-IB-7886-01A")</f>
        <v>TCGA-IB-7886-01A</v>
      </c>
      <c r="I17453" t="s">
        <v>111</v>
      </c>
      <c r="J17453" t="s">
        <v>563</v>
      </c>
      <c r="K17453" t="s">
        <v>33</v>
      </c>
      <c r="L17453" t="s">
        <v>113</v>
      </c>
      <c r="N17453" t="s">
        <v>29</v>
      </c>
    </row>
    <row r="17454" spans="1:14">
      <c r="A17454" s="4" t="str">
        <f t="shared" si="1280"/>
        <v>EXP00436</v>
      </c>
      <c r="B17454" s="3" t="s">
        <v>66</v>
      </c>
      <c r="C17454" s="4" t="str">
        <f t="shared" si="1278"/>
        <v>TCGA-PAAD</v>
      </c>
      <c r="D17454" s="1" t="s">
        <v>493</v>
      </c>
      <c r="E17454" t="s">
        <v>567</v>
      </c>
      <c r="F17454" s="1">
        <v>2</v>
      </c>
      <c r="G17454" s="1" t="s">
        <v>28</v>
      </c>
      <c r="H17454" s="4" t="str">
        <f>HYPERLINK("https://portal.gdc.cancer.gov/cases/fe699c36-82ef-45dd-b636-8c18a9ef6c76","TCGA-IB-7887-01A")</f>
        <v>TCGA-IB-7887-01A</v>
      </c>
      <c r="I17454" t="s">
        <v>111</v>
      </c>
      <c r="J17454" t="s">
        <v>563</v>
      </c>
      <c r="K17454" t="s">
        <v>33</v>
      </c>
      <c r="L17454" t="s">
        <v>113</v>
      </c>
      <c r="N17454" t="s">
        <v>29</v>
      </c>
    </row>
    <row r="17455" spans="1:14">
      <c r="A17455" s="4" t="str">
        <f t="shared" si="1280"/>
        <v>EXP00436</v>
      </c>
      <c r="B17455" s="3" t="s">
        <v>66</v>
      </c>
      <c r="C17455" s="4" t="str">
        <f t="shared" si="1278"/>
        <v>TCGA-PAAD</v>
      </c>
      <c r="D17455" s="1" t="s">
        <v>493</v>
      </c>
      <c r="E17455" t="s">
        <v>567</v>
      </c>
      <c r="F17455" s="1">
        <v>2</v>
      </c>
      <c r="G17455" s="1" t="s">
        <v>28</v>
      </c>
      <c r="H17455" s="4" t="str">
        <f>HYPERLINK("https://portal.gdc.cancer.gov/cases/31e66b80-c684-4ee8-82ae-36d00f36bc88","TCGA-IB-7889-01A")</f>
        <v>TCGA-IB-7889-01A</v>
      </c>
      <c r="I17455" t="s">
        <v>111</v>
      </c>
      <c r="J17455" t="s">
        <v>563</v>
      </c>
      <c r="K17455" t="s">
        <v>33</v>
      </c>
      <c r="L17455" t="s">
        <v>113</v>
      </c>
      <c r="N17455" t="s">
        <v>29</v>
      </c>
    </row>
    <row r="17456" spans="1:14">
      <c r="A17456" s="4" t="str">
        <f t="shared" si="1280"/>
        <v>EXP00436</v>
      </c>
      <c r="B17456" s="3" t="s">
        <v>66</v>
      </c>
      <c r="C17456" s="4" t="str">
        <f t="shared" si="1278"/>
        <v>TCGA-PAAD</v>
      </c>
      <c r="D17456" s="1" t="s">
        <v>493</v>
      </c>
      <c r="E17456" t="s">
        <v>567</v>
      </c>
      <c r="F17456" s="1">
        <v>2</v>
      </c>
      <c r="G17456" s="1" t="s">
        <v>28</v>
      </c>
      <c r="H17456" s="4" t="str">
        <f>HYPERLINK("https://portal.gdc.cancer.gov/cases/ca2da39a-263c-4238-9826-de7d52e63d0f","TCGA-IB-7891-01A")</f>
        <v>TCGA-IB-7891-01A</v>
      </c>
      <c r="I17456" t="s">
        <v>111</v>
      </c>
      <c r="J17456" t="s">
        <v>563</v>
      </c>
      <c r="K17456" t="s">
        <v>33</v>
      </c>
      <c r="L17456" t="s">
        <v>113</v>
      </c>
      <c r="N17456" t="s">
        <v>29</v>
      </c>
    </row>
    <row r="17457" spans="1:14">
      <c r="A17457" s="4" t="str">
        <f t="shared" si="1280"/>
        <v>EXP00436</v>
      </c>
      <c r="B17457" s="3" t="s">
        <v>66</v>
      </c>
      <c r="C17457" s="4" t="str">
        <f t="shared" si="1278"/>
        <v>TCGA-PAAD</v>
      </c>
      <c r="D17457" s="1" t="s">
        <v>493</v>
      </c>
      <c r="E17457" t="s">
        <v>567</v>
      </c>
      <c r="F17457" s="1">
        <v>2</v>
      </c>
      <c r="G17457" s="1" t="s">
        <v>28</v>
      </c>
      <c r="H17457" s="4" t="str">
        <f>HYPERLINK("https://portal.gdc.cancer.gov/cases/01775b06-5836-469c-8537-120cb8cc94e9","TCGA-IB-7897-01A")</f>
        <v>TCGA-IB-7897-01A</v>
      </c>
      <c r="I17457" t="s">
        <v>111</v>
      </c>
      <c r="J17457" t="s">
        <v>563</v>
      </c>
      <c r="K17457" t="s">
        <v>33</v>
      </c>
      <c r="L17457" t="s">
        <v>113</v>
      </c>
      <c r="N17457" t="s">
        <v>29</v>
      </c>
    </row>
    <row r="17458" spans="1:14">
      <c r="A17458" s="4" t="str">
        <f t="shared" si="1280"/>
        <v>EXP00436</v>
      </c>
      <c r="B17458" s="3" t="s">
        <v>66</v>
      </c>
      <c r="C17458" s="4" t="str">
        <f t="shared" si="1278"/>
        <v>TCGA-PAAD</v>
      </c>
      <c r="D17458" s="1" t="s">
        <v>493</v>
      </c>
      <c r="E17458" t="s">
        <v>567</v>
      </c>
      <c r="F17458" s="1">
        <v>2</v>
      </c>
      <c r="G17458" s="1" t="s">
        <v>28</v>
      </c>
      <c r="H17458" s="4" t="str">
        <f>HYPERLINK("https://portal.gdc.cancer.gov/cases/4387a2c2-8007-4735-a48c-34a2b476018e","TCGA-IB-8126-01A")</f>
        <v>TCGA-IB-8126-01A</v>
      </c>
      <c r="I17458" t="s">
        <v>111</v>
      </c>
      <c r="J17458" t="s">
        <v>563</v>
      </c>
      <c r="K17458" t="s">
        <v>33</v>
      </c>
      <c r="L17458" t="s">
        <v>113</v>
      </c>
      <c r="N17458" t="s">
        <v>29</v>
      </c>
    </row>
    <row r="17459" spans="1:14">
      <c r="A17459" s="4" t="str">
        <f t="shared" si="1280"/>
        <v>EXP00436</v>
      </c>
      <c r="B17459" s="3" t="s">
        <v>66</v>
      </c>
      <c r="C17459" s="4" t="str">
        <f t="shared" si="1278"/>
        <v>TCGA-PAAD</v>
      </c>
      <c r="D17459" s="1" t="s">
        <v>493</v>
      </c>
      <c r="E17459" t="s">
        <v>567</v>
      </c>
      <c r="F17459" s="1">
        <v>2</v>
      </c>
      <c r="G17459" s="1" t="s">
        <v>28</v>
      </c>
      <c r="H17459" s="4" t="str">
        <f>HYPERLINK("https://portal.gdc.cancer.gov/cases/0b4443a0-087d-47e7-9e67-795eac6750c3","TCGA-IB-8127-01A")</f>
        <v>TCGA-IB-8127-01A</v>
      </c>
      <c r="I17459" t="s">
        <v>111</v>
      </c>
      <c r="J17459" t="s">
        <v>563</v>
      </c>
      <c r="K17459" t="s">
        <v>33</v>
      </c>
      <c r="L17459" t="s">
        <v>113</v>
      </c>
      <c r="N17459" t="s">
        <v>29</v>
      </c>
    </row>
    <row r="17460" spans="1:14">
      <c r="A17460" s="4" t="str">
        <f t="shared" si="1280"/>
        <v>EXP00436</v>
      </c>
      <c r="B17460" s="3" t="s">
        <v>66</v>
      </c>
      <c r="C17460" s="4" t="str">
        <f t="shared" si="1278"/>
        <v>TCGA-PAAD</v>
      </c>
      <c r="D17460" s="1" t="s">
        <v>493</v>
      </c>
      <c r="E17460" t="s">
        <v>567</v>
      </c>
      <c r="F17460" s="1">
        <v>2</v>
      </c>
      <c r="G17460" s="1" t="s">
        <v>28</v>
      </c>
      <c r="H17460" s="4" t="str">
        <f>HYPERLINK("https://portal.gdc.cancer.gov/cases/c6388925-c0a1-4610-a6b9-d9d9500d88c6","TCGA-IB-A5SO-01A")</f>
        <v>TCGA-IB-A5SO-01A</v>
      </c>
      <c r="I17460" t="s">
        <v>111</v>
      </c>
      <c r="J17460" t="s">
        <v>563</v>
      </c>
      <c r="K17460" t="s">
        <v>33</v>
      </c>
      <c r="L17460" t="s">
        <v>113</v>
      </c>
      <c r="N17460" t="s">
        <v>29</v>
      </c>
    </row>
    <row r="17461" spans="1:14">
      <c r="A17461" s="4" t="str">
        <f t="shared" si="1280"/>
        <v>EXP00436</v>
      </c>
      <c r="B17461" s="3" t="s">
        <v>66</v>
      </c>
      <c r="C17461" s="4" t="str">
        <f t="shared" si="1278"/>
        <v>TCGA-PAAD</v>
      </c>
      <c r="D17461" s="1" t="s">
        <v>493</v>
      </c>
      <c r="E17461" t="s">
        <v>567</v>
      </c>
      <c r="F17461" s="1">
        <v>2</v>
      </c>
      <c r="G17461" s="1" t="s">
        <v>28</v>
      </c>
      <c r="H17461" s="4" t="str">
        <f>HYPERLINK("https://portal.gdc.cancer.gov/cases/bd73ed94-5f4f-4eb3-8b9b-391af4422d0e","TCGA-IB-A5SP-01A")</f>
        <v>TCGA-IB-A5SP-01A</v>
      </c>
      <c r="I17461" t="s">
        <v>111</v>
      </c>
      <c r="J17461" t="s">
        <v>563</v>
      </c>
      <c r="K17461" t="s">
        <v>33</v>
      </c>
      <c r="L17461" t="s">
        <v>113</v>
      </c>
      <c r="N17461" t="s">
        <v>29</v>
      </c>
    </row>
    <row r="17462" spans="1:14">
      <c r="A17462" s="4" t="str">
        <f t="shared" si="1280"/>
        <v>EXP00436</v>
      </c>
      <c r="B17462" s="3" t="s">
        <v>66</v>
      </c>
      <c r="C17462" s="4" t="str">
        <f t="shared" si="1278"/>
        <v>TCGA-PAAD</v>
      </c>
      <c r="D17462" s="1" t="s">
        <v>493</v>
      </c>
      <c r="E17462" t="s">
        <v>567</v>
      </c>
      <c r="F17462" s="1">
        <v>2</v>
      </c>
      <c r="G17462" s="1" t="s">
        <v>28</v>
      </c>
      <c r="H17462" s="4" t="str">
        <f>HYPERLINK("https://portal.gdc.cancer.gov/cases/6c0ea771-ea86-4db6-994a-2372b2b8f536","TCGA-IB-A5ST-01A")</f>
        <v>TCGA-IB-A5ST-01A</v>
      </c>
      <c r="I17462" t="s">
        <v>111</v>
      </c>
      <c r="J17462" t="s">
        <v>563</v>
      </c>
      <c r="K17462" t="s">
        <v>33</v>
      </c>
      <c r="L17462" t="s">
        <v>113</v>
      </c>
      <c r="N17462" t="s">
        <v>29</v>
      </c>
    </row>
    <row r="17463" spans="1:14">
      <c r="A17463" s="4" t="str">
        <f t="shared" si="1280"/>
        <v>EXP00436</v>
      </c>
      <c r="B17463" s="3" t="s">
        <v>66</v>
      </c>
      <c r="C17463" s="4" t="str">
        <f t="shared" si="1278"/>
        <v>TCGA-PAAD</v>
      </c>
      <c r="D17463" s="1" t="s">
        <v>493</v>
      </c>
      <c r="E17463" t="s">
        <v>567</v>
      </c>
      <c r="F17463" s="1">
        <v>2</v>
      </c>
      <c r="G17463" s="1" t="s">
        <v>28</v>
      </c>
      <c r="H17463" s="4" t="str">
        <f>HYPERLINK("https://portal.gdc.cancer.gov/cases/56a1b8ff-a71c-4e5f-9c3c-d8162ff896aa","TCGA-IB-A6UF-01A")</f>
        <v>TCGA-IB-A6UF-01A</v>
      </c>
      <c r="I17463" t="s">
        <v>111</v>
      </c>
      <c r="J17463" t="s">
        <v>563</v>
      </c>
      <c r="K17463" t="s">
        <v>33</v>
      </c>
      <c r="L17463" t="s">
        <v>113</v>
      </c>
      <c r="N17463" t="s">
        <v>29</v>
      </c>
    </row>
    <row r="17464" spans="1:14">
      <c r="A17464" s="4" t="str">
        <f t="shared" si="1280"/>
        <v>EXP00436</v>
      </c>
      <c r="B17464" s="3" t="s">
        <v>66</v>
      </c>
      <c r="C17464" s="4" t="str">
        <f t="shared" si="1278"/>
        <v>TCGA-PAAD</v>
      </c>
      <c r="D17464" s="1" t="s">
        <v>493</v>
      </c>
      <c r="E17464" t="s">
        <v>567</v>
      </c>
      <c r="F17464" s="1">
        <v>2</v>
      </c>
      <c r="G17464" s="1" t="s">
        <v>28</v>
      </c>
      <c r="H17464" s="4" t="str">
        <f>HYPERLINK("https://portal.gdc.cancer.gov/cases/45e48080-0b27-45f4-8149-1ae7e36c6933","TCGA-IB-A6UG-01A")</f>
        <v>TCGA-IB-A6UG-01A</v>
      </c>
      <c r="I17464" t="s">
        <v>111</v>
      </c>
      <c r="J17464" t="s">
        <v>563</v>
      </c>
      <c r="K17464" t="s">
        <v>33</v>
      </c>
      <c r="L17464" t="s">
        <v>113</v>
      </c>
      <c r="N17464" t="s">
        <v>29</v>
      </c>
    </row>
    <row r="17465" spans="1:14">
      <c r="A17465" s="4" t="str">
        <f t="shared" si="1280"/>
        <v>EXP00436</v>
      </c>
      <c r="B17465" s="3" t="s">
        <v>66</v>
      </c>
      <c r="C17465" s="4" t="str">
        <f t="shared" si="1278"/>
        <v>TCGA-PAAD</v>
      </c>
      <c r="D17465" s="1" t="s">
        <v>493</v>
      </c>
      <c r="E17465" t="s">
        <v>567</v>
      </c>
      <c r="F17465" s="1">
        <v>2</v>
      </c>
      <c r="G17465" s="1" t="s">
        <v>28</v>
      </c>
      <c r="H17465" s="4" t="str">
        <f>HYPERLINK("https://portal.gdc.cancer.gov/cases/6a0a280d-4a30-4071-afe7-de6b82a6e34c","TCGA-IB-A7M4-01A")</f>
        <v>TCGA-IB-A7M4-01A</v>
      </c>
      <c r="I17465" t="s">
        <v>111</v>
      </c>
      <c r="J17465" t="s">
        <v>563</v>
      </c>
      <c r="K17465" t="s">
        <v>33</v>
      </c>
      <c r="L17465" t="s">
        <v>113</v>
      </c>
      <c r="N17465" t="s">
        <v>29</v>
      </c>
    </row>
    <row r="17466" spans="1:14">
      <c r="A17466" s="4" t="str">
        <f t="shared" si="1280"/>
        <v>EXP00436</v>
      </c>
      <c r="B17466" s="3" t="s">
        <v>66</v>
      </c>
      <c r="C17466" s="4" t="str">
        <f t="shared" si="1278"/>
        <v>TCGA-PAAD</v>
      </c>
      <c r="D17466" s="1" t="s">
        <v>493</v>
      </c>
      <c r="E17466" t="s">
        <v>567</v>
      </c>
      <c r="F17466" s="1">
        <v>2</v>
      </c>
      <c r="G17466" s="1" t="s">
        <v>28</v>
      </c>
      <c r="H17466" s="4" t="str">
        <f>HYPERLINK("https://portal.gdc.cancer.gov/cases/cfda26b9-d417-425c-9a72-fa76ca4b296c","TCGA-IB-AAUM-01A")</f>
        <v>TCGA-IB-AAUM-01A</v>
      </c>
      <c r="I17466" t="s">
        <v>111</v>
      </c>
      <c r="J17466" t="s">
        <v>563</v>
      </c>
      <c r="K17466" t="s">
        <v>33</v>
      </c>
      <c r="L17466" t="s">
        <v>113</v>
      </c>
      <c r="N17466" t="s">
        <v>29</v>
      </c>
    </row>
    <row r="17467" spans="1:14">
      <c r="A17467" s="4" t="str">
        <f t="shared" si="1280"/>
        <v>EXP00436</v>
      </c>
      <c r="B17467" s="3" t="s">
        <v>66</v>
      </c>
      <c r="C17467" s="4" t="str">
        <f t="shared" si="1278"/>
        <v>TCGA-PAAD</v>
      </c>
      <c r="D17467" s="1" t="s">
        <v>493</v>
      </c>
      <c r="E17467" t="s">
        <v>567</v>
      </c>
      <c r="F17467" s="1">
        <v>2</v>
      </c>
      <c r="G17467" s="1" t="s">
        <v>28</v>
      </c>
      <c r="H17467" s="4" t="str">
        <f>HYPERLINK("https://portal.gdc.cancer.gov/cases/638b1a6a-c222-414c-96bc-f259f0afb278","TCGA-IB-AAUN-01A")</f>
        <v>TCGA-IB-AAUN-01A</v>
      </c>
      <c r="I17467" t="s">
        <v>111</v>
      </c>
      <c r="J17467" t="s">
        <v>563</v>
      </c>
      <c r="K17467" t="s">
        <v>33</v>
      </c>
      <c r="L17467" t="s">
        <v>113</v>
      </c>
      <c r="N17467" t="s">
        <v>29</v>
      </c>
    </row>
    <row r="17468" spans="1:14">
      <c r="A17468" s="4" t="str">
        <f t="shared" si="1280"/>
        <v>EXP00436</v>
      </c>
      <c r="B17468" s="3" t="s">
        <v>66</v>
      </c>
      <c r="C17468" s="4" t="str">
        <f t="shared" si="1278"/>
        <v>TCGA-PAAD</v>
      </c>
      <c r="D17468" s="1" t="s">
        <v>493</v>
      </c>
      <c r="E17468" t="s">
        <v>567</v>
      </c>
      <c r="F17468" s="1">
        <v>2</v>
      </c>
      <c r="G17468" s="1" t="s">
        <v>28</v>
      </c>
      <c r="H17468" s="4" t="str">
        <f>HYPERLINK("https://portal.gdc.cancer.gov/cases/0a3c8161-4186-4c95-8288-9928d6db0355","TCGA-IB-AAUP-01A")</f>
        <v>TCGA-IB-AAUP-01A</v>
      </c>
      <c r="I17468" t="s">
        <v>111</v>
      </c>
      <c r="J17468" t="s">
        <v>563</v>
      </c>
      <c r="K17468" t="s">
        <v>33</v>
      </c>
      <c r="L17468" t="s">
        <v>113</v>
      </c>
      <c r="N17468" t="s">
        <v>29</v>
      </c>
    </row>
    <row r="17469" spans="1:14">
      <c r="A17469" s="4" t="str">
        <f t="shared" si="1280"/>
        <v>EXP00436</v>
      </c>
      <c r="B17469" s="3" t="s">
        <v>66</v>
      </c>
      <c r="C17469" s="4" t="str">
        <f t="shared" si="1278"/>
        <v>TCGA-PAAD</v>
      </c>
      <c r="D17469" s="1" t="s">
        <v>493</v>
      </c>
      <c r="E17469" t="s">
        <v>567</v>
      </c>
      <c r="F17469" s="1">
        <v>2</v>
      </c>
      <c r="G17469" s="1" t="s">
        <v>28</v>
      </c>
      <c r="H17469" s="4" t="str">
        <f>HYPERLINK("https://portal.gdc.cancer.gov/cases/6788e0e5-b67f-4fe6-aabb-6d0430ae2d06","TCGA-IB-AAUR-01A")</f>
        <v>TCGA-IB-AAUR-01A</v>
      </c>
      <c r="I17469" t="s">
        <v>111</v>
      </c>
      <c r="J17469" t="s">
        <v>563</v>
      </c>
      <c r="K17469" t="s">
        <v>33</v>
      </c>
      <c r="L17469" t="s">
        <v>113</v>
      </c>
      <c r="N17469" t="s">
        <v>29</v>
      </c>
    </row>
    <row r="17470" spans="1:14">
      <c r="A17470" s="4" t="str">
        <f t="shared" si="1280"/>
        <v>EXP00436</v>
      </c>
      <c r="B17470" s="3" t="s">
        <v>66</v>
      </c>
      <c r="C17470" s="4" t="str">
        <f t="shared" si="1278"/>
        <v>TCGA-PAAD</v>
      </c>
      <c r="D17470" s="1" t="s">
        <v>493</v>
      </c>
      <c r="E17470" t="s">
        <v>567</v>
      </c>
      <c r="F17470" s="1">
        <v>2</v>
      </c>
      <c r="G17470" s="1" t="s">
        <v>28</v>
      </c>
      <c r="H17470" s="4" t="str">
        <f>HYPERLINK("https://portal.gdc.cancer.gov/cases/69285f58-9b70-4262-acc0-8cf3d47540c3","TCGA-IB-AAUS-01A")</f>
        <v>TCGA-IB-AAUS-01A</v>
      </c>
      <c r="I17470" t="s">
        <v>111</v>
      </c>
      <c r="J17470" t="s">
        <v>563</v>
      </c>
      <c r="K17470" t="s">
        <v>33</v>
      </c>
      <c r="L17470" t="s">
        <v>113</v>
      </c>
      <c r="N17470" t="s">
        <v>29</v>
      </c>
    </row>
    <row r="17471" spans="1:14">
      <c r="A17471" s="4" t="str">
        <f t="shared" si="1280"/>
        <v>EXP00436</v>
      </c>
      <c r="B17471" s="3" t="s">
        <v>66</v>
      </c>
      <c r="C17471" s="4" t="str">
        <f t="shared" si="1278"/>
        <v>TCGA-PAAD</v>
      </c>
      <c r="D17471" s="1" t="s">
        <v>493</v>
      </c>
      <c r="E17471" t="s">
        <v>567</v>
      </c>
      <c r="F17471" s="1">
        <v>2</v>
      </c>
      <c r="G17471" s="1" t="s">
        <v>28</v>
      </c>
      <c r="H17471" s="4" t="str">
        <f>HYPERLINK("https://portal.gdc.cancer.gov/cases/88eaebfc-d740-4cdc-88f5-df5e08633e2d","TCGA-IB-AAUT-01A")</f>
        <v>TCGA-IB-AAUT-01A</v>
      </c>
      <c r="I17471" t="s">
        <v>111</v>
      </c>
      <c r="J17471" t="s">
        <v>563</v>
      </c>
      <c r="K17471" t="s">
        <v>33</v>
      </c>
      <c r="L17471" t="s">
        <v>113</v>
      </c>
      <c r="N17471" t="s">
        <v>29</v>
      </c>
    </row>
    <row r="17472" spans="1:14">
      <c r="A17472" s="4" t="str">
        <f t="shared" si="1280"/>
        <v>EXP00436</v>
      </c>
      <c r="B17472" s="3" t="s">
        <v>66</v>
      </c>
      <c r="C17472" s="4" t="str">
        <f t="shared" si="1278"/>
        <v>TCGA-PAAD</v>
      </c>
      <c r="D17472" s="1" t="s">
        <v>493</v>
      </c>
      <c r="E17472" t="s">
        <v>567</v>
      </c>
      <c r="F17472" s="1">
        <v>2</v>
      </c>
      <c r="G17472" s="1" t="s">
        <v>28</v>
      </c>
      <c r="H17472" s="4" t="str">
        <f>HYPERLINK("https://portal.gdc.cancer.gov/cases/a53c919a-4e08-46f1-af3f-30b16b597c33","TCGA-IB-AAUU-01A")</f>
        <v>TCGA-IB-AAUU-01A</v>
      </c>
      <c r="I17472" t="s">
        <v>111</v>
      </c>
      <c r="J17472" t="s">
        <v>563</v>
      </c>
      <c r="K17472" t="s">
        <v>33</v>
      </c>
      <c r="L17472" t="s">
        <v>113</v>
      </c>
      <c r="N17472" t="s">
        <v>29</v>
      </c>
    </row>
    <row r="17473" spans="1:14">
      <c r="A17473" s="4" t="str">
        <f t="shared" si="1280"/>
        <v>EXP00436</v>
      </c>
      <c r="B17473" s="3" t="s">
        <v>66</v>
      </c>
      <c r="C17473" s="4" t="str">
        <f t="shared" si="1278"/>
        <v>TCGA-PAAD</v>
      </c>
      <c r="D17473" s="1" t="s">
        <v>493</v>
      </c>
      <c r="E17473" t="s">
        <v>567</v>
      </c>
      <c r="F17473" s="1">
        <v>2</v>
      </c>
      <c r="G17473" s="1" t="s">
        <v>28</v>
      </c>
      <c r="H17473" s="4" t="str">
        <f>HYPERLINK("https://portal.gdc.cancer.gov/cases/6983fc34-9577-45e1-b246-40e18fab953f","TCGA-IB-AAUV-01A")</f>
        <v>TCGA-IB-AAUV-01A</v>
      </c>
      <c r="I17473" t="s">
        <v>111</v>
      </c>
      <c r="J17473" t="s">
        <v>563</v>
      </c>
      <c r="K17473" t="s">
        <v>33</v>
      </c>
      <c r="L17473" t="s">
        <v>113</v>
      </c>
      <c r="N17473" t="s">
        <v>29</v>
      </c>
    </row>
    <row r="17474" spans="1:14">
      <c r="A17474" s="4" t="str">
        <f t="shared" si="1280"/>
        <v>EXP00436</v>
      </c>
      <c r="B17474" s="3" t="s">
        <v>66</v>
      </c>
      <c r="C17474" s="4" t="str">
        <f t="shared" si="1278"/>
        <v>TCGA-PAAD</v>
      </c>
      <c r="D17474" s="1" t="s">
        <v>493</v>
      </c>
      <c r="E17474" t="s">
        <v>567</v>
      </c>
      <c r="F17474" s="1">
        <v>2</v>
      </c>
      <c r="G17474" s="1" t="s">
        <v>28</v>
      </c>
      <c r="H17474" s="4" t="str">
        <f>HYPERLINK("https://portal.gdc.cancer.gov/cases/18960eb6-2d79-4d12-886a-4cd1e8fc1e21","TCGA-IB-AAUW-01A")</f>
        <v>TCGA-IB-AAUW-01A</v>
      </c>
      <c r="I17474" t="s">
        <v>111</v>
      </c>
      <c r="J17474" t="s">
        <v>563</v>
      </c>
      <c r="K17474" t="s">
        <v>33</v>
      </c>
      <c r="L17474" t="s">
        <v>113</v>
      </c>
      <c r="N17474" t="s">
        <v>29</v>
      </c>
    </row>
    <row r="17475" spans="1:14">
      <c r="A17475" s="4" t="str">
        <f t="shared" si="1280"/>
        <v>EXP00436</v>
      </c>
      <c r="B17475" s="3" t="s">
        <v>66</v>
      </c>
      <c r="C17475" s="4" t="str">
        <f t="shared" si="1278"/>
        <v>TCGA-PAAD</v>
      </c>
      <c r="D17475" s="1" t="s">
        <v>493</v>
      </c>
      <c r="E17475" t="s">
        <v>567</v>
      </c>
      <c r="F17475" s="1">
        <v>2</v>
      </c>
      <c r="G17475" s="1" t="s">
        <v>28</v>
      </c>
      <c r="H17475" s="4" t="str">
        <f>HYPERLINK("https://portal.gdc.cancer.gov/cases/5750a6ed-2516-456d-97d4-2f6486845ed8","TCGA-LB-A7SX-01A")</f>
        <v>TCGA-LB-A7SX-01A</v>
      </c>
      <c r="I17475" t="s">
        <v>111</v>
      </c>
      <c r="J17475" t="s">
        <v>563</v>
      </c>
      <c r="K17475" t="s">
        <v>33</v>
      </c>
      <c r="L17475" t="s">
        <v>113</v>
      </c>
      <c r="N17475" t="s">
        <v>29</v>
      </c>
    </row>
    <row r="17476" spans="1:14">
      <c r="A17476" s="4" t="str">
        <f t="shared" si="1280"/>
        <v>EXP00436</v>
      </c>
      <c r="B17476" s="3" t="s">
        <v>66</v>
      </c>
      <c r="C17476" s="4" t="str">
        <f t="shared" si="1278"/>
        <v>TCGA-PAAD</v>
      </c>
      <c r="D17476" s="1" t="s">
        <v>493</v>
      </c>
      <c r="E17476" t="s">
        <v>567</v>
      </c>
      <c r="F17476" s="1">
        <v>2</v>
      </c>
      <c r="G17476" s="1" t="s">
        <v>28</v>
      </c>
      <c r="H17476" s="4" t="str">
        <f>HYPERLINK("https://portal.gdc.cancer.gov/cases/f852de27-b600-44a4-ab30-d74108dfc2e9","TCGA-LB-A8F3-01A")</f>
        <v>TCGA-LB-A8F3-01A</v>
      </c>
      <c r="I17476" t="s">
        <v>111</v>
      </c>
      <c r="J17476" t="s">
        <v>563</v>
      </c>
      <c r="K17476" t="s">
        <v>33</v>
      </c>
      <c r="L17476" t="s">
        <v>113</v>
      </c>
      <c r="N17476" t="s">
        <v>29</v>
      </c>
    </row>
    <row r="17477" spans="1:14">
      <c r="A17477" s="4" t="str">
        <f t="shared" si="1280"/>
        <v>EXP00436</v>
      </c>
      <c r="B17477" s="3" t="s">
        <v>66</v>
      </c>
      <c r="C17477" s="4" t="str">
        <f t="shared" si="1278"/>
        <v>TCGA-PAAD</v>
      </c>
      <c r="D17477" s="1" t="s">
        <v>493</v>
      </c>
      <c r="E17477" t="s">
        <v>567</v>
      </c>
      <c r="F17477" s="1">
        <v>2</v>
      </c>
      <c r="G17477" s="1" t="s">
        <v>28</v>
      </c>
      <c r="H17477" s="4" t="str">
        <f>HYPERLINK("https://portal.gdc.cancer.gov/cases/31c23e65-1f18-4f59-8a54-31febedef8a2","TCGA-LB-A9Q5-01A")</f>
        <v>TCGA-LB-A9Q5-01A</v>
      </c>
      <c r="I17477" t="s">
        <v>111</v>
      </c>
      <c r="J17477" t="s">
        <v>563</v>
      </c>
      <c r="K17477" t="s">
        <v>33</v>
      </c>
      <c r="L17477" t="s">
        <v>113</v>
      </c>
      <c r="N17477" t="s">
        <v>29</v>
      </c>
    </row>
    <row r="17478" spans="1:14">
      <c r="A17478" s="4" t="str">
        <f t="shared" si="1280"/>
        <v>EXP00436</v>
      </c>
      <c r="B17478" s="3" t="s">
        <v>66</v>
      </c>
      <c r="C17478" s="4" t="str">
        <f t="shared" ref="C17478:C17499" si="1281">HYPERLINK("https://portal.gdc.cancer.gov/projects/TCGA-PAAD","TCGA-PAAD")</f>
        <v>TCGA-PAAD</v>
      </c>
      <c r="D17478" s="1" t="s">
        <v>493</v>
      </c>
      <c r="E17478" t="s">
        <v>567</v>
      </c>
      <c r="F17478" s="1">
        <v>2</v>
      </c>
      <c r="G17478" s="1" t="s">
        <v>28</v>
      </c>
      <c r="H17478" s="4" t="str">
        <f>HYPERLINK("https://portal.gdc.cancer.gov/cases/f0a4944c-d6cf-4163-a1ab-189803464b03","TCGA-M8-A5N4-01A")</f>
        <v>TCGA-M8-A5N4-01A</v>
      </c>
      <c r="I17478" t="s">
        <v>111</v>
      </c>
      <c r="J17478" t="s">
        <v>563</v>
      </c>
      <c r="K17478" t="s">
        <v>33</v>
      </c>
      <c r="L17478" t="s">
        <v>113</v>
      </c>
      <c r="N17478" t="s">
        <v>29</v>
      </c>
    </row>
    <row r="17479" spans="1:14">
      <c r="A17479" s="4" t="str">
        <f t="shared" si="1280"/>
        <v>EXP00436</v>
      </c>
      <c r="B17479" s="3" t="s">
        <v>66</v>
      </c>
      <c r="C17479" s="4" t="str">
        <f t="shared" si="1281"/>
        <v>TCGA-PAAD</v>
      </c>
      <c r="D17479" s="1" t="s">
        <v>493</v>
      </c>
      <c r="E17479" t="s">
        <v>567</v>
      </c>
      <c r="F17479" s="1">
        <v>2</v>
      </c>
      <c r="G17479" s="1" t="s">
        <v>28</v>
      </c>
      <c r="H17479" s="4" t="str">
        <f>HYPERLINK("https://portal.gdc.cancer.gov/cases/4a60e87e-6bc1-4ae0-9ccb-4cdc3e99c608","TCGA-OE-A75W-01A")</f>
        <v>TCGA-OE-A75W-01A</v>
      </c>
      <c r="I17479" t="s">
        <v>111</v>
      </c>
      <c r="J17479" t="s">
        <v>563</v>
      </c>
      <c r="K17479" t="s">
        <v>33</v>
      </c>
      <c r="L17479" t="s">
        <v>113</v>
      </c>
      <c r="N17479" t="s">
        <v>29</v>
      </c>
    </row>
    <row r="17480" spans="1:14">
      <c r="A17480" s="4" t="str">
        <f t="shared" si="1280"/>
        <v>EXP00436</v>
      </c>
      <c r="B17480" s="3" t="s">
        <v>66</v>
      </c>
      <c r="C17480" s="4" t="str">
        <f t="shared" si="1281"/>
        <v>TCGA-PAAD</v>
      </c>
      <c r="D17480" s="1" t="s">
        <v>493</v>
      </c>
      <c r="E17480" t="s">
        <v>567</v>
      </c>
      <c r="F17480" s="1">
        <v>2</v>
      </c>
      <c r="G17480" s="1" t="s">
        <v>28</v>
      </c>
      <c r="H17480" s="4" t="str">
        <f>HYPERLINK("https://portal.gdc.cancer.gov/cases/c26002e7-abf1-42b9-bf36-0e97249d872f","TCGA-PZ-A5RE-01A")</f>
        <v>TCGA-PZ-A5RE-01A</v>
      </c>
      <c r="I17480" t="s">
        <v>111</v>
      </c>
      <c r="J17480" t="s">
        <v>563</v>
      </c>
      <c r="K17480" t="s">
        <v>33</v>
      </c>
      <c r="L17480" t="s">
        <v>113</v>
      </c>
      <c r="N17480" t="s">
        <v>29</v>
      </c>
    </row>
    <row r="17481" spans="1:14">
      <c r="A17481" s="4" t="str">
        <f t="shared" si="1280"/>
        <v>EXP00436</v>
      </c>
      <c r="B17481" s="3" t="s">
        <v>66</v>
      </c>
      <c r="C17481" s="4" t="str">
        <f t="shared" si="1281"/>
        <v>TCGA-PAAD</v>
      </c>
      <c r="D17481" s="1" t="s">
        <v>493</v>
      </c>
      <c r="E17481" t="s">
        <v>567</v>
      </c>
      <c r="F17481" s="1">
        <v>2</v>
      </c>
      <c r="G17481" s="1" t="s">
        <v>28</v>
      </c>
      <c r="H17481" s="4" t="str">
        <f>HYPERLINK("https://portal.gdc.cancer.gov/cases/1756244e-13bc-4ed7-8b91-005608803d91","TCGA-Q3-A5QY-01A")</f>
        <v>TCGA-Q3-A5QY-01A</v>
      </c>
      <c r="I17481" t="s">
        <v>111</v>
      </c>
      <c r="J17481" t="s">
        <v>563</v>
      </c>
      <c r="K17481" t="s">
        <v>33</v>
      </c>
      <c r="L17481" t="s">
        <v>113</v>
      </c>
      <c r="N17481" t="s">
        <v>29</v>
      </c>
    </row>
    <row r="17482" spans="1:14">
      <c r="A17482" s="4" t="str">
        <f t="shared" si="1280"/>
        <v>EXP00436</v>
      </c>
      <c r="B17482" s="3" t="s">
        <v>66</v>
      </c>
      <c r="C17482" s="4" t="str">
        <f t="shared" si="1281"/>
        <v>TCGA-PAAD</v>
      </c>
      <c r="D17482" s="1" t="s">
        <v>493</v>
      </c>
      <c r="E17482" t="s">
        <v>567</v>
      </c>
      <c r="F17482" s="1">
        <v>2</v>
      </c>
      <c r="G17482" s="1" t="s">
        <v>28</v>
      </c>
      <c r="H17482" s="4" t="str">
        <f>HYPERLINK("https://portal.gdc.cancer.gov/cases/23908554-b98e-4ff8-98e7-dee3e2c5feaf","TCGA-Q3-AA2A-01A")</f>
        <v>TCGA-Q3-AA2A-01A</v>
      </c>
      <c r="I17482" t="s">
        <v>111</v>
      </c>
      <c r="J17482" t="s">
        <v>563</v>
      </c>
      <c r="K17482" t="s">
        <v>33</v>
      </c>
      <c r="L17482" t="s">
        <v>113</v>
      </c>
      <c r="N17482" t="s">
        <v>29</v>
      </c>
    </row>
    <row r="17483" spans="1:14">
      <c r="A17483" s="4" t="str">
        <f t="shared" ref="A17483:A17499" si="1282">HYPERLINK("http://hcmdb.i-sanger.com/experiment/details/experiment_id/EXP00436","EXP00436")</f>
        <v>EXP00436</v>
      </c>
      <c r="B17483" s="3" t="s">
        <v>66</v>
      </c>
      <c r="C17483" s="4" t="str">
        <f t="shared" si="1281"/>
        <v>TCGA-PAAD</v>
      </c>
      <c r="D17483" s="1" t="s">
        <v>493</v>
      </c>
      <c r="E17483" t="s">
        <v>567</v>
      </c>
      <c r="F17483" s="1">
        <v>2</v>
      </c>
      <c r="G17483" s="1" t="s">
        <v>28</v>
      </c>
      <c r="H17483" s="4" t="str">
        <f>HYPERLINK("https://portal.gdc.cancer.gov/cases/5bfe94ed-88b9-44ce-8bbd-1285ab9678a4","TCGA-RB-A7B8-01A")</f>
        <v>TCGA-RB-A7B8-01A</v>
      </c>
      <c r="I17483" t="s">
        <v>111</v>
      </c>
      <c r="J17483" t="s">
        <v>563</v>
      </c>
      <c r="K17483" t="s">
        <v>33</v>
      </c>
      <c r="L17483" t="s">
        <v>113</v>
      </c>
      <c r="N17483" t="s">
        <v>29</v>
      </c>
    </row>
    <row r="17484" spans="1:14">
      <c r="A17484" s="4" t="str">
        <f t="shared" si="1282"/>
        <v>EXP00436</v>
      </c>
      <c r="B17484" s="3" t="s">
        <v>66</v>
      </c>
      <c r="C17484" s="4" t="str">
        <f t="shared" si="1281"/>
        <v>TCGA-PAAD</v>
      </c>
      <c r="D17484" s="1" t="s">
        <v>493</v>
      </c>
      <c r="E17484" t="s">
        <v>567</v>
      </c>
      <c r="F17484" s="1">
        <v>2</v>
      </c>
      <c r="G17484" s="1" t="s">
        <v>28</v>
      </c>
      <c r="H17484" s="4" t="str">
        <f>HYPERLINK("https://portal.gdc.cancer.gov/cases/9d5c5303-550f-454f-8fd4-8abcdd311215","TCGA-RB-AA9M-01A")</f>
        <v>TCGA-RB-AA9M-01A</v>
      </c>
      <c r="I17484" t="s">
        <v>111</v>
      </c>
      <c r="J17484" t="s">
        <v>563</v>
      </c>
      <c r="K17484" t="s">
        <v>33</v>
      </c>
      <c r="L17484" t="s">
        <v>113</v>
      </c>
      <c r="N17484" t="s">
        <v>29</v>
      </c>
    </row>
    <row r="17485" spans="1:14">
      <c r="A17485" s="4" t="str">
        <f t="shared" si="1282"/>
        <v>EXP00436</v>
      </c>
      <c r="B17485" s="3" t="s">
        <v>66</v>
      </c>
      <c r="C17485" s="4" t="str">
        <f t="shared" si="1281"/>
        <v>TCGA-PAAD</v>
      </c>
      <c r="D17485" s="1" t="s">
        <v>493</v>
      </c>
      <c r="E17485" t="s">
        <v>567</v>
      </c>
      <c r="F17485" s="1">
        <v>2</v>
      </c>
      <c r="G17485" s="1" t="s">
        <v>28</v>
      </c>
      <c r="H17485" s="4" t="str">
        <f>HYPERLINK("https://portal.gdc.cancer.gov/cases/c53d66d9-ad9a-417e-a441-df5bcf1ae13f","TCGA-RL-AAAS-01A")</f>
        <v>TCGA-RL-AAAS-01A</v>
      </c>
      <c r="I17485" t="s">
        <v>111</v>
      </c>
      <c r="J17485" t="s">
        <v>563</v>
      </c>
      <c r="K17485" t="s">
        <v>33</v>
      </c>
      <c r="L17485" t="s">
        <v>113</v>
      </c>
      <c r="N17485" t="s">
        <v>29</v>
      </c>
    </row>
    <row r="17486" spans="1:14">
      <c r="A17486" s="4" t="str">
        <f t="shared" si="1282"/>
        <v>EXP00436</v>
      </c>
      <c r="B17486" s="3" t="s">
        <v>66</v>
      </c>
      <c r="C17486" s="4" t="str">
        <f t="shared" si="1281"/>
        <v>TCGA-PAAD</v>
      </c>
      <c r="D17486" s="1" t="s">
        <v>493</v>
      </c>
      <c r="E17486" t="s">
        <v>567</v>
      </c>
      <c r="F17486" s="1">
        <v>2</v>
      </c>
      <c r="G17486" s="1" t="s">
        <v>28</v>
      </c>
      <c r="H17486" s="4" t="str">
        <f>HYPERLINK("https://portal.gdc.cancer.gov/cases/c70621cc-c8e1-441d-93ec-bd6922cc7f61","TCGA-S4-A8RM-01A")</f>
        <v>TCGA-S4-A8RM-01A</v>
      </c>
      <c r="I17486" t="s">
        <v>111</v>
      </c>
      <c r="J17486" t="s">
        <v>563</v>
      </c>
      <c r="K17486" t="s">
        <v>33</v>
      </c>
      <c r="L17486" t="s">
        <v>113</v>
      </c>
      <c r="N17486" t="s">
        <v>29</v>
      </c>
    </row>
    <row r="17487" spans="1:14">
      <c r="A17487" s="4" t="str">
        <f t="shared" si="1282"/>
        <v>EXP00436</v>
      </c>
      <c r="B17487" s="3" t="s">
        <v>66</v>
      </c>
      <c r="C17487" s="4" t="str">
        <f t="shared" si="1281"/>
        <v>TCGA-PAAD</v>
      </c>
      <c r="D17487" s="1" t="s">
        <v>493</v>
      </c>
      <c r="E17487" t="s">
        <v>567</v>
      </c>
      <c r="F17487" s="1">
        <v>2</v>
      </c>
      <c r="G17487" s="1" t="s">
        <v>28</v>
      </c>
      <c r="H17487" s="4" t="str">
        <f>HYPERLINK("https://portal.gdc.cancer.gov/cases/a9c0f3a1-01eb-4f01-b58a-708b2960e685","TCGA-S4-A8RO-01A")</f>
        <v>TCGA-S4-A8RO-01A</v>
      </c>
      <c r="I17487" t="s">
        <v>111</v>
      </c>
      <c r="J17487" t="s">
        <v>563</v>
      </c>
      <c r="K17487" t="s">
        <v>33</v>
      </c>
      <c r="L17487" t="s">
        <v>113</v>
      </c>
      <c r="N17487" t="s">
        <v>29</v>
      </c>
    </row>
    <row r="17488" spans="1:14">
      <c r="A17488" s="4" t="str">
        <f t="shared" si="1282"/>
        <v>EXP00436</v>
      </c>
      <c r="B17488" s="3" t="s">
        <v>66</v>
      </c>
      <c r="C17488" s="4" t="str">
        <f t="shared" si="1281"/>
        <v>TCGA-PAAD</v>
      </c>
      <c r="D17488" s="1" t="s">
        <v>493</v>
      </c>
      <c r="E17488" t="s">
        <v>567</v>
      </c>
      <c r="F17488" s="1">
        <v>2</v>
      </c>
      <c r="G17488" s="1" t="s">
        <v>28</v>
      </c>
      <c r="H17488" s="4" t="str">
        <f>HYPERLINK("https://portal.gdc.cancer.gov/cases/ce2bfd9e-6382-47bb-9fd1-b77afe57e948","TCGA-S4-A8RP-01A")</f>
        <v>TCGA-S4-A8RP-01A</v>
      </c>
      <c r="I17488" t="s">
        <v>111</v>
      </c>
      <c r="J17488" t="s">
        <v>563</v>
      </c>
      <c r="K17488" t="s">
        <v>33</v>
      </c>
      <c r="L17488" t="s">
        <v>113</v>
      </c>
      <c r="N17488" t="s">
        <v>29</v>
      </c>
    </row>
    <row r="17489" spans="1:14">
      <c r="A17489" s="4" t="str">
        <f t="shared" si="1282"/>
        <v>EXP00436</v>
      </c>
      <c r="B17489" s="3" t="s">
        <v>66</v>
      </c>
      <c r="C17489" s="4" t="str">
        <f t="shared" si="1281"/>
        <v>TCGA-PAAD</v>
      </c>
      <c r="D17489" s="1" t="s">
        <v>493</v>
      </c>
      <c r="E17489" t="s">
        <v>567</v>
      </c>
      <c r="F17489" s="1">
        <v>2</v>
      </c>
      <c r="G17489" s="1" t="s">
        <v>28</v>
      </c>
      <c r="H17489" s="4" t="str">
        <f>HYPERLINK("https://portal.gdc.cancer.gov/cases/d211e0c1-7968-4343-8aae-27fab0039367","TCGA-US-A776-01A")</f>
        <v>TCGA-US-A776-01A</v>
      </c>
      <c r="I17489" t="s">
        <v>111</v>
      </c>
      <c r="J17489" t="s">
        <v>563</v>
      </c>
      <c r="K17489" t="s">
        <v>33</v>
      </c>
      <c r="L17489" t="s">
        <v>113</v>
      </c>
      <c r="N17489" t="s">
        <v>29</v>
      </c>
    </row>
    <row r="17490" spans="1:14">
      <c r="A17490" s="4" t="str">
        <f t="shared" si="1282"/>
        <v>EXP00436</v>
      </c>
      <c r="B17490" s="3" t="s">
        <v>66</v>
      </c>
      <c r="C17490" s="4" t="str">
        <f t="shared" si="1281"/>
        <v>TCGA-PAAD</v>
      </c>
      <c r="D17490" s="1" t="s">
        <v>493</v>
      </c>
      <c r="E17490" t="s">
        <v>567</v>
      </c>
      <c r="F17490" s="1">
        <v>2</v>
      </c>
      <c r="G17490" s="1" t="s">
        <v>28</v>
      </c>
      <c r="H17490" s="4" t="str">
        <f>HYPERLINK("https://portal.gdc.cancer.gov/cases/53c94a86-1b4d-4833-a169-d990c460b301","TCGA-US-A779-01A")</f>
        <v>TCGA-US-A779-01A</v>
      </c>
      <c r="I17490" t="s">
        <v>111</v>
      </c>
      <c r="J17490" t="s">
        <v>563</v>
      </c>
      <c r="K17490" t="s">
        <v>33</v>
      </c>
      <c r="L17490" t="s">
        <v>113</v>
      </c>
      <c r="N17490" t="s">
        <v>29</v>
      </c>
    </row>
    <row r="17491" spans="1:14">
      <c r="A17491" s="4" t="str">
        <f t="shared" si="1282"/>
        <v>EXP00436</v>
      </c>
      <c r="B17491" s="3" t="s">
        <v>66</v>
      </c>
      <c r="C17491" s="4" t="str">
        <f t="shared" si="1281"/>
        <v>TCGA-PAAD</v>
      </c>
      <c r="D17491" s="1" t="s">
        <v>493</v>
      </c>
      <c r="E17491" t="s">
        <v>567</v>
      </c>
      <c r="F17491" s="1">
        <v>2</v>
      </c>
      <c r="G17491" s="1" t="s">
        <v>28</v>
      </c>
      <c r="H17491" s="4" t="str">
        <f>HYPERLINK("https://portal.gdc.cancer.gov/cases/74aa6675-28b7-46dc-9015-f07a07c7b018","TCGA-US-A77G-01A")</f>
        <v>TCGA-US-A77G-01A</v>
      </c>
      <c r="I17491" t="s">
        <v>111</v>
      </c>
      <c r="J17491" t="s">
        <v>563</v>
      </c>
      <c r="K17491" t="s">
        <v>33</v>
      </c>
      <c r="L17491" t="s">
        <v>113</v>
      </c>
      <c r="N17491" t="s">
        <v>29</v>
      </c>
    </row>
    <row r="17492" spans="1:14">
      <c r="A17492" s="4" t="str">
        <f t="shared" si="1282"/>
        <v>EXP00436</v>
      </c>
      <c r="B17492" s="3" t="s">
        <v>66</v>
      </c>
      <c r="C17492" s="4" t="str">
        <f t="shared" si="1281"/>
        <v>TCGA-PAAD</v>
      </c>
      <c r="D17492" s="1" t="s">
        <v>493</v>
      </c>
      <c r="E17492" t="s">
        <v>567</v>
      </c>
      <c r="F17492" s="1">
        <v>2</v>
      </c>
      <c r="G17492" s="1" t="s">
        <v>28</v>
      </c>
      <c r="H17492" s="4" t="str">
        <f>HYPERLINK("https://portal.gdc.cancer.gov/cases/3a3a8fe1-e35c-45d0-aa0b-4fefa9ee9183","TCGA-US-A77J-01A")</f>
        <v>TCGA-US-A77J-01A</v>
      </c>
      <c r="I17492" t="s">
        <v>111</v>
      </c>
      <c r="J17492" t="s">
        <v>563</v>
      </c>
      <c r="K17492" t="s">
        <v>33</v>
      </c>
      <c r="L17492" t="s">
        <v>113</v>
      </c>
      <c r="N17492" t="s">
        <v>29</v>
      </c>
    </row>
    <row r="17493" spans="1:14">
      <c r="A17493" s="4" t="str">
        <f t="shared" si="1282"/>
        <v>EXP00436</v>
      </c>
      <c r="B17493" s="3" t="s">
        <v>66</v>
      </c>
      <c r="C17493" s="4" t="str">
        <f t="shared" si="1281"/>
        <v>TCGA-PAAD</v>
      </c>
      <c r="D17493" s="1" t="s">
        <v>493</v>
      </c>
      <c r="E17493" t="s">
        <v>567</v>
      </c>
      <c r="F17493" s="1">
        <v>2</v>
      </c>
      <c r="G17493" s="1" t="s">
        <v>28</v>
      </c>
      <c r="H17493" s="4" t="str">
        <f>HYPERLINK("https://portal.gdc.cancer.gov/cases/f89d429f-4747-468b-b894-89583bd8ab02","TCGA-XD-AAUG-01A")</f>
        <v>TCGA-XD-AAUG-01A</v>
      </c>
      <c r="I17493" t="s">
        <v>111</v>
      </c>
      <c r="J17493" t="s">
        <v>563</v>
      </c>
      <c r="K17493" t="s">
        <v>33</v>
      </c>
      <c r="L17493" t="s">
        <v>113</v>
      </c>
      <c r="N17493" t="s">
        <v>29</v>
      </c>
    </row>
    <row r="17494" spans="1:14">
      <c r="A17494" s="4" t="str">
        <f t="shared" si="1282"/>
        <v>EXP00436</v>
      </c>
      <c r="B17494" s="3" t="s">
        <v>66</v>
      </c>
      <c r="C17494" s="4" t="str">
        <f t="shared" si="1281"/>
        <v>TCGA-PAAD</v>
      </c>
      <c r="D17494" s="1" t="s">
        <v>493</v>
      </c>
      <c r="E17494" t="s">
        <v>567</v>
      </c>
      <c r="F17494" s="1">
        <v>2</v>
      </c>
      <c r="G17494" s="1" t="s">
        <v>28</v>
      </c>
      <c r="H17494" s="4" t="str">
        <f>HYPERLINK("https://portal.gdc.cancer.gov/cases/b46b5a4c-59fc-4769-b05a-d15f9aaa753a","TCGA-XD-AAUH-01A")</f>
        <v>TCGA-XD-AAUH-01A</v>
      </c>
      <c r="I17494" t="s">
        <v>111</v>
      </c>
      <c r="J17494" t="s">
        <v>563</v>
      </c>
      <c r="K17494" t="s">
        <v>33</v>
      </c>
      <c r="L17494" t="s">
        <v>113</v>
      </c>
      <c r="N17494" t="s">
        <v>29</v>
      </c>
    </row>
    <row r="17495" spans="1:14">
      <c r="A17495" s="4" t="str">
        <f t="shared" si="1282"/>
        <v>EXP00436</v>
      </c>
      <c r="B17495" s="3" t="s">
        <v>66</v>
      </c>
      <c r="C17495" s="4" t="str">
        <f t="shared" si="1281"/>
        <v>TCGA-PAAD</v>
      </c>
      <c r="D17495" s="1" t="s">
        <v>493</v>
      </c>
      <c r="E17495" t="s">
        <v>567</v>
      </c>
      <c r="F17495" s="1">
        <v>2</v>
      </c>
      <c r="G17495" s="1" t="s">
        <v>28</v>
      </c>
      <c r="H17495" s="4" t="str">
        <f>HYPERLINK("https://portal.gdc.cancer.gov/cases/597a5a56-244b-4218-a55d-5d08217ea28c","TCGA-XD-AAUL-01A")</f>
        <v>TCGA-XD-AAUL-01A</v>
      </c>
      <c r="I17495" t="s">
        <v>111</v>
      </c>
      <c r="J17495" t="s">
        <v>563</v>
      </c>
      <c r="K17495" t="s">
        <v>33</v>
      </c>
      <c r="L17495" t="s">
        <v>113</v>
      </c>
      <c r="N17495" t="s">
        <v>29</v>
      </c>
    </row>
    <row r="17496" spans="1:14">
      <c r="A17496" s="4" t="str">
        <f t="shared" si="1282"/>
        <v>EXP00436</v>
      </c>
      <c r="B17496" s="3" t="s">
        <v>66</v>
      </c>
      <c r="C17496" s="4" t="str">
        <f t="shared" si="1281"/>
        <v>TCGA-PAAD</v>
      </c>
      <c r="D17496" s="1" t="s">
        <v>493</v>
      </c>
      <c r="E17496" t="s">
        <v>567</v>
      </c>
      <c r="F17496" s="1">
        <v>2</v>
      </c>
      <c r="G17496" s="1" t="s">
        <v>28</v>
      </c>
      <c r="H17496" s="4" t="str">
        <f>HYPERLINK("https://portal.gdc.cancer.gov/cases/b84b58c7-95b8-4162-8e61-414f8fe422c6","TCGA-YB-A89D-01A")</f>
        <v>TCGA-YB-A89D-01A</v>
      </c>
      <c r="I17496" t="s">
        <v>111</v>
      </c>
      <c r="J17496" t="s">
        <v>563</v>
      </c>
      <c r="K17496" t="s">
        <v>33</v>
      </c>
      <c r="L17496" t="s">
        <v>113</v>
      </c>
      <c r="N17496" t="s">
        <v>29</v>
      </c>
    </row>
    <row r="17497" spans="1:14">
      <c r="A17497" s="4" t="str">
        <f t="shared" si="1282"/>
        <v>EXP00436</v>
      </c>
      <c r="B17497" s="3" t="s">
        <v>66</v>
      </c>
      <c r="C17497" s="4" t="str">
        <f t="shared" si="1281"/>
        <v>TCGA-PAAD</v>
      </c>
      <c r="D17497" s="1" t="s">
        <v>493</v>
      </c>
      <c r="E17497" t="s">
        <v>567</v>
      </c>
      <c r="F17497" s="1">
        <v>2</v>
      </c>
      <c r="G17497" s="1" t="s">
        <v>28</v>
      </c>
      <c r="H17497" s="4" t="str">
        <f>HYPERLINK("https://portal.gdc.cancer.gov/cases/503d7e36-df78-428d-9971-09ff707645c2","TCGA-YH-A8SY-01A")</f>
        <v>TCGA-YH-A8SY-01A</v>
      </c>
      <c r="I17497" t="s">
        <v>111</v>
      </c>
      <c r="J17497" t="s">
        <v>563</v>
      </c>
      <c r="K17497" t="s">
        <v>33</v>
      </c>
      <c r="L17497" t="s">
        <v>113</v>
      </c>
      <c r="N17497" t="s">
        <v>29</v>
      </c>
    </row>
    <row r="17498" spans="1:14">
      <c r="A17498" s="4" t="str">
        <f t="shared" si="1282"/>
        <v>EXP00436</v>
      </c>
      <c r="B17498" s="3" t="s">
        <v>66</v>
      </c>
      <c r="C17498" s="4" t="str">
        <f t="shared" si="1281"/>
        <v>TCGA-PAAD</v>
      </c>
      <c r="D17498" s="1" t="s">
        <v>493</v>
      </c>
      <c r="E17498" t="s">
        <v>567</v>
      </c>
      <c r="F17498" s="1">
        <v>2</v>
      </c>
      <c r="G17498" s="1" t="s">
        <v>28</v>
      </c>
      <c r="H17498" s="4" t="str">
        <f>HYPERLINK("https://portal.gdc.cancer.gov/cases/ede2e8a7-465e-4725-880d-519899aba0c0","TCGA-YY-A8LH-01A")</f>
        <v>TCGA-YY-A8LH-01A</v>
      </c>
      <c r="I17498" t="s">
        <v>111</v>
      </c>
      <c r="J17498" t="s">
        <v>563</v>
      </c>
      <c r="K17498" t="s">
        <v>33</v>
      </c>
      <c r="L17498" t="s">
        <v>113</v>
      </c>
      <c r="N17498" t="s">
        <v>29</v>
      </c>
    </row>
    <row r="17499" spans="1:14">
      <c r="A17499" s="4" t="str">
        <f t="shared" si="1282"/>
        <v>EXP00436</v>
      </c>
      <c r="B17499" s="3" t="s">
        <v>66</v>
      </c>
      <c r="C17499" s="4" t="str">
        <f t="shared" si="1281"/>
        <v>TCGA-PAAD</v>
      </c>
      <c r="D17499" s="1" t="s">
        <v>493</v>
      </c>
      <c r="E17499" t="s">
        <v>567</v>
      </c>
      <c r="F17499" s="1">
        <v>2</v>
      </c>
      <c r="G17499" s="1" t="s">
        <v>28</v>
      </c>
      <c r="H17499" s="4" t="str">
        <f>HYPERLINK("https://portal.gdc.cancer.gov/cases/6a4e10b6-e6c4-4210-ae4d-0d8e8d0cb3ec","TCGA-Z5-AAPL-01A")</f>
        <v>TCGA-Z5-AAPL-01A</v>
      </c>
      <c r="I17499" t="s">
        <v>111</v>
      </c>
      <c r="J17499" t="s">
        <v>563</v>
      </c>
      <c r="K17499" t="s">
        <v>33</v>
      </c>
      <c r="L17499" t="s">
        <v>113</v>
      </c>
      <c r="N17499" t="s">
        <v>29</v>
      </c>
    </row>
    <row r="17500" spans="1:14">
      <c r="A17500" s="4" t="str">
        <f t="shared" ref="A17500:A17563" si="1283">HYPERLINK("http://hcmdb.i-sanger.com/experiment/details/experiment_id/EXP00437","EXP00437")</f>
        <v>EXP00437</v>
      </c>
      <c r="B17500" s="3" t="s">
        <v>66</v>
      </c>
      <c r="C17500" s="4" t="str">
        <f t="shared" ref="C17500:C17563" si="1284">HYPERLINK("https://portal.gdc.cancer.gov/projects/TCGA-PRAD","TCGA-PRAD")</f>
        <v>TCGA-PRAD</v>
      </c>
      <c r="D17500" s="1" t="s">
        <v>493</v>
      </c>
      <c r="E17500" t="s">
        <v>568</v>
      </c>
      <c r="F17500" s="1">
        <v>1</v>
      </c>
      <c r="G17500" s="1" t="s">
        <v>31</v>
      </c>
      <c r="H17500" s="4" t="str">
        <f>HYPERLINK("https://portal.gdc.cancer.gov/cases/084ac674-f4cf-4a4a-a6a2-687c05c272ea","TCGA-G9-A9S0-01A")</f>
        <v>TCGA-G9-A9S0-01A</v>
      </c>
      <c r="I17500" t="s">
        <v>161</v>
      </c>
      <c r="J17500" t="s">
        <v>569</v>
      </c>
      <c r="K17500" t="s">
        <v>19</v>
      </c>
      <c r="L17500" t="s">
        <v>162</v>
      </c>
      <c r="M17500" t="s">
        <v>50</v>
      </c>
      <c r="N17500" t="s">
        <v>29</v>
      </c>
    </row>
    <row r="17501" spans="1:14">
      <c r="A17501" s="4" t="str">
        <f t="shared" si="1283"/>
        <v>EXP00437</v>
      </c>
      <c r="B17501" s="3" t="s">
        <v>66</v>
      </c>
      <c r="C17501" s="4" t="str">
        <f t="shared" si="1284"/>
        <v>TCGA-PRAD</v>
      </c>
      <c r="D17501" s="1" t="s">
        <v>493</v>
      </c>
      <c r="E17501" t="s">
        <v>568</v>
      </c>
      <c r="F17501" s="1">
        <v>1</v>
      </c>
      <c r="G17501" s="1" t="s">
        <v>31</v>
      </c>
      <c r="H17501" s="4" t="str">
        <f>HYPERLINK("https://portal.gdc.cancer.gov/cases/9a8caef5-6543-4391-8a55-4999035693c5","TCGA-KK-A8I4-01A")</f>
        <v>TCGA-KK-A8I4-01A</v>
      </c>
      <c r="I17501" t="s">
        <v>161</v>
      </c>
      <c r="J17501" t="s">
        <v>569</v>
      </c>
      <c r="K17501" t="s">
        <v>19</v>
      </c>
      <c r="L17501" t="s">
        <v>162</v>
      </c>
      <c r="M17501" t="s">
        <v>50</v>
      </c>
      <c r="N17501" t="s">
        <v>29</v>
      </c>
    </row>
    <row r="17502" spans="1:14">
      <c r="A17502" s="4" t="str">
        <f t="shared" si="1283"/>
        <v>EXP00437</v>
      </c>
      <c r="B17502" s="3" t="s">
        <v>66</v>
      </c>
      <c r="C17502" s="4" t="str">
        <f t="shared" si="1284"/>
        <v>TCGA-PRAD</v>
      </c>
      <c r="D17502" s="1" t="s">
        <v>493</v>
      </c>
      <c r="E17502" t="s">
        <v>568</v>
      </c>
      <c r="F17502" s="1">
        <v>1</v>
      </c>
      <c r="G17502" s="1" t="s">
        <v>31</v>
      </c>
      <c r="H17502" s="4" t="str">
        <f>HYPERLINK("https://portal.gdc.cancer.gov/cases/e0dfc37a-4a2e-4353-9673-241b100b3467","TCGA-V1-A9O5-01A")</f>
        <v>TCGA-V1-A9O5-01A</v>
      </c>
      <c r="I17502" t="s">
        <v>161</v>
      </c>
      <c r="J17502" t="s">
        <v>569</v>
      </c>
      <c r="K17502" t="s">
        <v>19</v>
      </c>
      <c r="L17502" t="s">
        <v>162</v>
      </c>
      <c r="M17502" t="s">
        <v>51</v>
      </c>
      <c r="N17502" t="s">
        <v>29</v>
      </c>
    </row>
    <row r="17503" spans="1:14">
      <c r="A17503" s="4" t="str">
        <f t="shared" si="1283"/>
        <v>EXP00437</v>
      </c>
      <c r="B17503" s="3" t="s">
        <v>66</v>
      </c>
      <c r="C17503" s="4" t="str">
        <f t="shared" si="1284"/>
        <v>TCGA-PRAD</v>
      </c>
      <c r="D17503" s="1" t="s">
        <v>493</v>
      </c>
      <c r="E17503" t="s">
        <v>568</v>
      </c>
      <c r="F17503" s="1">
        <v>1</v>
      </c>
      <c r="G17503" s="1" t="s">
        <v>31</v>
      </c>
      <c r="H17503" s="4" t="str">
        <f>HYPERLINK("https://portal.gdc.cancer.gov/cases/0b5ed938-6ab8-4e76-8558-1d86f3a90dfa","TCGA-YL-A9WJ-01A")</f>
        <v>TCGA-YL-A9WJ-01A</v>
      </c>
      <c r="I17503" t="s">
        <v>161</v>
      </c>
      <c r="J17503" t="s">
        <v>569</v>
      </c>
      <c r="K17503" t="s">
        <v>19</v>
      </c>
      <c r="L17503" t="s">
        <v>162</v>
      </c>
      <c r="M17503" t="s">
        <v>570</v>
      </c>
      <c r="N17503" t="s">
        <v>29</v>
      </c>
    </row>
    <row r="17504" spans="1:14">
      <c r="A17504" s="4" t="str">
        <f t="shared" si="1283"/>
        <v>EXP00437</v>
      </c>
      <c r="B17504" s="3" t="s">
        <v>66</v>
      </c>
      <c r="C17504" s="4" t="str">
        <f t="shared" si="1284"/>
        <v>TCGA-PRAD</v>
      </c>
      <c r="D17504" s="1" t="s">
        <v>493</v>
      </c>
      <c r="E17504" t="s">
        <v>568</v>
      </c>
      <c r="F17504" s="1">
        <v>2</v>
      </c>
      <c r="G17504" s="1" t="s">
        <v>32</v>
      </c>
      <c r="H17504" s="4" t="str">
        <f>HYPERLINK("https://portal.gdc.cancer.gov/cases/49197847-cc83-4ce1-8397-d09cea4c4928","TCGA-2A-A8VL-01A")</f>
        <v>TCGA-2A-A8VL-01A</v>
      </c>
      <c r="I17504" t="s">
        <v>161</v>
      </c>
      <c r="J17504" t="s">
        <v>569</v>
      </c>
      <c r="K17504" t="s">
        <v>33</v>
      </c>
      <c r="L17504" t="s">
        <v>162</v>
      </c>
      <c r="N17504" t="s">
        <v>29</v>
      </c>
    </row>
    <row r="17505" spans="1:14">
      <c r="A17505" s="4" t="str">
        <f t="shared" si="1283"/>
        <v>EXP00437</v>
      </c>
      <c r="B17505" s="3" t="s">
        <v>66</v>
      </c>
      <c r="C17505" s="4" t="str">
        <f t="shared" si="1284"/>
        <v>TCGA-PRAD</v>
      </c>
      <c r="D17505" s="1" t="s">
        <v>493</v>
      </c>
      <c r="E17505" t="s">
        <v>568</v>
      </c>
      <c r="F17505" s="1">
        <v>2</v>
      </c>
      <c r="G17505" s="1" t="s">
        <v>32</v>
      </c>
      <c r="H17505" s="4" t="str">
        <f>HYPERLINK("https://portal.gdc.cancer.gov/cases/91c0d161-2b59-4b7a-8c19-6d26dea31849","TCGA-2A-A8VO-01A")</f>
        <v>TCGA-2A-A8VO-01A</v>
      </c>
      <c r="I17505" t="s">
        <v>161</v>
      </c>
      <c r="J17505" t="s">
        <v>569</v>
      </c>
      <c r="K17505" t="s">
        <v>33</v>
      </c>
      <c r="L17505" t="s">
        <v>162</v>
      </c>
      <c r="N17505" t="s">
        <v>29</v>
      </c>
    </row>
    <row r="17506" spans="1:14">
      <c r="A17506" s="4" t="str">
        <f t="shared" si="1283"/>
        <v>EXP00437</v>
      </c>
      <c r="B17506" s="3" t="s">
        <v>66</v>
      </c>
      <c r="C17506" s="4" t="str">
        <f t="shared" si="1284"/>
        <v>TCGA-PRAD</v>
      </c>
      <c r="D17506" s="1" t="s">
        <v>493</v>
      </c>
      <c r="E17506" t="s">
        <v>568</v>
      </c>
      <c r="F17506" s="1">
        <v>2</v>
      </c>
      <c r="G17506" s="1" t="s">
        <v>32</v>
      </c>
      <c r="H17506" s="4" t="str">
        <f>HYPERLINK("https://portal.gdc.cancer.gov/cases/931b549f-b9f2-4e8d-83ed-ff663671883c","TCGA-2A-A8VT-01A")</f>
        <v>TCGA-2A-A8VT-01A</v>
      </c>
      <c r="I17506" t="s">
        <v>161</v>
      </c>
      <c r="J17506" t="s">
        <v>569</v>
      </c>
      <c r="K17506" t="s">
        <v>33</v>
      </c>
      <c r="L17506" t="s">
        <v>162</v>
      </c>
      <c r="N17506" t="s">
        <v>29</v>
      </c>
    </row>
    <row r="17507" spans="1:14">
      <c r="A17507" s="4" t="str">
        <f t="shared" si="1283"/>
        <v>EXP00437</v>
      </c>
      <c r="B17507" s="3" t="s">
        <v>66</v>
      </c>
      <c r="C17507" s="4" t="str">
        <f t="shared" si="1284"/>
        <v>TCGA-PRAD</v>
      </c>
      <c r="D17507" s="1" t="s">
        <v>493</v>
      </c>
      <c r="E17507" t="s">
        <v>568</v>
      </c>
      <c r="F17507" s="1">
        <v>2</v>
      </c>
      <c r="G17507" s="1" t="s">
        <v>32</v>
      </c>
      <c r="H17507" s="4" t="str">
        <f>HYPERLINK("https://portal.gdc.cancer.gov/cases/75a7afb5-66d5-47e3-8a8a-3e3a1e749a96","TCGA-2A-A8VV-01A")</f>
        <v>TCGA-2A-A8VV-01A</v>
      </c>
      <c r="I17507" t="s">
        <v>161</v>
      </c>
      <c r="J17507" t="s">
        <v>569</v>
      </c>
      <c r="K17507" t="s">
        <v>33</v>
      </c>
      <c r="L17507" t="s">
        <v>162</v>
      </c>
      <c r="N17507" t="s">
        <v>29</v>
      </c>
    </row>
    <row r="17508" spans="1:14">
      <c r="A17508" s="4" t="str">
        <f t="shared" si="1283"/>
        <v>EXP00437</v>
      </c>
      <c r="B17508" s="3" t="s">
        <v>66</v>
      </c>
      <c r="C17508" s="4" t="str">
        <f t="shared" si="1284"/>
        <v>TCGA-PRAD</v>
      </c>
      <c r="D17508" s="1" t="s">
        <v>493</v>
      </c>
      <c r="E17508" t="s">
        <v>568</v>
      </c>
      <c r="F17508" s="1">
        <v>2</v>
      </c>
      <c r="G17508" s="1" t="s">
        <v>32</v>
      </c>
      <c r="H17508" s="4" t="str">
        <f>HYPERLINK("https://portal.gdc.cancer.gov/cases/942f1788-d977-4ac0-a177-659f9d4cd077","TCGA-2A-A8VX-01A")</f>
        <v>TCGA-2A-A8VX-01A</v>
      </c>
      <c r="I17508" t="s">
        <v>161</v>
      </c>
      <c r="J17508" t="s">
        <v>569</v>
      </c>
      <c r="K17508" t="s">
        <v>33</v>
      </c>
      <c r="L17508" t="s">
        <v>162</v>
      </c>
      <c r="N17508" t="s">
        <v>29</v>
      </c>
    </row>
    <row r="17509" spans="1:14">
      <c r="A17509" s="4" t="str">
        <f t="shared" si="1283"/>
        <v>EXP00437</v>
      </c>
      <c r="B17509" s="3" t="s">
        <v>66</v>
      </c>
      <c r="C17509" s="4" t="str">
        <f t="shared" si="1284"/>
        <v>TCGA-PRAD</v>
      </c>
      <c r="D17509" s="1" t="s">
        <v>493</v>
      </c>
      <c r="E17509" t="s">
        <v>568</v>
      </c>
      <c r="F17509" s="1">
        <v>2</v>
      </c>
      <c r="G17509" s="1" t="s">
        <v>32</v>
      </c>
      <c r="H17509" s="4" t="str">
        <f>HYPERLINK("https://portal.gdc.cancer.gov/cases/f5319fd5-beae-4ca8-8f42-45fca5e6a2d2","TCGA-2A-A8W1-01A")</f>
        <v>TCGA-2A-A8W1-01A</v>
      </c>
      <c r="I17509" t="s">
        <v>161</v>
      </c>
      <c r="J17509" t="s">
        <v>569</v>
      </c>
      <c r="K17509" t="s">
        <v>33</v>
      </c>
      <c r="L17509" t="s">
        <v>162</v>
      </c>
      <c r="N17509" t="s">
        <v>29</v>
      </c>
    </row>
    <row r="17510" spans="1:14">
      <c r="A17510" s="4" t="str">
        <f t="shared" si="1283"/>
        <v>EXP00437</v>
      </c>
      <c r="B17510" s="3" t="s">
        <v>66</v>
      </c>
      <c r="C17510" s="4" t="str">
        <f t="shared" si="1284"/>
        <v>TCGA-PRAD</v>
      </c>
      <c r="D17510" s="1" t="s">
        <v>493</v>
      </c>
      <c r="E17510" t="s">
        <v>568</v>
      </c>
      <c r="F17510" s="1">
        <v>2</v>
      </c>
      <c r="G17510" s="1" t="s">
        <v>32</v>
      </c>
      <c r="H17510" s="4" t="str">
        <f>HYPERLINK("https://portal.gdc.cancer.gov/cases/5a790086-4887-4d2b-9c28-0fdd5dd1f1fb","TCGA-2A-A8W3-01A")</f>
        <v>TCGA-2A-A8W3-01A</v>
      </c>
      <c r="I17510" t="s">
        <v>161</v>
      </c>
      <c r="J17510" t="s">
        <v>569</v>
      </c>
      <c r="K17510" t="s">
        <v>33</v>
      </c>
      <c r="L17510" t="s">
        <v>162</v>
      </c>
      <c r="N17510" t="s">
        <v>29</v>
      </c>
    </row>
    <row r="17511" spans="1:14">
      <c r="A17511" s="4" t="str">
        <f t="shared" si="1283"/>
        <v>EXP00437</v>
      </c>
      <c r="B17511" s="3" t="s">
        <v>66</v>
      </c>
      <c r="C17511" s="4" t="str">
        <f t="shared" si="1284"/>
        <v>TCGA-PRAD</v>
      </c>
      <c r="D17511" s="1" t="s">
        <v>493</v>
      </c>
      <c r="E17511" t="s">
        <v>568</v>
      </c>
      <c r="F17511" s="1">
        <v>2</v>
      </c>
      <c r="G17511" s="1" t="s">
        <v>32</v>
      </c>
      <c r="H17511" s="4" t="str">
        <f>HYPERLINK("https://portal.gdc.cancer.gov/cases/490e84ed-3c02-4593-990e-ade5c109df44","TCGA-2A-AAYF-01A")</f>
        <v>TCGA-2A-AAYF-01A</v>
      </c>
      <c r="I17511" t="s">
        <v>161</v>
      </c>
      <c r="J17511" t="s">
        <v>569</v>
      </c>
      <c r="K17511" t="s">
        <v>33</v>
      </c>
      <c r="L17511" t="s">
        <v>162</v>
      </c>
      <c r="N17511" t="s">
        <v>29</v>
      </c>
    </row>
    <row r="17512" spans="1:14">
      <c r="A17512" s="4" t="str">
        <f t="shared" si="1283"/>
        <v>EXP00437</v>
      </c>
      <c r="B17512" s="3" t="s">
        <v>66</v>
      </c>
      <c r="C17512" s="4" t="str">
        <f t="shared" si="1284"/>
        <v>TCGA-PRAD</v>
      </c>
      <c r="D17512" s="1" t="s">
        <v>493</v>
      </c>
      <c r="E17512" t="s">
        <v>568</v>
      </c>
      <c r="F17512" s="1">
        <v>2</v>
      </c>
      <c r="G17512" s="1" t="s">
        <v>32</v>
      </c>
      <c r="H17512" s="4" t="str">
        <f>HYPERLINK("https://portal.gdc.cancer.gov/cases/8c0d361f-eaab-4768-90f2-b7a610e2bbb1","TCGA-2A-AAYO-01A")</f>
        <v>TCGA-2A-AAYO-01A</v>
      </c>
      <c r="I17512" t="s">
        <v>161</v>
      </c>
      <c r="J17512" t="s">
        <v>569</v>
      </c>
      <c r="K17512" t="s">
        <v>33</v>
      </c>
      <c r="L17512" t="s">
        <v>162</v>
      </c>
      <c r="N17512" t="s">
        <v>29</v>
      </c>
    </row>
    <row r="17513" spans="1:14">
      <c r="A17513" s="4" t="str">
        <f t="shared" si="1283"/>
        <v>EXP00437</v>
      </c>
      <c r="B17513" s="3" t="s">
        <v>66</v>
      </c>
      <c r="C17513" s="4" t="str">
        <f t="shared" si="1284"/>
        <v>TCGA-PRAD</v>
      </c>
      <c r="D17513" s="1" t="s">
        <v>493</v>
      </c>
      <c r="E17513" t="s">
        <v>568</v>
      </c>
      <c r="F17513" s="1">
        <v>2</v>
      </c>
      <c r="G17513" s="1" t="s">
        <v>32</v>
      </c>
      <c r="H17513" s="4" t="str">
        <f>HYPERLINK("https://portal.gdc.cancer.gov/cases/aa1a3a43-2f9c-456c-ba74-81c29b9801cb","TCGA-2A-AAYU-01A")</f>
        <v>TCGA-2A-AAYU-01A</v>
      </c>
      <c r="I17513" t="s">
        <v>161</v>
      </c>
      <c r="J17513" t="s">
        <v>569</v>
      </c>
      <c r="K17513" t="s">
        <v>33</v>
      </c>
      <c r="L17513" t="s">
        <v>162</v>
      </c>
      <c r="N17513" t="s">
        <v>29</v>
      </c>
    </row>
    <row r="17514" spans="1:14">
      <c r="A17514" s="4" t="str">
        <f t="shared" si="1283"/>
        <v>EXP00437</v>
      </c>
      <c r="B17514" s="3" t="s">
        <v>66</v>
      </c>
      <c r="C17514" s="4" t="str">
        <f t="shared" si="1284"/>
        <v>TCGA-PRAD</v>
      </c>
      <c r="D17514" s="1" t="s">
        <v>493</v>
      </c>
      <c r="E17514" t="s">
        <v>568</v>
      </c>
      <c r="F17514" s="1">
        <v>2</v>
      </c>
      <c r="G17514" s="1" t="s">
        <v>32</v>
      </c>
      <c r="H17514" s="4" t="str">
        <f>HYPERLINK("https://portal.gdc.cancer.gov/cases/47abcd03-c6ff-4777-ac26-f880474092ff","TCGA-4L-AA1F-01A")</f>
        <v>TCGA-4L-AA1F-01A</v>
      </c>
      <c r="I17514" t="s">
        <v>161</v>
      </c>
      <c r="J17514" t="s">
        <v>569</v>
      </c>
      <c r="K17514" t="s">
        <v>33</v>
      </c>
      <c r="L17514" t="s">
        <v>162</v>
      </c>
      <c r="N17514" t="s">
        <v>29</v>
      </c>
    </row>
    <row r="17515" spans="1:14">
      <c r="A17515" s="4" t="str">
        <f t="shared" si="1283"/>
        <v>EXP00437</v>
      </c>
      <c r="B17515" s="3" t="s">
        <v>66</v>
      </c>
      <c r="C17515" s="4" t="str">
        <f t="shared" si="1284"/>
        <v>TCGA-PRAD</v>
      </c>
      <c r="D17515" s="1" t="s">
        <v>493</v>
      </c>
      <c r="E17515" t="s">
        <v>568</v>
      </c>
      <c r="F17515" s="1">
        <v>2</v>
      </c>
      <c r="G17515" s="1" t="s">
        <v>32</v>
      </c>
      <c r="H17515" s="4" t="str">
        <f>HYPERLINK("https://portal.gdc.cancer.gov/cases/4f9f1fce-d96e-407b-a873-56129985aece","TCGA-CH-5737-01A")</f>
        <v>TCGA-CH-5737-01A</v>
      </c>
      <c r="I17515" t="s">
        <v>161</v>
      </c>
      <c r="J17515" t="s">
        <v>569</v>
      </c>
      <c r="K17515" t="s">
        <v>33</v>
      </c>
      <c r="L17515" t="s">
        <v>162</v>
      </c>
      <c r="N17515" t="s">
        <v>29</v>
      </c>
    </row>
    <row r="17516" spans="1:14">
      <c r="A17516" s="4" t="str">
        <f t="shared" si="1283"/>
        <v>EXP00437</v>
      </c>
      <c r="B17516" s="3" t="s">
        <v>66</v>
      </c>
      <c r="C17516" s="4" t="str">
        <f t="shared" si="1284"/>
        <v>TCGA-PRAD</v>
      </c>
      <c r="D17516" s="1" t="s">
        <v>493</v>
      </c>
      <c r="E17516" t="s">
        <v>568</v>
      </c>
      <c r="F17516" s="1">
        <v>2</v>
      </c>
      <c r="G17516" s="1" t="s">
        <v>32</v>
      </c>
      <c r="H17516" s="4" t="str">
        <f>HYPERLINK("https://portal.gdc.cancer.gov/cases/5828401b-0901-4a73-9d0c-1e85d3431475","TCGA-CH-5738-01A")</f>
        <v>TCGA-CH-5738-01A</v>
      </c>
      <c r="I17516" t="s">
        <v>161</v>
      </c>
      <c r="J17516" t="s">
        <v>569</v>
      </c>
      <c r="K17516" t="s">
        <v>33</v>
      </c>
      <c r="L17516" t="s">
        <v>162</v>
      </c>
      <c r="N17516" t="s">
        <v>29</v>
      </c>
    </row>
    <row r="17517" spans="1:14">
      <c r="A17517" s="4" t="str">
        <f t="shared" si="1283"/>
        <v>EXP00437</v>
      </c>
      <c r="B17517" s="3" t="s">
        <v>66</v>
      </c>
      <c r="C17517" s="4" t="str">
        <f t="shared" si="1284"/>
        <v>TCGA-PRAD</v>
      </c>
      <c r="D17517" s="1" t="s">
        <v>493</v>
      </c>
      <c r="E17517" t="s">
        <v>568</v>
      </c>
      <c r="F17517" s="1">
        <v>2</v>
      </c>
      <c r="G17517" s="1" t="s">
        <v>32</v>
      </c>
      <c r="H17517" s="4" t="str">
        <f>HYPERLINK("https://portal.gdc.cancer.gov/cases/79601d90-b198-4b94-b60f-4cff329c7a10","TCGA-CH-5739-01A")</f>
        <v>TCGA-CH-5739-01A</v>
      </c>
      <c r="I17517" t="s">
        <v>161</v>
      </c>
      <c r="J17517" t="s">
        <v>569</v>
      </c>
      <c r="K17517" t="s">
        <v>33</v>
      </c>
      <c r="L17517" t="s">
        <v>162</v>
      </c>
      <c r="N17517" t="s">
        <v>29</v>
      </c>
    </row>
    <row r="17518" spans="1:14">
      <c r="A17518" s="4" t="str">
        <f t="shared" si="1283"/>
        <v>EXP00437</v>
      </c>
      <c r="B17518" s="3" t="s">
        <v>66</v>
      </c>
      <c r="C17518" s="4" t="str">
        <f t="shared" si="1284"/>
        <v>TCGA-PRAD</v>
      </c>
      <c r="D17518" s="1" t="s">
        <v>493</v>
      </c>
      <c r="E17518" t="s">
        <v>568</v>
      </c>
      <c r="F17518" s="1">
        <v>2</v>
      </c>
      <c r="G17518" s="1" t="s">
        <v>32</v>
      </c>
      <c r="H17518" s="4" t="str">
        <f>HYPERLINK("https://portal.gdc.cancer.gov/cases/cd113dc4-915a-47d2-bce0-9dba915a9d29","TCGA-CH-5740-01A")</f>
        <v>TCGA-CH-5740-01A</v>
      </c>
      <c r="I17518" t="s">
        <v>161</v>
      </c>
      <c r="J17518" t="s">
        <v>569</v>
      </c>
      <c r="K17518" t="s">
        <v>33</v>
      </c>
      <c r="L17518" t="s">
        <v>162</v>
      </c>
      <c r="N17518" t="s">
        <v>29</v>
      </c>
    </row>
    <row r="17519" spans="1:14">
      <c r="A17519" s="4" t="str">
        <f t="shared" si="1283"/>
        <v>EXP00437</v>
      </c>
      <c r="B17519" s="3" t="s">
        <v>66</v>
      </c>
      <c r="C17519" s="4" t="str">
        <f t="shared" si="1284"/>
        <v>TCGA-PRAD</v>
      </c>
      <c r="D17519" s="1" t="s">
        <v>493</v>
      </c>
      <c r="E17519" t="s">
        <v>568</v>
      </c>
      <c r="F17519" s="1">
        <v>2</v>
      </c>
      <c r="G17519" s="1" t="s">
        <v>32</v>
      </c>
      <c r="H17519" s="4" t="str">
        <f>HYPERLINK("https://portal.gdc.cancer.gov/cases/b3bf57d4-e31a-4740-b438-fa826fb79550","TCGA-CH-5741-01A")</f>
        <v>TCGA-CH-5741-01A</v>
      </c>
      <c r="I17519" t="s">
        <v>161</v>
      </c>
      <c r="J17519" t="s">
        <v>569</v>
      </c>
      <c r="K17519" t="s">
        <v>33</v>
      </c>
      <c r="L17519" t="s">
        <v>162</v>
      </c>
      <c r="N17519" t="s">
        <v>29</v>
      </c>
    </row>
    <row r="17520" spans="1:14">
      <c r="A17520" s="4" t="str">
        <f t="shared" si="1283"/>
        <v>EXP00437</v>
      </c>
      <c r="B17520" s="3" t="s">
        <v>66</v>
      </c>
      <c r="C17520" s="4" t="str">
        <f t="shared" si="1284"/>
        <v>TCGA-PRAD</v>
      </c>
      <c r="D17520" s="1" t="s">
        <v>493</v>
      </c>
      <c r="E17520" t="s">
        <v>568</v>
      </c>
      <c r="F17520" s="1">
        <v>2</v>
      </c>
      <c r="G17520" s="1" t="s">
        <v>32</v>
      </c>
      <c r="H17520" s="4" t="str">
        <f>HYPERLINK("https://portal.gdc.cancer.gov/cases/2dee4bd8-b00e-4f8a-bfea-5d8d1a068202","TCGA-CH-5743-01A")</f>
        <v>TCGA-CH-5743-01A</v>
      </c>
      <c r="I17520" t="s">
        <v>161</v>
      </c>
      <c r="J17520" t="s">
        <v>569</v>
      </c>
      <c r="K17520" t="s">
        <v>33</v>
      </c>
      <c r="L17520" t="s">
        <v>162</v>
      </c>
      <c r="N17520" t="s">
        <v>29</v>
      </c>
    </row>
    <row r="17521" spans="1:14">
      <c r="A17521" s="4" t="str">
        <f t="shared" si="1283"/>
        <v>EXP00437</v>
      </c>
      <c r="B17521" s="3" t="s">
        <v>66</v>
      </c>
      <c r="C17521" s="4" t="str">
        <f t="shared" si="1284"/>
        <v>TCGA-PRAD</v>
      </c>
      <c r="D17521" s="1" t="s">
        <v>493</v>
      </c>
      <c r="E17521" t="s">
        <v>568</v>
      </c>
      <c r="F17521" s="1">
        <v>2</v>
      </c>
      <c r="G17521" s="1" t="s">
        <v>32</v>
      </c>
      <c r="H17521" s="4" t="str">
        <f>HYPERLINK("https://portal.gdc.cancer.gov/cases/4e76de8e-cb0d-4b83-8ab4-53bc67a7a9d3","TCGA-CH-5744-01A")</f>
        <v>TCGA-CH-5744-01A</v>
      </c>
      <c r="I17521" t="s">
        <v>161</v>
      </c>
      <c r="J17521" t="s">
        <v>569</v>
      </c>
      <c r="K17521" t="s">
        <v>33</v>
      </c>
      <c r="L17521" t="s">
        <v>162</v>
      </c>
      <c r="N17521" t="s">
        <v>29</v>
      </c>
    </row>
    <row r="17522" spans="1:14">
      <c r="A17522" s="4" t="str">
        <f t="shared" si="1283"/>
        <v>EXP00437</v>
      </c>
      <c r="B17522" s="3" t="s">
        <v>66</v>
      </c>
      <c r="C17522" s="4" t="str">
        <f t="shared" si="1284"/>
        <v>TCGA-PRAD</v>
      </c>
      <c r="D17522" s="1" t="s">
        <v>493</v>
      </c>
      <c r="E17522" t="s">
        <v>568</v>
      </c>
      <c r="F17522" s="1">
        <v>2</v>
      </c>
      <c r="G17522" s="1" t="s">
        <v>32</v>
      </c>
      <c r="H17522" s="4" t="str">
        <f>HYPERLINK("https://portal.gdc.cancer.gov/cases/ac67d0df-7dc0-4a1a-8b47-beec9b94de86","TCGA-CH-5745-01A")</f>
        <v>TCGA-CH-5745-01A</v>
      </c>
      <c r="I17522" t="s">
        <v>161</v>
      </c>
      <c r="J17522" t="s">
        <v>569</v>
      </c>
      <c r="K17522" t="s">
        <v>33</v>
      </c>
      <c r="L17522" t="s">
        <v>162</v>
      </c>
      <c r="N17522" t="s">
        <v>29</v>
      </c>
    </row>
    <row r="17523" spans="1:14">
      <c r="A17523" s="4" t="str">
        <f t="shared" si="1283"/>
        <v>EXP00437</v>
      </c>
      <c r="B17523" s="3" t="s">
        <v>66</v>
      </c>
      <c r="C17523" s="4" t="str">
        <f t="shared" si="1284"/>
        <v>TCGA-PRAD</v>
      </c>
      <c r="D17523" s="1" t="s">
        <v>493</v>
      </c>
      <c r="E17523" t="s">
        <v>568</v>
      </c>
      <c r="F17523" s="1">
        <v>2</v>
      </c>
      <c r="G17523" s="1" t="s">
        <v>32</v>
      </c>
      <c r="H17523" s="4" t="str">
        <f>HYPERLINK("https://portal.gdc.cancer.gov/cases/618272c0-c2ed-4bfb-bb4b-404f0987f822","TCGA-CH-5746-01A")</f>
        <v>TCGA-CH-5746-01A</v>
      </c>
      <c r="I17523" t="s">
        <v>161</v>
      </c>
      <c r="J17523" t="s">
        <v>569</v>
      </c>
      <c r="K17523" t="s">
        <v>33</v>
      </c>
      <c r="L17523" t="s">
        <v>162</v>
      </c>
      <c r="N17523" t="s">
        <v>29</v>
      </c>
    </row>
    <row r="17524" spans="1:14">
      <c r="A17524" s="4" t="str">
        <f t="shared" si="1283"/>
        <v>EXP00437</v>
      </c>
      <c r="B17524" s="3" t="s">
        <v>66</v>
      </c>
      <c r="C17524" s="4" t="str">
        <f t="shared" si="1284"/>
        <v>TCGA-PRAD</v>
      </c>
      <c r="D17524" s="1" t="s">
        <v>493</v>
      </c>
      <c r="E17524" t="s">
        <v>568</v>
      </c>
      <c r="F17524" s="1">
        <v>2</v>
      </c>
      <c r="G17524" s="1" t="s">
        <v>32</v>
      </c>
      <c r="H17524" s="4" t="str">
        <f>HYPERLINK("https://portal.gdc.cancer.gov/cases/0af98331-9305-41e9-af55-30390016d65e","TCGA-CH-5748-01A")</f>
        <v>TCGA-CH-5748-01A</v>
      </c>
      <c r="I17524" t="s">
        <v>161</v>
      </c>
      <c r="J17524" t="s">
        <v>569</v>
      </c>
      <c r="K17524" t="s">
        <v>33</v>
      </c>
      <c r="L17524" t="s">
        <v>162</v>
      </c>
      <c r="N17524" t="s">
        <v>29</v>
      </c>
    </row>
    <row r="17525" spans="1:14">
      <c r="A17525" s="4" t="str">
        <f t="shared" si="1283"/>
        <v>EXP00437</v>
      </c>
      <c r="B17525" s="3" t="s">
        <v>66</v>
      </c>
      <c r="C17525" s="4" t="str">
        <f t="shared" si="1284"/>
        <v>TCGA-PRAD</v>
      </c>
      <c r="D17525" s="1" t="s">
        <v>493</v>
      </c>
      <c r="E17525" t="s">
        <v>568</v>
      </c>
      <c r="F17525" s="1">
        <v>2</v>
      </c>
      <c r="G17525" s="1" t="s">
        <v>32</v>
      </c>
      <c r="H17525" s="4" t="str">
        <f>HYPERLINK("https://portal.gdc.cancer.gov/cases/dc40cf49-b208-4f59-b5f0-cfbdd02970b2","TCGA-CH-5750-01A")</f>
        <v>TCGA-CH-5750-01A</v>
      </c>
      <c r="I17525" t="s">
        <v>161</v>
      </c>
      <c r="J17525" t="s">
        <v>569</v>
      </c>
      <c r="K17525" t="s">
        <v>33</v>
      </c>
      <c r="L17525" t="s">
        <v>162</v>
      </c>
      <c r="N17525" t="s">
        <v>29</v>
      </c>
    </row>
    <row r="17526" spans="1:14">
      <c r="A17526" s="4" t="str">
        <f t="shared" si="1283"/>
        <v>EXP00437</v>
      </c>
      <c r="B17526" s="3" t="s">
        <v>66</v>
      </c>
      <c r="C17526" s="4" t="str">
        <f t="shared" si="1284"/>
        <v>TCGA-PRAD</v>
      </c>
      <c r="D17526" s="1" t="s">
        <v>493</v>
      </c>
      <c r="E17526" t="s">
        <v>568</v>
      </c>
      <c r="F17526" s="1">
        <v>2</v>
      </c>
      <c r="G17526" s="1" t="s">
        <v>32</v>
      </c>
      <c r="H17526" s="4" t="str">
        <f>HYPERLINK("https://portal.gdc.cancer.gov/cases/d8f56d75-51ab-4a86-a502-c86e1dcd1eff","TCGA-CH-5752-01A")</f>
        <v>TCGA-CH-5752-01A</v>
      </c>
      <c r="I17526" t="s">
        <v>161</v>
      </c>
      <c r="J17526" t="s">
        <v>569</v>
      </c>
      <c r="K17526" t="s">
        <v>33</v>
      </c>
      <c r="L17526" t="s">
        <v>162</v>
      </c>
      <c r="N17526" t="s">
        <v>29</v>
      </c>
    </row>
    <row r="17527" spans="1:14">
      <c r="A17527" s="4" t="str">
        <f t="shared" si="1283"/>
        <v>EXP00437</v>
      </c>
      <c r="B17527" s="3" t="s">
        <v>66</v>
      </c>
      <c r="C17527" s="4" t="str">
        <f t="shared" si="1284"/>
        <v>TCGA-PRAD</v>
      </c>
      <c r="D17527" s="1" t="s">
        <v>493</v>
      </c>
      <c r="E17527" t="s">
        <v>568</v>
      </c>
      <c r="F17527" s="1">
        <v>2</v>
      </c>
      <c r="G17527" s="1" t="s">
        <v>32</v>
      </c>
      <c r="H17527" s="4" t="str">
        <f>HYPERLINK("https://portal.gdc.cancer.gov/cases/928c48a0-68ee-4e28-ae83-9832e52850ca","TCGA-CH-5753-01A")</f>
        <v>TCGA-CH-5753-01A</v>
      </c>
      <c r="I17527" t="s">
        <v>161</v>
      </c>
      <c r="J17527" t="s">
        <v>569</v>
      </c>
      <c r="K17527" t="s">
        <v>33</v>
      </c>
      <c r="L17527" t="s">
        <v>162</v>
      </c>
      <c r="N17527" t="s">
        <v>29</v>
      </c>
    </row>
    <row r="17528" spans="1:14">
      <c r="A17528" s="4" t="str">
        <f t="shared" si="1283"/>
        <v>EXP00437</v>
      </c>
      <c r="B17528" s="3" t="s">
        <v>66</v>
      </c>
      <c r="C17528" s="4" t="str">
        <f t="shared" si="1284"/>
        <v>TCGA-PRAD</v>
      </c>
      <c r="D17528" s="1" t="s">
        <v>493</v>
      </c>
      <c r="E17528" t="s">
        <v>568</v>
      </c>
      <c r="F17528" s="1">
        <v>2</v>
      </c>
      <c r="G17528" s="1" t="s">
        <v>32</v>
      </c>
      <c r="H17528" s="4" t="str">
        <f>HYPERLINK("https://portal.gdc.cancer.gov/cases/0aad0abd-750a-400d-a34f-491da996d46c","TCGA-CH-5754-01A")</f>
        <v>TCGA-CH-5754-01A</v>
      </c>
      <c r="I17528" t="s">
        <v>161</v>
      </c>
      <c r="J17528" t="s">
        <v>569</v>
      </c>
      <c r="K17528" t="s">
        <v>33</v>
      </c>
      <c r="L17528" t="s">
        <v>162</v>
      </c>
      <c r="N17528" t="s">
        <v>29</v>
      </c>
    </row>
    <row r="17529" spans="1:14">
      <c r="A17529" s="4" t="str">
        <f t="shared" si="1283"/>
        <v>EXP00437</v>
      </c>
      <c r="B17529" s="3" t="s">
        <v>66</v>
      </c>
      <c r="C17529" s="4" t="str">
        <f t="shared" si="1284"/>
        <v>TCGA-PRAD</v>
      </c>
      <c r="D17529" s="1" t="s">
        <v>493</v>
      </c>
      <c r="E17529" t="s">
        <v>568</v>
      </c>
      <c r="F17529" s="1">
        <v>2</v>
      </c>
      <c r="G17529" s="1" t="s">
        <v>32</v>
      </c>
      <c r="H17529" s="4" t="str">
        <f>HYPERLINK("https://portal.gdc.cancer.gov/cases/854a481b-71a2-4f23-80aa-e91e9f4069b1","TCGA-CH-5761-01A")</f>
        <v>TCGA-CH-5761-01A</v>
      </c>
      <c r="I17529" t="s">
        <v>161</v>
      </c>
      <c r="J17529" t="s">
        <v>569</v>
      </c>
      <c r="K17529" t="s">
        <v>33</v>
      </c>
      <c r="L17529" t="s">
        <v>162</v>
      </c>
      <c r="N17529" t="s">
        <v>29</v>
      </c>
    </row>
    <row r="17530" spans="1:14">
      <c r="A17530" s="4" t="str">
        <f t="shared" si="1283"/>
        <v>EXP00437</v>
      </c>
      <c r="B17530" s="3" t="s">
        <v>66</v>
      </c>
      <c r="C17530" s="4" t="str">
        <f t="shared" si="1284"/>
        <v>TCGA-PRAD</v>
      </c>
      <c r="D17530" s="1" t="s">
        <v>493</v>
      </c>
      <c r="E17530" t="s">
        <v>568</v>
      </c>
      <c r="F17530" s="1">
        <v>2</v>
      </c>
      <c r="G17530" s="1" t="s">
        <v>32</v>
      </c>
      <c r="H17530" s="4" t="str">
        <f>HYPERLINK("https://portal.gdc.cancer.gov/cases/d4ffafdc-ee83-43df-aa3b-7326503c6438","TCGA-CH-5762-01A")</f>
        <v>TCGA-CH-5762-01A</v>
      </c>
      <c r="I17530" t="s">
        <v>161</v>
      </c>
      <c r="J17530" t="s">
        <v>569</v>
      </c>
      <c r="K17530" t="s">
        <v>33</v>
      </c>
      <c r="L17530" t="s">
        <v>162</v>
      </c>
      <c r="N17530" t="s">
        <v>29</v>
      </c>
    </row>
    <row r="17531" spans="1:14">
      <c r="A17531" s="4" t="str">
        <f t="shared" si="1283"/>
        <v>EXP00437</v>
      </c>
      <c r="B17531" s="3" t="s">
        <v>66</v>
      </c>
      <c r="C17531" s="4" t="str">
        <f t="shared" si="1284"/>
        <v>TCGA-PRAD</v>
      </c>
      <c r="D17531" s="1" t="s">
        <v>493</v>
      </c>
      <c r="E17531" t="s">
        <v>568</v>
      </c>
      <c r="F17531" s="1">
        <v>2</v>
      </c>
      <c r="G17531" s="1" t="s">
        <v>32</v>
      </c>
      <c r="H17531" s="4" t="str">
        <f>HYPERLINK("https://portal.gdc.cancer.gov/cases/18e79a01-07a2-4cd5-b700-71d41724e041","TCGA-CH-5763-01A")</f>
        <v>TCGA-CH-5763-01A</v>
      </c>
      <c r="I17531" t="s">
        <v>161</v>
      </c>
      <c r="J17531" t="s">
        <v>569</v>
      </c>
      <c r="K17531" t="s">
        <v>33</v>
      </c>
      <c r="L17531" t="s">
        <v>162</v>
      </c>
      <c r="N17531" t="s">
        <v>29</v>
      </c>
    </row>
    <row r="17532" spans="1:14">
      <c r="A17532" s="4" t="str">
        <f t="shared" si="1283"/>
        <v>EXP00437</v>
      </c>
      <c r="B17532" s="3" t="s">
        <v>66</v>
      </c>
      <c r="C17532" s="4" t="str">
        <f t="shared" si="1284"/>
        <v>TCGA-PRAD</v>
      </c>
      <c r="D17532" s="1" t="s">
        <v>493</v>
      </c>
      <c r="E17532" t="s">
        <v>568</v>
      </c>
      <c r="F17532" s="1">
        <v>2</v>
      </c>
      <c r="G17532" s="1" t="s">
        <v>32</v>
      </c>
      <c r="H17532" s="4" t="str">
        <f>HYPERLINK("https://portal.gdc.cancer.gov/cases/ed73f136-42e8-4100-b432-d10370d07e8b","TCGA-CH-5764-01A")</f>
        <v>TCGA-CH-5764-01A</v>
      </c>
      <c r="I17532" t="s">
        <v>161</v>
      </c>
      <c r="J17532" t="s">
        <v>569</v>
      </c>
      <c r="K17532" t="s">
        <v>33</v>
      </c>
      <c r="L17532" t="s">
        <v>162</v>
      </c>
      <c r="N17532" t="s">
        <v>29</v>
      </c>
    </row>
    <row r="17533" spans="1:14">
      <c r="A17533" s="4" t="str">
        <f t="shared" si="1283"/>
        <v>EXP00437</v>
      </c>
      <c r="B17533" s="3" t="s">
        <v>66</v>
      </c>
      <c r="C17533" s="4" t="str">
        <f t="shared" si="1284"/>
        <v>TCGA-PRAD</v>
      </c>
      <c r="D17533" s="1" t="s">
        <v>493</v>
      </c>
      <c r="E17533" t="s">
        <v>568</v>
      </c>
      <c r="F17533" s="1">
        <v>2</v>
      </c>
      <c r="G17533" s="1" t="s">
        <v>32</v>
      </c>
      <c r="H17533" s="4" t="str">
        <f>HYPERLINK("https://portal.gdc.cancer.gov/cases/716eb429-d7af-4d4f-bd8d-afcff1a323ee","TCGA-CH-5765-01A")</f>
        <v>TCGA-CH-5765-01A</v>
      </c>
      <c r="I17533" t="s">
        <v>161</v>
      </c>
      <c r="J17533" t="s">
        <v>569</v>
      </c>
      <c r="K17533" t="s">
        <v>33</v>
      </c>
      <c r="L17533" t="s">
        <v>162</v>
      </c>
      <c r="N17533" t="s">
        <v>29</v>
      </c>
    </row>
    <row r="17534" spans="1:14">
      <c r="A17534" s="4" t="str">
        <f t="shared" si="1283"/>
        <v>EXP00437</v>
      </c>
      <c r="B17534" s="3" t="s">
        <v>66</v>
      </c>
      <c r="C17534" s="4" t="str">
        <f t="shared" si="1284"/>
        <v>TCGA-PRAD</v>
      </c>
      <c r="D17534" s="1" t="s">
        <v>493</v>
      </c>
      <c r="E17534" t="s">
        <v>568</v>
      </c>
      <c r="F17534" s="1">
        <v>2</v>
      </c>
      <c r="G17534" s="1" t="s">
        <v>32</v>
      </c>
      <c r="H17534" s="4" t="str">
        <f>HYPERLINK("https://portal.gdc.cancer.gov/cases/a5c77ab6-6e98-4a3d-81c8-f3d5fabd31d2","TCGA-CH-5766-01A")</f>
        <v>TCGA-CH-5766-01A</v>
      </c>
      <c r="I17534" t="s">
        <v>161</v>
      </c>
      <c r="J17534" t="s">
        <v>569</v>
      </c>
      <c r="K17534" t="s">
        <v>33</v>
      </c>
      <c r="L17534" t="s">
        <v>162</v>
      </c>
      <c r="N17534" t="s">
        <v>29</v>
      </c>
    </row>
    <row r="17535" spans="1:14">
      <c r="A17535" s="4" t="str">
        <f t="shared" si="1283"/>
        <v>EXP00437</v>
      </c>
      <c r="B17535" s="3" t="s">
        <v>66</v>
      </c>
      <c r="C17535" s="4" t="str">
        <f t="shared" si="1284"/>
        <v>TCGA-PRAD</v>
      </c>
      <c r="D17535" s="1" t="s">
        <v>493</v>
      </c>
      <c r="E17535" t="s">
        <v>568</v>
      </c>
      <c r="F17535" s="1">
        <v>2</v>
      </c>
      <c r="G17535" s="1" t="s">
        <v>32</v>
      </c>
      <c r="H17535" s="4" t="str">
        <f>HYPERLINK("https://portal.gdc.cancer.gov/cases/8dc53431-44ab-485e-b4e6-c3d06509506d","TCGA-CH-5767-01A")</f>
        <v>TCGA-CH-5767-01A</v>
      </c>
      <c r="I17535" t="s">
        <v>161</v>
      </c>
      <c r="J17535" t="s">
        <v>569</v>
      </c>
      <c r="K17535" t="s">
        <v>33</v>
      </c>
      <c r="L17535" t="s">
        <v>162</v>
      </c>
      <c r="N17535" t="s">
        <v>29</v>
      </c>
    </row>
    <row r="17536" spans="1:14">
      <c r="A17536" s="4" t="str">
        <f t="shared" si="1283"/>
        <v>EXP00437</v>
      </c>
      <c r="B17536" s="3" t="s">
        <v>66</v>
      </c>
      <c r="C17536" s="4" t="str">
        <f t="shared" si="1284"/>
        <v>TCGA-PRAD</v>
      </c>
      <c r="D17536" s="1" t="s">
        <v>493</v>
      </c>
      <c r="E17536" t="s">
        <v>568</v>
      </c>
      <c r="F17536" s="1">
        <v>2</v>
      </c>
      <c r="G17536" s="1" t="s">
        <v>32</v>
      </c>
      <c r="H17536" s="4" t="str">
        <f>HYPERLINK("https://portal.gdc.cancer.gov/cases/f6c61a22-a711-416d-9e65-6a1b957e5b2e","TCGA-CH-5768-01A")</f>
        <v>TCGA-CH-5768-01A</v>
      </c>
      <c r="I17536" t="s">
        <v>161</v>
      </c>
      <c r="J17536" t="s">
        <v>569</v>
      </c>
      <c r="K17536" t="s">
        <v>33</v>
      </c>
      <c r="L17536" t="s">
        <v>162</v>
      </c>
      <c r="N17536" t="s">
        <v>29</v>
      </c>
    </row>
    <row r="17537" spans="1:14">
      <c r="A17537" s="4" t="str">
        <f t="shared" si="1283"/>
        <v>EXP00437</v>
      </c>
      <c r="B17537" s="3" t="s">
        <v>66</v>
      </c>
      <c r="C17537" s="4" t="str">
        <f t="shared" si="1284"/>
        <v>TCGA-PRAD</v>
      </c>
      <c r="D17537" s="1" t="s">
        <v>493</v>
      </c>
      <c r="E17537" t="s">
        <v>568</v>
      </c>
      <c r="F17537" s="1">
        <v>2</v>
      </c>
      <c r="G17537" s="1" t="s">
        <v>32</v>
      </c>
      <c r="H17537" s="4" t="str">
        <f>HYPERLINK("https://portal.gdc.cancer.gov/cases/a7b76662-8380-4f35-9307-99c0acacb904","TCGA-CH-5769-01A")</f>
        <v>TCGA-CH-5769-01A</v>
      </c>
      <c r="I17537" t="s">
        <v>161</v>
      </c>
      <c r="J17537" t="s">
        <v>569</v>
      </c>
      <c r="K17537" t="s">
        <v>33</v>
      </c>
      <c r="L17537" t="s">
        <v>162</v>
      </c>
      <c r="N17537" t="s">
        <v>29</v>
      </c>
    </row>
    <row r="17538" spans="1:14">
      <c r="A17538" s="4" t="str">
        <f t="shared" si="1283"/>
        <v>EXP00437</v>
      </c>
      <c r="B17538" s="3" t="s">
        <v>66</v>
      </c>
      <c r="C17538" s="4" t="str">
        <f t="shared" si="1284"/>
        <v>TCGA-PRAD</v>
      </c>
      <c r="D17538" s="1" t="s">
        <v>493</v>
      </c>
      <c r="E17538" t="s">
        <v>568</v>
      </c>
      <c r="F17538" s="1">
        <v>2</v>
      </c>
      <c r="G17538" s="1" t="s">
        <v>32</v>
      </c>
      <c r="H17538" s="4" t="str">
        <f>HYPERLINK("https://portal.gdc.cancer.gov/cases/3acd8328-76f7-4f43-9660-394b95748c3d","TCGA-CH-5771-01A")</f>
        <v>TCGA-CH-5771-01A</v>
      </c>
      <c r="I17538" t="s">
        <v>161</v>
      </c>
      <c r="J17538" t="s">
        <v>569</v>
      </c>
      <c r="K17538" t="s">
        <v>33</v>
      </c>
      <c r="L17538" t="s">
        <v>162</v>
      </c>
      <c r="N17538" t="s">
        <v>29</v>
      </c>
    </row>
    <row r="17539" spans="1:14">
      <c r="A17539" s="4" t="str">
        <f t="shared" si="1283"/>
        <v>EXP00437</v>
      </c>
      <c r="B17539" s="3" t="s">
        <v>66</v>
      </c>
      <c r="C17539" s="4" t="str">
        <f t="shared" si="1284"/>
        <v>TCGA-PRAD</v>
      </c>
      <c r="D17539" s="1" t="s">
        <v>493</v>
      </c>
      <c r="E17539" t="s">
        <v>568</v>
      </c>
      <c r="F17539" s="1">
        <v>2</v>
      </c>
      <c r="G17539" s="1" t="s">
        <v>32</v>
      </c>
      <c r="H17539" s="4" t="str">
        <f>HYPERLINK("https://portal.gdc.cancer.gov/cases/ecf9f8be-7830-4626-8617-694c68ef4074","TCGA-CH-5772-01A")</f>
        <v>TCGA-CH-5772-01A</v>
      </c>
      <c r="I17539" t="s">
        <v>161</v>
      </c>
      <c r="J17539" t="s">
        <v>569</v>
      </c>
      <c r="K17539" t="s">
        <v>33</v>
      </c>
      <c r="L17539" t="s">
        <v>162</v>
      </c>
      <c r="N17539" t="s">
        <v>29</v>
      </c>
    </row>
    <row r="17540" spans="1:14">
      <c r="A17540" s="4" t="str">
        <f t="shared" si="1283"/>
        <v>EXP00437</v>
      </c>
      <c r="B17540" s="3" t="s">
        <v>66</v>
      </c>
      <c r="C17540" s="4" t="str">
        <f t="shared" si="1284"/>
        <v>TCGA-PRAD</v>
      </c>
      <c r="D17540" s="1" t="s">
        <v>493</v>
      </c>
      <c r="E17540" t="s">
        <v>568</v>
      </c>
      <c r="F17540" s="1">
        <v>2</v>
      </c>
      <c r="G17540" s="1" t="s">
        <v>32</v>
      </c>
      <c r="H17540" s="4" t="str">
        <f>HYPERLINK("https://portal.gdc.cancer.gov/cases/c039014f-821c-43d6-9d3c-914f9c8d98fa","TCGA-CH-5788-01A")</f>
        <v>TCGA-CH-5788-01A</v>
      </c>
      <c r="I17540" t="s">
        <v>161</v>
      </c>
      <c r="J17540" t="s">
        <v>569</v>
      </c>
      <c r="K17540" t="s">
        <v>33</v>
      </c>
      <c r="L17540" t="s">
        <v>162</v>
      </c>
      <c r="N17540" t="s">
        <v>29</v>
      </c>
    </row>
    <row r="17541" spans="1:14">
      <c r="A17541" s="4" t="str">
        <f t="shared" si="1283"/>
        <v>EXP00437</v>
      </c>
      <c r="B17541" s="3" t="s">
        <v>66</v>
      </c>
      <c r="C17541" s="4" t="str">
        <f t="shared" si="1284"/>
        <v>TCGA-PRAD</v>
      </c>
      <c r="D17541" s="1" t="s">
        <v>493</v>
      </c>
      <c r="E17541" t="s">
        <v>568</v>
      </c>
      <c r="F17541" s="1">
        <v>2</v>
      </c>
      <c r="G17541" s="1" t="s">
        <v>32</v>
      </c>
      <c r="H17541" s="4" t="str">
        <f>HYPERLINK("https://portal.gdc.cancer.gov/cases/be5411dc-3caa-4b25-9b94-ce463e8e52b4","TCGA-CH-5789-01A")</f>
        <v>TCGA-CH-5789-01A</v>
      </c>
      <c r="I17541" t="s">
        <v>161</v>
      </c>
      <c r="J17541" t="s">
        <v>569</v>
      </c>
      <c r="K17541" t="s">
        <v>33</v>
      </c>
      <c r="L17541" t="s">
        <v>162</v>
      </c>
      <c r="N17541" t="s">
        <v>29</v>
      </c>
    </row>
    <row r="17542" spans="1:14">
      <c r="A17542" s="4" t="str">
        <f t="shared" si="1283"/>
        <v>EXP00437</v>
      </c>
      <c r="B17542" s="3" t="s">
        <v>66</v>
      </c>
      <c r="C17542" s="4" t="str">
        <f t="shared" si="1284"/>
        <v>TCGA-PRAD</v>
      </c>
      <c r="D17542" s="1" t="s">
        <v>493</v>
      </c>
      <c r="E17542" t="s">
        <v>568</v>
      </c>
      <c r="F17542" s="1">
        <v>2</v>
      </c>
      <c r="G17542" s="1" t="s">
        <v>32</v>
      </c>
      <c r="H17542" s="4" t="str">
        <f>HYPERLINK("https://portal.gdc.cancer.gov/cases/2b5ef82d-e137-43f6-bfef-b202f20ee187","TCGA-CH-5790-01A")</f>
        <v>TCGA-CH-5790-01A</v>
      </c>
      <c r="I17542" t="s">
        <v>161</v>
      </c>
      <c r="J17542" t="s">
        <v>569</v>
      </c>
      <c r="K17542" t="s">
        <v>33</v>
      </c>
      <c r="L17542" t="s">
        <v>162</v>
      </c>
      <c r="N17542" t="s">
        <v>29</v>
      </c>
    </row>
    <row r="17543" spans="1:14">
      <c r="A17543" s="4" t="str">
        <f t="shared" si="1283"/>
        <v>EXP00437</v>
      </c>
      <c r="B17543" s="3" t="s">
        <v>66</v>
      </c>
      <c r="C17543" s="4" t="str">
        <f t="shared" si="1284"/>
        <v>TCGA-PRAD</v>
      </c>
      <c r="D17543" s="1" t="s">
        <v>493</v>
      </c>
      <c r="E17543" t="s">
        <v>568</v>
      </c>
      <c r="F17543" s="1">
        <v>2</v>
      </c>
      <c r="G17543" s="1" t="s">
        <v>32</v>
      </c>
      <c r="H17543" s="4" t="str">
        <f>HYPERLINK("https://portal.gdc.cancer.gov/cases/829bed0c-c40d-44fd-aee8-6c7589db60f9","TCGA-CH-5791-01A")</f>
        <v>TCGA-CH-5791-01A</v>
      </c>
      <c r="I17543" t="s">
        <v>161</v>
      </c>
      <c r="J17543" t="s">
        <v>569</v>
      </c>
      <c r="K17543" t="s">
        <v>33</v>
      </c>
      <c r="L17543" t="s">
        <v>162</v>
      </c>
      <c r="N17543" t="s">
        <v>29</v>
      </c>
    </row>
    <row r="17544" spans="1:14">
      <c r="A17544" s="4" t="str">
        <f t="shared" si="1283"/>
        <v>EXP00437</v>
      </c>
      <c r="B17544" s="3" t="s">
        <v>66</v>
      </c>
      <c r="C17544" s="4" t="str">
        <f t="shared" si="1284"/>
        <v>TCGA-PRAD</v>
      </c>
      <c r="D17544" s="1" t="s">
        <v>493</v>
      </c>
      <c r="E17544" t="s">
        <v>568</v>
      </c>
      <c r="F17544" s="1">
        <v>2</v>
      </c>
      <c r="G17544" s="1" t="s">
        <v>32</v>
      </c>
      <c r="H17544" s="4" t="str">
        <f>HYPERLINK("https://portal.gdc.cancer.gov/cases/8a5f2d7f-835c-4726-b238-f82d6a7f25bd","TCGA-CH-5792-01A")</f>
        <v>TCGA-CH-5792-01A</v>
      </c>
      <c r="I17544" t="s">
        <v>161</v>
      </c>
      <c r="J17544" t="s">
        <v>569</v>
      </c>
      <c r="K17544" t="s">
        <v>33</v>
      </c>
      <c r="L17544" t="s">
        <v>162</v>
      </c>
      <c r="N17544" t="s">
        <v>29</v>
      </c>
    </row>
    <row r="17545" spans="1:14">
      <c r="A17545" s="4" t="str">
        <f t="shared" si="1283"/>
        <v>EXP00437</v>
      </c>
      <c r="B17545" s="3" t="s">
        <v>66</v>
      </c>
      <c r="C17545" s="4" t="str">
        <f t="shared" si="1284"/>
        <v>TCGA-PRAD</v>
      </c>
      <c r="D17545" s="1" t="s">
        <v>493</v>
      </c>
      <c r="E17545" t="s">
        <v>568</v>
      </c>
      <c r="F17545" s="1">
        <v>2</v>
      </c>
      <c r="G17545" s="1" t="s">
        <v>32</v>
      </c>
      <c r="H17545" s="4" t="str">
        <f>HYPERLINK("https://portal.gdc.cancer.gov/cases/a80d3ee7-60dd-49bb-b049-9335afc035f5","TCGA-CH-5794-01A")</f>
        <v>TCGA-CH-5794-01A</v>
      </c>
      <c r="I17545" t="s">
        <v>161</v>
      </c>
      <c r="J17545" t="s">
        <v>569</v>
      </c>
      <c r="K17545" t="s">
        <v>33</v>
      </c>
      <c r="L17545" t="s">
        <v>162</v>
      </c>
      <c r="N17545" t="s">
        <v>29</v>
      </c>
    </row>
    <row r="17546" spans="1:14">
      <c r="A17546" s="4" t="str">
        <f t="shared" si="1283"/>
        <v>EXP00437</v>
      </c>
      <c r="B17546" s="3" t="s">
        <v>66</v>
      </c>
      <c r="C17546" s="4" t="str">
        <f t="shared" si="1284"/>
        <v>TCGA-PRAD</v>
      </c>
      <c r="D17546" s="1" t="s">
        <v>493</v>
      </c>
      <c r="E17546" t="s">
        <v>568</v>
      </c>
      <c r="F17546" s="1">
        <v>2</v>
      </c>
      <c r="G17546" s="1" t="s">
        <v>32</v>
      </c>
      <c r="H17546" s="4" t="str">
        <f>HYPERLINK("https://portal.gdc.cancer.gov/cases/e27c50e2-2a41-4f8c-9ef8-2bc51fb0c23e","TCGA-EJ-5494-01A")</f>
        <v>TCGA-EJ-5494-01A</v>
      </c>
      <c r="I17546" t="s">
        <v>161</v>
      </c>
      <c r="J17546" t="s">
        <v>569</v>
      </c>
      <c r="K17546" t="s">
        <v>33</v>
      </c>
      <c r="L17546" t="s">
        <v>162</v>
      </c>
      <c r="N17546" t="s">
        <v>29</v>
      </c>
    </row>
    <row r="17547" spans="1:14">
      <c r="A17547" s="4" t="str">
        <f t="shared" si="1283"/>
        <v>EXP00437</v>
      </c>
      <c r="B17547" s="3" t="s">
        <v>66</v>
      </c>
      <c r="C17547" s="4" t="str">
        <f t="shared" si="1284"/>
        <v>TCGA-PRAD</v>
      </c>
      <c r="D17547" s="1" t="s">
        <v>493</v>
      </c>
      <c r="E17547" t="s">
        <v>568</v>
      </c>
      <c r="F17547" s="1">
        <v>2</v>
      </c>
      <c r="G17547" s="1" t="s">
        <v>32</v>
      </c>
      <c r="H17547" s="4" t="str">
        <f>HYPERLINK("https://portal.gdc.cancer.gov/cases/962dd3d5-8501-4658-8cb9-2424b476124c","TCGA-EJ-5495-01A")</f>
        <v>TCGA-EJ-5495-01A</v>
      </c>
      <c r="I17547" t="s">
        <v>161</v>
      </c>
      <c r="J17547" t="s">
        <v>569</v>
      </c>
      <c r="K17547" t="s">
        <v>33</v>
      </c>
      <c r="L17547" t="s">
        <v>162</v>
      </c>
      <c r="N17547" t="s">
        <v>29</v>
      </c>
    </row>
    <row r="17548" spans="1:14">
      <c r="A17548" s="4" t="str">
        <f t="shared" si="1283"/>
        <v>EXP00437</v>
      </c>
      <c r="B17548" s="3" t="s">
        <v>66</v>
      </c>
      <c r="C17548" s="4" t="str">
        <f t="shared" si="1284"/>
        <v>TCGA-PRAD</v>
      </c>
      <c r="D17548" s="1" t="s">
        <v>493</v>
      </c>
      <c r="E17548" t="s">
        <v>568</v>
      </c>
      <c r="F17548" s="1">
        <v>2</v>
      </c>
      <c r="G17548" s="1" t="s">
        <v>32</v>
      </c>
      <c r="H17548" s="4" t="str">
        <f>HYPERLINK("https://portal.gdc.cancer.gov/cases/6755c231-355f-4cc3-85f1-6306c7f5d44b","TCGA-EJ-5496-01A")</f>
        <v>TCGA-EJ-5496-01A</v>
      </c>
      <c r="I17548" t="s">
        <v>161</v>
      </c>
      <c r="J17548" t="s">
        <v>569</v>
      </c>
      <c r="K17548" t="s">
        <v>33</v>
      </c>
      <c r="L17548" t="s">
        <v>162</v>
      </c>
      <c r="N17548" t="s">
        <v>29</v>
      </c>
    </row>
    <row r="17549" spans="1:14">
      <c r="A17549" s="4" t="str">
        <f t="shared" si="1283"/>
        <v>EXP00437</v>
      </c>
      <c r="B17549" s="3" t="s">
        <v>66</v>
      </c>
      <c r="C17549" s="4" t="str">
        <f t="shared" si="1284"/>
        <v>TCGA-PRAD</v>
      </c>
      <c r="D17549" s="1" t="s">
        <v>493</v>
      </c>
      <c r="E17549" t="s">
        <v>568</v>
      </c>
      <c r="F17549" s="1">
        <v>2</v>
      </c>
      <c r="G17549" s="1" t="s">
        <v>32</v>
      </c>
      <c r="H17549" s="4" t="str">
        <f>HYPERLINK("https://portal.gdc.cancer.gov/cases/dee02265-d8dd-4379-ae08-72d72b03a570","TCGA-EJ-5497-01A")</f>
        <v>TCGA-EJ-5497-01A</v>
      </c>
      <c r="I17549" t="s">
        <v>161</v>
      </c>
      <c r="J17549" t="s">
        <v>569</v>
      </c>
      <c r="K17549" t="s">
        <v>33</v>
      </c>
      <c r="L17549" t="s">
        <v>162</v>
      </c>
      <c r="N17549" t="s">
        <v>29</v>
      </c>
    </row>
    <row r="17550" spans="1:14">
      <c r="A17550" s="4" t="str">
        <f t="shared" si="1283"/>
        <v>EXP00437</v>
      </c>
      <c r="B17550" s="3" t="s">
        <v>66</v>
      </c>
      <c r="C17550" s="4" t="str">
        <f t="shared" si="1284"/>
        <v>TCGA-PRAD</v>
      </c>
      <c r="D17550" s="1" t="s">
        <v>493</v>
      </c>
      <c r="E17550" t="s">
        <v>568</v>
      </c>
      <c r="F17550" s="1">
        <v>2</v>
      </c>
      <c r="G17550" s="1" t="s">
        <v>32</v>
      </c>
      <c r="H17550" s="4" t="str">
        <f>HYPERLINK("https://portal.gdc.cancer.gov/cases/79ec7468-9aaf-4bb0-94c7-72be4f497868","TCGA-EJ-5498-01A")</f>
        <v>TCGA-EJ-5498-01A</v>
      </c>
      <c r="I17550" t="s">
        <v>161</v>
      </c>
      <c r="J17550" t="s">
        <v>569</v>
      </c>
      <c r="K17550" t="s">
        <v>33</v>
      </c>
      <c r="L17550" t="s">
        <v>162</v>
      </c>
      <c r="N17550" t="s">
        <v>29</v>
      </c>
    </row>
    <row r="17551" spans="1:14">
      <c r="A17551" s="4" t="str">
        <f t="shared" si="1283"/>
        <v>EXP00437</v>
      </c>
      <c r="B17551" s="3" t="s">
        <v>66</v>
      </c>
      <c r="C17551" s="4" t="str">
        <f t="shared" si="1284"/>
        <v>TCGA-PRAD</v>
      </c>
      <c r="D17551" s="1" t="s">
        <v>493</v>
      </c>
      <c r="E17551" t="s">
        <v>568</v>
      </c>
      <c r="F17551" s="1">
        <v>2</v>
      </c>
      <c r="G17551" s="1" t="s">
        <v>32</v>
      </c>
      <c r="H17551" s="4" t="str">
        <f>HYPERLINK("https://portal.gdc.cancer.gov/cases/fd1aa612-df86-4d48-892d-2acebd76ea96","TCGA-EJ-5499-01A")</f>
        <v>TCGA-EJ-5499-01A</v>
      </c>
      <c r="I17551" t="s">
        <v>161</v>
      </c>
      <c r="J17551" t="s">
        <v>569</v>
      </c>
      <c r="K17551" t="s">
        <v>33</v>
      </c>
      <c r="L17551" t="s">
        <v>162</v>
      </c>
      <c r="N17551" t="s">
        <v>29</v>
      </c>
    </row>
    <row r="17552" spans="1:14">
      <c r="A17552" s="4" t="str">
        <f t="shared" si="1283"/>
        <v>EXP00437</v>
      </c>
      <c r="B17552" s="3" t="s">
        <v>66</v>
      </c>
      <c r="C17552" s="4" t="str">
        <f t="shared" si="1284"/>
        <v>TCGA-PRAD</v>
      </c>
      <c r="D17552" s="1" t="s">
        <v>493</v>
      </c>
      <c r="E17552" t="s">
        <v>568</v>
      </c>
      <c r="F17552" s="1">
        <v>2</v>
      </c>
      <c r="G17552" s="1" t="s">
        <v>32</v>
      </c>
      <c r="H17552" s="4" t="str">
        <f>HYPERLINK("https://portal.gdc.cancer.gov/cases/8df0c1e8-966c-4f46-ad15-fae9e745a32e","TCGA-EJ-5501-01A")</f>
        <v>TCGA-EJ-5501-01A</v>
      </c>
      <c r="I17552" t="s">
        <v>161</v>
      </c>
      <c r="J17552" t="s">
        <v>569</v>
      </c>
      <c r="K17552" t="s">
        <v>33</v>
      </c>
      <c r="L17552" t="s">
        <v>162</v>
      </c>
      <c r="N17552" t="s">
        <v>29</v>
      </c>
    </row>
    <row r="17553" spans="1:14">
      <c r="A17553" s="4" t="str">
        <f t="shared" si="1283"/>
        <v>EXP00437</v>
      </c>
      <c r="B17553" s="3" t="s">
        <v>66</v>
      </c>
      <c r="C17553" s="4" t="str">
        <f t="shared" si="1284"/>
        <v>TCGA-PRAD</v>
      </c>
      <c r="D17553" s="1" t="s">
        <v>493</v>
      </c>
      <c r="E17553" t="s">
        <v>568</v>
      </c>
      <c r="F17553" s="1">
        <v>2</v>
      </c>
      <c r="G17553" s="1" t="s">
        <v>32</v>
      </c>
      <c r="H17553" s="4" t="str">
        <f>HYPERLINK("https://portal.gdc.cancer.gov/cases/48e83a4c-c602-494a-80cd-e2f4b4dd701e","TCGA-EJ-5502-01A")</f>
        <v>TCGA-EJ-5502-01A</v>
      </c>
      <c r="I17553" t="s">
        <v>161</v>
      </c>
      <c r="J17553" t="s">
        <v>569</v>
      </c>
      <c r="K17553" t="s">
        <v>33</v>
      </c>
      <c r="L17553" t="s">
        <v>162</v>
      </c>
      <c r="N17553" t="s">
        <v>29</v>
      </c>
    </row>
    <row r="17554" spans="1:14">
      <c r="A17554" s="4" t="str">
        <f t="shared" si="1283"/>
        <v>EXP00437</v>
      </c>
      <c r="B17554" s="3" t="s">
        <v>66</v>
      </c>
      <c r="C17554" s="4" t="str">
        <f t="shared" si="1284"/>
        <v>TCGA-PRAD</v>
      </c>
      <c r="D17554" s="1" t="s">
        <v>493</v>
      </c>
      <c r="E17554" t="s">
        <v>568</v>
      </c>
      <c r="F17554" s="1">
        <v>2</v>
      </c>
      <c r="G17554" s="1" t="s">
        <v>32</v>
      </c>
      <c r="H17554" s="4" t="str">
        <f>HYPERLINK("https://portal.gdc.cancer.gov/cases/aa252f78-ebf3-42f9-86af-bb6e57345706","TCGA-EJ-5503-01A")</f>
        <v>TCGA-EJ-5503-01A</v>
      </c>
      <c r="I17554" t="s">
        <v>161</v>
      </c>
      <c r="J17554" t="s">
        <v>569</v>
      </c>
      <c r="K17554" t="s">
        <v>33</v>
      </c>
      <c r="L17554" t="s">
        <v>162</v>
      </c>
      <c r="N17554" t="s">
        <v>29</v>
      </c>
    </row>
    <row r="17555" spans="1:14">
      <c r="A17555" s="4" t="str">
        <f t="shared" si="1283"/>
        <v>EXP00437</v>
      </c>
      <c r="B17555" s="3" t="s">
        <v>66</v>
      </c>
      <c r="C17555" s="4" t="str">
        <f t="shared" si="1284"/>
        <v>TCGA-PRAD</v>
      </c>
      <c r="D17555" s="1" t="s">
        <v>493</v>
      </c>
      <c r="E17555" t="s">
        <v>568</v>
      </c>
      <c r="F17555" s="1">
        <v>2</v>
      </c>
      <c r="G17555" s="1" t="s">
        <v>32</v>
      </c>
      <c r="H17555" s="4" t="str">
        <f>HYPERLINK("https://portal.gdc.cancer.gov/cases/e1c3d1bd-cf8f-4fa4-ac8e-bf9e54f7aad4","TCGA-EJ-5504-01A")</f>
        <v>TCGA-EJ-5504-01A</v>
      </c>
      <c r="I17555" t="s">
        <v>161</v>
      </c>
      <c r="J17555" t="s">
        <v>569</v>
      </c>
      <c r="K17555" t="s">
        <v>33</v>
      </c>
      <c r="L17555" t="s">
        <v>162</v>
      </c>
      <c r="N17555" t="s">
        <v>29</v>
      </c>
    </row>
    <row r="17556" spans="1:14">
      <c r="A17556" s="4" t="str">
        <f t="shared" si="1283"/>
        <v>EXP00437</v>
      </c>
      <c r="B17556" s="3" t="s">
        <v>66</v>
      </c>
      <c r="C17556" s="4" t="str">
        <f t="shared" si="1284"/>
        <v>TCGA-PRAD</v>
      </c>
      <c r="D17556" s="1" t="s">
        <v>493</v>
      </c>
      <c r="E17556" t="s">
        <v>568</v>
      </c>
      <c r="F17556" s="1">
        <v>2</v>
      </c>
      <c r="G17556" s="1" t="s">
        <v>32</v>
      </c>
      <c r="H17556" s="4" t="str">
        <f>HYPERLINK("https://portal.gdc.cancer.gov/cases/1ea3b879-5451-49fb-b930-16e9b5627f18","TCGA-EJ-5505-01A")</f>
        <v>TCGA-EJ-5505-01A</v>
      </c>
      <c r="I17556" t="s">
        <v>161</v>
      </c>
      <c r="J17556" t="s">
        <v>569</v>
      </c>
      <c r="K17556" t="s">
        <v>33</v>
      </c>
      <c r="L17556" t="s">
        <v>162</v>
      </c>
      <c r="N17556" t="s">
        <v>29</v>
      </c>
    </row>
    <row r="17557" spans="1:14">
      <c r="A17557" s="4" t="str">
        <f t="shared" si="1283"/>
        <v>EXP00437</v>
      </c>
      <c r="B17557" s="3" t="s">
        <v>66</v>
      </c>
      <c r="C17557" s="4" t="str">
        <f t="shared" si="1284"/>
        <v>TCGA-PRAD</v>
      </c>
      <c r="D17557" s="1" t="s">
        <v>493</v>
      </c>
      <c r="E17557" t="s">
        <v>568</v>
      </c>
      <c r="F17557" s="1">
        <v>2</v>
      </c>
      <c r="G17557" s="1" t="s">
        <v>32</v>
      </c>
      <c r="H17557" s="4" t="str">
        <f>HYPERLINK("https://portal.gdc.cancer.gov/cases/e5e4d3b6-8e58-4dcf-8f67-a00e656a8e27","TCGA-EJ-5506-01A")</f>
        <v>TCGA-EJ-5506-01A</v>
      </c>
      <c r="I17557" t="s">
        <v>161</v>
      </c>
      <c r="J17557" t="s">
        <v>569</v>
      </c>
      <c r="K17557" t="s">
        <v>33</v>
      </c>
      <c r="L17557" t="s">
        <v>162</v>
      </c>
      <c r="N17557" t="s">
        <v>29</v>
      </c>
    </row>
    <row r="17558" spans="1:14">
      <c r="A17558" s="4" t="str">
        <f t="shared" si="1283"/>
        <v>EXP00437</v>
      </c>
      <c r="B17558" s="3" t="s">
        <v>66</v>
      </c>
      <c r="C17558" s="4" t="str">
        <f t="shared" si="1284"/>
        <v>TCGA-PRAD</v>
      </c>
      <c r="D17558" s="1" t="s">
        <v>493</v>
      </c>
      <c r="E17558" t="s">
        <v>568</v>
      </c>
      <c r="F17558" s="1">
        <v>2</v>
      </c>
      <c r="G17558" s="1" t="s">
        <v>32</v>
      </c>
      <c r="H17558" s="4" t="str">
        <f>HYPERLINK("https://portal.gdc.cancer.gov/cases/607200f5-df80-4f5d-90fb-fdc455a7415b","TCGA-EJ-5507-01A")</f>
        <v>TCGA-EJ-5507-01A</v>
      </c>
      <c r="I17558" t="s">
        <v>161</v>
      </c>
      <c r="J17558" t="s">
        <v>569</v>
      </c>
      <c r="K17558" t="s">
        <v>33</v>
      </c>
      <c r="L17558" t="s">
        <v>162</v>
      </c>
      <c r="N17558" t="s">
        <v>29</v>
      </c>
    </row>
    <row r="17559" spans="1:14">
      <c r="A17559" s="4" t="str">
        <f t="shared" si="1283"/>
        <v>EXP00437</v>
      </c>
      <c r="B17559" s="3" t="s">
        <v>66</v>
      </c>
      <c r="C17559" s="4" t="str">
        <f t="shared" si="1284"/>
        <v>TCGA-PRAD</v>
      </c>
      <c r="D17559" s="1" t="s">
        <v>493</v>
      </c>
      <c r="E17559" t="s">
        <v>568</v>
      </c>
      <c r="F17559" s="1">
        <v>2</v>
      </c>
      <c r="G17559" s="1" t="s">
        <v>32</v>
      </c>
      <c r="H17559" s="4" t="str">
        <f>HYPERLINK("https://portal.gdc.cancer.gov/cases/bd18dd01-d894-4bdd-9ce2-e25705a52a57","TCGA-EJ-5508-01A")</f>
        <v>TCGA-EJ-5508-01A</v>
      </c>
      <c r="I17559" t="s">
        <v>161</v>
      </c>
      <c r="J17559" t="s">
        <v>569</v>
      </c>
      <c r="K17559" t="s">
        <v>33</v>
      </c>
      <c r="L17559" t="s">
        <v>162</v>
      </c>
      <c r="N17559" t="s">
        <v>29</v>
      </c>
    </row>
    <row r="17560" spans="1:14">
      <c r="A17560" s="4" t="str">
        <f t="shared" si="1283"/>
        <v>EXP00437</v>
      </c>
      <c r="B17560" s="3" t="s">
        <v>66</v>
      </c>
      <c r="C17560" s="4" t="str">
        <f t="shared" si="1284"/>
        <v>TCGA-PRAD</v>
      </c>
      <c r="D17560" s="1" t="s">
        <v>493</v>
      </c>
      <c r="E17560" t="s">
        <v>568</v>
      </c>
      <c r="F17560" s="1">
        <v>2</v>
      </c>
      <c r="G17560" s="1" t="s">
        <v>32</v>
      </c>
      <c r="H17560" s="4" t="str">
        <f>HYPERLINK("https://portal.gdc.cancer.gov/cases/13ce70a8-785c-4b59-b073-41922cb201f9","TCGA-EJ-5509-01A")</f>
        <v>TCGA-EJ-5509-01A</v>
      </c>
      <c r="I17560" t="s">
        <v>161</v>
      </c>
      <c r="J17560" t="s">
        <v>569</v>
      </c>
      <c r="K17560" t="s">
        <v>33</v>
      </c>
      <c r="L17560" t="s">
        <v>162</v>
      </c>
      <c r="N17560" t="s">
        <v>29</v>
      </c>
    </row>
    <row r="17561" spans="1:14">
      <c r="A17561" s="4" t="str">
        <f t="shared" si="1283"/>
        <v>EXP00437</v>
      </c>
      <c r="B17561" s="3" t="s">
        <v>66</v>
      </c>
      <c r="C17561" s="4" t="str">
        <f t="shared" si="1284"/>
        <v>TCGA-PRAD</v>
      </c>
      <c r="D17561" s="1" t="s">
        <v>493</v>
      </c>
      <c r="E17561" t="s">
        <v>568</v>
      </c>
      <c r="F17561" s="1">
        <v>2</v>
      </c>
      <c r="G17561" s="1" t="s">
        <v>32</v>
      </c>
      <c r="H17561" s="4" t="str">
        <f>HYPERLINK("https://portal.gdc.cancer.gov/cases/4a3d9efe-f24e-4135-8a70-e202651e7a81","TCGA-EJ-5510-01A")</f>
        <v>TCGA-EJ-5510-01A</v>
      </c>
      <c r="I17561" t="s">
        <v>161</v>
      </c>
      <c r="J17561" t="s">
        <v>569</v>
      </c>
      <c r="K17561" t="s">
        <v>33</v>
      </c>
      <c r="L17561" t="s">
        <v>162</v>
      </c>
      <c r="N17561" t="s">
        <v>29</v>
      </c>
    </row>
    <row r="17562" spans="1:14">
      <c r="A17562" s="4" t="str">
        <f t="shared" si="1283"/>
        <v>EXP00437</v>
      </c>
      <c r="B17562" s="3" t="s">
        <v>66</v>
      </c>
      <c r="C17562" s="4" t="str">
        <f t="shared" si="1284"/>
        <v>TCGA-PRAD</v>
      </c>
      <c r="D17562" s="1" t="s">
        <v>493</v>
      </c>
      <c r="E17562" t="s">
        <v>568</v>
      </c>
      <c r="F17562" s="1">
        <v>2</v>
      </c>
      <c r="G17562" s="1" t="s">
        <v>32</v>
      </c>
      <c r="H17562" s="4" t="str">
        <f>HYPERLINK("https://portal.gdc.cancer.gov/cases/f8a42feb-fbc9-4a13-bad5-1dcefca2a9bf","TCGA-EJ-5511-01A")</f>
        <v>TCGA-EJ-5511-01A</v>
      </c>
      <c r="I17562" t="s">
        <v>161</v>
      </c>
      <c r="J17562" t="s">
        <v>569</v>
      </c>
      <c r="K17562" t="s">
        <v>33</v>
      </c>
      <c r="L17562" t="s">
        <v>162</v>
      </c>
      <c r="N17562" t="s">
        <v>29</v>
      </c>
    </row>
    <row r="17563" spans="1:14">
      <c r="A17563" s="4" t="str">
        <f t="shared" si="1283"/>
        <v>EXP00437</v>
      </c>
      <c r="B17563" s="3" t="s">
        <v>66</v>
      </c>
      <c r="C17563" s="4" t="str">
        <f t="shared" si="1284"/>
        <v>TCGA-PRAD</v>
      </c>
      <c r="D17563" s="1" t="s">
        <v>493</v>
      </c>
      <c r="E17563" t="s">
        <v>568</v>
      </c>
      <c r="F17563" s="1">
        <v>2</v>
      </c>
      <c r="G17563" s="1" t="s">
        <v>32</v>
      </c>
      <c r="H17563" s="4" t="str">
        <f>HYPERLINK("https://portal.gdc.cancer.gov/cases/c28f931f-5ab2-4899-9fe9-54024f082d92","TCGA-EJ-5512-01A")</f>
        <v>TCGA-EJ-5512-01A</v>
      </c>
      <c r="I17563" t="s">
        <v>161</v>
      </c>
      <c r="J17563" t="s">
        <v>569</v>
      </c>
      <c r="K17563" t="s">
        <v>33</v>
      </c>
      <c r="L17563" t="s">
        <v>162</v>
      </c>
      <c r="N17563" t="s">
        <v>29</v>
      </c>
    </row>
    <row r="17564" spans="1:14">
      <c r="A17564" s="4" t="str">
        <f t="shared" ref="A17564:A17627" si="1285">HYPERLINK("http://hcmdb.i-sanger.com/experiment/details/experiment_id/EXP00437","EXP00437")</f>
        <v>EXP00437</v>
      </c>
      <c r="B17564" s="3" t="s">
        <v>66</v>
      </c>
      <c r="C17564" s="4" t="str">
        <f t="shared" ref="C17564:C17627" si="1286">HYPERLINK("https://portal.gdc.cancer.gov/projects/TCGA-PRAD","TCGA-PRAD")</f>
        <v>TCGA-PRAD</v>
      </c>
      <c r="D17564" s="1" t="s">
        <v>493</v>
      </c>
      <c r="E17564" t="s">
        <v>568</v>
      </c>
      <c r="F17564" s="1">
        <v>2</v>
      </c>
      <c r="G17564" s="1" t="s">
        <v>32</v>
      </c>
      <c r="H17564" s="4" t="str">
        <f>HYPERLINK("https://portal.gdc.cancer.gov/cases/f82d53b1-3df8-4249-a615-464c9f4e0a32","TCGA-EJ-5514-01A")</f>
        <v>TCGA-EJ-5514-01A</v>
      </c>
      <c r="I17564" t="s">
        <v>161</v>
      </c>
      <c r="J17564" t="s">
        <v>569</v>
      </c>
      <c r="K17564" t="s">
        <v>33</v>
      </c>
      <c r="L17564" t="s">
        <v>162</v>
      </c>
      <c r="N17564" t="s">
        <v>29</v>
      </c>
    </row>
    <row r="17565" spans="1:14">
      <c r="A17565" s="4" t="str">
        <f t="shared" si="1285"/>
        <v>EXP00437</v>
      </c>
      <c r="B17565" s="3" t="s">
        <v>66</v>
      </c>
      <c r="C17565" s="4" t="str">
        <f t="shared" si="1286"/>
        <v>TCGA-PRAD</v>
      </c>
      <c r="D17565" s="1" t="s">
        <v>493</v>
      </c>
      <c r="E17565" t="s">
        <v>568</v>
      </c>
      <c r="F17565" s="1">
        <v>2</v>
      </c>
      <c r="G17565" s="1" t="s">
        <v>32</v>
      </c>
      <c r="H17565" s="4" t="str">
        <f>HYPERLINK("https://portal.gdc.cancer.gov/cases/19cf56b2-a85b-43e7-971f-5680b9b1a67a","TCGA-EJ-5515-01A")</f>
        <v>TCGA-EJ-5515-01A</v>
      </c>
      <c r="I17565" t="s">
        <v>161</v>
      </c>
      <c r="J17565" t="s">
        <v>569</v>
      </c>
      <c r="K17565" t="s">
        <v>33</v>
      </c>
      <c r="L17565" t="s">
        <v>162</v>
      </c>
      <c r="N17565" t="s">
        <v>29</v>
      </c>
    </row>
    <row r="17566" spans="1:14">
      <c r="A17566" s="4" t="str">
        <f t="shared" si="1285"/>
        <v>EXP00437</v>
      </c>
      <c r="B17566" s="3" t="s">
        <v>66</v>
      </c>
      <c r="C17566" s="4" t="str">
        <f t="shared" si="1286"/>
        <v>TCGA-PRAD</v>
      </c>
      <c r="D17566" s="1" t="s">
        <v>493</v>
      </c>
      <c r="E17566" t="s">
        <v>568</v>
      </c>
      <c r="F17566" s="1">
        <v>2</v>
      </c>
      <c r="G17566" s="1" t="s">
        <v>32</v>
      </c>
      <c r="H17566" s="4" t="str">
        <f>HYPERLINK("https://portal.gdc.cancer.gov/cases/1fd06207-54e0-4aba-819c-c7f671871f39","TCGA-EJ-5516-01A")</f>
        <v>TCGA-EJ-5516-01A</v>
      </c>
      <c r="I17566" t="s">
        <v>161</v>
      </c>
      <c r="J17566" t="s">
        <v>569</v>
      </c>
      <c r="K17566" t="s">
        <v>33</v>
      </c>
      <c r="L17566" t="s">
        <v>162</v>
      </c>
      <c r="N17566" t="s">
        <v>29</v>
      </c>
    </row>
    <row r="17567" spans="1:14">
      <c r="A17567" s="4" t="str">
        <f t="shared" si="1285"/>
        <v>EXP00437</v>
      </c>
      <c r="B17567" s="3" t="s">
        <v>66</v>
      </c>
      <c r="C17567" s="4" t="str">
        <f t="shared" si="1286"/>
        <v>TCGA-PRAD</v>
      </c>
      <c r="D17567" s="1" t="s">
        <v>493</v>
      </c>
      <c r="E17567" t="s">
        <v>568</v>
      </c>
      <c r="F17567" s="1">
        <v>2</v>
      </c>
      <c r="G17567" s="1" t="s">
        <v>32</v>
      </c>
      <c r="H17567" s="4" t="str">
        <f>HYPERLINK("https://portal.gdc.cancer.gov/cases/4b9aa301-d2e3-47f3-b724-a34f420b2b6b","TCGA-EJ-5517-01A")</f>
        <v>TCGA-EJ-5517-01A</v>
      </c>
      <c r="I17567" t="s">
        <v>161</v>
      </c>
      <c r="J17567" t="s">
        <v>569</v>
      </c>
      <c r="K17567" t="s">
        <v>33</v>
      </c>
      <c r="L17567" t="s">
        <v>162</v>
      </c>
      <c r="N17567" t="s">
        <v>29</v>
      </c>
    </row>
    <row r="17568" spans="1:14">
      <c r="A17568" s="4" t="str">
        <f t="shared" si="1285"/>
        <v>EXP00437</v>
      </c>
      <c r="B17568" s="3" t="s">
        <v>66</v>
      </c>
      <c r="C17568" s="4" t="str">
        <f t="shared" si="1286"/>
        <v>TCGA-PRAD</v>
      </c>
      <c r="D17568" s="1" t="s">
        <v>493</v>
      </c>
      <c r="E17568" t="s">
        <v>568</v>
      </c>
      <c r="F17568" s="1">
        <v>2</v>
      </c>
      <c r="G17568" s="1" t="s">
        <v>32</v>
      </c>
      <c r="H17568" s="4" t="str">
        <f>HYPERLINK("https://portal.gdc.cancer.gov/cases/2b35c119-cdc1-49e2-8229-ca5cde9e63d0","TCGA-EJ-5518-01A")</f>
        <v>TCGA-EJ-5518-01A</v>
      </c>
      <c r="I17568" t="s">
        <v>161</v>
      </c>
      <c r="J17568" t="s">
        <v>569</v>
      </c>
      <c r="K17568" t="s">
        <v>33</v>
      </c>
      <c r="L17568" t="s">
        <v>162</v>
      </c>
      <c r="N17568" t="s">
        <v>29</v>
      </c>
    </row>
    <row r="17569" spans="1:14">
      <c r="A17569" s="4" t="str">
        <f t="shared" si="1285"/>
        <v>EXP00437</v>
      </c>
      <c r="B17569" s="3" t="s">
        <v>66</v>
      </c>
      <c r="C17569" s="4" t="str">
        <f t="shared" si="1286"/>
        <v>TCGA-PRAD</v>
      </c>
      <c r="D17569" s="1" t="s">
        <v>493</v>
      </c>
      <c r="E17569" t="s">
        <v>568</v>
      </c>
      <c r="F17569" s="1">
        <v>2</v>
      </c>
      <c r="G17569" s="1" t="s">
        <v>32</v>
      </c>
      <c r="H17569" s="4" t="str">
        <f>HYPERLINK("https://portal.gdc.cancer.gov/cases/5313a055-c2d7-4cbd-a8c1-57ac85912d89","TCGA-EJ-5519-01A")</f>
        <v>TCGA-EJ-5519-01A</v>
      </c>
      <c r="I17569" t="s">
        <v>161</v>
      </c>
      <c r="J17569" t="s">
        <v>569</v>
      </c>
      <c r="K17569" t="s">
        <v>33</v>
      </c>
      <c r="L17569" t="s">
        <v>162</v>
      </c>
      <c r="N17569" t="s">
        <v>29</v>
      </c>
    </row>
    <row r="17570" spans="1:14">
      <c r="A17570" s="4" t="str">
        <f t="shared" si="1285"/>
        <v>EXP00437</v>
      </c>
      <c r="B17570" s="3" t="s">
        <v>66</v>
      </c>
      <c r="C17570" s="4" t="str">
        <f t="shared" si="1286"/>
        <v>TCGA-PRAD</v>
      </c>
      <c r="D17570" s="1" t="s">
        <v>493</v>
      </c>
      <c r="E17570" t="s">
        <v>568</v>
      </c>
      <c r="F17570" s="1">
        <v>2</v>
      </c>
      <c r="G17570" s="1" t="s">
        <v>32</v>
      </c>
      <c r="H17570" s="4" t="str">
        <f>HYPERLINK("https://portal.gdc.cancer.gov/cases/d44d4bcb-beb1-4464-acd2-9972751f5018","TCGA-EJ-5521-01A")</f>
        <v>TCGA-EJ-5521-01A</v>
      </c>
      <c r="I17570" t="s">
        <v>161</v>
      </c>
      <c r="J17570" t="s">
        <v>569</v>
      </c>
      <c r="K17570" t="s">
        <v>33</v>
      </c>
      <c r="L17570" t="s">
        <v>162</v>
      </c>
      <c r="N17570" t="s">
        <v>29</v>
      </c>
    </row>
    <row r="17571" spans="1:14">
      <c r="A17571" s="4" t="str">
        <f t="shared" si="1285"/>
        <v>EXP00437</v>
      </c>
      <c r="B17571" s="3" t="s">
        <v>66</v>
      </c>
      <c r="C17571" s="4" t="str">
        <f t="shared" si="1286"/>
        <v>TCGA-PRAD</v>
      </c>
      <c r="D17571" s="1" t="s">
        <v>493</v>
      </c>
      <c r="E17571" t="s">
        <v>568</v>
      </c>
      <c r="F17571" s="1">
        <v>2</v>
      </c>
      <c r="G17571" s="1" t="s">
        <v>32</v>
      </c>
      <c r="H17571" s="4" t="str">
        <f>HYPERLINK("https://portal.gdc.cancer.gov/cases/214884ef-a932-4fc3-b6ff-16ce5164da3e","TCGA-EJ-5522-01A")</f>
        <v>TCGA-EJ-5522-01A</v>
      </c>
      <c r="I17571" t="s">
        <v>161</v>
      </c>
      <c r="J17571" t="s">
        <v>569</v>
      </c>
      <c r="K17571" t="s">
        <v>33</v>
      </c>
      <c r="L17571" t="s">
        <v>162</v>
      </c>
      <c r="N17571" t="s">
        <v>29</v>
      </c>
    </row>
    <row r="17572" spans="1:14">
      <c r="A17572" s="4" t="str">
        <f t="shared" si="1285"/>
        <v>EXP00437</v>
      </c>
      <c r="B17572" s="3" t="s">
        <v>66</v>
      </c>
      <c r="C17572" s="4" t="str">
        <f t="shared" si="1286"/>
        <v>TCGA-PRAD</v>
      </c>
      <c r="D17572" s="1" t="s">
        <v>493</v>
      </c>
      <c r="E17572" t="s">
        <v>568</v>
      </c>
      <c r="F17572" s="1">
        <v>2</v>
      </c>
      <c r="G17572" s="1" t="s">
        <v>32</v>
      </c>
      <c r="H17572" s="4" t="str">
        <f>HYPERLINK("https://portal.gdc.cancer.gov/cases/4048c139-1329-4e6a-8d2f-c0aa104a68ee","TCGA-EJ-5524-01A")</f>
        <v>TCGA-EJ-5524-01A</v>
      </c>
      <c r="I17572" t="s">
        <v>161</v>
      </c>
      <c r="J17572" t="s">
        <v>569</v>
      </c>
      <c r="K17572" t="s">
        <v>33</v>
      </c>
      <c r="L17572" t="s">
        <v>162</v>
      </c>
      <c r="N17572" t="s">
        <v>29</v>
      </c>
    </row>
    <row r="17573" spans="1:14">
      <c r="A17573" s="4" t="str">
        <f t="shared" si="1285"/>
        <v>EXP00437</v>
      </c>
      <c r="B17573" s="3" t="s">
        <v>66</v>
      </c>
      <c r="C17573" s="4" t="str">
        <f t="shared" si="1286"/>
        <v>TCGA-PRAD</v>
      </c>
      <c r="D17573" s="1" t="s">
        <v>493</v>
      </c>
      <c r="E17573" t="s">
        <v>568</v>
      </c>
      <c r="F17573" s="1">
        <v>2</v>
      </c>
      <c r="G17573" s="1" t="s">
        <v>32</v>
      </c>
      <c r="H17573" s="4" t="str">
        <f>HYPERLINK("https://portal.gdc.cancer.gov/cases/554a7381-46fd-4301-b91b-5af7f173c350","TCGA-EJ-5525-01A")</f>
        <v>TCGA-EJ-5525-01A</v>
      </c>
      <c r="I17573" t="s">
        <v>161</v>
      </c>
      <c r="J17573" t="s">
        <v>569</v>
      </c>
      <c r="K17573" t="s">
        <v>33</v>
      </c>
      <c r="L17573" t="s">
        <v>162</v>
      </c>
      <c r="N17573" t="s">
        <v>29</v>
      </c>
    </row>
    <row r="17574" spans="1:14">
      <c r="A17574" s="4" t="str">
        <f t="shared" si="1285"/>
        <v>EXP00437</v>
      </c>
      <c r="B17574" s="3" t="s">
        <v>66</v>
      </c>
      <c r="C17574" s="4" t="str">
        <f t="shared" si="1286"/>
        <v>TCGA-PRAD</v>
      </c>
      <c r="D17574" s="1" t="s">
        <v>493</v>
      </c>
      <c r="E17574" t="s">
        <v>568</v>
      </c>
      <c r="F17574" s="1">
        <v>2</v>
      </c>
      <c r="G17574" s="1" t="s">
        <v>32</v>
      </c>
      <c r="H17574" s="4" t="str">
        <f>HYPERLINK("https://portal.gdc.cancer.gov/cases/eec48399-5660-4b25-8d34-191b54315c72","TCGA-EJ-5526-01A")</f>
        <v>TCGA-EJ-5526-01A</v>
      </c>
      <c r="I17574" t="s">
        <v>161</v>
      </c>
      <c r="J17574" t="s">
        <v>569</v>
      </c>
      <c r="K17574" t="s">
        <v>33</v>
      </c>
      <c r="L17574" t="s">
        <v>162</v>
      </c>
      <c r="N17574" t="s">
        <v>29</v>
      </c>
    </row>
    <row r="17575" spans="1:14">
      <c r="A17575" s="4" t="str">
        <f t="shared" si="1285"/>
        <v>EXP00437</v>
      </c>
      <c r="B17575" s="3" t="s">
        <v>66</v>
      </c>
      <c r="C17575" s="4" t="str">
        <f t="shared" si="1286"/>
        <v>TCGA-PRAD</v>
      </c>
      <c r="D17575" s="1" t="s">
        <v>493</v>
      </c>
      <c r="E17575" t="s">
        <v>568</v>
      </c>
      <c r="F17575" s="1">
        <v>2</v>
      </c>
      <c r="G17575" s="1" t="s">
        <v>32</v>
      </c>
      <c r="H17575" s="4" t="str">
        <f>HYPERLINK("https://portal.gdc.cancer.gov/cases/ba0c9096-5f35-4f0a-ae98-ee1a695b55f0","TCGA-EJ-5527-01A")</f>
        <v>TCGA-EJ-5527-01A</v>
      </c>
      <c r="I17575" t="s">
        <v>161</v>
      </c>
      <c r="J17575" t="s">
        <v>569</v>
      </c>
      <c r="K17575" t="s">
        <v>33</v>
      </c>
      <c r="L17575" t="s">
        <v>162</v>
      </c>
      <c r="N17575" t="s">
        <v>29</v>
      </c>
    </row>
    <row r="17576" spans="1:14">
      <c r="A17576" s="4" t="str">
        <f t="shared" si="1285"/>
        <v>EXP00437</v>
      </c>
      <c r="B17576" s="3" t="s">
        <v>66</v>
      </c>
      <c r="C17576" s="4" t="str">
        <f t="shared" si="1286"/>
        <v>TCGA-PRAD</v>
      </c>
      <c r="D17576" s="1" t="s">
        <v>493</v>
      </c>
      <c r="E17576" t="s">
        <v>568</v>
      </c>
      <c r="F17576" s="1">
        <v>2</v>
      </c>
      <c r="G17576" s="1" t="s">
        <v>32</v>
      </c>
      <c r="H17576" s="4" t="str">
        <f>HYPERLINK("https://portal.gdc.cancer.gov/cases/e4a755e3-4938-4321-b5a9-27a445036791","TCGA-EJ-5530-01A")</f>
        <v>TCGA-EJ-5530-01A</v>
      </c>
      <c r="I17576" t="s">
        <v>161</v>
      </c>
      <c r="J17576" t="s">
        <v>569</v>
      </c>
      <c r="K17576" t="s">
        <v>33</v>
      </c>
      <c r="L17576" t="s">
        <v>162</v>
      </c>
      <c r="N17576" t="s">
        <v>29</v>
      </c>
    </row>
    <row r="17577" spans="1:14">
      <c r="A17577" s="4" t="str">
        <f t="shared" si="1285"/>
        <v>EXP00437</v>
      </c>
      <c r="B17577" s="3" t="s">
        <v>66</v>
      </c>
      <c r="C17577" s="4" t="str">
        <f t="shared" si="1286"/>
        <v>TCGA-PRAD</v>
      </c>
      <c r="D17577" s="1" t="s">
        <v>493</v>
      </c>
      <c r="E17577" t="s">
        <v>568</v>
      </c>
      <c r="F17577" s="1">
        <v>2</v>
      </c>
      <c r="G17577" s="1" t="s">
        <v>32</v>
      </c>
      <c r="H17577" s="4" t="str">
        <f>HYPERLINK("https://portal.gdc.cancer.gov/cases/adf3c2f7-d5f9-41c3-bd8c-7f9f1f22ff73","TCGA-EJ-5531-01A")</f>
        <v>TCGA-EJ-5531-01A</v>
      </c>
      <c r="I17577" t="s">
        <v>161</v>
      </c>
      <c r="J17577" t="s">
        <v>569</v>
      </c>
      <c r="K17577" t="s">
        <v>33</v>
      </c>
      <c r="L17577" t="s">
        <v>162</v>
      </c>
      <c r="N17577" t="s">
        <v>29</v>
      </c>
    </row>
    <row r="17578" spans="1:14">
      <c r="A17578" s="4" t="str">
        <f t="shared" si="1285"/>
        <v>EXP00437</v>
      </c>
      <c r="B17578" s="3" t="s">
        <v>66</v>
      </c>
      <c r="C17578" s="4" t="str">
        <f t="shared" si="1286"/>
        <v>TCGA-PRAD</v>
      </c>
      <c r="D17578" s="1" t="s">
        <v>493</v>
      </c>
      <c r="E17578" t="s">
        <v>568</v>
      </c>
      <c r="F17578" s="1">
        <v>2</v>
      </c>
      <c r="G17578" s="1" t="s">
        <v>32</v>
      </c>
      <c r="H17578" s="4" t="str">
        <f>HYPERLINK("https://portal.gdc.cancer.gov/cases/ae3a0c92-148d-4f1c-8563-06ac1050f53e","TCGA-EJ-5532-01A")</f>
        <v>TCGA-EJ-5532-01A</v>
      </c>
      <c r="I17578" t="s">
        <v>161</v>
      </c>
      <c r="J17578" t="s">
        <v>569</v>
      </c>
      <c r="K17578" t="s">
        <v>33</v>
      </c>
      <c r="L17578" t="s">
        <v>162</v>
      </c>
      <c r="N17578" t="s">
        <v>29</v>
      </c>
    </row>
    <row r="17579" spans="1:14">
      <c r="A17579" s="4" t="str">
        <f t="shared" si="1285"/>
        <v>EXP00437</v>
      </c>
      <c r="B17579" s="3" t="s">
        <v>66</v>
      </c>
      <c r="C17579" s="4" t="str">
        <f t="shared" si="1286"/>
        <v>TCGA-PRAD</v>
      </c>
      <c r="D17579" s="1" t="s">
        <v>493</v>
      </c>
      <c r="E17579" t="s">
        <v>568</v>
      </c>
      <c r="F17579" s="1">
        <v>2</v>
      </c>
      <c r="G17579" s="1" t="s">
        <v>32</v>
      </c>
      <c r="H17579" s="4" t="str">
        <f>HYPERLINK("https://portal.gdc.cancer.gov/cases/5a92ec4c-36ee-4588-aca2-e3303f29c7ad","TCGA-EJ-5542-01A")</f>
        <v>TCGA-EJ-5542-01A</v>
      </c>
      <c r="I17579" t="s">
        <v>161</v>
      </c>
      <c r="J17579" t="s">
        <v>569</v>
      </c>
      <c r="K17579" t="s">
        <v>33</v>
      </c>
      <c r="L17579" t="s">
        <v>162</v>
      </c>
      <c r="N17579" t="s">
        <v>29</v>
      </c>
    </row>
    <row r="17580" spans="1:14">
      <c r="A17580" s="4" t="str">
        <f t="shared" si="1285"/>
        <v>EXP00437</v>
      </c>
      <c r="B17580" s="3" t="s">
        <v>66</v>
      </c>
      <c r="C17580" s="4" t="str">
        <f t="shared" si="1286"/>
        <v>TCGA-PRAD</v>
      </c>
      <c r="D17580" s="1" t="s">
        <v>493</v>
      </c>
      <c r="E17580" t="s">
        <v>568</v>
      </c>
      <c r="F17580" s="1">
        <v>2</v>
      </c>
      <c r="G17580" s="1" t="s">
        <v>32</v>
      </c>
      <c r="H17580" s="4" t="str">
        <f>HYPERLINK("https://portal.gdc.cancer.gov/cases/c606918f-e8c0-4019-ad6f-47d5cd7615c4","TCGA-EJ-7115-01A")</f>
        <v>TCGA-EJ-7115-01A</v>
      </c>
      <c r="I17580" t="s">
        <v>161</v>
      </c>
      <c r="J17580" t="s">
        <v>569</v>
      </c>
      <c r="K17580" t="s">
        <v>33</v>
      </c>
      <c r="L17580" t="s">
        <v>162</v>
      </c>
      <c r="N17580" t="s">
        <v>29</v>
      </c>
    </row>
    <row r="17581" spans="1:14">
      <c r="A17581" s="4" t="str">
        <f t="shared" si="1285"/>
        <v>EXP00437</v>
      </c>
      <c r="B17581" s="3" t="s">
        <v>66</v>
      </c>
      <c r="C17581" s="4" t="str">
        <f t="shared" si="1286"/>
        <v>TCGA-PRAD</v>
      </c>
      <c r="D17581" s="1" t="s">
        <v>493</v>
      </c>
      <c r="E17581" t="s">
        <v>568</v>
      </c>
      <c r="F17581" s="1">
        <v>2</v>
      </c>
      <c r="G17581" s="1" t="s">
        <v>32</v>
      </c>
      <c r="H17581" s="4" t="str">
        <f>HYPERLINK("https://portal.gdc.cancer.gov/cases/9519be01-d78d-462c-8a95-34149538afeb","TCGA-EJ-7123-01A")</f>
        <v>TCGA-EJ-7123-01A</v>
      </c>
      <c r="I17581" t="s">
        <v>161</v>
      </c>
      <c r="J17581" t="s">
        <v>569</v>
      </c>
      <c r="K17581" t="s">
        <v>33</v>
      </c>
      <c r="L17581" t="s">
        <v>162</v>
      </c>
      <c r="N17581" t="s">
        <v>29</v>
      </c>
    </row>
    <row r="17582" spans="1:14">
      <c r="A17582" s="4" t="str">
        <f t="shared" si="1285"/>
        <v>EXP00437</v>
      </c>
      <c r="B17582" s="3" t="s">
        <v>66</v>
      </c>
      <c r="C17582" s="4" t="str">
        <f t="shared" si="1286"/>
        <v>TCGA-PRAD</v>
      </c>
      <c r="D17582" s="1" t="s">
        <v>493</v>
      </c>
      <c r="E17582" t="s">
        <v>568</v>
      </c>
      <c r="F17582" s="1">
        <v>2</v>
      </c>
      <c r="G17582" s="1" t="s">
        <v>32</v>
      </c>
      <c r="H17582" s="4" t="str">
        <f>HYPERLINK("https://portal.gdc.cancer.gov/cases/aca312ab-6dbd-4183-8b22-8f37834f3426","TCGA-EJ-7125-01A")</f>
        <v>TCGA-EJ-7125-01A</v>
      </c>
      <c r="I17582" t="s">
        <v>161</v>
      </c>
      <c r="J17582" t="s">
        <v>569</v>
      </c>
      <c r="K17582" t="s">
        <v>33</v>
      </c>
      <c r="L17582" t="s">
        <v>162</v>
      </c>
      <c r="N17582" t="s">
        <v>29</v>
      </c>
    </row>
    <row r="17583" spans="1:14">
      <c r="A17583" s="4" t="str">
        <f t="shared" si="1285"/>
        <v>EXP00437</v>
      </c>
      <c r="B17583" s="3" t="s">
        <v>66</v>
      </c>
      <c r="C17583" s="4" t="str">
        <f t="shared" si="1286"/>
        <v>TCGA-PRAD</v>
      </c>
      <c r="D17583" s="1" t="s">
        <v>493</v>
      </c>
      <c r="E17583" t="s">
        <v>568</v>
      </c>
      <c r="F17583" s="1">
        <v>2</v>
      </c>
      <c r="G17583" s="1" t="s">
        <v>32</v>
      </c>
      <c r="H17583" s="4" t="str">
        <f>HYPERLINK("https://portal.gdc.cancer.gov/cases/d7763066-fb06-4519-9188-5de7dd12fdb7","TCGA-EJ-7218-01B")</f>
        <v>TCGA-EJ-7218-01B</v>
      </c>
      <c r="I17583" t="s">
        <v>161</v>
      </c>
      <c r="J17583" t="s">
        <v>569</v>
      </c>
      <c r="K17583" t="s">
        <v>33</v>
      </c>
      <c r="L17583" t="s">
        <v>162</v>
      </c>
      <c r="N17583" t="s">
        <v>29</v>
      </c>
    </row>
    <row r="17584" spans="1:14">
      <c r="A17584" s="4" t="str">
        <f t="shared" si="1285"/>
        <v>EXP00437</v>
      </c>
      <c r="B17584" s="3" t="s">
        <v>66</v>
      </c>
      <c r="C17584" s="4" t="str">
        <f t="shared" si="1286"/>
        <v>TCGA-PRAD</v>
      </c>
      <c r="D17584" s="1" t="s">
        <v>493</v>
      </c>
      <c r="E17584" t="s">
        <v>568</v>
      </c>
      <c r="F17584" s="1">
        <v>2</v>
      </c>
      <c r="G17584" s="1" t="s">
        <v>32</v>
      </c>
      <c r="H17584" s="4" t="str">
        <f>HYPERLINK("https://portal.gdc.cancer.gov/cases/00dda860-53c3-4ab2-8294-73e291adf9d2","TCGA-EJ-7312-01B")</f>
        <v>TCGA-EJ-7312-01B</v>
      </c>
      <c r="I17584" t="s">
        <v>161</v>
      </c>
      <c r="J17584" t="s">
        <v>569</v>
      </c>
      <c r="K17584" t="s">
        <v>33</v>
      </c>
      <c r="L17584" t="s">
        <v>162</v>
      </c>
      <c r="N17584" t="s">
        <v>29</v>
      </c>
    </row>
    <row r="17585" spans="1:14">
      <c r="A17585" s="4" t="str">
        <f t="shared" si="1285"/>
        <v>EXP00437</v>
      </c>
      <c r="B17585" s="3" t="s">
        <v>66</v>
      </c>
      <c r="C17585" s="4" t="str">
        <f t="shared" si="1286"/>
        <v>TCGA-PRAD</v>
      </c>
      <c r="D17585" s="1" t="s">
        <v>493</v>
      </c>
      <c r="E17585" t="s">
        <v>568</v>
      </c>
      <c r="F17585" s="1">
        <v>2</v>
      </c>
      <c r="G17585" s="1" t="s">
        <v>32</v>
      </c>
      <c r="H17585" s="4" t="str">
        <f>HYPERLINK("https://portal.gdc.cancer.gov/cases/88c87cce-4361-499c-9e3a-e9d9040af2db","TCGA-EJ-7314-01A")</f>
        <v>TCGA-EJ-7314-01A</v>
      </c>
      <c r="I17585" t="s">
        <v>161</v>
      </c>
      <c r="J17585" t="s">
        <v>569</v>
      </c>
      <c r="K17585" t="s">
        <v>33</v>
      </c>
      <c r="L17585" t="s">
        <v>162</v>
      </c>
      <c r="N17585" t="s">
        <v>29</v>
      </c>
    </row>
    <row r="17586" spans="1:14">
      <c r="A17586" s="4" t="str">
        <f t="shared" si="1285"/>
        <v>EXP00437</v>
      </c>
      <c r="B17586" s="3" t="s">
        <v>66</v>
      </c>
      <c r="C17586" s="4" t="str">
        <f t="shared" si="1286"/>
        <v>TCGA-PRAD</v>
      </c>
      <c r="D17586" s="1" t="s">
        <v>493</v>
      </c>
      <c r="E17586" t="s">
        <v>568</v>
      </c>
      <c r="F17586" s="1">
        <v>2</v>
      </c>
      <c r="G17586" s="1" t="s">
        <v>32</v>
      </c>
      <c r="H17586" s="4" t="str">
        <f>HYPERLINK("https://portal.gdc.cancer.gov/cases/2c7ec330-261e-49c7-9424-6d83641dba6d","TCGA-EJ-7315-01A")</f>
        <v>TCGA-EJ-7315-01A</v>
      </c>
      <c r="I17586" t="s">
        <v>161</v>
      </c>
      <c r="J17586" t="s">
        <v>569</v>
      </c>
      <c r="K17586" t="s">
        <v>33</v>
      </c>
      <c r="L17586" t="s">
        <v>162</v>
      </c>
      <c r="N17586" t="s">
        <v>29</v>
      </c>
    </row>
    <row r="17587" spans="1:14">
      <c r="A17587" s="4" t="str">
        <f t="shared" si="1285"/>
        <v>EXP00437</v>
      </c>
      <c r="B17587" s="3" t="s">
        <v>66</v>
      </c>
      <c r="C17587" s="4" t="str">
        <f t="shared" si="1286"/>
        <v>TCGA-PRAD</v>
      </c>
      <c r="D17587" s="1" t="s">
        <v>493</v>
      </c>
      <c r="E17587" t="s">
        <v>568</v>
      </c>
      <c r="F17587" s="1">
        <v>2</v>
      </c>
      <c r="G17587" s="1" t="s">
        <v>32</v>
      </c>
      <c r="H17587" s="4" t="str">
        <f>HYPERLINK("https://portal.gdc.cancer.gov/cases/68fc3693-0910-4ee8-8997-99c6333b65f4","TCGA-EJ-7317-01A")</f>
        <v>TCGA-EJ-7317-01A</v>
      </c>
      <c r="I17587" t="s">
        <v>161</v>
      </c>
      <c r="J17587" t="s">
        <v>569</v>
      </c>
      <c r="K17587" t="s">
        <v>33</v>
      </c>
      <c r="L17587" t="s">
        <v>162</v>
      </c>
      <c r="N17587" t="s">
        <v>29</v>
      </c>
    </row>
    <row r="17588" spans="1:14">
      <c r="A17588" s="4" t="str">
        <f t="shared" si="1285"/>
        <v>EXP00437</v>
      </c>
      <c r="B17588" s="3" t="s">
        <v>66</v>
      </c>
      <c r="C17588" s="4" t="str">
        <f t="shared" si="1286"/>
        <v>TCGA-PRAD</v>
      </c>
      <c r="D17588" s="1" t="s">
        <v>493</v>
      </c>
      <c r="E17588" t="s">
        <v>568</v>
      </c>
      <c r="F17588" s="1">
        <v>2</v>
      </c>
      <c r="G17588" s="1" t="s">
        <v>32</v>
      </c>
      <c r="H17588" s="4" t="str">
        <f>HYPERLINK("https://portal.gdc.cancer.gov/cases/5e2ff1e6-87bc-4b91-a959-f0f553af4e27","TCGA-EJ-7318-01B")</f>
        <v>TCGA-EJ-7318-01B</v>
      </c>
      <c r="I17588" t="s">
        <v>161</v>
      </c>
      <c r="J17588" t="s">
        <v>569</v>
      </c>
      <c r="K17588" t="s">
        <v>33</v>
      </c>
      <c r="L17588" t="s">
        <v>162</v>
      </c>
      <c r="N17588" t="s">
        <v>29</v>
      </c>
    </row>
    <row r="17589" spans="1:14">
      <c r="A17589" s="4" t="str">
        <f t="shared" si="1285"/>
        <v>EXP00437</v>
      </c>
      <c r="B17589" s="3" t="s">
        <v>66</v>
      </c>
      <c r="C17589" s="4" t="str">
        <f t="shared" si="1286"/>
        <v>TCGA-PRAD</v>
      </c>
      <c r="D17589" s="1" t="s">
        <v>493</v>
      </c>
      <c r="E17589" t="s">
        <v>568</v>
      </c>
      <c r="F17589" s="1">
        <v>2</v>
      </c>
      <c r="G17589" s="1" t="s">
        <v>32</v>
      </c>
      <c r="H17589" s="4" t="str">
        <f>HYPERLINK("https://portal.gdc.cancer.gov/cases/804ee985-18dd-4f2d-a562-61b454601cdd","TCGA-EJ-7321-01A")</f>
        <v>TCGA-EJ-7321-01A</v>
      </c>
      <c r="I17589" t="s">
        <v>161</v>
      </c>
      <c r="J17589" t="s">
        <v>569</v>
      </c>
      <c r="K17589" t="s">
        <v>33</v>
      </c>
      <c r="L17589" t="s">
        <v>162</v>
      </c>
      <c r="N17589" t="s">
        <v>29</v>
      </c>
    </row>
    <row r="17590" spans="1:14">
      <c r="A17590" s="4" t="str">
        <f t="shared" si="1285"/>
        <v>EXP00437</v>
      </c>
      <c r="B17590" s="3" t="s">
        <v>66</v>
      </c>
      <c r="C17590" s="4" t="str">
        <f t="shared" si="1286"/>
        <v>TCGA-PRAD</v>
      </c>
      <c r="D17590" s="1" t="s">
        <v>493</v>
      </c>
      <c r="E17590" t="s">
        <v>568</v>
      </c>
      <c r="F17590" s="1">
        <v>2</v>
      </c>
      <c r="G17590" s="1" t="s">
        <v>32</v>
      </c>
      <c r="H17590" s="4" t="str">
        <f>HYPERLINK("https://portal.gdc.cancer.gov/cases/45a04209-8fac-4181-bba3-1437c8fd7f09","TCGA-EJ-7325-01B")</f>
        <v>TCGA-EJ-7325-01B</v>
      </c>
      <c r="I17590" t="s">
        <v>161</v>
      </c>
      <c r="J17590" t="s">
        <v>569</v>
      </c>
      <c r="K17590" t="s">
        <v>33</v>
      </c>
      <c r="L17590" t="s">
        <v>162</v>
      </c>
      <c r="N17590" t="s">
        <v>29</v>
      </c>
    </row>
    <row r="17591" spans="1:14">
      <c r="A17591" s="4" t="str">
        <f t="shared" si="1285"/>
        <v>EXP00437</v>
      </c>
      <c r="B17591" s="3" t="s">
        <v>66</v>
      </c>
      <c r="C17591" s="4" t="str">
        <f t="shared" si="1286"/>
        <v>TCGA-PRAD</v>
      </c>
      <c r="D17591" s="1" t="s">
        <v>493</v>
      </c>
      <c r="E17591" t="s">
        <v>568</v>
      </c>
      <c r="F17591" s="1">
        <v>2</v>
      </c>
      <c r="G17591" s="1" t="s">
        <v>32</v>
      </c>
      <c r="H17591" s="4" t="str">
        <f>HYPERLINK("https://portal.gdc.cancer.gov/cases/e90ab72a-4bbb-4c37-b48a-8a1a85d79d04","TCGA-EJ-7327-01A")</f>
        <v>TCGA-EJ-7327-01A</v>
      </c>
      <c r="I17591" t="s">
        <v>161</v>
      </c>
      <c r="J17591" t="s">
        <v>569</v>
      </c>
      <c r="K17591" t="s">
        <v>33</v>
      </c>
      <c r="L17591" t="s">
        <v>162</v>
      </c>
      <c r="N17591" t="s">
        <v>29</v>
      </c>
    </row>
    <row r="17592" spans="1:14">
      <c r="A17592" s="4" t="str">
        <f t="shared" si="1285"/>
        <v>EXP00437</v>
      </c>
      <c r="B17592" s="3" t="s">
        <v>66</v>
      </c>
      <c r="C17592" s="4" t="str">
        <f t="shared" si="1286"/>
        <v>TCGA-PRAD</v>
      </c>
      <c r="D17592" s="1" t="s">
        <v>493</v>
      </c>
      <c r="E17592" t="s">
        <v>568</v>
      </c>
      <c r="F17592" s="1">
        <v>2</v>
      </c>
      <c r="G17592" s="1" t="s">
        <v>32</v>
      </c>
      <c r="H17592" s="4" t="str">
        <f>HYPERLINK("https://portal.gdc.cancer.gov/cases/42b7d14f-09e5-4d91-bb98-5fe35907a6a9","TCGA-EJ-7328-01A")</f>
        <v>TCGA-EJ-7328-01A</v>
      </c>
      <c r="I17592" t="s">
        <v>161</v>
      </c>
      <c r="J17592" t="s">
        <v>569</v>
      </c>
      <c r="K17592" t="s">
        <v>33</v>
      </c>
      <c r="L17592" t="s">
        <v>162</v>
      </c>
      <c r="N17592" t="s">
        <v>29</v>
      </c>
    </row>
    <row r="17593" spans="1:14">
      <c r="A17593" s="4" t="str">
        <f t="shared" si="1285"/>
        <v>EXP00437</v>
      </c>
      <c r="B17593" s="3" t="s">
        <v>66</v>
      </c>
      <c r="C17593" s="4" t="str">
        <f t="shared" si="1286"/>
        <v>TCGA-PRAD</v>
      </c>
      <c r="D17593" s="1" t="s">
        <v>493</v>
      </c>
      <c r="E17593" t="s">
        <v>568</v>
      </c>
      <c r="F17593" s="1">
        <v>2</v>
      </c>
      <c r="G17593" s="1" t="s">
        <v>32</v>
      </c>
      <c r="H17593" s="4" t="str">
        <f>HYPERLINK("https://portal.gdc.cancer.gov/cases/7bc369b7-007b-4b10-bd92-5d326dabf675","TCGA-EJ-7330-01A")</f>
        <v>TCGA-EJ-7330-01A</v>
      </c>
      <c r="I17593" t="s">
        <v>161</v>
      </c>
      <c r="J17593" t="s">
        <v>569</v>
      </c>
      <c r="K17593" t="s">
        <v>33</v>
      </c>
      <c r="L17593" t="s">
        <v>162</v>
      </c>
      <c r="N17593" t="s">
        <v>29</v>
      </c>
    </row>
    <row r="17594" spans="1:14">
      <c r="A17594" s="4" t="str">
        <f t="shared" si="1285"/>
        <v>EXP00437</v>
      </c>
      <c r="B17594" s="3" t="s">
        <v>66</v>
      </c>
      <c r="C17594" s="4" t="str">
        <f t="shared" si="1286"/>
        <v>TCGA-PRAD</v>
      </c>
      <c r="D17594" s="1" t="s">
        <v>493</v>
      </c>
      <c r="E17594" t="s">
        <v>568</v>
      </c>
      <c r="F17594" s="1">
        <v>2</v>
      </c>
      <c r="G17594" s="1" t="s">
        <v>32</v>
      </c>
      <c r="H17594" s="4" t="str">
        <f>HYPERLINK("https://portal.gdc.cancer.gov/cases/b424b73a-2dfa-473f-ab56-ab382cd1cdef","TCGA-EJ-7331-01A")</f>
        <v>TCGA-EJ-7331-01A</v>
      </c>
      <c r="I17594" t="s">
        <v>161</v>
      </c>
      <c r="J17594" t="s">
        <v>569</v>
      </c>
      <c r="K17594" t="s">
        <v>33</v>
      </c>
      <c r="L17594" t="s">
        <v>162</v>
      </c>
      <c r="N17594" t="s">
        <v>29</v>
      </c>
    </row>
    <row r="17595" spans="1:14">
      <c r="A17595" s="4" t="str">
        <f t="shared" si="1285"/>
        <v>EXP00437</v>
      </c>
      <c r="B17595" s="3" t="s">
        <v>66</v>
      </c>
      <c r="C17595" s="4" t="str">
        <f t="shared" si="1286"/>
        <v>TCGA-PRAD</v>
      </c>
      <c r="D17595" s="1" t="s">
        <v>493</v>
      </c>
      <c r="E17595" t="s">
        <v>568</v>
      </c>
      <c r="F17595" s="1">
        <v>2</v>
      </c>
      <c r="G17595" s="1" t="s">
        <v>32</v>
      </c>
      <c r="H17595" s="4" t="str">
        <f>HYPERLINK("https://portal.gdc.cancer.gov/cases/33283111-9a2f-4d5e-92a5-3435846404f7","TCGA-EJ-7781-01A")</f>
        <v>TCGA-EJ-7781-01A</v>
      </c>
      <c r="I17595" t="s">
        <v>161</v>
      </c>
      <c r="J17595" t="s">
        <v>569</v>
      </c>
      <c r="K17595" t="s">
        <v>33</v>
      </c>
      <c r="L17595" t="s">
        <v>162</v>
      </c>
      <c r="N17595" t="s">
        <v>29</v>
      </c>
    </row>
    <row r="17596" spans="1:14">
      <c r="A17596" s="4" t="str">
        <f t="shared" si="1285"/>
        <v>EXP00437</v>
      </c>
      <c r="B17596" s="3" t="s">
        <v>66</v>
      </c>
      <c r="C17596" s="4" t="str">
        <f t="shared" si="1286"/>
        <v>TCGA-PRAD</v>
      </c>
      <c r="D17596" s="1" t="s">
        <v>493</v>
      </c>
      <c r="E17596" t="s">
        <v>568</v>
      </c>
      <c r="F17596" s="1">
        <v>2</v>
      </c>
      <c r="G17596" s="1" t="s">
        <v>32</v>
      </c>
      <c r="H17596" s="4" t="str">
        <f>HYPERLINK("https://portal.gdc.cancer.gov/cases/1426b4bf-f4a5-477c-bbbb-e0e656549764","TCGA-EJ-7782-01A")</f>
        <v>TCGA-EJ-7782-01A</v>
      </c>
      <c r="I17596" t="s">
        <v>161</v>
      </c>
      <c r="J17596" t="s">
        <v>569</v>
      </c>
      <c r="K17596" t="s">
        <v>33</v>
      </c>
      <c r="L17596" t="s">
        <v>162</v>
      </c>
      <c r="N17596" t="s">
        <v>29</v>
      </c>
    </row>
    <row r="17597" spans="1:14">
      <c r="A17597" s="4" t="str">
        <f t="shared" si="1285"/>
        <v>EXP00437</v>
      </c>
      <c r="B17597" s="3" t="s">
        <v>66</v>
      </c>
      <c r="C17597" s="4" t="str">
        <f t="shared" si="1286"/>
        <v>TCGA-PRAD</v>
      </c>
      <c r="D17597" s="1" t="s">
        <v>493</v>
      </c>
      <c r="E17597" t="s">
        <v>568</v>
      </c>
      <c r="F17597" s="1">
        <v>2</v>
      </c>
      <c r="G17597" s="1" t="s">
        <v>32</v>
      </c>
      <c r="H17597" s="4" t="str">
        <f>HYPERLINK("https://portal.gdc.cancer.gov/cases/181c6d37-9d8d-4ffa-827b-e3785450ff88","TCGA-EJ-7783-01A")</f>
        <v>TCGA-EJ-7783-01A</v>
      </c>
      <c r="I17597" t="s">
        <v>161</v>
      </c>
      <c r="J17597" t="s">
        <v>569</v>
      </c>
      <c r="K17597" t="s">
        <v>33</v>
      </c>
      <c r="L17597" t="s">
        <v>162</v>
      </c>
      <c r="N17597" t="s">
        <v>29</v>
      </c>
    </row>
    <row r="17598" spans="1:14">
      <c r="A17598" s="4" t="str">
        <f t="shared" si="1285"/>
        <v>EXP00437</v>
      </c>
      <c r="B17598" s="3" t="s">
        <v>66</v>
      </c>
      <c r="C17598" s="4" t="str">
        <f t="shared" si="1286"/>
        <v>TCGA-PRAD</v>
      </c>
      <c r="D17598" s="1" t="s">
        <v>493</v>
      </c>
      <c r="E17598" t="s">
        <v>568</v>
      </c>
      <c r="F17598" s="1">
        <v>2</v>
      </c>
      <c r="G17598" s="1" t="s">
        <v>32</v>
      </c>
      <c r="H17598" s="4" t="str">
        <f>HYPERLINK("https://portal.gdc.cancer.gov/cases/4bc71292-60bb-4b63-86c1-0fe021083804","TCGA-EJ-7784-01A")</f>
        <v>TCGA-EJ-7784-01A</v>
      </c>
      <c r="I17598" t="s">
        <v>161</v>
      </c>
      <c r="J17598" t="s">
        <v>569</v>
      </c>
      <c r="K17598" t="s">
        <v>33</v>
      </c>
      <c r="L17598" t="s">
        <v>162</v>
      </c>
      <c r="N17598" t="s">
        <v>29</v>
      </c>
    </row>
    <row r="17599" spans="1:14">
      <c r="A17599" s="4" t="str">
        <f t="shared" si="1285"/>
        <v>EXP00437</v>
      </c>
      <c r="B17599" s="3" t="s">
        <v>66</v>
      </c>
      <c r="C17599" s="4" t="str">
        <f t="shared" si="1286"/>
        <v>TCGA-PRAD</v>
      </c>
      <c r="D17599" s="1" t="s">
        <v>493</v>
      </c>
      <c r="E17599" t="s">
        <v>568</v>
      </c>
      <c r="F17599" s="1">
        <v>2</v>
      </c>
      <c r="G17599" s="1" t="s">
        <v>32</v>
      </c>
      <c r="H17599" s="4" t="str">
        <f>HYPERLINK("https://portal.gdc.cancer.gov/cases/2def2a53-d2e8-46f0-8b07-f32dbf1833a4","TCGA-EJ-7785-01A")</f>
        <v>TCGA-EJ-7785-01A</v>
      </c>
      <c r="I17599" t="s">
        <v>161</v>
      </c>
      <c r="J17599" t="s">
        <v>569</v>
      </c>
      <c r="K17599" t="s">
        <v>33</v>
      </c>
      <c r="L17599" t="s">
        <v>162</v>
      </c>
      <c r="N17599" t="s">
        <v>29</v>
      </c>
    </row>
    <row r="17600" spans="1:14">
      <c r="A17600" s="4" t="str">
        <f t="shared" si="1285"/>
        <v>EXP00437</v>
      </c>
      <c r="B17600" s="3" t="s">
        <v>66</v>
      </c>
      <c r="C17600" s="4" t="str">
        <f t="shared" si="1286"/>
        <v>TCGA-PRAD</v>
      </c>
      <c r="D17600" s="1" t="s">
        <v>493</v>
      </c>
      <c r="E17600" t="s">
        <v>568</v>
      </c>
      <c r="F17600" s="1">
        <v>2</v>
      </c>
      <c r="G17600" s="1" t="s">
        <v>32</v>
      </c>
      <c r="H17600" s="4" t="str">
        <f>HYPERLINK("https://portal.gdc.cancer.gov/cases/9d499039-37ca-4300-ae95-04bbe007c0d2","TCGA-EJ-7786-01A")</f>
        <v>TCGA-EJ-7786-01A</v>
      </c>
      <c r="I17600" t="s">
        <v>161</v>
      </c>
      <c r="J17600" t="s">
        <v>569</v>
      </c>
      <c r="K17600" t="s">
        <v>33</v>
      </c>
      <c r="L17600" t="s">
        <v>162</v>
      </c>
      <c r="N17600" t="s">
        <v>29</v>
      </c>
    </row>
    <row r="17601" spans="1:14">
      <c r="A17601" s="4" t="str">
        <f t="shared" si="1285"/>
        <v>EXP00437</v>
      </c>
      <c r="B17601" s="3" t="s">
        <v>66</v>
      </c>
      <c r="C17601" s="4" t="str">
        <f t="shared" si="1286"/>
        <v>TCGA-PRAD</v>
      </c>
      <c r="D17601" s="1" t="s">
        <v>493</v>
      </c>
      <c r="E17601" t="s">
        <v>568</v>
      </c>
      <c r="F17601" s="1">
        <v>2</v>
      </c>
      <c r="G17601" s="1" t="s">
        <v>32</v>
      </c>
      <c r="H17601" s="4" t="str">
        <f>HYPERLINK("https://portal.gdc.cancer.gov/cases/e35336e1-e358-493f-9beb-276b5fc6685a","TCGA-EJ-7788-01A")</f>
        <v>TCGA-EJ-7788-01A</v>
      </c>
      <c r="I17601" t="s">
        <v>161</v>
      </c>
      <c r="J17601" t="s">
        <v>569</v>
      </c>
      <c r="K17601" t="s">
        <v>33</v>
      </c>
      <c r="L17601" t="s">
        <v>162</v>
      </c>
      <c r="N17601" t="s">
        <v>29</v>
      </c>
    </row>
    <row r="17602" spans="1:14">
      <c r="A17602" s="4" t="str">
        <f t="shared" si="1285"/>
        <v>EXP00437</v>
      </c>
      <c r="B17602" s="3" t="s">
        <v>66</v>
      </c>
      <c r="C17602" s="4" t="str">
        <f t="shared" si="1286"/>
        <v>TCGA-PRAD</v>
      </c>
      <c r="D17602" s="1" t="s">
        <v>493</v>
      </c>
      <c r="E17602" t="s">
        <v>568</v>
      </c>
      <c r="F17602" s="1">
        <v>2</v>
      </c>
      <c r="G17602" s="1" t="s">
        <v>32</v>
      </c>
      <c r="H17602" s="4" t="str">
        <f>HYPERLINK("https://portal.gdc.cancer.gov/cases/1f4ff2c7-3fbb-46a1-99cf-68d2c33c5175","TCGA-EJ-7789-01A")</f>
        <v>TCGA-EJ-7789-01A</v>
      </c>
      <c r="I17602" t="s">
        <v>161</v>
      </c>
      <c r="J17602" t="s">
        <v>569</v>
      </c>
      <c r="K17602" t="s">
        <v>33</v>
      </c>
      <c r="L17602" t="s">
        <v>162</v>
      </c>
      <c r="N17602" t="s">
        <v>29</v>
      </c>
    </row>
    <row r="17603" spans="1:14">
      <c r="A17603" s="4" t="str">
        <f t="shared" si="1285"/>
        <v>EXP00437</v>
      </c>
      <c r="B17603" s="3" t="s">
        <v>66</v>
      </c>
      <c r="C17603" s="4" t="str">
        <f t="shared" si="1286"/>
        <v>TCGA-PRAD</v>
      </c>
      <c r="D17603" s="1" t="s">
        <v>493</v>
      </c>
      <c r="E17603" t="s">
        <v>568</v>
      </c>
      <c r="F17603" s="1">
        <v>2</v>
      </c>
      <c r="G17603" s="1" t="s">
        <v>32</v>
      </c>
      <c r="H17603" s="4" t="str">
        <f>HYPERLINK("https://portal.gdc.cancer.gov/cases/4fe004e5-49f9-4336-a690-6ebad512c813","TCGA-EJ-7791-01A")</f>
        <v>TCGA-EJ-7791-01A</v>
      </c>
      <c r="I17603" t="s">
        <v>161</v>
      </c>
      <c r="J17603" t="s">
        <v>569</v>
      </c>
      <c r="K17603" t="s">
        <v>33</v>
      </c>
      <c r="L17603" t="s">
        <v>162</v>
      </c>
      <c r="N17603" t="s">
        <v>29</v>
      </c>
    </row>
    <row r="17604" spans="1:14">
      <c r="A17604" s="4" t="str">
        <f t="shared" si="1285"/>
        <v>EXP00437</v>
      </c>
      <c r="B17604" s="3" t="s">
        <v>66</v>
      </c>
      <c r="C17604" s="4" t="str">
        <f t="shared" si="1286"/>
        <v>TCGA-PRAD</v>
      </c>
      <c r="D17604" s="1" t="s">
        <v>493</v>
      </c>
      <c r="E17604" t="s">
        <v>568</v>
      </c>
      <c r="F17604" s="1">
        <v>2</v>
      </c>
      <c r="G17604" s="1" t="s">
        <v>32</v>
      </c>
      <c r="H17604" s="4" t="str">
        <f>HYPERLINK("https://portal.gdc.cancer.gov/cases/28689d40-03e5-4e17-aba1-f2d571535eed","TCGA-EJ-7792-01A")</f>
        <v>TCGA-EJ-7792-01A</v>
      </c>
      <c r="I17604" t="s">
        <v>161</v>
      </c>
      <c r="J17604" t="s">
        <v>569</v>
      </c>
      <c r="K17604" t="s">
        <v>33</v>
      </c>
      <c r="L17604" t="s">
        <v>162</v>
      </c>
      <c r="N17604" t="s">
        <v>29</v>
      </c>
    </row>
    <row r="17605" spans="1:14">
      <c r="A17605" s="4" t="str">
        <f t="shared" si="1285"/>
        <v>EXP00437</v>
      </c>
      <c r="B17605" s="3" t="s">
        <v>66</v>
      </c>
      <c r="C17605" s="4" t="str">
        <f t="shared" si="1286"/>
        <v>TCGA-PRAD</v>
      </c>
      <c r="D17605" s="1" t="s">
        <v>493</v>
      </c>
      <c r="E17605" t="s">
        <v>568</v>
      </c>
      <c r="F17605" s="1">
        <v>2</v>
      </c>
      <c r="G17605" s="1" t="s">
        <v>32</v>
      </c>
      <c r="H17605" s="4" t="str">
        <f>HYPERLINK("https://portal.gdc.cancer.gov/cases/da07da37-bde6-480a-a302-98683ae3931a","TCGA-EJ-7793-01A")</f>
        <v>TCGA-EJ-7793-01A</v>
      </c>
      <c r="I17605" t="s">
        <v>161</v>
      </c>
      <c r="J17605" t="s">
        <v>569</v>
      </c>
      <c r="K17605" t="s">
        <v>33</v>
      </c>
      <c r="L17605" t="s">
        <v>162</v>
      </c>
      <c r="N17605" t="s">
        <v>29</v>
      </c>
    </row>
    <row r="17606" spans="1:14">
      <c r="A17606" s="4" t="str">
        <f t="shared" si="1285"/>
        <v>EXP00437</v>
      </c>
      <c r="B17606" s="3" t="s">
        <v>66</v>
      </c>
      <c r="C17606" s="4" t="str">
        <f t="shared" si="1286"/>
        <v>TCGA-PRAD</v>
      </c>
      <c r="D17606" s="1" t="s">
        <v>493</v>
      </c>
      <c r="E17606" t="s">
        <v>568</v>
      </c>
      <c r="F17606" s="1">
        <v>2</v>
      </c>
      <c r="G17606" s="1" t="s">
        <v>32</v>
      </c>
      <c r="H17606" s="4" t="str">
        <f>HYPERLINK("https://portal.gdc.cancer.gov/cases/aeec3005-25d7-45fc-a9ff-014d57960216","TCGA-EJ-7794-01A")</f>
        <v>TCGA-EJ-7794-01A</v>
      </c>
      <c r="I17606" t="s">
        <v>161</v>
      </c>
      <c r="J17606" t="s">
        <v>569</v>
      </c>
      <c r="K17606" t="s">
        <v>33</v>
      </c>
      <c r="L17606" t="s">
        <v>162</v>
      </c>
      <c r="N17606" t="s">
        <v>29</v>
      </c>
    </row>
    <row r="17607" spans="1:14">
      <c r="A17607" s="4" t="str">
        <f t="shared" si="1285"/>
        <v>EXP00437</v>
      </c>
      <c r="B17607" s="3" t="s">
        <v>66</v>
      </c>
      <c r="C17607" s="4" t="str">
        <f t="shared" si="1286"/>
        <v>TCGA-PRAD</v>
      </c>
      <c r="D17607" s="1" t="s">
        <v>493</v>
      </c>
      <c r="E17607" t="s">
        <v>568</v>
      </c>
      <c r="F17607" s="1">
        <v>2</v>
      </c>
      <c r="G17607" s="1" t="s">
        <v>32</v>
      </c>
      <c r="H17607" s="4" t="str">
        <f>HYPERLINK("https://portal.gdc.cancer.gov/cases/f98366df-9616-41c0-a6b8-ec92dca7177a","TCGA-EJ-7797-01A")</f>
        <v>TCGA-EJ-7797-01A</v>
      </c>
      <c r="I17607" t="s">
        <v>161</v>
      </c>
      <c r="J17607" t="s">
        <v>569</v>
      </c>
      <c r="K17607" t="s">
        <v>33</v>
      </c>
      <c r="L17607" t="s">
        <v>162</v>
      </c>
      <c r="N17607" t="s">
        <v>29</v>
      </c>
    </row>
    <row r="17608" spans="1:14">
      <c r="A17608" s="4" t="str">
        <f t="shared" si="1285"/>
        <v>EXP00437</v>
      </c>
      <c r="B17608" s="3" t="s">
        <v>66</v>
      </c>
      <c r="C17608" s="4" t="str">
        <f t="shared" si="1286"/>
        <v>TCGA-PRAD</v>
      </c>
      <c r="D17608" s="1" t="s">
        <v>493</v>
      </c>
      <c r="E17608" t="s">
        <v>568</v>
      </c>
      <c r="F17608" s="1">
        <v>2</v>
      </c>
      <c r="G17608" s="1" t="s">
        <v>32</v>
      </c>
      <c r="H17608" s="4" t="str">
        <f>HYPERLINK("https://portal.gdc.cancer.gov/cases/00b16434-0b3a-4194-8714-74dccbebe06c","TCGA-EJ-8468-01A")</f>
        <v>TCGA-EJ-8468-01A</v>
      </c>
      <c r="I17608" t="s">
        <v>161</v>
      </c>
      <c r="J17608" t="s">
        <v>569</v>
      </c>
      <c r="K17608" t="s">
        <v>33</v>
      </c>
      <c r="L17608" t="s">
        <v>162</v>
      </c>
      <c r="N17608" t="s">
        <v>29</v>
      </c>
    </row>
    <row r="17609" spans="1:14">
      <c r="A17609" s="4" t="str">
        <f t="shared" si="1285"/>
        <v>EXP00437</v>
      </c>
      <c r="B17609" s="3" t="s">
        <v>66</v>
      </c>
      <c r="C17609" s="4" t="str">
        <f t="shared" si="1286"/>
        <v>TCGA-PRAD</v>
      </c>
      <c r="D17609" s="1" t="s">
        <v>493</v>
      </c>
      <c r="E17609" t="s">
        <v>568</v>
      </c>
      <c r="F17609" s="1">
        <v>2</v>
      </c>
      <c r="G17609" s="1" t="s">
        <v>32</v>
      </c>
      <c r="H17609" s="4" t="str">
        <f>HYPERLINK("https://portal.gdc.cancer.gov/cases/df4a7caa-6289-4157-8cb4-6ce8784e7506","TCGA-EJ-8469-01A")</f>
        <v>TCGA-EJ-8469-01A</v>
      </c>
      <c r="I17609" t="s">
        <v>161</v>
      </c>
      <c r="J17609" t="s">
        <v>569</v>
      </c>
      <c r="K17609" t="s">
        <v>33</v>
      </c>
      <c r="L17609" t="s">
        <v>162</v>
      </c>
      <c r="N17609" t="s">
        <v>29</v>
      </c>
    </row>
    <row r="17610" spans="1:14">
      <c r="A17610" s="4" t="str">
        <f t="shared" si="1285"/>
        <v>EXP00437</v>
      </c>
      <c r="B17610" s="3" t="s">
        <v>66</v>
      </c>
      <c r="C17610" s="4" t="str">
        <f t="shared" si="1286"/>
        <v>TCGA-PRAD</v>
      </c>
      <c r="D17610" s="1" t="s">
        <v>493</v>
      </c>
      <c r="E17610" t="s">
        <v>568</v>
      </c>
      <c r="F17610" s="1">
        <v>2</v>
      </c>
      <c r="G17610" s="1" t="s">
        <v>32</v>
      </c>
      <c r="H17610" s="4" t="str">
        <f>HYPERLINK("https://portal.gdc.cancer.gov/cases/1a8a887e-b9f0-42f5-8dce-4e58cb13844b","TCGA-EJ-8470-01A")</f>
        <v>TCGA-EJ-8470-01A</v>
      </c>
      <c r="I17610" t="s">
        <v>161</v>
      </c>
      <c r="J17610" t="s">
        <v>569</v>
      </c>
      <c r="K17610" t="s">
        <v>33</v>
      </c>
      <c r="L17610" t="s">
        <v>162</v>
      </c>
      <c r="N17610" t="s">
        <v>29</v>
      </c>
    </row>
    <row r="17611" spans="1:14">
      <c r="A17611" s="4" t="str">
        <f t="shared" si="1285"/>
        <v>EXP00437</v>
      </c>
      <c r="B17611" s="3" t="s">
        <v>66</v>
      </c>
      <c r="C17611" s="4" t="str">
        <f t="shared" si="1286"/>
        <v>TCGA-PRAD</v>
      </c>
      <c r="D17611" s="1" t="s">
        <v>493</v>
      </c>
      <c r="E17611" t="s">
        <v>568</v>
      </c>
      <c r="F17611" s="1">
        <v>2</v>
      </c>
      <c r="G17611" s="1" t="s">
        <v>32</v>
      </c>
      <c r="H17611" s="4" t="str">
        <f>HYPERLINK("https://portal.gdc.cancer.gov/cases/ab378ad0-1881-403f-9e85-d6f97e7b7c81","TCGA-EJ-8472-01A")</f>
        <v>TCGA-EJ-8472-01A</v>
      </c>
      <c r="I17611" t="s">
        <v>161</v>
      </c>
      <c r="J17611" t="s">
        <v>569</v>
      </c>
      <c r="K17611" t="s">
        <v>33</v>
      </c>
      <c r="L17611" t="s">
        <v>162</v>
      </c>
      <c r="N17611" t="s">
        <v>29</v>
      </c>
    </row>
    <row r="17612" spans="1:14">
      <c r="A17612" s="4" t="str">
        <f t="shared" si="1285"/>
        <v>EXP00437</v>
      </c>
      <c r="B17612" s="3" t="s">
        <v>66</v>
      </c>
      <c r="C17612" s="4" t="str">
        <f t="shared" si="1286"/>
        <v>TCGA-PRAD</v>
      </c>
      <c r="D17612" s="1" t="s">
        <v>493</v>
      </c>
      <c r="E17612" t="s">
        <v>568</v>
      </c>
      <c r="F17612" s="1">
        <v>2</v>
      </c>
      <c r="G17612" s="1" t="s">
        <v>32</v>
      </c>
      <c r="H17612" s="4" t="str">
        <f>HYPERLINK("https://portal.gdc.cancer.gov/cases/d57d3254-d8f3-4ca2-8b31-790d3ac9a63d","TCGA-EJ-8474-01A")</f>
        <v>TCGA-EJ-8474-01A</v>
      </c>
      <c r="I17612" t="s">
        <v>161</v>
      </c>
      <c r="J17612" t="s">
        <v>569</v>
      </c>
      <c r="K17612" t="s">
        <v>33</v>
      </c>
      <c r="L17612" t="s">
        <v>162</v>
      </c>
      <c r="N17612" t="s">
        <v>29</v>
      </c>
    </row>
    <row r="17613" spans="1:14">
      <c r="A17613" s="4" t="str">
        <f t="shared" si="1285"/>
        <v>EXP00437</v>
      </c>
      <c r="B17613" s="3" t="s">
        <v>66</v>
      </c>
      <c r="C17613" s="4" t="str">
        <f t="shared" si="1286"/>
        <v>TCGA-PRAD</v>
      </c>
      <c r="D17613" s="1" t="s">
        <v>493</v>
      </c>
      <c r="E17613" t="s">
        <v>568</v>
      </c>
      <c r="F17613" s="1">
        <v>2</v>
      </c>
      <c r="G17613" s="1" t="s">
        <v>32</v>
      </c>
      <c r="H17613" s="4" t="str">
        <f>HYPERLINK("https://portal.gdc.cancer.gov/cases/1170f449-dfb5-417a-a89b-b2229a2785db","TCGA-EJ-A46B-01A")</f>
        <v>TCGA-EJ-A46B-01A</v>
      </c>
      <c r="I17613" t="s">
        <v>161</v>
      </c>
      <c r="J17613" t="s">
        <v>569</v>
      </c>
      <c r="K17613" t="s">
        <v>33</v>
      </c>
      <c r="L17613" t="s">
        <v>162</v>
      </c>
      <c r="N17613" t="s">
        <v>29</v>
      </c>
    </row>
    <row r="17614" spans="1:14">
      <c r="A17614" s="4" t="str">
        <f t="shared" si="1285"/>
        <v>EXP00437</v>
      </c>
      <c r="B17614" s="3" t="s">
        <v>66</v>
      </c>
      <c r="C17614" s="4" t="str">
        <f t="shared" si="1286"/>
        <v>TCGA-PRAD</v>
      </c>
      <c r="D17614" s="1" t="s">
        <v>493</v>
      </c>
      <c r="E17614" t="s">
        <v>568</v>
      </c>
      <c r="F17614" s="1">
        <v>2</v>
      </c>
      <c r="G17614" s="1" t="s">
        <v>32</v>
      </c>
      <c r="H17614" s="4" t="str">
        <f>HYPERLINK("https://portal.gdc.cancer.gov/cases/93d10d8b-5f98-4d2c-8af3-11471385d4d4","TCGA-EJ-A46D-01A")</f>
        <v>TCGA-EJ-A46D-01A</v>
      </c>
      <c r="I17614" t="s">
        <v>161</v>
      </c>
      <c r="J17614" t="s">
        <v>569</v>
      </c>
      <c r="K17614" t="s">
        <v>33</v>
      </c>
      <c r="L17614" t="s">
        <v>162</v>
      </c>
      <c r="N17614" t="s">
        <v>29</v>
      </c>
    </row>
    <row r="17615" spans="1:14">
      <c r="A17615" s="4" t="str">
        <f t="shared" si="1285"/>
        <v>EXP00437</v>
      </c>
      <c r="B17615" s="3" t="s">
        <v>66</v>
      </c>
      <c r="C17615" s="4" t="str">
        <f t="shared" si="1286"/>
        <v>TCGA-PRAD</v>
      </c>
      <c r="D17615" s="1" t="s">
        <v>493</v>
      </c>
      <c r="E17615" t="s">
        <v>568</v>
      </c>
      <c r="F17615" s="1">
        <v>2</v>
      </c>
      <c r="G17615" s="1" t="s">
        <v>32</v>
      </c>
      <c r="H17615" s="4" t="str">
        <f>HYPERLINK("https://portal.gdc.cancer.gov/cases/a608bf0e-a932-4541-8439-2ffb9f6294b0","TCGA-EJ-A46E-01A")</f>
        <v>TCGA-EJ-A46E-01A</v>
      </c>
      <c r="I17615" t="s">
        <v>161</v>
      </c>
      <c r="J17615" t="s">
        <v>569</v>
      </c>
      <c r="K17615" t="s">
        <v>33</v>
      </c>
      <c r="L17615" t="s">
        <v>162</v>
      </c>
      <c r="N17615" t="s">
        <v>29</v>
      </c>
    </row>
    <row r="17616" spans="1:14">
      <c r="A17616" s="4" t="str">
        <f t="shared" si="1285"/>
        <v>EXP00437</v>
      </c>
      <c r="B17616" s="3" t="s">
        <v>66</v>
      </c>
      <c r="C17616" s="4" t="str">
        <f t="shared" si="1286"/>
        <v>TCGA-PRAD</v>
      </c>
      <c r="D17616" s="1" t="s">
        <v>493</v>
      </c>
      <c r="E17616" t="s">
        <v>568</v>
      </c>
      <c r="F17616" s="1">
        <v>2</v>
      </c>
      <c r="G17616" s="1" t="s">
        <v>32</v>
      </c>
      <c r="H17616" s="4" t="str">
        <f>HYPERLINK("https://portal.gdc.cancer.gov/cases/08f11bdd-d665-45ab-b1a2-5485d91922c2","TCGA-EJ-A46F-01A")</f>
        <v>TCGA-EJ-A46F-01A</v>
      </c>
      <c r="I17616" t="s">
        <v>161</v>
      </c>
      <c r="J17616" t="s">
        <v>569</v>
      </c>
      <c r="K17616" t="s">
        <v>33</v>
      </c>
      <c r="L17616" t="s">
        <v>162</v>
      </c>
      <c r="N17616" t="s">
        <v>29</v>
      </c>
    </row>
    <row r="17617" spans="1:14">
      <c r="A17617" s="4" t="str">
        <f t="shared" si="1285"/>
        <v>EXP00437</v>
      </c>
      <c r="B17617" s="3" t="s">
        <v>66</v>
      </c>
      <c r="C17617" s="4" t="str">
        <f t="shared" si="1286"/>
        <v>TCGA-PRAD</v>
      </c>
      <c r="D17617" s="1" t="s">
        <v>493</v>
      </c>
      <c r="E17617" t="s">
        <v>568</v>
      </c>
      <c r="F17617" s="1">
        <v>2</v>
      </c>
      <c r="G17617" s="1" t="s">
        <v>32</v>
      </c>
      <c r="H17617" s="4" t="str">
        <f>HYPERLINK("https://portal.gdc.cancer.gov/cases/969399cd-47b6-4c0f-8939-3860be3014f9","TCGA-EJ-A46G-01A")</f>
        <v>TCGA-EJ-A46G-01A</v>
      </c>
      <c r="I17617" t="s">
        <v>161</v>
      </c>
      <c r="J17617" t="s">
        <v>569</v>
      </c>
      <c r="K17617" t="s">
        <v>33</v>
      </c>
      <c r="L17617" t="s">
        <v>162</v>
      </c>
      <c r="N17617" t="s">
        <v>29</v>
      </c>
    </row>
    <row r="17618" spans="1:14">
      <c r="A17618" s="4" t="str">
        <f t="shared" si="1285"/>
        <v>EXP00437</v>
      </c>
      <c r="B17618" s="3" t="s">
        <v>66</v>
      </c>
      <c r="C17618" s="4" t="str">
        <f t="shared" si="1286"/>
        <v>TCGA-PRAD</v>
      </c>
      <c r="D17618" s="1" t="s">
        <v>493</v>
      </c>
      <c r="E17618" t="s">
        <v>568</v>
      </c>
      <c r="F17618" s="1">
        <v>2</v>
      </c>
      <c r="G17618" s="1" t="s">
        <v>32</v>
      </c>
      <c r="H17618" s="4" t="str">
        <f>HYPERLINK("https://portal.gdc.cancer.gov/cases/cec1d2ff-36e6-497e-892c-b329724b4722","TCGA-EJ-A46H-01A")</f>
        <v>TCGA-EJ-A46H-01A</v>
      </c>
      <c r="I17618" t="s">
        <v>161</v>
      </c>
      <c r="J17618" t="s">
        <v>569</v>
      </c>
      <c r="K17618" t="s">
        <v>33</v>
      </c>
      <c r="L17618" t="s">
        <v>162</v>
      </c>
      <c r="N17618" t="s">
        <v>29</v>
      </c>
    </row>
    <row r="17619" spans="1:14">
      <c r="A17619" s="4" t="str">
        <f t="shared" si="1285"/>
        <v>EXP00437</v>
      </c>
      <c r="B17619" s="3" t="s">
        <v>66</v>
      </c>
      <c r="C17619" s="4" t="str">
        <f t="shared" si="1286"/>
        <v>TCGA-PRAD</v>
      </c>
      <c r="D17619" s="1" t="s">
        <v>493</v>
      </c>
      <c r="E17619" t="s">
        <v>568</v>
      </c>
      <c r="F17619" s="1">
        <v>2</v>
      </c>
      <c r="G17619" s="1" t="s">
        <v>32</v>
      </c>
      <c r="H17619" s="4" t="str">
        <f>HYPERLINK("https://portal.gdc.cancer.gov/cases/9b59ed95-e97f-4356-b976-e3fa0e9eee02","TCGA-EJ-A46I-01A")</f>
        <v>TCGA-EJ-A46I-01A</v>
      </c>
      <c r="I17619" t="s">
        <v>161</v>
      </c>
      <c r="J17619" t="s">
        <v>569</v>
      </c>
      <c r="K17619" t="s">
        <v>33</v>
      </c>
      <c r="L17619" t="s">
        <v>162</v>
      </c>
      <c r="N17619" t="s">
        <v>29</v>
      </c>
    </row>
    <row r="17620" spans="1:14">
      <c r="A17620" s="4" t="str">
        <f t="shared" si="1285"/>
        <v>EXP00437</v>
      </c>
      <c r="B17620" s="3" t="s">
        <v>66</v>
      </c>
      <c r="C17620" s="4" t="str">
        <f t="shared" si="1286"/>
        <v>TCGA-PRAD</v>
      </c>
      <c r="D17620" s="1" t="s">
        <v>493</v>
      </c>
      <c r="E17620" t="s">
        <v>568</v>
      </c>
      <c r="F17620" s="1">
        <v>2</v>
      </c>
      <c r="G17620" s="1" t="s">
        <v>32</v>
      </c>
      <c r="H17620" s="4" t="str">
        <f>HYPERLINK("https://portal.gdc.cancer.gov/cases/df3362cb-0f6b-412e-8af4-c5606526be17","TCGA-EJ-A65B-01A")</f>
        <v>TCGA-EJ-A65B-01A</v>
      </c>
      <c r="I17620" t="s">
        <v>161</v>
      </c>
      <c r="J17620" t="s">
        <v>569</v>
      </c>
      <c r="K17620" t="s">
        <v>33</v>
      </c>
      <c r="L17620" t="s">
        <v>162</v>
      </c>
      <c r="N17620" t="s">
        <v>29</v>
      </c>
    </row>
    <row r="17621" spans="1:14">
      <c r="A17621" s="4" t="str">
        <f t="shared" si="1285"/>
        <v>EXP00437</v>
      </c>
      <c r="B17621" s="3" t="s">
        <v>66</v>
      </c>
      <c r="C17621" s="4" t="str">
        <f t="shared" si="1286"/>
        <v>TCGA-PRAD</v>
      </c>
      <c r="D17621" s="1" t="s">
        <v>493</v>
      </c>
      <c r="E17621" t="s">
        <v>568</v>
      </c>
      <c r="F17621" s="1">
        <v>2</v>
      </c>
      <c r="G17621" s="1" t="s">
        <v>32</v>
      </c>
      <c r="H17621" s="4" t="str">
        <f>HYPERLINK("https://portal.gdc.cancer.gov/cases/8e1ff72b-f1db-4bf9-a8d3-f422e25a65e1","TCGA-EJ-A65D-01A")</f>
        <v>TCGA-EJ-A65D-01A</v>
      </c>
      <c r="I17621" t="s">
        <v>161</v>
      </c>
      <c r="J17621" t="s">
        <v>569</v>
      </c>
      <c r="K17621" t="s">
        <v>33</v>
      </c>
      <c r="L17621" t="s">
        <v>162</v>
      </c>
      <c r="N17621" t="s">
        <v>29</v>
      </c>
    </row>
    <row r="17622" spans="1:14">
      <c r="A17622" s="4" t="str">
        <f t="shared" si="1285"/>
        <v>EXP00437</v>
      </c>
      <c r="B17622" s="3" t="s">
        <v>66</v>
      </c>
      <c r="C17622" s="4" t="str">
        <f t="shared" si="1286"/>
        <v>TCGA-PRAD</v>
      </c>
      <c r="D17622" s="1" t="s">
        <v>493</v>
      </c>
      <c r="E17622" t="s">
        <v>568</v>
      </c>
      <c r="F17622" s="1">
        <v>2</v>
      </c>
      <c r="G17622" s="1" t="s">
        <v>32</v>
      </c>
      <c r="H17622" s="4" t="str">
        <f>HYPERLINK("https://portal.gdc.cancer.gov/cases/37ec45fd-1c85-49cb-835e-fa7b2b8ce16f","TCGA-EJ-A65E-01A")</f>
        <v>TCGA-EJ-A65E-01A</v>
      </c>
      <c r="I17622" t="s">
        <v>161</v>
      </c>
      <c r="J17622" t="s">
        <v>569</v>
      </c>
      <c r="K17622" t="s">
        <v>33</v>
      </c>
      <c r="L17622" t="s">
        <v>162</v>
      </c>
      <c r="N17622" t="s">
        <v>29</v>
      </c>
    </row>
    <row r="17623" spans="1:14">
      <c r="A17623" s="4" t="str">
        <f t="shared" si="1285"/>
        <v>EXP00437</v>
      </c>
      <c r="B17623" s="3" t="s">
        <v>66</v>
      </c>
      <c r="C17623" s="4" t="str">
        <f t="shared" si="1286"/>
        <v>TCGA-PRAD</v>
      </c>
      <c r="D17623" s="1" t="s">
        <v>493</v>
      </c>
      <c r="E17623" t="s">
        <v>568</v>
      </c>
      <c r="F17623" s="1">
        <v>2</v>
      </c>
      <c r="G17623" s="1" t="s">
        <v>32</v>
      </c>
      <c r="H17623" s="4" t="str">
        <f>HYPERLINK("https://portal.gdc.cancer.gov/cases/8631bb5e-6d08-4c20-a85e-cb84f5dac290","TCGA-EJ-A65F-01A")</f>
        <v>TCGA-EJ-A65F-01A</v>
      </c>
      <c r="I17623" t="s">
        <v>161</v>
      </c>
      <c r="J17623" t="s">
        <v>569</v>
      </c>
      <c r="K17623" t="s">
        <v>33</v>
      </c>
      <c r="L17623" t="s">
        <v>162</v>
      </c>
      <c r="N17623" t="s">
        <v>29</v>
      </c>
    </row>
    <row r="17624" spans="1:14">
      <c r="A17624" s="4" t="str">
        <f t="shared" si="1285"/>
        <v>EXP00437</v>
      </c>
      <c r="B17624" s="3" t="s">
        <v>66</v>
      </c>
      <c r="C17624" s="4" t="str">
        <f t="shared" si="1286"/>
        <v>TCGA-PRAD</v>
      </c>
      <c r="D17624" s="1" t="s">
        <v>493</v>
      </c>
      <c r="E17624" t="s">
        <v>568</v>
      </c>
      <c r="F17624" s="1">
        <v>2</v>
      </c>
      <c r="G17624" s="1" t="s">
        <v>32</v>
      </c>
      <c r="H17624" s="4" t="str">
        <f>HYPERLINK("https://portal.gdc.cancer.gov/cases/8bfac5b9-fa2b-4b6e-9537-e9d8a2f0d1dc","TCGA-EJ-A65G-01A")</f>
        <v>TCGA-EJ-A65G-01A</v>
      </c>
      <c r="I17624" t="s">
        <v>161</v>
      </c>
      <c r="J17624" t="s">
        <v>569</v>
      </c>
      <c r="K17624" t="s">
        <v>33</v>
      </c>
      <c r="L17624" t="s">
        <v>162</v>
      </c>
      <c r="N17624" t="s">
        <v>29</v>
      </c>
    </row>
    <row r="17625" spans="1:14">
      <c r="A17625" s="4" t="str">
        <f t="shared" si="1285"/>
        <v>EXP00437</v>
      </c>
      <c r="B17625" s="3" t="s">
        <v>66</v>
      </c>
      <c r="C17625" s="4" t="str">
        <f t="shared" si="1286"/>
        <v>TCGA-PRAD</v>
      </c>
      <c r="D17625" s="1" t="s">
        <v>493</v>
      </c>
      <c r="E17625" t="s">
        <v>568</v>
      </c>
      <c r="F17625" s="1">
        <v>2</v>
      </c>
      <c r="G17625" s="1" t="s">
        <v>32</v>
      </c>
      <c r="H17625" s="4" t="str">
        <f>HYPERLINK("https://portal.gdc.cancer.gov/cases/89c150cf-f60c-4f11-8f3e-384b0e0902f9","TCGA-EJ-A65J-01A")</f>
        <v>TCGA-EJ-A65J-01A</v>
      </c>
      <c r="I17625" t="s">
        <v>161</v>
      </c>
      <c r="J17625" t="s">
        <v>569</v>
      </c>
      <c r="K17625" t="s">
        <v>33</v>
      </c>
      <c r="L17625" t="s">
        <v>162</v>
      </c>
      <c r="N17625" t="s">
        <v>29</v>
      </c>
    </row>
    <row r="17626" spans="1:14">
      <c r="A17626" s="4" t="str">
        <f t="shared" si="1285"/>
        <v>EXP00437</v>
      </c>
      <c r="B17626" s="3" t="s">
        <v>66</v>
      </c>
      <c r="C17626" s="4" t="str">
        <f t="shared" si="1286"/>
        <v>TCGA-PRAD</v>
      </c>
      <c r="D17626" s="1" t="s">
        <v>493</v>
      </c>
      <c r="E17626" t="s">
        <v>568</v>
      </c>
      <c r="F17626" s="1">
        <v>2</v>
      </c>
      <c r="G17626" s="1" t="s">
        <v>32</v>
      </c>
      <c r="H17626" s="4" t="str">
        <f>HYPERLINK("https://portal.gdc.cancer.gov/cases/d4ff9f1a-1d35-4ad6-9a36-059547081c7e","TCGA-EJ-A65M-01A")</f>
        <v>TCGA-EJ-A65M-01A</v>
      </c>
      <c r="I17626" t="s">
        <v>161</v>
      </c>
      <c r="J17626" t="s">
        <v>569</v>
      </c>
      <c r="K17626" t="s">
        <v>33</v>
      </c>
      <c r="L17626" t="s">
        <v>162</v>
      </c>
      <c r="N17626" t="s">
        <v>29</v>
      </c>
    </row>
    <row r="17627" spans="1:14">
      <c r="A17627" s="4" t="str">
        <f t="shared" si="1285"/>
        <v>EXP00437</v>
      </c>
      <c r="B17627" s="3" t="s">
        <v>66</v>
      </c>
      <c r="C17627" s="4" t="str">
        <f t="shared" si="1286"/>
        <v>TCGA-PRAD</v>
      </c>
      <c r="D17627" s="1" t="s">
        <v>493</v>
      </c>
      <c r="E17627" t="s">
        <v>568</v>
      </c>
      <c r="F17627" s="1">
        <v>2</v>
      </c>
      <c r="G17627" s="1" t="s">
        <v>32</v>
      </c>
      <c r="H17627" s="4" t="str">
        <f>HYPERLINK("https://portal.gdc.cancer.gov/cases/4ef24cca-976b-4c2f-8810-4339967da570","TCGA-EJ-A6RA-01A")</f>
        <v>TCGA-EJ-A6RA-01A</v>
      </c>
      <c r="I17627" t="s">
        <v>161</v>
      </c>
      <c r="J17627" t="s">
        <v>569</v>
      </c>
      <c r="K17627" t="s">
        <v>33</v>
      </c>
      <c r="L17627" t="s">
        <v>162</v>
      </c>
      <c r="N17627" t="s">
        <v>29</v>
      </c>
    </row>
    <row r="17628" spans="1:14">
      <c r="A17628" s="4" t="str">
        <f t="shared" ref="A17628:A17691" si="1287">HYPERLINK("http://hcmdb.i-sanger.com/experiment/details/experiment_id/EXP00437","EXP00437")</f>
        <v>EXP00437</v>
      </c>
      <c r="B17628" s="3" t="s">
        <v>66</v>
      </c>
      <c r="C17628" s="4" t="str">
        <f t="shared" ref="C17628:C17691" si="1288">HYPERLINK("https://portal.gdc.cancer.gov/projects/TCGA-PRAD","TCGA-PRAD")</f>
        <v>TCGA-PRAD</v>
      </c>
      <c r="D17628" s="1" t="s">
        <v>493</v>
      </c>
      <c r="E17628" t="s">
        <v>568</v>
      </c>
      <c r="F17628" s="1">
        <v>2</v>
      </c>
      <c r="G17628" s="1" t="s">
        <v>32</v>
      </c>
      <c r="H17628" s="4" t="str">
        <f>HYPERLINK("https://portal.gdc.cancer.gov/cases/aae0fca8-99e9-4fde-a2e9-b0ea500737f8","TCGA-EJ-A6RC-01A")</f>
        <v>TCGA-EJ-A6RC-01A</v>
      </c>
      <c r="I17628" t="s">
        <v>161</v>
      </c>
      <c r="J17628" t="s">
        <v>569</v>
      </c>
      <c r="K17628" t="s">
        <v>33</v>
      </c>
      <c r="L17628" t="s">
        <v>162</v>
      </c>
      <c r="N17628" t="s">
        <v>29</v>
      </c>
    </row>
    <row r="17629" spans="1:14">
      <c r="A17629" s="4" t="str">
        <f t="shared" si="1287"/>
        <v>EXP00437</v>
      </c>
      <c r="B17629" s="3" t="s">
        <v>66</v>
      </c>
      <c r="C17629" s="4" t="str">
        <f t="shared" si="1288"/>
        <v>TCGA-PRAD</v>
      </c>
      <c r="D17629" s="1" t="s">
        <v>493</v>
      </c>
      <c r="E17629" t="s">
        <v>568</v>
      </c>
      <c r="F17629" s="1">
        <v>2</v>
      </c>
      <c r="G17629" s="1" t="s">
        <v>32</v>
      </c>
      <c r="H17629" s="4" t="str">
        <f>HYPERLINK("https://portal.gdc.cancer.gov/cases/f4478172-7727-4680-9934-da755ab1825c","TCGA-EJ-A7NF-01A")</f>
        <v>TCGA-EJ-A7NF-01A</v>
      </c>
      <c r="I17629" t="s">
        <v>161</v>
      </c>
      <c r="J17629" t="s">
        <v>569</v>
      </c>
      <c r="K17629" t="s">
        <v>33</v>
      </c>
      <c r="L17629" t="s">
        <v>162</v>
      </c>
      <c r="N17629" t="s">
        <v>29</v>
      </c>
    </row>
    <row r="17630" spans="1:14">
      <c r="A17630" s="4" t="str">
        <f t="shared" si="1287"/>
        <v>EXP00437</v>
      </c>
      <c r="B17630" s="3" t="s">
        <v>66</v>
      </c>
      <c r="C17630" s="4" t="str">
        <f t="shared" si="1288"/>
        <v>TCGA-PRAD</v>
      </c>
      <c r="D17630" s="1" t="s">
        <v>493</v>
      </c>
      <c r="E17630" t="s">
        <v>568</v>
      </c>
      <c r="F17630" s="1">
        <v>2</v>
      </c>
      <c r="G17630" s="1" t="s">
        <v>32</v>
      </c>
      <c r="H17630" s="4" t="str">
        <f>HYPERLINK("https://portal.gdc.cancer.gov/cases/607fd22b-f281-431b-848e-ae01e69567e2","TCGA-EJ-A7NG-01A")</f>
        <v>TCGA-EJ-A7NG-01A</v>
      </c>
      <c r="I17630" t="s">
        <v>161</v>
      </c>
      <c r="J17630" t="s">
        <v>569</v>
      </c>
      <c r="K17630" t="s">
        <v>33</v>
      </c>
      <c r="L17630" t="s">
        <v>162</v>
      </c>
      <c r="N17630" t="s">
        <v>29</v>
      </c>
    </row>
    <row r="17631" spans="1:14">
      <c r="A17631" s="4" t="str">
        <f t="shared" si="1287"/>
        <v>EXP00437</v>
      </c>
      <c r="B17631" s="3" t="s">
        <v>66</v>
      </c>
      <c r="C17631" s="4" t="str">
        <f t="shared" si="1288"/>
        <v>TCGA-PRAD</v>
      </c>
      <c r="D17631" s="1" t="s">
        <v>493</v>
      </c>
      <c r="E17631" t="s">
        <v>568</v>
      </c>
      <c r="F17631" s="1">
        <v>2</v>
      </c>
      <c r="G17631" s="1" t="s">
        <v>32</v>
      </c>
      <c r="H17631" s="4" t="str">
        <f>HYPERLINK("https://portal.gdc.cancer.gov/cases/0d498226-e22a-44a4-9ef8-1da8e83fa55b","TCGA-EJ-A7NH-01A")</f>
        <v>TCGA-EJ-A7NH-01A</v>
      </c>
      <c r="I17631" t="s">
        <v>161</v>
      </c>
      <c r="J17631" t="s">
        <v>569</v>
      </c>
      <c r="K17631" t="s">
        <v>33</v>
      </c>
      <c r="L17631" t="s">
        <v>162</v>
      </c>
      <c r="N17631" t="s">
        <v>29</v>
      </c>
    </row>
    <row r="17632" spans="1:14">
      <c r="A17632" s="4" t="str">
        <f t="shared" si="1287"/>
        <v>EXP00437</v>
      </c>
      <c r="B17632" s="3" t="s">
        <v>66</v>
      </c>
      <c r="C17632" s="4" t="str">
        <f t="shared" si="1288"/>
        <v>TCGA-PRAD</v>
      </c>
      <c r="D17632" s="1" t="s">
        <v>493</v>
      </c>
      <c r="E17632" t="s">
        <v>568</v>
      </c>
      <c r="F17632" s="1">
        <v>2</v>
      </c>
      <c r="G17632" s="1" t="s">
        <v>32</v>
      </c>
      <c r="H17632" s="4" t="str">
        <f>HYPERLINK("https://portal.gdc.cancer.gov/cases/f6743ff8-542e-4fde-8ff2-4878fcabffda","TCGA-EJ-A7NJ-01A")</f>
        <v>TCGA-EJ-A7NJ-01A</v>
      </c>
      <c r="I17632" t="s">
        <v>161</v>
      </c>
      <c r="J17632" t="s">
        <v>569</v>
      </c>
      <c r="K17632" t="s">
        <v>33</v>
      </c>
      <c r="L17632" t="s">
        <v>162</v>
      </c>
      <c r="N17632" t="s">
        <v>29</v>
      </c>
    </row>
    <row r="17633" spans="1:14">
      <c r="A17633" s="4" t="str">
        <f t="shared" si="1287"/>
        <v>EXP00437</v>
      </c>
      <c r="B17633" s="3" t="s">
        <v>66</v>
      </c>
      <c r="C17633" s="4" t="str">
        <f t="shared" si="1288"/>
        <v>TCGA-PRAD</v>
      </c>
      <c r="D17633" s="1" t="s">
        <v>493</v>
      </c>
      <c r="E17633" t="s">
        <v>568</v>
      </c>
      <c r="F17633" s="1">
        <v>2</v>
      </c>
      <c r="G17633" s="1" t="s">
        <v>32</v>
      </c>
      <c r="H17633" s="4" t="str">
        <f>HYPERLINK("https://portal.gdc.cancer.gov/cases/c362f6f9-4ce6-4659-8c36-4cd45c72fb03","TCGA-EJ-A7NK-01A")</f>
        <v>TCGA-EJ-A7NK-01A</v>
      </c>
      <c r="I17633" t="s">
        <v>161</v>
      </c>
      <c r="J17633" t="s">
        <v>569</v>
      </c>
      <c r="K17633" t="s">
        <v>33</v>
      </c>
      <c r="L17633" t="s">
        <v>162</v>
      </c>
      <c r="N17633" t="s">
        <v>29</v>
      </c>
    </row>
    <row r="17634" spans="1:14">
      <c r="A17634" s="4" t="str">
        <f t="shared" si="1287"/>
        <v>EXP00437</v>
      </c>
      <c r="B17634" s="3" t="s">
        <v>66</v>
      </c>
      <c r="C17634" s="4" t="str">
        <f t="shared" si="1288"/>
        <v>TCGA-PRAD</v>
      </c>
      <c r="D17634" s="1" t="s">
        <v>493</v>
      </c>
      <c r="E17634" t="s">
        <v>568</v>
      </c>
      <c r="F17634" s="1">
        <v>2</v>
      </c>
      <c r="G17634" s="1" t="s">
        <v>32</v>
      </c>
      <c r="H17634" s="4" t="str">
        <f>HYPERLINK("https://portal.gdc.cancer.gov/cases/aa8b99fd-973f-465d-ae24-3421fe784687","TCGA-EJ-A7NM-01A")</f>
        <v>TCGA-EJ-A7NM-01A</v>
      </c>
      <c r="I17634" t="s">
        <v>161</v>
      </c>
      <c r="J17634" t="s">
        <v>569</v>
      </c>
      <c r="K17634" t="s">
        <v>33</v>
      </c>
      <c r="L17634" t="s">
        <v>162</v>
      </c>
      <c r="N17634" t="s">
        <v>29</v>
      </c>
    </row>
    <row r="17635" spans="1:14">
      <c r="A17635" s="4" t="str">
        <f t="shared" si="1287"/>
        <v>EXP00437</v>
      </c>
      <c r="B17635" s="3" t="s">
        <v>66</v>
      </c>
      <c r="C17635" s="4" t="str">
        <f t="shared" si="1288"/>
        <v>TCGA-PRAD</v>
      </c>
      <c r="D17635" s="1" t="s">
        <v>493</v>
      </c>
      <c r="E17635" t="s">
        <v>568</v>
      </c>
      <c r="F17635" s="1">
        <v>2</v>
      </c>
      <c r="G17635" s="1" t="s">
        <v>32</v>
      </c>
      <c r="H17635" s="4" t="str">
        <f>HYPERLINK("https://portal.gdc.cancer.gov/cases/c8fab4a7-fd7e-4d5e-a330-18c7e148b9d0","TCGA-EJ-A7NN-01A")</f>
        <v>TCGA-EJ-A7NN-01A</v>
      </c>
      <c r="I17635" t="s">
        <v>161</v>
      </c>
      <c r="J17635" t="s">
        <v>569</v>
      </c>
      <c r="K17635" t="s">
        <v>33</v>
      </c>
      <c r="L17635" t="s">
        <v>162</v>
      </c>
      <c r="N17635" t="s">
        <v>29</v>
      </c>
    </row>
    <row r="17636" spans="1:14">
      <c r="A17636" s="4" t="str">
        <f t="shared" si="1287"/>
        <v>EXP00437</v>
      </c>
      <c r="B17636" s="3" t="s">
        <v>66</v>
      </c>
      <c r="C17636" s="4" t="str">
        <f t="shared" si="1288"/>
        <v>TCGA-PRAD</v>
      </c>
      <c r="D17636" s="1" t="s">
        <v>493</v>
      </c>
      <c r="E17636" t="s">
        <v>568</v>
      </c>
      <c r="F17636" s="1">
        <v>2</v>
      </c>
      <c r="G17636" s="1" t="s">
        <v>32</v>
      </c>
      <c r="H17636" s="4" t="str">
        <f>HYPERLINK("https://portal.gdc.cancer.gov/cases/ea770d22-2cba-465c-9555-e0877dcecb9f","TCGA-EJ-A8FN-01A")</f>
        <v>TCGA-EJ-A8FN-01A</v>
      </c>
      <c r="I17636" t="s">
        <v>161</v>
      </c>
      <c r="J17636" t="s">
        <v>569</v>
      </c>
      <c r="K17636" t="s">
        <v>33</v>
      </c>
      <c r="L17636" t="s">
        <v>162</v>
      </c>
      <c r="N17636" t="s">
        <v>29</v>
      </c>
    </row>
    <row r="17637" spans="1:14">
      <c r="A17637" s="4" t="str">
        <f t="shared" si="1287"/>
        <v>EXP00437</v>
      </c>
      <c r="B17637" s="3" t="s">
        <v>66</v>
      </c>
      <c r="C17637" s="4" t="str">
        <f t="shared" si="1288"/>
        <v>TCGA-PRAD</v>
      </c>
      <c r="D17637" s="1" t="s">
        <v>493</v>
      </c>
      <c r="E17637" t="s">
        <v>568</v>
      </c>
      <c r="F17637" s="1">
        <v>2</v>
      </c>
      <c r="G17637" s="1" t="s">
        <v>32</v>
      </c>
      <c r="H17637" s="4" t="str">
        <f>HYPERLINK("https://portal.gdc.cancer.gov/cases/b751083d-be6d-45da-be97-a6d41d8ebe97","TCGA-EJ-A8FO-01A")</f>
        <v>TCGA-EJ-A8FO-01A</v>
      </c>
      <c r="I17637" t="s">
        <v>161</v>
      </c>
      <c r="J17637" t="s">
        <v>569</v>
      </c>
      <c r="K17637" t="s">
        <v>33</v>
      </c>
      <c r="L17637" t="s">
        <v>162</v>
      </c>
      <c r="N17637" t="s">
        <v>29</v>
      </c>
    </row>
    <row r="17638" spans="1:14">
      <c r="A17638" s="4" t="str">
        <f t="shared" si="1287"/>
        <v>EXP00437</v>
      </c>
      <c r="B17638" s="3" t="s">
        <v>66</v>
      </c>
      <c r="C17638" s="4" t="str">
        <f t="shared" si="1288"/>
        <v>TCGA-PRAD</v>
      </c>
      <c r="D17638" s="1" t="s">
        <v>493</v>
      </c>
      <c r="E17638" t="s">
        <v>568</v>
      </c>
      <c r="F17638" s="1">
        <v>2</v>
      </c>
      <c r="G17638" s="1" t="s">
        <v>32</v>
      </c>
      <c r="H17638" s="4" t="str">
        <f>HYPERLINK("https://portal.gdc.cancer.gov/cases/00f0f7dd-71de-4e4f-b4b5-df860324f2e8","TCGA-EJ-A8FP-01A")</f>
        <v>TCGA-EJ-A8FP-01A</v>
      </c>
      <c r="I17638" t="s">
        <v>161</v>
      </c>
      <c r="J17638" t="s">
        <v>569</v>
      </c>
      <c r="K17638" t="s">
        <v>33</v>
      </c>
      <c r="L17638" t="s">
        <v>162</v>
      </c>
      <c r="N17638" t="s">
        <v>29</v>
      </c>
    </row>
    <row r="17639" spans="1:14">
      <c r="A17639" s="4" t="str">
        <f t="shared" si="1287"/>
        <v>EXP00437</v>
      </c>
      <c r="B17639" s="3" t="s">
        <v>66</v>
      </c>
      <c r="C17639" s="4" t="str">
        <f t="shared" si="1288"/>
        <v>TCGA-PRAD</v>
      </c>
      <c r="D17639" s="1" t="s">
        <v>493</v>
      </c>
      <c r="E17639" t="s">
        <v>568</v>
      </c>
      <c r="F17639" s="1">
        <v>2</v>
      </c>
      <c r="G17639" s="1" t="s">
        <v>32</v>
      </c>
      <c r="H17639" s="4" t="str">
        <f>HYPERLINK("https://portal.gdc.cancer.gov/cases/9044098b-415d-4893-a682-3636f6b2b2db","TCGA-EJ-A8FS-01A")</f>
        <v>TCGA-EJ-A8FS-01A</v>
      </c>
      <c r="I17639" t="s">
        <v>161</v>
      </c>
      <c r="J17639" t="s">
        <v>569</v>
      </c>
      <c r="K17639" t="s">
        <v>33</v>
      </c>
      <c r="L17639" t="s">
        <v>162</v>
      </c>
      <c r="N17639" t="s">
        <v>29</v>
      </c>
    </row>
    <row r="17640" spans="1:14">
      <c r="A17640" s="4" t="str">
        <f t="shared" si="1287"/>
        <v>EXP00437</v>
      </c>
      <c r="B17640" s="3" t="s">
        <v>66</v>
      </c>
      <c r="C17640" s="4" t="str">
        <f t="shared" si="1288"/>
        <v>TCGA-PRAD</v>
      </c>
      <c r="D17640" s="1" t="s">
        <v>493</v>
      </c>
      <c r="E17640" t="s">
        <v>568</v>
      </c>
      <c r="F17640" s="1">
        <v>2</v>
      </c>
      <c r="G17640" s="1" t="s">
        <v>32</v>
      </c>
      <c r="H17640" s="4" t="str">
        <f>HYPERLINK("https://portal.gdc.cancer.gov/cases/23e56e08-e11d-4e83-88a8-1254675b3af8","TCGA-EJ-A8FU-01A")</f>
        <v>TCGA-EJ-A8FU-01A</v>
      </c>
      <c r="I17640" t="s">
        <v>161</v>
      </c>
      <c r="J17640" t="s">
        <v>569</v>
      </c>
      <c r="K17640" t="s">
        <v>33</v>
      </c>
      <c r="L17640" t="s">
        <v>162</v>
      </c>
      <c r="N17640" t="s">
        <v>29</v>
      </c>
    </row>
    <row r="17641" spans="1:14">
      <c r="A17641" s="4" t="str">
        <f t="shared" si="1287"/>
        <v>EXP00437</v>
      </c>
      <c r="B17641" s="3" t="s">
        <v>66</v>
      </c>
      <c r="C17641" s="4" t="str">
        <f t="shared" si="1288"/>
        <v>TCGA-PRAD</v>
      </c>
      <c r="D17641" s="1" t="s">
        <v>493</v>
      </c>
      <c r="E17641" t="s">
        <v>568</v>
      </c>
      <c r="F17641" s="1">
        <v>2</v>
      </c>
      <c r="G17641" s="1" t="s">
        <v>32</v>
      </c>
      <c r="H17641" s="4" t="str">
        <f>HYPERLINK("https://portal.gdc.cancer.gov/cases/743ffc51-d613-407f-b040-e99969c31802","TCGA-EJ-AB20-01A")</f>
        <v>TCGA-EJ-AB20-01A</v>
      </c>
      <c r="I17641" t="s">
        <v>161</v>
      </c>
      <c r="J17641" t="s">
        <v>569</v>
      </c>
      <c r="K17641" t="s">
        <v>33</v>
      </c>
      <c r="L17641" t="s">
        <v>162</v>
      </c>
      <c r="N17641" t="s">
        <v>29</v>
      </c>
    </row>
    <row r="17642" spans="1:14">
      <c r="A17642" s="4" t="str">
        <f t="shared" si="1287"/>
        <v>EXP00437</v>
      </c>
      <c r="B17642" s="3" t="s">
        <v>66</v>
      </c>
      <c r="C17642" s="4" t="str">
        <f t="shared" si="1288"/>
        <v>TCGA-PRAD</v>
      </c>
      <c r="D17642" s="1" t="s">
        <v>493</v>
      </c>
      <c r="E17642" t="s">
        <v>568</v>
      </c>
      <c r="F17642" s="1">
        <v>2</v>
      </c>
      <c r="G17642" s="1" t="s">
        <v>32</v>
      </c>
      <c r="H17642" s="4" t="str">
        <f>HYPERLINK("https://portal.gdc.cancer.gov/cases/b7b61392-c085-4e28-892f-e9b6fe6ece41","TCGA-EJ-AB27-01A")</f>
        <v>TCGA-EJ-AB27-01A</v>
      </c>
      <c r="I17642" t="s">
        <v>161</v>
      </c>
      <c r="J17642" t="s">
        <v>569</v>
      </c>
      <c r="K17642" t="s">
        <v>33</v>
      </c>
      <c r="L17642" t="s">
        <v>162</v>
      </c>
      <c r="N17642" t="s">
        <v>29</v>
      </c>
    </row>
    <row r="17643" spans="1:14">
      <c r="A17643" s="4" t="str">
        <f t="shared" si="1287"/>
        <v>EXP00437</v>
      </c>
      <c r="B17643" s="3" t="s">
        <v>66</v>
      </c>
      <c r="C17643" s="4" t="str">
        <f t="shared" si="1288"/>
        <v>TCGA-PRAD</v>
      </c>
      <c r="D17643" s="1" t="s">
        <v>493</v>
      </c>
      <c r="E17643" t="s">
        <v>568</v>
      </c>
      <c r="F17643" s="1">
        <v>2</v>
      </c>
      <c r="G17643" s="1" t="s">
        <v>32</v>
      </c>
      <c r="H17643" s="4" t="str">
        <f>HYPERLINK("https://portal.gdc.cancer.gov/cases/208a75b3-407c-4c5a-8938-3691547b6887","TCGA-FC-7708-01A")</f>
        <v>TCGA-FC-7708-01A</v>
      </c>
      <c r="I17643" t="s">
        <v>161</v>
      </c>
      <c r="J17643" t="s">
        <v>569</v>
      </c>
      <c r="K17643" t="s">
        <v>33</v>
      </c>
      <c r="L17643" t="s">
        <v>162</v>
      </c>
      <c r="N17643" t="s">
        <v>29</v>
      </c>
    </row>
    <row r="17644" spans="1:14">
      <c r="A17644" s="4" t="str">
        <f t="shared" si="1287"/>
        <v>EXP00437</v>
      </c>
      <c r="B17644" s="3" t="s">
        <v>66</v>
      </c>
      <c r="C17644" s="4" t="str">
        <f t="shared" si="1288"/>
        <v>TCGA-PRAD</v>
      </c>
      <c r="D17644" s="1" t="s">
        <v>493</v>
      </c>
      <c r="E17644" t="s">
        <v>568</v>
      </c>
      <c r="F17644" s="1">
        <v>2</v>
      </c>
      <c r="G17644" s="1" t="s">
        <v>32</v>
      </c>
      <c r="H17644" s="4" t="str">
        <f>HYPERLINK("https://portal.gdc.cancer.gov/cases/a8d81122-3f2a-43f4-bdc1-479cab37a19d","TCGA-FC-7961-01A")</f>
        <v>TCGA-FC-7961-01A</v>
      </c>
      <c r="I17644" t="s">
        <v>161</v>
      </c>
      <c r="J17644" t="s">
        <v>569</v>
      </c>
      <c r="K17644" t="s">
        <v>33</v>
      </c>
      <c r="L17644" t="s">
        <v>162</v>
      </c>
      <c r="N17644" t="s">
        <v>29</v>
      </c>
    </row>
    <row r="17645" spans="1:14">
      <c r="A17645" s="4" t="str">
        <f t="shared" si="1287"/>
        <v>EXP00437</v>
      </c>
      <c r="B17645" s="3" t="s">
        <v>66</v>
      </c>
      <c r="C17645" s="4" t="str">
        <f t="shared" si="1288"/>
        <v>TCGA-PRAD</v>
      </c>
      <c r="D17645" s="1" t="s">
        <v>493</v>
      </c>
      <c r="E17645" t="s">
        <v>568</v>
      </c>
      <c r="F17645" s="1">
        <v>2</v>
      </c>
      <c r="G17645" s="1" t="s">
        <v>32</v>
      </c>
      <c r="H17645" s="4" t="str">
        <f>HYPERLINK("https://portal.gdc.cancer.gov/cases/30f623a3-dae7-41da-ab10-8786d094209e","TCGA-FC-A4JI-01A")</f>
        <v>TCGA-FC-A4JI-01A</v>
      </c>
      <c r="I17645" t="s">
        <v>161</v>
      </c>
      <c r="J17645" t="s">
        <v>569</v>
      </c>
      <c r="K17645" t="s">
        <v>33</v>
      </c>
      <c r="L17645" t="s">
        <v>162</v>
      </c>
      <c r="N17645" t="s">
        <v>29</v>
      </c>
    </row>
    <row r="17646" spans="1:14">
      <c r="A17646" s="4" t="str">
        <f t="shared" si="1287"/>
        <v>EXP00437</v>
      </c>
      <c r="B17646" s="3" t="s">
        <v>66</v>
      </c>
      <c r="C17646" s="4" t="str">
        <f t="shared" si="1288"/>
        <v>TCGA-PRAD</v>
      </c>
      <c r="D17646" s="1" t="s">
        <v>493</v>
      </c>
      <c r="E17646" t="s">
        <v>568</v>
      </c>
      <c r="F17646" s="1">
        <v>2</v>
      </c>
      <c r="G17646" s="1" t="s">
        <v>32</v>
      </c>
      <c r="H17646" s="4" t="str">
        <f>HYPERLINK("https://portal.gdc.cancer.gov/cases/f7238e82-a394-4a7c-8514-6241d0aa17e3","TCGA-FC-A5OB-01A")</f>
        <v>TCGA-FC-A5OB-01A</v>
      </c>
      <c r="I17646" t="s">
        <v>161</v>
      </c>
      <c r="J17646" t="s">
        <v>569</v>
      </c>
      <c r="K17646" t="s">
        <v>33</v>
      </c>
      <c r="L17646" t="s">
        <v>162</v>
      </c>
      <c r="N17646" t="s">
        <v>29</v>
      </c>
    </row>
    <row r="17647" spans="1:14">
      <c r="A17647" s="4" t="str">
        <f t="shared" si="1287"/>
        <v>EXP00437</v>
      </c>
      <c r="B17647" s="3" t="s">
        <v>66</v>
      </c>
      <c r="C17647" s="4" t="str">
        <f t="shared" si="1288"/>
        <v>TCGA-PRAD</v>
      </c>
      <c r="D17647" s="1" t="s">
        <v>493</v>
      </c>
      <c r="E17647" t="s">
        <v>568</v>
      </c>
      <c r="F17647" s="1">
        <v>2</v>
      </c>
      <c r="G17647" s="1" t="s">
        <v>32</v>
      </c>
      <c r="H17647" s="4" t="str">
        <f>HYPERLINK("https://portal.gdc.cancer.gov/cases/7466d120-6a6e-40a0-96d3-4979816d6278","TCGA-FC-A66V-01A")</f>
        <v>TCGA-FC-A66V-01A</v>
      </c>
      <c r="I17647" t="s">
        <v>161</v>
      </c>
      <c r="J17647" t="s">
        <v>569</v>
      </c>
      <c r="K17647" t="s">
        <v>33</v>
      </c>
      <c r="L17647" t="s">
        <v>162</v>
      </c>
      <c r="N17647" t="s">
        <v>29</v>
      </c>
    </row>
    <row r="17648" spans="1:14">
      <c r="A17648" s="4" t="str">
        <f t="shared" si="1287"/>
        <v>EXP00437</v>
      </c>
      <c r="B17648" s="3" t="s">
        <v>66</v>
      </c>
      <c r="C17648" s="4" t="str">
        <f t="shared" si="1288"/>
        <v>TCGA-PRAD</v>
      </c>
      <c r="D17648" s="1" t="s">
        <v>493</v>
      </c>
      <c r="E17648" t="s">
        <v>568</v>
      </c>
      <c r="F17648" s="1">
        <v>2</v>
      </c>
      <c r="G17648" s="1" t="s">
        <v>32</v>
      </c>
      <c r="H17648" s="4" t="str">
        <f>HYPERLINK("https://portal.gdc.cancer.gov/cases/f97fed28-fdf3-4c82-8b6d-1015848b80dc","TCGA-FC-A6HD-01A")</f>
        <v>TCGA-FC-A6HD-01A</v>
      </c>
      <c r="I17648" t="s">
        <v>161</v>
      </c>
      <c r="J17648" t="s">
        <v>569</v>
      </c>
      <c r="K17648" t="s">
        <v>33</v>
      </c>
      <c r="L17648" t="s">
        <v>162</v>
      </c>
      <c r="N17648" t="s">
        <v>29</v>
      </c>
    </row>
    <row r="17649" spans="1:14">
      <c r="A17649" s="4" t="str">
        <f t="shared" si="1287"/>
        <v>EXP00437</v>
      </c>
      <c r="B17649" s="3" t="s">
        <v>66</v>
      </c>
      <c r="C17649" s="4" t="str">
        <f t="shared" si="1288"/>
        <v>TCGA-PRAD</v>
      </c>
      <c r="D17649" s="1" t="s">
        <v>493</v>
      </c>
      <c r="E17649" t="s">
        <v>568</v>
      </c>
      <c r="F17649" s="1">
        <v>2</v>
      </c>
      <c r="G17649" s="1" t="s">
        <v>32</v>
      </c>
      <c r="H17649" s="4" t="str">
        <f>HYPERLINK("https://portal.gdc.cancer.gov/cases/7eea6fd7-733c-44eb-b4b7-50bb3a2628a0","TCGA-FC-A8O0-01A")</f>
        <v>TCGA-FC-A8O0-01A</v>
      </c>
      <c r="I17649" t="s">
        <v>161</v>
      </c>
      <c r="J17649" t="s">
        <v>569</v>
      </c>
      <c r="K17649" t="s">
        <v>33</v>
      </c>
      <c r="L17649" t="s">
        <v>162</v>
      </c>
      <c r="N17649" t="s">
        <v>29</v>
      </c>
    </row>
    <row r="17650" spans="1:14">
      <c r="A17650" s="4" t="str">
        <f t="shared" si="1287"/>
        <v>EXP00437</v>
      </c>
      <c r="B17650" s="3" t="s">
        <v>66</v>
      </c>
      <c r="C17650" s="4" t="str">
        <f t="shared" si="1288"/>
        <v>TCGA-PRAD</v>
      </c>
      <c r="D17650" s="1" t="s">
        <v>493</v>
      </c>
      <c r="E17650" t="s">
        <v>568</v>
      </c>
      <c r="F17650" s="1">
        <v>2</v>
      </c>
      <c r="G17650" s="1" t="s">
        <v>32</v>
      </c>
      <c r="H17650" s="4" t="str">
        <f>HYPERLINK("https://portal.gdc.cancer.gov/cases/a08fd0a6-a89a-4adb-b641-d4c1238abb71","TCGA-G9-6329-01A")</f>
        <v>TCGA-G9-6329-01A</v>
      </c>
      <c r="I17650" t="s">
        <v>161</v>
      </c>
      <c r="J17650" t="s">
        <v>569</v>
      </c>
      <c r="K17650" t="s">
        <v>33</v>
      </c>
      <c r="L17650" t="s">
        <v>162</v>
      </c>
      <c r="N17650" t="s">
        <v>29</v>
      </c>
    </row>
    <row r="17651" spans="1:14">
      <c r="A17651" s="4" t="str">
        <f t="shared" si="1287"/>
        <v>EXP00437</v>
      </c>
      <c r="B17651" s="3" t="s">
        <v>66</v>
      </c>
      <c r="C17651" s="4" t="str">
        <f t="shared" si="1288"/>
        <v>TCGA-PRAD</v>
      </c>
      <c r="D17651" s="1" t="s">
        <v>493</v>
      </c>
      <c r="E17651" t="s">
        <v>568</v>
      </c>
      <c r="F17651" s="1">
        <v>2</v>
      </c>
      <c r="G17651" s="1" t="s">
        <v>32</v>
      </c>
      <c r="H17651" s="4" t="str">
        <f>HYPERLINK("https://portal.gdc.cancer.gov/cases/c46022f8-b122-4367-836b-ec1ae641a87d","TCGA-G9-6332-01A")</f>
        <v>TCGA-G9-6332-01A</v>
      </c>
      <c r="I17651" t="s">
        <v>161</v>
      </c>
      <c r="J17651" t="s">
        <v>569</v>
      </c>
      <c r="K17651" t="s">
        <v>33</v>
      </c>
      <c r="L17651" t="s">
        <v>162</v>
      </c>
      <c r="N17651" t="s">
        <v>29</v>
      </c>
    </row>
    <row r="17652" spans="1:14">
      <c r="A17652" s="4" t="str">
        <f t="shared" si="1287"/>
        <v>EXP00437</v>
      </c>
      <c r="B17652" s="3" t="s">
        <v>66</v>
      </c>
      <c r="C17652" s="4" t="str">
        <f t="shared" si="1288"/>
        <v>TCGA-PRAD</v>
      </c>
      <c r="D17652" s="1" t="s">
        <v>493</v>
      </c>
      <c r="E17652" t="s">
        <v>568</v>
      </c>
      <c r="F17652" s="1">
        <v>2</v>
      </c>
      <c r="G17652" s="1" t="s">
        <v>32</v>
      </c>
      <c r="H17652" s="4" t="str">
        <f>HYPERLINK("https://portal.gdc.cancer.gov/cases/64bf32c9-9466-404a-a147-e7a0b9e91e34","TCGA-G9-6333-01A")</f>
        <v>TCGA-G9-6333-01A</v>
      </c>
      <c r="I17652" t="s">
        <v>161</v>
      </c>
      <c r="J17652" t="s">
        <v>569</v>
      </c>
      <c r="K17652" t="s">
        <v>33</v>
      </c>
      <c r="L17652" t="s">
        <v>162</v>
      </c>
      <c r="N17652" t="s">
        <v>29</v>
      </c>
    </row>
    <row r="17653" spans="1:14">
      <c r="A17653" s="4" t="str">
        <f t="shared" si="1287"/>
        <v>EXP00437</v>
      </c>
      <c r="B17653" s="3" t="s">
        <v>66</v>
      </c>
      <c r="C17653" s="4" t="str">
        <f t="shared" si="1288"/>
        <v>TCGA-PRAD</v>
      </c>
      <c r="D17653" s="1" t="s">
        <v>493</v>
      </c>
      <c r="E17653" t="s">
        <v>568</v>
      </c>
      <c r="F17653" s="1">
        <v>2</v>
      </c>
      <c r="G17653" s="1" t="s">
        <v>32</v>
      </c>
      <c r="H17653" s="4" t="str">
        <f>HYPERLINK("https://portal.gdc.cancer.gov/cases/59207bcd-f127-481f-b576-8716da7d7d97","TCGA-G9-6336-01A")</f>
        <v>TCGA-G9-6336-01A</v>
      </c>
      <c r="I17653" t="s">
        <v>161</v>
      </c>
      <c r="J17653" t="s">
        <v>569</v>
      </c>
      <c r="K17653" t="s">
        <v>33</v>
      </c>
      <c r="L17653" t="s">
        <v>162</v>
      </c>
      <c r="N17653" t="s">
        <v>29</v>
      </c>
    </row>
    <row r="17654" spans="1:14">
      <c r="A17654" s="4" t="str">
        <f t="shared" si="1287"/>
        <v>EXP00437</v>
      </c>
      <c r="B17654" s="3" t="s">
        <v>66</v>
      </c>
      <c r="C17654" s="4" t="str">
        <f t="shared" si="1288"/>
        <v>TCGA-PRAD</v>
      </c>
      <c r="D17654" s="1" t="s">
        <v>493</v>
      </c>
      <c r="E17654" t="s">
        <v>568</v>
      </c>
      <c r="F17654" s="1">
        <v>2</v>
      </c>
      <c r="G17654" s="1" t="s">
        <v>32</v>
      </c>
      <c r="H17654" s="4" t="str">
        <f>HYPERLINK("https://portal.gdc.cancer.gov/cases/2c48b1bf-4e49-4869-874b-f08787fa04b5","TCGA-G9-6338-01A")</f>
        <v>TCGA-G9-6338-01A</v>
      </c>
      <c r="I17654" t="s">
        <v>161</v>
      </c>
      <c r="J17654" t="s">
        <v>569</v>
      </c>
      <c r="K17654" t="s">
        <v>33</v>
      </c>
      <c r="L17654" t="s">
        <v>162</v>
      </c>
      <c r="N17654" t="s">
        <v>29</v>
      </c>
    </row>
    <row r="17655" spans="1:14">
      <c r="A17655" s="4" t="str">
        <f t="shared" si="1287"/>
        <v>EXP00437</v>
      </c>
      <c r="B17655" s="3" t="s">
        <v>66</v>
      </c>
      <c r="C17655" s="4" t="str">
        <f t="shared" si="1288"/>
        <v>TCGA-PRAD</v>
      </c>
      <c r="D17655" s="1" t="s">
        <v>493</v>
      </c>
      <c r="E17655" t="s">
        <v>568</v>
      </c>
      <c r="F17655" s="1">
        <v>2</v>
      </c>
      <c r="G17655" s="1" t="s">
        <v>32</v>
      </c>
      <c r="H17655" s="4" t="str">
        <f>HYPERLINK("https://portal.gdc.cancer.gov/cases/d39d1a49-fcc0-4f2c-9338-df904e7f6a09","TCGA-G9-6339-01A")</f>
        <v>TCGA-G9-6339-01A</v>
      </c>
      <c r="I17655" t="s">
        <v>161</v>
      </c>
      <c r="J17655" t="s">
        <v>569</v>
      </c>
      <c r="K17655" t="s">
        <v>33</v>
      </c>
      <c r="L17655" t="s">
        <v>162</v>
      </c>
      <c r="N17655" t="s">
        <v>29</v>
      </c>
    </row>
    <row r="17656" spans="1:14">
      <c r="A17656" s="4" t="str">
        <f t="shared" si="1287"/>
        <v>EXP00437</v>
      </c>
      <c r="B17656" s="3" t="s">
        <v>66</v>
      </c>
      <c r="C17656" s="4" t="str">
        <f t="shared" si="1288"/>
        <v>TCGA-PRAD</v>
      </c>
      <c r="D17656" s="1" t="s">
        <v>493</v>
      </c>
      <c r="E17656" t="s">
        <v>568</v>
      </c>
      <c r="F17656" s="1">
        <v>2</v>
      </c>
      <c r="G17656" s="1" t="s">
        <v>32</v>
      </c>
      <c r="H17656" s="4" t="str">
        <f>HYPERLINK("https://portal.gdc.cancer.gov/cases/00e41e6a-9fe7-44f9-978b-7b05b179506a","TCGA-G9-6342-01A")</f>
        <v>TCGA-G9-6342-01A</v>
      </c>
      <c r="I17656" t="s">
        <v>161</v>
      </c>
      <c r="J17656" t="s">
        <v>569</v>
      </c>
      <c r="K17656" t="s">
        <v>33</v>
      </c>
      <c r="L17656" t="s">
        <v>162</v>
      </c>
      <c r="N17656" t="s">
        <v>29</v>
      </c>
    </row>
    <row r="17657" spans="1:14">
      <c r="A17657" s="4" t="str">
        <f t="shared" si="1287"/>
        <v>EXP00437</v>
      </c>
      <c r="B17657" s="3" t="s">
        <v>66</v>
      </c>
      <c r="C17657" s="4" t="str">
        <f t="shared" si="1288"/>
        <v>TCGA-PRAD</v>
      </c>
      <c r="D17657" s="1" t="s">
        <v>493</v>
      </c>
      <c r="E17657" t="s">
        <v>568</v>
      </c>
      <c r="F17657" s="1">
        <v>2</v>
      </c>
      <c r="G17657" s="1" t="s">
        <v>32</v>
      </c>
      <c r="H17657" s="4" t="str">
        <f>HYPERLINK("https://portal.gdc.cancer.gov/cases/36b87d12-9f96-460f-a3b5-a4c08cbf5b07","TCGA-G9-6343-01A")</f>
        <v>TCGA-G9-6343-01A</v>
      </c>
      <c r="I17657" t="s">
        <v>161</v>
      </c>
      <c r="J17657" t="s">
        <v>569</v>
      </c>
      <c r="K17657" t="s">
        <v>33</v>
      </c>
      <c r="L17657" t="s">
        <v>162</v>
      </c>
      <c r="N17657" t="s">
        <v>29</v>
      </c>
    </row>
    <row r="17658" spans="1:14">
      <c r="A17658" s="4" t="str">
        <f t="shared" si="1287"/>
        <v>EXP00437</v>
      </c>
      <c r="B17658" s="3" t="s">
        <v>66</v>
      </c>
      <c r="C17658" s="4" t="str">
        <f t="shared" si="1288"/>
        <v>TCGA-PRAD</v>
      </c>
      <c r="D17658" s="1" t="s">
        <v>493</v>
      </c>
      <c r="E17658" t="s">
        <v>568</v>
      </c>
      <c r="F17658" s="1">
        <v>2</v>
      </c>
      <c r="G17658" s="1" t="s">
        <v>32</v>
      </c>
      <c r="H17658" s="4" t="str">
        <f>HYPERLINK("https://portal.gdc.cancer.gov/cases/b5268f49-2710-4d17-a78b-4a05412e8375","TCGA-G9-6347-01A")</f>
        <v>TCGA-G9-6347-01A</v>
      </c>
      <c r="I17658" t="s">
        <v>161</v>
      </c>
      <c r="J17658" t="s">
        <v>569</v>
      </c>
      <c r="K17658" t="s">
        <v>33</v>
      </c>
      <c r="L17658" t="s">
        <v>162</v>
      </c>
      <c r="N17658" t="s">
        <v>29</v>
      </c>
    </row>
    <row r="17659" spans="1:14">
      <c r="A17659" s="4" t="str">
        <f t="shared" si="1287"/>
        <v>EXP00437</v>
      </c>
      <c r="B17659" s="3" t="s">
        <v>66</v>
      </c>
      <c r="C17659" s="4" t="str">
        <f t="shared" si="1288"/>
        <v>TCGA-PRAD</v>
      </c>
      <c r="D17659" s="1" t="s">
        <v>493</v>
      </c>
      <c r="E17659" t="s">
        <v>568</v>
      </c>
      <c r="F17659" s="1">
        <v>2</v>
      </c>
      <c r="G17659" s="1" t="s">
        <v>32</v>
      </c>
      <c r="H17659" s="4" t="str">
        <f>HYPERLINK("https://portal.gdc.cancer.gov/cases/8ad78c4f-c84c-4f9e-88c9-42a05eb65498","TCGA-G9-6348-01A")</f>
        <v>TCGA-G9-6348-01A</v>
      </c>
      <c r="I17659" t="s">
        <v>161</v>
      </c>
      <c r="J17659" t="s">
        <v>569</v>
      </c>
      <c r="K17659" t="s">
        <v>33</v>
      </c>
      <c r="L17659" t="s">
        <v>162</v>
      </c>
      <c r="N17659" t="s">
        <v>29</v>
      </c>
    </row>
    <row r="17660" spans="1:14">
      <c r="A17660" s="4" t="str">
        <f t="shared" si="1287"/>
        <v>EXP00437</v>
      </c>
      <c r="B17660" s="3" t="s">
        <v>66</v>
      </c>
      <c r="C17660" s="4" t="str">
        <f t="shared" si="1288"/>
        <v>TCGA-PRAD</v>
      </c>
      <c r="D17660" s="1" t="s">
        <v>493</v>
      </c>
      <c r="E17660" t="s">
        <v>568</v>
      </c>
      <c r="F17660" s="1">
        <v>2</v>
      </c>
      <c r="G17660" s="1" t="s">
        <v>32</v>
      </c>
      <c r="H17660" s="4" t="str">
        <f>HYPERLINK("https://portal.gdc.cancer.gov/cases/f59b9c65-46e8-4cc3-aa71-8844f6c2273c","TCGA-G9-6351-01A")</f>
        <v>TCGA-G9-6351-01A</v>
      </c>
      <c r="I17660" t="s">
        <v>161</v>
      </c>
      <c r="J17660" t="s">
        <v>569</v>
      </c>
      <c r="K17660" t="s">
        <v>33</v>
      </c>
      <c r="L17660" t="s">
        <v>162</v>
      </c>
      <c r="N17660" t="s">
        <v>29</v>
      </c>
    </row>
    <row r="17661" spans="1:14">
      <c r="A17661" s="4" t="str">
        <f t="shared" si="1287"/>
        <v>EXP00437</v>
      </c>
      <c r="B17661" s="3" t="s">
        <v>66</v>
      </c>
      <c r="C17661" s="4" t="str">
        <f t="shared" si="1288"/>
        <v>TCGA-PRAD</v>
      </c>
      <c r="D17661" s="1" t="s">
        <v>493</v>
      </c>
      <c r="E17661" t="s">
        <v>568</v>
      </c>
      <c r="F17661" s="1">
        <v>2</v>
      </c>
      <c r="G17661" s="1" t="s">
        <v>32</v>
      </c>
      <c r="H17661" s="4" t="str">
        <f>HYPERLINK("https://portal.gdc.cancer.gov/cases/bcc94953-ce79-428e-99c1-632e42c1b9bc","TCGA-G9-6353-01A")</f>
        <v>TCGA-G9-6353-01A</v>
      </c>
      <c r="I17661" t="s">
        <v>161</v>
      </c>
      <c r="J17661" t="s">
        <v>569</v>
      </c>
      <c r="K17661" t="s">
        <v>33</v>
      </c>
      <c r="L17661" t="s">
        <v>162</v>
      </c>
      <c r="N17661" t="s">
        <v>29</v>
      </c>
    </row>
    <row r="17662" spans="1:14">
      <c r="A17662" s="4" t="str">
        <f t="shared" si="1287"/>
        <v>EXP00437</v>
      </c>
      <c r="B17662" s="3" t="s">
        <v>66</v>
      </c>
      <c r="C17662" s="4" t="str">
        <f t="shared" si="1288"/>
        <v>TCGA-PRAD</v>
      </c>
      <c r="D17662" s="1" t="s">
        <v>493</v>
      </c>
      <c r="E17662" t="s">
        <v>568</v>
      </c>
      <c r="F17662" s="1">
        <v>2</v>
      </c>
      <c r="G17662" s="1" t="s">
        <v>32</v>
      </c>
      <c r="H17662" s="4" t="str">
        <f>HYPERLINK("https://portal.gdc.cancer.gov/cases/6bbbe263-3632-4567-912c-95bc9940a1dd","TCGA-G9-6354-01A")</f>
        <v>TCGA-G9-6354-01A</v>
      </c>
      <c r="I17662" t="s">
        <v>161</v>
      </c>
      <c r="J17662" t="s">
        <v>569</v>
      </c>
      <c r="K17662" t="s">
        <v>33</v>
      </c>
      <c r="L17662" t="s">
        <v>162</v>
      </c>
      <c r="N17662" t="s">
        <v>29</v>
      </c>
    </row>
    <row r="17663" spans="1:14">
      <c r="A17663" s="4" t="str">
        <f t="shared" si="1287"/>
        <v>EXP00437</v>
      </c>
      <c r="B17663" s="3" t="s">
        <v>66</v>
      </c>
      <c r="C17663" s="4" t="str">
        <f t="shared" si="1288"/>
        <v>TCGA-PRAD</v>
      </c>
      <c r="D17663" s="1" t="s">
        <v>493</v>
      </c>
      <c r="E17663" t="s">
        <v>568</v>
      </c>
      <c r="F17663" s="1">
        <v>2</v>
      </c>
      <c r="G17663" s="1" t="s">
        <v>32</v>
      </c>
      <c r="H17663" s="4" t="str">
        <f>HYPERLINK("https://portal.gdc.cancer.gov/cases/1d7ffbe7-6139-412b-8739-8082a63a2b33","TCGA-G9-6356-01A")</f>
        <v>TCGA-G9-6356-01A</v>
      </c>
      <c r="I17663" t="s">
        <v>161</v>
      </c>
      <c r="J17663" t="s">
        <v>569</v>
      </c>
      <c r="K17663" t="s">
        <v>33</v>
      </c>
      <c r="L17663" t="s">
        <v>162</v>
      </c>
      <c r="N17663" t="s">
        <v>29</v>
      </c>
    </row>
    <row r="17664" spans="1:14">
      <c r="A17664" s="4" t="str">
        <f t="shared" si="1287"/>
        <v>EXP00437</v>
      </c>
      <c r="B17664" s="3" t="s">
        <v>66</v>
      </c>
      <c r="C17664" s="4" t="str">
        <f t="shared" si="1288"/>
        <v>TCGA-PRAD</v>
      </c>
      <c r="D17664" s="1" t="s">
        <v>493</v>
      </c>
      <c r="E17664" t="s">
        <v>568</v>
      </c>
      <c r="F17664" s="1">
        <v>2</v>
      </c>
      <c r="G17664" s="1" t="s">
        <v>32</v>
      </c>
      <c r="H17664" s="4" t="str">
        <f>HYPERLINK("https://portal.gdc.cancer.gov/cases/71d14304-ccb0-4a4c-b935-8c014ca75fd0","TCGA-G9-6361-01A")</f>
        <v>TCGA-G9-6361-01A</v>
      </c>
      <c r="I17664" t="s">
        <v>161</v>
      </c>
      <c r="J17664" t="s">
        <v>569</v>
      </c>
      <c r="K17664" t="s">
        <v>33</v>
      </c>
      <c r="L17664" t="s">
        <v>162</v>
      </c>
      <c r="N17664" t="s">
        <v>29</v>
      </c>
    </row>
    <row r="17665" spans="1:14">
      <c r="A17665" s="4" t="str">
        <f t="shared" si="1287"/>
        <v>EXP00437</v>
      </c>
      <c r="B17665" s="3" t="s">
        <v>66</v>
      </c>
      <c r="C17665" s="4" t="str">
        <f t="shared" si="1288"/>
        <v>TCGA-PRAD</v>
      </c>
      <c r="D17665" s="1" t="s">
        <v>493</v>
      </c>
      <c r="E17665" t="s">
        <v>568</v>
      </c>
      <c r="F17665" s="1">
        <v>2</v>
      </c>
      <c r="G17665" s="1" t="s">
        <v>32</v>
      </c>
      <c r="H17665" s="4" t="str">
        <f>HYPERLINK("https://portal.gdc.cancer.gov/cases/f228ef91-ecfb-4d1e-8e6a-b43d2185270e","TCGA-G9-6362-01A")</f>
        <v>TCGA-G9-6362-01A</v>
      </c>
      <c r="I17665" t="s">
        <v>161</v>
      </c>
      <c r="J17665" t="s">
        <v>569</v>
      </c>
      <c r="K17665" t="s">
        <v>33</v>
      </c>
      <c r="L17665" t="s">
        <v>162</v>
      </c>
      <c r="N17665" t="s">
        <v>29</v>
      </c>
    </row>
    <row r="17666" spans="1:14">
      <c r="A17666" s="4" t="str">
        <f t="shared" si="1287"/>
        <v>EXP00437</v>
      </c>
      <c r="B17666" s="3" t="s">
        <v>66</v>
      </c>
      <c r="C17666" s="4" t="str">
        <f t="shared" si="1288"/>
        <v>TCGA-PRAD</v>
      </c>
      <c r="D17666" s="1" t="s">
        <v>493</v>
      </c>
      <c r="E17666" t="s">
        <v>568</v>
      </c>
      <c r="F17666" s="1">
        <v>2</v>
      </c>
      <c r="G17666" s="1" t="s">
        <v>32</v>
      </c>
      <c r="H17666" s="4" t="str">
        <f>HYPERLINK("https://portal.gdc.cancer.gov/cases/b5b3871c-078c-46a7-ac50-ef916d4a6781","TCGA-G9-6363-01A")</f>
        <v>TCGA-G9-6363-01A</v>
      </c>
      <c r="I17666" t="s">
        <v>161</v>
      </c>
      <c r="J17666" t="s">
        <v>569</v>
      </c>
      <c r="K17666" t="s">
        <v>33</v>
      </c>
      <c r="L17666" t="s">
        <v>162</v>
      </c>
      <c r="N17666" t="s">
        <v>29</v>
      </c>
    </row>
    <row r="17667" spans="1:14">
      <c r="A17667" s="4" t="str">
        <f t="shared" si="1287"/>
        <v>EXP00437</v>
      </c>
      <c r="B17667" s="3" t="s">
        <v>66</v>
      </c>
      <c r="C17667" s="4" t="str">
        <f t="shared" si="1288"/>
        <v>TCGA-PRAD</v>
      </c>
      <c r="D17667" s="1" t="s">
        <v>493</v>
      </c>
      <c r="E17667" t="s">
        <v>568</v>
      </c>
      <c r="F17667" s="1">
        <v>2</v>
      </c>
      <c r="G17667" s="1" t="s">
        <v>32</v>
      </c>
      <c r="H17667" s="4" t="str">
        <f>HYPERLINK("https://portal.gdc.cancer.gov/cases/f8d8b417-5945-42a5-850a-fbc04b4f0e61","TCGA-G9-6364-01A")</f>
        <v>TCGA-G9-6364-01A</v>
      </c>
      <c r="I17667" t="s">
        <v>161</v>
      </c>
      <c r="J17667" t="s">
        <v>569</v>
      </c>
      <c r="K17667" t="s">
        <v>33</v>
      </c>
      <c r="L17667" t="s">
        <v>162</v>
      </c>
      <c r="N17667" t="s">
        <v>29</v>
      </c>
    </row>
    <row r="17668" spans="1:14">
      <c r="A17668" s="4" t="str">
        <f t="shared" si="1287"/>
        <v>EXP00437</v>
      </c>
      <c r="B17668" s="3" t="s">
        <v>66</v>
      </c>
      <c r="C17668" s="4" t="str">
        <f t="shared" si="1288"/>
        <v>TCGA-PRAD</v>
      </c>
      <c r="D17668" s="1" t="s">
        <v>493</v>
      </c>
      <c r="E17668" t="s">
        <v>568</v>
      </c>
      <c r="F17668" s="1">
        <v>2</v>
      </c>
      <c r="G17668" s="1" t="s">
        <v>32</v>
      </c>
      <c r="H17668" s="4" t="str">
        <f>HYPERLINK("https://portal.gdc.cancer.gov/cases/6845076e-e940-4437-8618-81db4a447544","TCGA-G9-6365-01A")</f>
        <v>TCGA-G9-6365-01A</v>
      </c>
      <c r="I17668" t="s">
        <v>161</v>
      </c>
      <c r="J17668" t="s">
        <v>569</v>
      </c>
      <c r="K17668" t="s">
        <v>33</v>
      </c>
      <c r="L17668" t="s">
        <v>162</v>
      </c>
      <c r="N17668" t="s">
        <v>29</v>
      </c>
    </row>
    <row r="17669" spans="1:14">
      <c r="A17669" s="4" t="str">
        <f t="shared" si="1287"/>
        <v>EXP00437</v>
      </c>
      <c r="B17669" s="3" t="s">
        <v>66</v>
      </c>
      <c r="C17669" s="4" t="str">
        <f t="shared" si="1288"/>
        <v>TCGA-PRAD</v>
      </c>
      <c r="D17669" s="1" t="s">
        <v>493</v>
      </c>
      <c r="E17669" t="s">
        <v>568</v>
      </c>
      <c r="F17669" s="1">
        <v>2</v>
      </c>
      <c r="G17669" s="1" t="s">
        <v>32</v>
      </c>
      <c r="H17669" s="4" t="str">
        <f>HYPERLINK("https://portal.gdc.cancer.gov/cases/df3abb97-c790-4ff6-a726-6645b3058d72","TCGA-G9-6366-01A")</f>
        <v>TCGA-G9-6366-01A</v>
      </c>
      <c r="I17669" t="s">
        <v>161</v>
      </c>
      <c r="J17669" t="s">
        <v>569</v>
      </c>
      <c r="K17669" t="s">
        <v>33</v>
      </c>
      <c r="L17669" t="s">
        <v>162</v>
      </c>
      <c r="N17669" t="s">
        <v>29</v>
      </c>
    </row>
    <row r="17670" spans="1:14">
      <c r="A17670" s="4" t="str">
        <f t="shared" si="1287"/>
        <v>EXP00437</v>
      </c>
      <c r="B17670" s="3" t="s">
        <v>66</v>
      </c>
      <c r="C17670" s="4" t="str">
        <f t="shared" si="1288"/>
        <v>TCGA-PRAD</v>
      </c>
      <c r="D17670" s="1" t="s">
        <v>493</v>
      </c>
      <c r="E17670" t="s">
        <v>568</v>
      </c>
      <c r="F17670" s="1">
        <v>2</v>
      </c>
      <c r="G17670" s="1" t="s">
        <v>32</v>
      </c>
      <c r="H17670" s="4" t="str">
        <f>HYPERLINK("https://portal.gdc.cancer.gov/cases/9f751c9d-ad41-4f02-b7f8-12423857d418","TCGA-G9-6367-01A")</f>
        <v>TCGA-G9-6367-01A</v>
      </c>
      <c r="I17670" t="s">
        <v>161</v>
      </c>
      <c r="J17670" t="s">
        <v>569</v>
      </c>
      <c r="K17670" t="s">
        <v>33</v>
      </c>
      <c r="L17670" t="s">
        <v>162</v>
      </c>
      <c r="N17670" t="s">
        <v>29</v>
      </c>
    </row>
    <row r="17671" spans="1:14">
      <c r="A17671" s="4" t="str">
        <f t="shared" si="1287"/>
        <v>EXP00437</v>
      </c>
      <c r="B17671" s="3" t="s">
        <v>66</v>
      </c>
      <c r="C17671" s="4" t="str">
        <f t="shared" si="1288"/>
        <v>TCGA-PRAD</v>
      </c>
      <c r="D17671" s="1" t="s">
        <v>493</v>
      </c>
      <c r="E17671" t="s">
        <v>568</v>
      </c>
      <c r="F17671" s="1">
        <v>2</v>
      </c>
      <c r="G17671" s="1" t="s">
        <v>32</v>
      </c>
      <c r="H17671" s="4" t="str">
        <f>HYPERLINK("https://portal.gdc.cancer.gov/cases/e0ff90e5-e6c3-4fb5-9512-6f09a891378b","TCGA-G9-6369-01A")</f>
        <v>TCGA-G9-6369-01A</v>
      </c>
      <c r="I17671" t="s">
        <v>161</v>
      </c>
      <c r="J17671" t="s">
        <v>569</v>
      </c>
      <c r="K17671" t="s">
        <v>33</v>
      </c>
      <c r="L17671" t="s">
        <v>162</v>
      </c>
      <c r="N17671" t="s">
        <v>29</v>
      </c>
    </row>
    <row r="17672" spans="1:14">
      <c r="A17672" s="4" t="str">
        <f t="shared" si="1287"/>
        <v>EXP00437</v>
      </c>
      <c r="B17672" s="3" t="s">
        <v>66</v>
      </c>
      <c r="C17672" s="4" t="str">
        <f t="shared" si="1288"/>
        <v>TCGA-PRAD</v>
      </c>
      <c r="D17672" s="1" t="s">
        <v>493</v>
      </c>
      <c r="E17672" t="s">
        <v>568</v>
      </c>
      <c r="F17672" s="1">
        <v>2</v>
      </c>
      <c r="G17672" s="1" t="s">
        <v>32</v>
      </c>
      <c r="H17672" s="4" t="str">
        <f>HYPERLINK("https://portal.gdc.cancer.gov/cases/f947b0bc-bdac-44e8-b5b9-ffae4147740a","TCGA-G9-6370-01A")</f>
        <v>TCGA-G9-6370-01A</v>
      </c>
      <c r="I17672" t="s">
        <v>161</v>
      </c>
      <c r="J17672" t="s">
        <v>569</v>
      </c>
      <c r="K17672" t="s">
        <v>33</v>
      </c>
      <c r="L17672" t="s">
        <v>162</v>
      </c>
      <c r="N17672" t="s">
        <v>29</v>
      </c>
    </row>
    <row r="17673" spans="1:14">
      <c r="A17673" s="4" t="str">
        <f t="shared" si="1287"/>
        <v>EXP00437</v>
      </c>
      <c r="B17673" s="3" t="s">
        <v>66</v>
      </c>
      <c r="C17673" s="4" t="str">
        <f t="shared" si="1288"/>
        <v>TCGA-PRAD</v>
      </c>
      <c r="D17673" s="1" t="s">
        <v>493</v>
      </c>
      <c r="E17673" t="s">
        <v>568</v>
      </c>
      <c r="F17673" s="1">
        <v>2</v>
      </c>
      <c r="G17673" s="1" t="s">
        <v>32</v>
      </c>
      <c r="H17673" s="4" t="str">
        <f>HYPERLINK("https://portal.gdc.cancer.gov/cases/d5c43a14-21ab-4178-ae33-2d8b7baa256f","TCGA-G9-6371-01A")</f>
        <v>TCGA-G9-6371-01A</v>
      </c>
      <c r="I17673" t="s">
        <v>161</v>
      </c>
      <c r="J17673" t="s">
        <v>569</v>
      </c>
      <c r="K17673" t="s">
        <v>33</v>
      </c>
      <c r="L17673" t="s">
        <v>162</v>
      </c>
      <c r="N17673" t="s">
        <v>29</v>
      </c>
    </row>
    <row r="17674" spans="1:14">
      <c r="A17674" s="4" t="str">
        <f t="shared" si="1287"/>
        <v>EXP00437</v>
      </c>
      <c r="B17674" s="3" t="s">
        <v>66</v>
      </c>
      <c r="C17674" s="4" t="str">
        <f t="shared" si="1288"/>
        <v>TCGA-PRAD</v>
      </c>
      <c r="D17674" s="1" t="s">
        <v>493</v>
      </c>
      <c r="E17674" t="s">
        <v>568</v>
      </c>
      <c r="F17674" s="1">
        <v>2</v>
      </c>
      <c r="G17674" s="1" t="s">
        <v>32</v>
      </c>
      <c r="H17674" s="4" t="str">
        <f>HYPERLINK("https://portal.gdc.cancer.gov/cases/c3a509c6-35a6-4d17-a9fd-0aa8884b33a0","TCGA-G9-6373-01A")</f>
        <v>TCGA-G9-6373-01A</v>
      </c>
      <c r="I17674" t="s">
        <v>161</v>
      </c>
      <c r="J17674" t="s">
        <v>569</v>
      </c>
      <c r="K17674" t="s">
        <v>33</v>
      </c>
      <c r="L17674" t="s">
        <v>162</v>
      </c>
      <c r="N17674" t="s">
        <v>29</v>
      </c>
    </row>
    <row r="17675" spans="1:14">
      <c r="A17675" s="4" t="str">
        <f t="shared" si="1287"/>
        <v>EXP00437</v>
      </c>
      <c r="B17675" s="3" t="s">
        <v>66</v>
      </c>
      <c r="C17675" s="4" t="str">
        <f t="shared" si="1288"/>
        <v>TCGA-PRAD</v>
      </c>
      <c r="D17675" s="1" t="s">
        <v>493</v>
      </c>
      <c r="E17675" t="s">
        <v>568</v>
      </c>
      <c r="F17675" s="1">
        <v>2</v>
      </c>
      <c r="G17675" s="1" t="s">
        <v>32</v>
      </c>
      <c r="H17675" s="4" t="str">
        <f>HYPERLINK("https://portal.gdc.cancer.gov/cases/007f9081-5093-4323-b4f8-cd510bf20705","TCGA-G9-6377-01A")</f>
        <v>TCGA-G9-6377-01A</v>
      </c>
      <c r="I17675" t="s">
        <v>161</v>
      </c>
      <c r="J17675" t="s">
        <v>569</v>
      </c>
      <c r="K17675" t="s">
        <v>33</v>
      </c>
      <c r="L17675" t="s">
        <v>162</v>
      </c>
      <c r="N17675" t="s">
        <v>29</v>
      </c>
    </row>
    <row r="17676" spans="1:14">
      <c r="A17676" s="4" t="str">
        <f t="shared" si="1287"/>
        <v>EXP00437</v>
      </c>
      <c r="B17676" s="3" t="s">
        <v>66</v>
      </c>
      <c r="C17676" s="4" t="str">
        <f t="shared" si="1288"/>
        <v>TCGA-PRAD</v>
      </c>
      <c r="D17676" s="1" t="s">
        <v>493</v>
      </c>
      <c r="E17676" t="s">
        <v>568</v>
      </c>
      <c r="F17676" s="1">
        <v>2</v>
      </c>
      <c r="G17676" s="1" t="s">
        <v>32</v>
      </c>
      <c r="H17676" s="4" t="str">
        <f>HYPERLINK("https://portal.gdc.cancer.gov/cases/12f225d0-cbff-44eb-9183-bacc7f33b090","TCGA-G9-6378-01A")</f>
        <v>TCGA-G9-6378-01A</v>
      </c>
      <c r="I17676" t="s">
        <v>161</v>
      </c>
      <c r="J17676" t="s">
        <v>569</v>
      </c>
      <c r="K17676" t="s">
        <v>33</v>
      </c>
      <c r="L17676" t="s">
        <v>162</v>
      </c>
      <c r="N17676" t="s">
        <v>29</v>
      </c>
    </row>
    <row r="17677" spans="1:14">
      <c r="A17677" s="4" t="str">
        <f t="shared" si="1287"/>
        <v>EXP00437</v>
      </c>
      <c r="B17677" s="3" t="s">
        <v>66</v>
      </c>
      <c r="C17677" s="4" t="str">
        <f t="shared" si="1288"/>
        <v>TCGA-PRAD</v>
      </c>
      <c r="D17677" s="1" t="s">
        <v>493</v>
      </c>
      <c r="E17677" t="s">
        <v>568</v>
      </c>
      <c r="F17677" s="1">
        <v>2</v>
      </c>
      <c r="G17677" s="1" t="s">
        <v>32</v>
      </c>
      <c r="H17677" s="4" t="str">
        <f>HYPERLINK("https://portal.gdc.cancer.gov/cases/d33074f0-5f88-4995-9439-76068a9f4836","TCGA-G9-6379-01A")</f>
        <v>TCGA-G9-6379-01A</v>
      </c>
      <c r="I17677" t="s">
        <v>161</v>
      </c>
      <c r="J17677" t="s">
        <v>569</v>
      </c>
      <c r="K17677" t="s">
        <v>33</v>
      </c>
      <c r="L17677" t="s">
        <v>162</v>
      </c>
      <c r="N17677" t="s">
        <v>29</v>
      </c>
    </row>
    <row r="17678" spans="1:14">
      <c r="A17678" s="4" t="str">
        <f t="shared" si="1287"/>
        <v>EXP00437</v>
      </c>
      <c r="B17678" s="3" t="s">
        <v>66</v>
      </c>
      <c r="C17678" s="4" t="str">
        <f t="shared" si="1288"/>
        <v>TCGA-PRAD</v>
      </c>
      <c r="D17678" s="1" t="s">
        <v>493</v>
      </c>
      <c r="E17678" t="s">
        <v>568</v>
      </c>
      <c r="F17678" s="1">
        <v>2</v>
      </c>
      <c r="G17678" s="1" t="s">
        <v>32</v>
      </c>
      <c r="H17678" s="4" t="str">
        <f>HYPERLINK("https://portal.gdc.cancer.gov/cases/a279d5aa-51f7-4e75-9e14-b206b97ec4bd","TCGA-G9-6384-01A")</f>
        <v>TCGA-G9-6384-01A</v>
      </c>
      <c r="I17678" t="s">
        <v>161</v>
      </c>
      <c r="J17678" t="s">
        <v>569</v>
      </c>
      <c r="K17678" t="s">
        <v>33</v>
      </c>
      <c r="L17678" t="s">
        <v>162</v>
      </c>
      <c r="N17678" t="s">
        <v>29</v>
      </c>
    </row>
    <row r="17679" spans="1:14">
      <c r="A17679" s="4" t="str">
        <f t="shared" si="1287"/>
        <v>EXP00437</v>
      </c>
      <c r="B17679" s="3" t="s">
        <v>66</v>
      </c>
      <c r="C17679" s="4" t="str">
        <f t="shared" si="1288"/>
        <v>TCGA-PRAD</v>
      </c>
      <c r="D17679" s="1" t="s">
        <v>493</v>
      </c>
      <c r="E17679" t="s">
        <v>568</v>
      </c>
      <c r="F17679" s="1">
        <v>2</v>
      </c>
      <c r="G17679" s="1" t="s">
        <v>32</v>
      </c>
      <c r="H17679" s="4" t="str">
        <f>HYPERLINK("https://portal.gdc.cancer.gov/cases/e82a04cf-e81e-43c6-9cd9-0e29fa0f00ae","TCGA-G9-6385-01A")</f>
        <v>TCGA-G9-6385-01A</v>
      </c>
      <c r="I17679" t="s">
        <v>161</v>
      </c>
      <c r="J17679" t="s">
        <v>569</v>
      </c>
      <c r="K17679" t="s">
        <v>33</v>
      </c>
      <c r="L17679" t="s">
        <v>162</v>
      </c>
      <c r="N17679" t="s">
        <v>29</v>
      </c>
    </row>
    <row r="17680" spans="1:14">
      <c r="A17680" s="4" t="str">
        <f t="shared" si="1287"/>
        <v>EXP00437</v>
      </c>
      <c r="B17680" s="3" t="s">
        <v>66</v>
      </c>
      <c r="C17680" s="4" t="str">
        <f t="shared" si="1288"/>
        <v>TCGA-PRAD</v>
      </c>
      <c r="D17680" s="1" t="s">
        <v>493</v>
      </c>
      <c r="E17680" t="s">
        <v>568</v>
      </c>
      <c r="F17680" s="1">
        <v>2</v>
      </c>
      <c r="G17680" s="1" t="s">
        <v>32</v>
      </c>
      <c r="H17680" s="4" t="str">
        <f>HYPERLINK("https://portal.gdc.cancer.gov/cases/0c459149-0dfe-4206-b50b-db79180ebb57","TCGA-G9-6494-01A")</f>
        <v>TCGA-G9-6494-01A</v>
      </c>
      <c r="I17680" t="s">
        <v>161</v>
      </c>
      <c r="J17680" t="s">
        <v>569</v>
      </c>
      <c r="K17680" t="s">
        <v>33</v>
      </c>
      <c r="L17680" t="s">
        <v>162</v>
      </c>
      <c r="N17680" t="s">
        <v>29</v>
      </c>
    </row>
    <row r="17681" spans="1:14">
      <c r="A17681" s="4" t="str">
        <f t="shared" si="1287"/>
        <v>EXP00437</v>
      </c>
      <c r="B17681" s="3" t="s">
        <v>66</v>
      </c>
      <c r="C17681" s="4" t="str">
        <f t="shared" si="1288"/>
        <v>TCGA-PRAD</v>
      </c>
      <c r="D17681" s="1" t="s">
        <v>493</v>
      </c>
      <c r="E17681" t="s">
        <v>568</v>
      </c>
      <c r="F17681" s="1">
        <v>2</v>
      </c>
      <c r="G17681" s="1" t="s">
        <v>32</v>
      </c>
      <c r="H17681" s="4" t="str">
        <f>HYPERLINK("https://portal.gdc.cancer.gov/cases/ce2b7e17-424e-4954-8a68-19d7f98d2e7e","TCGA-G9-6496-01A")</f>
        <v>TCGA-G9-6496-01A</v>
      </c>
      <c r="I17681" t="s">
        <v>161</v>
      </c>
      <c r="J17681" t="s">
        <v>569</v>
      </c>
      <c r="K17681" t="s">
        <v>33</v>
      </c>
      <c r="L17681" t="s">
        <v>162</v>
      </c>
      <c r="N17681" t="s">
        <v>29</v>
      </c>
    </row>
    <row r="17682" spans="1:14">
      <c r="A17682" s="4" t="str">
        <f t="shared" si="1287"/>
        <v>EXP00437</v>
      </c>
      <c r="B17682" s="3" t="s">
        <v>66</v>
      </c>
      <c r="C17682" s="4" t="str">
        <f t="shared" si="1288"/>
        <v>TCGA-PRAD</v>
      </c>
      <c r="D17682" s="1" t="s">
        <v>493</v>
      </c>
      <c r="E17682" t="s">
        <v>568</v>
      </c>
      <c r="F17682" s="1">
        <v>2</v>
      </c>
      <c r="G17682" s="1" t="s">
        <v>32</v>
      </c>
      <c r="H17682" s="4" t="str">
        <f>HYPERLINK("https://portal.gdc.cancer.gov/cases/b8fbfe87-e92c-4d54-a620-17b2dcde6d53","TCGA-G9-6498-01A")</f>
        <v>TCGA-G9-6498-01A</v>
      </c>
      <c r="I17682" t="s">
        <v>161</v>
      </c>
      <c r="J17682" t="s">
        <v>569</v>
      </c>
      <c r="K17682" t="s">
        <v>33</v>
      </c>
      <c r="L17682" t="s">
        <v>162</v>
      </c>
      <c r="N17682" t="s">
        <v>29</v>
      </c>
    </row>
    <row r="17683" spans="1:14">
      <c r="A17683" s="4" t="str">
        <f t="shared" si="1287"/>
        <v>EXP00437</v>
      </c>
      <c r="B17683" s="3" t="s">
        <v>66</v>
      </c>
      <c r="C17683" s="4" t="str">
        <f t="shared" si="1288"/>
        <v>TCGA-PRAD</v>
      </c>
      <c r="D17683" s="1" t="s">
        <v>493</v>
      </c>
      <c r="E17683" t="s">
        <v>568</v>
      </c>
      <c r="F17683" s="1">
        <v>2</v>
      </c>
      <c r="G17683" s="1" t="s">
        <v>32</v>
      </c>
      <c r="H17683" s="4" t="str">
        <f>HYPERLINK("https://portal.gdc.cancer.gov/cases/acd5ceef-c5cf-4e95-9394-c50fdbc70c8d","TCGA-G9-6499-01A")</f>
        <v>TCGA-G9-6499-01A</v>
      </c>
      <c r="I17683" t="s">
        <v>161</v>
      </c>
      <c r="J17683" t="s">
        <v>569</v>
      </c>
      <c r="K17683" t="s">
        <v>33</v>
      </c>
      <c r="L17683" t="s">
        <v>162</v>
      </c>
      <c r="N17683" t="s">
        <v>29</v>
      </c>
    </row>
    <row r="17684" spans="1:14">
      <c r="A17684" s="4" t="str">
        <f t="shared" si="1287"/>
        <v>EXP00437</v>
      </c>
      <c r="B17684" s="3" t="s">
        <v>66</v>
      </c>
      <c r="C17684" s="4" t="str">
        <f t="shared" si="1288"/>
        <v>TCGA-PRAD</v>
      </c>
      <c r="D17684" s="1" t="s">
        <v>493</v>
      </c>
      <c r="E17684" t="s">
        <v>568</v>
      </c>
      <c r="F17684" s="1">
        <v>2</v>
      </c>
      <c r="G17684" s="1" t="s">
        <v>32</v>
      </c>
      <c r="H17684" s="4" t="str">
        <f>HYPERLINK("https://portal.gdc.cancer.gov/cases/7d0c6960-710f-42c7-889e-c3a7d4a30b3c","TCGA-G9-7509-01A")</f>
        <v>TCGA-G9-7509-01A</v>
      </c>
      <c r="I17684" t="s">
        <v>161</v>
      </c>
      <c r="J17684" t="s">
        <v>569</v>
      </c>
      <c r="K17684" t="s">
        <v>33</v>
      </c>
      <c r="L17684" t="s">
        <v>162</v>
      </c>
      <c r="N17684" t="s">
        <v>29</v>
      </c>
    </row>
    <row r="17685" spans="1:14">
      <c r="A17685" s="4" t="str">
        <f t="shared" si="1287"/>
        <v>EXP00437</v>
      </c>
      <c r="B17685" s="3" t="s">
        <v>66</v>
      </c>
      <c r="C17685" s="4" t="str">
        <f t="shared" si="1288"/>
        <v>TCGA-PRAD</v>
      </c>
      <c r="D17685" s="1" t="s">
        <v>493</v>
      </c>
      <c r="E17685" t="s">
        <v>568</v>
      </c>
      <c r="F17685" s="1">
        <v>2</v>
      </c>
      <c r="G17685" s="1" t="s">
        <v>32</v>
      </c>
      <c r="H17685" s="4" t="str">
        <f>HYPERLINK("https://portal.gdc.cancer.gov/cases/f211f7a9-cf3b-432c-9ea0-1172cce14e9d","TCGA-G9-7510-01A")</f>
        <v>TCGA-G9-7510-01A</v>
      </c>
      <c r="I17685" t="s">
        <v>161</v>
      </c>
      <c r="J17685" t="s">
        <v>569</v>
      </c>
      <c r="K17685" t="s">
        <v>33</v>
      </c>
      <c r="L17685" t="s">
        <v>162</v>
      </c>
      <c r="N17685" t="s">
        <v>29</v>
      </c>
    </row>
    <row r="17686" spans="1:14">
      <c r="A17686" s="4" t="str">
        <f t="shared" si="1287"/>
        <v>EXP00437</v>
      </c>
      <c r="B17686" s="3" t="s">
        <v>66</v>
      </c>
      <c r="C17686" s="4" t="str">
        <f t="shared" si="1288"/>
        <v>TCGA-PRAD</v>
      </c>
      <c r="D17686" s="1" t="s">
        <v>493</v>
      </c>
      <c r="E17686" t="s">
        <v>568</v>
      </c>
      <c r="F17686" s="1">
        <v>2</v>
      </c>
      <c r="G17686" s="1" t="s">
        <v>32</v>
      </c>
      <c r="H17686" s="4" t="str">
        <f>HYPERLINK("https://portal.gdc.cancer.gov/cases/0f01ec33-00a8-4188-a8f0-e90d46ad9bc7","TCGA-G9-7519-01A")</f>
        <v>TCGA-G9-7519-01A</v>
      </c>
      <c r="I17686" t="s">
        <v>161</v>
      </c>
      <c r="J17686" t="s">
        <v>569</v>
      </c>
      <c r="K17686" t="s">
        <v>33</v>
      </c>
      <c r="L17686" t="s">
        <v>162</v>
      </c>
      <c r="N17686" t="s">
        <v>29</v>
      </c>
    </row>
    <row r="17687" spans="1:14">
      <c r="A17687" s="4" t="str">
        <f t="shared" si="1287"/>
        <v>EXP00437</v>
      </c>
      <c r="B17687" s="3" t="s">
        <v>66</v>
      </c>
      <c r="C17687" s="4" t="str">
        <f t="shared" si="1288"/>
        <v>TCGA-PRAD</v>
      </c>
      <c r="D17687" s="1" t="s">
        <v>493</v>
      </c>
      <c r="E17687" t="s">
        <v>568</v>
      </c>
      <c r="F17687" s="1">
        <v>2</v>
      </c>
      <c r="G17687" s="1" t="s">
        <v>32</v>
      </c>
      <c r="H17687" s="4" t="str">
        <f>HYPERLINK("https://portal.gdc.cancer.gov/cases/cf70909e-5143-47ae-b8ca-c3ae6ace7be2","TCGA-G9-7521-01A")</f>
        <v>TCGA-G9-7521-01A</v>
      </c>
      <c r="I17687" t="s">
        <v>161</v>
      </c>
      <c r="J17687" t="s">
        <v>569</v>
      </c>
      <c r="K17687" t="s">
        <v>33</v>
      </c>
      <c r="L17687" t="s">
        <v>162</v>
      </c>
      <c r="N17687" t="s">
        <v>29</v>
      </c>
    </row>
    <row r="17688" spans="1:14">
      <c r="A17688" s="4" t="str">
        <f t="shared" si="1287"/>
        <v>EXP00437</v>
      </c>
      <c r="B17688" s="3" t="s">
        <v>66</v>
      </c>
      <c r="C17688" s="4" t="str">
        <f t="shared" si="1288"/>
        <v>TCGA-PRAD</v>
      </c>
      <c r="D17688" s="1" t="s">
        <v>493</v>
      </c>
      <c r="E17688" t="s">
        <v>568</v>
      </c>
      <c r="F17688" s="1">
        <v>2</v>
      </c>
      <c r="G17688" s="1" t="s">
        <v>32</v>
      </c>
      <c r="H17688" s="4" t="str">
        <f>HYPERLINK("https://portal.gdc.cancer.gov/cases/87959988-bb25-47ee-afc1-9af92592bbe7","TCGA-G9-7522-01A")</f>
        <v>TCGA-G9-7522-01A</v>
      </c>
      <c r="I17688" t="s">
        <v>161</v>
      </c>
      <c r="J17688" t="s">
        <v>569</v>
      </c>
      <c r="K17688" t="s">
        <v>33</v>
      </c>
      <c r="L17688" t="s">
        <v>162</v>
      </c>
      <c r="N17688" t="s">
        <v>29</v>
      </c>
    </row>
    <row r="17689" spans="1:14">
      <c r="A17689" s="4" t="str">
        <f t="shared" si="1287"/>
        <v>EXP00437</v>
      </c>
      <c r="B17689" s="3" t="s">
        <v>66</v>
      </c>
      <c r="C17689" s="4" t="str">
        <f t="shared" si="1288"/>
        <v>TCGA-PRAD</v>
      </c>
      <c r="D17689" s="1" t="s">
        <v>493</v>
      </c>
      <c r="E17689" t="s">
        <v>568</v>
      </c>
      <c r="F17689" s="1">
        <v>2</v>
      </c>
      <c r="G17689" s="1" t="s">
        <v>32</v>
      </c>
      <c r="H17689" s="4" t="str">
        <f>HYPERLINK("https://portal.gdc.cancer.gov/cases/93e78f4c-e74b-4675-8d2c-d641fa25d8f2","TCGA-G9-7523-01A")</f>
        <v>TCGA-G9-7523-01A</v>
      </c>
      <c r="I17689" t="s">
        <v>161</v>
      </c>
      <c r="J17689" t="s">
        <v>569</v>
      </c>
      <c r="K17689" t="s">
        <v>33</v>
      </c>
      <c r="L17689" t="s">
        <v>162</v>
      </c>
      <c r="N17689" t="s">
        <v>29</v>
      </c>
    </row>
    <row r="17690" spans="1:14">
      <c r="A17690" s="4" t="str">
        <f t="shared" si="1287"/>
        <v>EXP00437</v>
      </c>
      <c r="B17690" s="3" t="s">
        <v>66</v>
      </c>
      <c r="C17690" s="4" t="str">
        <f t="shared" si="1288"/>
        <v>TCGA-PRAD</v>
      </c>
      <c r="D17690" s="1" t="s">
        <v>493</v>
      </c>
      <c r="E17690" t="s">
        <v>568</v>
      </c>
      <c r="F17690" s="1">
        <v>2</v>
      </c>
      <c r="G17690" s="1" t="s">
        <v>32</v>
      </c>
      <c r="H17690" s="4" t="str">
        <f>HYPERLINK("https://portal.gdc.cancer.gov/cases/f4e17ba1-f14f-480e-8fe3-415909fc320a","TCGA-G9-7525-01A")</f>
        <v>TCGA-G9-7525-01A</v>
      </c>
      <c r="I17690" t="s">
        <v>161</v>
      </c>
      <c r="J17690" t="s">
        <v>569</v>
      </c>
      <c r="K17690" t="s">
        <v>33</v>
      </c>
      <c r="L17690" t="s">
        <v>162</v>
      </c>
      <c r="N17690" t="s">
        <v>29</v>
      </c>
    </row>
    <row r="17691" spans="1:14">
      <c r="A17691" s="4" t="str">
        <f t="shared" si="1287"/>
        <v>EXP00437</v>
      </c>
      <c r="B17691" s="3" t="s">
        <v>66</v>
      </c>
      <c r="C17691" s="4" t="str">
        <f t="shared" si="1288"/>
        <v>TCGA-PRAD</v>
      </c>
      <c r="D17691" s="1" t="s">
        <v>493</v>
      </c>
      <c r="E17691" t="s">
        <v>568</v>
      </c>
      <c r="F17691" s="1">
        <v>2</v>
      </c>
      <c r="G17691" s="1" t="s">
        <v>32</v>
      </c>
      <c r="H17691" s="4" t="str">
        <f>HYPERLINK("https://portal.gdc.cancer.gov/cases/a8573f49-9fed-4c85-9e1d-40abab7f86ec","TCGA-G9-A9S4-01A")</f>
        <v>TCGA-G9-A9S4-01A</v>
      </c>
      <c r="I17691" t="s">
        <v>161</v>
      </c>
      <c r="J17691" t="s">
        <v>569</v>
      </c>
      <c r="K17691" t="s">
        <v>33</v>
      </c>
      <c r="L17691" t="s">
        <v>162</v>
      </c>
      <c r="N17691" t="s">
        <v>29</v>
      </c>
    </row>
    <row r="17692" spans="1:14">
      <c r="A17692" s="4" t="str">
        <f t="shared" ref="A17692:A17755" si="1289">HYPERLINK("http://hcmdb.i-sanger.com/experiment/details/experiment_id/EXP00437","EXP00437")</f>
        <v>EXP00437</v>
      </c>
      <c r="B17692" s="3" t="s">
        <v>66</v>
      </c>
      <c r="C17692" s="4" t="str">
        <f t="shared" ref="C17692:C17755" si="1290">HYPERLINK("https://portal.gdc.cancer.gov/projects/TCGA-PRAD","TCGA-PRAD")</f>
        <v>TCGA-PRAD</v>
      </c>
      <c r="D17692" s="1" t="s">
        <v>493</v>
      </c>
      <c r="E17692" t="s">
        <v>568</v>
      </c>
      <c r="F17692" s="1">
        <v>2</v>
      </c>
      <c r="G17692" s="1" t="s">
        <v>32</v>
      </c>
      <c r="H17692" s="4" t="str">
        <f>HYPERLINK("https://portal.gdc.cancer.gov/cases/27953774-e97b-48e7-b966-1ec1e9c830b4","TCGA-G9-A9S7-01A")</f>
        <v>TCGA-G9-A9S7-01A</v>
      </c>
      <c r="I17692" t="s">
        <v>161</v>
      </c>
      <c r="J17692" t="s">
        <v>569</v>
      </c>
      <c r="K17692" t="s">
        <v>33</v>
      </c>
      <c r="L17692" t="s">
        <v>162</v>
      </c>
      <c r="N17692" t="s">
        <v>29</v>
      </c>
    </row>
    <row r="17693" spans="1:14">
      <c r="A17693" s="4" t="str">
        <f t="shared" si="1289"/>
        <v>EXP00437</v>
      </c>
      <c r="B17693" s="3" t="s">
        <v>66</v>
      </c>
      <c r="C17693" s="4" t="str">
        <f t="shared" si="1290"/>
        <v>TCGA-PRAD</v>
      </c>
      <c r="D17693" s="1" t="s">
        <v>493</v>
      </c>
      <c r="E17693" t="s">
        <v>568</v>
      </c>
      <c r="F17693" s="1">
        <v>2</v>
      </c>
      <c r="G17693" s="1" t="s">
        <v>32</v>
      </c>
      <c r="H17693" s="4" t="str">
        <f>HYPERLINK("https://portal.gdc.cancer.gov/cases/ecade538-f882-4f29-a363-7acb89fd0576","TCGA-H9-7775-01A")</f>
        <v>TCGA-H9-7775-01A</v>
      </c>
      <c r="I17693" t="s">
        <v>161</v>
      </c>
      <c r="J17693" t="s">
        <v>569</v>
      </c>
      <c r="K17693" t="s">
        <v>33</v>
      </c>
      <c r="L17693" t="s">
        <v>162</v>
      </c>
      <c r="N17693" t="s">
        <v>29</v>
      </c>
    </row>
    <row r="17694" spans="1:14">
      <c r="A17694" s="4" t="str">
        <f t="shared" si="1289"/>
        <v>EXP00437</v>
      </c>
      <c r="B17694" s="3" t="s">
        <v>66</v>
      </c>
      <c r="C17694" s="4" t="str">
        <f t="shared" si="1290"/>
        <v>TCGA-PRAD</v>
      </c>
      <c r="D17694" s="1" t="s">
        <v>493</v>
      </c>
      <c r="E17694" t="s">
        <v>568</v>
      </c>
      <c r="F17694" s="1">
        <v>2</v>
      </c>
      <c r="G17694" s="1" t="s">
        <v>32</v>
      </c>
      <c r="H17694" s="4" t="str">
        <f>HYPERLINK("https://portal.gdc.cancer.gov/cases/3ba3d23d-67e2-4f38-9951-f5cfa1131f9f","TCGA-H9-A6BX-01A")</f>
        <v>TCGA-H9-A6BX-01A</v>
      </c>
      <c r="I17694" t="s">
        <v>161</v>
      </c>
      <c r="J17694" t="s">
        <v>569</v>
      </c>
      <c r="K17694" t="s">
        <v>33</v>
      </c>
      <c r="L17694" t="s">
        <v>162</v>
      </c>
      <c r="N17694" t="s">
        <v>29</v>
      </c>
    </row>
    <row r="17695" spans="1:14">
      <c r="A17695" s="4" t="str">
        <f t="shared" si="1289"/>
        <v>EXP00437</v>
      </c>
      <c r="B17695" s="3" t="s">
        <v>66</v>
      </c>
      <c r="C17695" s="4" t="str">
        <f t="shared" si="1290"/>
        <v>TCGA-PRAD</v>
      </c>
      <c r="D17695" s="1" t="s">
        <v>493</v>
      </c>
      <c r="E17695" t="s">
        <v>568</v>
      </c>
      <c r="F17695" s="1">
        <v>2</v>
      </c>
      <c r="G17695" s="1" t="s">
        <v>32</v>
      </c>
      <c r="H17695" s="4" t="str">
        <f>HYPERLINK("https://portal.gdc.cancer.gov/cases/701991da-6deb-41df-b9cc-e5049a886b5b","TCGA-H9-A6BY-01A")</f>
        <v>TCGA-H9-A6BY-01A</v>
      </c>
      <c r="I17695" t="s">
        <v>161</v>
      </c>
      <c r="J17695" t="s">
        <v>569</v>
      </c>
      <c r="K17695" t="s">
        <v>33</v>
      </c>
      <c r="L17695" t="s">
        <v>162</v>
      </c>
      <c r="N17695" t="s">
        <v>29</v>
      </c>
    </row>
    <row r="17696" spans="1:14">
      <c r="A17696" s="4" t="str">
        <f t="shared" si="1289"/>
        <v>EXP00437</v>
      </c>
      <c r="B17696" s="3" t="s">
        <v>66</v>
      </c>
      <c r="C17696" s="4" t="str">
        <f t="shared" si="1290"/>
        <v>TCGA-PRAD</v>
      </c>
      <c r="D17696" s="1" t="s">
        <v>493</v>
      </c>
      <c r="E17696" t="s">
        <v>568</v>
      </c>
      <c r="F17696" s="1">
        <v>2</v>
      </c>
      <c r="G17696" s="1" t="s">
        <v>32</v>
      </c>
      <c r="H17696" s="4" t="str">
        <f>HYPERLINK("https://portal.gdc.cancer.gov/cases/5dd69c3e-9a3d-450c-9f10-10b4d6daeeba","TCGA-HC-7075-01A")</f>
        <v>TCGA-HC-7075-01A</v>
      </c>
      <c r="I17696" t="s">
        <v>161</v>
      </c>
      <c r="J17696" t="s">
        <v>569</v>
      </c>
      <c r="K17696" t="s">
        <v>33</v>
      </c>
      <c r="L17696" t="s">
        <v>162</v>
      </c>
      <c r="N17696" t="s">
        <v>29</v>
      </c>
    </row>
    <row r="17697" spans="1:14">
      <c r="A17697" s="4" t="str">
        <f t="shared" si="1289"/>
        <v>EXP00437</v>
      </c>
      <c r="B17697" s="3" t="s">
        <v>66</v>
      </c>
      <c r="C17697" s="4" t="str">
        <f t="shared" si="1290"/>
        <v>TCGA-PRAD</v>
      </c>
      <c r="D17697" s="1" t="s">
        <v>493</v>
      </c>
      <c r="E17697" t="s">
        <v>568</v>
      </c>
      <c r="F17697" s="1">
        <v>2</v>
      </c>
      <c r="G17697" s="1" t="s">
        <v>32</v>
      </c>
      <c r="H17697" s="4" t="str">
        <f>HYPERLINK("https://portal.gdc.cancer.gov/cases/92252560-5984-41f6-a4b5-a3aa8654c0c8","TCGA-HC-7077-01A")</f>
        <v>TCGA-HC-7077-01A</v>
      </c>
      <c r="I17697" t="s">
        <v>161</v>
      </c>
      <c r="J17697" t="s">
        <v>569</v>
      </c>
      <c r="K17697" t="s">
        <v>33</v>
      </c>
      <c r="L17697" t="s">
        <v>162</v>
      </c>
      <c r="N17697" t="s">
        <v>29</v>
      </c>
    </row>
    <row r="17698" spans="1:14">
      <c r="A17698" s="4" t="str">
        <f t="shared" si="1289"/>
        <v>EXP00437</v>
      </c>
      <c r="B17698" s="3" t="s">
        <v>66</v>
      </c>
      <c r="C17698" s="4" t="str">
        <f t="shared" si="1290"/>
        <v>TCGA-PRAD</v>
      </c>
      <c r="D17698" s="1" t="s">
        <v>493</v>
      </c>
      <c r="E17698" t="s">
        <v>568</v>
      </c>
      <c r="F17698" s="1">
        <v>2</v>
      </c>
      <c r="G17698" s="1" t="s">
        <v>32</v>
      </c>
      <c r="H17698" s="4" t="str">
        <f>HYPERLINK("https://portal.gdc.cancer.gov/cases/9f802576-1e98-496c-bda4-4b1dd2e411c8","TCGA-HC-7078-01A")</f>
        <v>TCGA-HC-7078-01A</v>
      </c>
      <c r="I17698" t="s">
        <v>161</v>
      </c>
      <c r="J17698" t="s">
        <v>569</v>
      </c>
      <c r="K17698" t="s">
        <v>33</v>
      </c>
      <c r="L17698" t="s">
        <v>162</v>
      </c>
      <c r="N17698" t="s">
        <v>29</v>
      </c>
    </row>
    <row r="17699" spans="1:14">
      <c r="A17699" s="4" t="str">
        <f t="shared" si="1289"/>
        <v>EXP00437</v>
      </c>
      <c r="B17699" s="3" t="s">
        <v>66</v>
      </c>
      <c r="C17699" s="4" t="str">
        <f t="shared" si="1290"/>
        <v>TCGA-PRAD</v>
      </c>
      <c r="D17699" s="1" t="s">
        <v>493</v>
      </c>
      <c r="E17699" t="s">
        <v>568</v>
      </c>
      <c r="F17699" s="1">
        <v>2</v>
      </c>
      <c r="G17699" s="1" t="s">
        <v>32</v>
      </c>
      <c r="H17699" s="4" t="str">
        <f>HYPERLINK("https://portal.gdc.cancer.gov/cases/10fbe481-f111-4f88-ae45-4d67cb265567","TCGA-HC-7079-01A")</f>
        <v>TCGA-HC-7079-01A</v>
      </c>
      <c r="I17699" t="s">
        <v>161</v>
      </c>
      <c r="J17699" t="s">
        <v>569</v>
      </c>
      <c r="K17699" t="s">
        <v>33</v>
      </c>
      <c r="L17699" t="s">
        <v>162</v>
      </c>
      <c r="N17699" t="s">
        <v>29</v>
      </c>
    </row>
    <row r="17700" spans="1:14">
      <c r="A17700" s="4" t="str">
        <f t="shared" si="1289"/>
        <v>EXP00437</v>
      </c>
      <c r="B17700" s="3" t="s">
        <v>66</v>
      </c>
      <c r="C17700" s="4" t="str">
        <f t="shared" si="1290"/>
        <v>TCGA-PRAD</v>
      </c>
      <c r="D17700" s="1" t="s">
        <v>493</v>
      </c>
      <c r="E17700" t="s">
        <v>568</v>
      </c>
      <c r="F17700" s="1">
        <v>2</v>
      </c>
      <c r="G17700" s="1" t="s">
        <v>32</v>
      </c>
      <c r="H17700" s="4" t="str">
        <f>HYPERLINK("https://portal.gdc.cancer.gov/cases/fd50ff41-ec9d-4db1-a673-36ba0ca1eac8","TCGA-HC-7080-01A")</f>
        <v>TCGA-HC-7080-01A</v>
      </c>
      <c r="I17700" t="s">
        <v>161</v>
      </c>
      <c r="J17700" t="s">
        <v>569</v>
      </c>
      <c r="K17700" t="s">
        <v>33</v>
      </c>
      <c r="L17700" t="s">
        <v>162</v>
      </c>
      <c r="N17700" t="s">
        <v>29</v>
      </c>
    </row>
    <row r="17701" spans="1:14">
      <c r="A17701" s="4" t="str">
        <f t="shared" si="1289"/>
        <v>EXP00437</v>
      </c>
      <c r="B17701" s="3" t="s">
        <v>66</v>
      </c>
      <c r="C17701" s="4" t="str">
        <f t="shared" si="1290"/>
        <v>TCGA-PRAD</v>
      </c>
      <c r="D17701" s="1" t="s">
        <v>493</v>
      </c>
      <c r="E17701" t="s">
        <v>568</v>
      </c>
      <c r="F17701" s="1">
        <v>2</v>
      </c>
      <c r="G17701" s="1" t="s">
        <v>32</v>
      </c>
      <c r="H17701" s="4" t="str">
        <f>HYPERLINK("https://portal.gdc.cancer.gov/cases/3da2e90e-6450-4286-8c74-08dbecbfd788","TCGA-HC-7081-01A")</f>
        <v>TCGA-HC-7081-01A</v>
      </c>
      <c r="I17701" t="s">
        <v>161</v>
      </c>
      <c r="J17701" t="s">
        <v>569</v>
      </c>
      <c r="K17701" t="s">
        <v>33</v>
      </c>
      <c r="L17701" t="s">
        <v>162</v>
      </c>
      <c r="N17701" t="s">
        <v>29</v>
      </c>
    </row>
    <row r="17702" spans="1:14">
      <c r="A17702" s="4" t="str">
        <f t="shared" si="1289"/>
        <v>EXP00437</v>
      </c>
      <c r="B17702" s="3" t="s">
        <v>66</v>
      </c>
      <c r="C17702" s="4" t="str">
        <f t="shared" si="1290"/>
        <v>TCGA-PRAD</v>
      </c>
      <c r="D17702" s="1" t="s">
        <v>493</v>
      </c>
      <c r="E17702" t="s">
        <v>568</v>
      </c>
      <c r="F17702" s="1">
        <v>2</v>
      </c>
      <c r="G17702" s="1" t="s">
        <v>32</v>
      </c>
      <c r="H17702" s="4" t="str">
        <f>HYPERLINK("https://portal.gdc.cancer.gov/cases/582d1177-73b0-4a9c-8505-70d6b402bd01","TCGA-HC-7209-01A")</f>
        <v>TCGA-HC-7209-01A</v>
      </c>
      <c r="I17702" t="s">
        <v>161</v>
      </c>
      <c r="J17702" t="s">
        <v>569</v>
      </c>
      <c r="K17702" t="s">
        <v>33</v>
      </c>
      <c r="L17702" t="s">
        <v>162</v>
      </c>
      <c r="N17702" t="s">
        <v>29</v>
      </c>
    </row>
    <row r="17703" spans="1:14">
      <c r="A17703" s="4" t="str">
        <f t="shared" si="1289"/>
        <v>EXP00437</v>
      </c>
      <c r="B17703" s="3" t="s">
        <v>66</v>
      </c>
      <c r="C17703" s="4" t="str">
        <f t="shared" si="1290"/>
        <v>TCGA-PRAD</v>
      </c>
      <c r="D17703" s="1" t="s">
        <v>493</v>
      </c>
      <c r="E17703" t="s">
        <v>568</v>
      </c>
      <c r="F17703" s="1">
        <v>2</v>
      </c>
      <c r="G17703" s="1" t="s">
        <v>32</v>
      </c>
      <c r="H17703" s="4" t="str">
        <f>HYPERLINK("https://portal.gdc.cancer.gov/cases/6a5af80e-07ad-4cd3-aaab-5db1090835d9","TCGA-HC-7210-01A")</f>
        <v>TCGA-HC-7210-01A</v>
      </c>
      <c r="I17703" t="s">
        <v>161</v>
      </c>
      <c r="J17703" t="s">
        <v>569</v>
      </c>
      <c r="K17703" t="s">
        <v>33</v>
      </c>
      <c r="L17703" t="s">
        <v>162</v>
      </c>
      <c r="N17703" t="s">
        <v>29</v>
      </c>
    </row>
    <row r="17704" spans="1:14">
      <c r="A17704" s="4" t="str">
        <f t="shared" si="1289"/>
        <v>EXP00437</v>
      </c>
      <c r="B17704" s="3" t="s">
        <v>66</v>
      </c>
      <c r="C17704" s="4" t="str">
        <f t="shared" si="1290"/>
        <v>TCGA-PRAD</v>
      </c>
      <c r="D17704" s="1" t="s">
        <v>493</v>
      </c>
      <c r="E17704" t="s">
        <v>568</v>
      </c>
      <c r="F17704" s="1">
        <v>2</v>
      </c>
      <c r="G17704" s="1" t="s">
        <v>32</v>
      </c>
      <c r="H17704" s="4" t="str">
        <f>HYPERLINK("https://portal.gdc.cancer.gov/cases/ec3870c9-4930-4af7-b2eb-1e16c9ec9f14","TCGA-HC-7211-01A")</f>
        <v>TCGA-HC-7211-01A</v>
      </c>
      <c r="I17704" t="s">
        <v>161</v>
      </c>
      <c r="J17704" t="s">
        <v>569</v>
      </c>
      <c r="K17704" t="s">
        <v>33</v>
      </c>
      <c r="L17704" t="s">
        <v>162</v>
      </c>
      <c r="N17704" t="s">
        <v>29</v>
      </c>
    </row>
    <row r="17705" spans="1:14">
      <c r="A17705" s="4" t="str">
        <f t="shared" si="1289"/>
        <v>EXP00437</v>
      </c>
      <c r="B17705" s="3" t="s">
        <v>66</v>
      </c>
      <c r="C17705" s="4" t="str">
        <f t="shared" si="1290"/>
        <v>TCGA-PRAD</v>
      </c>
      <c r="D17705" s="1" t="s">
        <v>493</v>
      </c>
      <c r="E17705" t="s">
        <v>568</v>
      </c>
      <c r="F17705" s="1">
        <v>2</v>
      </c>
      <c r="G17705" s="1" t="s">
        <v>32</v>
      </c>
      <c r="H17705" s="4" t="str">
        <f>HYPERLINK("https://portal.gdc.cancer.gov/cases/907b64d6-a26a-4092-a247-ac9af444d1c7","TCGA-HC-7212-01A")</f>
        <v>TCGA-HC-7212-01A</v>
      </c>
      <c r="I17705" t="s">
        <v>161</v>
      </c>
      <c r="J17705" t="s">
        <v>569</v>
      </c>
      <c r="K17705" t="s">
        <v>33</v>
      </c>
      <c r="L17705" t="s">
        <v>162</v>
      </c>
      <c r="N17705" t="s">
        <v>29</v>
      </c>
    </row>
    <row r="17706" spans="1:14">
      <c r="A17706" s="4" t="str">
        <f t="shared" si="1289"/>
        <v>EXP00437</v>
      </c>
      <c r="B17706" s="3" t="s">
        <v>66</v>
      </c>
      <c r="C17706" s="4" t="str">
        <f t="shared" si="1290"/>
        <v>TCGA-PRAD</v>
      </c>
      <c r="D17706" s="1" t="s">
        <v>493</v>
      </c>
      <c r="E17706" t="s">
        <v>568</v>
      </c>
      <c r="F17706" s="1">
        <v>2</v>
      </c>
      <c r="G17706" s="1" t="s">
        <v>32</v>
      </c>
      <c r="H17706" s="4" t="str">
        <f>HYPERLINK("https://portal.gdc.cancer.gov/cases/26eefaa1-1666-4ce1-8cf4-f6fabff81fd2","TCGA-HC-7213-01A")</f>
        <v>TCGA-HC-7213-01A</v>
      </c>
      <c r="I17706" t="s">
        <v>161</v>
      </c>
      <c r="J17706" t="s">
        <v>569</v>
      </c>
      <c r="K17706" t="s">
        <v>33</v>
      </c>
      <c r="L17706" t="s">
        <v>162</v>
      </c>
      <c r="N17706" t="s">
        <v>29</v>
      </c>
    </row>
    <row r="17707" spans="1:14">
      <c r="A17707" s="4" t="str">
        <f t="shared" si="1289"/>
        <v>EXP00437</v>
      </c>
      <c r="B17707" s="3" t="s">
        <v>66</v>
      </c>
      <c r="C17707" s="4" t="str">
        <f t="shared" si="1290"/>
        <v>TCGA-PRAD</v>
      </c>
      <c r="D17707" s="1" t="s">
        <v>493</v>
      </c>
      <c r="E17707" t="s">
        <v>568</v>
      </c>
      <c r="F17707" s="1">
        <v>2</v>
      </c>
      <c r="G17707" s="1" t="s">
        <v>32</v>
      </c>
      <c r="H17707" s="4" t="str">
        <f>HYPERLINK("https://portal.gdc.cancer.gov/cases/03c66cf8-bc68-4ee1-a322-689a29b72262","TCGA-HC-7230-01A")</f>
        <v>TCGA-HC-7230-01A</v>
      </c>
      <c r="I17707" t="s">
        <v>161</v>
      </c>
      <c r="J17707" t="s">
        <v>569</v>
      </c>
      <c r="K17707" t="s">
        <v>33</v>
      </c>
      <c r="L17707" t="s">
        <v>162</v>
      </c>
      <c r="N17707" t="s">
        <v>29</v>
      </c>
    </row>
    <row r="17708" spans="1:14">
      <c r="A17708" s="4" t="str">
        <f t="shared" si="1289"/>
        <v>EXP00437</v>
      </c>
      <c r="B17708" s="3" t="s">
        <v>66</v>
      </c>
      <c r="C17708" s="4" t="str">
        <f t="shared" si="1290"/>
        <v>TCGA-PRAD</v>
      </c>
      <c r="D17708" s="1" t="s">
        <v>493</v>
      </c>
      <c r="E17708" t="s">
        <v>568</v>
      </c>
      <c r="F17708" s="1">
        <v>2</v>
      </c>
      <c r="G17708" s="1" t="s">
        <v>32</v>
      </c>
      <c r="H17708" s="4" t="str">
        <f>HYPERLINK("https://portal.gdc.cancer.gov/cases/b182bda9-3d9f-4958-96eb-bd6cc441830c","TCGA-HC-7231-01A")</f>
        <v>TCGA-HC-7231-01A</v>
      </c>
      <c r="I17708" t="s">
        <v>161</v>
      </c>
      <c r="J17708" t="s">
        <v>569</v>
      </c>
      <c r="K17708" t="s">
        <v>33</v>
      </c>
      <c r="L17708" t="s">
        <v>162</v>
      </c>
      <c r="N17708" t="s">
        <v>29</v>
      </c>
    </row>
    <row r="17709" spans="1:14">
      <c r="A17709" s="4" t="str">
        <f t="shared" si="1289"/>
        <v>EXP00437</v>
      </c>
      <c r="B17709" s="3" t="s">
        <v>66</v>
      </c>
      <c r="C17709" s="4" t="str">
        <f t="shared" si="1290"/>
        <v>TCGA-PRAD</v>
      </c>
      <c r="D17709" s="1" t="s">
        <v>493</v>
      </c>
      <c r="E17709" t="s">
        <v>568</v>
      </c>
      <c r="F17709" s="1">
        <v>2</v>
      </c>
      <c r="G17709" s="1" t="s">
        <v>32</v>
      </c>
      <c r="H17709" s="4" t="str">
        <f>HYPERLINK("https://portal.gdc.cancer.gov/cases/ce3585d3-7388-4d05-84c8-64e0883003b3","TCGA-HC-7232-01A")</f>
        <v>TCGA-HC-7232-01A</v>
      </c>
      <c r="I17709" t="s">
        <v>161</v>
      </c>
      <c r="J17709" t="s">
        <v>569</v>
      </c>
      <c r="K17709" t="s">
        <v>33</v>
      </c>
      <c r="L17709" t="s">
        <v>162</v>
      </c>
      <c r="N17709" t="s">
        <v>29</v>
      </c>
    </row>
    <row r="17710" spans="1:14">
      <c r="A17710" s="4" t="str">
        <f t="shared" si="1289"/>
        <v>EXP00437</v>
      </c>
      <c r="B17710" s="3" t="s">
        <v>66</v>
      </c>
      <c r="C17710" s="4" t="str">
        <f t="shared" si="1290"/>
        <v>TCGA-PRAD</v>
      </c>
      <c r="D17710" s="1" t="s">
        <v>493</v>
      </c>
      <c r="E17710" t="s">
        <v>568</v>
      </c>
      <c r="F17710" s="1">
        <v>2</v>
      </c>
      <c r="G17710" s="1" t="s">
        <v>32</v>
      </c>
      <c r="H17710" s="4" t="str">
        <f>HYPERLINK("https://portal.gdc.cancer.gov/cases/e2b33861-2247-413f-b2e5-9be3b604666c","TCGA-HC-7233-01A")</f>
        <v>TCGA-HC-7233-01A</v>
      </c>
      <c r="I17710" t="s">
        <v>161</v>
      </c>
      <c r="J17710" t="s">
        <v>569</v>
      </c>
      <c r="K17710" t="s">
        <v>33</v>
      </c>
      <c r="L17710" t="s">
        <v>162</v>
      </c>
      <c r="N17710" t="s">
        <v>29</v>
      </c>
    </row>
    <row r="17711" spans="1:14">
      <c r="A17711" s="4" t="str">
        <f t="shared" si="1289"/>
        <v>EXP00437</v>
      </c>
      <c r="B17711" s="3" t="s">
        <v>66</v>
      </c>
      <c r="C17711" s="4" t="str">
        <f t="shared" si="1290"/>
        <v>TCGA-PRAD</v>
      </c>
      <c r="D17711" s="1" t="s">
        <v>493</v>
      </c>
      <c r="E17711" t="s">
        <v>568</v>
      </c>
      <c r="F17711" s="1">
        <v>2</v>
      </c>
      <c r="G17711" s="1" t="s">
        <v>32</v>
      </c>
      <c r="H17711" s="4" t="str">
        <f>HYPERLINK("https://portal.gdc.cancer.gov/cases/922e5166-85f5-4365-9c09-f8bdc1722da6","TCGA-HC-7736-01A")</f>
        <v>TCGA-HC-7736-01A</v>
      </c>
      <c r="I17711" t="s">
        <v>161</v>
      </c>
      <c r="J17711" t="s">
        <v>569</v>
      </c>
      <c r="K17711" t="s">
        <v>33</v>
      </c>
      <c r="L17711" t="s">
        <v>162</v>
      </c>
      <c r="N17711" t="s">
        <v>29</v>
      </c>
    </row>
    <row r="17712" spans="1:14">
      <c r="A17712" s="4" t="str">
        <f t="shared" si="1289"/>
        <v>EXP00437</v>
      </c>
      <c r="B17712" s="3" t="s">
        <v>66</v>
      </c>
      <c r="C17712" s="4" t="str">
        <f t="shared" si="1290"/>
        <v>TCGA-PRAD</v>
      </c>
      <c r="D17712" s="1" t="s">
        <v>493</v>
      </c>
      <c r="E17712" t="s">
        <v>568</v>
      </c>
      <c r="F17712" s="1">
        <v>2</v>
      </c>
      <c r="G17712" s="1" t="s">
        <v>32</v>
      </c>
      <c r="H17712" s="4" t="str">
        <f>HYPERLINK("https://portal.gdc.cancer.gov/cases/73f875cb-bcfc-43ba-ab97-4e94caf836d4","TCGA-HC-7737-01A")</f>
        <v>TCGA-HC-7737-01A</v>
      </c>
      <c r="I17712" t="s">
        <v>161</v>
      </c>
      <c r="J17712" t="s">
        <v>569</v>
      </c>
      <c r="K17712" t="s">
        <v>33</v>
      </c>
      <c r="L17712" t="s">
        <v>162</v>
      </c>
      <c r="N17712" t="s">
        <v>29</v>
      </c>
    </row>
    <row r="17713" spans="1:14">
      <c r="A17713" s="4" t="str">
        <f t="shared" si="1289"/>
        <v>EXP00437</v>
      </c>
      <c r="B17713" s="3" t="s">
        <v>66</v>
      </c>
      <c r="C17713" s="4" t="str">
        <f t="shared" si="1290"/>
        <v>TCGA-PRAD</v>
      </c>
      <c r="D17713" s="1" t="s">
        <v>493</v>
      </c>
      <c r="E17713" t="s">
        <v>568</v>
      </c>
      <c r="F17713" s="1">
        <v>2</v>
      </c>
      <c r="G17713" s="1" t="s">
        <v>32</v>
      </c>
      <c r="H17713" s="4" t="str">
        <f>HYPERLINK("https://portal.gdc.cancer.gov/cases/698ce9a9-6512-4fb8-a574-a26ee259414c","TCGA-HC-7738-01A")</f>
        <v>TCGA-HC-7738-01A</v>
      </c>
      <c r="I17713" t="s">
        <v>161</v>
      </c>
      <c r="J17713" t="s">
        <v>569</v>
      </c>
      <c r="K17713" t="s">
        <v>33</v>
      </c>
      <c r="L17713" t="s">
        <v>162</v>
      </c>
      <c r="N17713" t="s">
        <v>29</v>
      </c>
    </row>
    <row r="17714" spans="1:14">
      <c r="A17714" s="4" t="str">
        <f t="shared" si="1289"/>
        <v>EXP00437</v>
      </c>
      <c r="B17714" s="3" t="s">
        <v>66</v>
      </c>
      <c r="C17714" s="4" t="str">
        <f t="shared" si="1290"/>
        <v>TCGA-PRAD</v>
      </c>
      <c r="D17714" s="1" t="s">
        <v>493</v>
      </c>
      <c r="E17714" t="s">
        <v>568</v>
      </c>
      <c r="F17714" s="1">
        <v>2</v>
      </c>
      <c r="G17714" s="1" t="s">
        <v>32</v>
      </c>
      <c r="H17714" s="4" t="str">
        <f>HYPERLINK("https://portal.gdc.cancer.gov/cases/91e249a6-b0b0-487e-9fad-0e9f5798dcae","TCGA-HC-7740-01A")</f>
        <v>TCGA-HC-7740-01A</v>
      </c>
      <c r="I17714" t="s">
        <v>161</v>
      </c>
      <c r="J17714" t="s">
        <v>569</v>
      </c>
      <c r="K17714" t="s">
        <v>33</v>
      </c>
      <c r="L17714" t="s">
        <v>162</v>
      </c>
      <c r="N17714" t="s">
        <v>29</v>
      </c>
    </row>
    <row r="17715" spans="1:14">
      <c r="A17715" s="4" t="str">
        <f t="shared" si="1289"/>
        <v>EXP00437</v>
      </c>
      <c r="B17715" s="3" t="s">
        <v>66</v>
      </c>
      <c r="C17715" s="4" t="str">
        <f t="shared" si="1290"/>
        <v>TCGA-PRAD</v>
      </c>
      <c r="D17715" s="1" t="s">
        <v>493</v>
      </c>
      <c r="E17715" t="s">
        <v>568</v>
      </c>
      <c r="F17715" s="1">
        <v>2</v>
      </c>
      <c r="G17715" s="1" t="s">
        <v>32</v>
      </c>
      <c r="H17715" s="4" t="str">
        <f>HYPERLINK("https://portal.gdc.cancer.gov/cases/91e249a6-b0b0-487e-9fad-0e9f5798dcae","TCGA-HC-7740-01B")</f>
        <v>TCGA-HC-7740-01B</v>
      </c>
      <c r="I17715" t="s">
        <v>161</v>
      </c>
      <c r="J17715" t="s">
        <v>569</v>
      </c>
      <c r="K17715" t="s">
        <v>33</v>
      </c>
      <c r="L17715" t="s">
        <v>162</v>
      </c>
      <c r="N17715" t="s">
        <v>29</v>
      </c>
    </row>
    <row r="17716" spans="1:14">
      <c r="A17716" s="4" t="str">
        <f t="shared" si="1289"/>
        <v>EXP00437</v>
      </c>
      <c r="B17716" s="3" t="s">
        <v>66</v>
      </c>
      <c r="C17716" s="4" t="str">
        <f t="shared" si="1290"/>
        <v>TCGA-PRAD</v>
      </c>
      <c r="D17716" s="1" t="s">
        <v>493</v>
      </c>
      <c r="E17716" t="s">
        <v>568</v>
      </c>
      <c r="F17716" s="1">
        <v>2</v>
      </c>
      <c r="G17716" s="1" t="s">
        <v>32</v>
      </c>
      <c r="H17716" s="4" t="str">
        <f>HYPERLINK("https://portal.gdc.cancer.gov/cases/0730216b-c201-443c-9092-81e23fd13c6c","TCGA-HC-7742-01A")</f>
        <v>TCGA-HC-7742-01A</v>
      </c>
      <c r="I17716" t="s">
        <v>161</v>
      </c>
      <c r="J17716" t="s">
        <v>569</v>
      </c>
      <c r="K17716" t="s">
        <v>33</v>
      </c>
      <c r="L17716" t="s">
        <v>162</v>
      </c>
      <c r="N17716" t="s">
        <v>29</v>
      </c>
    </row>
    <row r="17717" spans="1:14">
      <c r="A17717" s="4" t="str">
        <f t="shared" si="1289"/>
        <v>EXP00437</v>
      </c>
      <c r="B17717" s="3" t="s">
        <v>66</v>
      </c>
      <c r="C17717" s="4" t="str">
        <f t="shared" si="1290"/>
        <v>TCGA-PRAD</v>
      </c>
      <c r="D17717" s="1" t="s">
        <v>493</v>
      </c>
      <c r="E17717" t="s">
        <v>568</v>
      </c>
      <c r="F17717" s="1">
        <v>2</v>
      </c>
      <c r="G17717" s="1" t="s">
        <v>32</v>
      </c>
      <c r="H17717" s="4" t="str">
        <f>HYPERLINK("https://portal.gdc.cancer.gov/cases/f6381367-142c-45d0-92b3-c1727d1813ce","TCGA-HC-7744-01A")</f>
        <v>TCGA-HC-7744-01A</v>
      </c>
      <c r="I17717" t="s">
        <v>161</v>
      </c>
      <c r="J17717" t="s">
        <v>569</v>
      </c>
      <c r="K17717" t="s">
        <v>33</v>
      </c>
      <c r="L17717" t="s">
        <v>162</v>
      </c>
      <c r="N17717" t="s">
        <v>29</v>
      </c>
    </row>
    <row r="17718" spans="1:14">
      <c r="A17718" s="4" t="str">
        <f t="shared" si="1289"/>
        <v>EXP00437</v>
      </c>
      <c r="B17718" s="3" t="s">
        <v>66</v>
      </c>
      <c r="C17718" s="4" t="str">
        <f t="shared" si="1290"/>
        <v>TCGA-PRAD</v>
      </c>
      <c r="D17718" s="1" t="s">
        <v>493</v>
      </c>
      <c r="E17718" t="s">
        <v>568</v>
      </c>
      <c r="F17718" s="1">
        <v>2</v>
      </c>
      <c r="G17718" s="1" t="s">
        <v>32</v>
      </c>
      <c r="H17718" s="4" t="str">
        <f>HYPERLINK("https://portal.gdc.cancer.gov/cases/6641a298-1dbd-445d-a4ab-95ceb98e1427","TCGA-HC-7745-01A")</f>
        <v>TCGA-HC-7745-01A</v>
      </c>
      <c r="I17718" t="s">
        <v>161</v>
      </c>
      <c r="J17718" t="s">
        <v>569</v>
      </c>
      <c r="K17718" t="s">
        <v>33</v>
      </c>
      <c r="L17718" t="s">
        <v>162</v>
      </c>
      <c r="N17718" t="s">
        <v>29</v>
      </c>
    </row>
    <row r="17719" spans="1:14">
      <c r="A17719" s="4" t="str">
        <f t="shared" si="1289"/>
        <v>EXP00437</v>
      </c>
      <c r="B17719" s="3" t="s">
        <v>66</v>
      </c>
      <c r="C17719" s="4" t="str">
        <f t="shared" si="1290"/>
        <v>TCGA-PRAD</v>
      </c>
      <c r="D17719" s="1" t="s">
        <v>493</v>
      </c>
      <c r="E17719" t="s">
        <v>568</v>
      </c>
      <c r="F17719" s="1">
        <v>2</v>
      </c>
      <c r="G17719" s="1" t="s">
        <v>32</v>
      </c>
      <c r="H17719" s="4" t="str">
        <f>HYPERLINK("https://portal.gdc.cancer.gov/cases/f25bae1a-8627-46a8-87af-07f82773c68a","TCGA-HC-7747-01A")</f>
        <v>TCGA-HC-7747-01A</v>
      </c>
      <c r="I17719" t="s">
        <v>161</v>
      </c>
      <c r="J17719" t="s">
        <v>569</v>
      </c>
      <c r="K17719" t="s">
        <v>33</v>
      </c>
      <c r="L17719" t="s">
        <v>162</v>
      </c>
      <c r="N17719" t="s">
        <v>29</v>
      </c>
    </row>
    <row r="17720" spans="1:14">
      <c r="A17720" s="4" t="str">
        <f t="shared" si="1289"/>
        <v>EXP00437</v>
      </c>
      <c r="B17720" s="3" t="s">
        <v>66</v>
      </c>
      <c r="C17720" s="4" t="str">
        <f t="shared" si="1290"/>
        <v>TCGA-PRAD</v>
      </c>
      <c r="D17720" s="1" t="s">
        <v>493</v>
      </c>
      <c r="E17720" t="s">
        <v>568</v>
      </c>
      <c r="F17720" s="1">
        <v>2</v>
      </c>
      <c r="G17720" s="1" t="s">
        <v>32</v>
      </c>
      <c r="H17720" s="4" t="str">
        <f>HYPERLINK("https://portal.gdc.cancer.gov/cases/f6040682-4999-4d71-abc2-354b473c6980","TCGA-HC-7748-01A")</f>
        <v>TCGA-HC-7748-01A</v>
      </c>
      <c r="I17720" t="s">
        <v>161</v>
      </c>
      <c r="J17720" t="s">
        <v>569</v>
      </c>
      <c r="K17720" t="s">
        <v>33</v>
      </c>
      <c r="L17720" t="s">
        <v>162</v>
      </c>
      <c r="N17720" t="s">
        <v>29</v>
      </c>
    </row>
    <row r="17721" spans="1:14">
      <c r="A17721" s="4" t="str">
        <f t="shared" si="1289"/>
        <v>EXP00437</v>
      </c>
      <c r="B17721" s="3" t="s">
        <v>66</v>
      </c>
      <c r="C17721" s="4" t="str">
        <f t="shared" si="1290"/>
        <v>TCGA-PRAD</v>
      </c>
      <c r="D17721" s="1" t="s">
        <v>493</v>
      </c>
      <c r="E17721" t="s">
        <v>568</v>
      </c>
      <c r="F17721" s="1">
        <v>2</v>
      </c>
      <c r="G17721" s="1" t="s">
        <v>32</v>
      </c>
      <c r="H17721" s="4" t="str">
        <f>HYPERLINK("https://portal.gdc.cancer.gov/cases/13a63fd0-6c8c-4707-9135-8052f454d1ac","TCGA-HC-7749-01A")</f>
        <v>TCGA-HC-7749-01A</v>
      </c>
      <c r="I17721" t="s">
        <v>161</v>
      </c>
      <c r="J17721" t="s">
        <v>569</v>
      </c>
      <c r="K17721" t="s">
        <v>33</v>
      </c>
      <c r="L17721" t="s">
        <v>162</v>
      </c>
      <c r="N17721" t="s">
        <v>29</v>
      </c>
    </row>
    <row r="17722" spans="1:14">
      <c r="A17722" s="4" t="str">
        <f t="shared" si="1289"/>
        <v>EXP00437</v>
      </c>
      <c r="B17722" s="3" t="s">
        <v>66</v>
      </c>
      <c r="C17722" s="4" t="str">
        <f t="shared" si="1290"/>
        <v>TCGA-PRAD</v>
      </c>
      <c r="D17722" s="1" t="s">
        <v>493</v>
      </c>
      <c r="E17722" t="s">
        <v>568</v>
      </c>
      <c r="F17722" s="1">
        <v>2</v>
      </c>
      <c r="G17722" s="1" t="s">
        <v>32</v>
      </c>
      <c r="H17722" s="4" t="str">
        <f>HYPERLINK("https://portal.gdc.cancer.gov/cases/2d350c73-2a0b-4a3c-8d30-c6fcf6c3ffba","TCGA-HC-7750-01A")</f>
        <v>TCGA-HC-7750-01A</v>
      </c>
      <c r="I17722" t="s">
        <v>161</v>
      </c>
      <c r="J17722" t="s">
        <v>569</v>
      </c>
      <c r="K17722" t="s">
        <v>33</v>
      </c>
      <c r="L17722" t="s">
        <v>162</v>
      </c>
      <c r="N17722" t="s">
        <v>29</v>
      </c>
    </row>
    <row r="17723" spans="1:14">
      <c r="A17723" s="4" t="str">
        <f t="shared" si="1289"/>
        <v>EXP00437</v>
      </c>
      <c r="B17723" s="3" t="s">
        <v>66</v>
      </c>
      <c r="C17723" s="4" t="str">
        <f t="shared" si="1290"/>
        <v>TCGA-PRAD</v>
      </c>
      <c r="D17723" s="1" t="s">
        <v>493</v>
      </c>
      <c r="E17723" t="s">
        <v>568</v>
      </c>
      <c r="F17723" s="1">
        <v>2</v>
      </c>
      <c r="G17723" s="1" t="s">
        <v>32</v>
      </c>
      <c r="H17723" s="4" t="str">
        <f>HYPERLINK("https://portal.gdc.cancer.gov/cases/9b84601b-ee05-4c15-afe3-7bfa7ca5ffac","TCGA-HC-7752-01A")</f>
        <v>TCGA-HC-7752-01A</v>
      </c>
      <c r="I17723" t="s">
        <v>161</v>
      </c>
      <c r="J17723" t="s">
        <v>569</v>
      </c>
      <c r="K17723" t="s">
        <v>33</v>
      </c>
      <c r="L17723" t="s">
        <v>162</v>
      </c>
      <c r="N17723" t="s">
        <v>29</v>
      </c>
    </row>
    <row r="17724" spans="1:14">
      <c r="A17724" s="4" t="str">
        <f t="shared" si="1289"/>
        <v>EXP00437</v>
      </c>
      <c r="B17724" s="3" t="s">
        <v>66</v>
      </c>
      <c r="C17724" s="4" t="str">
        <f t="shared" si="1290"/>
        <v>TCGA-PRAD</v>
      </c>
      <c r="D17724" s="1" t="s">
        <v>493</v>
      </c>
      <c r="E17724" t="s">
        <v>568</v>
      </c>
      <c r="F17724" s="1">
        <v>2</v>
      </c>
      <c r="G17724" s="1" t="s">
        <v>32</v>
      </c>
      <c r="H17724" s="4" t="str">
        <f>HYPERLINK("https://portal.gdc.cancer.gov/cases/f3aa40b9-7b4d-465a-b7c9-591aebdb56c2","TCGA-HC-7817-01B")</f>
        <v>TCGA-HC-7817-01B</v>
      </c>
      <c r="I17724" t="s">
        <v>161</v>
      </c>
      <c r="J17724" t="s">
        <v>569</v>
      </c>
      <c r="K17724" t="s">
        <v>33</v>
      </c>
      <c r="L17724" t="s">
        <v>162</v>
      </c>
      <c r="N17724" t="s">
        <v>29</v>
      </c>
    </row>
    <row r="17725" spans="1:14">
      <c r="A17725" s="4" t="str">
        <f t="shared" si="1289"/>
        <v>EXP00437</v>
      </c>
      <c r="B17725" s="3" t="s">
        <v>66</v>
      </c>
      <c r="C17725" s="4" t="str">
        <f t="shared" si="1290"/>
        <v>TCGA-PRAD</v>
      </c>
      <c r="D17725" s="1" t="s">
        <v>493</v>
      </c>
      <c r="E17725" t="s">
        <v>568</v>
      </c>
      <c r="F17725" s="1">
        <v>2</v>
      </c>
      <c r="G17725" s="1" t="s">
        <v>32</v>
      </c>
      <c r="H17725" s="4" t="str">
        <f>HYPERLINK("https://portal.gdc.cancer.gov/cases/ebe711e4-45af-4082-bdf6-b0f7ac899b3e","TCGA-HC-7818-01A")</f>
        <v>TCGA-HC-7818-01A</v>
      </c>
      <c r="I17725" t="s">
        <v>161</v>
      </c>
      <c r="J17725" t="s">
        <v>569</v>
      </c>
      <c r="K17725" t="s">
        <v>33</v>
      </c>
      <c r="L17725" t="s">
        <v>162</v>
      </c>
      <c r="N17725" t="s">
        <v>29</v>
      </c>
    </row>
    <row r="17726" spans="1:14">
      <c r="A17726" s="4" t="str">
        <f t="shared" si="1289"/>
        <v>EXP00437</v>
      </c>
      <c r="B17726" s="3" t="s">
        <v>66</v>
      </c>
      <c r="C17726" s="4" t="str">
        <f t="shared" si="1290"/>
        <v>TCGA-PRAD</v>
      </c>
      <c r="D17726" s="1" t="s">
        <v>493</v>
      </c>
      <c r="E17726" t="s">
        <v>568</v>
      </c>
      <c r="F17726" s="1">
        <v>2</v>
      </c>
      <c r="G17726" s="1" t="s">
        <v>32</v>
      </c>
      <c r="H17726" s="4" t="str">
        <f>HYPERLINK("https://portal.gdc.cancer.gov/cases/d1fd7be0-6daa-4f1f-a198-3dca7a797e49","TCGA-HC-7819-01A")</f>
        <v>TCGA-HC-7819-01A</v>
      </c>
      <c r="I17726" t="s">
        <v>161</v>
      </c>
      <c r="J17726" t="s">
        <v>569</v>
      </c>
      <c r="K17726" t="s">
        <v>33</v>
      </c>
      <c r="L17726" t="s">
        <v>162</v>
      </c>
      <c r="N17726" t="s">
        <v>29</v>
      </c>
    </row>
    <row r="17727" spans="1:14">
      <c r="A17727" s="4" t="str">
        <f t="shared" si="1289"/>
        <v>EXP00437</v>
      </c>
      <c r="B17727" s="3" t="s">
        <v>66</v>
      </c>
      <c r="C17727" s="4" t="str">
        <f t="shared" si="1290"/>
        <v>TCGA-PRAD</v>
      </c>
      <c r="D17727" s="1" t="s">
        <v>493</v>
      </c>
      <c r="E17727" t="s">
        <v>568</v>
      </c>
      <c r="F17727" s="1">
        <v>2</v>
      </c>
      <c r="G17727" s="1" t="s">
        <v>32</v>
      </c>
      <c r="H17727" s="4" t="str">
        <f>HYPERLINK("https://portal.gdc.cancer.gov/cases/a3cd3599-7c18-491d-be09-6fc7e526c9b1","TCGA-HC-7820-01A")</f>
        <v>TCGA-HC-7820-01A</v>
      </c>
      <c r="I17727" t="s">
        <v>161</v>
      </c>
      <c r="J17727" t="s">
        <v>569</v>
      </c>
      <c r="K17727" t="s">
        <v>33</v>
      </c>
      <c r="L17727" t="s">
        <v>162</v>
      </c>
      <c r="N17727" t="s">
        <v>29</v>
      </c>
    </row>
    <row r="17728" spans="1:14">
      <c r="A17728" s="4" t="str">
        <f t="shared" si="1289"/>
        <v>EXP00437</v>
      </c>
      <c r="B17728" s="3" t="s">
        <v>66</v>
      </c>
      <c r="C17728" s="4" t="str">
        <f t="shared" si="1290"/>
        <v>TCGA-PRAD</v>
      </c>
      <c r="D17728" s="1" t="s">
        <v>493</v>
      </c>
      <c r="E17728" t="s">
        <v>568</v>
      </c>
      <c r="F17728" s="1">
        <v>2</v>
      </c>
      <c r="G17728" s="1" t="s">
        <v>32</v>
      </c>
      <c r="H17728" s="4" t="str">
        <f>HYPERLINK("https://portal.gdc.cancer.gov/cases/929837f9-297a-47c0-ac9a-a142eef620d3","TCGA-HC-7821-01A")</f>
        <v>TCGA-HC-7821-01A</v>
      </c>
      <c r="I17728" t="s">
        <v>161</v>
      </c>
      <c r="J17728" t="s">
        <v>569</v>
      </c>
      <c r="K17728" t="s">
        <v>33</v>
      </c>
      <c r="L17728" t="s">
        <v>162</v>
      </c>
      <c r="N17728" t="s">
        <v>29</v>
      </c>
    </row>
    <row r="17729" spans="1:14">
      <c r="A17729" s="4" t="str">
        <f t="shared" si="1289"/>
        <v>EXP00437</v>
      </c>
      <c r="B17729" s="3" t="s">
        <v>66</v>
      </c>
      <c r="C17729" s="4" t="str">
        <f t="shared" si="1290"/>
        <v>TCGA-PRAD</v>
      </c>
      <c r="D17729" s="1" t="s">
        <v>493</v>
      </c>
      <c r="E17729" t="s">
        <v>568</v>
      </c>
      <c r="F17729" s="1">
        <v>2</v>
      </c>
      <c r="G17729" s="1" t="s">
        <v>32</v>
      </c>
      <c r="H17729" s="4" t="str">
        <f>HYPERLINK("https://portal.gdc.cancer.gov/cases/53c43d14-2310-41e9-ac43-3cc298404338","TCGA-HC-8213-01A")</f>
        <v>TCGA-HC-8213-01A</v>
      </c>
      <c r="I17729" t="s">
        <v>161</v>
      </c>
      <c r="J17729" t="s">
        <v>569</v>
      </c>
      <c r="K17729" t="s">
        <v>33</v>
      </c>
      <c r="L17729" t="s">
        <v>162</v>
      </c>
      <c r="N17729" t="s">
        <v>29</v>
      </c>
    </row>
    <row r="17730" spans="1:14">
      <c r="A17730" s="4" t="str">
        <f t="shared" si="1289"/>
        <v>EXP00437</v>
      </c>
      <c r="B17730" s="3" t="s">
        <v>66</v>
      </c>
      <c r="C17730" s="4" t="str">
        <f t="shared" si="1290"/>
        <v>TCGA-PRAD</v>
      </c>
      <c r="D17730" s="1" t="s">
        <v>493</v>
      </c>
      <c r="E17730" t="s">
        <v>568</v>
      </c>
      <c r="F17730" s="1">
        <v>2</v>
      </c>
      <c r="G17730" s="1" t="s">
        <v>32</v>
      </c>
      <c r="H17730" s="4" t="str">
        <f>HYPERLINK("https://portal.gdc.cancer.gov/cases/89afdebe-456e-4128-8902-1001876a2106","TCGA-HC-8216-01A")</f>
        <v>TCGA-HC-8216-01A</v>
      </c>
      <c r="I17730" t="s">
        <v>161</v>
      </c>
      <c r="J17730" t="s">
        <v>569</v>
      </c>
      <c r="K17730" t="s">
        <v>33</v>
      </c>
      <c r="L17730" t="s">
        <v>162</v>
      </c>
      <c r="N17730" t="s">
        <v>29</v>
      </c>
    </row>
    <row r="17731" spans="1:14">
      <c r="A17731" s="4" t="str">
        <f t="shared" si="1289"/>
        <v>EXP00437</v>
      </c>
      <c r="B17731" s="3" t="s">
        <v>66</v>
      </c>
      <c r="C17731" s="4" t="str">
        <f t="shared" si="1290"/>
        <v>TCGA-PRAD</v>
      </c>
      <c r="D17731" s="1" t="s">
        <v>493</v>
      </c>
      <c r="E17731" t="s">
        <v>568</v>
      </c>
      <c r="F17731" s="1">
        <v>2</v>
      </c>
      <c r="G17731" s="1" t="s">
        <v>32</v>
      </c>
      <c r="H17731" s="4" t="str">
        <f>HYPERLINK("https://portal.gdc.cancer.gov/cases/89a297be-ebb5-4b9f-8eda-0e548d14ad91","TCGA-HC-8256-01A")</f>
        <v>TCGA-HC-8256-01A</v>
      </c>
      <c r="I17731" t="s">
        <v>161</v>
      </c>
      <c r="J17731" t="s">
        <v>569</v>
      </c>
      <c r="K17731" t="s">
        <v>33</v>
      </c>
      <c r="L17731" t="s">
        <v>162</v>
      </c>
      <c r="N17731" t="s">
        <v>29</v>
      </c>
    </row>
    <row r="17732" spans="1:14">
      <c r="A17732" s="4" t="str">
        <f t="shared" si="1289"/>
        <v>EXP00437</v>
      </c>
      <c r="B17732" s="3" t="s">
        <v>66</v>
      </c>
      <c r="C17732" s="4" t="str">
        <f t="shared" si="1290"/>
        <v>TCGA-PRAD</v>
      </c>
      <c r="D17732" s="1" t="s">
        <v>493</v>
      </c>
      <c r="E17732" t="s">
        <v>568</v>
      </c>
      <c r="F17732" s="1">
        <v>2</v>
      </c>
      <c r="G17732" s="1" t="s">
        <v>32</v>
      </c>
      <c r="H17732" s="4" t="str">
        <f>HYPERLINK("https://portal.gdc.cancer.gov/cases/270447ca-19ee-45a2-982e-032325dab05f","TCGA-HC-8257-01A")</f>
        <v>TCGA-HC-8257-01A</v>
      </c>
      <c r="I17732" t="s">
        <v>161</v>
      </c>
      <c r="J17732" t="s">
        <v>569</v>
      </c>
      <c r="K17732" t="s">
        <v>33</v>
      </c>
      <c r="L17732" t="s">
        <v>162</v>
      </c>
      <c r="N17732" t="s">
        <v>29</v>
      </c>
    </row>
    <row r="17733" spans="1:14">
      <c r="A17733" s="4" t="str">
        <f t="shared" si="1289"/>
        <v>EXP00437</v>
      </c>
      <c r="B17733" s="3" t="s">
        <v>66</v>
      </c>
      <c r="C17733" s="4" t="str">
        <f t="shared" si="1290"/>
        <v>TCGA-PRAD</v>
      </c>
      <c r="D17733" s="1" t="s">
        <v>493</v>
      </c>
      <c r="E17733" t="s">
        <v>568</v>
      </c>
      <c r="F17733" s="1">
        <v>2</v>
      </c>
      <c r="G17733" s="1" t="s">
        <v>32</v>
      </c>
      <c r="H17733" s="4" t="str">
        <f>HYPERLINK("https://portal.gdc.cancer.gov/cases/da5b0169-e4f4-4674-b348-220af03ff4b5","TCGA-HC-8258-01A")</f>
        <v>TCGA-HC-8258-01A</v>
      </c>
      <c r="I17733" t="s">
        <v>161</v>
      </c>
      <c r="J17733" t="s">
        <v>569</v>
      </c>
      <c r="K17733" t="s">
        <v>33</v>
      </c>
      <c r="L17733" t="s">
        <v>162</v>
      </c>
      <c r="N17733" t="s">
        <v>29</v>
      </c>
    </row>
    <row r="17734" spans="1:14">
      <c r="A17734" s="4" t="str">
        <f t="shared" si="1289"/>
        <v>EXP00437</v>
      </c>
      <c r="B17734" s="3" t="s">
        <v>66</v>
      </c>
      <c r="C17734" s="4" t="str">
        <f t="shared" si="1290"/>
        <v>TCGA-PRAD</v>
      </c>
      <c r="D17734" s="1" t="s">
        <v>493</v>
      </c>
      <c r="E17734" t="s">
        <v>568</v>
      </c>
      <c r="F17734" s="1">
        <v>2</v>
      </c>
      <c r="G17734" s="1" t="s">
        <v>32</v>
      </c>
      <c r="H17734" s="4" t="str">
        <f>HYPERLINK("https://portal.gdc.cancer.gov/cases/da5b0169-e4f4-4674-b348-220af03ff4b5","TCGA-HC-8258-01B")</f>
        <v>TCGA-HC-8258-01B</v>
      </c>
      <c r="I17734" t="s">
        <v>161</v>
      </c>
      <c r="J17734" t="s">
        <v>569</v>
      </c>
      <c r="K17734" t="s">
        <v>33</v>
      </c>
      <c r="L17734" t="s">
        <v>162</v>
      </c>
      <c r="N17734" t="s">
        <v>29</v>
      </c>
    </row>
    <row r="17735" spans="1:14">
      <c r="A17735" s="4" t="str">
        <f t="shared" si="1289"/>
        <v>EXP00437</v>
      </c>
      <c r="B17735" s="3" t="s">
        <v>66</v>
      </c>
      <c r="C17735" s="4" t="str">
        <f t="shared" si="1290"/>
        <v>TCGA-PRAD</v>
      </c>
      <c r="D17735" s="1" t="s">
        <v>493</v>
      </c>
      <c r="E17735" t="s">
        <v>568</v>
      </c>
      <c r="F17735" s="1">
        <v>2</v>
      </c>
      <c r="G17735" s="1" t="s">
        <v>32</v>
      </c>
      <c r="H17735" s="4" t="str">
        <f>HYPERLINK("https://portal.gdc.cancer.gov/cases/07ccb4e9-a2a9-4bfd-97bd-13873b01977a","TCGA-HC-8259-01A")</f>
        <v>TCGA-HC-8259-01A</v>
      </c>
      <c r="I17735" t="s">
        <v>161</v>
      </c>
      <c r="J17735" t="s">
        <v>569</v>
      </c>
      <c r="K17735" t="s">
        <v>33</v>
      </c>
      <c r="L17735" t="s">
        <v>162</v>
      </c>
      <c r="N17735" t="s">
        <v>29</v>
      </c>
    </row>
    <row r="17736" spans="1:14">
      <c r="A17736" s="4" t="str">
        <f t="shared" si="1289"/>
        <v>EXP00437</v>
      </c>
      <c r="B17736" s="3" t="s">
        <v>66</v>
      </c>
      <c r="C17736" s="4" t="str">
        <f t="shared" si="1290"/>
        <v>TCGA-PRAD</v>
      </c>
      <c r="D17736" s="1" t="s">
        <v>493</v>
      </c>
      <c r="E17736" t="s">
        <v>568</v>
      </c>
      <c r="F17736" s="1">
        <v>2</v>
      </c>
      <c r="G17736" s="1" t="s">
        <v>32</v>
      </c>
      <c r="H17736" s="4" t="str">
        <f>HYPERLINK("https://portal.gdc.cancer.gov/cases/3971a2f0-7263-4cda-aa01-9a2ebb2c2ff2","TCGA-HC-8260-01A")</f>
        <v>TCGA-HC-8260-01A</v>
      </c>
      <c r="I17736" t="s">
        <v>161</v>
      </c>
      <c r="J17736" t="s">
        <v>569</v>
      </c>
      <c r="K17736" t="s">
        <v>33</v>
      </c>
      <c r="L17736" t="s">
        <v>162</v>
      </c>
      <c r="N17736" t="s">
        <v>29</v>
      </c>
    </row>
    <row r="17737" spans="1:14">
      <c r="A17737" s="4" t="str">
        <f t="shared" si="1289"/>
        <v>EXP00437</v>
      </c>
      <c r="B17737" s="3" t="s">
        <v>66</v>
      </c>
      <c r="C17737" s="4" t="str">
        <f t="shared" si="1290"/>
        <v>TCGA-PRAD</v>
      </c>
      <c r="D17737" s="1" t="s">
        <v>493</v>
      </c>
      <c r="E17737" t="s">
        <v>568</v>
      </c>
      <c r="F17737" s="1">
        <v>2</v>
      </c>
      <c r="G17737" s="1" t="s">
        <v>32</v>
      </c>
      <c r="H17737" s="4" t="str">
        <f>HYPERLINK("https://portal.gdc.cancer.gov/cases/f16ce517-d51d-499a-a4c4-a6844fefa52c","TCGA-HC-8261-01A")</f>
        <v>TCGA-HC-8261-01A</v>
      </c>
      <c r="I17737" t="s">
        <v>161</v>
      </c>
      <c r="J17737" t="s">
        <v>569</v>
      </c>
      <c r="K17737" t="s">
        <v>33</v>
      </c>
      <c r="L17737" t="s">
        <v>162</v>
      </c>
      <c r="N17737" t="s">
        <v>29</v>
      </c>
    </row>
    <row r="17738" spans="1:14">
      <c r="A17738" s="4" t="str">
        <f t="shared" si="1289"/>
        <v>EXP00437</v>
      </c>
      <c r="B17738" s="3" t="s">
        <v>66</v>
      </c>
      <c r="C17738" s="4" t="str">
        <f t="shared" si="1290"/>
        <v>TCGA-PRAD</v>
      </c>
      <c r="D17738" s="1" t="s">
        <v>493</v>
      </c>
      <c r="E17738" t="s">
        <v>568</v>
      </c>
      <c r="F17738" s="1">
        <v>2</v>
      </c>
      <c r="G17738" s="1" t="s">
        <v>32</v>
      </c>
      <c r="H17738" s="4" t="str">
        <f>HYPERLINK("https://portal.gdc.cancer.gov/cases/fb7e9935-32a2-422b-8004-88b827a686c2","TCGA-HC-8262-01A")</f>
        <v>TCGA-HC-8262-01A</v>
      </c>
      <c r="I17738" t="s">
        <v>161</v>
      </c>
      <c r="J17738" t="s">
        <v>569</v>
      </c>
      <c r="K17738" t="s">
        <v>33</v>
      </c>
      <c r="L17738" t="s">
        <v>162</v>
      </c>
      <c r="N17738" t="s">
        <v>29</v>
      </c>
    </row>
    <row r="17739" spans="1:14">
      <c r="A17739" s="4" t="str">
        <f t="shared" si="1289"/>
        <v>EXP00437</v>
      </c>
      <c r="B17739" s="3" t="s">
        <v>66</v>
      </c>
      <c r="C17739" s="4" t="str">
        <f t="shared" si="1290"/>
        <v>TCGA-PRAD</v>
      </c>
      <c r="D17739" s="1" t="s">
        <v>493</v>
      </c>
      <c r="E17739" t="s">
        <v>568</v>
      </c>
      <c r="F17739" s="1">
        <v>2</v>
      </c>
      <c r="G17739" s="1" t="s">
        <v>32</v>
      </c>
      <c r="H17739" s="4" t="str">
        <f>HYPERLINK("https://portal.gdc.cancer.gov/cases/8740555d-8bf0-40ba-b868-99eef27662a4","TCGA-HC-8264-01B")</f>
        <v>TCGA-HC-8264-01B</v>
      </c>
      <c r="I17739" t="s">
        <v>161</v>
      </c>
      <c r="J17739" t="s">
        <v>569</v>
      </c>
      <c r="K17739" t="s">
        <v>33</v>
      </c>
      <c r="L17739" t="s">
        <v>162</v>
      </c>
      <c r="N17739" t="s">
        <v>29</v>
      </c>
    </row>
    <row r="17740" spans="1:14">
      <c r="A17740" s="4" t="str">
        <f t="shared" si="1289"/>
        <v>EXP00437</v>
      </c>
      <c r="B17740" s="3" t="s">
        <v>66</v>
      </c>
      <c r="C17740" s="4" t="str">
        <f t="shared" si="1290"/>
        <v>TCGA-PRAD</v>
      </c>
      <c r="D17740" s="1" t="s">
        <v>493</v>
      </c>
      <c r="E17740" t="s">
        <v>568</v>
      </c>
      <c r="F17740" s="1">
        <v>2</v>
      </c>
      <c r="G17740" s="1" t="s">
        <v>32</v>
      </c>
      <c r="H17740" s="4" t="str">
        <f>HYPERLINK("https://portal.gdc.cancer.gov/cases/3e290dc6-aba3-4135-b844-3e8c4cc8a25f","TCGA-HC-8265-01A")</f>
        <v>TCGA-HC-8265-01A</v>
      </c>
      <c r="I17740" t="s">
        <v>161</v>
      </c>
      <c r="J17740" t="s">
        <v>569</v>
      </c>
      <c r="K17740" t="s">
        <v>33</v>
      </c>
      <c r="L17740" t="s">
        <v>162</v>
      </c>
      <c r="N17740" t="s">
        <v>29</v>
      </c>
    </row>
    <row r="17741" spans="1:14">
      <c r="A17741" s="4" t="str">
        <f t="shared" si="1289"/>
        <v>EXP00437</v>
      </c>
      <c r="B17741" s="3" t="s">
        <v>66</v>
      </c>
      <c r="C17741" s="4" t="str">
        <f t="shared" si="1290"/>
        <v>TCGA-PRAD</v>
      </c>
      <c r="D17741" s="1" t="s">
        <v>493</v>
      </c>
      <c r="E17741" t="s">
        <v>568</v>
      </c>
      <c r="F17741" s="1">
        <v>2</v>
      </c>
      <c r="G17741" s="1" t="s">
        <v>32</v>
      </c>
      <c r="H17741" s="4" t="str">
        <f>HYPERLINK("https://portal.gdc.cancer.gov/cases/3e290dc6-aba3-4135-b844-3e8c4cc8a25f","TCGA-HC-8265-01B")</f>
        <v>TCGA-HC-8265-01B</v>
      </c>
      <c r="I17741" t="s">
        <v>161</v>
      </c>
      <c r="J17741" t="s">
        <v>569</v>
      </c>
      <c r="K17741" t="s">
        <v>33</v>
      </c>
      <c r="L17741" t="s">
        <v>162</v>
      </c>
      <c r="N17741" t="s">
        <v>29</v>
      </c>
    </row>
    <row r="17742" spans="1:14">
      <c r="A17742" s="4" t="str">
        <f t="shared" si="1289"/>
        <v>EXP00437</v>
      </c>
      <c r="B17742" s="3" t="s">
        <v>66</v>
      </c>
      <c r="C17742" s="4" t="str">
        <f t="shared" si="1290"/>
        <v>TCGA-PRAD</v>
      </c>
      <c r="D17742" s="1" t="s">
        <v>493</v>
      </c>
      <c r="E17742" t="s">
        <v>568</v>
      </c>
      <c r="F17742" s="1">
        <v>2</v>
      </c>
      <c r="G17742" s="1" t="s">
        <v>32</v>
      </c>
      <c r="H17742" s="4" t="str">
        <f>HYPERLINK("https://portal.gdc.cancer.gov/cases/fb447e0f-7cf0-49bf-8b15-aae932f8094d","TCGA-HC-8266-01A")</f>
        <v>TCGA-HC-8266-01A</v>
      </c>
      <c r="I17742" t="s">
        <v>161</v>
      </c>
      <c r="J17742" t="s">
        <v>569</v>
      </c>
      <c r="K17742" t="s">
        <v>33</v>
      </c>
      <c r="L17742" t="s">
        <v>162</v>
      </c>
      <c r="N17742" t="s">
        <v>29</v>
      </c>
    </row>
    <row r="17743" spans="1:14">
      <c r="A17743" s="4" t="str">
        <f t="shared" si="1289"/>
        <v>EXP00437</v>
      </c>
      <c r="B17743" s="3" t="s">
        <v>66</v>
      </c>
      <c r="C17743" s="4" t="str">
        <f t="shared" si="1290"/>
        <v>TCGA-PRAD</v>
      </c>
      <c r="D17743" s="1" t="s">
        <v>493</v>
      </c>
      <c r="E17743" t="s">
        <v>568</v>
      </c>
      <c r="F17743" s="1">
        <v>2</v>
      </c>
      <c r="G17743" s="1" t="s">
        <v>32</v>
      </c>
      <c r="H17743" s="4" t="str">
        <f>HYPERLINK("https://portal.gdc.cancer.gov/cases/ff49e0f9-4007-4761-845e-b676b0fc9646","TCGA-HC-A48F-01A")</f>
        <v>TCGA-HC-A48F-01A</v>
      </c>
      <c r="I17743" t="s">
        <v>161</v>
      </c>
      <c r="J17743" t="s">
        <v>569</v>
      </c>
      <c r="K17743" t="s">
        <v>33</v>
      </c>
      <c r="L17743" t="s">
        <v>162</v>
      </c>
      <c r="N17743" t="s">
        <v>29</v>
      </c>
    </row>
    <row r="17744" spans="1:14">
      <c r="A17744" s="4" t="str">
        <f t="shared" si="1289"/>
        <v>EXP00437</v>
      </c>
      <c r="B17744" s="3" t="s">
        <v>66</v>
      </c>
      <c r="C17744" s="4" t="str">
        <f t="shared" si="1290"/>
        <v>TCGA-PRAD</v>
      </c>
      <c r="D17744" s="1" t="s">
        <v>493</v>
      </c>
      <c r="E17744" t="s">
        <v>568</v>
      </c>
      <c r="F17744" s="1">
        <v>2</v>
      </c>
      <c r="G17744" s="1" t="s">
        <v>32</v>
      </c>
      <c r="H17744" s="4" t="str">
        <f>HYPERLINK("https://portal.gdc.cancer.gov/cases/bb8e6886-edc7-4127-a85b-c4f3769b6681","TCGA-HC-A4ZV-01A")</f>
        <v>TCGA-HC-A4ZV-01A</v>
      </c>
      <c r="I17744" t="s">
        <v>161</v>
      </c>
      <c r="J17744" t="s">
        <v>569</v>
      </c>
      <c r="K17744" t="s">
        <v>33</v>
      </c>
      <c r="L17744" t="s">
        <v>162</v>
      </c>
      <c r="N17744" t="s">
        <v>29</v>
      </c>
    </row>
    <row r="17745" spans="1:14">
      <c r="A17745" s="4" t="str">
        <f t="shared" si="1289"/>
        <v>EXP00437</v>
      </c>
      <c r="B17745" s="3" t="s">
        <v>66</v>
      </c>
      <c r="C17745" s="4" t="str">
        <f t="shared" si="1290"/>
        <v>TCGA-PRAD</v>
      </c>
      <c r="D17745" s="1" t="s">
        <v>493</v>
      </c>
      <c r="E17745" t="s">
        <v>568</v>
      </c>
      <c r="F17745" s="1">
        <v>2</v>
      </c>
      <c r="G17745" s="1" t="s">
        <v>32</v>
      </c>
      <c r="H17745" s="4" t="str">
        <f>HYPERLINK("https://portal.gdc.cancer.gov/cases/db4793dc-cd45-4b81-93ce-8322031c2aa3","TCGA-HC-A631-01A")</f>
        <v>TCGA-HC-A631-01A</v>
      </c>
      <c r="I17745" t="s">
        <v>161</v>
      </c>
      <c r="J17745" t="s">
        <v>569</v>
      </c>
      <c r="K17745" t="s">
        <v>33</v>
      </c>
      <c r="L17745" t="s">
        <v>162</v>
      </c>
      <c r="N17745" t="s">
        <v>29</v>
      </c>
    </row>
    <row r="17746" spans="1:14">
      <c r="A17746" s="4" t="str">
        <f t="shared" si="1289"/>
        <v>EXP00437</v>
      </c>
      <c r="B17746" s="3" t="s">
        <v>66</v>
      </c>
      <c r="C17746" s="4" t="str">
        <f t="shared" si="1290"/>
        <v>TCGA-PRAD</v>
      </c>
      <c r="D17746" s="1" t="s">
        <v>493</v>
      </c>
      <c r="E17746" t="s">
        <v>568</v>
      </c>
      <c r="F17746" s="1">
        <v>2</v>
      </c>
      <c r="G17746" s="1" t="s">
        <v>32</v>
      </c>
      <c r="H17746" s="4" t="str">
        <f>HYPERLINK("https://portal.gdc.cancer.gov/cases/e457eb5d-120e-41f4-8455-2ed8d534ff02","TCGA-HC-A632-01A")</f>
        <v>TCGA-HC-A632-01A</v>
      </c>
      <c r="I17746" t="s">
        <v>161</v>
      </c>
      <c r="J17746" t="s">
        <v>569</v>
      </c>
      <c r="K17746" t="s">
        <v>33</v>
      </c>
      <c r="L17746" t="s">
        <v>162</v>
      </c>
      <c r="N17746" t="s">
        <v>29</v>
      </c>
    </row>
    <row r="17747" spans="1:14">
      <c r="A17747" s="4" t="str">
        <f t="shared" si="1289"/>
        <v>EXP00437</v>
      </c>
      <c r="B17747" s="3" t="s">
        <v>66</v>
      </c>
      <c r="C17747" s="4" t="str">
        <f t="shared" si="1290"/>
        <v>TCGA-PRAD</v>
      </c>
      <c r="D17747" s="1" t="s">
        <v>493</v>
      </c>
      <c r="E17747" t="s">
        <v>568</v>
      </c>
      <c r="F17747" s="1">
        <v>2</v>
      </c>
      <c r="G17747" s="1" t="s">
        <v>32</v>
      </c>
      <c r="H17747" s="4" t="str">
        <f>HYPERLINK("https://portal.gdc.cancer.gov/cases/e6cbf99d-4a10-4c11-9ac2-eb26ef57331f","TCGA-HC-A6AL-01A")</f>
        <v>TCGA-HC-A6AL-01A</v>
      </c>
      <c r="I17747" t="s">
        <v>161</v>
      </c>
      <c r="J17747" t="s">
        <v>569</v>
      </c>
      <c r="K17747" t="s">
        <v>33</v>
      </c>
      <c r="L17747" t="s">
        <v>162</v>
      </c>
      <c r="N17747" t="s">
        <v>29</v>
      </c>
    </row>
    <row r="17748" spans="1:14">
      <c r="A17748" s="4" t="str">
        <f t="shared" si="1289"/>
        <v>EXP00437</v>
      </c>
      <c r="B17748" s="3" t="s">
        <v>66</v>
      </c>
      <c r="C17748" s="4" t="str">
        <f t="shared" si="1290"/>
        <v>TCGA-PRAD</v>
      </c>
      <c r="D17748" s="1" t="s">
        <v>493</v>
      </c>
      <c r="E17748" t="s">
        <v>568</v>
      </c>
      <c r="F17748" s="1">
        <v>2</v>
      </c>
      <c r="G17748" s="1" t="s">
        <v>32</v>
      </c>
      <c r="H17748" s="4" t="str">
        <f>HYPERLINK("https://portal.gdc.cancer.gov/cases/3fae5b76-9e22-4eab-a7fc-13139b2b97c4","TCGA-HC-A6AN-01A")</f>
        <v>TCGA-HC-A6AN-01A</v>
      </c>
      <c r="I17748" t="s">
        <v>161</v>
      </c>
      <c r="J17748" t="s">
        <v>569</v>
      </c>
      <c r="K17748" t="s">
        <v>33</v>
      </c>
      <c r="L17748" t="s">
        <v>162</v>
      </c>
      <c r="N17748" t="s">
        <v>29</v>
      </c>
    </row>
    <row r="17749" spans="1:14">
      <c r="A17749" s="4" t="str">
        <f t="shared" si="1289"/>
        <v>EXP00437</v>
      </c>
      <c r="B17749" s="3" t="s">
        <v>66</v>
      </c>
      <c r="C17749" s="4" t="str">
        <f t="shared" si="1290"/>
        <v>TCGA-PRAD</v>
      </c>
      <c r="D17749" s="1" t="s">
        <v>493</v>
      </c>
      <c r="E17749" t="s">
        <v>568</v>
      </c>
      <c r="F17749" s="1">
        <v>2</v>
      </c>
      <c r="G17749" s="1" t="s">
        <v>32</v>
      </c>
      <c r="H17749" s="4" t="str">
        <f>HYPERLINK("https://portal.gdc.cancer.gov/cases/4045f40b-d42a-4598-9ee2-0d371a776d3f","TCGA-HC-A6AO-01A")</f>
        <v>TCGA-HC-A6AO-01A</v>
      </c>
      <c r="I17749" t="s">
        <v>161</v>
      </c>
      <c r="J17749" t="s">
        <v>569</v>
      </c>
      <c r="K17749" t="s">
        <v>33</v>
      </c>
      <c r="L17749" t="s">
        <v>162</v>
      </c>
      <c r="N17749" t="s">
        <v>29</v>
      </c>
    </row>
    <row r="17750" spans="1:14">
      <c r="A17750" s="4" t="str">
        <f t="shared" si="1289"/>
        <v>EXP00437</v>
      </c>
      <c r="B17750" s="3" t="s">
        <v>66</v>
      </c>
      <c r="C17750" s="4" t="str">
        <f t="shared" si="1290"/>
        <v>TCGA-PRAD</v>
      </c>
      <c r="D17750" s="1" t="s">
        <v>493</v>
      </c>
      <c r="E17750" t="s">
        <v>568</v>
      </c>
      <c r="F17750" s="1">
        <v>2</v>
      </c>
      <c r="G17750" s="1" t="s">
        <v>32</v>
      </c>
      <c r="H17750" s="4" t="str">
        <f>HYPERLINK("https://portal.gdc.cancer.gov/cases/ead15a1b-726a-46aa-9005-a22f4b89d011","TCGA-HC-A6AP-01A")</f>
        <v>TCGA-HC-A6AP-01A</v>
      </c>
      <c r="I17750" t="s">
        <v>161</v>
      </c>
      <c r="J17750" t="s">
        <v>569</v>
      </c>
      <c r="K17750" t="s">
        <v>33</v>
      </c>
      <c r="L17750" t="s">
        <v>162</v>
      </c>
      <c r="N17750" t="s">
        <v>29</v>
      </c>
    </row>
    <row r="17751" spans="1:14">
      <c r="A17751" s="4" t="str">
        <f t="shared" si="1289"/>
        <v>EXP00437</v>
      </c>
      <c r="B17751" s="3" t="s">
        <v>66</v>
      </c>
      <c r="C17751" s="4" t="str">
        <f t="shared" si="1290"/>
        <v>TCGA-PRAD</v>
      </c>
      <c r="D17751" s="1" t="s">
        <v>493</v>
      </c>
      <c r="E17751" t="s">
        <v>568</v>
      </c>
      <c r="F17751" s="1">
        <v>2</v>
      </c>
      <c r="G17751" s="1" t="s">
        <v>32</v>
      </c>
      <c r="H17751" s="4" t="str">
        <f>HYPERLINK("https://portal.gdc.cancer.gov/cases/3fa83688-1724-42cb-a600-472e4c500e89","TCGA-HC-A6AQ-01A")</f>
        <v>TCGA-HC-A6AQ-01A</v>
      </c>
      <c r="I17751" t="s">
        <v>161</v>
      </c>
      <c r="J17751" t="s">
        <v>569</v>
      </c>
      <c r="K17751" t="s">
        <v>33</v>
      </c>
      <c r="L17751" t="s">
        <v>162</v>
      </c>
      <c r="N17751" t="s">
        <v>29</v>
      </c>
    </row>
    <row r="17752" spans="1:14">
      <c r="A17752" s="4" t="str">
        <f t="shared" si="1289"/>
        <v>EXP00437</v>
      </c>
      <c r="B17752" s="3" t="s">
        <v>66</v>
      </c>
      <c r="C17752" s="4" t="str">
        <f t="shared" si="1290"/>
        <v>TCGA-PRAD</v>
      </c>
      <c r="D17752" s="1" t="s">
        <v>493</v>
      </c>
      <c r="E17752" t="s">
        <v>568</v>
      </c>
      <c r="F17752" s="1">
        <v>2</v>
      </c>
      <c r="G17752" s="1" t="s">
        <v>32</v>
      </c>
      <c r="H17752" s="4" t="str">
        <f>HYPERLINK("https://portal.gdc.cancer.gov/cases/6b3f53ab-00f4-4c45-9bb5-5c8adbc66084","TCGA-HC-A6AS-01A")</f>
        <v>TCGA-HC-A6AS-01A</v>
      </c>
      <c r="I17752" t="s">
        <v>161</v>
      </c>
      <c r="J17752" t="s">
        <v>569</v>
      </c>
      <c r="K17752" t="s">
        <v>33</v>
      </c>
      <c r="L17752" t="s">
        <v>162</v>
      </c>
      <c r="N17752" t="s">
        <v>29</v>
      </c>
    </row>
    <row r="17753" spans="1:14">
      <c r="A17753" s="4" t="str">
        <f t="shared" si="1289"/>
        <v>EXP00437</v>
      </c>
      <c r="B17753" s="3" t="s">
        <v>66</v>
      </c>
      <c r="C17753" s="4" t="str">
        <f t="shared" si="1290"/>
        <v>TCGA-PRAD</v>
      </c>
      <c r="D17753" s="1" t="s">
        <v>493</v>
      </c>
      <c r="E17753" t="s">
        <v>568</v>
      </c>
      <c r="F17753" s="1">
        <v>2</v>
      </c>
      <c r="G17753" s="1" t="s">
        <v>32</v>
      </c>
      <c r="H17753" s="4" t="str">
        <f>HYPERLINK("https://portal.gdc.cancer.gov/cases/f3e93819-a8f5-4d15-a416-3edd42aa52d1","TCGA-HC-A6HX-01A")</f>
        <v>TCGA-HC-A6HX-01A</v>
      </c>
      <c r="I17753" t="s">
        <v>161</v>
      </c>
      <c r="J17753" t="s">
        <v>569</v>
      </c>
      <c r="K17753" t="s">
        <v>33</v>
      </c>
      <c r="L17753" t="s">
        <v>162</v>
      </c>
      <c r="N17753" t="s">
        <v>29</v>
      </c>
    </row>
    <row r="17754" spans="1:14">
      <c r="A17754" s="4" t="str">
        <f t="shared" si="1289"/>
        <v>EXP00437</v>
      </c>
      <c r="B17754" s="3" t="s">
        <v>66</v>
      </c>
      <c r="C17754" s="4" t="str">
        <f t="shared" si="1290"/>
        <v>TCGA-PRAD</v>
      </c>
      <c r="D17754" s="1" t="s">
        <v>493</v>
      </c>
      <c r="E17754" t="s">
        <v>568</v>
      </c>
      <c r="F17754" s="1">
        <v>2</v>
      </c>
      <c r="G17754" s="1" t="s">
        <v>32</v>
      </c>
      <c r="H17754" s="4" t="str">
        <f>HYPERLINK("https://portal.gdc.cancer.gov/cases/3d6abc44-d094-4250-8dfc-347ae9c741f2","TCGA-HC-A6HY-01A")</f>
        <v>TCGA-HC-A6HY-01A</v>
      </c>
      <c r="I17754" t="s">
        <v>161</v>
      </c>
      <c r="J17754" t="s">
        <v>569</v>
      </c>
      <c r="K17754" t="s">
        <v>33</v>
      </c>
      <c r="L17754" t="s">
        <v>162</v>
      </c>
      <c r="N17754" t="s">
        <v>29</v>
      </c>
    </row>
    <row r="17755" spans="1:14">
      <c r="A17755" s="4" t="str">
        <f t="shared" si="1289"/>
        <v>EXP00437</v>
      </c>
      <c r="B17755" s="3" t="s">
        <v>66</v>
      </c>
      <c r="C17755" s="4" t="str">
        <f t="shared" si="1290"/>
        <v>TCGA-PRAD</v>
      </c>
      <c r="D17755" s="1" t="s">
        <v>493</v>
      </c>
      <c r="E17755" t="s">
        <v>568</v>
      </c>
      <c r="F17755" s="1">
        <v>2</v>
      </c>
      <c r="G17755" s="1" t="s">
        <v>32</v>
      </c>
      <c r="H17755" s="4" t="str">
        <f>HYPERLINK("https://portal.gdc.cancer.gov/cases/5f69ca7d-f8e0-4f5b-9987-1e5c234eb759","TCGA-HC-A76W-01A")</f>
        <v>TCGA-HC-A76W-01A</v>
      </c>
      <c r="I17755" t="s">
        <v>161</v>
      </c>
      <c r="J17755" t="s">
        <v>569</v>
      </c>
      <c r="K17755" t="s">
        <v>33</v>
      </c>
      <c r="L17755" t="s">
        <v>162</v>
      </c>
      <c r="N17755" t="s">
        <v>29</v>
      </c>
    </row>
    <row r="17756" spans="1:14">
      <c r="A17756" s="4" t="str">
        <f t="shared" ref="A17756:A17819" si="1291">HYPERLINK("http://hcmdb.i-sanger.com/experiment/details/experiment_id/EXP00437","EXP00437")</f>
        <v>EXP00437</v>
      </c>
      <c r="B17756" s="3" t="s">
        <v>66</v>
      </c>
      <c r="C17756" s="4" t="str">
        <f t="shared" ref="C17756:C17819" si="1292">HYPERLINK("https://portal.gdc.cancer.gov/projects/TCGA-PRAD","TCGA-PRAD")</f>
        <v>TCGA-PRAD</v>
      </c>
      <c r="D17756" s="1" t="s">
        <v>493</v>
      </c>
      <c r="E17756" t="s">
        <v>568</v>
      </c>
      <c r="F17756" s="1">
        <v>2</v>
      </c>
      <c r="G17756" s="1" t="s">
        <v>32</v>
      </c>
      <c r="H17756" s="4" t="str">
        <f>HYPERLINK("https://portal.gdc.cancer.gov/cases/105e12bf-4f39-4d7a-870f-fbc329ee210a","TCGA-HC-A76X-01A")</f>
        <v>TCGA-HC-A76X-01A</v>
      </c>
      <c r="I17756" t="s">
        <v>161</v>
      </c>
      <c r="J17756" t="s">
        <v>569</v>
      </c>
      <c r="K17756" t="s">
        <v>33</v>
      </c>
      <c r="L17756" t="s">
        <v>162</v>
      </c>
      <c r="N17756" t="s">
        <v>29</v>
      </c>
    </row>
    <row r="17757" spans="1:14">
      <c r="A17757" s="4" t="str">
        <f t="shared" si="1291"/>
        <v>EXP00437</v>
      </c>
      <c r="B17757" s="3" t="s">
        <v>66</v>
      </c>
      <c r="C17757" s="4" t="str">
        <f t="shared" si="1292"/>
        <v>TCGA-PRAD</v>
      </c>
      <c r="D17757" s="1" t="s">
        <v>493</v>
      </c>
      <c r="E17757" t="s">
        <v>568</v>
      </c>
      <c r="F17757" s="1">
        <v>2</v>
      </c>
      <c r="G17757" s="1" t="s">
        <v>32</v>
      </c>
      <c r="H17757" s="4" t="str">
        <f>HYPERLINK("https://portal.gdc.cancer.gov/cases/b6f54bdc-9b1b-4465-a6e3-f0524885e10e","TCGA-HC-A8CY-01A")</f>
        <v>TCGA-HC-A8CY-01A</v>
      </c>
      <c r="I17757" t="s">
        <v>161</v>
      </c>
      <c r="J17757" t="s">
        <v>569</v>
      </c>
      <c r="K17757" t="s">
        <v>33</v>
      </c>
      <c r="L17757" t="s">
        <v>162</v>
      </c>
      <c r="N17757" t="s">
        <v>29</v>
      </c>
    </row>
    <row r="17758" spans="1:14">
      <c r="A17758" s="4" t="str">
        <f t="shared" si="1291"/>
        <v>EXP00437</v>
      </c>
      <c r="B17758" s="3" t="s">
        <v>66</v>
      </c>
      <c r="C17758" s="4" t="str">
        <f t="shared" si="1292"/>
        <v>TCGA-PRAD</v>
      </c>
      <c r="D17758" s="1" t="s">
        <v>493</v>
      </c>
      <c r="E17758" t="s">
        <v>568</v>
      </c>
      <c r="F17758" s="1">
        <v>2</v>
      </c>
      <c r="G17758" s="1" t="s">
        <v>32</v>
      </c>
      <c r="H17758" s="4" t="str">
        <f>HYPERLINK("https://portal.gdc.cancer.gov/cases/0afa0e02-daae-47e6-9ccb-9de8e4feb73c","TCGA-HC-A8D0-01A")</f>
        <v>TCGA-HC-A8D0-01A</v>
      </c>
      <c r="I17758" t="s">
        <v>161</v>
      </c>
      <c r="J17758" t="s">
        <v>569</v>
      </c>
      <c r="K17758" t="s">
        <v>33</v>
      </c>
      <c r="L17758" t="s">
        <v>162</v>
      </c>
      <c r="N17758" t="s">
        <v>29</v>
      </c>
    </row>
    <row r="17759" spans="1:14">
      <c r="A17759" s="4" t="str">
        <f t="shared" si="1291"/>
        <v>EXP00437</v>
      </c>
      <c r="B17759" s="3" t="s">
        <v>66</v>
      </c>
      <c r="C17759" s="4" t="str">
        <f t="shared" si="1292"/>
        <v>TCGA-PRAD</v>
      </c>
      <c r="D17759" s="1" t="s">
        <v>493</v>
      </c>
      <c r="E17759" t="s">
        <v>568</v>
      </c>
      <c r="F17759" s="1">
        <v>2</v>
      </c>
      <c r="G17759" s="1" t="s">
        <v>32</v>
      </c>
      <c r="H17759" s="4" t="str">
        <f>HYPERLINK("https://portal.gdc.cancer.gov/cases/341940fc-dd2a-485c-a359-d5e5edb22312","TCGA-HC-A8D1-01A")</f>
        <v>TCGA-HC-A8D1-01A</v>
      </c>
      <c r="I17759" t="s">
        <v>161</v>
      </c>
      <c r="J17759" t="s">
        <v>569</v>
      </c>
      <c r="K17759" t="s">
        <v>33</v>
      </c>
      <c r="L17759" t="s">
        <v>162</v>
      </c>
      <c r="N17759" t="s">
        <v>29</v>
      </c>
    </row>
    <row r="17760" spans="1:14">
      <c r="A17760" s="4" t="str">
        <f t="shared" si="1291"/>
        <v>EXP00437</v>
      </c>
      <c r="B17760" s="3" t="s">
        <v>66</v>
      </c>
      <c r="C17760" s="4" t="str">
        <f t="shared" si="1292"/>
        <v>TCGA-PRAD</v>
      </c>
      <c r="D17760" s="1" t="s">
        <v>493</v>
      </c>
      <c r="E17760" t="s">
        <v>568</v>
      </c>
      <c r="F17760" s="1">
        <v>2</v>
      </c>
      <c r="G17760" s="1" t="s">
        <v>32</v>
      </c>
      <c r="H17760" s="4" t="str">
        <f>HYPERLINK("https://portal.gdc.cancer.gov/cases/c51ccff8-2502-40e1-b130-fe655c119169","TCGA-HC-A9TE-01A")</f>
        <v>TCGA-HC-A9TE-01A</v>
      </c>
      <c r="I17760" t="s">
        <v>161</v>
      </c>
      <c r="J17760" t="s">
        <v>569</v>
      </c>
      <c r="K17760" t="s">
        <v>33</v>
      </c>
      <c r="L17760" t="s">
        <v>162</v>
      </c>
      <c r="N17760" t="s">
        <v>29</v>
      </c>
    </row>
    <row r="17761" spans="1:14">
      <c r="A17761" s="4" t="str">
        <f t="shared" si="1291"/>
        <v>EXP00437</v>
      </c>
      <c r="B17761" s="3" t="s">
        <v>66</v>
      </c>
      <c r="C17761" s="4" t="str">
        <f t="shared" si="1292"/>
        <v>TCGA-PRAD</v>
      </c>
      <c r="D17761" s="1" t="s">
        <v>493</v>
      </c>
      <c r="E17761" t="s">
        <v>568</v>
      </c>
      <c r="F17761" s="1">
        <v>2</v>
      </c>
      <c r="G17761" s="1" t="s">
        <v>32</v>
      </c>
      <c r="H17761" s="4" t="str">
        <f>HYPERLINK("https://portal.gdc.cancer.gov/cases/433d1441-6d5b-4455-a731-65f172bb016d","TCGA-HC-A9TH-01A")</f>
        <v>TCGA-HC-A9TH-01A</v>
      </c>
      <c r="I17761" t="s">
        <v>161</v>
      </c>
      <c r="J17761" t="s">
        <v>569</v>
      </c>
      <c r="K17761" t="s">
        <v>33</v>
      </c>
      <c r="L17761" t="s">
        <v>162</v>
      </c>
      <c r="N17761" t="s">
        <v>29</v>
      </c>
    </row>
    <row r="17762" spans="1:14">
      <c r="A17762" s="4" t="str">
        <f t="shared" si="1291"/>
        <v>EXP00437</v>
      </c>
      <c r="B17762" s="3" t="s">
        <v>66</v>
      </c>
      <c r="C17762" s="4" t="str">
        <f t="shared" si="1292"/>
        <v>TCGA-PRAD</v>
      </c>
      <c r="D17762" s="1" t="s">
        <v>493</v>
      </c>
      <c r="E17762" t="s">
        <v>568</v>
      </c>
      <c r="F17762" s="1">
        <v>2</v>
      </c>
      <c r="G17762" s="1" t="s">
        <v>32</v>
      </c>
      <c r="H17762" s="4" t="str">
        <f>HYPERLINK("https://portal.gdc.cancer.gov/cases/25d70934-01a5-45a2-9960-68d3058b6965","TCGA-HI-7168-01A")</f>
        <v>TCGA-HI-7168-01A</v>
      </c>
      <c r="I17762" t="s">
        <v>161</v>
      </c>
      <c r="J17762" t="s">
        <v>569</v>
      </c>
      <c r="K17762" t="s">
        <v>33</v>
      </c>
      <c r="L17762" t="s">
        <v>162</v>
      </c>
      <c r="N17762" t="s">
        <v>29</v>
      </c>
    </row>
    <row r="17763" spans="1:14">
      <c r="A17763" s="4" t="str">
        <f t="shared" si="1291"/>
        <v>EXP00437</v>
      </c>
      <c r="B17763" s="3" t="s">
        <v>66</v>
      </c>
      <c r="C17763" s="4" t="str">
        <f t="shared" si="1292"/>
        <v>TCGA-PRAD</v>
      </c>
      <c r="D17763" s="1" t="s">
        <v>493</v>
      </c>
      <c r="E17763" t="s">
        <v>568</v>
      </c>
      <c r="F17763" s="1">
        <v>2</v>
      </c>
      <c r="G17763" s="1" t="s">
        <v>32</v>
      </c>
      <c r="H17763" s="4" t="str">
        <f>HYPERLINK("https://portal.gdc.cancer.gov/cases/11fb5853-8eeb-4ad8-825d-3eaaf3fa08d6","TCGA-HI-7169-01A")</f>
        <v>TCGA-HI-7169-01A</v>
      </c>
      <c r="I17763" t="s">
        <v>161</v>
      </c>
      <c r="J17763" t="s">
        <v>569</v>
      </c>
      <c r="K17763" t="s">
        <v>33</v>
      </c>
      <c r="L17763" t="s">
        <v>162</v>
      </c>
      <c r="N17763" t="s">
        <v>29</v>
      </c>
    </row>
    <row r="17764" spans="1:14">
      <c r="A17764" s="4" t="str">
        <f t="shared" si="1291"/>
        <v>EXP00437</v>
      </c>
      <c r="B17764" s="3" t="s">
        <v>66</v>
      </c>
      <c r="C17764" s="4" t="str">
        <f t="shared" si="1292"/>
        <v>TCGA-PRAD</v>
      </c>
      <c r="D17764" s="1" t="s">
        <v>493</v>
      </c>
      <c r="E17764" t="s">
        <v>568</v>
      </c>
      <c r="F17764" s="1">
        <v>2</v>
      </c>
      <c r="G17764" s="1" t="s">
        <v>32</v>
      </c>
      <c r="H17764" s="4" t="str">
        <f>HYPERLINK("https://portal.gdc.cancer.gov/cases/6394e00a-1f6f-4ea2-b885-373bbb59def9","TCGA-HI-7170-01A")</f>
        <v>TCGA-HI-7170-01A</v>
      </c>
      <c r="I17764" t="s">
        <v>161</v>
      </c>
      <c r="J17764" t="s">
        <v>569</v>
      </c>
      <c r="K17764" t="s">
        <v>33</v>
      </c>
      <c r="L17764" t="s">
        <v>162</v>
      </c>
      <c r="N17764" t="s">
        <v>29</v>
      </c>
    </row>
    <row r="17765" spans="1:14">
      <c r="A17765" s="4" t="str">
        <f t="shared" si="1291"/>
        <v>EXP00437</v>
      </c>
      <c r="B17765" s="3" t="s">
        <v>66</v>
      </c>
      <c r="C17765" s="4" t="str">
        <f t="shared" si="1292"/>
        <v>TCGA-PRAD</v>
      </c>
      <c r="D17765" s="1" t="s">
        <v>493</v>
      </c>
      <c r="E17765" t="s">
        <v>568</v>
      </c>
      <c r="F17765" s="1">
        <v>2</v>
      </c>
      <c r="G17765" s="1" t="s">
        <v>32</v>
      </c>
      <c r="H17765" s="4" t="str">
        <f>HYPERLINK("https://portal.gdc.cancer.gov/cases/931feb14-3f69-41c1-8435-5fd4fb775bdf","TCGA-HI-7171-01A")</f>
        <v>TCGA-HI-7171-01A</v>
      </c>
      <c r="I17765" t="s">
        <v>161</v>
      </c>
      <c r="J17765" t="s">
        <v>569</v>
      </c>
      <c r="K17765" t="s">
        <v>33</v>
      </c>
      <c r="L17765" t="s">
        <v>162</v>
      </c>
      <c r="N17765" t="s">
        <v>29</v>
      </c>
    </row>
    <row r="17766" spans="1:14">
      <c r="A17766" s="4" t="str">
        <f t="shared" si="1291"/>
        <v>EXP00437</v>
      </c>
      <c r="B17766" s="3" t="s">
        <v>66</v>
      </c>
      <c r="C17766" s="4" t="str">
        <f t="shared" si="1292"/>
        <v>TCGA-PRAD</v>
      </c>
      <c r="D17766" s="1" t="s">
        <v>493</v>
      </c>
      <c r="E17766" t="s">
        <v>568</v>
      </c>
      <c r="F17766" s="1">
        <v>2</v>
      </c>
      <c r="G17766" s="1" t="s">
        <v>32</v>
      </c>
      <c r="H17766" s="4" t="str">
        <f>HYPERLINK("https://portal.gdc.cancer.gov/cases/a1e64294-1264-498d-b18b-c9b4c729c2f2","TCGA-J4-8198-01A")</f>
        <v>TCGA-J4-8198-01A</v>
      </c>
      <c r="I17766" t="s">
        <v>161</v>
      </c>
      <c r="J17766" t="s">
        <v>569</v>
      </c>
      <c r="K17766" t="s">
        <v>33</v>
      </c>
      <c r="L17766" t="s">
        <v>162</v>
      </c>
      <c r="N17766" t="s">
        <v>29</v>
      </c>
    </row>
    <row r="17767" spans="1:14">
      <c r="A17767" s="4" t="str">
        <f t="shared" si="1291"/>
        <v>EXP00437</v>
      </c>
      <c r="B17767" s="3" t="s">
        <v>66</v>
      </c>
      <c r="C17767" s="4" t="str">
        <f t="shared" si="1292"/>
        <v>TCGA-PRAD</v>
      </c>
      <c r="D17767" s="1" t="s">
        <v>493</v>
      </c>
      <c r="E17767" t="s">
        <v>568</v>
      </c>
      <c r="F17767" s="1">
        <v>2</v>
      </c>
      <c r="G17767" s="1" t="s">
        <v>32</v>
      </c>
      <c r="H17767" s="4" t="str">
        <f>HYPERLINK("https://portal.gdc.cancer.gov/cases/897a2af4-55af-4245-8629-1a71b622c17e","TCGA-J4-8200-01A")</f>
        <v>TCGA-J4-8200-01A</v>
      </c>
      <c r="I17767" t="s">
        <v>161</v>
      </c>
      <c r="J17767" t="s">
        <v>569</v>
      </c>
      <c r="K17767" t="s">
        <v>33</v>
      </c>
      <c r="L17767" t="s">
        <v>162</v>
      </c>
      <c r="N17767" t="s">
        <v>29</v>
      </c>
    </row>
    <row r="17768" spans="1:14">
      <c r="A17768" s="4" t="str">
        <f t="shared" si="1291"/>
        <v>EXP00437</v>
      </c>
      <c r="B17768" s="3" t="s">
        <v>66</v>
      </c>
      <c r="C17768" s="4" t="str">
        <f t="shared" si="1292"/>
        <v>TCGA-PRAD</v>
      </c>
      <c r="D17768" s="1" t="s">
        <v>493</v>
      </c>
      <c r="E17768" t="s">
        <v>568</v>
      </c>
      <c r="F17768" s="1">
        <v>2</v>
      </c>
      <c r="G17768" s="1" t="s">
        <v>32</v>
      </c>
      <c r="H17768" s="4" t="str">
        <f>HYPERLINK("https://portal.gdc.cancer.gov/cases/c4c1b5be-a0e7-4968-92de-7f34c71207fb","TCGA-J4-A67K-01A")</f>
        <v>TCGA-J4-A67K-01A</v>
      </c>
      <c r="I17768" t="s">
        <v>161</v>
      </c>
      <c r="J17768" t="s">
        <v>569</v>
      </c>
      <c r="K17768" t="s">
        <v>33</v>
      </c>
      <c r="L17768" t="s">
        <v>162</v>
      </c>
      <c r="N17768" t="s">
        <v>29</v>
      </c>
    </row>
    <row r="17769" spans="1:14">
      <c r="A17769" s="4" t="str">
        <f t="shared" si="1291"/>
        <v>EXP00437</v>
      </c>
      <c r="B17769" s="3" t="s">
        <v>66</v>
      </c>
      <c r="C17769" s="4" t="str">
        <f t="shared" si="1292"/>
        <v>TCGA-PRAD</v>
      </c>
      <c r="D17769" s="1" t="s">
        <v>493</v>
      </c>
      <c r="E17769" t="s">
        <v>568</v>
      </c>
      <c r="F17769" s="1">
        <v>2</v>
      </c>
      <c r="G17769" s="1" t="s">
        <v>32</v>
      </c>
      <c r="H17769" s="4" t="str">
        <f>HYPERLINK("https://portal.gdc.cancer.gov/cases/29bd2c05-254b-4bb2-ae32-5b328f772441","TCGA-J4-A67L-01A")</f>
        <v>TCGA-J4-A67L-01A</v>
      </c>
      <c r="I17769" t="s">
        <v>161</v>
      </c>
      <c r="J17769" t="s">
        <v>569</v>
      </c>
      <c r="K17769" t="s">
        <v>33</v>
      </c>
      <c r="L17769" t="s">
        <v>162</v>
      </c>
      <c r="N17769" t="s">
        <v>29</v>
      </c>
    </row>
    <row r="17770" spans="1:14">
      <c r="A17770" s="4" t="str">
        <f t="shared" si="1291"/>
        <v>EXP00437</v>
      </c>
      <c r="B17770" s="3" t="s">
        <v>66</v>
      </c>
      <c r="C17770" s="4" t="str">
        <f t="shared" si="1292"/>
        <v>TCGA-PRAD</v>
      </c>
      <c r="D17770" s="1" t="s">
        <v>493</v>
      </c>
      <c r="E17770" t="s">
        <v>568</v>
      </c>
      <c r="F17770" s="1">
        <v>2</v>
      </c>
      <c r="G17770" s="1" t="s">
        <v>32</v>
      </c>
      <c r="H17770" s="4" t="str">
        <f>HYPERLINK("https://portal.gdc.cancer.gov/cases/67cd72e2-a4cf-48e4-943e-406c252f056a","TCGA-J4-A67M-01A")</f>
        <v>TCGA-J4-A67M-01A</v>
      </c>
      <c r="I17770" t="s">
        <v>161</v>
      </c>
      <c r="J17770" t="s">
        <v>569</v>
      </c>
      <c r="K17770" t="s">
        <v>33</v>
      </c>
      <c r="L17770" t="s">
        <v>162</v>
      </c>
      <c r="N17770" t="s">
        <v>29</v>
      </c>
    </row>
    <row r="17771" spans="1:14">
      <c r="A17771" s="4" t="str">
        <f t="shared" si="1291"/>
        <v>EXP00437</v>
      </c>
      <c r="B17771" s="3" t="s">
        <v>66</v>
      </c>
      <c r="C17771" s="4" t="str">
        <f t="shared" si="1292"/>
        <v>TCGA-PRAD</v>
      </c>
      <c r="D17771" s="1" t="s">
        <v>493</v>
      </c>
      <c r="E17771" t="s">
        <v>568</v>
      </c>
      <c r="F17771" s="1">
        <v>2</v>
      </c>
      <c r="G17771" s="1" t="s">
        <v>32</v>
      </c>
      <c r="H17771" s="4" t="str">
        <f>HYPERLINK("https://portal.gdc.cancer.gov/cases/00f7f9d3-7a34-4a5b-9d19-38810dcabbba","TCGA-J4-A67N-01A")</f>
        <v>TCGA-J4-A67N-01A</v>
      </c>
      <c r="I17771" t="s">
        <v>161</v>
      </c>
      <c r="J17771" t="s">
        <v>569</v>
      </c>
      <c r="K17771" t="s">
        <v>33</v>
      </c>
      <c r="L17771" t="s">
        <v>162</v>
      </c>
      <c r="N17771" t="s">
        <v>29</v>
      </c>
    </row>
    <row r="17772" spans="1:14">
      <c r="A17772" s="4" t="str">
        <f t="shared" si="1291"/>
        <v>EXP00437</v>
      </c>
      <c r="B17772" s="3" t="s">
        <v>66</v>
      </c>
      <c r="C17772" s="4" t="str">
        <f t="shared" si="1292"/>
        <v>TCGA-PRAD</v>
      </c>
      <c r="D17772" s="1" t="s">
        <v>493</v>
      </c>
      <c r="E17772" t="s">
        <v>568</v>
      </c>
      <c r="F17772" s="1">
        <v>2</v>
      </c>
      <c r="G17772" s="1" t="s">
        <v>32</v>
      </c>
      <c r="H17772" s="4" t="str">
        <f>HYPERLINK("https://portal.gdc.cancer.gov/cases/3fc9e3b4-8bc5-4bf8-bff6-dd90346b83a1","TCGA-J4-A67O-01A")</f>
        <v>TCGA-J4-A67O-01A</v>
      </c>
      <c r="I17772" t="s">
        <v>161</v>
      </c>
      <c r="J17772" t="s">
        <v>569</v>
      </c>
      <c r="K17772" t="s">
        <v>33</v>
      </c>
      <c r="L17772" t="s">
        <v>162</v>
      </c>
      <c r="N17772" t="s">
        <v>29</v>
      </c>
    </row>
    <row r="17773" spans="1:14">
      <c r="A17773" s="4" t="str">
        <f t="shared" si="1291"/>
        <v>EXP00437</v>
      </c>
      <c r="B17773" s="3" t="s">
        <v>66</v>
      </c>
      <c r="C17773" s="4" t="str">
        <f t="shared" si="1292"/>
        <v>TCGA-PRAD</v>
      </c>
      <c r="D17773" s="1" t="s">
        <v>493</v>
      </c>
      <c r="E17773" t="s">
        <v>568</v>
      </c>
      <c r="F17773" s="1">
        <v>2</v>
      </c>
      <c r="G17773" s="1" t="s">
        <v>32</v>
      </c>
      <c r="H17773" s="4" t="str">
        <f>HYPERLINK("https://portal.gdc.cancer.gov/cases/1cbaa137-c3b0-46a2-9b23-208682c2a438","TCGA-J4-A67Q-01A")</f>
        <v>TCGA-J4-A67Q-01A</v>
      </c>
      <c r="I17773" t="s">
        <v>161</v>
      </c>
      <c r="J17773" t="s">
        <v>569</v>
      </c>
      <c r="K17773" t="s">
        <v>33</v>
      </c>
      <c r="L17773" t="s">
        <v>162</v>
      </c>
      <c r="N17773" t="s">
        <v>29</v>
      </c>
    </row>
    <row r="17774" spans="1:14">
      <c r="A17774" s="4" t="str">
        <f t="shared" si="1291"/>
        <v>EXP00437</v>
      </c>
      <c r="B17774" s="3" t="s">
        <v>66</v>
      </c>
      <c r="C17774" s="4" t="str">
        <f t="shared" si="1292"/>
        <v>TCGA-PRAD</v>
      </c>
      <c r="D17774" s="1" t="s">
        <v>493</v>
      </c>
      <c r="E17774" t="s">
        <v>568</v>
      </c>
      <c r="F17774" s="1">
        <v>2</v>
      </c>
      <c r="G17774" s="1" t="s">
        <v>32</v>
      </c>
      <c r="H17774" s="4" t="str">
        <f>HYPERLINK("https://portal.gdc.cancer.gov/cases/db2779f6-8fe2-48c3-988b-81db1815a678","TCGA-J4-A67R-01A")</f>
        <v>TCGA-J4-A67R-01A</v>
      </c>
      <c r="I17774" t="s">
        <v>161</v>
      </c>
      <c r="J17774" t="s">
        <v>569</v>
      </c>
      <c r="K17774" t="s">
        <v>33</v>
      </c>
      <c r="L17774" t="s">
        <v>162</v>
      </c>
      <c r="N17774" t="s">
        <v>29</v>
      </c>
    </row>
    <row r="17775" spans="1:14">
      <c r="A17775" s="4" t="str">
        <f t="shared" si="1291"/>
        <v>EXP00437</v>
      </c>
      <c r="B17775" s="3" t="s">
        <v>66</v>
      </c>
      <c r="C17775" s="4" t="str">
        <f t="shared" si="1292"/>
        <v>TCGA-PRAD</v>
      </c>
      <c r="D17775" s="1" t="s">
        <v>493</v>
      </c>
      <c r="E17775" t="s">
        <v>568</v>
      </c>
      <c r="F17775" s="1">
        <v>2</v>
      </c>
      <c r="G17775" s="1" t="s">
        <v>32</v>
      </c>
      <c r="H17775" s="4" t="str">
        <f>HYPERLINK("https://portal.gdc.cancer.gov/cases/9fe9cbae-37b9-4030-a204-4502760f5dab","TCGA-J4-A67S-01A")</f>
        <v>TCGA-J4-A67S-01A</v>
      </c>
      <c r="I17775" t="s">
        <v>161</v>
      </c>
      <c r="J17775" t="s">
        <v>569</v>
      </c>
      <c r="K17775" t="s">
        <v>33</v>
      </c>
      <c r="L17775" t="s">
        <v>162</v>
      </c>
      <c r="N17775" t="s">
        <v>29</v>
      </c>
    </row>
    <row r="17776" spans="1:14">
      <c r="A17776" s="4" t="str">
        <f t="shared" si="1291"/>
        <v>EXP00437</v>
      </c>
      <c r="B17776" s="3" t="s">
        <v>66</v>
      </c>
      <c r="C17776" s="4" t="str">
        <f t="shared" si="1292"/>
        <v>TCGA-PRAD</v>
      </c>
      <c r="D17776" s="1" t="s">
        <v>493</v>
      </c>
      <c r="E17776" t="s">
        <v>568</v>
      </c>
      <c r="F17776" s="1">
        <v>2</v>
      </c>
      <c r="G17776" s="1" t="s">
        <v>32</v>
      </c>
      <c r="H17776" s="4" t="str">
        <f>HYPERLINK("https://portal.gdc.cancer.gov/cases/432f15ba-7401-4827-83a5-3eaafaaa4bea","TCGA-J4-A67T-01A")</f>
        <v>TCGA-J4-A67T-01A</v>
      </c>
      <c r="I17776" t="s">
        <v>161</v>
      </c>
      <c r="J17776" t="s">
        <v>569</v>
      </c>
      <c r="K17776" t="s">
        <v>33</v>
      </c>
      <c r="L17776" t="s">
        <v>162</v>
      </c>
      <c r="N17776" t="s">
        <v>29</v>
      </c>
    </row>
    <row r="17777" spans="1:14">
      <c r="A17777" s="4" t="str">
        <f t="shared" si="1291"/>
        <v>EXP00437</v>
      </c>
      <c r="B17777" s="3" t="s">
        <v>66</v>
      </c>
      <c r="C17777" s="4" t="str">
        <f t="shared" si="1292"/>
        <v>TCGA-PRAD</v>
      </c>
      <c r="D17777" s="1" t="s">
        <v>493</v>
      </c>
      <c r="E17777" t="s">
        <v>568</v>
      </c>
      <c r="F17777" s="1">
        <v>2</v>
      </c>
      <c r="G17777" s="1" t="s">
        <v>32</v>
      </c>
      <c r="H17777" s="4" t="str">
        <f>HYPERLINK("https://portal.gdc.cancer.gov/cases/f9f136a5-3ccb-42b3-ba60-c667fbb0846d","TCGA-J4-A6G1-01A")</f>
        <v>TCGA-J4-A6G1-01A</v>
      </c>
      <c r="I17777" t="s">
        <v>161</v>
      </c>
      <c r="J17777" t="s">
        <v>569</v>
      </c>
      <c r="K17777" t="s">
        <v>33</v>
      </c>
      <c r="L17777" t="s">
        <v>162</v>
      </c>
      <c r="N17777" t="s">
        <v>29</v>
      </c>
    </row>
    <row r="17778" spans="1:14">
      <c r="A17778" s="4" t="str">
        <f t="shared" si="1291"/>
        <v>EXP00437</v>
      </c>
      <c r="B17778" s="3" t="s">
        <v>66</v>
      </c>
      <c r="C17778" s="4" t="str">
        <f t="shared" si="1292"/>
        <v>TCGA-PRAD</v>
      </c>
      <c r="D17778" s="1" t="s">
        <v>493</v>
      </c>
      <c r="E17778" t="s">
        <v>568</v>
      </c>
      <c r="F17778" s="1">
        <v>2</v>
      </c>
      <c r="G17778" s="1" t="s">
        <v>32</v>
      </c>
      <c r="H17778" s="4" t="str">
        <f>HYPERLINK("https://portal.gdc.cancer.gov/cases/9b015929-99eb-4e74-8fbf-6b2e6d7f08e4","TCGA-J4-A6G3-01A")</f>
        <v>TCGA-J4-A6G3-01A</v>
      </c>
      <c r="I17778" t="s">
        <v>161</v>
      </c>
      <c r="J17778" t="s">
        <v>569</v>
      </c>
      <c r="K17778" t="s">
        <v>33</v>
      </c>
      <c r="L17778" t="s">
        <v>162</v>
      </c>
      <c r="N17778" t="s">
        <v>29</v>
      </c>
    </row>
    <row r="17779" spans="1:14">
      <c r="A17779" s="4" t="str">
        <f t="shared" si="1291"/>
        <v>EXP00437</v>
      </c>
      <c r="B17779" s="3" t="s">
        <v>66</v>
      </c>
      <c r="C17779" s="4" t="str">
        <f t="shared" si="1292"/>
        <v>TCGA-PRAD</v>
      </c>
      <c r="D17779" s="1" t="s">
        <v>493</v>
      </c>
      <c r="E17779" t="s">
        <v>568</v>
      </c>
      <c r="F17779" s="1">
        <v>2</v>
      </c>
      <c r="G17779" s="1" t="s">
        <v>32</v>
      </c>
      <c r="H17779" s="4" t="str">
        <f>HYPERLINK("https://portal.gdc.cancer.gov/cases/f00b4a22-c327-4fbb-a9a3-4418c13e2a48","TCGA-J4-A6M7-01A")</f>
        <v>TCGA-J4-A6M7-01A</v>
      </c>
      <c r="I17779" t="s">
        <v>161</v>
      </c>
      <c r="J17779" t="s">
        <v>569</v>
      </c>
      <c r="K17779" t="s">
        <v>33</v>
      </c>
      <c r="L17779" t="s">
        <v>162</v>
      </c>
      <c r="N17779" t="s">
        <v>29</v>
      </c>
    </row>
    <row r="17780" spans="1:14">
      <c r="A17780" s="4" t="str">
        <f t="shared" si="1291"/>
        <v>EXP00437</v>
      </c>
      <c r="B17780" s="3" t="s">
        <v>66</v>
      </c>
      <c r="C17780" s="4" t="str">
        <f t="shared" si="1292"/>
        <v>TCGA-PRAD</v>
      </c>
      <c r="D17780" s="1" t="s">
        <v>493</v>
      </c>
      <c r="E17780" t="s">
        <v>568</v>
      </c>
      <c r="F17780" s="1">
        <v>2</v>
      </c>
      <c r="G17780" s="1" t="s">
        <v>32</v>
      </c>
      <c r="H17780" s="4" t="str">
        <f>HYPERLINK("https://portal.gdc.cancer.gov/cases/5dc7e186-7e01-4a54-8ae8-350dace2297b","TCGA-J4-A83I-01A")</f>
        <v>TCGA-J4-A83I-01A</v>
      </c>
      <c r="I17780" t="s">
        <v>161</v>
      </c>
      <c r="J17780" t="s">
        <v>569</v>
      </c>
      <c r="K17780" t="s">
        <v>33</v>
      </c>
      <c r="L17780" t="s">
        <v>162</v>
      </c>
      <c r="N17780" t="s">
        <v>29</v>
      </c>
    </row>
    <row r="17781" spans="1:14">
      <c r="A17781" s="4" t="str">
        <f t="shared" si="1291"/>
        <v>EXP00437</v>
      </c>
      <c r="B17781" s="3" t="s">
        <v>66</v>
      </c>
      <c r="C17781" s="4" t="str">
        <f t="shared" si="1292"/>
        <v>TCGA-PRAD</v>
      </c>
      <c r="D17781" s="1" t="s">
        <v>493</v>
      </c>
      <c r="E17781" t="s">
        <v>568</v>
      </c>
      <c r="F17781" s="1">
        <v>2</v>
      </c>
      <c r="G17781" s="1" t="s">
        <v>32</v>
      </c>
      <c r="H17781" s="4" t="str">
        <f>HYPERLINK("https://portal.gdc.cancer.gov/cases/98240f19-bca7-4001-8aa2-4d790c7c4c53","TCGA-J4-A83J-01A")</f>
        <v>TCGA-J4-A83J-01A</v>
      </c>
      <c r="I17781" t="s">
        <v>161</v>
      </c>
      <c r="J17781" t="s">
        <v>569</v>
      </c>
      <c r="K17781" t="s">
        <v>33</v>
      </c>
      <c r="L17781" t="s">
        <v>162</v>
      </c>
      <c r="N17781" t="s">
        <v>29</v>
      </c>
    </row>
    <row r="17782" spans="1:14">
      <c r="A17782" s="4" t="str">
        <f t="shared" si="1291"/>
        <v>EXP00437</v>
      </c>
      <c r="B17782" s="3" t="s">
        <v>66</v>
      </c>
      <c r="C17782" s="4" t="str">
        <f t="shared" si="1292"/>
        <v>TCGA-PRAD</v>
      </c>
      <c r="D17782" s="1" t="s">
        <v>493</v>
      </c>
      <c r="E17782" t="s">
        <v>568</v>
      </c>
      <c r="F17782" s="1">
        <v>2</v>
      </c>
      <c r="G17782" s="1" t="s">
        <v>32</v>
      </c>
      <c r="H17782" s="4" t="str">
        <f>HYPERLINK("https://portal.gdc.cancer.gov/cases/256f5bcf-10a9-47be-b265-cfa707d24097","TCGA-J4-A83K-01A")</f>
        <v>TCGA-J4-A83K-01A</v>
      </c>
      <c r="I17782" t="s">
        <v>161</v>
      </c>
      <c r="J17782" t="s">
        <v>569</v>
      </c>
      <c r="K17782" t="s">
        <v>33</v>
      </c>
      <c r="L17782" t="s">
        <v>162</v>
      </c>
      <c r="N17782" t="s">
        <v>29</v>
      </c>
    </row>
    <row r="17783" spans="1:14">
      <c r="A17783" s="4" t="str">
        <f t="shared" si="1291"/>
        <v>EXP00437</v>
      </c>
      <c r="B17783" s="3" t="s">
        <v>66</v>
      </c>
      <c r="C17783" s="4" t="str">
        <f t="shared" si="1292"/>
        <v>TCGA-PRAD</v>
      </c>
      <c r="D17783" s="1" t="s">
        <v>493</v>
      </c>
      <c r="E17783" t="s">
        <v>568</v>
      </c>
      <c r="F17783" s="1">
        <v>2</v>
      </c>
      <c r="G17783" s="1" t="s">
        <v>32</v>
      </c>
      <c r="H17783" s="4" t="str">
        <f>HYPERLINK("https://portal.gdc.cancer.gov/cases/8cc7679d-b963-4b45-b3f8-dcf80ea6cc71","TCGA-J4-A83L-01A")</f>
        <v>TCGA-J4-A83L-01A</v>
      </c>
      <c r="I17783" t="s">
        <v>161</v>
      </c>
      <c r="J17783" t="s">
        <v>569</v>
      </c>
      <c r="K17783" t="s">
        <v>33</v>
      </c>
      <c r="L17783" t="s">
        <v>162</v>
      </c>
      <c r="N17783" t="s">
        <v>29</v>
      </c>
    </row>
    <row r="17784" spans="1:14">
      <c r="A17784" s="4" t="str">
        <f t="shared" si="1291"/>
        <v>EXP00437</v>
      </c>
      <c r="B17784" s="3" t="s">
        <v>66</v>
      </c>
      <c r="C17784" s="4" t="str">
        <f t="shared" si="1292"/>
        <v>TCGA-PRAD</v>
      </c>
      <c r="D17784" s="1" t="s">
        <v>493</v>
      </c>
      <c r="E17784" t="s">
        <v>568</v>
      </c>
      <c r="F17784" s="1">
        <v>2</v>
      </c>
      <c r="G17784" s="1" t="s">
        <v>32</v>
      </c>
      <c r="H17784" s="4" t="str">
        <f>HYPERLINK("https://portal.gdc.cancer.gov/cases/d6974db6-2bd3-4082-b48e-9c60f7fe3a1f","TCGA-J4-A83M-01A")</f>
        <v>TCGA-J4-A83M-01A</v>
      </c>
      <c r="I17784" t="s">
        <v>161</v>
      </c>
      <c r="J17784" t="s">
        <v>569</v>
      </c>
      <c r="K17784" t="s">
        <v>33</v>
      </c>
      <c r="L17784" t="s">
        <v>162</v>
      </c>
      <c r="N17784" t="s">
        <v>29</v>
      </c>
    </row>
    <row r="17785" spans="1:14">
      <c r="A17785" s="4" t="str">
        <f t="shared" si="1291"/>
        <v>EXP00437</v>
      </c>
      <c r="B17785" s="3" t="s">
        <v>66</v>
      </c>
      <c r="C17785" s="4" t="str">
        <f t="shared" si="1292"/>
        <v>TCGA-PRAD</v>
      </c>
      <c r="D17785" s="1" t="s">
        <v>493</v>
      </c>
      <c r="E17785" t="s">
        <v>568</v>
      </c>
      <c r="F17785" s="1">
        <v>2</v>
      </c>
      <c r="G17785" s="1" t="s">
        <v>32</v>
      </c>
      <c r="H17785" s="4" t="str">
        <f>HYPERLINK("https://portal.gdc.cancer.gov/cases/c024c4b6-0143-4071-9175-7435f1eaac58","TCGA-J4-A83N-01A")</f>
        <v>TCGA-J4-A83N-01A</v>
      </c>
      <c r="I17785" t="s">
        <v>161</v>
      </c>
      <c r="J17785" t="s">
        <v>569</v>
      </c>
      <c r="K17785" t="s">
        <v>33</v>
      </c>
      <c r="L17785" t="s">
        <v>162</v>
      </c>
      <c r="N17785" t="s">
        <v>29</v>
      </c>
    </row>
    <row r="17786" spans="1:14">
      <c r="A17786" s="4" t="str">
        <f t="shared" si="1291"/>
        <v>EXP00437</v>
      </c>
      <c r="B17786" s="3" t="s">
        <v>66</v>
      </c>
      <c r="C17786" s="4" t="str">
        <f t="shared" si="1292"/>
        <v>TCGA-PRAD</v>
      </c>
      <c r="D17786" s="1" t="s">
        <v>493</v>
      </c>
      <c r="E17786" t="s">
        <v>568</v>
      </c>
      <c r="F17786" s="1">
        <v>2</v>
      </c>
      <c r="G17786" s="1" t="s">
        <v>32</v>
      </c>
      <c r="H17786" s="4" t="str">
        <f>HYPERLINK("https://portal.gdc.cancer.gov/cases/fadd80e3-8087-4494-a8f0-1caa92acbb67","TCGA-J4-AATV-01A")</f>
        <v>TCGA-J4-AATV-01A</v>
      </c>
      <c r="I17786" t="s">
        <v>161</v>
      </c>
      <c r="J17786" t="s">
        <v>569</v>
      </c>
      <c r="K17786" t="s">
        <v>33</v>
      </c>
      <c r="L17786" t="s">
        <v>162</v>
      </c>
      <c r="N17786" t="s">
        <v>29</v>
      </c>
    </row>
    <row r="17787" spans="1:14">
      <c r="A17787" s="4" t="str">
        <f t="shared" si="1291"/>
        <v>EXP00437</v>
      </c>
      <c r="B17787" s="3" t="s">
        <v>66</v>
      </c>
      <c r="C17787" s="4" t="str">
        <f t="shared" si="1292"/>
        <v>TCGA-PRAD</v>
      </c>
      <c r="D17787" s="1" t="s">
        <v>493</v>
      </c>
      <c r="E17787" t="s">
        <v>568</v>
      </c>
      <c r="F17787" s="1">
        <v>2</v>
      </c>
      <c r="G17787" s="1" t="s">
        <v>32</v>
      </c>
      <c r="H17787" s="4" t="str">
        <f>HYPERLINK("https://portal.gdc.cancer.gov/cases/73b7d4bc-6b56-4ae8-be7f-074745563bee","TCGA-J4-AATZ-01A")</f>
        <v>TCGA-J4-AATZ-01A</v>
      </c>
      <c r="I17787" t="s">
        <v>161</v>
      </c>
      <c r="J17787" t="s">
        <v>569</v>
      </c>
      <c r="K17787" t="s">
        <v>33</v>
      </c>
      <c r="L17787" t="s">
        <v>162</v>
      </c>
      <c r="N17787" t="s">
        <v>29</v>
      </c>
    </row>
    <row r="17788" spans="1:14">
      <c r="A17788" s="4" t="str">
        <f t="shared" si="1291"/>
        <v>EXP00437</v>
      </c>
      <c r="B17788" s="3" t="s">
        <v>66</v>
      </c>
      <c r="C17788" s="4" t="str">
        <f t="shared" si="1292"/>
        <v>TCGA-PRAD</v>
      </c>
      <c r="D17788" s="1" t="s">
        <v>493</v>
      </c>
      <c r="E17788" t="s">
        <v>568</v>
      </c>
      <c r="F17788" s="1">
        <v>2</v>
      </c>
      <c r="G17788" s="1" t="s">
        <v>32</v>
      </c>
      <c r="H17788" s="4" t="str">
        <f>HYPERLINK("https://portal.gdc.cancer.gov/cases/f0f637b5-de40-4853-b54b-08468d45b195","TCGA-J4-AAU2-01A")</f>
        <v>TCGA-J4-AAU2-01A</v>
      </c>
      <c r="I17788" t="s">
        <v>161</v>
      </c>
      <c r="J17788" t="s">
        <v>569</v>
      </c>
      <c r="K17788" t="s">
        <v>33</v>
      </c>
      <c r="L17788" t="s">
        <v>162</v>
      </c>
      <c r="N17788" t="s">
        <v>29</v>
      </c>
    </row>
    <row r="17789" spans="1:14">
      <c r="A17789" s="4" t="str">
        <f t="shared" si="1291"/>
        <v>EXP00437</v>
      </c>
      <c r="B17789" s="3" t="s">
        <v>66</v>
      </c>
      <c r="C17789" s="4" t="str">
        <f t="shared" si="1292"/>
        <v>TCGA-PRAD</v>
      </c>
      <c r="D17789" s="1" t="s">
        <v>493</v>
      </c>
      <c r="E17789" t="s">
        <v>568</v>
      </c>
      <c r="F17789" s="1">
        <v>2</v>
      </c>
      <c r="G17789" s="1" t="s">
        <v>32</v>
      </c>
      <c r="H17789" s="4" t="str">
        <f>HYPERLINK("https://portal.gdc.cancer.gov/cases/2eccaabe-0783-4596-b674-d59846373a1d","TCGA-J9-A52B-01A")</f>
        <v>TCGA-J9-A52B-01A</v>
      </c>
      <c r="I17789" t="s">
        <v>161</v>
      </c>
      <c r="J17789" t="s">
        <v>569</v>
      </c>
      <c r="K17789" t="s">
        <v>33</v>
      </c>
      <c r="L17789" t="s">
        <v>162</v>
      </c>
      <c r="N17789" t="s">
        <v>29</v>
      </c>
    </row>
    <row r="17790" spans="1:14">
      <c r="A17790" s="4" t="str">
        <f t="shared" si="1291"/>
        <v>EXP00437</v>
      </c>
      <c r="B17790" s="3" t="s">
        <v>66</v>
      </c>
      <c r="C17790" s="4" t="str">
        <f t="shared" si="1292"/>
        <v>TCGA-PRAD</v>
      </c>
      <c r="D17790" s="1" t="s">
        <v>493</v>
      </c>
      <c r="E17790" t="s">
        <v>568</v>
      </c>
      <c r="F17790" s="1">
        <v>2</v>
      </c>
      <c r="G17790" s="1" t="s">
        <v>32</v>
      </c>
      <c r="H17790" s="4" t="str">
        <f>HYPERLINK("https://portal.gdc.cancer.gov/cases/1940166e-aedc-4dc5-90a5-609871f9f7da","TCGA-J9-A52C-01A")</f>
        <v>TCGA-J9-A52C-01A</v>
      </c>
      <c r="I17790" t="s">
        <v>161</v>
      </c>
      <c r="J17790" t="s">
        <v>569</v>
      </c>
      <c r="K17790" t="s">
        <v>33</v>
      </c>
      <c r="L17790" t="s">
        <v>162</v>
      </c>
      <c r="N17790" t="s">
        <v>29</v>
      </c>
    </row>
    <row r="17791" spans="1:14">
      <c r="A17791" s="4" t="str">
        <f t="shared" si="1291"/>
        <v>EXP00437</v>
      </c>
      <c r="B17791" s="3" t="s">
        <v>66</v>
      </c>
      <c r="C17791" s="4" t="str">
        <f t="shared" si="1292"/>
        <v>TCGA-PRAD</v>
      </c>
      <c r="D17791" s="1" t="s">
        <v>493</v>
      </c>
      <c r="E17791" t="s">
        <v>568</v>
      </c>
      <c r="F17791" s="1">
        <v>2</v>
      </c>
      <c r="G17791" s="1" t="s">
        <v>32</v>
      </c>
      <c r="H17791" s="4" t="str">
        <f>HYPERLINK("https://portal.gdc.cancer.gov/cases/c03ae0f2-dde3-47e8-a046-ce85c86dd77d","TCGA-J9-A52D-01A")</f>
        <v>TCGA-J9-A52D-01A</v>
      </c>
      <c r="I17791" t="s">
        <v>161</v>
      </c>
      <c r="J17791" t="s">
        <v>569</v>
      </c>
      <c r="K17791" t="s">
        <v>33</v>
      </c>
      <c r="L17791" t="s">
        <v>162</v>
      </c>
      <c r="N17791" t="s">
        <v>29</v>
      </c>
    </row>
    <row r="17792" spans="1:14">
      <c r="A17792" s="4" t="str">
        <f t="shared" si="1291"/>
        <v>EXP00437</v>
      </c>
      <c r="B17792" s="3" t="s">
        <v>66</v>
      </c>
      <c r="C17792" s="4" t="str">
        <f t="shared" si="1292"/>
        <v>TCGA-PRAD</v>
      </c>
      <c r="D17792" s="1" t="s">
        <v>493</v>
      </c>
      <c r="E17792" t="s">
        <v>568</v>
      </c>
      <c r="F17792" s="1">
        <v>2</v>
      </c>
      <c r="G17792" s="1" t="s">
        <v>32</v>
      </c>
      <c r="H17792" s="4" t="str">
        <f>HYPERLINK("https://portal.gdc.cancer.gov/cases/30aba886-5152-4e25-b36f-6ce7009d419e","TCGA-J9-A52E-01A")</f>
        <v>TCGA-J9-A52E-01A</v>
      </c>
      <c r="I17792" t="s">
        <v>161</v>
      </c>
      <c r="J17792" t="s">
        <v>569</v>
      </c>
      <c r="K17792" t="s">
        <v>33</v>
      </c>
      <c r="L17792" t="s">
        <v>162</v>
      </c>
      <c r="N17792" t="s">
        <v>29</v>
      </c>
    </row>
    <row r="17793" spans="1:14">
      <c r="A17793" s="4" t="str">
        <f t="shared" si="1291"/>
        <v>EXP00437</v>
      </c>
      <c r="B17793" s="3" t="s">
        <v>66</v>
      </c>
      <c r="C17793" s="4" t="str">
        <f t="shared" si="1292"/>
        <v>TCGA-PRAD</v>
      </c>
      <c r="D17793" s="1" t="s">
        <v>493</v>
      </c>
      <c r="E17793" t="s">
        <v>568</v>
      </c>
      <c r="F17793" s="1">
        <v>2</v>
      </c>
      <c r="G17793" s="1" t="s">
        <v>32</v>
      </c>
      <c r="H17793" s="4" t="str">
        <f>HYPERLINK("https://portal.gdc.cancer.gov/cases/eb80244a-5f20-49a8-8f73-e92c14395895","TCGA-J9-A8CK-01A")</f>
        <v>TCGA-J9-A8CK-01A</v>
      </c>
      <c r="I17793" t="s">
        <v>161</v>
      </c>
      <c r="J17793" t="s">
        <v>569</v>
      </c>
      <c r="K17793" t="s">
        <v>33</v>
      </c>
      <c r="L17793" t="s">
        <v>162</v>
      </c>
      <c r="N17793" t="s">
        <v>29</v>
      </c>
    </row>
    <row r="17794" spans="1:14">
      <c r="A17794" s="4" t="str">
        <f t="shared" si="1291"/>
        <v>EXP00437</v>
      </c>
      <c r="B17794" s="3" t="s">
        <v>66</v>
      </c>
      <c r="C17794" s="4" t="str">
        <f t="shared" si="1292"/>
        <v>TCGA-PRAD</v>
      </c>
      <c r="D17794" s="1" t="s">
        <v>493</v>
      </c>
      <c r="E17794" t="s">
        <v>568</v>
      </c>
      <c r="F17794" s="1">
        <v>2</v>
      </c>
      <c r="G17794" s="1" t="s">
        <v>32</v>
      </c>
      <c r="H17794" s="4" t="str">
        <f>HYPERLINK("https://portal.gdc.cancer.gov/cases/1122fa92-0073-4f59-9880-3f1a34620758","TCGA-J9-A8CL-01A")</f>
        <v>TCGA-J9-A8CL-01A</v>
      </c>
      <c r="I17794" t="s">
        <v>161</v>
      </c>
      <c r="J17794" t="s">
        <v>569</v>
      </c>
      <c r="K17794" t="s">
        <v>33</v>
      </c>
      <c r="L17794" t="s">
        <v>162</v>
      </c>
      <c r="N17794" t="s">
        <v>29</v>
      </c>
    </row>
    <row r="17795" spans="1:14">
      <c r="A17795" s="4" t="str">
        <f t="shared" si="1291"/>
        <v>EXP00437</v>
      </c>
      <c r="B17795" s="3" t="s">
        <v>66</v>
      </c>
      <c r="C17795" s="4" t="str">
        <f t="shared" si="1292"/>
        <v>TCGA-PRAD</v>
      </c>
      <c r="D17795" s="1" t="s">
        <v>493</v>
      </c>
      <c r="E17795" t="s">
        <v>568</v>
      </c>
      <c r="F17795" s="1">
        <v>2</v>
      </c>
      <c r="G17795" s="1" t="s">
        <v>32</v>
      </c>
      <c r="H17795" s="4" t="str">
        <f>HYPERLINK("https://portal.gdc.cancer.gov/cases/deceb7df-6edc-41f0-99aa-c4ac7e764074","TCGA-J9-A8CM-01A")</f>
        <v>TCGA-J9-A8CM-01A</v>
      </c>
      <c r="I17795" t="s">
        <v>161</v>
      </c>
      <c r="J17795" t="s">
        <v>569</v>
      </c>
      <c r="K17795" t="s">
        <v>33</v>
      </c>
      <c r="L17795" t="s">
        <v>162</v>
      </c>
      <c r="N17795" t="s">
        <v>29</v>
      </c>
    </row>
    <row r="17796" spans="1:14">
      <c r="A17796" s="4" t="str">
        <f t="shared" si="1291"/>
        <v>EXP00437</v>
      </c>
      <c r="B17796" s="3" t="s">
        <v>66</v>
      </c>
      <c r="C17796" s="4" t="str">
        <f t="shared" si="1292"/>
        <v>TCGA-PRAD</v>
      </c>
      <c r="D17796" s="1" t="s">
        <v>493</v>
      </c>
      <c r="E17796" t="s">
        <v>568</v>
      </c>
      <c r="F17796" s="1">
        <v>2</v>
      </c>
      <c r="G17796" s="1" t="s">
        <v>32</v>
      </c>
      <c r="H17796" s="4" t="str">
        <f>HYPERLINK("https://portal.gdc.cancer.gov/cases/186d7f36-4e93-4ab2-bc23-95d5cd296656","TCGA-J9-A8CN-01A")</f>
        <v>TCGA-J9-A8CN-01A</v>
      </c>
      <c r="I17796" t="s">
        <v>161</v>
      </c>
      <c r="J17796" t="s">
        <v>569</v>
      </c>
      <c r="K17796" t="s">
        <v>33</v>
      </c>
      <c r="L17796" t="s">
        <v>162</v>
      </c>
      <c r="N17796" t="s">
        <v>29</v>
      </c>
    </row>
    <row r="17797" spans="1:14">
      <c r="A17797" s="4" t="str">
        <f t="shared" si="1291"/>
        <v>EXP00437</v>
      </c>
      <c r="B17797" s="3" t="s">
        <v>66</v>
      </c>
      <c r="C17797" s="4" t="str">
        <f t="shared" si="1292"/>
        <v>TCGA-PRAD</v>
      </c>
      <c r="D17797" s="1" t="s">
        <v>493</v>
      </c>
      <c r="E17797" t="s">
        <v>568</v>
      </c>
      <c r="F17797" s="1">
        <v>2</v>
      </c>
      <c r="G17797" s="1" t="s">
        <v>32</v>
      </c>
      <c r="H17797" s="4" t="str">
        <f>HYPERLINK("https://portal.gdc.cancer.gov/cases/5b12458b-f5d7-41de-a4e1-26d39dca9b17","TCGA-J9-A8CP-01A")</f>
        <v>TCGA-J9-A8CP-01A</v>
      </c>
      <c r="I17797" t="s">
        <v>161</v>
      </c>
      <c r="J17797" t="s">
        <v>569</v>
      </c>
      <c r="K17797" t="s">
        <v>33</v>
      </c>
      <c r="L17797" t="s">
        <v>162</v>
      </c>
      <c r="N17797" t="s">
        <v>29</v>
      </c>
    </row>
    <row r="17798" spans="1:14">
      <c r="A17798" s="4" t="str">
        <f t="shared" si="1291"/>
        <v>EXP00437</v>
      </c>
      <c r="B17798" s="3" t="s">
        <v>66</v>
      </c>
      <c r="C17798" s="4" t="str">
        <f t="shared" si="1292"/>
        <v>TCGA-PRAD</v>
      </c>
      <c r="D17798" s="1" t="s">
        <v>493</v>
      </c>
      <c r="E17798" t="s">
        <v>568</v>
      </c>
      <c r="F17798" s="1">
        <v>2</v>
      </c>
      <c r="G17798" s="1" t="s">
        <v>32</v>
      </c>
      <c r="H17798" s="4" t="str">
        <f>HYPERLINK("https://portal.gdc.cancer.gov/cases/5089a8d2-a353-4150-8a6b-6478c5bb29bb","TCGA-KC-A4BL-01A")</f>
        <v>TCGA-KC-A4BL-01A</v>
      </c>
      <c r="I17798" t="s">
        <v>161</v>
      </c>
      <c r="J17798" t="s">
        <v>569</v>
      </c>
      <c r="K17798" t="s">
        <v>33</v>
      </c>
      <c r="L17798" t="s">
        <v>162</v>
      </c>
      <c r="N17798" t="s">
        <v>29</v>
      </c>
    </row>
    <row r="17799" spans="1:14">
      <c r="A17799" s="4" t="str">
        <f t="shared" si="1291"/>
        <v>EXP00437</v>
      </c>
      <c r="B17799" s="3" t="s">
        <v>66</v>
      </c>
      <c r="C17799" s="4" t="str">
        <f t="shared" si="1292"/>
        <v>TCGA-PRAD</v>
      </c>
      <c r="D17799" s="1" t="s">
        <v>493</v>
      </c>
      <c r="E17799" t="s">
        <v>568</v>
      </c>
      <c r="F17799" s="1">
        <v>2</v>
      </c>
      <c r="G17799" s="1" t="s">
        <v>32</v>
      </c>
      <c r="H17799" s="4" t="str">
        <f>HYPERLINK("https://portal.gdc.cancer.gov/cases/5a468990-d76d-4c67-8437-62689b593ae2","TCGA-KC-A4BN-01A")</f>
        <v>TCGA-KC-A4BN-01A</v>
      </c>
      <c r="I17799" t="s">
        <v>161</v>
      </c>
      <c r="J17799" t="s">
        <v>569</v>
      </c>
      <c r="K17799" t="s">
        <v>33</v>
      </c>
      <c r="L17799" t="s">
        <v>162</v>
      </c>
      <c r="N17799" t="s">
        <v>29</v>
      </c>
    </row>
    <row r="17800" spans="1:14">
      <c r="A17800" s="4" t="str">
        <f t="shared" si="1291"/>
        <v>EXP00437</v>
      </c>
      <c r="B17800" s="3" t="s">
        <v>66</v>
      </c>
      <c r="C17800" s="4" t="str">
        <f t="shared" si="1292"/>
        <v>TCGA-PRAD</v>
      </c>
      <c r="D17800" s="1" t="s">
        <v>493</v>
      </c>
      <c r="E17800" t="s">
        <v>568</v>
      </c>
      <c r="F17800" s="1">
        <v>2</v>
      </c>
      <c r="G17800" s="1" t="s">
        <v>32</v>
      </c>
      <c r="H17800" s="4" t="str">
        <f>HYPERLINK("https://portal.gdc.cancer.gov/cases/3e71fa1c-855c-475a-9dd0-a314a3ecd48d","TCGA-KC-A4BR-01A")</f>
        <v>TCGA-KC-A4BR-01A</v>
      </c>
      <c r="I17800" t="s">
        <v>161</v>
      </c>
      <c r="J17800" t="s">
        <v>569</v>
      </c>
      <c r="K17800" t="s">
        <v>33</v>
      </c>
      <c r="L17800" t="s">
        <v>162</v>
      </c>
      <c r="N17800" t="s">
        <v>29</v>
      </c>
    </row>
    <row r="17801" spans="1:14">
      <c r="A17801" s="4" t="str">
        <f t="shared" si="1291"/>
        <v>EXP00437</v>
      </c>
      <c r="B17801" s="3" t="s">
        <v>66</v>
      </c>
      <c r="C17801" s="4" t="str">
        <f t="shared" si="1292"/>
        <v>TCGA-PRAD</v>
      </c>
      <c r="D17801" s="1" t="s">
        <v>493</v>
      </c>
      <c r="E17801" t="s">
        <v>568</v>
      </c>
      <c r="F17801" s="1">
        <v>2</v>
      </c>
      <c r="G17801" s="1" t="s">
        <v>32</v>
      </c>
      <c r="H17801" s="4" t="str">
        <f>HYPERLINK("https://portal.gdc.cancer.gov/cases/a8c954b7-3077-4ff1-b311-d4b4bfa49786","TCGA-KC-A4BV-01A")</f>
        <v>TCGA-KC-A4BV-01A</v>
      </c>
      <c r="I17801" t="s">
        <v>161</v>
      </c>
      <c r="J17801" t="s">
        <v>569</v>
      </c>
      <c r="K17801" t="s">
        <v>33</v>
      </c>
      <c r="L17801" t="s">
        <v>162</v>
      </c>
      <c r="N17801" t="s">
        <v>29</v>
      </c>
    </row>
    <row r="17802" spans="1:14">
      <c r="A17802" s="4" t="str">
        <f t="shared" si="1291"/>
        <v>EXP00437</v>
      </c>
      <c r="B17802" s="3" t="s">
        <v>66</v>
      </c>
      <c r="C17802" s="4" t="str">
        <f t="shared" si="1292"/>
        <v>TCGA-PRAD</v>
      </c>
      <c r="D17802" s="1" t="s">
        <v>493</v>
      </c>
      <c r="E17802" t="s">
        <v>568</v>
      </c>
      <c r="F17802" s="1">
        <v>2</v>
      </c>
      <c r="G17802" s="1" t="s">
        <v>32</v>
      </c>
      <c r="H17802" s="4" t="str">
        <f>HYPERLINK("https://portal.gdc.cancer.gov/cases/827caf2c-a94b-4eee-86b3-1155a16daf4a","TCGA-KC-A7F3-01A")</f>
        <v>TCGA-KC-A7F3-01A</v>
      </c>
      <c r="I17802" t="s">
        <v>161</v>
      </c>
      <c r="J17802" t="s">
        <v>569</v>
      </c>
      <c r="K17802" t="s">
        <v>33</v>
      </c>
      <c r="L17802" t="s">
        <v>162</v>
      </c>
      <c r="N17802" t="s">
        <v>29</v>
      </c>
    </row>
    <row r="17803" spans="1:14">
      <c r="A17803" s="4" t="str">
        <f t="shared" si="1291"/>
        <v>EXP00437</v>
      </c>
      <c r="B17803" s="3" t="s">
        <v>66</v>
      </c>
      <c r="C17803" s="4" t="str">
        <f t="shared" si="1292"/>
        <v>TCGA-PRAD</v>
      </c>
      <c r="D17803" s="1" t="s">
        <v>493</v>
      </c>
      <c r="E17803" t="s">
        <v>568</v>
      </c>
      <c r="F17803" s="1">
        <v>2</v>
      </c>
      <c r="G17803" s="1" t="s">
        <v>32</v>
      </c>
      <c r="H17803" s="4" t="str">
        <f>HYPERLINK("https://portal.gdc.cancer.gov/cases/3a6e0fd1-6e06-4002-9d1a-88edf7944567","TCGA-KC-A7F5-01A")</f>
        <v>TCGA-KC-A7F5-01A</v>
      </c>
      <c r="I17803" t="s">
        <v>161</v>
      </c>
      <c r="J17803" t="s">
        <v>569</v>
      </c>
      <c r="K17803" t="s">
        <v>33</v>
      </c>
      <c r="L17803" t="s">
        <v>162</v>
      </c>
      <c r="N17803" t="s">
        <v>29</v>
      </c>
    </row>
    <row r="17804" spans="1:14">
      <c r="A17804" s="4" t="str">
        <f t="shared" si="1291"/>
        <v>EXP00437</v>
      </c>
      <c r="B17804" s="3" t="s">
        <v>66</v>
      </c>
      <c r="C17804" s="4" t="str">
        <f t="shared" si="1292"/>
        <v>TCGA-PRAD</v>
      </c>
      <c r="D17804" s="1" t="s">
        <v>493</v>
      </c>
      <c r="E17804" t="s">
        <v>568</v>
      </c>
      <c r="F17804" s="1">
        <v>2</v>
      </c>
      <c r="G17804" s="1" t="s">
        <v>32</v>
      </c>
      <c r="H17804" s="4" t="str">
        <f>HYPERLINK("https://portal.gdc.cancer.gov/cases/fc823ab7-9390-4c57-9883-3e32ee17e794","TCGA-KC-A7F6-01A")</f>
        <v>TCGA-KC-A7F6-01A</v>
      </c>
      <c r="I17804" t="s">
        <v>161</v>
      </c>
      <c r="J17804" t="s">
        <v>569</v>
      </c>
      <c r="K17804" t="s">
        <v>33</v>
      </c>
      <c r="L17804" t="s">
        <v>162</v>
      </c>
      <c r="N17804" t="s">
        <v>29</v>
      </c>
    </row>
    <row r="17805" spans="1:14">
      <c r="A17805" s="4" t="str">
        <f t="shared" si="1291"/>
        <v>EXP00437</v>
      </c>
      <c r="B17805" s="3" t="s">
        <v>66</v>
      </c>
      <c r="C17805" s="4" t="str">
        <f t="shared" si="1292"/>
        <v>TCGA-PRAD</v>
      </c>
      <c r="D17805" s="1" t="s">
        <v>493</v>
      </c>
      <c r="E17805" t="s">
        <v>568</v>
      </c>
      <c r="F17805" s="1">
        <v>2</v>
      </c>
      <c r="G17805" s="1" t="s">
        <v>32</v>
      </c>
      <c r="H17805" s="4" t="str">
        <f>HYPERLINK("https://portal.gdc.cancer.gov/cases/3f3128c9-1072-443c-b6ae-8b63166fa9a4","TCGA-KC-A7FA-01A")</f>
        <v>TCGA-KC-A7FA-01A</v>
      </c>
      <c r="I17805" t="s">
        <v>161</v>
      </c>
      <c r="J17805" t="s">
        <v>569</v>
      </c>
      <c r="K17805" t="s">
        <v>33</v>
      </c>
      <c r="L17805" t="s">
        <v>162</v>
      </c>
      <c r="N17805" t="s">
        <v>29</v>
      </c>
    </row>
    <row r="17806" spans="1:14">
      <c r="A17806" s="4" t="str">
        <f t="shared" si="1291"/>
        <v>EXP00437</v>
      </c>
      <c r="B17806" s="3" t="s">
        <v>66</v>
      </c>
      <c r="C17806" s="4" t="str">
        <f t="shared" si="1292"/>
        <v>TCGA-PRAD</v>
      </c>
      <c r="D17806" s="1" t="s">
        <v>493</v>
      </c>
      <c r="E17806" t="s">
        <v>568</v>
      </c>
      <c r="F17806" s="1">
        <v>2</v>
      </c>
      <c r="G17806" s="1" t="s">
        <v>32</v>
      </c>
      <c r="H17806" s="4" t="str">
        <f>HYPERLINK("https://portal.gdc.cancer.gov/cases/88658b66-f293-4aff-9e33-05abfafd3b43","TCGA-KC-A7FD-01A")</f>
        <v>TCGA-KC-A7FD-01A</v>
      </c>
      <c r="I17806" t="s">
        <v>161</v>
      </c>
      <c r="J17806" t="s">
        <v>569</v>
      </c>
      <c r="K17806" t="s">
        <v>33</v>
      </c>
      <c r="L17806" t="s">
        <v>162</v>
      </c>
      <c r="N17806" t="s">
        <v>29</v>
      </c>
    </row>
    <row r="17807" spans="1:14">
      <c r="A17807" s="4" t="str">
        <f t="shared" si="1291"/>
        <v>EXP00437</v>
      </c>
      <c r="B17807" s="3" t="s">
        <v>66</v>
      </c>
      <c r="C17807" s="4" t="str">
        <f t="shared" si="1292"/>
        <v>TCGA-PRAD</v>
      </c>
      <c r="D17807" s="1" t="s">
        <v>493</v>
      </c>
      <c r="E17807" t="s">
        <v>568</v>
      </c>
      <c r="F17807" s="1">
        <v>2</v>
      </c>
      <c r="G17807" s="1" t="s">
        <v>32</v>
      </c>
      <c r="H17807" s="4" t="str">
        <f>HYPERLINK("https://portal.gdc.cancer.gov/cases/7c40c747-5000-4f66-aab5-c53fb96337cb","TCGA-KC-A7FE-01A")</f>
        <v>TCGA-KC-A7FE-01A</v>
      </c>
      <c r="I17807" t="s">
        <v>161</v>
      </c>
      <c r="J17807" t="s">
        <v>569</v>
      </c>
      <c r="K17807" t="s">
        <v>33</v>
      </c>
      <c r="L17807" t="s">
        <v>162</v>
      </c>
      <c r="N17807" t="s">
        <v>29</v>
      </c>
    </row>
    <row r="17808" spans="1:14">
      <c r="A17808" s="4" t="str">
        <f t="shared" si="1291"/>
        <v>EXP00437</v>
      </c>
      <c r="B17808" s="3" t="s">
        <v>66</v>
      </c>
      <c r="C17808" s="4" t="str">
        <f t="shared" si="1292"/>
        <v>TCGA-PRAD</v>
      </c>
      <c r="D17808" s="1" t="s">
        <v>493</v>
      </c>
      <c r="E17808" t="s">
        <v>568</v>
      </c>
      <c r="F17808" s="1">
        <v>2</v>
      </c>
      <c r="G17808" s="1" t="s">
        <v>32</v>
      </c>
      <c r="H17808" s="4" t="str">
        <f>HYPERLINK("https://portal.gdc.cancer.gov/cases/9e48644f-d498-42b0-871b-d11f676241e2","TCGA-KK-A59V-01A")</f>
        <v>TCGA-KK-A59V-01A</v>
      </c>
      <c r="I17808" t="s">
        <v>161</v>
      </c>
      <c r="J17808" t="s">
        <v>569</v>
      </c>
      <c r="K17808" t="s">
        <v>33</v>
      </c>
      <c r="L17808" t="s">
        <v>162</v>
      </c>
      <c r="N17808" t="s">
        <v>29</v>
      </c>
    </row>
    <row r="17809" spans="1:14">
      <c r="A17809" s="4" t="str">
        <f t="shared" si="1291"/>
        <v>EXP00437</v>
      </c>
      <c r="B17809" s="3" t="s">
        <v>66</v>
      </c>
      <c r="C17809" s="4" t="str">
        <f t="shared" si="1292"/>
        <v>TCGA-PRAD</v>
      </c>
      <c r="D17809" s="1" t="s">
        <v>493</v>
      </c>
      <c r="E17809" t="s">
        <v>568</v>
      </c>
      <c r="F17809" s="1">
        <v>2</v>
      </c>
      <c r="G17809" s="1" t="s">
        <v>32</v>
      </c>
      <c r="H17809" s="4" t="str">
        <f>HYPERLINK("https://portal.gdc.cancer.gov/cases/629855ea-551e-456c-b421-83b9a4eb3269","TCGA-KK-A59X-01A")</f>
        <v>TCGA-KK-A59X-01A</v>
      </c>
      <c r="I17809" t="s">
        <v>161</v>
      </c>
      <c r="J17809" t="s">
        <v>569</v>
      </c>
      <c r="K17809" t="s">
        <v>33</v>
      </c>
      <c r="L17809" t="s">
        <v>162</v>
      </c>
      <c r="N17809" t="s">
        <v>29</v>
      </c>
    </row>
    <row r="17810" spans="1:14">
      <c r="A17810" s="4" t="str">
        <f t="shared" si="1291"/>
        <v>EXP00437</v>
      </c>
      <c r="B17810" s="3" t="s">
        <v>66</v>
      </c>
      <c r="C17810" s="4" t="str">
        <f t="shared" si="1292"/>
        <v>TCGA-PRAD</v>
      </c>
      <c r="D17810" s="1" t="s">
        <v>493</v>
      </c>
      <c r="E17810" t="s">
        <v>568</v>
      </c>
      <c r="F17810" s="1">
        <v>2</v>
      </c>
      <c r="G17810" s="1" t="s">
        <v>32</v>
      </c>
      <c r="H17810" s="4" t="str">
        <f>HYPERLINK("https://portal.gdc.cancer.gov/cases/4c197d76-daf6-474d-b561-ded42905f52a","TCGA-KK-A59Y-01A")</f>
        <v>TCGA-KK-A59Y-01A</v>
      </c>
      <c r="I17810" t="s">
        <v>161</v>
      </c>
      <c r="J17810" t="s">
        <v>569</v>
      </c>
      <c r="K17810" t="s">
        <v>33</v>
      </c>
      <c r="L17810" t="s">
        <v>162</v>
      </c>
      <c r="N17810" t="s">
        <v>29</v>
      </c>
    </row>
    <row r="17811" spans="1:14">
      <c r="A17811" s="4" t="str">
        <f t="shared" si="1291"/>
        <v>EXP00437</v>
      </c>
      <c r="B17811" s="3" t="s">
        <v>66</v>
      </c>
      <c r="C17811" s="4" t="str">
        <f t="shared" si="1292"/>
        <v>TCGA-PRAD</v>
      </c>
      <c r="D17811" s="1" t="s">
        <v>493</v>
      </c>
      <c r="E17811" t="s">
        <v>568</v>
      </c>
      <c r="F17811" s="1">
        <v>2</v>
      </c>
      <c r="G17811" s="1" t="s">
        <v>32</v>
      </c>
      <c r="H17811" s="4" t="str">
        <f>HYPERLINK("https://portal.gdc.cancer.gov/cases/df7bbd9c-0b35-4855-acde-46f4956f4df1","TCGA-KK-A59Z-01A")</f>
        <v>TCGA-KK-A59Z-01A</v>
      </c>
      <c r="I17811" t="s">
        <v>161</v>
      </c>
      <c r="J17811" t="s">
        <v>569</v>
      </c>
      <c r="K17811" t="s">
        <v>33</v>
      </c>
      <c r="L17811" t="s">
        <v>162</v>
      </c>
      <c r="N17811" t="s">
        <v>29</v>
      </c>
    </row>
    <row r="17812" spans="1:14">
      <c r="A17812" s="4" t="str">
        <f t="shared" si="1291"/>
        <v>EXP00437</v>
      </c>
      <c r="B17812" s="3" t="s">
        <v>66</v>
      </c>
      <c r="C17812" s="4" t="str">
        <f t="shared" si="1292"/>
        <v>TCGA-PRAD</v>
      </c>
      <c r="D17812" s="1" t="s">
        <v>493</v>
      </c>
      <c r="E17812" t="s">
        <v>568</v>
      </c>
      <c r="F17812" s="1">
        <v>2</v>
      </c>
      <c r="G17812" s="1" t="s">
        <v>32</v>
      </c>
      <c r="H17812" s="4" t="str">
        <f>HYPERLINK("https://portal.gdc.cancer.gov/cases/436b242c-ad5f-432e-a684-27bba4c1c8a2","TCGA-KK-A5A1-01A")</f>
        <v>TCGA-KK-A5A1-01A</v>
      </c>
      <c r="I17812" t="s">
        <v>161</v>
      </c>
      <c r="J17812" t="s">
        <v>569</v>
      </c>
      <c r="K17812" t="s">
        <v>33</v>
      </c>
      <c r="L17812" t="s">
        <v>162</v>
      </c>
      <c r="N17812" t="s">
        <v>29</v>
      </c>
    </row>
    <row r="17813" spans="1:14">
      <c r="A17813" s="4" t="str">
        <f t="shared" si="1291"/>
        <v>EXP00437</v>
      </c>
      <c r="B17813" s="3" t="s">
        <v>66</v>
      </c>
      <c r="C17813" s="4" t="str">
        <f t="shared" si="1292"/>
        <v>TCGA-PRAD</v>
      </c>
      <c r="D17813" s="1" t="s">
        <v>493</v>
      </c>
      <c r="E17813" t="s">
        <v>568</v>
      </c>
      <c r="F17813" s="1">
        <v>2</v>
      </c>
      <c r="G17813" s="1" t="s">
        <v>32</v>
      </c>
      <c r="H17813" s="4" t="str">
        <f>HYPERLINK("https://portal.gdc.cancer.gov/cases/b1bdaf2d-7d84-4409-9427-5390150bb96d","TCGA-KK-A6DY-01A")</f>
        <v>TCGA-KK-A6DY-01A</v>
      </c>
      <c r="I17813" t="s">
        <v>161</v>
      </c>
      <c r="J17813" t="s">
        <v>569</v>
      </c>
      <c r="K17813" t="s">
        <v>33</v>
      </c>
      <c r="L17813" t="s">
        <v>162</v>
      </c>
      <c r="N17813" t="s">
        <v>29</v>
      </c>
    </row>
    <row r="17814" spans="1:14">
      <c r="A17814" s="4" t="str">
        <f t="shared" si="1291"/>
        <v>EXP00437</v>
      </c>
      <c r="B17814" s="3" t="s">
        <v>66</v>
      </c>
      <c r="C17814" s="4" t="str">
        <f t="shared" si="1292"/>
        <v>TCGA-PRAD</v>
      </c>
      <c r="D17814" s="1" t="s">
        <v>493</v>
      </c>
      <c r="E17814" t="s">
        <v>568</v>
      </c>
      <c r="F17814" s="1">
        <v>2</v>
      </c>
      <c r="G17814" s="1" t="s">
        <v>32</v>
      </c>
      <c r="H17814" s="4" t="str">
        <f>HYPERLINK("https://portal.gdc.cancer.gov/cases/d112136d-34fa-426e-b432-4d1e4286adf8","TCGA-KK-A6E0-01A")</f>
        <v>TCGA-KK-A6E0-01A</v>
      </c>
      <c r="I17814" t="s">
        <v>161</v>
      </c>
      <c r="J17814" t="s">
        <v>569</v>
      </c>
      <c r="K17814" t="s">
        <v>33</v>
      </c>
      <c r="L17814" t="s">
        <v>162</v>
      </c>
      <c r="N17814" t="s">
        <v>29</v>
      </c>
    </row>
    <row r="17815" spans="1:14">
      <c r="A17815" s="4" t="str">
        <f t="shared" si="1291"/>
        <v>EXP00437</v>
      </c>
      <c r="B17815" s="3" t="s">
        <v>66</v>
      </c>
      <c r="C17815" s="4" t="str">
        <f t="shared" si="1292"/>
        <v>TCGA-PRAD</v>
      </c>
      <c r="D17815" s="1" t="s">
        <v>493</v>
      </c>
      <c r="E17815" t="s">
        <v>568</v>
      </c>
      <c r="F17815" s="1">
        <v>2</v>
      </c>
      <c r="G17815" s="1" t="s">
        <v>32</v>
      </c>
      <c r="H17815" s="4" t="str">
        <f>HYPERLINK("https://portal.gdc.cancer.gov/cases/deb57bd8-545f-477a-9a86-6bc6db257270","TCGA-KK-A6E1-01A")</f>
        <v>TCGA-KK-A6E1-01A</v>
      </c>
      <c r="I17815" t="s">
        <v>161</v>
      </c>
      <c r="J17815" t="s">
        <v>569</v>
      </c>
      <c r="K17815" t="s">
        <v>33</v>
      </c>
      <c r="L17815" t="s">
        <v>162</v>
      </c>
      <c r="N17815" t="s">
        <v>29</v>
      </c>
    </row>
    <row r="17816" spans="1:14">
      <c r="A17816" s="4" t="str">
        <f t="shared" si="1291"/>
        <v>EXP00437</v>
      </c>
      <c r="B17816" s="3" t="s">
        <v>66</v>
      </c>
      <c r="C17816" s="4" t="str">
        <f t="shared" si="1292"/>
        <v>TCGA-PRAD</v>
      </c>
      <c r="D17816" s="1" t="s">
        <v>493</v>
      </c>
      <c r="E17816" t="s">
        <v>568</v>
      </c>
      <c r="F17816" s="1">
        <v>2</v>
      </c>
      <c r="G17816" s="1" t="s">
        <v>32</v>
      </c>
      <c r="H17816" s="4" t="str">
        <f>HYPERLINK("https://portal.gdc.cancer.gov/cases/56c88739-c076-42cc-a2cb-fd613ab567b5","TCGA-KK-A6E2-01A")</f>
        <v>TCGA-KK-A6E2-01A</v>
      </c>
      <c r="I17816" t="s">
        <v>161</v>
      </c>
      <c r="J17816" t="s">
        <v>569</v>
      </c>
      <c r="K17816" t="s">
        <v>33</v>
      </c>
      <c r="L17816" t="s">
        <v>162</v>
      </c>
      <c r="N17816" t="s">
        <v>29</v>
      </c>
    </row>
    <row r="17817" spans="1:14">
      <c r="A17817" s="4" t="str">
        <f t="shared" si="1291"/>
        <v>EXP00437</v>
      </c>
      <c r="B17817" s="3" t="s">
        <v>66</v>
      </c>
      <c r="C17817" s="4" t="str">
        <f t="shared" si="1292"/>
        <v>TCGA-PRAD</v>
      </c>
      <c r="D17817" s="1" t="s">
        <v>493</v>
      </c>
      <c r="E17817" t="s">
        <v>568</v>
      </c>
      <c r="F17817" s="1">
        <v>2</v>
      </c>
      <c r="G17817" s="1" t="s">
        <v>32</v>
      </c>
      <c r="H17817" s="4" t="str">
        <f>HYPERLINK("https://portal.gdc.cancer.gov/cases/38a2b705-d8a4-45ca-8bcd-96dbf93d8e4d","TCGA-KK-A6E3-01A")</f>
        <v>TCGA-KK-A6E3-01A</v>
      </c>
      <c r="I17817" t="s">
        <v>161</v>
      </c>
      <c r="J17817" t="s">
        <v>569</v>
      </c>
      <c r="K17817" t="s">
        <v>33</v>
      </c>
      <c r="L17817" t="s">
        <v>162</v>
      </c>
      <c r="N17817" t="s">
        <v>29</v>
      </c>
    </row>
    <row r="17818" spans="1:14">
      <c r="A17818" s="4" t="str">
        <f t="shared" si="1291"/>
        <v>EXP00437</v>
      </c>
      <c r="B17818" s="3" t="s">
        <v>66</v>
      </c>
      <c r="C17818" s="4" t="str">
        <f t="shared" si="1292"/>
        <v>TCGA-PRAD</v>
      </c>
      <c r="D17818" s="1" t="s">
        <v>493</v>
      </c>
      <c r="E17818" t="s">
        <v>568</v>
      </c>
      <c r="F17818" s="1">
        <v>2</v>
      </c>
      <c r="G17818" s="1" t="s">
        <v>32</v>
      </c>
      <c r="H17818" s="4" t="str">
        <f>HYPERLINK("https://portal.gdc.cancer.gov/cases/dcf383d5-b25a-4ea9-a3f4-4d7ea5ddd9ef","TCGA-KK-A6E4-01A")</f>
        <v>TCGA-KK-A6E4-01A</v>
      </c>
      <c r="I17818" t="s">
        <v>161</v>
      </c>
      <c r="J17818" t="s">
        <v>569</v>
      </c>
      <c r="K17818" t="s">
        <v>33</v>
      </c>
      <c r="L17818" t="s">
        <v>162</v>
      </c>
      <c r="N17818" t="s">
        <v>29</v>
      </c>
    </row>
    <row r="17819" spans="1:14">
      <c r="A17819" s="4" t="str">
        <f t="shared" si="1291"/>
        <v>EXP00437</v>
      </c>
      <c r="B17819" s="3" t="s">
        <v>66</v>
      </c>
      <c r="C17819" s="4" t="str">
        <f t="shared" si="1292"/>
        <v>TCGA-PRAD</v>
      </c>
      <c r="D17819" s="1" t="s">
        <v>493</v>
      </c>
      <c r="E17819" t="s">
        <v>568</v>
      </c>
      <c r="F17819" s="1">
        <v>2</v>
      </c>
      <c r="G17819" s="1" t="s">
        <v>32</v>
      </c>
      <c r="H17819" s="4" t="str">
        <f>HYPERLINK("https://portal.gdc.cancer.gov/cases/0fb599ce-5e10-4571-8160-4f5160791a3f","TCGA-KK-A6E5-01A")</f>
        <v>TCGA-KK-A6E5-01A</v>
      </c>
      <c r="I17819" t="s">
        <v>161</v>
      </c>
      <c r="J17819" t="s">
        <v>569</v>
      </c>
      <c r="K17819" t="s">
        <v>33</v>
      </c>
      <c r="L17819" t="s">
        <v>162</v>
      </c>
      <c r="N17819" t="s">
        <v>29</v>
      </c>
    </row>
    <row r="17820" spans="1:14">
      <c r="A17820" s="4" t="str">
        <f t="shared" ref="A17820:A17883" si="1293">HYPERLINK("http://hcmdb.i-sanger.com/experiment/details/experiment_id/EXP00437","EXP00437")</f>
        <v>EXP00437</v>
      </c>
      <c r="B17820" s="3" t="s">
        <v>66</v>
      </c>
      <c r="C17820" s="4" t="str">
        <f t="shared" ref="C17820:C17883" si="1294">HYPERLINK("https://portal.gdc.cancer.gov/projects/TCGA-PRAD","TCGA-PRAD")</f>
        <v>TCGA-PRAD</v>
      </c>
      <c r="D17820" s="1" t="s">
        <v>493</v>
      </c>
      <c r="E17820" t="s">
        <v>568</v>
      </c>
      <c r="F17820" s="1">
        <v>2</v>
      </c>
      <c r="G17820" s="1" t="s">
        <v>32</v>
      </c>
      <c r="H17820" s="4" t="str">
        <f>HYPERLINK("https://portal.gdc.cancer.gov/cases/25c669b3-4d4a-4142-a403-677be8522875","TCGA-KK-A6E7-01A")</f>
        <v>TCGA-KK-A6E7-01A</v>
      </c>
      <c r="I17820" t="s">
        <v>161</v>
      </c>
      <c r="J17820" t="s">
        <v>569</v>
      </c>
      <c r="K17820" t="s">
        <v>33</v>
      </c>
      <c r="L17820" t="s">
        <v>162</v>
      </c>
      <c r="N17820" t="s">
        <v>29</v>
      </c>
    </row>
    <row r="17821" spans="1:14">
      <c r="A17821" s="4" t="str">
        <f t="shared" si="1293"/>
        <v>EXP00437</v>
      </c>
      <c r="B17821" s="3" t="s">
        <v>66</v>
      </c>
      <c r="C17821" s="4" t="str">
        <f t="shared" si="1294"/>
        <v>TCGA-PRAD</v>
      </c>
      <c r="D17821" s="1" t="s">
        <v>493</v>
      </c>
      <c r="E17821" t="s">
        <v>568</v>
      </c>
      <c r="F17821" s="1">
        <v>2</v>
      </c>
      <c r="G17821" s="1" t="s">
        <v>32</v>
      </c>
      <c r="H17821" s="4" t="str">
        <f>HYPERLINK("https://portal.gdc.cancer.gov/cases/8990ce28-c671-4487-8dda-864f0675bbb3","TCGA-KK-A6E8-01A")</f>
        <v>TCGA-KK-A6E8-01A</v>
      </c>
      <c r="I17821" t="s">
        <v>161</v>
      </c>
      <c r="J17821" t="s">
        <v>569</v>
      </c>
      <c r="K17821" t="s">
        <v>33</v>
      </c>
      <c r="L17821" t="s">
        <v>162</v>
      </c>
      <c r="N17821" t="s">
        <v>29</v>
      </c>
    </row>
    <row r="17822" spans="1:14">
      <c r="A17822" s="4" t="str">
        <f t="shared" si="1293"/>
        <v>EXP00437</v>
      </c>
      <c r="B17822" s="3" t="s">
        <v>66</v>
      </c>
      <c r="C17822" s="4" t="str">
        <f t="shared" si="1294"/>
        <v>TCGA-PRAD</v>
      </c>
      <c r="D17822" s="1" t="s">
        <v>493</v>
      </c>
      <c r="E17822" t="s">
        <v>568</v>
      </c>
      <c r="F17822" s="1">
        <v>2</v>
      </c>
      <c r="G17822" s="1" t="s">
        <v>32</v>
      </c>
      <c r="H17822" s="4" t="str">
        <f>HYPERLINK("https://portal.gdc.cancer.gov/cases/f4e9a9f9-263c-4ced-a8fb-6cb0fb088983","TCGA-KK-A7AP-01A")</f>
        <v>TCGA-KK-A7AP-01A</v>
      </c>
      <c r="I17822" t="s">
        <v>161</v>
      </c>
      <c r="J17822" t="s">
        <v>569</v>
      </c>
      <c r="K17822" t="s">
        <v>33</v>
      </c>
      <c r="L17822" t="s">
        <v>162</v>
      </c>
      <c r="N17822" t="s">
        <v>29</v>
      </c>
    </row>
    <row r="17823" spans="1:14">
      <c r="A17823" s="4" t="str">
        <f t="shared" si="1293"/>
        <v>EXP00437</v>
      </c>
      <c r="B17823" s="3" t="s">
        <v>66</v>
      </c>
      <c r="C17823" s="4" t="str">
        <f t="shared" si="1294"/>
        <v>TCGA-PRAD</v>
      </c>
      <c r="D17823" s="1" t="s">
        <v>493</v>
      </c>
      <c r="E17823" t="s">
        <v>568</v>
      </c>
      <c r="F17823" s="1">
        <v>2</v>
      </c>
      <c r="G17823" s="1" t="s">
        <v>32</v>
      </c>
      <c r="H17823" s="4" t="str">
        <f>HYPERLINK("https://portal.gdc.cancer.gov/cases/cecf4ee9-7610-4f47-a825-7fde8233b75d","TCGA-KK-A7AQ-01A")</f>
        <v>TCGA-KK-A7AQ-01A</v>
      </c>
      <c r="I17823" t="s">
        <v>161</v>
      </c>
      <c r="J17823" t="s">
        <v>569</v>
      </c>
      <c r="K17823" t="s">
        <v>33</v>
      </c>
      <c r="L17823" t="s">
        <v>162</v>
      </c>
      <c r="N17823" t="s">
        <v>29</v>
      </c>
    </row>
    <row r="17824" spans="1:14">
      <c r="A17824" s="4" t="str">
        <f t="shared" si="1293"/>
        <v>EXP00437</v>
      </c>
      <c r="B17824" s="3" t="s">
        <v>66</v>
      </c>
      <c r="C17824" s="4" t="str">
        <f t="shared" si="1294"/>
        <v>TCGA-PRAD</v>
      </c>
      <c r="D17824" s="1" t="s">
        <v>493</v>
      </c>
      <c r="E17824" t="s">
        <v>568</v>
      </c>
      <c r="F17824" s="1">
        <v>2</v>
      </c>
      <c r="G17824" s="1" t="s">
        <v>32</v>
      </c>
      <c r="H17824" s="4" t="str">
        <f>HYPERLINK("https://portal.gdc.cancer.gov/cases/39303e7c-5baf-479d-a112-d8f03a18c621","TCGA-KK-A7AU-01A")</f>
        <v>TCGA-KK-A7AU-01A</v>
      </c>
      <c r="I17824" t="s">
        <v>161</v>
      </c>
      <c r="J17824" t="s">
        <v>569</v>
      </c>
      <c r="K17824" t="s">
        <v>33</v>
      </c>
      <c r="L17824" t="s">
        <v>162</v>
      </c>
      <c r="N17824" t="s">
        <v>29</v>
      </c>
    </row>
    <row r="17825" spans="1:14">
      <c r="A17825" s="4" t="str">
        <f t="shared" si="1293"/>
        <v>EXP00437</v>
      </c>
      <c r="B17825" s="3" t="s">
        <v>66</v>
      </c>
      <c r="C17825" s="4" t="str">
        <f t="shared" si="1294"/>
        <v>TCGA-PRAD</v>
      </c>
      <c r="D17825" s="1" t="s">
        <v>493</v>
      </c>
      <c r="E17825" t="s">
        <v>568</v>
      </c>
      <c r="F17825" s="1">
        <v>2</v>
      </c>
      <c r="G17825" s="1" t="s">
        <v>32</v>
      </c>
      <c r="H17825" s="4" t="str">
        <f>HYPERLINK("https://portal.gdc.cancer.gov/cases/bf462e14-f9e8-4531-905d-1fb59d9088cb","TCGA-KK-A7AV-01A")</f>
        <v>TCGA-KK-A7AV-01A</v>
      </c>
      <c r="I17825" t="s">
        <v>161</v>
      </c>
      <c r="J17825" t="s">
        <v>569</v>
      </c>
      <c r="K17825" t="s">
        <v>33</v>
      </c>
      <c r="L17825" t="s">
        <v>162</v>
      </c>
      <c r="N17825" t="s">
        <v>29</v>
      </c>
    </row>
    <row r="17826" spans="1:14">
      <c r="A17826" s="4" t="str">
        <f t="shared" si="1293"/>
        <v>EXP00437</v>
      </c>
      <c r="B17826" s="3" t="s">
        <v>66</v>
      </c>
      <c r="C17826" s="4" t="str">
        <f t="shared" si="1294"/>
        <v>TCGA-PRAD</v>
      </c>
      <c r="D17826" s="1" t="s">
        <v>493</v>
      </c>
      <c r="E17826" t="s">
        <v>568</v>
      </c>
      <c r="F17826" s="1">
        <v>2</v>
      </c>
      <c r="G17826" s="1" t="s">
        <v>32</v>
      </c>
      <c r="H17826" s="4" t="str">
        <f>HYPERLINK("https://portal.gdc.cancer.gov/cases/2f231b79-84bc-4256-bf26-7ce64083d438","TCGA-KK-A7AW-01A")</f>
        <v>TCGA-KK-A7AW-01A</v>
      </c>
      <c r="I17826" t="s">
        <v>161</v>
      </c>
      <c r="J17826" t="s">
        <v>569</v>
      </c>
      <c r="K17826" t="s">
        <v>33</v>
      </c>
      <c r="L17826" t="s">
        <v>162</v>
      </c>
      <c r="N17826" t="s">
        <v>29</v>
      </c>
    </row>
    <row r="17827" spans="1:14">
      <c r="A17827" s="4" t="str">
        <f t="shared" si="1293"/>
        <v>EXP00437</v>
      </c>
      <c r="B17827" s="3" t="s">
        <v>66</v>
      </c>
      <c r="C17827" s="4" t="str">
        <f t="shared" si="1294"/>
        <v>TCGA-PRAD</v>
      </c>
      <c r="D17827" s="1" t="s">
        <v>493</v>
      </c>
      <c r="E17827" t="s">
        <v>568</v>
      </c>
      <c r="F17827" s="1">
        <v>2</v>
      </c>
      <c r="G17827" s="1" t="s">
        <v>32</v>
      </c>
      <c r="H17827" s="4" t="str">
        <f>HYPERLINK("https://portal.gdc.cancer.gov/cases/f4aebd64-a356-4c05-b847-6dd28cf26339","TCGA-KK-A7AY-01A")</f>
        <v>TCGA-KK-A7AY-01A</v>
      </c>
      <c r="I17827" t="s">
        <v>161</v>
      </c>
      <c r="J17827" t="s">
        <v>569</v>
      </c>
      <c r="K17827" t="s">
        <v>33</v>
      </c>
      <c r="L17827" t="s">
        <v>162</v>
      </c>
      <c r="N17827" t="s">
        <v>29</v>
      </c>
    </row>
    <row r="17828" spans="1:14">
      <c r="A17828" s="4" t="str">
        <f t="shared" si="1293"/>
        <v>EXP00437</v>
      </c>
      <c r="B17828" s="3" t="s">
        <v>66</v>
      </c>
      <c r="C17828" s="4" t="str">
        <f t="shared" si="1294"/>
        <v>TCGA-PRAD</v>
      </c>
      <c r="D17828" s="1" t="s">
        <v>493</v>
      </c>
      <c r="E17828" t="s">
        <v>568</v>
      </c>
      <c r="F17828" s="1">
        <v>2</v>
      </c>
      <c r="G17828" s="1" t="s">
        <v>32</v>
      </c>
      <c r="H17828" s="4" t="str">
        <f>HYPERLINK("https://portal.gdc.cancer.gov/cases/73d4e806-2c15-4c9e-a978-106fb9494e82","TCGA-KK-A7B0-01A")</f>
        <v>TCGA-KK-A7B0-01A</v>
      </c>
      <c r="I17828" t="s">
        <v>161</v>
      </c>
      <c r="J17828" t="s">
        <v>569</v>
      </c>
      <c r="K17828" t="s">
        <v>33</v>
      </c>
      <c r="L17828" t="s">
        <v>162</v>
      </c>
      <c r="N17828" t="s">
        <v>29</v>
      </c>
    </row>
    <row r="17829" spans="1:14">
      <c r="A17829" s="4" t="str">
        <f t="shared" si="1293"/>
        <v>EXP00437</v>
      </c>
      <c r="B17829" s="3" t="s">
        <v>66</v>
      </c>
      <c r="C17829" s="4" t="str">
        <f t="shared" si="1294"/>
        <v>TCGA-PRAD</v>
      </c>
      <c r="D17829" s="1" t="s">
        <v>493</v>
      </c>
      <c r="E17829" t="s">
        <v>568</v>
      </c>
      <c r="F17829" s="1">
        <v>2</v>
      </c>
      <c r="G17829" s="1" t="s">
        <v>32</v>
      </c>
      <c r="H17829" s="4" t="str">
        <f>HYPERLINK("https://portal.gdc.cancer.gov/cases/7315bb0a-96a1-45ab-a704-b084d237cf5c","TCGA-KK-A7B1-01A")</f>
        <v>TCGA-KK-A7B1-01A</v>
      </c>
      <c r="I17829" t="s">
        <v>161</v>
      </c>
      <c r="J17829" t="s">
        <v>569</v>
      </c>
      <c r="K17829" t="s">
        <v>33</v>
      </c>
      <c r="L17829" t="s">
        <v>162</v>
      </c>
      <c r="N17829" t="s">
        <v>29</v>
      </c>
    </row>
    <row r="17830" spans="1:14">
      <c r="A17830" s="4" t="str">
        <f t="shared" si="1293"/>
        <v>EXP00437</v>
      </c>
      <c r="B17830" s="3" t="s">
        <v>66</v>
      </c>
      <c r="C17830" s="4" t="str">
        <f t="shared" si="1294"/>
        <v>TCGA-PRAD</v>
      </c>
      <c r="D17830" s="1" t="s">
        <v>493</v>
      </c>
      <c r="E17830" t="s">
        <v>568</v>
      </c>
      <c r="F17830" s="1">
        <v>2</v>
      </c>
      <c r="G17830" s="1" t="s">
        <v>32</v>
      </c>
      <c r="H17830" s="4" t="str">
        <f>HYPERLINK("https://portal.gdc.cancer.gov/cases/000d566c-96c7-4f1c-b36e-fa2222467983","TCGA-KK-A7B2-01A")</f>
        <v>TCGA-KK-A7B2-01A</v>
      </c>
      <c r="I17830" t="s">
        <v>161</v>
      </c>
      <c r="J17830" t="s">
        <v>569</v>
      </c>
      <c r="K17830" t="s">
        <v>33</v>
      </c>
      <c r="L17830" t="s">
        <v>162</v>
      </c>
      <c r="N17830" t="s">
        <v>29</v>
      </c>
    </row>
    <row r="17831" spans="1:14">
      <c r="A17831" s="4" t="str">
        <f t="shared" si="1293"/>
        <v>EXP00437</v>
      </c>
      <c r="B17831" s="3" t="s">
        <v>66</v>
      </c>
      <c r="C17831" s="4" t="str">
        <f t="shared" si="1294"/>
        <v>TCGA-PRAD</v>
      </c>
      <c r="D17831" s="1" t="s">
        <v>493</v>
      </c>
      <c r="E17831" t="s">
        <v>568</v>
      </c>
      <c r="F17831" s="1">
        <v>2</v>
      </c>
      <c r="G17831" s="1" t="s">
        <v>32</v>
      </c>
      <c r="H17831" s="4" t="str">
        <f>HYPERLINK("https://portal.gdc.cancer.gov/cases/aaeb1d59-d6ce-4422-9639-f1e83c002d84","TCGA-KK-A7B3-01A")</f>
        <v>TCGA-KK-A7B3-01A</v>
      </c>
      <c r="I17831" t="s">
        <v>161</v>
      </c>
      <c r="J17831" t="s">
        <v>569</v>
      </c>
      <c r="K17831" t="s">
        <v>33</v>
      </c>
      <c r="L17831" t="s">
        <v>162</v>
      </c>
      <c r="N17831" t="s">
        <v>29</v>
      </c>
    </row>
    <row r="17832" spans="1:14">
      <c r="A17832" s="4" t="str">
        <f t="shared" si="1293"/>
        <v>EXP00437</v>
      </c>
      <c r="B17832" s="3" t="s">
        <v>66</v>
      </c>
      <c r="C17832" s="4" t="str">
        <f t="shared" si="1294"/>
        <v>TCGA-PRAD</v>
      </c>
      <c r="D17832" s="1" t="s">
        <v>493</v>
      </c>
      <c r="E17832" t="s">
        <v>568</v>
      </c>
      <c r="F17832" s="1">
        <v>2</v>
      </c>
      <c r="G17832" s="1" t="s">
        <v>32</v>
      </c>
      <c r="H17832" s="4" t="str">
        <f>HYPERLINK("https://portal.gdc.cancer.gov/cases/5447a0e0-80ca-40fb-8233-504fde51f22c","TCGA-KK-A7B4-01A")</f>
        <v>TCGA-KK-A7B4-01A</v>
      </c>
      <c r="I17832" t="s">
        <v>161</v>
      </c>
      <c r="J17832" t="s">
        <v>569</v>
      </c>
      <c r="K17832" t="s">
        <v>33</v>
      </c>
      <c r="L17832" t="s">
        <v>162</v>
      </c>
      <c r="N17832" t="s">
        <v>29</v>
      </c>
    </row>
    <row r="17833" spans="1:14">
      <c r="A17833" s="4" t="str">
        <f t="shared" si="1293"/>
        <v>EXP00437</v>
      </c>
      <c r="B17833" s="3" t="s">
        <v>66</v>
      </c>
      <c r="C17833" s="4" t="str">
        <f t="shared" si="1294"/>
        <v>TCGA-PRAD</v>
      </c>
      <c r="D17833" s="1" t="s">
        <v>493</v>
      </c>
      <c r="E17833" t="s">
        <v>568</v>
      </c>
      <c r="F17833" s="1">
        <v>2</v>
      </c>
      <c r="G17833" s="1" t="s">
        <v>32</v>
      </c>
      <c r="H17833" s="4" t="str">
        <f>HYPERLINK("https://portal.gdc.cancer.gov/cases/7ce45134-5b1f-4ea7-ace9-7e463b034a43","TCGA-KK-A8I5-01A")</f>
        <v>TCGA-KK-A8I5-01A</v>
      </c>
      <c r="I17833" t="s">
        <v>161</v>
      </c>
      <c r="J17833" t="s">
        <v>569</v>
      </c>
      <c r="K17833" t="s">
        <v>33</v>
      </c>
      <c r="L17833" t="s">
        <v>162</v>
      </c>
      <c r="N17833" t="s">
        <v>29</v>
      </c>
    </row>
    <row r="17834" spans="1:14">
      <c r="A17834" s="4" t="str">
        <f t="shared" si="1293"/>
        <v>EXP00437</v>
      </c>
      <c r="B17834" s="3" t="s">
        <v>66</v>
      </c>
      <c r="C17834" s="4" t="str">
        <f t="shared" si="1294"/>
        <v>TCGA-PRAD</v>
      </c>
      <c r="D17834" s="1" t="s">
        <v>493</v>
      </c>
      <c r="E17834" t="s">
        <v>568</v>
      </c>
      <c r="F17834" s="1">
        <v>2</v>
      </c>
      <c r="G17834" s="1" t="s">
        <v>32</v>
      </c>
      <c r="H17834" s="4" t="str">
        <f>HYPERLINK("https://portal.gdc.cancer.gov/cases/6e3154d4-2ef6-403d-9de1-7b6233c4d505","TCGA-KK-A8I6-01A")</f>
        <v>TCGA-KK-A8I6-01A</v>
      </c>
      <c r="I17834" t="s">
        <v>161</v>
      </c>
      <c r="J17834" t="s">
        <v>569</v>
      </c>
      <c r="K17834" t="s">
        <v>33</v>
      </c>
      <c r="L17834" t="s">
        <v>162</v>
      </c>
      <c r="N17834" t="s">
        <v>29</v>
      </c>
    </row>
    <row r="17835" spans="1:14">
      <c r="A17835" s="4" t="str">
        <f t="shared" si="1293"/>
        <v>EXP00437</v>
      </c>
      <c r="B17835" s="3" t="s">
        <v>66</v>
      </c>
      <c r="C17835" s="4" t="str">
        <f t="shared" si="1294"/>
        <v>TCGA-PRAD</v>
      </c>
      <c r="D17835" s="1" t="s">
        <v>493</v>
      </c>
      <c r="E17835" t="s">
        <v>568</v>
      </c>
      <c r="F17835" s="1">
        <v>2</v>
      </c>
      <c r="G17835" s="1" t="s">
        <v>32</v>
      </c>
      <c r="H17835" s="4" t="str">
        <f>HYPERLINK("https://portal.gdc.cancer.gov/cases/108dee1e-b27d-4056-a167-261725f548c1","TCGA-KK-A8I7-01A")</f>
        <v>TCGA-KK-A8I7-01A</v>
      </c>
      <c r="I17835" t="s">
        <v>161</v>
      </c>
      <c r="J17835" t="s">
        <v>569</v>
      </c>
      <c r="K17835" t="s">
        <v>33</v>
      </c>
      <c r="L17835" t="s">
        <v>162</v>
      </c>
      <c r="N17835" t="s">
        <v>29</v>
      </c>
    </row>
    <row r="17836" spans="1:14">
      <c r="A17836" s="4" t="str">
        <f t="shared" si="1293"/>
        <v>EXP00437</v>
      </c>
      <c r="B17836" s="3" t="s">
        <v>66</v>
      </c>
      <c r="C17836" s="4" t="str">
        <f t="shared" si="1294"/>
        <v>TCGA-PRAD</v>
      </c>
      <c r="D17836" s="1" t="s">
        <v>493</v>
      </c>
      <c r="E17836" t="s">
        <v>568</v>
      </c>
      <c r="F17836" s="1">
        <v>2</v>
      </c>
      <c r="G17836" s="1" t="s">
        <v>32</v>
      </c>
      <c r="H17836" s="4" t="str">
        <f>HYPERLINK("https://portal.gdc.cancer.gov/cases/30fa311b-05a2-43e4-9edc-02b327898132","TCGA-KK-A8I8-01A")</f>
        <v>TCGA-KK-A8I8-01A</v>
      </c>
      <c r="I17836" t="s">
        <v>161</v>
      </c>
      <c r="J17836" t="s">
        <v>569</v>
      </c>
      <c r="K17836" t="s">
        <v>33</v>
      </c>
      <c r="L17836" t="s">
        <v>162</v>
      </c>
      <c r="N17836" t="s">
        <v>29</v>
      </c>
    </row>
    <row r="17837" spans="1:14">
      <c r="A17837" s="4" t="str">
        <f t="shared" si="1293"/>
        <v>EXP00437</v>
      </c>
      <c r="B17837" s="3" t="s">
        <v>66</v>
      </c>
      <c r="C17837" s="4" t="str">
        <f t="shared" si="1294"/>
        <v>TCGA-PRAD</v>
      </c>
      <c r="D17837" s="1" t="s">
        <v>493</v>
      </c>
      <c r="E17837" t="s">
        <v>568</v>
      </c>
      <c r="F17837" s="1">
        <v>2</v>
      </c>
      <c r="G17837" s="1" t="s">
        <v>32</v>
      </c>
      <c r="H17837" s="4" t="str">
        <f>HYPERLINK("https://portal.gdc.cancer.gov/cases/261c3d74-706e-4751-bd15-8f3c1a402ff0","TCGA-KK-A8I9-01A")</f>
        <v>TCGA-KK-A8I9-01A</v>
      </c>
      <c r="I17837" t="s">
        <v>161</v>
      </c>
      <c r="J17837" t="s">
        <v>569</v>
      </c>
      <c r="K17837" t="s">
        <v>33</v>
      </c>
      <c r="L17837" t="s">
        <v>162</v>
      </c>
      <c r="N17837" t="s">
        <v>29</v>
      </c>
    </row>
    <row r="17838" spans="1:14">
      <c r="A17838" s="4" t="str">
        <f t="shared" si="1293"/>
        <v>EXP00437</v>
      </c>
      <c r="B17838" s="3" t="s">
        <v>66</v>
      </c>
      <c r="C17838" s="4" t="str">
        <f t="shared" si="1294"/>
        <v>TCGA-PRAD</v>
      </c>
      <c r="D17838" s="1" t="s">
        <v>493</v>
      </c>
      <c r="E17838" t="s">
        <v>568</v>
      </c>
      <c r="F17838" s="1">
        <v>2</v>
      </c>
      <c r="G17838" s="1" t="s">
        <v>32</v>
      </c>
      <c r="H17838" s="4" t="str">
        <f>HYPERLINK("https://portal.gdc.cancer.gov/cases/17916c4e-febe-48c6-b475-ad29397425e8","TCGA-KK-A8IA-01A")</f>
        <v>TCGA-KK-A8IA-01A</v>
      </c>
      <c r="I17838" t="s">
        <v>161</v>
      </c>
      <c r="J17838" t="s">
        <v>569</v>
      </c>
      <c r="K17838" t="s">
        <v>33</v>
      </c>
      <c r="L17838" t="s">
        <v>162</v>
      </c>
      <c r="N17838" t="s">
        <v>29</v>
      </c>
    </row>
    <row r="17839" spans="1:14">
      <c r="A17839" s="4" t="str">
        <f t="shared" si="1293"/>
        <v>EXP00437</v>
      </c>
      <c r="B17839" s="3" t="s">
        <v>66</v>
      </c>
      <c r="C17839" s="4" t="str">
        <f t="shared" si="1294"/>
        <v>TCGA-PRAD</v>
      </c>
      <c r="D17839" s="1" t="s">
        <v>493</v>
      </c>
      <c r="E17839" t="s">
        <v>568</v>
      </c>
      <c r="F17839" s="1">
        <v>2</v>
      </c>
      <c r="G17839" s="1" t="s">
        <v>32</v>
      </c>
      <c r="H17839" s="4" t="str">
        <f>HYPERLINK("https://portal.gdc.cancer.gov/cases/88705b03-aa27-45c5-bef0-bb697799f9df","TCGA-KK-A8IB-01A")</f>
        <v>TCGA-KK-A8IB-01A</v>
      </c>
      <c r="I17839" t="s">
        <v>161</v>
      </c>
      <c r="J17839" t="s">
        <v>569</v>
      </c>
      <c r="K17839" t="s">
        <v>33</v>
      </c>
      <c r="L17839" t="s">
        <v>162</v>
      </c>
      <c r="N17839" t="s">
        <v>29</v>
      </c>
    </row>
    <row r="17840" spans="1:14">
      <c r="A17840" s="4" t="str">
        <f t="shared" si="1293"/>
        <v>EXP00437</v>
      </c>
      <c r="B17840" s="3" t="s">
        <v>66</v>
      </c>
      <c r="C17840" s="4" t="str">
        <f t="shared" si="1294"/>
        <v>TCGA-PRAD</v>
      </c>
      <c r="D17840" s="1" t="s">
        <v>493</v>
      </c>
      <c r="E17840" t="s">
        <v>568</v>
      </c>
      <c r="F17840" s="1">
        <v>2</v>
      </c>
      <c r="G17840" s="1" t="s">
        <v>32</v>
      </c>
      <c r="H17840" s="4" t="str">
        <f>HYPERLINK("https://portal.gdc.cancer.gov/cases/70c6c3a0-b422-4541-a60f-355356a9a340","TCGA-KK-A8IC-01A")</f>
        <v>TCGA-KK-A8IC-01A</v>
      </c>
      <c r="I17840" t="s">
        <v>161</v>
      </c>
      <c r="J17840" t="s">
        <v>569</v>
      </c>
      <c r="K17840" t="s">
        <v>33</v>
      </c>
      <c r="L17840" t="s">
        <v>162</v>
      </c>
      <c r="N17840" t="s">
        <v>29</v>
      </c>
    </row>
    <row r="17841" spans="1:14">
      <c r="A17841" s="4" t="str">
        <f t="shared" si="1293"/>
        <v>EXP00437</v>
      </c>
      <c r="B17841" s="3" t="s">
        <v>66</v>
      </c>
      <c r="C17841" s="4" t="str">
        <f t="shared" si="1294"/>
        <v>TCGA-PRAD</v>
      </c>
      <c r="D17841" s="1" t="s">
        <v>493</v>
      </c>
      <c r="E17841" t="s">
        <v>568</v>
      </c>
      <c r="F17841" s="1">
        <v>2</v>
      </c>
      <c r="G17841" s="1" t="s">
        <v>32</v>
      </c>
      <c r="H17841" s="4" t="str">
        <f>HYPERLINK("https://portal.gdc.cancer.gov/cases/717c0fd3-527b-4d5e-a9ab-0f141fcc84e8","TCGA-KK-A8ID-01A")</f>
        <v>TCGA-KK-A8ID-01A</v>
      </c>
      <c r="I17841" t="s">
        <v>161</v>
      </c>
      <c r="J17841" t="s">
        <v>569</v>
      </c>
      <c r="K17841" t="s">
        <v>33</v>
      </c>
      <c r="L17841" t="s">
        <v>162</v>
      </c>
      <c r="N17841" t="s">
        <v>29</v>
      </c>
    </row>
    <row r="17842" spans="1:14">
      <c r="A17842" s="4" t="str">
        <f t="shared" si="1293"/>
        <v>EXP00437</v>
      </c>
      <c r="B17842" s="3" t="s">
        <v>66</v>
      </c>
      <c r="C17842" s="4" t="str">
        <f t="shared" si="1294"/>
        <v>TCGA-PRAD</v>
      </c>
      <c r="D17842" s="1" t="s">
        <v>493</v>
      </c>
      <c r="E17842" t="s">
        <v>568</v>
      </c>
      <c r="F17842" s="1">
        <v>2</v>
      </c>
      <c r="G17842" s="1" t="s">
        <v>32</v>
      </c>
      <c r="H17842" s="4" t="str">
        <f>HYPERLINK("https://portal.gdc.cancer.gov/cases/3f5270a2-3284-4523-bd81-54fc98c2b933","TCGA-KK-A8IF-01A")</f>
        <v>TCGA-KK-A8IF-01A</v>
      </c>
      <c r="I17842" t="s">
        <v>161</v>
      </c>
      <c r="J17842" t="s">
        <v>569</v>
      </c>
      <c r="K17842" t="s">
        <v>33</v>
      </c>
      <c r="L17842" t="s">
        <v>162</v>
      </c>
      <c r="N17842" t="s">
        <v>29</v>
      </c>
    </row>
    <row r="17843" spans="1:14">
      <c r="A17843" s="4" t="str">
        <f t="shared" si="1293"/>
        <v>EXP00437</v>
      </c>
      <c r="B17843" s="3" t="s">
        <v>66</v>
      </c>
      <c r="C17843" s="4" t="str">
        <f t="shared" si="1294"/>
        <v>TCGA-PRAD</v>
      </c>
      <c r="D17843" s="1" t="s">
        <v>493</v>
      </c>
      <c r="E17843" t="s">
        <v>568</v>
      </c>
      <c r="F17843" s="1">
        <v>2</v>
      </c>
      <c r="G17843" s="1" t="s">
        <v>32</v>
      </c>
      <c r="H17843" s="4" t="str">
        <f>HYPERLINK("https://portal.gdc.cancer.gov/cases/1e3c1d8f-b3c9-47be-89e4-22e6b16ed2ae","TCGA-KK-A8IG-01A")</f>
        <v>TCGA-KK-A8IG-01A</v>
      </c>
      <c r="I17843" t="s">
        <v>161</v>
      </c>
      <c r="J17843" t="s">
        <v>569</v>
      </c>
      <c r="K17843" t="s">
        <v>33</v>
      </c>
      <c r="L17843" t="s">
        <v>162</v>
      </c>
      <c r="N17843" t="s">
        <v>29</v>
      </c>
    </row>
    <row r="17844" spans="1:14">
      <c r="A17844" s="4" t="str">
        <f t="shared" si="1293"/>
        <v>EXP00437</v>
      </c>
      <c r="B17844" s="3" t="s">
        <v>66</v>
      </c>
      <c r="C17844" s="4" t="str">
        <f t="shared" si="1294"/>
        <v>TCGA-PRAD</v>
      </c>
      <c r="D17844" s="1" t="s">
        <v>493</v>
      </c>
      <c r="E17844" t="s">
        <v>568</v>
      </c>
      <c r="F17844" s="1">
        <v>2</v>
      </c>
      <c r="G17844" s="1" t="s">
        <v>32</v>
      </c>
      <c r="H17844" s="4" t="str">
        <f>HYPERLINK("https://portal.gdc.cancer.gov/cases/89b995ba-d13a-461b-ade4-d791844c1a0c","TCGA-KK-A8IH-01A")</f>
        <v>TCGA-KK-A8IH-01A</v>
      </c>
      <c r="I17844" t="s">
        <v>161</v>
      </c>
      <c r="J17844" t="s">
        <v>569</v>
      </c>
      <c r="K17844" t="s">
        <v>33</v>
      </c>
      <c r="L17844" t="s">
        <v>162</v>
      </c>
      <c r="N17844" t="s">
        <v>29</v>
      </c>
    </row>
    <row r="17845" spans="1:14">
      <c r="A17845" s="4" t="str">
        <f t="shared" si="1293"/>
        <v>EXP00437</v>
      </c>
      <c r="B17845" s="3" t="s">
        <v>66</v>
      </c>
      <c r="C17845" s="4" t="str">
        <f t="shared" si="1294"/>
        <v>TCGA-PRAD</v>
      </c>
      <c r="D17845" s="1" t="s">
        <v>493</v>
      </c>
      <c r="E17845" t="s">
        <v>568</v>
      </c>
      <c r="F17845" s="1">
        <v>2</v>
      </c>
      <c r="G17845" s="1" t="s">
        <v>32</v>
      </c>
      <c r="H17845" s="4" t="str">
        <f>HYPERLINK("https://portal.gdc.cancer.gov/cases/d05681cc-dffa-44d0-b6a1-0a99a4ce3be5","TCGA-KK-A8II-01A")</f>
        <v>TCGA-KK-A8II-01A</v>
      </c>
      <c r="I17845" t="s">
        <v>161</v>
      </c>
      <c r="J17845" t="s">
        <v>569</v>
      </c>
      <c r="K17845" t="s">
        <v>33</v>
      </c>
      <c r="L17845" t="s">
        <v>162</v>
      </c>
      <c r="N17845" t="s">
        <v>29</v>
      </c>
    </row>
    <row r="17846" spans="1:14">
      <c r="A17846" s="4" t="str">
        <f t="shared" si="1293"/>
        <v>EXP00437</v>
      </c>
      <c r="B17846" s="3" t="s">
        <v>66</v>
      </c>
      <c r="C17846" s="4" t="str">
        <f t="shared" si="1294"/>
        <v>TCGA-PRAD</v>
      </c>
      <c r="D17846" s="1" t="s">
        <v>493</v>
      </c>
      <c r="E17846" t="s">
        <v>568</v>
      </c>
      <c r="F17846" s="1">
        <v>2</v>
      </c>
      <c r="G17846" s="1" t="s">
        <v>32</v>
      </c>
      <c r="H17846" s="4" t="str">
        <f>HYPERLINK("https://portal.gdc.cancer.gov/cases/98a9ce0e-4f02-4819-bc0c-c1a8d34e3db6","TCGA-KK-A8IJ-01A")</f>
        <v>TCGA-KK-A8IJ-01A</v>
      </c>
      <c r="I17846" t="s">
        <v>161</v>
      </c>
      <c r="J17846" t="s">
        <v>569</v>
      </c>
      <c r="K17846" t="s">
        <v>33</v>
      </c>
      <c r="L17846" t="s">
        <v>162</v>
      </c>
      <c r="N17846" t="s">
        <v>29</v>
      </c>
    </row>
    <row r="17847" spans="1:14">
      <c r="A17847" s="4" t="str">
        <f t="shared" si="1293"/>
        <v>EXP00437</v>
      </c>
      <c r="B17847" s="3" t="s">
        <v>66</v>
      </c>
      <c r="C17847" s="4" t="str">
        <f t="shared" si="1294"/>
        <v>TCGA-PRAD</v>
      </c>
      <c r="D17847" s="1" t="s">
        <v>493</v>
      </c>
      <c r="E17847" t="s">
        <v>568</v>
      </c>
      <c r="F17847" s="1">
        <v>2</v>
      </c>
      <c r="G17847" s="1" t="s">
        <v>32</v>
      </c>
      <c r="H17847" s="4" t="str">
        <f>HYPERLINK("https://portal.gdc.cancer.gov/cases/d4f4ddc1-cfd7-4c57-ade6-4f32cb7ffd85","TCGA-KK-A8IK-01A")</f>
        <v>TCGA-KK-A8IK-01A</v>
      </c>
      <c r="I17847" t="s">
        <v>161</v>
      </c>
      <c r="J17847" t="s">
        <v>569</v>
      </c>
      <c r="K17847" t="s">
        <v>33</v>
      </c>
      <c r="L17847" t="s">
        <v>162</v>
      </c>
      <c r="N17847" t="s">
        <v>29</v>
      </c>
    </row>
    <row r="17848" spans="1:14">
      <c r="A17848" s="4" t="str">
        <f t="shared" si="1293"/>
        <v>EXP00437</v>
      </c>
      <c r="B17848" s="3" t="s">
        <v>66</v>
      </c>
      <c r="C17848" s="4" t="str">
        <f t="shared" si="1294"/>
        <v>TCGA-PRAD</v>
      </c>
      <c r="D17848" s="1" t="s">
        <v>493</v>
      </c>
      <c r="E17848" t="s">
        <v>568</v>
      </c>
      <c r="F17848" s="1">
        <v>2</v>
      </c>
      <c r="G17848" s="1" t="s">
        <v>32</v>
      </c>
      <c r="H17848" s="4" t="str">
        <f>HYPERLINK("https://portal.gdc.cancer.gov/cases/2a51e1c2-8a8f-4df3-bcc6-7df94a47d94d","TCGA-KK-A8IL-01A")</f>
        <v>TCGA-KK-A8IL-01A</v>
      </c>
      <c r="I17848" t="s">
        <v>161</v>
      </c>
      <c r="J17848" t="s">
        <v>569</v>
      </c>
      <c r="K17848" t="s">
        <v>33</v>
      </c>
      <c r="L17848" t="s">
        <v>162</v>
      </c>
      <c r="N17848" t="s">
        <v>29</v>
      </c>
    </row>
    <row r="17849" spans="1:14">
      <c r="A17849" s="4" t="str">
        <f t="shared" si="1293"/>
        <v>EXP00437</v>
      </c>
      <c r="B17849" s="3" t="s">
        <v>66</v>
      </c>
      <c r="C17849" s="4" t="str">
        <f t="shared" si="1294"/>
        <v>TCGA-PRAD</v>
      </c>
      <c r="D17849" s="1" t="s">
        <v>493</v>
      </c>
      <c r="E17849" t="s">
        <v>568</v>
      </c>
      <c r="F17849" s="1">
        <v>2</v>
      </c>
      <c r="G17849" s="1" t="s">
        <v>32</v>
      </c>
      <c r="H17849" s="4" t="str">
        <f>HYPERLINK("https://portal.gdc.cancer.gov/cases/4434864a-8a0d-488e-b9a7-6749719663e5","TCGA-KK-A8IM-01A")</f>
        <v>TCGA-KK-A8IM-01A</v>
      </c>
      <c r="I17849" t="s">
        <v>161</v>
      </c>
      <c r="J17849" t="s">
        <v>569</v>
      </c>
      <c r="K17849" t="s">
        <v>33</v>
      </c>
      <c r="L17849" t="s">
        <v>162</v>
      </c>
      <c r="N17849" t="s">
        <v>29</v>
      </c>
    </row>
    <row r="17850" spans="1:14">
      <c r="A17850" s="4" t="str">
        <f t="shared" si="1293"/>
        <v>EXP00437</v>
      </c>
      <c r="B17850" s="3" t="s">
        <v>66</v>
      </c>
      <c r="C17850" s="4" t="str">
        <f t="shared" si="1294"/>
        <v>TCGA-PRAD</v>
      </c>
      <c r="D17850" s="1" t="s">
        <v>493</v>
      </c>
      <c r="E17850" t="s">
        <v>568</v>
      </c>
      <c r="F17850" s="1">
        <v>2</v>
      </c>
      <c r="G17850" s="1" t="s">
        <v>32</v>
      </c>
      <c r="H17850" s="4" t="str">
        <f>HYPERLINK("https://portal.gdc.cancer.gov/cases/4d5d61c4-2e64-422e-aba6-ec098f40eeec","TCGA-M7-A71Z-01A")</f>
        <v>TCGA-M7-A71Z-01A</v>
      </c>
      <c r="I17850" t="s">
        <v>161</v>
      </c>
      <c r="J17850" t="s">
        <v>569</v>
      </c>
      <c r="K17850" t="s">
        <v>33</v>
      </c>
      <c r="L17850" t="s">
        <v>162</v>
      </c>
      <c r="N17850" t="s">
        <v>29</v>
      </c>
    </row>
    <row r="17851" spans="1:14">
      <c r="A17851" s="4" t="str">
        <f t="shared" si="1293"/>
        <v>EXP00437</v>
      </c>
      <c r="B17851" s="3" t="s">
        <v>66</v>
      </c>
      <c r="C17851" s="4" t="str">
        <f t="shared" si="1294"/>
        <v>TCGA-PRAD</v>
      </c>
      <c r="D17851" s="1" t="s">
        <v>493</v>
      </c>
      <c r="E17851" t="s">
        <v>568</v>
      </c>
      <c r="F17851" s="1">
        <v>2</v>
      </c>
      <c r="G17851" s="1" t="s">
        <v>32</v>
      </c>
      <c r="H17851" s="4" t="str">
        <f>HYPERLINK("https://portal.gdc.cancer.gov/cases/444e78f7-1221-4882-ade2-7e45d828ea2a","TCGA-M7-A720-01A")</f>
        <v>TCGA-M7-A720-01A</v>
      </c>
      <c r="I17851" t="s">
        <v>161</v>
      </c>
      <c r="J17851" t="s">
        <v>569</v>
      </c>
      <c r="K17851" t="s">
        <v>33</v>
      </c>
      <c r="L17851" t="s">
        <v>162</v>
      </c>
      <c r="N17851" t="s">
        <v>29</v>
      </c>
    </row>
    <row r="17852" spans="1:14">
      <c r="A17852" s="4" t="str">
        <f t="shared" si="1293"/>
        <v>EXP00437</v>
      </c>
      <c r="B17852" s="3" t="s">
        <v>66</v>
      </c>
      <c r="C17852" s="4" t="str">
        <f t="shared" si="1294"/>
        <v>TCGA-PRAD</v>
      </c>
      <c r="D17852" s="1" t="s">
        <v>493</v>
      </c>
      <c r="E17852" t="s">
        <v>568</v>
      </c>
      <c r="F17852" s="1">
        <v>2</v>
      </c>
      <c r="G17852" s="1" t="s">
        <v>32</v>
      </c>
      <c r="H17852" s="4" t="str">
        <f>HYPERLINK("https://portal.gdc.cancer.gov/cases/6433f001-db5c-476b-83c7-23f4c5397ae9","TCGA-M7-A721-01A")</f>
        <v>TCGA-M7-A721-01A</v>
      </c>
      <c r="I17852" t="s">
        <v>161</v>
      </c>
      <c r="J17852" t="s">
        <v>569</v>
      </c>
      <c r="K17852" t="s">
        <v>33</v>
      </c>
      <c r="L17852" t="s">
        <v>162</v>
      </c>
      <c r="N17852" t="s">
        <v>29</v>
      </c>
    </row>
    <row r="17853" spans="1:14">
      <c r="A17853" s="4" t="str">
        <f t="shared" si="1293"/>
        <v>EXP00437</v>
      </c>
      <c r="B17853" s="3" t="s">
        <v>66</v>
      </c>
      <c r="C17853" s="4" t="str">
        <f t="shared" si="1294"/>
        <v>TCGA-PRAD</v>
      </c>
      <c r="D17853" s="1" t="s">
        <v>493</v>
      </c>
      <c r="E17853" t="s">
        <v>568</v>
      </c>
      <c r="F17853" s="1">
        <v>2</v>
      </c>
      <c r="G17853" s="1" t="s">
        <v>32</v>
      </c>
      <c r="H17853" s="4" t="str">
        <f>HYPERLINK("https://portal.gdc.cancer.gov/cases/3fa3cffe-40f1-4853-9cbb-54a99ffd6108","TCGA-M7-A722-01A")</f>
        <v>TCGA-M7-A722-01A</v>
      </c>
      <c r="I17853" t="s">
        <v>161</v>
      </c>
      <c r="J17853" t="s">
        <v>569</v>
      </c>
      <c r="K17853" t="s">
        <v>33</v>
      </c>
      <c r="L17853" t="s">
        <v>162</v>
      </c>
      <c r="N17853" t="s">
        <v>29</v>
      </c>
    </row>
    <row r="17854" spans="1:14">
      <c r="A17854" s="4" t="str">
        <f t="shared" si="1293"/>
        <v>EXP00437</v>
      </c>
      <c r="B17854" s="3" t="s">
        <v>66</v>
      </c>
      <c r="C17854" s="4" t="str">
        <f t="shared" si="1294"/>
        <v>TCGA-PRAD</v>
      </c>
      <c r="D17854" s="1" t="s">
        <v>493</v>
      </c>
      <c r="E17854" t="s">
        <v>568</v>
      </c>
      <c r="F17854" s="1">
        <v>2</v>
      </c>
      <c r="G17854" s="1" t="s">
        <v>32</v>
      </c>
      <c r="H17854" s="4" t="str">
        <f>HYPERLINK("https://portal.gdc.cancer.gov/cases/e27bc39b-54f1-47b5-ac8f-3245dce690f4","TCGA-M7-A723-01A")</f>
        <v>TCGA-M7-A723-01A</v>
      </c>
      <c r="I17854" t="s">
        <v>161</v>
      </c>
      <c r="J17854" t="s">
        <v>569</v>
      </c>
      <c r="K17854" t="s">
        <v>33</v>
      </c>
      <c r="L17854" t="s">
        <v>162</v>
      </c>
      <c r="N17854" t="s">
        <v>29</v>
      </c>
    </row>
    <row r="17855" spans="1:14">
      <c r="A17855" s="4" t="str">
        <f t="shared" si="1293"/>
        <v>EXP00437</v>
      </c>
      <c r="B17855" s="3" t="s">
        <v>66</v>
      </c>
      <c r="C17855" s="4" t="str">
        <f t="shared" si="1294"/>
        <v>TCGA-PRAD</v>
      </c>
      <c r="D17855" s="1" t="s">
        <v>493</v>
      </c>
      <c r="E17855" t="s">
        <v>568</v>
      </c>
      <c r="F17855" s="1">
        <v>2</v>
      </c>
      <c r="G17855" s="1" t="s">
        <v>32</v>
      </c>
      <c r="H17855" s="4" t="str">
        <f>HYPERLINK("https://portal.gdc.cancer.gov/cases/f8b98552-ae2a-4609-9929-7864485b3c51","TCGA-M7-A724-01A")</f>
        <v>TCGA-M7-A724-01A</v>
      </c>
      <c r="I17855" t="s">
        <v>161</v>
      </c>
      <c r="J17855" t="s">
        <v>569</v>
      </c>
      <c r="K17855" t="s">
        <v>33</v>
      </c>
      <c r="L17855" t="s">
        <v>162</v>
      </c>
      <c r="N17855" t="s">
        <v>29</v>
      </c>
    </row>
    <row r="17856" spans="1:14">
      <c r="A17856" s="4" t="str">
        <f t="shared" si="1293"/>
        <v>EXP00437</v>
      </c>
      <c r="B17856" s="3" t="s">
        <v>66</v>
      </c>
      <c r="C17856" s="4" t="str">
        <f t="shared" si="1294"/>
        <v>TCGA-PRAD</v>
      </c>
      <c r="D17856" s="1" t="s">
        <v>493</v>
      </c>
      <c r="E17856" t="s">
        <v>568</v>
      </c>
      <c r="F17856" s="1">
        <v>2</v>
      </c>
      <c r="G17856" s="1" t="s">
        <v>32</v>
      </c>
      <c r="H17856" s="4" t="str">
        <f>HYPERLINK("https://portal.gdc.cancer.gov/cases/fca0331b-8096-40e8-b292-d438370c37c9","TCGA-M7-A725-01A")</f>
        <v>TCGA-M7-A725-01A</v>
      </c>
      <c r="I17856" t="s">
        <v>161</v>
      </c>
      <c r="J17856" t="s">
        <v>569</v>
      </c>
      <c r="K17856" t="s">
        <v>33</v>
      </c>
      <c r="L17856" t="s">
        <v>162</v>
      </c>
      <c r="N17856" t="s">
        <v>29</v>
      </c>
    </row>
    <row r="17857" spans="1:14">
      <c r="A17857" s="4" t="str">
        <f t="shared" si="1293"/>
        <v>EXP00437</v>
      </c>
      <c r="B17857" s="3" t="s">
        <v>66</v>
      </c>
      <c r="C17857" s="4" t="str">
        <f t="shared" si="1294"/>
        <v>TCGA-PRAD</v>
      </c>
      <c r="D17857" s="1" t="s">
        <v>493</v>
      </c>
      <c r="E17857" t="s">
        <v>568</v>
      </c>
      <c r="F17857" s="1">
        <v>2</v>
      </c>
      <c r="G17857" s="1" t="s">
        <v>32</v>
      </c>
      <c r="H17857" s="4" t="str">
        <f>HYPERLINK("https://portal.gdc.cancer.gov/cases/9c8447ac-5b26-4558-8bfd-f0e7046c1fb9","TCGA-MG-AAMC-01A")</f>
        <v>TCGA-MG-AAMC-01A</v>
      </c>
      <c r="I17857" t="s">
        <v>161</v>
      </c>
      <c r="J17857" t="s">
        <v>569</v>
      </c>
      <c r="K17857" t="s">
        <v>33</v>
      </c>
      <c r="L17857" t="s">
        <v>162</v>
      </c>
      <c r="N17857" t="s">
        <v>29</v>
      </c>
    </row>
    <row r="17858" spans="1:14">
      <c r="A17858" s="4" t="str">
        <f t="shared" si="1293"/>
        <v>EXP00437</v>
      </c>
      <c r="B17858" s="3" t="s">
        <v>66</v>
      </c>
      <c r="C17858" s="4" t="str">
        <f t="shared" si="1294"/>
        <v>TCGA-PRAD</v>
      </c>
      <c r="D17858" s="1" t="s">
        <v>493</v>
      </c>
      <c r="E17858" t="s">
        <v>568</v>
      </c>
      <c r="F17858" s="1">
        <v>2</v>
      </c>
      <c r="G17858" s="1" t="s">
        <v>32</v>
      </c>
      <c r="H17858" s="4" t="str">
        <f>HYPERLINK("https://portal.gdc.cancer.gov/cases/dffc3917-bf06-4c3d-b03a-ca54fe5c2e79","TCGA-QU-A6IL-01A")</f>
        <v>TCGA-QU-A6IL-01A</v>
      </c>
      <c r="I17858" t="s">
        <v>161</v>
      </c>
      <c r="J17858" t="s">
        <v>569</v>
      </c>
      <c r="K17858" t="s">
        <v>33</v>
      </c>
      <c r="L17858" t="s">
        <v>162</v>
      </c>
      <c r="N17858" t="s">
        <v>29</v>
      </c>
    </row>
    <row r="17859" spans="1:14">
      <c r="A17859" s="4" t="str">
        <f t="shared" si="1293"/>
        <v>EXP00437</v>
      </c>
      <c r="B17859" s="3" t="s">
        <v>66</v>
      </c>
      <c r="C17859" s="4" t="str">
        <f t="shared" si="1294"/>
        <v>TCGA-PRAD</v>
      </c>
      <c r="D17859" s="1" t="s">
        <v>493</v>
      </c>
      <c r="E17859" t="s">
        <v>568</v>
      </c>
      <c r="F17859" s="1">
        <v>2</v>
      </c>
      <c r="G17859" s="1" t="s">
        <v>32</v>
      </c>
      <c r="H17859" s="4" t="str">
        <f>HYPERLINK("https://portal.gdc.cancer.gov/cases/d1b31524-8034-4fce-b14e-1cef33c26ca5","TCGA-QU-A6IM-01A")</f>
        <v>TCGA-QU-A6IM-01A</v>
      </c>
      <c r="I17859" t="s">
        <v>161</v>
      </c>
      <c r="J17859" t="s">
        <v>569</v>
      </c>
      <c r="K17859" t="s">
        <v>33</v>
      </c>
      <c r="L17859" t="s">
        <v>162</v>
      </c>
      <c r="N17859" t="s">
        <v>29</v>
      </c>
    </row>
    <row r="17860" spans="1:14">
      <c r="A17860" s="4" t="str">
        <f t="shared" si="1293"/>
        <v>EXP00437</v>
      </c>
      <c r="B17860" s="3" t="s">
        <v>66</v>
      </c>
      <c r="C17860" s="4" t="str">
        <f t="shared" si="1294"/>
        <v>TCGA-PRAD</v>
      </c>
      <c r="D17860" s="1" t="s">
        <v>493</v>
      </c>
      <c r="E17860" t="s">
        <v>568</v>
      </c>
      <c r="F17860" s="1">
        <v>2</v>
      </c>
      <c r="G17860" s="1" t="s">
        <v>32</v>
      </c>
      <c r="H17860" s="4" t="str">
        <f>HYPERLINK("https://portal.gdc.cancer.gov/cases/d07d20f4-dd65-4ffc-add4-01f350ca7b65","TCGA-QU-A6IN-01A")</f>
        <v>TCGA-QU-A6IN-01A</v>
      </c>
      <c r="I17860" t="s">
        <v>161</v>
      </c>
      <c r="J17860" t="s">
        <v>569</v>
      </c>
      <c r="K17860" t="s">
        <v>33</v>
      </c>
      <c r="L17860" t="s">
        <v>162</v>
      </c>
      <c r="N17860" t="s">
        <v>29</v>
      </c>
    </row>
    <row r="17861" spans="1:14">
      <c r="A17861" s="4" t="str">
        <f t="shared" si="1293"/>
        <v>EXP00437</v>
      </c>
      <c r="B17861" s="3" t="s">
        <v>66</v>
      </c>
      <c r="C17861" s="4" t="str">
        <f t="shared" si="1294"/>
        <v>TCGA-PRAD</v>
      </c>
      <c r="D17861" s="1" t="s">
        <v>493</v>
      </c>
      <c r="E17861" t="s">
        <v>568</v>
      </c>
      <c r="F17861" s="1">
        <v>2</v>
      </c>
      <c r="G17861" s="1" t="s">
        <v>32</v>
      </c>
      <c r="H17861" s="4" t="str">
        <f>HYPERLINK("https://portal.gdc.cancer.gov/cases/570ddfb3-2721-42b6-9604-2de6b6090031","TCGA-QU-A6IO-01A")</f>
        <v>TCGA-QU-A6IO-01A</v>
      </c>
      <c r="I17861" t="s">
        <v>161</v>
      </c>
      <c r="J17861" t="s">
        <v>569</v>
      </c>
      <c r="K17861" t="s">
        <v>33</v>
      </c>
      <c r="L17861" t="s">
        <v>162</v>
      </c>
      <c r="N17861" t="s">
        <v>29</v>
      </c>
    </row>
    <row r="17862" spans="1:14">
      <c r="A17862" s="4" t="str">
        <f t="shared" si="1293"/>
        <v>EXP00437</v>
      </c>
      <c r="B17862" s="3" t="s">
        <v>66</v>
      </c>
      <c r="C17862" s="4" t="str">
        <f t="shared" si="1294"/>
        <v>TCGA-PRAD</v>
      </c>
      <c r="D17862" s="1" t="s">
        <v>493</v>
      </c>
      <c r="E17862" t="s">
        <v>568</v>
      </c>
      <c r="F17862" s="1">
        <v>2</v>
      </c>
      <c r="G17862" s="1" t="s">
        <v>32</v>
      </c>
      <c r="H17862" s="4" t="str">
        <f>HYPERLINK("https://portal.gdc.cancer.gov/cases/9a8e27c9-614b-491f-913d-429dfc4e2c4d","TCGA-QU-A6IP-01A")</f>
        <v>TCGA-QU-A6IP-01A</v>
      </c>
      <c r="I17862" t="s">
        <v>161</v>
      </c>
      <c r="J17862" t="s">
        <v>569</v>
      </c>
      <c r="K17862" t="s">
        <v>33</v>
      </c>
      <c r="L17862" t="s">
        <v>162</v>
      </c>
      <c r="N17862" t="s">
        <v>29</v>
      </c>
    </row>
    <row r="17863" spans="1:14">
      <c r="A17863" s="4" t="str">
        <f t="shared" si="1293"/>
        <v>EXP00437</v>
      </c>
      <c r="B17863" s="3" t="s">
        <v>66</v>
      </c>
      <c r="C17863" s="4" t="str">
        <f t="shared" si="1294"/>
        <v>TCGA-PRAD</v>
      </c>
      <c r="D17863" s="1" t="s">
        <v>493</v>
      </c>
      <c r="E17863" t="s">
        <v>568</v>
      </c>
      <c r="F17863" s="1">
        <v>2</v>
      </c>
      <c r="G17863" s="1" t="s">
        <v>32</v>
      </c>
      <c r="H17863" s="4" t="str">
        <f>HYPERLINK("https://portal.gdc.cancer.gov/cases/2648c3c9-9884-4a0c-96aa-61130cd289ea","TCGA-SU-A7E7-01A")</f>
        <v>TCGA-SU-A7E7-01A</v>
      </c>
      <c r="I17863" t="s">
        <v>161</v>
      </c>
      <c r="J17863" t="s">
        <v>569</v>
      </c>
      <c r="K17863" t="s">
        <v>33</v>
      </c>
      <c r="L17863" t="s">
        <v>162</v>
      </c>
      <c r="N17863" t="s">
        <v>29</v>
      </c>
    </row>
    <row r="17864" spans="1:14">
      <c r="A17864" s="4" t="str">
        <f t="shared" si="1293"/>
        <v>EXP00437</v>
      </c>
      <c r="B17864" s="3" t="s">
        <v>66</v>
      </c>
      <c r="C17864" s="4" t="str">
        <f t="shared" si="1294"/>
        <v>TCGA-PRAD</v>
      </c>
      <c r="D17864" s="1" t="s">
        <v>493</v>
      </c>
      <c r="E17864" t="s">
        <v>568</v>
      </c>
      <c r="F17864" s="1">
        <v>2</v>
      </c>
      <c r="G17864" s="1" t="s">
        <v>32</v>
      </c>
      <c r="H17864" s="4" t="str">
        <f>HYPERLINK("https://portal.gdc.cancer.gov/cases/4fdc9f5a-7ba1-4f80-b3db-2b7cbe505217","TCGA-TK-A8OK-01A")</f>
        <v>TCGA-TK-A8OK-01A</v>
      </c>
      <c r="I17864" t="s">
        <v>161</v>
      </c>
      <c r="J17864" t="s">
        <v>569</v>
      </c>
      <c r="K17864" t="s">
        <v>33</v>
      </c>
      <c r="L17864" t="s">
        <v>162</v>
      </c>
      <c r="N17864" t="s">
        <v>29</v>
      </c>
    </row>
    <row r="17865" spans="1:14">
      <c r="A17865" s="4" t="str">
        <f t="shared" si="1293"/>
        <v>EXP00437</v>
      </c>
      <c r="B17865" s="3" t="s">
        <v>66</v>
      </c>
      <c r="C17865" s="4" t="str">
        <f t="shared" si="1294"/>
        <v>TCGA-PRAD</v>
      </c>
      <c r="D17865" s="1" t="s">
        <v>493</v>
      </c>
      <c r="E17865" t="s">
        <v>568</v>
      </c>
      <c r="F17865" s="1">
        <v>2</v>
      </c>
      <c r="G17865" s="1" t="s">
        <v>32</v>
      </c>
      <c r="H17865" s="4" t="str">
        <f>HYPERLINK("https://portal.gdc.cancer.gov/cases/a13a7252-de84-4950-9307-80fc8a6a668d","TCGA-TP-A8TT-01A")</f>
        <v>TCGA-TP-A8TT-01A</v>
      </c>
      <c r="I17865" t="s">
        <v>161</v>
      </c>
      <c r="J17865" t="s">
        <v>569</v>
      </c>
      <c r="K17865" t="s">
        <v>33</v>
      </c>
      <c r="L17865" t="s">
        <v>162</v>
      </c>
      <c r="N17865" t="s">
        <v>29</v>
      </c>
    </row>
    <row r="17866" spans="1:14">
      <c r="A17866" s="4" t="str">
        <f t="shared" si="1293"/>
        <v>EXP00437</v>
      </c>
      <c r="B17866" s="3" t="s">
        <v>66</v>
      </c>
      <c r="C17866" s="4" t="str">
        <f t="shared" si="1294"/>
        <v>TCGA-PRAD</v>
      </c>
      <c r="D17866" s="1" t="s">
        <v>493</v>
      </c>
      <c r="E17866" t="s">
        <v>568</v>
      </c>
      <c r="F17866" s="1">
        <v>2</v>
      </c>
      <c r="G17866" s="1" t="s">
        <v>32</v>
      </c>
      <c r="H17866" s="4" t="str">
        <f>HYPERLINK("https://portal.gdc.cancer.gov/cases/6f4c1006-519d-4b16-8c96-690c63bea0b6","TCGA-TP-A8TV-01A")</f>
        <v>TCGA-TP-A8TV-01A</v>
      </c>
      <c r="I17866" t="s">
        <v>161</v>
      </c>
      <c r="J17866" t="s">
        <v>569</v>
      </c>
      <c r="K17866" t="s">
        <v>33</v>
      </c>
      <c r="L17866" t="s">
        <v>162</v>
      </c>
      <c r="N17866" t="s">
        <v>29</v>
      </c>
    </row>
    <row r="17867" spans="1:14">
      <c r="A17867" s="4" t="str">
        <f t="shared" si="1293"/>
        <v>EXP00437</v>
      </c>
      <c r="B17867" s="3" t="s">
        <v>66</v>
      </c>
      <c r="C17867" s="4" t="str">
        <f t="shared" si="1294"/>
        <v>TCGA-PRAD</v>
      </c>
      <c r="D17867" s="1" t="s">
        <v>493</v>
      </c>
      <c r="E17867" t="s">
        <v>568</v>
      </c>
      <c r="F17867" s="1">
        <v>2</v>
      </c>
      <c r="G17867" s="1" t="s">
        <v>32</v>
      </c>
      <c r="H17867" s="4" t="str">
        <f>HYPERLINK("https://portal.gdc.cancer.gov/cases/56df9de6-613d-44ce-8827-9213cc6c8b56","TCGA-V1-A8MF-01A")</f>
        <v>TCGA-V1-A8MF-01A</v>
      </c>
      <c r="I17867" t="s">
        <v>161</v>
      </c>
      <c r="J17867" t="s">
        <v>569</v>
      </c>
      <c r="K17867" t="s">
        <v>33</v>
      </c>
      <c r="L17867" t="s">
        <v>162</v>
      </c>
      <c r="N17867" t="s">
        <v>29</v>
      </c>
    </row>
    <row r="17868" spans="1:14">
      <c r="A17868" s="4" t="str">
        <f t="shared" si="1293"/>
        <v>EXP00437</v>
      </c>
      <c r="B17868" s="3" t="s">
        <v>66</v>
      </c>
      <c r="C17868" s="4" t="str">
        <f t="shared" si="1294"/>
        <v>TCGA-PRAD</v>
      </c>
      <c r="D17868" s="1" t="s">
        <v>493</v>
      </c>
      <c r="E17868" t="s">
        <v>568</v>
      </c>
      <c r="F17868" s="1">
        <v>2</v>
      </c>
      <c r="G17868" s="1" t="s">
        <v>32</v>
      </c>
      <c r="H17868" s="4" t="str">
        <f>HYPERLINK("https://portal.gdc.cancer.gov/cases/301c4c32-bc66-4328-8dcf-fe3dd66fbde2","TCGA-V1-A8MG-01A")</f>
        <v>TCGA-V1-A8MG-01A</v>
      </c>
      <c r="I17868" t="s">
        <v>161</v>
      </c>
      <c r="J17868" t="s">
        <v>569</v>
      </c>
      <c r="K17868" t="s">
        <v>33</v>
      </c>
      <c r="L17868" t="s">
        <v>162</v>
      </c>
      <c r="N17868" t="s">
        <v>29</v>
      </c>
    </row>
    <row r="17869" spans="1:14">
      <c r="A17869" s="4" t="str">
        <f t="shared" si="1293"/>
        <v>EXP00437</v>
      </c>
      <c r="B17869" s="3" t="s">
        <v>66</v>
      </c>
      <c r="C17869" s="4" t="str">
        <f t="shared" si="1294"/>
        <v>TCGA-PRAD</v>
      </c>
      <c r="D17869" s="1" t="s">
        <v>493</v>
      </c>
      <c r="E17869" t="s">
        <v>568</v>
      </c>
      <c r="F17869" s="1">
        <v>2</v>
      </c>
      <c r="G17869" s="1" t="s">
        <v>32</v>
      </c>
      <c r="H17869" s="4" t="str">
        <f>HYPERLINK("https://portal.gdc.cancer.gov/cases/9938c4ad-748c-4086-9081-fac0aefad440","TCGA-V1-A8MK-01A")</f>
        <v>TCGA-V1-A8MK-01A</v>
      </c>
      <c r="I17869" t="s">
        <v>161</v>
      </c>
      <c r="J17869" t="s">
        <v>569</v>
      </c>
      <c r="K17869" t="s">
        <v>33</v>
      </c>
      <c r="L17869" t="s">
        <v>162</v>
      </c>
      <c r="N17869" t="s">
        <v>29</v>
      </c>
    </row>
    <row r="17870" spans="1:14">
      <c r="A17870" s="4" t="str">
        <f t="shared" si="1293"/>
        <v>EXP00437</v>
      </c>
      <c r="B17870" s="3" t="s">
        <v>66</v>
      </c>
      <c r="C17870" s="4" t="str">
        <f t="shared" si="1294"/>
        <v>TCGA-PRAD</v>
      </c>
      <c r="D17870" s="1" t="s">
        <v>493</v>
      </c>
      <c r="E17870" t="s">
        <v>568</v>
      </c>
      <c r="F17870" s="1">
        <v>2</v>
      </c>
      <c r="G17870" s="1" t="s">
        <v>32</v>
      </c>
      <c r="H17870" s="4" t="str">
        <f>HYPERLINK("https://portal.gdc.cancer.gov/cases/69174712-af41-422d-952a-d8d0d16d7182","TCGA-V1-A8ML-01A")</f>
        <v>TCGA-V1-A8ML-01A</v>
      </c>
      <c r="I17870" t="s">
        <v>161</v>
      </c>
      <c r="J17870" t="s">
        <v>569</v>
      </c>
      <c r="K17870" t="s">
        <v>33</v>
      </c>
      <c r="L17870" t="s">
        <v>162</v>
      </c>
      <c r="N17870" t="s">
        <v>29</v>
      </c>
    </row>
    <row r="17871" spans="1:14">
      <c r="A17871" s="4" t="str">
        <f t="shared" si="1293"/>
        <v>EXP00437</v>
      </c>
      <c r="B17871" s="3" t="s">
        <v>66</v>
      </c>
      <c r="C17871" s="4" t="str">
        <f t="shared" si="1294"/>
        <v>TCGA-PRAD</v>
      </c>
      <c r="D17871" s="1" t="s">
        <v>493</v>
      </c>
      <c r="E17871" t="s">
        <v>568</v>
      </c>
      <c r="F17871" s="1">
        <v>2</v>
      </c>
      <c r="G17871" s="1" t="s">
        <v>32</v>
      </c>
      <c r="H17871" s="4" t="str">
        <f>HYPERLINK("https://portal.gdc.cancer.gov/cases/94d6675e-27ae-4f34-9d53-6e19238eb01d","TCGA-V1-A8MM-01A")</f>
        <v>TCGA-V1-A8MM-01A</v>
      </c>
      <c r="I17871" t="s">
        <v>161</v>
      </c>
      <c r="J17871" t="s">
        <v>569</v>
      </c>
      <c r="K17871" t="s">
        <v>33</v>
      </c>
      <c r="L17871" t="s">
        <v>162</v>
      </c>
      <c r="N17871" t="s">
        <v>29</v>
      </c>
    </row>
    <row r="17872" spans="1:14">
      <c r="A17872" s="4" t="str">
        <f t="shared" si="1293"/>
        <v>EXP00437</v>
      </c>
      <c r="B17872" s="3" t="s">
        <v>66</v>
      </c>
      <c r="C17872" s="4" t="str">
        <f t="shared" si="1294"/>
        <v>TCGA-PRAD</v>
      </c>
      <c r="D17872" s="1" t="s">
        <v>493</v>
      </c>
      <c r="E17872" t="s">
        <v>568</v>
      </c>
      <c r="F17872" s="1">
        <v>2</v>
      </c>
      <c r="G17872" s="1" t="s">
        <v>32</v>
      </c>
      <c r="H17872" s="4" t="str">
        <f>HYPERLINK("https://portal.gdc.cancer.gov/cases/a76bcd1f-e47f-4dc5-a97a-4c4f00032191","TCGA-V1-A8MU-01A")</f>
        <v>TCGA-V1-A8MU-01A</v>
      </c>
      <c r="I17872" t="s">
        <v>161</v>
      </c>
      <c r="J17872" t="s">
        <v>569</v>
      </c>
      <c r="K17872" t="s">
        <v>33</v>
      </c>
      <c r="L17872" t="s">
        <v>162</v>
      </c>
      <c r="N17872" t="s">
        <v>29</v>
      </c>
    </row>
    <row r="17873" spans="1:14">
      <c r="A17873" s="4" t="str">
        <f t="shared" si="1293"/>
        <v>EXP00437</v>
      </c>
      <c r="B17873" s="3" t="s">
        <v>66</v>
      </c>
      <c r="C17873" s="4" t="str">
        <f t="shared" si="1294"/>
        <v>TCGA-PRAD</v>
      </c>
      <c r="D17873" s="1" t="s">
        <v>493</v>
      </c>
      <c r="E17873" t="s">
        <v>568</v>
      </c>
      <c r="F17873" s="1">
        <v>2</v>
      </c>
      <c r="G17873" s="1" t="s">
        <v>32</v>
      </c>
      <c r="H17873" s="4" t="str">
        <f>HYPERLINK("https://portal.gdc.cancer.gov/cases/f7fc3f2e-c70e-460d-b34d-bb2ea423a0ae","TCGA-V1-A8WL-01A")</f>
        <v>TCGA-V1-A8WL-01A</v>
      </c>
      <c r="I17873" t="s">
        <v>161</v>
      </c>
      <c r="J17873" t="s">
        <v>569</v>
      </c>
      <c r="K17873" t="s">
        <v>33</v>
      </c>
      <c r="L17873" t="s">
        <v>162</v>
      </c>
      <c r="N17873" t="s">
        <v>29</v>
      </c>
    </row>
    <row r="17874" spans="1:14">
      <c r="A17874" s="4" t="str">
        <f t="shared" si="1293"/>
        <v>EXP00437</v>
      </c>
      <c r="B17874" s="3" t="s">
        <v>66</v>
      </c>
      <c r="C17874" s="4" t="str">
        <f t="shared" si="1294"/>
        <v>TCGA-PRAD</v>
      </c>
      <c r="D17874" s="1" t="s">
        <v>493</v>
      </c>
      <c r="E17874" t="s">
        <v>568</v>
      </c>
      <c r="F17874" s="1">
        <v>2</v>
      </c>
      <c r="G17874" s="1" t="s">
        <v>32</v>
      </c>
      <c r="H17874" s="4" t="str">
        <f>HYPERLINK("https://portal.gdc.cancer.gov/cases/dc16f348-a49f-4958-a3ff-bc40e18df2bd","TCGA-V1-A8WN-01A")</f>
        <v>TCGA-V1-A8WN-01A</v>
      </c>
      <c r="I17874" t="s">
        <v>161</v>
      </c>
      <c r="J17874" t="s">
        <v>569</v>
      </c>
      <c r="K17874" t="s">
        <v>33</v>
      </c>
      <c r="L17874" t="s">
        <v>162</v>
      </c>
      <c r="N17874" t="s">
        <v>29</v>
      </c>
    </row>
    <row r="17875" spans="1:14">
      <c r="A17875" s="4" t="str">
        <f t="shared" si="1293"/>
        <v>EXP00437</v>
      </c>
      <c r="B17875" s="3" t="s">
        <v>66</v>
      </c>
      <c r="C17875" s="4" t="str">
        <f t="shared" si="1294"/>
        <v>TCGA-PRAD</v>
      </c>
      <c r="D17875" s="1" t="s">
        <v>493</v>
      </c>
      <c r="E17875" t="s">
        <v>568</v>
      </c>
      <c r="F17875" s="1">
        <v>2</v>
      </c>
      <c r="G17875" s="1" t="s">
        <v>32</v>
      </c>
      <c r="H17875" s="4" t="str">
        <f>HYPERLINK("https://portal.gdc.cancer.gov/cases/bea84d33-3286-44e2-9595-893c34a01f58","TCGA-V1-A8WS-01A")</f>
        <v>TCGA-V1-A8WS-01A</v>
      </c>
      <c r="I17875" t="s">
        <v>161</v>
      </c>
      <c r="J17875" t="s">
        <v>569</v>
      </c>
      <c r="K17875" t="s">
        <v>33</v>
      </c>
      <c r="L17875" t="s">
        <v>162</v>
      </c>
      <c r="N17875" t="s">
        <v>29</v>
      </c>
    </row>
    <row r="17876" spans="1:14">
      <c r="A17876" s="4" t="str">
        <f t="shared" si="1293"/>
        <v>EXP00437</v>
      </c>
      <c r="B17876" s="3" t="s">
        <v>66</v>
      </c>
      <c r="C17876" s="4" t="str">
        <f t="shared" si="1294"/>
        <v>TCGA-PRAD</v>
      </c>
      <c r="D17876" s="1" t="s">
        <v>493</v>
      </c>
      <c r="E17876" t="s">
        <v>568</v>
      </c>
      <c r="F17876" s="1">
        <v>2</v>
      </c>
      <c r="G17876" s="1" t="s">
        <v>32</v>
      </c>
      <c r="H17876" s="4" t="str">
        <f>HYPERLINK("https://portal.gdc.cancer.gov/cases/8e5b1d47-7d92-4d28-8186-4176ada96672","TCGA-V1-A8WV-01A")</f>
        <v>TCGA-V1-A8WV-01A</v>
      </c>
      <c r="I17876" t="s">
        <v>161</v>
      </c>
      <c r="J17876" t="s">
        <v>569</v>
      </c>
      <c r="K17876" t="s">
        <v>33</v>
      </c>
      <c r="L17876" t="s">
        <v>162</v>
      </c>
      <c r="N17876" t="s">
        <v>29</v>
      </c>
    </row>
    <row r="17877" spans="1:14">
      <c r="A17877" s="4" t="str">
        <f t="shared" si="1293"/>
        <v>EXP00437</v>
      </c>
      <c r="B17877" s="3" t="s">
        <v>66</v>
      </c>
      <c r="C17877" s="4" t="str">
        <f t="shared" si="1294"/>
        <v>TCGA-PRAD</v>
      </c>
      <c r="D17877" s="1" t="s">
        <v>493</v>
      </c>
      <c r="E17877" t="s">
        <v>568</v>
      </c>
      <c r="F17877" s="1">
        <v>2</v>
      </c>
      <c r="G17877" s="1" t="s">
        <v>32</v>
      </c>
      <c r="H17877" s="4" t="str">
        <f>HYPERLINK("https://portal.gdc.cancer.gov/cases/d843996c-0f17-4482-8466-9f6144981b8a","TCGA-V1-A8WW-01A")</f>
        <v>TCGA-V1-A8WW-01A</v>
      </c>
      <c r="I17877" t="s">
        <v>161</v>
      </c>
      <c r="J17877" t="s">
        <v>569</v>
      </c>
      <c r="K17877" t="s">
        <v>33</v>
      </c>
      <c r="L17877" t="s">
        <v>162</v>
      </c>
      <c r="N17877" t="s">
        <v>29</v>
      </c>
    </row>
    <row r="17878" spans="1:14">
      <c r="A17878" s="4" t="str">
        <f t="shared" si="1293"/>
        <v>EXP00437</v>
      </c>
      <c r="B17878" s="3" t="s">
        <v>66</v>
      </c>
      <c r="C17878" s="4" t="str">
        <f t="shared" si="1294"/>
        <v>TCGA-PRAD</v>
      </c>
      <c r="D17878" s="1" t="s">
        <v>493</v>
      </c>
      <c r="E17878" t="s">
        <v>568</v>
      </c>
      <c r="F17878" s="1">
        <v>2</v>
      </c>
      <c r="G17878" s="1" t="s">
        <v>32</v>
      </c>
      <c r="H17878" s="4" t="str">
        <f>HYPERLINK("https://portal.gdc.cancer.gov/cases/86b82965-b19b-4285-b1a5-51a5d5267103","TCGA-V1-A8X3-01A")</f>
        <v>TCGA-V1-A8X3-01A</v>
      </c>
      <c r="I17878" t="s">
        <v>161</v>
      </c>
      <c r="J17878" t="s">
        <v>569</v>
      </c>
      <c r="K17878" t="s">
        <v>33</v>
      </c>
      <c r="L17878" t="s">
        <v>162</v>
      </c>
      <c r="N17878" t="s">
        <v>29</v>
      </c>
    </row>
    <row r="17879" spans="1:14">
      <c r="A17879" s="4" t="str">
        <f t="shared" si="1293"/>
        <v>EXP00437</v>
      </c>
      <c r="B17879" s="3" t="s">
        <v>66</v>
      </c>
      <c r="C17879" s="4" t="str">
        <f t="shared" si="1294"/>
        <v>TCGA-PRAD</v>
      </c>
      <c r="D17879" s="1" t="s">
        <v>493</v>
      </c>
      <c r="E17879" t="s">
        <v>568</v>
      </c>
      <c r="F17879" s="1">
        <v>2</v>
      </c>
      <c r="G17879" s="1" t="s">
        <v>32</v>
      </c>
      <c r="H17879" s="4" t="str">
        <f>HYPERLINK("https://portal.gdc.cancer.gov/cases/40ebeb10-7390-44fc-9ef2-80d40d251018","TCGA-V1-A9O7-01A")</f>
        <v>TCGA-V1-A9O7-01A</v>
      </c>
      <c r="I17879" t="s">
        <v>161</v>
      </c>
      <c r="J17879" t="s">
        <v>569</v>
      </c>
      <c r="K17879" t="s">
        <v>33</v>
      </c>
      <c r="L17879" t="s">
        <v>162</v>
      </c>
      <c r="N17879" t="s">
        <v>29</v>
      </c>
    </row>
    <row r="17880" spans="1:14">
      <c r="A17880" s="4" t="str">
        <f t="shared" si="1293"/>
        <v>EXP00437</v>
      </c>
      <c r="B17880" s="3" t="s">
        <v>66</v>
      </c>
      <c r="C17880" s="4" t="str">
        <f t="shared" si="1294"/>
        <v>TCGA-PRAD</v>
      </c>
      <c r="D17880" s="1" t="s">
        <v>493</v>
      </c>
      <c r="E17880" t="s">
        <v>568</v>
      </c>
      <c r="F17880" s="1">
        <v>2</v>
      </c>
      <c r="G17880" s="1" t="s">
        <v>32</v>
      </c>
      <c r="H17880" s="4" t="str">
        <f>HYPERLINK("https://portal.gdc.cancer.gov/cases/f6935f67-5c62-4774-8346-711f36f3b547","TCGA-V1-A9O9-01A")</f>
        <v>TCGA-V1-A9O9-01A</v>
      </c>
      <c r="I17880" t="s">
        <v>161</v>
      </c>
      <c r="J17880" t="s">
        <v>569</v>
      </c>
      <c r="K17880" t="s">
        <v>33</v>
      </c>
      <c r="L17880" t="s">
        <v>162</v>
      </c>
      <c r="N17880" t="s">
        <v>29</v>
      </c>
    </row>
    <row r="17881" spans="1:14">
      <c r="A17881" s="4" t="str">
        <f t="shared" si="1293"/>
        <v>EXP00437</v>
      </c>
      <c r="B17881" s="3" t="s">
        <v>66</v>
      </c>
      <c r="C17881" s="4" t="str">
        <f t="shared" si="1294"/>
        <v>TCGA-PRAD</v>
      </c>
      <c r="D17881" s="1" t="s">
        <v>493</v>
      </c>
      <c r="E17881" t="s">
        <v>568</v>
      </c>
      <c r="F17881" s="1">
        <v>2</v>
      </c>
      <c r="G17881" s="1" t="s">
        <v>32</v>
      </c>
      <c r="H17881" s="4" t="str">
        <f>HYPERLINK("https://portal.gdc.cancer.gov/cases/a8396f6d-53e2-4664-a3e2-df061d022108","TCGA-V1-A9OA-01A")</f>
        <v>TCGA-V1-A9OA-01A</v>
      </c>
      <c r="I17881" t="s">
        <v>161</v>
      </c>
      <c r="J17881" t="s">
        <v>569</v>
      </c>
      <c r="K17881" t="s">
        <v>33</v>
      </c>
      <c r="L17881" t="s">
        <v>162</v>
      </c>
      <c r="N17881" t="s">
        <v>29</v>
      </c>
    </row>
    <row r="17882" spans="1:14">
      <c r="A17882" s="4" t="str">
        <f t="shared" si="1293"/>
        <v>EXP00437</v>
      </c>
      <c r="B17882" s="3" t="s">
        <v>66</v>
      </c>
      <c r="C17882" s="4" t="str">
        <f t="shared" si="1294"/>
        <v>TCGA-PRAD</v>
      </c>
      <c r="D17882" s="1" t="s">
        <v>493</v>
      </c>
      <c r="E17882" t="s">
        <v>568</v>
      </c>
      <c r="F17882" s="1">
        <v>2</v>
      </c>
      <c r="G17882" s="1" t="s">
        <v>32</v>
      </c>
      <c r="H17882" s="4" t="str">
        <f>HYPERLINK("https://portal.gdc.cancer.gov/cases/d4dc7c5c-45b3-4741-b0c1-fee477da2ef4","TCGA-V1-A9OF-01A")</f>
        <v>TCGA-V1-A9OF-01A</v>
      </c>
      <c r="I17882" t="s">
        <v>161</v>
      </c>
      <c r="J17882" t="s">
        <v>569</v>
      </c>
      <c r="K17882" t="s">
        <v>33</v>
      </c>
      <c r="L17882" t="s">
        <v>162</v>
      </c>
      <c r="N17882" t="s">
        <v>29</v>
      </c>
    </row>
    <row r="17883" spans="1:14">
      <c r="A17883" s="4" t="str">
        <f t="shared" si="1293"/>
        <v>EXP00437</v>
      </c>
      <c r="B17883" s="3" t="s">
        <v>66</v>
      </c>
      <c r="C17883" s="4" t="str">
        <f t="shared" si="1294"/>
        <v>TCGA-PRAD</v>
      </c>
      <c r="D17883" s="1" t="s">
        <v>493</v>
      </c>
      <c r="E17883" t="s">
        <v>568</v>
      </c>
      <c r="F17883" s="1">
        <v>2</v>
      </c>
      <c r="G17883" s="1" t="s">
        <v>32</v>
      </c>
      <c r="H17883" s="4" t="str">
        <f>HYPERLINK("https://portal.gdc.cancer.gov/cases/6ef0fc2d-f274-4253-bec5-6dbd55953d76","TCGA-V1-A9OH-01A")</f>
        <v>TCGA-V1-A9OH-01A</v>
      </c>
      <c r="I17883" t="s">
        <v>161</v>
      </c>
      <c r="J17883" t="s">
        <v>569</v>
      </c>
      <c r="K17883" t="s">
        <v>33</v>
      </c>
      <c r="L17883" t="s">
        <v>162</v>
      </c>
      <c r="N17883" t="s">
        <v>29</v>
      </c>
    </row>
    <row r="17884" spans="1:14">
      <c r="A17884" s="4" t="str">
        <f t="shared" ref="A17884:A17947" si="1295">HYPERLINK("http://hcmdb.i-sanger.com/experiment/details/experiment_id/EXP00437","EXP00437")</f>
        <v>EXP00437</v>
      </c>
      <c r="B17884" s="3" t="s">
        <v>66</v>
      </c>
      <c r="C17884" s="4" t="str">
        <f t="shared" ref="C17884:C17947" si="1296">HYPERLINK("https://portal.gdc.cancer.gov/projects/TCGA-PRAD","TCGA-PRAD")</f>
        <v>TCGA-PRAD</v>
      </c>
      <c r="D17884" s="1" t="s">
        <v>493</v>
      </c>
      <c r="E17884" t="s">
        <v>568</v>
      </c>
      <c r="F17884" s="1">
        <v>2</v>
      </c>
      <c r="G17884" s="1" t="s">
        <v>32</v>
      </c>
      <c r="H17884" s="4" t="str">
        <f>HYPERLINK("https://portal.gdc.cancer.gov/cases/fcbd7b29-12da-44c8-b241-1388d1b15684","TCGA-V1-A9OL-01A")</f>
        <v>TCGA-V1-A9OL-01A</v>
      </c>
      <c r="I17884" t="s">
        <v>161</v>
      </c>
      <c r="J17884" t="s">
        <v>569</v>
      </c>
      <c r="K17884" t="s">
        <v>33</v>
      </c>
      <c r="L17884" t="s">
        <v>162</v>
      </c>
      <c r="N17884" t="s">
        <v>29</v>
      </c>
    </row>
    <row r="17885" spans="1:14">
      <c r="A17885" s="4" t="str">
        <f t="shared" si="1295"/>
        <v>EXP00437</v>
      </c>
      <c r="B17885" s="3" t="s">
        <v>66</v>
      </c>
      <c r="C17885" s="4" t="str">
        <f t="shared" si="1296"/>
        <v>TCGA-PRAD</v>
      </c>
      <c r="D17885" s="1" t="s">
        <v>493</v>
      </c>
      <c r="E17885" t="s">
        <v>568</v>
      </c>
      <c r="F17885" s="1">
        <v>2</v>
      </c>
      <c r="G17885" s="1" t="s">
        <v>32</v>
      </c>
      <c r="H17885" s="4" t="str">
        <f>HYPERLINK("https://portal.gdc.cancer.gov/cases/10271d9c-9b9c-4b5f-a845-a0f1bd03af51","TCGA-V1-A9OQ-01A")</f>
        <v>TCGA-V1-A9OQ-01A</v>
      </c>
      <c r="I17885" t="s">
        <v>161</v>
      </c>
      <c r="J17885" t="s">
        <v>569</v>
      </c>
      <c r="K17885" t="s">
        <v>33</v>
      </c>
      <c r="L17885" t="s">
        <v>162</v>
      </c>
      <c r="N17885" t="s">
        <v>29</v>
      </c>
    </row>
    <row r="17886" spans="1:14">
      <c r="A17886" s="4" t="str">
        <f t="shared" si="1295"/>
        <v>EXP00437</v>
      </c>
      <c r="B17886" s="3" t="s">
        <v>66</v>
      </c>
      <c r="C17886" s="4" t="str">
        <f t="shared" si="1296"/>
        <v>TCGA-PRAD</v>
      </c>
      <c r="D17886" s="1" t="s">
        <v>493</v>
      </c>
      <c r="E17886" t="s">
        <v>568</v>
      </c>
      <c r="F17886" s="1">
        <v>2</v>
      </c>
      <c r="G17886" s="1" t="s">
        <v>32</v>
      </c>
      <c r="H17886" s="4" t="str">
        <f>HYPERLINK("https://portal.gdc.cancer.gov/cases/18b8ad7f-0f39-4853-ae13-5b13aa5e6f7d","TCGA-V1-A9OT-01A")</f>
        <v>TCGA-V1-A9OT-01A</v>
      </c>
      <c r="I17886" t="s">
        <v>161</v>
      </c>
      <c r="J17886" t="s">
        <v>569</v>
      </c>
      <c r="K17886" t="s">
        <v>33</v>
      </c>
      <c r="L17886" t="s">
        <v>162</v>
      </c>
      <c r="N17886" t="s">
        <v>29</v>
      </c>
    </row>
    <row r="17887" spans="1:14">
      <c r="A17887" s="4" t="str">
        <f t="shared" si="1295"/>
        <v>EXP00437</v>
      </c>
      <c r="B17887" s="3" t="s">
        <v>66</v>
      </c>
      <c r="C17887" s="4" t="str">
        <f t="shared" si="1296"/>
        <v>TCGA-PRAD</v>
      </c>
      <c r="D17887" s="1" t="s">
        <v>493</v>
      </c>
      <c r="E17887" t="s">
        <v>568</v>
      </c>
      <c r="F17887" s="1">
        <v>2</v>
      </c>
      <c r="G17887" s="1" t="s">
        <v>32</v>
      </c>
      <c r="H17887" s="4" t="str">
        <f>HYPERLINK("https://portal.gdc.cancer.gov/cases/14c2819b-9afc-4c89-849f-530e289d55bf","TCGA-V1-A9OX-01A")</f>
        <v>TCGA-V1-A9OX-01A</v>
      </c>
      <c r="I17887" t="s">
        <v>161</v>
      </c>
      <c r="J17887" t="s">
        <v>569</v>
      </c>
      <c r="K17887" t="s">
        <v>33</v>
      </c>
      <c r="L17887" t="s">
        <v>162</v>
      </c>
      <c r="N17887" t="s">
        <v>29</v>
      </c>
    </row>
    <row r="17888" spans="1:14">
      <c r="A17888" s="4" t="str">
        <f t="shared" si="1295"/>
        <v>EXP00437</v>
      </c>
      <c r="B17888" s="3" t="s">
        <v>66</v>
      </c>
      <c r="C17888" s="4" t="str">
        <f t="shared" si="1296"/>
        <v>TCGA-PRAD</v>
      </c>
      <c r="D17888" s="1" t="s">
        <v>493</v>
      </c>
      <c r="E17888" t="s">
        <v>568</v>
      </c>
      <c r="F17888" s="1">
        <v>2</v>
      </c>
      <c r="G17888" s="1" t="s">
        <v>32</v>
      </c>
      <c r="H17888" s="4" t="str">
        <f>HYPERLINK("https://portal.gdc.cancer.gov/cases/69fc0351-6496-46b5-be22-25b80c1dc4cc","TCGA-V1-A9OY-01A")</f>
        <v>TCGA-V1-A9OY-01A</v>
      </c>
      <c r="I17888" t="s">
        <v>161</v>
      </c>
      <c r="J17888" t="s">
        <v>569</v>
      </c>
      <c r="K17888" t="s">
        <v>33</v>
      </c>
      <c r="L17888" t="s">
        <v>162</v>
      </c>
      <c r="N17888" t="s">
        <v>29</v>
      </c>
    </row>
    <row r="17889" spans="1:14">
      <c r="A17889" s="4" t="str">
        <f t="shared" si="1295"/>
        <v>EXP00437</v>
      </c>
      <c r="B17889" s="3" t="s">
        <v>66</v>
      </c>
      <c r="C17889" s="4" t="str">
        <f t="shared" si="1296"/>
        <v>TCGA-PRAD</v>
      </c>
      <c r="D17889" s="1" t="s">
        <v>493</v>
      </c>
      <c r="E17889" t="s">
        <v>568</v>
      </c>
      <c r="F17889" s="1">
        <v>2</v>
      </c>
      <c r="G17889" s="1" t="s">
        <v>32</v>
      </c>
      <c r="H17889" s="4" t="str">
        <f>HYPERLINK("https://portal.gdc.cancer.gov/cases/4db62b98-abd4-4a7c-9fce-8bbda2aec8a3","TCGA-V1-A9Z7-01A")</f>
        <v>TCGA-V1-A9Z7-01A</v>
      </c>
      <c r="I17889" t="s">
        <v>161</v>
      </c>
      <c r="J17889" t="s">
        <v>569</v>
      </c>
      <c r="K17889" t="s">
        <v>33</v>
      </c>
      <c r="L17889" t="s">
        <v>162</v>
      </c>
      <c r="N17889" t="s">
        <v>29</v>
      </c>
    </row>
    <row r="17890" spans="1:14">
      <c r="A17890" s="4" t="str">
        <f t="shared" si="1295"/>
        <v>EXP00437</v>
      </c>
      <c r="B17890" s="3" t="s">
        <v>66</v>
      </c>
      <c r="C17890" s="4" t="str">
        <f t="shared" si="1296"/>
        <v>TCGA-PRAD</v>
      </c>
      <c r="D17890" s="1" t="s">
        <v>493</v>
      </c>
      <c r="E17890" t="s">
        <v>568</v>
      </c>
      <c r="F17890" s="1">
        <v>2</v>
      </c>
      <c r="G17890" s="1" t="s">
        <v>32</v>
      </c>
      <c r="H17890" s="4" t="str">
        <f>HYPERLINK("https://portal.gdc.cancer.gov/cases/9bf4e7bb-6aa9-4be8-a7c3-e630ecff4dce","TCGA-V1-A9Z8-01A")</f>
        <v>TCGA-V1-A9Z8-01A</v>
      </c>
      <c r="I17890" t="s">
        <v>161</v>
      </c>
      <c r="J17890" t="s">
        <v>569</v>
      </c>
      <c r="K17890" t="s">
        <v>33</v>
      </c>
      <c r="L17890" t="s">
        <v>162</v>
      </c>
      <c r="N17890" t="s">
        <v>29</v>
      </c>
    </row>
    <row r="17891" spans="1:14">
      <c r="A17891" s="4" t="str">
        <f t="shared" si="1295"/>
        <v>EXP00437</v>
      </c>
      <c r="B17891" s="3" t="s">
        <v>66</v>
      </c>
      <c r="C17891" s="4" t="str">
        <f t="shared" si="1296"/>
        <v>TCGA-PRAD</v>
      </c>
      <c r="D17891" s="1" t="s">
        <v>493</v>
      </c>
      <c r="E17891" t="s">
        <v>568</v>
      </c>
      <c r="F17891" s="1">
        <v>2</v>
      </c>
      <c r="G17891" s="1" t="s">
        <v>32</v>
      </c>
      <c r="H17891" s="4" t="str">
        <f>HYPERLINK("https://portal.gdc.cancer.gov/cases/0885eb03-de9f-46ba-9c53-fb69c67ab9f0","TCGA-V1-A9Z9-01A")</f>
        <v>TCGA-V1-A9Z9-01A</v>
      </c>
      <c r="I17891" t="s">
        <v>161</v>
      </c>
      <c r="J17891" t="s">
        <v>569</v>
      </c>
      <c r="K17891" t="s">
        <v>33</v>
      </c>
      <c r="L17891" t="s">
        <v>162</v>
      </c>
      <c r="N17891" t="s">
        <v>29</v>
      </c>
    </row>
    <row r="17892" spans="1:14">
      <c r="A17892" s="4" t="str">
        <f t="shared" si="1295"/>
        <v>EXP00437</v>
      </c>
      <c r="B17892" s="3" t="s">
        <v>66</v>
      </c>
      <c r="C17892" s="4" t="str">
        <f t="shared" si="1296"/>
        <v>TCGA-PRAD</v>
      </c>
      <c r="D17892" s="1" t="s">
        <v>493</v>
      </c>
      <c r="E17892" t="s">
        <v>568</v>
      </c>
      <c r="F17892" s="1">
        <v>2</v>
      </c>
      <c r="G17892" s="1" t="s">
        <v>32</v>
      </c>
      <c r="H17892" s="4" t="str">
        <f>HYPERLINK("https://portal.gdc.cancer.gov/cases/dec99f86-622b-477f-a26a-98c954fb1f17","TCGA-V1-A9ZG-01A")</f>
        <v>TCGA-V1-A9ZG-01A</v>
      </c>
      <c r="I17892" t="s">
        <v>161</v>
      </c>
      <c r="J17892" t="s">
        <v>569</v>
      </c>
      <c r="K17892" t="s">
        <v>33</v>
      </c>
      <c r="L17892" t="s">
        <v>162</v>
      </c>
      <c r="N17892" t="s">
        <v>29</v>
      </c>
    </row>
    <row r="17893" spans="1:14">
      <c r="A17893" s="4" t="str">
        <f t="shared" si="1295"/>
        <v>EXP00437</v>
      </c>
      <c r="B17893" s="3" t="s">
        <v>66</v>
      </c>
      <c r="C17893" s="4" t="str">
        <f t="shared" si="1296"/>
        <v>TCGA-PRAD</v>
      </c>
      <c r="D17893" s="1" t="s">
        <v>493</v>
      </c>
      <c r="E17893" t="s">
        <v>568</v>
      </c>
      <c r="F17893" s="1">
        <v>2</v>
      </c>
      <c r="G17893" s="1" t="s">
        <v>32</v>
      </c>
      <c r="H17893" s="4" t="str">
        <f>HYPERLINK("https://portal.gdc.cancer.gov/cases/3d92b872-a76a-49cd-9fd5-7993e78d2fb0","TCGA-V1-A9ZI-01A")</f>
        <v>TCGA-V1-A9ZI-01A</v>
      </c>
      <c r="I17893" t="s">
        <v>161</v>
      </c>
      <c r="J17893" t="s">
        <v>569</v>
      </c>
      <c r="K17893" t="s">
        <v>33</v>
      </c>
      <c r="L17893" t="s">
        <v>162</v>
      </c>
      <c r="N17893" t="s">
        <v>29</v>
      </c>
    </row>
    <row r="17894" spans="1:14">
      <c r="A17894" s="4" t="str">
        <f t="shared" si="1295"/>
        <v>EXP00437</v>
      </c>
      <c r="B17894" s="3" t="s">
        <v>66</v>
      </c>
      <c r="C17894" s="4" t="str">
        <f t="shared" si="1296"/>
        <v>TCGA-PRAD</v>
      </c>
      <c r="D17894" s="1" t="s">
        <v>493</v>
      </c>
      <c r="E17894" t="s">
        <v>568</v>
      </c>
      <c r="F17894" s="1">
        <v>2</v>
      </c>
      <c r="G17894" s="1" t="s">
        <v>32</v>
      </c>
      <c r="H17894" s="4" t="str">
        <f>HYPERLINK("https://portal.gdc.cancer.gov/cases/7dc62c0f-b82d-417f-89a7-4cb984a9d304","TCGA-V1-A9ZK-01A")</f>
        <v>TCGA-V1-A9ZK-01A</v>
      </c>
      <c r="I17894" t="s">
        <v>161</v>
      </c>
      <c r="J17894" t="s">
        <v>569</v>
      </c>
      <c r="K17894" t="s">
        <v>33</v>
      </c>
      <c r="L17894" t="s">
        <v>162</v>
      </c>
      <c r="N17894" t="s">
        <v>29</v>
      </c>
    </row>
    <row r="17895" spans="1:14">
      <c r="A17895" s="4" t="str">
        <f t="shared" si="1295"/>
        <v>EXP00437</v>
      </c>
      <c r="B17895" s="3" t="s">
        <v>66</v>
      </c>
      <c r="C17895" s="4" t="str">
        <f t="shared" si="1296"/>
        <v>TCGA-PRAD</v>
      </c>
      <c r="D17895" s="1" t="s">
        <v>493</v>
      </c>
      <c r="E17895" t="s">
        <v>568</v>
      </c>
      <c r="F17895" s="1">
        <v>2</v>
      </c>
      <c r="G17895" s="1" t="s">
        <v>32</v>
      </c>
      <c r="H17895" s="4" t="str">
        <f>HYPERLINK("https://portal.gdc.cancer.gov/cases/338fe754-fc4a-4294-ba15-42d4c7c9ac10","TCGA-V1-A9ZR-01A")</f>
        <v>TCGA-V1-A9ZR-01A</v>
      </c>
      <c r="I17895" t="s">
        <v>161</v>
      </c>
      <c r="J17895" t="s">
        <v>569</v>
      </c>
      <c r="K17895" t="s">
        <v>33</v>
      </c>
      <c r="L17895" t="s">
        <v>162</v>
      </c>
      <c r="N17895" t="s">
        <v>29</v>
      </c>
    </row>
    <row r="17896" spans="1:14">
      <c r="A17896" s="4" t="str">
        <f t="shared" si="1295"/>
        <v>EXP00437</v>
      </c>
      <c r="B17896" s="3" t="s">
        <v>66</v>
      </c>
      <c r="C17896" s="4" t="str">
        <f t="shared" si="1296"/>
        <v>TCGA-PRAD</v>
      </c>
      <c r="D17896" s="1" t="s">
        <v>493</v>
      </c>
      <c r="E17896" t="s">
        <v>568</v>
      </c>
      <c r="F17896" s="1">
        <v>2</v>
      </c>
      <c r="G17896" s="1" t="s">
        <v>32</v>
      </c>
      <c r="H17896" s="4" t="str">
        <f>HYPERLINK("https://portal.gdc.cancer.gov/cases/c3fd52fe-bdc2-4cca-91c7-590a192f80ed","TCGA-VN-A88I-01A")</f>
        <v>TCGA-VN-A88I-01A</v>
      </c>
      <c r="I17896" t="s">
        <v>161</v>
      </c>
      <c r="J17896" t="s">
        <v>569</v>
      </c>
      <c r="K17896" t="s">
        <v>33</v>
      </c>
      <c r="L17896" t="s">
        <v>162</v>
      </c>
      <c r="N17896" t="s">
        <v>29</v>
      </c>
    </row>
    <row r="17897" spans="1:14">
      <c r="A17897" s="4" t="str">
        <f t="shared" si="1295"/>
        <v>EXP00437</v>
      </c>
      <c r="B17897" s="3" t="s">
        <v>66</v>
      </c>
      <c r="C17897" s="4" t="str">
        <f t="shared" si="1296"/>
        <v>TCGA-PRAD</v>
      </c>
      <c r="D17897" s="1" t="s">
        <v>493</v>
      </c>
      <c r="E17897" t="s">
        <v>568</v>
      </c>
      <c r="F17897" s="1">
        <v>2</v>
      </c>
      <c r="G17897" s="1" t="s">
        <v>32</v>
      </c>
      <c r="H17897" s="4" t="str">
        <f>HYPERLINK("https://portal.gdc.cancer.gov/cases/a186c956-6756-4339-9793-494fe9b80c94","TCGA-VN-A88K-01A")</f>
        <v>TCGA-VN-A88K-01A</v>
      </c>
      <c r="I17897" t="s">
        <v>161</v>
      </c>
      <c r="J17897" t="s">
        <v>569</v>
      </c>
      <c r="K17897" t="s">
        <v>33</v>
      </c>
      <c r="L17897" t="s">
        <v>162</v>
      </c>
      <c r="N17897" t="s">
        <v>29</v>
      </c>
    </row>
    <row r="17898" spans="1:14">
      <c r="A17898" s="4" t="str">
        <f t="shared" si="1295"/>
        <v>EXP00437</v>
      </c>
      <c r="B17898" s="3" t="s">
        <v>66</v>
      </c>
      <c r="C17898" s="4" t="str">
        <f t="shared" si="1296"/>
        <v>TCGA-PRAD</v>
      </c>
      <c r="D17898" s="1" t="s">
        <v>493</v>
      </c>
      <c r="E17898" t="s">
        <v>568</v>
      </c>
      <c r="F17898" s="1">
        <v>2</v>
      </c>
      <c r="G17898" s="1" t="s">
        <v>32</v>
      </c>
      <c r="H17898" s="4" t="str">
        <f>HYPERLINK("https://portal.gdc.cancer.gov/cases/74602e83-3ee3-4ee7-b05a-135fbdddcc5c","TCGA-VN-A88L-01A")</f>
        <v>TCGA-VN-A88L-01A</v>
      </c>
      <c r="I17898" t="s">
        <v>161</v>
      </c>
      <c r="J17898" t="s">
        <v>569</v>
      </c>
      <c r="K17898" t="s">
        <v>33</v>
      </c>
      <c r="L17898" t="s">
        <v>162</v>
      </c>
      <c r="N17898" t="s">
        <v>29</v>
      </c>
    </row>
    <row r="17899" spans="1:14">
      <c r="A17899" s="4" t="str">
        <f t="shared" si="1295"/>
        <v>EXP00437</v>
      </c>
      <c r="B17899" s="3" t="s">
        <v>66</v>
      </c>
      <c r="C17899" s="4" t="str">
        <f t="shared" si="1296"/>
        <v>TCGA-PRAD</v>
      </c>
      <c r="D17899" s="1" t="s">
        <v>493</v>
      </c>
      <c r="E17899" t="s">
        <v>568</v>
      </c>
      <c r="F17899" s="1">
        <v>2</v>
      </c>
      <c r="G17899" s="1" t="s">
        <v>32</v>
      </c>
      <c r="H17899" s="4" t="str">
        <f>HYPERLINK("https://portal.gdc.cancer.gov/cases/35243518-b086-4d76-a336-8c61a14f9ded","TCGA-VN-A88M-01A")</f>
        <v>TCGA-VN-A88M-01A</v>
      </c>
      <c r="I17899" t="s">
        <v>161</v>
      </c>
      <c r="J17899" t="s">
        <v>569</v>
      </c>
      <c r="K17899" t="s">
        <v>33</v>
      </c>
      <c r="L17899" t="s">
        <v>162</v>
      </c>
      <c r="N17899" t="s">
        <v>29</v>
      </c>
    </row>
    <row r="17900" spans="1:14">
      <c r="A17900" s="4" t="str">
        <f t="shared" si="1295"/>
        <v>EXP00437</v>
      </c>
      <c r="B17900" s="3" t="s">
        <v>66</v>
      </c>
      <c r="C17900" s="4" t="str">
        <f t="shared" si="1296"/>
        <v>TCGA-PRAD</v>
      </c>
      <c r="D17900" s="1" t="s">
        <v>493</v>
      </c>
      <c r="E17900" t="s">
        <v>568</v>
      </c>
      <c r="F17900" s="1">
        <v>2</v>
      </c>
      <c r="G17900" s="1" t="s">
        <v>32</v>
      </c>
      <c r="H17900" s="4" t="str">
        <f>HYPERLINK("https://portal.gdc.cancer.gov/cases/e9a4c770-665f-454b-81f7-b8ae3f1e154e","TCGA-VN-A88N-01A")</f>
        <v>TCGA-VN-A88N-01A</v>
      </c>
      <c r="I17900" t="s">
        <v>161</v>
      </c>
      <c r="J17900" t="s">
        <v>569</v>
      </c>
      <c r="K17900" t="s">
        <v>33</v>
      </c>
      <c r="L17900" t="s">
        <v>162</v>
      </c>
      <c r="N17900" t="s">
        <v>29</v>
      </c>
    </row>
    <row r="17901" spans="1:14">
      <c r="A17901" s="4" t="str">
        <f t="shared" si="1295"/>
        <v>EXP00437</v>
      </c>
      <c r="B17901" s="3" t="s">
        <v>66</v>
      </c>
      <c r="C17901" s="4" t="str">
        <f t="shared" si="1296"/>
        <v>TCGA-PRAD</v>
      </c>
      <c r="D17901" s="1" t="s">
        <v>493</v>
      </c>
      <c r="E17901" t="s">
        <v>568</v>
      </c>
      <c r="F17901" s="1">
        <v>2</v>
      </c>
      <c r="G17901" s="1" t="s">
        <v>32</v>
      </c>
      <c r="H17901" s="4" t="str">
        <f>HYPERLINK("https://portal.gdc.cancer.gov/cases/eb715348-7c5c-4e95-bac8-05604bdda2da","TCGA-VN-A88O-01A")</f>
        <v>TCGA-VN-A88O-01A</v>
      </c>
      <c r="I17901" t="s">
        <v>161</v>
      </c>
      <c r="J17901" t="s">
        <v>569</v>
      </c>
      <c r="K17901" t="s">
        <v>33</v>
      </c>
      <c r="L17901" t="s">
        <v>162</v>
      </c>
      <c r="N17901" t="s">
        <v>29</v>
      </c>
    </row>
    <row r="17902" spans="1:14">
      <c r="A17902" s="4" t="str">
        <f t="shared" si="1295"/>
        <v>EXP00437</v>
      </c>
      <c r="B17902" s="3" t="s">
        <v>66</v>
      </c>
      <c r="C17902" s="4" t="str">
        <f t="shared" si="1296"/>
        <v>TCGA-PRAD</v>
      </c>
      <c r="D17902" s="1" t="s">
        <v>493</v>
      </c>
      <c r="E17902" t="s">
        <v>568</v>
      </c>
      <c r="F17902" s="1">
        <v>2</v>
      </c>
      <c r="G17902" s="1" t="s">
        <v>32</v>
      </c>
      <c r="H17902" s="4" t="str">
        <f>HYPERLINK("https://portal.gdc.cancer.gov/cases/74c7dd37-7ff5-47ac-aeb7-14202871b6f1","TCGA-VN-A88P-01A")</f>
        <v>TCGA-VN-A88P-01A</v>
      </c>
      <c r="I17902" t="s">
        <v>161</v>
      </c>
      <c r="J17902" t="s">
        <v>569</v>
      </c>
      <c r="K17902" t="s">
        <v>33</v>
      </c>
      <c r="L17902" t="s">
        <v>162</v>
      </c>
      <c r="N17902" t="s">
        <v>29</v>
      </c>
    </row>
    <row r="17903" spans="1:14">
      <c r="A17903" s="4" t="str">
        <f t="shared" si="1295"/>
        <v>EXP00437</v>
      </c>
      <c r="B17903" s="3" t="s">
        <v>66</v>
      </c>
      <c r="C17903" s="4" t="str">
        <f t="shared" si="1296"/>
        <v>TCGA-PRAD</v>
      </c>
      <c r="D17903" s="1" t="s">
        <v>493</v>
      </c>
      <c r="E17903" t="s">
        <v>568</v>
      </c>
      <c r="F17903" s="1">
        <v>2</v>
      </c>
      <c r="G17903" s="1" t="s">
        <v>32</v>
      </c>
      <c r="H17903" s="4" t="str">
        <f>HYPERLINK("https://portal.gdc.cancer.gov/cases/ab540819-9531-4e99-868a-751649f25e6a","TCGA-VN-A88Q-01A")</f>
        <v>TCGA-VN-A88Q-01A</v>
      </c>
      <c r="I17903" t="s">
        <v>161</v>
      </c>
      <c r="J17903" t="s">
        <v>569</v>
      </c>
      <c r="K17903" t="s">
        <v>33</v>
      </c>
      <c r="L17903" t="s">
        <v>162</v>
      </c>
      <c r="N17903" t="s">
        <v>29</v>
      </c>
    </row>
    <row r="17904" spans="1:14">
      <c r="A17904" s="4" t="str">
        <f t="shared" si="1295"/>
        <v>EXP00437</v>
      </c>
      <c r="B17904" s="3" t="s">
        <v>66</v>
      </c>
      <c r="C17904" s="4" t="str">
        <f t="shared" si="1296"/>
        <v>TCGA-PRAD</v>
      </c>
      <c r="D17904" s="1" t="s">
        <v>493</v>
      </c>
      <c r="E17904" t="s">
        <v>568</v>
      </c>
      <c r="F17904" s="1">
        <v>2</v>
      </c>
      <c r="G17904" s="1" t="s">
        <v>32</v>
      </c>
      <c r="H17904" s="4" t="str">
        <f>HYPERLINK("https://portal.gdc.cancer.gov/cases/fcf64b55-5c4f-4d82-ac6a-4713d01143cb","TCGA-VN-A88R-01A")</f>
        <v>TCGA-VN-A88R-01A</v>
      </c>
      <c r="I17904" t="s">
        <v>161</v>
      </c>
      <c r="J17904" t="s">
        <v>569</v>
      </c>
      <c r="K17904" t="s">
        <v>33</v>
      </c>
      <c r="L17904" t="s">
        <v>162</v>
      </c>
      <c r="N17904" t="s">
        <v>29</v>
      </c>
    </row>
    <row r="17905" spans="1:14">
      <c r="A17905" s="4" t="str">
        <f t="shared" si="1295"/>
        <v>EXP00437</v>
      </c>
      <c r="B17905" s="3" t="s">
        <v>66</v>
      </c>
      <c r="C17905" s="4" t="str">
        <f t="shared" si="1296"/>
        <v>TCGA-PRAD</v>
      </c>
      <c r="D17905" s="1" t="s">
        <v>493</v>
      </c>
      <c r="E17905" t="s">
        <v>568</v>
      </c>
      <c r="F17905" s="1">
        <v>2</v>
      </c>
      <c r="G17905" s="1" t="s">
        <v>32</v>
      </c>
      <c r="H17905" s="4" t="str">
        <f>HYPERLINK("https://portal.gdc.cancer.gov/cases/92f45022-ee76-418d-8f9e-c3509efda0c0","TCGA-VN-A943-01A")</f>
        <v>TCGA-VN-A943-01A</v>
      </c>
      <c r="I17905" t="s">
        <v>161</v>
      </c>
      <c r="J17905" t="s">
        <v>569</v>
      </c>
      <c r="K17905" t="s">
        <v>33</v>
      </c>
      <c r="L17905" t="s">
        <v>162</v>
      </c>
      <c r="N17905" t="s">
        <v>29</v>
      </c>
    </row>
    <row r="17906" spans="1:14">
      <c r="A17906" s="4" t="str">
        <f t="shared" si="1295"/>
        <v>EXP00437</v>
      </c>
      <c r="B17906" s="3" t="s">
        <v>66</v>
      </c>
      <c r="C17906" s="4" t="str">
        <f t="shared" si="1296"/>
        <v>TCGA-PRAD</v>
      </c>
      <c r="D17906" s="1" t="s">
        <v>493</v>
      </c>
      <c r="E17906" t="s">
        <v>568</v>
      </c>
      <c r="F17906" s="1">
        <v>2</v>
      </c>
      <c r="G17906" s="1" t="s">
        <v>32</v>
      </c>
      <c r="H17906" s="4" t="str">
        <f>HYPERLINK("https://portal.gdc.cancer.gov/cases/7fc65e49-0401-4a36-8800-fd87b7927fc1","TCGA-VP-A872-01A")</f>
        <v>TCGA-VP-A872-01A</v>
      </c>
      <c r="I17906" t="s">
        <v>161</v>
      </c>
      <c r="J17906" t="s">
        <v>569</v>
      </c>
      <c r="K17906" t="s">
        <v>33</v>
      </c>
      <c r="L17906" t="s">
        <v>162</v>
      </c>
      <c r="N17906" t="s">
        <v>29</v>
      </c>
    </row>
    <row r="17907" spans="1:14">
      <c r="A17907" s="4" t="str">
        <f t="shared" si="1295"/>
        <v>EXP00437</v>
      </c>
      <c r="B17907" s="3" t="s">
        <v>66</v>
      </c>
      <c r="C17907" s="4" t="str">
        <f t="shared" si="1296"/>
        <v>TCGA-PRAD</v>
      </c>
      <c r="D17907" s="1" t="s">
        <v>493</v>
      </c>
      <c r="E17907" t="s">
        <v>568</v>
      </c>
      <c r="F17907" s="1">
        <v>2</v>
      </c>
      <c r="G17907" s="1" t="s">
        <v>32</v>
      </c>
      <c r="H17907" s="4" t="str">
        <f>HYPERLINK("https://portal.gdc.cancer.gov/cases/e833ad67-2cb3-414c-b15e-28f49479e2ef","TCGA-VP-A875-01A")</f>
        <v>TCGA-VP-A875-01A</v>
      </c>
      <c r="I17907" t="s">
        <v>161</v>
      </c>
      <c r="J17907" t="s">
        <v>569</v>
      </c>
      <c r="K17907" t="s">
        <v>33</v>
      </c>
      <c r="L17907" t="s">
        <v>162</v>
      </c>
      <c r="N17907" t="s">
        <v>29</v>
      </c>
    </row>
    <row r="17908" spans="1:14">
      <c r="A17908" s="4" t="str">
        <f t="shared" si="1295"/>
        <v>EXP00437</v>
      </c>
      <c r="B17908" s="3" t="s">
        <v>66</v>
      </c>
      <c r="C17908" s="4" t="str">
        <f t="shared" si="1296"/>
        <v>TCGA-PRAD</v>
      </c>
      <c r="D17908" s="1" t="s">
        <v>493</v>
      </c>
      <c r="E17908" t="s">
        <v>568</v>
      </c>
      <c r="F17908" s="1">
        <v>2</v>
      </c>
      <c r="G17908" s="1" t="s">
        <v>32</v>
      </c>
      <c r="H17908" s="4" t="str">
        <f>HYPERLINK("https://portal.gdc.cancer.gov/cases/75d22d59-dec8-4f59-86c8-36b5e9f4fb0d","TCGA-VP-A876-01A")</f>
        <v>TCGA-VP-A876-01A</v>
      </c>
      <c r="I17908" t="s">
        <v>161</v>
      </c>
      <c r="J17908" t="s">
        <v>569</v>
      </c>
      <c r="K17908" t="s">
        <v>33</v>
      </c>
      <c r="L17908" t="s">
        <v>162</v>
      </c>
      <c r="N17908" t="s">
        <v>29</v>
      </c>
    </row>
    <row r="17909" spans="1:14">
      <c r="A17909" s="4" t="str">
        <f t="shared" si="1295"/>
        <v>EXP00437</v>
      </c>
      <c r="B17909" s="3" t="s">
        <v>66</v>
      </c>
      <c r="C17909" s="4" t="str">
        <f t="shared" si="1296"/>
        <v>TCGA-PRAD</v>
      </c>
      <c r="D17909" s="1" t="s">
        <v>493</v>
      </c>
      <c r="E17909" t="s">
        <v>568</v>
      </c>
      <c r="F17909" s="1">
        <v>2</v>
      </c>
      <c r="G17909" s="1" t="s">
        <v>32</v>
      </c>
      <c r="H17909" s="4" t="str">
        <f>HYPERLINK("https://portal.gdc.cancer.gov/cases/48f36fbe-356a-40af-b81f-8ea0b1369bab","TCGA-VP-A878-01A")</f>
        <v>TCGA-VP-A878-01A</v>
      </c>
      <c r="I17909" t="s">
        <v>161</v>
      </c>
      <c r="J17909" t="s">
        <v>569</v>
      </c>
      <c r="K17909" t="s">
        <v>33</v>
      </c>
      <c r="L17909" t="s">
        <v>162</v>
      </c>
      <c r="N17909" t="s">
        <v>29</v>
      </c>
    </row>
    <row r="17910" spans="1:14">
      <c r="A17910" s="4" t="str">
        <f t="shared" si="1295"/>
        <v>EXP00437</v>
      </c>
      <c r="B17910" s="3" t="s">
        <v>66</v>
      </c>
      <c r="C17910" s="4" t="str">
        <f t="shared" si="1296"/>
        <v>TCGA-PRAD</v>
      </c>
      <c r="D17910" s="1" t="s">
        <v>493</v>
      </c>
      <c r="E17910" t="s">
        <v>568</v>
      </c>
      <c r="F17910" s="1">
        <v>2</v>
      </c>
      <c r="G17910" s="1" t="s">
        <v>32</v>
      </c>
      <c r="H17910" s="4" t="str">
        <f>HYPERLINK("https://portal.gdc.cancer.gov/cases/11882dac-3ba3-40fa-8af4-174cba77881a","TCGA-VP-A879-01A")</f>
        <v>TCGA-VP-A879-01A</v>
      </c>
      <c r="I17910" t="s">
        <v>161</v>
      </c>
      <c r="J17910" t="s">
        <v>569</v>
      </c>
      <c r="K17910" t="s">
        <v>33</v>
      </c>
      <c r="L17910" t="s">
        <v>162</v>
      </c>
      <c r="N17910" t="s">
        <v>29</v>
      </c>
    </row>
    <row r="17911" spans="1:14">
      <c r="A17911" s="4" t="str">
        <f t="shared" si="1295"/>
        <v>EXP00437</v>
      </c>
      <c r="B17911" s="3" t="s">
        <v>66</v>
      </c>
      <c r="C17911" s="4" t="str">
        <f t="shared" si="1296"/>
        <v>TCGA-PRAD</v>
      </c>
      <c r="D17911" s="1" t="s">
        <v>493</v>
      </c>
      <c r="E17911" t="s">
        <v>568</v>
      </c>
      <c r="F17911" s="1">
        <v>2</v>
      </c>
      <c r="G17911" s="1" t="s">
        <v>32</v>
      </c>
      <c r="H17911" s="4" t="str">
        <f>HYPERLINK("https://portal.gdc.cancer.gov/cases/17c0ce0f-8227-4119-9b39-ea8db18f5f4b","TCGA-VP-A87B-01A")</f>
        <v>TCGA-VP-A87B-01A</v>
      </c>
      <c r="I17911" t="s">
        <v>161</v>
      </c>
      <c r="J17911" t="s">
        <v>569</v>
      </c>
      <c r="K17911" t="s">
        <v>33</v>
      </c>
      <c r="L17911" t="s">
        <v>162</v>
      </c>
      <c r="N17911" t="s">
        <v>29</v>
      </c>
    </row>
    <row r="17912" spans="1:14">
      <c r="A17912" s="4" t="str">
        <f t="shared" si="1295"/>
        <v>EXP00437</v>
      </c>
      <c r="B17912" s="3" t="s">
        <v>66</v>
      </c>
      <c r="C17912" s="4" t="str">
        <f t="shared" si="1296"/>
        <v>TCGA-PRAD</v>
      </c>
      <c r="D17912" s="1" t="s">
        <v>493</v>
      </c>
      <c r="E17912" t="s">
        <v>568</v>
      </c>
      <c r="F17912" s="1">
        <v>2</v>
      </c>
      <c r="G17912" s="1" t="s">
        <v>32</v>
      </c>
      <c r="H17912" s="4" t="str">
        <f>HYPERLINK("https://portal.gdc.cancer.gov/cases/7c398299-d789-4185-adfa-194817877947","TCGA-VP-A87C-01A")</f>
        <v>TCGA-VP-A87C-01A</v>
      </c>
      <c r="I17912" t="s">
        <v>161</v>
      </c>
      <c r="J17912" t="s">
        <v>569</v>
      </c>
      <c r="K17912" t="s">
        <v>33</v>
      </c>
      <c r="L17912" t="s">
        <v>162</v>
      </c>
      <c r="N17912" t="s">
        <v>29</v>
      </c>
    </row>
    <row r="17913" spans="1:14">
      <c r="A17913" s="4" t="str">
        <f t="shared" si="1295"/>
        <v>EXP00437</v>
      </c>
      <c r="B17913" s="3" t="s">
        <v>66</v>
      </c>
      <c r="C17913" s="4" t="str">
        <f t="shared" si="1296"/>
        <v>TCGA-PRAD</v>
      </c>
      <c r="D17913" s="1" t="s">
        <v>493</v>
      </c>
      <c r="E17913" t="s">
        <v>568</v>
      </c>
      <c r="F17913" s="1">
        <v>2</v>
      </c>
      <c r="G17913" s="1" t="s">
        <v>32</v>
      </c>
      <c r="H17913" s="4" t="str">
        <f>HYPERLINK("https://portal.gdc.cancer.gov/cases/aa405b5f-f75d-486a-96f3-1df7add18193","TCGA-VP-A87D-01A")</f>
        <v>TCGA-VP-A87D-01A</v>
      </c>
      <c r="I17913" t="s">
        <v>161</v>
      </c>
      <c r="J17913" t="s">
        <v>569</v>
      </c>
      <c r="K17913" t="s">
        <v>33</v>
      </c>
      <c r="L17913" t="s">
        <v>162</v>
      </c>
      <c r="N17913" t="s">
        <v>29</v>
      </c>
    </row>
    <row r="17914" spans="1:14">
      <c r="A17914" s="4" t="str">
        <f t="shared" si="1295"/>
        <v>EXP00437</v>
      </c>
      <c r="B17914" s="3" t="s">
        <v>66</v>
      </c>
      <c r="C17914" s="4" t="str">
        <f t="shared" si="1296"/>
        <v>TCGA-PRAD</v>
      </c>
      <c r="D17914" s="1" t="s">
        <v>493</v>
      </c>
      <c r="E17914" t="s">
        <v>568</v>
      </c>
      <c r="F17914" s="1">
        <v>2</v>
      </c>
      <c r="G17914" s="1" t="s">
        <v>32</v>
      </c>
      <c r="H17914" s="4" t="str">
        <f>HYPERLINK("https://portal.gdc.cancer.gov/cases/dc20ecf0-2807-4675-a7fd-8ead1cee7ea0","TCGA-VP-A87E-01A")</f>
        <v>TCGA-VP-A87E-01A</v>
      </c>
      <c r="I17914" t="s">
        <v>161</v>
      </c>
      <c r="J17914" t="s">
        <v>569</v>
      </c>
      <c r="K17914" t="s">
        <v>33</v>
      </c>
      <c r="L17914" t="s">
        <v>162</v>
      </c>
      <c r="N17914" t="s">
        <v>29</v>
      </c>
    </row>
    <row r="17915" spans="1:14">
      <c r="A17915" s="4" t="str">
        <f t="shared" si="1295"/>
        <v>EXP00437</v>
      </c>
      <c r="B17915" s="3" t="s">
        <v>66</v>
      </c>
      <c r="C17915" s="4" t="str">
        <f t="shared" si="1296"/>
        <v>TCGA-PRAD</v>
      </c>
      <c r="D17915" s="1" t="s">
        <v>493</v>
      </c>
      <c r="E17915" t="s">
        <v>568</v>
      </c>
      <c r="F17915" s="1">
        <v>2</v>
      </c>
      <c r="G17915" s="1" t="s">
        <v>32</v>
      </c>
      <c r="H17915" s="4" t="str">
        <f>HYPERLINK("https://portal.gdc.cancer.gov/cases/661dc657-d2b3-44fa-b859-2c4ee42b0046","TCGA-VP-A87H-01A")</f>
        <v>TCGA-VP-A87H-01A</v>
      </c>
      <c r="I17915" t="s">
        <v>161</v>
      </c>
      <c r="J17915" t="s">
        <v>569</v>
      </c>
      <c r="K17915" t="s">
        <v>33</v>
      </c>
      <c r="L17915" t="s">
        <v>162</v>
      </c>
      <c r="N17915" t="s">
        <v>29</v>
      </c>
    </row>
    <row r="17916" spans="1:14">
      <c r="A17916" s="4" t="str">
        <f t="shared" si="1295"/>
        <v>EXP00437</v>
      </c>
      <c r="B17916" s="3" t="s">
        <v>66</v>
      </c>
      <c r="C17916" s="4" t="str">
        <f t="shared" si="1296"/>
        <v>TCGA-PRAD</v>
      </c>
      <c r="D17916" s="1" t="s">
        <v>493</v>
      </c>
      <c r="E17916" t="s">
        <v>568</v>
      </c>
      <c r="F17916" s="1">
        <v>2</v>
      </c>
      <c r="G17916" s="1" t="s">
        <v>32</v>
      </c>
      <c r="H17916" s="4" t="str">
        <f>HYPERLINK("https://portal.gdc.cancer.gov/cases/486d225f-eca6-499b-a142-dd86137b22e4","TCGA-VP-A87J-01A")</f>
        <v>TCGA-VP-A87J-01A</v>
      </c>
      <c r="I17916" t="s">
        <v>161</v>
      </c>
      <c r="J17916" t="s">
        <v>569</v>
      </c>
      <c r="K17916" t="s">
        <v>33</v>
      </c>
      <c r="L17916" t="s">
        <v>162</v>
      </c>
      <c r="N17916" t="s">
        <v>29</v>
      </c>
    </row>
    <row r="17917" spans="1:14">
      <c r="A17917" s="4" t="str">
        <f t="shared" si="1295"/>
        <v>EXP00437</v>
      </c>
      <c r="B17917" s="3" t="s">
        <v>66</v>
      </c>
      <c r="C17917" s="4" t="str">
        <f t="shared" si="1296"/>
        <v>TCGA-PRAD</v>
      </c>
      <c r="D17917" s="1" t="s">
        <v>493</v>
      </c>
      <c r="E17917" t="s">
        <v>568</v>
      </c>
      <c r="F17917" s="1">
        <v>2</v>
      </c>
      <c r="G17917" s="1" t="s">
        <v>32</v>
      </c>
      <c r="H17917" s="4" t="str">
        <f>HYPERLINK("https://portal.gdc.cancer.gov/cases/24d7d4d8-f5c1-4d71-80e0-72a429fc9dbd","TCGA-VP-A87K-01A")</f>
        <v>TCGA-VP-A87K-01A</v>
      </c>
      <c r="I17917" t="s">
        <v>161</v>
      </c>
      <c r="J17917" t="s">
        <v>569</v>
      </c>
      <c r="K17917" t="s">
        <v>33</v>
      </c>
      <c r="L17917" t="s">
        <v>162</v>
      </c>
      <c r="N17917" t="s">
        <v>29</v>
      </c>
    </row>
    <row r="17918" spans="1:14">
      <c r="A17918" s="4" t="str">
        <f t="shared" si="1295"/>
        <v>EXP00437</v>
      </c>
      <c r="B17918" s="3" t="s">
        <v>66</v>
      </c>
      <c r="C17918" s="4" t="str">
        <f t="shared" si="1296"/>
        <v>TCGA-PRAD</v>
      </c>
      <c r="D17918" s="1" t="s">
        <v>493</v>
      </c>
      <c r="E17918" t="s">
        <v>568</v>
      </c>
      <c r="F17918" s="1">
        <v>2</v>
      </c>
      <c r="G17918" s="1" t="s">
        <v>32</v>
      </c>
      <c r="H17918" s="4" t="str">
        <f>HYPERLINK("https://portal.gdc.cancer.gov/cases/ea953ce5-7082-41ff-8e38-760fe4100414","TCGA-VP-AA1N-01A")</f>
        <v>TCGA-VP-AA1N-01A</v>
      </c>
      <c r="I17918" t="s">
        <v>161</v>
      </c>
      <c r="J17918" t="s">
        <v>569</v>
      </c>
      <c r="K17918" t="s">
        <v>33</v>
      </c>
      <c r="L17918" t="s">
        <v>162</v>
      </c>
      <c r="N17918" t="s">
        <v>29</v>
      </c>
    </row>
    <row r="17919" spans="1:14">
      <c r="A17919" s="4" t="str">
        <f t="shared" si="1295"/>
        <v>EXP00437</v>
      </c>
      <c r="B17919" s="3" t="s">
        <v>66</v>
      </c>
      <c r="C17919" s="4" t="str">
        <f t="shared" si="1296"/>
        <v>TCGA-PRAD</v>
      </c>
      <c r="D17919" s="1" t="s">
        <v>493</v>
      </c>
      <c r="E17919" t="s">
        <v>568</v>
      </c>
      <c r="F17919" s="1">
        <v>2</v>
      </c>
      <c r="G17919" s="1" t="s">
        <v>32</v>
      </c>
      <c r="H17919" s="4" t="str">
        <f>HYPERLINK("https://portal.gdc.cancer.gov/cases/abeb0894-862f-4035-a6d9-fe0ba61630a9","TCGA-WW-A8ZI-01A")</f>
        <v>TCGA-WW-A8ZI-01A</v>
      </c>
      <c r="I17919" t="s">
        <v>161</v>
      </c>
      <c r="J17919" t="s">
        <v>569</v>
      </c>
      <c r="K17919" t="s">
        <v>33</v>
      </c>
      <c r="L17919" t="s">
        <v>162</v>
      </c>
      <c r="N17919" t="s">
        <v>29</v>
      </c>
    </row>
    <row r="17920" spans="1:14">
      <c r="A17920" s="4" t="str">
        <f t="shared" si="1295"/>
        <v>EXP00437</v>
      </c>
      <c r="B17920" s="3" t="s">
        <v>66</v>
      </c>
      <c r="C17920" s="4" t="str">
        <f t="shared" si="1296"/>
        <v>TCGA-PRAD</v>
      </c>
      <c r="D17920" s="1" t="s">
        <v>493</v>
      </c>
      <c r="E17920" t="s">
        <v>568</v>
      </c>
      <c r="F17920" s="1">
        <v>2</v>
      </c>
      <c r="G17920" s="1" t="s">
        <v>32</v>
      </c>
      <c r="H17920" s="4" t="str">
        <f>HYPERLINK("https://portal.gdc.cancer.gov/cases/56353d9c-9578-4d62-9dcd-92d800efdea0","TCGA-X4-A8KQ-01A")</f>
        <v>TCGA-X4-A8KQ-01A</v>
      </c>
      <c r="I17920" t="s">
        <v>161</v>
      </c>
      <c r="J17920" t="s">
        <v>569</v>
      </c>
      <c r="K17920" t="s">
        <v>33</v>
      </c>
      <c r="L17920" t="s">
        <v>162</v>
      </c>
      <c r="N17920" t="s">
        <v>29</v>
      </c>
    </row>
    <row r="17921" spans="1:14">
      <c r="A17921" s="4" t="str">
        <f t="shared" si="1295"/>
        <v>EXP00437</v>
      </c>
      <c r="B17921" s="3" t="s">
        <v>66</v>
      </c>
      <c r="C17921" s="4" t="str">
        <f t="shared" si="1296"/>
        <v>TCGA-PRAD</v>
      </c>
      <c r="D17921" s="1" t="s">
        <v>493</v>
      </c>
      <c r="E17921" t="s">
        <v>568</v>
      </c>
      <c r="F17921" s="1">
        <v>2</v>
      </c>
      <c r="G17921" s="1" t="s">
        <v>32</v>
      </c>
      <c r="H17921" s="4" t="str">
        <f>HYPERLINK("https://portal.gdc.cancer.gov/cases/56829c8d-7bb7-4aac-999f-b1353db4915d","TCGA-X4-A8KS-01A")</f>
        <v>TCGA-X4-A8KS-01A</v>
      </c>
      <c r="I17921" t="s">
        <v>161</v>
      </c>
      <c r="J17921" t="s">
        <v>569</v>
      </c>
      <c r="K17921" t="s">
        <v>33</v>
      </c>
      <c r="L17921" t="s">
        <v>162</v>
      </c>
      <c r="N17921" t="s">
        <v>29</v>
      </c>
    </row>
    <row r="17922" spans="1:14">
      <c r="A17922" s="4" t="str">
        <f t="shared" si="1295"/>
        <v>EXP00437</v>
      </c>
      <c r="B17922" s="3" t="s">
        <v>66</v>
      </c>
      <c r="C17922" s="4" t="str">
        <f t="shared" si="1296"/>
        <v>TCGA-PRAD</v>
      </c>
      <c r="D17922" s="1" t="s">
        <v>493</v>
      </c>
      <c r="E17922" t="s">
        <v>568</v>
      </c>
      <c r="F17922" s="1">
        <v>2</v>
      </c>
      <c r="G17922" s="1" t="s">
        <v>32</v>
      </c>
      <c r="H17922" s="4" t="str">
        <f>HYPERLINK("https://portal.gdc.cancer.gov/cases/5e15dcc7-932e-4d9a-a765-bd5ff1cd7aea","TCGA-XA-A8JR-01A")</f>
        <v>TCGA-XA-A8JR-01A</v>
      </c>
      <c r="I17922" t="s">
        <v>161</v>
      </c>
      <c r="J17922" t="s">
        <v>569</v>
      </c>
      <c r="K17922" t="s">
        <v>33</v>
      </c>
      <c r="L17922" t="s">
        <v>162</v>
      </c>
      <c r="N17922" t="s">
        <v>29</v>
      </c>
    </row>
    <row r="17923" spans="1:14">
      <c r="A17923" s="4" t="str">
        <f t="shared" si="1295"/>
        <v>EXP00437</v>
      </c>
      <c r="B17923" s="3" t="s">
        <v>66</v>
      </c>
      <c r="C17923" s="4" t="str">
        <f t="shared" si="1296"/>
        <v>TCGA-PRAD</v>
      </c>
      <c r="D17923" s="1" t="s">
        <v>493</v>
      </c>
      <c r="E17923" t="s">
        <v>568</v>
      </c>
      <c r="F17923" s="1">
        <v>2</v>
      </c>
      <c r="G17923" s="1" t="s">
        <v>32</v>
      </c>
      <c r="H17923" s="4" t="str">
        <f>HYPERLINK("https://portal.gdc.cancer.gov/cases/bdd4fefa-512a-4720-9f9e-11eb3892fe3c","TCGA-XJ-A83F-01A")</f>
        <v>TCGA-XJ-A83F-01A</v>
      </c>
      <c r="I17923" t="s">
        <v>161</v>
      </c>
      <c r="J17923" t="s">
        <v>569</v>
      </c>
      <c r="K17923" t="s">
        <v>33</v>
      </c>
      <c r="L17923" t="s">
        <v>162</v>
      </c>
      <c r="N17923" t="s">
        <v>29</v>
      </c>
    </row>
    <row r="17924" spans="1:14">
      <c r="A17924" s="4" t="str">
        <f t="shared" si="1295"/>
        <v>EXP00437</v>
      </c>
      <c r="B17924" s="3" t="s">
        <v>66</v>
      </c>
      <c r="C17924" s="4" t="str">
        <f t="shared" si="1296"/>
        <v>TCGA-PRAD</v>
      </c>
      <c r="D17924" s="1" t="s">
        <v>493</v>
      </c>
      <c r="E17924" t="s">
        <v>568</v>
      </c>
      <c r="F17924" s="1">
        <v>2</v>
      </c>
      <c r="G17924" s="1" t="s">
        <v>32</v>
      </c>
      <c r="H17924" s="4" t="str">
        <f>HYPERLINK("https://portal.gdc.cancer.gov/cases/bf428d43-2da6-43fc-bd62-7cbff84e95ec","TCGA-XJ-A83G-01A")</f>
        <v>TCGA-XJ-A83G-01A</v>
      </c>
      <c r="I17924" t="s">
        <v>161</v>
      </c>
      <c r="J17924" t="s">
        <v>569</v>
      </c>
      <c r="K17924" t="s">
        <v>33</v>
      </c>
      <c r="L17924" t="s">
        <v>162</v>
      </c>
      <c r="N17924" t="s">
        <v>29</v>
      </c>
    </row>
    <row r="17925" spans="1:14">
      <c r="A17925" s="4" t="str">
        <f t="shared" si="1295"/>
        <v>EXP00437</v>
      </c>
      <c r="B17925" s="3" t="s">
        <v>66</v>
      </c>
      <c r="C17925" s="4" t="str">
        <f t="shared" si="1296"/>
        <v>TCGA-PRAD</v>
      </c>
      <c r="D17925" s="1" t="s">
        <v>493</v>
      </c>
      <c r="E17925" t="s">
        <v>568</v>
      </c>
      <c r="F17925" s="1">
        <v>2</v>
      </c>
      <c r="G17925" s="1" t="s">
        <v>32</v>
      </c>
      <c r="H17925" s="4" t="str">
        <f>HYPERLINK("https://portal.gdc.cancer.gov/cases/58c27028-f37c-4cf1-b134-bd9aec9bf170","TCGA-XJ-A83H-01A")</f>
        <v>TCGA-XJ-A83H-01A</v>
      </c>
      <c r="I17925" t="s">
        <v>161</v>
      </c>
      <c r="J17925" t="s">
        <v>569</v>
      </c>
      <c r="K17925" t="s">
        <v>33</v>
      </c>
      <c r="L17925" t="s">
        <v>162</v>
      </c>
      <c r="N17925" t="s">
        <v>29</v>
      </c>
    </row>
    <row r="17926" spans="1:14">
      <c r="A17926" s="4" t="str">
        <f t="shared" si="1295"/>
        <v>EXP00437</v>
      </c>
      <c r="B17926" s="3" t="s">
        <v>66</v>
      </c>
      <c r="C17926" s="4" t="str">
        <f t="shared" si="1296"/>
        <v>TCGA-PRAD</v>
      </c>
      <c r="D17926" s="1" t="s">
        <v>493</v>
      </c>
      <c r="E17926" t="s">
        <v>568</v>
      </c>
      <c r="F17926" s="1">
        <v>2</v>
      </c>
      <c r="G17926" s="1" t="s">
        <v>32</v>
      </c>
      <c r="H17926" s="4" t="str">
        <f>HYPERLINK("https://portal.gdc.cancer.gov/cases/39a5aebe-acad-4141-aa5a-66228c4049f8","TCGA-XJ-A9DI-01A")</f>
        <v>TCGA-XJ-A9DI-01A</v>
      </c>
      <c r="I17926" t="s">
        <v>161</v>
      </c>
      <c r="J17926" t="s">
        <v>569</v>
      </c>
      <c r="K17926" t="s">
        <v>33</v>
      </c>
      <c r="L17926" t="s">
        <v>162</v>
      </c>
      <c r="N17926" t="s">
        <v>29</v>
      </c>
    </row>
    <row r="17927" spans="1:14">
      <c r="A17927" s="4" t="str">
        <f t="shared" si="1295"/>
        <v>EXP00437</v>
      </c>
      <c r="B17927" s="3" t="s">
        <v>66</v>
      </c>
      <c r="C17927" s="4" t="str">
        <f t="shared" si="1296"/>
        <v>TCGA-PRAD</v>
      </c>
      <c r="D17927" s="1" t="s">
        <v>493</v>
      </c>
      <c r="E17927" t="s">
        <v>568</v>
      </c>
      <c r="F17927" s="1">
        <v>2</v>
      </c>
      <c r="G17927" s="1" t="s">
        <v>32</v>
      </c>
      <c r="H17927" s="4" t="str">
        <f>HYPERLINK("https://portal.gdc.cancer.gov/cases/5a4d8694-947d-45e9-9a21-6de0f63837f0","TCGA-XJ-A9DK-01A")</f>
        <v>TCGA-XJ-A9DK-01A</v>
      </c>
      <c r="I17927" t="s">
        <v>161</v>
      </c>
      <c r="J17927" t="s">
        <v>569</v>
      </c>
      <c r="K17927" t="s">
        <v>33</v>
      </c>
      <c r="L17927" t="s">
        <v>162</v>
      </c>
      <c r="N17927" t="s">
        <v>29</v>
      </c>
    </row>
    <row r="17928" spans="1:14">
      <c r="A17928" s="4" t="str">
        <f t="shared" si="1295"/>
        <v>EXP00437</v>
      </c>
      <c r="B17928" s="3" t="s">
        <v>66</v>
      </c>
      <c r="C17928" s="4" t="str">
        <f t="shared" si="1296"/>
        <v>TCGA-PRAD</v>
      </c>
      <c r="D17928" s="1" t="s">
        <v>493</v>
      </c>
      <c r="E17928" t="s">
        <v>568</v>
      </c>
      <c r="F17928" s="1">
        <v>2</v>
      </c>
      <c r="G17928" s="1" t="s">
        <v>32</v>
      </c>
      <c r="H17928" s="4" t="str">
        <f>HYPERLINK("https://portal.gdc.cancer.gov/cases/5d8c9b90-8d40-4cdd-900d-03681bc2d2a6","TCGA-XJ-A9DQ-01A")</f>
        <v>TCGA-XJ-A9DQ-01A</v>
      </c>
      <c r="I17928" t="s">
        <v>161</v>
      </c>
      <c r="J17928" t="s">
        <v>569</v>
      </c>
      <c r="K17928" t="s">
        <v>33</v>
      </c>
      <c r="L17928" t="s">
        <v>162</v>
      </c>
      <c r="N17928" t="s">
        <v>29</v>
      </c>
    </row>
    <row r="17929" spans="1:14">
      <c r="A17929" s="4" t="str">
        <f t="shared" si="1295"/>
        <v>EXP00437</v>
      </c>
      <c r="B17929" s="3" t="s">
        <v>66</v>
      </c>
      <c r="C17929" s="4" t="str">
        <f t="shared" si="1296"/>
        <v>TCGA-PRAD</v>
      </c>
      <c r="D17929" s="1" t="s">
        <v>493</v>
      </c>
      <c r="E17929" t="s">
        <v>568</v>
      </c>
      <c r="F17929" s="1">
        <v>2</v>
      </c>
      <c r="G17929" s="1" t="s">
        <v>32</v>
      </c>
      <c r="H17929" s="4" t="str">
        <f>HYPERLINK("https://portal.gdc.cancer.gov/cases/84a5d5fc-7350-4846-a1bc-8bfadbcff8dc","TCGA-XJ-A9DX-01A")</f>
        <v>TCGA-XJ-A9DX-01A</v>
      </c>
      <c r="I17929" t="s">
        <v>161</v>
      </c>
      <c r="J17929" t="s">
        <v>569</v>
      </c>
      <c r="K17929" t="s">
        <v>33</v>
      </c>
      <c r="L17929" t="s">
        <v>162</v>
      </c>
      <c r="N17929" t="s">
        <v>29</v>
      </c>
    </row>
    <row r="17930" spans="1:14">
      <c r="A17930" s="4" t="str">
        <f t="shared" si="1295"/>
        <v>EXP00437</v>
      </c>
      <c r="B17930" s="3" t="s">
        <v>66</v>
      </c>
      <c r="C17930" s="4" t="str">
        <f t="shared" si="1296"/>
        <v>TCGA-PRAD</v>
      </c>
      <c r="D17930" s="1" t="s">
        <v>493</v>
      </c>
      <c r="E17930" t="s">
        <v>568</v>
      </c>
      <c r="F17930" s="1">
        <v>2</v>
      </c>
      <c r="G17930" s="1" t="s">
        <v>32</v>
      </c>
      <c r="H17930" s="4" t="str">
        <f>HYPERLINK("https://portal.gdc.cancer.gov/cases/12d2b93e-a033-4b36-ae81-c15879eb40bd","TCGA-XK-AAIR-01A")</f>
        <v>TCGA-XK-AAIR-01A</v>
      </c>
      <c r="I17930" t="s">
        <v>161</v>
      </c>
      <c r="J17930" t="s">
        <v>569</v>
      </c>
      <c r="K17930" t="s">
        <v>33</v>
      </c>
      <c r="L17930" t="s">
        <v>162</v>
      </c>
      <c r="N17930" t="s">
        <v>29</v>
      </c>
    </row>
    <row r="17931" spans="1:14">
      <c r="A17931" s="4" t="str">
        <f t="shared" si="1295"/>
        <v>EXP00437</v>
      </c>
      <c r="B17931" s="3" t="s">
        <v>66</v>
      </c>
      <c r="C17931" s="4" t="str">
        <f t="shared" si="1296"/>
        <v>TCGA-PRAD</v>
      </c>
      <c r="D17931" s="1" t="s">
        <v>493</v>
      </c>
      <c r="E17931" t="s">
        <v>568</v>
      </c>
      <c r="F17931" s="1">
        <v>2</v>
      </c>
      <c r="G17931" s="1" t="s">
        <v>32</v>
      </c>
      <c r="H17931" s="4" t="str">
        <f>HYPERLINK("https://portal.gdc.cancer.gov/cases/0e747c7e-3621-4d88-847c-86811655d908","TCGA-XK-AAIV-01A")</f>
        <v>TCGA-XK-AAIV-01A</v>
      </c>
      <c r="I17931" t="s">
        <v>161</v>
      </c>
      <c r="J17931" t="s">
        <v>569</v>
      </c>
      <c r="K17931" t="s">
        <v>33</v>
      </c>
      <c r="L17931" t="s">
        <v>162</v>
      </c>
      <c r="N17931" t="s">
        <v>29</v>
      </c>
    </row>
    <row r="17932" spans="1:14">
      <c r="A17932" s="4" t="str">
        <f t="shared" si="1295"/>
        <v>EXP00437</v>
      </c>
      <c r="B17932" s="3" t="s">
        <v>66</v>
      </c>
      <c r="C17932" s="4" t="str">
        <f t="shared" si="1296"/>
        <v>TCGA-PRAD</v>
      </c>
      <c r="D17932" s="1" t="s">
        <v>493</v>
      </c>
      <c r="E17932" t="s">
        <v>568</v>
      </c>
      <c r="F17932" s="1">
        <v>2</v>
      </c>
      <c r="G17932" s="1" t="s">
        <v>32</v>
      </c>
      <c r="H17932" s="4" t="str">
        <f>HYPERLINK("https://portal.gdc.cancer.gov/cases/2270d09e-a8be-4b7d-9520-a4bb1cd053c0","TCGA-XK-AAIW-01A")</f>
        <v>TCGA-XK-AAIW-01A</v>
      </c>
      <c r="I17932" t="s">
        <v>161</v>
      </c>
      <c r="J17932" t="s">
        <v>569</v>
      </c>
      <c r="K17932" t="s">
        <v>33</v>
      </c>
      <c r="L17932" t="s">
        <v>162</v>
      </c>
      <c r="N17932" t="s">
        <v>29</v>
      </c>
    </row>
    <row r="17933" spans="1:14">
      <c r="A17933" s="4" t="str">
        <f t="shared" si="1295"/>
        <v>EXP00437</v>
      </c>
      <c r="B17933" s="3" t="s">
        <v>66</v>
      </c>
      <c r="C17933" s="4" t="str">
        <f t="shared" si="1296"/>
        <v>TCGA-PRAD</v>
      </c>
      <c r="D17933" s="1" t="s">
        <v>493</v>
      </c>
      <c r="E17933" t="s">
        <v>568</v>
      </c>
      <c r="F17933" s="1">
        <v>2</v>
      </c>
      <c r="G17933" s="1" t="s">
        <v>32</v>
      </c>
      <c r="H17933" s="4" t="str">
        <f>HYPERLINK("https://portal.gdc.cancer.gov/cases/06c9eb11-6018-4015-9fbe-b46886b2c3e0","TCGA-XK-AAJ3-01A")</f>
        <v>TCGA-XK-AAJ3-01A</v>
      </c>
      <c r="I17933" t="s">
        <v>161</v>
      </c>
      <c r="J17933" t="s">
        <v>569</v>
      </c>
      <c r="K17933" t="s">
        <v>33</v>
      </c>
      <c r="L17933" t="s">
        <v>162</v>
      </c>
      <c r="N17933" t="s">
        <v>29</v>
      </c>
    </row>
    <row r="17934" spans="1:14">
      <c r="A17934" s="4" t="str">
        <f t="shared" si="1295"/>
        <v>EXP00437</v>
      </c>
      <c r="B17934" s="3" t="s">
        <v>66</v>
      </c>
      <c r="C17934" s="4" t="str">
        <f t="shared" si="1296"/>
        <v>TCGA-PRAD</v>
      </c>
      <c r="D17934" s="1" t="s">
        <v>493</v>
      </c>
      <c r="E17934" t="s">
        <v>568</v>
      </c>
      <c r="F17934" s="1">
        <v>2</v>
      </c>
      <c r="G17934" s="1" t="s">
        <v>32</v>
      </c>
      <c r="H17934" s="4" t="str">
        <f>HYPERLINK("https://portal.gdc.cancer.gov/cases/d17b1955-0565-46c1-a5a7-ecd41ac0286a","TCGA-XK-AAJA-01A")</f>
        <v>TCGA-XK-AAJA-01A</v>
      </c>
      <c r="I17934" t="s">
        <v>161</v>
      </c>
      <c r="J17934" t="s">
        <v>569</v>
      </c>
      <c r="K17934" t="s">
        <v>33</v>
      </c>
      <c r="L17934" t="s">
        <v>162</v>
      </c>
      <c r="N17934" t="s">
        <v>29</v>
      </c>
    </row>
    <row r="17935" spans="1:14">
      <c r="A17935" s="4" t="str">
        <f t="shared" si="1295"/>
        <v>EXP00437</v>
      </c>
      <c r="B17935" s="3" t="s">
        <v>66</v>
      </c>
      <c r="C17935" s="4" t="str">
        <f t="shared" si="1296"/>
        <v>TCGA-PRAD</v>
      </c>
      <c r="D17935" s="1" t="s">
        <v>493</v>
      </c>
      <c r="E17935" t="s">
        <v>568</v>
      </c>
      <c r="F17935" s="1">
        <v>2</v>
      </c>
      <c r="G17935" s="1" t="s">
        <v>32</v>
      </c>
      <c r="H17935" s="4" t="str">
        <f>HYPERLINK("https://portal.gdc.cancer.gov/cases/720d77bc-58e3-42ee-aae7-5de586c2ac41","TCGA-XK-AAJP-01A")</f>
        <v>TCGA-XK-AAJP-01A</v>
      </c>
      <c r="I17935" t="s">
        <v>161</v>
      </c>
      <c r="J17935" t="s">
        <v>569</v>
      </c>
      <c r="K17935" t="s">
        <v>33</v>
      </c>
      <c r="L17935" t="s">
        <v>162</v>
      </c>
      <c r="N17935" t="s">
        <v>29</v>
      </c>
    </row>
    <row r="17936" spans="1:14">
      <c r="A17936" s="4" t="str">
        <f t="shared" si="1295"/>
        <v>EXP00437</v>
      </c>
      <c r="B17936" s="3" t="s">
        <v>66</v>
      </c>
      <c r="C17936" s="4" t="str">
        <f t="shared" si="1296"/>
        <v>TCGA-PRAD</v>
      </c>
      <c r="D17936" s="1" t="s">
        <v>493</v>
      </c>
      <c r="E17936" t="s">
        <v>568</v>
      </c>
      <c r="F17936" s="1">
        <v>2</v>
      </c>
      <c r="G17936" s="1" t="s">
        <v>32</v>
      </c>
      <c r="H17936" s="4" t="str">
        <f>HYPERLINK("https://portal.gdc.cancer.gov/cases/a3a4a518-2dac-4846-9476-1aa7e0c1fb5e","TCGA-XK-AAJR-01A")</f>
        <v>TCGA-XK-AAJR-01A</v>
      </c>
      <c r="I17936" t="s">
        <v>161</v>
      </c>
      <c r="J17936" t="s">
        <v>569</v>
      </c>
      <c r="K17936" t="s">
        <v>33</v>
      </c>
      <c r="L17936" t="s">
        <v>162</v>
      </c>
      <c r="N17936" t="s">
        <v>29</v>
      </c>
    </row>
    <row r="17937" spans="1:14">
      <c r="A17937" s="4" t="str">
        <f t="shared" si="1295"/>
        <v>EXP00437</v>
      </c>
      <c r="B17937" s="3" t="s">
        <v>66</v>
      </c>
      <c r="C17937" s="4" t="str">
        <f t="shared" si="1296"/>
        <v>TCGA-PRAD</v>
      </c>
      <c r="D17937" s="1" t="s">
        <v>493</v>
      </c>
      <c r="E17937" t="s">
        <v>568</v>
      </c>
      <c r="F17937" s="1">
        <v>2</v>
      </c>
      <c r="G17937" s="1" t="s">
        <v>32</v>
      </c>
      <c r="H17937" s="4" t="str">
        <f>HYPERLINK("https://portal.gdc.cancer.gov/cases/5d66ac77-1543-488b-a68f-665811bec67a","TCGA-XK-AAJT-01A")</f>
        <v>TCGA-XK-AAJT-01A</v>
      </c>
      <c r="I17937" t="s">
        <v>161</v>
      </c>
      <c r="J17937" t="s">
        <v>569</v>
      </c>
      <c r="K17937" t="s">
        <v>33</v>
      </c>
      <c r="L17937" t="s">
        <v>162</v>
      </c>
      <c r="N17937" t="s">
        <v>29</v>
      </c>
    </row>
    <row r="17938" spans="1:14">
      <c r="A17938" s="4" t="str">
        <f t="shared" si="1295"/>
        <v>EXP00437</v>
      </c>
      <c r="B17938" s="3" t="s">
        <v>66</v>
      </c>
      <c r="C17938" s="4" t="str">
        <f t="shared" si="1296"/>
        <v>TCGA-PRAD</v>
      </c>
      <c r="D17938" s="1" t="s">
        <v>493</v>
      </c>
      <c r="E17938" t="s">
        <v>568</v>
      </c>
      <c r="F17938" s="1">
        <v>2</v>
      </c>
      <c r="G17938" s="1" t="s">
        <v>32</v>
      </c>
      <c r="H17938" s="4" t="str">
        <f>HYPERLINK("https://portal.gdc.cancer.gov/cases/ed7084f8-060c-4780-8b35-a03a5eab9684","TCGA-XK-AAJU-01A")</f>
        <v>TCGA-XK-AAJU-01A</v>
      </c>
      <c r="I17938" t="s">
        <v>161</v>
      </c>
      <c r="J17938" t="s">
        <v>569</v>
      </c>
      <c r="K17938" t="s">
        <v>33</v>
      </c>
      <c r="L17938" t="s">
        <v>162</v>
      </c>
      <c r="N17938" t="s">
        <v>29</v>
      </c>
    </row>
    <row r="17939" spans="1:14">
      <c r="A17939" s="4" t="str">
        <f t="shared" si="1295"/>
        <v>EXP00437</v>
      </c>
      <c r="B17939" s="3" t="s">
        <v>66</v>
      </c>
      <c r="C17939" s="4" t="str">
        <f t="shared" si="1296"/>
        <v>TCGA-PRAD</v>
      </c>
      <c r="D17939" s="1" t="s">
        <v>493</v>
      </c>
      <c r="E17939" t="s">
        <v>568</v>
      </c>
      <c r="F17939" s="1">
        <v>2</v>
      </c>
      <c r="G17939" s="1" t="s">
        <v>32</v>
      </c>
      <c r="H17939" s="4" t="str">
        <f>HYPERLINK("https://portal.gdc.cancer.gov/cases/1bc21d56-299d-40bc-b9c8-c74db990611e","TCGA-XK-AAK1-01A")</f>
        <v>TCGA-XK-AAK1-01A</v>
      </c>
      <c r="I17939" t="s">
        <v>161</v>
      </c>
      <c r="J17939" t="s">
        <v>569</v>
      </c>
      <c r="K17939" t="s">
        <v>33</v>
      </c>
      <c r="L17939" t="s">
        <v>162</v>
      </c>
      <c r="N17939" t="s">
        <v>29</v>
      </c>
    </row>
    <row r="17940" spans="1:14">
      <c r="A17940" s="4" t="str">
        <f t="shared" si="1295"/>
        <v>EXP00437</v>
      </c>
      <c r="B17940" s="3" t="s">
        <v>66</v>
      </c>
      <c r="C17940" s="4" t="str">
        <f t="shared" si="1296"/>
        <v>TCGA-PRAD</v>
      </c>
      <c r="D17940" s="1" t="s">
        <v>493</v>
      </c>
      <c r="E17940" t="s">
        <v>568</v>
      </c>
      <c r="F17940" s="1">
        <v>2</v>
      </c>
      <c r="G17940" s="1" t="s">
        <v>32</v>
      </c>
      <c r="H17940" s="4" t="str">
        <f>HYPERLINK("https://portal.gdc.cancer.gov/cases/b47791ba-85fd-41d0-ac1f-b6fa06f18e96","TCGA-XQ-A8TA-01A")</f>
        <v>TCGA-XQ-A8TA-01A</v>
      </c>
      <c r="I17940" t="s">
        <v>161</v>
      </c>
      <c r="J17940" t="s">
        <v>569</v>
      </c>
      <c r="K17940" t="s">
        <v>33</v>
      </c>
      <c r="L17940" t="s">
        <v>162</v>
      </c>
      <c r="N17940" t="s">
        <v>29</v>
      </c>
    </row>
    <row r="17941" spans="1:14">
      <c r="A17941" s="4" t="str">
        <f t="shared" si="1295"/>
        <v>EXP00437</v>
      </c>
      <c r="B17941" s="3" t="s">
        <v>66</v>
      </c>
      <c r="C17941" s="4" t="str">
        <f t="shared" si="1296"/>
        <v>TCGA-PRAD</v>
      </c>
      <c r="D17941" s="1" t="s">
        <v>493</v>
      </c>
      <c r="E17941" t="s">
        <v>568</v>
      </c>
      <c r="F17941" s="1">
        <v>2</v>
      </c>
      <c r="G17941" s="1" t="s">
        <v>32</v>
      </c>
      <c r="H17941" s="4" t="str">
        <f>HYPERLINK("https://portal.gdc.cancer.gov/cases/5277f041-f9fb-47c2-83f3-65ad230dd40a","TCGA-XQ-A8TB-01A")</f>
        <v>TCGA-XQ-A8TB-01A</v>
      </c>
      <c r="I17941" t="s">
        <v>161</v>
      </c>
      <c r="J17941" t="s">
        <v>569</v>
      </c>
      <c r="K17941" t="s">
        <v>33</v>
      </c>
      <c r="L17941" t="s">
        <v>162</v>
      </c>
      <c r="N17941" t="s">
        <v>29</v>
      </c>
    </row>
    <row r="17942" spans="1:14">
      <c r="A17942" s="4" t="str">
        <f t="shared" si="1295"/>
        <v>EXP00437</v>
      </c>
      <c r="B17942" s="3" t="s">
        <v>66</v>
      </c>
      <c r="C17942" s="4" t="str">
        <f t="shared" si="1296"/>
        <v>TCGA-PRAD</v>
      </c>
      <c r="D17942" s="1" t="s">
        <v>493</v>
      </c>
      <c r="E17942" t="s">
        <v>568</v>
      </c>
      <c r="F17942" s="1">
        <v>2</v>
      </c>
      <c r="G17942" s="1" t="s">
        <v>32</v>
      </c>
      <c r="H17942" s="4" t="str">
        <f>HYPERLINK("https://portal.gdc.cancer.gov/cases/a7045324-cb44-4b37-bbaf-641642c1d903","TCGA-Y6-A8TL-01A")</f>
        <v>TCGA-Y6-A8TL-01A</v>
      </c>
      <c r="I17942" t="s">
        <v>161</v>
      </c>
      <c r="J17942" t="s">
        <v>569</v>
      </c>
      <c r="K17942" t="s">
        <v>33</v>
      </c>
      <c r="L17942" t="s">
        <v>162</v>
      </c>
      <c r="N17942" t="s">
        <v>29</v>
      </c>
    </row>
    <row r="17943" spans="1:14">
      <c r="A17943" s="4" t="str">
        <f t="shared" si="1295"/>
        <v>EXP00437</v>
      </c>
      <c r="B17943" s="3" t="s">
        <v>66</v>
      </c>
      <c r="C17943" s="4" t="str">
        <f t="shared" si="1296"/>
        <v>TCGA-PRAD</v>
      </c>
      <c r="D17943" s="1" t="s">
        <v>493</v>
      </c>
      <c r="E17943" t="s">
        <v>568</v>
      </c>
      <c r="F17943" s="1">
        <v>2</v>
      </c>
      <c r="G17943" s="1" t="s">
        <v>32</v>
      </c>
      <c r="H17943" s="4" t="str">
        <f>HYPERLINK("https://portal.gdc.cancer.gov/cases/c4ebb2eb-e1f0-4490-80f3-5cf0c40a3091","TCGA-Y6-A9XI-01A")</f>
        <v>TCGA-Y6-A9XI-01A</v>
      </c>
      <c r="I17943" t="s">
        <v>161</v>
      </c>
      <c r="J17943" t="s">
        <v>569</v>
      </c>
      <c r="K17943" t="s">
        <v>33</v>
      </c>
      <c r="L17943" t="s">
        <v>162</v>
      </c>
      <c r="N17943" t="s">
        <v>29</v>
      </c>
    </row>
    <row r="17944" spans="1:14">
      <c r="A17944" s="4" t="str">
        <f t="shared" si="1295"/>
        <v>EXP00437</v>
      </c>
      <c r="B17944" s="3" t="s">
        <v>66</v>
      </c>
      <c r="C17944" s="4" t="str">
        <f t="shared" si="1296"/>
        <v>TCGA-PRAD</v>
      </c>
      <c r="D17944" s="1" t="s">
        <v>493</v>
      </c>
      <c r="E17944" t="s">
        <v>568</v>
      </c>
      <c r="F17944" s="1">
        <v>2</v>
      </c>
      <c r="G17944" s="1" t="s">
        <v>32</v>
      </c>
      <c r="H17944" s="4" t="str">
        <f>HYPERLINK("https://portal.gdc.cancer.gov/cases/74de01bd-30d9-45fc-841d-ed1c0d7446ba","TCGA-YJ-A8SW-01A")</f>
        <v>TCGA-YJ-A8SW-01A</v>
      </c>
      <c r="I17944" t="s">
        <v>161</v>
      </c>
      <c r="J17944" t="s">
        <v>569</v>
      </c>
      <c r="K17944" t="s">
        <v>33</v>
      </c>
      <c r="L17944" t="s">
        <v>162</v>
      </c>
      <c r="N17944" t="s">
        <v>29</v>
      </c>
    </row>
    <row r="17945" spans="1:14">
      <c r="A17945" s="4" t="str">
        <f t="shared" si="1295"/>
        <v>EXP00437</v>
      </c>
      <c r="B17945" s="3" t="s">
        <v>66</v>
      </c>
      <c r="C17945" s="4" t="str">
        <f t="shared" si="1296"/>
        <v>TCGA-PRAD</v>
      </c>
      <c r="D17945" s="1" t="s">
        <v>493</v>
      </c>
      <c r="E17945" t="s">
        <v>568</v>
      </c>
      <c r="F17945" s="1">
        <v>2</v>
      </c>
      <c r="G17945" s="1" t="s">
        <v>32</v>
      </c>
      <c r="H17945" s="4" t="str">
        <f>HYPERLINK("https://portal.gdc.cancer.gov/cases/666d8b0c-593f-4ec3-b16a-2dadbead8c32","TCGA-YL-A8HJ-01A")</f>
        <v>TCGA-YL-A8HJ-01A</v>
      </c>
      <c r="I17945" t="s">
        <v>161</v>
      </c>
      <c r="J17945" t="s">
        <v>569</v>
      </c>
      <c r="K17945" t="s">
        <v>33</v>
      </c>
      <c r="L17945" t="s">
        <v>162</v>
      </c>
      <c r="N17945" t="s">
        <v>29</v>
      </c>
    </row>
    <row r="17946" spans="1:14">
      <c r="A17946" s="4" t="str">
        <f t="shared" si="1295"/>
        <v>EXP00437</v>
      </c>
      <c r="B17946" s="3" t="s">
        <v>66</v>
      </c>
      <c r="C17946" s="4" t="str">
        <f t="shared" si="1296"/>
        <v>TCGA-PRAD</v>
      </c>
      <c r="D17946" s="1" t="s">
        <v>493</v>
      </c>
      <c r="E17946" t="s">
        <v>568</v>
      </c>
      <c r="F17946" s="1">
        <v>2</v>
      </c>
      <c r="G17946" s="1" t="s">
        <v>32</v>
      </c>
      <c r="H17946" s="4" t="str">
        <f>HYPERLINK("https://portal.gdc.cancer.gov/cases/351239db-52d3-4ab5-bd4f-8feaa6701ba1","TCGA-YL-A8HK-01A")</f>
        <v>TCGA-YL-A8HK-01A</v>
      </c>
      <c r="I17946" t="s">
        <v>161</v>
      </c>
      <c r="J17946" t="s">
        <v>569</v>
      </c>
      <c r="K17946" t="s">
        <v>33</v>
      </c>
      <c r="L17946" t="s">
        <v>162</v>
      </c>
      <c r="N17946" t="s">
        <v>29</v>
      </c>
    </row>
    <row r="17947" spans="1:14">
      <c r="A17947" s="4" t="str">
        <f t="shared" si="1295"/>
        <v>EXP00437</v>
      </c>
      <c r="B17947" s="3" t="s">
        <v>66</v>
      </c>
      <c r="C17947" s="4" t="str">
        <f t="shared" si="1296"/>
        <v>TCGA-PRAD</v>
      </c>
      <c r="D17947" s="1" t="s">
        <v>493</v>
      </c>
      <c r="E17947" t="s">
        <v>568</v>
      </c>
      <c r="F17947" s="1">
        <v>2</v>
      </c>
      <c r="G17947" s="1" t="s">
        <v>32</v>
      </c>
      <c r="H17947" s="4" t="str">
        <f>HYPERLINK("https://portal.gdc.cancer.gov/cases/ff52fa2f-bd12-4de0-9f5c-cd330ffb5fb3","TCGA-YL-A8HL-01A")</f>
        <v>TCGA-YL-A8HL-01A</v>
      </c>
      <c r="I17947" t="s">
        <v>161</v>
      </c>
      <c r="J17947" t="s">
        <v>569</v>
      </c>
      <c r="K17947" t="s">
        <v>33</v>
      </c>
      <c r="L17947" t="s">
        <v>162</v>
      </c>
      <c r="N17947" t="s">
        <v>29</v>
      </c>
    </row>
    <row r="17948" spans="1:14">
      <c r="A17948" s="4" t="str">
        <f t="shared" ref="A17948:A17993" si="1297">HYPERLINK("http://hcmdb.i-sanger.com/experiment/details/experiment_id/EXP00437","EXP00437")</f>
        <v>EXP00437</v>
      </c>
      <c r="B17948" s="3" t="s">
        <v>66</v>
      </c>
      <c r="C17948" s="4" t="str">
        <f t="shared" ref="C17948:C18011" si="1298">HYPERLINK("https://portal.gdc.cancer.gov/projects/TCGA-PRAD","TCGA-PRAD")</f>
        <v>TCGA-PRAD</v>
      </c>
      <c r="D17948" s="1" t="s">
        <v>493</v>
      </c>
      <c r="E17948" t="s">
        <v>568</v>
      </c>
      <c r="F17948" s="1">
        <v>2</v>
      </c>
      <c r="G17948" s="1" t="s">
        <v>32</v>
      </c>
      <c r="H17948" s="4" t="str">
        <f>HYPERLINK("https://portal.gdc.cancer.gov/cases/eff14fed-8a21-41c5-8ed3-75346a06e44e","TCGA-YL-A8HM-01A")</f>
        <v>TCGA-YL-A8HM-01A</v>
      </c>
      <c r="I17948" t="s">
        <v>161</v>
      </c>
      <c r="J17948" t="s">
        <v>569</v>
      </c>
      <c r="K17948" t="s">
        <v>33</v>
      </c>
      <c r="L17948" t="s">
        <v>162</v>
      </c>
      <c r="N17948" t="s">
        <v>29</v>
      </c>
    </row>
    <row r="17949" spans="1:14">
      <c r="A17949" s="4" t="str">
        <f t="shared" si="1297"/>
        <v>EXP00437</v>
      </c>
      <c r="B17949" s="3" t="s">
        <v>66</v>
      </c>
      <c r="C17949" s="4" t="str">
        <f t="shared" si="1298"/>
        <v>TCGA-PRAD</v>
      </c>
      <c r="D17949" s="1" t="s">
        <v>493</v>
      </c>
      <c r="E17949" t="s">
        <v>568</v>
      </c>
      <c r="F17949" s="1">
        <v>2</v>
      </c>
      <c r="G17949" s="1" t="s">
        <v>32</v>
      </c>
      <c r="H17949" s="4" t="str">
        <f>HYPERLINK("https://portal.gdc.cancer.gov/cases/b7c8ca4c-8d9c-4c5b-99ee-2fcebe4f70e6","TCGA-YL-A8HO-01A")</f>
        <v>TCGA-YL-A8HO-01A</v>
      </c>
      <c r="I17949" t="s">
        <v>161</v>
      </c>
      <c r="J17949" t="s">
        <v>569</v>
      </c>
      <c r="K17949" t="s">
        <v>33</v>
      </c>
      <c r="L17949" t="s">
        <v>162</v>
      </c>
      <c r="N17949" t="s">
        <v>29</v>
      </c>
    </row>
    <row r="17950" spans="1:14">
      <c r="A17950" s="4" t="str">
        <f t="shared" si="1297"/>
        <v>EXP00437</v>
      </c>
      <c r="B17950" s="3" t="s">
        <v>66</v>
      </c>
      <c r="C17950" s="4" t="str">
        <f t="shared" si="1298"/>
        <v>TCGA-PRAD</v>
      </c>
      <c r="D17950" s="1" t="s">
        <v>493</v>
      </c>
      <c r="E17950" t="s">
        <v>568</v>
      </c>
      <c r="F17950" s="1">
        <v>2</v>
      </c>
      <c r="G17950" s="1" t="s">
        <v>32</v>
      </c>
      <c r="H17950" s="4" t="str">
        <f>HYPERLINK("https://portal.gdc.cancer.gov/cases/494a8495-8d10-4a8f-8664-f68ac339c889","TCGA-YL-A8S8-01A")</f>
        <v>TCGA-YL-A8S8-01A</v>
      </c>
      <c r="I17950" t="s">
        <v>161</v>
      </c>
      <c r="J17950" t="s">
        <v>569</v>
      </c>
      <c r="K17950" t="s">
        <v>33</v>
      </c>
      <c r="L17950" t="s">
        <v>162</v>
      </c>
      <c r="N17950" t="s">
        <v>29</v>
      </c>
    </row>
    <row r="17951" spans="1:14">
      <c r="A17951" s="4" t="str">
        <f t="shared" si="1297"/>
        <v>EXP00437</v>
      </c>
      <c r="B17951" s="3" t="s">
        <v>66</v>
      </c>
      <c r="C17951" s="4" t="str">
        <f t="shared" si="1298"/>
        <v>TCGA-PRAD</v>
      </c>
      <c r="D17951" s="1" t="s">
        <v>493</v>
      </c>
      <c r="E17951" t="s">
        <v>568</v>
      </c>
      <c r="F17951" s="1">
        <v>2</v>
      </c>
      <c r="G17951" s="1" t="s">
        <v>32</v>
      </c>
      <c r="H17951" s="4" t="str">
        <f>HYPERLINK("https://portal.gdc.cancer.gov/cases/b0669eec-6a1a-4618-ae23-ae0f9e9c266c","TCGA-YL-A8S9-01A")</f>
        <v>TCGA-YL-A8S9-01A</v>
      </c>
      <c r="I17951" t="s">
        <v>161</v>
      </c>
      <c r="J17951" t="s">
        <v>569</v>
      </c>
      <c r="K17951" t="s">
        <v>33</v>
      </c>
      <c r="L17951" t="s">
        <v>162</v>
      </c>
      <c r="N17951" t="s">
        <v>29</v>
      </c>
    </row>
    <row r="17952" spans="1:14">
      <c r="A17952" s="4" t="str">
        <f t="shared" si="1297"/>
        <v>EXP00437</v>
      </c>
      <c r="B17952" s="3" t="s">
        <v>66</v>
      </c>
      <c r="C17952" s="4" t="str">
        <f t="shared" si="1298"/>
        <v>TCGA-PRAD</v>
      </c>
      <c r="D17952" s="1" t="s">
        <v>493</v>
      </c>
      <c r="E17952" t="s">
        <v>568</v>
      </c>
      <c r="F17952" s="1">
        <v>2</v>
      </c>
      <c r="G17952" s="1" t="s">
        <v>32</v>
      </c>
      <c r="H17952" s="4" t="str">
        <f>HYPERLINK("https://portal.gdc.cancer.gov/cases/2919afa2-3fee-43bd-ae68-e70718e73608","TCGA-YL-A8SA-01A")</f>
        <v>TCGA-YL-A8SA-01A</v>
      </c>
      <c r="I17952" t="s">
        <v>161</v>
      </c>
      <c r="J17952" t="s">
        <v>569</v>
      </c>
      <c r="K17952" t="s">
        <v>33</v>
      </c>
      <c r="L17952" t="s">
        <v>162</v>
      </c>
      <c r="N17952" t="s">
        <v>29</v>
      </c>
    </row>
    <row r="17953" spans="1:14">
      <c r="A17953" s="4" t="str">
        <f t="shared" si="1297"/>
        <v>EXP00437</v>
      </c>
      <c r="B17953" s="3" t="s">
        <v>66</v>
      </c>
      <c r="C17953" s="4" t="str">
        <f t="shared" si="1298"/>
        <v>TCGA-PRAD</v>
      </c>
      <c r="D17953" s="1" t="s">
        <v>493</v>
      </c>
      <c r="E17953" t="s">
        <v>568</v>
      </c>
      <c r="F17953" s="1">
        <v>2</v>
      </c>
      <c r="G17953" s="1" t="s">
        <v>32</v>
      </c>
      <c r="H17953" s="4" t="str">
        <f>HYPERLINK("https://portal.gdc.cancer.gov/cases/21a29827-7896-436d-ab52-e7edfc91e7d0","TCGA-YL-A8SB-01A")</f>
        <v>TCGA-YL-A8SB-01A</v>
      </c>
      <c r="I17953" t="s">
        <v>161</v>
      </c>
      <c r="J17953" t="s">
        <v>569</v>
      </c>
      <c r="K17953" t="s">
        <v>33</v>
      </c>
      <c r="L17953" t="s">
        <v>162</v>
      </c>
      <c r="N17953" t="s">
        <v>29</v>
      </c>
    </row>
    <row r="17954" spans="1:14">
      <c r="A17954" s="4" t="str">
        <f t="shared" si="1297"/>
        <v>EXP00437</v>
      </c>
      <c r="B17954" s="3" t="s">
        <v>66</v>
      </c>
      <c r="C17954" s="4" t="str">
        <f t="shared" si="1298"/>
        <v>TCGA-PRAD</v>
      </c>
      <c r="D17954" s="1" t="s">
        <v>493</v>
      </c>
      <c r="E17954" t="s">
        <v>568</v>
      </c>
      <c r="F17954" s="1">
        <v>2</v>
      </c>
      <c r="G17954" s="1" t="s">
        <v>32</v>
      </c>
      <c r="H17954" s="4" t="str">
        <f>HYPERLINK("https://portal.gdc.cancer.gov/cases/42fa9774-9471-4707-8f6f-8041b34c49e4","TCGA-YL-A8SC-01A")</f>
        <v>TCGA-YL-A8SC-01A</v>
      </c>
      <c r="I17954" t="s">
        <v>161</v>
      </c>
      <c r="J17954" t="s">
        <v>569</v>
      </c>
      <c r="K17954" t="s">
        <v>33</v>
      </c>
      <c r="L17954" t="s">
        <v>162</v>
      </c>
      <c r="N17954" t="s">
        <v>29</v>
      </c>
    </row>
    <row r="17955" spans="1:14">
      <c r="A17955" s="4" t="str">
        <f t="shared" si="1297"/>
        <v>EXP00437</v>
      </c>
      <c r="B17955" s="3" t="s">
        <v>66</v>
      </c>
      <c r="C17955" s="4" t="str">
        <f t="shared" si="1298"/>
        <v>TCGA-PRAD</v>
      </c>
      <c r="D17955" s="1" t="s">
        <v>493</v>
      </c>
      <c r="E17955" t="s">
        <v>568</v>
      </c>
      <c r="F17955" s="1">
        <v>2</v>
      </c>
      <c r="G17955" s="1" t="s">
        <v>32</v>
      </c>
      <c r="H17955" s="4" t="str">
        <f>HYPERLINK("https://portal.gdc.cancer.gov/cases/bfb973eb-d42d-4900-a606-a381d2317555","TCGA-YL-A8SH-01B")</f>
        <v>TCGA-YL-A8SH-01B</v>
      </c>
      <c r="I17955" t="s">
        <v>161</v>
      </c>
      <c r="J17955" t="s">
        <v>569</v>
      </c>
      <c r="K17955" t="s">
        <v>33</v>
      </c>
      <c r="L17955" t="s">
        <v>162</v>
      </c>
      <c r="N17955" t="s">
        <v>29</v>
      </c>
    </row>
    <row r="17956" spans="1:14">
      <c r="A17956" s="4" t="str">
        <f t="shared" si="1297"/>
        <v>EXP00437</v>
      </c>
      <c r="B17956" s="3" t="s">
        <v>66</v>
      </c>
      <c r="C17956" s="4" t="str">
        <f t="shared" si="1298"/>
        <v>TCGA-PRAD</v>
      </c>
      <c r="D17956" s="1" t="s">
        <v>493</v>
      </c>
      <c r="E17956" t="s">
        <v>568</v>
      </c>
      <c r="F17956" s="1">
        <v>2</v>
      </c>
      <c r="G17956" s="1" t="s">
        <v>32</v>
      </c>
      <c r="H17956" s="4" t="str">
        <f>HYPERLINK("https://portal.gdc.cancer.gov/cases/c5f8c89c-ef69-42f4-9b37-5b552fccdf4b","TCGA-YL-A8SI-01A")</f>
        <v>TCGA-YL-A8SI-01A</v>
      </c>
      <c r="I17956" t="s">
        <v>161</v>
      </c>
      <c r="J17956" t="s">
        <v>569</v>
      </c>
      <c r="K17956" t="s">
        <v>33</v>
      </c>
      <c r="L17956" t="s">
        <v>162</v>
      </c>
      <c r="N17956" t="s">
        <v>29</v>
      </c>
    </row>
    <row r="17957" spans="1:14">
      <c r="A17957" s="4" t="str">
        <f t="shared" si="1297"/>
        <v>EXP00437</v>
      </c>
      <c r="B17957" s="3" t="s">
        <v>66</v>
      </c>
      <c r="C17957" s="4" t="str">
        <f t="shared" si="1298"/>
        <v>TCGA-PRAD</v>
      </c>
      <c r="D17957" s="1" t="s">
        <v>493</v>
      </c>
      <c r="E17957" t="s">
        <v>568</v>
      </c>
      <c r="F17957" s="1">
        <v>2</v>
      </c>
      <c r="G17957" s="1" t="s">
        <v>32</v>
      </c>
      <c r="H17957" s="4" t="str">
        <f>HYPERLINK("https://portal.gdc.cancer.gov/cases/f3ec5bf3-97ae-4033-91a6-084a1aa152a4","TCGA-YL-A8SJ-01B")</f>
        <v>TCGA-YL-A8SJ-01B</v>
      </c>
      <c r="I17957" t="s">
        <v>161</v>
      </c>
      <c r="J17957" t="s">
        <v>569</v>
      </c>
      <c r="K17957" t="s">
        <v>33</v>
      </c>
      <c r="L17957" t="s">
        <v>162</v>
      </c>
      <c r="N17957" t="s">
        <v>29</v>
      </c>
    </row>
    <row r="17958" spans="1:14">
      <c r="A17958" s="4" t="str">
        <f t="shared" si="1297"/>
        <v>EXP00437</v>
      </c>
      <c r="B17958" s="3" t="s">
        <v>66</v>
      </c>
      <c r="C17958" s="4" t="str">
        <f t="shared" si="1298"/>
        <v>TCGA-PRAD</v>
      </c>
      <c r="D17958" s="1" t="s">
        <v>493</v>
      </c>
      <c r="E17958" t="s">
        <v>568</v>
      </c>
      <c r="F17958" s="1">
        <v>2</v>
      </c>
      <c r="G17958" s="1" t="s">
        <v>32</v>
      </c>
      <c r="H17958" s="4" t="str">
        <f>HYPERLINK("https://portal.gdc.cancer.gov/cases/159b47b2-dc7d-4856-9a00-454e27301e23","TCGA-YL-A8SK-01B")</f>
        <v>TCGA-YL-A8SK-01B</v>
      </c>
      <c r="I17958" t="s">
        <v>161</v>
      </c>
      <c r="J17958" t="s">
        <v>569</v>
      </c>
      <c r="K17958" t="s">
        <v>33</v>
      </c>
      <c r="L17958" t="s">
        <v>162</v>
      </c>
      <c r="N17958" t="s">
        <v>29</v>
      </c>
    </row>
    <row r="17959" spans="1:14">
      <c r="A17959" s="4" t="str">
        <f t="shared" si="1297"/>
        <v>EXP00437</v>
      </c>
      <c r="B17959" s="3" t="s">
        <v>66</v>
      </c>
      <c r="C17959" s="4" t="str">
        <f t="shared" si="1298"/>
        <v>TCGA-PRAD</v>
      </c>
      <c r="D17959" s="1" t="s">
        <v>493</v>
      </c>
      <c r="E17959" t="s">
        <v>568</v>
      </c>
      <c r="F17959" s="1">
        <v>2</v>
      </c>
      <c r="G17959" s="1" t="s">
        <v>32</v>
      </c>
      <c r="H17959" s="4" t="str">
        <f>HYPERLINK("https://portal.gdc.cancer.gov/cases/23ebc73d-be3b-42f8-9390-bf18a21afc5c","TCGA-YL-A8SL-01B")</f>
        <v>TCGA-YL-A8SL-01B</v>
      </c>
      <c r="I17959" t="s">
        <v>161</v>
      </c>
      <c r="J17959" t="s">
        <v>569</v>
      </c>
      <c r="K17959" t="s">
        <v>33</v>
      </c>
      <c r="L17959" t="s">
        <v>162</v>
      </c>
      <c r="N17959" t="s">
        <v>29</v>
      </c>
    </row>
    <row r="17960" spans="1:14">
      <c r="A17960" s="4" t="str">
        <f t="shared" si="1297"/>
        <v>EXP00437</v>
      </c>
      <c r="B17960" s="3" t="s">
        <v>66</v>
      </c>
      <c r="C17960" s="4" t="str">
        <f t="shared" si="1298"/>
        <v>TCGA-PRAD</v>
      </c>
      <c r="D17960" s="1" t="s">
        <v>493</v>
      </c>
      <c r="E17960" t="s">
        <v>568</v>
      </c>
      <c r="F17960" s="1">
        <v>2</v>
      </c>
      <c r="G17960" s="1" t="s">
        <v>32</v>
      </c>
      <c r="H17960" s="4" t="str">
        <f>HYPERLINK("https://portal.gdc.cancer.gov/cases/5e3d0e50-afb4-4d2d-b4d9-5f320c573ba3","TCGA-YL-A8SO-01B")</f>
        <v>TCGA-YL-A8SO-01B</v>
      </c>
      <c r="I17960" t="s">
        <v>161</v>
      </c>
      <c r="J17960" t="s">
        <v>569</v>
      </c>
      <c r="K17960" t="s">
        <v>33</v>
      </c>
      <c r="L17960" t="s">
        <v>162</v>
      </c>
      <c r="N17960" t="s">
        <v>29</v>
      </c>
    </row>
    <row r="17961" spans="1:14">
      <c r="A17961" s="4" t="str">
        <f t="shared" si="1297"/>
        <v>EXP00437</v>
      </c>
      <c r="B17961" s="3" t="s">
        <v>66</v>
      </c>
      <c r="C17961" s="4" t="str">
        <f t="shared" si="1298"/>
        <v>TCGA-PRAD</v>
      </c>
      <c r="D17961" s="1" t="s">
        <v>493</v>
      </c>
      <c r="E17961" t="s">
        <v>568</v>
      </c>
      <c r="F17961" s="1">
        <v>2</v>
      </c>
      <c r="G17961" s="1" t="s">
        <v>32</v>
      </c>
      <c r="H17961" s="4" t="str">
        <f>HYPERLINK("https://portal.gdc.cancer.gov/cases/c506fae4-7c0a-4705-8e80-5bcc122a8a32","TCGA-YL-A8SP-01B")</f>
        <v>TCGA-YL-A8SP-01B</v>
      </c>
      <c r="I17961" t="s">
        <v>161</v>
      </c>
      <c r="J17961" t="s">
        <v>569</v>
      </c>
      <c r="K17961" t="s">
        <v>33</v>
      </c>
      <c r="L17961" t="s">
        <v>162</v>
      </c>
      <c r="N17961" t="s">
        <v>29</v>
      </c>
    </row>
    <row r="17962" spans="1:14">
      <c r="A17962" s="4" t="str">
        <f t="shared" si="1297"/>
        <v>EXP00437</v>
      </c>
      <c r="B17962" s="3" t="s">
        <v>66</v>
      </c>
      <c r="C17962" s="4" t="str">
        <f t="shared" si="1298"/>
        <v>TCGA-PRAD</v>
      </c>
      <c r="D17962" s="1" t="s">
        <v>493</v>
      </c>
      <c r="E17962" t="s">
        <v>568</v>
      </c>
      <c r="F17962" s="1">
        <v>2</v>
      </c>
      <c r="G17962" s="1" t="s">
        <v>32</v>
      </c>
      <c r="H17962" s="4" t="str">
        <f>HYPERLINK("https://portal.gdc.cancer.gov/cases/24e5d323-f3d4-4add-9a29-79e77ced357c","TCGA-YL-A8SQ-01B")</f>
        <v>TCGA-YL-A8SQ-01B</v>
      </c>
      <c r="I17962" t="s">
        <v>161</v>
      </c>
      <c r="J17962" t="s">
        <v>569</v>
      </c>
      <c r="K17962" t="s">
        <v>33</v>
      </c>
      <c r="L17962" t="s">
        <v>162</v>
      </c>
      <c r="N17962" t="s">
        <v>29</v>
      </c>
    </row>
    <row r="17963" spans="1:14">
      <c r="A17963" s="4" t="str">
        <f t="shared" si="1297"/>
        <v>EXP00437</v>
      </c>
      <c r="B17963" s="3" t="s">
        <v>66</v>
      </c>
      <c r="C17963" s="4" t="str">
        <f t="shared" si="1298"/>
        <v>TCGA-PRAD</v>
      </c>
      <c r="D17963" s="1" t="s">
        <v>493</v>
      </c>
      <c r="E17963" t="s">
        <v>568</v>
      </c>
      <c r="F17963" s="1">
        <v>2</v>
      </c>
      <c r="G17963" s="1" t="s">
        <v>32</v>
      </c>
      <c r="H17963" s="4" t="str">
        <f>HYPERLINK("https://portal.gdc.cancer.gov/cases/cccdd4a2-ebf0-482d-b71c-9fe44414eec6","TCGA-YL-A8SR-01B")</f>
        <v>TCGA-YL-A8SR-01B</v>
      </c>
      <c r="I17963" t="s">
        <v>161</v>
      </c>
      <c r="J17963" t="s">
        <v>569</v>
      </c>
      <c r="K17963" t="s">
        <v>33</v>
      </c>
      <c r="L17963" t="s">
        <v>162</v>
      </c>
      <c r="N17963" t="s">
        <v>29</v>
      </c>
    </row>
    <row r="17964" spans="1:14">
      <c r="A17964" s="4" t="str">
        <f t="shared" si="1297"/>
        <v>EXP00437</v>
      </c>
      <c r="B17964" s="3" t="s">
        <v>66</v>
      </c>
      <c r="C17964" s="4" t="str">
        <f t="shared" si="1298"/>
        <v>TCGA-PRAD</v>
      </c>
      <c r="D17964" s="1" t="s">
        <v>493</v>
      </c>
      <c r="E17964" t="s">
        <v>568</v>
      </c>
      <c r="F17964" s="1">
        <v>2</v>
      </c>
      <c r="G17964" s="1" t="s">
        <v>32</v>
      </c>
      <c r="H17964" s="4" t="str">
        <f>HYPERLINK("https://portal.gdc.cancer.gov/cases/1bcb1132-a9fc-4f03-bbed-abaf80c7a24a","TCGA-YL-A9WH-01A")</f>
        <v>TCGA-YL-A9WH-01A</v>
      </c>
      <c r="I17964" t="s">
        <v>161</v>
      </c>
      <c r="J17964" t="s">
        <v>569</v>
      </c>
      <c r="K17964" t="s">
        <v>33</v>
      </c>
      <c r="L17964" t="s">
        <v>162</v>
      </c>
      <c r="N17964" t="s">
        <v>29</v>
      </c>
    </row>
    <row r="17965" spans="1:14">
      <c r="A17965" s="4" t="str">
        <f t="shared" si="1297"/>
        <v>EXP00437</v>
      </c>
      <c r="B17965" s="3" t="s">
        <v>66</v>
      </c>
      <c r="C17965" s="4" t="str">
        <f t="shared" si="1298"/>
        <v>TCGA-PRAD</v>
      </c>
      <c r="D17965" s="1" t="s">
        <v>493</v>
      </c>
      <c r="E17965" t="s">
        <v>568</v>
      </c>
      <c r="F17965" s="1">
        <v>2</v>
      </c>
      <c r="G17965" s="1" t="s">
        <v>32</v>
      </c>
      <c r="H17965" s="4" t="str">
        <f>HYPERLINK("https://portal.gdc.cancer.gov/cases/2d70eacc-d0c3-4121-bd1a-a47d68ecede5","TCGA-YL-A9WI-01A")</f>
        <v>TCGA-YL-A9WI-01A</v>
      </c>
      <c r="I17965" t="s">
        <v>161</v>
      </c>
      <c r="J17965" t="s">
        <v>569</v>
      </c>
      <c r="K17965" t="s">
        <v>33</v>
      </c>
      <c r="L17965" t="s">
        <v>162</v>
      </c>
      <c r="N17965" t="s">
        <v>29</v>
      </c>
    </row>
    <row r="17966" spans="1:14">
      <c r="A17966" s="4" t="str">
        <f t="shared" si="1297"/>
        <v>EXP00437</v>
      </c>
      <c r="B17966" s="3" t="s">
        <v>66</v>
      </c>
      <c r="C17966" s="4" t="str">
        <f t="shared" si="1298"/>
        <v>TCGA-PRAD</v>
      </c>
      <c r="D17966" s="1" t="s">
        <v>493</v>
      </c>
      <c r="E17966" t="s">
        <v>568</v>
      </c>
      <c r="F17966" s="1">
        <v>2</v>
      </c>
      <c r="G17966" s="1" t="s">
        <v>32</v>
      </c>
      <c r="H17966" s="4" t="str">
        <f>HYPERLINK("https://portal.gdc.cancer.gov/cases/b2bcc97f-03a6-409a-8b91-78221cb10d7f","TCGA-YL-A9WK-01A")</f>
        <v>TCGA-YL-A9WK-01A</v>
      </c>
      <c r="I17966" t="s">
        <v>161</v>
      </c>
      <c r="J17966" t="s">
        <v>569</v>
      </c>
      <c r="K17966" t="s">
        <v>33</v>
      </c>
      <c r="L17966" t="s">
        <v>162</v>
      </c>
      <c r="N17966" t="s">
        <v>29</v>
      </c>
    </row>
    <row r="17967" spans="1:14">
      <c r="A17967" s="4" t="str">
        <f t="shared" si="1297"/>
        <v>EXP00437</v>
      </c>
      <c r="B17967" s="3" t="s">
        <v>66</v>
      </c>
      <c r="C17967" s="4" t="str">
        <f t="shared" si="1298"/>
        <v>TCGA-PRAD</v>
      </c>
      <c r="D17967" s="1" t="s">
        <v>493</v>
      </c>
      <c r="E17967" t="s">
        <v>568</v>
      </c>
      <c r="F17967" s="1">
        <v>2</v>
      </c>
      <c r="G17967" s="1" t="s">
        <v>32</v>
      </c>
      <c r="H17967" s="4" t="str">
        <f>HYPERLINK("https://portal.gdc.cancer.gov/cases/cfcf057a-00fe-4603-a720-586712b75803","TCGA-YL-A9WL-01A")</f>
        <v>TCGA-YL-A9WL-01A</v>
      </c>
      <c r="I17967" t="s">
        <v>161</v>
      </c>
      <c r="J17967" t="s">
        <v>569</v>
      </c>
      <c r="K17967" t="s">
        <v>33</v>
      </c>
      <c r="L17967" t="s">
        <v>162</v>
      </c>
      <c r="N17967" t="s">
        <v>29</v>
      </c>
    </row>
    <row r="17968" spans="1:14">
      <c r="A17968" s="4" t="str">
        <f t="shared" si="1297"/>
        <v>EXP00437</v>
      </c>
      <c r="B17968" s="3" t="s">
        <v>66</v>
      </c>
      <c r="C17968" s="4" t="str">
        <f t="shared" si="1298"/>
        <v>TCGA-PRAD</v>
      </c>
      <c r="D17968" s="1" t="s">
        <v>493</v>
      </c>
      <c r="E17968" t="s">
        <v>568</v>
      </c>
      <c r="F17968" s="1">
        <v>2</v>
      </c>
      <c r="G17968" s="1" t="s">
        <v>32</v>
      </c>
      <c r="H17968" s="4" t="str">
        <f>HYPERLINK("https://portal.gdc.cancer.gov/cases/a468353e-0a96-4a4d-8aef-5140bf1bf952","TCGA-YL-A9WX-01A")</f>
        <v>TCGA-YL-A9WX-01A</v>
      </c>
      <c r="I17968" t="s">
        <v>161</v>
      </c>
      <c r="J17968" t="s">
        <v>569</v>
      </c>
      <c r="K17968" t="s">
        <v>33</v>
      </c>
      <c r="L17968" t="s">
        <v>162</v>
      </c>
      <c r="N17968" t="s">
        <v>29</v>
      </c>
    </row>
    <row r="17969" spans="1:14">
      <c r="A17969" s="4" t="str">
        <f t="shared" si="1297"/>
        <v>EXP00437</v>
      </c>
      <c r="B17969" s="3" t="s">
        <v>66</v>
      </c>
      <c r="C17969" s="4" t="str">
        <f t="shared" si="1298"/>
        <v>TCGA-PRAD</v>
      </c>
      <c r="D17969" s="1" t="s">
        <v>493</v>
      </c>
      <c r="E17969" t="s">
        <v>568</v>
      </c>
      <c r="F17969" s="1">
        <v>2</v>
      </c>
      <c r="G17969" s="1" t="s">
        <v>32</v>
      </c>
      <c r="H17969" s="4" t="str">
        <f>HYPERLINK("https://portal.gdc.cancer.gov/cases/d7e22af5-88aa-4a83-985c-1d346dff652d","TCGA-YL-A9WY-01A")</f>
        <v>TCGA-YL-A9WY-01A</v>
      </c>
      <c r="I17969" t="s">
        <v>161</v>
      </c>
      <c r="J17969" t="s">
        <v>569</v>
      </c>
      <c r="K17969" t="s">
        <v>33</v>
      </c>
      <c r="L17969" t="s">
        <v>162</v>
      </c>
      <c r="N17969" t="s">
        <v>29</v>
      </c>
    </row>
    <row r="17970" spans="1:14">
      <c r="A17970" s="4" t="str">
        <f t="shared" si="1297"/>
        <v>EXP00437</v>
      </c>
      <c r="B17970" s="3" t="s">
        <v>66</v>
      </c>
      <c r="C17970" s="4" t="str">
        <f t="shared" si="1298"/>
        <v>TCGA-PRAD</v>
      </c>
      <c r="D17970" s="1" t="s">
        <v>493</v>
      </c>
      <c r="E17970" t="s">
        <v>568</v>
      </c>
      <c r="F17970" s="1">
        <v>2</v>
      </c>
      <c r="G17970" s="1" t="s">
        <v>32</v>
      </c>
      <c r="H17970" s="4" t="str">
        <f>HYPERLINK("https://portal.gdc.cancer.gov/cases/f06c1ef4-bedd-4025-abf8-06f5e9c0821a","TCGA-ZG-A8QW-01A")</f>
        <v>TCGA-ZG-A8QW-01A</v>
      </c>
      <c r="I17970" t="s">
        <v>161</v>
      </c>
      <c r="J17970" t="s">
        <v>569</v>
      </c>
      <c r="K17970" t="s">
        <v>33</v>
      </c>
      <c r="L17970" t="s">
        <v>162</v>
      </c>
      <c r="N17970" t="s">
        <v>29</v>
      </c>
    </row>
    <row r="17971" spans="1:14">
      <c r="A17971" s="4" t="str">
        <f t="shared" si="1297"/>
        <v>EXP00437</v>
      </c>
      <c r="B17971" s="3" t="s">
        <v>66</v>
      </c>
      <c r="C17971" s="4" t="str">
        <f t="shared" si="1298"/>
        <v>TCGA-PRAD</v>
      </c>
      <c r="D17971" s="1" t="s">
        <v>493</v>
      </c>
      <c r="E17971" t="s">
        <v>568</v>
      </c>
      <c r="F17971" s="1">
        <v>2</v>
      </c>
      <c r="G17971" s="1" t="s">
        <v>32</v>
      </c>
      <c r="H17971" s="4" t="str">
        <f>HYPERLINK("https://portal.gdc.cancer.gov/cases/ae739a4a-e319-4d87-8330-14f2fbc8839d","TCGA-ZG-A8QX-01A")</f>
        <v>TCGA-ZG-A8QX-01A</v>
      </c>
      <c r="I17971" t="s">
        <v>161</v>
      </c>
      <c r="J17971" t="s">
        <v>569</v>
      </c>
      <c r="K17971" t="s">
        <v>33</v>
      </c>
      <c r="L17971" t="s">
        <v>162</v>
      </c>
      <c r="N17971" t="s">
        <v>29</v>
      </c>
    </row>
    <row r="17972" spans="1:14">
      <c r="A17972" s="4" t="str">
        <f t="shared" si="1297"/>
        <v>EXP00437</v>
      </c>
      <c r="B17972" s="3" t="s">
        <v>66</v>
      </c>
      <c r="C17972" s="4" t="str">
        <f t="shared" si="1298"/>
        <v>TCGA-PRAD</v>
      </c>
      <c r="D17972" s="1" t="s">
        <v>493</v>
      </c>
      <c r="E17972" t="s">
        <v>568</v>
      </c>
      <c r="F17972" s="1">
        <v>2</v>
      </c>
      <c r="G17972" s="1" t="s">
        <v>32</v>
      </c>
      <c r="H17972" s="4" t="str">
        <f>HYPERLINK("https://portal.gdc.cancer.gov/cases/a6d467cf-6783-4885-8de5-95d32e922500","TCGA-ZG-A8QY-01A")</f>
        <v>TCGA-ZG-A8QY-01A</v>
      </c>
      <c r="I17972" t="s">
        <v>161</v>
      </c>
      <c r="J17972" t="s">
        <v>569</v>
      </c>
      <c r="K17972" t="s">
        <v>33</v>
      </c>
      <c r="L17972" t="s">
        <v>162</v>
      </c>
      <c r="N17972" t="s">
        <v>29</v>
      </c>
    </row>
    <row r="17973" spans="1:14">
      <c r="A17973" s="4" t="str">
        <f t="shared" si="1297"/>
        <v>EXP00437</v>
      </c>
      <c r="B17973" s="3" t="s">
        <v>66</v>
      </c>
      <c r="C17973" s="4" t="str">
        <f t="shared" si="1298"/>
        <v>TCGA-PRAD</v>
      </c>
      <c r="D17973" s="1" t="s">
        <v>493</v>
      </c>
      <c r="E17973" t="s">
        <v>568</v>
      </c>
      <c r="F17973" s="1">
        <v>2</v>
      </c>
      <c r="G17973" s="1" t="s">
        <v>32</v>
      </c>
      <c r="H17973" s="4" t="str">
        <f>HYPERLINK("https://portal.gdc.cancer.gov/cases/daa9292e-8012-4aa2-8221-ad65fb1c7b78","TCGA-ZG-A8QZ-01A")</f>
        <v>TCGA-ZG-A8QZ-01A</v>
      </c>
      <c r="I17973" t="s">
        <v>161</v>
      </c>
      <c r="J17973" t="s">
        <v>569</v>
      </c>
      <c r="K17973" t="s">
        <v>33</v>
      </c>
      <c r="L17973" t="s">
        <v>162</v>
      </c>
      <c r="N17973" t="s">
        <v>29</v>
      </c>
    </row>
    <row r="17974" spans="1:14">
      <c r="A17974" s="4" t="str">
        <f t="shared" si="1297"/>
        <v>EXP00437</v>
      </c>
      <c r="B17974" s="3" t="s">
        <v>66</v>
      </c>
      <c r="C17974" s="4" t="str">
        <f t="shared" si="1298"/>
        <v>TCGA-PRAD</v>
      </c>
      <c r="D17974" s="1" t="s">
        <v>493</v>
      </c>
      <c r="E17974" t="s">
        <v>568</v>
      </c>
      <c r="F17974" s="1">
        <v>2</v>
      </c>
      <c r="G17974" s="1" t="s">
        <v>32</v>
      </c>
      <c r="H17974" s="4" t="str">
        <f>HYPERLINK("https://portal.gdc.cancer.gov/cases/adbf5bda-e2dc-4b25-8fb9-96d89093f77d","TCGA-ZG-A9KY-01A")</f>
        <v>TCGA-ZG-A9KY-01A</v>
      </c>
      <c r="I17974" t="s">
        <v>161</v>
      </c>
      <c r="J17974" t="s">
        <v>569</v>
      </c>
      <c r="K17974" t="s">
        <v>33</v>
      </c>
      <c r="L17974" t="s">
        <v>162</v>
      </c>
      <c r="N17974" t="s">
        <v>29</v>
      </c>
    </row>
    <row r="17975" spans="1:14">
      <c r="A17975" s="4" t="str">
        <f t="shared" si="1297"/>
        <v>EXP00437</v>
      </c>
      <c r="B17975" s="3" t="s">
        <v>66</v>
      </c>
      <c r="C17975" s="4" t="str">
        <f t="shared" si="1298"/>
        <v>TCGA-PRAD</v>
      </c>
      <c r="D17975" s="1" t="s">
        <v>493</v>
      </c>
      <c r="E17975" t="s">
        <v>568</v>
      </c>
      <c r="F17975" s="1">
        <v>2</v>
      </c>
      <c r="G17975" s="1" t="s">
        <v>32</v>
      </c>
      <c r="H17975" s="4" t="str">
        <f>HYPERLINK("https://portal.gdc.cancer.gov/cases/355e84e7-0d50-4bc2-a481-dfece2f8c687","TCGA-ZG-A9L0-01A")</f>
        <v>TCGA-ZG-A9L0-01A</v>
      </c>
      <c r="I17975" t="s">
        <v>161</v>
      </c>
      <c r="J17975" t="s">
        <v>569</v>
      </c>
      <c r="K17975" t="s">
        <v>33</v>
      </c>
      <c r="L17975" t="s">
        <v>162</v>
      </c>
      <c r="N17975" t="s">
        <v>29</v>
      </c>
    </row>
    <row r="17976" spans="1:14">
      <c r="A17976" s="4" t="str">
        <f t="shared" si="1297"/>
        <v>EXP00437</v>
      </c>
      <c r="B17976" s="3" t="s">
        <v>66</v>
      </c>
      <c r="C17976" s="4" t="str">
        <f t="shared" si="1298"/>
        <v>TCGA-PRAD</v>
      </c>
      <c r="D17976" s="1" t="s">
        <v>493</v>
      </c>
      <c r="E17976" t="s">
        <v>568</v>
      </c>
      <c r="F17976" s="1">
        <v>2</v>
      </c>
      <c r="G17976" s="1" t="s">
        <v>32</v>
      </c>
      <c r="H17976" s="4" t="str">
        <f>HYPERLINK("https://portal.gdc.cancer.gov/cases/083cc988-19a5-49b4-97c0-4e7bcc5d5c08","TCGA-ZG-A9L1-01A")</f>
        <v>TCGA-ZG-A9L1-01A</v>
      </c>
      <c r="I17976" t="s">
        <v>161</v>
      </c>
      <c r="J17976" t="s">
        <v>569</v>
      </c>
      <c r="K17976" t="s">
        <v>33</v>
      </c>
      <c r="L17976" t="s">
        <v>162</v>
      </c>
      <c r="N17976" t="s">
        <v>29</v>
      </c>
    </row>
    <row r="17977" spans="1:14">
      <c r="A17977" s="4" t="str">
        <f t="shared" si="1297"/>
        <v>EXP00437</v>
      </c>
      <c r="B17977" s="3" t="s">
        <v>66</v>
      </c>
      <c r="C17977" s="4" t="str">
        <f t="shared" si="1298"/>
        <v>TCGA-PRAD</v>
      </c>
      <c r="D17977" s="1" t="s">
        <v>493</v>
      </c>
      <c r="E17977" t="s">
        <v>568</v>
      </c>
      <c r="F17977" s="1">
        <v>2</v>
      </c>
      <c r="G17977" s="1" t="s">
        <v>32</v>
      </c>
      <c r="H17977" s="4" t="str">
        <f>HYPERLINK("https://portal.gdc.cancer.gov/cases/5e7a7629-800a-45c4-b4cb-314a853a1bec","TCGA-ZG-A9L2-01A")</f>
        <v>TCGA-ZG-A9L2-01A</v>
      </c>
      <c r="I17977" t="s">
        <v>161</v>
      </c>
      <c r="J17977" t="s">
        <v>569</v>
      </c>
      <c r="K17977" t="s">
        <v>33</v>
      </c>
      <c r="L17977" t="s">
        <v>162</v>
      </c>
      <c r="N17977" t="s">
        <v>29</v>
      </c>
    </row>
    <row r="17978" spans="1:14">
      <c r="A17978" s="4" t="str">
        <f t="shared" si="1297"/>
        <v>EXP00437</v>
      </c>
      <c r="B17978" s="3" t="s">
        <v>66</v>
      </c>
      <c r="C17978" s="4" t="str">
        <f t="shared" si="1298"/>
        <v>TCGA-PRAD</v>
      </c>
      <c r="D17978" s="1" t="s">
        <v>493</v>
      </c>
      <c r="E17978" t="s">
        <v>568</v>
      </c>
      <c r="F17978" s="1">
        <v>2</v>
      </c>
      <c r="G17978" s="1" t="s">
        <v>32</v>
      </c>
      <c r="H17978" s="4" t="str">
        <f>HYPERLINK("https://portal.gdc.cancer.gov/cases/c75bee57-d6da-4083-9be8-17c970b77fc7","TCGA-ZG-A9L4-01A")</f>
        <v>TCGA-ZG-A9L4-01A</v>
      </c>
      <c r="I17978" t="s">
        <v>161</v>
      </c>
      <c r="J17978" t="s">
        <v>569</v>
      </c>
      <c r="K17978" t="s">
        <v>33</v>
      </c>
      <c r="L17978" t="s">
        <v>162</v>
      </c>
      <c r="N17978" t="s">
        <v>29</v>
      </c>
    </row>
    <row r="17979" spans="1:14">
      <c r="A17979" s="4" t="str">
        <f t="shared" si="1297"/>
        <v>EXP00437</v>
      </c>
      <c r="B17979" s="3" t="s">
        <v>66</v>
      </c>
      <c r="C17979" s="4" t="str">
        <f t="shared" si="1298"/>
        <v>TCGA-PRAD</v>
      </c>
      <c r="D17979" s="1" t="s">
        <v>493</v>
      </c>
      <c r="E17979" t="s">
        <v>568</v>
      </c>
      <c r="F17979" s="1">
        <v>2</v>
      </c>
      <c r="G17979" s="1" t="s">
        <v>32</v>
      </c>
      <c r="H17979" s="4" t="str">
        <f>HYPERLINK("https://portal.gdc.cancer.gov/cases/e8f39c9e-0f1a-401c-9055-762b52bc77c7","TCGA-ZG-A9L5-01A")</f>
        <v>TCGA-ZG-A9L5-01A</v>
      </c>
      <c r="I17979" t="s">
        <v>161</v>
      </c>
      <c r="J17979" t="s">
        <v>569</v>
      </c>
      <c r="K17979" t="s">
        <v>33</v>
      </c>
      <c r="L17979" t="s">
        <v>162</v>
      </c>
      <c r="N17979" t="s">
        <v>29</v>
      </c>
    </row>
    <row r="17980" spans="1:14">
      <c r="A17980" s="4" t="str">
        <f t="shared" si="1297"/>
        <v>EXP00437</v>
      </c>
      <c r="B17980" s="3" t="s">
        <v>66</v>
      </c>
      <c r="C17980" s="4" t="str">
        <f t="shared" si="1298"/>
        <v>TCGA-PRAD</v>
      </c>
      <c r="D17980" s="1" t="s">
        <v>493</v>
      </c>
      <c r="E17980" t="s">
        <v>568</v>
      </c>
      <c r="F17980" s="1">
        <v>2</v>
      </c>
      <c r="G17980" s="1" t="s">
        <v>32</v>
      </c>
      <c r="H17980" s="4" t="str">
        <f>HYPERLINK("https://portal.gdc.cancer.gov/cases/93cf60a7-1d61-4c1c-8dce-221289800b0c","TCGA-ZG-A9L6-01A")</f>
        <v>TCGA-ZG-A9L6-01A</v>
      </c>
      <c r="I17980" t="s">
        <v>161</v>
      </c>
      <c r="J17980" t="s">
        <v>569</v>
      </c>
      <c r="K17980" t="s">
        <v>33</v>
      </c>
      <c r="L17980" t="s">
        <v>162</v>
      </c>
      <c r="N17980" t="s">
        <v>29</v>
      </c>
    </row>
    <row r="17981" spans="1:14">
      <c r="A17981" s="4" t="str">
        <f t="shared" si="1297"/>
        <v>EXP00437</v>
      </c>
      <c r="B17981" s="3" t="s">
        <v>66</v>
      </c>
      <c r="C17981" s="4" t="str">
        <f t="shared" si="1298"/>
        <v>TCGA-PRAD</v>
      </c>
      <c r="D17981" s="1" t="s">
        <v>493</v>
      </c>
      <c r="E17981" t="s">
        <v>568</v>
      </c>
      <c r="F17981" s="1">
        <v>2</v>
      </c>
      <c r="G17981" s="1" t="s">
        <v>32</v>
      </c>
      <c r="H17981" s="4" t="str">
        <f>HYPERLINK("https://portal.gdc.cancer.gov/cases/c7912ca7-11e1-4cb8-902a-9d6cb23fd344","TCGA-ZG-A9L9-01A")</f>
        <v>TCGA-ZG-A9L9-01A</v>
      </c>
      <c r="I17981" t="s">
        <v>161</v>
      </c>
      <c r="J17981" t="s">
        <v>569</v>
      </c>
      <c r="K17981" t="s">
        <v>33</v>
      </c>
      <c r="L17981" t="s">
        <v>162</v>
      </c>
      <c r="N17981" t="s">
        <v>29</v>
      </c>
    </row>
    <row r="17982" spans="1:14">
      <c r="A17982" s="4" t="str">
        <f t="shared" si="1297"/>
        <v>EXP00437</v>
      </c>
      <c r="B17982" s="3" t="s">
        <v>66</v>
      </c>
      <c r="C17982" s="4" t="str">
        <f t="shared" si="1298"/>
        <v>TCGA-PRAD</v>
      </c>
      <c r="D17982" s="1" t="s">
        <v>493</v>
      </c>
      <c r="E17982" t="s">
        <v>568</v>
      </c>
      <c r="F17982" s="1">
        <v>2</v>
      </c>
      <c r="G17982" s="1" t="s">
        <v>32</v>
      </c>
      <c r="H17982" s="4" t="str">
        <f>HYPERLINK("https://portal.gdc.cancer.gov/cases/ef974c39-8bac-486b-a395-9d1283e08028","TCGA-ZG-A9LB-01A")</f>
        <v>TCGA-ZG-A9LB-01A</v>
      </c>
      <c r="I17982" t="s">
        <v>161</v>
      </c>
      <c r="J17982" t="s">
        <v>569</v>
      </c>
      <c r="K17982" t="s">
        <v>33</v>
      </c>
      <c r="L17982" t="s">
        <v>162</v>
      </c>
      <c r="N17982" t="s">
        <v>29</v>
      </c>
    </row>
    <row r="17983" spans="1:14">
      <c r="A17983" s="4" t="str">
        <f t="shared" si="1297"/>
        <v>EXP00437</v>
      </c>
      <c r="B17983" s="3" t="s">
        <v>66</v>
      </c>
      <c r="C17983" s="4" t="str">
        <f t="shared" si="1298"/>
        <v>TCGA-PRAD</v>
      </c>
      <c r="D17983" s="1" t="s">
        <v>493</v>
      </c>
      <c r="E17983" t="s">
        <v>568</v>
      </c>
      <c r="F17983" s="1">
        <v>2</v>
      </c>
      <c r="G17983" s="1" t="s">
        <v>32</v>
      </c>
      <c r="H17983" s="4" t="str">
        <f>HYPERLINK("https://portal.gdc.cancer.gov/cases/9357e8eb-1ce5-4c0f-a668-e5e7f3031d6c","TCGA-ZG-A9LM-01A")</f>
        <v>TCGA-ZG-A9LM-01A</v>
      </c>
      <c r="I17983" t="s">
        <v>161</v>
      </c>
      <c r="J17983" t="s">
        <v>569</v>
      </c>
      <c r="K17983" t="s">
        <v>33</v>
      </c>
      <c r="L17983" t="s">
        <v>162</v>
      </c>
      <c r="N17983" t="s">
        <v>29</v>
      </c>
    </row>
    <row r="17984" spans="1:14">
      <c r="A17984" s="4" t="str">
        <f t="shared" si="1297"/>
        <v>EXP00437</v>
      </c>
      <c r="B17984" s="3" t="s">
        <v>66</v>
      </c>
      <c r="C17984" s="4" t="str">
        <f t="shared" si="1298"/>
        <v>TCGA-PRAD</v>
      </c>
      <c r="D17984" s="1" t="s">
        <v>493</v>
      </c>
      <c r="E17984" t="s">
        <v>568</v>
      </c>
      <c r="F17984" s="1">
        <v>2</v>
      </c>
      <c r="G17984" s="1" t="s">
        <v>32</v>
      </c>
      <c r="H17984" s="4" t="str">
        <f>HYPERLINK("https://portal.gdc.cancer.gov/cases/1d2c5f72-cdca-4cc8-8a96-2abe10207356","TCGA-ZG-A9LN-01A")</f>
        <v>TCGA-ZG-A9LN-01A</v>
      </c>
      <c r="I17984" t="s">
        <v>161</v>
      </c>
      <c r="J17984" t="s">
        <v>569</v>
      </c>
      <c r="K17984" t="s">
        <v>33</v>
      </c>
      <c r="L17984" t="s">
        <v>162</v>
      </c>
      <c r="N17984" t="s">
        <v>29</v>
      </c>
    </row>
    <row r="17985" spans="1:14">
      <c r="A17985" s="4" t="str">
        <f t="shared" si="1297"/>
        <v>EXP00437</v>
      </c>
      <c r="B17985" s="3" t="s">
        <v>66</v>
      </c>
      <c r="C17985" s="4" t="str">
        <f t="shared" si="1298"/>
        <v>TCGA-PRAD</v>
      </c>
      <c r="D17985" s="1" t="s">
        <v>493</v>
      </c>
      <c r="E17985" t="s">
        <v>568</v>
      </c>
      <c r="F17985" s="1">
        <v>2</v>
      </c>
      <c r="G17985" s="1" t="s">
        <v>32</v>
      </c>
      <c r="H17985" s="4" t="str">
        <f>HYPERLINK("https://portal.gdc.cancer.gov/cases/afa7d9a2-3998-4182-bf63-54895ed2de37","TCGA-ZG-A9LS-01A")</f>
        <v>TCGA-ZG-A9LS-01A</v>
      </c>
      <c r="I17985" t="s">
        <v>161</v>
      </c>
      <c r="J17985" t="s">
        <v>569</v>
      </c>
      <c r="K17985" t="s">
        <v>33</v>
      </c>
      <c r="L17985" t="s">
        <v>162</v>
      </c>
      <c r="N17985" t="s">
        <v>29</v>
      </c>
    </row>
    <row r="17986" spans="1:14">
      <c r="A17986" s="4" t="str">
        <f t="shared" si="1297"/>
        <v>EXP00437</v>
      </c>
      <c r="B17986" s="3" t="s">
        <v>66</v>
      </c>
      <c r="C17986" s="4" t="str">
        <f t="shared" si="1298"/>
        <v>TCGA-PRAD</v>
      </c>
      <c r="D17986" s="1" t="s">
        <v>493</v>
      </c>
      <c r="E17986" t="s">
        <v>568</v>
      </c>
      <c r="F17986" s="1">
        <v>2</v>
      </c>
      <c r="G17986" s="1" t="s">
        <v>32</v>
      </c>
      <c r="H17986" s="4" t="str">
        <f>HYPERLINK("https://portal.gdc.cancer.gov/cases/610603d0-43fb-4a4e-b368-d143e6c61802","TCGA-ZG-A9LU-01A")</f>
        <v>TCGA-ZG-A9LU-01A</v>
      </c>
      <c r="I17986" t="s">
        <v>161</v>
      </c>
      <c r="J17986" t="s">
        <v>569</v>
      </c>
      <c r="K17986" t="s">
        <v>33</v>
      </c>
      <c r="L17986" t="s">
        <v>162</v>
      </c>
      <c r="N17986" t="s">
        <v>29</v>
      </c>
    </row>
    <row r="17987" spans="1:14">
      <c r="A17987" s="4" t="str">
        <f t="shared" si="1297"/>
        <v>EXP00437</v>
      </c>
      <c r="B17987" s="3" t="s">
        <v>66</v>
      </c>
      <c r="C17987" s="4" t="str">
        <f t="shared" si="1298"/>
        <v>TCGA-PRAD</v>
      </c>
      <c r="D17987" s="1" t="s">
        <v>493</v>
      </c>
      <c r="E17987" t="s">
        <v>568</v>
      </c>
      <c r="F17987" s="1">
        <v>2</v>
      </c>
      <c r="G17987" s="1" t="s">
        <v>32</v>
      </c>
      <c r="H17987" s="4" t="str">
        <f>HYPERLINK("https://portal.gdc.cancer.gov/cases/3de1a86b-aaeb-4f0d-9f32-1fda924198d7","TCGA-ZG-A9LY-01A")</f>
        <v>TCGA-ZG-A9LY-01A</v>
      </c>
      <c r="I17987" t="s">
        <v>161</v>
      </c>
      <c r="J17987" t="s">
        <v>569</v>
      </c>
      <c r="K17987" t="s">
        <v>33</v>
      </c>
      <c r="L17987" t="s">
        <v>162</v>
      </c>
      <c r="N17987" t="s">
        <v>29</v>
      </c>
    </row>
    <row r="17988" spans="1:14">
      <c r="A17988" s="4" t="str">
        <f t="shared" si="1297"/>
        <v>EXP00437</v>
      </c>
      <c r="B17988" s="3" t="s">
        <v>66</v>
      </c>
      <c r="C17988" s="4" t="str">
        <f t="shared" si="1298"/>
        <v>TCGA-PRAD</v>
      </c>
      <c r="D17988" s="1" t="s">
        <v>493</v>
      </c>
      <c r="E17988" t="s">
        <v>568</v>
      </c>
      <c r="F17988" s="1">
        <v>2</v>
      </c>
      <c r="G17988" s="1" t="s">
        <v>32</v>
      </c>
      <c r="H17988" s="4" t="str">
        <f>HYPERLINK("https://portal.gdc.cancer.gov/cases/ca076cfd-c628-4af2-837c-37617429adb9","TCGA-ZG-A9LZ-01A")</f>
        <v>TCGA-ZG-A9LZ-01A</v>
      </c>
      <c r="I17988" t="s">
        <v>161</v>
      </c>
      <c r="J17988" t="s">
        <v>569</v>
      </c>
      <c r="K17988" t="s">
        <v>33</v>
      </c>
      <c r="L17988" t="s">
        <v>162</v>
      </c>
      <c r="N17988" t="s">
        <v>29</v>
      </c>
    </row>
    <row r="17989" spans="1:14">
      <c r="A17989" s="4" t="str">
        <f t="shared" si="1297"/>
        <v>EXP00437</v>
      </c>
      <c r="B17989" s="3" t="s">
        <v>66</v>
      </c>
      <c r="C17989" s="4" t="str">
        <f t="shared" si="1298"/>
        <v>TCGA-PRAD</v>
      </c>
      <c r="D17989" s="1" t="s">
        <v>493</v>
      </c>
      <c r="E17989" t="s">
        <v>568</v>
      </c>
      <c r="F17989" s="1">
        <v>2</v>
      </c>
      <c r="G17989" s="1" t="s">
        <v>32</v>
      </c>
      <c r="H17989" s="4" t="str">
        <f>HYPERLINK("https://portal.gdc.cancer.gov/cases/9b5d36b2-8b46-48a4-afa7-0e1936f2d315","TCGA-ZG-A9M4-01A")</f>
        <v>TCGA-ZG-A9M4-01A</v>
      </c>
      <c r="I17989" t="s">
        <v>161</v>
      </c>
      <c r="J17989" t="s">
        <v>569</v>
      </c>
      <c r="K17989" t="s">
        <v>33</v>
      </c>
      <c r="L17989" t="s">
        <v>162</v>
      </c>
      <c r="N17989" t="s">
        <v>29</v>
      </c>
    </row>
    <row r="17990" spans="1:14">
      <c r="A17990" s="4" t="str">
        <f t="shared" si="1297"/>
        <v>EXP00437</v>
      </c>
      <c r="B17990" s="3" t="s">
        <v>66</v>
      </c>
      <c r="C17990" s="4" t="str">
        <f t="shared" si="1298"/>
        <v>TCGA-PRAD</v>
      </c>
      <c r="D17990" s="1" t="s">
        <v>493</v>
      </c>
      <c r="E17990" t="s">
        <v>568</v>
      </c>
      <c r="F17990" s="1">
        <v>2</v>
      </c>
      <c r="G17990" s="1" t="s">
        <v>32</v>
      </c>
      <c r="H17990" s="4" t="str">
        <f>HYPERLINK("https://portal.gdc.cancer.gov/cases/7efc26b2-eff9-4f1e-9f4b-f26af072c84a","TCGA-ZG-A9MC-01A")</f>
        <v>TCGA-ZG-A9MC-01A</v>
      </c>
      <c r="I17990" t="s">
        <v>161</v>
      </c>
      <c r="J17990" t="s">
        <v>569</v>
      </c>
      <c r="K17990" t="s">
        <v>33</v>
      </c>
      <c r="L17990" t="s">
        <v>162</v>
      </c>
      <c r="N17990" t="s">
        <v>29</v>
      </c>
    </row>
    <row r="17991" spans="1:14">
      <c r="A17991" s="4" t="str">
        <f t="shared" si="1297"/>
        <v>EXP00437</v>
      </c>
      <c r="B17991" s="3" t="s">
        <v>66</v>
      </c>
      <c r="C17991" s="4" t="str">
        <f t="shared" si="1298"/>
        <v>TCGA-PRAD</v>
      </c>
      <c r="D17991" s="1" t="s">
        <v>493</v>
      </c>
      <c r="E17991" t="s">
        <v>568</v>
      </c>
      <c r="F17991" s="1">
        <v>2</v>
      </c>
      <c r="G17991" s="1" t="s">
        <v>32</v>
      </c>
      <c r="H17991" s="4" t="str">
        <f>HYPERLINK("https://portal.gdc.cancer.gov/cases/305b0b57-5952-43c7-9063-7bcd954eb44d","TCGA-ZG-A9N3-01A")</f>
        <v>TCGA-ZG-A9N3-01A</v>
      </c>
      <c r="I17991" t="s">
        <v>161</v>
      </c>
      <c r="J17991" t="s">
        <v>569</v>
      </c>
      <c r="K17991" t="s">
        <v>33</v>
      </c>
      <c r="L17991" t="s">
        <v>162</v>
      </c>
      <c r="N17991" t="s">
        <v>29</v>
      </c>
    </row>
    <row r="17992" spans="1:14">
      <c r="A17992" s="4" t="str">
        <f t="shared" si="1297"/>
        <v>EXP00437</v>
      </c>
      <c r="B17992" s="3" t="s">
        <v>66</v>
      </c>
      <c r="C17992" s="4" t="str">
        <f t="shared" si="1298"/>
        <v>TCGA-PRAD</v>
      </c>
      <c r="D17992" s="1" t="s">
        <v>493</v>
      </c>
      <c r="E17992" t="s">
        <v>568</v>
      </c>
      <c r="F17992" s="1">
        <v>2</v>
      </c>
      <c r="G17992" s="1" t="s">
        <v>32</v>
      </c>
      <c r="H17992" s="4" t="str">
        <f>HYPERLINK("https://portal.gdc.cancer.gov/cases/348c2bf3-2146-4990-9adf-fa6968b4f072","TCGA-ZG-A9ND-01A")</f>
        <v>TCGA-ZG-A9ND-01A</v>
      </c>
      <c r="I17992" t="s">
        <v>161</v>
      </c>
      <c r="J17992" t="s">
        <v>569</v>
      </c>
      <c r="K17992" t="s">
        <v>33</v>
      </c>
      <c r="L17992" t="s">
        <v>162</v>
      </c>
      <c r="N17992" t="s">
        <v>29</v>
      </c>
    </row>
    <row r="17993" spans="1:14">
      <c r="A17993" s="4" t="str">
        <f t="shared" si="1297"/>
        <v>EXP00437</v>
      </c>
      <c r="B17993" s="3" t="s">
        <v>66</v>
      </c>
      <c r="C17993" s="4" t="str">
        <f t="shared" si="1298"/>
        <v>TCGA-PRAD</v>
      </c>
      <c r="D17993" s="1" t="s">
        <v>493</v>
      </c>
      <c r="E17993" t="s">
        <v>568</v>
      </c>
      <c r="F17993" s="1">
        <v>2</v>
      </c>
      <c r="G17993" s="1" t="s">
        <v>32</v>
      </c>
      <c r="H17993" s="4" t="str">
        <f>HYPERLINK("https://portal.gdc.cancer.gov/cases/03c15d06-b81e-433c-9de4-906cba91539f","TCGA-ZG-A9NI-01A")</f>
        <v>TCGA-ZG-A9NI-01A</v>
      </c>
      <c r="I17993" t="s">
        <v>161</v>
      </c>
      <c r="J17993" t="s">
        <v>569</v>
      </c>
      <c r="K17993" t="s">
        <v>33</v>
      </c>
      <c r="L17993" t="s">
        <v>162</v>
      </c>
      <c r="N17993" t="s">
        <v>29</v>
      </c>
    </row>
    <row r="17994" spans="1:14">
      <c r="A17994" s="4" t="str">
        <f t="shared" ref="A17994:A18057" si="1299">HYPERLINK("http://hcmdb.i-sanger.com/experiment/details/experiment_id/EXP00438","EXP00438")</f>
        <v>EXP00438</v>
      </c>
      <c r="B17994" s="3" t="s">
        <v>66</v>
      </c>
      <c r="C17994" s="4" t="str">
        <f t="shared" si="1298"/>
        <v>TCGA-PRAD</v>
      </c>
      <c r="D17994" s="1" t="s">
        <v>493</v>
      </c>
      <c r="E17994" t="s">
        <v>571</v>
      </c>
      <c r="F17994" s="1">
        <v>1</v>
      </c>
      <c r="G17994" s="1" t="s">
        <v>36</v>
      </c>
      <c r="H17994" s="4" t="str">
        <f>HYPERLINK("https://portal.gdc.cancer.gov/cases/854a481b-71a2-4f23-80aa-e91e9f4069b1","TCGA-CH-5761-11A")</f>
        <v>TCGA-CH-5761-11A</v>
      </c>
      <c r="I17994" t="s">
        <v>161</v>
      </c>
      <c r="J17994" t="s">
        <v>569</v>
      </c>
      <c r="K17994" t="s">
        <v>33</v>
      </c>
      <c r="L17994" t="s">
        <v>162</v>
      </c>
      <c r="N17994" t="s">
        <v>37</v>
      </c>
    </row>
    <row r="17995" spans="1:14">
      <c r="A17995" s="4" t="str">
        <f t="shared" si="1299"/>
        <v>EXP00438</v>
      </c>
      <c r="B17995" s="3" t="s">
        <v>66</v>
      </c>
      <c r="C17995" s="4" t="str">
        <f t="shared" si="1298"/>
        <v>TCGA-PRAD</v>
      </c>
      <c r="D17995" s="1" t="s">
        <v>493</v>
      </c>
      <c r="E17995" t="s">
        <v>571</v>
      </c>
      <c r="F17995" s="1">
        <v>1</v>
      </c>
      <c r="G17995" s="1" t="s">
        <v>36</v>
      </c>
      <c r="H17995" s="4" t="str">
        <f>HYPERLINK("https://portal.gdc.cancer.gov/cases/8dc53431-44ab-485e-b4e6-c3d06509506d","TCGA-CH-5767-11B")</f>
        <v>TCGA-CH-5767-11B</v>
      </c>
      <c r="I17995" t="s">
        <v>161</v>
      </c>
      <c r="J17995" t="s">
        <v>569</v>
      </c>
      <c r="K17995" t="s">
        <v>33</v>
      </c>
      <c r="L17995" t="s">
        <v>162</v>
      </c>
      <c r="N17995" t="s">
        <v>37</v>
      </c>
    </row>
    <row r="17996" spans="1:14">
      <c r="A17996" s="4" t="str">
        <f t="shared" si="1299"/>
        <v>EXP00438</v>
      </c>
      <c r="B17996" s="3" t="s">
        <v>66</v>
      </c>
      <c r="C17996" s="4" t="str">
        <f t="shared" si="1298"/>
        <v>TCGA-PRAD</v>
      </c>
      <c r="D17996" s="1" t="s">
        <v>493</v>
      </c>
      <c r="E17996" t="s">
        <v>571</v>
      </c>
      <c r="F17996" s="1">
        <v>1</v>
      </c>
      <c r="G17996" s="1" t="s">
        <v>36</v>
      </c>
      <c r="H17996" s="4" t="str">
        <f>HYPERLINK("https://portal.gdc.cancer.gov/cases/f6c61a22-a711-416d-9e65-6a1b957e5b2e","TCGA-CH-5768-11A")</f>
        <v>TCGA-CH-5768-11A</v>
      </c>
      <c r="I17996" t="s">
        <v>161</v>
      </c>
      <c r="J17996" t="s">
        <v>569</v>
      </c>
      <c r="K17996" t="s">
        <v>33</v>
      </c>
      <c r="L17996" t="s">
        <v>162</v>
      </c>
      <c r="N17996" t="s">
        <v>37</v>
      </c>
    </row>
    <row r="17997" spans="1:14">
      <c r="A17997" s="4" t="str">
        <f t="shared" si="1299"/>
        <v>EXP00438</v>
      </c>
      <c r="B17997" s="3" t="s">
        <v>66</v>
      </c>
      <c r="C17997" s="4" t="str">
        <f t="shared" si="1298"/>
        <v>TCGA-PRAD</v>
      </c>
      <c r="D17997" s="1" t="s">
        <v>493</v>
      </c>
      <c r="E17997" t="s">
        <v>571</v>
      </c>
      <c r="F17997" s="1">
        <v>1</v>
      </c>
      <c r="G17997" s="1" t="s">
        <v>36</v>
      </c>
      <c r="H17997" s="4" t="str">
        <f>HYPERLINK("https://portal.gdc.cancer.gov/cases/a7b76662-8380-4f35-9307-99c0acacb904","TCGA-CH-5769-11A")</f>
        <v>TCGA-CH-5769-11A</v>
      </c>
      <c r="I17997" t="s">
        <v>161</v>
      </c>
      <c r="J17997" t="s">
        <v>569</v>
      </c>
      <c r="K17997" t="s">
        <v>33</v>
      </c>
      <c r="L17997" t="s">
        <v>162</v>
      </c>
      <c r="N17997" t="s">
        <v>37</v>
      </c>
    </row>
    <row r="17998" spans="1:14">
      <c r="A17998" s="4" t="str">
        <f t="shared" si="1299"/>
        <v>EXP00438</v>
      </c>
      <c r="B17998" s="3" t="s">
        <v>66</v>
      </c>
      <c r="C17998" s="4" t="str">
        <f t="shared" si="1298"/>
        <v>TCGA-PRAD</v>
      </c>
      <c r="D17998" s="1" t="s">
        <v>493</v>
      </c>
      <c r="E17998" t="s">
        <v>571</v>
      </c>
      <c r="F17998" s="1">
        <v>1</v>
      </c>
      <c r="G17998" s="1" t="s">
        <v>36</v>
      </c>
      <c r="H17998" s="4" t="str">
        <f>HYPERLINK("https://portal.gdc.cancer.gov/cases/c606918f-e8c0-4019-ad6f-47d5cd7615c4","TCGA-EJ-7115-11A")</f>
        <v>TCGA-EJ-7115-11A</v>
      </c>
      <c r="I17998" t="s">
        <v>161</v>
      </c>
      <c r="J17998" t="s">
        <v>569</v>
      </c>
      <c r="K17998" t="s">
        <v>33</v>
      </c>
      <c r="L17998" t="s">
        <v>162</v>
      </c>
      <c r="N17998" t="s">
        <v>37</v>
      </c>
    </row>
    <row r="17999" spans="1:14">
      <c r="A17999" s="4" t="str">
        <f t="shared" si="1299"/>
        <v>EXP00438</v>
      </c>
      <c r="B17999" s="3" t="s">
        <v>66</v>
      </c>
      <c r="C17999" s="4" t="str">
        <f t="shared" si="1298"/>
        <v>TCGA-PRAD</v>
      </c>
      <c r="D17999" s="1" t="s">
        <v>493</v>
      </c>
      <c r="E17999" t="s">
        <v>571</v>
      </c>
      <c r="F17999" s="1">
        <v>1</v>
      </c>
      <c r="G17999" s="1" t="s">
        <v>36</v>
      </c>
      <c r="H17999" s="4" t="str">
        <f>HYPERLINK("https://portal.gdc.cancer.gov/cases/9519be01-d78d-462c-8a95-34149538afeb","TCGA-EJ-7123-11A")</f>
        <v>TCGA-EJ-7123-11A</v>
      </c>
      <c r="I17999" t="s">
        <v>161</v>
      </c>
      <c r="J17999" t="s">
        <v>569</v>
      </c>
      <c r="K17999" t="s">
        <v>33</v>
      </c>
      <c r="L17999" t="s">
        <v>162</v>
      </c>
      <c r="N17999" t="s">
        <v>37</v>
      </c>
    </row>
    <row r="18000" spans="1:14">
      <c r="A18000" s="4" t="str">
        <f t="shared" si="1299"/>
        <v>EXP00438</v>
      </c>
      <c r="B18000" s="3" t="s">
        <v>66</v>
      </c>
      <c r="C18000" s="4" t="str">
        <f t="shared" si="1298"/>
        <v>TCGA-PRAD</v>
      </c>
      <c r="D18000" s="1" t="s">
        <v>493</v>
      </c>
      <c r="E18000" t="s">
        <v>571</v>
      </c>
      <c r="F18000" s="1">
        <v>1</v>
      </c>
      <c r="G18000" s="1" t="s">
        <v>36</v>
      </c>
      <c r="H18000" s="4" t="str">
        <f>HYPERLINK("https://portal.gdc.cancer.gov/cases/aca312ab-6dbd-4183-8b22-8f37834f3426","TCGA-EJ-7125-11A")</f>
        <v>TCGA-EJ-7125-11A</v>
      </c>
      <c r="I18000" t="s">
        <v>161</v>
      </c>
      <c r="J18000" t="s">
        <v>569</v>
      </c>
      <c r="K18000" t="s">
        <v>33</v>
      </c>
      <c r="L18000" t="s">
        <v>162</v>
      </c>
      <c r="N18000" t="s">
        <v>37</v>
      </c>
    </row>
    <row r="18001" spans="1:14">
      <c r="A18001" s="4" t="str">
        <f t="shared" si="1299"/>
        <v>EXP00438</v>
      </c>
      <c r="B18001" s="3" t="s">
        <v>66</v>
      </c>
      <c r="C18001" s="4" t="str">
        <f t="shared" si="1298"/>
        <v>TCGA-PRAD</v>
      </c>
      <c r="D18001" s="1" t="s">
        <v>493</v>
      </c>
      <c r="E18001" t="s">
        <v>571</v>
      </c>
      <c r="F18001" s="1">
        <v>1</v>
      </c>
      <c r="G18001" s="1" t="s">
        <v>36</v>
      </c>
      <c r="H18001" s="4" t="str">
        <f>HYPERLINK("https://portal.gdc.cancer.gov/cases/88c87cce-4361-499c-9e3a-e9d9040af2db","TCGA-EJ-7314-11A")</f>
        <v>TCGA-EJ-7314-11A</v>
      </c>
      <c r="I18001" t="s">
        <v>161</v>
      </c>
      <c r="J18001" t="s">
        <v>569</v>
      </c>
      <c r="K18001" t="s">
        <v>33</v>
      </c>
      <c r="L18001" t="s">
        <v>162</v>
      </c>
      <c r="N18001" t="s">
        <v>37</v>
      </c>
    </row>
    <row r="18002" spans="1:14">
      <c r="A18002" s="4" t="str">
        <f t="shared" si="1299"/>
        <v>EXP00438</v>
      </c>
      <c r="B18002" s="3" t="s">
        <v>66</v>
      </c>
      <c r="C18002" s="4" t="str">
        <f t="shared" si="1298"/>
        <v>TCGA-PRAD</v>
      </c>
      <c r="D18002" s="1" t="s">
        <v>493</v>
      </c>
      <c r="E18002" t="s">
        <v>571</v>
      </c>
      <c r="F18002" s="1">
        <v>1</v>
      </c>
      <c r="G18002" s="1" t="s">
        <v>36</v>
      </c>
      <c r="H18002" s="4" t="str">
        <f>HYPERLINK("https://portal.gdc.cancer.gov/cases/2c7ec330-261e-49c7-9424-6d83641dba6d","TCGA-EJ-7315-11A")</f>
        <v>TCGA-EJ-7315-11A</v>
      </c>
      <c r="I18002" t="s">
        <v>161</v>
      </c>
      <c r="J18002" t="s">
        <v>569</v>
      </c>
      <c r="K18002" t="s">
        <v>33</v>
      </c>
      <c r="L18002" t="s">
        <v>162</v>
      </c>
      <c r="N18002" t="s">
        <v>37</v>
      </c>
    </row>
    <row r="18003" spans="1:14">
      <c r="A18003" s="4" t="str">
        <f t="shared" si="1299"/>
        <v>EXP00438</v>
      </c>
      <c r="B18003" s="3" t="s">
        <v>66</v>
      </c>
      <c r="C18003" s="4" t="str">
        <f t="shared" si="1298"/>
        <v>TCGA-PRAD</v>
      </c>
      <c r="D18003" s="1" t="s">
        <v>493</v>
      </c>
      <c r="E18003" t="s">
        <v>571</v>
      </c>
      <c r="F18003" s="1">
        <v>1</v>
      </c>
      <c r="G18003" s="1" t="s">
        <v>36</v>
      </c>
      <c r="H18003" s="4" t="str">
        <f>HYPERLINK("https://portal.gdc.cancer.gov/cases/68fc3693-0910-4ee8-8997-99c6333b65f4","TCGA-EJ-7317-11A")</f>
        <v>TCGA-EJ-7317-11A</v>
      </c>
      <c r="I18003" t="s">
        <v>161</v>
      </c>
      <c r="J18003" t="s">
        <v>569</v>
      </c>
      <c r="K18003" t="s">
        <v>33</v>
      </c>
      <c r="L18003" t="s">
        <v>162</v>
      </c>
      <c r="N18003" t="s">
        <v>37</v>
      </c>
    </row>
    <row r="18004" spans="1:14">
      <c r="A18004" s="4" t="str">
        <f t="shared" si="1299"/>
        <v>EXP00438</v>
      </c>
      <c r="B18004" s="3" t="s">
        <v>66</v>
      </c>
      <c r="C18004" s="4" t="str">
        <f t="shared" si="1298"/>
        <v>TCGA-PRAD</v>
      </c>
      <c r="D18004" s="1" t="s">
        <v>493</v>
      </c>
      <c r="E18004" t="s">
        <v>571</v>
      </c>
      <c r="F18004" s="1">
        <v>1</v>
      </c>
      <c r="G18004" s="1" t="s">
        <v>36</v>
      </c>
      <c r="H18004" s="4" t="str">
        <f>HYPERLINK("https://portal.gdc.cancer.gov/cases/804ee985-18dd-4f2d-a562-61b454601cdd","TCGA-EJ-7321-11A")</f>
        <v>TCGA-EJ-7321-11A</v>
      </c>
      <c r="I18004" t="s">
        <v>161</v>
      </c>
      <c r="J18004" t="s">
        <v>569</v>
      </c>
      <c r="K18004" t="s">
        <v>33</v>
      </c>
      <c r="L18004" t="s">
        <v>162</v>
      </c>
      <c r="N18004" t="s">
        <v>37</v>
      </c>
    </row>
    <row r="18005" spans="1:14">
      <c r="A18005" s="4" t="str">
        <f t="shared" si="1299"/>
        <v>EXP00438</v>
      </c>
      <c r="B18005" s="3" t="s">
        <v>66</v>
      </c>
      <c r="C18005" s="4" t="str">
        <f t="shared" si="1298"/>
        <v>TCGA-PRAD</v>
      </c>
      <c r="D18005" s="1" t="s">
        <v>493</v>
      </c>
      <c r="E18005" t="s">
        <v>571</v>
      </c>
      <c r="F18005" s="1">
        <v>1</v>
      </c>
      <c r="G18005" s="1" t="s">
        <v>36</v>
      </c>
      <c r="H18005" s="4" t="str">
        <f>HYPERLINK("https://portal.gdc.cancer.gov/cases/e90ab72a-4bbb-4c37-b48a-8a1a85d79d04","TCGA-EJ-7327-11A")</f>
        <v>TCGA-EJ-7327-11A</v>
      </c>
      <c r="I18005" t="s">
        <v>161</v>
      </c>
      <c r="J18005" t="s">
        <v>569</v>
      </c>
      <c r="K18005" t="s">
        <v>33</v>
      </c>
      <c r="L18005" t="s">
        <v>162</v>
      </c>
      <c r="N18005" t="s">
        <v>37</v>
      </c>
    </row>
    <row r="18006" spans="1:14">
      <c r="A18006" s="4" t="str">
        <f t="shared" si="1299"/>
        <v>EXP00438</v>
      </c>
      <c r="B18006" s="3" t="s">
        <v>66</v>
      </c>
      <c r="C18006" s="4" t="str">
        <f t="shared" si="1298"/>
        <v>TCGA-PRAD</v>
      </c>
      <c r="D18006" s="1" t="s">
        <v>493</v>
      </c>
      <c r="E18006" t="s">
        <v>571</v>
      </c>
      <c r="F18006" s="1">
        <v>1</v>
      </c>
      <c r="G18006" s="1" t="s">
        <v>36</v>
      </c>
      <c r="H18006" s="4" t="str">
        <f>HYPERLINK("https://portal.gdc.cancer.gov/cases/42b7d14f-09e5-4d91-bb98-5fe35907a6a9","TCGA-EJ-7328-11A")</f>
        <v>TCGA-EJ-7328-11A</v>
      </c>
      <c r="I18006" t="s">
        <v>161</v>
      </c>
      <c r="J18006" t="s">
        <v>569</v>
      </c>
      <c r="K18006" t="s">
        <v>33</v>
      </c>
      <c r="L18006" t="s">
        <v>162</v>
      </c>
      <c r="N18006" t="s">
        <v>37</v>
      </c>
    </row>
    <row r="18007" spans="1:14">
      <c r="A18007" s="4" t="str">
        <f t="shared" si="1299"/>
        <v>EXP00438</v>
      </c>
      <c r="B18007" s="3" t="s">
        <v>66</v>
      </c>
      <c r="C18007" s="4" t="str">
        <f t="shared" si="1298"/>
        <v>TCGA-PRAD</v>
      </c>
      <c r="D18007" s="1" t="s">
        <v>493</v>
      </c>
      <c r="E18007" t="s">
        <v>571</v>
      </c>
      <c r="F18007" s="1">
        <v>1</v>
      </c>
      <c r="G18007" s="1" t="s">
        <v>36</v>
      </c>
      <c r="H18007" s="4" t="str">
        <f>HYPERLINK("https://portal.gdc.cancer.gov/cases/7bc369b7-007b-4b10-bd92-5d326dabf675","TCGA-EJ-7330-11A")</f>
        <v>TCGA-EJ-7330-11A</v>
      </c>
      <c r="I18007" t="s">
        <v>161</v>
      </c>
      <c r="J18007" t="s">
        <v>569</v>
      </c>
      <c r="K18007" t="s">
        <v>33</v>
      </c>
      <c r="L18007" t="s">
        <v>162</v>
      </c>
      <c r="N18007" t="s">
        <v>37</v>
      </c>
    </row>
    <row r="18008" spans="1:14">
      <c r="A18008" s="4" t="str">
        <f t="shared" si="1299"/>
        <v>EXP00438</v>
      </c>
      <c r="B18008" s="3" t="s">
        <v>66</v>
      </c>
      <c r="C18008" s="4" t="str">
        <f t="shared" si="1298"/>
        <v>TCGA-PRAD</v>
      </c>
      <c r="D18008" s="1" t="s">
        <v>493</v>
      </c>
      <c r="E18008" t="s">
        <v>571</v>
      </c>
      <c r="F18008" s="1">
        <v>1</v>
      </c>
      <c r="G18008" s="1" t="s">
        <v>36</v>
      </c>
      <c r="H18008" s="4" t="str">
        <f>HYPERLINK("https://portal.gdc.cancer.gov/cases/b424b73a-2dfa-473f-ab56-ab382cd1cdef","TCGA-EJ-7331-11A")</f>
        <v>TCGA-EJ-7331-11A</v>
      </c>
      <c r="I18008" t="s">
        <v>161</v>
      </c>
      <c r="J18008" t="s">
        <v>569</v>
      </c>
      <c r="K18008" t="s">
        <v>33</v>
      </c>
      <c r="L18008" t="s">
        <v>162</v>
      </c>
      <c r="N18008" t="s">
        <v>37</v>
      </c>
    </row>
    <row r="18009" spans="1:14">
      <c r="A18009" s="4" t="str">
        <f t="shared" si="1299"/>
        <v>EXP00438</v>
      </c>
      <c r="B18009" s="3" t="s">
        <v>66</v>
      </c>
      <c r="C18009" s="4" t="str">
        <f t="shared" si="1298"/>
        <v>TCGA-PRAD</v>
      </c>
      <c r="D18009" s="1" t="s">
        <v>493</v>
      </c>
      <c r="E18009" t="s">
        <v>571</v>
      </c>
      <c r="F18009" s="1">
        <v>1</v>
      </c>
      <c r="G18009" s="1" t="s">
        <v>36</v>
      </c>
      <c r="H18009" s="4" t="str">
        <f>HYPERLINK("https://portal.gdc.cancer.gov/cases/33283111-9a2f-4d5e-92a5-3435846404f7","TCGA-EJ-7781-11A")</f>
        <v>TCGA-EJ-7781-11A</v>
      </c>
      <c r="I18009" t="s">
        <v>161</v>
      </c>
      <c r="J18009" t="s">
        <v>569</v>
      </c>
      <c r="K18009" t="s">
        <v>33</v>
      </c>
      <c r="L18009" t="s">
        <v>162</v>
      </c>
      <c r="N18009" t="s">
        <v>37</v>
      </c>
    </row>
    <row r="18010" spans="1:14">
      <c r="A18010" s="4" t="str">
        <f t="shared" si="1299"/>
        <v>EXP00438</v>
      </c>
      <c r="B18010" s="3" t="s">
        <v>66</v>
      </c>
      <c r="C18010" s="4" t="str">
        <f t="shared" si="1298"/>
        <v>TCGA-PRAD</v>
      </c>
      <c r="D18010" s="1" t="s">
        <v>493</v>
      </c>
      <c r="E18010" t="s">
        <v>571</v>
      </c>
      <c r="F18010" s="1">
        <v>1</v>
      </c>
      <c r="G18010" s="1" t="s">
        <v>36</v>
      </c>
      <c r="H18010" s="4" t="str">
        <f>HYPERLINK("https://portal.gdc.cancer.gov/cases/1426b4bf-f4a5-477c-bbbb-e0e656549764","TCGA-EJ-7782-11A")</f>
        <v>TCGA-EJ-7782-11A</v>
      </c>
      <c r="I18010" t="s">
        <v>161</v>
      </c>
      <c r="J18010" t="s">
        <v>569</v>
      </c>
      <c r="K18010" t="s">
        <v>33</v>
      </c>
      <c r="L18010" t="s">
        <v>162</v>
      </c>
      <c r="N18010" t="s">
        <v>37</v>
      </c>
    </row>
    <row r="18011" spans="1:14">
      <c r="A18011" s="4" t="str">
        <f t="shared" si="1299"/>
        <v>EXP00438</v>
      </c>
      <c r="B18011" s="3" t="s">
        <v>66</v>
      </c>
      <c r="C18011" s="4" t="str">
        <f t="shared" si="1298"/>
        <v>TCGA-PRAD</v>
      </c>
      <c r="D18011" s="1" t="s">
        <v>493</v>
      </c>
      <c r="E18011" t="s">
        <v>571</v>
      </c>
      <c r="F18011" s="1">
        <v>1</v>
      </c>
      <c r="G18011" s="1" t="s">
        <v>36</v>
      </c>
      <c r="H18011" s="4" t="str">
        <f>HYPERLINK("https://portal.gdc.cancer.gov/cases/181c6d37-9d8d-4ffa-827b-e3785450ff88","TCGA-EJ-7783-11A")</f>
        <v>TCGA-EJ-7783-11A</v>
      </c>
      <c r="I18011" t="s">
        <v>161</v>
      </c>
      <c r="J18011" t="s">
        <v>569</v>
      </c>
      <c r="K18011" t="s">
        <v>33</v>
      </c>
      <c r="L18011" t="s">
        <v>162</v>
      </c>
      <c r="N18011" t="s">
        <v>37</v>
      </c>
    </row>
    <row r="18012" spans="1:14">
      <c r="A18012" s="4" t="str">
        <f t="shared" si="1299"/>
        <v>EXP00438</v>
      </c>
      <c r="B18012" s="3" t="s">
        <v>66</v>
      </c>
      <c r="C18012" s="4" t="str">
        <f t="shared" ref="C18012:C18075" si="1300">HYPERLINK("https://portal.gdc.cancer.gov/projects/TCGA-PRAD","TCGA-PRAD")</f>
        <v>TCGA-PRAD</v>
      </c>
      <c r="D18012" s="1" t="s">
        <v>493</v>
      </c>
      <c r="E18012" t="s">
        <v>571</v>
      </c>
      <c r="F18012" s="1">
        <v>1</v>
      </c>
      <c r="G18012" s="1" t="s">
        <v>36</v>
      </c>
      <c r="H18012" s="4" t="str">
        <f>HYPERLINK("https://portal.gdc.cancer.gov/cases/4bc71292-60bb-4b63-86c1-0fe021083804","TCGA-EJ-7784-11A")</f>
        <v>TCGA-EJ-7784-11A</v>
      </c>
      <c r="I18012" t="s">
        <v>161</v>
      </c>
      <c r="J18012" t="s">
        <v>569</v>
      </c>
      <c r="K18012" t="s">
        <v>33</v>
      </c>
      <c r="L18012" t="s">
        <v>162</v>
      </c>
      <c r="N18012" t="s">
        <v>37</v>
      </c>
    </row>
    <row r="18013" spans="1:14">
      <c r="A18013" s="4" t="str">
        <f t="shared" si="1299"/>
        <v>EXP00438</v>
      </c>
      <c r="B18013" s="3" t="s">
        <v>66</v>
      </c>
      <c r="C18013" s="4" t="str">
        <f t="shared" si="1300"/>
        <v>TCGA-PRAD</v>
      </c>
      <c r="D18013" s="1" t="s">
        <v>493</v>
      </c>
      <c r="E18013" t="s">
        <v>571</v>
      </c>
      <c r="F18013" s="1">
        <v>1</v>
      </c>
      <c r="G18013" s="1" t="s">
        <v>36</v>
      </c>
      <c r="H18013" s="4" t="str">
        <f>HYPERLINK("https://portal.gdc.cancer.gov/cases/2def2a53-d2e8-46f0-8b07-f32dbf1833a4","TCGA-EJ-7785-11A")</f>
        <v>TCGA-EJ-7785-11A</v>
      </c>
      <c r="I18013" t="s">
        <v>161</v>
      </c>
      <c r="J18013" t="s">
        <v>569</v>
      </c>
      <c r="K18013" t="s">
        <v>33</v>
      </c>
      <c r="L18013" t="s">
        <v>162</v>
      </c>
      <c r="N18013" t="s">
        <v>37</v>
      </c>
    </row>
    <row r="18014" spans="1:14">
      <c r="A18014" s="4" t="str">
        <f t="shared" si="1299"/>
        <v>EXP00438</v>
      </c>
      <c r="B18014" s="3" t="s">
        <v>66</v>
      </c>
      <c r="C18014" s="4" t="str">
        <f t="shared" si="1300"/>
        <v>TCGA-PRAD</v>
      </c>
      <c r="D18014" s="1" t="s">
        <v>493</v>
      </c>
      <c r="E18014" t="s">
        <v>571</v>
      </c>
      <c r="F18014" s="1">
        <v>1</v>
      </c>
      <c r="G18014" s="1" t="s">
        <v>36</v>
      </c>
      <c r="H18014" s="4" t="str">
        <f>HYPERLINK("https://portal.gdc.cancer.gov/cases/9d499039-37ca-4300-ae95-04bbe007c0d2","TCGA-EJ-7786-11A")</f>
        <v>TCGA-EJ-7786-11A</v>
      </c>
      <c r="I18014" t="s">
        <v>161</v>
      </c>
      <c r="J18014" t="s">
        <v>569</v>
      </c>
      <c r="K18014" t="s">
        <v>33</v>
      </c>
      <c r="L18014" t="s">
        <v>162</v>
      </c>
      <c r="N18014" t="s">
        <v>37</v>
      </c>
    </row>
    <row r="18015" spans="1:14">
      <c r="A18015" s="4" t="str">
        <f t="shared" si="1299"/>
        <v>EXP00438</v>
      </c>
      <c r="B18015" s="3" t="s">
        <v>66</v>
      </c>
      <c r="C18015" s="4" t="str">
        <f t="shared" si="1300"/>
        <v>TCGA-PRAD</v>
      </c>
      <c r="D18015" s="1" t="s">
        <v>493</v>
      </c>
      <c r="E18015" t="s">
        <v>571</v>
      </c>
      <c r="F18015" s="1">
        <v>1</v>
      </c>
      <c r="G18015" s="1" t="s">
        <v>36</v>
      </c>
      <c r="H18015" s="4" t="str">
        <f>HYPERLINK("https://portal.gdc.cancer.gov/cases/1f4ff2c7-3fbb-46a1-99cf-68d2c33c5175","TCGA-EJ-7789-11A")</f>
        <v>TCGA-EJ-7789-11A</v>
      </c>
      <c r="I18015" t="s">
        <v>161</v>
      </c>
      <c r="J18015" t="s">
        <v>569</v>
      </c>
      <c r="K18015" t="s">
        <v>33</v>
      </c>
      <c r="L18015" t="s">
        <v>162</v>
      </c>
      <c r="N18015" t="s">
        <v>37</v>
      </c>
    </row>
    <row r="18016" spans="1:14">
      <c r="A18016" s="4" t="str">
        <f t="shared" si="1299"/>
        <v>EXP00438</v>
      </c>
      <c r="B18016" s="3" t="s">
        <v>66</v>
      </c>
      <c r="C18016" s="4" t="str">
        <f t="shared" si="1300"/>
        <v>TCGA-PRAD</v>
      </c>
      <c r="D18016" s="1" t="s">
        <v>493</v>
      </c>
      <c r="E18016" t="s">
        <v>571</v>
      </c>
      <c r="F18016" s="1">
        <v>1</v>
      </c>
      <c r="G18016" s="1" t="s">
        <v>36</v>
      </c>
      <c r="H18016" s="4" t="str">
        <f>HYPERLINK("https://portal.gdc.cancer.gov/cases/28689d40-03e5-4e17-aba1-f2d571535eed","TCGA-EJ-7792-11A")</f>
        <v>TCGA-EJ-7792-11A</v>
      </c>
      <c r="I18016" t="s">
        <v>161</v>
      </c>
      <c r="J18016" t="s">
        <v>569</v>
      </c>
      <c r="K18016" t="s">
        <v>33</v>
      </c>
      <c r="L18016" t="s">
        <v>162</v>
      </c>
      <c r="N18016" t="s">
        <v>37</v>
      </c>
    </row>
    <row r="18017" spans="1:14">
      <c r="A18017" s="4" t="str">
        <f t="shared" si="1299"/>
        <v>EXP00438</v>
      </c>
      <c r="B18017" s="3" t="s">
        <v>66</v>
      </c>
      <c r="C18017" s="4" t="str">
        <f t="shared" si="1300"/>
        <v>TCGA-PRAD</v>
      </c>
      <c r="D18017" s="1" t="s">
        <v>493</v>
      </c>
      <c r="E18017" t="s">
        <v>571</v>
      </c>
      <c r="F18017" s="1">
        <v>1</v>
      </c>
      <c r="G18017" s="1" t="s">
        <v>36</v>
      </c>
      <c r="H18017" s="4" t="str">
        <f>HYPERLINK("https://portal.gdc.cancer.gov/cases/da07da37-bde6-480a-a302-98683ae3931a","TCGA-EJ-7793-11A")</f>
        <v>TCGA-EJ-7793-11A</v>
      </c>
      <c r="I18017" t="s">
        <v>161</v>
      </c>
      <c r="J18017" t="s">
        <v>569</v>
      </c>
      <c r="K18017" t="s">
        <v>33</v>
      </c>
      <c r="L18017" t="s">
        <v>162</v>
      </c>
      <c r="N18017" t="s">
        <v>37</v>
      </c>
    </row>
    <row r="18018" spans="1:14">
      <c r="A18018" s="4" t="str">
        <f t="shared" si="1299"/>
        <v>EXP00438</v>
      </c>
      <c r="B18018" s="3" t="s">
        <v>66</v>
      </c>
      <c r="C18018" s="4" t="str">
        <f t="shared" si="1300"/>
        <v>TCGA-PRAD</v>
      </c>
      <c r="D18018" s="1" t="s">
        <v>493</v>
      </c>
      <c r="E18018" t="s">
        <v>571</v>
      </c>
      <c r="F18018" s="1">
        <v>1</v>
      </c>
      <c r="G18018" s="1" t="s">
        <v>36</v>
      </c>
      <c r="H18018" s="4" t="str">
        <f>HYPERLINK("https://portal.gdc.cancer.gov/cases/aeec3005-25d7-45fc-a9ff-014d57960216","TCGA-EJ-7794-11A")</f>
        <v>TCGA-EJ-7794-11A</v>
      </c>
      <c r="I18018" t="s">
        <v>161</v>
      </c>
      <c r="J18018" t="s">
        <v>569</v>
      </c>
      <c r="K18018" t="s">
        <v>33</v>
      </c>
      <c r="L18018" t="s">
        <v>162</v>
      </c>
      <c r="N18018" t="s">
        <v>37</v>
      </c>
    </row>
    <row r="18019" spans="1:14">
      <c r="A18019" s="4" t="str">
        <f t="shared" si="1299"/>
        <v>EXP00438</v>
      </c>
      <c r="B18019" s="3" t="s">
        <v>66</v>
      </c>
      <c r="C18019" s="4" t="str">
        <f t="shared" si="1300"/>
        <v>TCGA-PRAD</v>
      </c>
      <c r="D18019" s="1" t="s">
        <v>493</v>
      </c>
      <c r="E18019" t="s">
        <v>571</v>
      </c>
      <c r="F18019" s="1">
        <v>1</v>
      </c>
      <c r="G18019" s="1" t="s">
        <v>36</v>
      </c>
      <c r="H18019" s="4" t="str">
        <f>HYPERLINK("https://portal.gdc.cancer.gov/cases/f98366df-9616-41c0-a6b8-ec92dca7177a","TCGA-EJ-7797-11A")</f>
        <v>TCGA-EJ-7797-11A</v>
      </c>
      <c r="I18019" t="s">
        <v>161</v>
      </c>
      <c r="J18019" t="s">
        <v>569</v>
      </c>
      <c r="K18019" t="s">
        <v>33</v>
      </c>
      <c r="L18019" t="s">
        <v>162</v>
      </c>
      <c r="N18019" t="s">
        <v>37</v>
      </c>
    </row>
    <row r="18020" spans="1:14">
      <c r="A18020" s="4" t="str">
        <f t="shared" si="1299"/>
        <v>EXP00438</v>
      </c>
      <c r="B18020" s="3" t="s">
        <v>66</v>
      </c>
      <c r="C18020" s="4" t="str">
        <f t="shared" si="1300"/>
        <v>TCGA-PRAD</v>
      </c>
      <c r="D18020" s="1" t="s">
        <v>493</v>
      </c>
      <c r="E18020" t="s">
        <v>571</v>
      </c>
      <c r="F18020" s="1">
        <v>1</v>
      </c>
      <c r="G18020" s="1" t="s">
        <v>36</v>
      </c>
      <c r="H18020" s="4" t="str">
        <f>HYPERLINK("https://portal.gdc.cancer.gov/cases/b751083d-be6d-45da-be97-a6d41d8ebe97","TCGA-EJ-A8FO-11A")</f>
        <v>TCGA-EJ-A8FO-11A</v>
      </c>
      <c r="I18020" t="s">
        <v>161</v>
      </c>
      <c r="J18020" t="s">
        <v>569</v>
      </c>
      <c r="K18020" t="s">
        <v>33</v>
      </c>
      <c r="L18020" t="s">
        <v>162</v>
      </c>
      <c r="N18020" t="s">
        <v>37</v>
      </c>
    </row>
    <row r="18021" spans="1:14">
      <c r="A18021" s="4" t="str">
        <f t="shared" si="1299"/>
        <v>EXP00438</v>
      </c>
      <c r="B18021" s="3" t="s">
        <v>66</v>
      </c>
      <c r="C18021" s="4" t="str">
        <f t="shared" si="1300"/>
        <v>TCGA-PRAD</v>
      </c>
      <c r="D18021" s="1" t="s">
        <v>493</v>
      </c>
      <c r="E18021" t="s">
        <v>571</v>
      </c>
      <c r="F18021" s="1">
        <v>1</v>
      </c>
      <c r="G18021" s="1" t="s">
        <v>36</v>
      </c>
      <c r="H18021" s="4" t="str">
        <f>HYPERLINK("https://portal.gdc.cancer.gov/cases/64bf32c9-9466-404a-a147-e7a0b9e91e34","TCGA-G9-6333-11A")</f>
        <v>TCGA-G9-6333-11A</v>
      </c>
      <c r="I18021" t="s">
        <v>161</v>
      </c>
      <c r="J18021" t="s">
        <v>569</v>
      </c>
      <c r="K18021" t="s">
        <v>33</v>
      </c>
      <c r="L18021" t="s">
        <v>162</v>
      </c>
      <c r="N18021" t="s">
        <v>37</v>
      </c>
    </row>
    <row r="18022" spans="1:14">
      <c r="A18022" s="4" t="str">
        <f t="shared" si="1299"/>
        <v>EXP00438</v>
      </c>
      <c r="B18022" s="3" t="s">
        <v>66</v>
      </c>
      <c r="C18022" s="4" t="str">
        <f t="shared" si="1300"/>
        <v>TCGA-PRAD</v>
      </c>
      <c r="D18022" s="1" t="s">
        <v>493</v>
      </c>
      <c r="E18022" t="s">
        <v>571</v>
      </c>
      <c r="F18022" s="1">
        <v>1</v>
      </c>
      <c r="G18022" s="1" t="s">
        <v>36</v>
      </c>
      <c r="H18022" s="4" t="str">
        <f>HYPERLINK("https://portal.gdc.cancer.gov/cases/00e41e6a-9fe7-44f9-978b-7b05b179506a","TCGA-G9-6342-11A")</f>
        <v>TCGA-G9-6342-11A</v>
      </c>
      <c r="I18022" t="s">
        <v>161</v>
      </c>
      <c r="J18022" t="s">
        <v>569</v>
      </c>
      <c r="K18022" t="s">
        <v>33</v>
      </c>
      <c r="L18022" t="s">
        <v>162</v>
      </c>
      <c r="N18022" t="s">
        <v>37</v>
      </c>
    </row>
    <row r="18023" spans="1:14">
      <c r="A18023" s="4" t="str">
        <f t="shared" si="1299"/>
        <v>EXP00438</v>
      </c>
      <c r="B18023" s="3" t="s">
        <v>66</v>
      </c>
      <c r="C18023" s="4" t="str">
        <f t="shared" si="1300"/>
        <v>TCGA-PRAD</v>
      </c>
      <c r="D18023" s="1" t="s">
        <v>493</v>
      </c>
      <c r="E18023" t="s">
        <v>571</v>
      </c>
      <c r="F18023" s="1">
        <v>1</v>
      </c>
      <c r="G18023" s="1" t="s">
        <v>36</v>
      </c>
      <c r="H18023" s="4" t="str">
        <f>HYPERLINK("https://portal.gdc.cancer.gov/cases/8ad78c4f-c84c-4f9e-88c9-42a05eb65498","TCGA-G9-6348-11A")</f>
        <v>TCGA-G9-6348-11A</v>
      </c>
      <c r="I18023" t="s">
        <v>161</v>
      </c>
      <c r="J18023" t="s">
        <v>569</v>
      </c>
      <c r="K18023" t="s">
        <v>33</v>
      </c>
      <c r="L18023" t="s">
        <v>162</v>
      </c>
      <c r="N18023" t="s">
        <v>37</v>
      </c>
    </row>
    <row r="18024" spans="1:14">
      <c r="A18024" s="4" t="str">
        <f t="shared" si="1299"/>
        <v>EXP00438</v>
      </c>
      <c r="B18024" s="3" t="s">
        <v>66</v>
      </c>
      <c r="C18024" s="4" t="str">
        <f t="shared" si="1300"/>
        <v>TCGA-PRAD</v>
      </c>
      <c r="D18024" s="1" t="s">
        <v>493</v>
      </c>
      <c r="E18024" t="s">
        <v>571</v>
      </c>
      <c r="F18024" s="1">
        <v>1</v>
      </c>
      <c r="G18024" s="1" t="s">
        <v>36</v>
      </c>
      <c r="H18024" s="4" t="str">
        <f>HYPERLINK("https://portal.gdc.cancer.gov/cases/f59b9c65-46e8-4cc3-aa71-8844f6c2273c","TCGA-G9-6351-11A")</f>
        <v>TCGA-G9-6351-11A</v>
      </c>
      <c r="I18024" t="s">
        <v>161</v>
      </c>
      <c r="J18024" t="s">
        <v>569</v>
      </c>
      <c r="K18024" t="s">
        <v>33</v>
      </c>
      <c r="L18024" t="s">
        <v>162</v>
      </c>
      <c r="N18024" t="s">
        <v>37</v>
      </c>
    </row>
    <row r="18025" spans="1:14">
      <c r="A18025" s="4" t="str">
        <f t="shared" si="1299"/>
        <v>EXP00438</v>
      </c>
      <c r="B18025" s="3" t="s">
        <v>66</v>
      </c>
      <c r="C18025" s="4" t="str">
        <f t="shared" si="1300"/>
        <v>TCGA-PRAD</v>
      </c>
      <c r="D18025" s="1" t="s">
        <v>493</v>
      </c>
      <c r="E18025" t="s">
        <v>571</v>
      </c>
      <c r="F18025" s="1">
        <v>1</v>
      </c>
      <c r="G18025" s="1" t="s">
        <v>36</v>
      </c>
      <c r="H18025" s="4" t="str">
        <f>HYPERLINK("https://portal.gdc.cancer.gov/cases/1d7ffbe7-6139-412b-8739-8082a63a2b33","TCGA-G9-6356-11A")</f>
        <v>TCGA-G9-6356-11A</v>
      </c>
      <c r="I18025" t="s">
        <v>161</v>
      </c>
      <c r="J18025" t="s">
        <v>569</v>
      </c>
      <c r="K18025" t="s">
        <v>33</v>
      </c>
      <c r="L18025" t="s">
        <v>162</v>
      </c>
      <c r="N18025" t="s">
        <v>37</v>
      </c>
    </row>
    <row r="18026" spans="1:14">
      <c r="A18026" s="4" t="str">
        <f t="shared" si="1299"/>
        <v>EXP00438</v>
      </c>
      <c r="B18026" s="3" t="s">
        <v>66</v>
      </c>
      <c r="C18026" s="4" t="str">
        <f t="shared" si="1300"/>
        <v>TCGA-PRAD</v>
      </c>
      <c r="D18026" s="1" t="s">
        <v>493</v>
      </c>
      <c r="E18026" t="s">
        <v>571</v>
      </c>
      <c r="F18026" s="1">
        <v>1</v>
      </c>
      <c r="G18026" s="1" t="s">
        <v>36</v>
      </c>
      <c r="H18026" s="4" t="str">
        <f>HYPERLINK("https://portal.gdc.cancer.gov/cases/f228ef91-ecfb-4d1e-8e6a-b43d2185270e","TCGA-G9-6362-11A")</f>
        <v>TCGA-G9-6362-11A</v>
      </c>
      <c r="I18026" t="s">
        <v>161</v>
      </c>
      <c r="J18026" t="s">
        <v>569</v>
      </c>
      <c r="K18026" t="s">
        <v>33</v>
      </c>
      <c r="L18026" t="s">
        <v>162</v>
      </c>
      <c r="N18026" t="s">
        <v>37</v>
      </c>
    </row>
    <row r="18027" spans="1:14">
      <c r="A18027" s="4" t="str">
        <f t="shared" si="1299"/>
        <v>EXP00438</v>
      </c>
      <c r="B18027" s="3" t="s">
        <v>66</v>
      </c>
      <c r="C18027" s="4" t="str">
        <f t="shared" si="1300"/>
        <v>TCGA-PRAD</v>
      </c>
      <c r="D18027" s="1" t="s">
        <v>493</v>
      </c>
      <c r="E18027" t="s">
        <v>571</v>
      </c>
      <c r="F18027" s="1">
        <v>1</v>
      </c>
      <c r="G18027" s="1" t="s">
        <v>36</v>
      </c>
      <c r="H18027" s="4" t="str">
        <f>HYPERLINK("https://portal.gdc.cancer.gov/cases/b5b3871c-078c-46a7-ac50-ef916d4a6781","TCGA-G9-6363-11A")</f>
        <v>TCGA-G9-6363-11A</v>
      </c>
      <c r="I18027" t="s">
        <v>161</v>
      </c>
      <c r="J18027" t="s">
        <v>569</v>
      </c>
      <c r="K18027" t="s">
        <v>33</v>
      </c>
      <c r="L18027" t="s">
        <v>162</v>
      </c>
      <c r="N18027" t="s">
        <v>37</v>
      </c>
    </row>
    <row r="18028" spans="1:14">
      <c r="A18028" s="4" t="str">
        <f t="shared" si="1299"/>
        <v>EXP00438</v>
      </c>
      <c r="B18028" s="3" t="s">
        <v>66</v>
      </c>
      <c r="C18028" s="4" t="str">
        <f t="shared" si="1300"/>
        <v>TCGA-PRAD</v>
      </c>
      <c r="D18028" s="1" t="s">
        <v>493</v>
      </c>
      <c r="E18028" t="s">
        <v>571</v>
      </c>
      <c r="F18028" s="1">
        <v>1</v>
      </c>
      <c r="G18028" s="1" t="s">
        <v>36</v>
      </c>
      <c r="H18028" s="4" t="str">
        <f>HYPERLINK("https://portal.gdc.cancer.gov/cases/6845076e-e940-4437-8618-81db4a447544","TCGA-G9-6365-11A")</f>
        <v>TCGA-G9-6365-11A</v>
      </c>
      <c r="I18028" t="s">
        <v>161</v>
      </c>
      <c r="J18028" t="s">
        <v>569</v>
      </c>
      <c r="K18028" t="s">
        <v>33</v>
      </c>
      <c r="L18028" t="s">
        <v>162</v>
      </c>
      <c r="N18028" t="s">
        <v>37</v>
      </c>
    </row>
    <row r="18029" spans="1:14">
      <c r="A18029" s="4" t="str">
        <f t="shared" si="1299"/>
        <v>EXP00438</v>
      </c>
      <c r="B18029" s="3" t="s">
        <v>66</v>
      </c>
      <c r="C18029" s="4" t="str">
        <f t="shared" si="1300"/>
        <v>TCGA-PRAD</v>
      </c>
      <c r="D18029" s="1" t="s">
        <v>493</v>
      </c>
      <c r="E18029" t="s">
        <v>571</v>
      </c>
      <c r="F18029" s="1">
        <v>1</v>
      </c>
      <c r="G18029" s="1" t="s">
        <v>36</v>
      </c>
      <c r="H18029" s="4" t="str">
        <f>HYPERLINK("https://portal.gdc.cancer.gov/cases/a279d5aa-51f7-4e75-9e14-b206b97ec4bd","TCGA-G9-6384-11A")</f>
        <v>TCGA-G9-6384-11A</v>
      </c>
      <c r="I18029" t="s">
        <v>161</v>
      </c>
      <c r="J18029" t="s">
        <v>569</v>
      </c>
      <c r="K18029" t="s">
        <v>33</v>
      </c>
      <c r="L18029" t="s">
        <v>162</v>
      </c>
      <c r="N18029" t="s">
        <v>37</v>
      </c>
    </row>
    <row r="18030" spans="1:14">
      <c r="A18030" s="4" t="str">
        <f t="shared" si="1299"/>
        <v>EXP00438</v>
      </c>
      <c r="B18030" s="3" t="s">
        <v>66</v>
      </c>
      <c r="C18030" s="4" t="str">
        <f t="shared" si="1300"/>
        <v>TCGA-PRAD</v>
      </c>
      <c r="D18030" s="1" t="s">
        <v>493</v>
      </c>
      <c r="E18030" t="s">
        <v>571</v>
      </c>
      <c r="F18030" s="1">
        <v>1</v>
      </c>
      <c r="G18030" s="1" t="s">
        <v>36</v>
      </c>
      <c r="H18030" s="4" t="str">
        <f>HYPERLINK("https://portal.gdc.cancer.gov/cases/ce2b7e17-424e-4954-8a68-19d7f98d2e7e","TCGA-G9-6496-11A")</f>
        <v>TCGA-G9-6496-11A</v>
      </c>
      <c r="I18030" t="s">
        <v>161</v>
      </c>
      <c r="J18030" t="s">
        <v>569</v>
      </c>
      <c r="K18030" t="s">
        <v>33</v>
      </c>
      <c r="L18030" t="s">
        <v>162</v>
      </c>
      <c r="N18030" t="s">
        <v>37</v>
      </c>
    </row>
    <row r="18031" spans="1:14">
      <c r="A18031" s="4" t="str">
        <f t="shared" si="1299"/>
        <v>EXP00438</v>
      </c>
      <c r="B18031" s="3" t="s">
        <v>66</v>
      </c>
      <c r="C18031" s="4" t="str">
        <f t="shared" si="1300"/>
        <v>TCGA-PRAD</v>
      </c>
      <c r="D18031" s="1" t="s">
        <v>493</v>
      </c>
      <c r="E18031" t="s">
        <v>571</v>
      </c>
      <c r="F18031" s="1">
        <v>1</v>
      </c>
      <c r="G18031" s="1" t="s">
        <v>36</v>
      </c>
      <c r="H18031" s="4" t="str">
        <f>HYPERLINK("https://portal.gdc.cancer.gov/cases/acd5ceef-c5cf-4e95-9394-c50fdbc70c8d","TCGA-G9-6499-11A")</f>
        <v>TCGA-G9-6499-11A</v>
      </c>
      <c r="I18031" t="s">
        <v>161</v>
      </c>
      <c r="J18031" t="s">
        <v>569</v>
      </c>
      <c r="K18031" t="s">
        <v>33</v>
      </c>
      <c r="L18031" t="s">
        <v>162</v>
      </c>
      <c r="N18031" t="s">
        <v>37</v>
      </c>
    </row>
    <row r="18032" spans="1:14">
      <c r="A18032" s="4" t="str">
        <f t="shared" si="1299"/>
        <v>EXP00438</v>
      </c>
      <c r="B18032" s="3" t="s">
        <v>66</v>
      </c>
      <c r="C18032" s="4" t="str">
        <f t="shared" si="1300"/>
        <v>TCGA-PRAD</v>
      </c>
      <c r="D18032" s="1" t="s">
        <v>493</v>
      </c>
      <c r="E18032" t="s">
        <v>571</v>
      </c>
      <c r="F18032" s="1">
        <v>1</v>
      </c>
      <c r="G18032" s="1" t="s">
        <v>36</v>
      </c>
      <c r="H18032" s="4" t="str">
        <f>HYPERLINK("https://portal.gdc.cancer.gov/cases/ec3870c9-4930-4af7-b2eb-1e16c9ec9f14","TCGA-HC-7211-11A")</f>
        <v>TCGA-HC-7211-11A</v>
      </c>
      <c r="I18032" t="s">
        <v>161</v>
      </c>
      <c r="J18032" t="s">
        <v>569</v>
      </c>
      <c r="K18032" t="s">
        <v>33</v>
      </c>
      <c r="L18032" t="s">
        <v>162</v>
      </c>
      <c r="N18032" t="s">
        <v>37</v>
      </c>
    </row>
    <row r="18033" spans="1:14">
      <c r="A18033" s="4" t="str">
        <f t="shared" si="1299"/>
        <v>EXP00438</v>
      </c>
      <c r="B18033" s="3" t="s">
        <v>66</v>
      </c>
      <c r="C18033" s="4" t="str">
        <f t="shared" si="1300"/>
        <v>TCGA-PRAD</v>
      </c>
      <c r="D18033" s="1" t="s">
        <v>493</v>
      </c>
      <c r="E18033" t="s">
        <v>571</v>
      </c>
      <c r="F18033" s="1">
        <v>1</v>
      </c>
      <c r="G18033" s="1" t="s">
        <v>36</v>
      </c>
      <c r="H18033" s="4" t="str">
        <f>HYPERLINK("https://portal.gdc.cancer.gov/cases/73f875cb-bcfc-43ba-ab97-4e94caf836d4","TCGA-HC-7737-11A")</f>
        <v>TCGA-HC-7737-11A</v>
      </c>
      <c r="I18033" t="s">
        <v>161</v>
      </c>
      <c r="J18033" t="s">
        <v>569</v>
      </c>
      <c r="K18033" t="s">
        <v>33</v>
      </c>
      <c r="L18033" t="s">
        <v>162</v>
      </c>
      <c r="N18033" t="s">
        <v>37</v>
      </c>
    </row>
    <row r="18034" spans="1:14">
      <c r="A18034" s="4" t="str">
        <f t="shared" si="1299"/>
        <v>EXP00438</v>
      </c>
      <c r="B18034" s="3" t="s">
        <v>66</v>
      </c>
      <c r="C18034" s="4" t="str">
        <f t="shared" si="1300"/>
        <v>TCGA-PRAD</v>
      </c>
      <c r="D18034" s="1" t="s">
        <v>493</v>
      </c>
      <c r="E18034" t="s">
        <v>571</v>
      </c>
      <c r="F18034" s="1">
        <v>1</v>
      </c>
      <c r="G18034" s="1" t="s">
        <v>36</v>
      </c>
      <c r="H18034" s="4" t="str">
        <f>HYPERLINK("https://portal.gdc.cancer.gov/cases/698ce9a9-6512-4fb8-a574-a26ee259414c","TCGA-HC-7738-11A")</f>
        <v>TCGA-HC-7738-11A</v>
      </c>
      <c r="I18034" t="s">
        <v>161</v>
      </c>
      <c r="J18034" t="s">
        <v>569</v>
      </c>
      <c r="K18034" t="s">
        <v>33</v>
      </c>
      <c r="L18034" t="s">
        <v>162</v>
      </c>
      <c r="N18034" t="s">
        <v>37</v>
      </c>
    </row>
    <row r="18035" spans="1:14">
      <c r="A18035" s="4" t="str">
        <f t="shared" si="1299"/>
        <v>EXP00438</v>
      </c>
      <c r="B18035" s="3" t="s">
        <v>66</v>
      </c>
      <c r="C18035" s="4" t="str">
        <f t="shared" si="1300"/>
        <v>TCGA-PRAD</v>
      </c>
      <c r="D18035" s="1" t="s">
        <v>493</v>
      </c>
      <c r="E18035" t="s">
        <v>571</v>
      </c>
      <c r="F18035" s="1">
        <v>1</v>
      </c>
      <c r="G18035" s="1" t="s">
        <v>36</v>
      </c>
      <c r="H18035" s="4" t="str">
        <f>HYPERLINK("https://portal.gdc.cancer.gov/cases/91e249a6-b0b0-487e-9fad-0e9f5798dcae","TCGA-HC-7740-11A")</f>
        <v>TCGA-HC-7740-11A</v>
      </c>
      <c r="I18035" t="s">
        <v>161</v>
      </c>
      <c r="J18035" t="s">
        <v>569</v>
      </c>
      <c r="K18035" t="s">
        <v>33</v>
      </c>
      <c r="L18035" t="s">
        <v>162</v>
      </c>
      <c r="N18035" t="s">
        <v>37</v>
      </c>
    </row>
    <row r="18036" spans="1:14">
      <c r="A18036" s="4" t="str">
        <f t="shared" si="1299"/>
        <v>EXP00438</v>
      </c>
      <c r="B18036" s="3" t="s">
        <v>66</v>
      </c>
      <c r="C18036" s="4" t="str">
        <f t="shared" si="1300"/>
        <v>TCGA-PRAD</v>
      </c>
      <c r="D18036" s="1" t="s">
        <v>493</v>
      </c>
      <c r="E18036" t="s">
        <v>571</v>
      </c>
      <c r="F18036" s="1">
        <v>1</v>
      </c>
      <c r="G18036" s="1" t="s">
        <v>36</v>
      </c>
      <c r="H18036" s="4" t="str">
        <f>HYPERLINK("https://portal.gdc.cancer.gov/cases/0730216b-c201-443c-9092-81e23fd13c6c","TCGA-HC-7742-11A")</f>
        <v>TCGA-HC-7742-11A</v>
      </c>
      <c r="I18036" t="s">
        <v>161</v>
      </c>
      <c r="J18036" t="s">
        <v>569</v>
      </c>
      <c r="K18036" t="s">
        <v>33</v>
      </c>
      <c r="L18036" t="s">
        <v>162</v>
      </c>
      <c r="N18036" t="s">
        <v>37</v>
      </c>
    </row>
    <row r="18037" spans="1:14">
      <c r="A18037" s="4" t="str">
        <f t="shared" si="1299"/>
        <v>EXP00438</v>
      </c>
      <c r="B18037" s="3" t="s">
        <v>66</v>
      </c>
      <c r="C18037" s="4" t="str">
        <f t="shared" si="1300"/>
        <v>TCGA-PRAD</v>
      </c>
      <c r="D18037" s="1" t="s">
        <v>493</v>
      </c>
      <c r="E18037" t="s">
        <v>571</v>
      </c>
      <c r="F18037" s="1">
        <v>1</v>
      </c>
      <c r="G18037" s="1" t="s">
        <v>36</v>
      </c>
      <c r="H18037" s="4" t="str">
        <f>HYPERLINK("https://portal.gdc.cancer.gov/cases/6641a298-1dbd-445d-a4ab-95ceb98e1427","TCGA-HC-7745-11A")</f>
        <v>TCGA-HC-7745-11A</v>
      </c>
      <c r="I18037" t="s">
        <v>161</v>
      </c>
      <c r="J18037" t="s">
        <v>569</v>
      </c>
      <c r="K18037" t="s">
        <v>33</v>
      </c>
      <c r="L18037" t="s">
        <v>162</v>
      </c>
      <c r="N18037" t="s">
        <v>37</v>
      </c>
    </row>
    <row r="18038" spans="1:14">
      <c r="A18038" s="4" t="str">
        <f t="shared" si="1299"/>
        <v>EXP00438</v>
      </c>
      <c r="B18038" s="3" t="s">
        <v>66</v>
      </c>
      <c r="C18038" s="4" t="str">
        <f t="shared" si="1300"/>
        <v>TCGA-PRAD</v>
      </c>
      <c r="D18038" s="1" t="s">
        <v>493</v>
      </c>
      <c r="E18038" t="s">
        <v>571</v>
      </c>
      <c r="F18038" s="1">
        <v>1</v>
      </c>
      <c r="G18038" s="1" t="s">
        <v>36</v>
      </c>
      <c r="H18038" s="4" t="str">
        <f>HYPERLINK("https://portal.gdc.cancer.gov/cases/f25bae1a-8627-46a8-87af-07f82773c68a","TCGA-HC-7747-11A")</f>
        <v>TCGA-HC-7747-11A</v>
      </c>
      <c r="I18038" t="s">
        <v>161</v>
      </c>
      <c r="J18038" t="s">
        <v>569</v>
      </c>
      <c r="K18038" t="s">
        <v>33</v>
      </c>
      <c r="L18038" t="s">
        <v>162</v>
      </c>
      <c r="N18038" t="s">
        <v>37</v>
      </c>
    </row>
    <row r="18039" spans="1:14">
      <c r="A18039" s="4" t="str">
        <f t="shared" si="1299"/>
        <v>EXP00438</v>
      </c>
      <c r="B18039" s="3" t="s">
        <v>66</v>
      </c>
      <c r="C18039" s="4" t="str">
        <f t="shared" si="1300"/>
        <v>TCGA-PRAD</v>
      </c>
      <c r="D18039" s="1" t="s">
        <v>493</v>
      </c>
      <c r="E18039" t="s">
        <v>571</v>
      </c>
      <c r="F18039" s="1">
        <v>1</v>
      </c>
      <c r="G18039" s="1" t="s">
        <v>36</v>
      </c>
      <c r="H18039" s="4" t="str">
        <f>HYPERLINK("https://portal.gdc.cancer.gov/cases/9b84601b-ee05-4c15-afe3-7bfa7ca5ffac","TCGA-HC-7752-11A")</f>
        <v>TCGA-HC-7752-11A</v>
      </c>
      <c r="I18039" t="s">
        <v>161</v>
      </c>
      <c r="J18039" t="s">
        <v>569</v>
      </c>
      <c r="K18039" t="s">
        <v>33</v>
      </c>
      <c r="L18039" t="s">
        <v>162</v>
      </c>
      <c r="N18039" t="s">
        <v>37</v>
      </c>
    </row>
    <row r="18040" spans="1:14">
      <c r="A18040" s="4" t="str">
        <f t="shared" si="1299"/>
        <v>EXP00438</v>
      </c>
      <c r="B18040" s="3" t="s">
        <v>66</v>
      </c>
      <c r="C18040" s="4" t="str">
        <f t="shared" si="1300"/>
        <v>TCGA-PRAD</v>
      </c>
      <c r="D18040" s="1" t="s">
        <v>493</v>
      </c>
      <c r="E18040" t="s">
        <v>571</v>
      </c>
      <c r="F18040" s="1">
        <v>1</v>
      </c>
      <c r="G18040" s="1" t="s">
        <v>36</v>
      </c>
      <c r="H18040" s="4" t="str">
        <f>HYPERLINK("https://portal.gdc.cancer.gov/cases/d1fd7be0-6daa-4f1f-a198-3dca7a797e49","TCGA-HC-7819-11A")</f>
        <v>TCGA-HC-7819-11A</v>
      </c>
      <c r="I18040" t="s">
        <v>161</v>
      </c>
      <c r="J18040" t="s">
        <v>569</v>
      </c>
      <c r="K18040" t="s">
        <v>33</v>
      </c>
      <c r="L18040" t="s">
        <v>162</v>
      </c>
      <c r="N18040" t="s">
        <v>37</v>
      </c>
    </row>
    <row r="18041" spans="1:14">
      <c r="A18041" s="4" t="str">
        <f t="shared" si="1299"/>
        <v>EXP00438</v>
      </c>
      <c r="B18041" s="3" t="s">
        <v>66</v>
      </c>
      <c r="C18041" s="4" t="str">
        <f t="shared" si="1300"/>
        <v>TCGA-PRAD</v>
      </c>
      <c r="D18041" s="1" t="s">
        <v>493</v>
      </c>
      <c r="E18041" t="s">
        <v>571</v>
      </c>
      <c r="F18041" s="1">
        <v>1</v>
      </c>
      <c r="G18041" s="1" t="s">
        <v>36</v>
      </c>
      <c r="H18041" s="4" t="str">
        <f>HYPERLINK("https://portal.gdc.cancer.gov/cases/da5b0169-e4f4-4674-b348-220af03ff4b5","TCGA-HC-8258-11A")</f>
        <v>TCGA-HC-8258-11A</v>
      </c>
      <c r="I18041" t="s">
        <v>161</v>
      </c>
      <c r="J18041" t="s">
        <v>569</v>
      </c>
      <c r="K18041" t="s">
        <v>33</v>
      </c>
      <c r="L18041" t="s">
        <v>162</v>
      </c>
      <c r="N18041" t="s">
        <v>37</v>
      </c>
    </row>
    <row r="18042" spans="1:14">
      <c r="A18042" s="4" t="str">
        <f t="shared" si="1299"/>
        <v>EXP00438</v>
      </c>
      <c r="B18042" s="3" t="s">
        <v>66</v>
      </c>
      <c r="C18042" s="4" t="str">
        <f t="shared" si="1300"/>
        <v>TCGA-PRAD</v>
      </c>
      <c r="D18042" s="1" t="s">
        <v>493</v>
      </c>
      <c r="E18042" t="s">
        <v>571</v>
      </c>
      <c r="F18042" s="1">
        <v>1</v>
      </c>
      <c r="G18042" s="1" t="s">
        <v>36</v>
      </c>
      <c r="H18042" s="4" t="str">
        <f>HYPERLINK("https://portal.gdc.cancer.gov/cases/07ccb4e9-a2a9-4bfd-97bd-13873b01977a","TCGA-HC-8259-11A")</f>
        <v>TCGA-HC-8259-11A</v>
      </c>
      <c r="I18042" t="s">
        <v>161</v>
      </c>
      <c r="J18042" t="s">
        <v>569</v>
      </c>
      <c r="K18042" t="s">
        <v>33</v>
      </c>
      <c r="L18042" t="s">
        <v>162</v>
      </c>
      <c r="N18042" t="s">
        <v>37</v>
      </c>
    </row>
    <row r="18043" spans="1:14">
      <c r="A18043" s="4" t="str">
        <f t="shared" si="1299"/>
        <v>EXP00438</v>
      </c>
      <c r="B18043" s="3" t="s">
        <v>66</v>
      </c>
      <c r="C18043" s="4" t="str">
        <f t="shared" si="1300"/>
        <v>TCGA-PRAD</v>
      </c>
      <c r="D18043" s="1" t="s">
        <v>493</v>
      </c>
      <c r="E18043" t="s">
        <v>571</v>
      </c>
      <c r="F18043" s="1">
        <v>1</v>
      </c>
      <c r="G18043" s="1" t="s">
        <v>36</v>
      </c>
      <c r="H18043" s="4" t="str">
        <f>HYPERLINK("https://portal.gdc.cancer.gov/cases/3971a2f0-7263-4cda-aa01-9a2ebb2c2ff2","TCGA-HC-8260-11A")</f>
        <v>TCGA-HC-8260-11A</v>
      </c>
      <c r="I18043" t="s">
        <v>161</v>
      </c>
      <c r="J18043" t="s">
        <v>569</v>
      </c>
      <c r="K18043" t="s">
        <v>33</v>
      </c>
      <c r="L18043" t="s">
        <v>162</v>
      </c>
      <c r="N18043" t="s">
        <v>37</v>
      </c>
    </row>
    <row r="18044" spans="1:14">
      <c r="A18044" s="4" t="str">
        <f t="shared" si="1299"/>
        <v>EXP00438</v>
      </c>
      <c r="B18044" s="3" t="s">
        <v>66</v>
      </c>
      <c r="C18044" s="4" t="str">
        <f t="shared" si="1300"/>
        <v>TCGA-PRAD</v>
      </c>
      <c r="D18044" s="1" t="s">
        <v>493</v>
      </c>
      <c r="E18044" t="s">
        <v>571</v>
      </c>
      <c r="F18044" s="1">
        <v>1</v>
      </c>
      <c r="G18044" s="1" t="s">
        <v>36</v>
      </c>
      <c r="H18044" s="4" t="str">
        <f>HYPERLINK("https://portal.gdc.cancer.gov/cases/fb7e9935-32a2-422b-8004-88b827a686c2","TCGA-HC-8262-11A")</f>
        <v>TCGA-HC-8262-11A</v>
      </c>
      <c r="I18044" t="s">
        <v>161</v>
      </c>
      <c r="J18044" t="s">
        <v>569</v>
      </c>
      <c r="K18044" t="s">
        <v>33</v>
      </c>
      <c r="L18044" t="s">
        <v>162</v>
      </c>
      <c r="N18044" t="s">
        <v>37</v>
      </c>
    </row>
    <row r="18045" spans="1:14">
      <c r="A18045" s="4" t="str">
        <f t="shared" si="1299"/>
        <v>EXP00438</v>
      </c>
      <c r="B18045" s="3" t="s">
        <v>66</v>
      </c>
      <c r="C18045" s="4" t="str">
        <f t="shared" si="1300"/>
        <v>TCGA-PRAD</v>
      </c>
      <c r="D18045" s="1" t="s">
        <v>493</v>
      </c>
      <c r="E18045" t="s">
        <v>571</v>
      </c>
      <c r="F18045" s="1">
        <v>1</v>
      </c>
      <c r="G18045" s="1" t="s">
        <v>36</v>
      </c>
      <c r="H18045" s="4" t="str">
        <f>HYPERLINK("https://portal.gdc.cancer.gov/cases/98240f19-bca7-4001-8aa2-4d790c7c4c53","TCGA-J4-A83J-11A")</f>
        <v>TCGA-J4-A83J-11A</v>
      </c>
      <c r="I18045" t="s">
        <v>161</v>
      </c>
      <c r="J18045" t="s">
        <v>569</v>
      </c>
      <c r="K18045" t="s">
        <v>33</v>
      </c>
      <c r="L18045" t="s">
        <v>162</v>
      </c>
      <c r="N18045" t="s">
        <v>37</v>
      </c>
    </row>
    <row r="18046" spans="1:14">
      <c r="A18046" s="4" t="str">
        <f t="shared" si="1299"/>
        <v>EXP00438</v>
      </c>
      <c r="B18046" s="3" t="s">
        <v>66</v>
      </c>
      <c r="C18046" s="4" t="str">
        <f t="shared" si="1300"/>
        <v>TCGA-PRAD</v>
      </c>
      <c r="D18046" s="1" t="s">
        <v>493</v>
      </c>
      <c r="E18046" t="s">
        <v>571</v>
      </c>
      <c r="F18046" s="1">
        <v>2</v>
      </c>
      <c r="G18046" s="1" t="s">
        <v>28</v>
      </c>
      <c r="H18046" s="4" t="str">
        <f>HYPERLINK("https://portal.gdc.cancer.gov/cases/49197847-cc83-4ce1-8397-d09cea4c4928","TCGA-2A-A8VL-01A")</f>
        <v>TCGA-2A-A8VL-01A</v>
      </c>
      <c r="I18046" t="s">
        <v>161</v>
      </c>
      <c r="J18046" t="s">
        <v>569</v>
      </c>
      <c r="K18046" t="s">
        <v>33</v>
      </c>
      <c r="L18046" t="s">
        <v>162</v>
      </c>
      <c r="N18046" t="s">
        <v>29</v>
      </c>
    </row>
    <row r="18047" spans="1:14">
      <c r="A18047" s="4" t="str">
        <f t="shared" si="1299"/>
        <v>EXP00438</v>
      </c>
      <c r="B18047" s="3" t="s">
        <v>66</v>
      </c>
      <c r="C18047" s="4" t="str">
        <f t="shared" si="1300"/>
        <v>TCGA-PRAD</v>
      </c>
      <c r="D18047" s="1" t="s">
        <v>493</v>
      </c>
      <c r="E18047" t="s">
        <v>571</v>
      </c>
      <c r="F18047" s="1">
        <v>2</v>
      </c>
      <c r="G18047" s="1" t="s">
        <v>28</v>
      </c>
      <c r="H18047" s="4" t="str">
        <f>HYPERLINK("https://portal.gdc.cancer.gov/cases/91c0d161-2b59-4b7a-8c19-6d26dea31849","TCGA-2A-A8VO-01A")</f>
        <v>TCGA-2A-A8VO-01A</v>
      </c>
      <c r="I18047" t="s">
        <v>161</v>
      </c>
      <c r="J18047" t="s">
        <v>569</v>
      </c>
      <c r="K18047" t="s">
        <v>33</v>
      </c>
      <c r="L18047" t="s">
        <v>162</v>
      </c>
      <c r="N18047" t="s">
        <v>29</v>
      </c>
    </row>
    <row r="18048" spans="1:14">
      <c r="A18048" s="4" t="str">
        <f t="shared" si="1299"/>
        <v>EXP00438</v>
      </c>
      <c r="B18048" s="3" t="s">
        <v>66</v>
      </c>
      <c r="C18048" s="4" t="str">
        <f t="shared" si="1300"/>
        <v>TCGA-PRAD</v>
      </c>
      <c r="D18048" s="1" t="s">
        <v>493</v>
      </c>
      <c r="E18048" t="s">
        <v>571</v>
      </c>
      <c r="F18048" s="1">
        <v>2</v>
      </c>
      <c r="G18048" s="1" t="s">
        <v>28</v>
      </c>
      <c r="H18048" s="4" t="str">
        <f>HYPERLINK("https://portal.gdc.cancer.gov/cases/931b549f-b9f2-4e8d-83ed-ff663671883c","TCGA-2A-A8VT-01A")</f>
        <v>TCGA-2A-A8VT-01A</v>
      </c>
      <c r="I18048" t="s">
        <v>161</v>
      </c>
      <c r="J18048" t="s">
        <v>569</v>
      </c>
      <c r="K18048" t="s">
        <v>33</v>
      </c>
      <c r="L18048" t="s">
        <v>162</v>
      </c>
      <c r="N18048" t="s">
        <v>29</v>
      </c>
    </row>
    <row r="18049" spans="1:14">
      <c r="A18049" s="4" t="str">
        <f t="shared" si="1299"/>
        <v>EXP00438</v>
      </c>
      <c r="B18049" s="3" t="s">
        <v>66</v>
      </c>
      <c r="C18049" s="4" t="str">
        <f t="shared" si="1300"/>
        <v>TCGA-PRAD</v>
      </c>
      <c r="D18049" s="1" t="s">
        <v>493</v>
      </c>
      <c r="E18049" t="s">
        <v>571</v>
      </c>
      <c r="F18049" s="1">
        <v>2</v>
      </c>
      <c r="G18049" s="1" t="s">
        <v>28</v>
      </c>
      <c r="H18049" s="4" t="str">
        <f>HYPERLINK("https://portal.gdc.cancer.gov/cases/75a7afb5-66d5-47e3-8a8a-3e3a1e749a96","TCGA-2A-A8VV-01A")</f>
        <v>TCGA-2A-A8VV-01A</v>
      </c>
      <c r="I18049" t="s">
        <v>161</v>
      </c>
      <c r="J18049" t="s">
        <v>569</v>
      </c>
      <c r="K18049" t="s">
        <v>33</v>
      </c>
      <c r="L18049" t="s">
        <v>162</v>
      </c>
      <c r="N18049" t="s">
        <v>29</v>
      </c>
    </row>
    <row r="18050" spans="1:14">
      <c r="A18050" s="4" t="str">
        <f t="shared" si="1299"/>
        <v>EXP00438</v>
      </c>
      <c r="B18050" s="3" t="s">
        <v>66</v>
      </c>
      <c r="C18050" s="4" t="str">
        <f t="shared" si="1300"/>
        <v>TCGA-PRAD</v>
      </c>
      <c r="D18050" s="1" t="s">
        <v>493</v>
      </c>
      <c r="E18050" t="s">
        <v>571</v>
      </c>
      <c r="F18050" s="1">
        <v>2</v>
      </c>
      <c r="G18050" s="1" t="s">
        <v>28</v>
      </c>
      <c r="H18050" s="4" t="str">
        <f>HYPERLINK("https://portal.gdc.cancer.gov/cases/942f1788-d977-4ac0-a177-659f9d4cd077","TCGA-2A-A8VX-01A")</f>
        <v>TCGA-2A-A8VX-01A</v>
      </c>
      <c r="I18050" t="s">
        <v>161</v>
      </c>
      <c r="J18050" t="s">
        <v>569</v>
      </c>
      <c r="K18050" t="s">
        <v>33</v>
      </c>
      <c r="L18050" t="s">
        <v>162</v>
      </c>
      <c r="N18050" t="s">
        <v>29</v>
      </c>
    </row>
    <row r="18051" spans="1:14">
      <c r="A18051" s="4" t="str">
        <f t="shared" si="1299"/>
        <v>EXP00438</v>
      </c>
      <c r="B18051" s="3" t="s">
        <v>66</v>
      </c>
      <c r="C18051" s="4" t="str">
        <f t="shared" si="1300"/>
        <v>TCGA-PRAD</v>
      </c>
      <c r="D18051" s="1" t="s">
        <v>493</v>
      </c>
      <c r="E18051" t="s">
        <v>571</v>
      </c>
      <c r="F18051" s="1">
        <v>2</v>
      </c>
      <c r="G18051" s="1" t="s">
        <v>28</v>
      </c>
      <c r="H18051" s="4" t="str">
        <f>HYPERLINK("https://portal.gdc.cancer.gov/cases/f5319fd5-beae-4ca8-8f42-45fca5e6a2d2","TCGA-2A-A8W1-01A")</f>
        <v>TCGA-2A-A8W1-01A</v>
      </c>
      <c r="I18051" t="s">
        <v>161</v>
      </c>
      <c r="J18051" t="s">
        <v>569</v>
      </c>
      <c r="K18051" t="s">
        <v>33</v>
      </c>
      <c r="L18051" t="s">
        <v>162</v>
      </c>
      <c r="N18051" t="s">
        <v>29</v>
      </c>
    </row>
    <row r="18052" spans="1:14">
      <c r="A18052" s="4" t="str">
        <f t="shared" si="1299"/>
        <v>EXP00438</v>
      </c>
      <c r="B18052" s="3" t="s">
        <v>66</v>
      </c>
      <c r="C18052" s="4" t="str">
        <f t="shared" si="1300"/>
        <v>TCGA-PRAD</v>
      </c>
      <c r="D18052" s="1" t="s">
        <v>493</v>
      </c>
      <c r="E18052" t="s">
        <v>571</v>
      </c>
      <c r="F18052" s="1">
        <v>2</v>
      </c>
      <c r="G18052" s="1" t="s">
        <v>28</v>
      </c>
      <c r="H18052" s="4" t="str">
        <f>HYPERLINK("https://portal.gdc.cancer.gov/cases/5a790086-4887-4d2b-9c28-0fdd5dd1f1fb","TCGA-2A-A8W3-01A")</f>
        <v>TCGA-2A-A8W3-01A</v>
      </c>
      <c r="I18052" t="s">
        <v>161</v>
      </c>
      <c r="J18052" t="s">
        <v>569</v>
      </c>
      <c r="K18052" t="s">
        <v>33</v>
      </c>
      <c r="L18052" t="s">
        <v>162</v>
      </c>
      <c r="N18052" t="s">
        <v>29</v>
      </c>
    </row>
    <row r="18053" spans="1:14">
      <c r="A18053" s="4" t="str">
        <f t="shared" si="1299"/>
        <v>EXP00438</v>
      </c>
      <c r="B18053" s="3" t="s">
        <v>66</v>
      </c>
      <c r="C18053" s="4" t="str">
        <f t="shared" si="1300"/>
        <v>TCGA-PRAD</v>
      </c>
      <c r="D18053" s="1" t="s">
        <v>493</v>
      </c>
      <c r="E18053" t="s">
        <v>571</v>
      </c>
      <c r="F18053" s="1">
        <v>2</v>
      </c>
      <c r="G18053" s="1" t="s">
        <v>28</v>
      </c>
      <c r="H18053" s="4" t="str">
        <f>HYPERLINK("https://portal.gdc.cancer.gov/cases/490e84ed-3c02-4593-990e-ade5c109df44","TCGA-2A-AAYF-01A")</f>
        <v>TCGA-2A-AAYF-01A</v>
      </c>
      <c r="I18053" t="s">
        <v>161</v>
      </c>
      <c r="J18053" t="s">
        <v>569</v>
      </c>
      <c r="K18053" t="s">
        <v>33</v>
      </c>
      <c r="L18053" t="s">
        <v>162</v>
      </c>
      <c r="N18053" t="s">
        <v>29</v>
      </c>
    </row>
    <row r="18054" spans="1:14">
      <c r="A18054" s="4" t="str">
        <f t="shared" si="1299"/>
        <v>EXP00438</v>
      </c>
      <c r="B18054" s="3" t="s">
        <v>66</v>
      </c>
      <c r="C18054" s="4" t="str">
        <f t="shared" si="1300"/>
        <v>TCGA-PRAD</v>
      </c>
      <c r="D18054" s="1" t="s">
        <v>493</v>
      </c>
      <c r="E18054" t="s">
        <v>571</v>
      </c>
      <c r="F18054" s="1">
        <v>2</v>
      </c>
      <c r="G18054" s="1" t="s">
        <v>28</v>
      </c>
      <c r="H18054" s="4" t="str">
        <f>HYPERLINK("https://portal.gdc.cancer.gov/cases/8c0d361f-eaab-4768-90f2-b7a610e2bbb1","TCGA-2A-AAYO-01A")</f>
        <v>TCGA-2A-AAYO-01A</v>
      </c>
      <c r="I18054" t="s">
        <v>161</v>
      </c>
      <c r="J18054" t="s">
        <v>569</v>
      </c>
      <c r="K18054" t="s">
        <v>33</v>
      </c>
      <c r="L18054" t="s">
        <v>162</v>
      </c>
      <c r="N18054" t="s">
        <v>29</v>
      </c>
    </row>
    <row r="18055" spans="1:14">
      <c r="A18055" s="4" t="str">
        <f t="shared" si="1299"/>
        <v>EXP00438</v>
      </c>
      <c r="B18055" s="3" t="s">
        <v>66</v>
      </c>
      <c r="C18055" s="4" t="str">
        <f t="shared" si="1300"/>
        <v>TCGA-PRAD</v>
      </c>
      <c r="D18055" s="1" t="s">
        <v>493</v>
      </c>
      <c r="E18055" t="s">
        <v>571</v>
      </c>
      <c r="F18055" s="1">
        <v>2</v>
      </c>
      <c r="G18055" s="1" t="s">
        <v>28</v>
      </c>
      <c r="H18055" s="4" t="str">
        <f>HYPERLINK("https://portal.gdc.cancer.gov/cases/aa1a3a43-2f9c-456c-ba74-81c29b9801cb","TCGA-2A-AAYU-01A")</f>
        <v>TCGA-2A-AAYU-01A</v>
      </c>
      <c r="I18055" t="s">
        <v>161</v>
      </c>
      <c r="J18055" t="s">
        <v>569</v>
      </c>
      <c r="K18055" t="s">
        <v>33</v>
      </c>
      <c r="L18055" t="s">
        <v>162</v>
      </c>
      <c r="N18055" t="s">
        <v>29</v>
      </c>
    </row>
    <row r="18056" spans="1:14">
      <c r="A18056" s="4" t="str">
        <f t="shared" si="1299"/>
        <v>EXP00438</v>
      </c>
      <c r="B18056" s="3" t="s">
        <v>66</v>
      </c>
      <c r="C18056" s="4" t="str">
        <f t="shared" si="1300"/>
        <v>TCGA-PRAD</v>
      </c>
      <c r="D18056" s="1" t="s">
        <v>493</v>
      </c>
      <c r="E18056" t="s">
        <v>571</v>
      </c>
      <c r="F18056" s="1">
        <v>2</v>
      </c>
      <c r="G18056" s="1" t="s">
        <v>28</v>
      </c>
      <c r="H18056" s="4" t="str">
        <f>HYPERLINK("https://portal.gdc.cancer.gov/cases/47abcd03-c6ff-4777-ac26-f880474092ff","TCGA-4L-AA1F-01A")</f>
        <v>TCGA-4L-AA1F-01A</v>
      </c>
      <c r="I18056" t="s">
        <v>161</v>
      </c>
      <c r="J18056" t="s">
        <v>569</v>
      </c>
      <c r="K18056" t="s">
        <v>33</v>
      </c>
      <c r="L18056" t="s">
        <v>162</v>
      </c>
      <c r="N18056" t="s">
        <v>29</v>
      </c>
    </row>
    <row r="18057" spans="1:14">
      <c r="A18057" s="4" t="str">
        <f t="shared" si="1299"/>
        <v>EXP00438</v>
      </c>
      <c r="B18057" s="3" t="s">
        <v>66</v>
      </c>
      <c r="C18057" s="4" t="str">
        <f t="shared" si="1300"/>
        <v>TCGA-PRAD</v>
      </c>
      <c r="D18057" s="1" t="s">
        <v>493</v>
      </c>
      <c r="E18057" t="s">
        <v>571</v>
      </c>
      <c r="F18057" s="1">
        <v>2</v>
      </c>
      <c r="G18057" s="1" t="s">
        <v>28</v>
      </c>
      <c r="H18057" s="4" t="str">
        <f>HYPERLINK("https://portal.gdc.cancer.gov/cases/4f9f1fce-d96e-407b-a873-56129985aece","TCGA-CH-5737-01A")</f>
        <v>TCGA-CH-5737-01A</v>
      </c>
      <c r="I18057" t="s">
        <v>161</v>
      </c>
      <c r="J18057" t="s">
        <v>569</v>
      </c>
      <c r="K18057" t="s">
        <v>33</v>
      </c>
      <c r="L18057" t="s">
        <v>162</v>
      </c>
      <c r="N18057" t="s">
        <v>29</v>
      </c>
    </row>
    <row r="18058" spans="1:14">
      <c r="A18058" s="4" t="str">
        <f t="shared" ref="A18058:A18121" si="1301">HYPERLINK("http://hcmdb.i-sanger.com/experiment/details/experiment_id/EXP00438","EXP00438")</f>
        <v>EXP00438</v>
      </c>
      <c r="B18058" s="3" t="s">
        <v>66</v>
      </c>
      <c r="C18058" s="4" t="str">
        <f t="shared" si="1300"/>
        <v>TCGA-PRAD</v>
      </c>
      <c r="D18058" s="1" t="s">
        <v>493</v>
      </c>
      <c r="E18058" t="s">
        <v>571</v>
      </c>
      <c r="F18058" s="1">
        <v>2</v>
      </c>
      <c r="G18058" s="1" t="s">
        <v>28</v>
      </c>
      <c r="H18058" s="4" t="str">
        <f>HYPERLINK("https://portal.gdc.cancer.gov/cases/5828401b-0901-4a73-9d0c-1e85d3431475","TCGA-CH-5738-01A")</f>
        <v>TCGA-CH-5738-01A</v>
      </c>
      <c r="I18058" t="s">
        <v>161</v>
      </c>
      <c r="J18058" t="s">
        <v>569</v>
      </c>
      <c r="K18058" t="s">
        <v>33</v>
      </c>
      <c r="L18058" t="s">
        <v>162</v>
      </c>
      <c r="N18058" t="s">
        <v>29</v>
      </c>
    </row>
    <row r="18059" spans="1:14">
      <c r="A18059" s="4" t="str">
        <f t="shared" si="1301"/>
        <v>EXP00438</v>
      </c>
      <c r="B18059" s="3" t="s">
        <v>66</v>
      </c>
      <c r="C18059" s="4" t="str">
        <f t="shared" si="1300"/>
        <v>TCGA-PRAD</v>
      </c>
      <c r="D18059" s="1" t="s">
        <v>493</v>
      </c>
      <c r="E18059" t="s">
        <v>571</v>
      </c>
      <c r="F18059" s="1">
        <v>2</v>
      </c>
      <c r="G18059" s="1" t="s">
        <v>28</v>
      </c>
      <c r="H18059" s="4" t="str">
        <f>HYPERLINK("https://portal.gdc.cancer.gov/cases/79601d90-b198-4b94-b60f-4cff329c7a10","TCGA-CH-5739-01A")</f>
        <v>TCGA-CH-5739-01A</v>
      </c>
      <c r="I18059" t="s">
        <v>161</v>
      </c>
      <c r="J18059" t="s">
        <v>569</v>
      </c>
      <c r="K18059" t="s">
        <v>33</v>
      </c>
      <c r="L18059" t="s">
        <v>162</v>
      </c>
      <c r="N18059" t="s">
        <v>29</v>
      </c>
    </row>
    <row r="18060" spans="1:14">
      <c r="A18060" s="4" t="str">
        <f t="shared" si="1301"/>
        <v>EXP00438</v>
      </c>
      <c r="B18060" s="3" t="s">
        <v>66</v>
      </c>
      <c r="C18060" s="4" t="str">
        <f t="shared" si="1300"/>
        <v>TCGA-PRAD</v>
      </c>
      <c r="D18060" s="1" t="s">
        <v>493</v>
      </c>
      <c r="E18060" t="s">
        <v>571</v>
      </c>
      <c r="F18060" s="1">
        <v>2</v>
      </c>
      <c r="G18060" s="1" t="s">
        <v>28</v>
      </c>
      <c r="H18060" s="4" t="str">
        <f>HYPERLINK("https://portal.gdc.cancer.gov/cases/cd113dc4-915a-47d2-bce0-9dba915a9d29","TCGA-CH-5740-01A")</f>
        <v>TCGA-CH-5740-01A</v>
      </c>
      <c r="I18060" t="s">
        <v>161</v>
      </c>
      <c r="J18060" t="s">
        <v>569</v>
      </c>
      <c r="K18060" t="s">
        <v>33</v>
      </c>
      <c r="L18060" t="s">
        <v>162</v>
      </c>
      <c r="N18060" t="s">
        <v>29</v>
      </c>
    </row>
    <row r="18061" spans="1:14">
      <c r="A18061" s="4" t="str">
        <f t="shared" si="1301"/>
        <v>EXP00438</v>
      </c>
      <c r="B18061" s="3" t="s">
        <v>66</v>
      </c>
      <c r="C18061" s="4" t="str">
        <f t="shared" si="1300"/>
        <v>TCGA-PRAD</v>
      </c>
      <c r="D18061" s="1" t="s">
        <v>493</v>
      </c>
      <c r="E18061" t="s">
        <v>571</v>
      </c>
      <c r="F18061" s="1">
        <v>2</v>
      </c>
      <c r="G18061" s="1" t="s">
        <v>28</v>
      </c>
      <c r="H18061" s="4" t="str">
        <f>HYPERLINK("https://portal.gdc.cancer.gov/cases/b3bf57d4-e31a-4740-b438-fa826fb79550","TCGA-CH-5741-01A")</f>
        <v>TCGA-CH-5741-01A</v>
      </c>
      <c r="I18061" t="s">
        <v>161</v>
      </c>
      <c r="J18061" t="s">
        <v>569</v>
      </c>
      <c r="K18061" t="s">
        <v>33</v>
      </c>
      <c r="L18061" t="s">
        <v>162</v>
      </c>
      <c r="N18061" t="s">
        <v>29</v>
      </c>
    </row>
    <row r="18062" spans="1:14">
      <c r="A18062" s="4" t="str">
        <f t="shared" si="1301"/>
        <v>EXP00438</v>
      </c>
      <c r="B18062" s="3" t="s">
        <v>66</v>
      </c>
      <c r="C18062" s="4" t="str">
        <f t="shared" si="1300"/>
        <v>TCGA-PRAD</v>
      </c>
      <c r="D18062" s="1" t="s">
        <v>493</v>
      </c>
      <c r="E18062" t="s">
        <v>571</v>
      </c>
      <c r="F18062" s="1">
        <v>2</v>
      </c>
      <c r="G18062" s="1" t="s">
        <v>28</v>
      </c>
      <c r="H18062" s="4" t="str">
        <f>HYPERLINK("https://portal.gdc.cancer.gov/cases/2dee4bd8-b00e-4f8a-bfea-5d8d1a068202","TCGA-CH-5743-01A")</f>
        <v>TCGA-CH-5743-01A</v>
      </c>
      <c r="I18062" t="s">
        <v>161</v>
      </c>
      <c r="J18062" t="s">
        <v>569</v>
      </c>
      <c r="K18062" t="s">
        <v>33</v>
      </c>
      <c r="L18062" t="s">
        <v>162</v>
      </c>
      <c r="N18062" t="s">
        <v>29</v>
      </c>
    </row>
    <row r="18063" spans="1:14">
      <c r="A18063" s="4" t="str">
        <f t="shared" si="1301"/>
        <v>EXP00438</v>
      </c>
      <c r="B18063" s="3" t="s">
        <v>66</v>
      </c>
      <c r="C18063" s="4" t="str">
        <f t="shared" si="1300"/>
        <v>TCGA-PRAD</v>
      </c>
      <c r="D18063" s="1" t="s">
        <v>493</v>
      </c>
      <c r="E18063" t="s">
        <v>571</v>
      </c>
      <c r="F18063" s="1">
        <v>2</v>
      </c>
      <c r="G18063" s="1" t="s">
        <v>28</v>
      </c>
      <c r="H18063" s="4" t="str">
        <f>HYPERLINK("https://portal.gdc.cancer.gov/cases/4e76de8e-cb0d-4b83-8ab4-53bc67a7a9d3","TCGA-CH-5744-01A")</f>
        <v>TCGA-CH-5744-01A</v>
      </c>
      <c r="I18063" t="s">
        <v>161</v>
      </c>
      <c r="J18063" t="s">
        <v>569</v>
      </c>
      <c r="K18063" t="s">
        <v>33</v>
      </c>
      <c r="L18063" t="s">
        <v>162</v>
      </c>
      <c r="N18063" t="s">
        <v>29</v>
      </c>
    </row>
    <row r="18064" spans="1:14">
      <c r="A18064" s="4" t="str">
        <f t="shared" si="1301"/>
        <v>EXP00438</v>
      </c>
      <c r="B18064" s="3" t="s">
        <v>66</v>
      </c>
      <c r="C18064" s="4" t="str">
        <f t="shared" si="1300"/>
        <v>TCGA-PRAD</v>
      </c>
      <c r="D18064" s="1" t="s">
        <v>493</v>
      </c>
      <c r="E18064" t="s">
        <v>571</v>
      </c>
      <c r="F18064" s="1">
        <v>2</v>
      </c>
      <c r="G18064" s="1" t="s">
        <v>28</v>
      </c>
      <c r="H18064" s="4" t="str">
        <f>HYPERLINK("https://portal.gdc.cancer.gov/cases/ac67d0df-7dc0-4a1a-8b47-beec9b94de86","TCGA-CH-5745-01A")</f>
        <v>TCGA-CH-5745-01A</v>
      </c>
      <c r="I18064" t="s">
        <v>161</v>
      </c>
      <c r="J18064" t="s">
        <v>569</v>
      </c>
      <c r="K18064" t="s">
        <v>33</v>
      </c>
      <c r="L18064" t="s">
        <v>162</v>
      </c>
      <c r="N18064" t="s">
        <v>29</v>
      </c>
    </row>
    <row r="18065" spans="1:14">
      <c r="A18065" s="4" t="str">
        <f t="shared" si="1301"/>
        <v>EXP00438</v>
      </c>
      <c r="B18065" s="3" t="s">
        <v>66</v>
      </c>
      <c r="C18065" s="4" t="str">
        <f t="shared" si="1300"/>
        <v>TCGA-PRAD</v>
      </c>
      <c r="D18065" s="1" t="s">
        <v>493</v>
      </c>
      <c r="E18065" t="s">
        <v>571</v>
      </c>
      <c r="F18065" s="1">
        <v>2</v>
      </c>
      <c r="G18065" s="1" t="s">
        <v>28</v>
      </c>
      <c r="H18065" s="4" t="str">
        <f>HYPERLINK("https://portal.gdc.cancer.gov/cases/618272c0-c2ed-4bfb-bb4b-404f0987f822","TCGA-CH-5746-01A")</f>
        <v>TCGA-CH-5746-01A</v>
      </c>
      <c r="I18065" t="s">
        <v>161</v>
      </c>
      <c r="J18065" t="s">
        <v>569</v>
      </c>
      <c r="K18065" t="s">
        <v>33</v>
      </c>
      <c r="L18065" t="s">
        <v>162</v>
      </c>
      <c r="N18065" t="s">
        <v>29</v>
      </c>
    </row>
    <row r="18066" spans="1:14">
      <c r="A18066" s="4" t="str">
        <f t="shared" si="1301"/>
        <v>EXP00438</v>
      </c>
      <c r="B18066" s="3" t="s">
        <v>66</v>
      </c>
      <c r="C18066" s="4" t="str">
        <f t="shared" si="1300"/>
        <v>TCGA-PRAD</v>
      </c>
      <c r="D18066" s="1" t="s">
        <v>493</v>
      </c>
      <c r="E18066" t="s">
        <v>571</v>
      </c>
      <c r="F18066" s="1">
        <v>2</v>
      </c>
      <c r="G18066" s="1" t="s">
        <v>28</v>
      </c>
      <c r="H18066" s="4" t="str">
        <f>HYPERLINK("https://portal.gdc.cancer.gov/cases/0af98331-9305-41e9-af55-30390016d65e","TCGA-CH-5748-01A")</f>
        <v>TCGA-CH-5748-01A</v>
      </c>
      <c r="I18066" t="s">
        <v>161</v>
      </c>
      <c r="J18066" t="s">
        <v>569</v>
      </c>
      <c r="K18066" t="s">
        <v>33</v>
      </c>
      <c r="L18066" t="s">
        <v>162</v>
      </c>
      <c r="N18066" t="s">
        <v>29</v>
      </c>
    </row>
    <row r="18067" spans="1:14">
      <c r="A18067" s="4" t="str">
        <f t="shared" si="1301"/>
        <v>EXP00438</v>
      </c>
      <c r="B18067" s="3" t="s">
        <v>66</v>
      </c>
      <c r="C18067" s="4" t="str">
        <f t="shared" si="1300"/>
        <v>TCGA-PRAD</v>
      </c>
      <c r="D18067" s="1" t="s">
        <v>493</v>
      </c>
      <c r="E18067" t="s">
        <v>571</v>
      </c>
      <c r="F18067" s="1">
        <v>2</v>
      </c>
      <c r="G18067" s="1" t="s">
        <v>28</v>
      </c>
      <c r="H18067" s="4" t="str">
        <f>HYPERLINK("https://portal.gdc.cancer.gov/cases/dc40cf49-b208-4f59-b5f0-cfbdd02970b2","TCGA-CH-5750-01A")</f>
        <v>TCGA-CH-5750-01A</v>
      </c>
      <c r="I18067" t="s">
        <v>161</v>
      </c>
      <c r="J18067" t="s">
        <v>569</v>
      </c>
      <c r="K18067" t="s">
        <v>33</v>
      </c>
      <c r="L18067" t="s">
        <v>162</v>
      </c>
      <c r="N18067" t="s">
        <v>29</v>
      </c>
    </row>
    <row r="18068" spans="1:14">
      <c r="A18068" s="4" t="str">
        <f t="shared" si="1301"/>
        <v>EXP00438</v>
      </c>
      <c r="B18068" s="3" t="s">
        <v>66</v>
      </c>
      <c r="C18068" s="4" t="str">
        <f t="shared" si="1300"/>
        <v>TCGA-PRAD</v>
      </c>
      <c r="D18068" s="1" t="s">
        <v>493</v>
      </c>
      <c r="E18068" t="s">
        <v>571</v>
      </c>
      <c r="F18068" s="1">
        <v>2</v>
      </c>
      <c r="G18068" s="1" t="s">
        <v>28</v>
      </c>
      <c r="H18068" s="4" t="str">
        <f>HYPERLINK("https://portal.gdc.cancer.gov/cases/d8f56d75-51ab-4a86-a502-c86e1dcd1eff","TCGA-CH-5752-01A")</f>
        <v>TCGA-CH-5752-01A</v>
      </c>
      <c r="I18068" t="s">
        <v>161</v>
      </c>
      <c r="J18068" t="s">
        <v>569</v>
      </c>
      <c r="K18068" t="s">
        <v>33</v>
      </c>
      <c r="L18068" t="s">
        <v>162</v>
      </c>
      <c r="N18068" t="s">
        <v>29</v>
      </c>
    </row>
    <row r="18069" spans="1:14">
      <c r="A18069" s="4" t="str">
        <f t="shared" si="1301"/>
        <v>EXP00438</v>
      </c>
      <c r="B18069" s="3" t="s">
        <v>66</v>
      </c>
      <c r="C18069" s="4" t="str">
        <f t="shared" si="1300"/>
        <v>TCGA-PRAD</v>
      </c>
      <c r="D18069" s="1" t="s">
        <v>493</v>
      </c>
      <c r="E18069" t="s">
        <v>571</v>
      </c>
      <c r="F18069" s="1">
        <v>2</v>
      </c>
      <c r="G18069" s="1" t="s">
        <v>28</v>
      </c>
      <c r="H18069" s="4" t="str">
        <f>HYPERLINK("https://portal.gdc.cancer.gov/cases/928c48a0-68ee-4e28-ae83-9832e52850ca","TCGA-CH-5753-01A")</f>
        <v>TCGA-CH-5753-01A</v>
      </c>
      <c r="I18069" t="s">
        <v>161</v>
      </c>
      <c r="J18069" t="s">
        <v>569</v>
      </c>
      <c r="K18069" t="s">
        <v>33</v>
      </c>
      <c r="L18069" t="s">
        <v>162</v>
      </c>
      <c r="N18069" t="s">
        <v>29</v>
      </c>
    </row>
    <row r="18070" spans="1:14">
      <c r="A18070" s="4" t="str">
        <f t="shared" si="1301"/>
        <v>EXP00438</v>
      </c>
      <c r="B18070" s="3" t="s">
        <v>66</v>
      </c>
      <c r="C18070" s="4" t="str">
        <f t="shared" si="1300"/>
        <v>TCGA-PRAD</v>
      </c>
      <c r="D18070" s="1" t="s">
        <v>493</v>
      </c>
      <c r="E18070" t="s">
        <v>571</v>
      </c>
      <c r="F18070" s="1">
        <v>2</v>
      </c>
      <c r="G18070" s="1" t="s">
        <v>28</v>
      </c>
      <c r="H18070" s="4" t="str">
        <f>HYPERLINK("https://portal.gdc.cancer.gov/cases/0aad0abd-750a-400d-a34f-491da996d46c","TCGA-CH-5754-01A")</f>
        <v>TCGA-CH-5754-01A</v>
      </c>
      <c r="I18070" t="s">
        <v>161</v>
      </c>
      <c r="J18070" t="s">
        <v>569</v>
      </c>
      <c r="K18070" t="s">
        <v>33</v>
      </c>
      <c r="L18070" t="s">
        <v>162</v>
      </c>
      <c r="N18070" t="s">
        <v>29</v>
      </c>
    </row>
    <row r="18071" spans="1:14">
      <c r="A18071" s="4" t="str">
        <f t="shared" si="1301"/>
        <v>EXP00438</v>
      </c>
      <c r="B18071" s="3" t="s">
        <v>66</v>
      </c>
      <c r="C18071" s="4" t="str">
        <f t="shared" si="1300"/>
        <v>TCGA-PRAD</v>
      </c>
      <c r="D18071" s="1" t="s">
        <v>493</v>
      </c>
      <c r="E18071" t="s">
        <v>571</v>
      </c>
      <c r="F18071" s="1">
        <v>2</v>
      </c>
      <c r="G18071" s="1" t="s">
        <v>28</v>
      </c>
      <c r="H18071" s="4" t="str">
        <f>HYPERLINK("https://portal.gdc.cancer.gov/cases/854a481b-71a2-4f23-80aa-e91e9f4069b1","TCGA-CH-5761-01A")</f>
        <v>TCGA-CH-5761-01A</v>
      </c>
      <c r="I18071" t="s">
        <v>161</v>
      </c>
      <c r="J18071" t="s">
        <v>569</v>
      </c>
      <c r="K18071" t="s">
        <v>33</v>
      </c>
      <c r="L18071" t="s">
        <v>162</v>
      </c>
      <c r="N18071" t="s">
        <v>29</v>
      </c>
    </row>
    <row r="18072" spans="1:14">
      <c r="A18072" s="4" t="str">
        <f t="shared" si="1301"/>
        <v>EXP00438</v>
      </c>
      <c r="B18072" s="3" t="s">
        <v>66</v>
      </c>
      <c r="C18072" s="4" t="str">
        <f t="shared" si="1300"/>
        <v>TCGA-PRAD</v>
      </c>
      <c r="D18072" s="1" t="s">
        <v>493</v>
      </c>
      <c r="E18072" t="s">
        <v>571</v>
      </c>
      <c r="F18072" s="1">
        <v>2</v>
      </c>
      <c r="G18072" s="1" t="s">
        <v>28</v>
      </c>
      <c r="H18072" s="4" t="str">
        <f>HYPERLINK("https://portal.gdc.cancer.gov/cases/d4ffafdc-ee83-43df-aa3b-7326503c6438","TCGA-CH-5762-01A")</f>
        <v>TCGA-CH-5762-01A</v>
      </c>
      <c r="I18072" t="s">
        <v>161</v>
      </c>
      <c r="J18072" t="s">
        <v>569</v>
      </c>
      <c r="K18072" t="s">
        <v>33</v>
      </c>
      <c r="L18072" t="s">
        <v>162</v>
      </c>
      <c r="N18072" t="s">
        <v>29</v>
      </c>
    </row>
    <row r="18073" spans="1:14">
      <c r="A18073" s="4" t="str">
        <f t="shared" si="1301"/>
        <v>EXP00438</v>
      </c>
      <c r="B18073" s="3" t="s">
        <v>66</v>
      </c>
      <c r="C18073" s="4" t="str">
        <f t="shared" si="1300"/>
        <v>TCGA-PRAD</v>
      </c>
      <c r="D18073" s="1" t="s">
        <v>493</v>
      </c>
      <c r="E18073" t="s">
        <v>571</v>
      </c>
      <c r="F18073" s="1">
        <v>2</v>
      </c>
      <c r="G18073" s="1" t="s">
        <v>28</v>
      </c>
      <c r="H18073" s="4" t="str">
        <f>HYPERLINK("https://portal.gdc.cancer.gov/cases/18e79a01-07a2-4cd5-b700-71d41724e041","TCGA-CH-5763-01A")</f>
        <v>TCGA-CH-5763-01A</v>
      </c>
      <c r="I18073" t="s">
        <v>161</v>
      </c>
      <c r="J18073" t="s">
        <v>569</v>
      </c>
      <c r="K18073" t="s">
        <v>33</v>
      </c>
      <c r="L18073" t="s">
        <v>162</v>
      </c>
      <c r="N18073" t="s">
        <v>29</v>
      </c>
    </row>
    <row r="18074" spans="1:14">
      <c r="A18074" s="4" t="str">
        <f t="shared" si="1301"/>
        <v>EXP00438</v>
      </c>
      <c r="B18074" s="3" t="s">
        <v>66</v>
      </c>
      <c r="C18074" s="4" t="str">
        <f t="shared" si="1300"/>
        <v>TCGA-PRAD</v>
      </c>
      <c r="D18074" s="1" t="s">
        <v>493</v>
      </c>
      <c r="E18074" t="s">
        <v>571</v>
      </c>
      <c r="F18074" s="1">
        <v>2</v>
      </c>
      <c r="G18074" s="1" t="s">
        <v>28</v>
      </c>
      <c r="H18074" s="4" t="str">
        <f>HYPERLINK("https://portal.gdc.cancer.gov/cases/ed73f136-42e8-4100-b432-d10370d07e8b","TCGA-CH-5764-01A")</f>
        <v>TCGA-CH-5764-01A</v>
      </c>
      <c r="I18074" t="s">
        <v>161</v>
      </c>
      <c r="J18074" t="s">
        <v>569</v>
      </c>
      <c r="K18074" t="s">
        <v>33</v>
      </c>
      <c r="L18074" t="s">
        <v>162</v>
      </c>
      <c r="N18074" t="s">
        <v>29</v>
      </c>
    </row>
    <row r="18075" spans="1:14">
      <c r="A18075" s="4" t="str">
        <f t="shared" si="1301"/>
        <v>EXP00438</v>
      </c>
      <c r="B18075" s="3" t="s">
        <v>66</v>
      </c>
      <c r="C18075" s="4" t="str">
        <f t="shared" si="1300"/>
        <v>TCGA-PRAD</v>
      </c>
      <c r="D18075" s="1" t="s">
        <v>493</v>
      </c>
      <c r="E18075" t="s">
        <v>571</v>
      </c>
      <c r="F18075" s="1">
        <v>2</v>
      </c>
      <c r="G18075" s="1" t="s">
        <v>28</v>
      </c>
      <c r="H18075" s="4" t="str">
        <f>HYPERLINK("https://portal.gdc.cancer.gov/cases/716eb429-d7af-4d4f-bd8d-afcff1a323ee","TCGA-CH-5765-01A")</f>
        <v>TCGA-CH-5765-01A</v>
      </c>
      <c r="I18075" t="s">
        <v>161</v>
      </c>
      <c r="J18075" t="s">
        <v>569</v>
      </c>
      <c r="K18075" t="s">
        <v>33</v>
      </c>
      <c r="L18075" t="s">
        <v>162</v>
      </c>
      <c r="N18075" t="s">
        <v>29</v>
      </c>
    </row>
    <row r="18076" spans="1:14">
      <c r="A18076" s="4" t="str">
        <f t="shared" si="1301"/>
        <v>EXP00438</v>
      </c>
      <c r="B18076" s="3" t="s">
        <v>66</v>
      </c>
      <c r="C18076" s="4" t="str">
        <f t="shared" ref="C18076:C18139" si="1302">HYPERLINK("https://portal.gdc.cancer.gov/projects/TCGA-PRAD","TCGA-PRAD")</f>
        <v>TCGA-PRAD</v>
      </c>
      <c r="D18076" s="1" t="s">
        <v>493</v>
      </c>
      <c r="E18076" t="s">
        <v>571</v>
      </c>
      <c r="F18076" s="1">
        <v>2</v>
      </c>
      <c r="G18076" s="1" t="s">
        <v>28</v>
      </c>
      <c r="H18076" s="4" t="str">
        <f>HYPERLINK("https://portal.gdc.cancer.gov/cases/a5c77ab6-6e98-4a3d-81c8-f3d5fabd31d2","TCGA-CH-5766-01A")</f>
        <v>TCGA-CH-5766-01A</v>
      </c>
      <c r="I18076" t="s">
        <v>161</v>
      </c>
      <c r="J18076" t="s">
        <v>569</v>
      </c>
      <c r="K18076" t="s">
        <v>33</v>
      </c>
      <c r="L18076" t="s">
        <v>162</v>
      </c>
      <c r="N18076" t="s">
        <v>29</v>
      </c>
    </row>
    <row r="18077" spans="1:14">
      <c r="A18077" s="4" t="str">
        <f t="shared" si="1301"/>
        <v>EXP00438</v>
      </c>
      <c r="B18077" s="3" t="s">
        <v>66</v>
      </c>
      <c r="C18077" s="4" t="str">
        <f t="shared" si="1302"/>
        <v>TCGA-PRAD</v>
      </c>
      <c r="D18077" s="1" t="s">
        <v>493</v>
      </c>
      <c r="E18077" t="s">
        <v>571</v>
      </c>
      <c r="F18077" s="1">
        <v>2</v>
      </c>
      <c r="G18077" s="1" t="s">
        <v>28</v>
      </c>
      <c r="H18077" s="4" t="str">
        <f>HYPERLINK("https://portal.gdc.cancer.gov/cases/8dc53431-44ab-485e-b4e6-c3d06509506d","TCGA-CH-5767-01A")</f>
        <v>TCGA-CH-5767-01A</v>
      </c>
      <c r="I18077" t="s">
        <v>161</v>
      </c>
      <c r="J18077" t="s">
        <v>569</v>
      </c>
      <c r="K18077" t="s">
        <v>33</v>
      </c>
      <c r="L18077" t="s">
        <v>162</v>
      </c>
      <c r="N18077" t="s">
        <v>29</v>
      </c>
    </row>
    <row r="18078" spans="1:14">
      <c r="A18078" s="4" t="str">
        <f t="shared" si="1301"/>
        <v>EXP00438</v>
      </c>
      <c r="B18078" s="3" t="s">
        <v>66</v>
      </c>
      <c r="C18078" s="4" t="str">
        <f t="shared" si="1302"/>
        <v>TCGA-PRAD</v>
      </c>
      <c r="D18078" s="1" t="s">
        <v>493</v>
      </c>
      <c r="E18078" t="s">
        <v>571</v>
      </c>
      <c r="F18078" s="1">
        <v>2</v>
      </c>
      <c r="G18078" s="1" t="s">
        <v>28</v>
      </c>
      <c r="H18078" s="4" t="str">
        <f>HYPERLINK("https://portal.gdc.cancer.gov/cases/f6c61a22-a711-416d-9e65-6a1b957e5b2e","TCGA-CH-5768-01A")</f>
        <v>TCGA-CH-5768-01A</v>
      </c>
      <c r="I18078" t="s">
        <v>161</v>
      </c>
      <c r="J18078" t="s">
        <v>569</v>
      </c>
      <c r="K18078" t="s">
        <v>33</v>
      </c>
      <c r="L18078" t="s">
        <v>162</v>
      </c>
      <c r="N18078" t="s">
        <v>29</v>
      </c>
    </row>
    <row r="18079" spans="1:14">
      <c r="A18079" s="4" t="str">
        <f t="shared" si="1301"/>
        <v>EXP00438</v>
      </c>
      <c r="B18079" s="3" t="s">
        <v>66</v>
      </c>
      <c r="C18079" s="4" t="str">
        <f t="shared" si="1302"/>
        <v>TCGA-PRAD</v>
      </c>
      <c r="D18079" s="1" t="s">
        <v>493</v>
      </c>
      <c r="E18079" t="s">
        <v>571</v>
      </c>
      <c r="F18079" s="1">
        <v>2</v>
      </c>
      <c r="G18079" s="1" t="s">
        <v>28</v>
      </c>
      <c r="H18079" s="4" t="str">
        <f>HYPERLINK("https://portal.gdc.cancer.gov/cases/a7b76662-8380-4f35-9307-99c0acacb904","TCGA-CH-5769-01A")</f>
        <v>TCGA-CH-5769-01A</v>
      </c>
      <c r="I18079" t="s">
        <v>161</v>
      </c>
      <c r="J18079" t="s">
        <v>569</v>
      </c>
      <c r="K18079" t="s">
        <v>33</v>
      </c>
      <c r="L18079" t="s">
        <v>162</v>
      </c>
      <c r="N18079" t="s">
        <v>29</v>
      </c>
    </row>
    <row r="18080" spans="1:14">
      <c r="A18080" s="4" t="str">
        <f t="shared" si="1301"/>
        <v>EXP00438</v>
      </c>
      <c r="B18080" s="3" t="s">
        <v>66</v>
      </c>
      <c r="C18080" s="4" t="str">
        <f t="shared" si="1302"/>
        <v>TCGA-PRAD</v>
      </c>
      <c r="D18080" s="1" t="s">
        <v>493</v>
      </c>
      <c r="E18080" t="s">
        <v>571</v>
      </c>
      <c r="F18080" s="1">
        <v>2</v>
      </c>
      <c r="G18080" s="1" t="s">
        <v>28</v>
      </c>
      <c r="H18080" s="4" t="str">
        <f>HYPERLINK("https://portal.gdc.cancer.gov/cases/3acd8328-76f7-4f43-9660-394b95748c3d","TCGA-CH-5771-01A")</f>
        <v>TCGA-CH-5771-01A</v>
      </c>
      <c r="I18080" t="s">
        <v>161</v>
      </c>
      <c r="J18080" t="s">
        <v>569</v>
      </c>
      <c r="K18080" t="s">
        <v>33</v>
      </c>
      <c r="L18080" t="s">
        <v>162</v>
      </c>
      <c r="N18080" t="s">
        <v>29</v>
      </c>
    </row>
    <row r="18081" spans="1:14">
      <c r="A18081" s="4" t="str">
        <f t="shared" si="1301"/>
        <v>EXP00438</v>
      </c>
      <c r="B18081" s="3" t="s">
        <v>66</v>
      </c>
      <c r="C18081" s="4" t="str">
        <f t="shared" si="1302"/>
        <v>TCGA-PRAD</v>
      </c>
      <c r="D18081" s="1" t="s">
        <v>493</v>
      </c>
      <c r="E18081" t="s">
        <v>571</v>
      </c>
      <c r="F18081" s="1">
        <v>2</v>
      </c>
      <c r="G18081" s="1" t="s">
        <v>28</v>
      </c>
      <c r="H18081" s="4" t="str">
        <f>HYPERLINK("https://portal.gdc.cancer.gov/cases/ecf9f8be-7830-4626-8617-694c68ef4074","TCGA-CH-5772-01A")</f>
        <v>TCGA-CH-5772-01A</v>
      </c>
      <c r="I18081" t="s">
        <v>161</v>
      </c>
      <c r="J18081" t="s">
        <v>569</v>
      </c>
      <c r="K18081" t="s">
        <v>33</v>
      </c>
      <c r="L18081" t="s">
        <v>162</v>
      </c>
      <c r="N18081" t="s">
        <v>29</v>
      </c>
    </row>
    <row r="18082" spans="1:14">
      <c r="A18082" s="4" t="str">
        <f t="shared" si="1301"/>
        <v>EXP00438</v>
      </c>
      <c r="B18082" s="3" t="s">
        <v>66</v>
      </c>
      <c r="C18082" s="4" t="str">
        <f t="shared" si="1302"/>
        <v>TCGA-PRAD</v>
      </c>
      <c r="D18082" s="1" t="s">
        <v>493</v>
      </c>
      <c r="E18082" t="s">
        <v>571</v>
      </c>
      <c r="F18082" s="1">
        <v>2</v>
      </c>
      <c r="G18082" s="1" t="s">
        <v>28</v>
      </c>
      <c r="H18082" s="4" t="str">
        <f>HYPERLINK("https://portal.gdc.cancer.gov/cases/c039014f-821c-43d6-9d3c-914f9c8d98fa","TCGA-CH-5788-01A")</f>
        <v>TCGA-CH-5788-01A</v>
      </c>
      <c r="I18082" t="s">
        <v>161</v>
      </c>
      <c r="J18082" t="s">
        <v>569</v>
      </c>
      <c r="K18082" t="s">
        <v>33</v>
      </c>
      <c r="L18082" t="s">
        <v>162</v>
      </c>
      <c r="N18082" t="s">
        <v>29</v>
      </c>
    </row>
    <row r="18083" spans="1:14">
      <c r="A18083" s="4" t="str">
        <f t="shared" si="1301"/>
        <v>EXP00438</v>
      </c>
      <c r="B18083" s="3" t="s">
        <v>66</v>
      </c>
      <c r="C18083" s="4" t="str">
        <f t="shared" si="1302"/>
        <v>TCGA-PRAD</v>
      </c>
      <c r="D18083" s="1" t="s">
        <v>493</v>
      </c>
      <c r="E18083" t="s">
        <v>571</v>
      </c>
      <c r="F18083" s="1">
        <v>2</v>
      </c>
      <c r="G18083" s="1" t="s">
        <v>28</v>
      </c>
      <c r="H18083" s="4" t="str">
        <f>HYPERLINK("https://portal.gdc.cancer.gov/cases/be5411dc-3caa-4b25-9b94-ce463e8e52b4","TCGA-CH-5789-01A")</f>
        <v>TCGA-CH-5789-01A</v>
      </c>
      <c r="I18083" t="s">
        <v>161</v>
      </c>
      <c r="J18083" t="s">
        <v>569</v>
      </c>
      <c r="K18083" t="s">
        <v>33</v>
      </c>
      <c r="L18083" t="s">
        <v>162</v>
      </c>
      <c r="N18083" t="s">
        <v>29</v>
      </c>
    </row>
    <row r="18084" spans="1:14">
      <c r="A18084" s="4" t="str">
        <f t="shared" si="1301"/>
        <v>EXP00438</v>
      </c>
      <c r="B18084" s="3" t="s">
        <v>66</v>
      </c>
      <c r="C18084" s="4" t="str">
        <f t="shared" si="1302"/>
        <v>TCGA-PRAD</v>
      </c>
      <c r="D18084" s="1" t="s">
        <v>493</v>
      </c>
      <c r="E18084" t="s">
        <v>571</v>
      </c>
      <c r="F18084" s="1">
        <v>2</v>
      </c>
      <c r="G18084" s="1" t="s">
        <v>28</v>
      </c>
      <c r="H18084" s="4" t="str">
        <f>HYPERLINK("https://portal.gdc.cancer.gov/cases/2b5ef82d-e137-43f6-bfef-b202f20ee187","TCGA-CH-5790-01A")</f>
        <v>TCGA-CH-5790-01A</v>
      </c>
      <c r="I18084" t="s">
        <v>161</v>
      </c>
      <c r="J18084" t="s">
        <v>569</v>
      </c>
      <c r="K18084" t="s">
        <v>33</v>
      </c>
      <c r="L18084" t="s">
        <v>162</v>
      </c>
      <c r="N18084" t="s">
        <v>29</v>
      </c>
    </row>
    <row r="18085" spans="1:14">
      <c r="A18085" s="4" t="str">
        <f t="shared" si="1301"/>
        <v>EXP00438</v>
      </c>
      <c r="B18085" s="3" t="s">
        <v>66</v>
      </c>
      <c r="C18085" s="4" t="str">
        <f t="shared" si="1302"/>
        <v>TCGA-PRAD</v>
      </c>
      <c r="D18085" s="1" t="s">
        <v>493</v>
      </c>
      <c r="E18085" t="s">
        <v>571</v>
      </c>
      <c r="F18085" s="1">
        <v>2</v>
      </c>
      <c r="G18085" s="1" t="s">
        <v>28</v>
      </c>
      <c r="H18085" s="4" t="str">
        <f>HYPERLINK("https://portal.gdc.cancer.gov/cases/829bed0c-c40d-44fd-aee8-6c7589db60f9","TCGA-CH-5791-01A")</f>
        <v>TCGA-CH-5791-01A</v>
      </c>
      <c r="I18085" t="s">
        <v>161</v>
      </c>
      <c r="J18085" t="s">
        <v>569</v>
      </c>
      <c r="K18085" t="s">
        <v>33</v>
      </c>
      <c r="L18085" t="s">
        <v>162</v>
      </c>
      <c r="N18085" t="s">
        <v>29</v>
      </c>
    </row>
    <row r="18086" spans="1:14">
      <c r="A18086" s="4" t="str">
        <f t="shared" si="1301"/>
        <v>EXP00438</v>
      </c>
      <c r="B18086" s="3" t="s">
        <v>66</v>
      </c>
      <c r="C18086" s="4" t="str">
        <f t="shared" si="1302"/>
        <v>TCGA-PRAD</v>
      </c>
      <c r="D18086" s="1" t="s">
        <v>493</v>
      </c>
      <c r="E18086" t="s">
        <v>571</v>
      </c>
      <c r="F18086" s="1">
        <v>2</v>
      </c>
      <c r="G18086" s="1" t="s">
        <v>28</v>
      </c>
      <c r="H18086" s="4" t="str">
        <f>HYPERLINK("https://portal.gdc.cancer.gov/cases/8a5f2d7f-835c-4726-b238-f82d6a7f25bd","TCGA-CH-5792-01A")</f>
        <v>TCGA-CH-5792-01A</v>
      </c>
      <c r="I18086" t="s">
        <v>161</v>
      </c>
      <c r="J18086" t="s">
        <v>569</v>
      </c>
      <c r="K18086" t="s">
        <v>33</v>
      </c>
      <c r="L18086" t="s">
        <v>162</v>
      </c>
      <c r="N18086" t="s">
        <v>29</v>
      </c>
    </row>
    <row r="18087" spans="1:14">
      <c r="A18087" s="4" t="str">
        <f t="shared" si="1301"/>
        <v>EXP00438</v>
      </c>
      <c r="B18087" s="3" t="s">
        <v>66</v>
      </c>
      <c r="C18087" s="4" t="str">
        <f t="shared" si="1302"/>
        <v>TCGA-PRAD</v>
      </c>
      <c r="D18087" s="1" t="s">
        <v>493</v>
      </c>
      <c r="E18087" t="s">
        <v>571</v>
      </c>
      <c r="F18087" s="1">
        <v>2</v>
      </c>
      <c r="G18087" s="1" t="s">
        <v>28</v>
      </c>
      <c r="H18087" s="4" t="str">
        <f>HYPERLINK("https://portal.gdc.cancer.gov/cases/a80d3ee7-60dd-49bb-b049-9335afc035f5","TCGA-CH-5794-01A")</f>
        <v>TCGA-CH-5794-01A</v>
      </c>
      <c r="I18087" t="s">
        <v>161</v>
      </c>
      <c r="J18087" t="s">
        <v>569</v>
      </c>
      <c r="K18087" t="s">
        <v>33</v>
      </c>
      <c r="L18087" t="s">
        <v>162</v>
      </c>
      <c r="N18087" t="s">
        <v>29</v>
      </c>
    </row>
    <row r="18088" spans="1:14">
      <c r="A18088" s="4" t="str">
        <f t="shared" si="1301"/>
        <v>EXP00438</v>
      </c>
      <c r="B18088" s="3" t="s">
        <v>66</v>
      </c>
      <c r="C18088" s="4" t="str">
        <f t="shared" si="1302"/>
        <v>TCGA-PRAD</v>
      </c>
      <c r="D18088" s="1" t="s">
        <v>493</v>
      </c>
      <c r="E18088" t="s">
        <v>571</v>
      </c>
      <c r="F18088" s="1">
        <v>2</v>
      </c>
      <c r="G18088" s="1" t="s">
        <v>28</v>
      </c>
      <c r="H18088" s="4" t="str">
        <f>HYPERLINK("https://portal.gdc.cancer.gov/cases/e27c50e2-2a41-4f8c-9ef8-2bc51fb0c23e","TCGA-EJ-5494-01A")</f>
        <v>TCGA-EJ-5494-01A</v>
      </c>
      <c r="I18088" t="s">
        <v>161</v>
      </c>
      <c r="J18088" t="s">
        <v>569</v>
      </c>
      <c r="K18088" t="s">
        <v>33</v>
      </c>
      <c r="L18088" t="s">
        <v>162</v>
      </c>
      <c r="N18088" t="s">
        <v>29</v>
      </c>
    </row>
    <row r="18089" spans="1:14">
      <c r="A18089" s="4" t="str">
        <f t="shared" si="1301"/>
        <v>EXP00438</v>
      </c>
      <c r="B18089" s="3" t="s">
        <v>66</v>
      </c>
      <c r="C18089" s="4" t="str">
        <f t="shared" si="1302"/>
        <v>TCGA-PRAD</v>
      </c>
      <c r="D18089" s="1" t="s">
        <v>493</v>
      </c>
      <c r="E18089" t="s">
        <v>571</v>
      </c>
      <c r="F18089" s="1">
        <v>2</v>
      </c>
      <c r="G18089" s="1" t="s">
        <v>28</v>
      </c>
      <c r="H18089" s="4" t="str">
        <f>HYPERLINK("https://portal.gdc.cancer.gov/cases/962dd3d5-8501-4658-8cb9-2424b476124c","TCGA-EJ-5495-01A")</f>
        <v>TCGA-EJ-5495-01A</v>
      </c>
      <c r="I18089" t="s">
        <v>161</v>
      </c>
      <c r="J18089" t="s">
        <v>569</v>
      </c>
      <c r="K18089" t="s">
        <v>33</v>
      </c>
      <c r="L18089" t="s">
        <v>162</v>
      </c>
      <c r="N18089" t="s">
        <v>29</v>
      </c>
    </row>
    <row r="18090" spans="1:14">
      <c r="A18090" s="4" t="str">
        <f t="shared" si="1301"/>
        <v>EXP00438</v>
      </c>
      <c r="B18090" s="3" t="s">
        <v>66</v>
      </c>
      <c r="C18090" s="4" t="str">
        <f t="shared" si="1302"/>
        <v>TCGA-PRAD</v>
      </c>
      <c r="D18090" s="1" t="s">
        <v>493</v>
      </c>
      <c r="E18090" t="s">
        <v>571</v>
      </c>
      <c r="F18090" s="1">
        <v>2</v>
      </c>
      <c r="G18090" s="1" t="s">
        <v>28</v>
      </c>
      <c r="H18090" s="4" t="str">
        <f>HYPERLINK("https://portal.gdc.cancer.gov/cases/6755c231-355f-4cc3-85f1-6306c7f5d44b","TCGA-EJ-5496-01A")</f>
        <v>TCGA-EJ-5496-01A</v>
      </c>
      <c r="I18090" t="s">
        <v>161</v>
      </c>
      <c r="J18090" t="s">
        <v>569</v>
      </c>
      <c r="K18090" t="s">
        <v>33</v>
      </c>
      <c r="L18090" t="s">
        <v>162</v>
      </c>
      <c r="N18090" t="s">
        <v>29</v>
      </c>
    </row>
    <row r="18091" spans="1:14">
      <c r="A18091" s="4" t="str">
        <f t="shared" si="1301"/>
        <v>EXP00438</v>
      </c>
      <c r="B18091" s="3" t="s">
        <v>66</v>
      </c>
      <c r="C18091" s="4" t="str">
        <f t="shared" si="1302"/>
        <v>TCGA-PRAD</v>
      </c>
      <c r="D18091" s="1" t="s">
        <v>493</v>
      </c>
      <c r="E18091" t="s">
        <v>571</v>
      </c>
      <c r="F18091" s="1">
        <v>2</v>
      </c>
      <c r="G18091" s="1" t="s">
        <v>28</v>
      </c>
      <c r="H18091" s="4" t="str">
        <f>HYPERLINK("https://portal.gdc.cancer.gov/cases/dee02265-d8dd-4379-ae08-72d72b03a570","TCGA-EJ-5497-01A")</f>
        <v>TCGA-EJ-5497-01A</v>
      </c>
      <c r="I18091" t="s">
        <v>161</v>
      </c>
      <c r="J18091" t="s">
        <v>569</v>
      </c>
      <c r="K18091" t="s">
        <v>33</v>
      </c>
      <c r="L18091" t="s">
        <v>162</v>
      </c>
      <c r="N18091" t="s">
        <v>29</v>
      </c>
    </row>
    <row r="18092" spans="1:14">
      <c r="A18092" s="4" t="str">
        <f t="shared" si="1301"/>
        <v>EXP00438</v>
      </c>
      <c r="B18092" s="3" t="s">
        <v>66</v>
      </c>
      <c r="C18092" s="4" t="str">
        <f t="shared" si="1302"/>
        <v>TCGA-PRAD</v>
      </c>
      <c r="D18092" s="1" t="s">
        <v>493</v>
      </c>
      <c r="E18092" t="s">
        <v>571</v>
      </c>
      <c r="F18092" s="1">
        <v>2</v>
      </c>
      <c r="G18092" s="1" t="s">
        <v>28</v>
      </c>
      <c r="H18092" s="4" t="str">
        <f>HYPERLINK("https://portal.gdc.cancer.gov/cases/79ec7468-9aaf-4bb0-94c7-72be4f497868","TCGA-EJ-5498-01A")</f>
        <v>TCGA-EJ-5498-01A</v>
      </c>
      <c r="I18092" t="s">
        <v>161</v>
      </c>
      <c r="J18092" t="s">
        <v>569</v>
      </c>
      <c r="K18092" t="s">
        <v>33</v>
      </c>
      <c r="L18092" t="s">
        <v>162</v>
      </c>
      <c r="N18092" t="s">
        <v>29</v>
      </c>
    </row>
    <row r="18093" spans="1:14">
      <c r="A18093" s="4" t="str">
        <f t="shared" si="1301"/>
        <v>EXP00438</v>
      </c>
      <c r="B18093" s="3" t="s">
        <v>66</v>
      </c>
      <c r="C18093" s="4" t="str">
        <f t="shared" si="1302"/>
        <v>TCGA-PRAD</v>
      </c>
      <c r="D18093" s="1" t="s">
        <v>493</v>
      </c>
      <c r="E18093" t="s">
        <v>571</v>
      </c>
      <c r="F18093" s="1">
        <v>2</v>
      </c>
      <c r="G18093" s="1" t="s">
        <v>28</v>
      </c>
      <c r="H18093" s="4" t="str">
        <f>HYPERLINK("https://portal.gdc.cancer.gov/cases/fd1aa612-df86-4d48-892d-2acebd76ea96","TCGA-EJ-5499-01A")</f>
        <v>TCGA-EJ-5499-01A</v>
      </c>
      <c r="I18093" t="s">
        <v>161</v>
      </c>
      <c r="J18093" t="s">
        <v>569</v>
      </c>
      <c r="K18093" t="s">
        <v>33</v>
      </c>
      <c r="L18093" t="s">
        <v>162</v>
      </c>
      <c r="N18093" t="s">
        <v>29</v>
      </c>
    </row>
    <row r="18094" spans="1:14">
      <c r="A18094" s="4" t="str">
        <f t="shared" si="1301"/>
        <v>EXP00438</v>
      </c>
      <c r="B18094" s="3" t="s">
        <v>66</v>
      </c>
      <c r="C18094" s="4" t="str">
        <f t="shared" si="1302"/>
        <v>TCGA-PRAD</v>
      </c>
      <c r="D18094" s="1" t="s">
        <v>493</v>
      </c>
      <c r="E18094" t="s">
        <v>571</v>
      </c>
      <c r="F18094" s="1">
        <v>2</v>
      </c>
      <c r="G18094" s="1" t="s">
        <v>28</v>
      </c>
      <c r="H18094" s="4" t="str">
        <f>HYPERLINK("https://portal.gdc.cancer.gov/cases/8df0c1e8-966c-4f46-ad15-fae9e745a32e","TCGA-EJ-5501-01A")</f>
        <v>TCGA-EJ-5501-01A</v>
      </c>
      <c r="I18094" t="s">
        <v>161</v>
      </c>
      <c r="J18094" t="s">
        <v>569</v>
      </c>
      <c r="K18094" t="s">
        <v>33</v>
      </c>
      <c r="L18094" t="s">
        <v>162</v>
      </c>
      <c r="N18094" t="s">
        <v>29</v>
      </c>
    </row>
    <row r="18095" spans="1:14">
      <c r="A18095" s="4" t="str">
        <f t="shared" si="1301"/>
        <v>EXP00438</v>
      </c>
      <c r="B18095" s="3" t="s">
        <v>66</v>
      </c>
      <c r="C18095" s="4" t="str">
        <f t="shared" si="1302"/>
        <v>TCGA-PRAD</v>
      </c>
      <c r="D18095" s="1" t="s">
        <v>493</v>
      </c>
      <c r="E18095" t="s">
        <v>571</v>
      </c>
      <c r="F18095" s="1">
        <v>2</v>
      </c>
      <c r="G18095" s="1" t="s">
        <v>28</v>
      </c>
      <c r="H18095" s="4" t="str">
        <f>HYPERLINK("https://portal.gdc.cancer.gov/cases/48e83a4c-c602-494a-80cd-e2f4b4dd701e","TCGA-EJ-5502-01A")</f>
        <v>TCGA-EJ-5502-01A</v>
      </c>
      <c r="I18095" t="s">
        <v>161</v>
      </c>
      <c r="J18095" t="s">
        <v>569</v>
      </c>
      <c r="K18095" t="s">
        <v>33</v>
      </c>
      <c r="L18095" t="s">
        <v>162</v>
      </c>
      <c r="N18095" t="s">
        <v>29</v>
      </c>
    </row>
    <row r="18096" spans="1:14">
      <c r="A18096" s="4" t="str">
        <f t="shared" si="1301"/>
        <v>EXP00438</v>
      </c>
      <c r="B18096" s="3" t="s">
        <v>66</v>
      </c>
      <c r="C18096" s="4" t="str">
        <f t="shared" si="1302"/>
        <v>TCGA-PRAD</v>
      </c>
      <c r="D18096" s="1" t="s">
        <v>493</v>
      </c>
      <c r="E18096" t="s">
        <v>571</v>
      </c>
      <c r="F18096" s="1">
        <v>2</v>
      </c>
      <c r="G18096" s="1" t="s">
        <v>28</v>
      </c>
      <c r="H18096" s="4" t="str">
        <f>HYPERLINK("https://portal.gdc.cancer.gov/cases/aa252f78-ebf3-42f9-86af-bb6e57345706","TCGA-EJ-5503-01A")</f>
        <v>TCGA-EJ-5503-01A</v>
      </c>
      <c r="I18096" t="s">
        <v>161</v>
      </c>
      <c r="J18096" t="s">
        <v>569</v>
      </c>
      <c r="K18096" t="s">
        <v>33</v>
      </c>
      <c r="L18096" t="s">
        <v>162</v>
      </c>
      <c r="N18096" t="s">
        <v>29</v>
      </c>
    </row>
    <row r="18097" spans="1:14">
      <c r="A18097" s="4" t="str">
        <f t="shared" si="1301"/>
        <v>EXP00438</v>
      </c>
      <c r="B18097" s="3" t="s">
        <v>66</v>
      </c>
      <c r="C18097" s="4" t="str">
        <f t="shared" si="1302"/>
        <v>TCGA-PRAD</v>
      </c>
      <c r="D18097" s="1" t="s">
        <v>493</v>
      </c>
      <c r="E18097" t="s">
        <v>571</v>
      </c>
      <c r="F18097" s="1">
        <v>2</v>
      </c>
      <c r="G18097" s="1" t="s">
        <v>28</v>
      </c>
      <c r="H18097" s="4" t="str">
        <f>HYPERLINK("https://portal.gdc.cancer.gov/cases/e1c3d1bd-cf8f-4fa4-ac8e-bf9e54f7aad4","TCGA-EJ-5504-01A")</f>
        <v>TCGA-EJ-5504-01A</v>
      </c>
      <c r="I18097" t="s">
        <v>161</v>
      </c>
      <c r="J18097" t="s">
        <v>569</v>
      </c>
      <c r="K18097" t="s">
        <v>33</v>
      </c>
      <c r="L18097" t="s">
        <v>162</v>
      </c>
      <c r="N18097" t="s">
        <v>29</v>
      </c>
    </row>
    <row r="18098" spans="1:14">
      <c r="A18098" s="4" t="str">
        <f t="shared" si="1301"/>
        <v>EXP00438</v>
      </c>
      <c r="B18098" s="3" t="s">
        <v>66</v>
      </c>
      <c r="C18098" s="4" t="str">
        <f t="shared" si="1302"/>
        <v>TCGA-PRAD</v>
      </c>
      <c r="D18098" s="1" t="s">
        <v>493</v>
      </c>
      <c r="E18098" t="s">
        <v>571</v>
      </c>
      <c r="F18098" s="1">
        <v>2</v>
      </c>
      <c r="G18098" s="1" t="s">
        <v>28</v>
      </c>
      <c r="H18098" s="4" t="str">
        <f>HYPERLINK("https://portal.gdc.cancer.gov/cases/1ea3b879-5451-49fb-b930-16e9b5627f18","TCGA-EJ-5505-01A")</f>
        <v>TCGA-EJ-5505-01A</v>
      </c>
      <c r="I18098" t="s">
        <v>161</v>
      </c>
      <c r="J18098" t="s">
        <v>569</v>
      </c>
      <c r="K18098" t="s">
        <v>33</v>
      </c>
      <c r="L18098" t="s">
        <v>162</v>
      </c>
      <c r="N18098" t="s">
        <v>29</v>
      </c>
    </row>
    <row r="18099" spans="1:14">
      <c r="A18099" s="4" t="str">
        <f t="shared" si="1301"/>
        <v>EXP00438</v>
      </c>
      <c r="B18099" s="3" t="s">
        <v>66</v>
      </c>
      <c r="C18099" s="4" t="str">
        <f t="shared" si="1302"/>
        <v>TCGA-PRAD</v>
      </c>
      <c r="D18099" s="1" t="s">
        <v>493</v>
      </c>
      <c r="E18099" t="s">
        <v>571</v>
      </c>
      <c r="F18099" s="1">
        <v>2</v>
      </c>
      <c r="G18099" s="1" t="s">
        <v>28</v>
      </c>
      <c r="H18099" s="4" t="str">
        <f>HYPERLINK("https://portal.gdc.cancer.gov/cases/e5e4d3b6-8e58-4dcf-8f67-a00e656a8e27","TCGA-EJ-5506-01A")</f>
        <v>TCGA-EJ-5506-01A</v>
      </c>
      <c r="I18099" t="s">
        <v>161</v>
      </c>
      <c r="J18099" t="s">
        <v>569</v>
      </c>
      <c r="K18099" t="s">
        <v>33</v>
      </c>
      <c r="L18099" t="s">
        <v>162</v>
      </c>
      <c r="N18099" t="s">
        <v>29</v>
      </c>
    </row>
    <row r="18100" spans="1:14">
      <c r="A18100" s="4" t="str">
        <f t="shared" si="1301"/>
        <v>EXP00438</v>
      </c>
      <c r="B18100" s="3" t="s">
        <v>66</v>
      </c>
      <c r="C18100" s="4" t="str">
        <f t="shared" si="1302"/>
        <v>TCGA-PRAD</v>
      </c>
      <c r="D18100" s="1" t="s">
        <v>493</v>
      </c>
      <c r="E18100" t="s">
        <v>571</v>
      </c>
      <c r="F18100" s="1">
        <v>2</v>
      </c>
      <c r="G18100" s="1" t="s">
        <v>28</v>
      </c>
      <c r="H18100" s="4" t="str">
        <f>HYPERLINK("https://portal.gdc.cancer.gov/cases/607200f5-df80-4f5d-90fb-fdc455a7415b","TCGA-EJ-5507-01A")</f>
        <v>TCGA-EJ-5507-01A</v>
      </c>
      <c r="I18100" t="s">
        <v>161</v>
      </c>
      <c r="J18100" t="s">
        <v>569</v>
      </c>
      <c r="K18100" t="s">
        <v>33</v>
      </c>
      <c r="L18100" t="s">
        <v>162</v>
      </c>
      <c r="N18100" t="s">
        <v>29</v>
      </c>
    </row>
    <row r="18101" spans="1:14">
      <c r="A18101" s="4" t="str">
        <f t="shared" si="1301"/>
        <v>EXP00438</v>
      </c>
      <c r="B18101" s="3" t="s">
        <v>66</v>
      </c>
      <c r="C18101" s="4" t="str">
        <f t="shared" si="1302"/>
        <v>TCGA-PRAD</v>
      </c>
      <c r="D18101" s="1" t="s">
        <v>493</v>
      </c>
      <c r="E18101" t="s">
        <v>571</v>
      </c>
      <c r="F18101" s="1">
        <v>2</v>
      </c>
      <c r="G18101" s="1" t="s">
        <v>28</v>
      </c>
      <c r="H18101" s="4" t="str">
        <f>HYPERLINK("https://portal.gdc.cancer.gov/cases/bd18dd01-d894-4bdd-9ce2-e25705a52a57","TCGA-EJ-5508-01A")</f>
        <v>TCGA-EJ-5508-01A</v>
      </c>
      <c r="I18101" t="s">
        <v>161</v>
      </c>
      <c r="J18101" t="s">
        <v>569</v>
      </c>
      <c r="K18101" t="s">
        <v>33</v>
      </c>
      <c r="L18101" t="s">
        <v>162</v>
      </c>
      <c r="N18101" t="s">
        <v>29</v>
      </c>
    </row>
    <row r="18102" spans="1:14">
      <c r="A18102" s="4" t="str">
        <f t="shared" si="1301"/>
        <v>EXP00438</v>
      </c>
      <c r="B18102" s="3" t="s">
        <v>66</v>
      </c>
      <c r="C18102" s="4" t="str">
        <f t="shared" si="1302"/>
        <v>TCGA-PRAD</v>
      </c>
      <c r="D18102" s="1" t="s">
        <v>493</v>
      </c>
      <c r="E18102" t="s">
        <v>571</v>
      </c>
      <c r="F18102" s="1">
        <v>2</v>
      </c>
      <c r="G18102" s="1" t="s">
        <v>28</v>
      </c>
      <c r="H18102" s="4" t="str">
        <f>HYPERLINK("https://portal.gdc.cancer.gov/cases/13ce70a8-785c-4b59-b073-41922cb201f9","TCGA-EJ-5509-01A")</f>
        <v>TCGA-EJ-5509-01A</v>
      </c>
      <c r="I18102" t="s">
        <v>161</v>
      </c>
      <c r="J18102" t="s">
        <v>569</v>
      </c>
      <c r="K18102" t="s">
        <v>33</v>
      </c>
      <c r="L18102" t="s">
        <v>162</v>
      </c>
      <c r="N18102" t="s">
        <v>29</v>
      </c>
    </row>
    <row r="18103" spans="1:14">
      <c r="A18103" s="4" t="str">
        <f t="shared" si="1301"/>
        <v>EXP00438</v>
      </c>
      <c r="B18103" s="3" t="s">
        <v>66</v>
      </c>
      <c r="C18103" s="4" t="str">
        <f t="shared" si="1302"/>
        <v>TCGA-PRAD</v>
      </c>
      <c r="D18103" s="1" t="s">
        <v>493</v>
      </c>
      <c r="E18103" t="s">
        <v>571</v>
      </c>
      <c r="F18103" s="1">
        <v>2</v>
      </c>
      <c r="G18103" s="1" t="s">
        <v>28</v>
      </c>
      <c r="H18103" s="4" t="str">
        <f>HYPERLINK("https://portal.gdc.cancer.gov/cases/4a3d9efe-f24e-4135-8a70-e202651e7a81","TCGA-EJ-5510-01A")</f>
        <v>TCGA-EJ-5510-01A</v>
      </c>
      <c r="I18103" t="s">
        <v>161</v>
      </c>
      <c r="J18103" t="s">
        <v>569</v>
      </c>
      <c r="K18103" t="s">
        <v>33</v>
      </c>
      <c r="L18103" t="s">
        <v>162</v>
      </c>
      <c r="N18103" t="s">
        <v>29</v>
      </c>
    </row>
    <row r="18104" spans="1:14">
      <c r="A18104" s="4" t="str">
        <f t="shared" si="1301"/>
        <v>EXP00438</v>
      </c>
      <c r="B18104" s="3" t="s">
        <v>66</v>
      </c>
      <c r="C18104" s="4" t="str">
        <f t="shared" si="1302"/>
        <v>TCGA-PRAD</v>
      </c>
      <c r="D18104" s="1" t="s">
        <v>493</v>
      </c>
      <c r="E18104" t="s">
        <v>571</v>
      </c>
      <c r="F18104" s="1">
        <v>2</v>
      </c>
      <c r="G18104" s="1" t="s">
        <v>28</v>
      </c>
      <c r="H18104" s="4" t="str">
        <f>HYPERLINK("https://portal.gdc.cancer.gov/cases/f8a42feb-fbc9-4a13-bad5-1dcefca2a9bf","TCGA-EJ-5511-01A")</f>
        <v>TCGA-EJ-5511-01A</v>
      </c>
      <c r="I18104" t="s">
        <v>161</v>
      </c>
      <c r="J18104" t="s">
        <v>569</v>
      </c>
      <c r="K18104" t="s">
        <v>33</v>
      </c>
      <c r="L18104" t="s">
        <v>162</v>
      </c>
      <c r="N18104" t="s">
        <v>29</v>
      </c>
    </row>
    <row r="18105" spans="1:14">
      <c r="A18105" s="4" t="str">
        <f t="shared" si="1301"/>
        <v>EXP00438</v>
      </c>
      <c r="B18105" s="3" t="s">
        <v>66</v>
      </c>
      <c r="C18105" s="4" t="str">
        <f t="shared" si="1302"/>
        <v>TCGA-PRAD</v>
      </c>
      <c r="D18105" s="1" t="s">
        <v>493</v>
      </c>
      <c r="E18105" t="s">
        <v>571</v>
      </c>
      <c r="F18105" s="1">
        <v>2</v>
      </c>
      <c r="G18105" s="1" t="s">
        <v>28</v>
      </c>
      <c r="H18105" s="4" t="str">
        <f>HYPERLINK("https://portal.gdc.cancer.gov/cases/c28f931f-5ab2-4899-9fe9-54024f082d92","TCGA-EJ-5512-01A")</f>
        <v>TCGA-EJ-5512-01A</v>
      </c>
      <c r="I18105" t="s">
        <v>161</v>
      </c>
      <c r="J18105" t="s">
        <v>569</v>
      </c>
      <c r="K18105" t="s">
        <v>33</v>
      </c>
      <c r="L18105" t="s">
        <v>162</v>
      </c>
      <c r="N18105" t="s">
        <v>29</v>
      </c>
    </row>
    <row r="18106" spans="1:14">
      <c r="A18106" s="4" t="str">
        <f t="shared" si="1301"/>
        <v>EXP00438</v>
      </c>
      <c r="B18106" s="3" t="s">
        <v>66</v>
      </c>
      <c r="C18106" s="4" t="str">
        <f t="shared" si="1302"/>
        <v>TCGA-PRAD</v>
      </c>
      <c r="D18106" s="1" t="s">
        <v>493</v>
      </c>
      <c r="E18106" t="s">
        <v>571</v>
      </c>
      <c r="F18106" s="1">
        <v>2</v>
      </c>
      <c r="G18106" s="1" t="s">
        <v>28</v>
      </c>
      <c r="H18106" s="4" t="str">
        <f>HYPERLINK("https://portal.gdc.cancer.gov/cases/f82d53b1-3df8-4249-a615-464c9f4e0a32","TCGA-EJ-5514-01A")</f>
        <v>TCGA-EJ-5514-01A</v>
      </c>
      <c r="I18106" t="s">
        <v>161</v>
      </c>
      <c r="J18106" t="s">
        <v>569</v>
      </c>
      <c r="K18106" t="s">
        <v>33</v>
      </c>
      <c r="L18106" t="s">
        <v>162</v>
      </c>
      <c r="N18106" t="s">
        <v>29</v>
      </c>
    </row>
    <row r="18107" spans="1:14">
      <c r="A18107" s="4" t="str">
        <f t="shared" si="1301"/>
        <v>EXP00438</v>
      </c>
      <c r="B18107" s="3" t="s">
        <v>66</v>
      </c>
      <c r="C18107" s="4" t="str">
        <f t="shared" si="1302"/>
        <v>TCGA-PRAD</v>
      </c>
      <c r="D18107" s="1" t="s">
        <v>493</v>
      </c>
      <c r="E18107" t="s">
        <v>571</v>
      </c>
      <c r="F18107" s="1">
        <v>2</v>
      </c>
      <c r="G18107" s="1" t="s">
        <v>28</v>
      </c>
      <c r="H18107" s="4" t="str">
        <f>HYPERLINK("https://portal.gdc.cancer.gov/cases/19cf56b2-a85b-43e7-971f-5680b9b1a67a","TCGA-EJ-5515-01A")</f>
        <v>TCGA-EJ-5515-01A</v>
      </c>
      <c r="I18107" t="s">
        <v>161</v>
      </c>
      <c r="J18107" t="s">
        <v>569</v>
      </c>
      <c r="K18107" t="s">
        <v>33</v>
      </c>
      <c r="L18107" t="s">
        <v>162</v>
      </c>
      <c r="N18107" t="s">
        <v>29</v>
      </c>
    </row>
    <row r="18108" spans="1:14">
      <c r="A18108" s="4" t="str">
        <f t="shared" si="1301"/>
        <v>EXP00438</v>
      </c>
      <c r="B18108" s="3" t="s">
        <v>66</v>
      </c>
      <c r="C18108" s="4" t="str">
        <f t="shared" si="1302"/>
        <v>TCGA-PRAD</v>
      </c>
      <c r="D18108" s="1" t="s">
        <v>493</v>
      </c>
      <c r="E18108" t="s">
        <v>571</v>
      </c>
      <c r="F18108" s="1">
        <v>2</v>
      </c>
      <c r="G18108" s="1" t="s">
        <v>28</v>
      </c>
      <c r="H18108" s="4" t="str">
        <f>HYPERLINK("https://portal.gdc.cancer.gov/cases/1fd06207-54e0-4aba-819c-c7f671871f39","TCGA-EJ-5516-01A")</f>
        <v>TCGA-EJ-5516-01A</v>
      </c>
      <c r="I18108" t="s">
        <v>161</v>
      </c>
      <c r="J18108" t="s">
        <v>569</v>
      </c>
      <c r="K18108" t="s">
        <v>33</v>
      </c>
      <c r="L18108" t="s">
        <v>162</v>
      </c>
      <c r="N18108" t="s">
        <v>29</v>
      </c>
    </row>
    <row r="18109" spans="1:14">
      <c r="A18109" s="4" t="str">
        <f t="shared" si="1301"/>
        <v>EXP00438</v>
      </c>
      <c r="B18109" s="3" t="s">
        <v>66</v>
      </c>
      <c r="C18109" s="4" t="str">
        <f t="shared" si="1302"/>
        <v>TCGA-PRAD</v>
      </c>
      <c r="D18109" s="1" t="s">
        <v>493</v>
      </c>
      <c r="E18109" t="s">
        <v>571</v>
      </c>
      <c r="F18109" s="1">
        <v>2</v>
      </c>
      <c r="G18109" s="1" t="s">
        <v>28</v>
      </c>
      <c r="H18109" s="4" t="str">
        <f>HYPERLINK("https://portal.gdc.cancer.gov/cases/4b9aa301-d2e3-47f3-b724-a34f420b2b6b","TCGA-EJ-5517-01A")</f>
        <v>TCGA-EJ-5517-01A</v>
      </c>
      <c r="I18109" t="s">
        <v>161</v>
      </c>
      <c r="J18109" t="s">
        <v>569</v>
      </c>
      <c r="K18109" t="s">
        <v>33</v>
      </c>
      <c r="L18109" t="s">
        <v>162</v>
      </c>
      <c r="N18109" t="s">
        <v>29</v>
      </c>
    </row>
    <row r="18110" spans="1:14">
      <c r="A18110" s="4" t="str">
        <f t="shared" si="1301"/>
        <v>EXP00438</v>
      </c>
      <c r="B18110" s="3" t="s">
        <v>66</v>
      </c>
      <c r="C18110" s="4" t="str">
        <f t="shared" si="1302"/>
        <v>TCGA-PRAD</v>
      </c>
      <c r="D18110" s="1" t="s">
        <v>493</v>
      </c>
      <c r="E18110" t="s">
        <v>571</v>
      </c>
      <c r="F18110" s="1">
        <v>2</v>
      </c>
      <c r="G18110" s="1" t="s">
        <v>28</v>
      </c>
      <c r="H18110" s="4" t="str">
        <f>HYPERLINK("https://portal.gdc.cancer.gov/cases/2b35c119-cdc1-49e2-8229-ca5cde9e63d0","TCGA-EJ-5518-01A")</f>
        <v>TCGA-EJ-5518-01A</v>
      </c>
      <c r="I18110" t="s">
        <v>161</v>
      </c>
      <c r="J18110" t="s">
        <v>569</v>
      </c>
      <c r="K18110" t="s">
        <v>33</v>
      </c>
      <c r="L18110" t="s">
        <v>162</v>
      </c>
      <c r="N18110" t="s">
        <v>29</v>
      </c>
    </row>
    <row r="18111" spans="1:14">
      <c r="A18111" s="4" t="str">
        <f t="shared" si="1301"/>
        <v>EXP00438</v>
      </c>
      <c r="B18111" s="3" t="s">
        <v>66</v>
      </c>
      <c r="C18111" s="4" t="str">
        <f t="shared" si="1302"/>
        <v>TCGA-PRAD</v>
      </c>
      <c r="D18111" s="1" t="s">
        <v>493</v>
      </c>
      <c r="E18111" t="s">
        <v>571</v>
      </c>
      <c r="F18111" s="1">
        <v>2</v>
      </c>
      <c r="G18111" s="1" t="s">
        <v>28</v>
      </c>
      <c r="H18111" s="4" t="str">
        <f>HYPERLINK("https://portal.gdc.cancer.gov/cases/5313a055-c2d7-4cbd-a8c1-57ac85912d89","TCGA-EJ-5519-01A")</f>
        <v>TCGA-EJ-5519-01A</v>
      </c>
      <c r="I18111" t="s">
        <v>161</v>
      </c>
      <c r="J18111" t="s">
        <v>569</v>
      </c>
      <c r="K18111" t="s">
        <v>33</v>
      </c>
      <c r="L18111" t="s">
        <v>162</v>
      </c>
      <c r="N18111" t="s">
        <v>29</v>
      </c>
    </row>
    <row r="18112" spans="1:14">
      <c r="A18112" s="4" t="str">
        <f t="shared" si="1301"/>
        <v>EXP00438</v>
      </c>
      <c r="B18112" s="3" t="s">
        <v>66</v>
      </c>
      <c r="C18112" s="4" t="str">
        <f t="shared" si="1302"/>
        <v>TCGA-PRAD</v>
      </c>
      <c r="D18112" s="1" t="s">
        <v>493</v>
      </c>
      <c r="E18112" t="s">
        <v>571</v>
      </c>
      <c r="F18112" s="1">
        <v>2</v>
      </c>
      <c r="G18112" s="1" t="s">
        <v>28</v>
      </c>
      <c r="H18112" s="4" t="str">
        <f>HYPERLINK("https://portal.gdc.cancer.gov/cases/d44d4bcb-beb1-4464-acd2-9972751f5018","TCGA-EJ-5521-01A")</f>
        <v>TCGA-EJ-5521-01A</v>
      </c>
      <c r="I18112" t="s">
        <v>161</v>
      </c>
      <c r="J18112" t="s">
        <v>569</v>
      </c>
      <c r="K18112" t="s">
        <v>33</v>
      </c>
      <c r="L18112" t="s">
        <v>162</v>
      </c>
      <c r="N18112" t="s">
        <v>29</v>
      </c>
    </row>
    <row r="18113" spans="1:14">
      <c r="A18113" s="4" t="str">
        <f t="shared" si="1301"/>
        <v>EXP00438</v>
      </c>
      <c r="B18113" s="3" t="s">
        <v>66</v>
      </c>
      <c r="C18113" s="4" t="str">
        <f t="shared" si="1302"/>
        <v>TCGA-PRAD</v>
      </c>
      <c r="D18113" s="1" t="s">
        <v>493</v>
      </c>
      <c r="E18113" t="s">
        <v>571</v>
      </c>
      <c r="F18113" s="1">
        <v>2</v>
      </c>
      <c r="G18113" s="1" t="s">
        <v>28</v>
      </c>
      <c r="H18113" s="4" t="str">
        <f>HYPERLINK("https://portal.gdc.cancer.gov/cases/214884ef-a932-4fc3-b6ff-16ce5164da3e","TCGA-EJ-5522-01A")</f>
        <v>TCGA-EJ-5522-01A</v>
      </c>
      <c r="I18113" t="s">
        <v>161</v>
      </c>
      <c r="J18113" t="s">
        <v>569</v>
      </c>
      <c r="K18113" t="s">
        <v>33</v>
      </c>
      <c r="L18113" t="s">
        <v>162</v>
      </c>
      <c r="N18113" t="s">
        <v>29</v>
      </c>
    </row>
    <row r="18114" spans="1:14">
      <c r="A18114" s="4" t="str">
        <f t="shared" si="1301"/>
        <v>EXP00438</v>
      </c>
      <c r="B18114" s="3" t="s">
        <v>66</v>
      </c>
      <c r="C18114" s="4" t="str">
        <f t="shared" si="1302"/>
        <v>TCGA-PRAD</v>
      </c>
      <c r="D18114" s="1" t="s">
        <v>493</v>
      </c>
      <c r="E18114" t="s">
        <v>571</v>
      </c>
      <c r="F18114" s="1">
        <v>2</v>
      </c>
      <c r="G18114" s="1" t="s">
        <v>28</v>
      </c>
      <c r="H18114" s="4" t="str">
        <f>HYPERLINK("https://portal.gdc.cancer.gov/cases/4048c139-1329-4e6a-8d2f-c0aa104a68ee","TCGA-EJ-5524-01A")</f>
        <v>TCGA-EJ-5524-01A</v>
      </c>
      <c r="I18114" t="s">
        <v>161</v>
      </c>
      <c r="J18114" t="s">
        <v>569</v>
      </c>
      <c r="K18114" t="s">
        <v>33</v>
      </c>
      <c r="L18114" t="s">
        <v>162</v>
      </c>
      <c r="N18114" t="s">
        <v>29</v>
      </c>
    </row>
    <row r="18115" spans="1:14">
      <c r="A18115" s="4" t="str">
        <f t="shared" si="1301"/>
        <v>EXP00438</v>
      </c>
      <c r="B18115" s="3" t="s">
        <v>66</v>
      </c>
      <c r="C18115" s="4" t="str">
        <f t="shared" si="1302"/>
        <v>TCGA-PRAD</v>
      </c>
      <c r="D18115" s="1" t="s">
        <v>493</v>
      </c>
      <c r="E18115" t="s">
        <v>571</v>
      </c>
      <c r="F18115" s="1">
        <v>2</v>
      </c>
      <c r="G18115" s="1" t="s">
        <v>28</v>
      </c>
      <c r="H18115" s="4" t="str">
        <f>HYPERLINK("https://portal.gdc.cancer.gov/cases/554a7381-46fd-4301-b91b-5af7f173c350","TCGA-EJ-5525-01A")</f>
        <v>TCGA-EJ-5525-01A</v>
      </c>
      <c r="I18115" t="s">
        <v>161</v>
      </c>
      <c r="J18115" t="s">
        <v>569</v>
      </c>
      <c r="K18115" t="s">
        <v>33</v>
      </c>
      <c r="L18115" t="s">
        <v>162</v>
      </c>
      <c r="N18115" t="s">
        <v>29</v>
      </c>
    </row>
    <row r="18116" spans="1:14">
      <c r="A18116" s="4" t="str">
        <f t="shared" si="1301"/>
        <v>EXP00438</v>
      </c>
      <c r="B18116" s="3" t="s">
        <v>66</v>
      </c>
      <c r="C18116" s="4" t="str">
        <f t="shared" si="1302"/>
        <v>TCGA-PRAD</v>
      </c>
      <c r="D18116" s="1" t="s">
        <v>493</v>
      </c>
      <c r="E18116" t="s">
        <v>571</v>
      </c>
      <c r="F18116" s="1">
        <v>2</v>
      </c>
      <c r="G18116" s="1" t="s">
        <v>28</v>
      </c>
      <c r="H18116" s="4" t="str">
        <f>HYPERLINK("https://portal.gdc.cancer.gov/cases/eec48399-5660-4b25-8d34-191b54315c72","TCGA-EJ-5526-01A")</f>
        <v>TCGA-EJ-5526-01A</v>
      </c>
      <c r="I18116" t="s">
        <v>161</v>
      </c>
      <c r="J18116" t="s">
        <v>569</v>
      </c>
      <c r="K18116" t="s">
        <v>33</v>
      </c>
      <c r="L18116" t="s">
        <v>162</v>
      </c>
      <c r="N18116" t="s">
        <v>29</v>
      </c>
    </row>
    <row r="18117" spans="1:14">
      <c r="A18117" s="4" t="str">
        <f t="shared" si="1301"/>
        <v>EXP00438</v>
      </c>
      <c r="B18117" s="3" t="s">
        <v>66</v>
      </c>
      <c r="C18117" s="4" t="str">
        <f t="shared" si="1302"/>
        <v>TCGA-PRAD</v>
      </c>
      <c r="D18117" s="1" t="s">
        <v>493</v>
      </c>
      <c r="E18117" t="s">
        <v>571</v>
      </c>
      <c r="F18117" s="1">
        <v>2</v>
      </c>
      <c r="G18117" s="1" t="s">
        <v>28</v>
      </c>
      <c r="H18117" s="4" t="str">
        <f>HYPERLINK("https://portal.gdc.cancer.gov/cases/ba0c9096-5f35-4f0a-ae98-ee1a695b55f0","TCGA-EJ-5527-01A")</f>
        <v>TCGA-EJ-5527-01A</v>
      </c>
      <c r="I18117" t="s">
        <v>161</v>
      </c>
      <c r="J18117" t="s">
        <v>569</v>
      </c>
      <c r="K18117" t="s">
        <v>33</v>
      </c>
      <c r="L18117" t="s">
        <v>162</v>
      </c>
      <c r="N18117" t="s">
        <v>29</v>
      </c>
    </row>
    <row r="18118" spans="1:14">
      <c r="A18118" s="4" t="str">
        <f t="shared" si="1301"/>
        <v>EXP00438</v>
      </c>
      <c r="B18118" s="3" t="s">
        <v>66</v>
      </c>
      <c r="C18118" s="4" t="str">
        <f t="shared" si="1302"/>
        <v>TCGA-PRAD</v>
      </c>
      <c r="D18118" s="1" t="s">
        <v>493</v>
      </c>
      <c r="E18118" t="s">
        <v>571</v>
      </c>
      <c r="F18118" s="1">
        <v>2</v>
      </c>
      <c r="G18118" s="1" t="s">
        <v>28</v>
      </c>
      <c r="H18118" s="4" t="str">
        <f>HYPERLINK("https://portal.gdc.cancer.gov/cases/e4a755e3-4938-4321-b5a9-27a445036791","TCGA-EJ-5530-01A")</f>
        <v>TCGA-EJ-5530-01A</v>
      </c>
      <c r="I18118" t="s">
        <v>161</v>
      </c>
      <c r="J18118" t="s">
        <v>569</v>
      </c>
      <c r="K18118" t="s">
        <v>33</v>
      </c>
      <c r="L18118" t="s">
        <v>162</v>
      </c>
      <c r="N18118" t="s">
        <v>29</v>
      </c>
    </row>
    <row r="18119" spans="1:14">
      <c r="A18119" s="4" t="str">
        <f t="shared" si="1301"/>
        <v>EXP00438</v>
      </c>
      <c r="B18119" s="3" t="s">
        <v>66</v>
      </c>
      <c r="C18119" s="4" t="str">
        <f t="shared" si="1302"/>
        <v>TCGA-PRAD</v>
      </c>
      <c r="D18119" s="1" t="s">
        <v>493</v>
      </c>
      <c r="E18119" t="s">
        <v>571</v>
      </c>
      <c r="F18119" s="1">
        <v>2</v>
      </c>
      <c r="G18119" s="1" t="s">
        <v>28</v>
      </c>
      <c r="H18119" s="4" t="str">
        <f>HYPERLINK("https://portal.gdc.cancer.gov/cases/adf3c2f7-d5f9-41c3-bd8c-7f9f1f22ff73","TCGA-EJ-5531-01A")</f>
        <v>TCGA-EJ-5531-01A</v>
      </c>
      <c r="I18119" t="s">
        <v>161</v>
      </c>
      <c r="J18119" t="s">
        <v>569</v>
      </c>
      <c r="K18119" t="s">
        <v>33</v>
      </c>
      <c r="L18119" t="s">
        <v>162</v>
      </c>
      <c r="N18119" t="s">
        <v>29</v>
      </c>
    </row>
    <row r="18120" spans="1:14">
      <c r="A18120" s="4" t="str">
        <f t="shared" si="1301"/>
        <v>EXP00438</v>
      </c>
      <c r="B18120" s="3" t="s">
        <v>66</v>
      </c>
      <c r="C18120" s="4" t="str">
        <f t="shared" si="1302"/>
        <v>TCGA-PRAD</v>
      </c>
      <c r="D18120" s="1" t="s">
        <v>493</v>
      </c>
      <c r="E18120" t="s">
        <v>571</v>
      </c>
      <c r="F18120" s="1">
        <v>2</v>
      </c>
      <c r="G18120" s="1" t="s">
        <v>28</v>
      </c>
      <c r="H18120" s="4" t="str">
        <f>HYPERLINK("https://portal.gdc.cancer.gov/cases/ae3a0c92-148d-4f1c-8563-06ac1050f53e","TCGA-EJ-5532-01A")</f>
        <v>TCGA-EJ-5532-01A</v>
      </c>
      <c r="I18120" t="s">
        <v>161</v>
      </c>
      <c r="J18120" t="s">
        <v>569</v>
      </c>
      <c r="K18120" t="s">
        <v>33</v>
      </c>
      <c r="L18120" t="s">
        <v>162</v>
      </c>
      <c r="N18120" t="s">
        <v>29</v>
      </c>
    </row>
    <row r="18121" spans="1:14">
      <c r="A18121" s="4" t="str">
        <f t="shared" si="1301"/>
        <v>EXP00438</v>
      </c>
      <c r="B18121" s="3" t="s">
        <v>66</v>
      </c>
      <c r="C18121" s="4" t="str">
        <f t="shared" si="1302"/>
        <v>TCGA-PRAD</v>
      </c>
      <c r="D18121" s="1" t="s">
        <v>493</v>
      </c>
      <c r="E18121" t="s">
        <v>571</v>
      </c>
      <c r="F18121" s="1">
        <v>2</v>
      </c>
      <c r="G18121" s="1" t="s">
        <v>28</v>
      </c>
      <c r="H18121" s="4" t="str">
        <f>HYPERLINK("https://portal.gdc.cancer.gov/cases/5a92ec4c-36ee-4588-aca2-e3303f29c7ad","TCGA-EJ-5542-01A")</f>
        <v>TCGA-EJ-5542-01A</v>
      </c>
      <c r="I18121" t="s">
        <v>161</v>
      </c>
      <c r="J18121" t="s">
        <v>569</v>
      </c>
      <c r="K18121" t="s">
        <v>33</v>
      </c>
      <c r="L18121" t="s">
        <v>162</v>
      </c>
      <c r="N18121" t="s">
        <v>29</v>
      </c>
    </row>
    <row r="18122" spans="1:14">
      <c r="A18122" s="4" t="str">
        <f t="shared" ref="A18122:A18185" si="1303">HYPERLINK("http://hcmdb.i-sanger.com/experiment/details/experiment_id/EXP00438","EXP00438")</f>
        <v>EXP00438</v>
      </c>
      <c r="B18122" s="3" t="s">
        <v>66</v>
      </c>
      <c r="C18122" s="4" t="str">
        <f t="shared" si="1302"/>
        <v>TCGA-PRAD</v>
      </c>
      <c r="D18122" s="1" t="s">
        <v>493</v>
      </c>
      <c r="E18122" t="s">
        <v>571</v>
      </c>
      <c r="F18122" s="1">
        <v>2</v>
      </c>
      <c r="G18122" s="1" t="s">
        <v>28</v>
      </c>
      <c r="H18122" s="4" t="str">
        <f>HYPERLINK("https://portal.gdc.cancer.gov/cases/c606918f-e8c0-4019-ad6f-47d5cd7615c4","TCGA-EJ-7115-01A")</f>
        <v>TCGA-EJ-7115-01A</v>
      </c>
      <c r="I18122" t="s">
        <v>161</v>
      </c>
      <c r="J18122" t="s">
        <v>569</v>
      </c>
      <c r="K18122" t="s">
        <v>33</v>
      </c>
      <c r="L18122" t="s">
        <v>162</v>
      </c>
      <c r="N18122" t="s">
        <v>29</v>
      </c>
    </row>
    <row r="18123" spans="1:14">
      <c r="A18123" s="4" t="str">
        <f t="shared" si="1303"/>
        <v>EXP00438</v>
      </c>
      <c r="B18123" s="3" t="s">
        <v>66</v>
      </c>
      <c r="C18123" s="4" t="str">
        <f t="shared" si="1302"/>
        <v>TCGA-PRAD</v>
      </c>
      <c r="D18123" s="1" t="s">
        <v>493</v>
      </c>
      <c r="E18123" t="s">
        <v>571</v>
      </c>
      <c r="F18123" s="1">
        <v>2</v>
      </c>
      <c r="G18123" s="1" t="s">
        <v>28</v>
      </c>
      <c r="H18123" s="4" t="str">
        <f>HYPERLINK("https://portal.gdc.cancer.gov/cases/9519be01-d78d-462c-8a95-34149538afeb","TCGA-EJ-7123-01A")</f>
        <v>TCGA-EJ-7123-01A</v>
      </c>
      <c r="I18123" t="s">
        <v>161</v>
      </c>
      <c r="J18123" t="s">
        <v>569</v>
      </c>
      <c r="K18123" t="s">
        <v>33</v>
      </c>
      <c r="L18123" t="s">
        <v>162</v>
      </c>
      <c r="N18123" t="s">
        <v>29</v>
      </c>
    </row>
    <row r="18124" spans="1:14">
      <c r="A18124" s="4" t="str">
        <f t="shared" si="1303"/>
        <v>EXP00438</v>
      </c>
      <c r="B18124" s="3" t="s">
        <v>66</v>
      </c>
      <c r="C18124" s="4" t="str">
        <f t="shared" si="1302"/>
        <v>TCGA-PRAD</v>
      </c>
      <c r="D18124" s="1" t="s">
        <v>493</v>
      </c>
      <c r="E18124" t="s">
        <v>571</v>
      </c>
      <c r="F18124" s="1">
        <v>2</v>
      </c>
      <c r="G18124" s="1" t="s">
        <v>28</v>
      </c>
      <c r="H18124" s="4" t="str">
        <f>HYPERLINK("https://portal.gdc.cancer.gov/cases/aca312ab-6dbd-4183-8b22-8f37834f3426","TCGA-EJ-7125-01A")</f>
        <v>TCGA-EJ-7125-01A</v>
      </c>
      <c r="I18124" t="s">
        <v>161</v>
      </c>
      <c r="J18124" t="s">
        <v>569</v>
      </c>
      <c r="K18124" t="s">
        <v>33</v>
      </c>
      <c r="L18124" t="s">
        <v>162</v>
      </c>
      <c r="N18124" t="s">
        <v>29</v>
      </c>
    </row>
    <row r="18125" spans="1:14">
      <c r="A18125" s="4" t="str">
        <f t="shared" si="1303"/>
        <v>EXP00438</v>
      </c>
      <c r="B18125" s="3" t="s">
        <v>66</v>
      </c>
      <c r="C18125" s="4" t="str">
        <f t="shared" si="1302"/>
        <v>TCGA-PRAD</v>
      </c>
      <c r="D18125" s="1" t="s">
        <v>493</v>
      </c>
      <c r="E18125" t="s">
        <v>571</v>
      </c>
      <c r="F18125" s="1">
        <v>2</v>
      </c>
      <c r="G18125" s="1" t="s">
        <v>28</v>
      </c>
      <c r="H18125" s="4" t="str">
        <f>HYPERLINK("https://portal.gdc.cancer.gov/cases/d7763066-fb06-4519-9188-5de7dd12fdb7","TCGA-EJ-7218-01B")</f>
        <v>TCGA-EJ-7218-01B</v>
      </c>
      <c r="I18125" t="s">
        <v>161</v>
      </c>
      <c r="J18125" t="s">
        <v>569</v>
      </c>
      <c r="K18125" t="s">
        <v>33</v>
      </c>
      <c r="L18125" t="s">
        <v>162</v>
      </c>
      <c r="N18125" t="s">
        <v>29</v>
      </c>
    </row>
    <row r="18126" spans="1:14">
      <c r="A18126" s="4" t="str">
        <f t="shared" si="1303"/>
        <v>EXP00438</v>
      </c>
      <c r="B18126" s="3" t="s">
        <v>66</v>
      </c>
      <c r="C18126" s="4" t="str">
        <f t="shared" si="1302"/>
        <v>TCGA-PRAD</v>
      </c>
      <c r="D18126" s="1" t="s">
        <v>493</v>
      </c>
      <c r="E18126" t="s">
        <v>571</v>
      </c>
      <c r="F18126" s="1">
        <v>2</v>
      </c>
      <c r="G18126" s="1" t="s">
        <v>28</v>
      </c>
      <c r="H18126" s="4" t="str">
        <f>HYPERLINK("https://portal.gdc.cancer.gov/cases/00dda860-53c3-4ab2-8294-73e291adf9d2","TCGA-EJ-7312-01B")</f>
        <v>TCGA-EJ-7312-01B</v>
      </c>
      <c r="I18126" t="s">
        <v>161</v>
      </c>
      <c r="J18126" t="s">
        <v>569</v>
      </c>
      <c r="K18126" t="s">
        <v>33</v>
      </c>
      <c r="L18126" t="s">
        <v>162</v>
      </c>
      <c r="N18126" t="s">
        <v>29</v>
      </c>
    </row>
    <row r="18127" spans="1:14">
      <c r="A18127" s="4" t="str">
        <f t="shared" si="1303"/>
        <v>EXP00438</v>
      </c>
      <c r="B18127" s="3" t="s">
        <v>66</v>
      </c>
      <c r="C18127" s="4" t="str">
        <f t="shared" si="1302"/>
        <v>TCGA-PRAD</v>
      </c>
      <c r="D18127" s="1" t="s">
        <v>493</v>
      </c>
      <c r="E18127" t="s">
        <v>571</v>
      </c>
      <c r="F18127" s="1">
        <v>2</v>
      </c>
      <c r="G18127" s="1" t="s">
        <v>28</v>
      </c>
      <c r="H18127" s="4" t="str">
        <f>HYPERLINK("https://portal.gdc.cancer.gov/cases/88c87cce-4361-499c-9e3a-e9d9040af2db","TCGA-EJ-7314-01A")</f>
        <v>TCGA-EJ-7314-01A</v>
      </c>
      <c r="I18127" t="s">
        <v>161</v>
      </c>
      <c r="J18127" t="s">
        <v>569</v>
      </c>
      <c r="K18127" t="s">
        <v>33</v>
      </c>
      <c r="L18127" t="s">
        <v>162</v>
      </c>
      <c r="N18127" t="s">
        <v>29</v>
      </c>
    </row>
    <row r="18128" spans="1:14">
      <c r="A18128" s="4" t="str">
        <f t="shared" si="1303"/>
        <v>EXP00438</v>
      </c>
      <c r="B18128" s="3" t="s">
        <v>66</v>
      </c>
      <c r="C18128" s="4" t="str">
        <f t="shared" si="1302"/>
        <v>TCGA-PRAD</v>
      </c>
      <c r="D18128" s="1" t="s">
        <v>493</v>
      </c>
      <c r="E18128" t="s">
        <v>571</v>
      </c>
      <c r="F18128" s="1">
        <v>2</v>
      </c>
      <c r="G18128" s="1" t="s">
        <v>28</v>
      </c>
      <c r="H18128" s="4" t="str">
        <f>HYPERLINK("https://portal.gdc.cancer.gov/cases/2c7ec330-261e-49c7-9424-6d83641dba6d","TCGA-EJ-7315-01A")</f>
        <v>TCGA-EJ-7315-01A</v>
      </c>
      <c r="I18128" t="s">
        <v>161</v>
      </c>
      <c r="J18128" t="s">
        <v>569</v>
      </c>
      <c r="K18128" t="s">
        <v>33</v>
      </c>
      <c r="L18128" t="s">
        <v>162</v>
      </c>
      <c r="N18128" t="s">
        <v>29</v>
      </c>
    </row>
    <row r="18129" spans="1:14">
      <c r="A18129" s="4" t="str">
        <f t="shared" si="1303"/>
        <v>EXP00438</v>
      </c>
      <c r="B18129" s="3" t="s">
        <v>66</v>
      </c>
      <c r="C18129" s="4" t="str">
        <f t="shared" si="1302"/>
        <v>TCGA-PRAD</v>
      </c>
      <c r="D18129" s="1" t="s">
        <v>493</v>
      </c>
      <c r="E18129" t="s">
        <v>571</v>
      </c>
      <c r="F18129" s="1">
        <v>2</v>
      </c>
      <c r="G18129" s="1" t="s">
        <v>28</v>
      </c>
      <c r="H18129" s="4" t="str">
        <f>HYPERLINK("https://portal.gdc.cancer.gov/cases/68fc3693-0910-4ee8-8997-99c6333b65f4","TCGA-EJ-7317-01A")</f>
        <v>TCGA-EJ-7317-01A</v>
      </c>
      <c r="I18129" t="s">
        <v>161</v>
      </c>
      <c r="J18129" t="s">
        <v>569</v>
      </c>
      <c r="K18129" t="s">
        <v>33</v>
      </c>
      <c r="L18129" t="s">
        <v>162</v>
      </c>
      <c r="N18129" t="s">
        <v>29</v>
      </c>
    </row>
    <row r="18130" spans="1:14">
      <c r="A18130" s="4" t="str">
        <f t="shared" si="1303"/>
        <v>EXP00438</v>
      </c>
      <c r="B18130" s="3" t="s">
        <v>66</v>
      </c>
      <c r="C18130" s="4" t="str">
        <f t="shared" si="1302"/>
        <v>TCGA-PRAD</v>
      </c>
      <c r="D18130" s="1" t="s">
        <v>493</v>
      </c>
      <c r="E18130" t="s">
        <v>571</v>
      </c>
      <c r="F18130" s="1">
        <v>2</v>
      </c>
      <c r="G18130" s="1" t="s">
        <v>28</v>
      </c>
      <c r="H18130" s="4" t="str">
        <f>HYPERLINK("https://portal.gdc.cancer.gov/cases/5e2ff1e6-87bc-4b91-a959-f0f553af4e27","TCGA-EJ-7318-01B")</f>
        <v>TCGA-EJ-7318-01B</v>
      </c>
      <c r="I18130" t="s">
        <v>161</v>
      </c>
      <c r="J18130" t="s">
        <v>569</v>
      </c>
      <c r="K18130" t="s">
        <v>33</v>
      </c>
      <c r="L18130" t="s">
        <v>162</v>
      </c>
      <c r="N18130" t="s">
        <v>29</v>
      </c>
    </row>
    <row r="18131" spans="1:14">
      <c r="A18131" s="4" t="str">
        <f t="shared" si="1303"/>
        <v>EXP00438</v>
      </c>
      <c r="B18131" s="3" t="s">
        <v>66</v>
      </c>
      <c r="C18131" s="4" t="str">
        <f t="shared" si="1302"/>
        <v>TCGA-PRAD</v>
      </c>
      <c r="D18131" s="1" t="s">
        <v>493</v>
      </c>
      <c r="E18131" t="s">
        <v>571</v>
      </c>
      <c r="F18131" s="1">
        <v>2</v>
      </c>
      <c r="G18131" s="1" t="s">
        <v>28</v>
      </c>
      <c r="H18131" s="4" t="str">
        <f>HYPERLINK("https://portal.gdc.cancer.gov/cases/804ee985-18dd-4f2d-a562-61b454601cdd","TCGA-EJ-7321-01A")</f>
        <v>TCGA-EJ-7321-01A</v>
      </c>
      <c r="I18131" t="s">
        <v>161</v>
      </c>
      <c r="J18131" t="s">
        <v>569</v>
      </c>
      <c r="K18131" t="s">
        <v>33</v>
      </c>
      <c r="L18131" t="s">
        <v>162</v>
      </c>
      <c r="N18131" t="s">
        <v>29</v>
      </c>
    </row>
    <row r="18132" spans="1:14">
      <c r="A18132" s="4" t="str">
        <f t="shared" si="1303"/>
        <v>EXP00438</v>
      </c>
      <c r="B18132" s="3" t="s">
        <v>66</v>
      </c>
      <c r="C18132" s="4" t="str">
        <f t="shared" si="1302"/>
        <v>TCGA-PRAD</v>
      </c>
      <c r="D18132" s="1" t="s">
        <v>493</v>
      </c>
      <c r="E18132" t="s">
        <v>571</v>
      </c>
      <c r="F18132" s="1">
        <v>2</v>
      </c>
      <c r="G18132" s="1" t="s">
        <v>28</v>
      </c>
      <c r="H18132" s="4" t="str">
        <f>HYPERLINK("https://portal.gdc.cancer.gov/cases/45a04209-8fac-4181-bba3-1437c8fd7f09","TCGA-EJ-7325-01B")</f>
        <v>TCGA-EJ-7325-01B</v>
      </c>
      <c r="I18132" t="s">
        <v>161</v>
      </c>
      <c r="J18132" t="s">
        <v>569</v>
      </c>
      <c r="K18132" t="s">
        <v>33</v>
      </c>
      <c r="L18132" t="s">
        <v>162</v>
      </c>
      <c r="N18132" t="s">
        <v>29</v>
      </c>
    </row>
    <row r="18133" spans="1:14">
      <c r="A18133" s="4" t="str">
        <f t="shared" si="1303"/>
        <v>EXP00438</v>
      </c>
      <c r="B18133" s="3" t="s">
        <v>66</v>
      </c>
      <c r="C18133" s="4" t="str">
        <f t="shared" si="1302"/>
        <v>TCGA-PRAD</v>
      </c>
      <c r="D18133" s="1" t="s">
        <v>493</v>
      </c>
      <c r="E18133" t="s">
        <v>571</v>
      </c>
      <c r="F18133" s="1">
        <v>2</v>
      </c>
      <c r="G18133" s="1" t="s">
        <v>28</v>
      </c>
      <c r="H18133" s="4" t="str">
        <f>HYPERLINK("https://portal.gdc.cancer.gov/cases/e90ab72a-4bbb-4c37-b48a-8a1a85d79d04","TCGA-EJ-7327-01A")</f>
        <v>TCGA-EJ-7327-01A</v>
      </c>
      <c r="I18133" t="s">
        <v>161</v>
      </c>
      <c r="J18133" t="s">
        <v>569</v>
      </c>
      <c r="K18133" t="s">
        <v>33</v>
      </c>
      <c r="L18133" t="s">
        <v>162</v>
      </c>
      <c r="N18133" t="s">
        <v>29</v>
      </c>
    </row>
    <row r="18134" spans="1:14">
      <c r="A18134" s="4" t="str">
        <f t="shared" si="1303"/>
        <v>EXP00438</v>
      </c>
      <c r="B18134" s="3" t="s">
        <v>66</v>
      </c>
      <c r="C18134" s="4" t="str">
        <f t="shared" si="1302"/>
        <v>TCGA-PRAD</v>
      </c>
      <c r="D18134" s="1" t="s">
        <v>493</v>
      </c>
      <c r="E18134" t="s">
        <v>571</v>
      </c>
      <c r="F18134" s="1">
        <v>2</v>
      </c>
      <c r="G18134" s="1" t="s">
        <v>28</v>
      </c>
      <c r="H18134" s="4" t="str">
        <f>HYPERLINK("https://portal.gdc.cancer.gov/cases/42b7d14f-09e5-4d91-bb98-5fe35907a6a9","TCGA-EJ-7328-01A")</f>
        <v>TCGA-EJ-7328-01A</v>
      </c>
      <c r="I18134" t="s">
        <v>161</v>
      </c>
      <c r="J18134" t="s">
        <v>569</v>
      </c>
      <c r="K18134" t="s">
        <v>33</v>
      </c>
      <c r="L18134" t="s">
        <v>162</v>
      </c>
      <c r="N18134" t="s">
        <v>29</v>
      </c>
    </row>
    <row r="18135" spans="1:14">
      <c r="A18135" s="4" t="str">
        <f t="shared" si="1303"/>
        <v>EXP00438</v>
      </c>
      <c r="B18135" s="3" t="s">
        <v>66</v>
      </c>
      <c r="C18135" s="4" t="str">
        <f t="shared" si="1302"/>
        <v>TCGA-PRAD</v>
      </c>
      <c r="D18135" s="1" t="s">
        <v>493</v>
      </c>
      <c r="E18135" t="s">
        <v>571</v>
      </c>
      <c r="F18135" s="1">
        <v>2</v>
      </c>
      <c r="G18135" s="1" t="s">
        <v>28</v>
      </c>
      <c r="H18135" s="4" t="str">
        <f>HYPERLINK("https://portal.gdc.cancer.gov/cases/7bc369b7-007b-4b10-bd92-5d326dabf675","TCGA-EJ-7330-01A")</f>
        <v>TCGA-EJ-7330-01A</v>
      </c>
      <c r="I18135" t="s">
        <v>161</v>
      </c>
      <c r="J18135" t="s">
        <v>569</v>
      </c>
      <c r="K18135" t="s">
        <v>33</v>
      </c>
      <c r="L18135" t="s">
        <v>162</v>
      </c>
      <c r="N18135" t="s">
        <v>29</v>
      </c>
    </row>
    <row r="18136" spans="1:14">
      <c r="A18136" s="4" t="str">
        <f t="shared" si="1303"/>
        <v>EXP00438</v>
      </c>
      <c r="B18136" s="3" t="s">
        <v>66</v>
      </c>
      <c r="C18136" s="4" t="str">
        <f t="shared" si="1302"/>
        <v>TCGA-PRAD</v>
      </c>
      <c r="D18136" s="1" t="s">
        <v>493</v>
      </c>
      <c r="E18136" t="s">
        <v>571</v>
      </c>
      <c r="F18136" s="1">
        <v>2</v>
      </c>
      <c r="G18136" s="1" t="s">
        <v>28</v>
      </c>
      <c r="H18136" s="4" t="str">
        <f>HYPERLINK("https://portal.gdc.cancer.gov/cases/b424b73a-2dfa-473f-ab56-ab382cd1cdef","TCGA-EJ-7331-01A")</f>
        <v>TCGA-EJ-7331-01A</v>
      </c>
      <c r="I18136" t="s">
        <v>161</v>
      </c>
      <c r="J18136" t="s">
        <v>569</v>
      </c>
      <c r="K18136" t="s">
        <v>33</v>
      </c>
      <c r="L18136" t="s">
        <v>162</v>
      </c>
      <c r="N18136" t="s">
        <v>29</v>
      </c>
    </row>
    <row r="18137" spans="1:14">
      <c r="A18137" s="4" t="str">
        <f t="shared" si="1303"/>
        <v>EXP00438</v>
      </c>
      <c r="B18137" s="3" t="s">
        <v>66</v>
      </c>
      <c r="C18137" s="4" t="str">
        <f t="shared" si="1302"/>
        <v>TCGA-PRAD</v>
      </c>
      <c r="D18137" s="1" t="s">
        <v>493</v>
      </c>
      <c r="E18137" t="s">
        <v>571</v>
      </c>
      <c r="F18137" s="1">
        <v>2</v>
      </c>
      <c r="G18137" s="1" t="s">
        <v>28</v>
      </c>
      <c r="H18137" s="4" t="str">
        <f>HYPERLINK("https://portal.gdc.cancer.gov/cases/33283111-9a2f-4d5e-92a5-3435846404f7","TCGA-EJ-7781-01A")</f>
        <v>TCGA-EJ-7781-01A</v>
      </c>
      <c r="I18137" t="s">
        <v>161</v>
      </c>
      <c r="J18137" t="s">
        <v>569</v>
      </c>
      <c r="K18137" t="s">
        <v>33</v>
      </c>
      <c r="L18137" t="s">
        <v>162</v>
      </c>
      <c r="N18137" t="s">
        <v>29</v>
      </c>
    </row>
    <row r="18138" spans="1:14">
      <c r="A18138" s="4" t="str">
        <f t="shared" si="1303"/>
        <v>EXP00438</v>
      </c>
      <c r="B18138" s="3" t="s">
        <v>66</v>
      </c>
      <c r="C18138" s="4" t="str">
        <f t="shared" si="1302"/>
        <v>TCGA-PRAD</v>
      </c>
      <c r="D18138" s="1" t="s">
        <v>493</v>
      </c>
      <c r="E18138" t="s">
        <v>571</v>
      </c>
      <c r="F18138" s="1">
        <v>2</v>
      </c>
      <c r="G18138" s="1" t="s">
        <v>28</v>
      </c>
      <c r="H18138" s="4" t="str">
        <f>HYPERLINK("https://portal.gdc.cancer.gov/cases/1426b4bf-f4a5-477c-bbbb-e0e656549764","TCGA-EJ-7782-01A")</f>
        <v>TCGA-EJ-7782-01A</v>
      </c>
      <c r="I18138" t="s">
        <v>161</v>
      </c>
      <c r="J18138" t="s">
        <v>569</v>
      </c>
      <c r="K18138" t="s">
        <v>33</v>
      </c>
      <c r="L18138" t="s">
        <v>162</v>
      </c>
      <c r="N18138" t="s">
        <v>29</v>
      </c>
    </row>
    <row r="18139" spans="1:14">
      <c r="A18139" s="4" t="str">
        <f t="shared" si="1303"/>
        <v>EXP00438</v>
      </c>
      <c r="B18139" s="3" t="s">
        <v>66</v>
      </c>
      <c r="C18139" s="4" t="str">
        <f t="shared" si="1302"/>
        <v>TCGA-PRAD</v>
      </c>
      <c r="D18139" s="1" t="s">
        <v>493</v>
      </c>
      <c r="E18139" t="s">
        <v>571</v>
      </c>
      <c r="F18139" s="1">
        <v>2</v>
      </c>
      <c r="G18139" s="1" t="s">
        <v>28</v>
      </c>
      <c r="H18139" s="4" t="str">
        <f>HYPERLINK("https://portal.gdc.cancer.gov/cases/181c6d37-9d8d-4ffa-827b-e3785450ff88","TCGA-EJ-7783-01A")</f>
        <v>TCGA-EJ-7783-01A</v>
      </c>
      <c r="I18139" t="s">
        <v>161</v>
      </c>
      <c r="J18139" t="s">
        <v>569</v>
      </c>
      <c r="K18139" t="s">
        <v>33</v>
      </c>
      <c r="L18139" t="s">
        <v>162</v>
      </c>
      <c r="N18139" t="s">
        <v>29</v>
      </c>
    </row>
    <row r="18140" spans="1:14">
      <c r="A18140" s="4" t="str">
        <f t="shared" si="1303"/>
        <v>EXP00438</v>
      </c>
      <c r="B18140" s="3" t="s">
        <v>66</v>
      </c>
      <c r="C18140" s="4" t="str">
        <f t="shared" ref="C18140:C18203" si="1304">HYPERLINK("https://portal.gdc.cancer.gov/projects/TCGA-PRAD","TCGA-PRAD")</f>
        <v>TCGA-PRAD</v>
      </c>
      <c r="D18140" s="1" t="s">
        <v>493</v>
      </c>
      <c r="E18140" t="s">
        <v>571</v>
      </c>
      <c r="F18140" s="1">
        <v>2</v>
      </c>
      <c r="G18140" s="1" t="s">
        <v>28</v>
      </c>
      <c r="H18140" s="4" t="str">
        <f>HYPERLINK("https://portal.gdc.cancer.gov/cases/4bc71292-60bb-4b63-86c1-0fe021083804","TCGA-EJ-7784-01A")</f>
        <v>TCGA-EJ-7784-01A</v>
      </c>
      <c r="I18140" t="s">
        <v>161</v>
      </c>
      <c r="J18140" t="s">
        <v>569</v>
      </c>
      <c r="K18140" t="s">
        <v>33</v>
      </c>
      <c r="L18140" t="s">
        <v>162</v>
      </c>
      <c r="N18140" t="s">
        <v>29</v>
      </c>
    </row>
    <row r="18141" spans="1:14">
      <c r="A18141" s="4" t="str">
        <f t="shared" si="1303"/>
        <v>EXP00438</v>
      </c>
      <c r="B18141" s="3" t="s">
        <v>66</v>
      </c>
      <c r="C18141" s="4" t="str">
        <f t="shared" si="1304"/>
        <v>TCGA-PRAD</v>
      </c>
      <c r="D18141" s="1" t="s">
        <v>493</v>
      </c>
      <c r="E18141" t="s">
        <v>571</v>
      </c>
      <c r="F18141" s="1">
        <v>2</v>
      </c>
      <c r="G18141" s="1" t="s">
        <v>28</v>
      </c>
      <c r="H18141" s="4" t="str">
        <f>HYPERLINK("https://portal.gdc.cancer.gov/cases/2def2a53-d2e8-46f0-8b07-f32dbf1833a4","TCGA-EJ-7785-01A")</f>
        <v>TCGA-EJ-7785-01A</v>
      </c>
      <c r="I18141" t="s">
        <v>161</v>
      </c>
      <c r="J18141" t="s">
        <v>569</v>
      </c>
      <c r="K18141" t="s">
        <v>33</v>
      </c>
      <c r="L18141" t="s">
        <v>162</v>
      </c>
      <c r="N18141" t="s">
        <v>29</v>
      </c>
    </row>
    <row r="18142" spans="1:14">
      <c r="A18142" s="4" t="str">
        <f t="shared" si="1303"/>
        <v>EXP00438</v>
      </c>
      <c r="B18142" s="3" t="s">
        <v>66</v>
      </c>
      <c r="C18142" s="4" t="str">
        <f t="shared" si="1304"/>
        <v>TCGA-PRAD</v>
      </c>
      <c r="D18142" s="1" t="s">
        <v>493</v>
      </c>
      <c r="E18142" t="s">
        <v>571</v>
      </c>
      <c r="F18142" s="1">
        <v>2</v>
      </c>
      <c r="G18142" s="1" t="s">
        <v>28</v>
      </c>
      <c r="H18142" s="4" t="str">
        <f>HYPERLINK("https://portal.gdc.cancer.gov/cases/9d499039-37ca-4300-ae95-04bbe007c0d2","TCGA-EJ-7786-01A")</f>
        <v>TCGA-EJ-7786-01A</v>
      </c>
      <c r="I18142" t="s">
        <v>161</v>
      </c>
      <c r="J18142" t="s">
        <v>569</v>
      </c>
      <c r="K18142" t="s">
        <v>33</v>
      </c>
      <c r="L18142" t="s">
        <v>162</v>
      </c>
      <c r="N18142" t="s">
        <v>29</v>
      </c>
    </row>
    <row r="18143" spans="1:14">
      <c r="A18143" s="4" t="str">
        <f t="shared" si="1303"/>
        <v>EXP00438</v>
      </c>
      <c r="B18143" s="3" t="s">
        <v>66</v>
      </c>
      <c r="C18143" s="4" t="str">
        <f t="shared" si="1304"/>
        <v>TCGA-PRAD</v>
      </c>
      <c r="D18143" s="1" t="s">
        <v>493</v>
      </c>
      <c r="E18143" t="s">
        <v>571</v>
      </c>
      <c r="F18143" s="1">
        <v>2</v>
      </c>
      <c r="G18143" s="1" t="s">
        <v>28</v>
      </c>
      <c r="H18143" s="4" t="str">
        <f>HYPERLINK("https://portal.gdc.cancer.gov/cases/e35336e1-e358-493f-9beb-276b5fc6685a","TCGA-EJ-7788-01A")</f>
        <v>TCGA-EJ-7788-01A</v>
      </c>
      <c r="I18143" t="s">
        <v>161</v>
      </c>
      <c r="J18143" t="s">
        <v>569</v>
      </c>
      <c r="K18143" t="s">
        <v>33</v>
      </c>
      <c r="L18143" t="s">
        <v>162</v>
      </c>
      <c r="N18143" t="s">
        <v>29</v>
      </c>
    </row>
    <row r="18144" spans="1:14">
      <c r="A18144" s="4" t="str">
        <f t="shared" si="1303"/>
        <v>EXP00438</v>
      </c>
      <c r="B18144" s="3" t="s">
        <v>66</v>
      </c>
      <c r="C18144" s="4" t="str">
        <f t="shared" si="1304"/>
        <v>TCGA-PRAD</v>
      </c>
      <c r="D18144" s="1" t="s">
        <v>493</v>
      </c>
      <c r="E18144" t="s">
        <v>571</v>
      </c>
      <c r="F18144" s="1">
        <v>2</v>
      </c>
      <c r="G18144" s="1" t="s">
        <v>28</v>
      </c>
      <c r="H18144" s="4" t="str">
        <f>HYPERLINK("https://portal.gdc.cancer.gov/cases/1f4ff2c7-3fbb-46a1-99cf-68d2c33c5175","TCGA-EJ-7789-01A")</f>
        <v>TCGA-EJ-7789-01A</v>
      </c>
      <c r="I18144" t="s">
        <v>161</v>
      </c>
      <c r="J18144" t="s">
        <v>569</v>
      </c>
      <c r="K18144" t="s">
        <v>33</v>
      </c>
      <c r="L18144" t="s">
        <v>162</v>
      </c>
      <c r="N18144" t="s">
        <v>29</v>
      </c>
    </row>
    <row r="18145" spans="1:14">
      <c r="A18145" s="4" t="str">
        <f t="shared" si="1303"/>
        <v>EXP00438</v>
      </c>
      <c r="B18145" s="3" t="s">
        <v>66</v>
      </c>
      <c r="C18145" s="4" t="str">
        <f t="shared" si="1304"/>
        <v>TCGA-PRAD</v>
      </c>
      <c r="D18145" s="1" t="s">
        <v>493</v>
      </c>
      <c r="E18145" t="s">
        <v>571</v>
      </c>
      <c r="F18145" s="1">
        <v>2</v>
      </c>
      <c r="G18145" s="1" t="s">
        <v>28</v>
      </c>
      <c r="H18145" s="4" t="str">
        <f>HYPERLINK("https://portal.gdc.cancer.gov/cases/4fe004e5-49f9-4336-a690-6ebad512c813","TCGA-EJ-7791-01A")</f>
        <v>TCGA-EJ-7791-01A</v>
      </c>
      <c r="I18145" t="s">
        <v>161</v>
      </c>
      <c r="J18145" t="s">
        <v>569</v>
      </c>
      <c r="K18145" t="s">
        <v>33</v>
      </c>
      <c r="L18145" t="s">
        <v>162</v>
      </c>
      <c r="N18145" t="s">
        <v>29</v>
      </c>
    </row>
    <row r="18146" spans="1:14">
      <c r="A18146" s="4" t="str">
        <f t="shared" si="1303"/>
        <v>EXP00438</v>
      </c>
      <c r="B18146" s="3" t="s">
        <v>66</v>
      </c>
      <c r="C18146" s="4" t="str">
        <f t="shared" si="1304"/>
        <v>TCGA-PRAD</v>
      </c>
      <c r="D18146" s="1" t="s">
        <v>493</v>
      </c>
      <c r="E18146" t="s">
        <v>571</v>
      </c>
      <c r="F18146" s="1">
        <v>2</v>
      </c>
      <c r="G18146" s="1" t="s">
        <v>28</v>
      </c>
      <c r="H18146" s="4" t="str">
        <f>HYPERLINK("https://portal.gdc.cancer.gov/cases/28689d40-03e5-4e17-aba1-f2d571535eed","TCGA-EJ-7792-01A")</f>
        <v>TCGA-EJ-7792-01A</v>
      </c>
      <c r="I18146" t="s">
        <v>161</v>
      </c>
      <c r="J18146" t="s">
        <v>569</v>
      </c>
      <c r="K18146" t="s">
        <v>33</v>
      </c>
      <c r="L18146" t="s">
        <v>162</v>
      </c>
      <c r="N18146" t="s">
        <v>29</v>
      </c>
    </row>
    <row r="18147" spans="1:14">
      <c r="A18147" s="4" t="str">
        <f t="shared" si="1303"/>
        <v>EXP00438</v>
      </c>
      <c r="B18147" s="3" t="s">
        <v>66</v>
      </c>
      <c r="C18147" s="4" t="str">
        <f t="shared" si="1304"/>
        <v>TCGA-PRAD</v>
      </c>
      <c r="D18147" s="1" t="s">
        <v>493</v>
      </c>
      <c r="E18147" t="s">
        <v>571</v>
      </c>
      <c r="F18147" s="1">
        <v>2</v>
      </c>
      <c r="G18147" s="1" t="s">
        <v>28</v>
      </c>
      <c r="H18147" s="4" t="str">
        <f>HYPERLINK("https://portal.gdc.cancer.gov/cases/da07da37-bde6-480a-a302-98683ae3931a","TCGA-EJ-7793-01A")</f>
        <v>TCGA-EJ-7793-01A</v>
      </c>
      <c r="I18147" t="s">
        <v>161</v>
      </c>
      <c r="J18147" t="s">
        <v>569</v>
      </c>
      <c r="K18147" t="s">
        <v>33</v>
      </c>
      <c r="L18147" t="s">
        <v>162</v>
      </c>
      <c r="N18147" t="s">
        <v>29</v>
      </c>
    </row>
    <row r="18148" spans="1:14">
      <c r="A18148" s="4" t="str">
        <f t="shared" si="1303"/>
        <v>EXP00438</v>
      </c>
      <c r="B18148" s="3" t="s">
        <v>66</v>
      </c>
      <c r="C18148" s="4" t="str">
        <f t="shared" si="1304"/>
        <v>TCGA-PRAD</v>
      </c>
      <c r="D18148" s="1" t="s">
        <v>493</v>
      </c>
      <c r="E18148" t="s">
        <v>571</v>
      </c>
      <c r="F18148" s="1">
        <v>2</v>
      </c>
      <c r="G18148" s="1" t="s">
        <v>28</v>
      </c>
      <c r="H18148" s="4" t="str">
        <f>HYPERLINK("https://portal.gdc.cancer.gov/cases/aeec3005-25d7-45fc-a9ff-014d57960216","TCGA-EJ-7794-01A")</f>
        <v>TCGA-EJ-7794-01A</v>
      </c>
      <c r="I18148" t="s">
        <v>161</v>
      </c>
      <c r="J18148" t="s">
        <v>569</v>
      </c>
      <c r="K18148" t="s">
        <v>33</v>
      </c>
      <c r="L18148" t="s">
        <v>162</v>
      </c>
      <c r="N18148" t="s">
        <v>29</v>
      </c>
    </row>
    <row r="18149" spans="1:14">
      <c r="A18149" s="4" t="str">
        <f t="shared" si="1303"/>
        <v>EXP00438</v>
      </c>
      <c r="B18149" s="3" t="s">
        <v>66</v>
      </c>
      <c r="C18149" s="4" t="str">
        <f t="shared" si="1304"/>
        <v>TCGA-PRAD</v>
      </c>
      <c r="D18149" s="1" t="s">
        <v>493</v>
      </c>
      <c r="E18149" t="s">
        <v>571</v>
      </c>
      <c r="F18149" s="1">
        <v>2</v>
      </c>
      <c r="G18149" s="1" t="s">
        <v>28</v>
      </c>
      <c r="H18149" s="4" t="str">
        <f>HYPERLINK("https://portal.gdc.cancer.gov/cases/f98366df-9616-41c0-a6b8-ec92dca7177a","TCGA-EJ-7797-01A")</f>
        <v>TCGA-EJ-7797-01A</v>
      </c>
      <c r="I18149" t="s">
        <v>161</v>
      </c>
      <c r="J18149" t="s">
        <v>569</v>
      </c>
      <c r="K18149" t="s">
        <v>33</v>
      </c>
      <c r="L18149" t="s">
        <v>162</v>
      </c>
      <c r="N18149" t="s">
        <v>29</v>
      </c>
    </row>
    <row r="18150" spans="1:14">
      <c r="A18150" s="4" t="str">
        <f t="shared" si="1303"/>
        <v>EXP00438</v>
      </c>
      <c r="B18150" s="3" t="s">
        <v>66</v>
      </c>
      <c r="C18150" s="4" t="str">
        <f t="shared" si="1304"/>
        <v>TCGA-PRAD</v>
      </c>
      <c r="D18150" s="1" t="s">
        <v>493</v>
      </c>
      <c r="E18150" t="s">
        <v>571</v>
      </c>
      <c r="F18150" s="1">
        <v>2</v>
      </c>
      <c r="G18150" s="1" t="s">
        <v>28</v>
      </c>
      <c r="H18150" s="4" t="str">
        <f>HYPERLINK("https://portal.gdc.cancer.gov/cases/00b16434-0b3a-4194-8714-74dccbebe06c","TCGA-EJ-8468-01A")</f>
        <v>TCGA-EJ-8468-01A</v>
      </c>
      <c r="I18150" t="s">
        <v>161</v>
      </c>
      <c r="J18150" t="s">
        <v>569</v>
      </c>
      <c r="K18150" t="s">
        <v>33</v>
      </c>
      <c r="L18150" t="s">
        <v>162</v>
      </c>
      <c r="N18150" t="s">
        <v>29</v>
      </c>
    </row>
    <row r="18151" spans="1:14">
      <c r="A18151" s="4" t="str">
        <f t="shared" si="1303"/>
        <v>EXP00438</v>
      </c>
      <c r="B18151" s="3" t="s">
        <v>66</v>
      </c>
      <c r="C18151" s="4" t="str">
        <f t="shared" si="1304"/>
        <v>TCGA-PRAD</v>
      </c>
      <c r="D18151" s="1" t="s">
        <v>493</v>
      </c>
      <c r="E18151" t="s">
        <v>571</v>
      </c>
      <c r="F18151" s="1">
        <v>2</v>
      </c>
      <c r="G18151" s="1" t="s">
        <v>28</v>
      </c>
      <c r="H18151" s="4" t="str">
        <f>HYPERLINK("https://portal.gdc.cancer.gov/cases/df4a7caa-6289-4157-8cb4-6ce8784e7506","TCGA-EJ-8469-01A")</f>
        <v>TCGA-EJ-8469-01A</v>
      </c>
      <c r="I18151" t="s">
        <v>161</v>
      </c>
      <c r="J18151" t="s">
        <v>569</v>
      </c>
      <c r="K18151" t="s">
        <v>33</v>
      </c>
      <c r="L18151" t="s">
        <v>162</v>
      </c>
      <c r="N18151" t="s">
        <v>29</v>
      </c>
    </row>
    <row r="18152" spans="1:14">
      <c r="A18152" s="4" t="str">
        <f t="shared" si="1303"/>
        <v>EXP00438</v>
      </c>
      <c r="B18152" s="3" t="s">
        <v>66</v>
      </c>
      <c r="C18152" s="4" t="str">
        <f t="shared" si="1304"/>
        <v>TCGA-PRAD</v>
      </c>
      <c r="D18152" s="1" t="s">
        <v>493</v>
      </c>
      <c r="E18152" t="s">
        <v>571</v>
      </c>
      <c r="F18152" s="1">
        <v>2</v>
      </c>
      <c r="G18152" s="1" t="s">
        <v>28</v>
      </c>
      <c r="H18152" s="4" t="str">
        <f>HYPERLINK("https://portal.gdc.cancer.gov/cases/1a8a887e-b9f0-42f5-8dce-4e58cb13844b","TCGA-EJ-8470-01A")</f>
        <v>TCGA-EJ-8470-01A</v>
      </c>
      <c r="I18152" t="s">
        <v>161</v>
      </c>
      <c r="J18152" t="s">
        <v>569</v>
      </c>
      <c r="K18152" t="s">
        <v>33</v>
      </c>
      <c r="L18152" t="s">
        <v>162</v>
      </c>
      <c r="N18152" t="s">
        <v>29</v>
      </c>
    </row>
    <row r="18153" spans="1:14">
      <c r="A18153" s="4" t="str">
        <f t="shared" si="1303"/>
        <v>EXP00438</v>
      </c>
      <c r="B18153" s="3" t="s">
        <v>66</v>
      </c>
      <c r="C18153" s="4" t="str">
        <f t="shared" si="1304"/>
        <v>TCGA-PRAD</v>
      </c>
      <c r="D18153" s="1" t="s">
        <v>493</v>
      </c>
      <c r="E18153" t="s">
        <v>571</v>
      </c>
      <c r="F18153" s="1">
        <v>2</v>
      </c>
      <c r="G18153" s="1" t="s">
        <v>28</v>
      </c>
      <c r="H18153" s="4" t="str">
        <f>HYPERLINK("https://portal.gdc.cancer.gov/cases/ab378ad0-1881-403f-9e85-d6f97e7b7c81","TCGA-EJ-8472-01A")</f>
        <v>TCGA-EJ-8472-01A</v>
      </c>
      <c r="I18153" t="s">
        <v>161</v>
      </c>
      <c r="J18153" t="s">
        <v>569</v>
      </c>
      <c r="K18153" t="s">
        <v>33</v>
      </c>
      <c r="L18153" t="s">
        <v>162</v>
      </c>
      <c r="N18153" t="s">
        <v>29</v>
      </c>
    </row>
    <row r="18154" spans="1:14">
      <c r="A18154" s="4" t="str">
        <f t="shared" si="1303"/>
        <v>EXP00438</v>
      </c>
      <c r="B18154" s="3" t="s">
        <v>66</v>
      </c>
      <c r="C18154" s="4" t="str">
        <f t="shared" si="1304"/>
        <v>TCGA-PRAD</v>
      </c>
      <c r="D18154" s="1" t="s">
        <v>493</v>
      </c>
      <c r="E18154" t="s">
        <v>571</v>
      </c>
      <c r="F18154" s="1">
        <v>2</v>
      </c>
      <c r="G18154" s="1" t="s">
        <v>28</v>
      </c>
      <c r="H18154" s="4" t="str">
        <f>HYPERLINK("https://portal.gdc.cancer.gov/cases/d57d3254-d8f3-4ca2-8b31-790d3ac9a63d","TCGA-EJ-8474-01A")</f>
        <v>TCGA-EJ-8474-01A</v>
      </c>
      <c r="I18154" t="s">
        <v>161</v>
      </c>
      <c r="J18154" t="s">
        <v>569</v>
      </c>
      <c r="K18154" t="s">
        <v>33</v>
      </c>
      <c r="L18154" t="s">
        <v>162</v>
      </c>
      <c r="N18154" t="s">
        <v>29</v>
      </c>
    </row>
    <row r="18155" spans="1:14">
      <c r="A18155" s="4" t="str">
        <f t="shared" si="1303"/>
        <v>EXP00438</v>
      </c>
      <c r="B18155" s="3" t="s">
        <v>66</v>
      </c>
      <c r="C18155" s="4" t="str">
        <f t="shared" si="1304"/>
        <v>TCGA-PRAD</v>
      </c>
      <c r="D18155" s="1" t="s">
        <v>493</v>
      </c>
      <c r="E18155" t="s">
        <v>571</v>
      </c>
      <c r="F18155" s="1">
        <v>2</v>
      </c>
      <c r="G18155" s="1" t="s">
        <v>28</v>
      </c>
      <c r="H18155" s="4" t="str">
        <f>HYPERLINK("https://portal.gdc.cancer.gov/cases/1170f449-dfb5-417a-a89b-b2229a2785db","TCGA-EJ-A46B-01A")</f>
        <v>TCGA-EJ-A46B-01A</v>
      </c>
      <c r="I18155" t="s">
        <v>161</v>
      </c>
      <c r="J18155" t="s">
        <v>569</v>
      </c>
      <c r="K18155" t="s">
        <v>33</v>
      </c>
      <c r="L18155" t="s">
        <v>162</v>
      </c>
      <c r="N18155" t="s">
        <v>29</v>
      </c>
    </row>
    <row r="18156" spans="1:14">
      <c r="A18156" s="4" t="str">
        <f t="shared" si="1303"/>
        <v>EXP00438</v>
      </c>
      <c r="B18156" s="3" t="s">
        <v>66</v>
      </c>
      <c r="C18156" s="4" t="str">
        <f t="shared" si="1304"/>
        <v>TCGA-PRAD</v>
      </c>
      <c r="D18156" s="1" t="s">
        <v>493</v>
      </c>
      <c r="E18156" t="s">
        <v>571</v>
      </c>
      <c r="F18156" s="1">
        <v>2</v>
      </c>
      <c r="G18156" s="1" t="s">
        <v>28</v>
      </c>
      <c r="H18156" s="4" t="str">
        <f>HYPERLINK("https://portal.gdc.cancer.gov/cases/93d10d8b-5f98-4d2c-8af3-11471385d4d4","TCGA-EJ-A46D-01A")</f>
        <v>TCGA-EJ-A46D-01A</v>
      </c>
      <c r="I18156" t="s">
        <v>161</v>
      </c>
      <c r="J18156" t="s">
        <v>569</v>
      </c>
      <c r="K18156" t="s">
        <v>33</v>
      </c>
      <c r="L18156" t="s">
        <v>162</v>
      </c>
      <c r="N18156" t="s">
        <v>29</v>
      </c>
    </row>
    <row r="18157" spans="1:14">
      <c r="A18157" s="4" t="str">
        <f t="shared" si="1303"/>
        <v>EXP00438</v>
      </c>
      <c r="B18157" s="3" t="s">
        <v>66</v>
      </c>
      <c r="C18157" s="4" t="str">
        <f t="shared" si="1304"/>
        <v>TCGA-PRAD</v>
      </c>
      <c r="D18157" s="1" t="s">
        <v>493</v>
      </c>
      <c r="E18157" t="s">
        <v>571</v>
      </c>
      <c r="F18157" s="1">
        <v>2</v>
      </c>
      <c r="G18157" s="1" t="s">
        <v>28</v>
      </c>
      <c r="H18157" s="4" t="str">
        <f>HYPERLINK("https://portal.gdc.cancer.gov/cases/a608bf0e-a932-4541-8439-2ffb9f6294b0","TCGA-EJ-A46E-01A")</f>
        <v>TCGA-EJ-A46E-01A</v>
      </c>
      <c r="I18157" t="s">
        <v>161</v>
      </c>
      <c r="J18157" t="s">
        <v>569</v>
      </c>
      <c r="K18157" t="s">
        <v>33</v>
      </c>
      <c r="L18157" t="s">
        <v>162</v>
      </c>
      <c r="N18157" t="s">
        <v>29</v>
      </c>
    </row>
    <row r="18158" spans="1:14">
      <c r="A18158" s="4" t="str">
        <f t="shared" si="1303"/>
        <v>EXP00438</v>
      </c>
      <c r="B18158" s="3" t="s">
        <v>66</v>
      </c>
      <c r="C18158" s="4" t="str">
        <f t="shared" si="1304"/>
        <v>TCGA-PRAD</v>
      </c>
      <c r="D18158" s="1" t="s">
        <v>493</v>
      </c>
      <c r="E18158" t="s">
        <v>571</v>
      </c>
      <c r="F18158" s="1">
        <v>2</v>
      </c>
      <c r="G18158" s="1" t="s">
        <v>28</v>
      </c>
      <c r="H18158" s="4" t="str">
        <f>HYPERLINK("https://portal.gdc.cancer.gov/cases/08f11bdd-d665-45ab-b1a2-5485d91922c2","TCGA-EJ-A46F-01A")</f>
        <v>TCGA-EJ-A46F-01A</v>
      </c>
      <c r="I18158" t="s">
        <v>161</v>
      </c>
      <c r="J18158" t="s">
        <v>569</v>
      </c>
      <c r="K18158" t="s">
        <v>33</v>
      </c>
      <c r="L18158" t="s">
        <v>162</v>
      </c>
      <c r="N18158" t="s">
        <v>29</v>
      </c>
    </row>
    <row r="18159" spans="1:14">
      <c r="A18159" s="4" t="str">
        <f t="shared" si="1303"/>
        <v>EXP00438</v>
      </c>
      <c r="B18159" s="3" t="s">
        <v>66</v>
      </c>
      <c r="C18159" s="4" t="str">
        <f t="shared" si="1304"/>
        <v>TCGA-PRAD</v>
      </c>
      <c r="D18159" s="1" t="s">
        <v>493</v>
      </c>
      <c r="E18159" t="s">
        <v>571</v>
      </c>
      <c r="F18159" s="1">
        <v>2</v>
      </c>
      <c r="G18159" s="1" t="s">
        <v>28</v>
      </c>
      <c r="H18159" s="4" t="str">
        <f>HYPERLINK("https://portal.gdc.cancer.gov/cases/969399cd-47b6-4c0f-8939-3860be3014f9","TCGA-EJ-A46G-01A")</f>
        <v>TCGA-EJ-A46G-01A</v>
      </c>
      <c r="I18159" t="s">
        <v>161</v>
      </c>
      <c r="J18159" t="s">
        <v>569</v>
      </c>
      <c r="K18159" t="s">
        <v>33</v>
      </c>
      <c r="L18159" t="s">
        <v>162</v>
      </c>
      <c r="N18159" t="s">
        <v>29</v>
      </c>
    </row>
    <row r="18160" spans="1:14">
      <c r="A18160" s="4" t="str">
        <f t="shared" si="1303"/>
        <v>EXP00438</v>
      </c>
      <c r="B18160" s="3" t="s">
        <v>66</v>
      </c>
      <c r="C18160" s="4" t="str">
        <f t="shared" si="1304"/>
        <v>TCGA-PRAD</v>
      </c>
      <c r="D18160" s="1" t="s">
        <v>493</v>
      </c>
      <c r="E18160" t="s">
        <v>571</v>
      </c>
      <c r="F18160" s="1">
        <v>2</v>
      </c>
      <c r="G18160" s="1" t="s">
        <v>28</v>
      </c>
      <c r="H18160" s="4" t="str">
        <f>HYPERLINK("https://portal.gdc.cancer.gov/cases/cec1d2ff-36e6-497e-892c-b329724b4722","TCGA-EJ-A46H-01A")</f>
        <v>TCGA-EJ-A46H-01A</v>
      </c>
      <c r="I18160" t="s">
        <v>161</v>
      </c>
      <c r="J18160" t="s">
        <v>569</v>
      </c>
      <c r="K18160" t="s">
        <v>33</v>
      </c>
      <c r="L18160" t="s">
        <v>162</v>
      </c>
      <c r="N18160" t="s">
        <v>29</v>
      </c>
    </row>
    <row r="18161" spans="1:14">
      <c r="A18161" s="4" t="str">
        <f t="shared" si="1303"/>
        <v>EXP00438</v>
      </c>
      <c r="B18161" s="3" t="s">
        <v>66</v>
      </c>
      <c r="C18161" s="4" t="str">
        <f t="shared" si="1304"/>
        <v>TCGA-PRAD</v>
      </c>
      <c r="D18161" s="1" t="s">
        <v>493</v>
      </c>
      <c r="E18161" t="s">
        <v>571</v>
      </c>
      <c r="F18161" s="1">
        <v>2</v>
      </c>
      <c r="G18161" s="1" t="s">
        <v>28</v>
      </c>
      <c r="H18161" s="4" t="str">
        <f>HYPERLINK("https://portal.gdc.cancer.gov/cases/9b59ed95-e97f-4356-b976-e3fa0e9eee02","TCGA-EJ-A46I-01A")</f>
        <v>TCGA-EJ-A46I-01A</v>
      </c>
      <c r="I18161" t="s">
        <v>161</v>
      </c>
      <c r="J18161" t="s">
        <v>569</v>
      </c>
      <c r="K18161" t="s">
        <v>33</v>
      </c>
      <c r="L18161" t="s">
        <v>162</v>
      </c>
      <c r="N18161" t="s">
        <v>29</v>
      </c>
    </row>
    <row r="18162" spans="1:14">
      <c r="A18162" s="4" t="str">
        <f t="shared" si="1303"/>
        <v>EXP00438</v>
      </c>
      <c r="B18162" s="3" t="s">
        <v>66</v>
      </c>
      <c r="C18162" s="4" t="str">
        <f t="shared" si="1304"/>
        <v>TCGA-PRAD</v>
      </c>
      <c r="D18162" s="1" t="s">
        <v>493</v>
      </c>
      <c r="E18162" t="s">
        <v>571</v>
      </c>
      <c r="F18162" s="1">
        <v>2</v>
      </c>
      <c r="G18162" s="1" t="s">
        <v>28</v>
      </c>
      <c r="H18162" s="4" t="str">
        <f>HYPERLINK("https://portal.gdc.cancer.gov/cases/df3362cb-0f6b-412e-8af4-c5606526be17","TCGA-EJ-A65B-01A")</f>
        <v>TCGA-EJ-A65B-01A</v>
      </c>
      <c r="I18162" t="s">
        <v>161</v>
      </c>
      <c r="J18162" t="s">
        <v>569</v>
      </c>
      <c r="K18162" t="s">
        <v>33</v>
      </c>
      <c r="L18162" t="s">
        <v>162</v>
      </c>
      <c r="N18162" t="s">
        <v>29</v>
      </c>
    </row>
    <row r="18163" spans="1:14">
      <c r="A18163" s="4" t="str">
        <f t="shared" si="1303"/>
        <v>EXP00438</v>
      </c>
      <c r="B18163" s="3" t="s">
        <v>66</v>
      </c>
      <c r="C18163" s="4" t="str">
        <f t="shared" si="1304"/>
        <v>TCGA-PRAD</v>
      </c>
      <c r="D18163" s="1" t="s">
        <v>493</v>
      </c>
      <c r="E18163" t="s">
        <v>571</v>
      </c>
      <c r="F18163" s="1">
        <v>2</v>
      </c>
      <c r="G18163" s="1" t="s">
        <v>28</v>
      </c>
      <c r="H18163" s="4" t="str">
        <f>HYPERLINK("https://portal.gdc.cancer.gov/cases/8e1ff72b-f1db-4bf9-a8d3-f422e25a65e1","TCGA-EJ-A65D-01A")</f>
        <v>TCGA-EJ-A65D-01A</v>
      </c>
      <c r="I18163" t="s">
        <v>161</v>
      </c>
      <c r="J18163" t="s">
        <v>569</v>
      </c>
      <c r="K18163" t="s">
        <v>33</v>
      </c>
      <c r="L18163" t="s">
        <v>162</v>
      </c>
      <c r="N18163" t="s">
        <v>29</v>
      </c>
    </row>
    <row r="18164" spans="1:14">
      <c r="A18164" s="4" t="str">
        <f t="shared" si="1303"/>
        <v>EXP00438</v>
      </c>
      <c r="B18164" s="3" t="s">
        <v>66</v>
      </c>
      <c r="C18164" s="4" t="str">
        <f t="shared" si="1304"/>
        <v>TCGA-PRAD</v>
      </c>
      <c r="D18164" s="1" t="s">
        <v>493</v>
      </c>
      <c r="E18164" t="s">
        <v>571</v>
      </c>
      <c r="F18164" s="1">
        <v>2</v>
      </c>
      <c r="G18164" s="1" t="s">
        <v>28</v>
      </c>
      <c r="H18164" s="4" t="str">
        <f>HYPERLINK("https://portal.gdc.cancer.gov/cases/37ec45fd-1c85-49cb-835e-fa7b2b8ce16f","TCGA-EJ-A65E-01A")</f>
        <v>TCGA-EJ-A65E-01A</v>
      </c>
      <c r="I18164" t="s">
        <v>161</v>
      </c>
      <c r="J18164" t="s">
        <v>569</v>
      </c>
      <c r="K18164" t="s">
        <v>33</v>
      </c>
      <c r="L18164" t="s">
        <v>162</v>
      </c>
      <c r="N18164" t="s">
        <v>29</v>
      </c>
    </row>
    <row r="18165" spans="1:14">
      <c r="A18165" s="4" t="str">
        <f t="shared" si="1303"/>
        <v>EXP00438</v>
      </c>
      <c r="B18165" s="3" t="s">
        <v>66</v>
      </c>
      <c r="C18165" s="4" t="str">
        <f t="shared" si="1304"/>
        <v>TCGA-PRAD</v>
      </c>
      <c r="D18165" s="1" t="s">
        <v>493</v>
      </c>
      <c r="E18165" t="s">
        <v>571</v>
      </c>
      <c r="F18165" s="1">
        <v>2</v>
      </c>
      <c r="G18165" s="1" t="s">
        <v>28</v>
      </c>
      <c r="H18165" s="4" t="str">
        <f>HYPERLINK("https://portal.gdc.cancer.gov/cases/8631bb5e-6d08-4c20-a85e-cb84f5dac290","TCGA-EJ-A65F-01A")</f>
        <v>TCGA-EJ-A65F-01A</v>
      </c>
      <c r="I18165" t="s">
        <v>161</v>
      </c>
      <c r="J18165" t="s">
        <v>569</v>
      </c>
      <c r="K18165" t="s">
        <v>33</v>
      </c>
      <c r="L18165" t="s">
        <v>162</v>
      </c>
      <c r="N18165" t="s">
        <v>29</v>
      </c>
    </row>
    <row r="18166" spans="1:14">
      <c r="A18166" s="4" t="str">
        <f t="shared" si="1303"/>
        <v>EXP00438</v>
      </c>
      <c r="B18166" s="3" t="s">
        <v>66</v>
      </c>
      <c r="C18166" s="4" t="str">
        <f t="shared" si="1304"/>
        <v>TCGA-PRAD</v>
      </c>
      <c r="D18166" s="1" t="s">
        <v>493</v>
      </c>
      <c r="E18166" t="s">
        <v>571</v>
      </c>
      <c r="F18166" s="1">
        <v>2</v>
      </c>
      <c r="G18166" s="1" t="s">
        <v>28</v>
      </c>
      <c r="H18166" s="4" t="str">
        <f>HYPERLINK("https://portal.gdc.cancer.gov/cases/8bfac5b9-fa2b-4b6e-9537-e9d8a2f0d1dc","TCGA-EJ-A65G-01A")</f>
        <v>TCGA-EJ-A65G-01A</v>
      </c>
      <c r="I18166" t="s">
        <v>161</v>
      </c>
      <c r="J18166" t="s">
        <v>569</v>
      </c>
      <c r="K18166" t="s">
        <v>33</v>
      </c>
      <c r="L18166" t="s">
        <v>162</v>
      </c>
      <c r="N18166" t="s">
        <v>29</v>
      </c>
    </row>
    <row r="18167" spans="1:14">
      <c r="A18167" s="4" t="str">
        <f t="shared" si="1303"/>
        <v>EXP00438</v>
      </c>
      <c r="B18167" s="3" t="s">
        <v>66</v>
      </c>
      <c r="C18167" s="4" t="str">
        <f t="shared" si="1304"/>
        <v>TCGA-PRAD</v>
      </c>
      <c r="D18167" s="1" t="s">
        <v>493</v>
      </c>
      <c r="E18167" t="s">
        <v>571</v>
      </c>
      <c r="F18167" s="1">
        <v>2</v>
      </c>
      <c r="G18167" s="1" t="s">
        <v>28</v>
      </c>
      <c r="H18167" s="4" t="str">
        <f>HYPERLINK("https://portal.gdc.cancer.gov/cases/89c150cf-f60c-4f11-8f3e-384b0e0902f9","TCGA-EJ-A65J-01A")</f>
        <v>TCGA-EJ-A65J-01A</v>
      </c>
      <c r="I18167" t="s">
        <v>161</v>
      </c>
      <c r="J18167" t="s">
        <v>569</v>
      </c>
      <c r="K18167" t="s">
        <v>33</v>
      </c>
      <c r="L18167" t="s">
        <v>162</v>
      </c>
      <c r="N18167" t="s">
        <v>29</v>
      </c>
    </row>
    <row r="18168" spans="1:14">
      <c r="A18168" s="4" t="str">
        <f t="shared" si="1303"/>
        <v>EXP00438</v>
      </c>
      <c r="B18168" s="3" t="s">
        <v>66</v>
      </c>
      <c r="C18168" s="4" t="str">
        <f t="shared" si="1304"/>
        <v>TCGA-PRAD</v>
      </c>
      <c r="D18168" s="1" t="s">
        <v>493</v>
      </c>
      <c r="E18168" t="s">
        <v>571</v>
      </c>
      <c r="F18168" s="1">
        <v>2</v>
      </c>
      <c r="G18168" s="1" t="s">
        <v>28</v>
      </c>
      <c r="H18168" s="4" t="str">
        <f>HYPERLINK("https://portal.gdc.cancer.gov/cases/d4ff9f1a-1d35-4ad6-9a36-059547081c7e","TCGA-EJ-A65M-01A")</f>
        <v>TCGA-EJ-A65M-01A</v>
      </c>
      <c r="I18168" t="s">
        <v>161</v>
      </c>
      <c r="J18168" t="s">
        <v>569</v>
      </c>
      <c r="K18168" t="s">
        <v>33</v>
      </c>
      <c r="L18168" t="s">
        <v>162</v>
      </c>
      <c r="N18168" t="s">
        <v>29</v>
      </c>
    </row>
    <row r="18169" spans="1:14">
      <c r="A18169" s="4" t="str">
        <f t="shared" si="1303"/>
        <v>EXP00438</v>
      </c>
      <c r="B18169" s="3" t="s">
        <v>66</v>
      </c>
      <c r="C18169" s="4" t="str">
        <f t="shared" si="1304"/>
        <v>TCGA-PRAD</v>
      </c>
      <c r="D18169" s="1" t="s">
        <v>493</v>
      </c>
      <c r="E18169" t="s">
        <v>571</v>
      </c>
      <c r="F18169" s="1">
        <v>2</v>
      </c>
      <c r="G18169" s="1" t="s">
        <v>28</v>
      </c>
      <c r="H18169" s="4" t="str">
        <f>HYPERLINK("https://portal.gdc.cancer.gov/cases/4ef24cca-976b-4c2f-8810-4339967da570","TCGA-EJ-A6RA-01A")</f>
        <v>TCGA-EJ-A6RA-01A</v>
      </c>
      <c r="I18169" t="s">
        <v>161</v>
      </c>
      <c r="J18169" t="s">
        <v>569</v>
      </c>
      <c r="K18169" t="s">
        <v>33</v>
      </c>
      <c r="L18169" t="s">
        <v>162</v>
      </c>
      <c r="N18169" t="s">
        <v>29</v>
      </c>
    </row>
    <row r="18170" spans="1:14">
      <c r="A18170" s="4" t="str">
        <f t="shared" si="1303"/>
        <v>EXP00438</v>
      </c>
      <c r="B18170" s="3" t="s">
        <v>66</v>
      </c>
      <c r="C18170" s="4" t="str">
        <f t="shared" si="1304"/>
        <v>TCGA-PRAD</v>
      </c>
      <c r="D18170" s="1" t="s">
        <v>493</v>
      </c>
      <c r="E18170" t="s">
        <v>571</v>
      </c>
      <c r="F18170" s="1">
        <v>2</v>
      </c>
      <c r="G18170" s="1" t="s">
        <v>28</v>
      </c>
      <c r="H18170" s="4" t="str">
        <f>HYPERLINK("https://portal.gdc.cancer.gov/cases/aae0fca8-99e9-4fde-a2e9-b0ea500737f8","TCGA-EJ-A6RC-01A")</f>
        <v>TCGA-EJ-A6RC-01A</v>
      </c>
      <c r="I18170" t="s">
        <v>161</v>
      </c>
      <c r="J18170" t="s">
        <v>569</v>
      </c>
      <c r="K18170" t="s">
        <v>33</v>
      </c>
      <c r="L18170" t="s">
        <v>162</v>
      </c>
      <c r="N18170" t="s">
        <v>29</v>
      </c>
    </row>
    <row r="18171" spans="1:14">
      <c r="A18171" s="4" t="str">
        <f t="shared" si="1303"/>
        <v>EXP00438</v>
      </c>
      <c r="B18171" s="3" t="s">
        <v>66</v>
      </c>
      <c r="C18171" s="4" t="str">
        <f t="shared" si="1304"/>
        <v>TCGA-PRAD</v>
      </c>
      <c r="D18171" s="1" t="s">
        <v>493</v>
      </c>
      <c r="E18171" t="s">
        <v>571</v>
      </c>
      <c r="F18171" s="1">
        <v>2</v>
      </c>
      <c r="G18171" s="1" t="s">
        <v>28</v>
      </c>
      <c r="H18171" s="4" t="str">
        <f>HYPERLINK("https://portal.gdc.cancer.gov/cases/f4478172-7727-4680-9934-da755ab1825c","TCGA-EJ-A7NF-01A")</f>
        <v>TCGA-EJ-A7NF-01A</v>
      </c>
      <c r="I18171" t="s">
        <v>161</v>
      </c>
      <c r="J18171" t="s">
        <v>569</v>
      </c>
      <c r="K18171" t="s">
        <v>33</v>
      </c>
      <c r="L18171" t="s">
        <v>162</v>
      </c>
      <c r="N18171" t="s">
        <v>29</v>
      </c>
    </row>
    <row r="18172" spans="1:14">
      <c r="A18172" s="4" t="str">
        <f t="shared" si="1303"/>
        <v>EXP00438</v>
      </c>
      <c r="B18172" s="3" t="s">
        <v>66</v>
      </c>
      <c r="C18172" s="4" t="str">
        <f t="shared" si="1304"/>
        <v>TCGA-PRAD</v>
      </c>
      <c r="D18172" s="1" t="s">
        <v>493</v>
      </c>
      <c r="E18172" t="s">
        <v>571</v>
      </c>
      <c r="F18172" s="1">
        <v>2</v>
      </c>
      <c r="G18172" s="1" t="s">
        <v>28</v>
      </c>
      <c r="H18172" s="4" t="str">
        <f>HYPERLINK("https://portal.gdc.cancer.gov/cases/607fd22b-f281-431b-848e-ae01e69567e2","TCGA-EJ-A7NG-01A")</f>
        <v>TCGA-EJ-A7NG-01A</v>
      </c>
      <c r="I18172" t="s">
        <v>161</v>
      </c>
      <c r="J18172" t="s">
        <v>569</v>
      </c>
      <c r="K18172" t="s">
        <v>33</v>
      </c>
      <c r="L18172" t="s">
        <v>162</v>
      </c>
      <c r="N18172" t="s">
        <v>29</v>
      </c>
    </row>
    <row r="18173" spans="1:14">
      <c r="A18173" s="4" t="str">
        <f t="shared" si="1303"/>
        <v>EXP00438</v>
      </c>
      <c r="B18173" s="3" t="s">
        <v>66</v>
      </c>
      <c r="C18173" s="4" t="str">
        <f t="shared" si="1304"/>
        <v>TCGA-PRAD</v>
      </c>
      <c r="D18173" s="1" t="s">
        <v>493</v>
      </c>
      <c r="E18173" t="s">
        <v>571</v>
      </c>
      <c r="F18173" s="1">
        <v>2</v>
      </c>
      <c r="G18173" s="1" t="s">
        <v>28</v>
      </c>
      <c r="H18173" s="4" t="str">
        <f>HYPERLINK("https://portal.gdc.cancer.gov/cases/0d498226-e22a-44a4-9ef8-1da8e83fa55b","TCGA-EJ-A7NH-01A")</f>
        <v>TCGA-EJ-A7NH-01A</v>
      </c>
      <c r="I18173" t="s">
        <v>161</v>
      </c>
      <c r="J18173" t="s">
        <v>569</v>
      </c>
      <c r="K18173" t="s">
        <v>33</v>
      </c>
      <c r="L18173" t="s">
        <v>162</v>
      </c>
      <c r="N18173" t="s">
        <v>29</v>
      </c>
    </row>
    <row r="18174" spans="1:14">
      <c r="A18174" s="4" t="str">
        <f t="shared" si="1303"/>
        <v>EXP00438</v>
      </c>
      <c r="B18174" s="3" t="s">
        <v>66</v>
      </c>
      <c r="C18174" s="4" t="str">
        <f t="shared" si="1304"/>
        <v>TCGA-PRAD</v>
      </c>
      <c r="D18174" s="1" t="s">
        <v>493</v>
      </c>
      <c r="E18174" t="s">
        <v>571</v>
      </c>
      <c r="F18174" s="1">
        <v>2</v>
      </c>
      <c r="G18174" s="1" t="s">
        <v>28</v>
      </c>
      <c r="H18174" s="4" t="str">
        <f>HYPERLINK("https://portal.gdc.cancer.gov/cases/f6743ff8-542e-4fde-8ff2-4878fcabffda","TCGA-EJ-A7NJ-01A")</f>
        <v>TCGA-EJ-A7NJ-01A</v>
      </c>
      <c r="I18174" t="s">
        <v>161</v>
      </c>
      <c r="J18174" t="s">
        <v>569</v>
      </c>
      <c r="K18174" t="s">
        <v>33</v>
      </c>
      <c r="L18174" t="s">
        <v>162</v>
      </c>
      <c r="N18174" t="s">
        <v>29</v>
      </c>
    </row>
    <row r="18175" spans="1:14">
      <c r="A18175" s="4" t="str">
        <f t="shared" si="1303"/>
        <v>EXP00438</v>
      </c>
      <c r="B18175" s="3" t="s">
        <v>66</v>
      </c>
      <c r="C18175" s="4" t="str">
        <f t="shared" si="1304"/>
        <v>TCGA-PRAD</v>
      </c>
      <c r="D18175" s="1" t="s">
        <v>493</v>
      </c>
      <c r="E18175" t="s">
        <v>571</v>
      </c>
      <c r="F18175" s="1">
        <v>2</v>
      </c>
      <c r="G18175" s="1" t="s">
        <v>28</v>
      </c>
      <c r="H18175" s="4" t="str">
        <f>HYPERLINK("https://portal.gdc.cancer.gov/cases/c362f6f9-4ce6-4659-8c36-4cd45c72fb03","TCGA-EJ-A7NK-01A")</f>
        <v>TCGA-EJ-A7NK-01A</v>
      </c>
      <c r="I18175" t="s">
        <v>161</v>
      </c>
      <c r="J18175" t="s">
        <v>569</v>
      </c>
      <c r="K18175" t="s">
        <v>33</v>
      </c>
      <c r="L18175" t="s">
        <v>162</v>
      </c>
      <c r="N18175" t="s">
        <v>29</v>
      </c>
    </row>
    <row r="18176" spans="1:14">
      <c r="A18176" s="4" t="str">
        <f t="shared" si="1303"/>
        <v>EXP00438</v>
      </c>
      <c r="B18176" s="3" t="s">
        <v>66</v>
      </c>
      <c r="C18176" s="4" t="str">
        <f t="shared" si="1304"/>
        <v>TCGA-PRAD</v>
      </c>
      <c r="D18176" s="1" t="s">
        <v>493</v>
      </c>
      <c r="E18176" t="s">
        <v>571</v>
      </c>
      <c r="F18176" s="1">
        <v>2</v>
      </c>
      <c r="G18176" s="1" t="s">
        <v>28</v>
      </c>
      <c r="H18176" s="4" t="str">
        <f>HYPERLINK("https://portal.gdc.cancer.gov/cases/aa8b99fd-973f-465d-ae24-3421fe784687","TCGA-EJ-A7NM-01A")</f>
        <v>TCGA-EJ-A7NM-01A</v>
      </c>
      <c r="I18176" t="s">
        <v>161</v>
      </c>
      <c r="J18176" t="s">
        <v>569</v>
      </c>
      <c r="K18176" t="s">
        <v>33</v>
      </c>
      <c r="L18176" t="s">
        <v>162</v>
      </c>
      <c r="N18176" t="s">
        <v>29</v>
      </c>
    </row>
    <row r="18177" spans="1:14">
      <c r="A18177" s="4" t="str">
        <f t="shared" si="1303"/>
        <v>EXP00438</v>
      </c>
      <c r="B18177" s="3" t="s">
        <v>66</v>
      </c>
      <c r="C18177" s="4" t="str">
        <f t="shared" si="1304"/>
        <v>TCGA-PRAD</v>
      </c>
      <c r="D18177" s="1" t="s">
        <v>493</v>
      </c>
      <c r="E18177" t="s">
        <v>571</v>
      </c>
      <c r="F18177" s="1">
        <v>2</v>
      </c>
      <c r="G18177" s="1" t="s">
        <v>28</v>
      </c>
      <c r="H18177" s="4" t="str">
        <f>HYPERLINK("https://portal.gdc.cancer.gov/cases/c8fab4a7-fd7e-4d5e-a330-18c7e148b9d0","TCGA-EJ-A7NN-01A")</f>
        <v>TCGA-EJ-A7NN-01A</v>
      </c>
      <c r="I18177" t="s">
        <v>161</v>
      </c>
      <c r="J18177" t="s">
        <v>569</v>
      </c>
      <c r="K18177" t="s">
        <v>33</v>
      </c>
      <c r="L18177" t="s">
        <v>162</v>
      </c>
      <c r="N18177" t="s">
        <v>29</v>
      </c>
    </row>
    <row r="18178" spans="1:14">
      <c r="A18178" s="4" t="str">
        <f t="shared" si="1303"/>
        <v>EXP00438</v>
      </c>
      <c r="B18178" s="3" t="s">
        <v>66</v>
      </c>
      <c r="C18178" s="4" t="str">
        <f t="shared" si="1304"/>
        <v>TCGA-PRAD</v>
      </c>
      <c r="D18178" s="1" t="s">
        <v>493</v>
      </c>
      <c r="E18178" t="s">
        <v>571</v>
      </c>
      <c r="F18178" s="1">
        <v>2</v>
      </c>
      <c r="G18178" s="1" t="s">
        <v>28</v>
      </c>
      <c r="H18178" s="4" t="str">
        <f>HYPERLINK("https://portal.gdc.cancer.gov/cases/ea770d22-2cba-465c-9555-e0877dcecb9f","TCGA-EJ-A8FN-01A")</f>
        <v>TCGA-EJ-A8FN-01A</v>
      </c>
      <c r="I18178" t="s">
        <v>161</v>
      </c>
      <c r="J18178" t="s">
        <v>569</v>
      </c>
      <c r="K18178" t="s">
        <v>33</v>
      </c>
      <c r="L18178" t="s">
        <v>162</v>
      </c>
      <c r="N18178" t="s">
        <v>29</v>
      </c>
    </row>
    <row r="18179" spans="1:14">
      <c r="A18179" s="4" t="str">
        <f t="shared" si="1303"/>
        <v>EXP00438</v>
      </c>
      <c r="B18179" s="3" t="s">
        <v>66</v>
      </c>
      <c r="C18179" s="4" t="str">
        <f t="shared" si="1304"/>
        <v>TCGA-PRAD</v>
      </c>
      <c r="D18179" s="1" t="s">
        <v>493</v>
      </c>
      <c r="E18179" t="s">
        <v>571</v>
      </c>
      <c r="F18179" s="1">
        <v>2</v>
      </c>
      <c r="G18179" s="1" t="s">
        <v>28</v>
      </c>
      <c r="H18179" s="4" t="str">
        <f>HYPERLINK("https://portal.gdc.cancer.gov/cases/b751083d-be6d-45da-be97-a6d41d8ebe97","TCGA-EJ-A8FO-01A")</f>
        <v>TCGA-EJ-A8FO-01A</v>
      </c>
      <c r="I18179" t="s">
        <v>161</v>
      </c>
      <c r="J18179" t="s">
        <v>569</v>
      </c>
      <c r="K18179" t="s">
        <v>33</v>
      </c>
      <c r="L18179" t="s">
        <v>162</v>
      </c>
      <c r="N18179" t="s">
        <v>29</v>
      </c>
    </row>
    <row r="18180" spans="1:14">
      <c r="A18180" s="4" t="str">
        <f t="shared" si="1303"/>
        <v>EXP00438</v>
      </c>
      <c r="B18180" s="3" t="s">
        <v>66</v>
      </c>
      <c r="C18180" s="4" t="str">
        <f t="shared" si="1304"/>
        <v>TCGA-PRAD</v>
      </c>
      <c r="D18180" s="1" t="s">
        <v>493</v>
      </c>
      <c r="E18180" t="s">
        <v>571</v>
      </c>
      <c r="F18180" s="1">
        <v>2</v>
      </c>
      <c r="G18180" s="1" t="s">
        <v>28</v>
      </c>
      <c r="H18180" s="4" t="str">
        <f>HYPERLINK("https://portal.gdc.cancer.gov/cases/00f0f7dd-71de-4e4f-b4b5-df860324f2e8","TCGA-EJ-A8FP-01A")</f>
        <v>TCGA-EJ-A8FP-01A</v>
      </c>
      <c r="I18180" t="s">
        <v>161</v>
      </c>
      <c r="J18180" t="s">
        <v>569</v>
      </c>
      <c r="K18180" t="s">
        <v>33</v>
      </c>
      <c r="L18180" t="s">
        <v>162</v>
      </c>
      <c r="N18180" t="s">
        <v>29</v>
      </c>
    </row>
    <row r="18181" spans="1:14">
      <c r="A18181" s="4" t="str">
        <f t="shared" si="1303"/>
        <v>EXP00438</v>
      </c>
      <c r="B18181" s="3" t="s">
        <v>66</v>
      </c>
      <c r="C18181" s="4" t="str">
        <f t="shared" si="1304"/>
        <v>TCGA-PRAD</v>
      </c>
      <c r="D18181" s="1" t="s">
        <v>493</v>
      </c>
      <c r="E18181" t="s">
        <v>571</v>
      </c>
      <c r="F18181" s="1">
        <v>2</v>
      </c>
      <c r="G18181" s="1" t="s">
        <v>28</v>
      </c>
      <c r="H18181" s="4" t="str">
        <f>HYPERLINK("https://portal.gdc.cancer.gov/cases/9044098b-415d-4893-a682-3636f6b2b2db","TCGA-EJ-A8FS-01A")</f>
        <v>TCGA-EJ-A8FS-01A</v>
      </c>
      <c r="I18181" t="s">
        <v>161</v>
      </c>
      <c r="J18181" t="s">
        <v>569</v>
      </c>
      <c r="K18181" t="s">
        <v>33</v>
      </c>
      <c r="L18181" t="s">
        <v>162</v>
      </c>
      <c r="N18181" t="s">
        <v>29</v>
      </c>
    </row>
    <row r="18182" spans="1:14">
      <c r="A18182" s="4" t="str">
        <f t="shared" si="1303"/>
        <v>EXP00438</v>
      </c>
      <c r="B18182" s="3" t="s">
        <v>66</v>
      </c>
      <c r="C18182" s="4" t="str">
        <f t="shared" si="1304"/>
        <v>TCGA-PRAD</v>
      </c>
      <c r="D18182" s="1" t="s">
        <v>493</v>
      </c>
      <c r="E18182" t="s">
        <v>571</v>
      </c>
      <c r="F18182" s="1">
        <v>2</v>
      </c>
      <c r="G18182" s="1" t="s">
        <v>28</v>
      </c>
      <c r="H18182" s="4" t="str">
        <f>HYPERLINK("https://portal.gdc.cancer.gov/cases/23e56e08-e11d-4e83-88a8-1254675b3af8","TCGA-EJ-A8FU-01A")</f>
        <v>TCGA-EJ-A8FU-01A</v>
      </c>
      <c r="I18182" t="s">
        <v>161</v>
      </c>
      <c r="J18182" t="s">
        <v>569</v>
      </c>
      <c r="K18182" t="s">
        <v>33</v>
      </c>
      <c r="L18182" t="s">
        <v>162</v>
      </c>
      <c r="N18182" t="s">
        <v>29</v>
      </c>
    </row>
    <row r="18183" spans="1:14">
      <c r="A18183" s="4" t="str">
        <f t="shared" si="1303"/>
        <v>EXP00438</v>
      </c>
      <c r="B18183" s="3" t="s">
        <v>66</v>
      </c>
      <c r="C18183" s="4" t="str">
        <f t="shared" si="1304"/>
        <v>TCGA-PRAD</v>
      </c>
      <c r="D18183" s="1" t="s">
        <v>493</v>
      </c>
      <c r="E18183" t="s">
        <v>571</v>
      </c>
      <c r="F18183" s="1">
        <v>2</v>
      </c>
      <c r="G18183" s="1" t="s">
        <v>28</v>
      </c>
      <c r="H18183" s="4" t="str">
        <f>HYPERLINK("https://portal.gdc.cancer.gov/cases/743ffc51-d613-407f-b040-e99969c31802","TCGA-EJ-AB20-01A")</f>
        <v>TCGA-EJ-AB20-01A</v>
      </c>
      <c r="I18183" t="s">
        <v>161</v>
      </c>
      <c r="J18183" t="s">
        <v>569</v>
      </c>
      <c r="K18183" t="s">
        <v>33</v>
      </c>
      <c r="L18183" t="s">
        <v>162</v>
      </c>
      <c r="N18183" t="s">
        <v>29</v>
      </c>
    </row>
    <row r="18184" spans="1:14">
      <c r="A18184" s="4" t="str">
        <f t="shared" si="1303"/>
        <v>EXP00438</v>
      </c>
      <c r="B18184" s="3" t="s">
        <v>66</v>
      </c>
      <c r="C18184" s="4" t="str">
        <f t="shared" si="1304"/>
        <v>TCGA-PRAD</v>
      </c>
      <c r="D18184" s="1" t="s">
        <v>493</v>
      </c>
      <c r="E18184" t="s">
        <v>571</v>
      </c>
      <c r="F18184" s="1">
        <v>2</v>
      </c>
      <c r="G18184" s="1" t="s">
        <v>28</v>
      </c>
      <c r="H18184" s="4" t="str">
        <f>HYPERLINK("https://portal.gdc.cancer.gov/cases/b7b61392-c085-4e28-892f-e9b6fe6ece41","TCGA-EJ-AB27-01A")</f>
        <v>TCGA-EJ-AB27-01A</v>
      </c>
      <c r="I18184" t="s">
        <v>161</v>
      </c>
      <c r="J18184" t="s">
        <v>569</v>
      </c>
      <c r="K18184" t="s">
        <v>33</v>
      </c>
      <c r="L18184" t="s">
        <v>162</v>
      </c>
      <c r="N18184" t="s">
        <v>29</v>
      </c>
    </row>
    <row r="18185" spans="1:14">
      <c r="A18185" s="4" t="str">
        <f t="shared" si="1303"/>
        <v>EXP00438</v>
      </c>
      <c r="B18185" s="3" t="s">
        <v>66</v>
      </c>
      <c r="C18185" s="4" t="str">
        <f t="shared" si="1304"/>
        <v>TCGA-PRAD</v>
      </c>
      <c r="D18185" s="1" t="s">
        <v>493</v>
      </c>
      <c r="E18185" t="s">
        <v>571</v>
      </c>
      <c r="F18185" s="1">
        <v>2</v>
      </c>
      <c r="G18185" s="1" t="s">
        <v>28</v>
      </c>
      <c r="H18185" s="4" t="str">
        <f>HYPERLINK("https://portal.gdc.cancer.gov/cases/208a75b3-407c-4c5a-8938-3691547b6887","TCGA-FC-7708-01A")</f>
        <v>TCGA-FC-7708-01A</v>
      </c>
      <c r="I18185" t="s">
        <v>161</v>
      </c>
      <c r="J18185" t="s">
        <v>569</v>
      </c>
      <c r="K18185" t="s">
        <v>33</v>
      </c>
      <c r="L18185" t="s">
        <v>162</v>
      </c>
      <c r="N18185" t="s">
        <v>29</v>
      </c>
    </row>
    <row r="18186" spans="1:14">
      <c r="A18186" s="4" t="str">
        <f t="shared" ref="A18186:A18249" si="1305">HYPERLINK("http://hcmdb.i-sanger.com/experiment/details/experiment_id/EXP00438","EXP00438")</f>
        <v>EXP00438</v>
      </c>
      <c r="B18186" s="3" t="s">
        <v>66</v>
      </c>
      <c r="C18186" s="4" t="str">
        <f t="shared" si="1304"/>
        <v>TCGA-PRAD</v>
      </c>
      <c r="D18186" s="1" t="s">
        <v>493</v>
      </c>
      <c r="E18186" t="s">
        <v>571</v>
      </c>
      <c r="F18186" s="1">
        <v>2</v>
      </c>
      <c r="G18186" s="1" t="s">
        <v>28</v>
      </c>
      <c r="H18186" s="4" t="str">
        <f>HYPERLINK("https://portal.gdc.cancer.gov/cases/a8d81122-3f2a-43f4-bdc1-479cab37a19d","TCGA-FC-7961-01A")</f>
        <v>TCGA-FC-7961-01A</v>
      </c>
      <c r="I18186" t="s">
        <v>161</v>
      </c>
      <c r="J18186" t="s">
        <v>569</v>
      </c>
      <c r="K18186" t="s">
        <v>33</v>
      </c>
      <c r="L18186" t="s">
        <v>162</v>
      </c>
      <c r="N18186" t="s">
        <v>29</v>
      </c>
    </row>
    <row r="18187" spans="1:14">
      <c r="A18187" s="4" t="str">
        <f t="shared" si="1305"/>
        <v>EXP00438</v>
      </c>
      <c r="B18187" s="3" t="s">
        <v>66</v>
      </c>
      <c r="C18187" s="4" t="str">
        <f t="shared" si="1304"/>
        <v>TCGA-PRAD</v>
      </c>
      <c r="D18187" s="1" t="s">
        <v>493</v>
      </c>
      <c r="E18187" t="s">
        <v>571</v>
      </c>
      <c r="F18187" s="1">
        <v>2</v>
      </c>
      <c r="G18187" s="1" t="s">
        <v>28</v>
      </c>
      <c r="H18187" s="4" t="str">
        <f>HYPERLINK("https://portal.gdc.cancer.gov/cases/30f623a3-dae7-41da-ab10-8786d094209e","TCGA-FC-A4JI-01A")</f>
        <v>TCGA-FC-A4JI-01A</v>
      </c>
      <c r="I18187" t="s">
        <v>161</v>
      </c>
      <c r="J18187" t="s">
        <v>569</v>
      </c>
      <c r="K18187" t="s">
        <v>33</v>
      </c>
      <c r="L18187" t="s">
        <v>162</v>
      </c>
      <c r="N18187" t="s">
        <v>29</v>
      </c>
    </row>
    <row r="18188" spans="1:14">
      <c r="A18188" s="4" t="str">
        <f t="shared" si="1305"/>
        <v>EXP00438</v>
      </c>
      <c r="B18188" s="3" t="s">
        <v>66</v>
      </c>
      <c r="C18188" s="4" t="str">
        <f t="shared" si="1304"/>
        <v>TCGA-PRAD</v>
      </c>
      <c r="D18188" s="1" t="s">
        <v>493</v>
      </c>
      <c r="E18188" t="s">
        <v>571</v>
      </c>
      <c r="F18188" s="1">
        <v>2</v>
      </c>
      <c r="G18188" s="1" t="s">
        <v>28</v>
      </c>
      <c r="H18188" s="4" t="str">
        <f>HYPERLINK("https://portal.gdc.cancer.gov/cases/f7238e82-a394-4a7c-8514-6241d0aa17e3","TCGA-FC-A5OB-01A")</f>
        <v>TCGA-FC-A5OB-01A</v>
      </c>
      <c r="I18188" t="s">
        <v>161</v>
      </c>
      <c r="J18188" t="s">
        <v>569</v>
      </c>
      <c r="K18188" t="s">
        <v>33</v>
      </c>
      <c r="L18188" t="s">
        <v>162</v>
      </c>
      <c r="N18188" t="s">
        <v>29</v>
      </c>
    </row>
    <row r="18189" spans="1:14">
      <c r="A18189" s="4" t="str">
        <f t="shared" si="1305"/>
        <v>EXP00438</v>
      </c>
      <c r="B18189" s="3" t="s">
        <v>66</v>
      </c>
      <c r="C18189" s="4" t="str">
        <f t="shared" si="1304"/>
        <v>TCGA-PRAD</v>
      </c>
      <c r="D18189" s="1" t="s">
        <v>493</v>
      </c>
      <c r="E18189" t="s">
        <v>571</v>
      </c>
      <c r="F18189" s="1">
        <v>2</v>
      </c>
      <c r="G18189" s="1" t="s">
        <v>28</v>
      </c>
      <c r="H18189" s="4" t="str">
        <f>HYPERLINK("https://portal.gdc.cancer.gov/cases/7466d120-6a6e-40a0-96d3-4979816d6278","TCGA-FC-A66V-01A")</f>
        <v>TCGA-FC-A66V-01A</v>
      </c>
      <c r="I18189" t="s">
        <v>161</v>
      </c>
      <c r="J18189" t="s">
        <v>569</v>
      </c>
      <c r="K18189" t="s">
        <v>33</v>
      </c>
      <c r="L18189" t="s">
        <v>162</v>
      </c>
      <c r="N18189" t="s">
        <v>29</v>
      </c>
    </row>
    <row r="18190" spans="1:14">
      <c r="A18190" s="4" t="str">
        <f t="shared" si="1305"/>
        <v>EXP00438</v>
      </c>
      <c r="B18190" s="3" t="s">
        <v>66</v>
      </c>
      <c r="C18190" s="4" t="str">
        <f t="shared" si="1304"/>
        <v>TCGA-PRAD</v>
      </c>
      <c r="D18190" s="1" t="s">
        <v>493</v>
      </c>
      <c r="E18190" t="s">
        <v>571</v>
      </c>
      <c r="F18190" s="1">
        <v>2</v>
      </c>
      <c r="G18190" s="1" t="s">
        <v>28</v>
      </c>
      <c r="H18190" s="4" t="str">
        <f>HYPERLINK("https://portal.gdc.cancer.gov/cases/f97fed28-fdf3-4c82-8b6d-1015848b80dc","TCGA-FC-A6HD-01A")</f>
        <v>TCGA-FC-A6HD-01A</v>
      </c>
      <c r="I18190" t="s">
        <v>161</v>
      </c>
      <c r="J18190" t="s">
        <v>569</v>
      </c>
      <c r="K18190" t="s">
        <v>33</v>
      </c>
      <c r="L18190" t="s">
        <v>162</v>
      </c>
      <c r="N18190" t="s">
        <v>29</v>
      </c>
    </row>
    <row r="18191" spans="1:14">
      <c r="A18191" s="4" t="str">
        <f t="shared" si="1305"/>
        <v>EXP00438</v>
      </c>
      <c r="B18191" s="3" t="s">
        <v>66</v>
      </c>
      <c r="C18191" s="4" t="str">
        <f t="shared" si="1304"/>
        <v>TCGA-PRAD</v>
      </c>
      <c r="D18191" s="1" t="s">
        <v>493</v>
      </c>
      <c r="E18191" t="s">
        <v>571</v>
      </c>
      <c r="F18191" s="1">
        <v>2</v>
      </c>
      <c r="G18191" s="1" t="s">
        <v>28</v>
      </c>
      <c r="H18191" s="4" t="str">
        <f>HYPERLINK("https://portal.gdc.cancer.gov/cases/7eea6fd7-733c-44eb-b4b7-50bb3a2628a0","TCGA-FC-A8O0-01A")</f>
        <v>TCGA-FC-A8O0-01A</v>
      </c>
      <c r="I18191" t="s">
        <v>161</v>
      </c>
      <c r="J18191" t="s">
        <v>569</v>
      </c>
      <c r="K18191" t="s">
        <v>33</v>
      </c>
      <c r="L18191" t="s">
        <v>162</v>
      </c>
      <c r="N18191" t="s">
        <v>29</v>
      </c>
    </row>
    <row r="18192" spans="1:14">
      <c r="A18192" s="4" t="str">
        <f t="shared" si="1305"/>
        <v>EXP00438</v>
      </c>
      <c r="B18192" s="3" t="s">
        <v>66</v>
      </c>
      <c r="C18192" s="4" t="str">
        <f t="shared" si="1304"/>
        <v>TCGA-PRAD</v>
      </c>
      <c r="D18192" s="1" t="s">
        <v>493</v>
      </c>
      <c r="E18192" t="s">
        <v>571</v>
      </c>
      <c r="F18192" s="1">
        <v>2</v>
      </c>
      <c r="G18192" s="1" t="s">
        <v>28</v>
      </c>
      <c r="H18192" s="4" t="str">
        <f>HYPERLINK("https://portal.gdc.cancer.gov/cases/a08fd0a6-a89a-4adb-b641-d4c1238abb71","TCGA-G9-6329-01A")</f>
        <v>TCGA-G9-6329-01A</v>
      </c>
      <c r="I18192" t="s">
        <v>161</v>
      </c>
      <c r="J18192" t="s">
        <v>569</v>
      </c>
      <c r="K18192" t="s">
        <v>33</v>
      </c>
      <c r="L18192" t="s">
        <v>162</v>
      </c>
      <c r="N18192" t="s">
        <v>29</v>
      </c>
    </row>
    <row r="18193" spans="1:14">
      <c r="A18193" s="4" t="str">
        <f t="shared" si="1305"/>
        <v>EXP00438</v>
      </c>
      <c r="B18193" s="3" t="s">
        <v>66</v>
      </c>
      <c r="C18193" s="4" t="str">
        <f t="shared" si="1304"/>
        <v>TCGA-PRAD</v>
      </c>
      <c r="D18193" s="1" t="s">
        <v>493</v>
      </c>
      <c r="E18193" t="s">
        <v>571</v>
      </c>
      <c r="F18193" s="1">
        <v>2</v>
      </c>
      <c r="G18193" s="1" t="s">
        <v>28</v>
      </c>
      <c r="H18193" s="4" t="str">
        <f>HYPERLINK("https://portal.gdc.cancer.gov/cases/c46022f8-b122-4367-836b-ec1ae641a87d","TCGA-G9-6332-01A")</f>
        <v>TCGA-G9-6332-01A</v>
      </c>
      <c r="I18193" t="s">
        <v>161</v>
      </c>
      <c r="J18193" t="s">
        <v>569</v>
      </c>
      <c r="K18193" t="s">
        <v>33</v>
      </c>
      <c r="L18193" t="s">
        <v>162</v>
      </c>
      <c r="N18193" t="s">
        <v>29</v>
      </c>
    </row>
    <row r="18194" spans="1:14">
      <c r="A18194" s="4" t="str">
        <f t="shared" si="1305"/>
        <v>EXP00438</v>
      </c>
      <c r="B18194" s="3" t="s">
        <v>66</v>
      </c>
      <c r="C18194" s="4" t="str">
        <f t="shared" si="1304"/>
        <v>TCGA-PRAD</v>
      </c>
      <c r="D18194" s="1" t="s">
        <v>493</v>
      </c>
      <c r="E18194" t="s">
        <v>571</v>
      </c>
      <c r="F18194" s="1">
        <v>2</v>
      </c>
      <c r="G18194" s="1" t="s">
        <v>28</v>
      </c>
      <c r="H18194" s="4" t="str">
        <f>HYPERLINK("https://portal.gdc.cancer.gov/cases/64bf32c9-9466-404a-a147-e7a0b9e91e34","TCGA-G9-6333-01A")</f>
        <v>TCGA-G9-6333-01A</v>
      </c>
      <c r="I18194" t="s">
        <v>161</v>
      </c>
      <c r="J18194" t="s">
        <v>569</v>
      </c>
      <c r="K18194" t="s">
        <v>33</v>
      </c>
      <c r="L18194" t="s">
        <v>162</v>
      </c>
      <c r="N18194" t="s">
        <v>29</v>
      </c>
    </row>
    <row r="18195" spans="1:14">
      <c r="A18195" s="4" t="str">
        <f t="shared" si="1305"/>
        <v>EXP00438</v>
      </c>
      <c r="B18195" s="3" t="s">
        <v>66</v>
      </c>
      <c r="C18195" s="4" t="str">
        <f t="shared" si="1304"/>
        <v>TCGA-PRAD</v>
      </c>
      <c r="D18195" s="1" t="s">
        <v>493</v>
      </c>
      <c r="E18195" t="s">
        <v>571</v>
      </c>
      <c r="F18195" s="1">
        <v>2</v>
      </c>
      <c r="G18195" s="1" t="s">
        <v>28</v>
      </c>
      <c r="H18195" s="4" t="str">
        <f>HYPERLINK("https://portal.gdc.cancer.gov/cases/59207bcd-f127-481f-b576-8716da7d7d97","TCGA-G9-6336-01A")</f>
        <v>TCGA-G9-6336-01A</v>
      </c>
      <c r="I18195" t="s">
        <v>161</v>
      </c>
      <c r="J18195" t="s">
        <v>569</v>
      </c>
      <c r="K18195" t="s">
        <v>33</v>
      </c>
      <c r="L18195" t="s">
        <v>162</v>
      </c>
      <c r="N18195" t="s">
        <v>29</v>
      </c>
    </row>
    <row r="18196" spans="1:14">
      <c r="A18196" s="4" t="str">
        <f t="shared" si="1305"/>
        <v>EXP00438</v>
      </c>
      <c r="B18196" s="3" t="s">
        <v>66</v>
      </c>
      <c r="C18196" s="4" t="str">
        <f t="shared" si="1304"/>
        <v>TCGA-PRAD</v>
      </c>
      <c r="D18196" s="1" t="s">
        <v>493</v>
      </c>
      <c r="E18196" t="s">
        <v>571</v>
      </c>
      <c r="F18196" s="1">
        <v>2</v>
      </c>
      <c r="G18196" s="1" t="s">
        <v>28</v>
      </c>
      <c r="H18196" s="4" t="str">
        <f>HYPERLINK("https://portal.gdc.cancer.gov/cases/2c48b1bf-4e49-4869-874b-f08787fa04b5","TCGA-G9-6338-01A")</f>
        <v>TCGA-G9-6338-01A</v>
      </c>
      <c r="I18196" t="s">
        <v>161</v>
      </c>
      <c r="J18196" t="s">
        <v>569</v>
      </c>
      <c r="K18196" t="s">
        <v>33</v>
      </c>
      <c r="L18196" t="s">
        <v>162</v>
      </c>
      <c r="N18196" t="s">
        <v>29</v>
      </c>
    </row>
    <row r="18197" spans="1:14">
      <c r="A18197" s="4" t="str">
        <f t="shared" si="1305"/>
        <v>EXP00438</v>
      </c>
      <c r="B18197" s="3" t="s">
        <v>66</v>
      </c>
      <c r="C18197" s="4" t="str">
        <f t="shared" si="1304"/>
        <v>TCGA-PRAD</v>
      </c>
      <c r="D18197" s="1" t="s">
        <v>493</v>
      </c>
      <c r="E18197" t="s">
        <v>571</v>
      </c>
      <c r="F18197" s="1">
        <v>2</v>
      </c>
      <c r="G18197" s="1" t="s">
        <v>28</v>
      </c>
      <c r="H18197" s="4" t="str">
        <f>HYPERLINK("https://portal.gdc.cancer.gov/cases/d39d1a49-fcc0-4f2c-9338-df904e7f6a09","TCGA-G9-6339-01A")</f>
        <v>TCGA-G9-6339-01A</v>
      </c>
      <c r="I18197" t="s">
        <v>161</v>
      </c>
      <c r="J18197" t="s">
        <v>569</v>
      </c>
      <c r="K18197" t="s">
        <v>33</v>
      </c>
      <c r="L18197" t="s">
        <v>162</v>
      </c>
      <c r="N18197" t="s">
        <v>29</v>
      </c>
    </row>
    <row r="18198" spans="1:14">
      <c r="A18198" s="4" t="str">
        <f t="shared" si="1305"/>
        <v>EXP00438</v>
      </c>
      <c r="B18198" s="3" t="s">
        <v>66</v>
      </c>
      <c r="C18198" s="4" t="str">
        <f t="shared" si="1304"/>
        <v>TCGA-PRAD</v>
      </c>
      <c r="D18198" s="1" t="s">
        <v>493</v>
      </c>
      <c r="E18198" t="s">
        <v>571</v>
      </c>
      <c r="F18198" s="1">
        <v>2</v>
      </c>
      <c r="G18198" s="1" t="s">
        <v>28</v>
      </c>
      <c r="H18198" s="4" t="str">
        <f>HYPERLINK("https://portal.gdc.cancer.gov/cases/00e41e6a-9fe7-44f9-978b-7b05b179506a","TCGA-G9-6342-01A")</f>
        <v>TCGA-G9-6342-01A</v>
      </c>
      <c r="I18198" t="s">
        <v>161</v>
      </c>
      <c r="J18198" t="s">
        <v>569</v>
      </c>
      <c r="K18198" t="s">
        <v>33</v>
      </c>
      <c r="L18198" t="s">
        <v>162</v>
      </c>
      <c r="N18198" t="s">
        <v>29</v>
      </c>
    </row>
    <row r="18199" spans="1:14">
      <c r="A18199" s="4" t="str">
        <f t="shared" si="1305"/>
        <v>EXP00438</v>
      </c>
      <c r="B18199" s="3" t="s">
        <v>66</v>
      </c>
      <c r="C18199" s="4" t="str">
        <f t="shared" si="1304"/>
        <v>TCGA-PRAD</v>
      </c>
      <c r="D18199" s="1" t="s">
        <v>493</v>
      </c>
      <c r="E18199" t="s">
        <v>571</v>
      </c>
      <c r="F18199" s="1">
        <v>2</v>
      </c>
      <c r="G18199" s="1" t="s">
        <v>28</v>
      </c>
      <c r="H18199" s="4" t="str">
        <f>HYPERLINK("https://portal.gdc.cancer.gov/cases/36b87d12-9f96-460f-a3b5-a4c08cbf5b07","TCGA-G9-6343-01A")</f>
        <v>TCGA-G9-6343-01A</v>
      </c>
      <c r="I18199" t="s">
        <v>161</v>
      </c>
      <c r="J18199" t="s">
        <v>569</v>
      </c>
      <c r="K18199" t="s">
        <v>33</v>
      </c>
      <c r="L18199" t="s">
        <v>162</v>
      </c>
      <c r="N18199" t="s">
        <v>29</v>
      </c>
    </row>
    <row r="18200" spans="1:14">
      <c r="A18200" s="4" t="str">
        <f t="shared" si="1305"/>
        <v>EXP00438</v>
      </c>
      <c r="B18200" s="3" t="s">
        <v>66</v>
      </c>
      <c r="C18200" s="4" t="str">
        <f t="shared" si="1304"/>
        <v>TCGA-PRAD</v>
      </c>
      <c r="D18200" s="1" t="s">
        <v>493</v>
      </c>
      <c r="E18200" t="s">
        <v>571</v>
      </c>
      <c r="F18200" s="1">
        <v>2</v>
      </c>
      <c r="G18200" s="1" t="s">
        <v>28</v>
      </c>
      <c r="H18200" s="4" t="str">
        <f>HYPERLINK("https://portal.gdc.cancer.gov/cases/b5268f49-2710-4d17-a78b-4a05412e8375","TCGA-G9-6347-01A")</f>
        <v>TCGA-G9-6347-01A</v>
      </c>
      <c r="I18200" t="s">
        <v>161</v>
      </c>
      <c r="J18200" t="s">
        <v>569</v>
      </c>
      <c r="K18200" t="s">
        <v>33</v>
      </c>
      <c r="L18200" t="s">
        <v>162</v>
      </c>
      <c r="N18200" t="s">
        <v>29</v>
      </c>
    </row>
    <row r="18201" spans="1:14">
      <c r="A18201" s="4" t="str">
        <f t="shared" si="1305"/>
        <v>EXP00438</v>
      </c>
      <c r="B18201" s="3" t="s">
        <v>66</v>
      </c>
      <c r="C18201" s="4" t="str">
        <f t="shared" si="1304"/>
        <v>TCGA-PRAD</v>
      </c>
      <c r="D18201" s="1" t="s">
        <v>493</v>
      </c>
      <c r="E18201" t="s">
        <v>571</v>
      </c>
      <c r="F18201" s="1">
        <v>2</v>
      </c>
      <c r="G18201" s="1" t="s">
        <v>28</v>
      </c>
      <c r="H18201" s="4" t="str">
        <f>HYPERLINK("https://portal.gdc.cancer.gov/cases/8ad78c4f-c84c-4f9e-88c9-42a05eb65498","TCGA-G9-6348-01A")</f>
        <v>TCGA-G9-6348-01A</v>
      </c>
      <c r="I18201" t="s">
        <v>161</v>
      </c>
      <c r="J18201" t="s">
        <v>569</v>
      </c>
      <c r="K18201" t="s">
        <v>33</v>
      </c>
      <c r="L18201" t="s">
        <v>162</v>
      </c>
      <c r="N18201" t="s">
        <v>29</v>
      </c>
    </row>
    <row r="18202" spans="1:14">
      <c r="A18202" s="4" t="str">
        <f t="shared" si="1305"/>
        <v>EXP00438</v>
      </c>
      <c r="B18202" s="3" t="s">
        <v>66</v>
      </c>
      <c r="C18202" s="4" t="str">
        <f t="shared" si="1304"/>
        <v>TCGA-PRAD</v>
      </c>
      <c r="D18202" s="1" t="s">
        <v>493</v>
      </c>
      <c r="E18202" t="s">
        <v>571</v>
      </c>
      <c r="F18202" s="1">
        <v>2</v>
      </c>
      <c r="G18202" s="1" t="s">
        <v>28</v>
      </c>
      <c r="H18202" s="4" t="str">
        <f>HYPERLINK("https://portal.gdc.cancer.gov/cases/f59b9c65-46e8-4cc3-aa71-8844f6c2273c","TCGA-G9-6351-01A")</f>
        <v>TCGA-G9-6351-01A</v>
      </c>
      <c r="I18202" t="s">
        <v>161</v>
      </c>
      <c r="J18202" t="s">
        <v>569</v>
      </c>
      <c r="K18202" t="s">
        <v>33</v>
      </c>
      <c r="L18202" t="s">
        <v>162</v>
      </c>
      <c r="N18202" t="s">
        <v>29</v>
      </c>
    </row>
    <row r="18203" spans="1:14">
      <c r="A18203" s="4" t="str">
        <f t="shared" si="1305"/>
        <v>EXP00438</v>
      </c>
      <c r="B18203" s="3" t="s">
        <v>66</v>
      </c>
      <c r="C18203" s="4" t="str">
        <f t="shared" si="1304"/>
        <v>TCGA-PRAD</v>
      </c>
      <c r="D18203" s="1" t="s">
        <v>493</v>
      </c>
      <c r="E18203" t="s">
        <v>571</v>
      </c>
      <c r="F18203" s="1">
        <v>2</v>
      </c>
      <c r="G18203" s="1" t="s">
        <v>28</v>
      </c>
      <c r="H18203" s="4" t="str">
        <f>HYPERLINK("https://portal.gdc.cancer.gov/cases/bcc94953-ce79-428e-99c1-632e42c1b9bc","TCGA-G9-6353-01A")</f>
        <v>TCGA-G9-6353-01A</v>
      </c>
      <c r="I18203" t="s">
        <v>161</v>
      </c>
      <c r="J18203" t="s">
        <v>569</v>
      </c>
      <c r="K18203" t="s">
        <v>33</v>
      </c>
      <c r="L18203" t="s">
        <v>162</v>
      </c>
      <c r="N18203" t="s">
        <v>29</v>
      </c>
    </row>
    <row r="18204" spans="1:14">
      <c r="A18204" s="4" t="str">
        <f t="shared" si="1305"/>
        <v>EXP00438</v>
      </c>
      <c r="B18204" s="3" t="s">
        <v>66</v>
      </c>
      <c r="C18204" s="4" t="str">
        <f t="shared" ref="C18204:C18267" si="1306">HYPERLINK("https://portal.gdc.cancer.gov/projects/TCGA-PRAD","TCGA-PRAD")</f>
        <v>TCGA-PRAD</v>
      </c>
      <c r="D18204" s="1" t="s">
        <v>493</v>
      </c>
      <c r="E18204" t="s">
        <v>571</v>
      </c>
      <c r="F18204" s="1">
        <v>2</v>
      </c>
      <c r="G18204" s="1" t="s">
        <v>28</v>
      </c>
      <c r="H18204" s="4" t="str">
        <f>HYPERLINK("https://portal.gdc.cancer.gov/cases/6bbbe263-3632-4567-912c-95bc9940a1dd","TCGA-G9-6354-01A")</f>
        <v>TCGA-G9-6354-01A</v>
      </c>
      <c r="I18204" t="s">
        <v>161</v>
      </c>
      <c r="J18204" t="s">
        <v>569</v>
      </c>
      <c r="K18204" t="s">
        <v>33</v>
      </c>
      <c r="L18204" t="s">
        <v>162</v>
      </c>
      <c r="N18204" t="s">
        <v>29</v>
      </c>
    </row>
    <row r="18205" spans="1:14">
      <c r="A18205" s="4" t="str">
        <f t="shared" si="1305"/>
        <v>EXP00438</v>
      </c>
      <c r="B18205" s="3" t="s">
        <v>66</v>
      </c>
      <c r="C18205" s="4" t="str">
        <f t="shared" si="1306"/>
        <v>TCGA-PRAD</v>
      </c>
      <c r="D18205" s="1" t="s">
        <v>493</v>
      </c>
      <c r="E18205" t="s">
        <v>571</v>
      </c>
      <c r="F18205" s="1">
        <v>2</v>
      </c>
      <c r="G18205" s="1" t="s">
        <v>28</v>
      </c>
      <c r="H18205" s="4" t="str">
        <f>HYPERLINK("https://portal.gdc.cancer.gov/cases/1d7ffbe7-6139-412b-8739-8082a63a2b33","TCGA-G9-6356-01A")</f>
        <v>TCGA-G9-6356-01A</v>
      </c>
      <c r="I18205" t="s">
        <v>161</v>
      </c>
      <c r="J18205" t="s">
        <v>569</v>
      </c>
      <c r="K18205" t="s">
        <v>33</v>
      </c>
      <c r="L18205" t="s">
        <v>162</v>
      </c>
      <c r="N18205" t="s">
        <v>29</v>
      </c>
    </row>
    <row r="18206" spans="1:14">
      <c r="A18206" s="4" t="str">
        <f t="shared" si="1305"/>
        <v>EXP00438</v>
      </c>
      <c r="B18206" s="3" t="s">
        <v>66</v>
      </c>
      <c r="C18206" s="4" t="str">
        <f t="shared" si="1306"/>
        <v>TCGA-PRAD</v>
      </c>
      <c r="D18206" s="1" t="s">
        <v>493</v>
      </c>
      <c r="E18206" t="s">
        <v>571</v>
      </c>
      <c r="F18206" s="1">
        <v>2</v>
      </c>
      <c r="G18206" s="1" t="s">
        <v>28</v>
      </c>
      <c r="H18206" s="4" t="str">
        <f>HYPERLINK("https://portal.gdc.cancer.gov/cases/71d14304-ccb0-4a4c-b935-8c014ca75fd0","TCGA-G9-6361-01A")</f>
        <v>TCGA-G9-6361-01A</v>
      </c>
      <c r="I18206" t="s">
        <v>161</v>
      </c>
      <c r="J18206" t="s">
        <v>569</v>
      </c>
      <c r="K18206" t="s">
        <v>33</v>
      </c>
      <c r="L18206" t="s">
        <v>162</v>
      </c>
      <c r="N18206" t="s">
        <v>29</v>
      </c>
    </row>
    <row r="18207" spans="1:14">
      <c r="A18207" s="4" t="str">
        <f t="shared" si="1305"/>
        <v>EXP00438</v>
      </c>
      <c r="B18207" s="3" t="s">
        <v>66</v>
      </c>
      <c r="C18207" s="4" t="str">
        <f t="shared" si="1306"/>
        <v>TCGA-PRAD</v>
      </c>
      <c r="D18207" s="1" t="s">
        <v>493</v>
      </c>
      <c r="E18207" t="s">
        <v>571</v>
      </c>
      <c r="F18207" s="1">
        <v>2</v>
      </c>
      <c r="G18207" s="1" t="s">
        <v>28</v>
      </c>
      <c r="H18207" s="4" t="str">
        <f>HYPERLINK("https://portal.gdc.cancer.gov/cases/f228ef91-ecfb-4d1e-8e6a-b43d2185270e","TCGA-G9-6362-01A")</f>
        <v>TCGA-G9-6362-01A</v>
      </c>
      <c r="I18207" t="s">
        <v>161</v>
      </c>
      <c r="J18207" t="s">
        <v>569</v>
      </c>
      <c r="K18207" t="s">
        <v>33</v>
      </c>
      <c r="L18207" t="s">
        <v>162</v>
      </c>
      <c r="N18207" t="s">
        <v>29</v>
      </c>
    </row>
    <row r="18208" spans="1:14">
      <c r="A18208" s="4" t="str">
        <f t="shared" si="1305"/>
        <v>EXP00438</v>
      </c>
      <c r="B18208" s="3" t="s">
        <v>66</v>
      </c>
      <c r="C18208" s="4" t="str">
        <f t="shared" si="1306"/>
        <v>TCGA-PRAD</v>
      </c>
      <c r="D18208" s="1" t="s">
        <v>493</v>
      </c>
      <c r="E18208" t="s">
        <v>571</v>
      </c>
      <c r="F18208" s="1">
        <v>2</v>
      </c>
      <c r="G18208" s="1" t="s">
        <v>28</v>
      </c>
      <c r="H18208" s="4" t="str">
        <f>HYPERLINK("https://portal.gdc.cancer.gov/cases/b5b3871c-078c-46a7-ac50-ef916d4a6781","TCGA-G9-6363-01A")</f>
        <v>TCGA-G9-6363-01A</v>
      </c>
      <c r="I18208" t="s">
        <v>161</v>
      </c>
      <c r="J18208" t="s">
        <v>569</v>
      </c>
      <c r="K18208" t="s">
        <v>33</v>
      </c>
      <c r="L18208" t="s">
        <v>162</v>
      </c>
      <c r="N18208" t="s">
        <v>29</v>
      </c>
    </row>
    <row r="18209" spans="1:14">
      <c r="A18209" s="4" t="str">
        <f t="shared" si="1305"/>
        <v>EXP00438</v>
      </c>
      <c r="B18209" s="3" t="s">
        <v>66</v>
      </c>
      <c r="C18209" s="4" t="str">
        <f t="shared" si="1306"/>
        <v>TCGA-PRAD</v>
      </c>
      <c r="D18209" s="1" t="s">
        <v>493</v>
      </c>
      <c r="E18209" t="s">
        <v>571</v>
      </c>
      <c r="F18209" s="1">
        <v>2</v>
      </c>
      <c r="G18209" s="1" t="s">
        <v>28</v>
      </c>
      <c r="H18209" s="4" t="str">
        <f>HYPERLINK("https://portal.gdc.cancer.gov/cases/f8d8b417-5945-42a5-850a-fbc04b4f0e61","TCGA-G9-6364-01A")</f>
        <v>TCGA-G9-6364-01A</v>
      </c>
      <c r="I18209" t="s">
        <v>161</v>
      </c>
      <c r="J18209" t="s">
        <v>569</v>
      </c>
      <c r="K18209" t="s">
        <v>33</v>
      </c>
      <c r="L18209" t="s">
        <v>162</v>
      </c>
      <c r="N18209" t="s">
        <v>29</v>
      </c>
    </row>
    <row r="18210" spans="1:14">
      <c r="A18210" s="4" t="str">
        <f t="shared" si="1305"/>
        <v>EXP00438</v>
      </c>
      <c r="B18210" s="3" t="s">
        <v>66</v>
      </c>
      <c r="C18210" s="4" t="str">
        <f t="shared" si="1306"/>
        <v>TCGA-PRAD</v>
      </c>
      <c r="D18210" s="1" t="s">
        <v>493</v>
      </c>
      <c r="E18210" t="s">
        <v>571</v>
      </c>
      <c r="F18210" s="1">
        <v>2</v>
      </c>
      <c r="G18210" s="1" t="s">
        <v>28</v>
      </c>
      <c r="H18210" s="4" t="str">
        <f>HYPERLINK("https://portal.gdc.cancer.gov/cases/6845076e-e940-4437-8618-81db4a447544","TCGA-G9-6365-01A")</f>
        <v>TCGA-G9-6365-01A</v>
      </c>
      <c r="I18210" t="s">
        <v>161</v>
      </c>
      <c r="J18210" t="s">
        <v>569</v>
      </c>
      <c r="K18210" t="s">
        <v>33</v>
      </c>
      <c r="L18210" t="s">
        <v>162</v>
      </c>
      <c r="N18210" t="s">
        <v>29</v>
      </c>
    </row>
    <row r="18211" spans="1:14">
      <c r="A18211" s="4" t="str">
        <f t="shared" si="1305"/>
        <v>EXP00438</v>
      </c>
      <c r="B18211" s="3" t="s">
        <v>66</v>
      </c>
      <c r="C18211" s="4" t="str">
        <f t="shared" si="1306"/>
        <v>TCGA-PRAD</v>
      </c>
      <c r="D18211" s="1" t="s">
        <v>493</v>
      </c>
      <c r="E18211" t="s">
        <v>571</v>
      </c>
      <c r="F18211" s="1">
        <v>2</v>
      </c>
      <c r="G18211" s="1" t="s">
        <v>28</v>
      </c>
      <c r="H18211" s="4" t="str">
        <f>HYPERLINK("https://portal.gdc.cancer.gov/cases/df3abb97-c790-4ff6-a726-6645b3058d72","TCGA-G9-6366-01A")</f>
        <v>TCGA-G9-6366-01A</v>
      </c>
      <c r="I18211" t="s">
        <v>161</v>
      </c>
      <c r="J18211" t="s">
        <v>569</v>
      </c>
      <c r="K18211" t="s">
        <v>33</v>
      </c>
      <c r="L18211" t="s">
        <v>162</v>
      </c>
      <c r="N18211" t="s">
        <v>29</v>
      </c>
    </row>
    <row r="18212" spans="1:14">
      <c r="A18212" s="4" t="str">
        <f t="shared" si="1305"/>
        <v>EXP00438</v>
      </c>
      <c r="B18212" s="3" t="s">
        <v>66</v>
      </c>
      <c r="C18212" s="4" t="str">
        <f t="shared" si="1306"/>
        <v>TCGA-PRAD</v>
      </c>
      <c r="D18212" s="1" t="s">
        <v>493</v>
      </c>
      <c r="E18212" t="s">
        <v>571</v>
      </c>
      <c r="F18212" s="1">
        <v>2</v>
      </c>
      <c r="G18212" s="1" t="s">
        <v>28</v>
      </c>
      <c r="H18212" s="4" t="str">
        <f>HYPERLINK("https://portal.gdc.cancer.gov/cases/9f751c9d-ad41-4f02-b7f8-12423857d418","TCGA-G9-6367-01A")</f>
        <v>TCGA-G9-6367-01A</v>
      </c>
      <c r="I18212" t="s">
        <v>161</v>
      </c>
      <c r="J18212" t="s">
        <v>569</v>
      </c>
      <c r="K18212" t="s">
        <v>33</v>
      </c>
      <c r="L18212" t="s">
        <v>162</v>
      </c>
      <c r="N18212" t="s">
        <v>29</v>
      </c>
    </row>
    <row r="18213" spans="1:14">
      <c r="A18213" s="4" t="str">
        <f t="shared" si="1305"/>
        <v>EXP00438</v>
      </c>
      <c r="B18213" s="3" t="s">
        <v>66</v>
      </c>
      <c r="C18213" s="4" t="str">
        <f t="shared" si="1306"/>
        <v>TCGA-PRAD</v>
      </c>
      <c r="D18213" s="1" t="s">
        <v>493</v>
      </c>
      <c r="E18213" t="s">
        <v>571</v>
      </c>
      <c r="F18213" s="1">
        <v>2</v>
      </c>
      <c r="G18213" s="1" t="s">
        <v>28</v>
      </c>
      <c r="H18213" s="4" t="str">
        <f>HYPERLINK("https://portal.gdc.cancer.gov/cases/e0ff90e5-e6c3-4fb5-9512-6f09a891378b","TCGA-G9-6369-01A")</f>
        <v>TCGA-G9-6369-01A</v>
      </c>
      <c r="I18213" t="s">
        <v>161</v>
      </c>
      <c r="J18213" t="s">
        <v>569</v>
      </c>
      <c r="K18213" t="s">
        <v>33</v>
      </c>
      <c r="L18213" t="s">
        <v>162</v>
      </c>
      <c r="N18213" t="s">
        <v>29</v>
      </c>
    </row>
    <row r="18214" spans="1:14">
      <c r="A18214" s="4" t="str">
        <f t="shared" si="1305"/>
        <v>EXP00438</v>
      </c>
      <c r="B18214" s="3" t="s">
        <v>66</v>
      </c>
      <c r="C18214" s="4" t="str">
        <f t="shared" si="1306"/>
        <v>TCGA-PRAD</v>
      </c>
      <c r="D18214" s="1" t="s">
        <v>493</v>
      </c>
      <c r="E18214" t="s">
        <v>571</v>
      </c>
      <c r="F18214" s="1">
        <v>2</v>
      </c>
      <c r="G18214" s="1" t="s">
        <v>28</v>
      </c>
      <c r="H18214" s="4" t="str">
        <f>HYPERLINK("https://portal.gdc.cancer.gov/cases/f947b0bc-bdac-44e8-b5b9-ffae4147740a","TCGA-G9-6370-01A")</f>
        <v>TCGA-G9-6370-01A</v>
      </c>
      <c r="I18214" t="s">
        <v>161</v>
      </c>
      <c r="J18214" t="s">
        <v>569</v>
      </c>
      <c r="K18214" t="s">
        <v>33</v>
      </c>
      <c r="L18214" t="s">
        <v>162</v>
      </c>
      <c r="N18214" t="s">
        <v>29</v>
      </c>
    </row>
    <row r="18215" spans="1:14">
      <c r="A18215" s="4" t="str">
        <f t="shared" si="1305"/>
        <v>EXP00438</v>
      </c>
      <c r="B18215" s="3" t="s">
        <v>66</v>
      </c>
      <c r="C18215" s="4" t="str">
        <f t="shared" si="1306"/>
        <v>TCGA-PRAD</v>
      </c>
      <c r="D18215" s="1" t="s">
        <v>493</v>
      </c>
      <c r="E18215" t="s">
        <v>571</v>
      </c>
      <c r="F18215" s="1">
        <v>2</v>
      </c>
      <c r="G18215" s="1" t="s">
        <v>28</v>
      </c>
      <c r="H18215" s="4" t="str">
        <f>HYPERLINK("https://portal.gdc.cancer.gov/cases/d5c43a14-21ab-4178-ae33-2d8b7baa256f","TCGA-G9-6371-01A")</f>
        <v>TCGA-G9-6371-01A</v>
      </c>
      <c r="I18215" t="s">
        <v>161</v>
      </c>
      <c r="J18215" t="s">
        <v>569</v>
      </c>
      <c r="K18215" t="s">
        <v>33</v>
      </c>
      <c r="L18215" t="s">
        <v>162</v>
      </c>
      <c r="N18215" t="s">
        <v>29</v>
      </c>
    </row>
    <row r="18216" spans="1:14">
      <c r="A18216" s="4" t="str">
        <f t="shared" si="1305"/>
        <v>EXP00438</v>
      </c>
      <c r="B18216" s="3" t="s">
        <v>66</v>
      </c>
      <c r="C18216" s="4" t="str">
        <f t="shared" si="1306"/>
        <v>TCGA-PRAD</v>
      </c>
      <c r="D18216" s="1" t="s">
        <v>493</v>
      </c>
      <c r="E18216" t="s">
        <v>571</v>
      </c>
      <c r="F18216" s="1">
        <v>2</v>
      </c>
      <c r="G18216" s="1" t="s">
        <v>28</v>
      </c>
      <c r="H18216" s="4" t="str">
        <f>HYPERLINK("https://portal.gdc.cancer.gov/cases/c3a509c6-35a6-4d17-a9fd-0aa8884b33a0","TCGA-G9-6373-01A")</f>
        <v>TCGA-G9-6373-01A</v>
      </c>
      <c r="I18216" t="s">
        <v>161</v>
      </c>
      <c r="J18216" t="s">
        <v>569</v>
      </c>
      <c r="K18216" t="s">
        <v>33</v>
      </c>
      <c r="L18216" t="s">
        <v>162</v>
      </c>
      <c r="N18216" t="s">
        <v>29</v>
      </c>
    </row>
    <row r="18217" spans="1:14">
      <c r="A18217" s="4" t="str">
        <f t="shared" si="1305"/>
        <v>EXP00438</v>
      </c>
      <c r="B18217" s="3" t="s">
        <v>66</v>
      </c>
      <c r="C18217" s="4" t="str">
        <f t="shared" si="1306"/>
        <v>TCGA-PRAD</v>
      </c>
      <c r="D18217" s="1" t="s">
        <v>493</v>
      </c>
      <c r="E18217" t="s">
        <v>571</v>
      </c>
      <c r="F18217" s="1">
        <v>2</v>
      </c>
      <c r="G18217" s="1" t="s">
        <v>28</v>
      </c>
      <c r="H18217" s="4" t="str">
        <f>HYPERLINK("https://portal.gdc.cancer.gov/cases/007f9081-5093-4323-b4f8-cd510bf20705","TCGA-G9-6377-01A")</f>
        <v>TCGA-G9-6377-01A</v>
      </c>
      <c r="I18217" t="s">
        <v>161</v>
      </c>
      <c r="J18217" t="s">
        <v>569</v>
      </c>
      <c r="K18217" t="s">
        <v>33</v>
      </c>
      <c r="L18217" t="s">
        <v>162</v>
      </c>
      <c r="N18217" t="s">
        <v>29</v>
      </c>
    </row>
    <row r="18218" spans="1:14">
      <c r="A18218" s="4" t="str">
        <f t="shared" si="1305"/>
        <v>EXP00438</v>
      </c>
      <c r="B18218" s="3" t="s">
        <v>66</v>
      </c>
      <c r="C18218" s="4" t="str">
        <f t="shared" si="1306"/>
        <v>TCGA-PRAD</v>
      </c>
      <c r="D18218" s="1" t="s">
        <v>493</v>
      </c>
      <c r="E18218" t="s">
        <v>571</v>
      </c>
      <c r="F18218" s="1">
        <v>2</v>
      </c>
      <c r="G18218" s="1" t="s">
        <v>28</v>
      </c>
      <c r="H18218" s="4" t="str">
        <f>HYPERLINK("https://portal.gdc.cancer.gov/cases/12f225d0-cbff-44eb-9183-bacc7f33b090","TCGA-G9-6378-01A")</f>
        <v>TCGA-G9-6378-01A</v>
      </c>
      <c r="I18218" t="s">
        <v>161</v>
      </c>
      <c r="J18218" t="s">
        <v>569</v>
      </c>
      <c r="K18218" t="s">
        <v>33</v>
      </c>
      <c r="L18218" t="s">
        <v>162</v>
      </c>
      <c r="N18218" t="s">
        <v>29</v>
      </c>
    </row>
    <row r="18219" spans="1:14">
      <c r="A18219" s="4" t="str">
        <f t="shared" si="1305"/>
        <v>EXP00438</v>
      </c>
      <c r="B18219" s="3" t="s">
        <v>66</v>
      </c>
      <c r="C18219" s="4" t="str">
        <f t="shared" si="1306"/>
        <v>TCGA-PRAD</v>
      </c>
      <c r="D18219" s="1" t="s">
        <v>493</v>
      </c>
      <c r="E18219" t="s">
        <v>571</v>
      </c>
      <c r="F18219" s="1">
        <v>2</v>
      </c>
      <c r="G18219" s="1" t="s">
        <v>28</v>
      </c>
      <c r="H18219" s="4" t="str">
        <f>HYPERLINK("https://portal.gdc.cancer.gov/cases/d33074f0-5f88-4995-9439-76068a9f4836","TCGA-G9-6379-01A")</f>
        <v>TCGA-G9-6379-01A</v>
      </c>
      <c r="I18219" t="s">
        <v>161</v>
      </c>
      <c r="J18219" t="s">
        <v>569</v>
      </c>
      <c r="K18219" t="s">
        <v>33</v>
      </c>
      <c r="L18219" t="s">
        <v>162</v>
      </c>
      <c r="N18219" t="s">
        <v>29</v>
      </c>
    </row>
    <row r="18220" spans="1:14">
      <c r="A18220" s="4" t="str">
        <f t="shared" si="1305"/>
        <v>EXP00438</v>
      </c>
      <c r="B18220" s="3" t="s">
        <v>66</v>
      </c>
      <c r="C18220" s="4" t="str">
        <f t="shared" si="1306"/>
        <v>TCGA-PRAD</v>
      </c>
      <c r="D18220" s="1" t="s">
        <v>493</v>
      </c>
      <c r="E18220" t="s">
        <v>571</v>
      </c>
      <c r="F18220" s="1">
        <v>2</v>
      </c>
      <c r="G18220" s="1" t="s">
        <v>28</v>
      </c>
      <c r="H18220" s="4" t="str">
        <f>HYPERLINK("https://portal.gdc.cancer.gov/cases/a279d5aa-51f7-4e75-9e14-b206b97ec4bd","TCGA-G9-6384-01A")</f>
        <v>TCGA-G9-6384-01A</v>
      </c>
      <c r="I18220" t="s">
        <v>161</v>
      </c>
      <c r="J18220" t="s">
        <v>569</v>
      </c>
      <c r="K18220" t="s">
        <v>33</v>
      </c>
      <c r="L18220" t="s">
        <v>162</v>
      </c>
      <c r="N18220" t="s">
        <v>29</v>
      </c>
    </row>
    <row r="18221" spans="1:14">
      <c r="A18221" s="4" t="str">
        <f t="shared" si="1305"/>
        <v>EXP00438</v>
      </c>
      <c r="B18221" s="3" t="s">
        <v>66</v>
      </c>
      <c r="C18221" s="4" t="str">
        <f t="shared" si="1306"/>
        <v>TCGA-PRAD</v>
      </c>
      <c r="D18221" s="1" t="s">
        <v>493</v>
      </c>
      <c r="E18221" t="s">
        <v>571</v>
      </c>
      <c r="F18221" s="1">
        <v>2</v>
      </c>
      <c r="G18221" s="1" t="s">
        <v>28</v>
      </c>
      <c r="H18221" s="4" t="str">
        <f>HYPERLINK("https://portal.gdc.cancer.gov/cases/e82a04cf-e81e-43c6-9cd9-0e29fa0f00ae","TCGA-G9-6385-01A")</f>
        <v>TCGA-G9-6385-01A</v>
      </c>
      <c r="I18221" t="s">
        <v>161</v>
      </c>
      <c r="J18221" t="s">
        <v>569</v>
      </c>
      <c r="K18221" t="s">
        <v>33</v>
      </c>
      <c r="L18221" t="s">
        <v>162</v>
      </c>
      <c r="N18221" t="s">
        <v>29</v>
      </c>
    </row>
    <row r="18222" spans="1:14">
      <c r="A18222" s="4" t="str">
        <f t="shared" si="1305"/>
        <v>EXP00438</v>
      </c>
      <c r="B18222" s="3" t="s">
        <v>66</v>
      </c>
      <c r="C18222" s="4" t="str">
        <f t="shared" si="1306"/>
        <v>TCGA-PRAD</v>
      </c>
      <c r="D18222" s="1" t="s">
        <v>493</v>
      </c>
      <c r="E18222" t="s">
        <v>571</v>
      </c>
      <c r="F18222" s="1">
        <v>2</v>
      </c>
      <c r="G18222" s="1" t="s">
        <v>28</v>
      </c>
      <c r="H18222" s="4" t="str">
        <f>HYPERLINK("https://portal.gdc.cancer.gov/cases/0c459149-0dfe-4206-b50b-db79180ebb57","TCGA-G9-6494-01A")</f>
        <v>TCGA-G9-6494-01A</v>
      </c>
      <c r="I18222" t="s">
        <v>161</v>
      </c>
      <c r="J18222" t="s">
        <v>569</v>
      </c>
      <c r="K18222" t="s">
        <v>33</v>
      </c>
      <c r="L18222" t="s">
        <v>162</v>
      </c>
      <c r="N18222" t="s">
        <v>29</v>
      </c>
    </row>
    <row r="18223" spans="1:14">
      <c r="A18223" s="4" t="str">
        <f t="shared" si="1305"/>
        <v>EXP00438</v>
      </c>
      <c r="B18223" s="3" t="s">
        <v>66</v>
      </c>
      <c r="C18223" s="4" t="str">
        <f t="shared" si="1306"/>
        <v>TCGA-PRAD</v>
      </c>
      <c r="D18223" s="1" t="s">
        <v>493</v>
      </c>
      <c r="E18223" t="s">
        <v>571</v>
      </c>
      <c r="F18223" s="1">
        <v>2</v>
      </c>
      <c r="G18223" s="1" t="s">
        <v>28</v>
      </c>
      <c r="H18223" s="4" t="str">
        <f>HYPERLINK("https://portal.gdc.cancer.gov/cases/ce2b7e17-424e-4954-8a68-19d7f98d2e7e","TCGA-G9-6496-01A")</f>
        <v>TCGA-G9-6496-01A</v>
      </c>
      <c r="I18223" t="s">
        <v>161</v>
      </c>
      <c r="J18223" t="s">
        <v>569</v>
      </c>
      <c r="K18223" t="s">
        <v>33</v>
      </c>
      <c r="L18223" t="s">
        <v>162</v>
      </c>
      <c r="N18223" t="s">
        <v>29</v>
      </c>
    </row>
    <row r="18224" spans="1:14">
      <c r="A18224" s="4" t="str">
        <f t="shared" si="1305"/>
        <v>EXP00438</v>
      </c>
      <c r="B18224" s="3" t="s">
        <v>66</v>
      </c>
      <c r="C18224" s="4" t="str">
        <f t="shared" si="1306"/>
        <v>TCGA-PRAD</v>
      </c>
      <c r="D18224" s="1" t="s">
        <v>493</v>
      </c>
      <c r="E18224" t="s">
        <v>571</v>
      </c>
      <c r="F18224" s="1">
        <v>2</v>
      </c>
      <c r="G18224" s="1" t="s">
        <v>28</v>
      </c>
      <c r="H18224" s="4" t="str">
        <f>HYPERLINK("https://portal.gdc.cancer.gov/cases/b8fbfe87-e92c-4d54-a620-17b2dcde6d53","TCGA-G9-6498-01A")</f>
        <v>TCGA-G9-6498-01A</v>
      </c>
      <c r="I18224" t="s">
        <v>161</v>
      </c>
      <c r="J18224" t="s">
        <v>569</v>
      </c>
      <c r="K18224" t="s">
        <v>33</v>
      </c>
      <c r="L18224" t="s">
        <v>162</v>
      </c>
      <c r="N18224" t="s">
        <v>29</v>
      </c>
    </row>
    <row r="18225" spans="1:14">
      <c r="A18225" s="4" t="str">
        <f t="shared" si="1305"/>
        <v>EXP00438</v>
      </c>
      <c r="B18225" s="3" t="s">
        <v>66</v>
      </c>
      <c r="C18225" s="4" t="str">
        <f t="shared" si="1306"/>
        <v>TCGA-PRAD</v>
      </c>
      <c r="D18225" s="1" t="s">
        <v>493</v>
      </c>
      <c r="E18225" t="s">
        <v>571</v>
      </c>
      <c r="F18225" s="1">
        <v>2</v>
      </c>
      <c r="G18225" s="1" t="s">
        <v>28</v>
      </c>
      <c r="H18225" s="4" t="str">
        <f>HYPERLINK("https://portal.gdc.cancer.gov/cases/acd5ceef-c5cf-4e95-9394-c50fdbc70c8d","TCGA-G9-6499-01A")</f>
        <v>TCGA-G9-6499-01A</v>
      </c>
      <c r="I18225" t="s">
        <v>161</v>
      </c>
      <c r="J18225" t="s">
        <v>569</v>
      </c>
      <c r="K18225" t="s">
        <v>33</v>
      </c>
      <c r="L18225" t="s">
        <v>162</v>
      </c>
      <c r="N18225" t="s">
        <v>29</v>
      </c>
    </row>
    <row r="18226" spans="1:14">
      <c r="A18226" s="4" t="str">
        <f t="shared" si="1305"/>
        <v>EXP00438</v>
      </c>
      <c r="B18226" s="3" t="s">
        <v>66</v>
      </c>
      <c r="C18226" s="4" t="str">
        <f t="shared" si="1306"/>
        <v>TCGA-PRAD</v>
      </c>
      <c r="D18226" s="1" t="s">
        <v>493</v>
      </c>
      <c r="E18226" t="s">
        <v>571</v>
      </c>
      <c r="F18226" s="1">
        <v>2</v>
      </c>
      <c r="G18226" s="1" t="s">
        <v>28</v>
      </c>
      <c r="H18226" s="4" t="str">
        <f>HYPERLINK("https://portal.gdc.cancer.gov/cases/7d0c6960-710f-42c7-889e-c3a7d4a30b3c","TCGA-G9-7509-01A")</f>
        <v>TCGA-G9-7509-01A</v>
      </c>
      <c r="I18226" t="s">
        <v>161</v>
      </c>
      <c r="J18226" t="s">
        <v>569</v>
      </c>
      <c r="K18226" t="s">
        <v>33</v>
      </c>
      <c r="L18226" t="s">
        <v>162</v>
      </c>
      <c r="N18226" t="s">
        <v>29</v>
      </c>
    </row>
    <row r="18227" spans="1:14">
      <c r="A18227" s="4" t="str">
        <f t="shared" si="1305"/>
        <v>EXP00438</v>
      </c>
      <c r="B18227" s="3" t="s">
        <v>66</v>
      </c>
      <c r="C18227" s="4" t="str">
        <f t="shared" si="1306"/>
        <v>TCGA-PRAD</v>
      </c>
      <c r="D18227" s="1" t="s">
        <v>493</v>
      </c>
      <c r="E18227" t="s">
        <v>571</v>
      </c>
      <c r="F18227" s="1">
        <v>2</v>
      </c>
      <c r="G18227" s="1" t="s">
        <v>28</v>
      </c>
      <c r="H18227" s="4" t="str">
        <f>HYPERLINK("https://portal.gdc.cancer.gov/cases/f211f7a9-cf3b-432c-9ea0-1172cce14e9d","TCGA-G9-7510-01A")</f>
        <v>TCGA-G9-7510-01A</v>
      </c>
      <c r="I18227" t="s">
        <v>161</v>
      </c>
      <c r="J18227" t="s">
        <v>569</v>
      </c>
      <c r="K18227" t="s">
        <v>33</v>
      </c>
      <c r="L18227" t="s">
        <v>162</v>
      </c>
      <c r="N18227" t="s">
        <v>29</v>
      </c>
    </row>
    <row r="18228" spans="1:14">
      <c r="A18228" s="4" t="str">
        <f t="shared" si="1305"/>
        <v>EXP00438</v>
      </c>
      <c r="B18228" s="3" t="s">
        <v>66</v>
      </c>
      <c r="C18228" s="4" t="str">
        <f t="shared" si="1306"/>
        <v>TCGA-PRAD</v>
      </c>
      <c r="D18228" s="1" t="s">
        <v>493</v>
      </c>
      <c r="E18228" t="s">
        <v>571</v>
      </c>
      <c r="F18228" s="1">
        <v>2</v>
      </c>
      <c r="G18228" s="1" t="s">
        <v>28</v>
      </c>
      <c r="H18228" s="4" t="str">
        <f>HYPERLINK("https://portal.gdc.cancer.gov/cases/0f01ec33-00a8-4188-a8f0-e90d46ad9bc7","TCGA-G9-7519-01A")</f>
        <v>TCGA-G9-7519-01A</v>
      </c>
      <c r="I18228" t="s">
        <v>161</v>
      </c>
      <c r="J18228" t="s">
        <v>569</v>
      </c>
      <c r="K18228" t="s">
        <v>33</v>
      </c>
      <c r="L18228" t="s">
        <v>162</v>
      </c>
      <c r="N18228" t="s">
        <v>29</v>
      </c>
    </row>
    <row r="18229" spans="1:14">
      <c r="A18229" s="4" t="str">
        <f t="shared" si="1305"/>
        <v>EXP00438</v>
      </c>
      <c r="B18229" s="3" t="s">
        <v>66</v>
      </c>
      <c r="C18229" s="4" t="str">
        <f t="shared" si="1306"/>
        <v>TCGA-PRAD</v>
      </c>
      <c r="D18229" s="1" t="s">
        <v>493</v>
      </c>
      <c r="E18229" t="s">
        <v>571</v>
      </c>
      <c r="F18229" s="1">
        <v>2</v>
      </c>
      <c r="G18229" s="1" t="s">
        <v>28</v>
      </c>
      <c r="H18229" s="4" t="str">
        <f>HYPERLINK("https://portal.gdc.cancer.gov/cases/cf70909e-5143-47ae-b8ca-c3ae6ace7be2","TCGA-G9-7521-01A")</f>
        <v>TCGA-G9-7521-01A</v>
      </c>
      <c r="I18229" t="s">
        <v>161</v>
      </c>
      <c r="J18229" t="s">
        <v>569</v>
      </c>
      <c r="K18229" t="s">
        <v>33</v>
      </c>
      <c r="L18229" t="s">
        <v>162</v>
      </c>
      <c r="N18229" t="s">
        <v>29</v>
      </c>
    </row>
    <row r="18230" spans="1:14">
      <c r="A18230" s="4" t="str">
        <f t="shared" si="1305"/>
        <v>EXP00438</v>
      </c>
      <c r="B18230" s="3" t="s">
        <v>66</v>
      </c>
      <c r="C18230" s="4" t="str">
        <f t="shared" si="1306"/>
        <v>TCGA-PRAD</v>
      </c>
      <c r="D18230" s="1" t="s">
        <v>493</v>
      </c>
      <c r="E18230" t="s">
        <v>571</v>
      </c>
      <c r="F18230" s="1">
        <v>2</v>
      </c>
      <c r="G18230" s="1" t="s">
        <v>28</v>
      </c>
      <c r="H18230" s="4" t="str">
        <f>HYPERLINK("https://portal.gdc.cancer.gov/cases/87959988-bb25-47ee-afc1-9af92592bbe7","TCGA-G9-7522-01A")</f>
        <v>TCGA-G9-7522-01A</v>
      </c>
      <c r="I18230" t="s">
        <v>161</v>
      </c>
      <c r="J18230" t="s">
        <v>569</v>
      </c>
      <c r="K18230" t="s">
        <v>33</v>
      </c>
      <c r="L18230" t="s">
        <v>162</v>
      </c>
      <c r="N18230" t="s">
        <v>29</v>
      </c>
    </row>
    <row r="18231" spans="1:14">
      <c r="A18231" s="4" t="str">
        <f t="shared" si="1305"/>
        <v>EXP00438</v>
      </c>
      <c r="B18231" s="3" t="s">
        <v>66</v>
      </c>
      <c r="C18231" s="4" t="str">
        <f t="shared" si="1306"/>
        <v>TCGA-PRAD</v>
      </c>
      <c r="D18231" s="1" t="s">
        <v>493</v>
      </c>
      <c r="E18231" t="s">
        <v>571</v>
      </c>
      <c r="F18231" s="1">
        <v>2</v>
      </c>
      <c r="G18231" s="1" t="s">
        <v>28</v>
      </c>
      <c r="H18231" s="4" t="str">
        <f>HYPERLINK("https://portal.gdc.cancer.gov/cases/93e78f4c-e74b-4675-8d2c-d641fa25d8f2","TCGA-G9-7523-01A")</f>
        <v>TCGA-G9-7523-01A</v>
      </c>
      <c r="I18231" t="s">
        <v>161</v>
      </c>
      <c r="J18231" t="s">
        <v>569</v>
      </c>
      <c r="K18231" t="s">
        <v>33</v>
      </c>
      <c r="L18231" t="s">
        <v>162</v>
      </c>
      <c r="N18231" t="s">
        <v>29</v>
      </c>
    </row>
    <row r="18232" spans="1:14">
      <c r="A18232" s="4" t="str">
        <f t="shared" si="1305"/>
        <v>EXP00438</v>
      </c>
      <c r="B18232" s="3" t="s">
        <v>66</v>
      </c>
      <c r="C18232" s="4" t="str">
        <f t="shared" si="1306"/>
        <v>TCGA-PRAD</v>
      </c>
      <c r="D18232" s="1" t="s">
        <v>493</v>
      </c>
      <c r="E18232" t="s">
        <v>571</v>
      </c>
      <c r="F18232" s="1">
        <v>2</v>
      </c>
      <c r="G18232" s="1" t="s">
        <v>28</v>
      </c>
      <c r="H18232" s="4" t="str">
        <f>HYPERLINK("https://portal.gdc.cancer.gov/cases/f4e17ba1-f14f-480e-8fe3-415909fc320a","TCGA-G9-7525-01A")</f>
        <v>TCGA-G9-7525-01A</v>
      </c>
      <c r="I18232" t="s">
        <v>161</v>
      </c>
      <c r="J18232" t="s">
        <v>569</v>
      </c>
      <c r="K18232" t="s">
        <v>33</v>
      </c>
      <c r="L18232" t="s">
        <v>162</v>
      </c>
      <c r="N18232" t="s">
        <v>29</v>
      </c>
    </row>
    <row r="18233" spans="1:14">
      <c r="A18233" s="4" t="str">
        <f t="shared" si="1305"/>
        <v>EXP00438</v>
      </c>
      <c r="B18233" s="3" t="s">
        <v>66</v>
      </c>
      <c r="C18233" s="4" t="str">
        <f t="shared" si="1306"/>
        <v>TCGA-PRAD</v>
      </c>
      <c r="D18233" s="1" t="s">
        <v>493</v>
      </c>
      <c r="E18233" t="s">
        <v>571</v>
      </c>
      <c r="F18233" s="1">
        <v>2</v>
      </c>
      <c r="G18233" s="1" t="s">
        <v>28</v>
      </c>
      <c r="H18233" s="4" t="str">
        <f>HYPERLINK("https://portal.gdc.cancer.gov/cases/a8573f49-9fed-4c85-9e1d-40abab7f86ec","TCGA-G9-A9S4-01A")</f>
        <v>TCGA-G9-A9S4-01A</v>
      </c>
      <c r="I18233" t="s">
        <v>161</v>
      </c>
      <c r="J18233" t="s">
        <v>569</v>
      </c>
      <c r="K18233" t="s">
        <v>33</v>
      </c>
      <c r="L18233" t="s">
        <v>162</v>
      </c>
      <c r="N18233" t="s">
        <v>29</v>
      </c>
    </row>
    <row r="18234" spans="1:14">
      <c r="A18234" s="4" t="str">
        <f t="shared" si="1305"/>
        <v>EXP00438</v>
      </c>
      <c r="B18234" s="3" t="s">
        <v>66</v>
      </c>
      <c r="C18234" s="4" t="str">
        <f t="shared" si="1306"/>
        <v>TCGA-PRAD</v>
      </c>
      <c r="D18234" s="1" t="s">
        <v>493</v>
      </c>
      <c r="E18234" t="s">
        <v>571</v>
      </c>
      <c r="F18234" s="1">
        <v>2</v>
      </c>
      <c r="G18234" s="1" t="s">
        <v>28</v>
      </c>
      <c r="H18234" s="4" t="str">
        <f>HYPERLINK("https://portal.gdc.cancer.gov/cases/27953774-e97b-48e7-b966-1ec1e9c830b4","TCGA-G9-A9S7-01A")</f>
        <v>TCGA-G9-A9S7-01A</v>
      </c>
      <c r="I18234" t="s">
        <v>161</v>
      </c>
      <c r="J18234" t="s">
        <v>569</v>
      </c>
      <c r="K18234" t="s">
        <v>33</v>
      </c>
      <c r="L18234" t="s">
        <v>162</v>
      </c>
      <c r="N18234" t="s">
        <v>29</v>
      </c>
    </row>
    <row r="18235" spans="1:14">
      <c r="A18235" s="4" t="str">
        <f t="shared" si="1305"/>
        <v>EXP00438</v>
      </c>
      <c r="B18235" s="3" t="s">
        <v>66</v>
      </c>
      <c r="C18235" s="4" t="str">
        <f t="shared" si="1306"/>
        <v>TCGA-PRAD</v>
      </c>
      <c r="D18235" s="1" t="s">
        <v>493</v>
      </c>
      <c r="E18235" t="s">
        <v>571</v>
      </c>
      <c r="F18235" s="1">
        <v>2</v>
      </c>
      <c r="G18235" s="1" t="s">
        <v>28</v>
      </c>
      <c r="H18235" s="4" t="str">
        <f>HYPERLINK("https://portal.gdc.cancer.gov/cases/ecade538-f882-4f29-a363-7acb89fd0576","TCGA-H9-7775-01A")</f>
        <v>TCGA-H9-7775-01A</v>
      </c>
      <c r="I18235" t="s">
        <v>161</v>
      </c>
      <c r="J18235" t="s">
        <v>569</v>
      </c>
      <c r="K18235" t="s">
        <v>33</v>
      </c>
      <c r="L18235" t="s">
        <v>162</v>
      </c>
      <c r="N18235" t="s">
        <v>29</v>
      </c>
    </row>
    <row r="18236" spans="1:14">
      <c r="A18236" s="4" t="str">
        <f t="shared" si="1305"/>
        <v>EXP00438</v>
      </c>
      <c r="B18236" s="3" t="s">
        <v>66</v>
      </c>
      <c r="C18236" s="4" t="str">
        <f t="shared" si="1306"/>
        <v>TCGA-PRAD</v>
      </c>
      <c r="D18236" s="1" t="s">
        <v>493</v>
      </c>
      <c r="E18236" t="s">
        <v>571</v>
      </c>
      <c r="F18236" s="1">
        <v>2</v>
      </c>
      <c r="G18236" s="1" t="s">
        <v>28</v>
      </c>
      <c r="H18236" s="4" t="str">
        <f>HYPERLINK("https://portal.gdc.cancer.gov/cases/3ba3d23d-67e2-4f38-9951-f5cfa1131f9f","TCGA-H9-A6BX-01A")</f>
        <v>TCGA-H9-A6BX-01A</v>
      </c>
      <c r="I18236" t="s">
        <v>161</v>
      </c>
      <c r="J18236" t="s">
        <v>569</v>
      </c>
      <c r="K18236" t="s">
        <v>33</v>
      </c>
      <c r="L18236" t="s">
        <v>162</v>
      </c>
      <c r="N18236" t="s">
        <v>29</v>
      </c>
    </row>
    <row r="18237" spans="1:14">
      <c r="A18237" s="4" t="str">
        <f t="shared" si="1305"/>
        <v>EXP00438</v>
      </c>
      <c r="B18237" s="3" t="s">
        <v>66</v>
      </c>
      <c r="C18237" s="4" t="str">
        <f t="shared" si="1306"/>
        <v>TCGA-PRAD</v>
      </c>
      <c r="D18237" s="1" t="s">
        <v>493</v>
      </c>
      <c r="E18237" t="s">
        <v>571</v>
      </c>
      <c r="F18237" s="1">
        <v>2</v>
      </c>
      <c r="G18237" s="1" t="s">
        <v>28</v>
      </c>
      <c r="H18237" s="4" t="str">
        <f>HYPERLINK("https://portal.gdc.cancer.gov/cases/701991da-6deb-41df-b9cc-e5049a886b5b","TCGA-H9-A6BY-01A")</f>
        <v>TCGA-H9-A6BY-01A</v>
      </c>
      <c r="I18237" t="s">
        <v>161</v>
      </c>
      <c r="J18237" t="s">
        <v>569</v>
      </c>
      <c r="K18237" t="s">
        <v>33</v>
      </c>
      <c r="L18237" t="s">
        <v>162</v>
      </c>
      <c r="N18237" t="s">
        <v>29</v>
      </c>
    </row>
    <row r="18238" spans="1:14">
      <c r="A18238" s="4" t="str">
        <f t="shared" si="1305"/>
        <v>EXP00438</v>
      </c>
      <c r="B18238" s="3" t="s">
        <v>66</v>
      </c>
      <c r="C18238" s="4" t="str">
        <f t="shared" si="1306"/>
        <v>TCGA-PRAD</v>
      </c>
      <c r="D18238" s="1" t="s">
        <v>493</v>
      </c>
      <c r="E18238" t="s">
        <v>571</v>
      </c>
      <c r="F18238" s="1">
        <v>2</v>
      </c>
      <c r="G18238" s="1" t="s">
        <v>28</v>
      </c>
      <c r="H18238" s="4" t="str">
        <f>HYPERLINK("https://portal.gdc.cancer.gov/cases/5dd69c3e-9a3d-450c-9f10-10b4d6daeeba","TCGA-HC-7075-01A")</f>
        <v>TCGA-HC-7075-01A</v>
      </c>
      <c r="I18238" t="s">
        <v>161</v>
      </c>
      <c r="J18238" t="s">
        <v>569</v>
      </c>
      <c r="K18238" t="s">
        <v>33</v>
      </c>
      <c r="L18238" t="s">
        <v>162</v>
      </c>
      <c r="N18238" t="s">
        <v>29</v>
      </c>
    </row>
    <row r="18239" spans="1:14">
      <c r="A18239" s="4" t="str">
        <f t="shared" si="1305"/>
        <v>EXP00438</v>
      </c>
      <c r="B18239" s="3" t="s">
        <v>66</v>
      </c>
      <c r="C18239" s="4" t="str">
        <f t="shared" si="1306"/>
        <v>TCGA-PRAD</v>
      </c>
      <c r="D18239" s="1" t="s">
        <v>493</v>
      </c>
      <c r="E18239" t="s">
        <v>571</v>
      </c>
      <c r="F18239" s="1">
        <v>2</v>
      </c>
      <c r="G18239" s="1" t="s">
        <v>28</v>
      </c>
      <c r="H18239" s="4" t="str">
        <f>HYPERLINK("https://portal.gdc.cancer.gov/cases/92252560-5984-41f6-a4b5-a3aa8654c0c8","TCGA-HC-7077-01A")</f>
        <v>TCGA-HC-7077-01A</v>
      </c>
      <c r="I18239" t="s">
        <v>161</v>
      </c>
      <c r="J18239" t="s">
        <v>569</v>
      </c>
      <c r="K18239" t="s">
        <v>33</v>
      </c>
      <c r="L18239" t="s">
        <v>162</v>
      </c>
      <c r="N18239" t="s">
        <v>29</v>
      </c>
    </row>
    <row r="18240" spans="1:14">
      <c r="A18240" s="4" t="str">
        <f t="shared" si="1305"/>
        <v>EXP00438</v>
      </c>
      <c r="B18240" s="3" t="s">
        <v>66</v>
      </c>
      <c r="C18240" s="4" t="str">
        <f t="shared" si="1306"/>
        <v>TCGA-PRAD</v>
      </c>
      <c r="D18240" s="1" t="s">
        <v>493</v>
      </c>
      <c r="E18240" t="s">
        <v>571</v>
      </c>
      <c r="F18240" s="1">
        <v>2</v>
      </c>
      <c r="G18240" s="1" t="s">
        <v>28</v>
      </c>
      <c r="H18240" s="4" t="str">
        <f>HYPERLINK("https://portal.gdc.cancer.gov/cases/9f802576-1e98-496c-bda4-4b1dd2e411c8","TCGA-HC-7078-01A")</f>
        <v>TCGA-HC-7078-01A</v>
      </c>
      <c r="I18240" t="s">
        <v>161</v>
      </c>
      <c r="J18240" t="s">
        <v>569</v>
      </c>
      <c r="K18240" t="s">
        <v>33</v>
      </c>
      <c r="L18240" t="s">
        <v>162</v>
      </c>
      <c r="N18240" t="s">
        <v>29</v>
      </c>
    </row>
    <row r="18241" spans="1:14">
      <c r="A18241" s="4" t="str">
        <f t="shared" si="1305"/>
        <v>EXP00438</v>
      </c>
      <c r="B18241" s="3" t="s">
        <v>66</v>
      </c>
      <c r="C18241" s="4" t="str">
        <f t="shared" si="1306"/>
        <v>TCGA-PRAD</v>
      </c>
      <c r="D18241" s="1" t="s">
        <v>493</v>
      </c>
      <c r="E18241" t="s">
        <v>571</v>
      </c>
      <c r="F18241" s="1">
        <v>2</v>
      </c>
      <c r="G18241" s="1" t="s">
        <v>28</v>
      </c>
      <c r="H18241" s="4" t="str">
        <f>HYPERLINK("https://portal.gdc.cancer.gov/cases/10fbe481-f111-4f88-ae45-4d67cb265567","TCGA-HC-7079-01A")</f>
        <v>TCGA-HC-7079-01A</v>
      </c>
      <c r="I18241" t="s">
        <v>161</v>
      </c>
      <c r="J18241" t="s">
        <v>569</v>
      </c>
      <c r="K18241" t="s">
        <v>33</v>
      </c>
      <c r="L18241" t="s">
        <v>162</v>
      </c>
      <c r="N18241" t="s">
        <v>29</v>
      </c>
    </row>
    <row r="18242" spans="1:14">
      <c r="A18242" s="4" t="str">
        <f t="shared" si="1305"/>
        <v>EXP00438</v>
      </c>
      <c r="B18242" s="3" t="s">
        <v>66</v>
      </c>
      <c r="C18242" s="4" t="str">
        <f t="shared" si="1306"/>
        <v>TCGA-PRAD</v>
      </c>
      <c r="D18242" s="1" t="s">
        <v>493</v>
      </c>
      <c r="E18242" t="s">
        <v>571</v>
      </c>
      <c r="F18242" s="1">
        <v>2</v>
      </c>
      <c r="G18242" s="1" t="s">
        <v>28</v>
      </c>
      <c r="H18242" s="4" t="str">
        <f>HYPERLINK("https://portal.gdc.cancer.gov/cases/fd50ff41-ec9d-4db1-a673-36ba0ca1eac8","TCGA-HC-7080-01A")</f>
        <v>TCGA-HC-7080-01A</v>
      </c>
      <c r="I18242" t="s">
        <v>161</v>
      </c>
      <c r="J18242" t="s">
        <v>569</v>
      </c>
      <c r="K18242" t="s">
        <v>33</v>
      </c>
      <c r="L18242" t="s">
        <v>162</v>
      </c>
      <c r="N18242" t="s">
        <v>29</v>
      </c>
    </row>
    <row r="18243" spans="1:14">
      <c r="A18243" s="4" t="str">
        <f t="shared" si="1305"/>
        <v>EXP00438</v>
      </c>
      <c r="B18243" s="3" t="s">
        <v>66</v>
      </c>
      <c r="C18243" s="4" t="str">
        <f t="shared" si="1306"/>
        <v>TCGA-PRAD</v>
      </c>
      <c r="D18243" s="1" t="s">
        <v>493</v>
      </c>
      <c r="E18243" t="s">
        <v>571</v>
      </c>
      <c r="F18243" s="1">
        <v>2</v>
      </c>
      <c r="G18243" s="1" t="s">
        <v>28</v>
      </c>
      <c r="H18243" s="4" t="str">
        <f>HYPERLINK("https://portal.gdc.cancer.gov/cases/3da2e90e-6450-4286-8c74-08dbecbfd788","TCGA-HC-7081-01A")</f>
        <v>TCGA-HC-7081-01A</v>
      </c>
      <c r="I18243" t="s">
        <v>161</v>
      </c>
      <c r="J18243" t="s">
        <v>569</v>
      </c>
      <c r="K18243" t="s">
        <v>33</v>
      </c>
      <c r="L18243" t="s">
        <v>162</v>
      </c>
      <c r="N18243" t="s">
        <v>29</v>
      </c>
    </row>
    <row r="18244" spans="1:14">
      <c r="A18244" s="4" t="str">
        <f t="shared" si="1305"/>
        <v>EXP00438</v>
      </c>
      <c r="B18244" s="3" t="s">
        <v>66</v>
      </c>
      <c r="C18244" s="4" t="str">
        <f t="shared" si="1306"/>
        <v>TCGA-PRAD</v>
      </c>
      <c r="D18244" s="1" t="s">
        <v>493</v>
      </c>
      <c r="E18244" t="s">
        <v>571</v>
      </c>
      <c r="F18244" s="1">
        <v>2</v>
      </c>
      <c r="G18244" s="1" t="s">
        <v>28</v>
      </c>
      <c r="H18244" s="4" t="str">
        <f>HYPERLINK("https://portal.gdc.cancer.gov/cases/582d1177-73b0-4a9c-8505-70d6b402bd01","TCGA-HC-7209-01A")</f>
        <v>TCGA-HC-7209-01A</v>
      </c>
      <c r="I18244" t="s">
        <v>161</v>
      </c>
      <c r="J18244" t="s">
        <v>569</v>
      </c>
      <c r="K18244" t="s">
        <v>33</v>
      </c>
      <c r="L18244" t="s">
        <v>162</v>
      </c>
      <c r="N18244" t="s">
        <v>29</v>
      </c>
    </row>
    <row r="18245" spans="1:14">
      <c r="A18245" s="4" t="str">
        <f t="shared" si="1305"/>
        <v>EXP00438</v>
      </c>
      <c r="B18245" s="3" t="s">
        <v>66</v>
      </c>
      <c r="C18245" s="4" t="str">
        <f t="shared" si="1306"/>
        <v>TCGA-PRAD</v>
      </c>
      <c r="D18245" s="1" t="s">
        <v>493</v>
      </c>
      <c r="E18245" t="s">
        <v>571</v>
      </c>
      <c r="F18245" s="1">
        <v>2</v>
      </c>
      <c r="G18245" s="1" t="s">
        <v>28</v>
      </c>
      <c r="H18245" s="4" t="str">
        <f>HYPERLINK("https://portal.gdc.cancer.gov/cases/6a5af80e-07ad-4cd3-aaab-5db1090835d9","TCGA-HC-7210-01A")</f>
        <v>TCGA-HC-7210-01A</v>
      </c>
      <c r="I18245" t="s">
        <v>161</v>
      </c>
      <c r="J18245" t="s">
        <v>569</v>
      </c>
      <c r="K18245" t="s">
        <v>33</v>
      </c>
      <c r="L18245" t="s">
        <v>162</v>
      </c>
      <c r="N18245" t="s">
        <v>29</v>
      </c>
    </row>
    <row r="18246" spans="1:14">
      <c r="A18246" s="4" t="str">
        <f t="shared" si="1305"/>
        <v>EXP00438</v>
      </c>
      <c r="B18246" s="3" t="s">
        <v>66</v>
      </c>
      <c r="C18246" s="4" t="str">
        <f t="shared" si="1306"/>
        <v>TCGA-PRAD</v>
      </c>
      <c r="D18246" s="1" t="s">
        <v>493</v>
      </c>
      <c r="E18246" t="s">
        <v>571</v>
      </c>
      <c r="F18246" s="1">
        <v>2</v>
      </c>
      <c r="G18246" s="1" t="s">
        <v>28</v>
      </c>
      <c r="H18246" s="4" t="str">
        <f>HYPERLINK("https://portal.gdc.cancer.gov/cases/ec3870c9-4930-4af7-b2eb-1e16c9ec9f14","TCGA-HC-7211-01A")</f>
        <v>TCGA-HC-7211-01A</v>
      </c>
      <c r="I18246" t="s">
        <v>161</v>
      </c>
      <c r="J18246" t="s">
        <v>569</v>
      </c>
      <c r="K18246" t="s">
        <v>33</v>
      </c>
      <c r="L18246" t="s">
        <v>162</v>
      </c>
      <c r="N18246" t="s">
        <v>29</v>
      </c>
    </row>
    <row r="18247" spans="1:14">
      <c r="A18247" s="4" t="str">
        <f t="shared" si="1305"/>
        <v>EXP00438</v>
      </c>
      <c r="B18247" s="3" t="s">
        <v>66</v>
      </c>
      <c r="C18247" s="4" t="str">
        <f t="shared" si="1306"/>
        <v>TCGA-PRAD</v>
      </c>
      <c r="D18247" s="1" t="s">
        <v>493</v>
      </c>
      <c r="E18247" t="s">
        <v>571</v>
      </c>
      <c r="F18247" s="1">
        <v>2</v>
      </c>
      <c r="G18247" s="1" t="s">
        <v>28</v>
      </c>
      <c r="H18247" s="4" t="str">
        <f>HYPERLINK("https://portal.gdc.cancer.gov/cases/907b64d6-a26a-4092-a247-ac9af444d1c7","TCGA-HC-7212-01A")</f>
        <v>TCGA-HC-7212-01A</v>
      </c>
      <c r="I18247" t="s">
        <v>161</v>
      </c>
      <c r="J18247" t="s">
        <v>569</v>
      </c>
      <c r="K18247" t="s">
        <v>33</v>
      </c>
      <c r="L18247" t="s">
        <v>162</v>
      </c>
      <c r="N18247" t="s">
        <v>29</v>
      </c>
    </row>
    <row r="18248" spans="1:14">
      <c r="A18248" s="4" t="str">
        <f t="shared" si="1305"/>
        <v>EXP00438</v>
      </c>
      <c r="B18248" s="3" t="s">
        <v>66</v>
      </c>
      <c r="C18248" s="4" t="str">
        <f t="shared" si="1306"/>
        <v>TCGA-PRAD</v>
      </c>
      <c r="D18248" s="1" t="s">
        <v>493</v>
      </c>
      <c r="E18248" t="s">
        <v>571</v>
      </c>
      <c r="F18248" s="1">
        <v>2</v>
      </c>
      <c r="G18248" s="1" t="s">
        <v>28</v>
      </c>
      <c r="H18248" s="4" t="str">
        <f>HYPERLINK("https://portal.gdc.cancer.gov/cases/26eefaa1-1666-4ce1-8cf4-f6fabff81fd2","TCGA-HC-7213-01A")</f>
        <v>TCGA-HC-7213-01A</v>
      </c>
      <c r="I18248" t="s">
        <v>161</v>
      </c>
      <c r="J18248" t="s">
        <v>569</v>
      </c>
      <c r="K18248" t="s">
        <v>33</v>
      </c>
      <c r="L18248" t="s">
        <v>162</v>
      </c>
      <c r="N18248" t="s">
        <v>29</v>
      </c>
    </row>
    <row r="18249" spans="1:14">
      <c r="A18249" s="4" t="str">
        <f t="shared" si="1305"/>
        <v>EXP00438</v>
      </c>
      <c r="B18249" s="3" t="s">
        <v>66</v>
      </c>
      <c r="C18249" s="4" t="str">
        <f t="shared" si="1306"/>
        <v>TCGA-PRAD</v>
      </c>
      <c r="D18249" s="1" t="s">
        <v>493</v>
      </c>
      <c r="E18249" t="s">
        <v>571</v>
      </c>
      <c r="F18249" s="1">
        <v>2</v>
      </c>
      <c r="G18249" s="1" t="s">
        <v>28</v>
      </c>
      <c r="H18249" s="4" t="str">
        <f>HYPERLINK("https://portal.gdc.cancer.gov/cases/03c66cf8-bc68-4ee1-a322-689a29b72262","TCGA-HC-7230-01A")</f>
        <v>TCGA-HC-7230-01A</v>
      </c>
      <c r="I18249" t="s">
        <v>161</v>
      </c>
      <c r="J18249" t="s">
        <v>569</v>
      </c>
      <c r="K18249" t="s">
        <v>33</v>
      </c>
      <c r="L18249" t="s">
        <v>162</v>
      </c>
      <c r="N18249" t="s">
        <v>29</v>
      </c>
    </row>
    <row r="18250" spans="1:14">
      <c r="A18250" s="4" t="str">
        <f t="shared" ref="A18250:A18313" si="1307">HYPERLINK("http://hcmdb.i-sanger.com/experiment/details/experiment_id/EXP00438","EXP00438")</f>
        <v>EXP00438</v>
      </c>
      <c r="B18250" s="3" t="s">
        <v>66</v>
      </c>
      <c r="C18250" s="4" t="str">
        <f t="shared" si="1306"/>
        <v>TCGA-PRAD</v>
      </c>
      <c r="D18250" s="1" t="s">
        <v>493</v>
      </c>
      <c r="E18250" t="s">
        <v>571</v>
      </c>
      <c r="F18250" s="1">
        <v>2</v>
      </c>
      <c r="G18250" s="1" t="s">
        <v>28</v>
      </c>
      <c r="H18250" s="4" t="str">
        <f>HYPERLINK("https://portal.gdc.cancer.gov/cases/b182bda9-3d9f-4958-96eb-bd6cc441830c","TCGA-HC-7231-01A")</f>
        <v>TCGA-HC-7231-01A</v>
      </c>
      <c r="I18250" t="s">
        <v>161</v>
      </c>
      <c r="J18250" t="s">
        <v>569</v>
      </c>
      <c r="K18250" t="s">
        <v>33</v>
      </c>
      <c r="L18250" t="s">
        <v>162</v>
      </c>
      <c r="N18250" t="s">
        <v>29</v>
      </c>
    </row>
    <row r="18251" spans="1:14">
      <c r="A18251" s="4" t="str">
        <f t="shared" si="1307"/>
        <v>EXP00438</v>
      </c>
      <c r="B18251" s="3" t="s">
        <v>66</v>
      </c>
      <c r="C18251" s="4" t="str">
        <f t="shared" si="1306"/>
        <v>TCGA-PRAD</v>
      </c>
      <c r="D18251" s="1" t="s">
        <v>493</v>
      </c>
      <c r="E18251" t="s">
        <v>571</v>
      </c>
      <c r="F18251" s="1">
        <v>2</v>
      </c>
      <c r="G18251" s="1" t="s">
        <v>28</v>
      </c>
      <c r="H18251" s="4" t="str">
        <f>HYPERLINK("https://portal.gdc.cancer.gov/cases/ce3585d3-7388-4d05-84c8-64e0883003b3","TCGA-HC-7232-01A")</f>
        <v>TCGA-HC-7232-01A</v>
      </c>
      <c r="I18251" t="s">
        <v>161</v>
      </c>
      <c r="J18251" t="s">
        <v>569</v>
      </c>
      <c r="K18251" t="s">
        <v>33</v>
      </c>
      <c r="L18251" t="s">
        <v>162</v>
      </c>
      <c r="N18251" t="s">
        <v>29</v>
      </c>
    </row>
    <row r="18252" spans="1:14">
      <c r="A18252" s="4" t="str">
        <f t="shared" si="1307"/>
        <v>EXP00438</v>
      </c>
      <c r="B18252" s="3" t="s">
        <v>66</v>
      </c>
      <c r="C18252" s="4" t="str">
        <f t="shared" si="1306"/>
        <v>TCGA-PRAD</v>
      </c>
      <c r="D18252" s="1" t="s">
        <v>493</v>
      </c>
      <c r="E18252" t="s">
        <v>571</v>
      </c>
      <c r="F18252" s="1">
        <v>2</v>
      </c>
      <c r="G18252" s="1" t="s">
        <v>28</v>
      </c>
      <c r="H18252" s="4" t="str">
        <f>HYPERLINK("https://portal.gdc.cancer.gov/cases/e2b33861-2247-413f-b2e5-9be3b604666c","TCGA-HC-7233-01A")</f>
        <v>TCGA-HC-7233-01A</v>
      </c>
      <c r="I18252" t="s">
        <v>161</v>
      </c>
      <c r="J18252" t="s">
        <v>569</v>
      </c>
      <c r="K18252" t="s">
        <v>33</v>
      </c>
      <c r="L18252" t="s">
        <v>162</v>
      </c>
      <c r="N18252" t="s">
        <v>29</v>
      </c>
    </row>
    <row r="18253" spans="1:14">
      <c r="A18253" s="4" t="str">
        <f t="shared" si="1307"/>
        <v>EXP00438</v>
      </c>
      <c r="B18253" s="3" t="s">
        <v>66</v>
      </c>
      <c r="C18253" s="4" t="str">
        <f t="shared" si="1306"/>
        <v>TCGA-PRAD</v>
      </c>
      <c r="D18253" s="1" t="s">
        <v>493</v>
      </c>
      <c r="E18253" t="s">
        <v>571</v>
      </c>
      <c r="F18253" s="1">
        <v>2</v>
      </c>
      <c r="G18253" s="1" t="s">
        <v>28</v>
      </c>
      <c r="H18253" s="4" t="str">
        <f>HYPERLINK("https://portal.gdc.cancer.gov/cases/922e5166-85f5-4365-9c09-f8bdc1722da6","TCGA-HC-7736-01A")</f>
        <v>TCGA-HC-7736-01A</v>
      </c>
      <c r="I18253" t="s">
        <v>161</v>
      </c>
      <c r="J18253" t="s">
        <v>569</v>
      </c>
      <c r="K18253" t="s">
        <v>33</v>
      </c>
      <c r="L18253" t="s">
        <v>162</v>
      </c>
      <c r="N18253" t="s">
        <v>29</v>
      </c>
    </row>
    <row r="18254" spans="1:14">
      <c r="A18254" s="4" t="str">
        <f t="shared" si="1307"/>
        <v>EXP00438</v>
      </c>
      <c r="B18254" s="3" t="s">
        <v>66</v>
      </c>
      <c r="C18254" s="4" t="str">
        <f t="shared" si="1306"/>
        <v>TCGA-PRAD</v>
      </c>
      <c r="D18254" s="1" t="s">
        <v>493</v>
      </c>
      <c r="E18254" t="s">
        <v>571</v>
      </c>
      <c r="F18254" s="1">
        <v>2</v>
      </c>
      <c r="G18254" s="1" t="s">
        <v>28</v>
      </c>
      <c r="H18254" s="4" t="str">
        <f>HYPERLINK("https://portal.gdc.cancer.gov/cases/73f875cb-bcfc-43ba-ab97-4e94caf836d4","TCGA-HC-7737-01A")</f>
        <v>TCGA-HC-7737-01A</v>
      </c>
      <c r="I18254" t="s">
        <v>161</v>
      </c>
      <c r="J18254" t="s">
        <v>569</v>
      </c>
      <c r="K18254" t="s">
        <v>33</v>
      </c>
      <c r="L18254" t="s">
        <v>162</v>
      </c>
      <c r="N18254" t="s">
        <v>29</v>
      </c>
    </row>
    <row r="18255" spans="1:14">
      <c r="A18255" s="4" t="str">
        <f t="shared" si="1307"/>
        <v>EXP00438</v>
      </c>
      <c r="B18255" s="3" t="s">
        <v>66</v>
      </c>
      <c r="C18255" s="4" t="str">
        <f t="shared" si="1306"/>
        <v>TCGA-PRAD</v>
      </c>
      <c r="D18255" s="1" t="s">
        <v>493</v>
      </c>
      <c r="E18255" t="s">
        <v>571</v>
      </c>
      <c r="F18255" s="1">
        <v>2</v>
      </c>
      <c r="G18255" s="1" t="s">
        <v>28</v>
      </c>
      <c r="H18255" s="4" t="str">
        <f>HYPERLINK("https://portal.gdc.cancer.gov/cases/698ce9a9-6512-4fb8-a574-a26ee259414c","TCGA-HC-7738-01A")</f>
        <v>TCGA-HC-7738-01A</v>
      </c>
      <c r="I18255" t="s">
        <v>161</v>
      </c>
      <c r="J18255" t="s">
        <v>569</v>
      </c>
      <c r="K18255" t="s">
        <v>33</v>
      </c>
      <c r="L18255" t="s">
        <v>162</v>
      </c>
      <c r="N18255" t="s">
        <v>29</v>
      </c>
    </row>
    <row r="18256" spans="1:14">
      <c r="A18256" s="4" t="str">
        <f t="shared" si="1307"/>
        <v>EXP00438</v>
      </c>
      <c r="B18256" s="3" t="s">
        <v>66</v>
      </c>
      <c r="C18256" s="4" t="str">
        <f t="shared" si="1306"/>
        <v>TCGA-PRAD</v>
      </c>
      <c r="D18256" s="1" t="s">
        <v>493</v>
      </c>
      <c r="E18256" t="s">
        <v>571</v>
      </c>
      <c r="F18256" s="1">
        <v>2</v>
      </c>
      <c r="G18256" s="1" t="s">
        <v>28</v>
      </c>
      <c r="H18256" s="4" t="str">
        <f>HYPERLINK("https://portal.gdc.cancer.gov/cases/91e249a6-b0b0-487e-9fad-0e9f5798dcae","TCGA-HC-7740-01A")</f>
        <v>TCGA-HC-7740-01A</v>
      </c>
      <c r="I18256" t="s">
        <v>161</v>
      </c>
      <c r="J18256" t="s">
        <v>569</v>
      </c>
      <c r="K18256" t="s">
        <v>33</v>
      </c>
      <c r="L18256" t="s">
        <v>162</v>
      </c>
      <c r="N18256" t="s">
        <v>29</v>
      </c>
    </row>
    <row r="18257" spans="1:14">
      <c r="A18257" s="4" t="str">
        <f t="shared" si="1307"/>
        <v>EXP00438</v>
      </c>
      <c r="B18257" s="3" t="s">
        <v>66</v>
      </c>
      <c r="C18257" s="4" t="str">
        <f t="shared" si="1306"/>
        <v>TCGA-PRAD</v>
      </c>
      <c r="D18257" s="1" t="s">
        <v>493</v>
      </c>
      <c r="E18257" t="s">
        <v>571</v>
      </c>
      <c r="F18257" s="1">
        <v>2</v>
      </c>
      <c r="G18257" s="1" t="s">
        <v>28</v>
      </c>
      <c r="H18257" s="4" t="str">
        <f>HYPERLINK("https://portal.gdc.cancer.gov/cases/91e249a6-b0b0-487e-9fad-0e9f5798dcae","TCGA-HC-7740-01B")</f>
        <v>TCGA-HC-7740-01B</v>
      </c>
      <c r="I18257" t="s">
        <v>161</v>
      </c>
      <c r="J18257" t="s">
        <v>569</v>
      </c>
      <c r="K18257" t="s">
        <v>33</v>
      </c>
      <c r="L18257" t="s">
        <v>162</v>
      </c>
      <c r="N18257" t="s">
        <v>29</v>
      </c>
    </row>
    <row r="18258" spans="1:14">
      <c r="A18258" s="4" t="str">
        <f t="shared" si="1307"/>
        <v>EXP00438</v>
      </c>
      <c r="B18258" s="3" t="s">
        <v>66</v>
      </c>
      <c r="C18258" s="4" t="str">
        <f t="shared" si="1306"/>
        <v>TCGA-PRAD</v>
      </c>
      <c r="D18258" s="1" t="s">
        <v>493</v>
      </c>
      <c r="E18258" t="s">
        <v>571</v>
      </c>
      <c r="F18258" s="1">
        <v>2</v>
      </c>
      <c r="G18258" s="1" t="s">
        <v>28</v>
      </c>
      <c r="H18258" s="4" t="str">
        <f>HYPERLINK("https://portal.gdc.cancer.gov/cases/0730216b-c201-443c-9092-81e23fd13c6c","TCGA-HC-7742-01A")</f>
        <v>TCGA-HC-7742-01A</v>
      </c>
      <c r="I18258" t="s">
        <v>161</v>
      </c>
      <c r="J18258" t="s">
        <v>569</v>
      </c>
      <c r="K18258" t="s">
        <v>33</v>
      </c>
      <c r="L18258" t="s">
        <v>162</v>
      </c>
      <c r="N18258" t="s">
        <v>29</v>
      </c>
    </row>
    <row r="18259" spans="1:14">
      <c r="A18259" s="4" t="str">
        <f t="shared" si="1307"/>
        <v>EXP00438</v>
      </c>
      <c r="B18259" s="3" t="s">
        <v>66</v>
      </c>
      <c r="C18259" s="4" t="str">
        <f t="shared" si="1306"/>
        <v>TCGA-PRAD</v>
      </c>
      <c r="D18259" s="1" t="s">
        <v>493</v>
      </c>
      <c r="E18259" t="s">
        <v>571</v>
      </c>
      <c r="F18259" s="1">
        <v>2</v>
      </c>
      <c r="G18259" s="1" t="s">
        <v>28</v>
      </c>
      <c r="H18259" s="4" t="str">
        <f>HYPERLINK("https://portal.gdc.cancer.gov/cases/f6381367-142c-45d0-92b3-c1727d1813ce","TCGA-HC-7744-01A")</f>
        <v>TCGA-HC-7744-01A</v>
      </c>
      <c r="I18259" t="s">
        <v>161</v>
      </c>
      <c r="J18259" t="s">
        <v>569</v>
      </c>
      <c r="K18259" t="s">
        <v>33</v>
      </c>
      <c r="L18259" t="s">
        <v>162</v>
      </c>
      <c r="N18259" t="s">
        <v>29</v>
      </c>
    </row>
    <row r="18260" spans="1:14">
      <c r="A18260" s="4" t="str">
        <f t="shared" si="1307"/>
        <v>EXP00438</v>
      </c>
      <c r="B18260" s="3" t="s">
        <v>66</v>
      </c>
      <c r="C18260" s="4" t="str">
        <f t="shared" si="1306"/>
        <v>TCGA-PRAD</v>
      </c>
      <c r="D18260" s="1" t="s">
        <v>493</v>
      </c>
      <c r="E18260" t="s">
        <v>571</v>
      </c>
      <c r="F18260" s="1">
        <v>2</v>
      </c>
      <c r="G18260" s="1" t="s">
        <v>28</v>
      </c>
      <c r="H18260" s="4" t="str">
        <f>HYPERLINK("https://portal.gdc.cancer.gov/cases/6641a298-1dbd-445d-a4ab-95ceb98e1427","TCGA-HC-7745-01A")</f>
        <v>TCGA-HC-7745-01A</v>
      </c>
      <c r="I18260" t="s">
        <v>161</v>
      </c>
      <c r="J18260" t="s">
        <v>569</v>
      </c>
      <c r="K18260" t="s">
        <v>33</v>
      </c>
      <c r="L18260" t="s">
        <v>162</v>
      </c>
      <c r="N18260" t="s">
        <v>29</v>
      </c>
    </row>
    <row r="18261" spans="1:14">
      <c r="A18261" s="4" t="str">
        <f t="shared" si="1307"/>
        <v>EXP00438</v>
      </c>
      <c r="B18261" s="3" t="s">
        <v>66</v>
      </c>
      <c r="C18261" s="4" t="str">
        <f t="shared" si="1306"/>
        <v>TCGA-PRAD</v>
      </c>
      <c r="D18261" s="1" t="s">
        <v>493</v>
      </c>
      <c r="E18261" t="s">
        <v>571</v>
      </c>
      <c r="F18261" s="1">
        <v>2</v>
      </c>
      <c r="G18261" s="1" t="s">
        <v>28</v>
      </c>
      <c r="H18261" s="4" t="str">
        <f>HYPERLINK("https://portal.gdc.cancer.gov/cases/f25bae1a-8627-46a8-87af-07f82773c68a","TCGA-HC-7747-01A")</f>
        <v>TCGA-HC-7747-01A</v>
      </c>
      <c r="I18261" t="s">
        <v>161</v>
      </c>
      <c r="J18261" t="s">
        <v>569</v>
      </c>
      <c r="K18261" t="s">
        <v>33</v>
      </c>
      <c r="L18261" t="s">
        <v>162</v>
      </c>
      <c r="N18261" t="s">
        <v>29</v>
      </c>
    </row>
    <row r="18262" spans="1:14">
      <c r="A18262" s="4" t="str">
        <f t="shared" si="1307"/>
        <v>EXP00438</v>
      </c>
      <c r="B18262" s="3" t="s">
        <v>66</v>
      </c>
      <c r="C18262" s="4" t="str">
        <f t="shared" si="1306"/>
        <v>TCGA-PRAD</v>
      </c>
      <c r="D18262" s="1" t="s">
        <v>493</v>
      </c>
      <c r="E18262" t="s">
        <v>571</v>
      </c>
      <c r="F18262" s="1">
        <v>2</v>
      </c>
      <c r="G18262" s="1" t="s">
        <v>28</v>
      </c>
      <c r="H18262" s="4" t="str">
        <f>HYPERLINK("https://portal.gdc.cancer.gov/cases/f6040682-4999-4d71-abc2-354b473c6980","TCGA-HC-7748-01A")</f>
        <v>TCGA-HC-7748-01A</v>
      </c>
      <c r="I18262" t="s">
        <v>161</v>
      </c>
      <c r="J18262" t="s">
        <v>569</v>
      </c>
      <c r="K18262" t="s">
        <v>33</v>
      </c>
      <c r="L18262" t="s">
        <v>162</v>
      </c>
      <c r="N18262" t="s">
        <v>29</v>
      </c>
    </row>
    <row r="18263" spans="1:14">
      <c r="A18263" s="4" t="str">
        <f t="shared" si="1307"/>
        <v>EXP00438</v>
      </c>
      <c r="B18263" s="3" t="s">
        <v>66</v>
      </c>
      <c r="C18263" s="4" t="str">
        <f t="shared" si="1306"/>
        <v>TCGA-PRAD</v>
      </c>
      <c r="D18263" s="1" t="s">
        <v>493</v>
      </c>
      <c r="E18263" t="s">
        <v>571</v>
      </c>
      <c r="F18263" s="1">
        <v>2</v>
      </c>
      <c r="G18263" s="1" t="s">
        <v>28</v>
      </c>
      <c r="H18263" s="4" t="str">
        <f>HYPERLINK("https://portal.gdc.cancer.gov/cases/13a63fd0-6c8c-4707-9135-8052f454d1ac","TCGA-HC-7749-01A")</f>
        <v>TCGA-HC-7749-01A</v>
      </c>
      <c r="I18263" t="s">
        <v>161</v>
      </c>
      <c r="J18263" t="s">
        <v>569</v>
      </c>
      <c r="K18263" t="s">
        <v>33</v>
      </c>
      <c r="L18263" t="s">
        <v>162</v>
      </c>
      <c r="N18263" t="s">
        <v>29</v>
      </c>
    </row>
    <row r="18264" spans="1:14">
      <c r="A18264" s="4" t="str">
        <f t="shared" si="1307"/>
        <v>EXP00438</v>
      </c>
      <c r="B18264" s="3" t="s">
        <v>66</v>
      </c>
      <c r="C18264" s="4" t="str">
        <f t="shared" si="1306"/>
        <v>TCGA-PRAD</v>
      </c>
      <c r="D18264" s="1" t="s">
        <v>493</v>
      </c>
      <c r="E18264" t="s">
        <v>571</v>
      </c>
      <c r="F18264" s="1">
        <v>2</v>
      </c>
      <c r="G18264" s="1" t="s">
        <v>28</v>
      </c>
      <c r="H18264" s="4" t="str">
        <f>HYPERLINK("https://portal.gdc.cancer.gov/cases/2d350c73-2a0b-4a3c-8d30-c6fcf6c3ffba","TCGA-HC-7750-01A")</f>
        <v>TCGA-HC-7750-01A</v>
      </c>
      <c r="I18264" t="s">
        <v>161</v>
      </c>
      <c r="J18264" t="s">
        <v>569</v>
      </c>
      <c r="K18264" t="s">
        <v>33</v>
      </c>
      <c r="L18264" t="s">
        <v>162</v>
      </c>
      <c r="N18264" t="s">
        <v>29</v>
      </c>
    </row>
    <row r="18265" spans="1:14">
      <c r="A18265" s="4" t="str">
        <f t="shared" si="1307"/>
        <v>EXP00438</v>
      </c>
      <c r="B18265" s="3" t="s">
        <v>66</v>
      </c>
      <c r="C18265" s="4" t="str">
        <f t="shared" si="1306"/>
        <v>TCGA-PRAD</v>
      </c>
      <c r="D18265" s="1" t="s">
        <v>493</v>
      </c>
      <c r="E18265" t="s">
        <v>571</v>
      </c>
      <c r="F18265" s="1">
        <v>2</v>
      </c>
      <c r="G18265" s="1" t="s">
        <v>28</v>
      </c>
      <c r="H18265" s="4" t="str">
        <f>HYPERLINK("https://portal.gdc.cancer.gov/cases/9b84601b-ee05-4c15-afe3-7bfa7ca5ffac","TCGA-HC-7752-01A")</f>
        <v>TCGA-HC-7752-01A</v>
      </c>
      <c r="I18265" t="s">
        <v>161</v>
      </c>
      <c r="J18265" t="s">
        <v>569</v>
      </c>
      <c r="K18265" t="s">
        <v>33</v>
      </c>
      <c r="L18265" t="s">
        <v>162</v>
      </c>
      <c r="N18265" t="s">
        <v>29</v>
      </c>
    </row>
    <row r="18266" spans="1:14">
      <c r="A18266" s="4" t="str">
        <f t="shared" si="1307"/>
        <v>EXP00438</v>
      </c>
      <c r="B18266" s="3" t="s">
        <v>66</v>
      </c>
      <c r="C18266" s="4" t="str">
        <f t="shared" si="1306"/>
        <v>TCGA-PRAD</v>
      </c>
      <c r="D18266" s="1" t="s">
        <v>493</v>
      </c>
      <c r="E18266" t="s">
        <v>571</v>
      </c>
      <c r="F18266" s="1">
        <v>2</v>
      </c>
      <c r="G18266" s="1" t="s">
        <v>28</v>
      </c>
      <c r="H18266" s="4" t="str">
        <f>HYPERLINK("https://portal.gdc.cancer.gov/cases/f3aa40b9-7b4d-465a-b7c9-591aebdb56c2","TCGA-HC-7817-01B")</f>
        <v>TCGA-HC-7817-01B</v>
      </c>
      <c r="I18266" t="s">
        <v>161</v>
      </c>
      <c r="J18266" t="s">
        <v>569</v>
      </c>
      <c r="K18266" t="s">
        <v>33</v>
      </c>
      <c r="L18266" t="s">
        <v>162</v>
      </c>
      <c r="N18266" t="s">
        <v>29</v>
      </c>
    </row>
    <row r="18267" spans="1:14">
      <c r="A18267" s="4" t="str">
        <f t="shared" si="1307"/>
        <v>EXP00438</v>
      </c>
      <c r="B18267" s="3" t="s">
        <v>66</v>
      </c>
      <c r="C18267" s="4" t="str">
        <f t="shared" si="1306"/>
        <v>TCGA-PRAD</v>
      </c>
      <c r="D18267" s="1" t="s">
        <v>493</v>
      </c>
      <c r="E18267" t="s">
        <v>571</v>
      </c>
      <c r="F18267" s="1">
        <v>2</v>
      </c>
      <c r="G18267" s="1" t="s">
        <v>28</v>
      </c>
      <c r="H18267" s="4" t="str">
        <f>HYPERLINK("https://portal.gdc.cancer.gov/cases/ebe711e4-45af-4082-bdf6-b0f7ac899b3e","TCGA-HC-7818-01A")</f>
        <v>TCGA-HC-7818-01A</v>
      </c>
      <c r="I18267" t="s">
        <v>161</v>
      </c>
      <c r="J18267" t="s">
        <v>569</v>
      </c>
      <c r="K18267" t="s">
        <v>33</v>
      </c>
      <c r="L18267" t="s">
        <v>162</v>
      </c>
      <c r="N18267" t="s">
        <v>29</v>
      </c>
    </row>
    <row r="18268" spans="1:14">
      <c r="A18268" s="4" t="str">
        <f t="shared" si="1307"/>
        <v>EXP00438</v>
      </c>
      <c r="B18268" s="3" t="s">
        <v>66</v>
      </c>
      <c r="C18268" s="4" t="str">
        <f t="shared" ref="C18268:C18331" si="1308">HYPERLINK("https://portal.gdc.cancer.gov/projects/TCGA-PRAD","TCGA-PRAD")</f>
        <v>TCGA-PRAD</v>
      </c>
      <c r="D18268" s="1" t="s">
        <v>493</v>
      </c>
      <c r="E18268" t="s">
        <v>571</v>
      </c>
      <c r="F18268" s="1">
        <v>2</v>
      </c>
      <c r="G18268" s="1" t="s">
        <v>28</v>
      </c>
      <c r="H18268" s="4" t="str">
        <f>HYPERLINK("https://portal.gdc.cancer.gov/cases/d1fd7be0-6daa-4f1f-a198-3dca7a797e49","TCGA-HC-7819-01A")</f>
        <v>TCGA-HC-7819-01A</v>
      </c>
      <c r="I18268" t="s">
        <v>161</v>
      </c>
      <c r="J18268" t="s">
        <v>569</v>
      </c>
      <c r="K18268" t="s">
        <v>33</v>
      </c>
      <c r="L18268" t="s">
        <v>162</v>
      </c>
      <c r="N18268" t="s">
        <v>29</v>
      </c>
    </row>
    <row r="18269" spans="1:14">
      <c r="A18269" s="4" t="str">
        <f t="shared" si="1307"/>
        <v>EXP00438</v>
      </c>
      <c r="B18269" s="3" t="s">
        <v>66</v>
      </c>
      <c r="C18269" s="4" t="str">
        <f t="shared" si="1308"/>
        <v>TCGA-PRAD</v>
      </c>
      <c r="D18269" s="1" t="s">
        <v>493</v>
      </c>
      <c r="E18269" t="s">
        <v>571</v>
      </c>
      <c r="F18269" s="1">
        <v>2</v>
      </c>
      <c r="G18269" s="1" t="s">
        <v>28</v>
      </c>
      <c r="H18269" s="4" t="str">
        <f>HYPERLINK("https://portal.gdc.cancer.gov/cases/a3cd3599-7c18-491d-be09-6fc7e526c9b1","TCGA-HC-7820-01A")</f>
        <v>TCGA-HC-7820-01A</v>
      </c>
      <c r="I18269" t="s">
        <v>161</v>
      </c>
      <c r="J18269" t="s">
        <v>569</v>
      </c>
      <c r="K18269" t="s">
        <v>33</v>
      </c>
      <c r="L18269" t="s">
        <v>162</v>
      </c>
      <c r="N18269" t="s">
        <v>29</v>
      </c>
    </row>
    <row r="18270" spans="1:14">
      <c r="A18270" s="4" t="str">
        <f t="shared" si="1307"/>
        <v>EXP00438</v>
      </c>
      <c r="B18270" s="3" t="s">
        <v>66</v>
      </c>
      <c r="C18270" s="4" t="str">
        <f t="shared" si="1308"/>
        <v>TCGA-PRAD</v>
      </c>
      <c r="D18270" s="1" t="s">
        <v>493</v>
      </c>
      <c r="E18270" t="s">
        <v>571</v>
      </c>
      <c r="F18270" s="1">
        <v>2</v>
      </c>
      <c r="G18270" s="1" t="s">
        <v>28</v>
      </c>
      <c r="H18270" s="4" t="str">
        <f>HYPERLINK("https://portal.gdc.cancer.gov/cases/929837f9-297a-47c0-ac9a-a142eef620d3","TCGA-HC-7821-01A")</f>
        <v>TCGA-HC-7821-01A</v>
      </c>
      <c r="I18270" t="s">
        <v>161</v>
      </c>
      <c r="J18270" t="s">
        <v>569</v>
      </c>
      <c r="K18270" t="s">
        <v>33</v>
      </c>
      <c r="L18270" t="s">
        <v>162</v>
      </c>
      <c r="N18270" t="s">
        <v>29</v>
      </c>
    </row>
    <row r="18271" spans="1:14">
      <c r="A18271" s="4" t="str">
        <f t="shared" si="1307"/>
        <v>EXP00438</v>
      </c>
      <c r="B18271" s="3" t="s">
        <v>66</v>
      </c>
      <c r="C18271" s="4" t="str">
        <f t="shared" si="1308"/>
        <v>TCGA-PRAD</v>
      </c>
      <c r="D18271" s="1" t="s">
        <v>493</v>
      </c>
      <c r="E18271" t="s">
        <v>571</v>
      </c>
      <c r="F18271" s="1">
        <v>2</v>
      </c>
      <c r="G18271" s="1" t="s">
        <v>28</v>
      </c>
      <c r="H18271" s="4" t="str">
        <f>HYPERLINK("https://portal.gdc.cancer.gov/cases/53c43d14-2310-41e9-ac43-3cc298404338","TCGA-HC-8213-01A")</f>
        <v>TCGA-HC-8213-01A</v>
      </c>
      <c r="I18271" t="s">
        <v>161</v>
      </c>
      <c r="J18271" t="s">
        <v>569</v>
      </c>
      <c r="K18271" t="s">
        <v>33</v>
      </c>
      <c r="L18271" t="s">
        <v>162</v>
      </c>
      <c r="N18271" t="s">
        <v>29</v>
      </c>
    </row>
    <row r="18272" spans="1:14">
      <c r="A18272" s="4" t="str">
        <f t="shared" si="1307"/>
        <v>EXP00438</v>
      </c>
      <c r="B18272" s="3" t="s">
        <v>66</v>
      </c>
      <c r="C18272" s="4" t="str">
        <f t="shared" si="1308"/>
        <v>TCGA-PRAD</v>
      </c>
      <c r="D18272" s="1" t="s">
        <v>493</v>
      </c>
      <c r="E18272" t="s">
        <v>571</v>
      </c>
      <c r="F18272" s="1">
        <v>2</v>
      </c>
      <c r="G18272" s="1" t="s">
        <v>28</v>
      </c>
      <c r="H18272" s="4" t="str">
        <f>HYPERLINK("https://portal.gdc.cancer.gov/cases/89afdebe-456e-4128-8902-1001876a2106","TCGA-HC-8216-01A")</f>
        <v>TCGA-HC-8216-01A</v>
      </c>
      <c r="I18272" t="s">
        <v>161</v>
      </c>
      <c r="J18272" t="s">
        <v>569</v>
      </c>
      <c r="K18272" t="s">
        <v>33</v>
      </c>
      <c r="L18272" t="s">
        <v>162</v>
      </c>
      <c r="N18272" t="s">
        <v>29</v>
      </c>
    </row>
    <row r="18273" spans="1:14">
      <c r="A18273" s="4" t="str">
        <f t="shared" si="1307"/>
        <v>EXP00438</v>
      </c>
      <c r="B18273" s="3" t="s">
        <v>66</v>
      </c>
      <c r="C18273" s="4" t="str">
        <f t="shared" si="1308"/>
        <v>TCGA-PRAD</v>
      </c>
      <c r="D18273" s="1" t="s">
        <v>493</v>
      </c>
      <c r="E18273" t="s">
        <v>571</v>
      </c>
      <c r="F18273" s="1">
        <v>2</v>
      </c>
      <c r="G18273" s="1" t="s">
        <v>28</v>
      </c>
      <c r="H18273" s="4" t="str">
        <f>HYPERLINK("https://portal.gdc.cancer.gov/cases/89a297be-ebb5-4b9f-8eda-0e548d14ad91","TCGA-HC-8256-01A")</f>
        <v>TCGA-HC-8256-01A</v>
      </c>
      <c r="I18273" t="s">
        <v>161</v>
      </c>
      <c r="J18273" t="s">
        <v>569</v>
      </c>
      <c r="K18273" t="s">
        <v>33</v>
      </c>
      <c r="L18273" t="s">
        <v>162</v>
      </c>
      <c r="N18273" t="s">
        <v>29</v>
      </c>
    </row>
    <row r="18274" spans="1:14">
      <c r="A18274" s="4" t="str">
        <f t="shared" si="1307"/>
        <v>EXP00438</v>
      </c>
      <c r="B18274" s="3" t="s">
        <v>66</v>
      </c>
      <c r="C18274" s="4" t="str">
        <f t="shared" si="1308"/>
        <v>TCGA-PRAD</v>
      </c>
      <c r="D18274" s="1" t="s">
        <v>493</v>
      </c>
      <c r="E18274" t="s">
        <v>571</v>
      </c>
      <c r="F18274" s="1">
        <v>2</v>
      </c>
      <c r="G18274" s="1" t="s">
        <v>28</v>
      </c>
      <c r="H18274" s="4" t="str">
        <f>HYPERLINK("https://portal.gdc.cancer.gov/cases/270447ca-19ee-45a2-982e-032325dab05f","TCGA-HC-8257-01A")</f>
        <v>TCGA-HC-8257-01A</v>
      </c>
      <c r="I18274" t="s">
        <v>161</v>
      </c>
      <c r="J18274" t="s">
        <v>569</v>
      </c>
      <c r="K18274" t="s">
        <v>33</v>
      </c>
      <c r="L18274" t="s">
        <v>162</v>
      </c>
      <c r="N18274" t="s">
        <v>29</v>
      </c>
    </row>
    <row r="18275" spans="1:14">
      <c r="A18275" s="4" t="str">
        <f t="shared" si="1307"/>
        <v>EXP00438</v>
      </c>
      <c r="B18275" s="3" t="s">
        <v>66</v>
      </c>
      <c r="C18275" s="4" t="str">
        <f t="shared" si="1308"/>
        <v>TCGA-PRAD</v>
      </c>
      <c r="D18275" s="1" t="s">
        <v>493</v>
      </c>
      <c r="E18275" t="s">
        <v>571</v>
      </c>
      <c r="F18275" s="1">
        <v>2</v>
      </c>
      <c r="G18275" s="1" t="s">
        <v>28</v>
      </c>
      <c r="H18275" s="4" t="str">
        <f>HYPERLINK("https://portal.gdc.cancer.gov/cases/da5b0169-e4f4-4674-b348-220af03ff4b5","TCGA-HC-8258-01A")</f>
        <v>TCGA-HC-8258-01A</v>
      </c>
      <c r="I18275" t="s">
        <v>161</v>
      </c>
      <c r="J18275" t="s">
        <v>569</v>
      </c>
      <c r="K18275" t="s">
        <v>33</v>
      </c>
      <c r="L18275" t="s">
        <v>162</v>
      </c>
      <c r="N18275" t="s">
        <v>29</v>
      </c>
    </row>
    <row r="18276" spans="1:14">
      <c r="A18276" s="4" t="str">
        <f t="shared" si="1307"/>
        <v>EXP00438</v>
      </c>
      <c r="B18276" s="3" t="s">
        <v>66</v>
      </c>
      <c r="C18276" s="4" t="str">
        <f t="shared" si="1308"/>
        <v>TCGA-PRAD</v>
      </c>
      <c r="D18276" s="1" t="s">
        <v>493</v>
      </c>
      <c r="E18276" t="s">
        <v>571</v>
      </c>
      <c r="F18276" s="1">
        <v>2</v>
      </c>
      <c r="G18276" s="1" t="s">
        <v>28</v>
      </c>
      <c r="H18276" s="4" t="str">
        <f>HYPERLINK("https://portal.gdc.cancer.gov/cases/da5b0169-e4f4-4674-b348-220af03ff4b5","TCGA-HC-8258-01B")</f>
        <v>TCGA-HC-8258-01B</v>
      </c>
      <c r="I18276" t="s">
        <v>161</v>
      </c>
      <c r="J18276" t="s">
        <v>569</v>
      </c>
      <c r="K18276" t="s">
        <v>33</v>
      </c>
      <c r="L18276" t="s">
        <v>162</v>
      </c>
      <c r="N18276" t="s">
        <v>29</v>
      </c>
    </row>
    <row r="18277" spans="1:14">
      <c r="A18277" s="4" t="str">
        <f t="shared" si="1307"/>
        <v>EXP00438</v>
      </c>
      <c r="B18277" s="3" t="s">
        <v>66</v>
      </c>
      <c r="C18277" s="4" t="str">
        <f t="shared" si="1308"/>
        <v>TCGA-PRAD</v>
      </c>
      <c r="D18277" s="1" t="s">
        <v>493</v>
      </c>
      <c r="E18277" t="s">
        <v>571</v>
      </c>
      <c r="F18277" s="1">
        <v>2</v>
      </c>
      <c r="G18277" s="1" t="s">
        <v>28</v>
      </c>
      <c r="H18277" s="4" t="str">
        <f>HYPERLINK("https://portal.gdc.cancer.gov/cases/07ccb4e9-a2a9-4bfd-97bd-13873b01977a","TCGA-HC-8259-01A")</f>
        <v>TCGA-HC-8259-01A</v>
      </c>
      <c r="I18277" t="s">
        <v>161</v>
      </c>
      <c r="J18277" t="s">
        <v>569</v>
      </c>
      <c r="K18277" t="s">
        <v>33</v>
      </c>
      <c r="L18277" t="s">
        <v>162</v>
      </c>
      <c r="N18277" t="s">
        <v>29</v>
      </c>
    </row>
    <row r="18278" spans="1:14">
      <c r="A18278" s="4" t="str">
        <f t="shared" si="1307"/>
        <v>EXP00438</v>
      </c>
      <c r="B18278" s="3" t="s">
        <v>66</v>
      </c>
      <c r="C18278" s="4" t="str">
        <f t="shared" si="1308"/>
        <v>TCGA-PRAD</v>
      </c>
      <c r="D18278" s="1" t="s">
        <v>493</v>
      </c>
      <c r="E18278" t="s">
        <v>571</v>
      </c>
      <c r="F18278" s="1">
        <v>2</v>
      </c>
      <c r="G18278" s="1" t="s">
        <v>28</v>
      </c>
      <c r="H18278" s="4" t="str">
        <f>HYPERLINK("https://portal.gdc.cancer.gov/cases/3971a2f0-7263-4cda-aa01-9a2ebb2c2ff2","TCGA-HC-8260-01A")</f>
        <v>TCGA-HC-8260-01A</v>
      </c>
      <c r="I18278" t="s">
        <v>161</v>
      </c>
      <c r="J18278" t="s">
        <v>569</v>
      </c>
      <c r="K18278" t="s">
        <v>33</v>
      </c>
      <c r="L18278" t="s">
        <v>162</v>
      </c>
      <c r="N18278" t="s">
        <v>29</v>
      </c>
    </row>
    <row r="18279" spans="1:14">
      <c r="A18279" s="4" t="str">
        <f t="shared" si="1307"/>
        <v>EXP00438</v>
      </c>
      <c r="B18279" s="3" t="s">
        <v>66</v>
      </c>
      <c r="C18279" s="4" t="str">
        <f t="shared" si="1308"/>
        <v>TCGA-PRAD</v>
      </c>
      <c r="D18279" s="1" t="s">
        <v>493</v>
      </c>
      <c r="E18279" t="s">
        <v>571</v>
      </c>
      <c r="F18279" s="1">
        <v>2</v>
      </c>
      <c r="G18279" s="1" t="s">
        <v>28</v>
      </c>
      <c r="H18279" s="4" t="str">
        <f>HYPERLINK("https://portal.gdc.cancer.gov/cases/f16ce517-d51d-499a-a4c4-a6844fefa52c","TCGA-HC-8261-01A")</f>
        <v>TCGA-HC-8261-01A</v>
      </c>
      <c r="I18279" t="s">
        <v>161</v>
      </c>
      <c r="J18279" t="s">
        <v>569</v>
      </c>
      <c r="K18279" t="s">
        <v>33</v>
      </c>
      <c r="L18279" t="s">
        <v>162</v>
      </c>
      <c r="N18279" t="s">
        <v>29</v>
      </c>
    </row>
    <row r="18280" spans="1:14">
      <c r="A18280" s="4" t="str">
        <f t="shared" si="1307"/>
        <v>EXP00438</v>
      </c>
      <c r="B18280" s="3" t="s">
        <v>66</v>
      </c>
      <c r="C18280" s="4" t="str">
        <f t="shared" si="1308"/>
        <v>TCGA-PRAD</v>
      </c>
      <c r="D18280" s="1" t="s">
        <v>493</v>
      </c>
      <c r="E18280" t="s">
        <v>571</v>
      </c>
      <c r="F18280" s="1">
        <v>2</v>
      </c>
      <c r="G18280" s="1" t="s">
        <v>28</v>
      </c>
      <c r="H18280" s="4" t="str">
        <f>HYPERLINK("https://portal.gdc.cancer.gov/cases/fb7e9935-32a2-422b-8004-88b827a686c2","TCGA-HC-8262-01A")</f>
        <v>TCGA-HC-8262-01A</v>
      </c>
      <c r="I18280" t="s">
        <v>161</v>
      </c>
      <c r="J18280" t="s">
        <v>569</v>
      </c>
      <c r="K18280" t="s">
        <v>33</v>
      </c>
      <c r="L18280" t="s">
        <v>162</v>
      </c>
      <c r="N18280" t="s">
        <v>29</v>
      </c>
    </row>
    <row r="18281" spans="1:14">
      <c r="A18281" s="4" t="str">
        <f t="shared" si="1307"/>
        <v>EXP00438</v>
      </c>
      <c r="B18281" s="3" t="s">
        <v>66</v>
      </c>
      <c r="C18281" s="4" t="str">
        <f t="shared" si="1308"/>
        <v>TCGA-PRAD</v>
      </c>
      <c r="D18281" s="1" t="s">
        <v>493</v>
      </c>
      <c r="E18281" t="s">
        <v>571</v>
      </c>
      <c r="F18281" s="1">
        <v>2</v>
      </c>
      <c r="G18281" s="1" t="s">
        <v>28</v>
      </c>
      <c r="H18281" s="4" t="str">
        <f>HYPERLINK("https://portal.gdc.cancer.gov/cases/8740555d-8bf0-40ba-b868-99eef27662a4","TCGA-HC-8264-01B")</f>
        <v>TCGA-HC-8264-01B</v>
      </c>
      <c r="I18281" t="s">
        <v>161</v>
      </c>
      <c r="J18281" t="s">
        <v>569</v>
      </c>
      <c r="K18281" t="s">
        <v>33</v>
      </c>
      <c r="L18281" t="s">
        <v>162</v>
      </c>
      <c r="N18281" t="s">
        <v>29</v>
      </c>
    </row>
    <row r="18282" spans="1:14">
      <c r="A18282" s="4" t="str">
        <f t="shared" si="1307"/>
        <v>EXP00438</v>
      </c>
      <c r="B18282" s="3" t="s">
        <v>66</v>
      </c>
      <c r="C18282" s="4" t="str">
        <f t="shared" si="1308"/>
        <v>TCGA-PRAD</v>
      </c>
      <c r="D18282" s="1" t="s">
        <v>493</v>
      </c>
      <c r="E18282" t="s">
        <v>571</v>
      </c>
      <c r="F18282" s="1">
        <v>2</v>
      </c>
      <c r="G18282" s="1" t="s">
        <v>28</v>
      </c>
      <c r="H18282" s="4" t="str">
        <f>HYPERLINK("https://portal.gdc.cancer.gov/cases/3e290dc6-aba3-4135-b844-3e8c4cc8a25f","TCGA-HC-8265-01A")</f>
        <v>TCGA-HC-8265-01A</v>
      </c>
      <c r="I18282" t="s">
        <v>161</v>
      </c>
      <c r="J18282" t="s">
        <v>569</v>
      </c>
      <c r="K18282" t="s">
        <v>33</v>
      </c>
      <c r="L18282" t="s">
        <v>162</v>
      </c>
      <c r="N18282" t="s">
        <v>29</v>
      </c>
    </row>
    <row r="18283" spans="1:14">
      <c r="A18283" s="4" t="str">
        <f t="shared" si="1307"/>
        <v>EXP00438</v>
      </c>
      <c r="B18283" s="3" t="s">
        <v>66</v>
      </c>
      <c r="C18283" s="4" t="str">
        <f t="shared" si="1308"/>
        <v>TCGA-PRAD</v>
      </c>
      <c r="D18283" s="1" t="s">
        <v>493</v>
      </c>
      <c r="E18283" t="s">
        <v>571</v>
      </c>
      <c r="F18283" s="1">
        <v>2</v>
      </c>
      <c r="G18283" s="1" t="s">
        <v>28</v>
      </c>
      <c r="H18283" s="4" t="str">
        <f>HYPERLINK("https://portal.gdc.cancer.gov/cases/3e290dc6-aba3-4135-b844-3e8c4cc8a25f","TCGA-HC-8265-01B")</f>
        <v>TCGA-HC-8265-01B</v>
      </c>
      <c r="I18283" t="s">
        <v>161</v>
      </c>
      <c r="J18283" t="s">
        <v>569</v>
      </c>
      <c r="K18283" t="s">
        <v>33</v>
      </c>
      <c r="L18283" t="s">
        <v>162</v>
      </c>
      <c r="N18283" t="s">
        <v>29</v>
      </c>
    </row>
    <row r="18284" spans="1:14">
      <c r="A18284" s="4" t="str">
        <f t="shared" si="1307"/>
        <v>EXP00438</v>
      </c>
      <c r="B18284" s="3" t="s">
        <v>66</v>
      </c>
      <c r="C18284" s="4" t="str">
        <f t="shared" si="1308"/>
        <v>TCGA-PRAD</v>
      </c>
      <c r="D18284" s="1" t="s">
        <v>493</v>
      </c>
      <c r="E18284" t="s">
        <v>571</v>
      </c>
      <c r="F18284" s="1">
        <v>2</v>
      </c>
      <c r="G18284" s="1" t="s">
        <v>28</v>
      </c>
      <c r="H18284" s="4" t="str">
        <f>HYPERLINK("https://portal.gdc.cancer.gov/cases/fb447e0f-7cf0-49bf-8b15-aae932f8094d","TCGA-HC-8266-01A")</f>
        <v>TCGA-HC-8266-01A</v>
      </c>
      <c r="I18284" t="s">
        <v>161</v>
      </c>
      <c r="J18284" t="s">
        <v>569</v>
      </c>
      <c r="K18284" t="s">
        <v>33</v>
      </c>
      <c r="L18284" t="s">
        <v>162</v>
      </c>
      <c r="N18284" t="s">
        <v>29</v>
      </c>
    </row>
    <row r="18285" spans="1:14">
      <c r="A18285" s="4" t="str">
        <f t="shared" si="1307"/>
        <v>EXP00438</v>
      </c>
      <c r="B18285" s="3" t="s">
        <v>66</v>
      </c>
      <c r="C18285" s="4" t="str">
        <f t="shared" si="1308"/>
        <v>TCGA-PRAD</v>
      </c>
      <c r="D18285" s="1" t="s">
        <v>493</v>
      </c>
      <c r="E18285" t="s">
        <v>571</v>
      </c>
      <c r="F18285" s="1">
        <v>2</v>
      </c>
      <c r="G18285" s="1" t="s">
        <v>28</v>
      </c>
      <c r="H18285" s="4" t="str">
        <f>HYPERLINK("https://portal.gdc.cancer.gov/cases/ff49e0f9-4007-4761-845e-b676b0fc9646","TCGA-HC-A48F-01A")</f>
        <v>TCGA-HC-A48F-01A</v>
      </c>
      <c r="I18285" t="s">
        <v>161</v>
      </c>
      <c r="J18285" t="s">
        <v>569</v>
      </c>
      <c r="K18285" t="s">
        <v>33</v>
      </c>
      <c r="L18285" t="s">
        <v>162</v>
      </c>
      <c r="N18285" t="s">
        <v>29</v>
      </c>
    </row>
    <row r="18286" spans="1:14">
      <c r="A18286" s="4" t="str">
        <f t="shared" si="1307"/>
        <v>EXP00438</v>
      </c>
      <c r="B18286" s="3" t="s">
        <v>66</v>
      </c>
      <c r="C18286" s="4" t="str">
        <f t="shared" si="1308"/>
        <v>TCGA-PRAD</v>
      </c>
      <c r="D18286" s="1" t="s">
        <v>493</v>
      </c>
      <c r="E18286" t="s">
        <v>571</v>
      </c>
      <c r="F18286" s="1">
        <v>2</v>
      </c>
      <c r="G18286" s="1" t="s">
        <v>28</v>
      </c>
      <c r="H18286" s="4" t="str">
        <f>HYPERLINK("https://portal.gdc.cancer.gov/cases/bb8e6886-edc7-4127-a85b-c4f3769b6681","TCGA-HC-A4ZV-01A")</f>
        <v>TCGA-HC-A4ZV-01A</v>
      </c>
      <c r="I18286" t="s">
        <v>161</v>
      </c>
      <c r="J18286" t="s">
        <v>569</v>
      </c>
      <c r="K18286" t="s">
        <v>33</v>
      </c>
      <c r="L18286" t="s">
        <v>162</v>
      </c>
      <c r="N18286" t="s">
        <v>29</v>
      </c>
    </row>
    <row r="18287" spans="1:14">
      <c r="A18287" s="4" t="str">
        <f t="shared" si="1307"/>
        <v>EXP00438</v>
      </c>
      <c r="B18287" s="3" t="s">
        <v>66</v>
      </c>
      <c r="C18287" s="4" t="str">
        <f t="shared" si="1308"/>
        <v>TCGA-PRAD</v>
      </c>
      <c r="D18287" s="1" t="s">
        <v>493</v>
      </c>
      <c r="E18287" t="s">
        <v>571</v>
      </c>
      <c r="F18287" s="1">
        <v>2</v>
      </c>
      <c r="G18287" s="1" t="s">
        <v>28</v>
      </c>
      <c r="H18287" s="4" t="str">
        <f>HYPERLINK("https://portal.gdc.cancer.gov/cases/db4793dc-cd45-4b81-93ce-8322031c2aa3","TCGA-HC-A631-01A")</f>
        <v>TCGA-HC-A631-01A</v>
      </c>
      <c r="I18287" t="s">
        <v>161</v>
      </c>
      <c r="J18287" t="s">
        <v>569</v>
      </c>
      <c r="K18287" t="s">
        <v>33</v>
      </c>
      <c r="L18287" t="s">
        <v>162</v>
      </c>
      <c r="N18287" t="s">
        <v>29</v>
      </c>
    </row>
    <row r="18288" spans="1:14">
      <c r="A18288" s="4" t="str">
        <f t="shared" si="1307"/>
        <v>EXP00438</v>
      </c>
      <c r="B18288" s="3" t="s">
        <v>66</v>
      </c>
      <c r="C18288" s="4" t="str">
        <f t="shared" si="1308"/>
        <v>TCGA-PRAD</v>
      </c>
      <c r="D18288" s="1" t="s">
        <v>493</v>
      </c>
      <c r="E18288" t="s">
        <v>571</v>
      </c>
      <c r="F18288" s="1">
        <v>2</v>
      </c>
      <c r="G18288" s="1" t="s">
        <v>28</v>
      </c>
      <c r="H18288" s="4" t="str">
        <f>HYPERLINK("https://portal.gdc.cancer.gov/cases/e457eb5d-120e-41f4-8455-2ed8d534ff02","TCGA-HC-A632-01A")</f>
        <v>TCGA-HC-A632-01A</v>
      </c>
      <c r="I18288" t="s">
        <v>161</v>
      </c>
      <c r="J18288" t="s">
        <v>569</v>
      </c>
      <c r="K18288" t="s">
        <v>33</v>
      </c>
      <c r="L18288" t="s">
        <v>162</v>
      </c>
      <c r="N18288" t="s">
        <v>29</v>
      </c>
    </row>
    <row r="18289" spans="1:14">
      <c r="A18289" s="4" t="str">
        <f t="shared" si="1307"/>
        <v>EXP00438</v>
      </c>
      <c r="B18289" s="3" t="s">
        <v>66</v>
      </c>
      <c r="C18289" s="4" t="str">
        <f t="shared" si="1308"/>
        <v>TCGA-PRAD</v>
      </c>
      <c r="D18289" s="1" t="s">
        <v>493</v>
      </c>
      <c r="E18289" t="s">
        <v>571</v>
      </c>
      <c r="F18289" s="1">
        <v>2</v>
      </c>
      <c r="G18289" s="1" t="s">
        <v>28</v>
      </c>
      <c r="H18289" s="4" t="str">
        <f>HYPERLINK("https://portal.gdc.cancer.gov/cases/e6cbf99d-4a10-4c11-9ac2-eb26ef57331f","TCGA-HC-A6AL-01A")</f>
        <v>TCGA-HC-A6AL-01A</v>
      </c>
      <c r="I18289" t="s">
        <v>161</v>
      </c>
      <c r="J18289" t="s">
        <v>569</v>
      </c>
      <c r="K18289" t="s">
        <v>33</v>
      </c>
      <c r="L18289" t="s">
        <v>162</v>
      </c>
      <c r="N18289" t="s">
        <v>29</v>
      </c>
    </row>
    <row r="18290" spans="1:14">
      <c r="A18290" s="4" t="str">
        <f t="shared" si="1307"/>
        <v>EXP00438</v>
      </c>
      <c r="B18290" s="3" t="s">
        <v>66</v>
      </c>
      <c r="C18290" s="4" t="str">
        <f t="shared" si="1308"/>
        <v>TCGA-PRAD</v>
      </c>
      <c r="D18290" s="1" t="s">
        <v>493</v>
      </c>
      <c r="E18290" t="s">
        <v>571</v>
      </c>
      <c r="F18290" s="1">
        <v>2</v>
      </c>
      <c r="G18290" s="1" t="s">
        <v>28</v>
      </c>
      <c r="H18290" s="4" t="str">
        <f>HYPERLINK("https://portal.gdc.cancer.gov/cases/3fae5b76-9e22-4eab-a7fc-13139b2b97c4","TCGA-HC-A6AN-01A")</f>
        <v>TCGA-HC-A6AN-01A</v>
      </c>
      <c r="I18290" t="s">
        <v>161</v>
      </c>
      <c r="J18290" t="s">
        <v>569</v>
      </c>
      <c r="K18290" t="s">
        <v>33</v>
      </c>
      <c r="L18290" t="s">
        <v>162</v>
      </c>
      <c r="N18290" t="s">
        <v>29</v>
      </c>
    </row>
    <row r="18291" spans="1:14">
      <c r="A18291" s="4" t="str">
        <f t="shared" si="1307"/>
        <v>EXP00438</v>
      </c>
      <c r="B18291" s="3" t="s">
        <v>66</v>
      </c>
      <c r="C18291" s="4" t="str">
        <f t="shared" si="1308"/>
        <v>TCGA-PRAD</v>
      </c>
      <c r="D18291" s="1" t="s">
        <v>493</v>
      </c>
      <c r="E18291" t="s">
        <v>571</v>
      </c>
      <c r="F18291" s="1">
        <v>2</v>
      </c>
      <c r="G18291" s="1" t="s">
        <v>28</v>
      </c>
      <c r="H18291" s="4" t="str">
        <f>HYPERLINK("https://portal.gdc.cancer.gov/cases/4045f40b-d42a-4598-9ee2-0d371a776d3f","TCGA-HC-A6AO-01A")</f>
        <v>TCGA-HC-A6AO-01A</v>
      </c>
      <c r="I18291" t="s">
        <v>161</v>
      </c>
      <c r="J18291" t="s">
        <v>569</v>
      </c>
      <c r="K18291" t="s">
        <v>33</v>
      </c>
      <c r="L18291" t="s">
        <v>162</v>
      </c>
      <c r="N18291" t="s">
        <v>29</v>
      </c>
    </row>
    <row r="18292" spans="1:14">
      <c r="A18292" s="4" t="str">
        <f t="shared" si="1307"/>
        <v>EXP00438</v>
      </c>
      <c r="B18292" s="3" t="s">
        <v>66</v>
      </c>
      <c r="C18292" s="4" t="str">
        <f t="shared" si="1308"/>
        <v>TCGA-PRAD</v>
      </c>
      <c r="D18292" s="1" t="s">
        <v>493</v>
      </c>
      <c r="E18292" t="s">
        <v>571</v>
      </c>
      <c r="F18292" s="1">
        <v>2</v>
      </c>
      <c r="G18292" s="1" t="s">
        <v>28</v>
      </c>
      <c r="H18292" s="4" t="str">
        <f>HYPERLINK("https://portal.gdc.cancer.gov/cases/ead15a1b-726a-46aa-9005-a22f4b89d011","TCGA-HC-A6AP-01A")</f>
        <v>TCGA-HC-A6AP-01A</v>
      </c>
      <c r="I18292" t="s">
        <v>161</v>
      </c>
      <c r="J18292" t="s">
        <v>569</v>
      </c>
      <c r="K18292" t="s">
        <v>33</v>
      </c>
      <c r="L18292" t="s">
        <v>162</v>
      </c>
      <c r="N18292" t="s">
        <v>29</v>
      </c>
    </row>
    <row r="18293" spans="1:14">
      <c r="A18293" s="4" t="str">
        <f t="shared" si="1307"/>
        <v>EXP00438</v>
      </c>
      <c r="B18293" s="3" t="s">
        <v>66</v>
      </c>
      <c r="C18293" s="4" t="str">
        <f t="shared" si="1308"/>
        <v>TCGA-PRAD</v>
      </c>
      <c r="D18293" s="1" t="s">
        <v>493</v>
      </c>
      <c r="E18293" t="s">
        <v>571</v>
      </c>
      <c r="F18293" s="1">
        <v>2</v>
      </c>
      <c r="G18293" s="1" t="s">
        <v>28</v>
      </c>
      <c r="H18293" s="4" t="str">
        <f>HYPERLINK("https://portal.gdc.cancer.gov/cases/3fa83688-1724-42cb-a600-472e4c500e89","TCGA-HC-A6AQ-01A")</f>
        <v>TCGA-HC-A6AQ-01A</v>
      </c>
      <c r="I18293" t="s">
        <v>161</v>
      </c>
      <c r="J18293" t="s">
        <v>569</v>
      </c>
      <c r="K18293" t="s">
        <v>33</v>
      </c>
      <c r="L18293" t="s">
        <v>162</v>
      </c>
      <c r="N18293" t="s">
        <v>29</v>
      </c>
    </row>
    <row r="18294" spans="1:14">
      <c r="A18294" s="4" t="str">
        <f t="shared" si="1307"/>
        <v>EXP00438</v>
      </c>
      <c r="B18294" s="3" t="s">
        <v>66</v>
      </c>
      <c r="C18294" s="4" t="str">
        <f t="shared" si="1308"/>
        <v>TCGA-PRAD</v>
      </c>
      <c r="D18294" s="1" t="s">
        <v>493</v>
      </c>
      <c r="E18294" t="s">
        <v>571</v>
      </c>
      <c r="F18294" s="1">
        <v>2</v>
      </c>
      <c r="G18294" s="1" t="s">
        <v>28</v>
      </c>
      <c r="H18294" s="4" t="str">
        <f>HYPERLINK("https://portal.gdc.cancer.gov/cases/6b3f53ab-00f4-4c45-9bb5-5c8adbc66084","TCGA-HC-A6AS-01A")</f>
        <v>TCGA-HC-A6AS-01A</v>
      </c>
      <c r="I18294" t="s">
        <v>161</v>
      </c>
      <c r="J18294" t="s">
        <v>569</v>
      </c>
      <c r="K18294" t="s">
        <v>33</v>
      </c>
      <c r="L18294" t="s">
        <v>162</v>
      </c>
      <c r="N18294" t="s">
        <v>29</v>
      </c>
    </row>
    <row r="18295" spans="1:14">
      <c r="A18295" s="4" t="str">
        <f t="shared" si="1307"/>
        <v>EXP00438</v>
      </c>
      <c r="B18295" s="3" t="s">
        <v>66</v>
      </c>
      <c r="C18295" s="4" t="str">
        <f t="shared" si="1308"/>
        <v>TCGA-PRAD</v>
      </c>
      <c r="D18295" s="1" t="s">
        <v>493</v>
      </c>
      <c r="E18295" t="s">
        <v>571</v>
      </c>
      <c r="F18295" s="1">
        <v>2</v>
      </c>
      <c r="G18295" s="1" t="s">
        <v>28</v>
      </c>
      <c r="H18295" s="4" t="str">
        <f>HYPERLINK("https://portal.gdc.cancer.gov/cases/f3e93819-a8f5-4d15-a416-3edd42aa52d1","TCGA-HC-A6HX-01A")</f>
        <v>TCGA-HC-A6HX-01A</v>
      </c>
      <c r="I18295" t="s">
        <v>161</v>
      </c>
      <c r="J18295" t="s">
        <v>569</v>
      </c>
      <c r="K18295" t="s">
        <v>33</v>
      </c>
      <c r="L18295" t="s">
        <v>162</v>
      </c>
      <c r="N18295" t="s">
        <v>29</v>
      </c>
    </row>
    <row r="18296" spans="1:14">
      <c r="A18296" s="4" t="str">
        <f t="shared" si="1307"/>
        <v>EXP00438</v>
      </c>
      <c r="B18296" s="3" t="s">
        <v>66</v>
      </c>
      <c r="C18296" s="4" t="str">
        <f t="shared" si="1308"/>
        <v>TCGA-PRAD</v>
      </c>
      <c r="D18296" s="1" t="s">
        <v>493</v>
      </c>
      <c r="E18296" t="s">
        <v>571</v>
      </c>
      <c r="F18296" s="1">
        <v>2</v>
      </c>
      <c r="G18296" s="1" t="s">
        <v>28</v>
      </c>
      <c r="H18296" s="4" t="str">
        <f>HYPERLINK("https://portal.gdc.cancer.gov/cases/3d6abc44-d094-4250-8dfc-347ae9c741f2","TCGA-HC-A6HY-01A")</f>
        <v>TCGA-HC-A6HY-01A</v>
      </c>
      <c r="I18296" t="s">
        <v>161</v>
      </c>
      <c r="J18296" t="s">
        <v>569</v>
      </c>
      <c r="K18296" t="s">
        <v>33</v>
      </c>
      <c r="L18296" t="s">
        <v>162</v>
      </c>
      <c r="N18296" t="s">
        <v>29</v>
      </c>
    </row>
    <row r="18297" spans="1:14">
      <c r="A18297" s="4" t="str">
        <f t="shared" si="1307"/>
        <v>EXP00438</v>
      </c>
      <c r="B18297" s="3" t="s">
        <v>66</v>
      </c>
      <c r="C18297" s="4" t="str">
        <f t="shared" si="1308"/>
        <v>TCGA-PRAD</v>
      </c>
      <c r="D18297" s="1" t="s">
        <v>493</v>
      </c>
      <c r="E18297" t="s">
        <v>571</v>
      </c>
      <c r="F18297" s="1">
        <v>2</v>
      </c>
      <c r="G18297" s="1" t="s">
        <v>28</v>
      </c>
      <c r="H18297" s="4" t="str">
        <f>HYPERLINK("https://portal.gdc.cancer.gov/cases/5f69ca7d-f8e0-4f5b-9987-1e5c234eb759","TCGA-HC-A76W-01A")</f>
        <v>TCGA-HC-A76W-01A</v>
      </c>
      <c r="I18297" t="s">
        <v>161</v>
      </c>
      <c r="J18297" t="s">
        <v>569</v>
      </c>
      <c r="K18297" t="s">
        <v>33</v>
      </c>
      <c r="L18297" t="s">
        <v>162</v>
      </c>
      <c r="N18297" t="s">
        <v>29</v>
      </c>
    </row>
    <row r="18298" spans="1:14">
      <c r="A18298" s="4" t="str">
        <f t="shared" si="1307"/>
        <v>EXP00438</v>
      </c>
      <c r="B18298" s="3" t="s">
        <v>66</v>
      </c>
      <c r="C18298" s="4" t="str">
        <f t="shared" si="1308"/>
        <v>TCGA-PRAD</v>
      </c>
      <c r="D18298" s="1" t="s">
        <v>493</v>
      </c>
      <c r="E18298" t="s">
        <v>571</v>
      </c>
      <c r="F18298" s="1">
        <v>2</v>
      </c>
      <c r="G18298" s="1" t="s">
        <v>28</v>
      </c>
      <c r="H18298" s="4" t="str">
        <f>HYPERLINK("https://portal.gdc.cancer.gov/cases/105e12bf-4f39-4d7a-870f-fbc329ee210a","TCGA-HC-A76X-01A")</f>
        <v>TCGA-HC-A76X-01A</v>
      </c>
      <c r="I18298" t="s">
        <v>161</v>
      </c>
      <c r="J18298" t="s">
        <v>569</v>
      </c>
      <c r="K18298" t="s">
        <v>33</v>
      </c>
      <c r="L18298" t="s">
        <v>162</v>
      </c>
      <c r="N18298" t="s">
        <v>29</v>
      </c>
    </row>
    <row r="18299" spans="1:14">
      <c r="A18299" s="4" t="str">
        <f t="shared" si="1307"/>
        <v>EXP00438</v>
      </c>
      <c r="B18299" s="3" t="s">
        <v>66</v>
      </c>
      <c r="C18299" s="4" t="str">
        <f t="shared" si="1308"/>
        <v>TCGA-PRAD</v>
      </c>
      <c r="D18299" s="1" t="s">
        <v>493</v>
      </c>
      <c r="E18299" t="s">
        <v>571</v>
      </c>
      <c r="F18299" s="1">
        <v>2</v>
      </c>
      <c r="G18299" s="1" t="s">
        <v>28</v>
      </c>
      <c r="H18299" s="4" t="str">
        <f>HYPERLINK("https://portal.gdc.cancer.gov/cases/b6f54bdc-9b1b-4465-a6e3-f0524885e10e","TCGA-HC-A8CY-01A")</f>
        <v>TCGA-HC-A8CY-01A</v>
      </c>
      <c r="I18299" t="s">
        <v>161</v>
      </c>
      <c r="J18299" t="s">
        <v>569</v>
      </c>
      <c r="K18299" t="s">
        <v>33</v>
      </c>
      <c r="L18299" t="s">
        <v>162</v>
      </c>
      <c r="N18299" t="s">
        <v>29</v>
      </c>
    </row>
    <row r="18300" spans="1:14">
      <c r="A18300" s="4" t="str">
        <f t="shared" si="1307"/>
        <v>EXP00438</v>
      </c>
      <c r="B18300" s="3" t="s">
        <v>66</v>
      </c>
      <c r="C18300" s="4" t="str">
        <f t="shared" si="1308"/>
        <v>TCGA-PRAD</v>
      </c>
      <c r="D18300" s="1" t="s">
        <v>493</v>
      </c>
      <c r="E18300" t="s">
        <v>571</v>
      </c>
      <c r="F18300" s="1">
        <v>2</v>
      </c>
      <c r="G18300" s="1" t="s">
        <v>28</v>
      </c>
      <c r="H18300" s="4" t="str">
        <f>HYPERLINK("https://portal.gdc.cancer.gov/cases/0afa0e02-daae-47e6-9ccb-9de8e4feb73c","TCGA-HC-A8D0-01A")</f>
        <v>TCGA-HC-A8D0-01A</v>
      </c>
      <c r="I18300" t="s">
        <v>161</v>
      </c>
      <c r="J18300" t="s">
        <v>569</v>
      </c>
      <c r="K18300" t="s">
        <v>33</v>
      </c>
      <c r="L18300" t="s">
        <v>162</v>
      </c>
      <c r="N18300" t="s">
        <v>29</v>
      </c>
    </row>
    <row r="18301" spans="1:14">
      <c r="A18301" s="4" t="str">
        <f t="shared" si="1307"/>
        <v>EXP00438</v>
      </c>
      <c r="B18301" s="3" t="s">
        <v>66</v>
      </c>
      <c r="C18301" s="4" t="str">
        <f t="shared" si="1308"/>
        <v>TCGA-PRAD</v>
      </c>
      <c r="D18301" s="1" t="s">
        <v>493</v>
      </c>
      <c r="E18301" t="s">
        <v>571</v>
      </c>
      <c r="F18301" s="1">
        <v>2</v>
      </c>
      <c r="G18301" s="1" t="s">
        <v>28</v>
      </c>
      <c r="H18301" s="4" t="str">
        <f>HYPERLINK("https://portal.gdc.cancer.gov/cases/341940fc-dd2a-485c-a359-d5e5edb22312","TCGA-HC-A8D1-01A")</f>
        <v>TCGA-HC-A8D1-01A</v>
      </c>
      <c r="I18301" t="s">
        <v>161</v>
      </c>
      <c r="J18301" t="s">
        <v>569</v>
      </c>
      <c r="K18301" t="s">
        <v>33</v>
      </c>
      <c r="L18301" t="s">
        <v>162</v>
      </c>
      <c r="N18301" t="s">
        <v>29</v>
      </c>
    </row>
    <row r="18302" spans="1:14">
      <c r="A18302" s="4" t="str">
        <f t="shared" si="1307"/>
        <v>EXP00438</v>
      </c>
      <c r="B18302" s="3" t="s">
        <v>66</v>
      </c>
      <c r="C18302" s="4" t="str">
        <f t="shared" si="1308"/>
        <v>TCGA-PRAD</v>
      </c>
      <c r="D18302" s="1" t="s">
        <v>493</v>
      </c>
      <c r="E18302" t="s">
        <v>571</v>
      </c>
      <c r="F18302" s="1">
        <v>2</v>
      </c>
      <c r="G18302" s="1" t="s">
        <v>28</v>
      </c>
      <c r="H18302" s="4" t="str">
        <f>HYPERLINK("https://portal.gdc.cancer.gov/cases/c51ccff8-2502-40e1-b130-fe655c119169","TCGA-HC-A9TE-01A")</f>
        <v>TCGA-HC-A9TE-01A</v>
      </c>
      <c r="I18302" t="s">
        <v>161</v>
      </c>
      <c r="J18302" t="s">
        <v>569</v>
      </c>
      <c r="K18302" t="s">
        <v>33</v>
      </c>
      <c r="L18302" t="s">
        <v>162</v>
      </c>
      <c r="N18302" t="s">
        <v>29</v>
      </c>
    </row>
    <row r="18303" spans="1:14">
      <c r="A18303" s="4" t="str">
        <f t="shared" si="1307"/>
        <v>EXP00438</v>
      </c>
      <c r="B18303" s="3" t="s">
        <v>66</v>
      </c>
      <c r="C18303" s="4" t="str">
        <f t="shared" si="1308"/>
        <v>TCGA-PRAD</v>
      </c>
      <c r="D18303" s="1" t="s">
        <v>493</v>
      </c>
      <c r="E18303" t="s">
        <v>571</v>
      </c>
      <c r="F18303" s="1">
        <v>2</v>
      </c>
      <c r="G18303" s="1" t="s">
        <v>28</v>
      </c>
      <c r="H18303" s="4" t="str">
        <f>HYPERLINK("https://portal.gdc.cancer.gov/cases/433d1441-6d5b-4455-a731-65f172bb016d","TCGA-HC-A9TH-01A")</f>
        <v>TCGA-HC-A9TH-01A</v>
      </c>
      <c r="I18303" t="s">
        <v>161</v>
      </c>
      <c r="J18303" t="s">
        <v>569</v>
      </c>
      <c r="K18303" t="s">
        <v>33</v>
      </c>
      <c r="L18303" t="s">
        <v>162</v>
      </c>
      <c r="N18303" t="s">
        <v>29</v>
      </c>
    </row>
    <row r="18304" spans="1:14">
      <c r="A18304" s="4" t="str">
        <f t="shared" si="1307"/>
        <v>EXP00438</v>
      </c>
      <c r="B18304" s="3" t="s">
        <v>66</v>
      </c>
      <c r="C18304" s="4" t="str">
        <f t="shared" si="1308"/>
        <v>TCGA-PRAD</v>
      </c>
      <c r="D18304" s="1" t="s">
        <v>493</v>
      </c>
      <c r="E18304" t="s">
        <v>571</v>
      </c>
      <c r="F18304" s="1">
        <v>2</v>
      </c>
      <c r="G18304" s="1" t="s">
        <v>28</v>
      </c>
      <c r="H18304" s="4" t="str">
        <f>HYPERLINK("https://portal.gdc.cancer.gov/cases/25d70934-01a5-45a2-9960-68d3058b6965","TCGA-HI-7168-01A")</f>
        <v>TCGA-HI-7168-01A</v>
      </c>
      <c r="I18304" t="s">
        <v>161</v>
      </c>
      <c r="J18304" t="s">
        <v>569</v>
      </c>
      <c r="K18304" t="s">
        <v>33</v>
      </c>
      <c r="L18304" t="s">
        <v>162</v>
      </c>
      <c r="N18304" t="s">
        <v>29</v>
      </c>
    </row>
    <row r="18305" spans="1:14">
      <c r="A18305" s="4" t="str">
        <f t="shared" si="1307"/>
        <v>EXP00438</v>
      </c>
      <c r="B18305" s="3" t="s">
        <v>66</v>
      </c>
      <c r="C18305" s="4" t="str">
        <f t="shared" si="1308"/>
        <v>TCGA-PRAD</v>
      </c>
      <c r="D18305" s="1" t="s">
        <v>493</v>
      </c>
      <c r="E18305" t="s">
        <v>571</v>
      </c>
      <c r="F18305" s="1">
        <v>2</v>
      </c>
      <c r="G18305" s="1" t="s">
        <v>28</v>
      </c>
      <c r="H18305" s="4" t="str">
        <f>HYPERLINK("https://portal.gdc.cancer.gov/cases/11fb5853-8eeb-4ad8-825d-3eaaf3fa08d6","TCGA-HI-7169-01A")</f>
        <v>TCGA-HI-7169-01A</v>
      </c>
      <c r="I18305" t="s">
        <v>161</v>
      </c>
      <c r="J18305" t="s">
        <v>569</v>
      </c>
      <c r="K18305" t="s">
        <v>33</v>
      </c>
      <c r="L18305" t="s">
        <v>162</v>
      </c>
      <c r="N18305" t="s">
        <v>29</v>
      </c>
    </row>
    <row r="18306" spans="1:14">
      <c r="A18306" s="4" t="str">
        <f t="shared" si="1307"/>
        <v>EXP00438</v>
      </c>
      <c r="B18306" s="3" t="s">
        <v>66</v>
      </c>
      <c r="C18306" s="4" t="str">
        <f t="shared" si="1308"/>
        <v>TCGA-PRAD</v>
      </c>
      <c r="D18306" s="1" t="s">
        <v>493</v>
      </c>
      <c r="E18306" t="s">
        <v>571</v>
      </c>
      <c r="F18306" s="1">
        <v>2</v>
      </c>
      <c r="G18306" s="1" t="s">
        <v>28</v>
      </c>
      <c r="H18306" s="4" t="str">
        <f>HYPERLINK("https://portal.gdc.cancer.gov/cases/6394e00a-1f6f-4ea2-b885-373bbb59def9","TCGA-HI-7170-01A")</f>
        <v>TCGA-HI-7170-01A</v>
      </c>
      <c r="I18306" t="s">
        <v>161</v>
      </c>
      <c r="J18306" t="s">
        <v>569</v>
      </c>
      <c r="K18306" t="s">
        <v>33</v>
      </c>
      <c r="L18306" t="s">
        <v>162</v>
      </c>
      <c r="N18306" t="s">
        <v>29</v>
      </c>
    </row>
    <row r="18307" spans="1:14">
      <c r="A18307" s="4" t="str">
        <f t="shared" si="1307"/>
        <v>EXP00438</v>
      </c>
      <c r="B18307" s="3" t="s">
        <v>66</v>
      </c>
      <c r="C18307" s="4" t="str">
        <f t="shared" si="1308"/>
        <v>TCGA-PRAD</v>
      </c>
      <c r="D18307" s="1" t="s">
        <v>493</v>
      </c>
      <c r="E18307" t="s">
        <v>571</v>
      </c>
      <c r="F18307" s="1">
        <v>2</v>
      </c>
      <c r="G18307" s="1" t="s">
        <v>28</v>
      </c>
      <c r="H18307" s="4" t="str">
        <f>HYPERLINK("https://portal.gdc.cancer.gov/cases/931feb14-3f69-41c1-8435-5fd4fb775bdf","TCGA-HI-7171-01A")</f>
        <v>TCGA-HI-7171-01A</v>
      </c>
      <c r="I18307" t="s">
        <v>161</v>
      </c>
      <c r="J18307" t="s">
        <v>569</v>
      </c>
      <c r="K18307" t="s">
        <v>33</v>
      </c>
      <c r="L18307" t="s">
        <v>162</v>
      </c>
      <c r="N18307" t="s">
        <v>29</v>
      </c>
    </row>
    <row r="18308" spans="1:14">
      <c r="A18308" s="4" t="str">
        <f t="shared" si="1307"/>
        <v>EXP00438</v>
      </c>
      <c r="B18308" s="3" t="s">
        <v>66</v>
      </c>
      <c r="C18308" s="4" t="str">
        <f t="shared" si="1308"/>
        <v>TCGA-PRAD</v>
      </c>
      <c r="D18308" s="1" t="s">
        <v>493</v>
      </c>
      <c r="E18308" t="s">
        <v>571</v>
      </c>
      <c r="F18308" s="1">
        <v>2</v>
      </c>
      <c r="G18308" s="1" t="s">
        <v>28</v>
      </c>
      <c r="H18308" s="4" t="str">
        <f>HYPERLINK("https://portal.gdc.cancer.gov/cases/a1e64294-1264-498d-b18b-c9b4c729c2f2","TCGA-J4-8198-01A")</f>
        <v>TCGA-J4-8198-01A</v>
      </c>
      <c r="I18308" t="s">
        <v>161</v>
      </c>
      <c r="J18308" t="s">
        <v>569</v>
      </c>
      <c r="K18308" t="s">
        <v>33</v>
      </c>
      <c r="L18308" t="s">
        <v>162</v>
      </c>
      <c r="N18308" t="s">
        <v>29</v>
      </c>
    </row>
    <row r="18309" spans="1:14">
      <c r="A18309" s="4" t="str">
        <f t="shared" si="1307"/>
        <v>EXP00438</v>
      </c>
      <c r="B18309" s="3" t="s">
        <v>66</v>
      </c>
      <c r="C18309" s="4" t="str">
        <f t="shared" si="1308"/>
        <v>TCGA-PRAD</v>
      </c>
      <c r="D18309" s="1" t="s">
        <v>493</v>
      </c>
      <c r="E18309" t="s">
        <v>571</v>
      </c>
      <c r="F18309" s="1">
        <v>2</v>
      </c>
      <c r="G18309" s="1" t="s">
        <v>28</v>
      </c>
      <c r="H18309" s="4" t="str">
        <f>HYPERLINK("https://portal.gdc.cancer.gov/cases/897a2af4-55af-4245-8629-1a71b622c17e","TCGA-J4-8200-01A")</f>
        <v>TCGA-J4-8200-01A</v>
      </c>
      <c r="I18309" t="s">
        <v>161</v>
      </c>
      <c r="J18309" t="s">
        <v>569</v>
      </c>
      <c r="K18309" t="s">
        <v>33</v>
      </c>
      <c r="L18309" t="s">
        <v>162</v>
      </c>
      <c r="N18309" t="s">
        <v>29</v>
      </c>
    </row>
    <row r="18310" spans="1:14">
      <c r="A18310" s="4" t="str">
        <f t="shared" si="1307"/>
        <v>EXP00438</v>
      </c>
      <c r="B18310" s="3" t="s">
        <v>66</v>
      </c>
      <c r="C18310" s="4" t="str">
        <f t="shared" si="1308"/>
        <v>TCGA-PRAD</v>
      </c>
      <c r="D18310" s="1" t="s">
        <v>493</v>
      </c>
      <c r="E18310" t="s">
        <v>571</v>
      </c>
      <c r="F18310" s="1">
        <v>2</v>
      </c>
      <c r="G18310" s="1" t="s">
        <v>28</v>
      </c>
      <c r="H18310" s="4" t="str">
        <f>HYPERLINK("https://portal.gdc.cancer.gov/cases/c4c1b5be-a0e7-4968-92de-7f34c71207fb","TCGA-J4-A67K-01A")</f>
        <v>TCGA-J4-A67K-01A</v>
      </c>
      <c r="I18310" t="s">
        <v>161</v>
      </c>
      <c r="J18310" t="s">
        <v>569</v>
      </c>
      <c r="K18310" t="s">
        <v>33</v>
      </c>
      <c r="L18310" t="s">
        <v>162</v>
      </c>
      <c r="N18310" t="s">
        <v>29</v>
      </c>
    </row>
    <row r="18311" spans="1:14">
      <c r="A18311" s="4" t="str">
        <f t="shared" si="1307"/>
        <v>EXP00438</v>
      </c>
      <c r="B18311" s="3" t="s">
        <v>66</v>
      </c>
      <c r="C18311" s="4" t="str">
        <f t="shared" si="1308"/>
        <v>TCGA-PRAD</v>
      </c>
      <c r="D18311" s="1" t="s">
        <v>493</v>
      </c>
      <c r="E18311" t="s">
        <v>571</v>
      </c>
      <c r="F18311" s="1">
        <v>2</v>
      </c>
      <c r="G18311" s="1" t="s">
        <v>28</v>
      </c>
      <c r="H18311" s="4" t="str">
        <f>HYPERLINK("https://portal.gdc.cancer.gov/cases/29bd2c05-254b-4bb2-ae32-5b328f772441","TCGA-J4-A67L-01A")</f>
        <v>TCGA-J4-A67L-01A</v>
      </c>
      <c r="I18311" t="s">
        <v>161</v>
      </c>
      <c r="J18311" t="s">
        <v>569</v>
      </c>
      <c r="K18311" t="s">
        <v>33</v>
      </c>
      <c r="L18311" t="s">
        <v>162</v>
      </c>
      <c r="N18311" t="s">
        <v>29</v>
      </c>
    </row>
    <row r="18312" spans="1:14">
      <c r="A18312" s="4" t="str">
        <f t="shared" si="1307"/>
        <v>EXP00438</v>
      </c>
      <c r="B18312" s="3" t="s">
        <v>66</v>
      </c>
      <c r="C18312" s="4" t="str">
        <f t="shared" si="1308"/>
        <v>TCGA-PRAD</v>
      </c>
      <c r="D18312" s="1" t="s">
        <v>493</v>
      </c>
      <c r="E18312" t="s">
        <v>571</v>
      </c>
      <c r="F18312" s="1">
        <v>2</v>
      </c>
      <c r="G18312" s="1" t="s">
        <v>28</v>
      </c>
      <c r="H18312" s="4" t="str">
        <f>HYPERLINK("https://portal.gdc.cancer.gov/cases/67cd72e2-a4cf-48e4-943e-406c252f056a","TCGA-J4-A67M-01A")</f>
        <v>TCGA-J4-A67M-01A</v>
      </c>
      <c r="I18312" t="s">
        <v>161</v>
      </c>
      <c r="J18312" t="s">
        <v>569</v>
      </c>
      <c r="K18312" t="s">
        <v>33</v>
      </c>
      <c r="L18312" t="s">
        <v>162</v>
      </c>
      <c r="N18312" t="s">
        <v>29</v>
      </c>
    </row>
    <row r="18313" spans="1:14">
      <c r="A18313" s="4" t="str">
        <f t="shared" si="1307"/>
        <v>EXP00438</v>
      </c>
      <c r="B18313" s="3" t="s">
        <v>66</v>
      </c>
      <c r="C18313" s="4" t="str">
        <f t="shared" si="1308"/>
        <v>TCGA-PRAD</v>
      </c>
      <c r="D18313" s="1" t="s">
        <v>493</v>
      </c>
      <c r="E18313" t="s">
        <v>571</v>
      </c>
      <c r="F18313" s="1">
        <v>2</v>
      </c>
      <c r="G18313" s="1" t="s">
        <v>28</v>
      </c>
      <c r="H18313" s="4" t="str">
        <f>HYPERLINK("https://portal.gdc.cancer.gov/cases/00f7f9d3-7a34-4a5b-9d19-38810dcabbba","TCGA-J4-A67N-01A")</f>
        <v>TCGA-J4-A67N-01A</v>
      </c>
      <c r="I18313" t="s">
        <v>161</v>
      </c>
      <c r="J18313" t="s">
        <v>569</v>
      </c>
      <c r="K18313" t="s">
        <v>33</v>
      </c>
      <c r="L18313" t="s">
        <v>162</v>
      </c>
      <c r="N18313" t="s">
        <v>29</v>
      </c>
    </row>
    <row r="18314" spans="1:14">
      <c r="A18314" s="4" t="str">
        <f t="shared" ref="A18314:A18377" si="1309">HYPERLINK("http://hcmdb.i-sanger.com/experiment/details/experiment_id/EXP00438","EXP00438")</f>
        <v>EXP00438</v>
      </c>
      <c r="B18314" s="3" t="s">
        <v>66</v>
      </c>
      <c r="C18314" s="4" t="str">
        <f t="shared" si="1308"/>
        <v>TCGA-PRAD</v>
      </c>
      <c r="D18314" s="1" t="s">
        <v>493</v>
      </c>
      <c r="E18314" t="s">
        <v>571</v>
      </c>
      <c r="F18314" s="1">
        <v>2</v>
      </c>
      <c r="G18314" s="1" t="s">
        <v>28</v>
      </c>
      <c r="H18314" s="4" t="str">
        <f>HYPERLINK("https://portal.gdc.cancer.gov/cases/3fc9e3b4-8bc5-4bf8-bff6-dd90346b83a1","TCGA-J4-A67O-01A")</f>
        <v>TCGA-J4-A67O-01A</v>
      </c>
      <c r="I18314" t="s">
        <v>161</v>
      </c>
      <c r="J18314" t="s">
        <v>569</v>
      </c>
      <c r="K18314" t="s">
        <v>33</v>
      </c>
      <c r="L18314" t="s">
        <v>162</v>
      </c>
      <c r="N18314" t="s">
        <v>29</v>
      </c>
    </row>
    <row r="18315" spans="1:14">
      <c r="A18315" s="4" t="str">
        <f t="shared" si="1309"/>
        <v>EXP00438</v>
      </c>
      <c r="B18315" s="3" t="s">
        <v>66</v>
      </c>
      <c r="C18315" s="4" t="str">
        <f t="shared" si="1308"/>
        <v>TCGA-PRAD</v>
      </c>
      <c r="D18315" s="1" t="s">
        <v>493</v>
      </c>
      <c r="E18315" t="s">
        <v>571</v>
      </c>
      <c r="F18315" s="1">
        <v>2</v>
      </c>
      <c r="G18315" s="1" t="s">
        <v>28</v>
      </c>
      <c r="H18315" s="4" t="str">
        <f>HYPERLINK("https://portal.gdc.cancer.gov/cases/1cbaa137-c3b0-46a2-9b23-208682c2a438","TCGA-J4-A67Q-01A")</f>
        <v>TCGA-J4-A67Q-01A</v>
      </c>
      <c r="I18315" t="s">
        <v>161</v>
      </c>
      <c r="J18315" t="s">
        <v>569</v>
      </c>
      <c r="K18315" t="s">
        <v>33</v>
      </c>
      <c r="L18315" t="s">
        <v>162</v>
      </c>
      <c r="N18315" t="s">
        <v>29</v>
      </c>
    </row>
    <row r="18316" spans="1:14">
      <c r="A18316" s="4" t="str">
        <f t="shared" si="1309"/>
        <v>EXP00438</v>
      </c>
      <c r="B18316" s="3" t="s">
        <v>66</v>
      </c>
      <c r="C18316" s="4" t="str">
        <f t="shared" si="1308"/>
        <v>TCGA-PRAD</v>
      </c>
      <c r="D18316" s="1" t="s">
        <v>493</v>
      </c>
      <c r="E18316" t="s">
        <v>571</v>
      </c>
      <c r="F18316" s="1">
        <v>2</v>
      </c>
      <c r="G18316" s="1" t="s">
        <v>28</v>
      </c>
      <c r="H18316" s="4" t="str">
        <f>HYPERLINK("https://portal.gdc.cancer.gov/cases/db2779f6-8fe2-48c3-988b-81db1815a678","TCGA-J4-A67R-01A")</f>
        <v>TCGA-J4-A67R-01A</v>
      </c>
      <c r="I18316" t="s">
        <v>161</v>
      </c>
      <c r="J18316" t="s">
        <v>569</v>
      </c>
      <c r="K18316" t="s">
        <v>33</v>
      </c>
      <c r="L18316" t="s">
        <v>162</v>
      </c>
      <c r="N18316" t="s">
        <v>29</v>
      </c>
    </row>
    <row r="18317" spans="1:14">
      <c r="A18317" s="4" t="str">
        <f t="shared" si="1309"/>
        <v>EXP00438</v>
      </c>
      <c r="B18317" s="3" t="s">
        <v>66</v>
      </c>
      <c r="C18317" s="4" t="str">
        <f t="shared" si="1308"/>
        <v>TCGA-PRAD</v>
      </c>
      <c r="D18317" s="1" t="s">
        <v>493</v>
      </c>
      <c r="E18317" t="s">
        <v>571</v>
      </c>
      <c r="F18317" s="1">
        <v>2</v>
      </c>
      <c r="G18317" s="1" t="s">
        <v>28</v>
      </c>
      <c r="H18317" s="4" t="str">
        <f>HYPERLINK("https://portal.gdc.cancer.gov/cases/9fe9cbae-37b9-4030-a204-4502760f5dab","TCGA-J4-A67S-01A")</f>
        <v>TCGA-J4-A67S-01A</v>
      </c>
      <c r="I18317" t="s">
        <v>161</v>
      </c>
      <c r="J18317" t="s">
        <v>569</v>
      </c>
      <c r="K18317" t="s">
        <v>33</v>
      </c>
      <c r="L18317" t="s">
        <v>162</v>
      </c>
      <c r="N18317" t="s">
        <v>29</v>
      </c>
    </row>
    <row r="18318" spans="1:14">
      <c r="A18318" s="4" t="str">
        <f t="shared" si="1309"/>
        <v>EXP00438</v>
      </c>
      <c r="B18318" s="3" t="s">
        <v>66</v>
      </c>
      <c r="C18318" s="4" t="str">
        <f t="shared" si="1308"/>
        <v>TCGA-PRAD</v>
      </c>
      <c r="D18318" s="1" t="s">
        <v>493</v>
      </c>
      <c r="E18318" t="s">
        <v>571</v>
      </c>
      <c r="F18318" s="1">
        <v>2</v>
      </c>
      <c r="G18318" s="1" t="s">
        <v>28</v>
      </c>
      <c r="H18318" s="4" t="str">
        <f>HYPERLINK("https://portal.gdc.cancer.gov/cases/432f15ba-7401-4827-83a5-3eaafaaa4bea","TCGA-J4-A67T-01A")</f>
        <v>TCGA-J4-A67T-01A</v>
      </c>
      <c r="I18318" t="s">
        <v>161</v>
      </c>
      <c r="J18318" t="s">
        <v>569</v>
      </c>
      <c r="K18318" t="s">
        <v>33</v>
      </c>
      <c r="L18318" t="s">
        <v>162</v>
      </c>
      <c r="N18318" t="s">
        <v>29</v>
      </c>
    </row>
    <row r="18319" spans="1:14">
      <c r="A18319" s="4" t="str">
        <f t="shared" si="1309"/>
        <v>EXP00438</v>
      </c>
      <c r="B18319" s="3" t="s">
        <v>66</v>
      </c>
      <c r="C18319" s="4" t="str">
        <f t="shared" si="1308"/>
        <v>TCGA-PRAD</v>
      </c>
      <c r="D18319" s="1" t="s">
        <v>493</v>
      </c>
      <c r="E18319" t="s">
        <v>571</v>
      </c>
      <c r="F18319" s="1">
        <v>2</v>
      </c>
      <c r="G18319" s="1" t="s">
        <v>28</v>
      </c>
      <c r="H18319" s="4" t="str">
        <f>HYPERLINK("https://portal.gdc.cancer.gov/cases/f9f136a5-3ccb-42b3-ba60-c667fbb0846d","TCGA-J4-A6G1-01A")</f>
        <v>TCGA-J4-A6G1-01A</v>
      </c>
      <c r="I18319" t="s">
        <v>161</v>
      </c>
      <c r="J18319" t="s">
        <v>569</v>
      </c>
      <c r="K18319" t="s">
        <v>33</v>
      </c>
      <c r="L18319" t="s">
        <v>162</v>
      </c>
      <c r="N18319" t="s">
        <v>29</v>
      </c>
    </row>
    <row r="18320" spans="1:14">
      <c r="A18320" s="4" t="str">
        <f t="shared" si="1309"/>
        <v>EXP00438</v>
      </c>
      <c r="B18320" s="3" t="s">
        <v>66</v>
      </c>
      <c r="C18320" s="4" t="str">
        <f t="shared" si="1308"/>
        <v>TCGA-PRAD</v>
      </c>
      <c r="D18320" s="1" t="s">
        <v>493</v>
      </c>
      <c r="E18320" t="s">
        <v>571</v>
      </c>
      <c r="F18320" s="1">
        <v>2</v>
      </c>
      <c r="G18320" s="1" t="s">
        <v>28</v>
      </c>
      <c r="H18320" s="4" t="str">
        <f>HYPERLINK("https://portal.gdc.cancer.gov/cases/9b015929-99eb-4e74-8fbf-6b2e6d7f08e4","TCGA-J4-A6G3-01A")</f>
        <v>TCGA-J4-A6G3-01A</v>
      </c>
      <c r="I18320" t="s">
        <v>161</v>
      </c>
      <c r="J18320" t="s">
        <v>569</v>
      </c>
      <c r="K18320" t="s">
        <v>33</v>
      </c>
      <c r="L18320" t="s">
        <v>162</v>
      </c>
      <c r="N18320" t="s">
        <v>29</v>
      </c>
    </row>
    <row r="18321" spans="1:14">
      <c r="A18321" s="4" t="str">
        <f t="shared" si="1309"/>
        <v>EXP00438</v>
      </c>
      <c r="B18321" s="3" t="s">
        <v>66</v>
      </c>
      <c r="C18321" s="4" t="str">
        <f t="shared" si="1308"/>
        <v>TCGA-PRAD</v>
      </c>
      <c r="D18321" s="1" t="s">
        <v>493</v>
      </c>
      <c r="E18321" t="s">
        <v>571</v>
      </c>
      <c r="F18321" s="1">
        <v>2</v>
      </c>
      <c r="G18321" s="1" t="s">
        <v>28</v>
      </c>
      <c r="H18321" s="4" t="str">
        <f>HYPERLINK("https://portal.gdc.cancer.gov/cases/f00b4a22-c327-4fbb-a9a3-4418c13e2a48","TCGA-J4-A6M7-01A")</f>
        <v>TCGA-J4-A6M7-01A</v>
      </c>
      <c r="I18321" t="s">
        <v>161</v>
      </c>
      <c r="J18321" t="s">
        <v>569</v>
      </c>
      <c r="K18321" t="s">
        <v>33</v>
      </c>
      <c r="L18321" t="s">
        <v>162</v>
      </c>
      <c r="N18321" t="s">
        <v>29</v>
      </c>
    </row>
    <row r="18322" spans="1:14">
      <c r="A18322" s="4" t="str">
        <f t="shared" si="1309"/>
        <v>EXP00438</v>
      </c>
      <c r="B18322" s="3" t="s">
        <v>66</v>
      </c>
      <c r="C18322" s="4" t="str">
        <f t="shared" si="1308"/>
        <v>TCGA-PRAD</v>
      </c>
      <c r="D18322" s="1" t="s">
        <v>493</v>
      </c>
      <c r="E18322" t="s">
        <v>571</v>
      </c>
      <c r="F18322" s="1">
        <v>2</v>
      </c>
      <c r="G18322" s="1" t="s">
        <v>28</v>
      </c>
      <c r="H18322" s="4" t="str">
        <f>HYPERLINK("https://portal.gdc.cancer.gov/cases/5dc7e186-7e01-4a54-8ae8-350dace2297b","TCGA-J4-A83I-01A")</f>
        <v>TCGA-J4-A83I-01A</v>
      </c>
      <c r="I18322" t="s">
        <v>161</v>
      </c>
      <c r="J18322" t="s">
        <v>569</v>
      </c>
      <c r="K18322" t="s">
        <v>33</v>
      </c>
      <c r="L18322" t="s">
        <v>162</v>
      </c>
      <c r="N18322" t="s">
        <v>29</v>
      </c>
    </row>
    <row r="18323" spans="1:14">
      <c r="A18323" s="4" t="str">
        <f t="shared" si="1309"/>
        <v>EXP00438</v>
      </c>
      <c r="B18323" s="3" t="s">
        <v>66</v>
      </c>
      <c r="C18323" s="4" t="str">
        <f t="shared" si="1308"/>
        <v>TCGA-PRAD</v>
      </c>
      <c r="D18323" s="1" t="s">
        <v>493</v>
      </c>
      <c r="E18323" t="s">
        <v>571</v>
      </c>
      <c r="F18323" s="1">
        <v>2</v>
      </c>
      <c r="G18323" s="1" t="s">
        <v>28</v>
      </c>
      <c r="H18323" s="4" t="str">
        <f>HYPERLINK("https://portal.gdc.cancer.gov/cases/98240f19-bca7-4001-8aa2-4d790c7c4c53","TCGA-J4-A83J-01A")</f>
        <v>TCGA-J4-A83J-01A</v>
      </c>
      <c r="I18323" t="s">
        <v>161</v>
      </c>
      <c r="J18323" t="s">
        <v>569</v>
      </c>
      <c r="K18323" t="s">
        <v>33</v>
      </c>
      <c r="L18323" t="s">
        <v>162</v>
      </c>
      <c r="N18323" t="s">
        <v>29</v>
      </c>
    </row>
    <row r="18324" spans="1:14">
      <c r="A18324" s="4" t="str">
        <f t="shared" si="1309"/>
        <v>EXP00438</v>
      </c>
      <c r="B18324" s="3" t="s">
        <v>66</v>
      </c>
      <c r="C18324" s="4" t="str">
        <f t="shared" si="1308"/>
        <v>TCGA-PRAD</v>
      </c>
      <c r="D18324" s="1" t="s">
        <v>493</v>
      </c>
      <c r="E18324" t="s">
        <v>571</v>
      </c>
      <c r="F18324" s="1">
        <v>2</v>
      </c>
      <c r="G18324" s="1" t="s">
        <v>28</v>
      </c>
      <c r="H18324" s="4" t="str">
        <f>HYPERLINK("https://portal.gdc.cancer.gov/cases/256f5bcf-10a9-47be-b265-cfa707d24097","TCGA-J4-A83K-01A")</f>
        <v>TCGA-J4-A83K-01A</v>
      </c>
      <c r="I18324" t="s">
        <v>161</v>
      </c>
      <c r="J18324" t="s">
        <v>569</v>
      </c>
      <c r="K18324" t="s">
        <v>33</v>
      </c>
      <c r="L18324" t="s">
        <v>162</v>
      </c>
      <c r="N18324" t="s">
        <v>29</v>
      </c>
    </row>
    <row r="18325" spans="1:14">
      <c r="A18325" s="4" t="str">
        <f t="shared" si="1309"/>
        <v>EXP00438</v>
      </c>
      <c r="B18325" s="3" t="s">
        <v>66</v>
      </c>
      <c r="C18325" s="4" t="str">
        <f t="shared" si="1308"/>
        <v>TCGA-PRAD</v>
      </c>
      <c r="D18325" s="1" t="s">
        <v>493</v>
      </c>
      <c r="E18325" t="s">
        <v>571</v>
      </c>
      <c r="F18325" s="1">
        <v>2</v>
      </c>
      <c r="G18325" s="1" t="s">
        <v>28</v>
      </c>
      <c r="H18325" s="4" t="str">
        <f>HYPERLINK("https://portal.gdc.cancer.gov/cases/8cc7679d-b963-4b45-b3f8-dcf80ea6cc71","TCGA-J4-A83L-01A")</f>
        <v>TCGA-J4-A83L-01A</v>
      </c>
      <c r="I18325" t="s">
        <v>161</v>
      </c>
      <c r="J18325" t="s">
        <v>569</v>
      </c>
      <c r="K18325" t="s">
        <v>33</v>
      </c>
      <c r="L18325" t="s">
        <v>162</v>
      </c>
      <c r="N18325" t="s">
        <v>29</v>
      </c>
    </row>
    <row r="18326" spans="1:14">
      <c r="A18326" s="4" t="str">
        <f t="shared" si="1309"/>
        <v>EXP00438</v>
      </c>
      <c r="B18326" s="3" t="s">
        <v>66</v>
      </c>
      <c r="C18326" s="4" t="str">
        <f t="shared" si="1308"/>
        <v>TCGA-PRAD</v>
      </c>
      <c r="D18326" s="1" t="s">
        <v>493</v>
      </c>
      <c r="E18326" t="s">
        <v>571</v>
      </c>
      <c r="F18326" s="1">
        <v>2</v>
      </c>
      <c r="G18326" s="1" t="s">
        <v>28</v>
      </c>
      <c r="H18326" s="4" t="str">
        <f>HYPERLINK("https://portal.gdc.cancer.gov/cases/d6974db6-2bd3-4082-b48e-9c60f7fe3a1f","TCGA-J4-A83M-01A")</f>
        <v>TCGA-J4-A83M-01A</v>
      </c>
      <c r="I18326" t="s">
        <v>161</v>
      </c>
      <c r="J18326" t="s">
        <v>569</v>
      </c>
      <c r="K18326" t="s">
        <v>33</v>
      </c>
      <c r="L18326" t="s">
        <v>162</v>
      </c>
      <c r="N18326" t="s">
        <v>29</v>
      </c>
    </row>
    <row r="18327" spans="1:14">
      <c r="A18327" s="4" t="str">
        <f t="shared" si="1309"/>
        <v>EXP00438</v>
      </c>
      <c r="B18327" s="3" t="s">
        <v>66</v>
      </c>
      <c r="C18327" s="4" t="str">
        <f t="shared" si="1308"/>
        <v>TCGA-PRAD</v>
      </c>
      <c r="D18327" s="1" t="s">
        <v>493</v>
      </c>
      <c r="E18327" t="s">
        <v>571</v>
      </c>
      <c r="F18327" s="1">
        <v>2</v>
      </c>
      <c r="G18327" s="1" t="s">
        <v>28</v>
      </c>
      <c r="H18327" s="4" t="str">
        <f>HYPERLINK("https://portal.gdc.cancer.gov/cases/c024c4b6-0143-4071-9175-7435f1eaac58","TCGA-J4-A83N-01A")</f>
        <v>TCGA-J4-A83N-01A</v>
      </c>
      <c r="I18327" t="s">
        <v>161</v>
      </c>
      <c r="J18327" t="s">
        <v>569</v>
      </c>
      <c r="K18327" t="s">
        <v>33</v>
      </c>
      <c r="L18327" t="s">
        <v>162</v>
      </c>
      <c r="N18327" t="s">
        <v>29</v>
      </c>
    </row>
    <row r="18328" spans="1:14">
      <c r="A18328" s="4" t="str">
        <f t="shared" si="1309"/>
        <v>EXP00438</v>
      </c>
      <c r="B18328" s="3" t="s">
        <v>66</v>
      </c>
      <c r="C18328" s="4" t="str">
        <f t="shared" si="1308"/>
        <v>TCGA-PRAD</v>
      </c>
      <c r="D18328" s="1" t="s">
        <v>493</v>
      </c>
      <c r="E18328" t="s">
        <v>571</v>
      </c>
      <c r="F18328" s="1">
        <v>2</v>
      </c>
      <c r="G18328" s="1" t="s">
        <v>28</v>
      </c>
      <c r="H18328" s="4" t="str">
        <f>HYPERLINK("https://portal.gdc.cancer.gov/cases/fadd80e3-8087-4494-a8f0-1caa92acbb67","TCGA-J4-AATV-01A")</f>
        <v>TCGA-J4-AATV-01A</v>
      </c>
      <c r="I18328" t="s">
        <v>161</v>
      </c>
      <c r="J18328" t="s">
        <v>569</v>
      </c>
      <c r="K18328" t="s">
        <v>33</v>
      </c>
      <c r="L18328" t="s">
        <v>162</v>
      </c>
      <c r="N18328" t="s">
        <v>29</v>
      </c>
    </row>
    <row r="18329" spans="1:14">
      <c r="A18329" s="4" t="str">
        <f t="shared" si="1309"/>
        <v>EXP00438</v>
      </c>
      <c r="B18329" s="3" t="s">
        <v>66</v>
      </c>
      <c r="C18329" s="4" t="str">
        <f t="shared" si="1308"/>
        <v>TCGA-PRAD</v>
      </c>
      <c r="D18329" s="1" t="s">
        <v>493</v>
      </c>
      <c r="E18329" t="s">
        <v>571</v>
      </c>
      <c r="F18329" s="1">
        <v>2</v>
      </c>
      <c r="G18329" s="1" t="s">
        <v>28</v>
      </c>
      <c r="H18329" s="4" t="str">
        <f>HYPERLINK("https://portal.gdc.cancer.gov/cases/73b7d4bc-6b56-4ae8-be7f-074745563bee","TCGA-J4-AATZ-01A")</f>
        <v>TCGA-J4-AATZ-01A</v>
      </c>
      <c r="I18329" t="s">
        <v>161</v>
      </c>
      <c r="J18329" t="s">
        <v>569</v>
      </c>
      <c r="K18329" t="s">
        <v>33</v>
      </c>
      <c r="L18329" t="s">
        <v>162</v>
      </c>
      <c r="N18329" t="s">
        <v>29</v>
      </c>
    </row>
    <row r="18330" spans="1:14">
      <c r="A18330" s="4" t="str">
        <f t="shared" si="1309"/>
        <v>EXP00438</v>
      </c>
      <c r="B18330" s="3" t="s">
        <v>66</v>
      </c>
      <c r="C18330" s="4" t="str">
        <f t="shared" si="1308"/>
        <v>TCGA-PRAD</v>
      </c>
      <c r="D18330" s="1" t="s">
        <v>493</v>
      </c>
      <c r="E18330" t="s">
        <v>571</v>
      </c>
      <c r="F18330" s="1">
        <v>2</v>
      </c>
      <c r="G18330" s="1" t="s">
        <v>28</v>
      </c>
      <c r="H18330" s="4" t="str">
        <f>HYPERLINK("https://portal.gdc.cancer.gov/cases/f0f637b5-de40-4853-b54b-08468d45b195","TCGA-J4-AAU2-01A")</f>
        <v>TCGA-J4-AAU2-01A</v>
      </c>
      <c r="I18330" t="s">
        <v>161</v>
      </c>
      <c r="J18330" t="s">
        <v>569</v>
      </c>
      <c r="K18330" t="s">
        <v>33</v>
      </c>
      <c r="L18330" t="s">
        <v>162</v>
      </c>
      <c r="N18330" t="s">
        <v>29</v>
      </c>
    </row>
    <row r="18331" spans="1:14">
      <c r="A18331" s="4" t="str">
        <f t="shared" si="1309"/>
        <v>EXP00438</v>
      </c>
      <c r="B18331" s="3" t="s">
        <v>66</v>
      </c>
      <c r="C18331" s="4" t="str">
        <f t="shared" si="1308"/>
        <v>TCGA-PRAD</v>
      </c>
      <c r="D18331" s="1" t="s">
        <v>493</v>
      </c>
      <c r="E18331" t="s">
        <v>571</v>
      </c>
      <c r="F18331" s="1">
        <v>2</v>
      </c>
      <c r="G18331" s="1" t="s">
        <v>28</v>
      </c>
      <c r="H18331" s="4" t="str">
        <f>HYPERLINK("https://portal.gdc.cancer.gov/cases/2eccaabe-0783-4596-b674-d59846373a1d","TCGA-J9-A52B-01A")</f>
        <v>TCGA-J9-A52B-01A</v>
      </c>
      <c r="I18331" t="s">
        <v>161</v>
      </c>
      <c r="J18331" t="s">
        <v>569</v>
      </c>
      <c r="K18331" t="s">
        <v>33</v>
      </c>
      <c r="L18331" t="s">
        <v>162</v>
      </c>
      <c r="N18331" t="s">
        <v>29</v>
      </c>
    </row>
    <row r="18332" spans="1:14">
      <c r="A18332" s="4" t="str">
        <f t="shared" si="1309"/>
        <v>EXP00438</v>
      </c>
      <c r="B18332" s="3" t="s">
        <v>66</v>
      </c>
      <c r="C18332" s="4" t="str">
        <f t="shared" ref="C18332:C18395" si="1310">HYPERLINK("https://portal.gdc.cancer.gov/projects/TCGA-PRAD","TCGA-PRAD")</f>
        <v>TCGA-PRAD</v>
      </c>
      <c r="D18332" s="1" t="s">
        <v>493</v>
      </c>
      <c r="E18332" t="s">
        <v>571</v>
      </c>
      <c r="F18332" s="1">
        <v>2</v>
      </c>
      <c r="G18332" s="1" t="s">
        <v>28</v>
      </c>
      <c r="H18332" s="4" t="str">
        <f>HYPERLINK("https://portal.gdc.cancer.gov/cases/1940166e-aedc-4dc5-90a5-609871f9f7da","TCGA-J9-A52C-01A")</f>
        <v>TCGA-J9-A52C-01A</v>
      </c>
      <c r="I18332" t="s">
        <v>161</v>
      </c>
      <c r="J18332" t="s">
        <v>569</v>
      </c>
      <c r="K18332" t="s">
        <v>33</v>
      </c>
      <c r="L18332" t="s">
        <v>162</v>
      </c>
      <c r="N18332" t="s">
        <v>29</v>
      </c>
    </row>
    <row r="18333" spans="1:14">
      <c r="A18333" s="4" t="str">
        <f t="shared" si="1309"/>
        <v>EXP00438</v>
      </c>
      <c r="B18333" s="3" t="s">
        <v>66</v>
      </c>
      <c r="C18333" s="4" t="str">
        <f t="shared" si="1310"/>
        <v>TCGA-PRAD</v>
      </c>
      <c r="D18333" s="1" t="s">
        <v>493</v>
      </c>
      <c r="E18333" t="s">
        <v>571</v>
      </c>
      <c r="F18333" s="1">
        <v>2</v>
      </c>
      <c r="G18333" s="1" t="s">
        <v>28</v>
      </c>
      <c r="H18333" s="4" t="str">
        <f>HYPERLINK("https://portal.gdc.cancer.gov/cases/c03ae0f2-dde3-47e8-a046-ce85c86dd77d","TCGA-J9-A52D-01A")</f>
        <v>TCGA-J9-A52D-01A</v>
      </c>
      <c r="I18333" t="s">
        <v>161</v>
      </c>
      <c r="J18333" t="s">
        <v>569</v>
      </c>
      <c r="K18333" t="s">
        <v>33</v>
      </c>
      <c r="L18333" t="s">
        <v>162</v>
      </c>
      <c r="N18333" t="s">
        <v>29</v>
      </c>
    </row>
    <row r="18334" spans="1:14">
      <c r="A18334" s="4" t="str">
        <f t="shared" si="1309"/>
        <v>EXP00438</v>
      </c>
      <c r="B18334" s="3" t="s">
        <v>66</v>
      </c>
      <c r="C18334" s="4" t="str">
        <f t="shared" si="1310"/>
        <v>TCGA-PRAD</v>
      </c>
      <c r="D18334" s="1" t="s">
        <v>493</v>
      </c>
      <c r="E18334" t="s">
        <v>571</v>
      </c>
      <c r="F18334" s="1">
        <v>2</v>
      </c>
      <c r="G18334" s="1" t="s">
        <v>28</v>
      </c>
      <c r="H18334" s="4" t="str">
        <f>HYPERLINK("https://portal.gdc.cancer.gov/cases/30aba886-5152-4e25-b36f-6ce7009d419e","TCGA-J9-A52E-01A")</f>
        <v>TCGA-J9-A52E-01A</v>
      </c>
      <c r="I18334" t="s">
        <v>161</v>
      </c>
      <c r="J18334" t="s">
        <v>569</v>
      </c>
      <c r="K18334" t="s">
        <v>33</v>
      </c>
      <c r="L18334" t="s">
        <v>162</v>
      </c>
      <c r="N18334" t="s">
        <v>29</v>
      </c>
    </row>
    <row r="18335" spans="1:14">
      <c r="A18335" s="4" t="str">
        <f t="shared" si="1309"/>
        <v>EXP00438</v>
      </c>
      <c r="B18335" s="3" t="s">
        <v>66</v>
      </c>
      <c r="C18335" s="4" t="str">
        <f t="shared" si="1310"/>
        <v>TCGA-PRAD</v>
      </c>
      <c r="D18335" s="1" t="s">
        <v>493</v>
      </c>
      <c r="E18335" t="s">
        <v>571</v>
      </c>
      <c r="F18335" s="1">
        <v>2</v>
      </c>
      <c r="G18335" s="1" t="s">
        <v>28</v>
      </c>
      <c r="H18335" s="4" t="str">
        <f>HYPERLINK("https://portal.gdc.cancer.gov/cases/eb80244a-5f20-49a8-8f73-e92c14395895","TCGA-J9-A8CK-01A")</f>
        <v>TCGA-J9-A8CK-01A</v>
      </c>
      <c r="I18335" t="s">
        <v>161</v>
      </c>
      <c r="J18335" t="s">
        <v>569</v>
      </c>
      <c r="K18335" t="s">
        <v>33</v>
      </c>
      <c r="L18335" t="s">
        <v>162</v>
      </c>
      <c r="N18335" t="s">
        <v>29</v>
      </c>
    </row>
    <row r="18336" spans="1:14">
      <c r="A18336" s="4" t="str">
        <f t="shared" si="1309"/>
        <v>EXP00438</v>
      </c>
      <c r="B18336" s="3" t="s">
        <v>66</v>
      </c>
      <c r="C18336" s="4" t="str">
        <f t="shared" si="1310"/>
        <v>TCGA-PRAD</v>
      </c>
      <c r="D18336" s="1" t="s">
        <v>493</v>
      </c>
      <c r="E18336" t="s">
        <v>571</v>
      </c>
      <c r="F18336" s="1">
        <v>2</v>
      </c>
      <c r="G18336" s="1" t="s">
        <v>28</v>
      </c>
      <c r="H18336" s="4" t="str">
        <f>HYPERLINK("https://portal.gdc.cancer.gov/cases/1122fa92-0073-4f59-9880-3f1a34620758","TCGA-J9-A8CL-01A")</f>
        <v>TCGA-J9-A8CL-01A</v>
      </c>
      <c r="I18336" t="s">
        <v>161</v>
      </c>
      <c r="J18336" t="s">
        <v>569</v>
      </c>
      <c r="K18336" t="s">
        <v>33</v>
      </c>
      <c r="L18336" t="s">
        <v>162</v>
      </c>
      <c r="N18336" t="s">
        <v>29</v>
      </c>
    </row>
    <row r="18337" spans="1:14">
      <c r="A18337" s="4" t="str">
        <f t="shared" si="1309"/>
        <v>EXP00438</v>
      </c>
      <c r="B18337" s="3" t="s">
        <v>66</v>
      </c>
      <c r="C18337" s="4" t="str">
        <f t="shared" si="1310"/>
        <v>TCGA-PRAD</v>
      </c>
      <c r="D18337" s="1" t="s">
        <v>493</v>
      </c>
      <c r="E18337" t="s">
        <v>571</v>
      </c>
      <c r="F18337" s="1">
        <v>2</v>
      </c>
      <c r="G18337" s="1" t="s">
        <v>28</v>
      </c>
      <c r="H18337" s="4" t="str">
        <f>HYPERLINK("https://portal.gdc.cancer.gov/cases/deceb7df-6edc-41f0-99aa-c4ac7e764074","TCGA-J9-A8CM-01A")</f>
        <v>TCGA-J9-A8CM-01A</v>
      </c>
      <c r="I18337" t="s">
        <v>161</v>
      </c>
      <c r="J18337" t="s">
        <v>569</v>
      </c>
      <c r="K18337" t="s">
        <v>33</v>
      </c>
      <c r="L18337" t="s">
        <v>162</v>
      </c>
      <c r="N18337" t="s">
        <v>29</v>
      </c>
    </row>
    <row r="18338" spans="1:14">
      <c r="A18338" s="4" t="str">
        <f t="shared" si="1309"/>
        <v>EXP00438</v>
      </c>
      <c r="B18338" s="3" t="s">
        <v>66</v>
      </c>
      <c r="C18338" s="4" t="str">
        <f t="shared" si="1310"/>
        <v>TCGA-PRAD</v>
      </c>
      <c r="D18338" s="1" t="s">
        <v>493</v>
      </c>
      <c r="E18338" t="s">
        <v>571</v>
      </c>
      <c r="F18338" s="1">
        <v>2</v>
      </c>
      <c r="G18338" s="1" t="s">
        <v>28</v>
      </c>
      <c r="H18338" s="4" t="str">
        <f>HYPERLINK("https://portal.gdc.cancer.gov/cases/186d7f36-4e93-4ab2-bc23-95d5cd296656","TCGA-J9-A8CN-01A")</f>
        <v>TCGA-J9-A8CN-01A</v>
      </c>
      <c r="I18338" t="s">
        <v>161</v>
      </c>
      <c r="J18338" t="s">
        <v>569</v>
      </c>
      <c r="K18338" t="s">
        <v>33</v>
      </c>
      <c r="L18338" t="s">
        <v>162</v>
      </c>
      <c r="N18338" t="s">
        <v>29</v>
      </c>
    </row>
    <row r="18339" spans="1:14">
      <c r="A18339" s="4" t="str">
        <f t="shared" si="1309"/>
        <v>EXP00438</v>
      </c>
      <c r="B18339" s="3" t="s">
        <v>66</v>
      </c>
      <c r="C18339" s="4" t="str">
        <f t="shared" si="1310"/>
        <v>TCGA-PRAD</v>
      </c>
      <c r="D18339" s="1" t="s">
        <v>493</v>
      </c>
      <c r="E18339" t="s">
        <v>571</v>
      </c>
      <c r="F18339" s="1">
        <v>2</v>
      </c>
      <c r="G18339" s="1" t="s">
        <v>28</v>
      </c>
      <c r="H18339" s="4" t="str">
        <f>HYPERLINK("https://portal.gdc.cancer.gov/cases/5b12458b-f5d7-41de-a4e1-26d39dca9b17","TCGA-J9-A8CP-01A")</f>
        <v>TCGA-J9-A8CP-01A</v>
      </c>
      <c r="I18339" t="s">
        <v>161</v>
      </c>
      <c r="J18339" t="s">
        <v>569</v>
      </c>
      <c r="K18339" t="s">
        <v>33</v>
      </c>
      <c r="L18339" t="s">
        <v>162</v>
      </c>
      <c r="N18339" t="s">
        <v>29</v>
      </c>
    </row>
    <row r="18340" spans="1:14">
      <c r="A18340" s="4" t="str">
        <f t="shared" si="1309"/>
        <v>EXP00438</v>
      </c>
      <c r="B18340" s="3" t="s">
        <v>66</v>
      </c>
      <c r="C18340" s="4" t="str">
        <f t="shared" si="1310"/>
        <v>TCGA-PRAD</v>
      </c>
      <c r="D18340" s="1" t="s">
        <v>493</v>
      </c>
      <c r="E18340" t="s">
        <v>571</v>
      </c>
      <c r="F18340" s="1">
        <v>2</v>
      </c>
      <c r="G18340" s="1" t="s">
        <v>28</v>
      </c>
      <c r="H18340" s="4" t="str">
        <f>HYPERLINK("https://portal.gdc.cancer.gov/cases/5089a8d2-a353-4150-8a6b-6478c5bb29bb","TCGA-KC-A4BL-01A")</f>
        <v>TCGA-KC-A4BL-01A</v>
      </c>
      <c r="I18340" t="s">
        <v>161</v>
      </c>
      <c r="J18340" t="s">
        <v>569</v>
      </c>
      <c r="K18340" t="s">
        <v>33</v>
      </c>
      <c r="L18340" t="s">
        <v>162</v>
      </c>
      <c r="N18340" t="s">
        <v>29</v>
      </c>
    </row>
    <row r="18341" spans="1:14">
      <c r="A18341" s="4" t="str">
        <f t="shared" si="1309"/>
        <v>EXP00438</v>
      </c>
      <c r="B18341" s="3" t="s">
        <v>66</v>
      </c>
      <c r="C18341" s="4" t="str">
        <f t="shared" si="1310"/>
        <v>TCGA-PRAD</v>
      </c>
      <c r="D18341" s="1" t="s">
        <v>493</v>
      </c>
      <c r="E18341" t="s">
        <v>571</v>
      </c>
      <c r="F18341" s="1">
        <v>2</v>
      </c>
      <c r="G18341" s="1" t="s">
        <v>28</v>
      </c>
      <c r="H18341" s="4" t="str">
        <f>HYPERLINK("https://portal.gdc.cancer.gov/cases/5a468990-d76d-4c67-8437-62689b593ae2","TCGA-KC-A4BN-01A")</f>
        <v>TCGA-KC-A4BN-01A</v>
      </c>
      <c r="I18341" t="s">
        <v>161</v>
      </c>
      <c r="J18341" t="s">
        <v>569</v>
      </c>
      <c r="K18341" t="s">
        <v>33</v>
      </c>
      <c r="L18341" t="s">
        <v>162</v>
      </c>
      <c r="N18341" t="s">
        <v>29</v>
      </c>
    </row>
    <row r="18342" spans="1:14">
      <c r="A18342" s="4" t="str">
        <f t="shared" si="1309"/>
        <v>EXP00438</v>
      </c>
      <c r="B18342" s="3" t="s">
        <v>66</v>
      </c>
      <c r="C18342" s="4" t="str">
        <f t="shared" si="1310"/>
        <v>TCGA-PRAD</v>
      </c>
      <c r="D18342" s="1" t="s">
        <v>493</v>
      </c>
      <c r="E18342" t="s">
        <v>571</v>
      </c>
      <c r="F18342" s="1">
        <v>2</v>
      </c>
      <c r="G18342" s="1" t="s">
        <v>28</v>
      </c>
      <c r="H18342" s="4" t="str">
        <f>HYPERLINK("https://portal.gdc.cancer.gov/cases/3e71fa1c-855c-475a-9dd0-a314a3ecd48d","TCGA-KC-A4BR-01A")</f>
        <v>TCGA-KC-A4BR-01A</v>
      </c>
      <c r="I18342" t="s">
        <v>161</v>
      </c>
      <c r="J18342" t="s">
        <v>569</v>
      </c>
      <c r="K18342" t="s">
        <v>33</v>
      </c>
      <c r="L18342" t="s">
        <v>162</v>
      </c>
      <c r="N18342" t="s">
        <v>29</v>
      </c>
    </row>
    <row r="18343" spans="1:14">
      <c r="A18343" s="4" t="str">
        <f t="shared" si="1309"/>
        <v>EXP00438</v>
      </c>
      <c r="B18343" s="3" t="s">
        <v>66</v>
      </c>
      <c r="C18343" s="4" t="str">
        <f t="shared" si="1310"/>
        <v>TCGA-PRAD</v>
      </c>
      <c r="D18343" s="1" t="s">
        <v>493</v>
      </c>
      <c r="E18343" t="s">
        <v>571</v>
      </c>
      <c r="F18343" s="1">
        <v>2</v>
      </c>
      <c r="G18343" s="1" t="s">
        <v>28</v>
      </c>
      <c r="H18343" s="4" t="str">
        <f>HYPERLINK("https://portal.gdc.cancer.gov/cases/a8c954b7-3077-4ff1-b311-d4b4bfa49786","TCGA-KC-A4BV-01A")</f>
        <v>TCGA-KC-A4BV-01A</v>
      </c>
      <c r="I18343" t="s">
        <v>161</v>
      </c>
      <c r="J18343" t="s">
        <v>569</v>
      </c>
      <c r="K18343" t="s">
        <v>33</v>
      </c>
      <c r="L18343" t="s">
        <v>162</v>
      </c>
      <c r="N18343" t="s">
        <v>29</v>
      </c>
    </row>
    <row r="18344" spans="1:14">
      <c r="A18344" s="4" t="str">
        <f t="shared" si="1309"/>
        <v>EXP00438</v>
      </c>
      <c r="B18344" s="3" t="s">
        <v>66</v>
      </c>
      <c r="C18344" s="4" t="str">
        <f t="shared" si="1310"/>
        <v>TCGA-PRAD</v>
      </c>
      <c r="D18344" s="1" t="s">
        <v>493</v>
      </c>
      <c r="E18344" t="s">
        <v>571</v>
      </c>
      <c r="F18344" s="1">
        <v>2</v>
      </c>
      <c r="G18344" s="1" t="s">
        <v>28</v>
      </c>
      <c r="H18344" s="4" t="str">
        <f>HYPERLINK("https://portal.gdc.cancer.gov/cases/827caf2c-a94b-4eee-86b3-1155a16daf4a","TCGA-KC-A7F3-01A")</f>
        <v>TCGA-KC-A7F3-01A</v>
      </c>
      <c r="I18344" t="s">
        <v>161</v>
      </c>
      <c r="J18344" t="s">
        <v>569</v>
      </c>
      <c r="K18344" t="s">
        <v>33</v>
      </c>
      <c r="L18344" t="s">
        <v>162</v>
      </c>
      <c r="N18344" t="s">
        <v>29</v>
      </c>
    </row>
    <row r="18345" spans="1:14">
      <c r="A18345" s="4" t="str">
        <f t="shared" si="1309"/>
        <v>EXP00438</v>
      </c>
      <c r="B18345" s="3" t="s">
        <v>66</v>
      </c>
      <c r="C18345" s="4" t="str">
        <f t="shared" si="1310"/>
        <v>TCGA-PRAD</v>
      </c>
      <c r="D18345" s="1" t="s">
        <v>493</v>
      </c>
      <c r="E18345" t="s">
        <v>571</v>
      </c>
      <c r="F18345" s="1">
        <v>2</v>
      </c>
      <c r="G18345" s="1" t="s">
        <v>28</v>
      </c>
      <c r="H18345" s="4" t="str">
        <f>HYPERLINK("https://portal.gdc.cancer.gov/cases/3a6e0fd1-6e06-4002-9d1a-88edf7944567","TCGA-KC-A7F5-01A")</f>
        <v>TCGA-KC-A7F5-01A</v>
      </c>
      <c r="I18345" t="s">
        <v>161</v>
      </c>
      <c r="J18345" t="s">
        <v>569</v>
      </c>
      <c r="K18345" t="s">
        <v>33</v>
      </c>
      <c r="L18345" t="s">
        <v>162</v>
      </c>
      <c r="N18345" t="s">
        <v>29</v>
      </c>
    </row>
    <row r="18346" spans="1:14">
      <c r="A18346" s="4" t="str">
        <f t="shared" si="1309"/>
        <v>EXP00438</v>
      </c>
      <c r="B18346" s="3" t="s">
        <v>66</v>
      </c>
      <c r="C18346" s="4" t="str">
        <f t="shared" si="1310"/>
        <v>TCGA-PRAD</v>
      </c>
      <c r="D18346" s="1" t="s">
        <v>493</v>
      </c>
      <c r="E18346" t="s">
        <v>571</v>
      </c>
      <c r="F18346" s="1">
        <v>2</v>
      </c>
      <c r="G18346" s="1" t="s">
        <v>28</v>
      </c>
      <c r="H18346" s="4" t="str">
        <f>HYPERLINK("https://portal.gdc.cancer.gov/cases/fc823ab7-9390-4c57-9883-3e32ee17e794","TCGA-KC-A7F6-01A")</f>
        <v>TCGA-KC-A7F6-01A</v>
      </c>
      <c r="I18346" t="s">
        <v>161</v>
      </c>
      <c r="J18346" t="s">
        <v>569</v>
      </c>
      <c r="K18346" t="s">
        <v>33</v>
      </c>
      <c r="L18346" t="s">
        <v>162</v>
      </c>
      <c r="N18346" t="s">
        <v>29</v>
      </c>
    </row>
    <row r="18347" spans="1:14">
      <c r="A18347" s="4" t="str">
        <f t="shared" si="1309"/>
        <v>EXP00438</v>
      </c>
      <c r="B18347" s="3" t="s">
        <v>66</v>
      </c>
      <c r="C18347" s="4" t="str">
        <f t="shared" si="1310"/>
        <v>TCGA-PRAD</v>
      </c>
      <c r="D18347" s="1" t="s">
        <v>493</v>
      </c>
      <c r="E18347" t="s">
        <v>571</v>
      </c>
      <c r="F18347" s="1">
        <v>2</v>
      </c>
      <c r="G18347" s="1" t="s">
        <v>28</v>
      </c>
      <c r="H18347" s="4" t="str">
        <f>HYPERLINK("https://portal.gdc.cancer.gov/cases/3f3128c9-1072-443c-b6ae-8b63166fa9a4","TCGA-KC-A7FA-01A")</f>
        <v>TCGA-KC-A7FA-01A</v>
      </c>
      <c r="I18347" t="s">
        <v>161</v>
      </c>
      <c r="J18347" t="s">
        <v>569</v>
      </c>
      <c r="K18347" t="s">
        <v>33</v>
      </c>
      <c r="L18347" t="s">
        <v>162</v>
      </c>
      <c r="N18347" t="s">
        <v>29</v>
      </c>
    </row>
    <row r="18348" spans="1:14">
      <c r="A18348" s="4" t="str">
        <f t="shared" si="1309"/>
        <v>EXP00438</v>
      </c>
      <c r="B18348" s="3" t="s">
        <v>66</v>
      </c>
      <c r="C18348" s="4" t="str">
        <f t="shared" si="1310"/>
        <v>TCGA-PRAD</v>
      </c>
      <c r="D18348" s="1" t="s">
        <v>493</v>
      </c>
      <c r="E18348" t="s">
        <v>571</v>
      </c>
      <c r="F18348" s="1">
        <v>2</v>
      </c>
      <c r="G18348" s="1" t="s">
        <v>28</v>
      </c>
      <c r="H18348" s="4" t="str">
        <f>HYPERLINK("https://portal.gdc.cancer.gov/cases/88658b66-f293-4aff-9e33-05abfafd3b43","TCGA-KC-A7FD-01A")</f>
        <v>TCGA-KC-A7FD-01A</v>
      </c>
      <c r="I18348" t="s">
        <v>161</v>
      </c>
      <c r="J18348" t="s">
        <v>569</v>
      </c>
      <c r="K18348" t="s">
        <v>33</v>
      </c>
      <c r="L18348" t="s">
        <v>162</v>
      </c>
      <c r="N18348" t="s">
        <v>29</v>
      </c>
    </row>
    <row r="18349" spans="1:14">
      <c r="A18349" s="4" t="str">
        <f t="shared" si="1309"/>
        <v>EXP00438</v>
      </c>
      <c r="B18349" s="3" t="s">
        <v>66</v>
      </c>
      <c r="C18349" s="4" t="str">
        <f t="shared" si="1310"/>
        <v>TCGA-PRAD</v>
      </c>
      <c r="D18349" s="1" t="s">
        <v>493</v>
      </c>
      <c r="E18349" t="s">
        <v>571</v>
      </c>
      <c r="F18349" s="1">
        <v>2</v>
      </c>
      <c r="G18349" s="1" t="s">
        <v>28</v>
      </c>
      <c r="H18349" s="4" t="str">
        <f>HYPERLINK("https://portal.gdc.cancer.gov/cases/7c40c747-5000-4f66-aab5-c53fb96337cb","TCGA-KC-A7FE-01A")</f>
        <v>TCGA-KC-A7FE-01A</v>
      </c>
      <c r="I18349" t="s">
        <v>161</v>
      </c>
      <c r="J18349" t="s">
        <v>569</v>
      </c>
      <c r="K18349" t="s">
        <v>33</v>
      </c>
      <c r="L18349" t="s">
        <v>162</v>
      </c>
      <c r="N18349" t="s">
        <v>29</v>
      </c>
    </row>
    <row r="18350" spans="1:14">
      <c r="A18350" s="4" t="str">
        <f t="shared" si="1309"/>
        <v>EXP00438</v>
      </c>
      <c r="B18350" s="3" t="s">
        <v>66</v>
      </c>
      <c r="C18350" s="4" t="str">
        <f t="shared" si="1310"/>
        <v>TCGA-PRAD</v>
      </c>
      <c r="D18350" s="1" t="s">
        <v>493</v>
      </c>
      <c r="E18350" t="s">
        <v>571</v>
      </c>
      <c r="F18350" s="1">
        <v>2</v>
      </c>
      <c r="G18350" s="1" t="s">
        <v>28</v>
      </c>
      <c r="H18350" s="4" t="str">
        <f>HYPERLINK("https://portal.gdc.cancer.gov/cases/9e48644f-d498-42b0-871b-d11f676241e2","TCGA-KK-A59V-01A")</f>
        <v>TCGA-KK-A59V-01A</v>
      </c>
      <c r="I18350" t="s">
        <v>161</v>
      </c>
      <c r="J18350" t="s">
        <v>569</v>
      </c>
      <c r="K18350" t="s">
        <v>33</v>
      </c>
      <c r="L18350" t="s">
        <v>162</v>
      </c>
      <c r="N18350" t="s">
        <v>29</v>
      </c>
    </row>
    <row r="18351" spans="1:14">
      <c r="A18351" s="4" t="str">
        <f t="shared" si="1309"/>
        <v>EXP00438</v>
      </c>
      <c r="B18351" s="3" t="s">
        <v>66</v>
      </c>
      <c r="C18351" s="4" t="str">
        <f t="shared" si="1310"/>
        <v>TCGA-PRAD</v>
      </c>
      <c r="D18351" s="1" t="s">
        <v>493</v>
      </c>
      <c r="E18351" t="s">
        <v>571</v>
      </c>
      <c r="F18351" s="1">
        <v>2</v>
      </c>
      <c r="G18351" s="1" t="s">
        <v>28</v>
      </c>
      <c r="H18351" s="4" t="str">
        <f>HYPERLINK("https://portal.gdc.cancer.gov/cases/629855ea-551e-456c-b421-83b9a4eb3269","TCGA-KK-A59X-01A")</f>
        <v>TCGA-KK-A59X-01A</v>
      </c>
      <c r="I18351" t="s">
        <v>161</v>
      </c>
      <c r="J18351" t="s">
        <v>569</v>
      </c>
      <c r="K18351" t="s">
        <v>33</v>
      </c>
      <c r="L18351" t="s">
        <v>162</v>
      </c>
      <c r="N18351" t="s">
        <v>29</v>
      </c>
    </row>
    <row r="18352" spans="1:14">
      <c r="A18352" s="4" t="str">
        <f t="shared" si="1309"/>
        <v>EXP00438</v>
      </c>
      <c r="B18352" s="3" t="s">
        <v>66</v>
      </c>
      <c r="C18352" s="4" t="str">
        <f t="shared" si="1310"/>
        <v>TCGA-PRAD</v>
      </c>
      <c r="D18352" s="1" t="s">
        <v>493</v>
      </c>
      <c r="E18352" t="s">
        <v>571</v>
      </c>
      <c r="F18352" s="1">
        <v>2</v>
      </c>
      <c r="G18352" s="1" t="s">
        <v>28</v>
      </c>
      <c r="H18352" s="4" t="str">
        <f>HYPERLINK("https://portal.gdc.cancer.gov/cases/4c197d76-daf6-474d-b561-ded42905f52a","TCGA-KK-A59Y-01A")</f>
        <v>TCGA-KK-A59Y-01A</v>
      </c>
      <c r="I18352" t="s">
        <v>161</v>
      </c>
      <c r="J18352" t="s">
        <v>569</v>
      </c>
      <c r="K18352" t="s">
        <v>33</v>
      </c>
      <c r="L18352" t="s">
        <v>162</v>
      </c>
      <c r="N18352" t="s">
        <v>29</v>
      </c>
    </row>
    <row r="18353" spans="1:14">
      <c r="A18353" s="4" t="str">
        <f t="shared" si="1309"/>
        <v>EXP00438</v>
      </c>
      <c r="B18353" s="3" t="s">
        <v>66</v>
      </c>
      <c r="C18353" s="4" t="str">
        <f t="shared" si="1310"/>
        <v>TCGA-PRAD</v>
      </c>
      <c r="D18353" s="1" t="s">
        <v>493</v>
      </c>
      <c r="E18353" t="s">
        <v>571</v>
      </c>
      <c r="F18353" s="1">
        <v>2</v>
      </c>
      <c r="G18353" s="1" t="s">
        <v>28</v>
      </c>
      <c r="H18353" s="4" t="str">
        <f>HYPERLINK("https://portal.gdc.cancer.gov/cases/df7bbd9c-0b35-4855-acde-46f4956f4df1","TCGA-KK-A59Z-01A")</f>
        <v>TCGA-KK-A59Z-01A</v>
      </c>
      <c r="I18353" t="s">
        <v>161</v>
      </c>
      <c r="J18353" t="s">
        <v>569</v>
      </c>
      <c r="K18353" t="s">
        <v>33</v>
      </c>
      <c r="L18353" t="s">
        <v>162</v>
      </c>
      <c r="N18353" t="s">
        <v>29</v>
      </c>
    </row>
    <row r="18354" spans="1:14">
      <c r="A18354" s="4" t="str">
        <f t="shared" si="1309"/>
        <v>EXP00438</v>
      </c>
      <c r="B18354" s="3" t="s">
        <v>66</v>
      </c>
      <c r="C18354" s="4" t="str">
        <f t="shared" si="1310"/>
        <v>TCGA-PRAD</v>
      </c>
      <c r="D18354" s="1" t="s">
        <v>493</v>
      </c>
      <c r="E18354" t="s">
        <v>571</v>
      </c>
      <c r="F18354" s="1">
        <v>2</v>
      </c>
      <c r="G18354" s="1" t="s">
        <v>28</v>
      </c>
      <c r="H18354" s="4" t="str">
        <f>HYPERLINK("https://portal.gdc.cancer.gov/cases/436b242c-ad5f-432e-a684-27bba4c1c8a2","TCGA-KK-A5A1-01A")</f>
        <v>TCGA-KK-A5A1-01A</v>
      </c>
      <c r="I18354" t="s">
        <v>161</v>
      </c>
      <c r="J18354" t="s">
        <v>569</v>
      </c>
      <c r="K18354" t="s">
        <v>33</v>
      </c>
      <c r="L18354" t="s">
        <v>162</v>
      </c>
      <c r="N18354" t="s">
        <v>29</v>
      </c>
    </row>
    <row r="18355" spans="1:14">
      <c r="A18355" s="4" t="str">
        <f t="shared" si="1309"/>
        <v>EXP00438</v>
      </c>
      <c r="B18355" s="3" t="s">
        <v>66</v>
      </c>
      <c r="C18355" s="4" t="str">
        <f t="shared" si="1310"/>
        <v>TCGA-PRAD</v>
      </c>
      <c r="D18355" s="1" t="s">
        <v>493</v>
      </c>
      <c r="E18355" t="s">
        <v>571</v>
      </c>
      <c r="F18355" s="1">
        <v>2</v>
      </c>
      <c r="G18355" s="1" t="s">
        <v>28</v>
      </c>
      <c r="H18355" s="4" t="str">
        <f>HYPERLINK("https://portal.gdc.cancer.gov/cases/b1bdaf2d-7d84-4409-9427-5390150bb96d","TCGA-KK-A6DY-01A")</f>
        <v>TCGA-KK-A6DY-01A</v>
      </c>
      <c r="I18355" t="s">
        <v>161</v>
      </c>
      <c r="J18355" t="s">
        <v>569</v>
      </c>
      <c r="K18355" t="s">
        <v>33</v>
      </c>
      <c r="L18355" t="s">
        <v>162</v>
      </c>
      <c r="N18355" t="s">
        <v>29</v>
      </c>
    </row>
    <row r="18356" spans="1:14">
      <c r="A18356" s="4" t="str">
        <f t="shared" si="1309"/>
        <v>EXP00438</v>
      </c>
      <c r="B18356" s="3" t="s">
        <v>66</v>
      </c>
      <c r="C18356" s="4" t="str">
        <f t="shared" si="1310"/>
        <v>TCGA-PRAD</v>
      </c>
      <c r="D18356" s="1" t="s">
        <v>493</v>
      </c>
      <c r="E18356" t="s">
        <v>571</v>
      </c>
      <c r="F18356" s="1">
        <v>2</v>
      </c>
      <c r="G18356" s="1" t="s">
        <v>28</v>
      </c>
      <c r="H18356" s="4" t="str">
        <f>HYPERLINK("https://portal.gdc.cancer.gov/cases/d112136d-34fa-426e-b432-4d1e4286adf8","TCGA-KK-A6E0-01A")</f>
        <v>TCGA-KK-A6E0-01A</v>
      </c>
      <c r="I18356" t="s">
        <v>161</v>
      </c>
      <c r="J18356" t="s">
        <v>569</v>
      </c>
      <c r="K18356" t="s">
        <v>33</v>
      </c>
      <c r="L18356" t="s">
        <v>162</v>
      </c>
      <c r="N18356" t="s">
        <v>29</v>
      </c>
    </row>
    <row r="18357" spans="1:14">
      <c r="A18357" s="4" t="str">
        <f t="shared" si="1309"/>
        <v>EXP00438</v>
      </c>
      <c r="B18357" s="3" t="s">
        <v>66</v>
      </c>
      <c r="C18357" s="4" t="str">
        <f t="shared" si="1310"/>
        <v>TCGA-PRAD</v>
      </c>
      <c r="D18357" s="1" t="s">
        <v>493</v>
      </c>
      <c r="E18357" t="s">
        <v>571</v>
      </c>
      <c r="F18357" s="1">
        <v>2</v>
      </c>
      <c r="G18357" s="1" t="s">
        <v>28</v>
      </c>
      <c r="H18357" s="4" t="str">
        <f>HYPERLINK("https://portal.gdc.cancer.gov/cases/deb57bd8-545f-477a-9a86-6bc6db257270","TCGA-KK-A6E1-01A")</f>
        <v>TCGA-KK-A6E1-01A</v>
      </c>
      <c r="I18357" t="s">
        <v>161</v>
      </c>
      <c r="J18357" t="s">
        <v>569</v>
      </c>
      <c r="K18357" t="s">
        <v>33</v>
      </c>
      <c r="L18357" t="s">
        <v>162</v>
      </c>
      <c r="N18357" t="s">
        <v>29</v>
      </c>
    </row>
    <row r="18358" spans="1:14">
      <c r="A18358" s="4" t="str">
        <f t="shared" si="1309"/>
        <v>EXP00438</v>
      </c>
      <c r="B18358" s="3" t="s">
        <v>66</v>
      </c>
      <c r="C18358" s="4" t="str">
        <f t="shared" si="1310"/>
        <v>TCGA-PRAD</v>
      </c>
      <c r="D18358" s="1" t="s">
        <v>493</v>
      </c>
      <c r="E18358" t="s">
        <v>571</v>
      </c>
      <c r="F18358" s="1">
        <v>2</v>
      </c>
      <c r="G18358" s="1" t="s">
        <v>28</v>
      </c>
      <c r="H18358" s="4" t="str">
        <f>HYPERLINK("https://portal.gdc.cancer.gov/cases/56c88739-c076-42cc-a2cb-fd613ab567b5","TCGA-KK-A6E2-01A")</f>
        <v>TCGA-KK-A6E2-01A</v>
      </c>
      <c r="I18358" t="s">
        <v>161</v>
      </c>
      <c r="J18358" t="s">
        <v>569</v>
      </c>
      <c r="K18358" t="s">
        <v>33</v>
      </c>
      <c r="L18358" t="s">
        <v>162</v>
      </c>
      <c r="N18358" t="s">
        <v>29</v>
      </c>
    </row>
    <row r="18359" spans="1:14">
      <c r="A18359" s="4" t="str">
        <f t="shared" si="1309"/>
        <v>EXP00438</v>
      </c>
      <c r="B18359" s="3" t="s">
        <v>66</v>
      </c>
      <c r="C18359" s="4" t="str">
        <f t="shared" si="1310"/>
        <v>TCGA-PRAD</v>
      </c>
      <c r="D18359" s="1" t="s">
        <v>493</v>
      </c>
      <c r="E18359" t="s">
        <v>571</v>
      </c>
      <c r="F18359" s="1">
        <v>2</v>
      </c>
      <c r="G18359" s="1" t="s">
        <v>28</v>
      </c>
      <c r="H18359" s="4" t="str">
        <f>HYPERLINK("https://portal.gdc.cancer.gov/cases/38a2b705-d8a4-45ca-8bcd-96dbf93d8e4d","TCGA-KK-A6E3-01A")</f>
        <v>TCGA-KK-A6E3-01A</v>
      </c>
      <c r="I18359" t="s">
        <v>161</v>
      </c>
      <c r="J18359" t="s">
        <v>569</v>
      </c>
      <c r="K18359" t="s">
        <v>33</v>
      </c>
      <c r="L18359" t="s">
        <v>162</v>
      </c>
      <c r="N18359" t="s">
        <v>29</v>
      </c>
    </row>
    <row r="18360" spans="1:14">
      <c r="A18360" s="4" t="str">
        <f t="shared" si="1309"/>
        <v>EXP00438</v>
      </c>
      <c r="B18360" s="3" t="s">
        <v>66</v>
      </c>
      <c r="C18360" s="4" t="str">
        <f t="shared" si="1310"/>
        <v>TCGA-PRAD</v>
      </c>
      <c r="D18360" s="1" t="s">
        <v>493</v>
      </c>
      <c r="E18360" t="s">
        <v>571</v>
      </c>
      <c r="F18360" s="1">
        <v>2</v>
      </c>
      <c r="G18360" s="1" t="s">
        <v>28</v>
      </c>
      <c r="H18360" s="4" t="str">
        <f>HYPERLINK("https://portal.gdc.cancer.gov/cases/dcf383d5-b25a-4ea9-a3f4-4d7ea5ddd9ef","TCGA-KK-A6E4-01A")</f>
        <v>TCGA-KK-A6E4-01A</v>
      </c>
      <c r="I18360" t="s">
        <v>161</v>
      </c>
      <c r="J18360" t="s">
        <v>569</v>
      </c>
      <c r="K18360" t="s">
        <v>33</v>
      </c>
      <c r="L18360" t="s">
        <v>162</v>
      </c>
      <c r="N18360" t="s">
        <v>29</v>
      </c>
    </row>
    <row r="18361" spans="1:14">
      <c r="A18361" s="4" t="str">
        <f t="shared" si="1309"/>
        <v>EXP00438</v>
      </c>
      <c r="B18361" s="3" t="s">
        <v>66</v>
      </c>
      <c r="C18361" s="4" t="str">
        <f t="shared" si="1310"/>
        <v>TCGA-PRAD</v>
      </c>
      <c r="D18361" s="1" t="s">
        <v>493</v>
      </c>
      <c r="E18361" t="s">
        <v>571</v>
      </c>
      <c r="F18361" s="1">
        <v>2</v>
      </c>
      <c r="G18361" s="1" t="s">
        <v>28</v>
      </c>
      <c r="H18361" s="4" t="str">
        <f>HYPERLINK("https://portal.gdc.cancer.gov/cases/0fb599ce-5e10-4571-8160-4f5160791a3f","TCGA-KK-A6E5-01A")</f>
        <v>TCGA-KK-A6E5-01A</v>
      </c>
      <c r="I18361" t="s">
        <v>161</v>
      </c>
      <c r="J18361" t="s">
        <v>569</v>
      </c>
      <c r="K18361" t="s">
        <v>33</v>
      </c>
      <c r="L18361" t="s">
        <v>162</v>
      </c>
      <c r="N18361" t="s">
        <v>29</v>
      </c>
    </row>
    <row r="18362" spans="1:14">
      <c r="A18362" s="4" t="str">
        <f t="shared" si="1309"/>
        <v>EXP00438</v>
      </c>
      <c r="B18362" s="3" t="s">
        <v>66</v>
      </c>
      <c r="C18362" s="4" t="str">
        <f t="shared" si="1310"/>
        <v>TCGA-PRAD</v>
      </c>
      <c r="D18362" s="1" t="s">
        <v>493</v>
      </c>
      <c r="E18362" t="s">
        <v>571</v>
      </c>
      <c r="F18362" s="1">
        <v>2</v>
      </c>
      <c r="G18362" s="1" t="s">
        <v>28</v>
      </c>
      <c r="H18362" s="4" t="str">
        <f>HYPERLINK("https://portal.gdc.cancer.gov/cases/25c669b3-4d4a-4142-a403-677be8522875","TCGA-KK-A6E7-01A")</f>
        <v>TCGA-KK-A6E7-01A</v>
      </c>
      <c r="I18362" t="s">
        <v>161</v>
      </c>
      <c r="J18362" t="s">
        <v>569</v>
      </c>
      <c r="K18362" t="s">
        <v>33</v>
      </c>
      <c r="L18362" t="s">
        <v>162</v>
      </c>
      <c r="N18362" t="s">
        <v>29</v>
      </c>
    </row>
    <row r="18363" spans="1:14">
      <c r="A18363" s="4" t="str">
        <f t="shared" si="1309"/>
        <v>EXP00438</v>
      </c>
      <c r="B18363" s="3" t="s">
        <v>66</v>
      </c>
      <c r="C18363" s="4" t="str">
        <f t="shared" si="1310"/>
        <v>TCGA-PRAD</v>
      </c>
      <c r="D18363" s="1" t="s">
        <v>493</v>
      </c>
      <c r="E18363" t="s">
        <v>571</v>
      </c>
      <c r="F18363" s="1">
        <v>2</v>
      </c>
      <c r="G18363" s="1" t="s">
        <v>28</v>
      </c>
      <c r="H18363" s="4" t="str">
        <f>HYPERLINK("https://portal.gdc.cancer.gov/cases/8990ce28-c671-4487-8dda-864f0675bbb3","TCGA-KK-A6E8-01A")</f>
        <v>TCGA-KK-A6E8-01A</v>
      </c>
      <c r="I18363" t="s">
        <v>161</v>
      </c>
      <c r="J18363" t="s">
        <v>569</v>
      </c>
      <c r="K18363" t="s">
        <v>33</v>
      </c>
      <c r="L18363" t="s">
        <v>162</v>
      </c>
      <c r="N18363" t="s">
        <v>29</v>
      </c>
    </row>
    <row r="18364" spans="1:14">
      <c r="A18364" s="4" t="str">
        <f t="shared" si="1309"/>
        <v>EXP00438</v>
      </c>
      <c r="B18364" s="3" t="s">
        <v>66</v>
      </c>
      <c r="C18364" s="4" t="str">
        <f t="shared" si="1310"/>
        <v>TCGA-PRAD</v>
      </c>
      <c r="D18364" s="1" t="s">
        <v>493</v>
      </c>
      <c r="E18364" t="s">
        <v>571</v>
      </c>
      <c r="F18364" s="1">
        <v>2</v>
      </c>
      <c r="G18364" s="1" t="s">
        <v>28</v>
      </c>
      <c r="H18364" s="4" t="str">
        <f>HYPERLINK("https://portal.gdc.cancer.gov/cases/f4e9a9f9-263c-4ced-a8fb-6cb0fb088983","TCGA-KK-A7AP-01A")</f>
        <v>TCGA-KK-A7AP-01A</v>
      </c>
      <c r="I18364" t="s">
        <v>161</v>
      </c>
      <c r="J18364" t="s">
        <v>569</v>
      </c>
      <c r="K18364" t="s">
        <v>33</v>
      </c>
      <c r="L18364" t="s">
        <v>162</v>
      </c>
      <c r="N18364" t="s">
        <v>29</v>
      </c>
    </row>
    <row r="18365" spans="1:14">
      <c r="A18365" s="4" t="str">
        <f t="shared" si="1309"/>
        <v>EXP00438</v>
      </c>
      <c r="B18365" s="3" t="s">
        <v>66</v>
      </c>
      <c r="C18365" s="4" t="str">
        <f t="shared" si="1310"/>
        <v>TCGA-PRAD</v>
      </c>
      <c r="D18365" s="1" t="s">
        <v>493</v>
      </c>
      <c r="E18365" t="s">
        <v>571</v>
      </c>
      <c r="F18365" s="1">
        <v>2</v>
      </c>
      <c r="G18365" s="1" t="s">
        <v>28</v>
      </c>
      <c r="H18365" s="4" t="str">
        <f>HYPERLINK("https://portal.gdc.cancer.gov/cases/cecf4ee9-7610-4f47-a825-7fde8233b75d","TCGA-KK-A7AQ-01A")</f>
        <v>TCGA-KK-A7AQ-01A</v>
      </c>
      <c r="I18365" t="s">
        <v>161</v>
      </c>
      <c r="J18365" t="s">
        <v>569</v>
      </c>
      <c r="K18365" t="s">
        <v>33</v>
      </c>
      <c r="L18365" t="s">
        <v>162</v>
      </c>
      <c r="N18365" t="s">
        <v>29</v>
      </c>
    </row>
    <row r="18366" spans="1:14">
      <c r="A18366" s="4" t="str">
        <f t="shared" si="1309"/>
        <v>EXP00438</v>
      </c>
      <c r="B18366" s="3" t="s">
        <v>66</v>
      </c>
      <c r="C18366" s="4" t="str">
        <f t="shared" si="1310"/>
        <v>TCGA-PRAD</v>
      </c>
      <c r="D18366" s="1" t="s">
        <v>493</v>
      </c>
      <c r="E18366" t="s">
        <v>571</v>
      </c>
      <c r="F18366" s="1">
        <v>2</v>
      </c>
      <c r="G18366" s="1" t="s">
        <v>28</v>
      </c>
      <c r="H18366" s="4" t="str">
        <f>HYPERLINK("https://portal.gdc.cancer.gov/cases/39303e7c-5baf-479d-a112-d8f03a18c621","TCGA-KK-A7AU-01A")</f>
        <v>TCGA-KK-A7AU-01A</v>
      </c>
      <c r="I18366" t="s">
        <v>161</v>
      </c>
      <c r="J18366" t="s">
        <v>569</v>
      </c>
      <c r="K18366" t="s">
        <v>33</v>
      </c>
      <c r="L18366" t="s">
        <v>162</v>
      </c>
      <c r="N18366" t="s">
        <v>29</v>
      </c>
    </row>
    <row r="18367" spans="1:14">
      <c r="A18367" s="4" t="str">
        <f t="shared" si="1309"/>
        <v>EXP00438</v>
      </c>
      <c r="B18367" s="3" t="s">
        <v>66</v>
      </c>
      <c r="C18367" s="4" t="str">
        <f t="shared" si="1310"/>
        <v>TCGA-PRAD</v>
      </c>
      <c r="D18367" s="1" t="s">
        <v>493</v>
      </c>
      <c r="E18367" t="s">
        <v>571</v>
      </c>
      <c r="F18367" s="1">
        <v>2</v>
      </c>
      <c r="G18367" s="1" t="s">
        <v>28</v>
      </c>
      <c r="H18367" s="4" t="str">
        <f>HYPERLINK("https://portal.gdc.cancer.gov/cases/bf462e14-f9e8-4531-905d-1fb59d9088cb","TCGA-KK-A7AV-01A")</f>
        <v>TCGA-KK-A7AV-01A</v>
      </c>
      <c r="I18367" t="s">
        <v>161</v>
      </c>
      <c r="J18367" t="s">
        <v>569</v>
      </c>
      <c r="K18367" t="s">
        <v>33</v>
      </c>
      <c r="L18367" t="s">
        <v>162</v>
      </c>
      <c r="N18367" t="s">
        <v>29</v>
      </c>
    </row>
    <row r="18368" spans="1:14">
      <c r="A18368" s="4" t="str">
        <f t="shared" si="1309"/>
        <v>EXP00438</v>
      </c>
      <c r="B18368" s="3" t="s">
        <v>66</v>
      </c>
      <c r="C18368" s="4" t="str">
        <f t="shared" si="1310"/>
        <v>TCGA-PRAD</v>
      </c>
      <c r="D18368" s="1" t="s">
        <v>493</v>
      </c>
      <c r="E18368" t="s">
        <v>571</v>
      </c>
      <c r="F18368" s="1">
        <v>2</v>
      </c>
      <c r="G18368" s="1" t="s">
        <v>28</v>
      </c>
      <c r="H18368" s="4" t="str">
        <f>HYPERLINK("https://portal.gdc.cancer.gov/cases/2f231b79-84bc-4256-bf26-7ce64083d438","TCGA-KK-A7AW-01A")</f>
        <v>TCGA-KK-A7AW-01A</v>
      </c>
      <c r="I18368" t="s">
        <v>161</v>
      </c>
      <c r="J18368" t="s">
        <v>569</v>
      </c>
      <c r="K18368" t="s">
        <v>33</v>
      </c>
      <c r="L18368" t="s">
        <v>162</v>
      </c>
      <c r="N18368" t="s">
        <v>29</v>
      </c>
    </row>
    <row r="18369" spans="1:14">
      <c r="A18369" s="4" t="str">
        <f t="shared" si="1309"/>
        <v>EXP00438</v>
      </c>
      <c r="B18369" s="3" t="s">
        <v>66</v>
      </c>
      <c r="C18369" s="4" t="str">
        <f t="shared" si="1310"/>
        <v>TCGA-PRAD</v>
      </c>
      <c r="D18369" s="1" t="s">
        <v>493</v>
      </c>
      <c r="E18369" t="s">
        <v>571</v>
      </c>
      <c r="F18369" s="1">
        <v>2</v>
      </c>
      <c r="G18369" s="1" t="s">
        <v>28</v>
      </c>
      <c r="H18369" s="4" t="str">
        <f>HYPERLINK("https://portal.gdc.cancer.gov/cases/f4aebd64-a356-4c05-b847-6dd28cf26339","TCGA-KK-A7AY-01A")</f>
        <v>TCGA-KK-A7AY-01A</v>
      </c>
      <c r="I18369" t="s">
        <v>161</v>
      </c>
      <c r="J18369" t="s">
        <v>569</v>
      </c>
      <c r="K18369" t="s">
        <v>33</v>
      </c>
      <c r="L18369" t="s">
        <v>162</v>
      </c>
      <c r="N18369" t="s">
        <v>29</v>
      </c>
    </row>
    <row r="18370" spans="1:14">
      <c r="A18370" s="4" t="str">
        <f t="shared" si="1309"/>
        <v>EXP00438</v>
      </c>
      <c r="B18370" s="3" t="s">
        <v>66</v>
      </c>
      <c r="C18370" s="4" t="str">
        <f t="shared" si="1310"/>
        <v>TCGA-PRAD</v>
      </c>
      <c r="D18370" s="1" t="s">
        <v>493</v>
      </c>
      <c r="E18370" t="s">
        <v>571</v>
      </c>
      <c r="F18370" s="1">
        <v>2</v>
      </c>
      <c r="G18370" s="1" t="s">
        <v>28</v>
      </c>
      <c r="H18370" s="4" t="str">
        <f>HYPERLINK("https://portal.gdc.cancer.gov/cases/73d4e806-2c15-4c9e-a978-106fb9494e82","TCGA-KK-A7B0-01A")</f>
        <v>TCGA-KK-A7B0-01A</v>
      </c>
      <c r="I18370" t="s">
        <v>161</v>
      </c>
      <c r="J18370" t="s">
        <v>569</v>
      </c>
      <c r="K18370" t="s">
        <v>33</v>
      </c>
      <c r="L18370" t="s">
        <v>162</v>
      </c>
      <c r="N18370" t="s">
        <v>29</v>
      </c>
    </row>
    <row r="18371" spans="1:14">
      <c r="A18371" s="4" t="str">
        <f t="shared" si="1309"/>
        <v>EXP00438</v>
      </c>
      <c r="B18371" s="3" t="s">
        <v>66</v>
      </c>
      <c r="C18371" s="4" t="str">
        <f t="shared" si="1310"/>
        <v>TCGA-PRAD</v>
      </c>
      <c r="D18371" s="1" t="s">
        <v>493</v>
      </c>
      <c r="E18371" t="s">
        <v>571</v>
      </c>
      <c r="F18371" s="1">
        <v>2</v>
      </c>
      <c r="G18371" s="1" t="s">
        <v>28</v>
      </c>
      <c r="H18371" s="4" t="str">
        <f>HYPERLINK("https://portal.gdc.cancer.gov/cases/7315bb0a-96a1-45ab-a704-b084d237cf5c","TCGA-KK-A7B1-01A")</f>
        <v>TCGA-KK-A7B1-01A</v>
      </c>
      <c r="I18371" t="s">
        <v>161</v>
      </c>
      <c r="J18371" t="s">
        <v>569</v>
      </c>
      <c r="K18371" t="s">
        <v>33</v>
      </c>
      <c r="L18371" t="s">
        <v>162</v>
      </c>
      <c r="N18371" t="s">
        <v>29</v>
      </c>
    </row>
    <row r="18372" spans="1:14">
      <c r="A18372" s="4" t="str">
        <f t="shared" si="1309"/>
        <v>EXP00438</v>
      </c>
      <c r="B18372" s="3" t="s">
        <v>66</v>
      </c>
      <c r="C18372" s="4" t="str">
        <f t="shared" si="1310"/>
        <v>TCGA-PRAD</v>
      </c>
      <c r="D18372" s="1" t="s">
        <v>493</v>
      </c>
      <c r="E18372" t="s">
        <v>571</v>
      </c>
      <c r="F18372" s="1">
        <v>2</v>
      </c>
      <c r="G18372" s="1" t="s">
        <v>28</v>
      </c>
      <c r="H18372" s="4" t="str">
        <f>HYPERLINK("https://portal.gdc.cancer.gov/cases/000d566c-96c7-4f1c-b36e-fa2222467983","TCGA-KK-A7B2-01A")</f>
        <v>TCGA-KK-A7B2-01A</v>
      </c>
      <c r="I18372" t="s">
        <v>161</v>
      </c>
      <c r="J18372" t="s">
        <v>569</v>
      </c>
      <c r="K18372" t="s">
        <v>33</v>
      </c>
      <c r="L18372" t="s">
        <v>162</v>
      </c>
      <c r="N18372" t="s">
        <v>29</v>
      </c>
    </row>
    <row r="18373" spans="1:14">
      <c r="A18373" s="4" t="str">
        <f t="shared" si="1309"/>
        <v>EXP00438</v>
      </c>
      <c r="B18373" s="3" t="s">
        <v>66</v>
      </c>
      <c r="C18373" s="4" t="str">
        <f t="shared" si="1310"/>
        <v>TCGA-PRAD</v>
      </c>
      <c r="D18373" s="1" t="s">
        <v>493</v>
      </c>
      <c r="E18373" t="s">
        <v>571</v>
      </c>
      <c r="F18373" s="1">
        <v>2</v>
      </c>
      <c r="G18373" s="1" t="s">
        <v>28</v>
      </c>
      <c r="H18373" s="4" t="str">
        <f>HYPERLINK("https://portal.gdc.cancer.gov/cases/aaeb1d59-d6ce-4422-9639-f1e83c002d84","TCGA-KK-A7B3-01A")</f>
        <v>TCGA-KK-A7B3-01A</v>
      </c>
      <c r="I18373" t="s">
        <v>161</v>
      </c>
      <c r="J18373" t="s">
        <v>569</v>
      </c>
      <c r="K18373" t="s">
        <v>33</v>
      </c>
      <c r="L18373" t="s">
        <v>162</v>
      </c>
      <c r="N18373" t="s">
        <v>29</v>
      </c>
    </row>
    <row r="18374" spans="1:14">
      <c r="A18374" s="4" t="str">
        <f t="shared" si="1309"/>
        <v>EXP00438</v>
      </c>
      <c r="B18374" s="3" t="s">
        <v>66</v>
      </c>
      <c r="C18374" s="4" t="str">
        <f t="shared" si="1310"/>
        <v>TCGA-PRAD</v>
      </c>
      <c r="D18374" s="1" t="s">
        <v>493</v>
      </c>
      <c r="E18374" t="s">
        <v>571</v>
      </c>
      <c r="F18374" s="1">
        <v>2</v>
      </c>
      <c r="G18374" s="1" t="s">
        <v>28</v>
      </c>
      <c r="H18374" s="4" t="str">
        <f>HYPERLINK("https://portal.gdc.cancer.gov/cases/5447a0e0-80ca-40fb-8233-504fde51f22c","TCGA-KK-A7B4-01A")</f>
        <v>TCGA-KK-A7B4-01A</v>
      </c>
      <c r="I18374" t="s">
        <v>161</v>
      </c>
      <c r="J18374" t="s">
        <v>569</v>
      </c>
      <c r="K18374" t="s">
        <v>33</v>
      </c>
      <c r="L18374" t="s">
        <v>162</v>
      </c>
      <c r="N18374" t="s">
        <v>29</v>
      </c>
    </row>
    <row r="18375" spans="1:14">
      <c r="A18375" s="4" t="str">
        <f t="shared" si="1309"/>
        <v>EXP00438</v>
      </c>
      <c r="B18375" s="3" t="s">
        <v>66</v>
      </c>
      <c r="C18375" s="4" t="str">
        <f t="shared" si="1310"/>
        <v>TCGA-PRAD</v>
      </c>
      <c r="D18375" s="1" t="s">
        <v>493</v>
      </c>
      <c r="E18375" t="s">
        <v>571</v>
      </c>
      <c r="F18375" s="1">
        <v>2</v>
      </c>
      <c r="G18375" s="1" t="s">
        <v>28</v>
      </c>
      <c r="H18375" s="4" t="str">
        <f>HYPERLINK("https://portal.gdc.cancer.gov/cases/7ce45134-5b1f-4ea7-ace9-7e463b034a43","TCGA-KK-A8I5-01A")</f>
        <v>TCGA-KK-A8I5-01A</v>
      </c>
      <c r="I18375" t="s">
        <v>161</v>
      </c>
      <c r="J18375" t="s">
        <v>569</v>
      </c>
      <c r="K18375" t="s">
        <v>33</v>
      </c>
      <c r="L18375" t="s">
        <v>162</v>
      </c>
      <c r="N18375" t="s">
        <v>29</v>
      </c>
    </row>
    <row r="18376" spans="1:14">
      <c r="A18376" s="4" t="str">
        <f t="shared" si="1309"/>
        <v>EXP00438</v>
      </c>
      <c r="B18376" s="3" t="s">
        <v>66</v>
      </c>
      <c r="C18376" s="4" t="str">
        <f t="shared" si="1310"/>
        <v>TCGA-PRAD</v>
      </c>
      <c r="D18376" s="1" t="s">
        <v>493</v>
      </c>
      <c r="E18376" t="s">
        <v>571</v>
      </c>
      <c r="F18376" s="1">
        <v>2</v>
      </c>
      <c r="G18376" s="1" t="s">
        <v>28</v>
      </c>
      <c r="H18376" s="4" t="str">
        <f>HYPERLINK("https://portal.gdc.cancer.gov/cases/6e3154d4-2ef6-403d-9de1-7b6233c4d505","TCGA-KK-A8I6-01A")</f>
        <v>TCGA-KK-A8I6-01A</v>
      </c>
      <c r="I18376" t="s">
        <v>161</v>
      </c>
      <c r="J18376" t="s">
        <v>569</v>
      </c>
      <c r="K18376" t="s">
        <v>33</v>
      </c>
      <c r="L18376" t="s">
        <v>162</v>
      </c>
      <c r="N18376" t="s">
        <v>29</v>
      </c>
    </row>
    <row r="18377" spans="1:14">
      <c r="A18377" s="4" t="str">
        <f t="shared" si="1309"/>
        <v>EXP00438</v>
      </c>
      <c r="B18377" s="3" t="s">
        <v>66</v>
      </c>
      <c r="C18377" s="4" t="str">
        <f t="shared" si="1310"/>
        <v>TCGA-PRAD</v>
      </c>
      <c r="D18377" s="1" t="s">
        <v>493</v>
      </c>
      <c r="E18377" t="s">
        <v>571</v>
      </c>
      <c r="F18377" s="1">
        <v>2</v>
      </c>
      <c r="G18377" s="1" t="s">
        <v>28</v>
      </c>
      <c r="H18377" s="4" t="str">
        <f>HYPERLINK("https://portal.gdc.cancer.gov/cases/108dee1e-b27d-4056-a167-261725f548c1","TCGA-KK-A8I7-01A")</f>
        <v>TCGA-KK-A8I7-01A</v>
      </c>
      <c r="I18377" t="s">
        <v>161</v>
      </c>
      <c r="J18377" t="s">
        <v>569</v>
      </c>
      <c r="K18377" t="s">
        <v>33</v>
      </c>
      <c r="L18377" t="s">
        <v>162</v>
      </c>
      <c r="N18377" t="s">
        <v>29</v>
      </c>
    </row>
    <row r="18378" spans="1:14">
      <c r="A18378" s="4" t="str">
        <f t="shared" ref="A18378:A18441" si="1311">HYPERLINK("http://hcmdb.i-sanger.com/experiment/details/experiment_id/EXP00438","EXP00438")</f>
        <v>EXP00438</v>
      </c>
      <c r="B18378" s="3" t="s">
        <v>66</v>
      </c>
      <c r="C18378" s="4" t="str">
        <f t="shared" si="1310"/>
        <v>TCGA-PRAD</v>
      </c>
      <c r="D18378" s="1" t="s">
        <v>493</v>
      </c>
      <c r="E18378" t="s">
        <v>571</v>
      </c>
      <c r="F18378" s="1">
        <v>2</v>
      </c>
      <c r="G18378" s="1" t="s">
        <v>28</v>
      </c>
      <c r="H18378" s="4" t="str">
        <f>HYPERLINK("https://portal.gdc.cancer.gov/cases/30fa311b-05a2-43e4-9edc-02b327898132","TCGA-KK-A8I8-01A")</f>
        <v>TCGA-KK-A8I8-01A</v>
      </c>
      <c r="I18378" t="s">
        <v>161</v>
      </c>
      <c r="J18378" t="s">
        <v>569</v>
      </c>
      <c r="K18378" t="s">
        <v>33</v>
      </c>
      <c r="L18378" t="s">
        <v>162</v>
      </c>
      <c r="N18378" t="s">
        <v>29</v>
      </c>
    </row>
    <row r="18379" spans="1:14">
      <c r="A18379" s="4" t="str">
        <f t="shared" si="1311"/>
        <v>EXP00438</v>
      </c>
      <c r="B18379" s="3" t="s">
        <v>66</v>
      </c>
      <c r="C18379" s="4" t="str">
        <f t="shared" si="1310"/>
        <v>TCGA-PRAD</v>
      </c>
      <c r="D18379" s="1" t="s">
        <v>493</v>
      </c>
      <c r="E18379" t="s">
        <v>571</v>
      </c>
      <c r="F18379" s="1">
        <v>2</v>
      </c>
      <c r="G18379" s="1" t="s">
        <v>28</v>
      </c>
      <c r="H18379" s="4" t="str">
        <f>HYPERLINK("https://portal.gdc.cancer.gov/cases/261c3d74-706e-4751-bd15-8f3c1a402ff0","TCGA-KK-A8I9-01A")</f>
        <v>TCGA-KK-A8I9-01A</v>
      </c>
      <c r="I18379" t="s">
        <v>161</v>
      </c>
      <c r="J18379" t="s">
        <v>569</v>
      </c>
      <c r="K18379" t="s">
        <v>33</v>
      </c>
      <c r="L18379" t="s">
        <v>162</v>
      </c>
      <c r="N18379" t="s">
        <v>29</v>
      </c>
    </row>
    <row r="18380" spans="1:14">
      <c r="A18380" s="4" t="str">
        <f t="shared" si="1311"/>
        <v>EXP00438</v>
      </c>
      <c r="B18380" s="3" t="s">
        <v>66</v>
      </c>
      <c r="C18380" s="4" t="str">
        <f t="shared" si="1310"/>
        <v>TCGA-PRAD</v>
      </c>
      <c r="D18380" s="1" t="s">
        <v>493</v>
      </c>
      <c r="E18380" t="s">
        <v>571</v>
      </c>
      <c r="F18380" s="1">
        <v>2</v>
      </c>
      <c r="G18380" s="1" t="s">
        <v>28</v>
      </c>
      <c r="H18380" s="4" t="str">
        <f>HYPERLINK("https://portal.gdc.cancer.gov/cases/17916c4e-febe-48c6-b475-ad29397425e8","TCGA-KK-A8IA-01A")</f>
        <v>TCGA-KK-A8IA-01A</v>
      </c>
      <c r="I18380" t="s">
        <v>161</v>
      </c>
      <c r="J18380" t="s">
        <v>569</v>
      </c>
      <c r="K18380" t="s">
        <v>33</v>
      </c>
      <c r="L18380" t="s">
        <v>162</v>
      </c>
      <c r="N18380" t="s">
        <v>29</v>
      </c>
    </row>
    <row r="18381" spans="1:14">
      <c r="A18381" s="4" t="str">
        <f t="shared" si="1311"/>
        <v>EXP00438</v>
      </c>
      <c r="B18381" s="3" t="s">
        <v>66</v>
      </c>
      <c r="C18381" s="4" t="str">
        <f t="shared" si="1310"/>
        <v>TCGA-PRAD</v>
      </c>
      <c r="D18381" s="1" t="s">
        <v>493</v>
      </c>
      <c r="E18381" t="s">
        <v>571</v>
      </c>
      <c r="F18381" s="1">
        <v>2</v>
      </c>
      <c r="G18381" s="1" t="s">
        <v>28</v>
      </c>
      <c r="H18381" s="4" t="str">
        <f>HYPERLINK("https://portal.gdc.cancer.gov/cases/88705b03-aa27-45c5-bef0-bb697799f9df","TCGA-KK-A8IB-01A")</f>
        <v>TCGA-KK-A8IB-01A</v>
      </c>
      <c r="I18381" t="s">
        <v>161</v>
      </c>
      <c r="J18381" t="s">
        <v>569</v>
      </c>
      <c r="K18381" t="s">
        <v>33</v>
      </c>
      <c r="L18381" t="s">
        <v>162</v>
      </c>
      <c r="N18381" t="s">
        <v>29</v>
      </c>
    </row>
    <row r="18382" spans="1:14">
      <c r="A18382" s="4" t="str">
        <f t="shared" si="1311"/>
        <v>EXP00438</v>
      </c>
      <c r="B18382" s="3" t="s">
        <v>66</v>
      </c>
      <c r="C18382" s="4" t="str">
        <f t="shared" si="1310"/>
        <v>TCGA-PRAD</v>
      </c>
      <c r="D18382" s="1" t="s">
        <v>493</v>
      </c>
      <c r="E18382" t="s">
        <v>571</v>
      </c>
      <c r="F18382" s="1">
        <v>2</v>
      </c>
      <c r="G18382" s="1" t="s">
        <v>28</v>
      </c>
      <c r="H18382" s="4" t="str">
        <f>HYPERLINK("https://portal.gdc.cancer.gov/cases/70c6c3a0-b422-4541-a60f-355356a9a340","TCGA-KK-A8IC-01A")</f>
        <v>TCGA-KK-A8IC-01A</v>
      </c>
      <c r="I18382" t="s">
        <v>161</v>
      </c>
      <c r="J18382" t="s">
        <v>569</v>
      </c>
      <c r="K18382" t="s">
        <v>33</v>
      </c>
      <c r="L18382" t="s">
        <v>162</v>
      </c>
      <c r="N18382" t="s">
        <v>29</v>
      </c>
    </row>
    <row r="18383" spans="1:14">
      <c r="A18383" s="4" t="str">
        <f t="shared" si="1311"/>
        <v>EXP00438</v>
      </c>
      <c r="B18383" s="3" t="s">
        <v>66</v>
      </c>
      <c r="C18383" s="4" t="str">
        <f t="shared" si="1310"/>
        <v>TCGA-PRAD</v>
      </c>
      <c r="D18383" s="1" t="s">
        <v>493</v>
      </c>
      <c r="E18383" t="s">
        <v>571</v>
      </c>
      <c r="F18383" s="1">
        <v>2</v>
      </c>
      <c r="G18383" s="1" t="s">
        <v>28</v>
      </c>
      <c r="H18383" s="4" t="str">
        <f>HYPERLINK("https://portal.gdc.cancer.gov/cases/717c0fd3-527b-4d5e-a9ab-0f141fcc84e8","TCGA-KK-A8ID-01A")</f>
        <v>TCGA-KK-A8ID-01A</v>
      </c>
      <c r="I18383" t="s">
        <v>161</v>
      </c>
      <c r="J18383" t="s">
        <v>569</v>
      </c>
      <c r="K18383" t="s">
        <v>33</v>
      </c>
      <c r="L18383" t="s">
        <v>162</v>
      </c>
      <c r="N18383" t="s">
        <v>29</v>
      </c>
    </row>
    <row r="18384" spans="1:14">
      <c r="A18384" s="4" t="str">
        <f t="shared" si="1311"/>
        <v>EXP00438</v>
      </c>
      <c r="B18384" s="3" t="s">
        <v>66</v>
      </c>
      <c r="C18384" s="4" t="str">
        <f t="shared" si="1310"/>
        <v>TCGA-PRAD</v>
      </c>
      <c r="D18384" s="1" t="s">
        <v>493</v>
      </c>
      <c r="E18384" t="s">
        <v>571</v>
      </c>
      <c r="F18384" s="1">
        <v>2</v>
      </c>
      <c r="G18384" s="1" t="s">
        <v>28</v>
      </c>
      <c r="H18384" s="4" t="str">
        <f>HYPERLINK("https://portal.gdc.cancer.gov/cases/3f5270a2-3284-4523-bd81-54fc98c2b933","TCGA-KK-A8IF-01A")</f>
        <v>TCGA-KK-A8IF-01A</v>
      </c>
      <c r="I18384" t="s">
        <v>161</v>
      </c>
      <c r="J18384" t="s">
        <v>569</v>
      </c>
      <c r="K18384" t="s">
        <v>33</v>
      </c>
      <c r="L18384" t="s">
        <v>162</v>
      </c>
      <c r="N18384" t="s">
        <v>29</v>
      </c>
    </row>
    <row r="18385" spans="1:14">
      <c r="A18385" s="4" t="str">
        <f t="shared" si="1311"/>
        <v>EXP00438</v>
      </c>
      <c r="B18385" s="3" t="s">
        <v>66</v>
      </c>
      <c r="C18385" s="4" t="str">
        <f t="shared" si="1310"/>
        <v>TCGA-PRAD</v>
      </c>
      <c r="D18385" s="1" t="s">
        <v>493</v>
      </c>
      <c r="E18385" t="s">
        <v>571</v>
      </c>
      <c r="F18385" s="1">
        <v>2</v>
      </c>
      <c r="G18385" s="1" t="s">
        <v>28</v>
      </c>
      <c r="H18385" s="4" t="str">
        <f>HYPERLINK("https://portal.gdc.cancer.gov/cases/1e3c1d8f-b3c9-47be-89e4-22e6b16ed2ae","TCGA-KK-A8IG-01A")</f>
        <v>TCGA-KK-A8IG-01A</v>
      </c>
      <c r="I18385" t="s">
        <v>161</v>
      </c>
      <c r="J18385" t="s">
        <v>569</v>
      </c>
      <c r="K18385" t="s">
        <v>33</v>
      </c>
      <c r="L18385" t="s">
        <v>162</v>
      </c>
      <c r="N18385" t="s">
        <v>29</v>
      </c>
    </row>
    <row r="18386" spans="1:14">
      <c r="A18386" s="4" t="str">
        <f t="shared" si="1311"/>
        <v>EXP00438</v>
      </c>
      <c r="B18386" s="3" t="s">
        <v>66</v>
      </c>
      <c r="C18386" s="4" t="str">
        <f t="shared" si="1310"/>
        <v>TCGA-PRAD</v>
      </c>
      <c r="D18386" s="1" t="s">
        <v>493</v>
      </c>
      <c r="E18386" t="s">
        <v>571</v>
      </c>
      <c r="F18386" s="1">
        <v>2</v>
      </c>
      <c r="G18386" s="1" t="s">
        <v>28</v>
      </c>
      <c r="H18386" s="4" t="str">
        <f>HYPERLINK("https://portal.gdc.cancer.gov/cases/89b995ba-d13a-461b-ade4-d791844c1a0c","TCGA-KK-A8IH-01A")</f>
        <v>TCGA-KK-A8IH-01A</v>
      </c>
      <c r="I18386" t="s">
        <v>161</v>
      </c>
      <c r="J18386" t="s">
        <v>569</v>
      </c>
      <c r="K18386" t="s">
        <v>33</v>
      </c>
      <c r="L18386" t="s">
        <v>162</v>
      </c>
      <c r="N18386" t="s">
        <v>29</v>
      </c>
    </row>
    <row r="18387" spans="1:14">
      <c r="A18387" s="4" t="str">
        <f t="shared" si="1311"/>
        <v>EXP00438</v>
      </c>
      <c r="B18387" s="3" t="s">
        <v>66</v>
      </c>
      <c r="C18387" s="4" t="str">
        <f t="shared" si="1310"/>
        <v>TCGA-PRAD</v>
      </c>
      <c r="D18387" s="1" t="s">
        <v>493</v>
      </c>
      <c r="E18387" t="s">
        <v>571</v>
      </c>
      <c r="F18387" s="1">
        <v>2</v>
      </c>
      <c r="G18387" s="1" t="s">
        <v>28</v>
      </c>
      <c r="H18387" s="4" t="str">
        <f>HYPERLINK("https://portal.gdc.cancer.gov/cases/d05681cc-dffa-44d0-b6a1-0a99a4ce3be5","TCGA-KK-A8II-01A")</f>
        <v>TCGA-KK-A8II-01A</v>
      </c>
      <c r="I18387" t="s">
        <v>161</v>
      </c>
      <c r="J18387" t="s">
        <v>569</v>
      </c>
      <c r="K18387" t="s">
        <v>33</v>
      </c>
      <c r="L18387" t="s">
        <v>162</v>
      </c>
      <c r="N18387" t="s">
        <v>29</v>
      </c>
    </row>
    <row r="18388" spans="1:14">
      <c r="A18388" s="4" t="str">
        <f t="shared" si="1311"/>
        <v>EXP00438</v>
      </c>
      <c r="B18388" s="3" t="s">
        <v>66</v>
      </c>
      <c r="C18388" s="4" t="str">
        <f t="shared" si="1310"/>
        <v>TCGA-PRAD</v>
      </c>
      <c r="D18388" s="1" t="s">
        <v>493</v>
      </c>
      <c r="E18388" t="s">
        <v>571</v>
      </c>
      <c r="F18388" s="1">
        <v>2</v>
      </c>
      <c r="G18388" s="1" t="s">
        <v>28</v>
      </c>
      <c r="H18388" s="4" t="str">
        <f>HYPERLINK("https://portal.gdc.cancer.gov/cases/98a9ce0e-4f02-4819-bc0c-c1a8d34e3db6","TCGA-KK-A8IJ-01A")</f>
        <v>TCGA-KK-A8IJ-01A</v>
      </c>
      <c r="I18388" t="s">
        <v>161</v>
      </c>
      <c r="J18388" t="s">
        <v>569</v>
      </c>
      <c r="K18388" t="s">
        <v>33</v>
      </c>
      <c r="L18388" t="s">
        <v>162</v>
      </c>
      <c r="N18388" t="s">
        <v>29</v>
      </c>
    </row>
    <row r="18389" spans="1:14">
      <c r="A18389" s="4" t="str">
        <f t="shared" si="1311"/>
        <v>EXP00438</v>
      </c>
      <c r="B18389" s="3" t="s">
        <v>66</v>
      </c>
      <c r="C18389" s="4" t="str">
        <f t="shared" si="1310"/>
        <v>TCGA-PRAD</v>
      </c>
      <c r="D18389" s="1" t="s">
        <v>493</v>
      </c>
      <c r="E18389" t="s">
        <v>571</v>
      </c>
      <c r="F18389" s="1">
        <v>2</v>
      </c>
      <c r="G18389" s="1" t="s">
        <v>28</v>
      </c>
      <c r="H18389" s="4" t="str">
        <f>HYPERLINK("https://portal.gdc.cancer.gov/cases/d4f4ddc1-cfd7-4c57-ade6-4f32cb7ffd85","TCGA-KK-A8IK-01A")</f>
        <v>TCGA-KK-A8IK-01A</v>
      </c>
      <c r="I18389" t="s">
        <v>161</v>
      </c>
      <c r="J18389" t="s">
        <v>569</v>
      </c>
      <c r="K18389" t="s">
        <v>33</v>
      </c>
      <c r="L18389" t="s">
        <v>162</v>
      </c>
      <c r="N18389" t="s">
        <v>29</v>
      </c>
    </row>
    <row r="18390" spans="1:14">
      <c r="A18390" s="4" t="str">
        <f t="shared" si="1311"/>
        <v>EXP00438</v>
      </c>
      <c r="B18390" s="3" t="s">
        <v>66</v>
      </c>
      <c r="C18390" s="4" t="str">
        <f t="shared" si="1310"/>
        <v>TCGA-PRAD</v>
      </c>
      <c r="D18390" s="1" t="s">
        <v>493</v>
      </c>
      <c r="E18390" t="s">
        <v>571</v>
      </c>
      <c r="F18390" s="1">
        <v>2</v>
      </c>
      <c r="G18390" s="1" t="s">
        <v>28</v>
      </c>
      <c r="H18390" s="4" t="str">
        <f>HYPERLINK("https://portal.gdc.cancer.gov/cases/2a51e1c2-8a8f-4df3-bcc6-7df94a47d94d","TCGA-KK-A8IL-01A")</f>
        <v>TCGA-KK-A8IL-01A</v>
      </c>
      <c r="I18390" t="s">
        <v>161</v>
      </c>
      <c r="J18390" t="s">
        <v>569</v>
      </c>
      <c r="K18390" t="s">
        <v>33</v>
      </c>
      <c r="L18390" t="s">
        <v>162</v>
      </c>
      <c r="N18390" t="s">
        <v>29</v>
      </c>
    </row>
    <row r="18391" spans="1:14">
      <c r="A18391" s="4" t="str">
        <f t="shared" si="1311"/>
        <v>EXP00438</v>
      </c>
      <c r="B18391" s="3" t="s">
        <v>66</v>
      </c>
      <c r="C18391" s="4" t="str">
        <f t="shared" si="1310"/>
        <v>TCGA-PRAD</v>
      </c>
      <c r="D18391" s="1" t="s">
        <v>493</v>
      </c>
      <c r="E18391" t="s">
        <v>571</v>
      </c>
      <c r="F18391" s="1">
        <v>2</v>
      </c>
      <c r="G18391" s="1" t="s">
        <v>28</v>
      </c>
      <c r="H18391" s="4" t="str">
        <f>HYPERLINK("https://portal.gdc.cancer.gov/cases/4434864a-8a0d-488e-b9a7-6749719663e5","TCGA-KK-A8IM-01A")</f>
        <v>TCGA-KK-A8IM-01A</v>
      </c>
      <c r="I18391" t="s">
        <v>161</v>
      </c>
      <c r="J18391" t="s">
        <v>569</v>
      </c>
      <c r="K18391" t="s">
        <v>33</v>
      </c>
      <c r="L18391" t="s">
        <v>162</v>
      </c>
      <c r="N18391" t="s">
        <v>29</v>
      </c>
    </row>
    <row r="18392" spans="1:14">
      <c r="A18392" s="4" t="str">
        <f t="shared" si="1311"/>
        <v>EXP00438</v>
      </c>
      <c r="B18392" s="3" t="s">
        <v>66</v>
      </c>
      <c r="C18392" s="4" t="str">
        <f t="shared" si="1310"/>
        <v>TCGA-PRAD</v>
      </c>
      <c r="D18392" s="1" t="s">
        <v>493</v>
      </c>
      <c r="E18392" t="s">
        <v>571</v>
      </c>
      <c r="F18392" s="1">
        <v>2</v>
      </c>
      <c r="G18392" s="1" t="s">
        <v>28</v>
      </c>
      <c r="H18392" s="4" t="str">
        <f>HYPERLINK("https://portal.gdc.cancer.gov/cases/4d5d61c4-2e64-422e-aba6-ec098f40eeec","TCGA-M7-A71Z-01A")</f>
        <v>TCGA-M7-A71Z-01A</v>
      </c>
      <c r="I18392" t="s">
        <v>161</v>
      </c>
      <c r="J18392" t="s">
        <v>569</v>
      </c>
      <c r="K18392" t="s">
        <v>33</v>
      </c>
      <c r="L18392" t="s">
        <v>162</v>
      </c>
      <c r="N18392" t="s">
        <v>29</v>
      </c>
    </row>
    <row r="18393" spans="1:14">
      <c r="A18393" s="4" t="str">
        <f t="shared" si="1311"/>
        <v>EXP00438</v>
      </c>
      <c r="B18393" s="3" t="s">
        <v>66</v>
      </c>
      <c r="C18393" s="4" t="str">
        <f t="shared" si="1310"/>
        <v>TCGA-PRAD</v>
      </c>
      <c r="D18393" s="1" t="s">
        <v>493</v>
      </c>
      <c r="E18393" t="s">
        <v>571</v>
      </c>
      <c r="F18393" s="1">
        <v>2</v>
      </c>
      <c r="G18393" s="1" t="s">
        <v>28</v>
      </c>
      <c r="H18393" s="4" t="str">
        <f>HYPERLINK("https://portal.gdc.cancer.gov/cases/444e78f7-1221-4882-ade2-7e45d828ea2a","TCGA-M7-A720-01A")</f>
        <v>TCGA-M7-A720-01A</v>
      </c>
      <c r="I18393" t="s">
        <v>161</v>
      </c>
      <c r="J18393" t="s">
        <v>569</v>
      </c>
      <c r="K18393" t="s">
        <v>33</v>
      </c>
      <c r="L18393" t="s">
        <v>162</v>
      </c>
      <c r="N18393" t="s">
        <v>29</v>
      </c>
    </row>
    <row r="18394" spans="1:14">
      <c r="A18394" s="4" t="str">
        <f t="shared" si="1311"/>
        <v>EXP00438</v>
      </c>
      <c r="B18394" s="3" t="s">
        <v>66</v>
      </c>
      <c r="C18394" s="4" t="str">
        <f t="shared" si="1310"/>
        <v>TCGA-PRAD</v>
      </c>
      <c r="D18394" s="1" t="s">
        <v>493</v>
      </c>
      <c r="E18394" t="s">
        <v>571</v>
      </c>
      <c r="F18394" s="1">
        <v>2</v>
      </c>
      <c r="G18394" s="1" t="s">
        <v>28</v>
      </c>
      <c r="H18394" s="4" t="str">
        <f>HYPERLINK("https://portal.gdc.cancer.gov/cases/6433f001-db5c-476b-83c7-23f4c5397ae9","TCGA-M7-A721-01A")</f>
        <v>TCGA-M7-A721-01A</v>
      </c>
      <c r="I18394" t="s">
        <v>161</v>
      </c>
      <c r="J18394" t="s">
        <v>569</v>
      </c>
      <c r="K18394" t="s">
        <v>33</v>
      </c>
      <c r="L18394" t="s">
        <v>162</v>
      </c>
      <c r="N18394" t="s">
        <v>29</v>
      </c>
    </row>
    <row r="18395" spans="1:14">
      <c r="A18395" s="4" t="str">
        <f t="shared" si="1311"/>
        <v>EXP00438</v>
      </c>
      <c r="B18395" s="3" t="s">
        <v>66</v>
      </c>
      <c r="C18395" s="4" t="str">
        <f t="shared" si="1310"/>
        <v>TCGA-PRAD</v>
      </c>
      <c r="D18395" s="1" t="s">
        <v>493</v>
      </c>
      <c r="E18395" t="s">
        <v>571</v>
      </c>
      <c r="F18395" s="1">
        <v>2</v>
      </c>
      <c r="G18395" s="1" t="s">
        <v>28</v>
      </c>
      <c r="H18395" s="4" t="str">
        <f>HYPERLINK("https://portal.gdc.cancer.gov/cases/3fa3cffe-40f1-4853-9cbb-54a99ffd6108","TCGA-M7-A722-01A")</f>
        <v>TCGA-M7-A722-01A</v>
      </c>
      <c r="I18395" t="s">
        <v>161</v>
      </c>
      <c r="J18395" t="s">
        <v>569</v>
      </c>
      <c r="K18395" t="s">
        <v>33</v>
      </c>
      <c r="L18395" t="s">
        <v>162</v>
      </c>
      <c r="N18395" t="s">
        <v>29</v>
      </c>
    </row>
    <row r="18396" spans="1:14">
      <c r="A18396" s="4" t="str">
        <f t="shared" si="1311"/>
        <v>EXP00438</v>
      </c>
      <c r="B18396" s="3" t="s">
        <v>66</v>
      </c>
      <c r="C18396" s="4" t="str">
        <f t="shared" ref="C18396:C18459" si="1312">HYPERLINK("https://portal.gdc.cancer.gov/projects/TCGA-PRAD","TCGA-PRAD")</f>
        <v>TCGA-PRAD</v>
      </c>
      <c r="D18396" s="1" t="s">
        <v>493</v>
      </c>
      <c r="E18396" t="s">
        <v>571</v>
      </c>
      <c r="F18396" s="1">
        <v>2</v>
      </c>
      <c r="G18396" s="1" t="s">
        <v>28</v>
      </c>
      <c r="H18396" s="4" t="str">
        <f>HYPERLINK("https://portal.gdc.cancer.gov/cases/e27bc39b-54f1-47b5-ac8f-3245dce690f4","TCGA-M7-A723-01A")</f>
        <v>TCGA-M7-A723-01A</v>
      </c>
      <c r="I18396" t="s">
        <v>161</v>
      </c>
      <c r="J18396" t="s">
        <v>569</v>
      </c>
      <c r="K18396" t="s">
        <v>33</v>
      </c>
      <c r="L18396" t="s">
        <v>162</v>
      </c>
      <c r="N18396" t="s">
        <v>29</v>
      </c>
    </row>
    <row r="18397" spans="1:14">
      <c r="A18397" s="4" t="str">
        <f t="shared" si="1311"/>
        <v>EXP00438</v>
      </c>
      <c r="B18397" s="3" t="s">
        <v>66</v>
      </c>
      <c r="C18397" s="4" t="str">
        <f t="shared" si="1312"/>
        <v>TCGA-PRAD</v>
      </c>
      <c r="D18397" s="1" t="s">
        <v>493</v>
      </c>
      <c r="E18397" t="s">
        <v>571</v>
      </c>
      <c r="F18397" s="1">
        <v>2</v>
      </c>
      <c r="G18397" s="1" t="s">
        <v>28</v>
      </c>
      <c r="H18397" s="4" t="str">
        <f>HYPERLINK("https://portal.gdc.cancer.gov/cases/f8b98552-ae2a-4609-9929-7864485b3c51","TCGA-M7-A724-01A")</f>
        <v>TCGA-M7-A724-01A</v>
      </c>
      <c r="I18397" t="s">
        <v>161</v>
      </c>
      <c r="J18397" t="s">
        <v>569</v>
      </c>
      <c r="K18397" t="s">
        <v>33</v>
      </c>
      <c r="L18397" t="s">
        <v>162</v>
      </c>
      <c r="N18397" t="s">
        <v>29</v>
      </c>
    </row>
    <row r="18398" spans="1:14">
      <c r="A18398" s="4" t="str">
        <f t="shared" si="1311"/>
        <v>EXP00438</v>
      </c>
      <c r="B18398" s="3" t="s">
        <v>66</v>
      </c>
      <c r="C18398" s="4" t="str">
        <f t="shared" si="1312"/>
        <v>TCGA-PRAD</v>
      </c>
      <c r="D18398" s="1" t="s">
        <v>493</v>
      </c>
      <c r="E18398" t="s">
        <v>571</v>
      </c>
      <c r="F18398" s="1">
        <v>2</v>
      </c>
      <c r="G18398" s="1" t="s">
        <v>28</v>
      </c>
      <c r="H18398" s="4" t="str">
        <f>HYPERLINK("https://portal.gdc.cancer.gov/cases/fca0331b-8096-40e8-b292-d438370c37c9","TCGA-M7-A725-01A")</f>
        <v>TCGA-M7-A725-01A</v>
      </c>
      <c r="I18398" t="s">
        <v>161</v>
      </c>
      <c r="J18398" t="s">
        <v>569</v>
      </c>
      <c r="K18398" t="s">
        <v>33</v>
      </c>
      <c r="L18398" t="s">
        <v>162</v>
      </c>
      <c r="N18398" t="s">
        <v>29</v>
      </c>
    </row>
    <row r="18399" spans="1:14">
      <c r="A18399" s="4" t="str">
        <f t="shared" si="1311"/>
        <v>EXP00438</v>
      </c>
      <c r="B18399" s="3" t="s">
        <v>66</v>
      </c>
      <c r="C18399" s="4" t="str">
        <f t="shared" si="1312"/>
        <v>TCGA-PRAD</v>
      </c>
      <c r="D18399" s="1" t="s">
        <v>493</v>
      </c>
      <c r="E18399" t="s">
        <v>571</v>
      </c>
      <c r="F18399" s="1">
        <v>2</v>
      </c>
      <c r="G18399" s="1" t="s">
        <v>28</v>
      </c>
      <c r="H18399" s="4" t="str">
        <f>HYPERLINK("https://portal.gdc.cancer.gov/cases/9c8447ac-5b26-4558-8bfd-f0e7046c1fb9","TCGA-MG-AAMC-01A")</f>
        <v>TCGA-MG-AAMC-01A</v>
      </c>
      <c r="I18399" t="s">
        <v>161</v>
      </c>
      <c r="J18399" t="s">
        <v>569</v>
      </c>
      <c r="K18399" t="s">
        <v>33</v>
      </c>
      <c r="L18399" t="s">
        <v>162</v>
      </c>
      <c r="N18399" t="s">
        <v>29</v>
      </c>
    </row>
    <row r="18400" spans="1:14">
      <c r="A18400" s="4" t="str">
        <f t="shared" si="1311"/>
        <v>EXP00438</v>
      </c>
      <c r="B18400" s="3" t="s">
        <v>66</v>
      </c>
      <c r="C18400" s="4" t="str">
        <f t="shared" si="1312"/>
        <v>TCGA-PRAD</v>
      </c>
      <c r="D18400" s="1" t="s">
        <v>493</v>
      </c>
      <c r="E18400" t="s">
        <v>571</v>
      </c>
      <c r="F18400" s="1">
        <v>2</v>
      </c>
      <c r="G18400" s="1" t="s">
        <v>28</v>
      </c>
      <c r="H18400" s="4" t="str">
        <f>HYPERLINK("https://portal.gdc.cancer.gov/cases/dffc3917-bf06-4c3d-b03a-ca54fe5c2e79","TCGA-QU-A6IL-01A")</f>
        <v>TCGA-QU-A6IL-01A</v>
      </c>
      <c r="I18400" t="s">
        <v>161</v>
      </c>
      <c r="J18400" t="s">
        <v>569</v>
      </c>
      <c r="K18400" t="s">
        <v>33</v>
      </c>
      <c r="L18400" t="s">
        <v>162</v>
      </c>
      <c r="N18400" t="s">
        <v>29</v>
      </c>
    </row>
    <row r="18401" spans="1:14">
      <c r="A18401" s="4" t="str">
        <f t="shared" si="1311"/>
        <v>EXP00438</v>
      </c>
      <c r="B18401" s="3" t="s">
        <v>66</v>
      </c>
      <c r="C18401" s="4" t="str">
        <f t="shared" si="1312"/>
        <v>TCGA-PRAD</v>
      </c>
      <c r="D18401" s="1" t="s">
        <v>493</v>
      </c>
      <c r="E18401" t="s">
        <v>571</v>
      </c>
      <c r="F18401" s="1">
        <v>2</v>
      </c>
      <c r="G18401" s="1" t="s">
        <v>28</v>
      </c>
      <c r="H18401" s="4" t="str">
        <f>HYPERLINK("https://portal.gdc.cancer.gov/cases/d1b31524-8034-4fce-b14e-1cef33c26ca5","TCGA-QU-A6IM-01A")</f>
        <v>TCGA-QU-A6IM-01A</v>
      </c>
      <c r="I18401" t="s">
        <v>161</v>
      </c>
      <c r="J18401" t="s">
        <v>569</v>
      </c>
      <c r="K18401" t="s">
        <v>33</v>
      </c>
      <c r="L18401" t="s">
        <v>162</v>
      </c>
      <c r="N18401" t="s">
        <v>29</v>
      </c>
    </row>
    <row r="18402" spans="1:14">
      <c r="A18402" s="4" t="str">
        <f t="shared" si="1311"/>
        <v>EXP00438</v>
      </c>
      <c r="B18402" s="3" t="s">
        <v>66</v>
      </c>
      <c r="C18402" s="4" t="str">
        <f t="shared" si="1312"/>
        <v>TCGA-PRAD</v>
      </c>
      <c r="D18402" s="1" t="s">
        <v>493</v>
      </c>
      <c r="E18402" t="s">
        <v>571</v>
      </c>
      <c r="F18402" s="1">
        <v>2</v>
      </c>
      <c r="G18402" s="1" t="s">
        <v>28</v>
      </c>
      <c r="H18402" s="4" t="str">
        <f>HYPERLINK("https://portal.gdc.cancer.gov/cases/d07d20f4-dd65-4ffc-add4-01f350ca7b65","TCGA-QU-A6IN-01A")</f>
        <v>TCGA-QU-A6IN-01A</v>
      </c>
      <c r="I18402" t="s">
        <v>161</v>
      </c>
      <c r="J18402" t="s">
        <v>569</v>
      </c>
      <c r="K18402" t="s">
        <v>33</v>
      </c>
      <c r="L18402" t="s">
        <v>162</v>
      </c>
      <c r="N18402" t="s">
        <v>29</v>
      </c>
    </row>
    <row r="18403" spans="1:14">
      <c r="A18403" s="4" t="str">
        <f t="shared" si="1311"/>
        <v>EXP00438</v>
      </c>
      <c r="B18403" s="3" t="s">
        <v>66</v>
      </c>
      <c r="C18403" s="4" t="str">
        <f t="shared" si="1312"/>
        <v>TCGA-PRAD</v>
      </c>
      <c r="D18403" s="1" t="s">
        <v>493</v>
      </c>
      <c r="E18403" t="s">
        <v>571</v>
      </c>
      <c r="F18403" s="1">
        <v>2</v>
      </c>
      <c r="G18403" s="1" t="s">
        <v>28</v>
      </c>
      <c r="H18403" s="4" t="str">
        <f>HYPERLINK("https://portal.gdc.cancer.gov/cases/570ddfb3-2721-42b6-9604-2de6b6090031","TCGA-QU-A6IO-01A")</f>
        <v>TCGA-QU-A6IO-01A</v>
      </c>
      <c r="I18403" t="s">
        <v>161</v>
      </c>
      <c r="J18403" t="s">
        <v>569</v>
      </c>
      <c r="K18403" t="s">
        <v>33</v>
      </c>
      <c r="L18403" t="s">
        <v>162</v>
      </c>
      <c r="N18403" t="s">
        <v>29</v>
      </c>
    </row>
    <row r="18404" spans="1:14">
      <c r="A18404" s="4" t="str">
        <f t="shared" si="1311"/>
        <v>EXP00438</v>
      </c>
      <c r="B18404" s="3" t="s">
        <v>66</v>
      </c>
      <c r="C18404" s="4" t="str">
        <f t="shared" si="1312"/>
        <v>TCGA-PRAD</v>
      </c>
      <c r="D18404" s="1" t="s">
        <v>493</v>
      </c>
      <c r="E18404" t="s">
        <v>571</v>
      </c>
      <c r="F18404" s="1">
        <v>2</v>
      </c>
      <c r="G18404" s="1" t="s">
        <v>28</v>
      </c>
      <c r="H18404" s="4" t="str">
        <f>HYPERLINK("https://portal.gdc.cancer.gov/cases/9a8e27c9-614b-491f-913d-429dfc4e2c4d","TCGA-QU-A6IP-01A")</f>
        <v>TCGA-QU-A6IP-01A</v>
      </c>
      <c r="I18404" t="s">
        <v>161</v>
      </c>
      <c r="J18404" t="s">
        <v>569</v>
      </c>
      <c r="K18404" t="s">
        <v>33</v>
      </c>
      <c r="L18404" t="s">
        <v>162</v>
      </c>
      <c r="N18404" t="s">
        <v>29</v>
      </c>
    </row>
    <row r="18405" spans="1:14">
      <c r="A18405" s="4" t="str">
        <f t="shared" si="1311"/>
        <v>EXP00438</v>
      </c>
      <c r="B18405" s="3" t="s">
        <v>66</v>
      </c>
      <c r="C18405" s="4" t="str">
        <f t="shared" si="1312"/>
        <v>TCGA-PRAD</v>
      </c>
      <c r="D18405" s="1" t="s">
        <v>493</v>
      </c>
      <c r="E18405" t="s">
        <v>571</v>
      </c>
      <c r="F18405" s="1">
        <v>2</v>
      </c>
      <c r="G18405" s="1" t="s">
        <v>28</v>
      </c>
      <c r="H18405" s="4" t="str">
        <f>HYPERLINK("https://portal.gdc.cancer.gov/cases/2648c3c9-9884-4a0c-96aa-61130cd289ea","TCGA-SU-A7E7-01A")</f>
        <v>TCGA-SU-A7E7-01A</v>
      </c>
      <c r="I18405" t="s">
        <v>161</v>
      </c>
      <c r="J18405" t="s">
        <v>569</v>
      </c>
      <c r="K18405" t="s">
        <v>33</v>
      </c>
      <c r="L18405" t="s">
        <v>162</v>
      </c>
      <c r="N18405" t="s">
        <v>29</v>
      </c>
    </row>
    <row r="18406" spans="1:14">
      <c r="A18406" s="4" t="str">
        <f t="shared" si="1311"/>
        <v>EXP00438</v>
      </c>
      <c r="B18406" s="3" t="s">
        <v>66</v>
      </c>
      <c r="C18406" s="4" t="str">
        <f t="shared" si="1312"/>
        <v>TCGA-PRAD</v>
      </c>
      <c r="D18406" s="1" t="s">
        <v>493</v>
      </c>
      <c r="E18406" t="s">
        <v>571</v>
      </c>
      <c r="F18406" s="1">
        <v>2</v>
      </c>
      <c r="G18406" s="1" t="s">
        <v>28</v>
      </c>
      <c r="H18406" s="4" t="str">
        <f>HYPERLINK("https://portal.gdc.cancer.gov/cases/4fdc9f5a-7ba1-4f80-b3db-2b7cbe505217","TCGA-TK-A8OK-01A")</f>
        <v>TCGA-TK-A8OK-01A</v>
      </c>
      <c r="I18406" t="s">
        <v>161</v>
      </c>
      <c r="J18406" t="s">
        <v>569</v>
      </c>
      <c r="K18406" t="s">
        <v>33</v>
      </c>
      <c r="L18406" t="s">
        <v>162</v>
      </c>
      <c r="N18406" t="s">
        <v>29</v>
      </c>
    </row>
    <row r="18407" spans="1:14">
      <c r="A18407" s="4" t="str">
        <f t="shared" si="1311"/>
        <v>EXP00438</v>
      </c>
      <c r="B18407" s="3" t="s">
        <v>66</v>
      </c>
      <c r="C18407" s="4" t="str">
        <f t="shared" si="1312"/>
        <v>TCGA-PRAD</v>
      </c>
      <c r="D18407" s="1" t="s">
        <v>493</v>
      </c>
      <c r="E18407" t="s">
        <v>571</v>
      </c>
      <c r="F18407" s="1">
        <v>2</v>
      </c>
      <c r="G18407" s="1" t="s">
        <v>28</v>
      </c>
      <c r="H18407" s="4" t="str">
        <f>HYPERLINK("https://portal.gdc.cancer.gov/cases/a13a7252-de84-4950-9307-80fc8a6a668d","TCGA-TP-A8TT-01A")</f>
        <v>TCGA-TP-A8TT-01A</v>
      </c>
      <c r="I18407" t="s">
        <v>161</v>
      </c>
      <c r="J18407" t="s">
        <v>569</v>
      </c>
      <c r="K18407" t="s">
        <v>33</v>
      </c>
      <c r="L18407" t="s">
        <v>162</v>
      </c>
      <c r="N18407" t="s">
        <v>29</v>
      </c>
    </row>
    <row r="18408" spans="1:14">
      <c r="A18408" s="4" t="str">
        <f t="shared" si="1311"/>
        <v>EXP00438</v>
      </c>
      <c r="B18408" s="3" t="s">
        <v>66</v>
      </c>
      <c r="C18408" s="4" t="str">
        <f t="shared" si="1312"/>
        <v>TCGA-PRAD</v>
      </c>
      <c r="D18408" s="1" t="s">
        <v>493</v>
      </c>
      <c r="E18408" t="s">
        <v>571</v>
      </c>
      <c r="F18408" s="1">
        <v>2</v>
      </c>
      <c r="G18408" s="1" t="s">
        <v>28</v>
      </c>
      <c r="H18408" s="4" t="str">
        <f>HYPERLINK("https://portal.gdc.cancer.gov/cases/6f4c1006-519d-4b16-8c96-690c63bea0b6","TCGA-TP-A8TV-01A")</f>
        <v>TCGA-TP-A8TV-01A</v>
      </c>
      <c r="I18408" t="s">
        <v>161</v>
      </c>
      <c r="J18408" t="s">
        <v>569</v>
      </c>
      <c r="K18408" t="s">
        <v>33</v>
      </c>
      <c r="L18408" t="s">
        <v>162</v>
      </c>
      <c r="N18408" t="s">
        <v>29</v>
      </c>
    </row>
    <row r="18409" spans="1:14">
      <c r="A18409" s="4" t="str">
        <f t="shared" si="1311"/>
        <v>EXP00438</v>
      </c>
      <c r="B18409" s="3" t="s">
        <v>66</v>
      </c>
      <c r="C18409" s="4" t="str">
        <f t="shared" si="1312"/>
        <v>TCGA-PRAD</v>
      </c>
      <c r="D18409" s="1" t="s">
        <v>493</v>
      </c>
      <c r="E18409" t="s">
        <v>571</v>
      </c>
      <c r="F18409" s="1">
        <v>2</v>
      </c>
      <c r="G18409" s="1" t="s">
        <v>28</v>
      </c>
      <c r="H18409" s="4" t="str">
        <f>HYPERLINK("https://portal.gdc.cancer.gov/cases/56df9de6-613d-44ce-8827-9213cc6c8b56","TCGA-V1-A8MF-01A")</f>
        <v>TCGA-V1-A8MF-01A</v>
      </c>
      <c r="I18409" t="s">
        <v>161</v>
      </c>
      <c r="J18409" t="s">
        <v>569</v>
      </c>
      <c r="K18409" t="s">
        <v>33</v>
      </c>
      <c r="L18409" t="s">
        <v>162</v>
      </c>
      <c r="N18409" t="s">
        <v>29</v>
      </c>
    </row>
    <row r="18410" spans="1:14">
      <c r="A18410" s="4" t="str">
        <f t="shared" si="1311"/>
        <v>EXP00438</v>
      </c>
      <c r="B18410" s="3" t="s">
        <v>66</v>
      </c>
      <c r="C18410" s="4" t="str">
        <f t="shared" si="1312"/>
        <v>TCGA-PRAD</v>
      </c>
      <c r="D18410" s="1" t="s">
        <v>493</v>
      </c>
      <c r="E18410" t="s">
        <v>571</v>
      </c>
      <c r="F18410" s="1">
        <v>2</v>
      </c>
      <c r="G18410" s="1" t="s">
        <v>28</v>
      </c>
      <c r="H18410" s="4" t="str">
        <f>HYPERLINK("https://portal.gdc.cancer.gov/cases/301c4c32-bc66-4328-8dcf-fe3dd66fbde2","TCGA-V1-A8MG-01A")</f>
        <v>TCGA-V1-A8MG-01A</v>
      </c>
      <c r="I18410" t="s">
        <v>161</v>
      </c>
      <c r="J18410" t="s">
        <v>569</v>
      </c>
      <c r="K18410" t="s">
        <v>33</v>
      </c>
      <c r="L18410" t="s">
        <v>162</v>
      </c>
      <c r="N18410" t="s">
        <v>29</v>
      </c>
    </row>
    <row r="18411" spans="1:14">
      <c r="A18411" s="4" t="str">
        <f t="shared" si="1311"/>
        <v>EXP00438</v>
      </c>
      <c r="B18411" s="3" t="s">
        <v>66</v>
      </c>
      <c r="C18411" s="4" t="str">
        <f t="shared" si="1312"/>
        <v>TCGA-PRAD</v>
      </c>
      <c r="D18411" s="1" t="s">
        <v>493</v>
      </c>
      <c r="E18411" t="s">
        <v>571</v>
      </c>
      <c r="F18411" s="1">
        <v>2</v>
      </c>
      <c r="G18411" s="1" t="s">
        <v>28</v>
      </c>
      <c r="H18411" s="4" t="str">
        <f>HYPERLINK("https://portal.gdc.cancer.gov/cases/9938c4ad-748c-4086-9081-fac0aefad440","TCGA-V1-A8MK-01A")</f>
        <v>TCGA-V1-A8MK-01A</v>
      </c>
      <c r="I18411" t="s">
        <v>161</v>
      </c>
      <c r="J18411" t="s">
        <v>569</v>
      </c>
      <c r="K18411" t="s">
        <v>33</v>
      </c>
      <c r="L18411" t="s">
        <v>162</v>
      </c>
      <c r="N18411" t="s">
        <v>29</v>
      </c>
    </row>
    <row r="18412" spans="1:14">
      <c r="A18412" s="4" t="str">
        <f t="shared" si="1311"/>
        <v>EXP00438</v>
      </c>
      <c r="B18412" s="3" t="s">
        <v>66</v>
      </c>
      <c r="C18412" s="4" t="str">
        <f t="shared" si="1312"/>
        <v>TCGA-PRAD</v>
      </c>
      <c r="D18412" s="1" t="s">
        <v>493</v>
      </c>
      <c r="E18412" t="s">
        <v>571</v>
      </c>
      <c r="F18412" s="1">
        <v>2</v>
      </c>
      <c r="G18412" s="1" t="s">
        <v>28</v>
      </c>
      <c r="H18412" s="4" t="str">
        <f>HYPERLINK("https://portal.gdc.cancer.gov/cases/69174712-af41-422d-952a-d8d0d16d7182","TCGA-V1-A8ML-01A")</f>
        <v>TCGA-V1-A8ML-01A</v>
      </c>
      <c r="I18412" t="s">
        <v>161</v>
      </c>
      <c r="J18412" t="s">
        <v>569</v>
      </c>
      <c r="K18412" t="s">
        <v>33</v>
      </c>
      <c r="L18412" t="s">
        <v>162</v>
      </c>
      <c r="N18412" t="s">
        <v>29</v>
      </c>
    </row>
    <row r="18413" spans="1:14">
      <c r="A18413" s="4" t="str">
        <f t="shared" si="1311"/>
        <v>EXP00438</v>
      </c>
      <c r="B18413" s="3" t="s">
        <v>66</v>
      </c>
      <c r="C18413" s="4" t="str">
        <f t="shared" si="1312"/>
        <v>TCGA-PRAD</v>
      </c>
      <c r="D18413" s="1" t="s">
        <v>493</v>
      </c>
      <c r="E18413" t="s">
        <v>571</v>
      </c>
      <c r="F18413" s="1">
        <v>2</v>
      </c>
      <c r="G18413" s="1" t="s">
        <v>28</v>
      </c>
      <c r="H18413" s="4" t="str">
        <f>HYPERLINK("https://portal.gdc.cancer.gov/cases/94d6675e-27ae-4f34-9d53-6e19238eb01d","TCGA-V1-A8MM-01A")</f>
        <v>TCGA-V1-A8MM-01A</v>
      </c>
      <c r="I18413" t="s">
        <v>161</v>
      </c>
      <c r="J18413" t="s">
        <v>569</v>
      </c>
      <c r="K18413" t="s">
        <v>33</v>
      </c>
      <c r="L18413" t="s">
        <v>162</v>
      </c>
      <c r="N18413" t="s">
        <v>29</v>
      </c>
    </row>
    <row r="18414" spans="1:14">
      <c r="A18414" s="4" t="str">
        <f t="shared" si="1311"/>
        <v>EXP00438</v>
      </c>
      <c r="B18414" s="3" t="s">
        <v>66</v>
      </c>
      <c r="C18414" s="4" t="str">
        <f t="shared" si="1312"/>
        <v>TCGA-PRAD</v>
      </c>
      <c r="D18414" s="1" t="s">
        <v>493</v>
      </c>
      <c r="E18414" t="s">
        <v>571</v>
      </c>
      <c r="F18414" s="1">
        <v>2</v>
      </c>
      <c r="G18414" s="1" t="s">
        <v>28</v>
      </c>
      <c r="H18414" s="4" t="str">
        <f>HYPERLINK("https://portal.gdc.cancer.gov/cases/a76bcd1f-e47f-4dc5-a97a-4c4f00032191","TCGA-V1-A8MU-01A")</f>
        <v>TCGA-V1-A8MU-01A</v>
      </c>
      <c r="I18414" t="s">
        <v>161</v>
      </c>
      <c r="J18414" t="s">
        <v>569</v>
      </c>
      <c r="K18414" t="s">
        <v>33</v>
      </c>
      <c r="L18414" t="s">
        <v>162</v>
      </c>
      <c r="N18414" t="s">
        <v>29</v>
      </c>
    </row>
    <row r="18415" spans="1:14">
      <c r="A18415" s="4" t="str">
        <f t="shared" si="1311"/>
        <v>EXP00438</v>
      </c>
      <c r="B18415" s="3" t="s">
        <v>66</v>
      </c>
      <c r="C18415" s="4" t="str">
        <f t="shared" si="1312"/>
        <v>TCGA-PRAD</v>
      </c>
      <c r="D18415" s="1" t="s">
        <v>493</v>
      </c>
      <c r="E18415" t="s">
        <v>571</v>
      </c>
      <c r="F18415" s="1">
        <v>2</v>
      </c>
      <c r="G18415" s="1" t="s">
        <v>28</v>
      </c>
      <c r="H18415" s="4" t="str">
        <f>HYPERLINK("https://portal.gdc.cancer.gov/cases/f7fc3f2e-c70e-460d-b34d-bb2ea423a0ae","TCGA-V1-A8WL-01A")</f>
        <v>TCGA-V1-A8WL-01A</v>
      </c>
      <c r="I18415" t="s">
        <v>161</v>
      </c>
      <c r="J18415" t="s">
        <v>569</v>
      </c>
      <c r="K18415" t="s">
        <v>33</v>
      </c>
      <c r="L18415" t="s">
        <v>162</v>
      </c>
      <c r="N18415" t="s">
        <v>29</v>
      </c>
    </row>
    <row r="18416" spans="1:14">
      <c r="A18416" s="4" t="str">
        <f t="shared" si="1311"/>
        <v>EXP00438</v>
      </c>
      <c r="B18416" s="3" t="s">
        <v>66</v>
      </c>
      <c r="C18416" s="4" t="str">
        <f t="shared" si="1312"/>
        <v>TCGA-PRAD</v>
      </c>
      <c r="D18416" s="1" t="s">
        <v>493</v>
      </c>
      <c r="E18416" t="s">
        <v>571</v>
      </c>
      <c r="F18416" s="1">
        <v>2</v>
      </c>
      <c r="G18416" s="1" t="s">
        <v>28</v>
      </c>
      <c r="H18416" s="4" t="str">
        <f>HYPERLINK("https://portal.gdc.cancer.gov/cases/dc16f348-a49f-4958-a3ff-bc40e18df2bd","TCGA-V1-A8WN-01A")</f>
        <v>TCGA-V1-A8WN-01A</v>
      </c>
      <c r="I18416" t="s">
        <v>161</v>
      </c>
      <c r="J18416" t="s">
        <v>569</v>
      </c>
      <c r="K18416" t="s">
        <v>33</v>
      </c>
      <c r="L18416" t="s">
        <v>162</v>
      </c>
      <c r="N18416" t="s">
        <v>29</v>
      </c>
    </row>
    <row r="18417" spans="1:14">
      <c r="A18417" s="4" t="str">
        <f t="shared" si="1311"/>
        <v>EXP00438</v>
      </c>
      <c r="B18417" s="3" t="s">
        <v>66</v>
      </c>
      <c r="C18417" s="4" t="str">
        <f t="shared" si="1312"/>
        <v>TCGA-PRAD</v>
      </c>
      <c r="D18417" s="1" t="s">
        <v>493</v>
      </c>
      <c r="E18417" t="s">
        <v>571</v>
      </c>
      <c r="F18417" s="1">
        <v>2</v>
      </c>
      <c r="G18417" s="1" t="s">
        <v>28</v>
      </c>
      <c r="H18417" s="4" t="str">
        <f>HYPERLINK("https://portal.gdc.cancer.gov/cases/bea84d33-3286-44e2-9595-893c34a01f58","TCGA-V1-A8WS-01A")</f>
        <v>TCGA-V1-A8WS-01A</v>
      </c>
      <c r="I18417" t="s">
        <v>161</v>
      </c>
      <c r="J18417" t="s">
        <v>569</v>
      </c>
      <c r="K18417" t="s">
        <v>33</v>
      </c>
      <c r="L18417" t="s">
        <v>162</v>
      </c>
      <c r="N18417" t="s">
        <v>29</v>
      </c>
    </row>
    <row r="18418" spans="1:14">
      <c r="A18418" s="4" t="str">
        <f t="shared" si="1311"/>
        <v>EXP00438</v>
      </c>
      <c r="B18418" s="3" t="s">
        <v>66</v>
      </c>
      <c r="C18418" s="4" t="str">
        <f t="shared" si="1312"/>
        <v>TCGA-PRAD</v>
      </c>
      <c r="D18418" s="1" t="s">
        <v>493</v>
      </c>
      <c r="E18418" t="s">
        <v>571</v>
      </c>
      <c r="F18418" s="1">
        <v>2</v>
      </c>
      <c r="G18418" s="1" t="s">
        <v>28</v>
      </c>
      <c r="H18418" s="4" t="str">
        <f>HYPERLINK("https://portal.gdc.cancer.gov/cases/8e5b1d47-7d92-4d28-8186-4176ada96672","TCGA-V1-A8WV-01A")</f>
        <v>TCGA-V1-A8WV-01A</v>
      </c>
      <c r="I18418" t="s">
        <v>161</v>
      </c>
      <c r="J18418" t="s">
        <v>569</v>
      </c>
      <c r="K18418" t="s">
        <v>33</v>
      </c>
      <c r="L18418" t="s">
        <v>162</v>
      </c>
      <c r="N18418" t="s">
        <v>29</v>
      </c>
    </row>
    <row r="18419" spans="1:14">
      <c r="A18419" s="4" t="str">
        <f t="shared" si="1311"/>
        <v>EXP00438</v>
      </c>
      <c r="B18419" s="3" t="s">
        <v>66</v>
      </c>
      <c r="C18419" s="4" t="str">
        <f t="shared" si="1312"/>
        <v>TCGA-PRAD</v>
      </c>
      <c r="D18419" s="1" t="s">
        <v>493</v>
      </c>
      <c r="E18419" t="s">
        <v>571</v>
      </c>
      <c r="F18419" s="1">
        <v>2</v>
      </c>
      <c r="G18419" s="1" t="s">
        <v>28</v>
      </c>
      <c r="H18419" s="4" t="str">
        <f>HYPERLINK("https://portal.gdc.cancer.gov/cases/d843996c-0f17-4482-8466-9f6144981b8a","TCGA-V1-A8WW-01A")</f>
        <v>TCGA-V1-A8WW-01A</v>
      </c>
      <c r="I18419" t="s">
        <v>161</v>
      </c>
      <c r="J18419" t="s">
        <v>569</v>
      </c>
      <c r="K18419" t="s">
        <v>33</v>
      </c>
      <c r="L18419" t="s">
        <v>162</v>
      </c>
      <c r="N18419" t="s">
        <v>29</v>
      </c>
    </row>
    <row r="18420" spans="1:14">
      <c r="A18420" s="4" t="str">
        <f t="shared" si="1311"/>
        <v>EXP00438</v>
      </c>
      <c r="B18420" s="3" t="s">
        <v>66</v>
      </c>
      <c r="C18420" s="4" t="str">
        <f t="shared" si="1312"/>
        <v>TCGA-PRAD</v>
      </c>
      <c r="D18420" s="1" t="s">
        <v>493</v>
      </c>
      <c r="E18420" t="s">
        <v>571</v>
      </c>
      <c r="F18420" s="1">
        <v>2</v>
      </c>
      <c r="G18420" s="1" t="s">
        <v>28</v>
      </c>
      <c r="H18420" s="4" t="str">
        <f>HYPERLINK("https://portal.gdc.cancer.gov/cases/86b82965-b19b-4285-b1a5-51a5d5267103","TCGA-V1-A8X3-01A")</f>
        <v>TCGA-V1-A8X3-01A</v>
      </c>
      <c r="I18420" t="s">
        <v>161</v>
      </c>
      <c r="J18420" t="s">
        <v>569</v>
      </c>
      <c r="K18420" t="s">
        <v>33</v>
      </c>
      <c r="L18420" t="s">
        <v>162</v>
      </c>
      <c r="N18420" t="s">
        <v>29</v>
      </c>
    </row>
    <row r="18421" spans="1:14">
      <c r="A18421" s="4" t="str">
        <f t="shared" si="1311"/>
        <v>EXP00438</v>
      </c>
      <c r="B18421" s="3" t="s">
        <v>66</v>
      </c>
      <c r="C18421" s="4" t="str">
        <f t="shared" si="1312"/>
        <v>TCGA-PRAD</v>
      </c>
      <c r="D18421" s="1" t="s">
        <v>493</v>
      </c>
      <c r="E18421" t="s">
        <v>571</v>
      </c>
      <c r="F18421" s="1">
        <v>2</v>
      </c>
      <c r="G18421" s="1" t="s">
        <v>28</v>
      </c>
      <c r="H18421" s="4" t="str">
        <f>HYPERLINK("https://portal.gdc.cancer.gov/cases/40ebeb10-7390-44fc-9ef2-80d40d251018","TCGA-V1-A9O7-01A")</f>
        <v>TCGA-V1-A9O7-01A</v>
      </c>
      <c r="I18421" t="s">
        <v>161</v>
      </c>
      <c r="J18421" t="s">
        <v>569</v>
      </c>
      <c r="K18421" t="s">
        <v>33</v>
      </c>
      <c r="L18421" t="s">
        <v>162</v>
      </c>
      <c r="N18421" t="s">
        <v>29</v>
      </c>
    </row>
    <row r="18422" spans="1:14">
      <c r="A18422" s="4" t="str">
        <f t="shared" si="1311"/>
        <v>EXP00438</v>
      </c>
      <c r="B18422" s="3" t="s">
        <v>66</v>
      </c>
      <c r="C18422" s="4" t="str">
        <f t="shared" si="1312"/>
        <v>TCGA-PRAD</v>
      </c>
      <c r="D18422" s="1" t="s">
        <v>493</v>
      </c>
      <c r="E18422" t="s">
        <v>571</v>
      </c>
      <c r="F18422" s="1">
        <v>2</v>
      </c>
      <c r="G18422" s="1" t="s">
        <v>28</v>
      </c>
      <c r="H18422" s="4" t="str">
        <f>HYPERLINK("https://portal.gdc.cancer.gov/cases/f6935f67-5c62-4774-8346-711f36f3b547","TCGA-V1-A9O9-01A")</f>
        <v>TCGA-V1-A9O9-01A</v>
      </c>
      <c r="I18422" t="s">
        <v>161</v>
      </c>
      <c r="J18422" t="s">
        <v>569</v>
      </c>
      <c r="K18422" t="s">
        <v>33</v>
      </c>
      <c r="L18422" t="s">
        <v>162</v>
      </c>
      <c r="N18422" t="s">
        <v>29</v>
      </c>
    </row>
    <row r="18423" spans="1:14">
      <c r="A18423" s="4" t="str">
        <f t="shared" si="1311"/>
        <v>EXP00438</v>
      </c>
      <c r="B18423" s="3" t="s">
        <v>66</v>
      </c>
      <c r="C18423" s="4" t="str">
        <f t="shared" si="1312"/>
        <v>TCGA-PRAD</v>
      </c>
      <c r="D18423" s="1" t="s">
        <v>493</v>
      </c>
      <c r="E18423" t="s">
        <v>571</v>
      </c>
      <c r="F18423" s="1">
        <v>2</v>
      </c>
      <c r="G18423" s="1" t="s">
        <v>28</v>
      </c>
      <c r="H18423" s="4" t="str">
        <f>HYPERLINK("https://portal.gdc.cancer.gov/cases/a8396f6d-53e2-4664-a3e2-df061d022108","TCGA-V1-A9OA-01A")</f>
        <v>TCGA-V1-A9OA-01A</v>
      </c>
      <c r="I18423" t="s">
        <v>161</v>
      </c>
      <c r="J18423" t="s">
        <v>569</v>
      </c>
      <c r="K18423" t="s">
        <v>33</v>
      </c>
      <c r="L18423" t="s">
        <v>162</v>
      </c>
      <c r="N18423" t="s">
        <v>29</v>
      </c>
    </row>
    <row r="18424" spans="1:14">
      <c r="A18424" s="4" t="str">
        <f t="shared" si="1311"/>
        <v>EXP00438</v>
      </c>
      <c r="B18424" s="3" t="s">
        <v>66</v>
      </c>
      <c r="C18424" s="4" t="str">
        <f t="shared" si="1312"/>
        <v>TCGA-PRAD</v>
      </c>
      <c r="D18424" s="1" t="s">
        <v>493</v>
      </c>
      <c r="E18424" t="s">
        <v>571</v>
      </c>
      <c r="F18424" s="1">
        <v>2</v>
      </c>
      <c r="G18424" s="1" t="s">
        <v>28</v>
      </c>
      <c r="H18424" s="4" t="str">
        <f>HYPERLINK("https://portal.gdc.cancer.gov/cases/d4dc7c5c-45b3-4741-b0c1-fee477da2ef4","TCGA-V1-A9OF-01A")</f>
        <v>TCGA-V1-A9OF-01A</v>
      </c>
      <c r="I18424" t="s">
        <v>161</v>
      </c>
      <c r="J18424" t="s">
        <v>569</v>
      </c>
      <c r="K18424" t="s">
        <v>33</v>
      </c>
      <c r="L18424" t="s">
        <v>162</v>
      </c>
      <c r="N18424" t="s">
        <v>29</v>
      </c>
    </row>
    <row r="18425" spans="1:14">
      <c r="A18425" s="4" t="str">
        <f t="shared" si="1311"/>
        <v>EXP00438</v>
      </c>
      <c r="B18425" s="3" t="s">
        <v>66</v>
      </c>
      <c r="C18425" s="4" t="str">
        <f t="shared" si="1312"/>
        <v>TCGA-PRAD</v>
      </c>
      <c r="D18425" s="1" t="s">
        <v>493</v>
      </c>
      <c r="E18425" t="s">
        <v>571</v>
      </c>
      <c r="F18425" s="1">
        <v>2</v>
      </c>
      <c r="G18425" s="1" t="s">
        <v>28</v>
      </c>
      <c r="H18425" s="4" t="str">
        <f>HYPERLINK("https://portal.gdc.cancer.gov/cases/6ef0fc2d-f274-4253-bec5-6dbd55953d76","TCGA-V1-A9OH-01A")</f>
        <v>TCGA-V1-A9OH-01A</v>
      </c>
      <c r="I18425" t="s">
        <v>161</v>
      </c>
      <c r="J18425" t="s">
        <v>569</v>
      </c>
      <c r="K18425" t="s">
        <v>33</v>
      </c>
      <c r="L18425" t="s">
        <v>162</v>
      </c>
      <c r="N18425" t="s">
        <v>29</v>
      </c>
    </row>
    <row r="18426" spans="1:14">
      <c r="A18426" s="4" t="str">
        <f t="shared" si="1311"/>
        <v>EXP00438</v>
      </c>
      <c r="B18426" s="3" t="s">
        <v>66</v>
      </c>
      <c r="C18426" s="4" t="str">
        <f t="shared" si="1312"/>
        <v>TCGA-PRAD</v>
      </c>
      <c r="D18426" s="1" t="s">
        <v>493</v>
      </c>
      <c r="E18426" t="s">
        <v>571</v>
      </c>
      <c r="F18426" s="1">
        <v>2</v>
      </c>
      <c r="G18426" s="1" t="s">
        <v>28</v>
      </c>
      <c r="H18426" s="4" t="str">
        <f>HYPERLINK("https://portal.gdc.cancer.gov/cases/fcbd7b29-12da-44c8-b241-1388d1b15684","TCGA-V1-A9OL-01A")</f>
        <v>TCGA-V1-A9OL-01A</v>
      </c>
      <c r="I18426" t="s">
        <v>161</v>
      </c>
      <c r="J18426" t="s">
        <v>569</v>
      </c>
      <c r="K18426" t="s">
        <v>33</v>
      </c>
      <c r="L18426" t="s">
        <v>162</v>
      </c>
      <c r="N18426" t="s">
        <v>29</v>
      </c>
    </row>
    <row r="18427" spans="1:14">
      <c r="A18427" s="4" t="str">
        <f t="shared" si="1311"/>
        <v>EXP00438</v>
      </c>
      <c r="B18427" s="3" t="s">
        <v>66</v>
      </c>
      <c r="C18427" s="4" t="str">
        <f t="shared" si="1312"/>
        <v>TCGA-PRAD</v>
      </c>
      <c r="D18427" s="1" t="s">
        <v>493</v>
      </c>
      <c r="E18427" t="s">
        <v>571</v>
      </c>
      <c r="F18427" s="1">
        <v>2</v>
      </c>
      <c r="G18427" s="1" t="s">
        <v>28</v>
      </c>
      <c r="H18427" s="4" t="str">
        <f>HYPERLINK("https://portal.gdc.cancer.gov/cases/10271d9c-9b9c-4b5f-a845-a0f1bd03af51","TCGA-V1-A9OQ-01A")</f>
        <v>TCGA-V1-A9OQ-01A</v>
      </c>
      <c r="I18427" t="s">
        <v>161</v>
      </c>
      <c r="J18427" t="s">
        <v>569</v>
      </c>
      <c r="K18427" t="s">
        <v>33</v>
      </c>
      <c r="L18427" t="s">
        <v>162</v>
      </c>
      <c r="N18427" t="s">
        <v>29</v>
      </c>
    </row>
    <row r="18428" spans="1:14">
      <c r="A18428" s="4" t="str">
        <f t="shared" si="1311"/>
        <v>EXP00438</v>
      </c>
      <c r="B18428" s="3" t="s">
        <v>66</v>
      </c>
      <c r="C18428" s="4" t="str">
        <f t="shared" si="1312"/>
        <v>TCGA-PRAD</v>
      </c>
      <c r="D18428" s="1" t="s">
        <v>493</v>
      </c>
      <c r="E18428" t="s">
        <v>571</v>
      </c>
      <c r="F18428" s="1">
        <v>2</v>
      </c>
      <c r="G18428" s="1" t="s">
        <v>28</v>
      </c>
      <c r="H18428" s="4" t="str">
        <f>HYPERLINK("https://portal.gdc.cancer.gov/cases/18b8ad7f-0f39-4853-ae13-5b13aa5e6f7d","TCGA-V1-A9OT-01A")</f>
        <v>TCGA-V1-A9OT-01A</v>
      </c>
      <c r="I18428" t="s">
        <v>161</v>
      </c>
      <c r="J18428" t="s">
        <v>569</v>
      </c>
      <c r="K18428" t="s">
        <v>33</v>
      </c>
      <c r="L18428" t="s">
        <v>162</v>
      </c>
      <c r="N18428" t="s">
        <v>29</v>
      </c>
    </row>
    <row r="18429" spans="1:14">
      <c r="A18429" s="4" t="str">
        <f t="shared" si="1311"/>
        <v>EXP00438</v>
      </c>
      <c r="B18429" s="3" t="s">
        <v>66</v>
      </c>
      <c r="C18429" s="4" t="str">
        <f t="shared" si="1312"/>
        <v>TCGA-PRAD</v>
      </c>
      <c r="D18429" s="1" t="s">
        <v>493</v>
      </c>
      <c r="E18429" t="s">
        <v>571</v>
      </c>
      <c r="F18429" s="1">
        <v>2</v>
      </c>
      <c r="G18429" s="1" t="s">
        <v>28</v>
      </c>
      <c r="H18429" s="4" t="str">
        <f>HYPERLINK("https://portal.gdc.cancer.gov/cases/14c2819b-9afc-4c89-849f-530e289d55bf","TCGA-V1-A9OX-01A")</f>
        <v>TCGA-V1-A9OX-01A</v>
      </c>
      <c r="I18429" t="s">
        <v>161</v>
      </c>
      <c r="J18429" t="s">
        <v>569</v>
      </c>
      <c r="K18429" t="s">
        <v>33</v>
      </c>
      <c r="L18429" t="s">
        <v>162</v>
      </c>
      <c r="N18429" t="s">
        <v>29</v>
      </c>
    </row>
    <row r="18430" spans="1:14">
      <c r="A18430" s="4" t="str">
        <f t="shared" si="1311"/>
        <v>EXP00438</v>
      </c>
      <c r="B18430" s="3" t="s">
        <v>66</v>
      </c>
      <c r="C18430" s="4" t="str">
        <f t="shared" si="1312"/>
        <v>TCGA-PRAD</v>
      </c>
      <c r="D18430" s="1" t="s">
        <v>493</v>
      </c>
      <c r="E18430" t="s">
        <v>571</v>
      </c>
      <c r="F18430" s="1">
        <v>2</v>
      </c>
      <c r="G18430" s="1" t="s">
        <v>28</v>
      </c>
      <c r="H18430" s="4" t="str">
        <f>HYPERLINK("https://portal.gdc.cancer.gov/cases/69fc0351-6496-46b5-be22-25b80c1dc4cc","TCGA-V1-A9OY-01A")</f>
        <v>TCGA-V1-A9OY-01A</v>
      </c>
      <c r="I18430" t="s">
        <v>161</v>
      </c>
      <c r="J18430" t="s">
        <v>569</v>
      </c>
      <c r="K18430" t="s">
        <v>33</v>
      </c>
      <c r="L18430" t="s">
        <v>162</v>
      </c>
      <c r="N18430" t="s">
        <v>29</v>
      </c>
    </row>
    <row r="18431" spans="1:14">
      <c r="A18431" s="4" t="str">
        <f t="shared" si="1311"/>
        <v>EXP00438</v>
      </c>
      <c r="B18431" s="3" t="s">
        <v>66</v>
      </c>
      <c r="C18431" s="4" t="str">
        <f t="shared" si="1312"/>
        <v>TCGA-PRAD</v>
      </c>
      <c r="D18431" s="1" t="s">
        <v>493</v>
      </c>
      <c r="E18431" t="s">
        <v>571</v>
      </c>
      <c r="F18431" s="1">
        <v>2</v>
      </c>
      <c r="G18431" s="1" t="s">
        <v>28</v>
      </c>
      <c r="H18431" s="4" t="str">
        <f>HYPERLINK("https://portal.gdc.cancer.gov/cases/4db62b98-abd4-4a7c-9fce-8bbda2aec8a3","TCGA-V1-A9Z7-01A")</f>
        <v>TCGA-V1-A9Z7-01A</v>
      </c>
      <c r="I18431" t="s">
        <v>161</v>
      </c>
      <c r="J18431" t="s">
        <v>569</v>
      </c>
      <c r="K18431" t="s">
        <v>33</v>
      </c>
      <c r="L18431" t="s">
        <v>162</v>
      </c>
      <c r="N18431" t="s">
        <v>29</v>
      </c>
    </row>
    <row r="18432" spans="1:14">
      <c r="A18432" s="4" t="str">
        <f t="shared" si="1311"/>
        <v>EXP00438</v>
      </c>
      <c r="B18432" s="3" t="s">
        <v>66</v>
      </c>
      <c r="C18432" s="4" t="str">
        <f t="shared" si="1312"/>
        <v>TCGA-PRAD</v>
      </c>
      <c r="D18432" s="1" t="s">
        <v>493</v>
      </c>
      <c r="E18432" t="s">
        <v>571</v>
      </c>
      <c r="F18432" s="1">
        <v>2</v>
      </c>
      <c r="G18432" s="1" t="s">
        <v>28</v>
      </c>
      <c r="H18432" s="4" t="str">
        <f>HYPERLINK("https://portal.gdc.cancer.gov/cases/9bf4e7bb-6aa9-4be8-a7c3-e630ecff4dce","TCGA-V1-A9Z8-01A")</f>
        <v>TCGA-V1-A9Z8-01A</v>
      </c>
      <c r="I18432" t="s">
        <v>161</v>
      </c>
      <c r="J18432" t="s">
        <v>569</v>
      </c>
      <c r="K18432" t="s">
        <v>33</v>
      </c>
      <c r="L18432" t="s">
        <v>162</v>
      </c>
      <c r="N18432" t="s">
        <v>29</v>
      </c>
    </row>
    <row r="18433" spans="1:14">
      <c r="A18433" s="4" t="str">
        <f t="shared" si="1311"/>
        <v>EXP00438</v>
      </c>
      <c r="B18433" s="3" t="s">
        <v>66</v>
      </c>
      <c r="C18433" s="4" t="str">
        <f t="shared" si="1312"/>
        <v>TCGA-PRAD</v>
      </c>
      <c r="D18433" s="1" t="s">
        <v>493</v>
      </c>
      <c r="E18433" t="s">
        <v>571</v>
      </c>
      <c r="F18433" s="1">
        <v>2</v>
      </c>
      <c r="G18433" s="1" t="s">
        <v>28</v>
      </c>
      <c r="H18433" s="4" t="str">
        <f>HYPERLINK("https://portal.gdc.cancer.gov/cases/0885eb03-de9f-46ba-9c53-fb69c67ab9f0","TCGA-V1-A9Z9-01A")</f>
        <v>TCGA-V1-A9Z9-01A</v>
      </c>
      <c r="I18433" t="s">
        <v>161</v>
      </c>
      <c r="J18433" t="s">
        <v>569</v>
      </c>
      <c r="K18433" t="s">
        <v>33</v>
      </c>
      <c r="L18433" t="s">
        <v>162</v>
      </c>
      <c r="N18433" t="s">
        <v>29</v>
      </c>
    </row>
    <row r="18434" spans="1:14">
      <c r="A18434" s="4" t="str">
        <f t="shared" si="1311"/>
        <v>EXP00438</v>
      </c>
      <c r="B18434" s="3" t="s">
        <v>66</v>
      </c>
      <c r="C18434" s="4" t="str">
        <f t="shared" si="1312"/>
        <v>TCGA-PRAD</v>
      </c>
      <c r="D18434" s="1" t="s">
        <v>493</v>
      </c>
      <c r="E18434" t="s">
        <v>571</v>
      </c>
      <c r="F18434" s="1">
        <v>2</v>
      </c>
      <c r="G18434" s="1" t="s">
        <v>28</v>
      </c>
      <c r="H18434" s="4" t="str">
        <f>HYPERLINK("https://portal.gdc.cancer.gov/cases/dec99f86-622b-477f-a26a-98c954fb1f17","TCGA-V1-A9ZG-01A")</f>
        <v>TCGA-V1-A9ZG-01A</v>
      </c>
      <c r="I18434" t="s">
        <v>161</v>
      </c>
      <c r="J18434" t="s">
        <v>569</v>
      </c>
      <c r="K18434" t="s">
        <v>33</v>
      </c>
      <c r="L18434" t="s">
        <v>162</v>
      </c>
      <c r="N18434" t="s">
        <v>29</v>
      </c>
    </row>
    <row r="18435" spans="1:14">
      <c r="A18435" s="4" t="str">
        <f t="shared" si="1311"/>
        <v>EXP00438</v>
      </c>
      <c r="B18435" s="3" t="s">
        <v>66</v>
      </c>
      <c r="C18435" s="4" t="str">
        <f t="shared" si="1312"/>
        <v>TCGA-PRAD</v>
      </c>
      <c r="D18435" s="1" t="s">
        <v>493</v>
      </c>
      <c r="E18435" t="s">
        <v>571</v>
      </c>
      <c r="F18435" s="1">
        <v>2</v>
      </c>
      <c r="G18435" s="1" t="s">
        <v>28</v>
      </c>
      <c r="H18435" s="4" t="str">
        <f>HYPERLINK("https://portal.gdc.cancer.gov/cases/3d92b872-a76a-49cd-9fd5-7993e78d2fb0","TCGA-V1-A9ZI-01A")</f>
        <v>TCGA-V1-A9ZI-01A</v>
      </c>
      <c r="I18435" t="s">
        <v>161</v>
      </c>
      <c r="J18435" t="s">
        <v>569</v>
      </c>
      <c r="K18435" t="s">
        <v>33</v>
      </c>
      <c r="L18435" t="s">
        <v>162</v>
      </c>
      <c r="N18435" t="s">
        <v>29</v>
      </c>
    </row>
    <row r="18436" spans="1:14">
      <c r="A18436" s="4" t="str">
        <f t="shared" si="1311"/>
        <v>EXP00438</v>
      </c>
      <c r="B18436" s="3" t="s">
        <v>66</v>
      </c>
      <c r="C18436" s="4" t="str">
        <f t="shared" si="1312"/>
        <v>TCGA-PRAD</v>
      </c>
      <c r="D18436" s="1" t="s">
        <v>493</v>
      </c>
      <c r="E18436" t="s">
        <v>571</v>
      </c>
      <c r="F18436" s="1">
        <v>2</v>
      </c>
      <c r="G18436" s="1" t="s">
        <v>28</v>
      </c>
      <c r="H18436" s="4" t="str">
        <f>HYPERLINK("https://portal.gdc.cancer.gov/cases/7dc62c0f-b82d-417f-89a7-4cb984a9d304","TCGA-V1-A9ZK-01A")</f>
        <v>TCGA-V1-A9ZK-01A</v>
      </c>
      <c r="I18436" t="s">
        <v>161</v>
      </c>
      <c r="J18436" t="s">
        <v>569</v>
      </c>
      <c r="K18436" t="s">
        <v>33</v>
      </c>
      <c r="L18436" t="s">
        <v>162</v>
      </c>
      <c r="N18436" t="s">
        <v>29</v>
      </c>
    </row>
    <row r="18437" spans="1:14">
      <c r="A18437" s="4" t="str">
        <f t="shared" si="1311"/>
        <v>EXP00438</v>
      </c>
      <c r="B18437" s="3" t="s">
        <v>66</v>
      </c>
      <c r="C18437" s="4" t="str">
        <f t="shared" si="1312"/>
        <v>TCGA-PRAD</v>
      </c>
      <c r="D18437" s="1" t="s">
        <v>493</v>
      </c>
      <c r="E18437" t="s">
        <v>571</v>
      </c>
      <c r="F18437" s="1">
        <v>2</v>
      </c>
      <c r="G18437" s="1" t="s">
        <v>28</v>
      </c>
      <c r="H18437" s="4" t="str">
        <f>HYPERLINK("https://portal.gdc.cancer.gov/cases/338fe754-fc4a-4294-ba15-42d4c7c9ac10","TCGA-V1-A9ZR-01A")</f>
        <v>TCGA-V1-A9ZR-01A</v>
      </c>
      <c r="I18437" t="s">
        <v>161</v>
      </c>
      <c r="J18437" t="s">
        <v>569</v>
      </c>
      <c r="K18437" t="s">
        <v>33</v>
      </c>
      <c r="L18437" t="s">
        <v>162</v>
      </c>
      <c r="N18437" t="s">
        <v>29</v>
      </c>
    </row>
    <row r="18438" spans="1:14">
      <c r="A18438" s="4" t="str">
        <f t="shared" si="1311"/>
        <v>EXP00438</v>
      </c>
      <c r="B18438" s="3" t="s">
        <v>66</v>
      </c>
      <c r="C18438" s="4" t="str">
        <f t="shared" si="1312"/>
        <v>TCGA-PRAD</v>
      </c>
      <c r="D18438" s="1" t="s">
        <v>493</v>
      </c>
      <c r="E18438" t="s">
        <v>571</v>
      </c>
      <c r="F18438" s="1">
        <v>2</v>
      </c>
      <c r="G18438" s="1" t="s">
        <v>28</v>
      </c>
      <c r="H18438" s="4" t="str">
        <f>HYPERLINK("https://portal.gdc.cancer.gov/cases/c3fd52fe-bdc2-4cca-91c7-590a192f80ed","TCGA-VN-A88I-01A")</f>
        <v>TCGA-VN-A88I-01A</v>
      </c>
      <c r="I18438" t="s">
        <v>161</v>
      </c>
      <c r="J18438" t="s">
        <v>569</v>
      </c>
      <c r="K18438" t="s">
        <v>33</v>
      </c>
      <c r="L18438" t="s">
        <v>162</v>
      </c>
      <c r="N18438" t="s">
        <v>29</v>
      </c>
    </row>
    <row r="18439" spans="1:14">
      <c r="A18439" s="4" t="str">
        <f t="shared" si="1311"/>
        <v>EXP00438</v>
      </c>
      <c r="B18439" s="3" t="s">
        <v>66</v>
      </c>
      <c r="C18439" s="4" t="str">
        <f t="shared" si="1312"/>
        <v>TCGA-PRAD</v>
      </c>
      <c r="D18439" s="1" t="s">
        <v>493</v>
      </c>
      <c r="E18439" t="s">
        <v>571</v>
      </c>
      <c r="F18439" s="1">
        <v>2</v>
      </c>
      <c r="G18439" s="1" t="s">
        <v>28</v>
      </c>
      <c r="H18439" s="4" t="str">
        <f>HYPERLINK("https://portal.gdc.cancer.gov/cases/a186c956-6756-4339-9793-494fe9b80c94","TCGA-VN-A88K-01A")</f>
        <v>TCGA-VN-A88K-01A</v>
      </c>
      <c r="I18439" t="s">
        <v>161</v>
      </c>
      <c r="J18439" t="s">
        <v>569</v>
      </c>
      <c r="K18439" t="s">
        <v>33</v>
      </c>
      <c r="L18439" t="s">
        <v>162</v>
      </c>
      <c r="N18439" t="s">
        <v>29</v>
      </c>
    </row>
    <row r="18440" spans="1:14">
      <c r="A18440" s="4" t="str">
        <f t="shared" si="1311"/>
        <v>EXP00438</v>
      </c>
      <c r="B18440" s="3" t="s">
        <v>66</v>
      </c>
      <c r="C18440" s="4" t="str">
        <f t="shared" si="1312"/>
        <v>TCGA-PRAD</v>
      </c>
      <c r="D18440" s="1" t="s">
        <v>493</v>
      </c>
      <c r="E18440" t="s">
        <v>571</v>
      </c>
      <c r="F18440" s="1">
        <v>2</v>
      </c>
      <c r="G18440" s="1" t="s">
        <v>28</v>
      </c>
      <c r="H18440" s="4" t="str">
        <f>HYPERLINK("https://portal.gdc.cancer.gov/cases/74602e83-3ee3-4ee7-b05a-135fbdddcc5c","TCGA-VN-A88L-01A")</f>
        <v>TCGA-VN-A88L-01A</v>
      </c>
      <c r="I18440" t="s">
        <v>161</v>
      </c>
      <c r="J18440" t="s">
        <v>569</v>
      </c>
      <c r="K18440" t="s">
        <v>33</v>
      </c>
      <c r="L18440" t="s">
        <v>162</v>
      </c>
      <c r="N18440" t="s">
        <v>29</v>
      </c>
    </row>
    <row r="18441" spans="1:14">
      <c r="A18441" s="4" t="str">
        <f t="shared" si="1311"/>
        <v>EXP00438</v>
      </c>
      <c r="B18441" s="3" t="s">
        <v>66</v>
      </c>
      <c r="C18441" s="4" t="str">
        <f t="shared" si="1312"/>
        <v>TCGA-PRAD</v>
      </c>
      <c r="D18441" s="1" t="s">
        <v>493</v>
      </c>
      <c r="E18441" t="s">
        <v>571</v>
      </c>
      <c r="F18441" s="1">
        <v>2</v>
      </c>
      <c r="G18441" s="1" t="s">
        <v>28</v>
      </c>
      <c r="H18441" s="4" t="str">
        <f>HYPERLINK("https://portal.gdc.cancer.gov/cases/35243518-b086-4d76-a336-8c61a14f9ded","TCGA-VN-A88M-01A")</f>
        <v>TCGA-VN-A88M-01A</v>
      </c>
      <c r="I18441" t="s">
        <v>161</v>
      </c>
      <c r="J18441" t="s">
        <v>569</v>
      </c>
      <c r="K18441" t="s">
        <v>33</v>
      </c>
      <c r="L18441" t="s">
        <v>162</v>
      </c>
      <c r="N18441" t="s">
        <v>29</v>
      </c>
    </row>
    <row r="18442" spans="1:14">
      <c r="A18442" s="4" t="str">
        <f t="shared" ref="A18442:A18505" si="1313">HYPERLINK("http://hcmdb.i-sanger.com/experiment/details/experiment_id/EXP00438","EXP00438")</f>
        <v>EXP00438</v>
      </c>
      <c r="B18442" s="3" t="s">
        <v>66</v>
      </c>
      <c r="C18442" s="4" t="str">
        <f t="shared" si="1312"/>
        <v>TCGA-PRAD</v>
      </c>
      <c r="D18442" s="1" t="s">
        <v>493</v>
      </c>
      <c r="E18442" t="s">
        <v>571</v>
      </c>
      <c r="F18442" s="1">
        <v>2</v>
      </c>
      <c r="G18442" s="1" t="s">
        <v>28</v>
      </c>
      <c r="H18442" s="4" t="str">
        <f>HYPERLINK("https://portal.gdc.cancer.gov/cases/e9a4c770-665f-454b-81f7-b8ae3f1e154e","TCGA-VN-A88N-01A")</f>
        <v>TCGA-VN-A88N-01A</v>
      </c>
      <c r="I18442" t="s">
        <v>161</v>
      </c>
      <c r="J18442" t="s">
        <v>569</v>
      </c>
      <c r="K18442" t="s">
        <v>33</v>
      </c>
      <c r="L18442" t="s">
        <v>162</v>
      </c>
      <c r="N18442" t="s">
        <v>29</v>
      </c>
    </row>
    <row r="18443" spans="1:14">
      <c r="A18443" s="4" t="str">
        <f t="shared" si="1313"/>
        <v>EXP00438</v>
      </c>
      <c r="B18443" s="3" t="s">
        <v>66</v>
      </c>
      <c r="C18443" s="4" t="str">
        <f t="shared" si="1312"/>
        <v>TCGA-PRAD</v>
      </c>
      <c r="D18443" s="1" t="s">
        <v>493</v>
      </c>
      <c r="E18443" t="s">
        <v>571</v>
      </c>
      <c r="F18443" s="1">
        <v>2</v>
      </c>
      <c r="G18443" s="1" t="s">
        <v>28</v>
      </c>
      <c r="H18443" s="4" t="str">
        <f>HYPERLINK("https://portal.gdc.cancer.gov/cases/eb715348-7c5c-4e95-bac8-05604bdda2da","TCGA-VN-A88O-01A")</f>
        <v>TCGA-VN-A88O-01A</v>
      </c>
      <c r="I18443" t="s">
        <v>161</v>
      </c>
      <c r="J18443" t="s">
        <v>569</v>
      </c>
      <c r="K18443" t="s">
        <v>33</v>
      </c>
      <c r="L18443" t="s">
        <v>162</v>
      </c>
      <c r="N18443" t="s">
        <v>29</v>
      </c>
    </row>
    <row r="18444" spans="1:14">
      <c r="A18444" s="4" t="str">
        <f t="shared" si="1313"/>
        <v>EXP00438</v>
      </c>
      <c r="B18444" s="3" t="s">
        <v>66</v>
      </c>
      <c r="C18444" s="4" t="str">
        <f t="shared" si="1312"/>
        <v>TCGA-PRAD</v>
      </c>
      <c r="D18444" s="1" t="s">
        <v>493</v>
      </c>
      <c r="E18444" t="s">
        <v>571</v>
      </c>
      <c r="F18444" s="1">
        <v>2</v>
      </c>
      <c r="G18444" s="1" t="s">
        <v>28</v>
      </c>
      <c r="H18444" s="4" t="str">
        <f>HYPERLINK("https://portal.gdc.cancer.gov/cases/74c7dd37-7ff5-47ac-aeb7-14202871b6f1","TCGA-VN-A88P-01A")</f>
        <v>TCGA-VN-A88P-01A</v>
      </c>
      <c r="I18444" t="s">
        <v>161</v>
      </c>
      <c r="J18444" t="s">
        <v>569</v>
      </c>
      <c r="K18444" t="s">
        <v>33</v>
      </c>
      <c r="L18444" t="s">
        <v>162</v>
      </c>
      <c r="N18444" t="s">
        <v>29</v>
      </c>
    </row>
    <row r="18445" spans="1:14">
      <c r="A18445" s="4" t="str">
        <f t="shared" si="1313"/>
        <v>EXP00438</v>
      </c>
      <c r="B18445" s="3" t="s">
        <v>66</v>
      </c>
      <c r="C18445" s="4" t="str">
        <f t="shared" si="1312"/>
        <v>TCGA-PRAD</v>
      </c>
      <c r="D18445" s="1" t="s">
        <v>493</v>
      </c>
      <c r="E18445" t="s">
        <v>571</v>
      </c>
      <c r="F18445" s="1">
        <v>2</v>
      </c>
      <c r="G18445" s="1" t="s">
        <v>28</v>
      </c>
      <c r="H18445" s="4" t="str">
        <f>HYPERLINK("https://portal.gdc.cancer.gov/cases/ab540819-9531-4e99-868a-751649f25e6a","TCGA-VN-A88Q-01A")</f>
        <v>TCGA-VN-A88Q-01A</v>
      </c>
      <c r="I18445" t="s">
        <v>161</v>
      </c>
      <c r="J18445" t="s">
        <v>569</v>
      </c>
      <c r="K18445" t="s">
        <v>33</v>
      </c>
      <c r="L18445" t="s">
        <v>162</v>
      </c>
      <c r="N18445" t="s">
        <v>29</v>
      </c>
    </row>
    <row r="18446" spans="1:14">
      <c r="A18446" s="4" t="str">
        <f t="shared" si="1313"/>
        <v>EXP00438</v>
      </c>
      <c r="B18446" s="3" t="s">
        <v>66</v>
      </c>
      <c r="C18446" s="4" t="str">
        <f t="shared" si="1312"/>
        <v>TCGA-PRAD</v>
      </c>
      <c r="D18446" s="1" t="s">
        <v>493</v>
      </c>
      <c r="E18446" t="s">
        <v>571</v>
      </c>
      <c r="F18446" s="1">
        <v>2</v>
      </c>
      <c r="G18446" s="1" t="s">
        <v>28</v>
      </c>
      <c r="H18446" s="4" t="str">
        <f>HYPERLINK("https://portal.gdc.cancer.gov/cases/fcf64b55-5c4f-4d82-ac6a-4713d01143cb","TCGA-VN-A88R-01A")</f>
        <v>TCGA-VN-A88R-01A</v>
      </c>
      <c r="I18446" t="s">
        <v>161</v>
      </c>
      <c r="J18446" t="s">
        <v>569</v>
      </c>
      <c r="K18446" t="s">
        <v>33</v>
      </c>
      <c r="L18446" t="s">
        <v>162</v>
      </c>
      <c r="N18446" t="s">
        <v>29</v>
      </c>
    </row>
    <row r="18447" spans="1:14">
      <c r="A18447" s="4" t="str">
        <f t="shared" si="1313"/>
        <v>EXP00438</v>
      </c>
      <c r="B18447" s="3" t="s">
        <v>66</v>
      </c>
      <c r="C18447" s="4" t="str">
        <f t="shared" si="1312"/>
        <v>TCGA-PRAD</v>
      </c>
      <c r="D18447" s="1" t="s">
        <v>493</v>
      </c>
      <c r="E18447" t="s">
        <v>571</v>
      </c>
      <c r="F18447" s="1">
        <v>2</v>
      </c>
      <c r="G18447" s="1" t="s">
        <v>28</v>
      </c>
      <c r="H18447" s="4" t="str">
        <f>HYPERLINK("https://portal.gdc.cancer.gov/cases/92f45022-ee76-418d-8f9e-c3509efda0c0","TCGA-VN-A943-01A")</f>
        <v>TCGA-VN-A943-01A</v>
      </c>
      <c r="I18447" t="s">
        <v>161</v>
      </c>
      <c r="J18447" t="s">
        <v>569</v>
      </c>
      <c r="K18447" t="s">
        <v>33</v>
      </c>
      <c r="L18447" t="s">
        <v>162</v>
      </c>
      <c r="N18447" t="s">
        <v>29</v>
      </c>
    </row>
    <row r="18448" spans="1:14">
      <c r="A18448" s="4" t="str">
        <f t="shared" si="1313"/>
        <v>EXP00438</v>
      </c>
      <c r="B18448" s="3" t="s">
        <v>66</v>
      </c>
      <c r="C18448" s="4" t="str">
        <f t="shared" si="1312"/>
        <v>TCGA-PRAD</v>
      </c>
      <c r="D18448" s="1" t="s">
        <v>493</v>
      </c>
      <c r="E18448" t="s">
        <v>571</v>
      </c>
      <c r="F18448" s="1">
        <v>2</v>
      </c>
      <c r="G18448" s="1" t="s">
        <v>28</v>
      </c>
      <c r="H18448" s="4" t="str">
        <f>HYPERLINK("https://portal.gdc.cancer.gov/cases/7fc65e49-0401-4a36-8800-fd87b7927fc1","TCGA-VP-A872-01A")</f>
        <v>TCGA-VP-A872-01A</v>
      </c>
      <c r="I18448" t="s">
        <v>161</v>
      </c>
      <c r="J18448" t="s">
        <v>569</v>
      </c>
      <c r="K18448" t="s">
        <v>33</v>
      </c>
      <c r="L18448" t="s">
        <v>162</v>
      </c>
      <c r="N18448" t="s">
        <v>29</v>
      </c>
    </row>
    <row r="18449" spans="1:14">
      <c r="A18449" s="4" t="str">
        <f t="shared" si="1313"/>
        <v>EXP00438</v>
      </c>
      <c r="B18449" s="3" t="s">
        <v>66</v>
      </c>
      <c r="C18449" s="4" t="str">
        <f t="shared" si="1312"/>
        <v>TCGA-PRAD</v>
      </c>
      <c r="D18449" s="1" t="s">
        <v>493</v>
      </c>
      <c r="E18449" t="s">
        <v>571</v>
      </c>
      <c r="F18449" s="1">
        <v>2</v>
      </c>
      <c r="G18449" s="1" t="s">
        <v>28</v>
      </c>
      <c r="H18449" s="4" t="str">
        <f>HYPERLINK("https://portal.gdc.cancer.gov/cases/e833ad67-2cb3-414c-b15e-28f49479e2ef","TCGA-VP-A875-01A")</f>
        <v>TCGA-VP-A875-01A</v>
      </c>
      <c r="I18449" t="s">
        <v>161</v>
      </c>
      <c r="J18449" t="s">
        <v>569</v>
      </c>
      <c r="K18449" t="s">
        <v>33</v>
      </c>
      <c r="L18449" t="s">
        <v>162</v>
      </c>
      <c r="N18449" t="s">
        <v>29</v>
      </c>
    </row>
    <row r="18450" spans="1:14">
      <c r="A18450" s="4" t="str">
        <f t="shared" si="1313"/>
        <v>EXP00438</v>
      </c>
      <c r="B18450" s="3" t="s">
        <v>66</v>
      </c>
      <c r="C18450" s="4" t="str">
        <f t="shared" si="1312"/>
        <v>TCGA-PRAD</v>
      </c>
      <c r="D18450" s="1" t="s">
        <v>493</v>
      </c>
      <c r="E18450" t="s">
        <v>571</v>
      </c>
      <c r="F18450" s="1">
        <v>2</v>
      </c>
      <c r="G18450" s="1" t="s">
        <v>28</v>
      </c>
      <c r="H18450" s="4" t="str">
        <f>HYPERLINK("https://portal.gdc.cancer.gov/cases/75d22d59-dec8-4f59-86c8-36b5e9f4fb0d","TCGA-VP-A876-01A")</f>
        <v>TCGA-VP-A876-01A</v>
      </c>
      <c r="I18450" t="s">
        <v>161</v>
      </c>
      <c r="J18450" t="s">
        <v>569</v>
      </c>
      <c r="K18450" t="s">
        <v>33</v>
      </c>
      <c r="L18450" t="s">
        <v>162</v>
      </c>
      <c r="N18450" t="s">
        <v>29</v>
      </c>
    </row>
    <row r="18451" spans="1:14">
      <c r="A18451" s="4" t="str">
        <f t="shared" si="1313"/>
        <v>EXP00438</v>
      </c>
      <c r="B18451" s="3" t="s">
        <v>66</v>
      </c>
      <c r="C18451" s="4" t="str">
        <f t="shared" si="1312"/>
        <v>TCGA-PRAD</v>
      </c>
      <c r="D18451" s="1" t="s">
        <v>493</v>
      </c>
      <c r="E18451" t="s">
        <v>571</v>
      </c>
      <c r="F18451" s="1">
        <v>2</v>
      </c>
      <c r="G18451" s="1" t="s">
        <v>28</v>
      </c>
      <c r="H18451" s="4" t="str">
        <f>HYPERLINK("https://portal.gdc.cancer.gov/cases/48f36fbe-356a-40af-b81f-8ea0b1369bab","TCGA-VP-A878-01A")</f>
        <v>TCGA-VP-A878-01A</v>
      </c>
      <c r="I18451" t="s">
        <v>161</v>
      </c>
      <c r="J18451" t="s">
        <v>569</v>
      </c>
      <c r="K18451" t="s">
        <v>33</v>
      </c>
      <c r="L18451" t="s">
        <v>162</v>
      </c>
      <c r="N18451" t="s">
        <v>29</v>
      </c>
    </row>
    <row r="18452" spans="1:14">
      <c r="A18452" s="4" t="str">
        <f t="shared" si="1313"/>
        <v>EXP00438</v>
      </c>
      <c r="B18452" s="3" t="s">
        <v>66</v>
      </c>
      <c r="C18452" s="4" t="str">
        <f t="shared" si="1312"/>
        <v>TCGA-PRAD</v>
      </c>
      <c r="D18452" s="1" t="s">
        <v>493</v>
      </c>
      <c r="E18452" t="s">
        <v>571</v>
      </c>
      <c r="F18452" s="1">
        <v>2</v>
      </c>
      <c r="G18452" s="1" t="s">
        <v>28</v>
      </c>
      <c r="H18452" s="4" t="str">
        <f>HYPERLINK("https://portal.gdc.cancer.gov/cases/11882dac-3ba3-40fa-8af4-174cba77881a","TCGA-VP-A879-01A")</f>
        <v>TCGA-VP-A879-01A</v>
      </c>
      <c r="I18452" t="s">
        <v>161</v>
      </c>
      <c r="J18452" t="s">
        <v>569</v>
      </c>
      <c r="K18452" t="s">
        <v>33</v>
      </c>
      <c r="L18452" t="s">
        <v>162</v>
      </c>
      <c r="N18452" t="s">
        <v>29</v>
      </c>
    </row>
    <row r="18453" spans="1:14">
      <c r="A18453" s="4" t="str">
        <f t="shared" si="1313"/>
        <v>EXP00438</v>
      </c>
      <c r="B18453" s="3" t="s">
        <v>66</v>
      </c>
      <c r="C18453" s="4" t="str">
        <f t="shared" si="1312"/>
        <v>TCGA-PRAD</v>
      </c>
      <c r="D18453" s="1" t="s">
        <v>493</v>
      </c>
      <c r="E18453" t="s">
        <v>571</v>
      </c>
      <c r="F18453" s="1">
        <v>2</v>
      </c>
      <c r="G18453" s="1" t="s">
        <v>28</v>
      </c>
      <c r="H18453" s="4" t="str">
        <f>HYPERLINK("https://portal.gdc.cancer.gov/cases/17c0ce0f-8227-4119-9b39-ea8db18f5f4b","TCGA-VP-A87B-01A")</f>
        <v>TCGA-VP-A87B-01A</v>
      </c>
      <c r="I18453" t="s">
        <v>161</v>
      </c>
      <c r="J18453" t="s">
        <v>569</v>
      </c>
      <c r="K18453" t="s">
        <v>33</v>
      </c>
      <c r="L18453" t="s">
        <v>162</v>
      </c>
      <c r="N18453" t="s">
        <v>29</v>
      </c>
    </row>
    <row r="18454" spans="1:14">
      <c r="A18454" s="4" t="str">
        <f t="shared" si="1313"/>
        <v>EXP00438</v>
      </c>
      <c r="B18454" s="3" t="s">
        <v>66</v>
      </c>
      <c r="C18454" s="4" t="str">
        <f t="shared" si="1312"/>
        <v>TCGA-PRAD</v>
      </c>
      <c r="D18454" s="1" t="s">
        <v>493</v>
      </c>
      <c r="E18454" t="s">
        <v>571</v>
      </c>
      <c r="F18454" s="1">
        <v>2</v>
      </c>
      <c r="G18454" s="1" t="s">
        <v>28</v>
      </c>
      <c r="H18454" s="4" t="str">
        <f>HYPERLINK("https://portal.gdc.cancer.gov/cases/7c398299-d789-4185-adfa-194817877947","TCGA-VP-A87C-01A")</f>
        <v>TCGA-VP-A87C-01A</v>
      </c>
      <c r="I18454" t="s">
        <v>161</v>
      </c>
      <c r="J18454" t="s">
        <v>569</v>
      </c>
      <c r="K18454" t="s">
        <v>33</v>
      </c>
      <c r="L18454" t="s">
        <v>162</v>
      </c>
      <c r="N18454" t="s">
        <v>29</v>
      </c>
    </row>
    <row r="18455" spans="1:14">
      <c r="A18455" s="4" t="str">
        <f t="shared" si="1313"/>
        <v>EXP00438</v>
      </c>
      <c r="B18455" s="3" t="s">
        <v>66</v>
      </c>
      <c r="C18455" s="4" t="str">
        <f t="shared" si="1312"/>
        <v>TCGA-PRAD</v>
      </c>
      <c r="D18455" s="1" t="s">
        <v>493</v>
      </c>
      <c r="E18455" t="s">
        <v>571</v>
      </c>
      <c r="F18455" s="1">
        <v>2</v>
      </c>
      <c r="G18455" s="1" t="s">
        <v>28</v>
      </c>
      <c r="H18455" s="4" t="str">
        <f>HYPERLINK("https://portal.gdc.cancer.gov/cases/aa405b5f-f75d-486a-96f3-1df7add18193","TCGA-VP-A87D-01A")</f>
        <v>TCGA-VP-A87D-01A</v>
      </c>
      <c r="I18455" t="s">
        <v>161</v>
      </c>
      <c r="J18455" t="s">
        <v>569</v>
      </c>
      <c r="K18455" t="s">
        <v>33</v>
      </c>
      <c r="L18455" t="s">
        <v>162</v>
      </c>
      <c r="N18455" t="s">
        <v>29</v>
      </c>
    </row>
    <row r="18456" spans="1:14">
      <c r="A18456" s="4" t="str">
        <f t="shared" si="1313"/>
        <v>EXP00438</v>
      </c>
      <c r="B18456" s="3" t="s">
        <v>66</v>
      </c>
      <c r="C18456" s="4" t="str">
        <f t="shared" si="1312"/>
        <v>TCGA-PRAD</v>
      </c>
      <c r="D18456" s="1" t="s">
        <v>493</v>
      </c>
      <c r="E18456" t="s">
        <v>571</v>
      </c>
      <c r="F18456" s="1">
        <v>2</v>
      </c>
      <c r="G18456" s="1" t="s">
        <v>28</v>
      </c>
      <c r="H18456" s="4" t="str">
        <f>HYPERLINK("https://portal.gdc.cancer.gov/cases/dc20ecf0-2807-4675-a7fd-8ead1cee7ea0","TCGA-VP-A87E-01A")</f>
        <v>TCGA-VP-A87E-01A</v>
      </c>
      <c r="I18456" t="s">
        <v>161</v>
      </c>
      <c r="J18456" t="s">
        <v>569</v>
      </c>
      <c r="K18456" t="s">
        <v>33</v>
      </c>
      <c r="L18456" t="s">
        <v>162</v>
      </c>
      <c r="N18456" t="s">
        <v>29</v>
      </c>
    </row>
    <row r="18457" spans="1:14">
      <c r="A18457" s="4" t="str">
        <f t="shared" si="1313"/>
        <v>EXP00438</v>
      </c>
      <c r="B18457" s="3" t="s">
        <v>66</v>
      </c>
      <c r="C18457" s="4" t="str">
        <f t="shared" si="1312"/>
        <v>TCGA-PRAD</v>
      </c>
      <c r="D18457" s="1" t="s">
        <v>493</v>
      </c>
      <c r="E18457" t="s">
        <v>571</v>
      </c>
      <c r="F18457" s="1">
        <v>2</v>
      </c>
      <c r="G18457" s="1" t="s">
        <v>28</v>
      </c>
      <c r="H18457" s="4" t="str">
        <f>HYPERLINK("https://portal.gdc.cancer.gov/cases/661dc657-d2b3-44fa-b859-2c4ee42b0046","TCGA-VP-A87H-01A")</f>
        <v>TCGA-VP-A87H-01A</v>
      </c>
      <c r="I18457" t="s">
        <v>161</v>
      </c>
      <c r="J18457" t="s">
        <v>569</v>
      </c>
      <c r="K18457" t="s">
        <v>33</v>
      </c>
      <c r="L18457" t="s">
        <v>162</v>
      </c>
      <c r="N18457" t="s">
        <v>29</v>
      </c>
    </row>
    <row r="18458" spans="1:14">
      <c r="A18458" s="4" t="str">
        <f t="shared" si="1313"/>
        <v>EXP00438</v>
      </c>
      <c r="B18458" s="3" t="s">
        <v>66</v>
      </c>
      <c r="C18458" s="4" t="str">
        <f t="shared" si="1312"/>
        <v>TCGA-PRAD</v>
      </c>
      <c r="D18458" s="1" t="s">
        <v>493</v>
      </c>
      <c r="E18458" t="s">
        <v>571</v>
      </c>
      <c r="F18458" s="1">
        <v>2</v>
      </c>
      <c r="G18458" s="1" t="s">
        <v>28</v>
      </c>
      <c r="H18458" s="4" t="str">
        <f>HYPERLINK("https://portal.gdc.cancer.gov/cases/486d225f-eca6-499b-a142-dd86137b22e4","TCGA-VP-A87J-01A")</f>
        <v>TCGA-VP-A87J-01A</v>
      </c>
      <c r="I18458" t="s">
        <v>161</v>
      </c>
      <c r="J18458" t="s">
        <v>569</v>
      </c>
      <c r="K18458" t="s">
        <v>33</v>
      </c>
      <c r="L18458" t="s">
        <v>162</v>
      </c>
      <c r="N18458" t="s">
        <v>29</v>
      </c>
    </row>
    <row r="18459" spans="1:14">
      <c r="A18459" s="4" t="str">
        <f t="shared" si="1313"/>
        <v>EXP00438</v>
      </c>
      <c r="B18459" s="3" t="s">
        <v>66</v>
      </c>
      <c r="C18459" s="4" t="str">
        <f t="shared" si="1312"/>
        <v>TCGA-PRAD</v>
      </c>
      <c r="D18459" s="1" t="s">
        <v>493</v>
      </c>
      <c r="E18459" t="s">
        <v>571</v>
      </c>
      <c r="F18459" s="1">
        <v>2</v>
      </c>
      <c r="G18459" s="1" t="s">
        <v>28</v>
      </c>
      <c r="H18459" s="4" t="str">
        <f>HYPERLINK("https://portal.gdc.cancer.gov/cases/24d7d4d8-f5c1-4d71-80e0-72a429fc9dbd","TCGA-VP-A87K-01A")</f>
        <v>TCGA-VP-A87K-01A</v>
      </c>
      <c r="I18459" t="s">
        <v>161</v>
      </c>
      <c r="J18459" t="s">
        <v>569</v>
      </c>
      <c r="K18459" t="s">
        <v>33</v>
      </c>
      <c r="L18459" t="s">
        <v>162</v>
      </c>
      <c r="N18459" t="s">
        <v>29</v>
      </c>
    </row>
    <row r="18460" spans="1:14">
      <c r="A18460" s="4" t="str">
        <f t="shared" si="1313"/>
        <v>EXP00438</v>
      </c>
      <c r="B18460" s="3" t="s">
        <v>66</v>
      </c>
      <c r="C18460" s="4" t="str">
        <f t="shared" ref="C18460:C18523" si="1314">HYPERLINK("https://portal.gdc.cancer.gov/projects/TCGA-PRAD","TCGA-PRAD")</f>
        <v>TCGA-PRAD</v>
      </c>
      <c r="D18460" s="1" t="s">
        <v>493</v>
      </c>
      <c r="E18460" t="s">
        <v>571</v>
      </c>
      <c r="F18460" s="1">
        <v>2</v>
      </c>
      <c r="G18460" s="1" t="s">
        <v>28</v>
      </c>
      <c r="H18460" s="4" t="str">
        <f>HYPERLINK("https://portal.gdc.cancer.gov/cases/ea953ce5-7082-41ff-8e38-760fe4100414","TCGA-VP-AA1N-01A")</f>
        <v>TCGA-VP-AA1N-01A</v>
      </c>
      <c r="I18460" t="s">
        <v>161</v>
      </c>
      <c r="J18460" t="s">
        <v>569</v>
      </c>
      <c r="K18460" t="s">
        <v>33</v>
      </c>
      <c r="L18460" t="s">
        <v>162</v>
      </c>
      <c r="N18460" t="s">
        <v>29</v>
      </c>
    </row>
    <row r="18461" spans="1:14">
      <c r="A18461" s="4" t="str">
        <f t="shared" si="1313"/>
        <v>EXP00438</v>
      </c>
      <c r="B18461" s="3" t="s">
        <v>66</v>
      </c>
      <c r="C18461" s="4" t="str">
        <f t="shared" si="1314"/>
        <v>TCGA-PRAD</v>
      </c>
      <c r="D18461" s="1" t="s">
        <v>493</v>
      </c>
      <c r="E18461" t="s">
        <v>571</v>
      </c>
      <c r="F18461" s="1">
        <v>2</v>
      </c>
      <c r="G18461" s="1" t="s">
        <v>28</v>
      </c>
      <c r="H18461" s="4" t="str">
        <f>HYPERLINK("https://portal.gdc.cancer.gov/cases/abeb0894-862f-4035-a6d9-fe0ba61630a9","TCGA-WW-A8ZI-01A")</f>
        <v>TCGA-WW-A8ZI-01A</v>
      </c>
      <c r="I18461" t="s">
        <v>161</v>
      </c>
      <c r="J18461" t="s">
        <v>569</v>
      </c>
      <c r="K18461" t="s">
        <v>33</v>
      </c>
      <c r="L18461" t="s">
        <v>162</v>
      </c>
      <c r="N18461" t="s">
        <v>29</v>
      </c>
    </row>
    <row r="18462" spans="1:14">
      <c r="A18462" s="4" t="str">
        <f t="shared" si="1313"/>
        <v>EXP00438</v>
      </c>
      <c r="B18462" s="3" t="s">
        <v>66</v>
      </c>
      <c r="C18462" s="4" t="str">
        <f t="shared" si="1314"/>
        <v>TCGA-PRAD</v>
      </c>
      <c r="D18462" s="1" t="s">
        <v>493</v>
      </c>
      <c r="E18462" t="s">
        <v>571</v>
      </c>
      <c r="F18462" s="1">
        <v>2</v>
      </c>
      <c r="G18462" s="1" t="s">
        <v>28</v>
      </c>
      <c r="H18462" s="4" t="str">
        <f>HYPERLINK("https://portal.gdc.cancer.gov/cases/56353d9c-9578-4d62-9dcd-92d800efdea0","TCGA-X4-A8KQ-01A")</f>
        <v>TCGA-X4-A8KQ-01A</v>
      </c>
      <c r="I18462" t="s">
        <v>161</v>
      </c>
      <c r="J18462" t="s">
        <v>569</v>
      </c>
      <c r="K18462" t="s">
        <v>33</v>
      </c>
      <c r="L18462" t="s">
        <v>162</v>
      </c>
      <c r="N18462" t="s">
        <v>29</v>
      </c>
    </row>
    <row r="18463" spans="1:14">
      <c r="A18463" s="4" t="str">
        <f t="shared" si="1313"/>
        <v>EXP00438</v>
      </c>
      <c r="B18463" s="3" t="s">
        <v>66</v>
      </c>
      <c r="C18463" s="4" t="str">
        <f t="shared" si="1314"/>
        <v>TCGA-PRAD</v>
      </c>
      <c r="D18463" s="1" t="s">
        <v>493</v>
      </c>
      <c r="E18463" t="s">
        <v>571</v>
      </c>
      <c r="F18463" s="1">
        <v>2</v>
      </c>
      <c r="G18463" s="1" t="s">
        <v>28</v>
      </c>
      <c r="H18463" s="4" t="str">
        <f>HYPERLINK("https://portal.gdc.cancer.gov/cases/56829c8d-7bb7-4aac-999f-b1353db4915d","TCGA-X4-A8KS-01A")</f>
        <v>TCGA-X4-A8KS-01A</v>
      </c>
      <c r="I18463" t="s">
        <v>161</v>
      </c>
      <c r="J18463" t="s">
        <v>569</v>
      </c>
      <c r="K18463" t="s">
        <v>33</v>
      </c>
      <c r="L18463" t="s">
        <v>162</v>
      </c>
      <c r="N18463" t="s">
        <v>29</v>
      </c>
    </row>
    <row r="18464" spans="1:14">
      <c r="A18464" s="4" t="str">
        <f t="shared" si="1313"/>
        <v>EXP00438</v>
      </c>
      <c r="B18464" s="3" t="s">
        <v>66</v>
      </c>
      <c r="C18464" s="4" t="str">
        <f t="shared" si="1314"/>
        <v>TCGA-PRAD</v>
      </c>
      <c r="D18464" s="1" t="s">
        <v>493</v>
      </c>
      <c r="E18464" t="s">
        <v>571</v>
      </c>
      <c r="F18464" s="1">
        <v>2</v>
      </c>
      <c r="G18464" s="1" t="s">
        <v>28</v>
      </c>
      <c r="H18464" s="4" t="str">
        <f>HYPERLINK("https://portal.gdc.cancer.gov/cases/5e15dcc7-932e-4d9a-a765-bd5ff1cd7aea","TCGA-XA-A8JR-01A")</f>
        <v>TCGA-XA-A8JR-01A</v>
      </c>
      <c r="I18464" t="s">
        <v>161</v>
      </c>
      <c r="J18464" t="s">
        <v>569</v>
      </c>
      <c r="K18464" t="s">
        <v>33</v>
      </c>
      <c r="L18464" t="s">
        <v>162</v>
      </c>
      <c r="N18464" t="s">
        <v>29</v>
      </c>
    </row>
    <row r="18465" spans="1:14">
      <c r="A18465" s="4" t="str">
        <f t="shared" si="1313"/>
        <v>EXP00438</v>
      </c>
      <c r="B18465" s="3" t="s">
        <v>66</v>
      </c>
      <c r="C18465" s="4" t="str">
        <f t="shared" si="1314"/>
        <v>TCGA-PRAD</v>
      </c>
      <c r="D18465" s="1" t="s">
        <v>493</v>
      </c>
      <c r="E18465" t="s">
        <v>571</v>
      </c>
      <c r="F18465" s="1">
        <v>2</v>
      </c>
      <c r="G18465" s="1" t="s">
        <v>28</v>
      </c>
      <c r="H18465" s="4" t="str">
        <f>HYPERLINK("https://portal.gdc.cancer.gov/cases/bdd4fefa-512a-4720-9f9e-11eb3892fe3c","TCGA-XJ-A83F-01A")</f>
        <v>TCGA-XJ-A83F-01A</v>
      </c>
      <c r="I18465" t="s">
        <v>161</v>
      </c>
      <c r="J18465" t="s">
        <v>569</v>
      </c>
      <c r="K18465" t="s">
        <v>33</v>
      </c>
      <c r="L18465" t="s">
        <v>162</v>
      </c>
      <c r="N18465" t="s">
        <v>29</v>
      </c>
    </row>
    <row r="18466" spans="1:14">
      <c r="A18466" s="4" t="str">
        <f t="shared" si="1313"/>
        <v>EXP00438</v>
      </c>
      <c r="B18466" s="3" t="s">
        <v>66</v>
      </c>
      <c r="C18466" s="4" t="str">
        <f t="shared" si="1314"/>
        <v>TCGA-PRAD</v>
      </c>
      <c r="D18466" s="1" t="s">
        <v>493</v>
      </c>
      <c r="E18466" t="s">
        <v>571</v>
      </c>
      <c r="F18466" s="1">
        <v>2</v>
      </c>
      <c r="G18466" s="1" t="s">
        <v>28</v>
      </c>
      <c r="H18466" s="4" t="str">
        <f>HYPERLINK("https://portal.gdc.cancer.gov/cases/bf428d43-2da6-43fc-bd62-7cbff84e95ec","TCGA-XJ-A83G-01A")</f>
        <v>TCGA-XJ-A83G-01A</v>
      </c>
      <c r="I18466" t="s">
        <v>161</v>
      </c>
      <c r="J18466" t="s">
        <v>569</v>
      </c>
      <c r="K18466" t="s">
        <v>33</v>
      </c>
      <c r="L18466" t="s">
        <v>162</v>
      </c>
      <c r="N18466" t="s">
        <v>29</v>
      </c>
    </row>
    <row r="18467" spans="1:14">
      <c r="A18467" s="4" t="str">
        <f t="shared" si="1313"/>
        <v>EXP00438</v>
      </c>
      <c r="B18467" s="3" t="s">
        <v>66</v>
      </c>
      <c r="C18467" s="4" t="str">
        <f t="shared" si="1314"/>
        <v>TCGA-PRAD</v>
      </c>
      <c r="D18467" s="1" t="s">
        <v>493</v>
      </c>
      <c r="E18467" t="s">
        <v>571</v>
      </c>
      <c r="F18467" s="1">
        <v>2</v>
      </c>
      <c r="G18467" s="1" t="s">
        <v>28</v>
      </c>
      <c r="H18467" s="4" t="str">
        <f>HYPERLINK("https://portal.gdc.cancer.gov/cases/58c27028-f37c-4cf1-b134-bd9aec9bf170","TCGA-XJ-A83H-01A")</f>
        <v>TCGA-XJ-A83H-01A</v>
      </c>
      <c r="I18467" t="s">
        <v>161</v>
      </c>
      <c r="J18467" t="s">
        <v>569</v>
      </c>
      <c r="K18467" t="s">
        <v>33</v>
      </c>
      <c r="L18467" t="s">
        <v>162</v>
      </c>
      <c r="N18467" t="s">
        <v>29</v>
      </c>
    </row>
    <row r="18468" spans="1:14">
      <c r="A18468" s="4" t="str">
        <f t="shared" si="1313"/>
        <v>EXP00438</v>
      </c>
      <c r="B18468" s="3" t="s">
        <v>66</v>
      </c>
      <c r="C18468" s="4" t="str">
        <f t="shared" si="1314"/>
        <v>TCGA-PRAD</v>
      </c>
      <c r="D18468" s="1" t="s">
        <v>493</v>
      </c>
      <c r="E18468" t="s">
        <v>571</v>
      </c>
      <c r="F18468" s="1">
        <v>2</v>
      </c>
      <c r="G18468" s="1" t="s">
        <v>28</v>
      </c>
      <c r="H18468" s="4" t="str">
        <f>HYPERLINK("https://portal.gdc.cancer.gov/cases/39a5aebe-acad-4141-aa5a-66228c4049f8","TCGA-XJ-A9DI-01A")</f>
        <v>TCGA-XJ-A9DI-01A</v>
      </c>
      <c r="I18468" t="s">
        <v>161</v>
      </c>
      <c r="J18468" t="s">
        <v>569</v>
      </c>
      <c r="K18468" t="s">
        <v>33</v>
      </c>
      <c r="L18468" t="s">
        <v>162</v>
      </c>
      <c r="N18468" t="s">
        <v>29</v>
      </c>
    </row>
    <row r="18469" spans="1:14">
      <c r="A18469" s="4" t="str">
        <f t="shared" si="1313"/>
        <v>EXP00438</v>
      </c>
      <c r="B18469" s="3" t="s">
        <v>66</v>
      </c>
      <c r="C18469" s="4" t="str">
        <f t="shared" si="1314"/>
        <v>TCGA-PRAD</v>
      </c>
      <c r="D18469" s="1" t="s">
        <v>493</v>
      </c>
      <c r="E18469" t="s">
        <v>571</v>
      </c>
      <c r="F18469" s="1">
        <v>2</v>
      </c>
      <c r="G18469" s="1" t="s">
        <v>28</v>
      </c>
      <c r="H18469" s="4" t="str">
        <f>HYPERLINK("https://portal.gdc.cancer.gov/cases/5a4d8694-947d-45e9-9a21-6de0f63837f0","TCGA-XJ-A9DK-01A")</f>
        <v>TCGA-XJ-A9DK-01A</v>
      </c>
      <c r="I18469" t="s">
        <v>161</v>
      </c>
      <c r="J18469" t="s">
        <v>569</v>
      </c>
      <c r="K18469" t="s">
        <v>33</v>
      </c>
      <c r="L18469" t="s">
        <v>162</v>
      </c>
      <c r="N18469" t="s">
        <v>29</v>
      </c>
    </row>
    <row r="18470" spans="1:14">
      <c r="A18470" s="4" t="str">
        <f t="shared" si="1313"/>
        <v>EXP00438</v>
      </c>
      <c r="B18470" s="3" t="s">
        <v>66</v>
      </c>
      <c r="C18470" s="4" t="str">
        <f t="shared" si="1314"/>
        <v>TCGA-PRAD</v>
      </c>
      <c r="D18470" s="1" t="s">
        <v>493</v>
      </c>
      <c r="E18470" t="s">
        <v>571</v>
      </c>
      <c r="F18470" s="1">
        <v>2</v>
      </c>
      <c r="G18470" s="1" t="s">
        <v>28</v>
      </c>
      <c r="H18470" s="4" t="str">
        <f>HYPERLINK("https://portal.gdc.cancer.gov/cases/5d8c9b90-8d40-4cdd-900d-03681bc2d2a6","TCGA-XJ-A9DQ-01A")</f>
        <v>TCGA-XJ-A9DQ-01A</v>
      </c>
      <c r="I18470" t="s">
        <v>161</v>
      </c>
      <c r="J18470" t="s">
        <v>569</v>
      </c>
      <c r="K18470" t="s">
        <v>33</v>
      </c>
      <c r="L18470" t="s">
        <v>162</v>
      </c>
      <c r="N18470" t="s">
        <v>29</v>
      </c>
    </row>
    <row r="18471" spans="1:14">
      <c r="A18471" s="4" t="str">
        <f t="shared" si="1313"/>
        <v>EXP00438</v>
      </c>
      <c r="B18471" s="3" t="s">
        <v>66</v>
      </c>
      <c r="C18471" s="4" t="str">
        <f t="shared" si="1314"/>
        <v>TCGA-PRAD</v>
      </c>
      <c r="D18471" s="1" t="s">
        <v>493</v>
      </c>
      <c r="E18471" t="s">
        <v>571</v>
      </c>
      <c r="F18471" s="1">
        <v>2</v>
      </c>
      <c r="G18471" s="1" t="s">
        <v>28</v>
      </c>
      <c r="H18471" s="4" t="str">
        <f>HYPERLINK("https://portal.gdc.cancer.gov/cases/84a5d5fc-7350-4846-a1bc-8bfadbcff8dc","TCGA-XJ-A9DX-01A")</f>
        <v>TCGA-XJ-A9DX-01A</v>
      </c>
      <c r="I18471" t="s">
        <v>161</v>
      </c>
      <c r="J18471" t="s">
        <v>569</v>
      </c>
      <c r="K18471" t="s">
        <v>33</v>
      </c>
      <c r="L18471" t="s">
        <v>162</v>
      </c>
      <c r="N18471" t="s">
        <v>29</v>
      </c>
    </row>
    <row r="18472" spans="1:14">
      <c r="A18472" s="4" t="str">
        <f t="shared" si="1313"/>
        <v>EXP00438</v>
      </c>
      <c r="B18472" s="3" t="s">
        <v>66</v>
      </c>
      <c r="C18472" s="4" t="str">
        <f t="shared" si="1314"/>
        <v>TCGA-PRAD</v>
      </c>
      <c r="D18472" s="1" t="s">
        <v>493</v>
      </c>
      <c r="E18472" t="s">
        <v>571</v>
      </c>
      <c r="F18472" s="1">
        <v>2</v>
      </c>
      <c r="G18472" s="1" t="s">
        <v>28</v>
      </c>
      <c r="H18472" s="4" t="str">
        <f>HYPERLINK("https://portal.gdc.cancer.gov/cases/12d2b93e-a033-4b36-ae81-c15879eb40bd","TCGA-XK-AAIR-01A")</f>
        <v>TCGA-XK-AAIR-01A</v>
      </c>
      <c r="I18472" t="s">
        <v>161</v>
      </c>
      <c r="J18472" t="s">
        <v>569</v>
      </c>
      <c r="K18472" t="s">
        <v>33</v>
      </c>
      <c r="L18472" t="s">
        <v>162</v>
      </c>
      <c r="N18472" t="s">
        <v>29</v>
      </c>
    </row>
    <row r="18473" spans="1:14">
      <c r="A18473" s="4" t="str">
        <f t="shared" si="1313"/>
        <v>EXP00438</v>
      </c>
      <c r="B18473" s="3" t="s">
        <v>66</v>
      </c>
      <c r="C18473" s="4" t="str">
        <f t="shared" si="1314"/>
        <v>TCGA-PRAD</v>
      </c>
      <c r="D18473" s="1" t="s">
        <v>493</v>
      </c>
      <c r="E18473" t="s">
        <v>571</v>
      </c>
      <c r="F18473" s="1">
        <v>2</v>
      </c>
      <c r="G18473" s="1" t="s">
        <v>28</v>
      </c>
      <c r="H18473" s="4" t="str">
        <f>HYPERLINK("https://portal.gdc.cancer.gov/cases/0e747c7e-3621-4d88-847c-86811655d908","TCGA-XK-AAIV-01A")</f>
        <v>TCGA-XK-AAIV-01A</v>
      </c>
      <c r="I18473" t="s">
        <v>161</v>
      </c>
      <c r="J18473" t="s">
        <v>569</v>
      </c>
      <c r="K18473" t="s">
        <v>33</v>
      </c>
      <c r="L18473" t="s">
        <v>162</v>
      </c>
      <c r="N18473" t="s">
        <v>29</v>
      </c>
    </row>
    <row r="18474" spans="1:14">
      <c r="A18474" s="4" t="str">
        <f t="shared" si="1313"/>
        <v>EXP00438</v>
      </c>
      <c r="B18474" s="3" t="s">
        <v>66</v>
      </c>
      <c r="C18474" s="4" t="str">
        <f t="shared" si="1314"/>
        <v>TCGA-PRAD</v>
      </c>
      <c r="D18474" s="1" t="s">
        <v>493</v>
      </c>
      <c r="E18474" t="s">
        <v>571</v>
      </c>
      <c r="F18474" s="1">
        <v>2</v>
      </c>
      <c r="G18474" s="1" t="s">
        <v>28</v>
      </c>
      <c r="H18474" s="4" t="str">
        <f>HYPERLINK("https://portal.gdc.cancer.gov/cases/2270d09e-a8be-4b7d-9520-a4bb1cd053c0","TCGA-XK-AAIW-01A")</f>
        <v>TCGA-XK-AAIW-01A</v>
      </c>
      <c r="I18474" t="s">
        <v>161</v>
      </c>
      <c r="J18474" t="s">
        <v>569</v>
      </c>
      <c r="K18474" t="s">
        <v>33</v>
      </c>
      <c r="L18474" t="s">
        <v>162</v>
      </c>
      <c r="N18474" t="s">
        <v>29</v>
      </c>
    </row>
    <row r="18475" spans="1:14">
      <c r="A18475" s="4" t="str">
        <f t="shared" si="1313"/>
        <v>EXP00438</v>
      </c>
      <c r="B18475" s="3" t="s">
        <v>66</v>
      </c>
      <c r="C18475" s="4" t="str">
        <f t="shared" si="1314"/>
        <v>TCGA-PRAD</v>
      </c>
      <c r="D18475" s="1" t="s">
        <v>493</v>
      </c>
      <c r="E18475" t="s">
        <v>571</v>
      </c>
      <c r="F18475" s="1">
        <v>2</v>
      </c>
      <c r="G18475" s="1" t="s">
        <v>28</v>
      </c>
      <c r="H18475" s="4" t="str">
        <f>HYPERLINK("https://portal.gdc.cancer.gov/cases/06c9eb11-6018-4015-9fbe-b46886b2c3e0","TCGA-XK-AAJ3-01A")</f>
        <v>TCGA-XK-AAJ3-01A</v>
      </c>
      <c r="I18475" t="s">
        <v>161</v>
      </c>
      <c r="J18475" t="s">
        <v>569</v>
      </c>
      <c r="K18475" t="s">
        <v>33</v>
      </c>
      <c r="L18475" t="s">
        <v>162</v>
      </c>
      <c r="N18475" t="s">
        <v>29</v>
      </c>
    </row>
    <row r="18476" spans="1:14">
      <c r="A18476" s="4" t="str">
        <f t="shared" si="1313"/>
        <v>EXP00438</v>
      </c>
      <c r="B18476" s="3" t="s">
        <v>66</v>
      </c>
      <c r="C18476" s="4" t="str">
        <f t="shared" si="1314"/>
        <v>TCGA-PRAD</v>
      </c>
      <c r="D18476" s="1" t="s">
        <v>493</v>
      </c>
      <c r="E18476" t="s">
        <v>571</v>
      </c>
      <c r="F18476" s="1">
        <v>2</v>
      </c>
      <c r="G18476" s="1" t="s">
        <v>28</v>
      </c>
      <c r="H18476" s="4" t="str">
        <f>HYPERLINK("https://portal.gdc.cancer.gov/cases/d17b1955-0565-46c1-a5a7-ecd41ac0286a","TCGA-XK-AAJA-01A")</f>
        <v>TCGA-XK-AAJA-01A</v>
      </c>
      <c r="I18476" t="s">
        <v>161</v>
      </c>
      <c r="J18476" t="s">
        <v>569</v>
      </c>
      <c r="K18476" t="s">
        <v>33</v>
      </c>
      <c r="L18476" t="s">
        <v>162</v>
      </c>
      <c r="N18476" t="s">
        <v>29</v>
      </c>
    </row>
    <row r="18477" spans="1:14">
      <c r="A18477" s="4" t="str">
        <f t="shared" si="1313"/>
        <v>EXP00438</v>
      </c>
      <c r="B18477" s="3" t="s">
        <v>66</v>
      </c>
      <c r="C18477" s="4" t="str">
        <f t="shared" si="1314"/>
        <v>TCGA-PRAD</v>
      </c>
      <c r="D18477" s="1" t="s">
        <v>493</v>
      </c>
      <c r="E18477" t="s">
        <v>571</v>
      </c>
      <c r="F18477" s="1">
        <v>2</v>
      </c>
      <c r="G18477" s="1" t="s">
        <v>28</v>
      </c>
      <c r="H18477" s="4" t="str">
        <f>HYPERLINK("https://portal.gdc.cancer.gov/cases/720d77bc-58e3-42ee-aae7-5de586c2ac41","TCGA-XK-AAJP-01A")</f>
        <v>TCGA-XK-AAJP-01A</v>
      </c>
      <c r="I18477" t="s">
        <v>161</v>
      </c>
      <c r="J18477" t="s">
        <v>569</v>
      </c>
      <c r="K18477" t="s">
        <v>33</v>
      </c>
      <c r="L18477" t="s">
        <v>162</v>
      </c>
      <c r="N18477" t="s">
        <v>29</v>
      </c>
    </row>
    <row r="18478" spans="1:14">
      <c r="A18478" s="4" t="str">
        <f t="shared" si="1313"/>
        <v>EXP00438</v>
      </c>
      <c r="B18478" s="3" t="s">
        <v>66</v>
      </c>
      <c r="C18478" s="4" t="str">
        <f t="shared" si="1314"/>
        <v>TCGA-PRAD</v>
      </c>
      <c r="D18478" s="1" t="s">
        <v>493</v>
      </c>
      <c r="E18478" t="s">
        <v>571</v>
      </c>
      <c r="F18478" s="1">
        <v>2</v>
      </c>
      <c r="G18478" s="1" t="s">
        <v>28</v>
      </c>
      <c r="H18478" s="4" t="str">
        <f>HYPERLINK("https://portal.gdc.cancer.gov/cases/a3a4a518-2dac-4846-9476-1aa7e0c1fb5e","TCGA-XK-AAJR-01A")</f>
        <v>TCGA-XK-AAJR-01A</v>
      </c>
      <c r="I18478" t="s">
        <v>161</v>
      </c>
      <c r="J18478" t="s">
        <v>569</v>
      </c>
      <c r="K18478" t="s">
        <v>33</v>
      </c>
      <c r="L18478" t="s">
        <v>162</v>
      </c>
      <c r="N18478" t="s">
        <v>29</v>
      </c>
    </row>
    <row r="18479" spans="1:14">
      <c r="A18479" s="4" t="str">
        <f t="shared" si="1313"/>
        <v>EXP00438</v>
      </c>
      <c r="B18479" s="3" t="s">
        <v>66</v>
      </c>
      <c r="C18479" s="4" t="str">
        <f t="shared" si="1314"/>
        <v>TCGA-PRAD</v>
      </c>
      <c r="D18479" s="1" t="s">
        <v>493</v>
      </c>
      <c r="E18479" t="s">
        <v>571</v>
      </c>
      <c r="F18479" s="1">
        <v>2</v>
      </c>
      <c r="G18479" s="1" t="s">
        <v>28</v>
      </c>
      <c r="H18479" s="4" t="str">
        <f>HYPERLINK("https://portal.gdc.cancer.gov/cases/5d66ac77-1543-488b-a68f-665811bec67a","TCGA-XK-AAJT-01A")</f>
        <v>TCGA-XK-AAJT-01A</v>
      </c>
      <c r="I18479" t="s">
        <v>161</v>
      </c>
      <c r="J18479" t="s">
        <v>569</v>
      </c>
      <c r="K18479" t="s">
        <v>33</v>
      </c>
      <c r="L18479" t="s">
        <v>162</v>
      </c>
      <c r="N18479" t="s">
        <v>29</v>
      </c>
    </row>
    <row r="18480" spans="1:14">
      <c r="A18480" s="4" t="str">
        <f t="shared" si="1313"/>
        <v>EXP00438</v>
      </c>
      <c r="B18480" s="3" t="s">
        <v>66</v>
      </c>
      <c r="C18480" s="4" t="str">
        <f t="shared" si="1314"/>
        <v>TCGA-PRAD</v>
      </c>
      <c r="D18480" s="1" t="s">
        <v>493</v>
      </c>
      <c r="E18480" t="s">
        <v>571</v>
      </c>
      <c r="F18480" s="1">
        <v>2</v>
      </c>
      <c r="G18480" s="1" t="s">
        <v>28</v>
      </c>
      <c r="H18480" s="4" t="str">
        <f>HYPERLINK("https://portal.gdc.cancer.gov/cases/ed7084f8-060c-4780-8b35-a03a5eab9684","TCGA-XK-AAJU-01A")</f>
        <v>TCGA-XK-AAJU-01A</v>
      </c>
      <c r="I18480" t="s">
        <v>161</v>
      </c>
      <c r="J18480" t="s">
        <v>569</v>
      </c>
      <c r="K18480" t="s">
        <v>33</v>
      </c>
      <c r="L18480" t="s">
        <v>162</v>
      </c>
      <c r="N18480" t="s">
        <v>29</v>
      </c>
    </row>
    <row r="18481" spans="1:14">
      <c r="A18481" s="4" t="str">
        <f t="shared" si="1313"/>
        <v>EXP00438</v>
      </c>
      <c r="B18481" s="3" t="s">
        <v>66</v>
      </c>
      <c r="C18481" s="4" t="str">
        <f t="shared" si="1314"/>
        <v>TCGA-PRAD</v>
      </c>
      <c r="D18481" s="1" t="s">
        <v>493</v>
      </c>
      <c r="E18481" t="s">
        <v>571</v>
      </c>
      <c r="F18481" s="1">
        <v>2</v>
      </c>
      <c r="G18481" s="1" t="s">
        <v>28</v>
      </c>
      <c r="H18481" s="4" t="str">
        <f>HYPERLINK("https://portal.gdc.cancer.gov/cases/1bc21d56-299d-40bc-b9c8-c74db990611e","TCGA-XK-AAK1-01A")</f>
        <v>TCGA-XK-AAK1-01A</v>
      </c>
      <c r="I18481" t="s">
        <v>161</v>
      </c>
      <c r="J18481" t="s">
        <v>569</v>
      </c>
      <c r="K18481" t="s">
        <v>33</v>
      </c>
      <c r="L18481" t="s">
        <v>162</v>
      </c>
      <c r="N18481" t="s">
        <v>29</v>
      </c>
    </row>
    <row r="18482" spans="1:14">
      <c r="A18482" s="4" t="str">
        <f t="shared" si="1313"/>
        <v>EXP00438</v>
      </c>
      <c r="B18482" s="3" t="s">
        <v>66</v>
      </c>
      <c r="C18482" s="4" t="str">
        <f t="shared" si="1314"/>
        <v>TCGA-PRAD</v>
      </c>
      <c r="D18482" s="1" t="s">
        <v>493</v>
      </c>
      <c r="E18482" t="s">
        <v>571</v>
      </c>
      <c r="F18482" s="1">
        <v>2</v>
      </c>
      <c r="G18482" s="1" t="s">
        <v>28</v>
      </c>
      <c r="H18482" s="4" t="str">
        <f>HYPERLINK("https://portal.gdc.cancer.gov/cases/b47791ba-85fd-41d0-ac1f-b6fa06f18e96","TCGA-XQ-A8TA-01A")</f>
        <v>TCGA-XQ-A8TA-01A</v>
      </c>
      <c r="I18482" t="s">
        <v>161</v>
      </c>
      <c r="J18482" t="s">
        <v>569</v>
      </c>
      <c r="K18482" t="s">
        <v>33</v>
      </c>
      <c r="L18482" t="s">
        <v>162</v>
      </c>
      <c r="N18482" t="s">
        <v>29</v>
      </c>
    </row>
    <row r="18483" spans="1:14">
      <c r="A18483" s="4" t="str">
        <f t="shared" si="1313"/>
        <v>EXP00438</v>
      </c>
      <c r="B18483" s="3" t="s">
        <v>66</v>
      </c>
      <c r="C18483" s="4" t="str">
        <f t="shared" si="1314"/>
        <v>TCGA-PRAD</v>
      </c>
      <c r="D18483" s="1" t="s">
        <v>493</v>
      </c>
      <c r="E18483" t="s">
        <v>571</v>
      </c>
      <c r="F18483" s="1">
        <v>2</v>
      </c>
      <c r="G18483" s="1" t="s">
        <v>28</v>
      </c>
      <c r="H18483" s="4" t="str">
        <f>HYPERLINK("https://portal.gdc.cancer.gov/cases/5277f041-f9fb-47c2-83f3-65ad230dd40a","TCGA-XQ-A8TB-01A")</f>
        <v>TCGA-XQ-A8TB-01A</v>
      </c>
      <c r="I18483" t="s">
        <v>161</v>
      </c>
      <c r="J18483" t="s">
        <v>569</v>
      </c>
      <c r="K18483" t="s">
        <v>33</v>
      </c>
      <c r="L18483" t="s">
        <v>162</v>
      </c>
      <c r="N18483" t="s">
        <v>29</v>
      </c>
    </row>
    <row r="18484" spans="1:14">
      <c r="A18484" s="4" t="str">
        <f t="shared" si="1313"/>
        <v>EXP00438</v>
      </c>
      <c r="B18484" s="3" t="s">
        <v>66</v>
      </c>
      <c r="C18484" s="4" t="str">
        <f t="shared" si="1314"/>
        <v>TCGA-PRAD</v>
      </c>
      <c r="D18484" s="1" t="s">
        <v>493</v>
      </c>
      <c r="E18484" t="s">
        <v>571</v>
      </c>
      <c r="F18484" s="1">
        <v>2</v>
      </c>
      <c r="G18484" s="1" t="s">
        <v>28</v>
      </c>
      <c r="H18484" s="4" t="str">
        <f>HYPERLINK("https://portal.gdc.cancer.gov/cases/a7045324-cb44-4b37-bbaf-641642c1d903","TCGA-Y6-A8TL-01A")</f>
        <v>TCGA-Y6-A8TL-01A</v>
      </c>
      <c r="I18484" t="s">
        <v>161</v>
      </c>
      <c r="J18484" t="s">
        <v>569</v>
      </c>
      <c r="K18484" t="s">
        <v>33</v>
      </c>
      <c r="L18484" t="s">
        <v>162</v>
      </c>
      <c r="N18484" t="s">
        <v>29</v>
      </c>
    </row>
    <row r="18485" spans="1:14">
      <c r="A18485" s="4" t="str">
        <f t="shared" si="1313"/>
        <v>EXP00438</v>
      </c>
      <c r="B18485" s="3" t="s">
        <v>66</v>
      </c>
      <c r="C18485" s="4" t="str">
        <f t="shared" si="1314"/>
        <v>TCGA-PRAD</v>
      </c>
      <c r="D18485" s="1" t="s">
        <v>493</v>
      </c>
      <c r="E18485" t="s">
        <v>571</v>
      </c>
      <c r="F18485" s="1">
        <v>2</v>
      </c>
      <c r="G18485" s="1" t="s">
        <v>28</v>
      </c>
      <c r="H18485" s="4" t="str">
        <f>HYPERLINK("https://portal.gdc.cancer.gov/cases/c4ebb2eb-e1f0-4490-80f3-5cf0c40a3091","TCGA-Y6-A9XI-01A")</f>
        <v>TCGA-Y6-A9XI-01A</v>
      </c>
      <c r="I18485" t="s">
        <v>161</v>
      </c>
      <c r="J18485" t="s">
        <v>569</v>
      </c>
      <c r="K18485" t="s">
        <v>33</v>
      </c>
      <c r="L18485" t="s">
        <v>162</v>
      </c>
      <c r="N18485" t="s">
        <v>29</v>
      </c>
    </row>
    <row r="18486" spans="1:14">
      <c r="A18486" s="4" t="str">
        <f t="shared" si="1313"/>
        <v>EXP00438</v>
      </c>
      <c r="B18486" s="3" t="s">
        <v>66</v>
      </c>
      <c r="C18486" s="4" t="str">
        <f t="shared" si="1314"/>
        <v>TCGA-PRAD</v>
      </c>
      <c r="D18486" s="1" t="s">
        <v>493</v>
      </c>
      <c r="E18486" t="s">
        <v>571</v>
      </c>
      <c r="F18486" s="1">
        <v>2</v>
      </c>
      <c r="G18486" s="1" t="s">
        <v>28</v>
      </c>
      <c r="H18486" s="4" t="str">
        <f>HYPERLINK("https://portal.gdc.cancer.gov/cases/74de01bd-30d9-45fc-841d-ed1c0d7446ba","TCGA-YJ-A8SW-01A")</f>
        <v>TCGA-YJ-A8SW-01A</v>
      </c>
      <c r="I18486" t="s">
        <v>161</v>
      </c>
      <c r="J18486" t="s">
        <v>569</v>
      </c>
      <c r="K18486" t="s">
        <v>33</v>
      </c>
      <c r="L18486" t="s">
        <v>162</v>
      </c>
      <c r="N18486" t="s">
        <v>29</v>
      </c>
    </row>
    <row r="18487" spans="1:14">
      <c r="A18487" s="4" t="str">
        <f t="shared" si="1313"/>
        <v>EXP00438</v>
      </c>
      <c r="B18487" s="3" t="s">
        <v>66</v>
      </c>
      <c r="C18487" s="4" t="str">
        <f t="shared" si="1314"/>
        <v>TCGA-PRAD</v>
      </c>
      <c r="D18487" s="1" t="s">
        <v>493</v>
      </c>
      <c r="E18487" t="s">
        <v>571</v>
      </c>
      <c r="F18487" s="1">
        <v>2</v>
      </c>
      <c r="G18487" s="1" t="s">
        <v>28</v>
      </c>
      <c r="H18487" s="4" t="str">
        <f>HYPERLINK("https://portal.gdc.cancer.gov/cases/666d8b0c-593f-4ec3-b16a-2dadbead8c32","TCGA-YL-A8HJ-01A")</f>
        <v>TCGA-YL-A8HJ-01A</v>
      </c>
      <c r="I18487" t="s">
        <v>161</v>
      </c>
      <c r="J18487" t="s">
        <v>569</v>
      </c>
      <c r="K18487" t="s">
        <v>33</v>
      </c>
      <c r="L18487" t="s">
        <v>162</v>
      </c>
      <c r="N18487" t="s">
        <v>29</v>
      </c>
    </row>
    <row r="18488" spans="1:14">
      <c r="A18488" s="4" t="str">
        <f t="shared" si="1313"/>
        <v>EXP00438</v>
      </c>
      <c r="B18488" s="3" t="s">
        <v>66</v>
      </c>
      <c r="C18488" s="4" t="str">
        <f t="shared" si="1314"/>
        <v>TCGA-PRAD</v>
      </c>
      <c r="D18488" s="1" t="s">
        <v>493</v>
      </c>
      <c r="E18488" t="s">
        <v>571</v>
      </c>
      <c r="F18488" s="1">
        <v>2</v>
      </c>
      <c r="G18488" s="1" t="s">
        <v>28</v>
      </c>
      <c r="H18488" s="4" t="str">
        <f>HYPERLINK("https://portal.gdc.cancer.gov/cases/351239db-52d3-4ab5-bd4f-8feaa6701ba1","TCGA-YL-A8HK-01A")</f>
        <v>TCGA-YL-A8HK-01A</v>
      </c>
      <c r="I18488" t="s">
        <v>161</v>
      </c>
      <c r="J18488" t="s">
        <v>569</v>
      </c>
      <c r="K18488" t="s">
        <v>33</v>
      </c>
      <c r="L18488" t="s">
        <v>162</v>
      </c>
      <c r="N18488" t="s">
        <v>29</v>
      </c>
    </row>
    <row r="18489" spans="1:14">
      <c r="A18489" s="4" t="str">
        <f t="shared" si="1313"/>
        <v>EXP00438</v>
      </c>
      <c r="B18489" s="3" t="s">
        <v>66</v>
      </c>
      <c r="C18489" s="4" t="str">
        <f t="shared" si="1314"/>
        <v>TCGA-PRAD</v>
      </c>
      <c r="D18489" s="1" t="s">
        <v>493</v>
      </c>
      <c r="E18489" t="s">
        <v>571</v>
      </c>
      <c r="F18489" s="1">
        <v>2</v>
      </c>
      <c r="G18489" s="1" t="s">
        <v>28</v>
      </c>
      <c r="H18489" s="4" t="str">
        <f>HYPERLINK("https://portal.gdc.cancer.gov/cases/ff52fa2f-bd12-4de0-9f5c-cd330ffb5fb3","TCGA-YL-A8HL-01A")</f>
        <v>TCGA-YL-A8HL-01A</v>
      </c>
      <c r="I18489" t="s">
        <v>161</v>
      </c>
      <c r="J18489" t="s">
        <v>569</v>
      </c>
      <c r="K18489" t="s">
        <v>33</v>
      </c>
      <c r="L18489" t="s">
        <v>162</v>
      </c>
      <c r="N18489" t="s">
        <v>29</v>
      </c>
    </row>
    <row r="18490" spans="1:14">
      <c r="A18490" s="4" t="str">
        <f t="shared" si="1313"/>
        <v>EXP00438</v>
      </c>
      <c r="B18490" s="3" t="s">
        <v>66</v>
      </c>
      <c r="C18490" s="4" t="str">
        <f t="shared" si="1314"/>
        <v>TCGA-PRAD</v>
      </c>
      <c r="D18490" s="1" t="s">
        <v>493</v>
      </c>
      <c r="E18490" t="s">
        <v>571</v>
      </c>
      <c r="F18490" s="1">
        <v>2</v>
      </c>
      <c r="G18490" s="1" t="s">
        <v>28</v>
      </c>
      <c r="H18490" s="4" t="str">
        <f>HYPERLINK("https://portal.gdc.cancer.gov/cases/eff14fed-8a21-41c5-8ed3-75346a06e44e","TCGA-YL-A8HM-01A")</f>
        <v>TCGA-YL-A8HM-01A</v>
      </c>
      <c r="I18490" t="s">
        <v>161</v>
      </c>
      <c r="J18490" t="s">
        <v>569</v>
      </c>
      <c r="K18490" t="s">
        <v>33</v>
      </c>
      <c r="L18490" t="s">
        <v>162</v>
      </c>
      <c r="N18490" t="s">
        <v>29</v>
      </c>
    </row>
    <row r="18491" spans="1:14">
      <c r="A18491" s="4" t="str">
        <f t="shared" si="1313"/>
        <v>EXP00438</v>
      </c>
      <c r="B18491" s="3" t="s">
        <v>66</v>
      </c>
      <c r="C18491" s="4" t="str">
        <f t="shared" si="1314"/>
        <v>TCGA-PRAD</v>
      </c>
      <c r="D18491" s="1" t="s">
        <v>493</v>
      </c>
      <c r="E18491" t="s">
        <v>571</v>
      </c>
      <c r="F18491" s="1">
        <v>2</v>
      </c>
      <c r="G18491" s="1" t="s">
        <v>28</v>
      </c>
      <c r="H18491" s="4" t="str">
        <f>HYPERLINK("https://portal.gdc.cancer.gov/cases/b7c8ca4c-8d9c-4c5b-99ee-2fcebe4f70e6","TCGA-YL-A8HO-01A")</f>
        <v>TCGA-YL-A8HO-01A</v>
      </c>
      <c r="I18491" t="s">
        <v>161</v>
      </c>
      <c r="J18491" t="s">
        <v>569</v>
      </c>
      <c r="K18491" t="s">
        <v>33</v>
      </c>
      <c r="L18491" t="s">
        <v>162</v>
      </c>
      <c r="N18491" t="s">
        <v>29</v>
      </c>
    </row>
    <row r="18492" spans="1:14">
      <c r="A18492" s="4" t="str">
        <f t="shared" si="1313"/>
        <v>EXP00438</v>
      </c>
      <c r="B18492" s="3" t="s">
        <v>66</v>
      </c>
      <c r="C18492" s="4" t="str">
        <f t="shared" si="1314"/>
        <v>TCGA-PRAD</v>
      </c>
      <c r="D18492" s="1" t="s">
        <v>493</v>
      </c>
      <c r="E18492" t="s">
        <v>571</v>
      </c>
      <c r="F18492" s="1">
        <v>2</v>
      </c>
      <c r="G18492" s="1" t="s">
        <v>28</v>
      </c>
      <c r="H18492" s="4" t="str">
        <f>HYPERLINK("https://portal.gdc.cancer.gov/cases/494a8495-8d10-4a8f-8664-f68ac339c889","TCGA-YL-A8S8-01A")</f>
        <v>TCGA-YL-A8S8-01A</v>
      </c>
      <c r="I18492" t="s">
        <v>161</v>
      </c>
      <c r="J18492" t="s">
        <v>569</v>
      </c>
      <c r="K18492" t="s">
        <v>33</v>
      </c>
      <c r="L18492" t="s">
        <v>162</v>
      </c>
      <c r="N18492" t="s">
        <v>29</v>
      </c>
    </row>
    <row r="18493" spans="1:14">
      <c r="A18493" s="4" t="str">
        <f t="shared" si="1313"/>
        <v>EXP00438</v>
      </c>
      <c r="B18493" s="3" t="s">
        <v>66</v>
      </c>
      <c r="C18493" s="4" t="str">
        <f t="shared" si="1314"/>
        <v>TCGA-PRAD</v>
      </c>
      <c r="D18493" s="1" t="s">
        <v>493</v>
      </c>
      <c r="E18493" t="s">
        <v>571</v>
      </c>
      <c r="F18493" s="1">
        <v>2</v>
      </c>
      <c r="G18493" s="1" t="s">
        <v>28</v>
      </c>
      <c r="H18493" s="4" t="str">
        <f>HYPERLINK("https://portal.gdc.cancer.gov/cases/b0669eec-6a1a-4618-ae23-ae0f9e9c266c","TCGA-YL-A8S9-01A")</f>
        <v>TCGA-YL-A8S9-01A</v>
      </c>
      <c r="I18493" t="s">
        <v>161</v>
      </c>
      <c r="J18493" t="s">
        <v>569</v>
      </c>
      <c r="K18493" t="s">
        <v>33</v>
      </c>
      <c r="L18493" t="s">
        <v>162</v>
      </c>
      <c r="N18493" t="s">
        <v>29</v>
      </c>
    </row>
    <row r="18494" spans="1:14">
      <c r="A18494" s="4" t="str">
        <f t="shared" si="1313"/>
        <v>EXP00438</v>
      </c>
      <c r="B18494" s="3" t="s">
        <v>66</v>
      </c>
      <c r="C18494" s="4" t="str">
        <f t="shared" si="1314"/>
        <v>TCGA-PRAD</v>
      </c>
      <c r="D18494" s="1" t="s">
        <v>493</v>
      </c>
      <c r="E18494" t="s">
        <v>571</v>
      </c>
      <c r="F18494" s="1">
        <v>2</v>
      </c>
      <c r="G18494" s="1" t="s">
        <v>28</v>
      </c>
      <c r="H18494" s="4" t="str">
        <f>HYPERLINK("https://portal.gdc.cancer.gov/cases/2919afa2-3fee-43bd-ae68-e70718e73608","TCGA-YL-A8SA-01A")</f>
        <v>TCGA-YL-A8SA-01A</v>
      </c>
      <c r="I18494" t="s">
        <v>161</v>
      </c>
      <c r="J18494" t="s">
        <v>569</v>
      </c>
      <c r="K18494" t="s">
        <v>33</v>
      </c>
      <c r="L18494" t="s">
        <v>162</v>
      </c>
      <c r="N18494" t="s">
        <v>29</v>
      </c>
    </row>
    <row r="18495" spans="1:14">
      <c r="A18495" s="4" t="str">
        <f t="shared" si="1313"/>
        <v>EXP00438</v>
      </c>
      <c r="B18495" s="3" t="s">
        <v>66</v>
      </c>
      <c r="C18495" s="4" t="str">
        <f t="shared" si="1314"/>
        <v>TCGA-PRAD</v>
      </c>
      <c r="D18495" s="1" t="s">
        <v>493</v>
      </c>
      <c r="E18495" t="s">
        <v>571</v>
      </c>
      <c r="F18495" s="1">
        <v>2</v>
      </c>
      <c r="G18495" s="1" t="s">
        <v>28</v>
      </c>
      <c r="H18495" s="4" t="str">
        <f>HYPERLINK("https://portal.gdc.cancer.gov/cases/21a29827-7896-436d-ab52-e7edfc91e7d0","TCGA-YL-A8SB-01A")</f>
        <v>TCGA-YL-A8SB-01A</v>
      </c>
      <c r="I18495" t="s">
        <v>161</v>
      </c>
      <c r="J18495" t="s">
        <v>569</v>
      </c>
      <c r="K18495" t="s">
        <v>33</v>
      </c>
      <c r="L18495" t="s">
        <v>162</v>
      </c>
      <c r="N18495" t="s">
        <v>29</v>
      </c>
    </row>
    <row r="18496" spans="1:14">
      <c r="A18496" s="4" t="str">
        <f t="shared" si="1313"/>
        <v>EXP00438</v>
      </c>
      <c r="B18496" s="3" t="s">
        <v>66</v>
      </c>
      <c r="C18496" s="4" t="str">
        <f t="shared" si="1314"/>
        <v>TCGA-PRAD</v>
      </c>
      <c r="D18496" s="1" t="s">
        <v>493</v>
      </c>
      <c r="E18496" t="s">
        <v>571</v>
      </c>
      <c r="F18496" s="1">
        <v>2</v>
      </c>
      <c r="G18496" s="1" t="s">
        <v>28</v>
      </c>
      <c r="H18496" s="4" t="str">
        <f>HYPERLINK("https://portal.gdc.cancer.gov/cases/42fa9774-9471-4707-8f6f-8041b34c49e4","TCGA-YL-A8SC-01A")</f>
        <v>TCGA-YL-A8SC-01A</v>
      </c>
      <c r="I18496" t="s">
        <v>161</v>
      </c>
      <c r="J18496" t="s">
        <v>569</v>
      </c>
      <c r="K18496" t="s">
        <v>33</v>
      </c>
      <c r="L18496" t="s">
        <v>162</v>
      </c>
      <c r="N18496" t="s">
        <v>29</v>
      </c>
    </row>
    <row r="18497" spans="1:14">
      <c r="A18497" s="4" t="str">
        <f t="shared" si="1313"/>
        <v>EXP00438</v>
      </c>
      <c r="B18497" s="3" t="s">
        <v>66</v>
      </c>
      <c r="C18497" s="4" t="str">
        <f t="shared" si="1314"/>
        <v>TCGA-PRAD</v>
      </c>
      <c r="D18497" s="1" t="s">
        <v>493</v>
      </c>
      <c r="E18497" t="s">
        <v>571</v>
      </c>
      <c r="F18497" s="1">
        <v>2</v>
      </c>
      <c r="G18497" s="1" t="s">
        <v>28</v>
      </c>
      <c r="H18497" s="4" t="str">
        <f>HYPERLINK("https://portal.gdc.cancer.gov/cases/bfb973eb-d42d-4900-a606-a381d2317555","TCGA-YL-A8SH-01B")</f>
        <v>TCGA-YL-A8SH-01B</v>
      </c>
      <c r="I18497" t="s">
        <v>161</v>
      </c>
      <c r="J18497" t="s">
        <v>569</v>
      </c>
      <c r="K18497" t="s">
        <v>33</v>
      </c>
      <c r="L18497" t="s">
        <v>162</v>
      </c>
      <c r="N18497" t="s">
        <v>29</v>
      </c>
    </row>
    <row r="18498" spans="1:14">
      <c r="A18498" s="4" t="str">
        <f t="shared" si="1313"/>
        <v>EXP00438</v>
      </c>
      <c r="B18498" s="3" t="s">
        <v>66</v>
      </c>
      <c r="C18498" s="4" t="str">
        <f t="shared" si="1314"/>
        <v>TCGA-PRAD</v>
      </c>
      <c r="D18498" s="1" t="s">
        <v>493</v>
      </c>
      <c r="E18498" t="s">
        <v>571</v>
      </c>
      <c r="F18498" s="1">
        <v>2</v>
      </c>
      <c r="G18498" s="1" t="s">
        <v>28</v>
      </c>
      <c r="H18498" s="4" t="str">
        <f>HYPERLINK("https://portal.gdc.cancer.gov/cases/c5f8c89c-ef69-42f4-9b37-5b552fccdf4b","TCGA-YL-A8SI-01A")</f>
        <v>TCGA-YL-A8SI-01A</v>
      </c>
      <c r="I18498" t="s">
        <v>161</v>
      </c>
      <c r="J18498" t="s">
        <v>569</v>
      </c>
      <c r="K18498" t="s">
        <v>33</v>
      </c>
      <c r="L18498" t="s">
        <v>162</v>
      </c>
      <c r="N18498" t="s">
        <v>29</v>
      </c>
    </row>
    <row r="18499" spans="1:14">
      <c r="A18499" s="4" t="str">
        <f t="shared" si="1313"/>
        <v>EXP00438</v>
      </c>
      <c r="B18499" s="3" t="s">
        <v>66</v>
      </c>
      <c r="C18499" s="4" t="str">
        <f t="shared" si="1314"/>
        <v>TCGA-PRAD</v>
      </c>
      <c r="D18499" s="1" t="s">
        <v>493</v>
      </c>
      <c r="E18499" t="s">
        <v>571</v>
      </c>
      <c r="F18499" s="1">
        <v>2</v>
      </c>
      <c r="G18499" s="1" t="s">
        <v>28</v>
      </c>
      <c r="H18499" s="4" t="str">
        <f>HYPERLINK("https://portal.gdc.cancer.gov/cases/f3ec5bf3-97ae-4033-91a6-084a1aa152a4","TCGA-YL-A8SJ-01B")</f>
        <v>TCGA-YL-A8SJ-01B</v>
      </c>
      <c r="I18499" t="s">
        <v>161</v>
      </c>
      <c r="J18499" t="s">
        <v>569</v>
      </c>
      <c r="K18499" t="s">
        <v>33</v>
      </c>
      <c r="L18499" t="s">
        <v>162</v>
      </c>
      <c r="N18499" t="s">
        <v>29</v>
      </c>
    </row>
    <row r="18500" spans="1:14">
      <c r="A18500" s="4" t="str">
        <f t="shared" si="1313"/>
        <v>EXP00438</v>
      </c>
      <c r="B18500" s="3" t="s">
        <v>66</v>
      </c>
      <c r="C18500" s="4" t="str">
        <f t="shared" si="1314"/>
        <v>TCGA-PRAD</v>
      </c>
      <c r="D18500" s="1" t="s">
        <v>493</v>
      </c>
      <c r="E18500" t="s">
        <v>571</v>
      </c>
      <c r="F18500" s="1">
        <v>2</v>
      </c>
      <c r="G18500" s="1" t="s">
        <v>28</v>
      </c>
      <c r="H18500" s="4" t="str">
        <f>HYPERLINK("https://portal.gdc.cancer.gov/cases/159b47b2-dc7d-4856-9a00-454e27301e23","TCGA-YL-A8SK-01B")</f>
        <v>TCGA-YL-A8SK-01B</v>
      </c>
      <c r="I18500" t="s">
        <v>161</v>
      </c>
      <c r="J18500" t="s">
        <v>569</v>
      </c>
      <c r="K18500" t="s">
        <v>33</v>
      </c>
      <c r="L18500" t="s">
        <v>162</v>
      </c>
      <c r="N18500" t="s">
        <v>29</v>
      </c>
    </row>
    <row r="18501" spans="1:14">
      <c r="A18501" s="4" t="str">
        <f t="shared" si="1313"/>
        <v>EXP00438</v>
      </c>
      <c r="B18501" s="3" t="s">
        <v>66</v>
      </c>
      <c r="C18501" s="4" t="str">
        <f t="shared" si="1314"/>
        <v>TCGA-PRAD</v>
      </c>
      <c r="D18501" s="1" t="s">
        <v>493</v>
      </c>
      <c r="E18501" t="s">
        <v>571</v>
      </c>
      <c r="F18501" s="1">
        <v>2</v>
      </c>
      <c r="G18501" s="1" t="s">
        <v>28</v>
      </c>
      <c r="H18501" s="4" t="str">
        <f>HYPERLINK("https://portal.gdc.cancer.gov/cases/23ebc73d-be3b-42f8-9390-bf18a21afc5c","TCGA-YL-A8SL-01B")</f>
        <v>TCGA-YL-A8SL-01B</v>
      </c>
      <c r="I18501" t="s">
        <v>161</v>
      </c>
      <c r="J18501" t="s">
        <v>569</v>
      </c>
      <c r="K18501" t="s">
        <v>33</v>
      </c>
      <c r="L18501" t="s">
        <v>162</v>
      </c>
      <c r="N18501" t="s">
        <v>29</v>
      </c>
    </row>
    <row r="18502" spans="1:14">
      <c r="A18502" s="4" t="str">
        <f t="shared" si="1313"/>
        <v>EXP00438</v>
      </c>
      <c r="B18502" s="3" t="s">
        <v>66</v>
      </c>
      <c r="C18502" s="4" t="str">
        <f t="shared" si="1314"/>
        <v>TCGA-PRAD</v>
      </c>
      <c r="D18502" s="1" t="s">
        <v>493</v>
      </c>
      <c r="E18502" t="s">
        <v>571</v>
      </c>
      <c r="F18502" s="1">
        <v>2</v>
      </c>
      <c r="G18502" s="1" t="s">
        <v>28</v>
      </c>
      <c r="H18502" s="4" t="str">
        <f>HYPERLINK("https://portal.gdc.cancer.gov/cases/5e3d0e50-afb4-4d2d-b4d9-5f320c573ba3","TCGA-YL-A8SO-01B")</f>
        <v>TCGA-YL-A8SO-01B</v>
      </c>
      <c r="I18502" t="s">
        <v>161</v>
      </c>
      <c r="J18502" t="s">
        <v>569</v>
      </c>
      <c r="K18502" t="s">
        <v>33</v>
      </c>
      <c r="L18502" t="s">
        <v>162</v>
      </c>
      <c r="N18502" t="s">
        <v>29</v>
      </c>
    </row>
    <row r="18503" spans="1:14">
      <c r="A18503" s="4" t="str">
        <f t="shared" si="1313"/>
        <v>EXP00438</v>
      </c>
      <c r="B18503" s="3" t="s">
        <v>66</v>
      </c>
      <c r="C18503" s="4" t="str">
        <f t="shared" si="1314"/>
        <v>TCGA-PRAD</v>
      </c>
      <c r="D18503" s="1" t="s">
        <v>493</v>
      </c>
      <c r="E18503" t="s">
        <v>571</v>
      </c>
      <c r="F18503" s="1">
        <v>2</v>
      </c>
      <c r="G18503" s="1" t="s">
        <v>28</v>
      </c>
      <c r="H18503" s="4" t="str">
        <f>HYPERLINK("https://portal.gdc.cancer.gov/cases/c506fae4-7c0a-4705-8e80-5bcc122a8a32","TCGA-YL-A8SP-01B")</f>
        <v>TCGA-YL-A8SP-01B</v>
      </c>
      <c r="I18503" t="s">
        <v>161</v>
      </c>
      <c r="J18503" t="s">
        <v>569</v>
      </c>
      <c r="K18503" t="s">
        <v>33</v>
      </c>
      <c r="L18503" t="s">
        <v>162</v>
      </c>
      <c r="N18503" t="s">
        <v>29</v>
      </c>
    </row>
    <row r="18504" spans="1:14">
      <c r="A18504" s="4" t="str">
        <f t="shared" si="1313"/>
        <v>EXP00438</v>
      </c>
      <c r="B18504" s="3" t="s">
        <v>66</v>
      </c>
      <c r="C18504" s="4" t="str">
        <f t="shared" si="1314"/>
        <v>TCGA-PRAD</v>
      </c>
      <c r="D18504" s="1" t="s">
        <v>493</v>
      </c>
      <c r="E18504" t="s">
        <v>571</v>
      </c>
      <c r="F18504" s="1">
        <v>2</v>
      </c>
      <c r="G18504" s="1" t="s">
        <v>28</v>
      </c>
      <c r="H18504" s="4" t="str">
        <f>HYPERLINK("https://portal.gdc.cancer.gov/cases/24e5d323-f3d4-4add-9a29-79e77ced357c","TCGA-YL-A8SQ-01B")</f>
        <v>TCGA-YL-A8SQ-01B</v>
      </c>
      <c r="I18504" t="s">
        <v>161</v>
      </c>
      <c r="J18504" t="s">
        <v>569</v>
      </c>
      <c r="K18504" t="s">
        <v>33</v>
      </c>
      <c r="L18504" t="s">
        <v>162</v>
      </c>
      <c r="N18504" t="s">
        <v>29</v>
      </c>
    </row>
    <row r="18505" spans="1:14">
      <c r="A18505" s="4" t="str">
        <f t="shared" si="1313"/>
        <v>EXP00438</v>
      </c>
      <c r="B18505" s="3" t="s">
        <v>66</v>
      </c>
      <c r="C18505" s="4" t="str">
        <f t="shared" si="1314"/>
        <v>TCGA-PRAD</v>
      </c>
      <c r="D18505" s="1" t="s">
        <v>493</v>
      </c>
      <c r="E18505" t="s">
        <v>571</v>
      </c>
      <c r="F18505" s="1">
        <v>2</v>
      </c>
      <c r="G18505" s="1" t="s">
        <v>28</v>
      </c>
      <c r="H18505" s="4" t="str">
        <f>HYPERLINK("https://portal.gdc.cancer.gov/cases/cccdd4a2-ebf0-482d-b71c-9fe44414eec6","TCGA-YL-A8SR-01B")</f>
        <v>TCGA-YL-A8SR-01B</v>
      </c>
      <c r="I18505" t="s">
        <v>161</v>
      </c>
      <c r="J18505" t="s">
        <v>569</v>
      </c>
      <c r="K18505" t="s">
        <v>33</v>
      </c>
      <c r="L18505" t="s">
        <v>162</v>
      </c>
      <c r="N18505" t="s">
        <v>29</v>
      </c>
    </row>
    <row r="18506" spans="1:14">
      <c r="A18506" s="4" t="str">
        <f t="shared" ref="A18506:A18535" si="1315">HYPERLINK("http://hcmdb.i-sanger.com/experiment/details/experiment_id/EXP00438","EXP00438")</f>
        <v>EXP00438</v>
      </c>
      <c r="B18506" s="3" t="s">
        <v>66</v>
      </c>
      <c r="C18506" s="4" t="str">
        <f t="shared" si="1314"/>
        <v>TCGA-PRAD</v>
      </c>
      <c r="D18506" s="1" t="s">
        <v>493</v>
      </c>
      <c r="E18506" t="s">
        <v>571</v>
      </c>
      <c r="F18506" s="1">
        <v>2</v>
      </c>
      <c r="G18506" s="1" t="s">
        <v>28</v>
      </c>
      <c r="H18506" s="4" t="str">
        <f>HYPERLINK("https://portal.gdc.cancer.gov/cases/1bcb1132-a9fc-4f03-bbed-abaf80c7a24a","TCGA-YL-A9WH-01A")</f>
        <v>TCGA-YL-A9WH-01A</v>
      </c>
      <c r="I18506" t="s">
        <v>161</v>
      </c>
      <c r="J18506" t="s">
        <v>569</v>
      </c>
      <c r="K18506" t="s">
        <v>33</v>
      </c>
      <c r="L18506" t="s">
        <v>162</v>
      </c>
      <c r="N18506" t="s">
        <v>29</v>
      </c>
    </row>
    <row r="18507" spans="1:14">
      <c r="A18507" s="4" t="str">
        <f t="shared" si="1315"/>
        <v>EXP00438</v>
      </c>
      <c r="B18507" s="3" t="s">
        <v>66</v>
      </c>
      <c r="C18507" s="4" t="str">
        <f t="shared" si="1314"/>
        <v>TCGA-PRAD</v>
      </c>
      <c r="D18507" s="1" t="s">
        <v>493</v>
      </c>
      <c r="E18507" t="s">
        <v>571</v>
      </c>
      <c r="F18507" s="1">
        <v>2</v>
      </c>
      <c r="G18507" s="1" t="s">
        <v>28</v>
      </c>
      <c r="H18507" s="4" t="str">
        <f>HYPERLINK("https://portal.gdc.cancer.gov/cases/2d70eacc-d0c3-4121-bd1a-a47d68ecede5","TCGA-YL-A9WI-01A")</f>
        <v>TCGA-YL-A9WI-01A</v>
      </c>
      <c r="I18507" t="s">
        <v>161</v>
      </c>
      <c r="J18507" t="s">
        <v>569</v>
      </c>
      <c r="K18507" t="s">
        <v>33</v>
      </c>
      <c r="L18507" t="s">
        <v>162</v>
      </c>
      <c r="N18507" t="s">
        <v>29</v>
      </c>
    </row>
    <row r="18508" spans="1:14">
      <c r="A18508" s="4" t="str">
        <f t="shared" si="1315"/>
        <v>EXP00438</v>
      </c>
      <c r="B18508" s="3" t="s">
        <v>66</v>
      </c>
      <c r="C18508" s="4" t="str">
        <f t="shared" si="1314"/>
        <v>TCGA-PRAD</v>
      </c>
      <c r="D18508" s="1" t="s">
        <v>493</v>
      </c>
      <c r="E18508" t="s">
        <v>571</v>
      </c>
      <c r="F18508" s="1">
        <v>2</v>
      </c>
      <c r="G18508" s="1" t="s">
        <v>28</v>
      </c>
      <c r="H18508" s="4" t="str">
        <f>HYPERLINK("https://portal.gdc.cancer.gov/cases/b2bcc97f-03a6-409a-8b91-78221cb10d7f","TCGA-YL-A9WK-01A")</f>
        <v>TCGA-YL-A9WK-01A</v>
      </c>
      <c r="I18508" t="s">
        <v>161</v>
      </c>
      <c r="J18508" t="s">
        <v>569</v>
      </c>
      <c r="K18508" t="s">
        <v>33</v>
      </c>
      <c r="L18508" t="s">
        <v>162</v>
      </c>
      <c r="N18508" t="s">
        <v>29</v>
      </c>
    </row>
    <row r="18509" spans="1:14">
      <c r="A18509" s="4" t="str">
        <f t="shared" si="1315"/>
        <v>EXP00438</v>
      </c>
      <c r="B18509" s="3" t="s">
        <v>66</v>
      </c>
      <c r="C18509" s="4" t="str">
        <f t="shared" si="1314"/>
        <v>TCGA-PRAD</v>
      </c>
      <c r="D18509" s="1" t="s">
        <v>493</v>
      </c>
      <c r="E18509" t="s">
        <v>571</v>
      </c>
      <c r="F18509" s="1">
        <v>2</v>
      </c>
      <c r="G18509" s="1" t="s">
        <v>28</v>
      </c>
      <c r="H18509" s="4" t="str">
        <f>HYPERLINK("https://portal.gdc.cancer.gov/cases/cfcf057a-00fe-4603-a720-586712b75803","TCGA-YL-A9WL-01A")</f>
        <v>TCGA-YL-A9WL-01A</v>
      </c>
      <c r="I18509" t="s">
        <v>161</v>
      </c>
      <c r="J18509" t="s">
        <v>569</v>
      </c>
      <c r="K18509" t="s">
        <v>33</v>
      </c>
      <c r="L18509" t="s">
        <v>162</v>
      </c>
      <c r="N18509" t="s">
        <v>29</v>
      </c>
    </row>
    <row r="18510" spans="1:14">
      <c r="A18510" s="4" t="str">
        <f t="shared" si="1315"/>
        <v>EXP00438</v>
      </c>
      <c r="B18510" s="3" t="s">
        <v>66</v>
      </c>
      <c r="C18510" s="4" t="str">
        <f t="shared" si="1314"/>
        <v>TCGA-PRAD</v>
      </c>
      <c r="D18510" s="1" t="s">
        <v>493</v>
      </c>
      <c r="E18510" t="s">
        <v>571</v>
      </c>
      <c r="F18510" s="1">
        <v>2</v>
      </c>
      <c r="G18510" s="1" t="s">
        <v>28</v>
      </c>
      <c r="H18510" s="4" t="str">
        <f>HYPERLINK("https://portal.gdc.cancer.gov/cases/a468353e-0a96-4a4d-8aef-5140bf1bf952","TCGA-YL-A9WX-01A")</f>
        <v>TCGA-YL-A9WX-01A</v>
      </c>
      <c r="I18510" t="s">
        <v>161</v>
      </c>
      <c r="J18510" t="s">
        <v>569</v>
      </c>
      <c r="K18510" t="s">
        <v>33</v>
      </c>
      <c r="L18510" t="s">
        <v>162</v>
      </c>
      <c r="N18510" t="s">
        <v>29</v>
      </c>
    </row>
    <row r="18511" spans="1:14">
      <c r="A18511" s="4" t="str">
        <f t="shared" si="1315"/>
        <v>EXP00438</v>
      </c>
      <c r="B18511" s="3" t="s">
        <v>66</v>
      </c>
      <c r="C18511" s="4" t="str">
        <f t="shared" si="1314"/>
        <v>TCGA-PRAD</v>
      </c>
      <c r="D18511" s="1" t="s">
        <v>493</v>
      </c>
      <c r="E18511" t="s">
        <v>571</v>
      </c>
      <c r="F18511" s="1">
        <v>2</v>
      </c>
      <c r="G18511" s="1" t="s">
        <v>28</v>
      </c>
      <c r="H18511" s="4" t="str">
        <f>HYPERLINK("https://portal.gdc.cancer.gov/cases/d7e22af5-88aa-4a83-985c-1d346dff652d","TCGA-YL-A9WY-01A")</f>
        <v>TCGA-YL-A9WY-01A</v>
      </c>
      <c r="I18511" t="s">
        <v>161</v>
      </c>
      <c r="J18511" t="s">
        <v>569</v>
      </c>
      <c r="K18511" t="s">
        <v>33</v>
      </c>
      <c r="L18511" t="s">
        <v>162</v>
      </c>
      <c r="N18511" t="s">
        <v>29</v>
      </c>
    </row>
    <row r="18512" spans="1:14">
      <c r="A18512" s="4" t="str">
        <f t="shared" si="1315"/>
        <v>EXP00438</v>
      </c>
      <c r="B18512" s="3" t="s">
        <v>66</v>
      </c>
      <c r="C18512" s="4" t="str">
        <f t="shared" si="1314"/>
        <v>TCGA-PRAD</v>
      </c>
      <c r="D18512" s="1" t="s">
        <v>493</v>
      </c>
      <c r="E18512" t="s">
        <v>571</v>
      </c>
      <c r="F18512" s="1">
        <v>2</v>
      </c>
      <c r="G18512" s="1" t="s">
        <v>28</v>
      </c>
      <c r="H18512" s="4" t="str">
        <f>HYPERLINK("https://portal.gdc.cancer.gov/cases/f06c1ef4-bedd-4025-abf8-06f5e9c0821a","TCGA-ZG-A8QW-01A")</f>
        <v>TCGA-ZG-A8QW-01A</v>
      </c>
      <c r="I18512" t="s">
        <v>161</v>
      </c>
      <c r="J18512" t="s">
        <v>569</v>
      </c>
      <c r="K18512" t="s">
        <v>33</v>
      </c>
      <c r="L18512" t="s">
        <v>162</v>
      </c>
      <c r="N18512" t="s">
        <v>29</v>
      </c>
    </row>
    <row r="18513" spans="1:14">
      <c r="A18513" s="4" t="str">
        <f t="shared" si="1315"/>
        <v>EXP00438</v>
      </c>
      <c r="B18513" s="3" t="s">
        <v>66</v>
      </c>
      <c r="C18513" s="4" t="str">
        <f t="shared" si="1314"/>
        <v>TCGA-PRAD</v>
      </c>
      <c r="D18513" s="1" t="s">
        <v>493</v>
      </c>
      <c r="E18513" t="s">
        <v>571</v>
      </c>
      <c r="F18513" s="1">
        <v>2</v>
      </c>
      <c r="G18513" s="1" t="s">
        <v>28</v>
      </c>
      <c r="H18513" s="4" t="str">
        <f>HYPERLINK("https://portal.gdc.cancer.gov/cases/ae739a4a-e319-4d87-8330-14f2fbc8839d","TCGA-ZG-A8QX-01A")</f>
        <v>TCGA-ZG-A8QX-01A</v>
      </c>
      <c r="I18513" t="s">
        <v>161</v>
      </c>
      <c r="J18513" t="s">
        <v>569</v>
      </c>
      <c r="K18513" t="s">
        <v>33</v>
      </c>
      <c r="L18513" t="s">
        <v>162</v>
      </c>
      <c r="N18513" t="s">
        <v>29</v>
      </c>
    </row>
    <row r="18514" spans="1:14">
      <c r="A18514" s="4" t="str">
        <f t="shared" si="1315"/>
        <v>EXP00438</v>
      </c>
      <c r="B18514" s="3" t="s">
        <v>66</v>
      </c>
      <c r="C18514" s="4" t="str">
        <f t="shared" si="1314"/>
        <v>TCGA-PRAD</v>
      </c>
      <c r="D18514" s="1" t="s">
        <v>493</v>
      </c>
      <c r="E18514" t="s">
        <v>571</v>
      </c>
      <c r="F18514" s="1">
        <v>2</v>
      </c>
      <c r="G18514" s="1" t="s">
        <v>28</v>
      </c>
      <c r="H18514" s="4" t="str">
        <f>HYPERLINK("https://portal.gdc.cancer.gov/cases/a6d467cf-6783-4885-8de5-95d32e922500","TCGA-ZG-A8QY-01A")</f>
        <v>TCGA-ZG-A8QY-01A</v>
      </c>
      <c r="I18514" t="s">
        <v>161</v>
      </c>
      <c r="J18514" t="s">
        <v>569</v>
      </c>
      <c r="K18514" t="s">
        <v>33</v>
      </c>
      <c r="L18514" t="s">
        <v>162</v>
      </c>
      <c r="N18514" t="s">
        <v>29</v>
      </c>
    </row>
    <row r="18515" spans="1:14">
      <c r="A18515" s="4" t="str">
        <f t="shared" si="1315"/>
        <v>EXP00438</v>
      </c>
      <c r="B18515" s="3" t="s">
        <v>66</v>
      </c>
      <c r="C18515" s="4" t="str">
        <f t="shared" si="1314"/>
        <v>TCGA-PRAD</v>
      </c>
      <c r="D18515" s="1" t="s">
        <v>493</v>
      </c>
      <c r="E18515" t="s">
        <v>571</v>
      </c>
      <c r="F18515" s="1">
        <v>2</v>
      </c>
      <c r="G18515" s="1" t="s">
        <v>28</v>
      </c>
      <c r="H18515" s="4" t="str">
        <f>HYPERLINK("https://portal.gdc.cancer.gov/cases/daa9292e-8012-4aa2-8221-ad65fb1c7b78","TCGA-ZG-A8QZ-01A")</f>
        <v>TCGA-ZG-A8QZ-01A</v>
      </c>
      <c r="I18515" t="s">
        <v>161</v>
      </c>
      <c r="J18515" t="s">
        <v>569</v>
      </c>
      <c r="K18515" t="s">
        <v>33</v>
      </c>
      <c r="L18515" t="s">
        <v>162</v>
      </c>
      <c r="N18515" t="s">
        <v>29</v>
      </c>
    </row>
    <row r="18516" spans="1:14">
      <c r="A18516" s="4" t="str">
        <f t="shared" si="1315"/>
        <v>EXP00438</v>
      </c>
      <c r="B18516" s="3" t="s">
        <v>66</v>
      </c>
      <c r="C18516" s="4" t="str">
        <f t="shared" si="1314"/>
        <v>TCGA-PRAD</v>
      </c>
      <c r="D18516" s="1" t="s">
        <v>493</v>
      </c>
      <c r="E18516" t="s">
        <v>571</v>
      </c>
      <c r="F18516" s="1">
        <v>2</v>
      </c>
      <c r="G18516" s="1" t="s">
        <v>28</v>
      </c>
      <c r="H18516" s="4" t="str">
        <f>HYPERLINK("https://portal.gdc.cancer.gov/cases/adbf5bda-e2dc-4b25-8fb9-96d89093f77d","TCGA-ZG-A9KY-01A")</f>
        <v>TCGA-ZG-A9KY-01A</v>
      </c>
      <c r="I18516" t="s">
        <v>161</v>
      </c>
      <c r="J18516" t="s">
        <v>569</v>
      </c>
      <c r="K18516" t="s">
        <v>33</v>
      </c>
      <c r="L18516" t="s">
        <v>162</v>
      </c>
      <c r="N18516" t="s">
        <v>29</v>
      </c>
    </row>
    <row r="18517" spans="1:14">
      <c r="A18517" s="4" t="str">
        <f t="shared" si="1315"/>
        <v>EXP00438</v>
      </c>
      <c r="B18517" s="3" t="s">
        <v>66</v>
      </c>
      <c r="C18517" s="4" t="str">
        <f t="shared" si="1314"/>
        <v>TCGA-PRAD</v>
      </c>
      <c r="D18517" s="1" t="s">
        <v>493</v>
      </c>
      <c r="E18517" t="s">
        <v>571</v>
      </c>
      <c r="F18517" s="1">
        <v>2</v>
      </c>
      <c r="G18517" s="1" t="s">
        <v>28</v>
      </c>
      <c r="H18517" s="4" t="str">
        <f>HYPERLINK("https://portal.gdc.cancer.gov/cases/355e84e7-0d50-4bc2-a481-dfece2f8c687","TCGA-ZG-A9L0-01A")</f>
        <v>TCGA-ZG-A9L0-01A</v>
      </c>
      <c r="I18517" t="s">
        <v>161</v>
      </c>
      <c r="J18517" t="s">
        <v>569</v>
      </c>
      <c r="K18517" t="s">
        <v>33</v>
      </c>
      <c r="L18517" t="s">
        <v>162</v>
      </c>
      <c r="N18517" t="s">
        <v>29</v>
      </c>
    </row>
    <row r="18518" spans="1:14">
      <c r="A18518" s="4" t="str">
        <f t="shared" si="1315"/>
        <v>EXP00438</v>
      </c>
      <c r="B18518" s="3" t="s">
        <v>66</v>
      </c>
      <c r="C18518" s="4" t="str">
        <f t="shared" si="1314"/>
        <v>TCGA-PRAD</v>
      </c>
      <c r="D18518" s="1" t="s">
        <v>493</v>
      </c>
      <c r="E18518" t="s">
        <v>571</v>
      </c>
      <c r="F18518" s="1">
        <v>2</v>
      </c>
      <c r="G18518" s="1" t="s">
        <v>28</v>
      </c>
      <c r="H18518" s="4" t="str">
        <f>HYPERLINK("https://portal.gdc.cancer.gov/cases/083cc988-19a5-49b4-97c0-4e7bcc5d5c08","TCGA-ZG-A9L1-01A")</f>
        <v>TCGA-ZG-A9L1-01A</v>
      </c>
      <c r="I18518" t="s">
        <v>161</v>
      </c>
      <c r="J18518" t="s">
        <v>569</v>
      </c>
      <c r="K18518" t="s">
        <v>33</v>
      </c>
      <c r="L18518" t="s">
        <v>162</v>
      </c>
      <c r="N18518" t="s">
        <v>29</v>
      </c>
    </row>
    <row r="18519" spans="1:14">
      <c r="A18519" s="4" t="str">
        <f t="shared" si="1315"/>
        <v>EXP00438</v>
      </c>
      <c r="B18519" s="3" t="s">
        <v>66</v>
      </c>
      <c r="C18519" s="4" t="str">
        <f t="shared" si="1314"/>
        <v>TCGA-PRAD</v>
      </c>
      <c r="D18519" s="1" t="s">
        <v>493</v>
      </c>
      <c r="E18519" t="s">
        <v>571</v>
      </c>
      <c r="F18519" s="1">
        <v>2</v>
      </c>
      <c r="G18519" s="1" t="s">
        <v>28</v>
      </c>
      <c r="H18519" s="4" t="str">
        <f>HYPERLINK("https://portal.gdc.cancer.gov/cases/5e7a7629-800a-45c4-b4cb-314a853a1bec","TCGA-ZG-A9L2-01A")</f>
        <v>TCGA-ZG-A9L2-01A</v>
      </c>
      <c r="I18519" t="s">
        <v>161</v>
      </c>
      <c r="J18519" t="s">
        <v>569</v>
      </c>
      <c r="K18519" t="s">
        <v>33</v>
      </c>
      <c r="L18519" t="s">
        <v>162</v>
      </c>
      <c r="N18519" t="s">
        <v>29</v>
      </c>
    </row>
    <row r="18520" spans="1:14">
      <c r="A18520" s="4" t="str">
        <f t="shared" si="1315"/>
        <v>EXP00438</v>
      </c>
      <c r="B18520" s="3" t="s">
        <v>66</v>
      </c>
      <c r="C18520" s="4" t="str">
        <f t="shared" si="1314"/>
        <v>TCGA-PRAD</v>
      </c>
      <c r="D18520" s="1" t="s">
        <v>493</v>
      </c>
      <c r="E18520" t="s">
        <v>571</v>
      </c>
      <c r="F18520" s="1">
        <v>2</v>
      </c>
      <c r="G18520" s="1" t="s">
        <v>28</v>
      </c>
      <c r="H18520" s="4" t="str">
        <f>HYPERLINK("https://portal.gdc.cancer.gov/cases/c75bee57-d6da-4083-9be8-17c970b77fc7","TCGA-ZG-A9L4-01A")</f>
        <v>TCGA-ZG-A9L4-01A</v>
      </c>
      <c r="I18520" t="s">
        <v>161</v>
      </c>
      <c r="J18520" t="s">
        <v>569</v>
      </c>
      <c r="K18520" t="s">
        <v>33</v>
      </c>
      <c r="L18520" t="s">
        <v>162</v>
      </c>
      <c r="N18520" t="s">
        <v>29</v>
      </c>
    </row>
    <row r="18521" spans="1:14">
      <c r="A18521" s="4" t="str">
        <f t="shared" si="1315"/>
        <v>EXP00438</v>
      </c>
      <c r="B18521" s="3" t="s">
        <v>66</v>
      </c>
      <c r="C18521" s="4" t="str">
        <f t="shared" si="1314"/>
        <v>TCGA-PRAD</v>
      </c>
      <c r="D18521" s="1" t="s">
        <v>493</v>
      </c>
      <c r="E18521" t="s">
        <v>571</v>
      </c>
      <c r="F18521" s="1">
        <v>2</v>
      </c>
      <c r="G18521" s="1" t="s">
        <v>28</v>
      </c>
      <c r="H18521" s="4" t="str">
        <f>HYPERLINK("https://portal.gdc.cancer.gov/cases/e8f39c9e-0f1a-401c-9055-762b52bc77c7","TCGA-ZG-A9L5-01A")</f>
        <v>TCGA-ZG-A9L5-01A</v>
      </c>
      <c r="I18521" t="s">
        <v>161</v>
      </c>
      <c r="J18521" t="s">
        <v>569</v>
      </c>
      <c r="K18521" t="s">
        <v>33</v>
      </c>
      <c r="L18521" t="s">
        <v>162</v>
      </c>
      <c r="N18521" t="s">
        <v>29</v>
      </c>
    </row>
    <row r="18522" spans="1:14">
      <c r="A18522" s="4" t="str">
        <f t="shared" si="1315"/>
        <v>EXP00438</v>
      </c>
      <c r="B18522" s="3" t="s">
        <v>66</v>
      </c>
      <c r="C18522" s="4" t="str">
        <f t="shared" si="1314"/>
        <v>TCGA-PRAD</v>
      </c>
      <c r="D18522" s="1" t="s">
        <v>493</v>
      </c>
      <c r="E18522" t="s">
        <v>571</v>
      </c>
      <c r="F18522" s="1">
        <v>2</v>
      </c>
      <c r="G18522" s="1" t="s">
        <v>28</v>
      </c>
      <c r="H18522" s="4" t="str">
        <f>HYPERLINK("https://portal.gdc.cancer.gov/cases/93cf60a7-1d61-4c1c-8dce-221289800b0c","TCGA-ZG-A9L6-01A")</f>
        <v>TCGA-ZG-A9L6-01A</v>
      </c>
      <c r="I18522" t="s">
        <v>161</v>
      </c>
      <c r="J18522" t="s">
        <v>569</v>
      </c>
      <c r="K18522" t="s">
        <v>33</v>
      </c>
      <c r="L18522" t="s">
        <v>162</v>
      </c>
      <c r="N18522" t="s">
        <v>29</v>
      </c>
    </row>
    <row r="18523" spans="1:14">
      <c r="A18523" s="4" t="str">
        <f t="shared" si="1315"/>
        <v>EXP00438</v>
      </c>
      <c r="B18523" s="3" t="s">
        <v>66</v>
      </c>
      <c r="C18523" s="4" t="str">
        <f t="shared" si="1314"/>
        <v>TCGA-PRAD</v>
      </c>
      <c r="D18523" s="1" t="s">
        <v>493</v>
      </c>
      <c r="E18523" t="s">
        <v>571</v>
      </c>
      <c r="F18523" s="1">
        <v>2</v>
      </c>
      <c r="G18523" s="1" t="s">
        <v>28</v>
      </c>
      <c r="H18523" s="4" t="str">
        <f>HYPERLINK("https://portal.gdc.cancer.gov/cases/c7912ca7-11e1-4cb8-902a-9d6cb23fd344","TCGA-ZG-A9L9-01A")</f>
        <v>TCGA-ZG-A9L9-01A</v>
      </c>
      <c r="I18523" t="s">
        <v>161</v>
      </c>
      <c r="J18523" t="s">
        <v>569</v>
      </c>
      <c r="K18523" t="s">
        <v>33</v>
      </c>
      <c r="L18523" t="s">
        <v>162</v>
      </c>
      <c r="N18523" t="s">
        <v>29</v>
      </c>
    </row>
    <row r="18524" spans="1:14">
      <c r="A18524" s="4" t="str">
        <f t="shared" si="1315"/>
        <v>EXP00438</v>
      </c>
      <c r="B18524" s="3" t="s">
        <v>66</v>
      </c>
      <c r="C18524" s="4" t="str">
        <f t="shared" ref="C18524:C18535" si="1316">HYPERLINK("https://portal.gdc.cancer.gov/projects/TCGA-PRAD","TCGA-PRAD")</f>
        <v>TCGA-PRAD</v>
      </c>
      <c r="D18524" s="1" t="s">
        <v>493</v>
      </c>
      <c r="E18524" t="s">
        <v>571</v>
      </c>
      <c r="F18524" s="1">
        <v>2</v>
      </c>
      <c r="G18524" s="1" t="s">
        <v>28</v>
      </c>
      <c r="H18524" s="4" t="str">
        <f>HYPERLINK("https://portal.gdc.cancer.gov/cases/ef974c39-8bac-486b-a395-9d1283e08028","TCGA-ZG-A9LB-01A")</f>
        <v>TCGA-ZG-A9LB-01A</v>
      </c>
      <c r="I18524" t="s">
        <v>161</v>
      </c>
      <c r="J18524" t="s">
        <v>569</v>
      </c>
      <c r="K18524" t="s">
        <v>33</v>
      </c>
      <c r="L18524" t="s">
        <v>162</v>
      </c>
      <c r="N18524" t="s">
        <v>29</v>
      </c>
    </row>
    <row r="18525" spans="1:14">
      <c r="A18525" s="4" t="str">
        <f t="shared" si="1315"/>
        <v>EXP00438</v>
      </c>
      <c r="B18525" s="3" t="s">
        <v>66</v>
      </c>
      <c r="C18525" s="4" t="str">
        <f t="shared" si="1316"/>
        <v>TCGA-PRAD</v>
      </c>
      <c r="D18525" s="1" t="s">
        <v>493</v>
      </c>
      <c r="E18525" t="s">
        <v>571</v>
      </c>
      <c r="F18525" s="1">
        <v>2</v>
      </c>
      <c r="G18525" s="1" t="s">
        <v>28</v>
      </c>
      <c r="H18525" s="4" t="str">
        <f>HYPERLINK("https://portal.gdc.cancer.gov/cases/9357e8eb-1ce5-4c0f-a668-e5e7f3031d6c","TCGA-ZG-A9LM-01A")</f>
        <v>TCGA-ZG-A9LM-01A</v>
      </c>
      <c r="I18525" t="s">
        <v>161</v>
      </c>
      <c r="J18525" t="s">
        <v>569</v>
      </c>
      <c r="K18525" t="s">
        <v>33</v>
      </c>
      <c r="L18525" t="s">
        <v>162</v>
      </c>
      <c r="N18525" t="s">
        <v>29</v>
      </c>
    </row>
    <row r="18526" spans="1:14">
      <c r="A18526" s="4" t="str">
        <f t="shared" si="1315"/>
        <v>EXP00438</v>
      </c>
      <c r="B18526" s="3" t="s">
        <v>66</v>
      </c>
      <c r="C18526" s="4" t="str">
        <f t="shared" si="1316"/>
        <v>TCGA-PRAD</v>
      </c>
      <c r="D18526" s="1" t="s">
        <v>493</v>
      </c>
      <c r="E18526" t="s">
        <v>571</v>
      </c>
      <c r="F18526" s="1">
        <v>2</v>
      </c>
      <c r="G18526" s="1" t="s">
        <v>28</v>
      </c>
      <c r="H18526" s="4" t="str">
        <f>HYPERLINK("https://portal.gdc.cancer.gov/cases/1d2c5f72-cdca-4cc8-8a96-2abe10207356","TCGA-ZG-A9LN-01A")</f>
        <v>TCGA-ZG-A9LN-01A</v>
      </c>
      <c r="I18526" t="s">
        <v>161</v>
      </c>
      <c r="J18526" t="s">
        <v>569</v>
      </c>
      <c r="K18526" t="s">
        <v>33</v>
      </c>
      <c r="L18526" t="s">
        <v>162</v>
      </c>
      <c r="N18526" t="s">
        <v>29</v>
      </c>
    </row>
    <row r="18527" spans="1:14">
      <c r="A18527" s="4" t="str">
        <f t="shared" si="1315"/>
        <v>EXP00438</v>
      </c>
      <c r="B18527" s="3" t="s">
        <v>66</v>
      </c>
      <c r="C18527" s="4" t="str">
        <f t="shared" si="1316"/>
        <v>TCGA-PRAD</v>
      </c>
      <c r="D18527" s="1" t="s">
        <v>493</v>
      </c>
      <c r="E18527" t="s">
        <v>571</v>
      </c>
      <c r="F18527" s="1">
        <v>2</v>
      </c>
      <c r="G18527" s="1" t="s">
        <v>28</v>
      </c>
      <c r="H18527" s="4" t="str">
        <f>HYPERLINK("https://portal.gdc.cancer.gov/cases/afa7d9a2-3998-4182-bf63-54895ed2de37","TCGA-ZG-A9LS-01A")</f>
        <v>TCGA-ZG-A9LS-01A</v>
      </c>
      <c r="I18527" t="s">
        <v>161</v>
      </c>
      <c r="J18527" t="s">
        <v>569</v>
      </c>
      <c r="K18527" t="s">
        <v>33</v>
      </c>
      <c r="L18527" t="s">
        <v>162</v>
      </c>
      <c r="N18527" t="s">
        <v>29</v>
      </c>
    </row>
    <row r="18528" spans="1:14">
      <c r="A18528" s="4" t="str">
        <f t="shared" si="1315"/>
        <v>EXP00438</v>
      </c>
      <c r="B18528" s="3" t="s">
        <v>66</v>
      </c>
      <c r="C18528" s="4" t="str">
        <f t="shared" si="1316"/>
        <v>TCGA-PRAD</v>
      </c>
      <c r="D18528" s="1" t="s">
        <v>493</v>
      </c>
      <c r="E18528" t="s">
        <v>571</v>
      </c>
      <c r="F18528" s="1">
        <v>2</v>
      </c>
      <c r="G18528" s="1" t="s">
        <v>28</v>
      </c>
      <c r="H18528" s="4" t="str">
        <f>HYPERLINK("https://portal.gdc.cancer.gov/cases/610603d0-43fb-4a4e-b368-d143e6c61802","TCGA-ZG-A9LU-01A")</f>
        <v>TCGA-ZG-A9LU-01A</v>
      </c>
      <c r="I18528" t="s">
        <v>161</v>
      </c>
      <c r="J18528" t="s">
        <v>569</v>
      </c>
      <c r="K18528" t="s">
        <v>33</v>
      </c>
      <c r="L18528" t="s">
        <v>162</v>
      </c>
      <c r="N18528" t="s">
        <v>29</v>
      </c>
    </row>
    <row r="18529" spans="1:14">
      <c r="A18529" s="4" t="str">
        <f t="shared" si="1315"/>
        <v>EXP00438</v>
      </c>
      <c r="B18529" s="3" t="s">
        <v>66</v>
      </c>
      <c r="C18529" s="4" t="str">
        <f t="shared" si="1316"/>
        <v>TCGA-PRAD</v>
      </c>
      <c r="D18529" s="1" t="s">
        <v>493</v>
      </c>
      <c r="E18529" t="s">
        <v>571</v>
      </c>
      <c r="F18529" s="1">
        <v>2</v>
      </c>
      <c r="G18529" s="1" t="s">
        <v>28</v>
      </c>
      <c r="H18529" s="4" t="str">
        <f>HYPERLINK("https://portal.gdc.cancer.gov/cases/3de1a86b-aaeb-4f0d-9f32-1fda924198d7","TCGA-ZG-A9LY-01A")</f>
        <v>TCGA-ZG-A9LY-01A</v>
      </c>
      <c r="I18529" t="s">
        <v>161</v>
      </c>
      <c r="J18529" t="s">
        <v>569</v>
      </c>
      <c r="K18529" t="s">
        <v>33</v>
      </c>
      <c r="L18529" t="s">
        <v>162</v>
      </c>
      <c r="N18529" t="s">
        <v>29</v>
      </c>
    </row>
    <row r="18530" spans="1:14">
      <c r="A18530" s="4" t="str">
        <f t="shared" si="1315"/>
        <v>EXP00438</v>
      </c>
      <c r="B18530" s="3" t="s">
        <v>66</v>
      </c>
      <c r="C18530" s="4" t="str">
        <f t="shared" si="1316"/>
        <v>TCGA-PRAD</v>
      </c>
      <c r="D18530" s="1" t="s">
        <v>493</v>
      </c>
      <c r="E18530" t="s">
        <v>571</v>
      </c>
      <c r="F18530" s="1">
        <v>2</v>
      </c>
      <c r="G18530" s="1" t="s">
        <v>28</v>
      </c>
      <c r="H18530" s="4" t="str">
        <f>HYPERLINK("https://portal.gdc.cancer.gov/cases/ca076cfd-c628-4af2-837c-37617429adb9","TCGA-ZG-A9LZ-01A")</f>
        <v>TCGA-ZG-A9LZ-01A</v>
      </c>
      <c r="I18530" t="s">
        <v>161</v>
      </c>
      <c r="J18530" t="s">
        <v>569</v>
      </c>
      <c r="K18530" t="s">
        <v>33</v>
      </c>
      <c r="L18530" t="s">
        <v>162</v>
      </c>
      <c r="N18530" t="s">
        <v>29</v>
      </c>
    </row>
    <row r="18531" spans="1:14">
      <c r="A18531" s="4" t="str">
        <f t="shared" si="1315"/>
        <v>EXP00438</v>
      </c>
      <c r="B18531" s="3" t="s">
        <v>66</v>
      </c>
      <c r="C18531" s="4" t="str">
        <f t="shared" si="1316"/>
        <v>TCGA-PRAD</v>
      </c>
      <c r="D18531" s="1" t="s">
        <v>493</v>
      </c>
      <c r="E18531" t="s">
        <v>571</v>
      </c>
      <c r="F18531" s="1">
        <v>2</v>
      </c>
      <c r="G18531" s="1" t="s">
        <v>28</v>
      </c>
      <c r="H18531" s="4" t="str">
        <f>HYPERLINK("https://portal.gdc.cancer.gov/cases/9b5d36b2-8b46-48a4-afa7-0e1936f2d315","TCGA-ZG-A9M4-01A")</f>
        <v>TCGA-ZG-A9M4-01A</v>
      </c>
      <c r="I18531" t="s">
        <v>161</v>
      </c>
      <c r="J18531" t="s">
        <v>569</v>
      </c>
      <c r="K18531" t="s">
        <v>33</v>
      </c>
      <c r="L18531" t="s">
        <v>162</v>
      </c>
      <c r="N18531" t="s">
        <v>29</v>
      </c>
    </row>
    <row r="18532" spans="1:14">
      <c r="A18532" s="4" t="str">
        <f t="shared" si="1315"/>
        <v>EXP00438</v>
      </c>
      <c r="B18532" s="3" t="s">
        <v>66</v>
      </c>
      <c r="C18532" s="4" t="str">
        <f t="shared" si="1316"/>
        <v>TCGA-PRAD</v>
      </c>
      <c r="D18532" s="1" t="s">
        <v>493</v>
      </c>
      <c r="E18532" t="s">
        <v>571</v>
      </c>
      <c r="F18532" s="1">
        <v>2</v>
      </c>
      <c r="G18532" s="1" t="s">
        <v>28</v>
      </c>
      <c r="H18532" s="4" t="str">
        <f>HYPERLINK("https://portal.gdc.cancer.gov/cases/7efc26b2-eff9-4f1e-9f4b-f26af072c84a","TCGA-ZG-A9MC-01A")</f>
        <v>TCGA-ZG-A9MC-01A</v>
      </c>
      <c r="I18532" t="s">
        <v>161</v>
      </c>
      <c r="J18532" t="s">
        <v>569</v>
      </c>
      <c r="K18532" t="s">
        <v>33</v>
      </c>
      <c r="L18532" t="s">
        <v>162</v>
      </c>
      <c r="N18532" t="s">
        <v>29</v>
      </c>
    </row>
    <row r="18533" spans="1:14">
      <c r="A18533" s="4" t="str">
        <f t="shared" si="1315"/>
        <v>EXP00438</v>
      </c>
      <c r="B18533" s="3" t="s">
        <v>66</v>
      </c>
      <c r="C18533" s="4" t="str">
        <f t="shared" si="1316"/>
        <v>TCGA-PRAD</v>
      </c>
      <c r="D18533" s="1" t="s">
        <v>493</v>
      </c>
      <c r="E18533" t="s">
        <v>571</v>
      </c>
      <c r="F18533" s="1">
        <v>2</v>
      </c>
      <c r="G18533" s="1" t="s">
        <v>28</v>
      </c>
      <c r="H18533" s="4" t="str">
        <f>HYPERLINK("https://portal.gdc.cancer.gov/cases/305b0b57-5952-43c7-9063-7bcd954eb44d","TCGA-ZG-A9N3-01A")</f>
        <v>TCGA-ZG-A9N3-01A</v>
      </c>
      <c r="I18533" t="s">
        <v>161</v>
      </c>
      <c r="J18533" t="s">
        <v>569</v>
      </c>
      <c r="K18533" t="s">
        <v>33</v>
      </c>
      <c r="L18533" t="s">
        <v>162</v>
      </c>
      <c r="N18533" t="s">
        <v>29</v>
      </c>
    </row>
    <row r="18534" spans="1:14">
      <c r="A18534" s="4" t="str">
        <f t="shared" si="1315"/>
        <v>EXP00438</v>
      </c>
      <c r="B18534" s="3" t="s">
        <v>66</v>
      </c>
      <c r="C18534" s="4" t="str">
        <f t="shared" si="1316"/>
        <v>TCGA-PRAD</v>
      </c>
      <c r="D18534" s="1" t="s">
        <v>493</v>
      </c>
      <c r="E18534" t="s">
        <v>571</v>
      </c>
      <c r="F18534" s="1">
        <v>2</v>
      </c>
      <c r="G18534" s="1" t="s">
        <v>28</v>
      </c>
      <c r="H18534" s="4" t="str">
        <f>HYPERLINK("https://portal.gdc.cancer.gov/cases/348c2bf3-2146-4990-9adf-fa6968b4f072","TCGA-ZG-A9ND-01A")</f>
        <v>TCGA-ZG-A9ND-01A</v>
      </c>
      <c r="I18534" t="s">
        <v>161</v>
      </c>
      <c r="J18534" t="s">
        <v>569</v>
      </c>
      <c r="K18534" t="s">
        <v>33</v>
      </c>
      <c r="L18534" t="s">
        <v>162</v>
      </c>
      <c r="N18534" t="s">
        <v>29</v>
      </c>
    </row>
    <row r="18535" spans="1:14">
      <c r="A18535" s="4" t="str">
        <f t="shared" si="1315"/>
        <v>EXP00438</v>
      </c>
      <c r="B18535" s="3" t="s">
        <v>66</v>
      </c>
      <c r="C18535" s="4" t="str">
        <f t="shared" si="1316"/>
        <v>TCGA-PRAD</v>
      </c>
      <c r="D18535" s="1" t="s">
        <v>493</v>
      </c>
      <c r="E18535" t="s">
        <v>571</v>
      </c>
      <c r="F18535" s="1">
        <v>2</v>
      </c>
      <c r="G18535" s="1" t="s">
        <v>28</v>
      </c>
      <c r="H18535" s="4" t="str">
        <f>HYPERLINK("https://portal.gdc.cancer.gov/cases/03c15d06-b81e-433c-9de4-906cba91539f","TCGA-ZG-A9NI-01A")</f>
        <v>TCGA-ZG-A9NI-01A</v>
      </c>
      <c r="I18535" t="s">
        <v>161</v>
      </c>
      <c r="J18535" t="s">
        <v>569</v>
      </c>
      <c r="K18535" t="s">
        <v>33</v>
      </c>
      <c r="L18535" t="s">
        <v>162</v>
      </c>
      <c r="N18535" t="s">
        <v>29</v>
      </c>
    </row>
    <row r="18536" spans="1:14">
      <c r="A18536" s="4" t="str">
        <f t="shared" ref="A18536:A18555" si="1317">HYPERLINK("http://hcmdb.i-sanger.com/experiment/details/experiment_id/EXP00439","EXP00439")</f>
        <v>EXP00439</v>
      </c>
      <c r="B18536" s="3" t="s">
        <v>66</v>
      </c>
      <c r="C18536" s="4" t="str">
        <f t="shared" ref="C18536:C18599" si="1318">HYPERLINK("https://portal.gdc.cancer.gov/projects/TCGA-STAD","TCGA-STAD")</f>
        <v>TCGA-STAD</v>
      </c>
      <c r="D18536" s="1" t="s">
        <v>493</v>
      </c>
      <c r="E18536" t="s">
        <v>572</v>
      </c>
      <c r="F18536" s="1">
        <v>1</v>
      </c>
      <c r="G18536" s="1" t="s">
        <v>573</v>
      </c>
      <c r="H18536" s="4" t="str">
        <f>HYPERLINK("https://portal.gdc.cancer.gov/cases/233cb00f-b470-47fb-ad93-2a1597655ed6","TCGA-FP-8209-01A")</f>
        <v>TCGA-FP-8209-01A</v>
      </c>
      <c r="I18536" t="s">
        <v>574</v>
      </c>
      <c r="J18536" t="s">
        <v>575</v>
      </c>
      <c r="K18536" t="s">
        <v>19</v>
      </c>
      <c r="L18536" t="s">
        <v>246</v>
      </c>
      <c r="M18536" t="s">
        <v>44</v>
      </c>
      <c r="N18536" t="s">
        <v>29</v>
      </c>
    </row>
    <row r="18537" spans="1:14">
      <c r="A18537" s="4" t="str">
        <f t="shared" si="1317"/>
        <v>EXP00439</v>
      </c>
      <c r="B18537" s="3" t="s">
        <v>66</v>
      </c>
      <c r="C18537" s="4" t="str">
        <f t="shared" si="1318"/>
        <v>TCGA-STAD</v>
      </c>
      <c r="D18537" s="1" t="s">
        <v>493</v>
      </c>
      <c r="E18537" t="s">
        <v>572</v>
      </c>
      <c r="F18537" s="1">
        <v>1</v>
      </c>
      <c r="G18537" s="1" t="s">
        <v>573</v>
      </c>
      <c r="H18537" s="4" t="str">
        <f>HYPERLINK("https://portal.gdc.cancer.gov/cases/aa88ce53-8439-40bd-8d93-e1d903d1c7fb","TCGA-HU-A4GD-01A")</f>
        <v>TCGA-HU-A4GD-01A</v>
      </c>
      <c r="I18537" t="s">
        <v>574</v>
      </c>
      <c r="J18537" t="s">
        <v>575</v>
      </c>
      <c r="K18537" t="s">
        <v>19</v>
      </c>
      <c r="L18537" t="s">
        <v>246</v>
      </c>
      <c r="M18537" t="s">
        <v>44</v>
      </c>
      <c r="N18537" t="s">
        <v>29</v>
      </c>
    </row>
    <row r="18538" spans="1:14">
      <c r="A18538" s="4" t="str">
        <f t="shared" si="1317"/>
        <v>EXP00439</v>
      </c>
      <c r="B18538" s="3" t="s">
        <v>66</v>
      </c>
      <c r="C18538" s="4" t="str">
        <f t="shared" si="1318"/>
        <v>TCGA-STAD</v>
      </c>
      <c r="D18538" s="1" t="s">
        <v>493</v>
      </c>
      <c r="E18538" t="s">
        <v>572</v>
      </c>
      <c r="F18538" s="1">
        <v>1</v>
      </c>
      <c r="G18538" s="1" t="s">
        <v>573</v>
      </c>
      <c r="H18538" s="4" t="str">
        <f>HYPERLINK("https://portal.gdc.cancer.gov/cases/aa3d2d17-19e3-4b76-8235-98550f49dc91","TCGA-RD-A7BS-01A")</f>
        <v>TCGA-RD-A7BS-01A</v>
      </c>
      <c r="I18538" t="s">
        <v>574</v>
      </c>
      <c r="J18538" t="s">
        <v>575</v>
      </c>
      <c r="K18538" t="s">
        <v>19</v>
      </c>
      <c r="L18538" t="s">
        <v>246</v>
      </c>
      <c r="M18538" t="s">
        <v>44</v>
      </c>
      <c r="N18538" t="s">
        <v>29</v>
      </c>
    </row>
    <row r="18539" spans="1:14">
      <c r="A18539" s="4" t="str">
        <f t="shared" si="1317"/>
        <v>EXP00439</v>
      </c>
      <c r="B18539" s="3" t="s">
        <v>66</v>
      </c>
      <c r="C18539" s="4" t="str">
        <f t="shared" si="1318"/>
        <v>TCGA-STAD</v>
      </c>
      <c r="D18539" s="1" t="s">
        <v>493</v>
      </c>
      <c r="E18539" t="s">
        <v>572</v>
      </c>
      <c r="F18539" s="1">
        <v>1</v>
      </c>
      <c r="G18539" s="1" t="s">
        <v>573</v>
      </c>
      <c r="H18539" s="4" t="str">
        <f>HYPERLINK("https://portal.gdc.cancer.gov/cases/0b787bdb-949d-499c-aece-7a3977fcd198","TCGA-RD-A8MW-01A")</f>
        <v>TCGA-RD-A8MW-01A</v>
      </c>
      <c r="I18539" t="s">
        <v>574</v>
      </c>
      <c r="J18539" t="s">
        <v>575</v>
      </c>
      <c r="K18539" t="s">
        <v>19</v>
      </c>
      <c r="L18539" t="s">
        <v>246</v>
      </c>
      <c r="M18539" t="s">
        <v>44</v>
      </c>
      <c r="N18539" t="s">
        <v>29</v>
      </c>
    </row>
    <row r="18540" spans="1:14">
      <c r="A18540" s="4" t="str">
        <f t="shared" si="1317"/>
        <v>EXP00439</v>
      </c>
      <c r="B18540" s="3" t="s">
        <v>66</v>
      </c>
      <c r="C18540" s="4" t="str">
        <f t="shared" si="1318"/>
        <v>TCGA-STAD</v>
      </c>
      <c r="D18540" s="1" t="s">
        <v>493</v>
      </c>
      <c r="E18540" t="s">
        <v>572</v>
      </c>
      <c r="F18540" s="1">
        <v>1</v>
      </c>
      <c r="G18540" s="1" t="s">
        <v>573</v>
      </c>
      <c r="H18540" s="4" t="str">
        <f>HYPERLINK("https://portal.gdc.cancer.gov/cases/f8557247-91fa-4772-ae14-958d709d9815","TCGA-RD-A8N6-01A")</f>
        <v>TCGA-RD-A8N6-01A</v>
      </c>
      <c r="I18540" t="s">
        <v>574</v>
      </c>
      <c r="J18540" t="s">
        <v>575</v>
      </c>
      <c r="K18540" t="s">
        <v>19</v>
      </c>
      <c r="L18540" t="s">
        <v>246</v>
      </c>
      <c r="M18540" t="s">
        <v>44</v>
      </c>
      <c r="N18540" t="s">
        <v>29</v>
      </c>
    </row>
    <row r="18541" spans="1:14">
      <c r="A18541" s="4" t="str">
        <f t="shared" si="1317"/>
        <v>EXP00439</v>
      </c>
      <c r="B18541" s="3" t="s">
        <v>66</v>
      </c>
      <c r="C18541" s="4" t="str">
        <f t="shared" si="1318"/>
        <v>TCGA-STAD</v>
      </c>
      <c r="D18541" s="1" t="s">
        <v>493</v>
      </c>
      <c r="E18541" t="s">
        <v>572</v>
      </c>
      <c r="F18541" s="1">
        <v>1</v>
      </c>
      <c r="G18541" s="1" t="s">
        <v>573</v>
      </c>
      <c r="H18541" s="4" t="str">
        <f>HYPERLINK("https://portal.gdc.cancer.gov/cases/6fa6ace1-4b39-44db-9413-73eb21588aa1","TCGA-VQ-A8DU-01A")</f>
        <v>TCGA-VQ-A8DU-01A</v>
      </c>
      <c r="I18541" t="s">
        <v>574</v>
      </c>
      <c r="J18541" t="s">
        <v>575</v>
      </c>
      <c r="K18541" t="s">
        <v>19</v>
      </c>
      <c r="L18541" t="s">
        <v>246</v>
      </c>
      <c r="M18541" t="s">
        <v>44</v>
      </c>
      <c r="N18541" t="s">
        <v>29</v>
      </c>
    </row>
    <row r="18542" spans="1:14">
      <c r="A18542" s="4" t="str">
        <f t="shared" si="1317"/>
        <v>EXP00439</v>
      </c>
      <c r="B18542" s="3" t="s">
        <v>66</v>
      </c>
      <c r="C18542" s="4" t="str">
        <f t="shared" si="1318"/>
        <v>TCGA-STAD</v>
      </c>
      <c r="D18542" s="1" t="s">
        <v>493</v>
      </c>
      <c r="E18542" t="s">
        <v>572</v>
      </c>
      <c r="F18542" s="1">
        <v>1</v>
      </c>
      <c r="G18542" s="1" t="s">
        <v>573</v>
      </c>
      <c r="H18542" s="4" t="str">
        <f>HYPERLINK("https://portal.gdc.cancer.gov/cases/d7fe7004-6268-4dac-b145-ff76e678e77e","TCGA-VQ-A8DV-01A")</f>
        <v>TCGA-VQ-A8DV-01A</v>
      </c>
      <c r="I18542" t="s">
        <v>574</v>
      </c>
      <c r="J18542" t="s">
        <v>575</v>
      </c>
      <c r="K18542" t="s">
        <v>19</v>
      </c>
      <c r="L18542" t="s">
        <v>246</v>
      </c>
      <c r="M18542" t="s">
        <v>44</v>
      </c>
      <c r="N18542" t="s">
        <v>29</v>
      </c>
    </row>
    <row r="18543" spans="1:14">
      <c r="A18543" s="4" t="str">
        <f t="shared" si="1317"/>
        <v>EXP00439</v>
      </c>
      <c r="B18543" s="3" t="s">
        <v>66</v>
      </c>
      <c r="C18543" s="4" t="str">
        <f t="shared" si="1318"/>
        <v>TCGA-STAD</v>
      </c>
      <c r="D18543" s="1" t="s">
        <v>493</v>
      </c>
      <c r="E18543" t="s">
        <v>572</v>
      </c>
      <c r="F18543" s="1">
        <v>1</v>
      </c>
      <c r="G18543" s="1" t="s">
        <v>573</v>
      </c>
      <c r="H18543" s="4" t="str">
        <f>HYPERLINK("https://portal.gdc.cancer.gov/cases/eb9a558c-39ef-42c0-8dfc-64d01b729426","TCGA-VQ-A8E0-01A")</f>
        <v>TCGA-VQ-A8E0-01A</v>
      </c>
      <c r="I18543" t="s">
        <v>574</v>
      </c>
      <c r="J18543" t="s">
        <v>575</v>
      </c>
      <c r="K18543" t="s">
        <v>19</v>
      </c>
      <c r="L18543" t="s">
        <v>246</v>
      </c>
      <c r="M18543" t="s">
        <v>44</v>
      </c>
      <c r="N18543" t="s">
        <v>29</v>
      </c>
    </row>
    <row r="18544" spans="1:14">
      <c r="A18544" s="4" t="str">
        <f t="shared" si="1317"/>
        <v>EXP00439</v>
      </c>
      <c r="B18544" s="3" t="s">
        <v>66</v>
      </c>
      <c r="C18544" s="4" t="str">
        <f t="shared" si="1318"/>
        <v>TCGA-STAD</v>
      </c>
      <c r="D18544" s="1" t="s">
        <v>493</v>
      </c>
      <c r="E18544" t="s">
        <v>572</v>
      </c>
      <c r="F18544" s="1">
        <v>1</v>
      </c>
      <c r="G18544" s="1" t="s">
        <v>573</v>
      </c>
      <c r="H18544" s="4" t="str">
        <f>HYPERLINK("https://portal.gdc.cancer.gov/cases/8bd783a3-d6c9-4c87-a2a1-09f903b9c7ca","TCGA-VQ-A922-01A")</f>
        <v>TCGA-VQ-A922-01A</v>
      </c>
      <c r="I18544" t="s">
        <v>574</v>
      </c>
      <c r="J18544" t="s">
        <v>575</v>
      </c>
      <c r="K18544" t="s">
        <v>19</v>
      </c>
      <c r="L18544" t="s">
        <v>246</v>
      </c>
      <c r="M18544" t="s">
        <v>44</v>
      </c>
      <c r="N18544" t="s">
        <v>29</v>
      </c>
    </row>
    <row r="18545" spans="1:14">
      <c r="A18545" s="4" t="str">
        <f t="shared" si="1317"/>
        <v>EXP00439</v>
      </c>
      <c r="B18545" s="3" t="s">
        <v>66</v>
      </c>
      <c r="C18545" s="4" t="str">
        <f t="shared" si="1318"/>
        <v>TCGA-STAD</v>
      </c>
      <c r="D18545" s="1" t="s">
        <v>493</v>
      </c>
      <c r="E18545" t="s">
        <v>572</v>
      </c>
      <c r="F18545" s="1">
        <v>1</v>
      </c>
      <c r="G18545" s="1" t="s">
        <v>573</v>
      </c>
      <c r="H18545" s="4" t="str">
        <f>HYPERLINK("https://portal.gdc.cancer.gov/cases/43b7a790-35a2-4786-b375-c3847d2aec62","TCGA-VQ-A928-01A")</f>
        <v>TCGA-VQ-A928-01A</v>
      </c>
      <c r="I18545" t="s">
        <v>574</v>
      </c>
      <c r="J18545" t="s">
        <v>575</v>
      </c>
      <c r="K18545" t="s">
        <v>19</v>
      </c>
      <c r="L18545" t="s">
        <v>246</v>
      </c>
      <c r="M18545" t="s">
        <v>44</v>
      </c>
      <c r="N18545" t="s">
        <v>29</v>
      </c>
    </row>
    <row r="18546" spans="1:14">
      <c r="A18546" s="4" t="str">
        <f t="shared" si="1317"/>
        <v>EXP00439</v>
      </c>
      <c r="B18546" s="3" t="s">
        <v>66</v>
      </c>
      <c r="C18546" s="4" t="str">
        <f t="shared" si="1318"/>
        <v>TCGA-STAD</v>
      </c>
      <c r="D18546" s="1" t="s">
        <v>493</v>
      </c>
      <c r="E18546" t="s">
        <v>572</v>
      </c>
      <c r="F18546" s="1">
        <v>1</v>
      </c>
      <c r="G18546" s="1" t="s">
        <v>573</v>
      </c>
      <c r="H18546" s="4" t="str">
        <f>HYPERLINK("https://portal.gdc.cancer.gov/cases/e12d142e-7339-48fc-b17a-9e311b65327f","TCGA-VQ-A94O-01A")</f>
        <v>TCGA-VQ-A94O-01A</v>
      </c>
      <c r="I18546" t="s">
        <v>574</v>
      </c>
      <c r="J18546" t="s">
        <v>575</v>
      </c>
      <c r="K18546" t="s">
        <v>19</v>
      </c>
      <c r="L18546" t="s">
        <v>246</v>
      </c>
      <c r="M18546" t="s">
        <v>44</v>
      </c>
      <c r="N18546" t="s">
        <v>29</v>
      </c>
    </row>
    <row r="18547" spans="1:14">
      <c r="A18547" s="4" t="str">
        <f t="shared" si="1317"/>
        <v>EXP00439</v>
      </c>
      <c r="B18547" s="3" t="s">
        <v>66</v>
      </c>
      <c r="C18547" s="4" t="str">
        <f t="shared" si="1318"/>
        <v>TCGA-STAD</v>
      </c>
      <c r="D18547" s="1" t="s">
        <v>493</v>
      </c>
      <c r="E18547" t="s">
        <v>572</v>
      </c>
      <c r="F18547" s="1">
        <v>2</v>
      </c>
      <c r="G18547" s="1" t="s">
        <v>576</v>
      </c>
      <c r="H18547" s="4" t="str">
        <f>HYPERLINK("https://portal.gdc.cancer.gov/cases/c6316fb5-99a7-4adf-832f-dce44ddcd3aa","TCGA-HU-8608-01A")</f>
        <v>TCGA-HU-8608-01A</v>
      </c>
      <c r="I18547" t="s">
        <v>574</v>
      </c>
      <c r="J18547" t="s">
        <v>575</v>
      </c>
      <c r="K18547" t="s">
        <v>19</v>
      </c>
      <c r="L18547" t="s">
        <v>246</v>
      </c>
      <c r="M18547" t="s">
        <v>41</v>
      </c>
      <c r="N18547" t="s">
        <v>29</v>
      </c>
    </row>
    <row r="18548" spans="1:14">
      <c r="A18548" s="4" t="str">
        <f t="shared" si="1317"/>
        <v>EXP00439</v>
      </c>
      <c r="B18548" s="3" t="s">
        <v>66</v>
      </c>
      <c r="C18548" s="4" t="str">
        <f t="shared" si="1318"/>
        <v>TCGA-STAD</v>
      </c>
      <c r="D18548" s="1" t="s">
        <v>493</v>
      </c>
      <c r="E18548" t="s">
        <v>572</v>
      </c>
      <c r="F18548" s="1">
        <v>2</v>
      </c>
      <c r="G18548" s="1" t="s">
        <v>576</v>
      </c>
      <c r="H18548" s="4" t="str">
        <f>HYPERLINK("https://portal.gdc.cancer.gov/cases/4a00ca75-d23a-4642-bee8-db4182517724","TCGA-VQ-A91V-01A")</f>
        <v>TCGA-VQ-A91V-01A</v>
      </c>
      <c r="I18548" t="s">
        <v>574</v>
      </c>
      <c r="J18548" t="s">
        <v>575</v>
      </c>
      <c r="K18548" t="s">
        <v>19</v>
      </c>
      <c r="L18548" t="s">
        <v>246</v>
      </c>
      <c r="M18548" t="s">
        <v>41</v>
      </c>
      <c r="N18548" t="s">
        <v>29</v>
      </c>
    </row>
    <row r="18549" spans="1:14">
      <c r="A18549" s="4" t="str">
        <f t="shared" si="1317"/>
        <v>EXP00439</v>
      </c>
      <c r="B18549" s="3" t="s">
        <v>66</v>
      </c>
      <c r="C18549" s="4" t="str">
        <f t="shared" si="1318"/>
        <v>TCGA-STAD</v>
      </c>
      <c r="D18549" s="1" t="s">
        <v>493</v>
      </c>
      <c r="E18549" t="s">
        <v>572</v>
      </c>
      <c r="F18549" s="1">
        <v>2</v>
      </c>
      <c r="G18549" s="1" t="s">
        <v>576</v>
      </c>
      <c r="H18549" s="4" t="str">
        <f>HYPERLINK("https://portal.gdc.cancer.gov/cases/807bea1d-975a-4d01-98c5-2748d832235b","TCGA-VQ-A91Y-01A")</f>
        <v>TCGA-VQ-A91Y-01A</v>
      </c>
      <c r="I18549" t="s">
        <v>574</v>
      </c>
      <c r="J18549" t="s">
        <v>575</v>
      </c>
      <c r="K18549" t="s">
        <v>19</v>
      </c>
      <c r="L18549" t="s">
        <v>246</v>
      </c>
      <c r="M18549" t="s">
        <v>41</v>
      </c>
      <c r="N18549" t="s">
        <v>29</v>
      </c>
    </row>
    <row r="18550" spans="1:14">
      <c r="A18550" s="4" t="str">
        <f t="shared" si="1317"/>
        <v>EXP00439</v>
      </c>
      <c r="B18550" s="3" t="s">
        <v>66</v>
      </c>
      <c r="C18550" s="4" t="str">
        <f t="shared" si="1318"/>
        <v>TCGA-STAD</v>
      </c>
      <c r="D18550" s="1" t="s">
        <v>493</v>
      </c>
      <c r="E18550" t="s">
        <v>572</v>
      </c>
      <c r="F18550" s="1">
        <v>2</v>
      </c>
      <c r="G18550" s="1" t="s">
        <v>576</v>
      </c>
      <c r="H18550" s="4" t="str">
        <f>HYPERLINK("https://portal.gdc.cancer.gov/cases/a3f03a0a-f251-4588-97bc-3403597a35ad","TCGA-VQ-AA6G-01A")</f>
        <v>TCGA-VQ-AA6G-01A</v>
      </c>
      <c r="I18550" t="s">
        <v>574</v>
      </c>
      <c r="J18550" t="s">
        <v>575</v>
      </c>
      <c r="K18550" t="s">
        <v>19</v>
      </c>
      <c r="L18550" t="s">
        <v>246</v>
      </c>
      <c r="M18550" t="s">
        <v>41</v>
      </c>
      <c r="N18550" t="s">
        <v>29</v>
      </c>
    </row>
    <row r="18551" spans="1:14">
      <c r="A18551" s="4" t="str">
        <f t="shared" si="1317"/>
        <v>EXP00439</v>
      </c>
      <c r="B18551" s="3" t="s">
        <v>66</v>
      </c>
      <c r="C18551" s="4" t="str">
        <f t="shared" si="1318"/>
        <v>TCGA-STAD</v>
      </c>
      <c r="D18551" s="1" t="s">
        <v>493</v>
      </c>
      <c r="E18551" t="s">
        <v>572</v>
      </c>
      <c r="F18551" s="1">
        <v>3</v>
      </c>
      <c r="G18551" s="1" t="s">
        <v>577</v>
      </c>
      <c r="H18551" s="4" t="str">
        <f>HYPERLINK("https://portal.gdc.cancer.gov/cases/05c4d180-a571-4abb-bbdc-7363269dc0a6","TCGA-HU-A4GJ-01A")</f>
        <v>TCGA-HU-A4GJ-01A</v>
      </c>
      <c r="I18551" t="s">
        <v>574</v>
      </c>
      <c r="J18551" t="s">
        <v>575</v>
      </c>
      <c r="K18551" t="s">
        <v>19</v>
      </c>
      <c r="L18551" t="s">
        <v>246</v>
      </c>
      <c r="M18551" t="s">
        <v>47</v>
      </c>
      <c r="N18551" t="s">
        <v>29</v>
      </c>
    </row>
    <row r="18552" spans="1:14">
      <c r="A18552" s="4" t="str">
        <f t="shared" si="1317"/>
        <v>EXP00439</v>
      </c>
      <c r="B18552" s="3" t="s">
        <v>66</v>
      </c>
      <c r="C18552" s="4" t="str">
        <f t="shared" si="1318"/>
        <v>TCGA-STAD</v>
      </c>
      <c r="D18552" s="1" t="s">
        <v>493</v>
      </c>
      <c r="E18552" t="s">
        <v>572</v>
      </c>
      <c r="F18552" s="1">
        <v>3</v>
      </c>
      <c r="G18552" s="1" t="s">
        <v>577</v>
      </c>
      <c r="H18552" s="4" t="str">
        <f>HYPERLINK("https://portal.gdc.cancer.gov/cases/39fa91bd-dffd-4b2c-af7d-7fd914730b08","TCGA-HU-A4H3-01A")</f>
        <v>TCGA-HU-A4H3-01A</v>
      </c>
      <c r="I18552" t="s">
        <v>574</v>
      </c>
      <c r="J18552" t="s">
        <v>575</v>
      </c>
      <c r="K18552" t="s">
        <v>19</v>
      </c>
      <c r="L18552" t="s">
        <v>246</v>
      </c>
      <c r="M18552" t="s">
        <v>47</v>
      </c>
      <c r="N18552" t="s">
        <v>29</v>
      </c>
    </row>
    <row r="18553" spans="1:14">
      <c r="A18553" s="4" t="str">
        <f t="shared" si="1317"/>
        <v>EXP00439</v>
      </c>
      <c r="B18553" s="3" t="s">
        <v>66</v>
      </c>
      <c r="C18553" s="4" t="str">
        <f t="shared" si="1318"/>
        <v>TCGA-STAD</v>
      </c>
      <c r="D18553" s="1" t="s">
        <v>493</v>
      </c>
      <c r="E18553" t="s">
        <v>572</v>
      </c>
      <c r="F18553" s="1">
        <v>3</v>
      </c>
      <c r="G18553" s="1" t="s">
        <v>577</v>
      </c>
      <c r="H18553" s="4" t="str">
        <f>HYPERLINK("https://portal.gdc.cancer.gov/cases/76df6303-a635-410b-a4d9-db5dce72fcbc","TCGA-VQ-A8PD-01A")</f>
        <v>TCGA-VQ-A8PD-01A</v>
      </c>
      <c r="I18553" t="s">
        <v>574</v>
      </c>
      <c r="J18553" t="s">
        <v>575</v>
      </c>
      <c r="K18553" t="s">
        <v>19</v>
      </c>
      <c r="L18553" t="s">
        <v>246</v>
      </c>
      <c r="M18553" t="s">
        <v>47</v>
      </c>
      <c r="N18553" t="s">
        <v>29</v>
      </c>
    </row>
    <row r="18554" spans="1:14">
      <c r="A18554" s="4" t="str">
        <f t="shared" si="1317"/>
        <v>EXP00439</v>
      </c>
      <c r="B18554" s="3" t="s">
        <v>66</v>
      </c>
      <c r="C18554" s="4" t="str">
        <f t="shared" si="1318"/>
        <v>TCGA-STAD</v>
      </c>
      <c r="D18554" s="1" t="s">
        <v>493</v>
      </c>
      <c r="E18554" t="s">
        <v>572</v>
      </c>
      <c r="F18554" s="1">
        <v>4</v>
      </c>
      <c r="G18554" s="1" t="s">
        <v>578</v>
      </c>
      <c r="H18554" s="4" t="str">
        <f>HYPERLINK("https://portal.gdc.cancer.gov/cases/bf0f1735-f94d-4b82-8f91-2fd2bac80e32","TCGA-D7-A748-01A")</f>
        <v>TCGA-D7-A748-01A</v>
      </c>
      <c r="I18554" t="s">
        <v>574</v>
      </c>
      <c r="J18554" t="s">
        <v>575</v>
      </c>
      <c r="K18554" t="s">
        <v>19</v>
      </c>
      <c r="L18554" t="s">
        <v>246</v>
      </c>
      <c r="M18554" t="s">
        <v>502</v>
      </c>
      <c r="N18554" t="s">
        <v>29</v>
      </c>
    </row>
    <row r="18555" spans="1:14">
      <c r="A18555" s="4" t="str">
        <f t="shared" si="1317"/>
        <v>EXP00439</v>
      </c>
      <c r="B18555" s="3" t="s">
        <v>66</v>
      </c>
      <c r="C18555" s="4" t="str">
        <f t="shared" si="1318"/>
        <v>TCGA-STAD</v>
      </c>
      <c r="D18555" s="1" t="s">
        <v>493</v>
      </c>
      <c r="E18555" t="s">
        <v>572</v>
      </c>
      <c r="F18555" s="1">
        <v>4</v>
      </c>
      <c r="G18555" s="1" t="s">
        <v>578</v>
      </c>
      <c r="H18555" s="4" t="str">
        <f>HYPERLINK("https://portal.gdc.cancer.gov/cases/c993a68d-0342-4df4-a082-72094f061c86","TCGA-RD-A7C1-01A")</f>
        <v>TCGA-RD-A7C1-01A</v>
      </c>
      <c r="I18555" t="s">
        <v>574</v>
      </c>
      <c r="J18555" t="s">
        <v>575</v>
      </c>
      <c r="K18555" t="s">
        <v>19</v>
      </c>
      <c r="L18555" t="s">
        <v>246</v>
      </c>
      <c r="M18555" t="s">
        <v>502</v>
      </c>
      <c r="N18555" t="s">
        <v>29</v>
      </c>
    </row>
    <row r="18556" spans="1:14">
      <c r="A18556" s="4" t="str">
        <f t="shared" ref="A18556:A18619" si="1319">HYPERLINK("http://hcmdb.i-sanger.com/experiment/details/experiment_id/EXP00440","EXP00440")</f>
        <v>EXP00440</v>
      </c>
      <c r="B18556" s="3" t="s">
        <v>66</v>
      </c>
      <c r="C18556" s="4" t="str">
        <f t="shared" si="1318"/>
        <v>TCGA-STAD</v>
      </c>
      <c r="D18556" s="1" t="s">
        <v>493</v>
      </c>
      <c r="E18556" t="s">
        <v>579</v>
      </c>
      <c r="F18556" s="1">
        <v>1</v>
      </c>
      <c r="G18556" s="1" t="s">
        <v>31</v>
      </c>
      <c r="H18556" s="4" t="str">
        <f>HYPERLINK("https://portal.gdc.cancer.gov/cases/bf0f1735-f94d-4b82-8f91-2fd2bac80e32","TCGA-D7-A748-01A")</f>
        <v>TCGA-D7-A748-01A</v>
      </c>
      <c r="I18556" t="s">
        <v>574</v>
      </c>
      <c r="J18556" t="s">
        <v>575</v>
      </c>
      <c r="K18556" t="s">
        <v>19</v>
      </c>
      <c r="L18556" t="s">
        <v>246</v>
      </c>
      <c r="M18556" t="s">
        <v>502</v>
      </c>
      <c r="N18556" t="s">
        <v>29</v>
      </c>
    </row>
    <row r="18557" spans="1:14">
      <c r="A18557" s="4" t="str">
        <f t="shared" si="1319"/>
        <v>EXP00440</v>
      </c>
      <c r="B18557" s="3" t="s">
        <v>66</v>
      </c>
      <c r="C18557" s="4" t="str">
        <f t="shared" si="1318"/>
        <v>TCGA-STAD</v>
      </c>
      <c r="D18557" s="1" t="s">
        <v>493</v>
      </c>
      <c r="E18557" t="s">
        <v>579</v>
      </c>
      <c r="F18557" s="1">
        <v>1</v>
      </c>
      <c r="G18557" s="1" t="s">
        <v>31</v>
      </c>
      <c r="H18557" s="4" t="str">
        <f>HYPERLINK("https://portal.gdc.cancer.gov/cases/233cb00f-b470-47fb-ad93-2a1597655ed6","TCGA-FP-8209-01A")</f>
        <v>TCGA-FP-8209-01A</v>
      </c>
      <c r="I18557" t="s">
        <v>574</v>
      </c>
      <c r="J18557" t="s">
        <v>575</v>
      </c>
      <c r="K18557" t="s">
        <v>19</v>
      </c>
      <c r="L18557" t="s">
        <v>246</v>
      </c>
      <c r="M18557" t="s">
        <v>44</v>
      </c>
      <c r="N18557" t="s">
        <v>29</v>
      </c>
    </row>
    <row r="18558" spans="1:14">
      <c r="A18558" s="4" t="str">
        <f t="shared" si="1319"/>
        <v>EXP00440</v>
      </c>
      <c r="B18558" s="3" t="s">
        <v>66</v>
      </c>
      <c r="C18558" s="4" t="str">
        <f t="shared" si="1318"/>
        <v>TCGA-STAD</v>
      </c>
      <c r="D18558" s="1" t="s">
        <v>493</v>
      </c>
      <c r="E18558" t="s">
        <v>579</v>
      </c>
      <c r="F18558" s="1">
        <v>1</v>
      </c>
      <c r="G18558" s="1" t="s">
        <v>31</v>
      </c>
      <c r="H18558" s="4" t="str">
        <f>HYPERLINK("https://portal.gdc.cancer.gov/cases/c6316fb5-99a7-4adf-832f-dce44ddcd3aa","TCGA-HU-8608-01A")</f>
        <v>TCGA-HU-8608-01A</v>
      </c>
      <c r="I18558" t="s">
        <v>574</v>
      </c>
      <c r="J18558" t="s">
        <v>575</v>
      </c>
      <c r="K18558" t="s">
        <v>19</v>
      </c>
      <c r="L18558" t="s">
        <v>246</v>
      </c>
      <c r="M18558" t="s">
        <v>41</v>
      </c>
      <c r="N18558" t="s">
        <v>29</v>
      </c>
    </row>
    <row r="18559" spans="1:14">
      <c r="A18559" s="4" t="str">
        <f t="shared" si="1319"/>
        <v>EXP00440</v>
      </c>
      <c r="B18559" s="3" t="s">
        <v>66</v>
      </c>
      <c r="C18559" s="4" t="str">
        <f t="shared" si="1318"/>
        <v>TCGA-STAD</v>
      </c>
      <c r="D18559" s="1" t="s">
        <v>493</v>
      </c>
      <c r="E18559" t="s">
        <v>579</v>
      </c>
      <c r="F18559" s="1">
        <v>1</v>
      </c>
      <c r="G18559" s="1" t="s">
        <v>31</v>
      </c>
      <c r="H18559" s="4" t="str">
        <f>HYPERLINK("https://portal.gdc.cancer.gov/cases/aa88ce53-8439-40bd-8d93-e1d903d1c7fb","TCGA-HU-A4GD-01A")</f>
        <v>TCGA-HU-A4GD-01A</v>
      </c>
      <c r="I18559" t="s">
        <v>574</v>
      </c>
      <c r="J18559" t="s">
        <v>575</v>
      </c>
      <c r="K18559" t="s">
        <v>19</v>
      </c>
      <c r="L18559" t="s">
        <v>246</v>
      </c>
      <c r="M18559" t="s">
        <v>44</v>
      </c>
      <c r="N18559" t="s">
        <v>29</v>
      </c>
    </row>
    <row r="18560" spans="1:14">
      <c r="A18560" s="4" t="str">
        <f t="shared" si="1319"/>
        <v>EXP00440</v>
      </c>
      <c r="B18560" s="3" t="s">
        <v>66</v>
      </c>
      <c r="C18560" s="4" t="str">
        <f t="shared" si="1318"/>
        <v>TCGA-STAD</v>
      </c>
      <c r="D18560" s="1" t="s">
        <v>493</v>
      </c>
      <c r="E18560" t="s">
        <v>579</v>
      </c>
      <c r="F18560" s="1">
        <v>1</v>
      </c>
      <c r="G18560" s="1" t="s">
        <v>31</v>
      </c>
      <c r="H18560" s="4" t="str">
        <f>HYPERLINK("https://portal.gdc.cancer.gov/cases/05c4d180-a571-4abb-bbdc-7363269dc0a6","TCGA-HU-A4GJ-01A")</f>
        <v>TCGA-HU-A4GJ-01A</v>
      </c>
      <c r="I18560" t="s">
        <v>574</v>
      </c>
      <c r="J18560" t="s">
        <v>575</v>
      </c>
      <c r="K18560" t="s">
        <v>19</v>
      </c>
      <c r="L18560" t="s">
        <v>246</v>
      </c>
      <c r="M18560" t="s">
        <v>47</v>
      </c>
      <c r="N18560" t="s">
        <v>29</v>
      </c>
    </row>
    <row r="18561" spans="1:14">
      <c r="A18561" s="4" t="str">
        <f t="shared" si="1319"/>
        <v>EXP00440</v>
      </c>
      <c r="B18561" s="3" t="s">
        <v>66</v>
      </c>
      <c r="C18561" s="4" t="str">
        <f t="shared" si="1318"/>
        <v>TCGA-STAD</v>
      </c>
      <c r="D18561" s="1" t="s">
        <v>493</v>
      </c>
      <c r="E18561" t="s">
        <v>579</v>
      </c>
      <c r="F18561" s="1">
        <v>1</v>
      </c>
      <c r="G18561" s="1" t="s">
        <v>31</v>
      </c>
      <c r="H18561" s="4" t="str">
        <f>HYPERLINK("https://portal.gdc.cancer.gov/cases/39fa91bd-dffd-4b2c-af7d-7fd914730b08","TCGA-HU-A4H3-01A")</f>
        <v>TCGA-HU-A4H3-01A</v>
      </c>
      <c r="I18561" t="s">
        <v>574</v>
      </c>
      <c r="J18561" t="s">
        <v>575</v>
      </c>
      <c r="K18561" t="s">
        <v>19</v>
      </c>
      <c r="L18561" t="s">
        <v>246</v>
      </c>
      <c r="M18561" t="s">
        <v>47</v>
      </c>
      <c r="N18561" t="s">
        <v>29</v>
      </c>
    </row>
    <row r="18562" spans="1:14">
      <c r="A18562" s="4" t="str">
        <f t="shared" si="1319"/>
        <v>EXP00440</v>
      </c>
      <c r="B18562" s="3" t="s">
        <v>66</v>
      </c>
      <c r="C18562" s="4" t="str">
        <f t="shared" si="1318"/>
        <v>TCGA-STAD</v>
      </c>
      <c r="D18562" s="1" t="s">
        <v>493</v>
      </c>
      <c r="E18562" t="s">
        <v>579</v>
      </c>
      <c r="F18562" s="1">
        <v>1</v>
      </c>
      <c r="G18562" s="1" t="s">
        <v>31</v>
      </c>
      <c r="H18562" s="4" t="str">
        <f>HYPERLINK("https://portal.gdc.cancer.gov/cases/aa3d2d17-19e3-4b76-8235-98550f49dc91","TCGA-RD-A7BS-01A")</f>
        <v>TCGA-RD-A7BS-01A</v>
      </c>
      <c r="I18562" t="s">
        <v>574</v>
      </c>
      <c r="J18562" t="s">
        <v>575</v>
      </c>
      <c r="K18562" t="s">
        <v>19</v>
      </c>
      <c r="L18562" t="s">
        <v>246</v>
      </c>
      <c r="M18562" t="s">
        <v>44</v>
      </c>
      <c r="N18562" t="s">
        <v>29</v>
      </c>
    </row>
    <row r="18563" spans="1:14">
      <c r="A18563" s="4" t="str">
        <f t="shared" si="1319"/>
        <v>EXP00440</v>
      </c>
      <c r="B18563" s="3" t="s">
        <v>66</v>
      </c>
      <c r="C18563" s="4" t="str">
        <f t="shared" si="1318"/>
        <v>TCGA-STAD</v>
      </c>
      <c r="D18563" s="1" t="s">
        <v>493</v>
      </c>
      <c r="E18563" t="s">
        <v>579</v>
      </c>
      <c r="F18563" s="1">
        <v>1</v>
      </c>
      <c r="G18563" s="1" t="s">
        <v>31</v>
      </c>
      <c r="H18563" s="4" t="str">
        <f>HYPERLINK("https://portal.gdc.cancer.gov/cases/c993a68d-0342-4df4-a082-72094f061c86","TCGA-RD-A7C1-01A")</f>
        <v>TCGA-RD-A7C1-01A</v>
      </c>
      <c r="I18563" t="s">
        <v>574</v>
      </c>
      <c r="J18563" t="s">
        <v>575</v>
      </c>
      <c r="K18563" t="s">
        <v>19</v>
      </c>
      <c r="L18563" t="s">
        <v>246</v>
      </c>
      <c r="M18563" t="s">
        <v>502</v>
      </c>
      <c r="N18563" t="s">
        <v>29</v>
      </c>
    </row>
    <row r="18564" spans="1:14">
      <c r="A18564" s="4" t="str">
        <f t="shared" si="1319"/>
        <v>EXP00440</v>
      </c>
      <c r="B18564" s="3" t="s">
        <v>66</v>
      </c>
      <c r="C18564" s="4" t="str">
        <f t="shared" si="1318"/>
        <v>TCGA-STAD</v>
      </c>
      <c r="D18564" s="1" t="s">
        <v>493</v>
      </c>
      <c r="E18564" t="s">
        <v>579</v>
      </c>
      <c r="F18564" s="1">
        <v>1</v>
      </c>
      <c r="G18564" s="1" t="s">
        <v>31</v>
      </c>
      <c r="H18564" s="4" t="str">
        <f>HYPERLINK("https://portal.gdc.cancer.gov/cases/0b787bdb-949d-499c-aece-7a3977fcd198","TCGA-RD-A8MW-01A")</f>
        <v>TCGA-RD-A8MW-01A</v>
      </c>
      <c r="I18564" t="s">
        <v>574</v>
      </c>
      <c r="J18564" t="s">
        <v>575</v>
      </c>
      <c r="K18564" t="s">
        <v>19</v>
      </c>
      <c r="L18564" t="s">
        <v>246</v>
      </c>
      <c r="M18564" t="s">
        <v>44</v>
      </c>
      <c r="N18564" t="s">
        <v>29</v>
      </c>
    </row>
    <row r="18565" spans="1:14">
      <c r="A18565" s="4" t="str">
        <f t="shared" si="1319"/>
        <v>EXP00440</v>
      </c>
      <c r="B18565" s="3" t="s">
        <v>66</v>
      </c>
      <c r="C18565" s="4" t="str">
        <f t="shared" si="1318"/>
        <v>TCGA-STAD</v>
      </c>
      <c r="D18565" s="1" t="s">
        <v>493</v>
      </c>
      <c r="E18565" t="s">
        <v>579</v>
      </c>
      <c r="F18565" s="1">
        <v>1</v>
      </c>
      <c r="G18565" s="1" t="s">
        <v>31</v>
      </c>
      <c r="H18565" s="4" t="str">
        <f>HYPERLINK("https://portal.gdc.cancer.gov/cases/f8557247-91fa-4772-ae14-958d709d9815","TCGA-RD-A8N6-01A")</f>
        <v>TCGA-RD-A8N6-01A</v>
      </c>
      <c r="I18565" t="s">
        <v>574</v>
      </c>
      <c r="J18565" t="s">
        <v>575</v>
      </c>
      <c r="K18565" t="s">
        <v>19</v>
      </c>
      <c r="L18565" t="s">
        <v>246</v>
      </c>
      <c r="M18565" t="s">
        <v>44</v>
      </c>
      <c r="N18565" t="s">
        <v>29</v>
      </c>
    </row>
    <row r="18566" spans="1:14">
      <c r="A18566" s="4" t="str">
        <f t="shared" si="1319"/>
        <v>EXP00440</v>
      </c>
      <c r="B18566" s="3" t="s">
        <v>66</v>
      </c>
      <c r="C18566" s="4" t="str">
        <f t="shared" si="1318"/>
        <v>TCGA-STAD</v>
      </c>
      <c r="D18566" s="1" t="s">
        <v>493</v>
      </c>
      <c r="E18566" t="s">
        <v>579</v>
      </c>
      <c r="F18566" s="1">
        <v>1</v>
      </c>
      <c r="G18566" s="1" t="s">
        <v>31</v>
      </c>
      <c r="H18566" s="4" t="str">
        <f>HYPERLINK("https://portal.gdc.cancer.gov/cases/fdb40436-a545-40da-8c6b-2f8aff359ff6","TCGA-RD-A8NB-01A")</f>
        <v>TCGA-RD-A8NB-01A</v>
      </c>
      <c r="I18566" t="s">
        <v>574</v>
      </c>
      <c r="J18566" t="s">
        <v>575</v>
      </c>
      <c r="K18566" t="s">
        <v>19</v>
      </c>
      <c r="L18566" t="s">
        <v>246</v>
      </c>
      <c r="M18566" t="s">
        <v>570</v>
      </c>
      <c r="N18566" t="s">
        <v>29</v>
      </c>
    </row>
    <row r="18567" spans="1:14">
      <c r="A18567" s="4" t="str">
        <f t="shared" si="1319"/>
        <v>EXP00440</v>
      </c>
      <c r="B18567" s="3" t="s">
        <v>66</v>
      </c>
      <c r="C18567" s="4" t="str">
        <f t="shared" si="1318"/>
        <v>TCGA-STAD</v>
      </c>
      <c r="D18567" s="1" t="s">
        <v>493</v>
      </c>
      <c r="E18567" t="s">
        <v>579</v>
      </c>
      <c r="F18567" s="1">
        <v>1</v>
      </c>
      <c r="G18567" s="1" t="s">
        <v>31</v>
      </c>
      <c r="H18567" s="4" t="str">
        <f>HYPERLINK("https://portal.gdc.cancer.gov/cases/6fa6ace1-4b39-44db-9413-73eb21588aa1","TCGA-VQ-A8DU-01A")</f>
        <v>TCGA-VQ-A8DU-01A</v>
      </c>
      <c r="I18567" t="s">
        <v>574</v>
      </c>
      <c r="J18567" t="s">
        <v>575</v>
      </c>
      <c r="K18567" t="s">
        <v>19</v>
      </c>
      <c r="L18567" t="s">
        <v>246</v>
      </c>
      <c r="M18567" t="s">
        <v>44</v>
      </c>
      <c r="N18567" t="s">
        <v>29</v>
      </c>
    </row>
    <row r="18568" spans="1:14">
      <c r="A18568" s="4" t="str">
        <f t="shared" si="1319"/>
        <v>EXP00440</v>
      </c>
      <c r="B18568" s="3" t="s">
        <v>66</v>
      </c>
      <c r="C18568" s="4" t="str">
        <f t="shared" si="1318"/>
        <v>TCGA-STAD</v>
      </c>
      <c r="D18568" s="1" t="s">
        <v>493</v>
      </c>
      <c r="E18568" t="s">
        <v>579</v>
      </c>
      <c r="F18568" s="1">
        <v>1</v>
      </c>
      <c r="G18568" s="1" t="s">
        <v>31</v>
      </c>
      <c r="H18568" s="4" t="str">
        <f>HYPERLINK("https://portal.gdc.cancer.gov/cases/d7fe7004-6268-4dac-b145-ff76e678e77e","TCGA-VQ-A8DV-01A")</f>
        <v>TCGA-VQ-A8DV-01A</v>
      </c>
      <c r="I18568" t="s">
        <v>574</v>
      </c>
      <c r="J18568" t="s">
        <v>575</v>
      </c>
      <c r="K18568" t="s">
        <v>19</v>
      </c>
      <c r="L18568" t="s">
        <v>246</v>
      </c>
      <c r="M18568" t="s">
        <v>44</v>
      </c>
      <c r="N18568" t="s">
        <v>29</v>
      </c>
    </row>
    <row r="18569" spans="1:14">
      <c r="A18569" s="4" t="str">
        <f t="shared" si="1319"/>
        <v>EXP00440</v>
      </c>
      <c r="B18569" s="3" t="s">
        <v>66</v>
      </c>
      <c r="C18569" s="4" t="str">
        <f t="shared" si="1318"/>
        <v>TCGA-STAD</v>
      </c>
      <c r="D18569" s="1" t="s">
        <v>493</v>
      </c>
      <c r="E18569" t="s">
        <v>579</v>
      </c>
      <c r="F18569" s="1">
        <v>1</v>
      </c>
      <c r="G18569" s="1" t="s">
        <v>31</v>
      </c>
      <c r="H18569" s="4" t="str">
        <f>HYPERLINK("https://portal.gdc.cancer.gov/cases/eb9a558c-39ef-42c0-8dfc-64d01b729426","TCGA-VQ-A8E0-01A")</f>
        <v>TCGA-VQ-A8E0-01A</v>
      </c>
      <c r="I18569" t="s">
        <v>574</v>
      </c>
      <c r="J18569" t="s">
        <v>575</v>
      </c>
      <c r="K18569" t="s">
        <v>19</v>
      </c>
      <c r="L18569" t="s">
        <v>246</v>
      </c>
      <c r="M18569" t="s">
        <v>44</v>
      </c>
      <c r="N18569" t="s">
        <v>29</v>
      </c>
    </row>
    <row r="18570" spans="1:14">
      <c r="A18570" s="4" t="str">
        <f t="shared" si="1319"/>
        <v>EXP00440</v>
      </c>
      <c r="B18570" s="3" t="s">
        <v>66</v>
      </c>
      <c r="C18570" s="4" t="str">
        <f t="shared" si="1318"/>
        <v>TCGA-STAD</v>
      </c>
      <c r="D18570" s="1" t="s">
        <v>493</v>
      </c>
      <c r="E18570" t="s">
        <v>579</v>
      </c>
      <c r="F18570" s="1">
        <v>1</v>
      </c>
      <c r="G18570" s="1" t="s">
        <v>31</v>
      </c>
      <c r="H18570" s="4" t="str">
        <f>HYPERLINK("https://portal.gdc.cancer.gov/cases/76df6303-a635-410b-a4d9-db5dce72fcbc","TCGA-VQ-A8PD-01A")</f>
        <v>TCGA-VQ-A8PD-01A</v>
      </c>
      <c r="I18570" t="s">
        <v>574</v>
      </c>
      <c r="J18570" t="s">
        <v>575</v>
      </c>
      <c r="K18570" t="s">
        <v>19</v>
      </c>
      <c r="L18570" t="s">
        <v>246</v>
      </c>
      <c r="M18570" t="s">
        <v>47</v>
      </c>
      <c r="N18570" t="s">
        <v>29</v>
      </c>
    </row>
    <row r="18571" spans="1:14">
      <c r="A18571" s="4" t="str">
        <f t="shared" si="1319"/>
        <v>EXP00440</v>
      </c>
      <c r="B18571" s="3" t="s">
        <v>66</v>
      </c>
      <c r="C18571" s="4" t="str">
        <f t="shared" si="1318"/>
        <v>TCGA-STAD</v>
      </c>
      <c r="D18571" s="1" t="s">
        <v>493</v>
      </c>
      <c r="E18571" t="s">
        <v>579</v>
      </c>
      <c r="F18571" s="1">
        <v>1</v>
      </c>
      <c r="G18571" s="1" t="s">
        <v>31</v>
      </c>
      <c r="H18571" s="4" t="str">
        <f>HYPERLINK("https://portal.gdc.cancer.gov/cases/4a00ca75-d23a-4642-bee8-db4182517724","TCGA-VQ-A91V-01A")</f>
        <v>TCGA-VQ-A91V-01A</v>
      </c>
      <c r="I18571" t="s">
        <v>574</v>
      </c>
      <c r="J18571" t="s">
        <v>575</v>
      </c>
      <c r="K18571" t="s">
        <v>19</v>
      </c>
      <c r="L18571" t="s">
        <v>246</v>
      </c>
      <c r="M18571" t="s">
        <v>41</v>
      </c>
      <c r="N18571" t="s">
        <v>29</v>
      </c>
    </row>
    <row r="18572" spans="1:14">
      <c r="A18572" s="4" t="str">
        <f t="shared" si="1319"/>
        <v>EXP00440</v>
      </c>
      <c r="B18572" s="3" t="s">
        <v>66</v>
      </c>
      <c r="C18572" s="4" t="str">
        <f t="shared" si="1318"/>
        <v>TCGA-STAD</v>
      </c>
      <c r="D18572" s="1" t="s">
        <v>493</v>
      </c>
      <c r="E18572" t="s">
        <v>579</v>
      </c>
      <c r="F18572" s="1">
        <v>1</v>
      </c>
      <c r="G18572" s="1" t="s">
        <v>31</v>
      </c>
      <c r="H18572" s="4" t="str">
        <f>HYPERLINK("https://portal.gdc.cancer.gov/cases/807bea1d-975a-4d01-98c5-2748d832235b","TCGA-VQ-A91Y-01A")</f>
        <v>TCGA-VQ-A91Y-01A</v>
      </c>
      <c r="I18572" t="s">
        <v>574</v>
      </c>
      <c r="J18572" t="s">
        <v>575</v>
      </c>
      <c r="K18572" t="s">
        <v>19</v>
      </c>
      <c r="L18572" t="s">
        <v>246</v>
      </c>
      <c r="M18572" t="s">
        <v>41</v>
      </c>
      <c r="N18572" t="s">
        <v>29</v>
      </c>
    </row>
    <row r="18573" spans="1:14">
      <c r="A18573" s="4" t="str">
        <f t="shared" si="1319"/>
        <v>EXP00440</v>
      </c>
      <c r="B18573" s="3" t="s">
        <v>66</v>
      </c>
      <c r="C18573" s="4" t="str">
        <f t="shared" si="1318"/>
        <v>TCGA-STAD</v>
      </c>
      <c r="D18573" s="1" t="s">
        <v>493</v>
      </c>
      <c r="E18573" t="s">
        <v>579</v>
      </c>
      <c r="F18573" s="1">
        <v>1</v>
      </c>
      <c r="G18573" s="1" t="s">
        <v>31</v>
      </c>
      <c r="H18573" s="4" t="str">
        <f>HYPERLINK("https://portal.gdc.cancer.gov/cases/8bd783a3-d6c9-4c87-a2a1-09f903b9c7ca","TCGA-VQ-A922-01A")</f>
        <v>TCGA-VQ-A922-01A</v>
      </c>
      <c r="I18573" t="s">
        <v>574</v>
      </c>
      <c r="J18573" t="s">
        <v>575</v>
      </c>
      <c r="K18573" t="s">
        <v>19</v>
      </c>
      <c r="L18573" t="s">
        <v>246</v>
      </c>
      <c r="M18573" t="s">
        <v>44</v>
      </c>
      <c r="N18573" t="s">
        <v>29</v>
      </c>
    </row>
    <row r="18574" spans="1:14">
      <c r="A18574" s="4" t="str">
        <f t="shared" si="1319"/>
        <v>EXP00440</v>
      </c>
      <c r="B18574" s="3" t="s">
        <v>66</v>
      </c>
      <c r="C18574" s="4" t="str">
        <f t="shared" si="1318"/>
        <v>TCGA-STAD</v>
      </c>
      <c r="D18574" s="1" t="s">
        <v>493</v>
      </c>
      <c r="E18574" t="s">
        <v>579</v>
      </c>
      <c r="F18574" s="1">
        <v>1</v>
      </c>
      <c r="G18574" s="1" t="s">
        <v>31</v>
      </c>
      <c r="H18574" s="4" t="str">
        <f>HYPERLINK("https://portal.gdc.cancer.gov/cases/43b7a790-35a2-4786-b375-c3847d2aec62","TCGA-VQ-A928-01A")</f>
        <v>TCGA-VQ-A928-01A</v>
      </c>
      <c r="I18574" t="s">
        <v>574</v>
      </c>
      <c r="J18574" t="s">
        <v>575</v>
      </c>
      <c r="K18574" t="s">
        <v>19</v>
      </c>
      <c r="L18574" t="s">
        <v>246</v>
      </c>
      <c r="M18574" t="s">
        <v>44</v>
      </c>
      <c r="N18574" t="s">
        <v>29</v>
      </c>
    </row>
    <row r="18575" spans="1:14">
      <c r="A18575" s="4" t="str">
        <f t="shared" si="1319"/>
        <v>EXP00440</v>
      </c>
      <c r="B18575" s="3" t="s">
        <v>66</v>
      </c>
      <c r="C18575" s="4" t="str">
        <f t="shared" si="1318"/>
        <v>TCGA-STAD</v>
      </c>
      <c r="D18575" s="1" t="s">
        <v>493</v>
      </c>
      <c r="E18575" t="s">
        <v>579</v>
      </c>
      <c r="F18575" s="1">
        <v>1</v>
      </c>
      <c r="G18575" s="1" t="s">
        <v>31</v>
      </c>
      <c r="H18575" s="4" t="str">
        <f>HYPERLINK("https://portal.gdc.cancer.gov/cases/e12d142e-7339-48fc-b17a-9e311b65327f","TCGA-VQ-A94O-01A")</f>
        <v>TCGA-VQ-A94O-01A</v>
      </c>
      <c r="I18575" t="s">
        <v>574</v>
      </c>
      <c r="J18575" t="s">
        <v>575</v>
      </c>
      <c r="K18575" t="s">
        <v>19</v>
      </c>
      <c r="L18575" t="s">
        <v>246</v>
      </c>
      <c r="M18575" t="s">
        <v>44</v>
      </c>
      <c r="N18575" t="s">
        <v>29</v>
      </c>
    </row>
    <row r="18576" spans="1:14">
      <c r="A18576" s="4" t="str">
        <f t="shared" si="1319"/>
        <v>EXP00440</v>
      </c>
      <c r="B18576" s="3" t="s">
        <v>66</v>
      </c>
      <c r="C18576" s="4" t="str">
        <f t="shared" si="1318"/>
        <v>TCGA-STAD</v>
      </c>
      <c r="D18576" s="1" t="s">
        <v>493</v>
      </c>
      <c r="E18576" t="s">
        <v>579</v>
      </c>
      <c r="F18576" s="1">
        <v>1</v>
      </c>
      <c r="G18576" s="1" t="s">
        <v>31</v>
      </c>
      <c r="H18576" s="4" t="str">
        <f>HYPERLINK("https://portal.gdc.cancer.gov/cases/a3f03a0a-f251-4588-97bc-3403597a35ad","TCGA-VQ-AA6G-01A")</f>
        <v>TCGA-VQ-AA6G-01A</v>
      </c>
      <c r="I18576" t="s">
        <v>574</v>
      </c>
      <c r="J18576" t="s">
        <v>575</v>
      </c>
      <c r="K18576" t="s">
        <v>19</v>
      </c>
      <c r="L18576" t="s">
        <v>246</v>
      </c>
      <c r="M18576" t="s">
        <v>41</v>
      </c>
      <c r="N18576" t="s">
        <v>29</v>
      </c>
    </row>
    <row r="18577" spans="1:14">
      <c r="A18577" s="4" t="str">
        <f t="shared" si="1319"/>
        <v>EXP00440</v>
      </c>
      <c r="B18577" s="3" t="s">
        <v>66</v>
      </c>
      <c r="C18577" s="4" t="str">
        <f t="shared" si="1318"/>
        <v>TCGA-STAD</v>
      </c>
      <c r="D18577" s="1" t="s">
        <v>493</v>
      </c>
      <c r="E18577" t="s">
        <v>579</v>
      </c>
      <c r="F18577" s="1">
        <v>2</v>
      </c>
      <c r="G18577" s="1" t="s">
        <v>32</v>
      </c>
      <c r="H18577" s="4" t="str">
        <f>HYPERLINK("https://portal.gdc.cancer.gov/cases/be6531b2-d1f3-44ab-9c02-1ceae51ef2bb","TCGA-3M-AB46-01A")</f>
        <v>TCGA-3M-AB46-01A</v>
      </c>
      <c r="I18577" t="s">
        <v>574</v>
      </c>
      <c r="J18577" t="s">
        <v>575</v>
      </c>
      <c r="K18577" t="s">
        <v>33</v>
      </c>
      <c r="L18577" t="s">
        <v>246</v>
      </c>
      <c r="N18577" t="s">
        <v>29</v>
      </c>
    </row>
    <row r="18578" spans="1:14">
      <c r="A18578" s="4" t="str">
        <f t="shared" si="1319"/>
        <v>EXP00440</v>
      </c>
      <c r="B18578" s="3" t="s">
        <v>66</v>
      </c>
      <c r="C18578" s="4" t="str">
        <f t="shared" si="1318"/>
        <v>TCGA-STAD</v>
      </c>
      <c r="D18578" s="1" t="s">
        <v>493</v>
      </c>
      <c r="E18578" t="s">
        <v>579</v>
      </c>
      <c r="F18578" s="1">
        <v>2</v>
      </c>
      <c r="G18578" s="1" t="s">
        <v>32</v>
      </c>
      <c r="H18578" s="4" t="str">
        <f>HYPERLINK("https://portal.gdc.cancer.gov/cases/85c11b74-9e50-4da1-8c0b-d5677cc801b1","TCGA-3M-AB47-01A")</f>
        <v>TCGA-3M-AB47-01A</v>
      </c>
      <c r="I18578" t="s">
        <v>574</v>
      </c>
      <c r="J18578" t="s">
        <v>575</v>
      </c>
      <c r="K18578" t="s">
        <v>33</v>
      </c>
      <c r="L18578" t="s">
        <v>246</v>
      </c>
      <c r="N18578" t="s">
        <v>29</v>
      </c>
    </row>
    <row r="18579" spans="1:14">
      <c r="A18579" s="4" t="str">
        <f t="shared" si="1319"/>
        <v>EXP00440</v>
      </c>
      <c r="B18579" s="3" t="s">
        <v>66</v>
      </c>
      <c r="C18579" s="4" t="str">
        <f t="shared" si="1318"/>
        <v>TCGA-STAD</v>
      </c>
      <c r="D18579" s="1" t="s">
        <v>493</v>
      </c>
      <c r="E18579" t="s">
        <v>579</v>
      </c>
      <c r="F18579" s="1">
        <v>2</v>
      </c>
      <c r="G18579" s="1" t="s">
        <v>32</v>
      </c>
      <c r="H18579" s="4" t="str">
        <f>HYPERLINK("https://portal.gdc.cancer.gov/cases/6e03b415-84a1-4b91-8717-1a41edd4a255","TCGA-B7-5818-01A")</f>
        <v>TCGA-B7-5818-01A</v>
      </c>
      <c r="I18579" t="s">
        <v>574</v>
      </c>
      <c r="J18579" t="s">
        <v>575</v>
      </c>
      <c r="K18579" t="s">
        <v>33</v>
      </c>
      <c r="L18579" t="s">
        <v>246</v>
      </c>
      <c r="N18579" t="s">
        <v>29</v>
      </c>
    </row>
    <row r="18580" spans="1:14">
      <c r="A18580" s="4" t="str">
        <f t="shared" si="1319"/>
        <v>EXP00440</v>
      </c>
      <c r="B18580" s="3" t="s">
        <v>66</v>
      </c>
      <c r="C18580" s="4" t="str">
        <f t="shared" si="1318"/>
        <v>TCGA-STAD</v>
      </c>
      <c r="D18580" s="1" t="s">
        <v>493</v>
      </c>
      <c r="E18580" t="s">
        <v>579</v>
      </c>
      <c r="F18580" s="1">
        <v>2</v>
      </c>
      <c r="G18580" s="1" t="s">
        <v>32</v>
      </c>
      <c r="H18580" s="4" t="str">
        <f>HYPERLINK("https://portal.gdc.cancer.gov/cases/4310a287-5f01-4e0d-94e3-96c5379c3245","TCGA-B7-A5TI-01A")</f>
        <v>TCGA-B7-A5TI-01A</v>
      </c>
      <c r="I18580" t="s">
        <v>574</v>
      </c>
      <c r="J18580" t="s">
        <v>575</v>
      </c>
      <c r="K18580" t="s">
        <v>33</v>
      </c>
      <c r="L18580" t="s">
        <v>246</v>
      </c>
      <c r="N18580" t="s">
        <v>29</v>
      </c>
    </row>
    <row r="18581" spans="1:14">
      <c r="A18581" s="4" t="str">
        <f t="shared" si="1319"/>
        <v>EXP00440</v>
      </c>
      <c r="B18581" s="3" t="s">
        <v>66</v>
      </c>
      <c r="C18581" s="4" t="str">
        <f t="shared" si="1318"/>
        <v>TCGA-STAD</v>
      </c>
      <c r="D18581" s="1" t="s">
        <v>493</v>
      </c>
      <c r="E18581" t="s">
        <v>579</v>
      </c>
      <c r="F18581" s="1">
        <v>2</v>
      </c>
      <c r="G18581" s="1" t="s">
        <v>32</v>
      </c>
      <c r="H18581" s="4" t="str">
        <f>HYPERLINK("https://portal.gdc.cancer.gov/cases/5624beab-545a-4a5b-960e-c33429572272","TCGA-B7-A5TJ-01A")</f>
        <v>TCGA-B7-A5TJ-01A</v>
      </c>
      <c r="I18581" t="s">
        <v>574</v>
      </c>
      <c r="J18581" t="s">
        <v>575</v>
      </c>
      <c r="K18581" t="s">
        <v>33</v>
      </c>
      <c r="L18581" t="s">
        <v>246</v>
      </c>
      <c r="N18581" t="s">
        <v>29</v>
      </c>
    </row>
    <row r="18582" spans="1:14">
      <c r="A18582" s="4" t="str">
        <f t="shared" si="1319"/>
        <v>EXP00440</v>
      </c>
      <c r="B18582" s="3" t="s">
        <v>66</v>
      </c>
      <c r="C18582" s="4" t="str">
        <f t="shared" si="1318"/>
        <v>TCGA-STAD</v>
      </c>
      <c r="D18582" s="1" t="s">
        <v>493</v>
      </c>
      <c r="E18582" t="s">
        <v>579</v>
      </c>
      <c r="F18582" s="1">
        <v>2</v>
      </c>
      <c r="G18582" s="1" t="s">
        <v>32</v>
      </c>
      <c r="H18582" s="4" t="str">
        <f>HYPERLINK("https://portal.gdc.cancer.gov/cases/4ed55013-3853-48ea-909f-7d26d5055637","TCGA-B7-A5TK-01A")</f>
        <v>TCGA-B7-A5TK-01A</v>
      </c>
      <c r="I18582" t="s">
        <v>574</v>
      </c>
      <c r="J18582" t="s">
        <v>575</v>
      </c>
      <c r="K18582" t="s">
        <v>33</v>
      </c>
      <c r="L18582" t="s">
        <v>246</v>
      </c>
      <c r="N18582" t="s">
        <v>29</v>
      </c>
    </row>
    <row r="18583" spans="1:14">
      <c r="A18583" s="4" t="str">
        <f t="shared" si="1319"/>
        <v>EXP00440</v>
      </c>
      <c r="B18583" s="3" t="s">
        <v>66</v>
      </c>
      <c r="C18583" s="4" t="str">
        <f t="shared" si="1318"/>
        <v>TCGA-STAD</v>
      </c>
      <c r="D18583" s="1" t="s">
        <v>493</v>
      </c>
      <c r="E18583" t="s">
        <v>579</v>
      </c>
      <c r="F18583" s="1">
        <v>2</v>
      </c>
      <c r="G18583" s="1" t="s">
        <v>32</v>
      </c>
      <c r="H18583" s="4" t="str">
        <f>HYPERLINK("https://portal.gdc.cancer.gov/cases/77535af0-def4-439c-b50d-8720712235dd","TCGA-B7-A5TN-01A")</f>
        <v>TCGA-B7-A5TN-01A</v>
      </c>
      <c r="I18583" t="s">
        <v>574</v>
      </c>
      <c r="J18583" t="s">
        <v>575</v>
      </c>
      <c r="K18583" t="s">
        <v>33</v>
      </c>
      <c r="L18583" t="s">
        <v>246</v>
      </c>
      <c r="N18583" t="s">
        <v>29</v>
      </c>
    </row>
    <row r="18584" spans="1:14">
      <c r="A18584" s="4" t="str">
        <f t="shared" si="1319"/>
        <v>EXP00440</v>
      </c>
      <c r="B18584" s="3" t="s">
        <v>66</v>
      </c>
      <c r="C18584" s="4" t="str">
        <f t="shared" si="1318"/>
        <v>TCGA-STAD</v>
      </c>
      <c r="D18584" s="1" t="s">
        <v>493</v>
      </c>
      <c r="E18584" t="s">
        <v>579</v>
      </c>
      <c r="F18584" s="1">
        <v>2</v>
      </c>
      <c r="G18584" s="1" t="s">
        <v>32</v>
      </c>
      <c r="H18584" s="4" t="str">
        <f>HYPERLINK("https://portal.gdc.cancer.gov/cases/12071070-d06b-4c7b-a7b1-77c84963abe6","TCGA-BR-4187-01A")</f>
        <v>TCGA-BR-4187-01A</v>
      </c>
      <c r="I18584" t="s">
        <v>574</v>
      </c>
      <c r="J18584" t="s">
        <v>575</v>
      </c>
      <c r="K18584" t="s">
        <v>33</v>
      </c>
      <c r="L18584" t="s">
        <v>246</v>
      </c>
      <c r="N18584" t="s">
        <v>29</v>
      </c>
    </row>
    <row r="18585" spans="1:14">
      <c r="A18585" s="4" t="str">
        <f t="shared" si="1319"/>
        <v>EXP00440</v>
      </c>
      <c r="B18585" s="3" t="s">
        <v>66</v>
      </c>
      <c r="C18585" s="4" t="str">
        <f t="shared" si="1318"/>
        <v>TCGA-STAD</v>
      </c>
      <c r="D18585" s="1" t="s">
        <v>493</v>
      </c>
      <c r="E18585" t="s">
        <v>579</v>
      </c>
      <c r="F18585" s="1">
        <v>2</v>
      </c>
      <c r="G18585" s="1" t="s">
        <v>32</v>
      </c>
      <c r="H18585" s="4" t="str">
        <f>HYPERLINK("https://portal.gdc.cancer.gov/cases/74f859cf-6df5-4e96-ae6b-cfaab691d5fd","TCGA-BR-4191-01A")</f>
        <v>TCGA-BR-4191-01A</v>
      </c>
      <c r="I18585" t="s">
        <v>574</v>
      </c>
      <c r="J18585" t="s">
        <v>575</v>
      </c>
      <c r="K18585" t="s">
        <v>33</v>
      </c>
      <c r="L18585" t="s">
        <v>246</v>
      </c>
      <c r="N18585" t="s">
        <v>29</v>
      </c>
    </row>
    <row r="18586" spans="1:14">
      <c r="A18586" s="4" t="str">
        <f t="shared" si="1319"/>
        <v>EXP00440</v>
      </c>
      <c r="B18586" s="3" t="s">
        <v>66</v>
      </c>
      <c r="C18586" s="4" t="str">
        <f t="shared" si="1318"/>
        <v>TCGA-STAD</v>
      </c>
      <c r="D18586" s="1" t="s">
        <v>493</v>
      </c>
      <c r="E18586" t="s">
        <v>579</v>
      </c>
      <c r="F18586" s="1">
        <v>2</v>
      </c>
      <c r="G18586" s="1" t="s">
        <v>32</v>
      </c>
      <c r="H18586" s="4" t="str">
        <f>HYPERLINK("https://portal.gdc.cancer.gov/cases/8520654b-2192-46cf-9d72-1ddb885a7c55","TCGA-BR-4201-01A")</f>
        <v>TCGA-BR-4201-01A</v>
      </c>
      <c r="I18586" t="s">
        <v>574</v>
      </c>
      <c r="J18586" t="s">
        <v>575</v>
      </c>
      <c r="K18586" t="s">
        <v>33</v>
      </c>
      <c r="L18586" t="s">
        <v>246</v>
      </c>
      <c r="N18586" t="s">
        <v>29</v>
      </c>
    </row>
    <row r="18587" spans="1:14">
      <c r="A18587" s="4" t="str">
        <f t="shared" si="1319"/>
        <v>EXP00440</v>
      </c>
      <c r="B18587" s="3" t="s">
        <v>66</v>
      </c>
      <c r="C18587" s="4" t="str">
        <f t="shared" si="1318"/>
        <v>TCGA-STAD</v>
      </c>
      <c r="D18587" s="1" t="s">
        <v>493</v>
      </c>
      <c r="E18587" t="s">
        <v>579</v>
      </c>
      <c r="F18587" s="1">
        <v>2</v>
      </c>
      <c r="G18587" s="1" t="s">
        <v>32</v>
      </c>
      <c r="H18587" s="4" t="str">
        <f>HYPERLINK("https://portal.gdc.cancer.gov/cases/411257a4-a148-4606-8c8b-f9f1240e40ed","TCGA-BR-4253-01A")</f>
        <v>TCGA-BR-4253-01A</v>
      </c>
      <c r="I18587" t="s">
        <v>574</v>
      </c>
      <c r="J18587" t="s">
        <v>575</v>
      </c>
      <c r="K18587" t="s">
        <v>33</v>
      </c>
      <c r="L18587" t="s">
        <v>246</v>
      </c>
      <c r="N18587" t="s">
        <v>29</v>
      </c>
    </row>
    <row r="18588" spans="1:14">
      <c r="A18588" s="4" t="str">
        <f t="shared" si="1319"/>
        <v>EXP00440</v>
      </c>
      <c r="B18588" s="3" t="s">
        <v>66</v>
      </c>
      <c r="C18588" s="4" t="str">
        <f t="shared" si="1318"/>
        <v>TCGA-STAD</v>
      </c>
      <c r="D18588" s="1" t="s">
        <v>493</v>
      </c>
      <c r="E18588" t="s">
        <v>579</v>
      </c>
      <c r="F18588" s="1">
        <v>2</v>
      </c>
      <c r="G18588" s="1" t="s">
        <v>32</v>
      </c>
      <c r="H18588" s="4" t="str">
        <f>HYPERLINK("https://portal.gdc.cancer.gov/cases/7b0d69ca-13a6-46e0-839c-e433bbede3ad","TCGA-BR-4256-01A")</f>
        <v>TCGA-BR-4256-01A</v>
      </c>
      <c r="I18588" t="s">
        <v>574</v>
      </c>
      <c r="J18588" t="s">
        <v>575</v>
      </c>
      <c r="K18588" t="s">
        <v>33</v>
      </c>
      <c r="L18588" t="s">
        <v>246</v>
      </c>
      <c r="N18588" t="s">
        <v>29</v>
      </c>
    </row>
    <row r="18589" spans="1:14">
      <c r="A18589" s="4" t="str">
        <f t="shared" si="1319"/>
        <v>EXP00440</v>
      </c>
      <c r="B18589" s="3" t="s">
        <v>66</v>
      </c>
      <c r="C18589" s="4" t="str">
        <f t="shared" si="1318"/>
        <v>TCGA-STAD</v>
      </c>
      <c r="D18589" s="1" t="s">
        <v>493</v>
      </c>
      <c r="E18589" t="s">
        <v>579</v>
      </c>
      <c r="F18589" s="1">
        <v>2</v>
      </c>
      <c r="G18589" s="1" t="s">
        <v>32</v>
      </c>
      <c r="H18589" s="4" t="str">
        <f>HYPERLINK("https://portal.gdc.cancer.gov/cases/da112431-5579-4fd1-a230-9144b359b0e9","TCGA-BR-4257-01A")</f>
        <v>TCGA-BR-4257-01A</v>
      </c>
      <c r="I18589" t="s">
        <v>574</v>
      </c>
      <c r="J18589" t="s">
        <v>575</v>
      </c>
      <c r="K18589" t="s">
        <v>33</v>
      </c>
      <c r="L18589" t="s">
        <v>246</v>
      </c>
      <c r="N18589" t="s">
        <v>29</v>
      </c>
    </row>
    <row r="18590" spans="1:14">
      <c r="A18590" s="4" t="str">
        <f t="shared" si="1319"/>
        <v>EXP00440</v>
      </c>
      <c r="B18590" s="3" t="s">
        <v>66</v>
      </c>
      <c r="C18590" s="4" t="str">
        <f t="shared" si="1318"/>
        <v>TCGA-STAD</v>
      </c>
      <c r="D18590" s="1" t="s">
        <v>493</v>
      </c>
      <c r="E18590" t="s">
        <v>579</v>
      </c>
      <c r="F18590" s="1">
        <v>2</v>
      </c>
      <c r="G18590" s="1" t="s">
        <v>32</v>
      </c>
      <c r="H18590" s="4" t="str">
        <f>HYPERLINK("https://portal.gdc.cancer.gov/cases/0d0f0200-25b8-483b-b04a-82a7833b4d30","TCGA-BR-4267-01A")</f>
        <v>TCGA-BR-4267-01A</v>
      </c>
      <c r="I18590" t="s">
        <v>574</v>
      </c>
      <c r="J18590" t="s">
        <v>575</v>
      </c>
      <c r="K18590" t="s">
        <v>33</v>
      </c>
      <c r="L18590" t="s">
        <v>246</v>
      </c>
      <c r="N18590" t="s">
        <v>29</v>
      </c>
    </row>
    <row r="18591" spans="1:14">
      <c r="A18591" s="4" t="str">
        <f t="shared" si="1319"/>
        <v>EXP00440</v>
      </c>
      <c r="B18591" s="3" t="s">
        <v>66</v>
      </c>
      <c r="C18591" s="4" t="str">
        <f t="shared" si="1318"/>
        <v>TCGA-STAD</v>
      </c>
      <c r="D18591" s="1" t="s">
        <v>493</v>
      </c>
      <c r="E18591" t="s">
        <v>579</v>
      </c>
      <c r="F18591" s="1">
        <v>2</v>
      </c>
      <c r="G18591" s="1" t="s">
        <v>32</v>
      </c>
      <c r="H18591" s="4" t="str">
        <f>HYPERLINK("https://portal.gdc.cancer.gov/cases/117eb38b-0c62-4336-a866-fa5bd013256a","TCGA-BR-4279-01A")</f>
        <v>TCGA-BR-4279-01A</v>
      </c>
      <c r="I18591" t="s">
        <v>574</v>
      </c>
      <c r="J18591" t="s">
        <v>575</v>
      </c>
      <c r="K18591" t="s">
        <v>33</v>
      </c>
      <c r="L18591" t="s">
        <v>246</v>
      </c>
      <c r="N18591" t="s">
        <v>29</v>
      </c>
    </row>
    <row r="18592" spans="1:14">
      <c r="A18592" s="4" t="str">
        <f t="shared" si="1319"/>
        <v>EXP00440</v>
      </c>
      <c r="B18592" s="3" t="s">
        <v>66</v>
      </c>
      <c r="C18592" s="4" t="str">
        <f t="shared" si="1318"/>
        <v>TCGA-STAD</v>
      </c>
      <c r="D18592" s="1" t="s">
        <v>493</v>
      </c>
      <c r="E18592" t="s">
        <v>579</v>
      </c>
      <c r="F18592" s="1">
        <v>2</v>
      </c>
      <c r="G18592" s="1" t="s">
        <v>32</v>
      </c>
      <c r="H18592" s="4" t="str">
        <f>HYPERLINK("https://portal.gdc.cancer.gov/cases/e0916597-e489-45ef-a8f7-653a3c6591ef","TCGA-BR-4280-01A")</f>
        <v>TCGA-BR-4280-01A</v>
      </c>
      <c r="I18592" t="s">
        <v>574</v>
      </c>
      <c r="J18592" t="s">
        <v>575</v>
      </c>
      <c r="K18592" t="s">
        <v>33</v>
      </c>
      <c r="L18592" t="s">
        <v>246</v>
      </c>
      <c r="N18592" t="s">
        <v>29</v>
      </c>
    </row>
    <row r="18593" spans="1:14">
      <c r="A18593" s="4" t="str">
        <f t="shared" si="1319"/>
        <v>EXP00440</v>
      </c>
      <c r="B18593" s="3" t="s">
        <v>66</v>
      </c>
      <c r="C18593" s="4" t="str">
        <f t="shared" si="1318"/>
        <v>TCGA-STAD</v>
      </c>
      <c r="D18593" s="1" t="s">
        <v>493</v>
      </c>
      <c r="E18593" t="s">
        <v>579</v>
      </c>
      <c r="F18593" s="1">
        <v>2</v>
      </c>
      <c r="G18593" s="1" t="s">
        <v>32</v>
      </c>
      <c r="H18593" s="4" t="str">
        <f>HYPERLINK("https://portal.gdc.cancer.gov/cases/acab1362-c8a0-448b-8533-0cd84d97959c","TCGA-BR-4294-01A")</f>
        <v>TCGA-BR-4294-01A</v>
      </c>
      <c r="I18593" t="s">
        <v>574</v>
      </c>
      <c r="J18593" t="s">
        <v>575</v>
      </c>
      <c r="K18593" t="s">
        <v>33</v>
      </c>
      <c r="L18593" t="s">
        <v>246</v>
      </c>
      <c r="N18593" t="s">
        <v>29</v>
      </c>
    </row>
    <row r="18594" spans="1:14">
      <c r="A18594" s="4" t="str">
        <f t="shared" si="1319"/>
        <v>EXP00440</v>
      </c>
      <c r="B18594" s="3" t="s">
        <v>66</v>
      </c>
      <c r="C18594" s="4" t="str">
        <f t="shared" si="1318"/>
        <v>TCGA-STAD</v>
      </c>
      <c r="D18594" s="1" t="s">
        <v>493</v>
      </c>
      <c r="E18594" t="s">
        <v>579</v>
      </c>
      <c r="F18594" s="1">
        <v>2</v>
      </c>
      <c r="G18594" s="1" t="s">
        <v>32</v>
      </c>
      <c r="H18594" s="4" t="str">
        <f>HYPERLINK("https://portal.gdc.cancer.gov/cases/bec83dff-2bba-4467-92aa-5dc3db9e0eaf","TCGA-BR-4357-01A")</f>
        <v>TCGA-BR-4357-01A</v>
      </c>
      <c r="I18594" t="s">
        <v>574</v>
      </c>
      <c r="J18594" t="s">
        <v>575</v>
      </c>
      <c r="K18594" t="s">
        <v>33</v>
      </c>
      <c r="L18594" t="s">
        <v>246</v>
      </c>
      <c r="N18594" t="s">
        <v>29</v>
      </c>
    </row>
    <row r="18595" spans="1:14">
      <c r="A18595" s="4" t="str">
        <f t="shared" si="1319"/>
        <v>EXP00440</v>
      </c>
      <c r="B18595" s="3" t="s">
        <v>66</v>
      </c>
      <c r="C18595" s="4" t="str">
        <f t="shared" si="1318"/>
        <v>TCGA-STAD</v>
      </c>
      <c r="D18595" s="1" t="s">
        <v>493</v>
      </c>
      <c r="E18595" t="s">
        <v>579</v>
      </c>
      <c r="F18595" s="1">
        <v>2</v>
      </c>
      <c r="G18595" s="1" t="s">
        <v>32</v>
      </c>
      <c r="H18595" s="4" t="str">
        <f>HYPERLINK("https://portal.gdc.cancer.gov/cases/29ed984c-74b5-4016-a649-c32e5d1d9869","TCGA-BR-4361-01A")</f>
        <v>TCGA-BR-4361-01A</v>
      </c>
      <c r="I18595" t="s">
        <v>574</v>
      </c>
      <c r="J18595" t="s">
        <v>575</v>
      </c>
      <c r="K18595" t="s">
        <v>33</v>
      </c>
      <c r="L18595" t="s">
        <v>246</v>
      </c>
      <c r="N18595" t="s">
        <v>29</v>
      </c>
    </row>
    <row r="18596" spans="1:14">
      <c r="A18596" s="4" t="str">
        <f t="shared" si="1319"/>
        <v>EXP00440</v>
      </c>
      <c r="B18596" s="3" t="s">
        <v>66</v>
      </c>
      <c r="C18596" s="4" t="str">
        <f t="shared" si="1318"/>
        <v>TCGA-STAD</v>
      </c>
      <c r="D18596" s="1" t="s">
        <v>493</v>
      </c>
      <c r="E18596" t="s">
        <v>579</v>
      </c>
      <c r="F18596" s="1">
        <v>2</v>
      </c>
      <c r="G18596" s="1" t="s">
        <v>32</v>
      </c>
      <c r="H18596" s="4" t="str">
        <f>HYPERLINK("https://portal.gdc.cancer.gov/cases/66bca2f8-f269-454d-abe2-ce51a0704645","TCGA-BR-4363-01A")</f>
        <v>TCGA-BR-4363-01A</v>
      </c>
      <c r="I18596" t="s">
        <v>574</v>
      </c>
      <c r="J18596" t="s">
        <v>575</v>
      </c>
      <c r="K18596" t="s">
        <v>33</v>
      </c>
      <c r="L18596" t="s">
        <v>246</v>
      </c>
      <c r="N18596" t="s">
        <v>29</v>
      </c>
    </row>
    <row r="18597" spans="1:14">
      <c r="A18597" s="4" t="str">
        <f t="shared" si="1319"/>
        <v>EXP00440</v>
      </c>
      <c r="B18597" s="3" t="s">
        <v>66</v>
      </c>
      <c r="C18597" s="4" t="str">
        <f t="shared" si="1318"/>
        <v>TCGA-STAD</v>
      </c>
      <c r="D18597" s="1" t="s">
        <v>493</v>
      </c>
      <c r="E18597" t="s">
        <v>579</v>
      </c>
      <c r="F18597" s="1">
        <v>2</v>
      </c>
      <c r="G18597" s="1" t="s">
        <v>32</v>
      </c>
      <c r="H18597" s="4" t="str">
        <f>HYPERLINK("https://portal.gdc.cancer.gov/cases/525a6978-2d7b-4f3a-ac68-13fe8cbbbdcc","TCGA-BR-4366-01A")</f>
        <v>TCGA-BR-4366-01A</v>
      </c>
      <c r="I18597" t="s">
        <v>574</v>
      </c>
      <c r="J18597" t="s">
        <v>575</v>
      </c>
      <c r="K18597" t="s">
        <v>33</v>
      </c>
      <c r="L18597" t="s">
        <v>246</v>
      </c>
      <c r="N18597" t="s">
        <v>29</v>
      </c>
    </row>
    <row r="18598" spans="1:14">
      <c r="A18598" s="4" t="str">
        <f t="shared" si="1319"/>
        <v>EXP00440</v>
      </c>
      <c r="B18598" s="3" t="s">
        <v>66</v>
      </c>
      <c r="C18598" s="4" t="str">
        <f t="shared" si="1318"/>
        <v>TCGA-STAD</v>
      </c>
      <c r="D18598" s="1" t="s">
        <v>493</v>
      </c>
      <c r="E18598" t="s">
        <v>579</v>
      </c>
      <c r="F18598" s="1">
        <v>2</v>
      </c>
      <c r="G18598" s="1" t="s">
        <v>32</v>
      </c>
      <c r="H18598" s="4" t="str">
        <f>HYPERLINK("https://portal.gdc.cancer.gov/cases/d139bd0c-2eeb-44ec-856b-e77cb03d294e","TCGA-BR-4367-01A")</f>
        <v>TCGA-BR-4367-01A</v>
      </c>
      <c r="I18598" t="s">
        <v>574</v>
      </c>
      <c r="J18598" t="s">
        <v>575</v>
      </c>
      <c r="K18598" t="s">
        <v>33</v>
      </c>
      <c r="L18598" t="s">
        <v>246</v>
      </c>
      <c r="N18598" t="s">
        <v>29</v>
      </c>
    </row>
    <row r="18599" spans="1:14">
      <c r="A18599" s="4" t="str">
        <f t="shared" si="1319"/>
        <v>EXP00440</v>
      </c>
      <c r="B18599" s="3" t="s">
        <v>66</v>
      </c>
      <c r="C18599" s="4" t="str">
        <f t="shared" si="1318"/>
        <v>TCGA-STAD</v>
      </c>
      <c r="D18599" s="1" t="s">
        <v>493</v>
      </c>
      <c r="E18599" t="s">
        <v>579</v>
      </c>
      <c r="F18599" s="1">
        <v>2</v>
      </c>
      <c r="G18599" s="1" t="s">
        <v>32</v>
      </c>
      <c r="H18599" s="4" t="str">
        <f>HYPERLINK("https://portal.gdc.cancer.gov/cases/449bf2be-b20e-4ad0-9ffb-910d83114018","TCGA-BR-4368-01A")</f>
        <v>TCGA-BR-4368-01A</v>
      </c>
      <c r="I18599" t="s">
        <v>574</v>
      </c>
      <c r="J18599" t="s">
        <v>575</v>
      </c>
      <c r="K18599" t="s">
        <v>33</v>
      </c>
      <c r="L18599" t="s">
        <v>246</v>
      </c>
      <c r="N18599" t="s">
        <v>29</v>
      </c>
    </row>
    <row r="18600" spans="1:14">
      <c r="A18600" s="4" t="str">
        <f t="shared" si="1319"/>
        <v>EXP00440</v>
      </c>
      <c r="B18600" s="3" t="s">
        <v>66</v>
      </c>
      <c r="C18600" s="4" t="str">
        <f t="shared" ref="C18600:C18663" si="1320">HYPERLINK("https://portal.gdc.cancer.gov/projects/TCGA-STAD","TCGA-STAD")</f>
        <v>TCGA-STAD</v>
      </c>
      <c r="D18600" s="1" t="s">
        <v>493</v>
      </c>
      <c r="E18600" t="s">
        <v>579</v>
      </c>
      <c r="F18600" s="1">
        <v>2</v>
      </c>
      <c r="G18600" s="1" t="s">
        <v>32</v>
      </c>
      <c r="H18600" s="4" t="str">
        <f>HYPERLINK("https://portal.gdc.cancer.gov/cases/fe9a5fcf-ff99-4dd1-8cc7-ed9f4b9d952b","TCGA-BR-4369-01A")</f>
        <v>TCGA-BR-4369-01A</v>
      </c>
      <c r="I18600" t="s">
        <v>574</v>
      </c>
      <c r="J18600" t="s">
        <v>575</v>
      </c>
      <c r="K18600" t="s">
        <v>33</v>
      </c>
      <c r="L18600" t="s">
        <v>246</v>
      </c>
      <c r="N18600" t="s">
        <v>29</v>
      </c>
    </row>
    <row r="18601" spans="1:14">
      <c r="A18601" s="4" t="str">
        <f t="shared" si="1319"/>
        <v>EXP00440</v>
      </c>
      <c r="B18601" s="3" t="s">
        <v>66</v>
      </c>
      <c r="C18601" s="4" t="str">
        <f t="shared" si="1320"/>
        <v>TCGA-STAD</v>
      </c>
      <c r="D18601" s="1" t="s">
        <v>493</v>
      </c>
      <c r="E18601" t="s">
        <v>579</v>
      </c>
      <c r="F18601" s="1">
        <v>2</v>
      </c>
      <c r="G18601" s="1" t="s">
        <v>32</v>
      </c>
      <c r="H18601" s="4" t="str">
        <f>HYPERLINK("https://portal.gdc.cancer.gov/cases/a2a71cb0-9dbd-45cc-8867-da84500515e7","TCGA-BR-4370-01A")</f>
        <v>TCGA-BR-4370-01A</v>
      </c>
      <c r="I18601" t="s">
        <v>574</v>
      </c>
      <c r="J18601" t="s">
        <v>575</v>
      </c>
      <c r="K18601" t="s">
        <v>33</v>
      </c>
      <c r="L18601" t="s">
        <v>246</v>
      </c>
      <c r="N18601" t="s">
        <v>29</v>
      </c>
    </row>
    <row r="18602" spans="1:14">
      <c r="A18602" s="4" t="str">
        <f t="shared" si="1319"/>
        <v>EXP00440</v>
      </c>
      <c r="B18602" s="3" t="s">
        <v>66</v>
      </c>
      <c r="C18602" s="4" t="str">
        <f t="shared" si="1320"/>
        <v>TCGA-STAD</v>
      </c>
      <c r="D18602" s="1" t="s">
        <v>493</v>
      </c>
      <c r="E18602" t="s">
        <v>579</v>
      </c>
      <c r="F18602" s="1">
        <v>2</v>
      </c>
      <c r="G18602" s="1" t="s">
        <v>32</v>
      </c>
      <c r="H18602" s="4" t="str">
        <f>HYPERLINK("https://portal.gdc.cancer.gov/cases/c2f90f1a-a81b-465e-8e6b-5f02a21b27dd","TCGA-BR-4371-01A")</f>
        <v>TCGA-BR-4371-01A</v>
      </c>
      <c r="I18602" t="s">
        <v>574</v>
      </c>
      <c r="J18602" t="s">
        <v>575</v>
      </c>
      <c r="K18602" t="s">
        <v>33</v>
      </c>
      <c r="L18602" t="s">
        <v>246</v>
      </c>
      <c r="N18602" t="s">
        <v>29</v>
      </c>
    </row>
    <row r="18603" spans="1:14">
      <c r="A18603" s="4" t="str">
        <f t="shared" si="1319"/>
        <v>EXP00440</v>
      </c>
      <c r="B18603" s="3" t="s">
        <v>66</v>
      </c>
      <c r="C18603" s="4" t="str">
        <f t="shared" si="1320"/>
        <v>TCGA-STAD</v>
      </c>
      <c r="D18603" s="1" t="s">
        <v>493</v>
      </c>
      <c r="E18603" t="s">
        <v>579</v>
      </c>
      <c r="F18603" s="1">
        <v>2</v>
      </c>
      <c r="G18603" s="1" t="s">
        <v>32</v>
      </c>
      <c r="H18603" s="4" t="str">
        <f>HYPERLINK("https://portal.gdc.cancer.gov/cases/27988b3e-cde1-4f4b-82a1-6d8ad08db8e9","TCGA-BR-6452-01A")</f>
        <v>TCGA-BR-6452-01A</v>
      </c>
      <c r="I18603" t="s">
        <v>574</v>
      </c>
      <c r="J18603" t="s">
        <v>575</v>
      </c>
      <c r="K18603" t="s">
        <v>33</v>
      </c>
      <c r="L18603" t="s">
        <v>246</v>
      </c>
      <c r="N18603" t="s">
        <v>29</v>
      </c>
    </row>
    <row r="18604" spans="1:14">
      <c r="A18604" s="4" t="str">
        <f t="shared" si="1319"/>
        <v>EXP00440</v>
      </c>
      <c r="B18604" s="3" t="s">
        <v>66</v>
      </c>
      <c r="C18604" s="4" t="str">
        <f t="shared" si="1320"/>
        <v>TCGA-STAD</v>
      </c>
      <c r="D18604" s="1" t="s">
        <v>493</v>
      </c>
      <c r="E18604" t="s">
        <v>579</v>
      </c>
      <c r="F18604" s="1">
        <v>2</v>
      </c>
      <c r="G18604" s="1" t="s">
        <v>32</v>
      </c>
      <c r="H18604" s="4" t="str">
        <f>HYPERLINK("https://portal.gdc.cancer.gov/cases/ae633e83-303f-4a90-ac3b-34458fd9beef","TCGA-BR-6453-01A")</f>
        <v>TCGA-BR-6453-01A</v>
      </c>
      <c r="I18604" t="s">
        <v>574</v>
      </c>
      <c r="J18604" t="s">
        <v>575</v>
      </c>
      <c r="K18604" t="s">
        <v>33</v>
      </c>
      <c r="L18604" t="s">
        <v>246</v>
      </c>
      <c r="N18604" t="s">
        <v>29</v>
      </c>
    </row>
    <row r="18605" spans="1:14">
      <c r="A18605" s="4" t="str">
        <f t="shared" si="1319"/>
        <v>EXP00440</v>
      </c>
      <c r="B18605" s="3" t="s">
        <v>66</v>
      </c>
      <c r="C18605" s="4" t="str">
        <f t="shared" si="1320"/>
        <v>TCGA-STAD</v>
      </c>
      <c r="D18605" s="1" t="s">
        <v>493</v>
      </c>
      <c r="E18605" t="s">
        <v>579</v>
      </c>
      <c r="F18605" s="1">
        <v>2</v>
      </c>
      <c r="G18605" s="1" t="s">
        <v>32</v>
      </c>
      <c r="H18605" s="4" t="str">
        <f>HYPERLINK("https://portal.gdc.cancer.gov/cases/ac2cbce4-4ba8-42c9-ac61-70f42995588e","TCGA-BR-6454-01A")</f>
        <v>TCGA-BR-6454-01A</v>
      </c>
      <c r="I18605" t="s">
        <v>574</v>
      </c>
      <c r="J18605" t="s">
        <v>575</v>
      </c>
      <c r="K18605" t="s">
        <v>33</v>
      </c>
      <c r="L18605" t="s">
        <v>246</v>
      </c>
      <c r="N18605" t="s">
        <v>29</v>
      </c>
    </row>
    <row r="18606" spans="1:14">
      <c r="A18606" s="4" t="str">
        <f t="shared" si="1319"/>
        <v>EXP00440</v>
      </c>
      <c r="B18606" s="3" t="s">
        <v>66</v>
      </c>
      <c r="C18606" s="4" t="str">
        <f t="shared" si="1320"/>
        <v>TCGA-STAD</v>
      </c>
      <c r="D18606" s="1" t="s">
        <v>493</v>
      </c>
      <c r="E18606" t="s">
        <v>579</v>
      </c>
      <c r="F18606" s="1">
        <v>2</v>
      </c>
      <c r="G18606" s="1" t="s">
        <v>32</v>
      </c>
      <c r="H18606" s="4" t="str">
        <f>HYPERLINK("https://portal.gdc.cancer.gov/cases/75a29059-4705-4a55-bc3d-f5923b24b358","TCGA-BR-6455-01A")</f>
        <v>TCGA-BR-6455-01A</v>
      </c>
      <c r="I18606" t="s">
        <v>574</v>
      </c>
      <c r="J18606" t="s">
        <v>575</v>
      </c>
      <c r="K18606" t="s">
        <v>33</v>
      </c>
      <c r="L18606" t="s">
        <v>246</v>
      </c>
      <c r="N18606" t="s">
        <v>29</v>
      </c>
    </row>
    <row r="18607" spans="1:14">
      <c r="A18607" s="4" t="str">
        <f t="shared" si="1319"/>
        <v>EXP00440</v>
      </c>
      <c r="B18607" s="3" t="s">
        <v>66</v>
      </c>
      <c r="C18607" s="4" t="str">
        <f t="shared" si="1320"/>
        <v>TCGA-STAD</v>
      </c>
      <c r="D18607" s="1" t="s">
        <v>493</v>
      </c>
      <c r="E18607" t="s">
        <v>579</v>
      </c>
      <c r="F18607" s="1">
        <v>2</v>
      </c>
      <c r="G18607" s="1" t="s">
        <v>32</v>
      </c>
      <c r="H18607" s="4" t="str">
        <f>HYPERLINK("https://portal.gdc.cancer.gov/cases/1ca3c5e0-32b0-4467-8ec0-ca212e35d2b3","TCGA-BR-6456-01A")</f>
        <v>TCGA-BR-6456-01A</v>
      </c>
      <c r="I18607" t="s">
        <v>574</v>
      </c>
      <c r="J18607" t="s">
        <v>575</v>
      </c>
      <c r="K18607" t="s">
        <v>33</v>
      </c>
      <c r="L18607" t="s">
        <v>246</v>
      </c>
      <c r="N18607" t="s">
        <v>29</v>
      </c>
    </row>
    <row r="18608" spans="1:14">
      <c r="A18608" s="4" t="str">
        <f t="shared" si="1319"/>
        <v>EXP00440</v>
      </c>
      <c r="B18608" s="3" t="s">
        <v>66</v>
      </c>
      <c r="C18608" s="4" t="str">
        <f t="shared" si="1320"/>
        <v>TCGA-STAD</v>
      </c>
      <c r="D18608" s="1" t="s">
        <v>493</v>
      </c>
      <c r="E18608" t="s">
        <v>579</v>
      </c>
      <c r="F18608" s="1">
        <v>2</v>
      </c>
      <c r="G18608" s="1" t="s">
        <v>32</v>
      </c>
      <c r="H18608" s="4" t="str">
        <f>HYPERLINK("https://portal.gdc.cancer.gov/cases/05ce16d4-a999-491a-91ad-9449a57228ff","TCGA-BR-6457-01A")</f>
        <v>TCGA-BR-6457-01A</v>
      </c>
      <c r="I18608" t="s">
        <v>574</v>
      </c>
      <c r="J18608" t="s">
        <v>575</v>
      </c>
      <c r="K18608" t="s">
        <v>33</v>
      </c>
      <c r="L18608" t="s">
        <v>246</v>
      </c>
      <c r="N18608" t="s">
        <v>29</v>
      </c>
    </row>
    <row r="18609" spans="1:14">
      <c r="A18609" s="4" t="str">
        <f t="shared" si="1319"/>
        <v>EXP00440</v>
      </c>
      <c r="B18609" s="3" t="s">
        <v>66</v>
      </c>
      <c r="C18609" s="4" t="str">
        <f t="shared" si="1320"/>
        <v>TCGA-STAD</v>
      </c>
      <c r="D18609" s="1" t="s">
        <v>493</v>
      </c>
      <c r="E18609" t="s">
        <v>579</v>
      </c>
      <c r="F18609" s="1">
        <v>2</v>
      </c>
      <c r="G18609" s="1" t="s">
        <v>32</v>
      </c>
      <c r="H18609" s="4" t="str">
        <f>HYPERLINK("https://portal.gdc.cancer.gov/cases/e516880b-c4e5-43cd-a358-be0db88564d7","TCGA-BR-6458-01A")</f>
        <v>TCGA-BR-6458-01A</v>
      </c>
      <c r="I18609" t="s">
        <v>574</v>
      </c>
      <c r="J18609" t="s">
        <v>575</v>
      </c>
      <c r="K18609" t="s">
        <v>33</v>
      </c>
      <c r="L18609" t="s">
        <v>246</v>
      </c>
      <c r="N18609" t="s">
        <v>29</v>
      </c>
    </row>
    <row r="18610" spans="1:14">
      <c r="A18610" s="4" t="str">
        <f t="shared" si="1319"/>
        <v>EXP00440</v>
      </c>
      <c r="B18610" s="3" t="s">
        <v>66</v>
      </c>
      <c r="C18610" s="4" t="str">
        <f t="shared" si="1320"/>
        <v>TCGA-STAD</v>
      </c>
      <c r="D18610" s="1" t="s">
        <v>493</v>
      </c>
      <c r="E18610" t="s">
        <v>579</v>
      </c>
      <c r="F18610" s="1">
        <v>2</v>
      </c>
      <c r="G18610" s="1" t="s">
        <v>32</v>
      </c>
      <c r="H18610" s="4" t="str">
        <f>HYPERLINK("https://portal.gdc.cancer.gov/cases/9d7305be-60a3-4ecf-856a-bd5321166590","TCGA-BR-6563-01A")</f>
        <v>TCGA-BR-6563-01A</v>
      </c>
      <c r="I18610" t="s">
        <v>574</v>
      </c>
      <c r="J18610" t="s">
        <v>575</v>
      </c>
      <c r="K18610" t="s">
        <v>33</v>
      </c>
      <c r="L18610" t="s">
        <v>246</v>
      </c>
      <c r="N18610" t="s">
        <v>29</v>
      </c>
    </row>
    <row r="18611" spans="1:14">
      <c r="A18611" s="4" t="str">
        <f t="shared" si="1319"/>
        <v>EXP00440</v>
      </c>
      <c r="B18611" s="3" t="s">
        <v>66</v>
      </c>
      <c r="C18611" s="4" t="str">
        <f t="shared" si="1320"/>
        <v>TCGA-STAD</v>
      </c>
      <c r="D18611" s="1" t="s">
        <v>493</v>
      </c>
      <c r="E18611" t="s">
        <v>579</v>
      </c>
      <c r="F18611" s="1">
        <v>2</v>
      </c>
      <c r="G18611" s="1" t="s">
        <v>32</v>
      </c>
      <c r="H18611" s="4" t="str">
        <f>HYPERLINK("https://portal.gdc.cancer.gov/cases/af1086cc-b330-4ad6-ae1c-3b5c7259949a","TCGA-BR-6564-01A")</f>
        <v>TCGA-BR-6564-01A</v>
      </c>
      <c r="I18611" t="s">
        <v>574</v>
      </c>
      <c r="J18611" t="s">
        <v>575</v>
      </c>
      <c r="K18611" t="s">
        <v>33</v>
      </c>
      <c r="L18611" t="s">
        <v>246</v>
      </c>
      <c r="N18611" t="s">
        <v>29</v>
      </c>
    </row>
    <row r="18612" spans="1:14">
      <c r="A18612" s="4" t="str">
        <f t="shared" si="1319"/>
        <v>EXP00440</v>
      </c>
      <c r="B18612" s="3" t="s">
        <v>66</v>
      </c>
      <c r="C18612" s="4" t="str">
        <f t="shared" si="1320"/>
        <v>TCGA-STAD</v>
      </c>
      <c r="D18612" s="1" t="s">
        <v>493</v>
      </c>
      <c r="E18612" t="s">
        <v>579</v>
      </c>
      <c r="F18612" s="1">
        <v>2</v>
      </c>
      <c r="G18612" s="1" t="s">
        <v>32</v>
      </c>
      <c r="H18612" s="4" t="str">
        <f>HYPERLINK("https://portal.gdc.cancer.gov/cases/daecea36-b379-46ce-8ae9-a38d22556ce2","TCGA-BR-6565-01A")</f>
        <v>TCGA-BR-6565-01A</v>
      </c>
      <c r="I18612" t="s">
        <v>574</v>
      </c>
      <c r="J18612" t="s">
        <v>575</v>
      </c>
      <c r="K18612" t="s">
        <v>33</v>
      </c>
      <c r="L18612" t="s">
        <v>246</v>
      </c>
      <c r="N18612" t="s">
        <v>29</v>
      </c>
    </row>
    <row r="18613" spans="1:14">
      <c r="A18613" s="4" t="str">
        <f t="shared" si="1319"/>
        <v>EXP00440</v>
      </c>
      <c r="B18613" s="3" t="s">
        <v>66</v>
      </c>
      <c r="C18613" s="4" t="str">
        <f t="shared" si="1320"/>
        <v>TCGA-STAD</v>
      </c>
      <c r="D18613" s="1" t="s">
        <v>493</v>
      </c>
      <c r="E18613" t="s">
        <v>579</v>
      </c>
      <c r="F18613" s="1">
        <v>2</v>
      </c>
      <c r="G18613" s="1" t="s">
        <v>32</v>
      </c>
      <c r="H18613" s="4" t="str">
        <f>HYPERLINK("https://portal.gdc.cancer.gov/cases/43f0421c-6578-4d77-9314-ef0305c7efbd","TCGA-BR-6566-01A")</f>
        <v>TCGA-BR-6566-01A</v>
      </c>
      <c r="I18613" t="s">
        <v>574</v>
      </c>
      <c r="J18613" t="s">
        <v>575</v>
      </c>
      <c r="K18613" t="s">
        <v>33</v>
      </c>
      <c r="L18613" t="s">
        <v>246</v>
      </c>
      <c r="N18613" t="s">
        <v>29</v>
      </c>
    </row>
    <row r="18614" spans="1:14">
      <c r="A18614" s="4" t="str">
        <f t="shared" si="1319"/>
        <v>EXP00440</v>
      </c>
      <c r="B18614" s="3" t="s">
        <v>66</v>
      </c>
      <c r="C18614" s="4" t="str">
        <f t="shared" si="1320"/>
        <v>TCGA-STAD</v>
      </c>
      <c r="D18614" s="1" t="s">
        <v>493</v>
      </c>
      <c r="E18614" t="s">
        <v>579</v>
      </c>
      <c r="F18614" s="1">
        <v>2</v>
      </c>
      <c r="G18614" s="1" t="s">
        <v>32</v>
      </c>
      <c r="H18614" s="4" t="str">
        <f>HYPERLINK("https://portal.gdc.cancer.gov/cases/b14f2fcb-e869-475e-bc7c-adaf6e7e636f","TCGA-BR-6705-01A")</f>
        <v>TCGA-BR-6705-01A</v>
      </c>
      <c r="I18614" t="s">
        <v>574</v>
      </c>
      <c r="J18614" t="s">
        <v>575</v>
      </c>
      <c r="K18614" t="s">
        <v>33</v>
      </c>
      <c r="L18614" t="s">
        <v>246</v>
      </c>
      <c r="N18614" t="s">
        <v>29</v>
      </c>
    </row>
    <row r="18615" spans="1:14">
      <c r="A18615" s="4" t="str">
        <f t="shared" si="1319"/>
        <v>EXP00440</v>
      </c>
      <c r="B18615" s="3" t="s">
        <v>66</v>
      </c>
      <c r="C18615" s="4" t="str">
        <f t="shared" si="1320"/>
        <v>TCGA-STAD</v>
      </c>
      <c r="D18615" s="1" t="s">
        <v>493</v>
      </c>
      <c r="E18615" t="s">
        <v>579</v>
      </c>
      <c r="F18615" s="1">
        <v>2</v>
      </c>
      <c r="G18615" s="1" t="s">
        <v>32</v>
      </c>
      <c r="H18615" s="4" t="str">
        <f>HYPERLINK("https://portal.gdc.cancer.gov/cases/df3df249-86c2-43d4-abe1-796cd7df653f","TCGA-BR-6707-01A")</f>
        <v>TCGA-BR-6707-01A</v>
      </c>
      <c r="I18615" t="s">
        <v>574</v>
      </c>
      <c r="J18615" t="s">
        <v>575</v>
      </c>
      <c r="K18615" t="s">
        <v>33</v>
      </c>
      <c r="L18615" t="s">
        <v>246</v>
      </c>
      <c r="N18615" t="s">
        <v>29</v>
      </c>
    </row>
    <row r="18616" spans="1:14">
      <c r="A18616" s="4" t="str">
        <f t="shared" si="1319"/>
        <v>EXP00440</v>
      </c>
      <c r="B18616" s="3" t="s">
        <v>66</v>
      </c>
      <c r="C18616" s="4" t="str">
        <f t="shared" si="1320"/>
        <v>TCGA-STAD</v>
      </c>
      <c r="D18616" s="1" t="s">
        <v>493</v>
      </c>
      <c r="E18616" t="s">
        <v>579</v>
      </c>
      <c r="F18616" s="1">
        <v>2</v>
      </c>
      <c r="G18616" s="1" t="s">
        <v>32</v>
      </c>
      <c r="H18616" s="4" t="str">
        <f>HYPERLINK("https://portal.gdc.cancer.gov/cases/6f70e9f0-580b-4199-934b-dacd29fb28a0","TCGA-BR-6709-01A")</f>
        <v>TCGA-BR-6709-01A</v>
      </c>
      <c r="I18616" t="s">
        <v>574</v>
      </c>
      <c r="J18616" t="s">
        <v>575</v>
      </c>
      <c r="K18616" t="s">
        <v>33</v>
      </c>
      <c r="L18616" t="s">
        <v>246</v>
      </c>
      <c r="N18616" t="s">
        <v>29</v>
      </c>
    </row>
    <row r="18617" spans="1:14">
      <c r="A18617" s="4" t="str">
        <f t="shared" si="1319"/>
        <v>EXP00440</v>
      </c>
      <c r="B18617" s="3" t="s">
        <v>66</v>
      </c>
      <c r="C18617" s="4" t="str">
        <f t="shared" si="1320"/>
        <v>TCGA-STAD</v>
      </c>
      <c r="D18617" s="1" t="s">
        <v>493</v>
      </c>
      <c r="E18617" t="s">
        <v>579</v>
      </c>
      <c r="F18617" s="1">
        <v>2</v>
      </c>
      <c r="G18617" s="1" t="s">
        <v>32</v>
      </c>
      <c r="H18617" s="4" t="str">
        <f>HYPERLINK("https://portal.gdc.cancer.gov/cases/012e99fe-e3e8-4bb0-bb74-5b0c9992187c","TCGA-BR-6710-01A")</f>
        <v>TCGA-BR-6710-01A</v>
      </c>
      <c r="I18617" t="s">
        <v>574</v>
      </c>
      <c r="J18617" t="s">
        <v>575</v>
      </c>
      <c r="K18617" t="s">
        <v>33</v>
      </c>
      <c r="L18617" t="s">
        <v>246</v>
      </c>
      <c r="N18617" t="s">
        <v>29</v>
      </c>
    </row>
    <row r="18618" spans="1:14">
      <c r="A18618" s="4" t="str">
        <f t="shared" si="1319"/>
        <v>EXP00440</v>
      </c>
      <c r="B18618" s="3" t="s">
        <v>66</v>
      </c>
      <c r="C18618" s="4" t="str">
        <f t="shared" si="1320"/>
        <v>TCGA-STAD</v>
      </c>
      <c r="D18618" s="1" t="s">
        <v>493</v>
      </c>
      <c r="E18618" t="s">
        <v>579</v>
      </c>
      <c r="F18618" s="1">
        <v>2</v>
      </c>
      <c r="G18618" s="1" t="s">
        <v>32</v>
      </c>
      <c r="H18618" s="4" t="str">
        <f>HYPERLINK("https://portal.gdc.cancer.gov/cases/24fed326-bdcf-4c20-a06e-7c1c3d6c9cc5","TCGA-BR-6801-01A")</f>
        <v>TCGA-BR-6801-01A</v>
      </c>
      <c r="I18618" t="s">
        <v>574</v>
      </c>
      <c r="J18618" t="s">
        <v>575</v>
      </c>
      <c r="K18618" t="s">
        <v>33</v>
      </c>
      <c r="L18618" t="s">
        <v>246</v>
      </c>
      <c r="N18618" t="s">
        <v>29</v>
      </c>
    </row>
    <row r="18619" spans="1:14">
      <c r="A18619" s="4" t="str">
        <f t="shared" si="1319"/>
        <v>EXP00440</v>
      </c>
      <c r="B18619" s="3" t="s">
        <v>66</v>
      </c>
      <c r="C18619" s="4" t="str">
        <f t="shared" si="1320"/>
        <v>TCGA-STAD</v>
      </c>
      <c r="D18619" s="1" t="s">
        <v>493</v>
      </c>
      <c r="E18619" t="s">
        <v>579</v>
      </c>
      <c r="F18619" s="1">
        <v>2</v>
      </c>
      <c r="G18619" s="1" t="s">
        <v>32</v>
      </c>
      <c r="H18619" s="4" t="str">
        <f>HYPERLINK("https://portal.gdc.cancer.gov/cases/7c831a1d-3253-4af4-a0ff-7fe9ff9af1ce","TCGA-BR-6802-01A")</f>
        <v>TCGA-BR-6802-01A</v>
      </c>
      <c r="I18619" t="s">
        <v>574</v>
      </c>
      <c r="J18619" t="s">
        <v>575</v>
      </c>
      <c r="K18619" t="s">
        <v>33</v>
      </c>
      <c r="L18619" t="s">
        <v>246</v>
      </c>
      <c r="N18619" t="s">
        <v>29</v>
      </c>
    </row>
    <row r="18620" spans="1:14">
      <c r="A18620" s="4" t="str">
        <f t="shared" ref="A18620:A18683" si="1321">HYPERLINK("http://hcmdb.i-sanger.com/experiment/details/experiment_id/EXP00440","EXP00440")</f>
        <v>EXP00440</v>
      </c>
      <c r="B18620" s="3" t="s">
        <v>66</v>
      </c>
      <c r="C18620" s="4" t="str">
        <f t="shared" si="1320"/>
        <v>TCGA-STAD</v>
      </c>
      <c r="D18620" s="1" t="s">
        <v>493</v>
      </c>
      <c r="E18620" t="s">
        <v>579</v>
      </c>
      <c r="F18620" s="1">
        <v>2</v>
      </c>
      <c r="G18620" s="1" t="s">
        <v>32</v>
      </c>
      <c r="H18620" s="4" t="str">
        <f>HYPERLINK("https://portal.gdc.cancer.gov/cases/2f90209b-7464-4d7e-83d1-67850c263ded","TCGA-BR-6803-01A")</f>
        <v>TCGA-BR-6803-01A</v>
      </c>
      <c r="I18620" t="s">
        <v>574</v>
      </c>
      <c r="J18620" t="s">
        <v>575</v>
      </c>
      <c r="K18620" t="s">
        <v>33</v>
      </c>
      <c r="L18620" t="s">
        <v>246</v>
      </c>
      <c r="N18620" t="s">
        <v>29</v>
      </c>
    </row>
    <row r="18621" spans="1:14">
      <c r="A18621" s="4" t="str">
        <f t="shared" si="1321"/>
        <v>EXP00440</v>
      </c>
      <c r="B18621" s="3" t="s">
        <v>66</v>
      </c>
      <c r="C18621" s="4" t="str">
        <f t="shared" si="1320"/>
        <v>TCGA-STAD</v>
      </c>
      <c r="D18621" s="1" t="s">
        <v>493</v>
      </c>
      <c r="E18621" t="s">
        <v>579</v>
      </c>
      <c r="F18621" s="1">
        <v>2</v>
      </c>
      <c r="G18621" s="1" t="s">
        <v>32</v>
      </c>
      <c r="H18621" s="4" t="str">
        <f>HYPERLINK("https://portal.gdc.cancer.gov/cases/44799c67-61cd-4f3e-bdbc-423e2e0fd2e8","TCGA-BR-6852-01A")</f>
        <v>TCGA-BR-6852-01A</v>
      </c>
      <c r="I18621" t="s">
        <v>574</v>
      </c>
      <c r="J18621" t="s">
        <v>575</v>
      </c>
      <c r="K18621" t="s">
        <v>33</v>
      </c>
      <c r="L18621" t="s">
        <v>246</v>
      </c>
      <c r="N18621" t="s">
        <v>29</v>
      </c>
    </row>
    <row r="18622" spans="1:14">
      <c r="A18622" s="4" t="str">
        <f t="shared" si="1321"/>
        <v>EXP00440</v>
      </c>
      <c r="B18622" s="3" t="s">
        <v>66</v>
      </c>
      <c r="C18622" s="4" t="str">
        <f t="shared" si="1320"/>
        <v>TCGA-STAD</v>
      </c>
      <c r="D18622" s="1" t="s">
        <v>493</v>
      </c>
      <c r="E18622" t="s">
        <v>579</v>
      </c>
      <c r="F18622" s="1">
        <v>2</v>
      </c>
      <c r="G18622" s="1" t="s">
        <v>32</v>
      </c>
      <c r="H18622" s="4" t="str">
        <f>HYPERLINK("https://portal.gdc.cancer.gov/cases/1b641270-18f8-4257-821b-d26179e08e28","TCGA-BR-7196-01A")</f>
        <v>TCGA-BR-7196-01A</v>
      </c>
      <c r="I18622" t="s">
        <v>574</v>
      </c>
      <c r="J18622" t="s">
        <v>575</v>
      </c>
      <c r="K18622" t="s">
        <v>33</v>
      </c>
      <c r="L18622" t="s">
        <v>246</v>
      </c>
      <c r="N18622" t="s">
        <v>29</v>
      </c>
    </row>
    <row r="18623" spans="1:14">
      <c r="A18623" s="4" t="str">
        <f t="shared" si="1321"/>
        <v>EXP00440</v>
      </c>
      <c r="B18623" s="3" t="s">
        <v>66</v>
      </c>
      <c r="C18623" s="4" t="str">
        <f t="shared" si="1320"/>
        <v>TCGA-STAD</v>
      </c>
      <c r="D18623" s="1" t="s">
        <v>493</v>
      </c>
      <c r="E18623" t="s">
        <v>579</v>
      </c>
      <c r="F18623" s="1">
        <v>2</v>
      </c>
      <c r="G18623" s="1" t="s">
        <v>32</v>
      </c>
      <c r="H18623" s="4" t="str">
        <f>HYPERLINK("https://portal.gdc.cancer.gov/cases/79dbe26f-930b-420a-9a2e-483e3318ca10","TCGA-BR-7197-01A")</f>
        <v>TCGA-BR-7197-01A</v>
      </c>
      <c r="I18623" t="s">
        <v>574</v>
      </c>
      <c r="J18623" t="s">
        <v>575</v>
      </c>
      <c r="K18623" t="s">
        <v>33</v>
      </c>
      <c r="L18623" t="s">
        <v>246</v>
      </c>
      <c r="N18623" t="s">
        <v>29</v>
      </c>
    </row>
    <row r="18624" spans="1:14">
      <c r="A18624" s="4" t="str">
        <f t="shared" si="1321"/>
        <v>EXP00440</v>
      </c>
      <c r="B18624" s="3" t="s">
        <v>66</v>
      </c>
      <c r="C18624" s="4" t="str">
        <f t="shared" si="1320"/>
        <v>TCGA-STAD</v>
      </c>
      <c r="D18624" s="1" t="s">
        <v>493</v>
      </c>
      <c r="E18624" t="s">
        <v>579</v>
      </c>
      <c r="F18624" s="1">
        <v>2</v>
      </c>
      <c r="G18624" s="1" t="s">
        <v>32</v>
      </c>
      <c r="H18624" s="4" t="str">
        <f>HYPERLINK("https://portal.gdc.cancer.gov/cases/9ef7582b-d4c1-4036-a1ed-ef65aa46fc60","TCGA-BR-7704-01A")</f>
        <v>TCGA-BR-7704-01A</v>
      </c>
      <c r="I18624" t="s">
        <v>574</v>
      </c>
      <c r="J18624" t="s">
        <v>575</v>
      </c>
      <c r="K18624" t="s">
        <v>33</v>
      </c>
      <c r="L18624" t="s">
        <v>246</v>
      </c>
      <c r="N18624" t="s">
        <v>29</v>
      </c>
    </row>
    <row r="18625" spans="1:14">
      <c r="A18625" s="4" t="str">
        <f t="shared" si="1321"/>
        <v>EXP00440</v>
      </c>
      <c r="B18625" s="3" t="s">
        <v>66</v>
      </c>
      <c r="C18625" s="4" t="str">
        <f t="shared" si="1320"/>
        <v>TCGA-STAD</v>
      </c>
      <c r="D18625" s="1" t="s">
        <v>493</v>
      </c>
      <c r="E18625" t="s">
        <v>579</v>
      </c>
      <c r="F18625" s="1">
        <v>2</v>
      </c>
      <c r="G18625" s="1" t="s">
        <v>32</v>
      </c>
      <c r="H18625" s="4" t="str">
        <f>HYPERLINK("https://portal.gdc.cancer.gov/cases/84d2d341-9e52-49ab-8c51-417208834c5d","TCGA-BR-7707-01A")</f>
        <v>TCGA-BR-7707-01A</v>
      </c>
      <c r="I18625" t="s">
        <v>574</v>
      </c>
      <c r="J18625" t="s">
        <v>575</v>
      </c>
      <c r="K18625" t="s">
        <v>33</v>
      </c>
      <c r="L18625" t="s">
        <v>246</v>
      </c>
      <c r="N18625" t="s">
        <v>29</v>
      </c>
    </row>
    <row r="18626" spans="1:14">
      <c r="A18626" s="4" t="str">
        <f t="shared" si="1321"/>
        <v>EXP00440</v>
      </c>
      <c r="B18626" s="3" t="s">
        <v>66</v>
      </c>
      <c r="C18626" s="4" t="str">
        <f t="shared" si="1320"/>
        <v>TCGA-STAD</v>
      </c>
      <c r="D18626" s="1" t="s">
        <v>493</v>
      </c>
      <c r="E18626" t="s">
        <v>579</v>
      </c>
      <c r="F18626" s="1">
        <v>2</v>
      </c>
      <c r="G18626" s="1" t="s">
        <v>32</v>
      </c>
      <c r="H18626" s="4" t="str">
        <f>HYPERLINK("https://portal.gdc.cancer.gov/cases/69704642-ba65-4a45-8f13-95d847185045","TCGA-BR-7715-01A")</f>
        <v>TCGA-BR-7715-01A</v>
      </c>
      <c r="I18626" t="s">
        <v>574</v>
      </c>
      <c r="J18626" t="s">
        <v>575</v>
      </c>
      <c r="K18626" t="s">
        <v>33</v>
      </c>
      <c r="L18626" t="s">
        <v>246</v>
      </c>
      <c r="N18626" t="s">
        <v>29</v>
      </c>
    </row>
    <row r="18627" spans="1:14">
      <c r="A18627" s="4" t="str">
        <f t="shared" si="1321"/>
        <v>EXP00440</v>
      </c>
      <c r="B18627" s="3" t="s">
        <v>66</v>
      </c>
      <c r="C18627" s="4" t="str">
        <f t="shared" si="1320"/>
        <v>TCGA-STAD</v>
      </c>
      <c r="D18627" s="1" t="s">
        <v>493</v>
      </c>
      <c r="E18627" t="s">
        <v>579</v>
      </c>
      <c r="F18627" s="1">
        <v>2</v>
      </c>
      <c r="G18627" s="1" t="s">
        <v>32</v>
      </c>
      <c r="H18627" s="4" t="str">
        <f>HYPERLINK("https://portal.gdc.cancer.gov/cases/ca21c55f-45a7-42af-be07-430990d5445b","TCGA-BR-7716-01A")</f>
        <v>TCGA-BR-7716-01A</v>
      </c>
      <c r="I18627" t="s">
        <v>574</v>
      </c>
      <c r="J18627" t="s">
        <v>575</v>
      </c>
      <c r="K18627" t="s">
        <v>33</v>
      </c>
      <c r="L18627" t="s">
        <v>246</v>
      </c>
      <c r="N18627" t="s">
        <v>29</v>
      </c>
    </row>
    <row r="18628" spans="1:14">
      <c r="A18628" s="4" t="str">
        <f t="shared" si="1321"/>
        <v>EXP00440</v>
      </c>
      <c r="B18628" s="3" t="s">
        <v>66</v>
      </c>
      <c r="C18628" s="4" t="str">
        <f t="shared" si="1320"/>
        <v>TCGA-STAD</v>
      </c>
      <c r="D18628" s="1" t="s">
        <v>493</v>
      </c>
      <c r="E18628" t="s">
        <v>579</v>
      </c>
      <c r="F18628" s="1">
        <v>2</v>
      </c>
      <c r="G18628" s="1" t="s">
        <v>32</v>
      </c>
      <c r="H18628" s="4" t="str">
        <f>HYPERLINK("https://portal.gdc.cancer.gov/cases/93a337ae-2bd3-4464-b38f-93dff92d3fde","TCGA-BR-7717-01A")</f>
        <v>TCGA-BR-7717-01A</v>
      </c>
      <c r="I18628" t="s">
        <v>574</v>
      </c>
      <c r="J18628" t="s">
        <v>575</v>
      </c>
      <c r="K18628" t="s">
        <v>33</v>
      </c>
      <c r="L18628" t="s">
        <v>246</v>
      </c>
      <c r="N18628" t="s">
        <v>29</v>
      </c>
    </row>
    <row r="18629" spans="1:14">
      <c r="A18629" s="4" t="str">
        <f t="shared" si="1321"/>
        <v>EXP00440</v>
      </c>
      <c r="B18629" s="3" t="s">
        <v>66</v>
      </c>
      <c r="C18629" s="4" t="str">
        <f t="shared" si="1320"/>
        <v>TCGA-STAD</v>
      </c>
      <c r="D18629" s="1" t="s">
        <v>493</v>
      </c>
      <c r="E18629" t="s">
        <v>579</v>
      </c>
      <c r="F18629" s="1">
        <v>2</v>
      </c>
      <c r="G18629" s="1" t="s">
        <v>32</v>
      </c>
      <c r="H18629" s="4" t="str">
        <f>HYPERLINK("https://portal.gdc.cancer.gov/cases/8d3e3d09-bc61-4d5e-b8d6-5aee6cb488ae","TCGA-BR-7722-01A")</f>
        <v>TCGA-BR-7722-01A</v>
      </c>
      <c r="I18629" t="s">
        <v>574</v>
      </c>
      <c r="J18629" t="s">
        <v>575</v>
      </c>
      <c r="K18629" t="s">
        <v>33</v>
      </c>
      <c r="L18629" t="s">
        <v>246</v>
      </c>
      <c r="N18629" t="s">
        <v>29</v>
      </c>
    </row>
    <row r="18630" spans="1:14">
      <c r="A18630" s="4" t="str">
        <f t="shared" si="1321"/>
        <v>EXP00440</v>
      </c>
      <c r="B18630" s="3" t="s">
        <v>66</v>
      </c>
      <c r="C18630" s="4" t="str">
        <f t="shared" si="1320"/>
        <v>TCGA-STAD</v>
      </c>
      <c r="D18630" s="1" t="s">
        <v>493</v>
      </c>
      <c r="E18630" t="s">
        <v>579</v>
      </c>
      <c r="F18630" s="1">
        <v>2</v>
      </c>
      <c r="G18630" s="1" t="s">
        <v>32</v>
      </c>
      <c r="H18630" s="4" t="str">
        <f>HYPERLINK("https://portal.gdc.cancer.gov/cases/bb3729fe-2fa2-47fc-afde-c14036cb84f5","TCGA-BR-7723-01A")</f>
        <v>TCGA-BR-7723-01A</v>
      </c>
      <c r="I18630" t="s">
        <v>574</v>
      </c>
      <c r="J18630" t="s">
        <v>575</v>
      </c>
      <c r="K18630" t="s">
        <v>33</v>
      </c>
      <c r="L18630" t="s">
        <v>246</v>
      </c>
      <c r="N18630" t="s">
        <v>29</v>
      </c>
    </row>
    <row r="18631" spans="1:14">
      <c r="A18631" s="4" t="str">
        <f t="shared" si="1321"/>
        <v>EXP00440</v>
      </c>
      <c r="B18631" s="3" t="s">
        <v>66</v>
      </c>
      <c r="C18631" s="4" t="str">
        <f t="shared" si="1320"/>
        <v>TCGA-STAD</v>
      </c>
      <c r="D18631" s="1" t="s">
        <v>493</v>
      </c>
      <c r="E18631" t="s">
        <v>579</v>
      </c>
      <c r="F18631" s="1">
        <v>2</v>
      </c>
      <c r="G18631" s="1" t="s">
        <v>32</v>
      </c>
      <c r="H18631" s="4" t="str">
        <f>HYPERLINK("https://portal.gdc.cancer.gov/cases/08c73b36-ede5-4136-b73b-0e964d432f89","TCGA-BR-7851-01A")</f>
        <v>TCGA-BR-7851-01A</v>
      </c>
      <c r="I18631" t="s">
        <v>574</v>
      </c>
      <c r="J18631" t="s">
        <v>575</v>
      </c>
      <c r="K18631" t="s">
        <v>33</v>
      </c>
      <c r="L18631" t="s">
        <v>246</v>
      </c>
      <c r="N18631" t="s">
        <v>29</v>
      </c>
    </row>
    <row r="18632" spans="1:14">
      <c r="A18632" s="4" t="str">
        <f t="shared" si="1321"/>
        <v>EXP00440</v>
      </c>
      <c r="B18632" s="3" t="s">
        <v>66</v>
      </c>
      <c r="C18632" s="4" t="str">
        <f t="shared" si="1320"/>
        <v>TCGA-STAD</v>
      </c>
      <c r="D18632" s="1" t="s">
        <v>493</v>
      </c>
      <c r="E18632" t="s">
        <v>579</v>
      </c>
      <c r="F18632" s="1">
        <v>2</v>
      </c>
      <c r="G18632" s="1" t="s">
        <v>32</v>
      </c>
      <c r="H18632" s="4" t="str">
        <f>HYPERLINK("https://portal.gdc.cancer.gov/cases/9b5e5122-8ea0-432c-bc64-932bf376fffd","TCGA-BR-7901-01A")</f>
        <v>TCGA-BR-7901-01A</v>
      </c>
      <c r="I18632" t="s">
        <v>574</v>
      </c>
      <c r="J18632" t="s">
        <v>575</v>
      </c>
      <c r="K18632" t="s">
        <v>33</v>
      </c>
      <c r="L18632" t="s">
        <v>246</v>
      </c>
      <c r="N18632" t="s">
        <v>29</v>
      </c>
    </row>
    <row r="18633" spans="1:14">
      <c r="A18633" s="4" t="str">
        <f t="shared" si="1321"/>
        <v>EXP00440</v>
      </c>
      <c r="B18633" s="3" t="s">
        <v>66</v>
      </c>
      <c r="C18633" s="4" t="str">
        <f t="shared" si="1320"/>
        <v>TCGA-STAD</v>
      </c>
      <c r="D18633" s="1" t="s">
        <v>493</v>
      </c>
      <c r="E18633" t="s">
        <v>579</v>
      </c>
      <c r="F18633" s="1">
        <v>2</v>
      </c>
      <c r="G18633" s="1" t="s">
        <v>32</v>
      </c>
      <c r="H18633" s="4" t="str">
        <f>HYPERLINK("https://portal.gdc.cancer.gov/cases/0dfa566e-8fb2-4288-81ce-b4bcce674b06","TCGA-BR-7957-01A")</f>
        <v>TCGA-BR-7957-01A</v>
      </c>
      <c r="I18633" t="s">
        <v>574</v>
      </c>
      <c r="J18633" t="s">
        <v>575</v>
      </c>
      <c r="K18633" t="s">
        <v>33</v>
      </c>
      <c r="L18633" t="s">
        <v>246</v>
      </c>
      <c r="N18633" t="s">
        <v>29</v>
      </c>
    </row>
    <row r="18634" spans="1:14">
      <c r="A18634" s="4" t="str">
        <f t="shared" si="1321"/>
        <v>EXP00440</v>
      </c>
      <c r="B18634" s="3" t="s">
        <v>66</v>
      </c>
      <c r="C18634" s="4" t="str">
        <f t="shared" si="1320"/>
        <v>TCGA-STAD</v>
      </c>
      <c r="D18634" s="1" t="s">
        <v>493</v>
      </c>
      <c r="E18634" t="s">
        <v>579</v>
      </c>
      <c r="F18634" s="1">
        <v>2</v>
      </c>
      <c r="G18634" s="1" t="s">
        <v>32</v>
      </c>
      <c r="H18634" s="4" t="str">
        <f>HYPERLINK("https://portal.gdc.cancer.gov/cases/1fb6c06e-ecf4-4b4c-bb15-df8c0a9fad8f","TCGA-BR-7958-01A")</f>
        <v>TCGA-BR-7958-01A</v>
      </c>
      <c r="I18634" t="s">
        <v>574</v>
      </c>
      <c r="J18634" t="s">
        <v>575</v>
      </c>
      <c r="K18634" t="s">
        <v>33</v>
      </c>
      <c r="L18634" t="s">
        <v>246</v>
      </c>
      <c r="N18634" t="s">
        <v>29</v>
      </c>
    </row>
    <row r="18635" spans="1:14">
      <c r="A18635" s="4" t="str">
        <f t="shared" si="1321"/>
        <v>EXP00440</v>
      </c>
      <c r="B18635" s="3" t="s">
        <v>66</v>
      </c>
      <c r="C18635" s="4" t="str">
        <f t="shared" si="1320"/>
        <v>TCGA-STAD</v>
      </c>
      <c r="D18635" s="1" t="s">
        <v>493</v>
      </c>
      <c r="E18635" t="s">
        <v>579</v>
      </c>
      <c r="F18635" s="1">
        <v>2</v>
      </c>
      <c r="G18635" s="1" t="s">
        <v>32</v>
      </c>
      <c r="H18635" s="4" t="str">
        <f>HYPERLINK("https://portal.gdc.cancer.gov/cases/b16167d0-d7d7-408e-bd0e-ce429b7f828c","TCGA-BR-7959-01A")</f>
        <v>TCGA-BR-7959-01A</v>
      </c>
      <c r="I18635" t="s">
        <v>574</v>
      </c>
      <c r="J18635" t="s">
        <v>575</v>
      </c>
      <c r="K18635" t="s">
        <v>33</v>
      </c>
      <c r="L18635" t="s">
        <v>246</v>
      </c>
      <c r="N18635" t="s">
        <v>29</v>
      </c>
    </row>
    <row r="18636" spans="1:14">
      <c r="A18636" s="4" t="str">
        <f t="shared" si="1321"/>
        <v>EXP00440</v>
      </c>
      <c r="B18636" s="3" t="s">
        <v>66</v>
      </c>
      <c r="C18636" s="4" t="str">
        <f t="shared" si="1320"/>
        <v>TCGA-STAD</v>
      </c>
      <c r="D18636" s="1" t="s">
        <v>493</v>
      </c>
      <c r="E18636" t="s">
        <v>579</v>
      </c>
      <c r="F18636" s="1">
        <v>2</v>
      </c>
      <c r="G18636" s="1" t="s">
        <v>32</v>
      </c>
      <c r="H18636" s="4" t="str">
        <f>HYPERLINK("https://portal.gdc.cancer.gov/cases/4685dc14-1809-47ea-aba9-9bde72f6661b","TCGA-BR-8058-01A")</f>
        <v>TCGA-BR-8058-01A</v>
      </c>
      <c r="I18636" t="s">
        <v>574</v>
      </c>
      <c r="J18636" t="s">
        <v>575</v>
      </c>
      <c r="K18636" t="s">
        <v>33</v>
      </c>
      <c r="L18636" t="s">
        <v>246</v>
      </c>
      <c r="N18636" t="s">
        <v>29</v>
      </c>
    </row>
    <row r="18637" spans="1:14">
      <c r="A18637" s="4" t="str">
        <f t="shared" si="1321"/>
        <v>EXP00440</v>
      </c>
      <c r="B18637" s="3" t="s">
        <v>66</v>
      </c>
      <c r="C18637" s="4" t="str">
        <f t="shared" si="1320"/>
        <v>TCGA-STAD</v>
      </c>
      <c r="D18637" s="1" t="s">
        <v>493</v>
      </c>
      <c r="E18637" t="s">
        <v>579</v>
      </c>
      <c r="F18637" s="1">
        <v>2</v>
      </c>
      <c r="G18637" s="1" t="s">
        <v>32</v>
      </c>
      <c r="H18637" s="4" t="str">
        <f>HYPERLINK("https://portal.gdc.cancer.gov/cases/bae3c762-d894-4742-860c-43d18659b4bc","TCGA-BR-8059-01A")</f>
        <v>TCGA-BR-8059-01A</v>
      </c>
      <c r="I18637" t="s">
        <v>574</v>
      </c>
      <c r="J18637" t="s">
        <v>575</v>
      </c>
      <c r="K18637" t="s">
        <v>33</v>
      </c>
      <c r="L18637" t="s">
        <v>246</v>
      </c>
      <c r="N18637" t="s">
        <v>29</v>
      </c>
    </row>
    <row r="18638" spans="1:14">
      <c r="A18638" s="4" t="str">
        <f t="shared" si="1321"/>
        <v>EXP00440</v>
      </c>
      <c r="B18638" s="3" t="s">
        <v>66</v>
      </c>
      <c r="C18638" s="4" t="str">
        <f t="shared" si="1320"/>
        <v>TCGA-STAD</v>
      </c>
      <c r="D18638" s="1" t="s">
        <v>493</v>
      </c>
      <c r="E18638" t="s">
        <v>579</v>
      </c>
      <c r="F18638" s="1">
        <v>2</v>
      </c>
      <c r="G18638" s="1" t="s">
        <v>32</v>
      </c>
      <c r="H18638" s="4" t="str">
        <f>HYPERLINK("https://portal.gdc.cancer.gov/cases/23ef21a0-3695-4ca2-99e2-274805f11892","TCGA-BR-8060-01A")</f>
        <v>TCGA-BR-8060-01A</v>
      </c>
      <c r="I18638" t="s">
        <v>574</v>
      </c>
      <c r="J18638" t="s">
        <v>575</v>
      </c>
      <c r="K18638" t="s">
        <v>33</v>
      </c>
      <c r="L18638" t="s">
        <v>246</v>
      </c>
      <c r="N18638" t="s">
        <v>29</v>
      </c>
    </row>
    <row r="18639" spans="1:14">
      <c r="A18639" s="4" t="str">
        <f t="shared" si="1321"/>
        <v>EXP00440</v>
      </c>
      <c r="B18639" s="3" t="s">
        <v>66</v>
      </c>
      <c r="C18639" s="4" t="str">
        <f t="shared" si="1320"/>
        <v>TCGA-STAD</v>
      </c>
      <c r="D18639" s="1" t="s">
        <v>493</v>
      </c>
      <c r="E18639" t="s">
        <v>579</v>
      </c>
      <c r="F18639" s="1">
        <v>2</v>
      </c>
      <c r="G18639" s="1" t="s">
        <v>32</v>
      </c>
      <c r="H18639" s="4" t="str">
        <f>HYPERLINK("https://portal.gdc.cancer.gov/cases/faed873e-a019-49c0-95a9-e9880fc23093","TCGA-BR-8077-01A")</f>
        <v>TCGA-BR-8077-01A</v>
      </c>
      <c r="I18639" t="s">
        <v>574</v>
      </c>
      <c r="J18639" t="s">
        <v>575</v>
      </c>
      <c r="K18639" t="s">
        <v>33</v>
      </c>
      <c r="L18639" t="s">
        <v>246</v>
      </c>
      <c r="N18639" t="s">
        <v>29</v>
      </c>
    </row>
    <row r="18640" spans="1:14">
      <c r="A18640" s="4" t="str">
        <f t="shared" si="1321"/>
        <v>EXP00440</v>
      </c>
      <c r="B18640" s="3" t="s">
        <v>66</v>
      </c>
      <c r="C18640" s="4" t="str">
        <f t="shared" si="1320"/>
        <v>TCGA-STAD</v>
      </c>
      <c r="D18640" s="1" t="s">
        <v>493</v>
      </c>
      <c r="E18640" t="s">
        <v>579</v>
      </c>
      <c r="F18640" s="1">
        <v>2</v>
      </c>
      <c r="G18640" s="1" t="s">
        <v>32</v>
      </c>
      <c r="H18640" s="4" t="str">
        <f>HYPERLINK("https://portal.gdc.cancer.gov/cases/d0b78f02-2315-4c12-8b2a-ac1a110f882d","TCGA-BR-8080-01A")</f>
        <v>TCGA-BR-8080-01A</v>
      </c>
      <c r="I18640" t="s">
        <v>574</v>
      </c>
      <c r="J18640" t="s">
        <v>575</v>
      </c>
      <c r="K18640" t="s">
        <v>33</v>
      </c>
      <c r="L18640" t="s">
        <v>246</v>
      </c>
      <c r="N18640" t="s">
        <v>29</v>
      </c>
    </row>
    <row r="18641" spans="1:14">
      <c r="A18641" s="4" t="str">
        <f t="shared" si="1321"/>
        <v>EXP00440</v>
      </c>
      <c r="B18641" s="3" t="s">
        <v>66</v>
      </c>
      <c r="C18641" s="4" t="str">
        <f t="shared" si="1320"/>
        <v>TCGA-STAD</v>
      </c>
      <c r="D18641" s="1" t="s">
        <v>493</v>
      </c>
      <c r="E18641" t="s">
        <v>579</v>
      </c>
      <c r="F18641" s="1">
        <v>2</v>
      </c>
      <c r="G18641" s="1" t="s">
        <v>32</v>
      </c>
      <c r="H18641" s="4" t="str">
        <f>HYPERLINK("https://portal.gdc.cancer.gov/cases/1d3a03a5-b757-4617-b65a-50f429a0e026","TCGA-BR-8081-01A")</f>
        <v>TCGA-BR-8081-01A</v>
      </c>
      <c r="I18641" t="s">
        <v>574</v>
      </c>
      <c r="J18641" t="s">
        <v>575</v>
      </c>
      <c r="K18641" t="s">
        <v>33</v>
      </c>
      <c r="L18641" t="s">
        <v>246</v>
      </c>
      <c r="N18641" t="s">
        <v>29</v>
      </c>
    </row>
    <row r="18642" spans="1:14">
      <c r="A18642" s="4" t="str">
        <f t="shared" si="1321"/>
        <v>EXP00440</v>
      </c>
      <c r="B18642" s="3" t="s">
        <v>66</v>
      </c>
      <c r="C18642" s="4" t="str">
        <f t="shared" si="1320"/>
        <v>TCGA-STAD</v>
      </c>
      <c r="D18642" s="1" t="s">
        <v>493</v>
      </c>
      <c r="E18642" t="s">
        <v>579</v>
      </c>
      <c r="F18642" s="1">
        <v>2</v>
      </c>
      <c r="G18642" s="1" t="s">
        <v>32</v>
      </c>
      <c r="H18642" s="4" t="str">
        <f>HYPERLINK("https://portal.gdc.cancer.gov/cases/a89e46f4-4808-41e5-a047-acebf8744eb7","TCGA-BR-8284-01A")</f>
        <v>TCGA-BR-8284-01A</v>
      </c>
      <c r="I18642" t="s">
        <v>574</v>
      </c>
      <c r="J18642" t="s">
        <v>575</v>
      </c>
      <c r="K18642" t="s">
        <v>33</v>
      </c>
      <c r="L18642" t="s">
        <v>246</v>
      </c>
      <c r="N18642" t="s">
        <v>29</v>
      </c>
    </row>
    <row r="18643" spans="1:14">
      <c r="A18643" s="4" t="str">
        <f t="shared" si="1321"/>
        <v>EXP00440</v>
      </c>
      <c r="B18643" s="3" t="s">
        <v>66</v>
      </c>
      <c r="C18643" s="4" t="str">
        <f t="shared" si="1320"/>
        <v>TCGA-STAD</v>
      </c>
      <c r="D18643" s="1" t="s">
        <v>493</v>
      </c>
      <c r="E18643" t="s">
        <v>579</v>
      </c>
      <c r="F18643" s="1">
        <v>2</v>
      </c>
      <c r="G18643" s="1" t="s">
        <v>32</v>
      </c>
      <c r="H18643" s="4" t="str">
        <f>HYPERLINK("https://portal.gdc.cancer.gov/cases/7d915d11-729c-4577-a948-9824a8b033ce","TCGA-BR-8286-01A")</f>
        <v>TCGA-BR-8286-01A</v>
      </c>
      <c r="I18643" t="s">
        <v>574</v>
      </c>
      <c r="J18643" t="s">
        <v>575</v>
      </c>
      <c r="K18643" t="s">
        <v>33</v>
      </c>
      <c r="L18643" t="s">
        <v>246</v>
      </c>
      <c r="N18643" t="s">
        <v>29</v>
      </c>
    </row>
    <row r="18644" spans="1:14">
      <c r="A18644" s="4" t="str">
        <f t="shared" si="1321"/>
        <v>EXP00440</v>
      </c>
      <c r="B18644" s="3" t="s">
        <v>66</v>
      </c>
      <c r="C18644" s="4" t="str">
        <f t="shared" si="1320"/>
        <v>TCGA-STAD</v>
      </c>
      <c r="D18644" s="1" t="s">
        <v>493</v>
      </c>
      <c r="E18644" t="s">
        <v>579</v>
      </c>
      <c r="F18644" s="1">
        <v>2</v>
      </c>
      <c r="G18644" s="1" t="s">
        <v>32</v>
      </c>
      <c r="H18644" s="4" t="str">
        <f>HYPERLINK("https://portal.gdc.cancer.gov/cases/889cb779-36a5-4ac6-b2cf-ea7be0cc387d","TCGA-BR-8289-01A")</f>
        <v>TCGA-BR-8289-01A</v>
      </c>
      <c r="I18644" t="s">
        <v>574</v>
      </c>
      <c r="J18644" t="s">
        <v>575</v>
      </c>
      <c r="K18644" t="s">
        <v>33</v>
      </c>
      <c r="L18644" t="s">
        <v>246</v>
      </c>
      <c r="N18644" t="s">
        <v>29</v>
      </c>
    </row>
    <row r="18645" spans="1:14">
      <c r="A18645" s="4" t="str">
        <f t="shared" si="1321"/>
        <v>EXP00440</v>
      </c>
      <c r="B18645" s="3" t="s">
        <v>66</v>
      </c>
      <c r="C18645" s="4" t="str">
        <f t="shared" si="1320"/>
        <v>TCGA-STAD</v>
      </c>
      <c r="D18645" s="1" t="s">
        <v>493</v>
      </c>
      <c r="E18645" t="s">
        <v>579</v>
      </c>
      <c r="F18645" s="1">
        <v>2</v>
      </c>
      <c r="G18645" s="1" t="s">
        <v>32</v>
      </c>
      <c r="H18645" s="4" t="str">
        <f>HYPERLINK("https://portal.gdc.cancer.gov/cases/264b781d-122b-433d-80d4-59fbec262f22","TCGA-BR-8291-01A")</f>
        <v>TCGA-BR-8291-01A</v>
      </c>
      <c r="I18645" t="s">
        <v>574</v>
      </c>
      <c r="J18645" t="s">
        <v>575</v>
      </c>
      <c r="K18645" t="s">
        <v>33</v>
      </c>
      <c r="L18645" t="s">
        <v>246</v>
      </c>
      <c r="N18645" t="s">
        <v>29</v>
      </c>
    </row>
    <row r="18646" spans="1:14">
      <c r="A18646" s="4" t="str">
        <f t="shared" si="1321"/>
        <v>EXP00440</v>
      </c>
      <c r="B18646" s="3" t="s">
        <v>66</v>
      </c>
      <c r="C18646" s="4" t="str">
        <f t="shared" si="1320"/>
        <v>TCGA-STAD</v>
      </c>
      <c r="D18646" s="1" t="s">
        <v>493</v>
      </c>
      <c r="E18646" t="s">
        <v>579</v>
      </c>
      <c r="F18646" s="1">
        <v>2</v>
      </c>
      <c r="G18646" s="1" t="s">
        <v>32</v>
      </c>
      <c r="H18646" s="4" t="str">
        <f>HYPERLINK("https://portal.gdc.cancer.gov/cases/62d32d19-ec93-4359-ab17-dc32e599b29a","TCGA-BR-8295-01A")</f>
        <v>TCGA-BR-8295-01A</v>
      </c>
      <c r="I18646" t="s">
        <v>574</v>
      </c>
      <c r="J18646" t="s">
        <v>575</v>
      </c>
      <c r="K18646" t="s">
        <v>33</v>
      </c>
      <c r="L18646" t="s">
        <v>246</v>
      </c>
      <c r="N18646" t="s">
        <v>29</v>
      </c>
    </row>
    <row r="18647" spans="1:14">
      <c r="A18647" s="4" t="str">
        <f t="shared" si="1321"/>
        <v>EXP00440</v>
      </c>
      <c r="B18647" s="3" t="s">
        <v>66</v>
      </c>
      <c r="C18647" s="4" t="str">
        <f t="shared" si="1320"/>
        <v>TCGA-STAD</v>
      </c>
      <c r="D18647" s="1" t="s">
        <v>493</v>
      </c>
      <c r="E18647" t="s">
        <v>579</v>
      </c>
      <c r="F18647" s="1">
        <v>2</v>
      </c>
      <c r="G18647" s="1" t="s">
        <v>32</v>
      </c>
      <c r="H18647" s="4" t="str">
        <f>HYPERLINK("https://portal.gdc.cancer.gov/cases/2688d563-b052-440b-a810-873b1cd3666d","TCGA-BR-8296-01A")</f>
        <v>TCGA-BR-8296-01A</v>
      </c>
      <c r="I18647" t="s">
        <v>574</v>
      </c>
      <c r="J18647" t="s">
        <v>575</v>
      </c>
      <c r="K18647" t="s">
        <v>33</v>
      </c>
      <c r="L18647" t="s">
        <v>246</v>
      </c>
      <c r="N18647" t="s">
        <v>29</v>
      </c>
    </row>
    <row r="18648" spans="1:14">
      <c r="A18648" s="4" t="str">
        <f t="shared" si="1321"/>
        <v>EXP00440</v>
      </c>
      <c r="B18648" s="3" t="s">
        <v>66</v>
      </c>
      <c r="C18648" s="4" t="str">
        <f t="shared" si="1320"/>
        <v>TCGA-STAD</v>
      </c>
      <c r="D18648" s="1" t="s">
        <v>493</v>
      </c>
      <c r="E18648" t="s">
        <v>579</v>
      </c>
      <c r="F18648" s="1">
        <v>2</v>
      </c>
      <c r="G18648" s="1" t="s">
        <v>32</v>
      </c>
      <c r="H18648" s="4" t="str">
        <f>HYPERLINK("https://portal.gdc.cancer.gov/cases/304aab66-4a2a-4b9f-af87-4a591d518ca1","TCGA-BR-8297-01A")</f>
        <v>TCGA-BR-8297-01A</v>
      </c>
      <c r="I18648" t="s">
        <v>574</v>
      </c>
      <c r="J18648" t="s">
        <v>575</v>
      </c>
      <c r="K18648" t="s">
        <v>33</v>
      </c>
      <c r="L18648" t="s">
        <v>246</v>
      </c>
      <c r="N18648" t="s">
        <v>29</v>
      </c>
    </row>
    <row r="18649" spans="1:14">
      <c r="A18649" s="4" t="str">
        <f t="shared" si="1321"/>
        <v>EXP00440</v>
      </c>
      <c r="B18649" s="3" t="s">
        <v>66</v>
      </c>
      <c r="C18649" s="4" t="str">
        <f t="shared" si="1320"/>
        <v>TCGA-STAD</v>
      </c>
      <c r="D18649" s="1" t="s">
        <v>493</v>
      </c>
      <c r="E18649" t="s">
        <v>579</v>
      </c>
      <c r="F18649" s="1">
        <v>2</v>
      </c>
      <c r="G18649" s="1" t="s">
        <v>32</v>
      </c>
      <c r="H18649" s="4" t="str">
        <f>HYPERLINK("https://portal.gdc.cancer.gov/cases/86cbca52-29bd-4b88-a203-e8b9a072bd4b","TCGA-BR-8361-01A")</f>
        <v>TCGA-BR-8361-01A</v>
      </c>
      <c r="I18649" t="s">
        <v>574</v>
      </c>
      <c r="J18649" t="s">
        <v>575</v>
      </c>
      <c r="K18649" t="s">
        <v>33</v>
      </c>
      <c r="L18649" t="s">
        <v>246</v>
      </c>
      <c r="N18649" t="s">
        <v>29</v>
      </c>
    </row>
    <row r="18650" spans="1:14">
      <c r="A18650" s="4" t="str">
        <f t="shared" si="1321"/>
        <v>EXP00440</v>
      </c>
      <c r="B18650" s="3" t="s">
        <v>66</v>
      </c>
      <c r="C18650" s="4" t="str">
        <f t="shared" si="1320"/>
        <v>TCGA-STAD</v>
      </c>
      <c r="D18650" s="1" t="s">
        <v>493</v>
      </c>
      <c r="E18650" t="s">
        <v>579</v>
      </c>
      <c r="F18650" s="1">
        <v>2</v>
      </c>
      <c r="G18650" s="1" t="s">
        <v>32</v>
      </c>
      <c r="H18650" s="4" t="str">
        <f>HYPERLINK("https://portal.gdc.cancer.gov/cases/632f51b3-8ef4-4b6e-a992-c81e554507ed","TCGA-BR-8364-01A")</f>
        <v>TCGA-BR-8364-01A</v>
      </c>
      <c r="I18650" t="s">
        <v>574</v>
      </c>
      <c r="J18650" t="s">
        <v>575</v>
      </c>
      <c r="K18650" t="s">
        <v>33</v>
      </c>
      <c r="L18650" t="s">
        <v>246</v>
      </c>
      <c r="N18650" t="s">
        <v>29</v>
      </c>
    </row>
    <row r="18651" spans="1:14">
      <c r="A18651" s="4" t="str">
        <f t="shared" si="1321"/>
        <v>EXP00440</v>
      </c>
      <c r="B18651" s="3" t="s">
        <v>66</v>
      </c>
      <c r="C18651" s="4" t="str">
        <f t="shared" si="1320"/>
        <v>TCGA-STAD</v>
      </c>
      <c r="D18651" s="1" t="s">
        <v>493</v>
      </c>
      <c r="E18651" t="s">
        <v>579</v>
      </c>
      <c r="F18651" s="1">
        <v>2</v>
      </c>
      <c r="G18651" s="1" t="s">
        <v>32</v>
      </c>
      <c r="H18651" s="4" t="str">
        <f>HYPERLINK("https://portal.gdc.cancer.gov/cases/55a2c884-49a7-4d1a-9e0e-42f6a8b720fa","TCGA-BR-8365-01A")</f>
        <v>TCGA-BR-8365-01A</v>
      </c>
      <c r="I18651" t="s">
        <v>574</v>
      </c>
      <c r="J18651" t="s">
        <v>575</v>
      </c>
      <c r="K18651" t="s">
        <v>33</v>
      </c>
      <c r="L18651" t="s">
        <v>246</v>
      </c>
      <c r="N18651" t="s">
        <v>29</v>
      </c>
    </row>
    <row r="18652" spans="1:14">
      <c r="A18652" s="4" t="str">
        <f t="shared" si="1321"/>
        <v>EXP00440</v>
      </c>
      <c r="B18652" s="3" t="s">
        <v>66</v>
      </c>
      <c r="C18652" s="4" t="str">
        <f t="shared" si="1320"/>
        <v>TCGA-STAD</v>
      </c>
      <c r="D18652" s="1" t="s">
        <v>493</v>
      </c>
      <c r="E18652" t="s">
        <v>579</v>
      </c>
      <c r="F18652" s="1">
        <v>2</v>
      </c>
      <c r="G18652" s="1" t="s">
        <v>32</v>
      </c>
      <c r="H18652" s="4" t="str">
        <f>HYPERLINK("https://portal.gdc.cancer.gov/cases/66c04b8f-42fd-44c5-945b-ee149bcf5dad","TCGA-BR-8366-01A")</f>
        <v>TCGA-BR-8366-01A</v>
      </c>
      <c r="I18652" t="s">
        <v>574</v>
      </c>
      <c r="J18652" t="s">
        <v>575</v>
      </c>
      <c r="K18652" t="s">
        <v>33</v>
      </c>
      <c r="L18652" t="s">
        <v>246</v>
      </c>
      <c r="N18652" t="s">
        <v>29</v>
      </c>
    </row>
    <row r="18653" spans="1:14">
      <c r="A18653" s="4" t="str">
        <f t="shared" si="1321"/>
        <v>EXP00440</v>
      </c>
      <c r="B18653" s="3" t="s">
        <v>66</v>
      </c>
      <c r="C18653" s="4" t="str">
        <f t="shared" si="1320"/>
        <v>TCGA-STAD</v>
      </c>
      <c r="D18653" s="1" t="s">
        <v>493</v>
      </c>
      <c r="E18653" t="s">
        <v>579</v>
      </c>
      <c r="F18653" s="1">
        <v>2</v>
      </c>
      <c r="G18653" s="1" t="s">
        <v>32</v>
      </c>
      <c r="H18653" s="4" t="str">
        <f>HYPERLINK("https://portal.gdc.cancer.gov/cases/b12d9857-9ae1-445b-a963-b630b27b254e","TCGA-BR-8367-01A")</f>
        <v>TCGA-BR-8367-01A</v>
      </c>
      <c r="I18653" t="s">
        <v>574</v>
      </c>
      <c r="J18653" t="s">
        <v>575</v>
      </c>
      <c r="K18653" t="s">
        <v>33</v>
      </c>
      <c r="L18653" t="s">
        <v>246</v>
      </c>
      <c r="N18653" t="s">
        <v>29</v>
      </c>
    </row>
    <row r="18654" spans="1:14">
      <c r="A18654" s="4" t="str">
        <f t="shared" si="1321"/>
        <v>EXP00440</v>
      </c>
      <c r="B18654" s="3" t="s">
        <v>66</v>
      </c>
      <c r="C18654" s="4" t="str">
        <f t="shared" si="1320"/>
        <v>TCGA-STAD</v>
      </c>
      <c r="D18654" s="1" t="s">
        <v>493</v>
      </c>
      <c r="E18654" t="s">
        <v>579</v>
      </c>
      <c r="F18654" s="1">
        <v>2</v>
      </c>
      <c r="G18654" s="1" t="s">
        <v>32</v>
      </c>
      <c r="H18654" s="4" t="str">
        <f>HYPERLINK("https://portal.gdc.cancer.gov/cases/00781a96-4068-427c-a9c5-584d167c3dea","TCGA-BR-8368-01A")</f>
        <v>TCGA-BR-8368-01A</v>
      </c>
      <c r="I18654" t="s">
        <v>574</v>
      </c>
      <c r="J18654" t="s">
        <v>575</v>
      </c>
      <c r="K18654" t="s">
        <v>33</v>
      </c>
      <c r="L18654" t="s">
        <v>246</v>
      </c>
      <c r="N18654" t="s">
        <v>29</v>
      </c>
    </row>
    <row r="18655" spans="1:14">
      <c r="A18655" s="4" t="str">
        <f t="shared" si="1321"/>
        <v>EXP00440</v>
      </c>
      <c r="B18655" s="3" t="s">
        <v>66</v>
      </c>
      <c r="C18655" s="4" t="str">
        <f t="shared" si="1320"/>
        <v>TCGA-STAD</v>
      </c>
      <c r="D18655" s="1" t="s">
        <v>493</v>
      </c>
      <c r="E18655" t="s">
        <v>579</v>
      </c>
      <c r="F18655" s="1">
        <v>2</v>
      </c>
      <c r="G18655" s="1" t="s">
        <v>32</v>
      </c>
      <c r="H18655" s="4" t="str">
        <f>HYPERLINK("https://portal.gdc.cancer.gov/cases/f89ac782-e0b2-4e62-844d-2e00d10a1c65","TCGA-BR-8369-01A")</f>
        <v>TCGA-BR-8369-01A</v>
      </c>
      <c r="I18655" t="s">
        <v>574</v>
      </c>
      <c r="J18655" t="s">
        <v>575</v>
      </c>
      <c r="K18655" t="s">
        <v>33</v>
      </c>
      <c r="L18655" t="s">
        <v>246</v>
      </c>
      <c r="N18655" t="s">
        <v>29</v>
      </c>
    </row>
    <row r="18656" spans="1:14">
      <c r="A18656" s="4" t="str">
        <f t="shared" si="1321"/>
        <v>EXP00440</v>
      </c>
      <c r="B18656" s="3" t="s">
        <v>66</v>
      </c>
      <c r="C18656" s="4" t="str">
        <f t="shared" si="1320"/>
        <v>TCGA-STAD</v>
      </c>
      <c r="D18656" s="1" t="s">
        <v>493</v>
      </c>
      <c r="E18656" t="s">
        <v>579</v>
      </c>
      <c r="F18656" s="1">
        <v>2</v>
      </c>
      <c r="G18656" s="1" t="s">
        <v>32</v>
      </c>
      <c r="H18656" s="4" t="str">
        <f>HYPERLINK("https://portal.gdc.cancer.gov/cases/4020b1b1-576d-4869-9ff5-552e3afb3ab5","TCGA-BR-8371-01A")</f>
        <v>TCGA-BR-8371-01A</v>
      </c>
      <c r="I18656" t="s">
        <v>574</v>
      </c>
      <c r="J18656" t="s">
        <v>575</v>
      </c>
      <c r="K18656" t="s">
        <v>33</v>
      </c>
      <c r="L18656" t="s">
        <v>246</v>
      </c>
      <c r="N18656" t="s">
        <v>29</v>
      </c>
    </row>
    <row r="18657" spans="1:14">
      <c r="A18657" s="4" t="str">
        <f t="shared" si="1321"/>
        <v>EXP00440</v>
      </c>
      <c r="B18657" s="3" t="s">
        <v>66</v>
      </c>
      <c r="C18657" s="4" t="str">
        <f t="shared" si="1320"/>
        <v>TCGA-STAD</v>
      </c>
      <c r="D18657" s="1" t="s">
        <v>493</v>
      </c>
      <c r="E18657" t="s">
        <v>579</v>
      </c>
      <c r="F18657" s="1">
        <v>2</v>
      </c>
      <c r="G18657" s="1" t="s">
        <v>32</v>
      </c>
      <c r="H18657" s="4" t="str">
        <f>HYPERLINK("https://portal.gdc.cancer.gov/cases/5b52f882-df12-42ec-a000-ff3b428ba05b","TCGA-BR-8372-01A")</f>
        <v>TCGA-BR-8372-01A</v>
      </c>
      <c r="I18657" t="s">
        <v>574</v>
      </c>
      <c r="J18657" t="s">
        <v>575</v>
      </c>
      <c r="K18657" t="s">
        <v>33</v>
      </c>
      <c r="L18657" t="s">
        <v>246</v>
      </c>
      <c r="N18657" t="s">
        <v>29</v>
      </c>
    </row>
    <row r="18658" spans="1:14">
      <c r="A18658" s="4" t="str">
        <f t="shared" si="1321"/>
        <v>EXP00440</v>
      </c>
      <c r="B18658" s="3" t="s">
        <v>66</v>
      </c>
      <c r="C18658" s="4" t="str">
        <f t="shared" si="1320"/>
        <v>TCGA-STAD</v>
      </c>
      <c r="D18658" s="1" t="s">
        <v>493</v>
      </c>
      <c r="E18658" t="s">
        <v>579</v>
      </c>
      <c r="F18658" s="1">
        <v>2</v>
      </c>
      <c r="G18658" s="1" t="s">
        <v>32</v>
      </c>
      <c r="H18658" s="4" t="str">
        <f>HYPERLINK("https://portal.gdc.cancer.gov/cases/60879669-96c2-4710-82e0-0ae9d0e5b242","TCGA-BR-8373-01A")</f>
        <v>TCGA-BR-8373-01A</v>
      </c>
      <c r="I18658" t="s">
        <v>574</v>
      </c>
      <c r="J18658" t="s">
        <v>575</v>
      </c>
      <c r="K18658" t="s">
        <v>33</v>
      </c>
      <c r="L18658" t="s">
        <v>246</v>
      </c>
      <c r="N18658" t="s">
        <v>29</v>
      </c>
    </row>
    <row r="18659" spans="1:14">
      <c r="A18659" s="4" t="str">
        <f t="shared" si="1321"/>
        <v>EXP00440</v>
      </c>
      <c r="B18659" s="3" t="s">
        <v>66</v>
      </c>
      <c r="C18659" s="4" t="str">
        <f t="shared" si="1320"/>
        <v>TCGA-STAD</v>
      </c>
      <c r="D18659" s="1" t="s">
        <v>493</v>
      </c>
      <c r="E18659" t="s">
        <v>579</v>
      </c>
      <c r="F18659" s="1">
        <v>2</v>
      </c>
      <c r="G18659" s="1" t="s">
        <v>32</v>
      </c>
      <c r="H18659" s="4" t="str">
        <f>HYPERLINK("https://portal.gdc.cancer.gov/cases/9ebc8b58-363b-4638-8365-cfbde31a71ae","TCGA-BR-8380-01A")</f>
        <v>TCGA-BR-8380-01A</v>
      </c>
      <c r="I18659" t="s">
        <v>574</v>
      </c>
      <c r="J18659" t="s">
        <v>575</v>
      </c>
      <c r="K18659" t="s">
        <v>33</v>
      </c>
      <c r="L18659" t="s">
        <v>246</v>
      </c>
      <c r="N18659" t="s">
        <v>29</v>
      </c>
    </row>
    <row r="18660" spans="1:14">
      <c r="A18660" s="4" t="str">
        <f t="shared" si="1321"/>
        <v>EXP00440</v>
      </c>
      <c r="B18660" s="3" t="s">
        <v>66</v>
      </c>
      <c r="C18660" s="4" t="str">
        <f t="shared" si="1320"/>
        <v>TCGA-STAD</v>
      </c>
      <c r="D18660" s="1" t="s">
        <v>493</v>
      </c>
      <c r="E18660" t="s">
        <v>579</v>
      </c>
      <c r="F18660" s="1">
        <v>2</v>
      </c>
      <c r="G18660" s="1" t="s">
        <v>32</v>
      </c>
      <c r="H18660" s="4" t="str">
        <f>HYPERLINK("https://portal.gdc.cancer.gov/cases/aef8d98f-7a1c-47f3-b5a7-a3cb299c70de","TCGA-BR-8381-01A")</f>
        <v>TCGA-BR-8381-01A</v>
      </c>
      <c r="I18660" t="s">
        <v>574</v>
      </c>
      <c r="J18660" t="s">
        <v>575</v>
      </c>
      <c r="K18660" t="s">
        <v>33</v>
      </c>
      <c r="L18660" t="s">
        <v>246</v>
      </c>
      <c r="N18660" t="s">
        <v>29</v>
      </c>
    </row>
    <row r="18661" spans="1:14">
      <c r="A18661" s="4" t="str">
        <f t="shared" si="1321"/>
        <v>EXP00440</v>
      </c>
      <c r="B18661" s="3" t="s">
        <v>66</v>
      </c>
      <c r="C18661" s="4" t="str">
        <f t="shared" si="1320"/>
        <v>TCGA-STAD</v>
      </c>
      <c r="D18661" s="1" t="s">
        <v>493</v>
      </c>
      <c r="E18661" t="s">
        <v>579</v>
      </c>
      <c r="F18661" s="1">
        <v>2</v>
      </c>
      <c r="G18661" s="1" t="s">
        <v>32</v>
      </c>
      <c r="H18661" s="4" t="str">
        <f>HYPERLINK("https://portal.gdc.cancer.gov/cases/e617b5c5-55ca-47a7-8497-854ab2844818","TCGA-BR-8382-01A")</f>
        <v>TCGA-BR-8382-01A</v>
      </c>
      <c r="I18661" t="s">
        <v>574</v>
      </c>
      <c r="J18661" t="s">
        <v>575</v>
      </c>
      <c r="K18661" t="s">
        <v>33</v>
      </c>
      <c r="L18661" t="s">
        <v>246</v>
      </c>
      <c r="N18661" t="s">
        <v>29</v>
      </c>
    </row>
    <row r="18662" spans="1:14">
      <c r="A18662" s="4" t="str">
        <f t="shared" si="1321"/>
        <v>EXP00440</v>
      </c>
      <c r="B18662" s="3" t="s">
        <v>66</v>
      </c>
      <c r="C18662" s="4" t="str">
        <f t="shared" si="1320"/>
        <v>TCGA-STAD</v>
      </c>
      <c r="D18662" s="1" t="s">
        <v>493</v>
      </c>
      <c r="E18662" t="s">
        <v>579</v>
      </c>
      <c r="F18662" s="1">
        <v>2</v>
      </c>
      <c r="G18662" s="1" t="s">
        <v>32</v>
      </c>
      <c r="H18662" s="4" t="str">
        <f>HYPERLINK("https://portal.gdc.cancer.gov/cases/698a89d8-b4bc-48a8-80af-8414dbacf327","TCGA-BR-8384-01A")</f>
        <v>TCGA-BR-8384-01A</v>
      </c>
      <c r="I18662" t="s">
        <v>574</v>
      </c>
      <c r="J18662" t="s">
        <v>575</v>
      </c>
      <c r="K18662" t="s">
        <v>33</v>
      </c>
      <c r="L18662" t="s">
        <v>246</v>
      </c>
      <c r="N18662" t="s">
        <v>29</v>
      </c>
    </row>
    <row r="18663" spans="1:14">
      <c r="A18663" s="4" t="str">
        <f t="shared" si="1321"/>
        <v>EXP00440</v>
      </c>
      <c r="B18663" s="3" t="s">
        <v>66</v>
      </c>
      <c r="C18663" s="4" t="str">
        <f t="shared" si="1320"/>
        <v>TCGA-STAD</v>
      </c>
      <c r="D18663" s="1" t="s">
        <v>493</v>
      </c>
      <c r="E18663" t="s">
        <v>579</v>
      </c>
      <c r="F18663" s="1">
        <v>2</v>
      </c>
      <c r="G18663" s="1" t="s">
        <v>32</v>
      </c>
      <c r="H18663" s="4" t="str">
        <f>HYPERLINK("https://portal.gdc.cancer.gov/cases/e17cf9e9-0902-44e0-962b-af5492876f7d","TCGA-BR-8483-01A")</f>
        <v>TCGA-BR-8483-01A</v>
      </c>
      <c r="I18663" t="s">
        <v>574</v>
      </c>
      <c r="J18663" t="s">
        <v>575</v>
      </c>
      <c r="K18663" t="s">
        <v>33</v>
      </c>
      <c r="L18663" t="s">
        <v>246</v>
      </c>
      <c r="N18663" t="s">
        <v>29</v>
      </c>
    </row>
    <row r="18664" spans="1:14">
      <c r="A18664" s="4" t="str">
        <f t="shared" si="1321"/>
        <v>EXP00440</v>
      </c>
      <c r="B18664" s="3" t="s">
        <v>66</v>
      </c>
      <c r="C18664" s="4" t="str">
        <f t="shared" ref="C18664:C18727" si="1322">HYPERLINK("https://portal.gdc.cancer.gov/projects/TCGA-STAD","TCGA-STAD")</f>
        <v>TCGA-STAD</v>
      </c>
      <c r="D18664" s="1" t="s">
        <v>493</v>
      </c>
      <c r="E18664" t="s">
        <v>579</v>
      </c>
      <c r="F18664" s="1">
        <v>2</v>
      </c>
      <c r="G18664" s="1" t="s">
        <v>32</v>
      </c>
      <c r="H18664" s="4" t="str">
        <f>HYPERLINK("https://portal.gdc.cancer.gov/cases/fa00a6a7-d5b0-40b9-8360-d56f7db64d34","TCGA-BR-8484-01A")</f>
        <v>TCGA-BR-8484-01A</v>
      </c>
      <c r="I18664" t="s">
        <v>574</v>
      </c>
      <c r="J18664" t="s">
        <v>575</v>
      </c>
      <c r="K18664" t="s">
        <v>33</v>
      </c>
      <c r="L18664" t="s">
        <v>246</v>
      </c>
      <c r="N18664" t="s">
        <v>29</v>
      </c>
    </row>
    <row r="18665" spans="1:14">
      <c r="A18665" s="4" t="str">
        <f t="shared" si="1321"/>
        <v>EXP00440</v>
      </c>
      <c r="B18665" s="3" t="s">
        <v>66</v>
      </c>
      <c r="C18665" s="4" t="str">
        <f t="shared" si="1322"/>
        <v>TCGA-STAD</v>
      </c>
      <c r="D18665" s="1" t="s">
        <v>493</v>
      </c>
      <c r="E18665" t="s">
        <v>579</v>
      </c>
      <c r="F18665" s="1">
        <v>2</v>
      </c>
      <c r="G18665" s="1" t="s">
        <v>32</v>
      </c>
      <c r="H18665" s="4" t="str">
        <f>HYPERLINK("https://portal.gdc.cancer.gov/cases/1a3e7ec6-c9be-4174-8799-72267eb8a7bf","TCGA-BR-8485-01A")</f>
        <v>TCGA-BR-8485-01A</v>
      </c>
      <c r="I18665" t="s">
        <v>574</v>
      </c>
      <c r="J18665" t="s">
        <v>575</v>
      </c>
      <c r="K18665" t="s">
        <v>33</v>
      </c>
      <c r="L18665" t="s">
        <v>246</v>
      </c>
      <c r="N18665" t="s">
        <v>29</v>
      </c>
    </row>
    <row r="18666" spans="1:14">
      <c r="A18666" s="4" t="str">
        <f t="shared" si="1321"/>
        <v>EXP00440</v>
      </c>
      <c r="B18666" s="3" t="s">
        <v>66</v>
      </c>
      <c r="C18666" s="4" t="str">
        <f t="shared" si="1322"/>
        <v>TCGA-STAD</v>
      </c>
      <c r="D18666" s="1" t="s">
        <v>493</v>
      </c>
      <c r="E18666" t="s">
        <v>579</v>
      </c>
      <c r="F18666" s="1">
        <v>2</v>
      </c>
      <c r="G18666" s="1" t="s">
        <v>32</v>
      </c>
      <c r="H18666" s="4" t="str">
        <f>HYPERLINK("https://portal.gdc.cancer.gov/cases/b8a1c8c7-3945-4d84-8f58-3a1a1eb10730","TCGA-BR-8486-01A")</f>
        <v>TCGA-BR-8486-01A</v>
      </c>
      <c r="I18666" t="s">
        <v>574</v>
      </c>
      <c r="J18666" t="s">
        <v>575</v>
      </c>
      <c r="K18666" t="s">
        <v>33</v>
      </c>
      <c r="L18666" t="s">
        <v>246</v>
      </c>
      <c r="N18666" t="s">
        <v>29</v>
      </c>
    </row>
    <row r="18667" spans="1:14">
      <c r="A18667" s="4" t="str">
        <f t="shared" si="1321"/>
        <v>EXP00440</v>
      </c>
      <c r="B18667" s="3" t="s">
        <v>66</v>
      </c>
      <c r="C18667" s="4" t="str">
        <f t="shared" si="1322"/>
        <v>TCGA-STAD</v>
      </c>
      <c r="D18667" s="1" t="s">
        <v>493</v>
      </c>
      <c r="E18667" t="s">
        <v>579</v>
      </c>
      <c r="F18667" s="1">
        <v>2</v>
      </c>
      <c r="G18667" s="1" t="s">
        <v>32</v>
      </c>
      <c r="H18667" s="4" t="str">
        <f>HYPERLINK("https://portal.gdc.cancer.gov/cases/bd2a14e7-bb30-48d0-a585-7fbab767d4cf","TCGA-BR-8487-01A")</f>
        <v>TCGA-BR-8487-01A</v>
      </c>
      <c r="I18667" t="s">
        <v>574</v>
      </c>
      <c r="J18667" t="s">
        <v>575</v>
      </c>
      <c r="K18667" t="s">
        <v>33</v>
      </c>
      <c r="L18667" t="s">
        <v>246</v>
      </c>
      <c r="N18667" t="s">
        <v>29</v>
      </c>
    </row>
    <row r="18668" spans="1:14">
      <c r="A18668" s="4" t="str">
        <f t="shared" si="1321"/>
        <v>EXP00440</v>
      </c>
      <c r="B18668" s="3" t="s">
        <v>66</v>
      </c>
      <c r="C18668" s="4" t="str">
        <f t="shared" si="1322"/>
        <v>TCGA-STAD</v>
      </c>
      <c r="D18668" s="1" t="s">
        <v>493</v>
      </c>
      <c r="E18668" t="s">
        <v>579</v>
      </c>
      <c r="F18668" s="1">
        <v>2</v>
      </c>
      <c r="G18668" s="1" t="s">
        <v>32</v>
      </c>
      <c r="H18668" s="4" t="str">
        <f>HYPERLINK("https://portal.gdc.cancer.gov/cases/ad73529b-92d7-412f-b001-920a61cec313","TCGA-BR-8588-01A")</f>
        <v>TCGA-BR-8588-01A</v>
      </c>
      <c r="I18668" t="s">
        <v>574</v>
      </c>
      <c r="J18668" t="s">
        <v>575</v>
      </c>
      <c r="K18668" t="s">
        <v>33</v>
      </c>
      <c r="L18668" t="s">
        <v>246</v>
      </c>
      <c r="N18668" t="s">
        <v>29</v>
      </c>
    </row>
    <row r="18669" spans="1:14">
      <c r="A18669" s="4" t="str">
        <f t="shared" si="1321"/>
        <v>EXP00440</v>
      </c>
      <c r="B18669" s="3" t="s">
        <v>66</v>
      </c>
      <c r="C18669" s="4" t="str">
        <f t="shared" si="1322"/>
        <v>TCGA-STAD</v>
      </c>
      <c r="D18669" s="1" t="s">
        <v>493</v>
      </c>
      <c r="E18669" t="s">
        <v>579</v>
      </c>
      <c r="F18669" s="1">
        <v>2</v>
      </c>
      <c r="G18669" s="1" t="s">
        <v>32</v>
      </c>
      <c r="H18669" s="4" t="str">
        <f>HYPERLINK("https://portal.gdc.cancer.gov/cases/a1867d3e-a006-4e04-8118-478792bdca4b","TCGA-BR-8589-01A")</f>
        <v>TCGA-BR-8589-01A</v>
      </c>
      <c r="I18669" t="s">
        <v>574</v>
      </c>
      <c r="J18669" t="s">
        <v>575</v>
      </c>
      <c r="K18669" t="s">
        <v>33</v>
      </c>
      <c r="L18669" t="s">
        <v>246</v>
      </c>
      <c r="N18669" t="s">
        <v>29</v>
      </c>
    </row>
    <row r="18670" spans="1:14">
      <c r="A18670" s="4" t="str">
        <f t="shared" si="1321"/>
        <v>EXP00440</v>
      </c>
      <c r="B18670" s="3" t="s">
        <v>66</v>
      </c>
      <c r="C18670" s="4" t="str">
        <f t="shared" si="1322"/>
        <v>TCGA-STAD</v>
      </c>
      <c r="D18670" s="1" t="s">
        <v>493</v>
      </c>
      <c r="E18670" t="s">
        <v>579</v>
      </c>
      <c r="F18670" s="1">
        <v>2</v>
      </c>
      <c r="G18670" s="1" t="s">
        <v>32</v>
      </c>
      <c r="H18670" s="4" t="str">
        <f>HYPERLINK("https://portal.gdc.cancer.gov/cases/d59824bd-816e-4ffc-8aae-1c3eff1f800e","TCGA-BR-8590-01A")</f>
        <v>TCGA-BR-8590-01A</v>
      </c>
      <c r="I18670" t="s">
        <v>574</v>
      </c>
      <c r="J18670" t="s">
        <v>575</v>
      </c>
      <c r="K18670" t="s">
        <v>33</v>
      </c>
      <c r="L18670" t="s">
        <v>246</v>
      </c>
      <c r="N18670" t="s">
        <v>29</v>
      </c>
    </row>
    <row r="18671" spans="1:14">
      <c r="A18671" s="4" t="str">
        <f t="shared" si="1321"/>
        <v>EXP00440</v>
      </c>
      <c r="B18671" s="3" t="s">
        <v>66</v>
      </c>
      <c r="C18671" s="4" t="str">
        <f t="shared" si="1322"/>
        <v>TCGA-STAD</v>
      </c>
      <c r="D18671" s="1" t="s">
        <v>493</v>
      </c>
      <c r="E18671" t="s">
        <v>579</v>
      </c>
      <c r="F18671" s="1">
        <v>2</v>
      </c>
      <c r="G18671" s="1" t="s">
        <v>32</v>
      </c>
      <c r="H18671" s="4" t="str">
        <f>HYPERLINK("https://portal.gdc.cancer.gov/cases/0f3e2f16-1c06-4128-af45-ee73de19ea69","TCGA-BR-8591-01A")</f>
        <v>TCGA-BR-8591-01A</v>
      </c>
      <c r="I18671" t="s">
        <v>574</v>
      </c>
      <c r="J18671" t="s">
        <v>575</v>
      </c>
      <c r="K18671" t="s">
        <v>33</v>
      </c>
      <c r="L18671" t="s">
        <v>246</v>
      </c>
      <c r="N18671" t="s">
        <v>29</v>
      </c>
    </row>
    <row r="18672" spans="1:14">
      <c r="A18672" s="4" t="str">
        <f t="shared" si="1321"/>
        <v>EXP00440</v>
      </c>
      <c r="B18672" s="3" t="s">
        <v>66</v>
      </c>
      <c r="C18672" s="4" t="str">
        <f t="shared" si="1322"/>
        <v>TCGA-STAD</v>
      </c>
      <c r="D18672" s="1" t="s">
        <v>493</v>
      </c>
      <c r="E18672" t="s">
        <v>579</v>
      </c>
      <c r="F18672" s="1">
        <v>2</v>
      </c>
      <c r="G18672" s="1" t="s">
        <v>32</v>
      </c>
      <c r="H18672" s="4" t="str">
        <f>HYPERLINK("https://portal.gdc.cancer.gov/cases/a4cd4ff1-0c0e-488d-91d9-0ac8ef3e7bfd","TCGA-BR-8592-01A")</f>
        <v>TCGA-BR-8592-01A</v>
      </c>
      <c r="I18672" t="s">
        <v>574</v>
      </c>
      <c r="J18672" t="s">
        <v>575</v>
      </c>
      <c r="K18672" t="s">
        <v>33</v>
      </c>
      <c r="L18672" t="s">
        <v>246</v>
      </c>
      <c r="N18672" t="s">
        <v>29</v>
      </c>
    </row>
    <row r="18673" spans="1:14">
      <c r="A18673" s="4" t="str">
        <f t="shared" si="1321"/>
        <v>EXP00440</v>
      </c>
      <c r="B18673" s="3" t="s">
        <v>66</v>
      </c>
      <c r="C18673" s="4" t="str">
        <f t="shared" si="1322"/>
        <v>TCGA-STAD</v>
      </c>
      <c r="D18673" s="1" t="s">
        <v>493</v>
      </c>
      <c r="E18673" t="s">
        <v>579</v>
      </c>
      <c r="F18673" s="1">
        <v>2</v>
      </c>
      <c r="G18673" s="1" t="s">
        <v>32</v>
      </c>
      <c r="H18673" s="4" t="str">
        <f>HYPERLINK("https://portal.gdc.cancer.gov/cases/b604b620-cd32-4c87-ace3-00a68ab16973","TCGA-BR-8676-01A")</f>
        <v>TCGA-BR-8676-01A</v>
      </c>
      <c r="I18673" t="s">
        <v>574</v>
      </c>
      <c r="J18673" t="s">
        <v>575</v>
      </c>
      <c r="K18673" t="s">
        <v>33</v>
      </c>
      <c r="L18673" t="s">
        <v>246</v>
      </c>
      <c r="N18673" t="s">
        <v>29</v>
      </c>
    </row>
    <row r="18674" spans="1:14">
      <c r="A18674" s="4" t="str">
        <f t="shared" si="1321"/>
        <v>EXP00440</v>
      </c>
      <c r="B18674" s="3" t="s">
        <v>66</v>
      </c>
      <c r="C18674" s="4" t="str">
        <f t="shared" si="1322"/>
        <v>TCGA-STAD</v>
      </c>
      <c r="D18674" s="1" t="s">
        <v>493</v>
      </c>
      <c r="E18674" t="s">
        <v>579</v>
      </c>
      <c r="F18674" s="1">
        <v>2</v>
      </c>
      <c r="G18674" s="1" t="s">
        <v>32</v>
      </c>
      <c r="H18674" s="4" t="str">
        <f>HYPERLINK("https://portal.gdc.cancer.gov/cases/e7a3574b-1fcf-4366-adf8-f4330d9be6f8","TCGA-BR-8677-01A")</f>
        <v>TCGA-BR-8677-01A</v>
      </c>
      <c r="I18674" t="s">
        <v>574</v>
      </c>
      <c r="J18674" t="s">
        <v>575</v>
      </c>
      <c r="K18674" t="s">
        <v>33</v>
      </c>
      <c r="L18674" t="s">
        <v>246</v>
      </c>
      <c r="N18674" t="s">
        <v>29</v>
      </c>
    </row>
    <row r="18675" spans="1:14">
      <c r="A18675" s="4" t="str">
        <f t="shared" si="1321"/>
        <v>EXP00440</v>
      </c>
      <c r="B18675" s="3" t="s">
        <v>66</v>
      </c>
      <c r="C18675" s="4" t="str">
        <f t="shared" si="1322"/>
        <v>TCGA-STAD</v>
      </c>
      <c r="D18675" s="1" t="s">
        <v>493</v>
      </c>
      <c r="E18675" t="s">
        <v>579</v>
      </c>
      <c r="F18675" s="1">
        <v>2</v>
      </c>
      <c r="G18675" s="1" t="s">
        <v>32</v>
      </c>
      <c r="H18675" s="4" t="str">
        <f>HYPERLINK("https://portal.gdc.cancer.gov/cases/1770adbd-b424-4a88-95f0-768e5f168cee","TCGA-BR-8678-01A")</f>
        <v>TCGA-BR-8678-01A</v>
      </c>
      <c r="I18675" t="s">
        <v>574</v>
      </c>
      <c r="J18675" t="s">
        <v>575</v>
      </c>
      <c r="K18675" t="s">
        <v>33</v>
      </c>
      <c r="L18675" t="s">
        <v>246</v>
      </c>
      <c r="N18675" t="s">
        <v>29</v>
      </c>
    </row>
    <row r="18676" spans="1:14">
      <c r="A18676" s="4" t="str">
        <f t="shared" si="1321"/>
        <v>EXP00440</v>
      </c>
      <c r="B18676" s="3" t="s">
        <v>66</v>
      </c>
      <c r="C18676" s="4" t="str">
        <f t="shared" si="1322"/>
        <v>TCGA-STAD</v>
      </c>
      <c r="D18676" s="1" t="s">
        <v>493</v>
      </c>
      <c r="E18676" t="s">
        <v>579</v>
      </c>
      <c r="F18676" s="1">
        <v>2</v>
      </c>
      <c r="G18676" s="1" t="s">
        <v>32</v>
      </c>
      <c r="H18676" s="4" t="str">
        <f>HYPERLINK("https://portal.gdc.cancer.gov/cases/03e3082e-9f8b-4689-9013-0a9954146dfa","TCGA-BR-8679-01A")</f>
        <v>TCGA-BR-8679-01A</v>
      </c>
      <c r="I18676" t="s">
        <v>574</v>
      </c>
      <c r="J18676" t="s">
        <v>575</v>
      </c>
      <c r="K18676" t="s">
        <v>33</v>
      </c>
      <c r="L18676" t="s">
        <v>246</v>
      </c>
      <c r="N18676" t="s">
        <v>29</v>
      </c>
    </row>
    <row r="18677" spans="1:14">
      <c r="A18677" s="4" t="str">
        <f t="shared" si="1321"/>
        <v>EXP00440</v>
      </c>
      <c r="B18677" s="3" t="s">
        <v>66</v>
      </c>
      <c r="C18677" s="4" t="str">
        <f t="shared" si="1322"/>
        <v>TCGA-STAD</v>
      </c>
      <c r="D18677" s="1" t="s">
        <v>493</v>
      </c>
      <c r="E18677" t="s">
        <v>579</v>
      </c>
      <c r="F18677" s="1">
        <v>2</v>
      </c>
      <c r="G18677" s="1" t="s">
        <v>32</v>
      </c>
      <c r="H18677" s="4" t="str">
        <f>HYPERLINK("https://portal.gdc.cancer.gov/cases/ab76544e-df6a-4b05-9317-054812474d4c","TCGA-BR-8680-01A")</f>
        <v>TCGA-BR-8680-01A</v>
      </c>
      <c r="I18677" t="s">
        <v>574</v>
      </c>
      <c r="J18677" t="s">
        <v>575</v>
      </c>
      <c r="K18677" t="s">
        <v>33</v>
      </c>
      <c r="L18677" t="s">
        <v>246</v>
      </c>
      <c r="N18677" t="s">
        <v>29</v>
      </c>
    </row>
    <row r="18678" spans="1:14">
      <c r="A18678" s="4" t="str">
        <f t="shared" si="1321"/>
        <v>EXP00440</v>
      </c>
      <c r="B18678" s="3" t="s">
        <v>66</v>
      </c>
      <c r="C18678" s="4" t="str">
        <f t="shared" si="1322"/>
        <v>TCGA-STAD</v>
      </c>
      <c r="D18678" s="1" t="s">
        <v>493</v>
      </c>
      <c r="E18678" t="s">
        <v>579</v>
      </c>
      <c r="F18678" s="1">
        <v>2</v>
      </c>
      <c r="G18678" s="1" t="s">
        <v>32</v>
      </c>
      <c r="H18678" s="4" t="str">
        <f>HYPERLINK("https://portal.gdc.cancer.gov/cases/d5efcde2-21e6-4071-9aa4-3c5688a45b3f","TCGA-BR-8682-01A")</f>
        <v>TCGA-BR-8682-01A</v>
      </c>
      <c r="I18678" t="s">
        <v>574</v>
      </c>
      <c r="J18678" t="s">
        <v>575</v>
      </c>
      <c r="K18678" t="s">
        <v>33</v>
      </c>
      <c r="L18678" t="s">
        <v>246</v>
      </c>
      <c r="N18678" t="s">
        <v>29</v>
      </c>
    </row>
    <row r="18679" spans="1:14">
      <c r="A18679" s="4" t="str">
        <f t="shared" si="1321"/>
        <v>EXP00440</v>
      </c>
      <c r="B18679" s="3" t="s">
        <v>66</v>
      </c>
      <c r="C18679" s="4" t="str">
        <f t="shared" si="1322"/>
        <v>TCGA-STAD</v>
      </c>
      <c r="D18679" s="1" t="s">
        <v>493</v>
      </c>
      <c r="E18679" t="s">
        <v>579</v>
      </c>
      <c r="F18679" s="1">
        <v>2</v>
      </c>
      <c r="G18679" s="1" t="s">
        <v>32</v>
      </c>
      <c r="H18679" s="4" t="str">
        <f>HYPERLINK("https://portal.gdc.cancer.gov/cases/84d32a4c-023b-4563-9eb5-e2f47818142a","TCGA-BR-8683-01A")</f>
        <v>TCGA-BR-8683-01A</v>
      </c>
      <c r="I18679" t="s">
        <v>574</v>
      </c>
      <c r="J18679" t="s">
        <v>575</v>
      </c>
      <c r="K18679" t="s">
        <v>33</v>
      </c>
      <c r="L18679" t="s">
        <v>246</v>
      </c>
      <c r="N18679" t="s">
        <v>29</v>
      </c>
    </row>
    <row r="18680" spans="1:14">
      <c r="A18680" s="4" t="str">
        <f t="shared" si="1321"/>
        <v>EXP00440</v>
      </c>
      <c r="B18680" s="3" t="s">
        <v>66</v>
      </c>
      <c r="C18680" s="4" t="str">
        <f t="shared" si="1322"/>
        <v>TCGA-STAD</v>
      </c>
      <c r="D18680" s="1" t="s">
        <v>493</v>
      </c>
      <c r="E18680" t="s">
        <v>579</v>
      </c>
      <c r="F18680" s="1">
        <v>2</v>
      </c>
      <c r="G18680" s="1" t="s">
        <v>32</v>
      </c>
      <c r="H18680" s="4" t="str">
        <f>HYPERLINK("https://portal.gdc.cancer.gov/cases/7c7cef85-024c-48c0-8644-92c034432e8f","TCGA-BR-8686-01A")</f>
        <v>TCGA-BR-8686-01A</v>
      </c>
      <c r="I18680" t="s">
        <v>574</v>
      </c>
      <c r="J18680" t="s">
        <v>575</v>
      </c>
      <c r="K18680" t="s">
        <v>33</v>
      </c>
      <c r="L18680" t="s">
        <v>246</v>
      </c>
      <c r="N18680" t="s">
        <v>29</v>
      </c>
    </row>
    <row r="18681" spans="1:14">
      <c r="A18681" s="4" t="str">
        <f t="shared" si="1321"/>
        <v>EXP00440</v>
      </c>
      <c r="B18681" s="3" t="s">
        <v>66</v>
      </c>
      <c r="C18681" s="4" t="str">
        <f t="shared" si="1322"/>
        <v>TCGA-STAD</v>
      </c>
      <c r="D18681" s="1" t="s">
        <v>493</v>
      </c>
      <c r="E18681" t="s">
        <v>579</v>
      </c>
      <c r="F18681" s="1">
        <v>2</v>
      </c>
      <c r="G18681" s="1" t="s">
        <v>32</v>
      </c>
      <c r="H18681" s="4" t="str">
        <f>HYPERLINK("https://portal.gdc.cancer.gov/cases/621411ee-c1f2-4da4-b1c0-cbe0936060f6","TCGA-BR-8687-01A")</f>
        <v>TCGA-BR-8687-01A</v>
      </c>
      <c r="I18681" t="s">
        <v>574</v>
      </c>
      <c r="J18681" t="s">
        <v>575</v>
      </c>
      <c r="K18681" t="s">
        <v>33</v>
      </c>
      <c r="L18681" t="s">
        <v>246</v>
      </c>
      <c r="N18681" t="s">
        <v>29</v>
      </c>
    </row>
    <row r="18682" spans="1:14">
      <c r="A18682" s="4" t="str">
        <f t="shared" si="1321"/>
        <v>EXP00440</v>
      </c>
      <c r="B18682" s="3" t="s">
        <v>66</v>
      </c>
      <c r="C18682" s="4" t="str">
        <f t="shared" si="1322"/>
        <v>TCGA-STAD</v>
      </c>
      <c r="D18682" s="1" t="s">
        <v>493</v>
      </c>
      <c r="E18682" t="s">
        <v>579</v>
      </c>
      <c r="F18682" s="1">
        <v>2</v>
      </c>
      <c r="G18682" s="1" t="s">
        <v>32</v>
      </c>
      <c r="H18682" s="4" t="str">
        <f>HYPERLINK("https://portal.gdc.cancer.gov/cases/337819d2-5281-4b41-9583-a476924bc837","TCGA-BR-8690-01A")</f>
        <v>TCGA-BR-8690-01A</v>
      </c>
      <c r="I18682" t="s">
        <v>574</v>
      </c>
      <c r="J18682" t="s">
        <v>575</v>
      </c>
      <c r="K18682" t="s">
        <v>33</v>
      </c>
      <c r="L18682" t="s">
        <v>246</v>
      </c>
      <c r="N18682" t="s">
        <v>29</v>
      </c>
    </row>
    <row r="18683" spans="1:14">
      <c r="A18683" s="4" t="str">
        <f t="shared" si="1321"/>
        <v>EXP00440</v>
      </c>
      <c r="B18683" s="3" t="s">
        <v>66</v>
      </c>
      <c r="C18683" s="4" t="str">
        <f t="shared" si="1322"/>
        <v>TCGA-STAD</v>
      </c>
      <c r="D18683" s="1" t="s">
        <v>493</v>
      </c>
      <c r="E18683" t="s">
        <v>579</v>
      </c>
      <c r="F18683" s="1">
        <v>2</v>
      </c>
      <c r="G18683" s="1" t="s">
        <v>32</v>
      </c>
      <c r="H18683" s="4" t="str">
        <f>HYPERLINK("https://portal.gdc.cancer.gov/cases/98bf4652-0088-4ecc-9dfa-376438cb063c","TCGA-BR-A44T-01A")</f>
        <v>TCGA-BR-A44T-01A</v>
      </c>
      <c r="I18683" t="s">
        <v>574</v>
      </c>
      <c r="J18683" t="s">
        <v>575</v>
      </c>
      <c r="K18683" t="s">
        <v>33</v>
      </c>
      <c r="L18683" t="s">
        <v>246</v>
      </c>
      <c r="N18683" t="s">
        <v>29</v>
      </c>
    </row>
    <row r="18684" spans="1:14">
      <c r="A18684" s="4" t="str">
        <f t="shared" ref="A18684:A18747" si="1323">HYPERLINK("http://hcmdb.i-sanger.com/experiment/details/experiment_id/EXP00440","EXP00440")</f>
        <v>EXP00440</v>
      </c>
      <c r="B18684" s="3" t="s">
        <v>66</v>
      </c>
      <c r="C18684" s="4" t="str">
        <f t="shared" si="1322"/>
        <v>TCGA-STAD</v>
      </c>
      <c r="D18684" s="1" t="s">
        <v>493</v>
      </c>
      <c r="E18684" t="s">
        <v>579</v>
      </c>
      <c r="F18684" s="1">
        <v>2</v>
      </c>
      <c r="G18684" s="1" t="s">
        <v>32</v>
      </c>
      <c r="H18684" s="4" t="str">
        <f>HYPERLINK("https://portal.gdc.cancer.gov/cases/7840d10b-4927-4731-8dda-5f288da21bef","TCGA-BR-A44U-01A")</f>
        <v>TCGA-BR-A44U-01A</v>
      </c>
      <c r="I18684" t="s">
        <v>574</v>
      </c>
      <c r="J18684" t="s">
        <v>575</v>
      </c>
      <c r="K18684" t="s">
        <v>33</v>
      </c>
      <c r="L18684" t="s">
        <v>246</v>
      </c>
      <c r="N18684" t="s">
        <v>29</v>
      </c>
    </row>
    <row r="18685" spans="1:14">
      <c r="A18685" s="4" t="str">
        <f t="shared" si="1323"/>
        <v>EXP00440</v>
      </c>
      <c r="B18685" s="3" t="s">
        <v>66</v>
      </c>
      <c r="C18685" s="4" t="str">
        <f t="shared" si="1322"/>
        <v>TCGA-STAD</v>
      </c>
      <c r="D18685" s="1" t="s">
        <v>493</v>
      </c>
      <c r="E18685" t="s">
        <v>579</v>
      </c>
      <c r="F18685" s="1">
        <v>2</v>
      </c>
      <c r="G18685" s="1" t="s">
        <v>32</v>
      </c>
      <c r="H18685" s="4" t="str">
        <f>HYPERLINK("https://portal.gdc.cancer.gov/cases/794fbad5-93ce-4f9a-aee4-37a89a6719ec","TCGA-BR-A4CR-01A")</f>
        <v>TCGA-BR-A4CR-01A</v>
      </c>
      <c r="I18685" t="s">
        <v>574</v>
      </c>
      <c r="J18685" t="s">
        <v>575</v>
      </c>
      <c r="K18685" t="s">
        <v>33</v>
      </c>
      <c r="L18685" t="s">
        <v>246</v>
      </c>
      <c r="N18685" t="s">
        <v>29</v>
      </c>
    </row>
    <row r="18686" spans="1:14">
      <c r="A18686" s="4" t="str">
        <f t="shared" si="1323"/>
        <v>EXP00440</v>
      </c>
      <c r="B18686" s="3" t="s">
        <v>66</v>
      </c>
      <c r="C18686" s="4" t="str">
        <f t="shared" si="1322"/>
        <v>TCGA-STAD</v>
      </c>
      <c r="D18686" s="1" t="s">
        <v>493</v>
      </c>
      <c r="E18686" t="s">
        <v>579</v>
      </c>
      <c r="F18686" s="1">
        <v>2</v>
      </c>
      <c r="G18686" s="1" t="s">
        <v>32</v>
      </c>
      <c r="H18686" s="4" t="str">
        <f>HYPERLINK("https://portal.gdc.cancer.gov/cases/2a790f24-3563-4a7e-b445-56b71c70e685","TCGA-BR-A4CS-01A")</f>
        <v>TCGA-BR-A4CS-01A</v>
      </c>
      <c r="I18686" t="s">
        <v>574</v>
      </c>
      <c r="J18686" t="s">
        <v>575</v>
      </c>
      <c r="K18686" t="s">
        <v>33</v>
      </c>
      <c r="L18686" t="s">
        <v>246</v>
      </c>
      <c r="N18686" t="s">
        <v>29</v>
      </c>
    </row>
    <row r="18687" spans="1:14">
      <c r="A18687" s="4" t="str">
        <f t="shared" si="1323"/>
        <v>EXP00440</v>
      </c>
      <c r="B18687" s="3" t="s">
        <v>66</v>
      </c>
      <c r="C18687" s="4" t="str">
        <f t="shared" si="1322"/>
        <v>TCGA-STAD</v>
      </c>
      <c r="D18687" s="1" t="s">
        <v>493</v>
      </c>
      <c r="E18687" t="s">
        <v>579</v>
      </c>
      <c r="F18687" s="1">
        <v>2</v>
      </c>
      <c r="G18687" s="1" t="s">
        <v>32</v>
      </c>
      <c r="H18687" s="4" t="str">
        <f>HYPERLINK("https://portal.gdc.cancer.gov/cases/30425882-20d7-47ed-9630-60977ba62c72","TCGA-BR-A4IV-01A")</f>
        <v>TCGA-BR-A4IV-01A</v>
      </c>
      <c r="I18687" t="s">
        <v>574</v>
      </c>
      <c r="J18687" t="s">
        <v>575</v>
      </c>
      <c r="K18687" t="s">
        <v>33</v>
      </c>
      <c r="L18687" t="s">
        <v>246</v>
      </c>
      <c r="N18687" t="s">
        <v>29</v>
      </c>
    </row>
    <row r="18688" spans="1:14">
      <c r="A18688" s="4" t="str">
        <f t="shared" si="1323"/>
        <v>EXP00440</v>
      </c>
      <c r="B18688" s="3" t="s">
        <v>66</v>
      </c>
      <c r="C18688" s="4" t="str">
        <f t="shared" si="1322"/>
        <v>TCGA-STAD</v>
      </c>
      <c r="D18688" s="1" t="s">
        <v>493</v>
      </c>
      <c r="E18688" t="s">
        <v>579</v>
      </c>
      <c r="F18688" s="1">
        <v>2</v>
      </c>
      <c r="G18688" s="1" t="s">
        <v>32</v>
      </c>
      <c r="H18688" s="4" t="str">
        <f>HYPERLINK("https://portal.gdc.cancer.gov/cases/8a24f1a3-4bab-4591-9676-7bee01d096c1","TCGA-BR-A4J4-01A")</f>
        <v>TCGA-BR-A4J4-01A</v>
      </c>
      <c r="I18688" t="s">
        <v>574</v>
      </c>
      <c r="J18688" t="s">
        <v>575</v>
      </c>
      <c r="K18688" t="s">
        <v>33</v>
      </c>
      <c r="L18688" t="s">
        <v>246</v>
      </c>
      <c r="N18688" t="s">
        <v>29</v>
      </c>
    </row>
    <row r="18689" spans="1:14">
      <c r="A18689" s="4" t="str">
        <f t="shared" si="1323"/>
        <v>EXP00440</v>
      </c>
      <c r="B18689" s="3" t="s">
        <v>66</v>
      </c>
      <c r="C18689" s="4" t="str">
        <f t="shared" si="1322"/>
        <v>TCGA-STAD</v>
      </c>
      <c r="D18689" s="1" t="s">
        <v>493</v>
      </c>
      <c r="E18689" t="s">
        <v>579</v>
      </c>
      <c r="F18689" s="1">
        <v>2</v>
      </c>
      <c r="G18689" s="1" t="s">
        <v>32</v>
      </c>
      <c r="H18689" s="4" t="str">
        <f>HYPERLINK("https://portal.gdc.cancer.gov/cases/5a12857b-4132-4089-a7b7-e706366102db","TCGA-BR-A4J5-01A")</f>
        <v>TCGA-BR-A4J5-01A</v>
      </c>
      <c r="I18689" t="s">
        <v>574</v>
      </c>
      <c r="J18689" t="s">
        <v>575</v>
      </c>
      <c r="K18689" t="s">
        <v>33</v>
      </c>
      <c r="L18689" t="s">
        <v>246</v>
      </c>
      <c r="N18689" t="s">
        <v>29</v>
      </c>
    </row>
    <row r="18690" spans="1:14">
      <c r="A18690" s="4" t="str">
        <f t="shared" si="1323"/>
        <v>EXP00440</v>
      </c>
      <c r="B18690" s="3" t="s">
        <v>66</v>
      </c>
      <c r="C18690" s="4" t="str">
        <f t="shared" si="1322"/>
        <v>TCGA-STAD</v>
      </c>
      <c r="D18690" s="1" t="s">
        <v>493</v>
      </c>
      <c r="E18690" t="s">
        <v>579</v>
      </c>
      <c r="F18690" s="1">
        <v>2</v>
      </c>
      <c r="G18690" s="1" t="s">
        <v>32</v>
      </c>
      <c r="H18690" s="4" t="str">
        <f>HYPERLINK("https://portal.gdc.cancer.gov/cases/0f344863-11cc-4fae-8386-8247dff59de4","TCGA-BR-A4J6-01A")</f>
        <v>TCGA-BR-A4J6-01A</v>
      </c>
      <c r="I18690" t="s">
        <v>574</v>
      </c>
      <c r="J18690" t="s">
        <v>575</v>
      </c>
      <c r="K18690" t="s">
        <v>33</v>
      </c>
      <c r="L18690" t="s">
        <v>246</v>
      </c>
      <c r="N18690" t="s">
        <v>29</v>
      </c>
    </row>
    <row r="18691" spans="1:14">
      <c r="A18691" s="4" t="str">
        <f t="shared" si="1323"/>
        <v>EXP00440</v>
      </c>
      <c r="B18691" s="3" t="s">
        <v>66</v>
      </c>
      <c r="C18691" s="4" t="str">
        <f t="shared" si="1322"/>
        <v>TCGA-STAD</v>
      </c>
      <c r="D18691" s="1" t="s">
        <v>493</v>
      </c>
      <c r="E18691" t="s">
        <v>579</v>
      </c>
      <c r="F18691" s="1">
        <v>2</v>
      </c>
      <c r="G18691" s="1" t="s">
        <v>32</v>
      </c>
      <c r="H18691" s="4" t="str">
        <f>HYPERLINK("https://portal.gdc.cancer.gov/cases/394f390a-563c-447c-8cae-cd7d0d7e689f","TCGA-BR-A4J7-01A")</f>
        <v>TCGA-BR-A4J7-01A</v>
      </c>
      <c r="I18691" t="s">
        <v>574</v>
      </c>
      <c r="J18691" t="s">
        <v>575</v>
      </c>
      <c r="K18691" t="s">
        <v>33</v>
      </c>
      <c r="L18691" t="s">
        <v>246</v>
      </c>
      <c r="N18691" t="s">
        <v>29</v>
      </c>
    </row>
    <row r="18692" spans="1:14">
      <c r="A18692" s="4" t="str">
        <f t="shared" si="1323"/>
        <v>EXP00440</v>
      </c>
      <c r="B18692" s="3" t="s">
        <v>66</v>
      </c>
      <c r="C18692" s="4" t="str">
        <f t="shared" si="1322"/>
        <v>TCGA-STAD</v>
      </c>
      <c r="D18692" s="1" t="s">
        <v>493</v>
      </c>
      <c r="E18692" t="s">
        <v>579</v>
      </c>
      <c r="F18692" s="1">
        <v>2</v>
      </c>
      <c r="G18692" s="1" t="s">
        <v>32</v>
      </c>
      <c r="H18692" s="4" t="str">
        <f>HYPERLINK("https://portal.gdc.cancer.gov/cases/1eb2038d-3b4f-4da2-964b-e629ea068215","TCGA-BR-A4J8-01A")</f>
        <v>TCGA-BR-A4J8-01A</v>
      </c>
      <c r="I18692" t="s">
        <v>574</v>
      </c>
      <c r="J18692" t="s">
        <v>575</v>
      </c>
      <c r="K18692" t="s">
        <v>33</v>
      </c>
      <c r="L18692" t="s">
        <v>246</v>
      </c>
      <c r="N18692" t="s">
        <v>29</v>
      </c>
    </row>
    <row r="18693" spans="1:14">
      <c r="A18693" s="4" t="str">
        <f t="shared" si="1323"/>
        <v>EXP00440</v>
      </c>
      <c r="B18693" s="3" t="s">
        <v>66</v>
      </c>
      <c r="C18693" s="4" t="str">
        <f t="shared" si="1322"/>
        <v>TCGA-STAD</v>
      </c>
      <c r="D18693" s="1" t="s">
        <v>493</v>
      </c>
      <c r="E18693" t="s">
        <v>579</v>
      </c>
      <c r="F18693" s="1">
        <v>2</v>
      </c>
      <c r="G18693" s="1" t="s">
        <v>32</v>
      </c>
      <c r="H18693" s="4" t="str">
        <f>HYPERLINK("https://portal.gdc.cancer.gov/cases/5034cc97-9eec-42fe-acf9-cdc5a10e6547","TCGA-BR-A4J9-01A")</f>
        <v>TCGA-BR-A4J9-01A</v>
      </c>
      <c r="I18693" t="s">
        <v>574</v>
      </c>
      <c r="J18693" t="s">
        <v>575</v>
      </c>
      <c r="K18693" t="s">
        <v>33</v>
      </c>
      <c r="L18693" t="s">
        <v>246</v>
      </c>
      <c r="N18693" t="s">
        <v>29</v>
      </c>
    </row>
    <row r="18694" spans="1:14">
      <c r="A18694" s="4" t="str">
        <f t="shared" si="1323"/>
        <v>EXP00440</v>
      </c>
      <c r="B18694" s="3" t="s">
        <v>66</v>
      </c>
      <c r="C18694" s="4" t="str">
        <f t="shared" si="1322"/>
        <v>TCGA-STAD</v>
      </c>
      <c r="D18694" s="1" t="s">
        <v>493</v>
      </c>
      <c r="E18694" t="s">
        <v>579</v>
      </c>
      <c r="F18694" s="1">
        <v>2</v>
      </c>
      <c r="G18694" s="1" t="s">
        <v>32</v>
      </c>
      <c r="H18694" s="4" t="str">
        <f>HYPERLINK("https://portal.gdc.cancer.gov/cases/0f6b5086-4bc0-4ce3-84e7-ef8ea0356d1c","TCGA-BR-A4PF-01A")</f>
        <v>TCGA-BR-A4PF-01A</v>
      </c>
      <c r="I18694" t="s">
        <v>574</v>
      </c>
      <c r="J18694" t="s">
        <v>575</v>
      </c>
      <c r="K18694" t="s">
        <v>33</v>
      </c>
      <c r="L18694" t="s">
        <v>246</v>
      </c>
      <c r="N18694" t="s">
        <v>29</v>
      </c>
    </row>
    <row r="18695" spans="1:14">
      <c r="A18695" s="4" t="str">
        <f t="shared" si="1323"/>
        <v>EXP00440</v>
      </c>
      <c r="B18695" s="3" t="s">
        <v>66</v>
      </c>
      <c r="C18695" s="4" t="str">
        <f t="shared" si="1322"/>
        <v>TCGA-STAD</v>
      </c>
      <c r="D18695" s="1" t="s">
        <v>493</v>
      </c>
      <c r="E18695" t="s">
        <v>579</v>
      </c>
      <c r="F18695" s="1">
        <v>2</v>
      </c>
      <c r="G18695" s="1" t="s">
        <v>32</v>
      </c>
      <c r="H18695" s="4" t="str">
        <f>HYPERLINK("https://portal.gdc.cancer.gov/cases/aa2c5d29-2764-4804-9181-5870c0956904","TCGA-BR-A4QL-01A")</f>
        <v>TCGA-BR-A4QL-01A</v>
      </c>
      <c r="I18695" t="s">
        <v>574</v>
      </c>
      <c r="J18695" t="s">
        <v>575</v>
      </c>
      <c r="K18695" t="s">
        <v>33</v>
      </c>
      <c r="L18695" t="s">
        <v>246</v>
      </c>
      <c r="N18695" t="s">
        <v>29</v>
      </c>
    </row>
    <row r="18696" spans="1:14">
      <c r="A18696" s="4" t="str">
        <f t="shared" si="1323"/>
        <v>EXP00440</v>
      </c>
      <c r="B18696" s="3" t="s">
        <v>66</v>
      </c>
      <c r="C18696" s="4" t="str">
        <f t="shared" si="1322"/>
        <v>TCGA-STAD</v>
      </c>
      <c r="D18696" s="1" t="s">
        <v>493</v>
      </c>
      <c r="E18696" t="s">
        <v>579</v>
      </c>
      <c r="F18696" s="1">
        <v>2</v>
      </c>
      <c r="G18696" s="1" t="s">
        <v>32</v>
      </c>
      <c r="H18696" s="4" t="str">
        <f>HYPERLINK("https://portal.gdc.cancer.gov/cases/e42f45c6-fd00-44cf-a210-c8803da326a1","TCGA-CD-5798-01A")</f>
        <v>TCGA-CD-5798-01A</v>
      </c>
      <c r="I18696" t="s">
        <v>574</v>
      </c>
      <c r="J18696" t="s">
        <v>575</v>
      </c>
      <c r="K18696" t="s">
        <v>33</v>
      </c>
      <c r="L18696" t="s">
        <v>246</v>
      </c>
      <c r="N18696" t="s">
        <v>29</v>
      </c>
    </row>
    <row r="18697" spans="1:14">
      <c r="A18697" s="4" t="str">
        <f t="shared" si="1323"/>
        <v>EXP00440</v>
      </c>
      <c r="B18697" s="3" t="s">
        <v>66</v>
      </c>
      <c r="C18697" s="4" t="str">
        <f t="shared" si="1322"/>
        <v>TCGA-STAD</v>
      </c>
      <c r="D18697" s="1" t="s">
        <v>493</v>
      </c>
      <c r="E18697" t="s">
        <v>579</v>
      </c>
      <c r="F18697" s="1">
        <v>2</v>
      </c>
      <c r="G18697" s="1" t="s">
        <v>32</v>
      </c>
      <c r="H18697" s="4" t="str">
        <f>HYPERLINK("https://portal.gdc.cancer.gov/cases/c991697f-77f9-412a-9bd1-0e47f7387cb2","TCGA-CD-5799-01A")</f>
        <v>TCGA-CD-5799-01A</v>
      </c>
      <c r="I18697" t="s">
        <v>574</v>
      </c>
      <c r="J18697" t="s">
        <v>575</v>
      </c>
      <c r="K18697" t="s">
        <v>33</v>
      </c>
      <c r="L18697" t="s">
        <v>246</v>
      </c>
      <c r="N18697" t="s">
        <v>29</v>
      </c>
    </row>
    <row r="18698" spans="1:14">
      <c r="A18698" s="4" t="str">
        <f t="shared" si="1323"/>
        <v>EXP00440</v>
      </c>
      <c r="B18698" s="3" t="s">
        <v>66</v>
      </c>
      <c r="C18698" s="4" t="str">
        <f t="shared" si="1322"/>
        <v>TCGA-STAD</v>
      </c>
      <c r="D18698" s="1" t="s">
        <v>493</v>
      </c>
      <c r="E18698" t="s">
        <v>579</v>
      </c>
      <c r="F18698" s="1">
        <v>2</v>
      </c>
      <c r="G18698" s="1" t="s">
        <v>32</v>
      </c>
      <c r="H18698" s="4" t="str">
        <f>HYPERLINK("https://portal.gdc.cancer.gov/cases/eeb114ea-ecee-49ee-a162-b3b7bc0a60cd","TCGA-CD-5800-01A")</f>
        <v>TCGA-CD-5800-01A</v>
      </c>
      <c r="I18698" t="s">
        <v>574</v>
      </c>
      <c r="J18698" t="s">
        <v>575</v>
      </c>
      <c r="K18698" t="s">
        <v>33</v>
      </c>
      <c r="L18698" t="s">
        <v>246</v>
      </c>
      <c r="N18698" t="s">
        <v>29</v>
      </c>
    </row>
    <row r="18699" spans="1:14">
      <c r="A18699" s="4" t="str">
        <f t="shared" si="1323"/>
        <v>EXP00440</v>
      </c>
      <c r="B18699" s="3" t="s">
        <v>66</v>
      </c>
      <c r="C18699" s="4" t="str">
        <f t="shared" si="1322"/>
        <v>TCGA-STAD</v>
      </c>
      <c r="D18699" s="1" t="s">
        <v>493</v>
      </c>
      <c r="E18699" t="s">
        <v>579</v>
      </c>
      <c r="F18699" s="1">
        <v>2</v>
      </c>
      <c r="G18699" s="1" t="s">
        <v>32</v>
      </c>
      <c r="H18699" s="4" t="str">
        <f>HYPERLINK("https://portal.gdc.cancer.gov/cases/df822ea3-e0e6-4ad3-a228-e20e3a737dac","TCGA-CD-5801-01A")</f>
        <v>TCGA-CD-5801-01A</v>
      </c>
      <c r="I18699" t="s">
        <v>574</v>
      </c>
      <c r="J18699" t="s">
        <v>575</v>
      </c>
      <c r="K18699" t="s">
        <v>33</v>
      </c>
      <c r="L18699" t="s">
        <v>246</v>
      </c>
      <c r="N18699" t="s">
        <v>29</v>
      </c>
    </row>
    <row r="18700" spans="1:14">
      <c r="A18700" s="4" t="str">
        <f t="shared" si="1323"/>
        <v>EXP00440</v>
      </c>
      <c r="B18700" s="3" t="s">
        <v>66</v>
      </c>
      <c r="C18700" s="4" t="str">
        <f t="shared" si="1322"/>
        <v>TCGA-STAD</v>
      </c>
      <c r="D18700" s="1" t="s">
        <v>493</v>
      </c>
      <c r="E18700" t="s">
        <v>579</v>
      </c>
      <c r="F18700" s="1">
        <v>2</v>
      </c>
      <c r="G18700" s="1" t="s">
        <v>32</v>
      </c>
      <c r="H18700" s="4" t="str">
        <f>HYPERLINK("https://portal.gdc.cancer.gov/cases/33901c6f-9180-4a19-866c-f4ac6bec76da","TCGA-CD-5803-01A")</f>
        <v>TCGA-CD-5803-01A</v>
      </c>
      <c r="I18700" t="s">
        <v>574</v>
      </c>
      <c r="J18700" t="s">
        <v>575</v>
      </c>
      <c r="K18700" t="s">
        <v>33</v>
      </c>
      <c r="L18700" t="s">
        <v>246</v>
      </c>
      <c r="N18700" t="s">
        <v>29</v>
      </c>
    </row>
    <row r="18701" spans="1:14">
      <c r="A18701" s="4" t="str">
        <f t="shared" si="1323"/>
        <v>EXP00440</v>
      </c>
      <c r="B18701" s="3" t="s">
        <v>66</v>
      </c>
      <c r="C18701" s="4" t="str">
        <f t="shared" si="1322"/>
        <v>TCGA-STAD</v>
      </c>
      <c r="D18701" s="1" t="s">
        <v>493</v>
      </c>
      <c r="E18701" t="s">
        <v>579</v>
      </c>
      <c r="F18701" s="1">
        <v>2</v>
      </c>
      <c r="G18701" s="1" t="s">
        <v>32</v>
      </c>
      <c r="H18701" s="4" t="str">
        <f>HYPERLINK("https://portal.gdc.cancer.gov/cases/9fa752b7-9873-4bad-9eba-8cc113705fed","TCGA-CD-5804-01A")</f>
        <v>TCGA-CD-5804-01A</v>
      </c>
      <c r="I18701" t="s">
        <v>574</v>
      </c>
      <c r="J18701" t="s">
        <v>575</v>
      </c>
      <c r="K18701" t="s">
        <v>33</v>
      </c>
      <c r="L18701" t="s">
        <v>246</v>
      </c>
      <c r="N18701" t="s">
        <v>29</v>
      </c>
    </row>
    <row r="18702" spans="1:14">
      <c r="A18702" s="4" t="str">
        <f t="shared" si="1323"/>
        <v>EXP00440</v>
      </c>
      <c r="B18702" s="3" t="s">
        <v>66</v>
      </c>
      <c r="C18702" s="4" t="str">
        <f t="shared" si="1322"/>
        <v>TCGA-STAD</v>
      </c>
      <c r="D18702" s="1" t="s">
        <v>493</v>
      </c>
      <c r="E18702" t="s">
        <v>579</v>
      </c>
      <c r="F18702" s="1">
        <v>2</v>
      </c>
      <c r="G18702" s="1" t="s">
        <v>32</v>
      </c>
      <c r="H18702" s="4" t="str">
        <f>HYPERLINK("https://portal.gdc.cancer.gov/cases/152b9d8a-19fd-4665-b9e4-4fedfb1608cd","TCGA-CD-5813-01A")</f>
        <v>TCGA-CD-5813-01A</v>
      </c>
      <c r="I18702" t="s">
        <v>574</v>
      </c>
      <c r="J18702" t="s">
        <v>575</v>
      </c>
      <c r="K18702" t="s">
        <v>33</v>
      </c>
      <c r="L18702" t="s">
        <v>246</v>
      </c>
      <c r="N18702" t="s">
        <v>29</v>
      </c>
    </row>
    <row r="18703" spans="1:14">
      <c r="A18703" s="4" t="str">
        <f t="shared" si="1323"/>
        <v>EXP00440</v>
      </c>
      <c r="B18703" s="3" t="s">
        <v>66</v>
      </c>
      <c r="C18703" s="4" t="str">
        <f t="shared" si="1322"/>
        <v>TCGA-STAD</v>
      </c>
      <c r="D18703" s="1" t="s">
        <v>493</v>
      </c>
      <c r="E18703" t="s">
        <v>579</v>
      </c>
      <c r="F18703" s="1">
        <v>2</v>
      </c>
      <c r="G18703" s="1" t="s">
        <v>32</v>
      </c>
      <c r="H18703" s="4" t="str">
        <f>HYPERLINK("https://portal.gdc.cancer.gov/cases/315b8de8-9842-4738-b23b-1d61722f9583","TCGA-CD-8524-01A")</f>
        <v>TCGA-CD-8524-01A</v>
      </c>
      <c r="I18703" t="s">
        <v>574</v>
      </c>
      <c r="J18703" t="s">
        <v>575</v>
      </c>
      <c r="K18703" t="s">
        <v>33</v>
      </c>
      <c r="L18703" t="s">
        <v>246</v>
      </c>
      <c r="N18703" t="s">
        <v>29</v>
      </c>
    </row>
    <row r="18704" spans="1:14">
      <c r="A18704" s="4" t="str">
        <f t="shared" si="1323"/>
        <v>EXP00440</v>
      </c>
      <c r="B18704" s="3" t="s">
        <v>66</v>
      </c>
      <c r="C18704" s="4" t="str">
        <f t="shared" si="1322"/>
        <v>TCGA-STAD</v>
      </c>
      <c r="D18704" s="1" t="s">
        <v>493</v>
      </c>
      <c r="E18704" t="s">
        <v>579</v>
      </c>
      <c r="F18704" s="1">
        <v>2</v>
      </c>
      <c r="G18704" s="1" t="s">
        <v>32</v>
      </c>
      <c r="H18704" s="4" t="str">
        <f>HYPERLINK("https://portal.gdc.cancer.gov/cases/39acb803-f282-422e-ac56-a3a50693d203","TCGA-CD-8525-01A")</f>
        <v>TCGA-CD-8525-01A</v>
      </c>
      <c r="I18704" t="s">
        <v>574</v>
      </c>
      <c r="J18704" t="s">
        <v>575</v>
      </c>
      <c r="K18704" t="s">
        <v>33</v>
      </c>
      <c r="L18704" t="s">
        <v>246</v>
      </c>
      <c r="N18704" t="s">
        <v>29</v>
      </c>
    </row>
    <row r="18705" spans="1:14">
      <c r="A18705" s="4" t="str">
        <f t="shared" si="1323"/>
        <v>EXP00440</v>
      </c>
      <c r="B18705" s="3" t="s">
        <v>66</v>
      </c>
      <c r="C18705" s="4" t="str">
        <f t="shared" si="1322"/>
        <v>TCGA-STAD</v>
      </c>
      <c r="D18705" s="1" t="s">
        <v>493</v>
      </c>
      <c r="E18705" t="s">
        <v>579</v>
      </c>
      <c r="F18705" s="1">
        <v>2</v>
      </c>
      <c r="G18705" s="1" t="s">
        <v>32</v>
      </c>
      <c r="H18705" s="4" t="str">
        <f>HYPERLINK("https://portal.gdc.cancer.gov/cases/6a9b3d65-ae15-4e3c-84ed-468e2196372b","TCGA-CD-8526-01A")</f>
        <v>TCGA-CD-8526-01A</v>
      </c>
      <c r="I18705" t="s">
        <v>574</v>
      </c>
      <c r="J18705" t="s">
        <v>575</v>
      </c>
      <c r="K18705" t="s">
        <v>33</v>
      </c>
      <c r="L18705" t="s">
        <v>246</v>
      </c>
      <c r="N18705" t="s">
        <v>29</v>
      </c>
    </row>
    <row r="18706" spans="1:14">
      <c r="A18706" s="4" t="str">
        <f t="shared" si="1323"/>
        <v>EXP00440</v>
      </c>
      <c r="B18706" s="3" t="s">
        <v>66</v>
      </c>
      <c r="C18706" s="4" t="str">
        <f t="shared" si="1322"/>
        <v>TCGA-STAD</v>
      </c>
      <c r="D18706" s="1" t="s">
        <v>493</v>
      </c>
      <c r="E18706" t="s">
        <v>579</v>
      </c>
      <c r="F18706" s="1">
        <v>2</v>
      </c>
      <c r="G18706" s="1" t="s">
        <v>32</v>
      </c>
      <c r="H18706" s="4" t="str">
        <f>HYPERLINK("https://portal.gdc.cancer.gov/cases/1b98b2da-c5bf-422f-bb73-1190841fbec4","TCGA-CD-8527-01A")</f>
        <v>TCGA-CD-8527-01A</v>
      </c>
      <c r="I18706" t="s">
        <v>574</v>
      </c>
      <c r="J18706" t="s">
        <v>575</v>
      </c>
      <c r="K18706" t="s">
        <v>33</v>
      </c>
      <c r="L18706" t="s">
        <v>246</v>
      </c>
      <c r="N18706" t="s">
        <v>29</v>
      </c>
    </row>
    <row r="18707" spans="1:14">
      <c r="A18707" s="4" t="str">
        <f t="shared" si="1323"/>
        <v>EXP00440</v>
      </c>
      <c r="B18707" s="3" t="s">
        <v>66</v>
      </c>
      <c r="C18707" s="4" t="str">
        <f t="shared" si="1322"/>
        <v>TCGA-STAD</v>
      </c>
      <c r="D18707" s="1" t="s">
        <v>493</v>
      </c>
      <c r="E18707" t="s">
        <v>579</v>
      </c>
      <c r="F18707" s="1">
        <v>2</v>
      </c>
      <c r="G18707" s="1" t="s">
        <v>32</v>
      </c>
      <c r="H18707" s="4" t="str">
        <f>HYPERLINK("https://portal.gdc.cancer.gov/cases/1a1f2197-e303-46e4-8871-53f2eb2e599a","TCGA-CD-8528-01A")</f>
        <v>TCGA-CD-8528-01A</v>
      </c>
      <c r="I18707" t="s">
        <v>574</v>
      </c>
      <c r="J18707" t="s">
        <v>575</v>
      </c>
      <c r="K18707" t="s">
        <v>33</v>
      </c>
      <c r="L18707" t="s">
        <v>246</v>
      </c>
      <c r="N18707" t="s">
        <v>29</v>
      </c>
    </row>
    <row r="18708" spans="1:14">
      <c r="A18708" s="4" t="str">
        <f t="shared" si="1323"/>
        <v>EXP00440</v>
      </c>
      <c r="B18708" s="3" t="s">
        <v>66</v>
      </c>
      <c r="C18708" s="4" t="str">
        <f t="shared" si="1322"/>
        <v>TCGA-STAD</v>
      </c>
      <c r="D18708" s="1" t="s">
        <v>493</v>
      </c>
      <c r="E18708" t="s">
        <v>579</v>
      </c>
      <c r="F18708" s="1">
        <v>2</v>
      </c>
      <c r="G18708" s="1" t="s">
        <v>32</v>
      </c>
      <c r="H18708" s="4" t="str">
        <f>HYPERLINK("https://portal.gdc.cancer.gov/cases/5b7e557a-6aee-4077-b3cd-c96179e643ae","TCGA-CD-8529-01A")</f>
        <v>TCGA-CD-8529-01A</v>
      </c>
      <c r="I18708" t="s">
        <v>574</v>
      </c>
      <c r="J18708" t="s">
        <v>575</v>
      </c>
      <c r="K18708" t="s">
        <v>33</v>
      </c>
      <c r="L18708" t="s">
        <v>246</v>
      </c>
      <c r="N18708" t="s">
        <v>29</v>
      </c>
    </row>
    <row r="18709" spans="1:14">
      <c r="A18709" s="4" t="str">
        <f t="shared" si="1323"/>
        <v>EXP00440</v>
      </c>
      <c r="B18709" s="3" t="s">
        <v>66</v>
      </c>
      <c r="C18709" s="4" t="str">
        <f t="shared" si="1322"/>
        <v>TCGA-STAD</v>
      </c>
      <c r="D18709" s="1" t="s">
        <v>493</v>
      </c>
      <c r="E18709" t="s">
        <v>579</v>
      </c>
      <c r="F18709" s="1">
        <v>2</v>
      </c>
      <c r="G18709" s="1" t="s">
        <v>32</v>
      </c>
      <c r="H18709" s="4" t="str">
        <f>HYPERLINK("https://portal.gdc.cancer.gov/cases/0a11e958-7ec0-493c-bd7a-eb17536facd7","TCGA-CD-8530-01A")</f>
        <v>TCGA-CD-8530-01A</v>
      </c>
      <c r="I18709" t="s">
        <v>574</v>
      </c>
      <c r="J18709" t="s">
        <v>575</v>
      </c>
      <c r="K18709" t="s">
        <v>33</v>
      </c>
      <c r="L18709" t="s">
        <v>246</v>
      </c>
      <c r="N18709" t="s">
        <v>29</v>
      </c>
    </row>
    <row r="18710" spans="1:14">
      <c r="A18710" s="4" t="str">
        <f t="shared" si="1323"/>
        <v>EXP00440</v>
      </c>
      <c r="B18710" s="3" t="s">
        <v>66</v>
      </c>
      <c r="C18710" s="4" t="str">
        <f t="shared" si="1322"/>
        <v>TCGA-STAD</v>
      </c>
      <c r="D18710" s="1" t="s">
        <v>493</v>
      </c>
      <c r="E18710" t="s">
        <v>579</v>
      </c>
      <c r="F18710" s="1">
        <v>2</v>
      </c>
      <c r="G18710" s="1" t="s">
        <v>32</v>
      </c>
      <c r="H18710" s="4" t="str">
        <f>HYPERLINK("https://portal.gdc.cancer.gov/cases/efe8b105-b170-4679-8b97-c1142fefe069","TCGA-CD-8531-01A")</f>
        <v>TCGA-CD-8531-01A</v>
      </c>
      <c r="I18710" t="s">
        <v>574</v>
      </c>
      <c r="J18710" t="s">
        <v>575</v>
      </c>
      <c r="K18710" t="s">
        <v>33</v>
      </c>
      <c r="L18710" t="s">
        <v>246</v>
      </c>
      <c r="N18710" t="s">
        <v>29</v>
      </c>
    </row>
    <row r="18711" spans="1:14">
      <c r="A18711" s="4" t="str">
        <f t="shared" si="1323"/>
        <v>EXP00440</v>
      </c>
      <c r="B18711" s="3" t="s">
        <v>66</v>
      </c>
      <c r="C18711" s="4" t="str">
        <f t="shared" si="1322"/>
        <v>TCGA-STAD</v>
      </c>
      <c r="D18711" s="1" t="s">
        <v>493</v>
      </c>
      <c r="E18711" t="s">
        <v>579</v>
      </c>
      <c r="F18711" s="1">
        <v>2</v>
      </c>
      <c r="G18711" s="1" t="s">
        <v>32</v>
      </c>
      <c r="H18711" s="4" t="str">
        <f>HYPERLINK("https://portal.gdc.cancer.gov/cases/8e0f35e8-cd02-4d8b-9145-597cc65eac13","TCGA-CD-8532-01A")</f>
        <v>TCGA-CD-8532-01A</v>
      </c>
      <c r="I18711" t="s">
        <v>574</v>
      </c>
      <c r="J18711" t="s">
        <v>575</v>
      </c>
      <c r="K18711" t="s">
        <v>33</v>
      </c>
      <c r="L18711" t="s">
        <v>246</v>
      </c>
      <c r="N18711" t="s">
        <v>29</v>
      </c>
    </row>
    <row r="18712" spans="1:14">
      <c r="A18712" s="4" t="str">
        <f t="shared" si="1323"/>
        <v>EXP00440</v>
      </c>
      <c r="B18712" s="3" t="s">
        <v>66</v>
      </c>
      <c r="C18712" s="4" t="str">
        <f t="shared" si="1322"/>
        <v>TCGA-STAD</v>
      </c>
      <c r="D18712" s="1" t="s">
        <v>493</v>
      </c>
      <c r="E18712" t="s">
        <v>579</v>
      </c>
      <c r="F18712" s="1">
        <v>2</v>
      </c>
      <c r="G18712" s="1" t="s">
        <v>32</v>
      </c>
      <c r="H18712" s="4" t="str">
        <f>HYPERLINK("https://portal.gdc.cancer.gov/cases/c1cf00be-1a34-49aa-b1ab-6b2e26832c19","TCGA-CD-8533-01A")</f>
        <v>TCGA-CD-8533-01A</v>
      </c>
      <c r="I18712" t="s">
        <v>574</v>
      </c>
      <c r="J18712" t="s">
        <v>575</v>
      </c>
      <c r="K18712" t="s">
        <v>33</v>
      </c>
      <c r="L18712" t="s">
        <v>246</v>
      </c>
      <c r="N18712" t="s">
        <v>29</v>
      </c>
    </row>
    <row r="18713" spans="1:14">
      <c r="A18713" s="4" t="str">
        <f t="shared" si="1323"/>
        <v>EXP00440</v>
      </c>
      <c r="B18713" s="3" t="s">
        <v>66</v>
      </c>
      <c r="C18713" s="4" t="str">
        <f t="shared" si="1322"/>
        <v>TCGA-STAD</v>
      </c>
      <c r="D18713" s="1" t="s">
        <v>493</v>
      </c>
      <c r="E18713" t="s">
        <v>579</v>
      </c>
      <c r="F18713" s="1">
        <v>2</v>
      </c>
      <c r="G18713" s="1" t="s">
        <v>32</v>
      </c>
      <c r="H18713" s="4" t="str">
        <f>HYPERLINK("https://portal.gdc.cancer.gov/cases/65232ec1-4614-49bd-a3cf-d901d4f9556a","TCGA-CD-8534-01A")</f>
        <v>TCGA-CD-8534-01A</v>
      </c>
      <c r="I18713" t="s">
        <v>574</v>
      </c>
      <c r="J18713" t="s">
        <v>575</v>
      </c>
      <c r="K18713" t="s">
        <v>33</v>
      </c>
      <c r="L18713" t="s">
        <v>246</v>
      </c>
      <c r="N18713" t="s">
        <v>29</v>
      </c>
    </row>
    <row r="18714" spans="1:14">
      <c r="A18714" s="4" t="str">
        <f t="shared" si="1323"/>
        <v>EXP00440</v>
      </c>
      <c r="B18714" s="3" t="s">
        <v>66</v>
      </c>
      <c r="C18714" s="4" t="str">
        <f t="shared" si="1322"/>
        <v>TCGA-STAD</v>
      </c>
      <c r="D18714" s="1" t="s">
        <v>493</v>
      </c>
      <c r="E18714" t="s">
        <v>579</v>
      </c>
      <c r="F18714" s="1">
        <v>2</v>
      </c>
      <c r="G18714" s="1" t="s">
        <v>32</v>
      </c>
      <c r="H18714" s="4" t="str">
        <f>HYPERLINK("https://portal.gdc.cancer.gov/cases/569dd23a-d0d7-409c-bc83-7340512f4195","TCGA-CD-8535-01A")</f>
        <v>TCGA-CD-8535-01A</v>
      </c>
      <c r="I18714" t="s">
        <v>574</v>
      </c>
      <c r="J18714" t="s">
        <v>575</v>
      </c>
      <c r="K18714" t="s">
        <v>33</v>
      </c>
      <c r="L18714" t="s">
        <v>246</v>
      </c>
      <c r="N18714" t="s">
        <v>29</v>
      </c>
    </row>
    <row r="18715" spans="1:14">
      <c r="A18715" s="4" t="str">
        <f t="shared" si="1323"/>
        <v>EXP00440</v>
      </c>
      <c r="B18715" s="3" t="s">
        <v>66</v>
      </c>
      <c r="C18715" s="4" t="str">
        <f t="shared" si="1322"/>
        <v>TCGA-STAD</v>
      </c>
      <c r="D18715" s="1" t="s">
        <v>493</v>
      </c>
      <c r="E18715" t="s">
        <v>579</v>
      </c>
      <c r="F18715" s="1">
        <v>2</v>
      </c>
      <c r="G18715" s="1" t="s">
        <v>32</v>
      </c>
      <c r="H18715" s="4" t="str">
        <f>HYPERLINK("https://portal.gdc.cancer.gov/cases/c63ae423-c90a-4cf4-aa42-653bb8fa3e69","TCGA-CD-A486-01A")</f>
        <v>TCGA-CD-A486-01A</v>
      </c>
      <c r="I18715" t="s">
        <v>574</v>
      </c>
      <c r="J18715" t="s">
        <v>575</v>
      </c>
      <c r="K18715" t="s">
        <v>33</v>
      </c>
      <c r="L18715" t="s">
        <v>246</v>
      </c>
      <c r="N18715" t="s">
        <v>29</v>
      </c>
    </row>
    <row r="18716" spans="1:14">
      <c r="A18716" s="4" t="str">
        <f t="shared" si="1323"/>
        <v>EXP00440</v>
      </c>
      <c r="B18716" s="3" t="s">
        <v>66</v>
      </c>
      <c r="C18716" s="4" t="str">
        <f t="shared" si="1322"/>
        <v>TCGA-STAD</v>
      </c>
      <c r="D18716" s="1" t="s">
        <v>493</v>
      </c>
      <c r="E18716" t="s">
        <v>579</v>
      </c>
      <c r="F18716" s="1">
        <v>2</v>
      </c>
      <c r="G18716" s="1" t="s">
        <v>32</v>
      </c>
      <c r="H18716" s="4" t="str">
        <f>HYPERLINK("https://portal.gdc.cancer.gov/cases/b7d2401e-7d64-4c89-a74c-16d634cafe7f","TCGA-CD-A487-01A")</f>
        <v>TCGA-CD-A487-01A</v>
      </c>
      <c r="I18716" t="s">
        <v>574</v>
      </c>
      <c r="J18716" t="s">
        <v>575</v>
      </c>
      <c r="K18716" t="s">
        <v>33</v>
      </c>
      <c r="L18716" t="s">
        <v>246</v>
      </c>
      <c r="N18716" t="s">
        <v>29</v>
      </c>
    </row>
    <row r="18717" spans="1:14">
      <c r="A18717" s="4" t="str">
        <f t="shared" si="1323"/>
        <v>EXP00440</v>
      </c>
      <c r="B18717" s="3" t="s">
        <v>66</v>
      </c>
      <c r="C18717" s="4" t="str">
        <f t="shared" si="1322"/>
        <v>TCGA-STAD</v>
      </c>
      <c r="D18717" s="1" t="s">
        <v>493</v>
      </c>
      <c r="E18717" t="s">
        <v>579</v>
      </c>
      <c r="F18717" s="1">
        <v>2</v>
      </c>
      <c r="G18717" s="1" t="s">
        <v>32</v>
      </c>
      <c r="H18717" s="4" t="str">
        <f>HYPERLINK("https://portal.gdc.cancer.gov/cases/7f056fc5-3848-4884-9644-95b8b6ed9642","TCGA-CD-A489-01A")</f>
        <v>TCGA-CD-A489-01A</v>
      </c>
      <c r="I18717" t="s">
        <v>574</v>
      </c>
      <c r="J18717" t="s">
        <v>575</v>
      </c>
      <c r="K18717" t="s">
        <v>33</v>
      </c>
      <c r="L18717" t="s">
        <v>246</v>
      </c>
      <c r="N18717" t="s">
        <v>29</v>
      </c>
    </row>
    <row r="18718" spans="1:14">
      <c r="A18718" s="4" t="str">
        <f t="shared" si="1323"/>
        <v>EXP00440</v>
      </c>
      <c r="B18718" s="3" t="s">
        <v>66</v>
      </c>
      <c r="C18718" s="4" t="str">
        <f t="shared" si="1322"/>
        <v>TCGA-STAD</v>
      </c>
      <c r="D18718" s="1" t="s">
        <v>493</v>
      </c>
      <c r="E18718" t="s">
        <v>579</v>
      </c>
      <c r="F18718" s="1">
        <v>2</v>
      </c>
      <c r="G18718" s="1" t="s">
        <v>32</v>
      </c>
      <c r="H18718" s="4" t="str">
        <f>HYPERLINK("https://portal.gdc.cancer.gov/cases/a6635058-4498-463c-9bbc-1009dda3308c","TCGA-CD-A48A-01A")</f>
        <v>TCGA-CD-A48A-01A</v>
      </c>
      <c r="I18718" t="s">
        <v>574</v>
      </c>
      <c r="J18718" t="s">
        <v>575</v>
      </c>
      <c r="K18718" t="s">
        <v>33</v>
      </c>
      <c r="L18718" t="s">
        <v>246</v>
      </c>
      <c r="N18718" t="s">
        <v>29</v>
      </c>
    </row>
    <row r="18719" spans="1:14">
      <c r="A18719" s="4" t="str">
        <f t="shared" si="1323"/>
        <v>EXP00440</v>
      </c>
      <c r="B18719" s="3" t="s">
        <v>66</v>
      </c>
      <c r="C18719" s="4" t="str">
        <f t="shared" si="1322"/>
        <v>TCGA-STAD</v>
      </c>
      <c r="D18719" s="1" t="s">
        <v>493</v>
      </c>
      <c r="E18719" t="s">
        <v>579</v>
      </c>
      <c r="F18719" s="1">
        <v>2</v>
      </c>
      <c r="G18719" s="1" t="s">
        <v>32</v>
      </c>
      <c r="H18719" s="4" t="str">
        <f>HYPERLINK("https://portal.gdc.cancer.gov/cases/ec02b33c-8094-45e8-b679-b14dbe75d66f","TCGA-CD-A48C-01A")</f>
        <v>TCGA-CD-A48C-01A</v>
      </c>
      <c r="I18719" t="s">
        <v>574</v>
      </c>
      <c r="J18719" t="s">
        <v>575</v>
      </c>
      <c r="K18719" t="s">
        <v>33</v>
      </c>
      <c r="L18719" t="s">
        <v>246</v>
      </c>
      <c r="N18719" t="s">
        <v>29</v>
      </c>
    </row>
    <row r="18720" spans="1:14">
      <c r="A18720" s="4" t="str">
        <f t="shared" si="1323"/>
        <v>EXP00440</v>
      </c>
      <c r="B18720" s="3" t="s">
        <v>66</v>
      </c>
      <c r="C18720" s="4" t="str">
        <f t="shared" si="1322"/>
        <v>TCGA-STAD</v>
      </c>
      <c r="D18720" s="1" t="s">
        <v>493</v>
      </c>
      <c r="E18720" t="s">
        <v>579</v>
      </c>
      <c r="F18720" s="1">
        <v>2</v>
      </c>
      <c r="G18720" s="1" t="s">
        <v>32</v>
      </c>
      <c r="H18720" s="4" t="str">
        <f>HYPERLINK("https://portal.gdc.cancer.gov/cases/028632ed-d75a-49bb-b579-41962ba502fe","TCGA-CD-A4MG-01A")</f>
        <v>TCGA-CD-A4MG-01A</v>
      </c>
      <c r="I18720" t="s">
        <v>574</v>
      </c>
      <c r="J18720" t="s">
        <v>575</v>
      </c>
      <c r="K18720" t="s">
        <v>33</v>
      </c>
      <c r="L18720" t="s">
        <v>246</v>
      </c>
      <c r="N18720" t="s">
        <v>29</v>
      </c>
    </row>
    <row r="18721" spans="1:14">
      <c r="A18721" s="4" t="str">
        <f t="shared" si="1323"/>
        <v>EXP00440</v>
      </c>
      <c r="B18721" s="3" t="s">
        <v>66</v>
      </c>
      <c r="C18721" s="4" t="str">
        <f t="shared" si="1322"/>
        <v>TCGA-STAD</v>
      </c>
      <c r="D18721" s="1" t="s">
        <v>493</v>
      </c>
      <c r="E18721" t="s">
        <v>579</v>
      </c>
      <c r="F18721" s="1">
        <v>2</v>
      </c>
      <c r="G18721" s="1" t="s">
        <v>32</v>
      </c>
      <c r="H18721" s="4" t="str">
        <f>HYPERLINK("https://portal.gdc.cancer.gov/cases/23451ab5-a32b-4eec-9b8b-fd282282a0d4","TCGA-CD-A4MH-01A")</f>
        <v>TCGA-CD-A4MH-01A</v>
      </c>
      <c r="I18721" t="s">
        <v>574</v>
      </c>
      <c r="J18721" t="s">
        <v>575</v>
      </c>
      <c r="K18721" t="s">
        <v>33</v>
      </c>
      <c r="L18721" t="s">
        <v>246</v>
      </c>
      <c r="N18721" t="s">
        <v>29</v>
      </c>
    </row>
    <row r="18722" spans="1:14">
      <c r="A18722" s="4" t="str">
        <f t="shared" si="1323"/>
        <v>EXP00440</v>
      </c>
      <c r="B18722" s="3" t="s">
        <v>66</v>
      </c>
      <c r="C18722" s="4" t="str">
        <f t="shared" si="1322"/>
        <v>TCGA-STAD</v>
      </c>
      <c r="D18722" s="1" t="s">
        <v>493</v>
      </c>
      <c r="E18722" t="s">
        <v>579</v>
      </c>
      <c r="F18722" s="1">
        <v>2</v>
      </c>
      <c r="G18722" s="1" t="s">
        <v>32</v>
      </c>
      <c r="H18722" s="4" t="str">
        <f>HYPERLINK("https://portal.gdc.cancer.gov/cases/7e13fe2a-3d6e-487f-900d-f5891d986aa2","TCGA-CG-4301-01A")</f>
        <v>TCGA-CG-4301-01A</v>
      </c>
      <c r="I18722" t="s">
        <v>574</v>
      </c>
      <c r="J18722" t="s">
        <v>575</v>
      </c>
      <c r="K18722" t="s">
        <v>33</v>
      </c>
      <c r="L18722" t="s">
        <v>246</v>
      </c>
      <c r="N18722" t="s">
        <v>29</v>
      </c>
    </row>
    <row r="18723" spans="1:14">
      <c r="A18723" s="4" t="str">
        <f t="shared" si="1323"/>
        <v>EXP00440</v>
      </c>
      <c r="B18723" s="3" t="s">
        <v>66</v>
      </c>
      <c r="C18723" s="4" t="str">
        <f t="shared" si="1322"/>
        <v>TCGA-STAD</v>
      </c>
      <c r="D18723" s="1" t="s">
        <v>493</v>
      </c>
      <c r="E18723" t="s">
        <v>579</v>
      </c>
      <c r="F18723" s="1">
        <v>2</v>
      </c>
      <c r="G18723" s="1" t="s">
        <v>32</v>
      </c>
      <c r="H18723" s="4" t="str">
        <f>HYPERLINK("https://portal.gdc.cancer.gov/cases/8e005891-d6fe-4fee-a699-971fee4e70f1","TCGA-CG-4304-01A")</f>
        <v>TCGA-CG-4304-01A</v>
      </c>
      <c r="I18723" t="s">
        <v>574</v>
      </c>
      <c r="J18723" t="s">
        <v>575</v>
      </c>
      <c r="K18723" t="s">
        <v>33</v>
      </c>
      <c r="L18723" t="s">
        <v>246</v>
      </c>
      <c r="N18723" t="s">
        <v>29</v>
      </c>
    </row>
    <row r="18724" spans="1:14">
      <c r="A18724" s="4" t="str">
        <f t="shared" si="1323"/>
        <v>EXP00440</v>
      </c>
      <c r="B18724" s="3" t="s">
        <v>66</v>
      </c>
      <c r="C18724" s="4" t="str">
        <f t="shared" si="1322"/>
        <v>TCGA-STAD</v>
      </c>
      <c r="D18724" s="1" t="s">
        <v>493</v>
      </c>
      <c r="E18724" t="s">
        <v>579</v>
      </c>
      <c r="F18724" s="1">
        <v>2</v>
      </c>
      <c r="G18724" s="1" t="s">
        <v>32</v>
      </c>
      <c r="H18724" s="4" t="str">
        <f>HYPERLINK("https://portal.gdc.cancer.gov/cases/e0e35051-fbb4-4389-aedb-87bde84d21ad","TCGA-CG-4305-01A")</f>
        <v>TCGA-CG-4305-01A</v>
      </c>
      <c r="I18724" t="s">
        <v>574</v>
      </c>
      <c r="J18724" t="s">
        <v>575</v>
      </c>
      <c r="K18724" t="s">
        <v>33</v>
      </c>
      <c r="L18724" t="s">
        <v>246</v>
      </c>
      <c r="N18724" t="s">
        <v>29</v>
      </c>
    </row>
    <row r="18725" spans="1:14">
      <c r="A18725" s="4" t="str">
        <f t="shared" si="1323"/>
        <v>EXP00440</v>
      </c>
      <c r="B18725" s="3" t="s">
        <v>66</v>
      </c>
      <c r="C18725" s="4" t="str">
        <f t="shared" si="1322"/>
        <v>TCGA-STAD</v>
      </c>
      <c r="D18725" s="1" t="s">
        <v>493</v>
      </c>
      <c r="E18725" t="s">
        <v>579</v>
      </c>
      <c r="F18725" s="1">
        <v>2</v>
      </c>
      <c r="G18725" s="1" t="s">
        <v>32</v>
      </c>
      <c r="H18725" s="4" t="str">
        <f>HYPERLINK("https://portal.gdc.cancer.gov/cases/73d177f7-8c0a-42f6-a73d-8073c0e6142b","TCGA-CG-4306-01A")</f>
        <v>TCGA-CG-4306-01A</v>
      </c>
      <c r="I18725" t="s">
        <v>574</v>
      </c>
      <c r="J18725" t="s">
        <v>575</v>
      </c>
      <c r="K18725" t="s">
        <v>33</v>
      </c>
      <c r="L18725" t="s">
        <v>246</v>
      </c>
      <c r="N18725" t="s">
        <v>29</v>
      </c>
    </row>
    <row r="18726" spans="1:14">
      <c r="A18726" s="4" t="str">
        <f t="shared" si="1323"/>
        <v>EXP00440</v>
      </c>
      <c r="B18726" s="3" t="s">
        <v>66</v>
      </c>
      <c r="C18726" s="4" t="str">
        <f t="shared" si="1322"/>
        <v>TCGA-STAD</v>
      </c>
      <c r="D18726" s="1" t="s">
        <v>493</v>
      </c>
      <c r="E18726" t="s">
        <v>579</v>
      </c>
      <c r="F18726" s="1">
        <v>2</v>
      </c>
      <c r="G18726" s="1" t="s">
        <v>32</v>
      </c>
      <c r="H18726" s="4" t="str">
        <f>HYPERLINK("https://portal.gdc.cancer.gov/cases/7938ca55-766e-4277-9e7e-603ffa02e570","TCGA-CG-4436-01A")</f>
        <v>TCGA-CG-4436-01A</v>
      </c>
      <c r="I18726" t="s">
        <v>574</v>
      </c>
      <c r="J18726" t="s">
        <v>575</v>
      </c>
      <c r="K18726" t="s">
        <v>33</v>
      </c>
      <c r="L18726" t="s">
        <v>246</v>
      </c>
      <c r="N18726" t="s">
        <v>29</v>
      </c>
    </row>
    <row r="18727" spans="1:14">
      <c r="A18727" s="4" t="str">
        <f t="shared" si="1323"/>
        <v>EXP00440</v>
      </c>
      <c r="B18727" s="3" t="s">
        <v>66</v>
      </c>
      <c r="C18727" s="4" t="str">
        <f t="shared" si="1322"/>
        <v>TCGA-STAD</v>
      </c>
      <c r="D18727" s="1" t="s">
        <v>493</v>
      </c>
      <c r="E18727" t="s">
        <v>579</v>
      </c>
      <c r="F18727" s="1">
        <v>2</v>
      </c>
      <c r="G18727" s="1" t="s">
        <v>32</v>
      </c>
      <c r="H18727" s="4" t="str">
        <f>HYPERLINK("https://portal.gdc.cancer.gov/cases/6244e506-d163-4d34-8fec-6158191679cb","TCGA-CG-4437-01A")</f>
        <v>TCGA-CG-4437-01A</v>
      </c>
      <c r="I18727" t="s">
        <v>574</v>
      </c>
      <c r="J18727" t="s">
        <v>575</v>
      </c>
      <c r="K18727" t="s">
        <v>33</v>
      </c>
      <c r="L18727" t="s">
        <v>246</v>
      </c>
      <c r="N18727" t="s">
        <v>29</v>
      </c>
    </row>
    <row r="18728" spans="1:14">
      <c r="A18728" s="4" t="str">
        <f t="shared" si="1323"/>
        <v>EXP00440</v>
      </c>
      <c r="B18728" s="3" t="s">
        <v>66</v>
      </c>
      <c r="C18728" s="4" t="str">
        <f t="shared" ref="C18728:C18791" si="1324">HYPERLINK("https://portal.gdc.cancer.gov/projects/TCGA-STAD","TCGA-STAD")</f>
        <v>TCGA-STAD</v>
      </c>
      <c r="D18728" s="1" t="s">
        <v>493</v>
      </c>
      <c r="E18728" t="s">
        <v>579</v>
      </c>
      <c r="F18728" s="1">
        <v>2</v>
      </c>
      <c r="G18728" s="1" t="s">
        <v>32</v>
      </c>
      <c r="H18728" s="4" t="str">
        <f>HYPERLINK("https://portal.gdc.cancer.gov/cases/0246823f-99f4-4a46-b2b1-27f81179584c","TCGA-CG-4438-01A")</f>
        <v>TCGA-CG-4438-01A</v>
      </c>
      <c r="I18728" t="s">
        <v>574</v>
      </c>
      <c r="J18728" t="s">
        <v>575</v>
      </c>
      <c r="K18728" t="s">
        <v>33</v>
      </c>
      <c r="L18728" t="s">
        <v>246</v>
      </c>
      <c r="N18728" t="s">
        <v>29</v>
      </c>
    </row>
    <row r="18729" spans="1:14">
      <c r="A18729" s="4" t="str">
        <f t="shared" si="1323"/>
        <v>EXP00440</v>
      </c>
      <c r="B18729" s="3" t="s">
        <v>66</v>
      </c>
      <c r="C18729" s="4" t="str">
        <f t="shared" si="1324"/>
        <v>TCGA-STAD</v>
      </c>
      <c r="D18729" s="1" t="s">
        <v>493</v>
      </c>
      <c r="E18729" t="s">
        <v>579</v>
      </c>
      <c r="F18729" s="1">
        <v>2</v>
      </c>
      <c r="G18729" s="1" t="s">
        <v>32</v>
      </c>
      <c r="H18729" s="4" t="str">
        <f>HYPERLINK("https://portal.gdc.cancer.gov/cases/8ca597db-ac21-43d1-9329-586b2eaf6982","TCGA-CG-4440-01A")</f>
        <v>TCGA-CG-4440-01A</v>
      </c>
      <c r="I18729" t="s">
        <v>574</v>
      </c>
      <c r="J18729" t="s">
        <v>575</v>
      </c>
      <c r="K18729" t="s">
        <v>33</v>
      </c>
      <c r="L18729" t="s">
        <v>246</v>
      </c>
      <c r="N18729" t="s">
        <v>29</v>
      </c>
    </row>
    <row r="18730" spans="1:14">
      <c r="A18730" s="4" t="str">
        <f t="shared" si="1323"/>
        <v>EXP00440</v>
      </c>
      <c r="B18730" s="3" t="s">
        <v>66</v>
      </c>
      <c r="C18730" s="4" t="str">
        <f t="shared" si="1324"/>
        <v>TCGA-STAD</v>
      </c>
      <c r="D18730" s="1" t="s">
        <v>493</v>
      </c>
      <c r="E18730" t="s">
        <v>579</v>
      </c>
      <c r="F18730" s="1">
        <v>2</v>
      </c>
      <c r="G18730" s="1" t="s">
        <v>32</v>
      </c>
      <c r="H18730" s="4" t="str">
        <f>HYPERLINK("https://portal.gdc.cancer.gov/cases/37e22429-efd7-4d6a-b79a-9d8c7be2170c","TCGA-CG-4441-01A")</f>
        <v>TCGA-CG-4441-01A</v>
      </c>
      <c r="I18730" t="s">
        <v>574</v>
      </c>
      <c r="J18730" t="s">
        <v>575</v>
      </c>
      <c r="K18730" t="s">
        <v>33</v>
      </c>
      <c r="L18730" t="s">
        <v>246</v>
      </c>
      <c r="N18730" t="s">
        <v>29</v>
      </c>
    </row>
    <row r="18731" spans="1:14">
      <c r="A18731" s="4" t="str">
        <f t="shared" si="1323"/>
        <v>EXP00440</v>
      </c>
      <c r="B18731" s="3" t="s">
        <v>66</v>
      </c>
      <c r="C18731" s="4" t="str">
        <f t="shared" si="1324"/>
        <v>TCGA-STAD</v>
      </c>
      <c r="D18731" s="1" t="s">
        <v>493</v>
      </c>
      <c r="E18731" t="s">
        <v>579</v>
      </c>
      <c r="F18731" s="1">
        <v>2</v>
      </c>
      <c r="G18731" s="1" t="s">
        <v>32</v>
      </c>
      <c r="H18731" s="4" t="str">
        <f>HYPERLINK("https://portal.gdc.cancer.gov/cases/8fccff71-3710-4cb9-b8af-61707aebe5d8","TCGA-CG-4442-01A")</f>
        <v>TCGA-CG-4442-01A</v>
      </c>
      <c r="I18731" t="s">
        <v>574</v>
      </c>
      <c r="J18731" t="s">
        <v>575</v>
      </c>
      <c r="K18731" t="s">
        <v>33</v>
      </c>
      <c r="L18731" t="s">
        <v>246</v>
      </c>
      <c r="N18731" t="s">
        <v>29</v>
      </c>
    </row>
    <row r="18732" spans="1:14">
      <c r="A18732" s="4" t="str">
        <f t="shared" si="1323"/>
        <v>EXP00440</v>
      </c>
      <c r="B18732" s="3" t="s">
        <v>66</v>
      </c>
      <c r="C18732" s="4" t="str">
        <f t="shared" si="1324"/>
        <v>TCGA-STAD</v>
      </c>
      <c r="D18732" s="1" t="s">
        <v>493</v>
      </c>
      <c r="E18732" t="s">
        <v>579</v>
      </c>
      <c r="F18732" s="1">
        <v>2</v>
      </c>
      <c r="G18732" s="1" t="s">
        <v>32</v>
      </c>
      <c r="H18732" s="4" t="str">
        <f>HYPERLINK("https://portal.gdc.cancer.gov/cases/8cb0144b-be6b-40a1-86a2-708f96d9b615","TCGA-CG-4443-01A")</f>
        <v>TCGA-CG-4443-01A</v>
      </c>
      <c r="I18732" t="s">
        <v>574</v>
      </c>
      <c r="J18732" t="s">
        <v>575</v>
      </c>
      <c r="K18732" t="s">
        <v>33</v>
      </c>
      <c r="L18732" t="s">
        <v>246</v>
      </c>
      <c r="N18732" t="s">
        <v>29</v>
      </c>
    </row>
    <row r="18733" spans="1:14">
      <c r="A18733" s="4" t="str">
        <f t="shared" si="1323"/>
        <v>EXP00440</v>
      </c>
      <c r="B18733" s="3" t="s">
        <v>66</v>
      </c>
      <c r="C18733" s="4" t="str">
        <f t="shared" si="1324"/>
        <v>TCGA-STAD</v>
      </c>
      <c r="D18733" s="1" t="s">
        <v>493</v>
      </c>
      <c r="E18733" t="s">
        <v>579</v>
      </c>
      <c r="F18733" s="1">
        <v>2</v>
      </c>
      <c r="G18733" s="1" t="s">
        <v>32</v>
      </c>
      <c r="H18733" s="4" t="str">
        <f>HYPERLINK("https://portal.gdc.cancer.gov/cases/5c087d33-0bd3-407d-8350-fabba6aec597","TCGA-CG-4444-01A")</f>
        <v>TCGA-CG-4444-01A</v>
      </c>
      <c r="I18733" t="s">
        <v>574</v>
      </c>
      <c r="J18733" t="s">
        <v>575</v>
      </c>
      <c r="K18733" t="s">
        <v>33</v>
      </c>
      <c r="L18733" t="s">
        <v>246</v>
      </c>
      <c r="N18733" t="s">
        <v>29</v>
      </c>
    </row>
    <row r="18734" spans="1:14">
      <c r="A18734" s="4" t="str">
        <f t="shared" si="1323"/>
        <v>EXP00440</v>
      </c>
      <c r="B18734" s="3" t="s">
        <v>66</v>
      </c>
      <c r="C18734" s="4" t="str">
        <f t="shared" si="1324"/>
        <v>TCGA-STAD</v>
      </c>
      <c r="D18734" s="1" t="s">
        <v>493</v>
      </c>
      <c r="E18734" t="s">
        <v>579</v>
      </c>
      <c r="F18734" s="1">
        <v>2</v>
      </c>
      <c r="G18734" s="1" t="s">
        <v>32</v>
      </c>
      <c r="H18734" s="4" t="str">
        <f>HYPERLINK("https://portal.gdc.cancer.gov/cases/3c3d4ef0-019a-423e-89b2-4ac5a7b567ab","TCGA-CG-4460-01A")</f>
        <v>TCGA-CG-4460-01A</v>
      </c>
      <c r="I18734" t="s">
        <v>574</v>
      </c>
      <c r="J18734" t="s">
        <v>575</v>
      </c>
      <c r="K18734" t="s">
        <v>33</v>
      </c>
      <c r="L18734" t="s">
        <v>246</v>
      </c>
      <c r="N18734" t="s">
        <v>29</v>
      </c>
    </row>
    <row r="18735" spans="1:14">
      <c r="A18735" s="4" t="str">
        <f t="shared" si="1323"/>
        <v>EXP00440</v>
      </c>
      <c r="B18735" s="3" t="s">
        <v>66</v>
      </c>
      <c r="C18735" s="4" t="str">
        <f t="shared" si="1324"/>
        <v>TCGA-STAD</v>
      </c>
      <c r="D18735" s="1" t="s">
        <v>493</v>
      </c>
      <c r="E18735" t="s">
        <v>579</v>
      </c>
      <c r="F18735" s="1">
        <v>2</v>
      </c>
      <c r="G18735" s="1" t="s">
        <v>32</v>
      </c>
      <c r="H18735" s="4" t="str">
        <f>HYPERLINK("https://portal.gdc.cancer.gov/cases/e9ea3687-0db3-47f3-8099-b4fc054397f1","TCGA-CG-4462-01A")</f>
        <v>TCGA-CG-4462-01A</v>
      </c>
      <c r="I18735" t="s">
        <v>574</v>
      </c>
      <c r="J18735" t="s">
        <v>575</v>
      </c>
      <c r="K18735" t="s">
        <v>33</v>
      </c>
      <c r="L18735" t="s">
        <v>246</v>
      </c>
      <c r="N18735" t="s">
        <v>29</v>
      </c>
    </row>
    <row r="18736" spans="1:14">
      <c r="A18736" s="4" t="str">
        <f t="shared" si="1323"/>
        <v>EXP00440</v>
      </c>
      <c r="B18736" s="3" t="s">
        <v>66</v>
      </c>
      <c r="C18736" s="4" t="str">
        <f t="shared" si="1324"/>
        <v>TCGA-STAD</v>
      </c>
      <c r="D18736" s="1" t="s">
        <v>493</v>
      </c>
      <c r="E18736" t="s">
        <v>579</v>
      </c>
      <c r="F18736" s="1">
        <v>2</v>
      </c>
      <c r="G18736" s="1" t="s">
        <v>32</v>
      </c>
      <c r="H18736" s="4" t="str">
        <f>HYPERLINK("https://portal.gdc.cancer.gov/cases/c9ab5bf4-092a-420f-9b90-87deea58104c","TCGA-CG-4465-01A")</f>
        <v>TCGA-CG-4465-01A</v>
      </c>
      <c r="I18736" t="s">
        <v>574</v>
      </c>
      <c r="J18736" t="s">
        <v>575</v>
      </c>
      <c r="K18736" t="s">
        <v>33</v>
      </c>
      <c r="L18736" t="s">
        <v>246</v>
      </c>
      <c r="N18736" t="s">
        <v>29</v>
      </c>
    </row>
    <row r="18737" spans="1:14">
      <c r="A18737" s="4" t="str">
        <f t="shared" si="1323"/>
        <v>EXP00440</v>
      </c>
      <c r="B18737" s="3" t="s">
        <v>66</v>
      </c>
      <c r="C18737" s="4" t="str">
        <f t="shared" si="1324"/>
        <v>TCGA-STAD</v>
      </c>
      <c r="D18737" s="1" t="s">
        <v>493</v>
      </c>
      <c r="E18737" t="s">
        <v>579</v>
      </c>
      <c r="F18737" s="1">
        <v>2</v>
      </c>
      <c r="G18737" s="1" t="s">
        <v>32</v>
      </c>
      <c r="H18737" s="4" t="str">
        <f>HYPERLINK("https://portal.gdc.cancer.gov/cases/2f1b96b2-7031-4f7d-9490-14728d320f3e","TCGA-CG-4466-01A")</f>
        <v>TCGA-CG-4466-01A</v>
      </c>
      <c r="I18737" t="s">
        <v>574</v>
      </c>
      <c r="J18737" t="s">
        <v>575</v>
      </c>
      <c r="K18737" t="s">
        <v>33</v>
      </c>
      <c r="L18737" t="s">
        <v>246</v>
      </c>
      <c r="N18737" t="s">
        <v>29</v>
      </c>
    </row>
    <row r="18738" spans="1:14">
      <c r="A18738" s="4" t="str">
        <f t="shared" si="1323"/>
        <v>EXP00440</v>
      </c>
      <c r="B18738" s="3" t="s">
        <v>66</v>
      </c>
      <c r="C18738" s="4" t="str">
        <f t="shared" si="1324"/>
        <v>TCGA-STAD</v>
      </c>
      <c r="D18738" s="1" t="s">
        <v>493</v>
      </c>
      <c r="E18738" t="s">
        <v>579</v>
      </c>
      <c r="F18738" s="1">
        <v>2</v>
      </c>
      <c r="G18738" s="1" t="s">
        <v>32</v>
      </c>
      <c r="H18738" s="4" t="str">
        <f>HYPERLINK("https://portal.gdc.cancer.gov/cases/2ac986f6-cd6f-4ca5-90cc-7a105cfe85ea","TCGA-CG-4469-01A")</f>
        <v>TCGA-CG-4469-01A</v>
      </c>
      <c r="I18738" t="s">
        <v>574</v>
      </c>
      <c r="J18738" t="s">
        <v>575</v>
      </c>
      <c r="K18738" t="s">
        <v>33</v>
      </c>
      <c r="L18738" t="s">
        <v>246</v>
      </c>
      <c r="N18738" t="s">
        <v>29</v>
      </c>
    </row>
    <row r="18739" spans="1:14">
      <c r="A18739" s="4" t="str">
        <f t="shared" si="1323"/>
        <v>EXP00440</v>
      </c>
      <c r="B18739" s="3" t="s">
        <v>66</v>
      </c>
      <c r="C18739" s="4" t="str">
        <f t="shared" si="1324"/>
        <v>TCGA-STAD</v>
      </c>
      <c r="D18739" s="1" t="s">
        <v>493</v>
      </c>
      <c r="E18739" t="s">
        <v>579</v>
      </c>
      <c r="F18739" s="1">
        <v>2</v>
      </c>
      <c r="G18739" s="1" t="s">
        <v>32</v>
      </c>
      <c r="H18739" s="4" t="str">
        <f>HYPERLINK("https://portal.gdc.cancer.gov/cases/cad2adc1-0f41-4651-9c80-ae9961e2dc8d","TCGA-CG-4475-01A")</f>
        <v>TCGA-CG-4475-01A</v>
      </c>
      <c r="I18739" t="s">
        <v>574</v>
      </c>
      <c r="J18739" t="s">
        <v>575</v>
      </c>
      <c r="K18739" t="s">
        <v>33</v>
      </c>
      <c r="L18739" t="s">
        <v>246</v>
      </c>
      <c r="N18739" t="s">
        <v>29</v>
      </c>
    </row>
    <row r="18740" spans="1:14">
      <c r="A18740" s="4" t="str">
        <f t="shared" si="1323"/>
        <v>EXP00440</v>
      </c>
      <c r="B18740" s="3" t="s">
        <v>66</v>
      </c>
      <c r="C18740" s="4" t="str">
        <f t="shared" si="1324"/>
        <v>TCGA-STAD</v>
      </c>
      <c r="D18740" s="1" t="s">
        <v>493</v>
      </c>
      <c r="E18740" t="s">
        <v>579</v>
      </c>
      <c r="F18740" s="1">
        <v>2</v>
      </c>
      <c r="G18740" s="1" t="s">
        <v>32</v>
      </c>
      <c r="H18740" s="4" t="str">
        <f>HYPERLINK("https://portal.gdc.cancer.gov/cases/442d7415-d095-4962-8296-a14390bad40a","TCGA-CG-4476-01A")</f>
        <v>TCGA-CG-4476-01A</v>
      </c>
      <c r="I18740" t="s">
        <v>574</v>
      </c>
      <c r="J18740" t="s">
        <v>575</v>
      </c>
      <c r="K18740" t="s">
        <v>33</v>
      </c>
      <c r="L18740" t="s">
        <v>246</v>
      </c>
      <c r="N18740" t="s">
        <v>29</v>
      </c>
    </row>
    <row r="18741" spans="1:14">
      <c r="A18741" s="4" t="str">
        <f t="shared" si="1323"/>
        <v>EXP00440</v>
      </c>
      <c r="B18741" s="3" t="s">
        <v>66</v>
      </c>
      <c r="C18741" s="4" t="str">
        <f t="shared" si="1324"/>
        <v>TCGA-STAD</v>
      </c>
      <c r="D18741" s="1" t="s">
        <v>493</v>
      </c>
      <c r="E18741" t="s">
        <v>579</v>
      </c>
      <c r="F18741" s="1">
        <v>2</v>
      </c>
      <c r="G18741" s="1" t="s">
        <v>32</v>
      </c>
      <c r="H18741" s="4" t="str">
        <f>HYPERLINK("https://portal.gdc.cancer.gov/cases/18d0aae7-9694-4252-b8fe-16e62dadab07","TCGA-CG-4477-01A")</f>
        <v>TCGA-CG-4477-01A</v>
      </c>
      <c r="I18741" t="s">
        <v>574</v>
      </c>
      <c r="J18741" t="s">
        <v>575</v>
      </c>
      <c r="K18741" t="s">
        <v>33</v>
      </c>
      <c r="L18741" t="s">
        <v>246</v>
      </c>
      <c r="N18741" t="s">
        <v>29</v>
      </c>
    </row>
    <row r="18742" spans="1:14">
      <c r="A18742" s="4" t="str">
        <f t="shared" si="1323"/>
        <v>EXP00440</v>
      </c>
      <c r="B18742" s="3" t="s">
        <v>66</v>
      </c>
      <c r="C18742" s="4" t="str">
        <f t="shared" si="1324"/>
        <v>TCGA-STAD</v>
      </c>
      <c r="D18742" s="1" t="s">
        <v>493</v>
      </c>
      <c r="E18742" t="s">
        <v>579</v>
      </c>
      <c r="F18742" s="1">
        <v>2</v>
      </c>
      <c r="G18742" s="1" t="s">
        <v>32</v>
      </c>
      <c r="H18742" s="4" t="str">
        <f>HYPERLINK("https://portal.gdc.cancer.gov/cases/49587564-e30f-4f1c-b7b3-fc0989bb1a0a","TCGA-CG-5716-01A")</f>
        <v>TCGA-CG-5716-01A</v>
      </c>
      <c r="I18742" t="s">
        <v>574</v>
      </c>
      <c r="J18742" t="s">
        <v>575</v>
      </c>
      <c r="K18742" t="s">
        <v>33</v>
      </c>
      <c r="L18742" t="s">
        <v>246</v>
      </c>
      <c r="N18742" t="s">
        <v>29</v>
      </c>
    </row>
    <row r="18743" spans="1:14">
      <c r="A18743" s="4" t="str">
        <f t="shared" si="1323"/>
        <v>EXP00440</v>
      </c>
      <c r="B18743" s="3" t="s">
        <v>66</v>
      </c>
      <c r="C18743" s="4" t="str">
        <f t="shared" si="1324"/>
        <v>TCGA-STAD</v>
      </c>
      <c r="D18743" s="1" t="s">
        <v>493</v>
      </c>
      <c r="E18743" t="s">
        <v>579</v>
      </c>
      <c r="F18743" s="1">
        <v>2</v>
      </c>
      <c r="G18743" s="1" t="s">
        <v>32</v>
      </c>
      <c r="H18743" s="4" t="str">
        <f>HYPERLINK("https://portal.gdc.cancer.gov/cases/bdc3899e-15ae-421f-829b-0e07fbd27c60","TCGA-CG-5717-01A")</f>
        <v>TCGA-CG-5717-01A</v>
      </c>
      <c r="I18743" t="s">
        <v>574</v>
      </c>
      <c r="J18743" t="s">
        <v>575</v>
      </c>
      <c r="K18743" t="s">
        <v>33</v>
      </c>
      <c r="L18743" t="s">
        <v>246</v>
      </c>
      <c r="N18743" t="s">
        <v>29</v>
      </c>
    </row>
    <row r="18744" spans="1:14">
      <c r="A18744" s="4" t="str">
        <f t="shared" si="1323"/>
        <v>EXP00440</v>
      </c>
      <c r="B18744" s="3" t="s">
        <v>66</v>
      </c>
      <c r="C18744" s="4" t="str">
        <f t="shared" si="1324"/>
        <v>TCGA-STAD</v>
      </c>
      <c r="D18744" s="1" t="s">
        <v>493</v>
      </c>
      <c r="E18744" t="s">
        <v>579</v>
      </c>
      <c r="F18744" s="1">
        <v>2</v>
      </c>
      <c r="G18744" s="1" t="s">
        <v>32</v>
      </c>
      <c r="H18744" s="4" t="str">
        <f>HYPERLINK("https://portal.gdc.cancer.gov/cases/d5c58161-05ed-4472-81ed-176216f49929","TCGA-CG-5718-01A")</f>
        <v>TCGA-CG-5718-01A</v>
      </c>
      <c r="I18744" t="s">
        <v>574</v>
      </c>
      <c r="J18744" t="s">
        <v>575</v>
      </c>
      <c r="K18744" t="s">
        <v>33</v>
      </c>
      <c r="L18744" t="s">
        <v>246</v>
      </c>
      <c r="N18744" t="s">
        <v>29</v>
      </c>
    </row>
    <row r="18745" spans="1:14">
      <c r="A18745" s="4" t="str">
        <f t="shared" si="1323"/>
        <v>EXP00440</v>
      </c>
      <c r="B18745" s="3" t="s">
        <v>66</v>
      </c>
      <c r="C18745" s="4" t="str">
        <f t="shared" si="1324"/>
        <v>TCGA-STAD</v>
      </c>
      <c r="D18745" s="1" t="s">
        <v>493</v>
      </c>
      <c r="E18745" t="s">
        <v>579</v>
      </c>
      <c r="F18745" s="1">
        <v>2</v>
      </c>
      <c r="G18745" s="1" t="s">
        <v>32</v>
      </c>
      <c r="H18745" s="4" t="str">
        <f>HYPERLINK("https://portal.gdc.cancer.gov/cases/263f67e0-0a28-42e6-b3f3-1ddd0d397220","TCGA-CG-5719-01A")</f>
        <v>TCGA-CG-5719-01A</v>
      </c>
      <c r="I18745" t="s">
        <v>574</v>
      </c>
      <c r="J18745" t="s">
        <v>575</v>
      </c>
      <c r="K18745" t="s">
        <v>33</v>
      </c>
      <c r="L18745" t="s">
        <v>246</v>
      </c>
      <c r="N18745" t="s">
        <v>29</v>
      </c>
    </row>
    <row r="18746" spans="1:14">
      <c r="A18746" s="4" t="str">
        <f t="shared" si="1323"/>
        <v>EXP00440</v>
      </c>
      <c r="B18746" s="3" t="s">
        <v>66</v>
      </c>
      <c r="C18746" s="4" t="str">
        <f t="shared" si="1324"/>
        <v>TCGA-STAD</v>
      </c>
      <c r="D18746" s="1" t="s">
        <v>493</v>
      </c>
      <c r="E18746" t="s">
        <v>579</v>
      </c>
      <c r="F18746" s="1">
        <v>2</v>
      </c>
      <c r="G18746" s="1" t="s">
        <v>32</v>
      </c>
      <c r="H18746" s="4" t="str">
        <f>HYPERLINK("https://portal.gdc.cancer.gov/cases/7c9ea4fa-4cbc-4941-945a-e531e1d48304","TCGA-CG-5720-01A")</f>
        <v>TCGA-CG-5720-01A</v>
      </c>
      <c r="I18746" t="s">
        <v>574</v>
      </c>
      <c r="J18746" t="s">
        <v>575</v>
      </c>
      <c r="K18746" t="s">
        <v>33</v>
      </c>
      <c r="L18746" t="s">
        <v>246</v>
      </c>
      <c r="N18746" t="s">
        <v>29</v>
      </c>
    </row>
    <row r="18747" spans="1:14">
      <c r="A18747" s="4" t="str">
        <f t="shared" si="1323"/>
        <v>EXP00440</v>
      </c>
      <c r="B18747" s="3" t="s">
        <v>66</v>
      </c>
      <c r="C18747" s="4" t="str">
        <f t="shared" si="1324"/>
        <v>TCGA-STAD</v>
      </c>
      <c r="D18747" s="1" t="s">
        <v>493</v>
      </c>
      <c r="E18747" t="s">
        <v>579</v>
      </c>
      <c r="F18747" s="1">
        <v>2</v>
      </c>
      <c r="G18747" s="1" t="s">
        <v>32</v>
      </c>
      <c r="H18747" s="4" t="str">
        <f>HYPERLINK("https://portal.gdc.cancer.gov/cases/588abaea-ab16-42f4-9457-5901ee791b5f","TCGA-CG-5721-01A")</f>
        <v>TCGA-CG-5721-01A</v>
      </c>
      <c r="I18747" t="s">
        <v>574</v>
      </c>
      <c r="J18747" t="s">
        <v>575</v>
      </c>
      <c r="K18747" t="s">
        <v>33</v>
      </c>
      <c r="L18747" t="s">
        <v>246</v>
      </c>
      <c r="N18747" t="s">
        <v>29</v>
      </c>
    </row>
    <row r="18748" spans="1:14">
      <c r="A18748" s="4" t="str">
        <f t="shared" ref="A18748:A18811" si="1325">HYPERLINK("http://hcmdb.i-sanger.com/experiment/details/experiment_id/EXP00440","EXP00440")</f>
        <v>EXP00440</v>
      </c>
      <c r="B18748" s="3" t="s">
        <v>66</v>
      </c>
      <c r="C18748" s="4" t="str">
        <f t="shared" si="1324"/>
        <v>TCGA-STAD</v>
      </c>
      <c r="D18748" s="1" t="s">
        <v>493</v>
      </c>
      <c r="E18748" t="s">
        <v>579</v>
      </c>
      <c r="F18748" s="1">
        <v>2</v>
      </c>
      <c r="G18748" s="1" t="s">
        <v>32</v>
      </c>
      <c r="H18748" s="4" t="str">
        <f>HYPERLINK("https://portal.gdc.cancer.gov/cases/f35e8fef-f61d-4614-b73f-f7e1d0f21f52","TCGA-CG-5722-01A")</f>
        <v>TCGA-CG-5722-01A</v>
      </c>
      <c r="I18748" t="s">
        <v>574</v>
      </c>
      <c r="J18748" t="s">
        <v>575</v>
      </c>
      <c r="K18748" t="s">
        <v>33</v>
      </c>
      <c r="L18748" t="s">
        <v>246</v>
      </c>
      <c r="N18748" t="s">
        <v>29</v>
      </c>
    </row>
    <row r="18749" spans="1:14">
      <c r="A18749" s="4" t="str">
        <f t="shared" si="1325"/>
        <v>EXP00440</v>
      </c>
      <c r="B18749" s="3" t="s">
        <v>66</v>
      </c>
      <c r="C18749" s="4" t="str">
        <f t="shared" si="1324"/>
        <v>TCGA-STAD</v>
      </c>
      <c r="D18749" s="1" t="s">
        <v>493</v>
      </c>
      <c r="E18749" t="s">
        <v>579</v>
      </c>
      <c r="F18749" s="1">
        <v>2</v>
      </c>
      <c r="G18749" s="1" t="s">
        <v>32</v>
      </c>
      <c r="H18749" s="4" t="str">
        <f>HYPERLINK("https://portal.gdc.cancer.gov/cases/0f00ad32-e4be-49d4-a02a-d233bfc913c5","TCGA-CG-5723-01A")</f>
        <v>TCGA-CG-5723-01A</v>
      </c>
      <c r="I18749" t="s">
        <v>574</v>
      </c>
      <c r="J18749" t="s">
        <v>575</v>
      </c>
      <c r="K18749" t="s">
        <v>33</v>
      </c>
      <c r="L18749" t="s">
        <v>246</v>
      </c>
      <c r="N18749" t="s">
        <v>29</v>
      </c>
    </row>
    <row r="18750" spans="1:14">
      <c r="A18750" s="4" t="str">
        <f t="shared" si="1325"/>
        <v>EXP00440</v>
      </c>
      <c r="B18750" s="3" t="s">
        <v>66</v>
      </c>
      <c r="C18750" s="4" t="str">
        <f t="shared" si="1324"/>
        <v>TCGA-STAD</v>
      </c>
      <c r="D18750" s="1" t="s">
        <v>493</v>
      </c>
      <c r="E18750" t="s">
        <v>579</v>
      </c>
      <c r="F18750" s="1">
        <v>2</v>
      </c>
      <c r="G18750" s="1" t="s">
        <v>32</v>
      </c>
      <c r="H18750" s="4" t="str">
        <f>HYPERLINK("https://portal.gdc.cancer.gov/cases/0b4e8d73-459d-4930-9d1a-abb8d53e1844","TCGA-CG-5724-01A")</f>
        <v>TCGA-CG-5724-01A</v>
      </c>
      <c r="I18750" t="s">
        <v>574</v>
      </c>
      <c r="J18750" t="s">
        <v>575</v>
      </c>
      <c r="K18750" t="s">
        <v>33</v>
      </c>
      <c r="L18750" t="s">
        <v>246</v>
      </c>
      <c r="N18750" t="s">
        <v>29</v>
      </c>
    </row>
    <row r="18751" spans="1:14">
      <c r="A18751" s="4" t="str">
        <f t="shared" si="1325"/>
        <v>EXP00440</v>
      </c>
      <c r="B18751" s="3" t="s">
        <v>66</v>
      </c>
      <c r="C18751" s="4" t="str">
        <f t="shared" si="1324"/>
        <v>TCGA-STAD</v>
      </c>
      <c r="D18751" s="1" t="s">
        <v>493</v>
      </c>
      <c r="E18751" t="s">
        <v>579</v>
      </c>
      <c r="F18751" s="1">
        <v>2</v>
      </c>
      <c r="G18751" s="1" t="s">
        <v>32</v>
      </c>
      <c r="H18751" s="4" t="str">
        <f>HYPERLINK("https://portal.gdc.cancer.gov/cases/129d95ca-71ef-44aa-a93d-f87803c37c9a","TCGA-CG-5725-01A")</f>
        <v>TCGA-CG-5725-01A</v>
      </c>
      <c r="I18751" t="s">
        <v>574</v>
      </c>
      <c r="J18751" t="s">
        <v>575</v>
      </c>
      <c r="K18751" t="s">
        <v>33</v>
      </c>
      <c r="L18751" t="s">
        <v>246</v>
      </c>
      <c r="N18751" t="s">
        <v>29</v>
      </c>
    </row>
    <row r="18752" spans="1:14">
      <c r="A18752" s="4" t="str">
        <f t="shared" si="1325"/>
        <v>EXP00440</v>
      </c>
      <c r="B18752" s="3" t="s">
        <v>66</v>
      </c>
      <c r="C18752" s="4" t="str">
        <f t="shared" si="1324"/>
        <v>TCGA-STAD</v>
      </c>
      <c r="D18752" s="1" t="s">
        <v>493</v>
      </c>
      <c r="E18752" t="s">
        <v>579</v>
      </c>
      <c r="F18752" s="1">
        <v>2</v>
      </c>
      <c r="G18752" s="1" t="s">
        <v>32</v>
      </c>
      <c r="H18752" s="4" t="str">
        <f>HYPERLINK("https://portal.gdc.cancer.gov/cases/863ad936-e2a0-471c-8d95-3a548bb94afa","TCGA-CG-5726-01A")</f>
        <v>TCGA-CG-5726-01A</v>
      </c>
      <c r="I18752" t="s">
        <v>574</v>
      </c>
      <c r="J18752" t="s">
        <v>575</v>
      </c>
      <c r="K18752" t="s">
        <v>33</v>
      </c>
      <c r="L18752" t="s">
        <v>246</v>
      </c>
      <c r="N18752" t="s">
        <v>29</v>
      </c>
    </row>
    <row r="18753" spans="1:14">
      <c r="A18753" s="4" t="str">
        <f t="shared" si="1325"/>
        <v>EXP00440</v>
      </c>
      <c r="B18753" s="3" t="s">
        <v>66</v>
      </c>
      <c r="C18753" s="4" t="str">
        <f t="shared" si="1324"/>
        <v>TCGA-STAD</v>
      </c>
      <c r="D18753" s="1" t="s">
        <v>493</v>
      </c>
      <c r="E18753" t="s">
        <v>579</v>
      </c>
      <c r="F18753" s="1">
        <v>2</v>
      </c>
      <c r="G18753" s="1" t="s">
        <v>32</v>
      </c>
      <c r="H18753" s="4" t="str">
        <f>HYPERLINK("https://portal.gdc.cancer.gov/cases/e62d5f3c-0a99-4932-a589-bff4fa02b1d3","TCGA-CG-5732-01A")</f>
        <v>TCGA-CG-5732-01A</v>
      </c>
      <c r="I18753" t="s">
        <v>574</v>
      </c>
      <c r="J18753" t="s">
        <v>575</v>
      </c>
      <c r="K18753" t="s">
        <v>33</v>
      </c>
      <c r="L18753" t="s">
        <v>246</v>
      </c>
      <c r="N18753" t="s">
        <v>29</v>
      </c>
    </row>
    <row r="18754" spans="1:14">
      <c r="A18754" s="4" t="str">
        <f t="shared" si="1325"/>
        <v>EXP00440</v>
      </c>
      <c r="B18754" s="3" t="s">
        <v>66</v>
      </c>
      <c r="C18754" s="4" t="str">
        <f t="shared" si="1324"/>
        <v>TCGA-STAD</v>
      </c>
      <c r="D18754" s="1" t="s">
        <v>493</v>
      </c>
      <c r="E18754" t="s">
        <v>579</v>
      </c>
      <c r="F18754" s="1">
        <v>2</v>
      </c>
      <c r="G18754" s="1" t="s">
        <v>32</v>
      </c>
      <c r="H18754" s="4" t="str">
        <f>HYPERLINK("https://portal.gdc.cancer.gov/cases/2a227292-c73d-45fc-ab68-cdfaf7aef9e7","TCGA-CG-5734-01A")</f>
        <v>TCGA-CG-5734-01A</v>
      </c>
      <c r="I18754" t="s">
        <v>574</v>
      </c>
      <c r="J18754" t="s">
        <v>575</v>
      </c>
      <c r="K18754" t="s">
        <v>33</v>
      </c>
      <c r="L18754" t="s">
        <v>246</v>
      </c>
      <c r="N18754" t="s">
        <v>29</v>
      </c>
    </row>
    <row r="18755" spans="1:14">
      <c r="A18755" s="4" t="str">
        <f t="shared" si="1325"/>
        <v>EXP00440</v>
      </c>
      <c r="B18755" s="3" t="s">
        <v>66</v>
      </c>
      <c r="C18755" s="4" t="str">
        <f t="shared" si="1324"/>
        <v>TCGA-STAD</v>
      </c>
      <c r="D18755" s="1" t="s">
        <v>493</v>
      </c>
      <c r="E18755" t="s">
        <v>579</v>
      </c>
      <c r="F18755" s="1">
        <v>2</v>
      </c>
      <c r="G18755" s="1" t="s">
        <v>32</v>
      </c>
      <c r="H18755" s="4" t="str">
        <f>HYPERLINK("https://portal.gdc.cancer.gov/cases/2dc154aa-c478-404b-a92e-86abcc8dbdb7","TCGA-D7-5577-01A")</f>
        <v>TCGA-D7-5577-01A</v>
      </c>
      <c r="I18755" t="s">
        <v>574</v>
      </c>
      <c r="J18755" t="s">
        <v>575</v>
      </c>
      <c r="K18755" t="s">
        <v>33</v>
      </c>
      <c r="L18755" t="s">
        <v>246</v>
      </c>
      <c r="N18755" t="s">
        <v>29</v>
      </c>
    </row>
    <row r="18756" spans="1:14">
      <c r="A18756" s="4" t="str">
        <f t="shared" si="1325"/>
        <v>EXP00440</v>
      </c>
      <c r="B18756" s="3" t="s">
        <v>66</v>
      </c>
      <c r="C18756" s="4" t="str">
        <f t="shared" si="1324"/>
        <v>TCGA-STAD</v>
      </c>
      <c r="D18756" s="1" t="s">
        <v>493</v>
      </c>
      <c r="E18756" t="s">
        <v>579</v>
      </c>
      <c r="F18756" s="1">
        <v>2</v>
      </c>
      <c r="G18756" s="1" t="s">
        <v>32</v>
      </c>
      <c r="H18756" s="4" t="str">
        <f>HYPERLINK("https://portal.gdc.cancer.gov/cases/a3c1f9a2-9174-48cf-81dc-2afcfdc4ba9c","TCGA-D7-5578-01A")</f>
        <v>TCGA-D7-5578-01A</v>
      </c>
      <c r="I18756" t="s">
        <v>574</v>
      </c>
      <c r="J18756" t="s">
        <v>575</v>
      </c>
      <c r="K18756" t="s">
        <v>33</v>
      </c>
      <c r="L18756" t="s">
        <v>246</v>
      </c>
      <c r="N18756" t="s">
        <v>29</v>
      </c>
    </row>
    <row r="18757" spans="1:14">
      <c r="A18757" s="4" t="str">
        <f t="shared" si="1325"/>
        <v>EXP00440</v>
      </c>
      <c r="B18757" s="3" t="s">
        <v>66</v>
      </c>
      <c r="C18757" s="4" t="str">
        <f t="shared" si="1324"/>
        <v>TCGA-STAD</v>
      </c>
      <c r="D18757" s="1" t="s">
        <v>493</v>
      </c>
      <c r="E18757" t="s">
        <v>579</v>
      </c>
      <c r="F18757" s="1">
        <v>2</v>
      </c>
      <c r="G18757" s="1" t="s">
        <v>32</v>
      </c>
      <c r="H18757" s="4" t="str">
        <f>HYPERLINK("https://portal.gdc.cancer.gov/cases/e37cae9e-0656-4b89-b326-739a5cc859e0","TCGA-D7-6519-01A")</f>
        <v>TCGA-D7-6519-01A</v>
      </c>
      <c r="I18757" t="s">
        <v>574</v>
      </c>
      <c r="J18757" t="s">
        <v>575</v>
      </c>
      <c r="K18757" t="s">
        <v>33</v>
      </c>
      <c r="L18757" t="s">
        <v>246</v>
      </c>
      <c r="N18757" t="s">
        <v>29</v>
      </c>
    </row>
    <row r="18758" spans="1:14">
      <c r="A18758" s="4" t="str">
        <f t="shared" si="1325"/>
        <v>EXP00440</v>
      </c>
      <c r="B18758" s="3" t="s">
        <v>66</v>
      </c>
      <c r="C18758" s="4" t="str">
        <f t="shared" si="1324"/>
        <v>TCGA-STAD</v>
      </c>
      <c r="D18758" s="1" t="s">
        <v>493</v>
      </c>
      <c r="E18758" t="s">
        <v>579</v>
      </c>
      <c r="F18758" s="1">
        <v>2</v>
      </c>
      <c r="G18758" s="1" t="s">
        <v>32</v>
      </c>
      <c r="H18758" s="4" t="str">
        <f>HYPERLINK("https://portal.gdc.cancer.gov/cases/3c573af6-6298-49de-8de0-6a7f9ce9b000","TCGA-D7-6520-01A")</f>
        <v>TCGA-D7-6520-01A</v>
      </c>
      <c r="I18758" t="s">
        <v>574</v>
      </c>
      <c r="J18758" t="s">
        <v>575</v>
      </c>
      <c r="K18758" t="s">
        <v>33</v>
      </c>
      <c r="L18758" t="s">
        <v>246</v>
      </c>
      <c r="N18758" t="s">
        <v>29</v>
      </c>
    </row>
    <row r="18759" spans="1:14">
      <c r="A18759" s="4" t="str">
        <f t="shared" si="1325"/>
        <v>EXP00440</v>
      </c>
      <c r="B18759" s="3" t="s">
        <v>66</v>
      </c>
      <c r="C18759" s="4" t="str">
        <f t="shared" si="1324"/>
        <v>TCGA-STAD</v>
      </c>
      <c r="D18759" s="1" t="s">
        <v>493</v>
      </c>
      <c r="E18759" t="s">
        <v>579</v>
      </c>
      <c r="F18759" s="1">
        <v>2</v>
      </c>
      <c r="G18759" s="1" t="s">
        <v>32</v>
      </c>
      <c r="H18759" s="4" t="str">
        <f>HYPERLINK("https://portal.gdc.cancer.gov/cases/6de6b8e2-03eb-4f32-b5a3-bea73fc632b4","TCGA-D7-6521-01A")</f>
        <v>TCGA-D7-6521-01A</v>
      </c>
      <c r="I18759" t="s">
        <v>574</v>
      </c>
      <c r="J18759" t="s">
        <v>575</v>
      </c>
      <c r="K18759" t="s">
        <v>33</v>
      </c>
      <c r="L18759" t="s">
        <v>246</v>
      </c>
      <c r="N18759" t="s">
        <v>29</v>
      </c>
    </row>
    <row r="18760" spans="1:14">
      <c r="A18760" s="4" t="str">
        <f t="shared" si="1325"/>
        <v>EXP00440</v>
      </c>
      <c r="B18760" s="3" t="s">
        <v>66</v>
      </c>
      <c r="C18760" s="4" t="str">
        <f t="shared" si="1324"/>
        <v>TCGA-STAD</v>
      </c>
      <c r="D18760" s="1" t="s">
        <v>493</v>
      </c>
      <c r="E18760" t="s">
        <v>579</v>
      </c>
      <c r="F18760" s="1">
        <v>2</v>
      </c>
      <c r="G18760" s="1" t="s">
        <v>32</v>
      </c>
      <c r="H18760" s="4" t="str">
        <f>HYPERLINK("https://portal.gdc.cancer.gov/cases/8bb3facb-1933-4350-9f78-74537559e000","TCGA-D7-6522-01A")</f>
        <v>TCGA-D7-6522-01A</v>
      </c>
      <c r="I18760" t="s">
        <v>574</v>
      </c>
      <c r="J18760" t="s">
        <v>575</v>
      </c>
      <c r="K18760" t="s">
        <v>33</v>
      </c>
      <c r="L18760" t="s">
        <v>246</v>
      </c>
      <c r="N18760" t="s">
        <v>29</v>
      </c>
    </row>
    <row r="18761" spans="1:14">
      <c r="A18761" s="4" t="str">
        <f t="shared" si="1325"/>
        <v>EXP00440</v>
      </c>
      <c r="B18761" s="3" t="s">
        <v>66</v>
      </c>
      <c r="C18761" s="4" t="str">
        <f t="shared" si="1324"/>
        <v>TCGA-STAD</v>
      </c>
      <c r="D18761" s="1" t="s">
        <v>493</v>
      </c>
      <c r="E18761" t="s">
        <v>579</v>
      </c>
      <c r="F18761" s="1">
        <v>2</v>
      </c>
      <c r="G18761" s="1" t="s">
        <v>32</v>
      </c>
      <c r="H18761" s="4" t="str">
        <f>HYPERLINK("https://portal.gdc.cancer.gov/cases/7ef3f065-1928-4a58-b5a6-76dddb8488cf","TCGA-D7-6524-01A")</f>
        <v>TCGA-D7-6524-01A</v>
      </c>
      <c r="I18761" t="s">
        <v>574</v>
      </c>
      <c r="J18761" t="s">
        <v>575</v>
      </c>
      <c r="K18761" t="s">
        <v>33</v>
      </c>
      <c r="L18761" t="s">
        <v>246</v>
      </c>
      <c r="N18761" t="s">
        <v>29</v>
      </c>
    </row>
    <row r="18762" spans="1:14">
      <c r="A18762" s="4" t="str">
        <f t="shared" si="1325"/>
        <v>EXP00440</v>
      </c>
      <c r="B18762" s="3" t="s">
        <v>66</v>
      </c>
      <c r="C18762" s="4" t="str">
        <f t="shared" si="1324"/>
        <v>TCGA-STAD</v>
      </c>
      <c r="D18762" s="1" t="s">
        <v>493</v>
      </c>
      <c r="E18762" t="s">
        <v>579</v>
      </c>
      <c r="F18762" s="1">
        <v>2</v>
      </c>
      <c r="G18762" s="1" t="s">
        <v>32</v>
      </c>
      <c r="H18762" s="4" t="str">
        <f>HYPERLINK("https://portal.gdc.cancer.gov/cases/82f9a197-040d-4c5e-89d9-d87a7aa0168d","TCGA-D7-6525-01A")</f>
        <v>TCGA-D7-6525-01A</v>
      </c>
      <c r="I18762" t="s">
        <v>574</v>
      </c>
      <c r="J18762" t="s">
        <v>575</v>
      </c>
      <c r="K18762" t="s">
        <v>33</v>
      </c>
      <c r="L18762" t="s">
        <v>246</v>
      </c>
      <c r="N18762" t="s">
        <v>29</v>
      </c>
    </row>
    <row r="18763" spans="1:14">
      <c r="A18763" s="4" t="str">
        <f t="shared" si="1325"/>
        <v>EXP00440</v>
      </c>
      <c r="B18763" s="3" t="s">
        <v>66</v>
      </c>
      <c r="C18763" s="4" t="str">
        <f t="shared" si="1324"/>
        <v>TCGA-STAD</v>
      </c>
      <c r="D18763" s="1" t="s">
        <v>493</v>
      </c>
      <c r="E18763" t="s">
        <v>579</v>
      </c>
      <c r="F18763" s="1">
        <v>2</v>
      </c>
      <c r="G18763" s="1" t="s">
        <v>32</v>
      </c>
      <c r="H18763" s="4" t="str">
        <f>HYPERLINK("https://portal.gdc.cancer.gov/cases/a28e57e2-9071-4558-856a-162f7a837380","TCGA-D7-6526-01A")</f>
        <v>TCGA-D7-6526-01A</v>
      </c>
      <c r="I18763" t="s">
        <v>574</v>
      </c>
      <c r="J18763" t="s">
        <v>575</v>
      </c>
      <c r="K18763" t="s">
        <v>33</v>
      </c>
      <c r="L18763" t="s">
        <v>246</v>
      </c>
      <c r="N18763" t="s">
        <v>29</v>
      </c>
    </row>
    <row r="18764" spans="1:14">
      <c r="A18764" s="4" t="str">
        <f t="shared" si="1325"/>
        <v>EXP00440</v>
      </c>
      <c r="B18764" s="3" t="s">
        <v>66</v>
      </c>
      <c r="C18764" s="4" t="str">
        <f t="shared" si="1324"/>
        <v>TCGA-STAD</v>
      </c>
      <c r="D18764" s="1" t="s">
        <v>493</v>
      </c>
      <c r="E18764" t="s">
        <v>579</v>
      </c>
      <c r="F18764" s="1">
        <v>2</v>
      </c>
      <c r="G18764" s="1" t="s">
        <v>32</v>
      </c>
      <c r="H18764" s="4" t="str">
        <f>HYPERLINK("https://portal.gdc.cancer.gov/cases/cb622cd6-776d-4681-8a67-4addd61c66b8","TCGA-D7-6527-01A")</f>
        <v>TCGA-D7-6527-01A</v>
      </c>
      <c r="I18764" t="s">
        <v>574</v>
      </c>
      <c r="J18764" t="s">
        <v>575</v>
      </c>
      <c r="K18764" t="s">
        <v>33</v>
      </c>
      <c r="L18764" t="s">
        <v>246</v>
      </c>
      <c r="N18764" t="s">
        <v>29</v>
      </c>
    </row>
    <row r="18765" spans="1:14">
      <c r="A18765" s="4" t="str">
        <f t="shared" si="1325"/>
        <v>EXP00440</v>
      </c>
      <c r="B18765" s="3" t="s">
        <v>66</v>
      </c>
      <c r="C18765" s="4" t="str">
        <f t="shared" si="1324"/>
        <v>TCGA-STAD</v>
      </c>
      <c r="D18765" s="1" t="s">
        <v>493</v>
      </c>
      <c r="E18765" t="s">
        <v>579</v>
      </c>
      <c r="F18765" s="1">
        <v>2</v>
      </c>
      <c r="G18765" s="1" t="s">
        <v>32</v>
      </c>
      <c r="H18765" s="4" t="str">
        <f>HYPERLINK("https://portal.gdc.cancer.gov/cases/35496e4e-598f-4ffc-b11e-8edaeb676079","TCGA-D7-6528-01A")</f>
        <v>TCGA-D7-6528-01A</v>
      </c>
      <c r="I18765" t="s">
        <v>574</v>
      </c>
      <c r="J18765" t="s">
        <v>575</v>
      </c>
      <c r="K18765" t="s">
        <v>33</v>
      </c>
      <c r="L18765" t="s">
        <v>246</v>
      </c>
      <c r="N18765" t="s">
        <v>29</v>
      </c>
    </row>
    <row r="18766" spans="1:14">
      <c r="A18766" s="4" t="str">
        <f t="shared" si="1325"/>
        <v>EXP00440</v>
      </c>
      <c r="B18766" s="3" t="s">
        <v>66</v>
      </c>
      <c r="C18766" s="4" t="str">
        <f t="shared" si="1324"/>
        <v>TCGA-STAD</v>
      </c>
      <c r="D18766" s="1" t="s">
        <v>493</v>
      </c>
      <c r="E18766" t="s">
        <v>579</v>
      </c>
      <c r="F18766" s="1">
        <v>2</v>
      </c>
      <c r="G18766" s="1" t="s">
        <v>32</v>
      </c>
      <c r="H18766" s="4" t="str">
        <f>HYPERLINK("https://portal.gdc.cancer.gov/cases/53086e20-a727-40d6-b42d-8030109b5130","TCGA-D7-6815-01A")</f>
        <v>TCGA-D7-6815-01A</v>
      </c>
      <c r="I18766" t="s">
        <v>574</v>
      </c>
      <c r="J18766" t="s">
        <v>575</v>
      </c>
      <c r="K18766" t="s">
        <v>33</v>
      </c>
      <c r="L18766" t="s">
        <v>246</v>
      </c>
      <c r="N18766" t="s">
        <v>29</v>
      </c>
    </row>
    <row r="18767" spans="1:14">
      <c r="A18767" s="4" t="str">
        <f t="shared" si="1325"/>
        <v>EXP00440</v>
      </c>
      <c r="B18767" s="3" t="s">
        <v>66</v>
      </c>
      <c r="C18767" s="4" t="str">
        <f t="shared" si="1324"/>
        <v>TCGA-STAD</v>
      </c>
      <c r="D18767" s="1" t="s">
        <v>493</v>
      </c>
      <c r="E18767" t="s">
        <v>579</v>
      </c>
      <c r="F18767" s="1">
        <v>2</v>
      </c>
      <c r="G18767" s="1" t="s">
        <v>32</v>
      </c>
      <c r="H18767" s="4" t="str">
        <f>HYPERLINK("https://portal.gdc.cancer.gov/cases/aa2934f9-8783-428e-88a6-1d04b93fa1fd","TCGA-D7-6818-01A")</f>
        <v>TCGA-D7-6818-01A</v>
      </c>
      <c r="I18767" t="s">
        <v>574</v>
      </c>
      <c r="J18767" t="s">
        <v>575</v>
      </c>
      <c r="K18767" t="s">
        <v>33</v>
      </c>
      <c r="L18767" t="s">
        <v>246</v>
      </c>
      <c r="N18767" t="s">
        <v>29</v>
      </c>
    </row>
    <row r="18768" spans="1:14">
      <c r="A18768" s="4" t="str">
        <f t="shared" si="1325"/>
        <v>EXP00440</v>
      </c>
      <c r="B18768" s="3" t="s">
        <v>66</v>
      </c>
      <c r="C18768" s="4" t="str">
        <f t="shared" si="1324"/>
        <v>TCGA-STAD</v>
      </c>
      <c r="D18768" s="1" t="s">
        <v>493</v>
      </c>
      <c r="E18768" t="s">
        <v>579</v>
      </c>
      <c r="F18768" s="1">
        <v>2</v>
      </c>
      <c r="G18768" s="1" t="s">
        <v>32</v>
      </c>
      <c r="H18768" s="4" t="str">
        <f>HYPERLINK("https://portal.gdc.cancer.gov/cases/e2aaabd9-f4ba-4763-a28a-c14d46a4bc5d","TCGA-D7-6822-01A")</f>
        <v>TCGA-D7-6822-01A</v>
      </c>
      <c r="I18768" t="s">
        <v>574</v>
      </c>
      <c r="J18768" t="s">
        <v>575</v>
      </c>
      <c r="K18768" t="s">
        <v>33</v>
      </c>
      <c r="L18768" t="s">
        <v>246</v>
      </c>
      <c r="N18768" t="s">
        <v>29</v>
      </c>
    </row>
    <row r="18769" spans="1:14">
      <c r="A18769" s="4" t="str">
        <f t="shared" si="1325"/>
        <v>EXP00440</v>
      </c>
      <c r="B18769" s="3" t="s">
        <v>66</v>
      </c>
      <c r="C18769" s="4" t="str">
        <f t="shared" si="1324"/>
        <v>TCGA-STAD</v>
      </c>
      <c r="D18769" s="1" t="s">
        <v>493</v>
      </c>
      <c r="E18769" t="s">
        <v>579</v>
      </c>
      <c r="F18769" s="1">
        <v>2</v>
      </c>
      <c r="G18769" s="1" t="s">
        <v>32</v>
      </c>
      <c r="H18769" s="4" t="str">
        <f>HYPERLINK("https://portal.gdc.cancer.gov/cases/1e1cdf72-820f-48a4-8fb6-89575d07cde9","TCGA-D7-8570-01A")</f>
        <v>TCGA-D7-8570-01A</v>
      </c>
      <c r="I18769" t="s">
        <v>574</v>
      </c>
      <c r="J18769" t="s">
        <v>575</v>
      </c>
      <c r="K18769" t="s">
        <v>33</v>
      </c>
      <c r="L18769" t="s">
        <v>246</v>
      </c>
      <c r="N18769" t="s">
        <v>29</v>
      </c>
    </row>
    <row r="18770" spans="1:14">
      <c r="A18770" s="4" t="str">
        <f t="shared" si="1325"/>
        <v>EXP00440</v>
      </c>
      <c r="B18770" s="3" t="s">
        <v>66</v>
      </c>
      <c r="C18770" s="4" t="str">
        <f t="shared" si="1324"/>
        <v>TCGA-STAD</v>
      </c>
      <c r="D18770" s="1" t="s">
        <v>493</v>
      </c>
      <c r="E18770" t="s">
        <v>579</v>
      </c>
      <c r="F18770" s="1">
        <v>2</v>
      </c>
      <c r="G18770" s="1" t="s">
        <v>32</v>
      </c>
      <c r="H18770" s="4" t="str">
        <f>HYPERLINK("https://portal.gdc.cancer.gov/cases/8097fddc-c7b9-4192-89d7-6bcceb7465b5","TCGA-D7-8572-01A")</f>
        <v>TCGA-D7-8572-01A</v>
      </c>
      <c r="I18770" t="s">
        <v>574</v>
      </c>
      <c r="J18770" t="s">
        <v>575</v>
      </c>
      <c r="K18770" t="s">
        <v>33</v>
      </c>
      <c r="L18770" t="s">
        <v>246</v>
      </c>
      <c r="N18770" t="s">
        <v>29</v>
      </c>
    </row>
    <row r="18771" spans="1:14">
      <c r="A18771" s="4" t="str">
        <f t="shared" si="1325"/>
        <v>EXP00440</v>
      </c>
      <c r="B18771" s="3" t="s">
        <v>66</v>
      </c>
      <c r="C18771" s="4" t="str">
        <f t="shared" si="1324"/>
        <v>TCGA-STAD</v>
      </c>
      <c r="D18771" s="1" t="s">
        <v>493</v>
      </c>
      <c r="E18771" t="s">
        <v>579</v>
      </c>
      <c r="F18771" s="1">
        <v>2</v>
      </c>
      <c r="G18771" s="1" t="s">
        <v>32</v>
      </c>
      <c r="H18771" s="4" t="str">
        <f>HYPERLINK("https://portal.gdc.cancer.gov/cases/e4344668-5a50-4dde-8eec-f4d7f01f99fd","TCGA-D7-8573-01A")</f>
        <v>TCGA-D7-8573-01A</v>
      </c>
      <c r="I18771" t="s">
        <v>574</v>
      </c>
      <c r="J18771" t="s">
        <v>575</v>
      </c>
      <c r="K18771" t="s">
        <v>33</v>
      </c>
      <c r="L18771" t="s">
        <v>246</v>
      </c>
      <c r="N18771" t="s">
        <v>29</v>
      </c>
    </row>
    <row r="18772" spans="1:14">
      <c r="A18772" s="4" t="str">
        <f t="shared" si="1325"/>
        <v>EXP00440</v>
      </c>
      <c r="B18772" s="3" t="s">
        <v>66</v>
      </c>
      <c r="C18772" s="4" t="str">
        <f t="shared" si="1324"/>
        <v>TCGA-STAD</v>
      </c>
      <c r="D18772" s="1" t="s">
        <v>493</v>
      </c>
      <c r="E18772" t="s">
        <v>579</v>
      </c>
      <c r="F18772" s="1">
        <v>2</v>
      </c>
      <c r="G18772" s="1" t="s">
        <v>32</v>
      </c>
      <c r="H18772" s="4" t="str">
        <f>HYPERLINK("https://portal.gdc.cancer.gov/cases/a873475c-b2c7-4c84-bd89-5b9ee6060ce1","TCGA-D7-8574-01A")</f>
        <v>TCGA-D7-8574-01A</v>
      </c>
      <c r="I18772" t="s">
        <v>574</v>
      </c>
      <c r="J18772" t="s">
        <v>575</v>
      </c>
      <c r="K18772" t="s">
        <v>33</v>
      </c>
      <c r="L18772" t="s">
        <v>246</v>
      </c>
      <c r="N18772" t="s">
        <v>29</v>
      </c>
    </row>
    <row r="18773" spans="1:14">
      <c r="A18773" s="4" t="str">
        <f t="shared" si="1325"/>
        <v>EXP00440</v>
      </c>
      <c r="B18773" s="3" t="s">
        <v>66</v>
      </c>
      <c r="C18773" s="4" t="str">
        <f t="shared" si="1324"/>
        <v>TCGA-STAD</v>
      </c>
      <c r="D18773" s="1" t="s">
        <v>493</v>
      </c>
      <c r="E18773" t="s">
        <v>579</v>
      </c>
      <c r="F18773" s="1">
        <v>2</v>
      </c>
      <c r="G18773" s="1" t="s">
        <v>32</v>
      </c>
      <c r="H18773" s="4" t="str">
        <f>HYPERLINK("https://portal.gdc.cancer.gov/cases/00ee3098-1b32-4e7a-81ea-993773587c41","TCGA-D7-8575-01A")</f>
        <v>TCGA-D7-8575-01A</v>
      </c>
      <c r="I18773" t="s">
        <v>574</v>
      </c>
      <c r="J18773" t="s">
        <v>575</v>
      </c>
      <c r="K18773" t="s">
        <v>33</v>
      </c>
      <c r="L18773" t="s">
        <v>246</v>
      </c>
      <c r="N18773" t="s">
        <v>29</v>
      </c>
    </row>
    <row r="18774" spans="1:14">
      <c r="A18774" s="4" t="str">
        <f t="shared" si="1325"/>
        <v>EXP00440</v>
      </c>
      <c r="B18774" s="3" t="s">
        <v>66</v>
      </c>
      <c r="C18774" s="4" t="str">
        <f t="shared" si="1324"/>
        <v>TCGA-STAD</v>
      </c>
      <c r="D18774" s="1" t="s">
        <v>493</v>
      </c>
      <c r="E18774" t="s">
        <v>579</v>
      </c>
      <c r="F18774" s="1">
        <v>2</v>
      </c>
      <c r="G18774" s="1" t="s">
        <v>32</v>
      </c>
      <c r="H18774" s="4" t="str">
        <f>HYPERLINK("https://portal.gdc.cancer.gov/cases/ec8268c7-943d-451a-9036-f0196078b6c5","TCGA-D7-8576-01A")</f>
        <v>TCGA-D7-8576-01A</v>
      </c>
      <c r="I18774" t="s">
        <v>574</v>
      </c>
      <c r="J18774" t="s">
        <v>575</v>
      </c>
      <c r="K18774" t="s">
        <v>33</v>
      </c>
      <c r="L18774" t="s">
        <v>246</v>
      </c>
      <c r="N18774" t="s">
        <v>29</v>
      </c>
    </row>
    <row r="18775" spans="1:14">
      <c r="A18775" s="4" t="str">
        <f t="shared" si="1325"/>
        <v>EXP00440</v>
      </c>
      <c r="B18775" s="3" t="s">
        <v>66</v>
      </c>
      <c r="C18775" s="4" t="str">
        <f t="shared" si="1324"/>
        <v>TCGA-STAD</v>
      </c>
      <c r="D18775" s="1" t="s">
        <v>493</v>
      </c>
      <c r="E18775" t="s">
        <v>579</v>
      </c>
      <c r="F18775" s="1">
        <v>2</v>
      </c>
      <c r="G18775" s="1" t="s">
        <v>32</v>
      </c>
      <c r="H18775" s="4" t="str">
        <f>HYPERLINK("https://portal.gdc.cancer.gov/cases/50279b37-828d-4e18-b41f-f793c3923e75","TCGA-D7-8578-01A")</f>
        <v>TCGA-D7-8578-01A</v>
      </c>
      <c r="I18775" t="s">
        <v>574</v>
      </c>
      <c r="J18775" t="s">
        <v>575</v>
      </c>
      <c r="K18775" t="s">
        <v>33</v>
      </c>
      <c r="L18775" t="s">
        <v>246</v>
      </c>
      <c r="N18775" t="s">
        <v>29</v>
      </c>
    </row>
    <row r="18776" spans="1:14">
      <c r="A18776" s="4" t="str">
        <f t="shared" si="1325"/>
        <v>EXP00440</v>
      </c>
      <c r="B18776" s="3" t="s">
        <v>66</v>
      </c>
      <c r="C18776" s="4" t="str">
        <f t="shared" si="1324"/>
        <v>TCGA-STAD</v>
      </c>
      <c r="D18776" s="1" t="s">
        <v>493</v>
      </c>
      <c r="E18776" t="s">
        <v>579</v>
      </c>
      <c r="F18776" s="1">
        <v>2</v>
      </c>
      <c r="G18776" s="1" t="s">
        <v>32</v>
      </c>
      <c r="H18776" s="4" t="str">
        <f>HYPERLINK("https://portal.gdc.cancer.gov/cases/81a7f6a2-e44c-43d6-b687-01158eaf44ee","TCGA-D7-8579-01A")</f>
        <v>TCGA-D7-8579-01A</v>
      </c>
      <c r="I18776" t="s">
        <v>574</v>
      </c>
      <c r="J18776" t="s">
        <v>575</v>
      </c>
      <c r="K18776" t="s">
        <v>33</v>
      </c>
      <c r="L18776" t="s">
        <v>246</v>
      </c>
      <c r="N18776" t="s">
        <v>29</v>
      </c>
    </row>
    <row r="18777" spans="1:14">
      <c r="A18777" s="4" t="str">
        <f t="shared" si="1325"/>
        <v>EXP00440</v>
      </c>
      <c r="B18777" s="3" t="s">
        <v>66</v>
      </c>
      <c r="C18777" s="4" t="str">
        <f t="shared" si="1324"/>
        <v>TCGA-STAD</v>
      </c>
      <c r="D18777" s="1" t="s">
        <v>493</v>
      </c>
      <c r="E18777" t="s">
        <v>579</v>
      </c>
      <c r="F18777" s="1">
        <v>2</v>
      </c>
      <c r="G18777" s="1" t="s">
        <v>32</v>
      </c>
      <c r="H18777" s="4" t="str">
        <f>HYPERLINK("https://portal.gdc.cancer.gov/cases/32b44138-64e2-4bbf-aa2f-93a3b07ec670","TCGA-D7-A4YU-01A")</f>
        <v>TCGA-D7-A4YU-01A</v>
      </c>
      <c r="I18777" t="s">
        <v>574</v>
      </c>
      <c r="J18777" t="s">
        <v>575</v>
      </c>
      <c r="K18777" t="s">
        <v>33</v>
      </c>
      <c r="L18777" t="s">
        <v>246</v>
      </c>
      <c r="N18777" t="s">
        <v>29</v>
      </c>
    </row>
    <row r="18778" spans="1:14">
      <c r="A18778" s="4" t="str">
        <f t="shared" si="1325"/>
        <v>EXP00440</v>
      </c>
      <c r="B18778" s="3" t="s">
        <v>66</v>
      </c>
      <c r="C18778" s="4" t="str">
        <f t="shared" si="1324"/>
        <v>TCGA-STAD</v>
      </c>
      <c r="D18778" s="1" t="s">
        <v>493</v>
      </c>
      <c r="E18778" t="s">
        <v>579</v>
      </c>
      <c r="F18778" s="1">
        <v>2</v>
      </c>
      <c r="G18778" s="1" t="s">
        <v>32</v>
      </c>
      <c r="H18778" s="4" t="str">
        <f>HYPERLINK("https://portal.gdc.cancer.gov/cases/2b4f014f-74e9-4dda-a1ad-abcbd124fc44","TCGA-D7-A4YX-01A")</f>
        <v>TCGA-D7-A4YX-01A</v>
      </c>
      <c r="I18778" t="s">
        <v>574</v>
      </c>
      <c r="J18778" t="s">
        <v>575</v>
      </c>
      <c r="K18778" t="s">
        <v>33</v>
      </c>
      <c r="L18778" t="s">
        <v>246</v>
      </c>
      <c r="N18778" t="s">
        <v>29</v>
      </c>
    </row>
    <row r="18779" spans="1:14">
      <c r="A18779" s="4" t="str">
        <f t="shared" si="1325"/>
        <v>EXP00440</v>
      </c>
      <c r="B18779" s="3" t="s">
        <v>66</v>
      </c>
      <c r="C18779" s="4" t="str">
        <f t="shared" si="1324"/>
        <v>TCGA-STAD</v>
      </c>
      <c r="D18779" s="1" t="s">
        <v>493</v>
      </c>
      <c r="E18779" t="s">
        <v>579</v>
      </c>
      <c r="F18779" s="1">
        <v>2</v>
      </c>
      <c r="G18779" s="1" t="s">
        <v>32</v>
      </c>
      <c r="H18779" s="4" t="str">
        <f>HYPERLINK("https://portal.gdc.cancer.gov/cases/dce21359-004f-4e8b-89e4-9e1a30faffdf","TCGA-D7-A4Z0-01A")</f>
        <v>TCGA-D7-A4Z0-01A</v>
      </c>
      <c r="I18779" t="s">
        <v>574</v>
      </c>
      <c r="J18779" t="s">
        <v>575</v>
      </c>
      <c r="K18779" t="s">
        <v>33</v>
      </c>
      <c r="L18779" t="s">
        <v>246</v>
      </c>
      <c r="N18779" t="s">
        <v>29</v>
      </c>
    </row>
    <row r="18780" spans="1:14">
      <c r="A18780" s="4" t="str">
        <f t="shared" si="1325"/>
        <v>EXP00440</v>
      </c>
      <c r="B18780" s="3" t="s">
        <v>66</v>
      </c>
      <c r="C18780" s="4" t="str">
        <f t="shared" si="1324"/>
        <v>TCGA-STAD</v>
      </c>
      <c r="D18780" s="1" t="s">
        <v>493</v>
      </c>
      <c r="E18780" t="s">
        <v>579</v>
      </c>
      <c r="F18780" s="1">
        <v>2</v>
      </c>
      <c r="G18780" s="1" t="s">
        <v>32</v>
      </c>
      <c r="H18780" s="4" t="str">
        <f>HYPERLINK("https://portal.gdc.cancer.gov/cases/72b10481-7b16-469f-b133-464609569adf","TCGA-D7-A6EV-01A")</f>
        <v>TCGA-D7-A6EV-01A</v>
      </c>
      <c r="I18780" t="s">
        <v>574</v>
      </c>
      <c r="J18780" t="s">
        <v>575</v>
      </c>
      <c r="K18780" t="s">
        <v>33</v>
      </c>
      <c r="L18780" t="s">
        <v>246</v>
      </c>
      <c r="N18780" t="s">
        <v>29</v>
      </c>
    </row>
    <row r="18781" spans="1:14">
      <c r="A18781" s="4" t="str">
        <f t="shared" si="1325"/>
        <v>EXP00440</v>
      </c>
      <c r="B18781" s="3" t="s">
        <v>66</v>
      </c>
      <c r="C18781" s="4" t="str">
        <f t="shared" si="1324"/>
        <v>TCGA-STAD</v>
      </c>
      <c r="D18781" s="1" t="s">
        <v>493</v>
      </c>
      <c r="E18781" t="s">
        <v>579</v>
      </c>
      <c r="F18781" s="1">
        <v>2</v>
      </c>
      <c r="G18781" s="1" t="s">
        <v>32</v>
      </c>
      <c r="H18781" s="4" t="str">
        <f>HYPERLINK("https://portal.gdc.cancer.gov/cases/1b391187-1d9a-4428-ba9a-ef1800f17d3e","TCGA-D7-A6EX-01A")</f>
        <v>TCGA-D7-A6EX-01A</v>
      </c>
      <c r="I18781" t="s">
        <v>574</v>
      </c>
      <c r="J18781" t="s">
        <v>575</v>
      </c>
      <c r="K18781" t="s">
        <v>33</v>
      </c>
      <c r="L18781" t="s">
        <v>246</v>
      </c>
      <c r="N18781" t="s">
        <v>29</v>
      </c>
    </row>
    <row r="18782" spans="1:14">
      <c r="A18782" s="4" t="str">
        <f t="shared" si="1325"/>
        <v>EXP00440</v>
      </c>
      <c r="B18782" s="3" t="s">
        <v>66</v>
      </c>
      <c r="C18782" s="4" t="str">
        <f t="shared" si="1324"/>
        <v>TCGA-STAD</v>
      </c>
      <c r="D18782" s="1" t="s">
        <v>493</v>
      </c>
      <c r="E18782" t="s">
        <v>579</v>
      </c>
      <c r="F18782" s="1">
        <v>2</v>
      </c>
      <c r="G18782" s="1" t="s">
        <v>32</v>
      </c>
      <c r="H18782" s="4" t="str">
        <f>HYPERLINK("https://portal.gdc.cancer.gov/cases/73bd696b-0f35-4f70-8888-8153b1ba9ee4","TCGA-D7-A6EY-01A")</f>
        <v>TCGA-D7-A6EY-01A</v>
      </c>
      <c r="I18782" t="s">
        <v>574</v>
      </c>
      <c r="J18782" t="s">
        <v>575</v>
      </c>
      <c r="K18782" t="s">
        <v>33</v>
      </c>
      <c r="L18782" t="s">
        <v>246</v>
      </c>
      <c r="N18782" t="s">
        <v>29</v>
      </c>
    </row>
    <row r="18783" spans="1:14">
      <c r="A18783" s="4" t="str">
        <f t="shared" si="1325"/>
        <v>EXP00440</v>
      </c>
      <c r="B18783" s="3" t="s">
        <v>66</v>
      </c>
      <c r="C18783" s="4" t="str">
        <f t="shared" si="1324"/>
        <v>TCGA-STAD</v>
      </c>
      <c r="D18783" s="1" t="s">
        <v>493</v>
      </c>
      <c r="E18783" t="s">
        <v>579</v>
      </c>
      <c r="F18783" s="1">
        <v>2</v>
      </c>
      <c r="G18783" s="1" t="s">
        <v>32</v>
      </c>
      <c r="H18783" s="4" t="str">
        <f>HYPERLINK("https://portal.gdc.cancer.gov/cases/263b18e1-5722-4650-b16b-dac1961a3af8","TCGA-D7-A6EZ-01A")</f>
        <v>TCGA-D7-A6EZ-01A</v>
      </c>
      <c r="I18783" t="s">
        <v>574</v>
      </c>
      <c r="J18783" t="s">
        <v>575</v>
      </c>
      <c r="K18783" t="s">
        <v>33</v>
      </c>
      <c r="L18783" t="s">
        <v>246</v>
      </c>
      <c r="N18783" t="s">
        <v>29</v>
      </c>
    </row>
    <row r="18784" spans="1:14">
      <c r="A18784" s="4" t="str">
        <f t="shared" si="1325"/>
        <v>EXP00440</v>
      </c>
      <c r="B18784" s="3" t="s">
        <v>66</v>
      </c>
      <c r="C18784" s="4" t="str">
        <f t="shared" si="1324"/>
        <v>TCGA-STAD</v>
      </c>
      <c r="D18784" s="1" t="s">
        <v>493</v>
      </c>
      <c r="E18784" t="s">
        <v>579</v>
      </c>
      <c r="F18784" s="1">
        <v>2</v>
      </c>
      <c r="G18784" s="1" t="s">
        <v>32</v>
      </c>
      <c r="H18784" s="4" t="str">
        <f>HYPERLINK("https://portal.gdc.cancer.gov/cases/b1fee7af-8030-4d93-94ac-6294683d4298","TCGA-D7-A6F0-01A")</f>
        <v>TCGA-D7-A6F0-01A</v>
      </c>
      <c r="I18784" t="s">
        <v>574</v>
      </c>
      <c r="J18784" t="s">
        <v>575</v>
      </c>
      <c r="K18784" t="s">
        <v>33</v>
      </c>
      <c r="L18784" t="s">
        <v>246</v>
      </c>
      <c r="N18784" t="s">
        <v>29</v>
      </c>
    </row>
    <row r="18785" spans="1:14">
      <c r="A18785" s="4" t="str">
        <f t="shared" si="1325"/>
        <v>EXP00440</v>
      </c>
      <c r="B18785" s="3" t="s">
        <v>66</v>
      </c>
      <c r="C18785" s="4" t="str">
        <f t="shared" si="1324"/>
        <v>TCGA-STAD</v>
      </c>
      <c r="D18785" s="1" t="s">
        <v>493</v>
      </c>
      <c r="E18785" t="s">
        <v>579</v>
      </c>
      <c r="F18785" s="1">
        <v>2</v>
      </c>
      <c r="G18785" s="1" t="s">
        <v>32</v>
      </c>
      <c r="H18785" s="4" t="str">
        <f>HYPERLINK("https://portal.gdc.cancer.gov/cases/f4b1e633-38e6-4cc6-a0c6-911582d4066b","TCGA-D7-A6F2-01A")</f>
        <v>TCGA-D7-A6F2-01A</v>
      </c>
      <c r="I18785" t="s">
        <v>574</v>
      </c>
      <c r="J18785" t="s">
        <v>575</v>
      </c>
      <c r="K18785" t="s">
        <v>33</v>
      </c>
      <c r="L18785" t="s">
        <v>246</v>
      </c>
      <c r="N18785" t="s">
        <v>29</v>
      </c>
    </row>
    <row r="18786" spans="1:14">
      <c r="A18786" s="4" t="str">
        <f t="shared" si="1325"/>
        <v>EXP00440</v>
      </c>
      <c r="B18786" s="3" t="s">
        <v>66</v>
      </c>
      <c r="C18786" s="4" t="str">
        <f t="shared" si="1324"/>
        <v>TCGA-STAD</v>
      </c>
      <c r="D18786" s="1" t="s">
        <v>493</v>
      </c>
      <c r="E18786" t="s">
        <v>579</v>
      </c>
      <c r="F18786" s="1">
        <v>2</v>
      </c>
      <c r="G18786" s="1" t="s">
        <v>32</v>
      </c>
      <c r="H18786" s="4" t="str">
        <f>HYPERLINK("https://portal.gdc.cancer.gov/cases/37f93d19-c78f-4fbc-affb-5a2ccc84be1b","TCGA-D7-A747-01A")</f>
        <v>TCGA-D7-A747-01A</v>
      </c>
      <c r="I18786" t="s">
        <v>574</v>
      </c>
      <c r="J18786" t="s">
        <v>575</v>
      </c>
      <c r="K18786" t="s">
        <v>33</v>
      </c>
      <c r="L18786" t="s">
        <v>246</v>
      </c>
      <c r="N18786" t="s">
        <v>29</v>
      </c>
    </row>
    <row r="18787" spans="1:14">
      <c r="A18787" s="4" t="str">
        <f t="shared" si="1325"/>
        <v>EXP00440</v>
      </c>
      <c r="B18787" s="3" t="s">
        <v>66</v>
      </c>
      <c r="C18787" s="4" t="str">
        <f t="shared" si="1324"/>
        <v>TCGA-STAD</v>
      </c>
      <c r="D18787" s="1" t="s">
        <v>493</v>
      </c>
      <c r="E18787" t="s">
        <v>579</v>
      </c>
      <c r="F18787" s="1">
        <v>2</v>
      </c>
      <c r="G18787" s="1" t="s">
        <v>32</v>
      </c>
      <c r="H18787" s="4" t="str">
        <f>HYPERLINK("https://portal.gdc.cancer.gov/cases/40837a4d-7931-497c-a6bf-6a661813c443","TCGA-D7-A74A-01A")</f>
        <v>TCGA-D7-A74A-01A</v>
      </c>
      <c r="I18787" t="s">
        <v>574</v>
      </c>
      <c r="J18787" t="s">
        <v>575</v>
      </c>
      <c r="K18787" t="s">
        <v>33</v>
      </c>
      <c r="L18787" t="s">
        <v>246</v>
      </c>
      <c r="N18787" t="s">
        <v>29</v>
      </c>
    </row>
    <row r="18788" spans="1:14">
      <c r="A18788" s="4" t="str">
        <f t="shared" si="1325"/>
        <v>EXP00440</v>
      </c>
      <c r="B18788" s="3" t="s">
        <v>66</v>
      </c>
      <c r="C18788" s="4" t="str">
        <f t="shared" si="1324"/>
        <v>TCGA-STAD</v>
      </c>
      <c r="D18788" s="1" t="s">
        <v>493</v>
      </c>
      <c r="E18788" t="s">
        <v>579</v>
      </c>
      <c r="F18788" s="1">
        <v>2</v>
      </c>
      <c r="G18788" s="1" t="s">
        <v>32</v>
      </c>
      <c r="H18788" s="4" t="str">
        <f>HYPERLINK("https://portal.gdc.cancer.gov/cases/4e921bc8-df5d-4f54-93d1-d5a433f91bdb","TCGA-EQ-8122-01A")</f>
        <v>TCGA-EQ-8122-01A</v>
      </c>
      <c r="I18788" t="s">
        <v>574</v>
      </c>
      <c r="J18788" t="s">
        <v>575</v>
      </c>
      <c r="K18788" t="s">
        <v>33</v>
      </c>
      <c r="L18788" t="s">
        <v>246</v>
      </c>
      <c r="N18788" t="s">
        <v>29</v>
      </c>
    </row>
    <row r="18789" spans="1:14">
      <c r="A18789" s="4" t="str">
        <f t="shared" si="1325"/>
        <v>EXP00440</v>
      </c>
      <c r="B18789" s="3" t="s">
        <v>66</v>
      </c>
      <c r="C18789" s="4" t="str">
        <f t="shared" si="1324"/>
        <v>TCGA-STAD</v>
      </c>
      <c r="D18789" s="1" t="s">
        <v>493</v>
      </c>
      <c r="E18789" t="s">
        <v>579</v>
      </c>
      <c r="F18789" s="1">
        <v>2</v>
      </c>
      <c r="G18789" s="1" t="s">
        <v>32</v>
      </c>
      <c r="H18789" s="4" t="str">
        <f>HYPERLINK("https://portal.gdc.cancer.gov/cases/c3cba26e-38c2-4569-afd6-6b045e604808","TCGA-F1-6177-01A")</f>
        <v>TCGA-F1-6177-01A</v>
      </c>
      <c r="I18789" t="s">
        <v>574</v>
      </c>
      <c r="J18789" t="s">
        <v>575</v>
      </c>
      <c r="K18789" t="s">
        <v>33</v>
      </c>
      <c r="L18789" t="s">
        <v>246</v>
      </c>
      <c r="N18789" t="s">
        <v>29</v>
      </c>
    </row>
    <row r="18790" spans="1:14">
      <c r="A18790" s="4" t="str">
        <f t="shared" si="1325"/>
        <v>EXP00440</v>
      </c>
      <c r="B18790" s="3" t="s">
        <v>66</v>
      </c>
      <c r="C18790" s="4" t="str">
        <f t="shared" si="1324"/>
        <v>TCGA-STAD</v>
      </c>
      <c r="D18790" s="1" t="s">
        <v>493</v>
      </c>
      <c r="E18790" t="s">
        <v>579</v>
      </c>
      <c r="F18790" s="1">
        <v>2</v>
      </c>
      <c r="G18790" s="1" t="s">
        <v>32</v>
      </c>
      <c r="H18790" s="4" t="str">
        <f>HYPERLINK("https://portal.gdc.cancer.gov/cases/106f3344-f699-4b2c-8f62-4ac6c948dde4","TCGA-F1-6874-01A")</f>
        <v>TCGA-F1-6874-01A</v>
      </c>
      <c r="I18790" t="s">
        <v>574</v>
      </c>
      <c r="J18790" t="s">
        <v>575</v>
      </c>
      <c r="K18790" t="s">
        <v>33</v>
      </c>
      <c r="L18790" t="s">
        <v>246</v>
      </c>
      <c r="N18790" t="s">
        <v>29</v>
      </c>
    </row>
    <row r="18791" spans="1:14">
      <c r="A18791" s="4" t="str">
        <f t="shared" si="1325"/>
        <v>EXP00440</v>
      </c>
      <c r="B18791" s="3" t="s">
        <v>66</v>
      </c>
      <c r="C18791" s="4" t="str">
        <f t="shared" si="1324"/>
        <v>TCGA-STAD</v>
      </c>
      <c r="D18791" s="1" t="s">
        <v>493</v>
      </c>
      <c r="E18791" t="s">
        <v>579</v>
      </c>
      <c r="F18791" s="1">
        <v>2</v>
      </c>
      <c r="G18791" s="1" t="s">
        <v>32</v>
      </c>
      <c r="H18791" s="4" t="str">
        <f>HYPERLINK("https://portal.gdc.cancer.gov/cases/283776cd-32e8-4a79-bed1-1411c9d3a9e0","TCGA-F1-6875-01A")</f>
        <v>TCGA-F1-6875-01A</v>
      </c>
      <c r="I18791" t="s">
        <v>574</v>
      </c>
      <c r="J18791" t="s">
        <v>575</v>
      </c>
      <c r="K18791" t="s">
        <v>33</v>
      </c>
      <c r="L18791" t="s">
        <v>246</v>
      </c>
      <c r="N18791" t="s">
        <v>29</v>
      </c>
    </row>
    <row r="18792" spans="1:14">
      <c r="A18792" s="4" t="str">
        <f t="shared" si="1325"/>
        <v>EXP00440</v>
      </c>
      <c r="B18792" s="3" t="s">
        <v>66</v>
      </c>
      <c r="C18792" s="4" t="str">
        <f t="shared" ref="C18792:C18855" si="1326">HYPERLINK("https://portal.gdc.cancer.gov/projects/TCGA-STAD","TCGA-STAD")</f>
        <v>TCGA-STAD</v>
      </c>
      <c r="D18792" s="1" t="s">
        <v>493</v>
      </c>
      <c r="E18792" t="s">
        <v>579</v>
      </c>
      <c r="F18792" s="1">
        <v>2</v>
      </c>
      <c r="G18792" s="1" t="s">
        <v>32</v>
      </c>
      <c r="H18792" s="4" t="str">
        <f>HYPERLINK("https://portal.gdc.cancer.gov/cases/cca74404-cd91-4a69-ae09-bfb5d9142d3d","TCGA-F1-A448-01A")</f>
        <v>TCGA-F1-A448-01A</v>
      </c>
      <c r="I18792" t="s">
        <v>574</v>
      </c>
      <c r="J18792" t="s">
        <v>575</v>
      </c>
      <c r="K18792" t="s">
        <v>33</v>
      </c>
      <c r="L18792" t="s">
        <v>246</v>
      </c>
      <c r="N18792" t="s">
        <v>29</v>
      </c>
    </row>
    <row r="18793" spans="1:14">
      <c r="A18793" s="4" t="str">
        <f t="shared" si="1325"/>
        <v>EXP00440</v>
      </c>
      <c r="B18793" s="3" t="s">
        <v>66</v>
      </c>
      <c r="C18793" s="4" t="str">
        <f t="shared" si="1326"/>
        <v>TCGA-STAD</v>
      </c>
      <c r="D18793" s="1" t="s">
        <v>493</v>
      </c>
      <c r="E18793" t="s">
        <v>579</v>
      </c>
      <c r="F18793" s="1">
        <v>2</v>
      </c>
      <c r="G18793" s="1" t="s">
        <v>32</v>
      </c>
      <c r="H18793" s="4" t="str">
        <f>HYPERLINK("https://portal.gdc.cancer.gov/cases/5c76cb89-b1b1-4910-b811-e44d3b277430","TCGA-F1-A72C-01A")</f>
        <v>TCGA-F1-A72C-01A</v>
      </c>
      <c r="I18793" t="s">
        <v>574</v>
      </c>
      <c r="J18793" t="s">
        <v>575</v>
      </c>
      <c r="K18793" t="s">
        <v>33</v>
      </c>
      <c r="L18793" t="s">
        <v>246</v>
      </c>
      <c r="N18793" t="s">
        <v>29</v>
      </c>
    </row>
    <row r="18794" spans="1:14">
      <c r="A18794" s="4" t="str">
        <f t="shared" si="1325"/>
        <v>EXP00440</v>
      </c>
      <c r="B18794" s="3" t="s">
        <v>66</v>
      </c>
      <c r="C18794" s="4" t="str">
        <f t="shared" si="1326"/>
        <v>TCGA-STAD</v>
      </c>
      <c r="D18794" s="1" t="s">
        <v>493</v>
      </c>
      <c r="E18794" t="s">
        <v>579</v>
      </c>
      <c r="F18794" s="1">
        <v>2</v>
      </c>
      <c r="G18794" s="1" t="s">
        <v>32</v>
      </c>
      <c r="H18794" s="4" t="str">
        <f>HYPERLINK("https://portal.gdc.cancer.gov/cases/1d43af3c-4279-4aed-9ced-ce3896a48ae0","TCGA-FP-7735-01A")</f>
        <v>TCGA-FP-7735-01A</v>
      </c>
      <c r="I18794" t="s">
        <v>574</v>
      </c>
      <c r="J18794" t="s">
        <v>575</v>
      </c>
      <c r="K18794" t="s">
        <v>33</v>
      </c>
      <c r="L18794" t="s">
        <v>246</v>
      </c>
      <c r="N18794" t="s">
        <v>29</v>
      </c>
    </row>
    <row r="18795" spans="1:14">
      <c r="A18795" s="4" t="str">
        <f t="shared" si="1325"/>
        <v>EXP00440</v>
      </c>
      <c r="B18795" s="3" t="s">
        <v>66</v>
      </c>
      <c r="C18795" s="4" t="str">
        <f t="shared" si="1326"/>
        <v>TCGA-STAD</v>
      </c>
      <c r="D18795" s="1" t="s">
        <v>493</v>
      </c>
      <c r="E18795" t="s">
        <v>579</v>
      </c>
      <c r="F18795" s="1">
        <v>2</v>
      </c>
      <c r="G18795" s="1" t="s">
        <v>32</v>
      </c>
      <c r="H18795" s="4" t="str">
        <f>HYPERLINK("https://portal.gdc.cancer.gov/cases/45aacbb4-0fd8-431c-a57b-279ea57a19fc","TCGA-FP-7829-01A")</f>
        <v>TCGA-FP-7829-01A</v>
      </c>
      <c r="I18795" t="s">
        <v>574</v>
      </c>
      <c r="J18795" t="s">
        <v>575</v>
      </c>
      <c r="K18795" t="s">
        <v>33</v>
      </c>
      <c r="L18795" t="s">
        <v>246</v>
      </c>
      <c r="N18795" t="s">
        <v>29</v>
      </c>
    </row>
    <row r="18796" spans="1:14">
      <c r="A18796" s="4" t="str">
        <f t="shared" si="1325"/>
        <v>EXP00440</v>
      </c>
      <c r="B18796" s="3" t="s">
        <v>66</v>
      </c>
      <c r="C18796" s="4" t="str">
        <f t="shared" si="1326"/>
        <v>TCGA-STAD</v>
      </c>
      <c r="D18796" s="1" t="s">
        <v>493</v>
      </c>
      <c r="E18796" t="s">
        <v>579</v>
      </c>
      <c r="F18796" s="1">
        <v>2</v>
      </c>
      <c r="G18796" s="1" t="s">
        <v>32</v>
      </c>
      <c r="H18796" s="4" t="str">
        <f>HYPERLINK("https://portal.gdc.cancer.gov/cases/d384dd0c-1947-4ffc-bee9-de38311d8249","TCGA-FP-7916-01A")</f>
        <v>TCGA-FP-7916-01A</v>
      </c>
      <c r="I18796" t="s">
        <v>574</v>
      </c>
      <c r="J18796" t="s">
        <v>575</v>
      </c>
      <c r="K18796" t="s">
        <v>33</v>
      </c>
      <c r="L18796" t="s">
        <v>246</v>
      </c>
      <c r="N18796" t="s">
        <v>29</v>
      </c>
    </row>
    <row r="18797" spans="1:14">
      <c r="A18797" s="4" t="str">
        <f t="shared" si="1325"/>
        <v>EXP00440</v>
      </c>
      <c r="B18797" s="3" t="s">
        <v>66</v>
      </c>
      <c r="C18797" s="4" t="str">
        <f t="shared" si="1326"/>
        <v>TCGA-STAD</v>
      </c>
      <c r="D18797" s="1" t="s">
        <v>493</v>
      </c>
      <c r="E18797" t="s">
        <v>579</v>
      </c>
      <c r="F18797" s="1">
        <v>2</v>
      </c>
      <c r="G18797" s="1" t="s">
        <v>32</v>
      </c>
      <c r="H18797" s="4" t="str">
        <f>HYPERLINK("https://portal.gdc.cancer.gov/cases/b2e2d35c-7a79-4165-97a5-82d5c37d94f2","TCGA-FP-7998-01A")</f>
        <v>TCGA-FP-7998-01A</v>
      </c>
      <c r="I18797" t="s">
        <v>574</v>
      </c>
      <c r="J18797" t="s">
        <v>575</v>
      </c>
      <c r="K18797" t="s">
        <v>33</v>
      </c>
      <c r="L18797" t="s">
        <v>246</v>
      </c>
      <c r="N18797" t="s">
        <v>29</v>
      </c>
    </row>
    <row r="18798" spans="1:14">
      <c r="A18798" s="4" t="str">
        <f t="shared" si="1325"/>
        <v>EXP00440</v>
      </c>
      <c r="B18798" s="3" t="s">
        <v>66</v>
      </c>
      <c r="C18798" s="4" t="str">
        <f t="shared" si="1326"/>
        <v>TCGA-STAD</v>
      </c>
      <c r="D18798" s="1" t="s">
        <v>493</v>
      </c>
      <c r="E18798" t="s">
        <v>579</v>
      </c>
      <c r="F18798" s="1">
        <v>2</v>
      </c>
      <c r="G18798" s="1" t="s">
        <v>32</v>
      </c>
      <c r="H18798" s="4" t="str">
        <f>HYPERLINK("https://portal.gdc.cancer.gov/cases/5956529e-f359-47c9-8222-0bd7f68c1e65","TCGA-FP-8099-01A")</f>
        <v>TCGA-FP-8099-01A</v>
      </c>
      <c r="I18798" t="s">
        <v>574</v>
      </c>
      <c r="J18798" t="s">
        <v>575</v>
      </c>
      <c r="K18798" t="s">
        <v>33</v>
      </c>
      <c r="L18798" t="s">
        <v>246</v>
      </c>
      <c r="N18798" t="s">
        <v>29</v>
      </c>
    </row>
    <row r="18799" spans="1:14">
      <c r="A18799" s="4" t="str">
        <f t="shared" si="1325"/>
        <v>EXP00440</v>
      </c>
      <c r="B18799" s="3" t="s">
        <v>66</v>
      </c>
      <c r="C18799" s="4" t="str">
        <f t="shared" si="1326"/>
        <v>TCGA-STAD</v>
      </c>
      <c r="D18799" s="1" t="s">
        <v>493</v>
      </c>
      <c r="E18799" t="s">
        <v>579</v>
      </c>
      <c r="F18799" s="1">
        <v>2</v>
      </c>
      <c r="G18799" s="1" t="s">
        <v>32</v>
      </c>
      <c r="H18799" s="4" t="str">
        <f>HYPERLINK("https://portal.gdc.cancer.gov/cases/92654ad8-156c-4dd1-862e-dc339240d721","TCGA-FP-8210-01A")</f>
        <v>TCGA-FP-8210-01A</v>
      </c>
      <c r="I18799" t="s">
        <v>574</v>
      </c>
      <c r="J18799" t="s">
        <v>575</v>
      </c>
      <c r="K18799" t="s">
        <v>33</v>
      </c>
      <c r="L18799" t="s">
        <v>246</v>
      </c>
      <c r="N18799" t="s">
        <v>29</v>
      </c>
    </row>
    <row r="18800" spans="1:14">
      <c r="A18800" s="4" t="str">
        <f t="shared" si="1325"/>
        <v>EXP00440</v>
      </c>
      <c r="B18800" s="3" t="s">
        <v>66</v>
      </c>
      <c r="C18800" s="4" t="str">
        <f t="shared" si="1326"/>
        <v>TCGA-STAD</v>
      </c>
      <c r="D18800" s="1" t="s">
        <v>493</v>
      </c>
      <c r="E18800" t="s">
        <v>579</v>
      </c>
      <c r="F18800" s="1">
        <v>2</v>
      </c>
      <c r="G18800" s="1" t="s">
        <v>32</v>
      </c>
      <c r="H18800" s="4" t="str">
        <f>HYPERLINK("https://portal.gdc.cancer.gov/cases/0b1663fc-6a7e-4698-951d-a8c90fdf2411","TCGA-FP-8211-01A")</f>
        <v>TCGA-FP-8211-01A</v>
      </c>
      <c r="I18800" t="s">
        <v>574</v>
      </c>
      <c r="J18800" t="s">
        <v>575</v>
      </c>
      <c r="K18800" t="s">
        <v>33</v>
      </c>
      <c r="L18800" t="s">
        <v>246</v>
      </c>
      <c r="N18800" t="s">
        <v>29</v>
      </c>
    </row>
    <row r="18801" spans="1:14">
      <c r="A18801" s="4" t="str">
        <f t="shared" si="1325"/>
        <v>EXP00440</v>
      </c>
      <c r="B18801" s="3" t="s">
        <v>66</v>
      </c>
      <c r="C18801" s="4" t="str">
        <f t="shared" si="1326"/>
        <v>TCGA-STAD</v>
      </c>
      <c r="D18801" s="1" t="s">
        <v>493</v>
      </c>
      <c r="E18801" t="s">
        <v>579</v>
      </c>
      <c r="F18801" s="1">
        <v>2</v>
      </c>
      <c r="G18801" s="1" t="s">
        <v>32</v>
      </c>
      <c r="H18801" s="4" t="str">
        <f>HYPERLINK("https://portal.gdc.cancer.gov/cases/1a4313e7-a770-4a0e-93f1-c10562f521e3","TCGA-FP-8631-01A")</f>
        <v>TCGA-FP-8631-01A</v>
      </c>
      <c r="I18801" t="s">
        <v>574</v>
      </c>
      <c r="J18801" t="s">
        <v>575</v>
      </c>
      <c r="K18801" t="s">
        <v>33</v>
      </c>
      <c r="L18801" t="s">
        <v>246</v>
      </c>
      <c r="N18801" t="s">
        <v>29</v>
      </c>
    </row>
    <row r="18802" spans="1:14">
      <c r="A18802" s="4" t="str">
        <f t="shared" si="1325"/>
        <v>EXP00440</v>
      </c>
      <c r="B18802" s="3" t="s">
        <v>66</v>
      </c>
      <c r="C18802" s="4" t="str">
        <f t="shared" si="1326"/>
        <v>TCGA-STAD</v>
      </c>
      <c r="D18802" s="1" t="s">
        <v>493</v>
      </c>
      <c r="E18802" t="s">
        <v>579</v>
      </c>
      <c r="F18802" s="1">
        <v>2</v>
      </c>
      <c r="G18802" s="1" t="s">
        <v>32</v>
      </c>
      <c r="H18802" s="4" t="str">
        <f>HYPERLINK("https://portal.gdc.cancer.gov/cases/0ae2b51d-aade-4d24-8d0b-6990123d9074","TCGA-FP-A4BF-01A")</f>
        <v>TCGA-FP-A4BF-01A</v>
      </c>
      <c r="I18802" t="s">
        <v>574</v>
      </c>
      <c r="J18802" t="s">
        <v>575</v>
      </c>
      <c r="K18802" t="s">
        <v>33</v>
      </c>
      <c r="L18802" t="s">
        <v>246</v>
      </c>
      <c r="N18802" t="s">
        <v>29</v>
      </c>
    </row>
    <row r="18803" spans="1:14">
      <c r="A18803" s="4" t="str">
        <f t="shared" si="1325"/>
        <v>EXP00440</v>
      </c>
      <c r="B18803" s="3" t="s">
        <v>66</v>
      </c>
      <c r="C18803" s="4" t="str">
        <f t="shared" si="1326"/>
        <v>TCGA-STAD</v>
      </c>
      <c r="D18803" s="1" t="s">
        <v>493</v>
      </c>
      <c r="E18803" t="s">
        <v>579</v>
      </c>
      <c r="F18803" s="1">
        <v>2</v>
      </c>
      <c r="G18803" s="1" t="s">
        <v>32</v>
      </c>
      <c r="H18803" s="4" t="str">
        <f>HYPERLINK("https://portal.gdc.cancer.gov/cases/feb5ccf3-395f-415a-85d3-db637fcd514f","TCGA-FP-A8CX-01A")</f>
        <v>TCGA-FP-A8CX-01A</v>
      </c>
      <c r="I18803" t="s">
        <v>574</v>
      </c>
      <c r="J18803" t="s">
        <v>575</v>
      </c>
      <c r="K18803" t="s">
        <v>33</v>
      </c>
      <c r="L18803" t="s">
        <v>246</v>
      </c>
      <c r="N18803" t="s">
        <v>29</v>
      </c>
    </row>
    <row r="18804" spans="1:14">
      <c r="A18804" s="4" t="str">
        <f t="shared" si="1325"/>
        <v>EXP00440</v>
      </c>
      <c r="B18804" s="3" t="s">
        <v>66</v>
      </c>
      <c r="C18804" s="4" t="str">
        <f t="shared" si="1326"/>
        <v>TCGA-STAD</v>
      </c>
      <c r="D18804" s="1" t="s">
        <v>493</v>
      </c>
      <c r="E18804" t="s">
        <v>579</v>
      </c>
      <c r="F18804" s="1">
        <v>2</v>
      </c>
      <c r="G18804" s="1" t="s">
        <v>32</v>
      </c>
      <c r="H18804" s="4" t="str">
        <f>HYPERLINK("https://portal.gdc.cancer.gov/cases/36abeaf9-cc0f-43dd-9c55-b9347d826529","TCGA-FP-A9TM-01A")</f>
        <v>TCGA-FP-A9TM-01A</v>
      </c>
      <c r="I18804" t="s">
        <v>574</v>
      </c>
      <c r="J18804" t="s">
        <v>575</v>
      </c>
      <c r="K18804" t="s">
        <v>33</v>
      </c>
      <c r="L18804" t="s">
        <v>246</v>
      </c>
      <c r="N18804" t="s">
        <v>29</v>
      </c>
    </row>
    <row r="18805" spans="1:14">
      <c r="A18805" s="4" t="str">
        <f t="shared" si="1325"/>
        <v>EXP00440</v>
      </c>
      <c r="B18805" s="3" t="s">
        <v>66</v>
      </c>
      <c r="C18805" s="4" t="str">
        <f t="shared" si="1326"/>
        <v>TCGA-STAD</v>
      </c>
      <c r="D18805" s="1" t="s">
        <v>493</v>
      </c>
      <c r="E18805" t="s">
        <v>579</v>
      </c>
      <c r="F18805" s="1">
        <v>2</v>
      </c>
      <c r="G18805" s="1" t="s">
        <v>32</v>
      </c>
      <c r="H18805" s="4" t="str">
        <f>HYPERLINK("https://portal.gdc.cancer.gov/cases/06fd3086-0801-4d74-bced-4916efc544d2","TCGA-HF-7131-01A")</f>
        <v>TCGA-HF-7131-01A</v>
      </c>
      <c r="I18805" t="s">
        <v>574</v>
      </c>
      <c r="J18805" t="s">
        <v>575</v>
      </c>
      <c r="K18805" t="s">
        <v>33</v>
      </c>
      <c r="L18805" t="s">
        <v>246</v>
      </c>
      <c r="N18805" t="s">
        <v>29</v>
      </c>
    </row>
    <row r="18806" spans="1:14">
      <c r="A18806" s="4" t="str">
        <f t="shared" si="1325"/>
        <v>EXP00440</v>
      </c>
      <c r="B18806" s="3" t="s">
        <v>66</v>
      </c>
      <c r="C18806" s="4" t="str">
        <f t="shared" si="1326"/>
        <v>TCGA-STAD</v>
      </c>
      <c r="D18806" s="1" t="s">
        <v>493</v>
      </c>
      <c r="E18806" t="s">
        <v>579</v>
      </c>
      <c r="F18806" s="1">
        <v>2</v>
      </c>
      <c r="G18806" s="1" t="s">
        <v>32</v>
      </c>
      <c r="H18806" s="4" t="str">
        <f>HYPERLINK("https://portal.gdc.cancer.gov/cases/6c3687fd-0761-477d-95ab-73e11d66dbd6","TCGA-HF-7132-01A")</f>
        <v>TCGA-HF-7132-01A</v>
      </c>
      <c r="I18806" t="s">
        <v>574</v>
      </c>
      <c r="J18806" t="s">
        <v>575</v>
      </c>
      <c r="K18806" t="s">
        <v>33</v>
      </c>
      <c r="L18806" t="s">
        <v>246</v>
      </c>
      <c r="N18806" t="s">
        <v>29</v>
      </c>
    </row>
    <row r="18807" spans="1:14">
      <c r="A18807" s="4" t="str">
        <f t="shared" si="1325"/>
        <v>EXP00440</v>
      </c>
      <c r="B18807" s="3" t="s">
        <v>66</v>
      </c>
      <c r="C18807" s="4" t="str">
        <f t="shared" si="1326"/>
        <v>TCGA-STAD</v>
      </c>
      <c r="D18807" s="1" t="s">
        <v>493</v>
      </c>
      <c r="E18807" t="s">
        <v>579</v>
      </c>
      <c r="F18807" s="1">
        <v>2</v>
      </c>
      <c r="G18807" s="1" t="s">
        <v>32</v>
      </c>
      <c r="H18807" s="4" t="str">
        <f>HYPERLINK("https://portal.gdc.cancer.gov/cases/5d33895e-a959-4d5e-8850-c49c7fa49a22","TCGA-HF-7133-01A")</f>
        <v>TCGA-HF-7133-01A</v>
      </c>
      <c r="I18807" t="s">
        <v>574</v>
      </c>
      <c r="J18807" t="s">
        <v>575</v>
      </c>
      <c r="K18807" t="s">
        <v>33</v>
      </c>
      <c r="L18807" t="s">
        <v>246</v>
      </c>
      <c r="N18807" t="s">
        <v>29</v>
      </c>
    </row>
    <row r="18808" spans="1:14">
      <c r="A18808" s="4" t="str">
        <f t="shared" si="1325"/>
        <v>EXP00440</v>
      </c>
      <c r="B18808" s="3" t="s">
        <v>66</v>
      </c>
      <c r="C18808" s="4" t="str">
        <f t="shared" si="1326"/>
        <v>TCGA-STAD</v>
      </c>
      <c r="D18808" s="1" t="s">
        <v>493</v>
      </c>
      <c r="E18808" t="s">
        <v>579</v>
      </c>
      <c r="F18808" s="1">
        <v>2</v>
      </c>
      <c r="G18808" s="1" t="s">
        <v>32</v>
      </c>
      <c r="H18808" s="4" t="str">
        <f>HYPERLINK("https://portal.gdc.cancer.gov/cases/1dbe1e26-3bcd-45cf-990e-ad7c8754f4d4","TCGA-HF-7134-01A")</f>
        <v>TCGA-HF-7134-01A</v>
      </c>
      <c r="I18808" t="s">
        <v>574</v>
      </c>
      <c r="J18808" t="s">
        <v>575</v>
      </c>
      <c r="K18808" t="s">
        <v>33</v>
      </c>
      <c r="L18808" t="s">
        <v>246</v>
      </c>
      <c r="N18808" t="s">
        <v>29</v>
      </c>
    </row>
    <row r="18809" spans="1:14">
      <c r="A18809" s="4" t="str">
        <f t="shared" si="1325"/>
        <v>EXP00440</v>
      </c>
      <c r="B18809" s="3" t="s">
        <v>66</v>
      </c>
      <c r="C18809" s="4" t="str">
        <f t="shared" si="1326"/>
        <v>TCGA-STAD</v>
      </c>
      <c r="D18809" s="1" t="s">
        <v>493</v>
      </c>
      <c r="E18809" t="s">
        <v>579</v>
      </c>
      <c r="F18809" s="1">
        <v>2</v>
      </c>
      <c r="G18809" s="1" t="s">
        <v>32</v>
      </c>
      <c r="H18809" s="4" t="str">
        <f>HYPERLINK("https://portal.gdc.cancer.gov/cases/a58b6cd2-48f8-47d0-b97a-02a376f83e5c","TCGA-HF-A5NB-01A")</f>
        <v>TCGA-HF-A5NB-01A</v>
      </c>
      <c r="I18809" t="s">
        <v>574</v>
      </c>
      <c r="J18809" t="s">
        <v>575</v>
      </c>
      <c r="K18809" t="s">
        <v>33</v>
      </c>
      <c r="L18809" t="s">
        <v>246</v>
      </c>
      <c r="N18809" t="s">
        <v>29</v>
      </c>
    </row>
    <row r="18810" spans="1:14">
      <c r="A18810" s="4" t="str">
        <f t="shared" si="1325"/>
        <v>EXP00440</v>
      </c>
      <c r="B18810" s="3" t="s">
        <v>66</v>
      </c>
      <c r="C18810" s="4" t="str">
        <f t="shared" si="1326"/>
        <v>TCGA-STAD</v>
      </c>
      <c r="D18810" s="1" t="s">
        <v>493</v>
      </c>
      <c r="E18810" t="s">
        <v>579</v>
      </c>
      <c r="F18810" s="1">
        <v>2</v>
      </c>
      <c r="G18810" s="1" t="s">
        <v>32</v>
      </c>
      <c r="H18810" s="4" t="str">
        <f>HYPERLINK("https://portal.gdc.cancer.gov/cases/83d681f4-6c0e-45cc-a31d-0b1b31c8e073","TCGA-HJ-7597-01A")</f>
        <v>TCGA-HJ-7597-01A</v>
      </c>
      <c r="I18810" t="s">
        <v>574</v>
      </c>
      <c r="J18810" t="s">
        <v>575</v>
      </c>
      <c r="K18810" t="s">
        <v>33</v>
      </c>
      <c r="L18810" t="s">
        <v>246</v>
      </c>
      <c r="N18810" t="s">
        <v>29</v>
      </c>
    </row>
    <row r="18811" spans="1:14">
      <c r="A18811" s="4" t="str">
        <f t="shared" si="1325"/>
        <v>EXP00440</v>
      </c>
      <c r="B18811" s="3" t="s">
        <v>66</v>
      </c>
      <c r="C18811" s="4" t="str">
        <f t="shared" si="1326"/>
        <v>TCGA-STAD</v>
      </c>
      <c r="D18811" s="1" t="s">
        <v>493</v>
      </c>
      <c r="E18811" t="s">
        <v>579</v>
      </c>
      <c r="F18811" s="1">
        <v>2</v>
      </c>
      <c r="G18811" s="1" t="s">
        <v>32</v>
      </c>
      <c r="H18811" s="4" t="str">
        <f>HYPERLINK("https://portal.gdc.cancer.gov/cases/ac77e22d-42c0-4e06-b904-0dd5b31eb0d8","TCGA-HU-8238-01A")</f>
        <v>TCGA-HU-8238-01A</v>
      </c>
      <c r="I18811" t="s">
        <v>574</v>
      </c>
      <c r="J18811" t="s">
        <v>575</v>
      </c>
      <c r="K18811" t="s">
        <v>33</v>
      </c>
      <c r="L18811" t="s">
        <v>246</v>
      </c>
      <c r="N18811" t="s">
        <v>29</v>
      </c>
    </row>
    <row r="18812" spans="1:14">
      <c r="A18812" s="4" t="str">
        <f t="shared" ref="A18812:A18875" si="1327">HYPERLINK("http://hcmdb.i-sanger.com/experiment/details/experiment_id/EXP00440","EXP00440")</f>
        <v>EXP00440</v>
      </c>
      <c r="B18812" s="3" t="s">
        <v>66</v>
      </c>
      <c r="C18812" s="4" t="str">
        <f t="shared" si="1326"/>
        <v>TCGA-STAD</v>
      </c>
      <c r="D18812" s="1" t="s">
        <v>493</v>
      </c>
      <c r="E18812" t="s">
        <v>579</v>
      </c>
      <c r="F18812" s="1">
        <v>2</v>
      </c>
      <c r="G18812" s="1" t="s">
        <v>32</v>
      </c>
      <c r="H18812" s="4" t="str">
        <f>HYPERLINK("https://portal.gdc.cancer.gov/cases/f0b6e8f8-995c-47c1-bbec-d1d51dc97828","TCGA-HU-8244-01A")</f>
        <v>TCGA-HU-8244-01A</v>
      </c>
      <c r="I18812" t="s">
        <v>574</v>
      </c>
      <c r="J18812" t="s">
        <v>575</v>
      </c>
      <c r="K18812" t="s">
        <v>33</v>
      </c>
      <c r="L18812" t="s">
        <v>246</v>
      </c>
      <c r="N18812" t="s">
        <v>29</v>
      </c>
    </row>
    <row r="18813" spans="1:14">
      <c r="A18813" s="4" t="str">
        <f t="shared" si="1327"/>
        <v>EXP00440</v>
      </c>
      <c r="B18813" s="3" t="s">
        <v>66</v>
      </c>
      <c r="C18813" s="4" t="str">
        <f t="shared" si="1326"/>
        <v>TCGA-STAD</v>
      </c>
      <c r="D18813" s="1" t="s">
        <v>493</v>
      </c>
      <c r="E18813" t="s">
        <v>579</v>
      </c>
      <c r="F18813" s="1">
        <v>2</v>
      </c>
      <c r="G18813" s="1" t="s">
        <v>32</v>
      </c>
      <c r="H18813" s="4" t="str">
        <f>HYPERLINK("https://portal.gdc.cancer.gov/cases/e302f643-eed3-4f07-a7fb-c32ee2031a1c","TCGA-HU-8249-01A")</f>
        <v>TCGA-HU-8249-01A</v>
      </c>
      <c r="I18813" t="s">
        <v>574</v>
      </c>
      <c r="J18813" t="s">
        <v>575</v>
      </c>
      <c r="K18813" t="s">
        <v>33</v>
      </c>
      <c r="L18813" t="s">
        <v>246</v>
      </c>
      <c r="N18813" t="s">
        <v>29</v>
      </c>
    </row>
    <row r="18814" spans="1:14">
      <c r="A18814" s="4" t="str">
        <f t="shared" si="1327"/>
        <v>EXP00440</v>
      </c>
      <c r="B18814" s="3" t="s">
        <v>66</v>
      </c>
      <c r="C18814" s="4" t="str">
        <f t="shared" si="1326"/>
        <v>TCGA-STAD</v>
      </c>
      <c r="D18814" s="1" t="s">
        <v>493</v>
      </c>
      <c r="E18814" t="s">
        <v>579</v>
      </c>
      <c r="F18814" s="1">
        <v>2</v>
      </c>
      <c r="G18814" s="1" t="s">
        <v>32</v>
      </c>
      <c r="H18814" s="4" t="str">
        <f>HYPERLINK("https://portal.gdc.cancer.gov/cases/edce7aac-1d8b-41cb-88e2-f50b8eeca4d8","TCGA-HU-8602-01A")</f>
        <v>TCGA-HU-8602-01A</v>
      </c>
      <c r="I18814" t="s">
        <v>574</v>
      </c>
      <c r="J18814" t="s">
        <v>575</v>
      </c>
      <c r="K18814" t="s">
        <v>33</v>
      </c>
      <c r="L18814" t="s">
        <v>246</v>
      </c>
      <c r="N18814" t="s">
        <v>29</v>
      </c>
    </row>
    <row r="18815" spans="1:14">
      <c r="A18815" s="4" t="str">
        <f t="shared" si="1327"/>
        <v>EXP00440</v>
      </c>
      <c r="B18815" s="3" t="s">
        <v>66</v>
      </c>
      <c r="C18815" s="4" t="str">
        <f t="shared" si="1326"/>
        <v>TCGA-STAD</v>
      </c>
      <c r="D18815" s="1" t="s">
        <v>493</v>
      </c>
      <c r="E18815" t="s">
        <v>579</v>
      </c>
      <c r="F18815" s="1">
        <v>2</v>
      </c>
      <c r="G18815" s="1" t="s">
        <v>32</v>
      </c>
      <c r="H18815" s="4" t="str">
        <f>HYPERLINK("https://portal.gdc.cancer.gov/cases/43945bf6-6e64-4f13-9822-baf30dcd726c","TCGA-HU-8604-01A")</f>
        <v>TCGA-HU-8604-01A</v>
      </c>
      <c r="I18815" t="s">
        <v>574</v>
      </c>
      <c r="J18815" t="s">
        <v>575</v>
      </c>
      <c r="K18815" t="s">
        <v>33</v>
      </c>
      <c r="L18815" t="s">
        <v>246</v>
      </c>
      <c r="N18815" t="s">
        <v>29</v>
      </c>
    </row>
    <row r="18816" spans="1:14">
      <c r="A18816" s="4" t="str">
        <f t="shared" si="1327"/>
        <v>EXP00440</v>
      </c>
      <c r="B18816" s="3" t="s">
        <v>66</v>
      </c>
      <c r="C18816" s="4" t="str">
        <f t="shared" si="1326"/>
        <v>TCGA-STAD</v>
      </c>
      <c r="D18816" s="1" t="s">
        <v>493</v>
      </c>
      <c r="E18816" t="s">
        <v>579</v>
      </c>
      <c r="F18816" s="1">
        <v>2</v>
      </c>
      <c r="G18816" s="1" t="s">
        <v>32</v>
      </c>
      <c r="H18816" s="4" t="str">
        <f>HYPERLINK("https://portal.gdc.cancer.gov/cases/131fb0f0-e0af-431c-8462-f1925a5f4c72","TCGA-HU-8610-01A")</f>
        <v>TCGA-HU-8610-01A</v>
      </c>
      <c r="I18816" t="s">
        <v>574</v>
      </c>
      <c r="J18816" t="s">
        <v>575</v>
      </c>
      <c r="K18816" t="s">
        <v>33</v>
      </c>
      <c r="L18816" t="s">
        <v>246</v>
      </c>
      <c r="N18816" t="s">
        <v>29</v>
      </c>
    </row>
    <row r="18817" spans="1:14">
      <c r="A18817" s="4" t="str">
        <f t="shared" si="1327"/>
        <v>EXP00440</v>
      </c>
      <c r="B18817" s="3" t="s">
        <v>66</v>
      </c>
      <c r="C18817" s="4" t="str">
        <f t="shared" si="1326"/>
        <v>TCGA-STAD</v>
      </c>
      <c r="D18817" s="1" t="s">
        <v>493</v>
      </c>
      <c r="E18817" t="s">
        <v>579</v>
      </c>
      <c r="F18817" s="1">
        <v>2</v>
      </c>
      <c r="G18817" s="1" t="s">
        <v>32</v>
      </c>
      <c r="H18817" s="4" t="str">
        <f>HYPERLINK("https://portal.gdc.cancer.gov/cases/3b17c66a-34ae-4b10-b907-4464d6d58383","TCGA-HU-A4G2-01A")</f>
        <v>TCGA-HU-A4G2-01A</v>
      </c>
      <c r="I18817" t="s">
        <v>574</v>
      </c>
      <c r="J18817" t="s">
        <v>575</v>
      </c>
      <c r="K18817" t="s">
        <v>33</v>
      </c>
      <c r="L18817" t="s">
        <v>246</v>
      </c>
      <c r="N18817" t="s">
        <v>29</v>
      </c>
    </row>
    <row r="18818" spans="1:14">
      <c r="A18818" s="4" t="str">
        <f t="shared" si="1327"/>
        <v>EXP00440</v>
      </c>
      <c r="B18818" s="3" t="s">
        <v>66</v>
      </c>
      <c r="C18818" s="4" t="str">
        <f t="shared" si="1326"/>
        <v>TCGA-STAD</v>
      </c>
      <c r="D18818" s="1" t="s">
        <v>493</v>
      </c>
      <c r="E18818" t="s">
        <v>579</v>
      </c>
      <c r="F18818" s="1">
        <v>2</v>
      </c>
      <c r="G18818" s="1" t="s">
        <v>32</v>
      </c>
      <c r="H18818" s="4" t="str">
        <f>HYPERLINK("https://portal.gdc.cancer.gov/cases/6eeee564-1057-42e4-bfce-b6fe17d58d10","TCGA-HU-A4G3-01A")</f>
        <v>TCGA-HU-A4G3-01A</v>
      </c>
      <c r="I18818" t="s">
        <v>574</v>
      </c>
      <c r="J18818" t="s">
        <v>575</v>
      </c>
      <c r="K18818" t="s">
        <v>33</v>
      </c>
      <c r="L18818" t="s">
        <v>246</v>
      </c>
      <c r="N18818" t="s">
        <v>29</v>
      </c>
    </row>
    <row r="18819" spans="1:14">
      <c r="A18819" s="4" t="str">
        <f t="shared" si="1327"/>
        <v>EXP00440</v>
      </c>
      <c r="B18819" s="3" t="s">
        <v>66</v>
      </c>
      <c r="C18819" s="4" t="str">
        <f t="shared" si="1326"/>
        <v>TCGA-STAD</v>
      </c>
      <c r="D18819" s="1" t="s">
        <v>493</v>
      </c>
      <c r="E18819" t="s">
        <v>579</v>
      </c>
      <c r="F18819" s="1">
        <v>2</v>
      </c>
      <c r="G18819" s="1" t="s">
        <v>32</v>
      </c>
      <c r="H18819" s="4" t="str">
        <f>HYPERLINK("https://portal.gdc.cancer.gov/cases/16286ebd-6811-4e53-b4d5-82e1e825bc7a","TCGA-HU-A4G8-01A")</f>
        <v>TCGA-HU-A4G8-01A</v>
      </c>
      <c r="I18819" t="s">
        <v>574</v>
      </c>
      <c r="J18819" t="s">
        <v>575</v>
      </c>
      <c r="K18819" t="s">
        <v>33</v>
      </c>
      <c r="L18819" t="s">
        <v>246</v>
      </c>
      <c r="N18819" t="s">
        <v>29</v>
      </c>
    </row>
    <row r="18820" spans="1:14">
      <c r="A18820" s="4" t="str">
        <f t="shared" si="1327"/>
        <v>EXP00440</v>
      </c>
      <c r="B18820" s="3" t="s">
        <v>66</v>
      </c>
      <c r="C18820" s="4" t="str">
        <f t="shared" si="1326"/>
        <v>TCGA-STAD</v>
      </c>
      <c r="D18820" s="1" t="s">
        <v>493</v>
      </c>
      <c r="E18820" t="s">
        <v>579</v>
      </c>
      <c r="F18820" s="1">
        <v>2</v>
      </c>
      <c r="G18820" s="1" t="s">
        <v>32</v>
      </c>
      <c r="H18820" s="4" t="str">
        <f>HYPERLINK("https://portal.gdc.cancer.gov/cases/8114d553-4025-4c8f-ae02-5ed01720723a","TCGA-HU-A4G9-01A")</f>
        <v>TCGA-HU-A4G9-01A</v>
      </c>
      <c r="I18820" t="s">
        <v>574</v>
      </c>
      <c r="J18820" t="s">
        <v>575</v>
      </c>
      <c r="K18820" t="s">
        <v>33</v>
      </c>
      <c r="L18820" t="s">
        <v>246</v>
      </c>
      <c r="N18820" t="s">
        <v>29</v>
      </c>
    </row>
    <row r="18821" spans="1:14">
      <c r="A18821" s="4" t="str">
        <f t="shared" si="1327"/>
        <v>EXP00440</v>
      </c>
      <c r="B18821" s="3" t="s">
        <v>66</v>
      </c>
      <c r="C18821" s="4" t="str">
        <f t="shared" si="1326"/>
        <v>TCGA-STAD</v>
      </c>
      <c r="D18821" s="1" t="s">
        <v>493</v>
      </c>
      <c r="E18821" t="s">
        <v>579</v>
      </c>
      <c r="F18821" s="1">
        <v>2</v>
      </c>
      <c r="G18821" s="1" t="s">
        <v>32</v>
      </c>
      <c r="H18821" s="4" t="str">
        <f>HYPERLINK("https://portal.gdc.cancer.gov/cases/13e5a0ad-6d0c-4fb4-bf62-325f5c8ed329","TCGA-HU-A4GC-01A")</f>
        <v>TCGA-HU-A4GC-01A</v>
      </c>
      <c r="I18821" t="s">
        <v>574</v>
      </c>
      <c r="J18821" t="s">
        <v>575</v>
      </c>
      <c r="K18821" t="s">
        <v>33</v>
      </c>
      <c r="L18821" t="s">
        <v>246</v>
      </c>
      <c r="N18821" t="s">
        <v>29</v>
      </c>
    </row>
    <row r="18822" spans="1:14">
      <c r="A18822" s="4" t="str">
        <f t="shared" si="1327"/>
        <v>EXP00440</v>
      </c>
      <c r="B18822" s="3" t="s">
        <v>66</v>
      </c>
      <c r="C18822" s="4" t="str">
        <f t="shared" si="1326"/>
        <v>TCGA-STAD</v>
      </c>
      <c r="D18822" s="1" t="s">
        <v>493</v>
      </c>
      <c r="E18822" t="s">
        <v>579</v>
      </c>
      <c r="F18822" s="1">
        <v>2</v>
      </c>
      <c r="G18822" s="1" t="s">
        <v>32</v>
      </c>
      <c r="H18822" s="4" t="str">
        <f>HYPERLINK("https://portal.gdc.cancer.gov/cases/df89b0be-fbe1-4ca7-bea7-ae057c3f6461","TCGA-HU-A4GF-01A")</f>
        <v>TCGA-HU-A4GF-01A</v>
      </c>
      <c r="I18822" t="s">
        <v>574</v>
      </c>
      <c r="J18822" t="s">
        <v>575</v>
      </c>
      <c r="K18822" t="s">
        <v>33</v>
      </c>
      <c r="L18822" t="s">
        <v>246</v>
      </c>
      <c r="N18822" t="s">
        <v>29</v>
      </c>
    </row>
    <row r="18823" spans="1:14">
      <c r="A18823" s="4" t="str">
        <f t="shared" si="1327"/>
        <v>EXP00440</v>
      </c>
      <c r="B18823" s="3" t="s">
        <v>66</v>
      </c>
      <c r="C18823" s="4" t="str">
        <f t="shared" si="1326"/>
        <v>TCGA-STAD</v>
      </c>
      <c r="D18823" s="1" t="s">
        <v>493</v>
      </c>
      <c r="E18823" t="s">
        <v>579</v>
      </c>
      <c r="F18823" s="1">
        <v>2</v>
      </c>
      <c r="G18823" s="1" t="s">
        <v>32</v>
      </c>
      <c r="H18823" s="4" t="str">
        <f>HYPERLINK("https://portal.gdc.cancer.gov/cases/d9424178-9cb4-4bfb-9814-ba1afe7ad954","TCGA-HU-A4GH-01A")</f>
        <v>TCGA-HU-A4GH-01A</v>
      </c>
      <c r="I18823" t="s">
        <v>574</v>
      </c>
      <c r="J18823" t="s">
        <v>575</v>
      </c>
      <c r="K18823" t="s">
        <v>33</v>
      </c>
      <c r="L18823" t="s">
        <v>246</v>
      </c>
      <c r="N18823" t="s">
        <v>29</v>
      </c>
    </row>
    <row r="18824" spans="1:14">
      <c r="A18824" s="4" t="str">
        <f t="shared" si="1327"/>
        <v>EXP00440</v>
      </c>
      <c r="B18824" s="3" t="s">
        <v>66</v>
      </c>
      <c r="C18824" s="4" t="str">
        <f t="shared" si="1326"/>
        <v>TCGA-STAD</v>
      </c>
      <c r="D18824" s="1" t="s">
        <v>493</v>
      </c>
      <c r="E18824" t="s">
        <v>579</v>
      </c>
      <c r="F18824" s="1">
        <v>2</v>
      </c>
      <c r="G18824" s="1" t="s">
        <v>32</v>
      </c>
      <c r="H18824" s="4" t="str">
        <f>HYPERLINK("https://portal.gdc.cancer.gov/cases/c46ff2bb-bdd0-48cd-b2ae-7ef421b4b91a","TCGA-HU-A4GP-01A")</f>
        <v>TCGA-HU-A4GP-01A</v>
      </c>
      <c r="I18824" t="s">
        <v>574</v>
      </c>
      <c r="J18824" t="s">
        <v>575</v>
      </c>
      <c r="K18824" t="s">
        <v>33</v>
      </c>
      <c r="L18824" t="s">
        <v>246</v>
      </c>
      <c r="N18824" t="s">
        <v>29</v>
      </c>
    </row>
    <row r="18825" spans="1:14">
      <c r="A18825" s="4" t="str">
        <f t="shared" si="1327"/>
        <v>EXP00440</v>
      </c>
      <c r="B18825" s="3" t="s">
        <v>66</v>
      </c>
      <c r="C18825" s="4" t="str">
        <f t="shared" si="1326"/>
        <v>TCGA-STAD</v>
      </c>
      <c r="D18825" s="1" t="s">
        <v>493</v>
      </c>
      <c r="E18825" t="s">
        <v>579</v>
      </c>
      <c r="F18825" s="1">
        <v>2</v>
      </c>
      <c r="G18825" s="1" t="s">
        <v>32</v>
      </c>
      <c r="H18825" s="4" t="str">
        <f>HYPERLINK("https://portal.gdc.cancer.gov/cases/7739f659-0e25-4404-ad25-ee52fbbcfd44","TCGA-HU-A4GQ-01A")</f>
        <v>TCGA-HU-A4GQ-01A</v>
      </c>
      <c r="I18825" t="s">
        <v>574</v>
      </c>
      <c r="J18825" t="s">
        <v>575</v>
      </c>
      <c r="K18825" t="s">
        <v>33</v>
      </c>
      <c r="L18825" t="s">
        <v>246</v>
      </c>
      <c r="N18825" t="s">
        <v>29</v>
      </c>
    </row>
    <row r="18826" spans="1:14">
      <c r="A18826" s="4" t="str">
        <f t="shared" si="1327"/>
        <v>EXP00440</v>
      </c>
      <c r="B18826" s="3" t="s">
        <v>66</v>
      </c>
      <c r="C18826" s="4" t="str">
        <f t="shared" si="1326"/>
        <v>TCGA-STAD</v>
      </c>
      <c r="D18826" s="1" t="s">
        <v>493</v>
      </c>
      <c r="E18826" t="s">
        <v>579</v>
      </c>
      <c r="F18826" s="1">
        <v>2</v>
      </c>
      <c r="G18826" s="1" t="s">
        <v>32</v>
      </c>
      <c r="H18826" s="4" t="str">
        <f>HYPERLINK("https://portal.gdc.cancer.gov/cases/7997f3d8-bff6-4808-8df0-d88d344d7c9e","TCGA-HU-A4GT-01A")</f>
        <v>TCGA-HU-A4GT-01A</v>
      </c>
      <c r="I18826" t="s">
        <v>574</v>
      </c>
      <c r="J18826" t="s">
        <v>575</v>
      </c>
      <c r="K18826" t="s">
        <v>33</v>
      </c>
      <c r="L18826" t="s">
        <v>246</v>
      </c>
      <c r="N18826" t="s">
        <v>29</v>
      </c>
    </row>
    <row r="18827" spans="1:14">
      <c r="A18827" s="4" t="str">
        <f t="shared" si="1327"/>
        <v>EXP00440</v>
      </c>
      <c r="B18827" s="3" t="s">
        <v>66</v>
      </c>
      <c r="C18827" s="4" t="str">
        <f t="shared" si="1326"/>
        <v>TCGA-STAD</v>
      </c>
      <c r="D18827" s="1" t="s">
        <v>493</v>
      </c>
      <c r="E18827" t="s">
        <v>579</v>
      </c>
      <c r="F18827" s="1">
        <v>2</v>
      </c>
      <c r="G18827" s="1" t="s">
        <v>32</v>
      </c>
      <c r="H18827" s="4" t="str">
        <f>HYPERLINK("https://portal.gdc.cancer.gov/cases/b93221ba-2076-4dd4-9931-179571b7e16c","TCGA-HU-A4GU-01A")</f>
        <v>TCGA-HU-A4GU-01A</v>
      </c>
      <c r="I18827" t="s">
        <v>574</v>
      </c>
      <c r="J18827" t="s">
        <v>575</v>
      </c>
      <c r="K18827" t="s">
        <v>33</v>
      </c>
      <c r="L18827" t="s">
        <v>246</v>
      </c>
      <c r="N18827" t="s">
        <v>29</v>
      </c>
    </row>
    <row r="18828" spans="1:14">
      <c r="A18828" s="4" t="str">
        <f t="shared" si="1327"/>
        <v>EXP00440</v>
      </c>
      <c r="B18828" s="3" t="s">
        <v>66</v>
      </c>
      <c r="C18828" s="4" t="str">
        <f t="shared" si="1326"/>
        <v>TCGA-STAD</v>
      </c>
      <c r="D18828" s="1" t="s">
        <v>493</v>
      </c>
      <c r="E18828" t="s">
        <v>579</v>
      </c>
      <c r="F18828" s="1">
        <v>2</v>
      </c>
      <c r="G18828" s="1" t="s">
        <v>32</v>
      </c>
      <c r="H18828" s="4" t="str">
        <f>HYPERLINK("https://portal.gdc.cancer.gov/cases/75915370-0895-4933-8875-8a31c65c3d50","TCGA-HU-A4GX-01A")</f>
        <v>TCGA-HU-A4GX-01A</v>
      </c>
      <c r="I18828" t="s">
        <v>574</v>
      </c>
      <c r="J18828" t="s">
        <v>575</v>
      </c>
      <c r="K18828" t="s">
        <v>33</v>
      </c>
      <c r="L18828" t="s">
        <v>246</v>
      </c>
      <c r="N18828" t="s">
        <v>29</v>
      </c>
    </row>
    <row r="18829" spans="1:14">
      <c r="A18829" s="4" t="str">
        <f t="shared" si="1327"/>
        <v>EXP00440</v>
      </c>
      <c r="B18829" s="3" t="s">
        <v>66</v>
      </c>
      <c r="C18829" s="4" t="str">
        <f t="shared" si="1326"/>
        <v>TCGA-STAD</v>
      </c>
      <c r="D18829" s="1" t="s">
        <v>493</v>
      </c>
      <c r="E18829" t="s">
        <v>579</v>
      </c>
      <c r="F18829" s="1">
        <v>2</v>
      </c>
      <c r="G18829" s="1" t="s">
        <v>32</v>
      </c>
      <c r="H18829" s="4" t="str">
        <f>HYPERLINK("https://portal.gdc.cancer.gov/cases/41327aac-1228-435a-8de5-b26886bdbce0","TCGA-HU-A4GY-01A")</f>
        <v>TCGA-HU-A4GY-01A</v>
      </c>
      <c r="I18829" t="s">
        <v>574</v>
      </c>
      <c r="J18829" t="s">
        <v>575</v>
      </c>
      <c r="K18829" t="s">
        <v>33</v>
      </c>
      <c r="L18829" t="s">
        <v>246</v>
      </c>
      <c r="N18829" t="s">
        <v>29</v>
      </c>
    </row>
    <row r="18830" spans="1:14">
      <c r="A18830" s="4" t="str">
        <f t="shared" si="1327"/>
        <v>EXP00440</v>
      </c>
      <c r="B18830" s="3" t="s">
        <v>66</v>
      </c>
      <c r="C18830" s="4" t="str">
        <f t="shared" si="1326"/>
        <v>TCGA-STAD</v>
      </c>
      <c r="D18830" s="1" t="s">
        <v>493</v>
      </c>
      <c r="E18830" t="s">
        <v>579</v>
      </c>
      <c r="F18830" s="1">
        <v>2</v>
      </c>
      <c r="G18830" s="1" t="s">
        <v>32</v>
      </c>
      <c r="H18830" s="4" t="str">
        <f>HYPERLINK("https://portal.gdc.cancer.gov/cases/fe45eaee-ff0c-4d52-b18c-04dc2d64d3b4","TCGA-HU-A4H0-01A")</f>
        <v>TCGA-HU-A4H0-01A</v>
      </c>
      <c r="I18830" t="s">
        <v>574</v>
      </c>
      <c r="J18830" t="s">
        <v>575</v>
      </c>
      <c r="K18830" t="s">
        <v>33</v>
      </c>
      <c r="L18830" t="s">
        <v>246</v>
      </c>
      <c r="N18830" t="s">
        <v>29</v>
      </c>
    </row>
    <row r="18831" spans="1:14">
      <c r="A18831" s="4" t="str">
        <f t="shared" si="1327"/>
        <v>EXP00440</v>
      </c>
      <c r="B18831" s="3" t="s">
        <v>66</v>
      </c>
      <c r="C18831" s="4" t="str">
        <f t="shared" si="1326"/>
        <v>TCGA-STAD</v>
      </c>
      <c r="D18831" s="1" t="s">
        <v>493</v>
      </c>
      <c r="E18831" t="s">
        <v>579</v>
      </c>
      <c r="F18831" s="1">
        <v>2</v>
      </c>
      <c r="G18831" s="1" t="s">
        <v>32</v>
      </c>
      <c r="H18831" s="4" t="str">
        <f>HYPERLINK("https://portal.gdc.cancer.gov/cases/7b594344-573d-46a0-b735-6727f6f15585","TCGA-HU-A4H2-01A")</f>
        <v>TCGA-HU-A4H2-01A</v>
      </c>
      <c r="I18831" t="s">
        <v>574</v>
      </c>
      <c r="J18831" t="s">
        <v>575</v>
      </c>
      <c r="K18831" t="s">
        <v>33</v>
      </c>
      <c r="L18831" t="s">
        <v>246</v>
      </c>
      <c r="N18831" t="s">
        <v>29</v>
      </c>
    </row>
    <row r="18832" spans="1:14">
      <c r="A18832" s="4" t="str">
        <f t="shared" si="1327"/>
        <v>EXP00440</v>
      </c>
      <c r="B18832" s="3" t="s">
        <v>66</v>
      </c>
      <c r="C18832" s="4" t="str">
        <f t="shared" si="1326"/>
        <v>TCGA-STAD</v>
      </c>
      <c r="D18832" s="1" t="s">
        <v>493</v>
      </c>
      <c r="E18832" t="s">
        <v>579</v>
      </c>
      <c r="F18832" s="1">
        <v>2</v>
      </c>
      <c r="G18832" s="1" t="s">
        <v>32</v>
      </c>
      <c r="H18832" s="4" t="str">
        <f>HYPERLINK("https://portal.gdc.cancer.gov/cases/00fdf96d-c48a-47e0-b91d-576c52e6819c","TCGA-HU-A4H4-01A")</f>
        <v>TCGA-HU-A4H4-01A</v>
      </c>
      <c r="I18832" t="s">
        <v>574</v>
      </c>
      <c r="J18832" t="s">
        <v>575</v>
      </c>
      <c r="K18832" t="s">
        <v>33</v>
      </c>
      <c r="L18832" t="s">
        <v>246</v>
      </c>
      <c r="N18832" t="s">
        <v>29</v>
      </c>
    </row>
    <row r="18833" spans="1:14">
      <c r="A18833" s="4" t="str">
        <f t="shared" si="1327"/>
        <v>EXP00440</v>
      </c>
      <c r="B18833" s="3" t="s">
        <v>66</v>
      </c>
      <c r="C18833" s="4" t="str">
        <f t="shared" si="1326"/>
        <v>TCGA-STAD</v>
      </c>
      <c r="D18833" s="1" t="s">
        <v>493</v>
      </c>
      <c r="E18833" t="s">
        <v>579</v>
      </c>
      <c r="F18833" s="1">
        <v>2</v>
      </c>
      <c r="G18833" s="1" t="s">
        <v>32</v>
      </c>
      <c r="H18833" s="4" t="str">
        <f>HYPERLINK("https://portal.gdc.cancer.gov/cases/d262fdf0-30bf-4618-9342-de5a2a053828","TCGA-HU-A4H5-01A")</f>
        <v>TCGA-HU-A4H5-01A</v>
      </c>
      <c r="I18833" t="s">
        <v>574</v>
      </c>
      <c r="J18833" t="s">
        <v>575</v>
      </c>
      <c r="K18833" t="s">
        <v>33</v>
      </c>
      <c r="L18833" t="s">
        <v>246</v>
      </c>
      <c r="N18833" t="s">
        <v>29</v>
      </c>
    </row>
    <row r="18834" spans="1:14">
      <c r="A18834" s="4" t="str">
        <f t="shared" si="1327"/>
        <v>EXP00440</v>
      </c>
      <c r="B18834" s="3" t="s">
        <v>66</v>
      </c>
      <c r="C18834" s="4" t="str">
        <f t="shared" si="1326"/>
        <v>TCGA-STAD</v>
      </c>
      <c r="D18834" s="1" t="s">
        <v>493</v>
      </c>
      <c r="E18834" t="s">
        <v>579</v>
      </c>
      <c r="F18834" s="1">
        <v>2</v>
      </c>
      <c r="G18834" s="1" t="s">
        <v>32</v>
      </c>
      <c r="H18834" s="4" t="str">
        <f>HYPERLINK("https://portal.gdc.cancer.gov/cases/416fd59b-a4f8-4610-9f8b-473cb5c04a4a","TCGA-HU-A4H6-01A")</f>
        <v>TCGA-HU-A4H6-01A</v>
      </c>
      <c r="I18834" t="s">
        <v>574</v>
      </c>
      <c r="J18834" t="s">
        <v>575</v>
      </c>
      <c r="K18834" t="s">
        <v>33</v>
      </c>
      <c r="L18834" t="s">
        <v>246</v>
      </c>
      <c r="N18834" t="s">
        <v>29</v>
      </c>
    </row>
    <row r="18835" spans="1:14">
      <c r="A18835" s="4" t="str">
        <f t="shared" si="1327"/>
        <v>EXP00440</v>
      </c>
      <c r="B18835" s="3" t="s">
        <v>66</v>
      </c>
      <c r="C18835" s="4" t="str">
        <f t="shared" si="1326"/>
        <v>TCGA-STAD</v>
      </c>
      <c r="D18835" s="1" t="s">
        <v>493</v>
      </c>
      <c r="E18835" t="s">
        <v>579</v>
      </c>
      <c r="F18835" s="1">
        <v>2</v>
      </c>
      <c r="G18835" s="1" t="s">
        <v>32</v>
      </c>
      <c r="H18835" s="4" t="str">
        <f>HYPERLINK("https://portal.gdc.cancer.gov/cases/98760b3e-3075-4444-9a01-8f11935069d4","TCGA-HU-A4H8-01A")</f>
        <v>TCGA-HU-A4H8-01A</v>
      </c>
      <c r="I18835" t="s">
        <v>574</v>
      </c>
      <c r="J18835" t="s">
        <v>575</v>
      </c>
      <c r="K18835" t="s">
        <v>33</v>
      </c>
      <c r="L18835" t="s">
        <v>246</v>
      </c>
      <c r="N18835" t="s">
        <v>29</v>
      </c>
    </row>
    <row r="18836" spans="1:14">
      <c r="A18836" s="4" t="str">
        <f t="shared" si="1327"/>
        <v>EXP00440</v>
      </c>
      <c r="B18836" s="3" t="s">
        <v>66</v>
      </c>
      <c r="C18836" s="4" t="str">
        <f t="shared" si="1326"/>
        <v>TCGA-STAD</v>
      </c>
      <c r="D18836" s="1" t="s">
        <v>493</v>
      </c>
      <c r="E18836" t="s">
        <v>579</v>
      </c>
      <c r="F18836" s="1">
        <v>2</v>
      </c>
      <c r="G18836" s="1" t="s">
        <v>32</v>
      </c>
      <c r="H18836" s="4" t="str">
        <f>HYPERLINK("https://portal.gdc.cancer.gov/cases/36e36773-1d03-4ed0-ae31-1c0ca55577a4","TCGA-HU-A4HB-01A")</f>
        <v>TCGA-HU-A4HB-01A</v>
      </c>
      <c r="I18836" t="s">
        <v>574</v>
      </c>
      <c r="J18836" t="s">
        <v>575</v>
      </c>
      <c r="K18836" t="s">
        <v>33</v>
      </c>
      <c r="L18836" t="s">
        <v>246</v>
      </c>
      <c r="N18836" t="s">
        <v>29</v>
      </c>
    </row>
    <row r="18837" spans="1:14">
      <c r="A18837" s="4" t="str">
        <f t="shared" si="1327"/>
        <v>EXP00440</v>
      </c>
      <c r="B18837" s="3" t="s">
        <v>66</v>
      </c>
      <c r="C18837" s="4" t="str">
        <f t="shared" si="1326"/>
        <v>TCGA-STAD</v>
      </c>
      <c r="D18837" s="1" t="s">
        <v>493</v>
      </c>
      <c r="E18837" t="s">
        <v>579</v>
      </c>
      <c r="F18837" s="1">
        <v>2</v>
      </c>
      <c r="G18837" s="1" t="s">
        <v>32</v>
      </c>
      <c r="H18837" s="4" t="str">
        <f>HYPERLINK("https://portal.gdc.cancer.gov/cases/d807a1c0-f586-4f13-b8ef-3f79ab3d4b70","TCGA-HU-A4HD-01A")</f>
        <v>TCGA-HU-A4HD-01A</v>
      </c>
      <c r="I18837" t="s">
        <v>574</v>
      </c>
      <c r="J18837" t="s">
        <v>575</v>
      </c>
      <c r="K18837" t="s">
        <v>33</v>
      </c>
      <c r="L18837" t="s">
        <v>246</v>
      </c>
      <c r="N18837" t="s">
        <v>29</v>
      </c>
    </row>
    <row r="18838" spans="1:14">
      <c r="A18838" s="4" t="str">
        <f t="shared" si="1327"/>
        <v>EXP00440</v>
      </c>
      <c r="B18838" s="3" t="s">
        <v>66</v>
      </c>
      <c r="C18838" s="4" t="str">
        <f t="shared" si="1326"/>
        <v>TCGA-STAD</v>
      </c>
      <c r="D18838" s="1" t="s">
        <v>493</v>
      </c>
      <c r="E18838" t="s">
        <v>579</v>
      </c>
      <c r="F18838" s="1">
        <v>2</v>
      </c>
      <c r="G18838" s="1" t="s">
        <v>32</v>
      </c>
      <c r="H18838" s="4" t="str">
        <f>HYPERLINK("https://portal.gdc.cancer.gov/cases/87c217d4-66f4-46ca-8244-7856ce658fd3","TCGA-IN-7806-01A")</f>
        <v>TCGA-IN-7806-01A</v>
      </c>
      <c r="I18838" t="s">
        <v>574</v>
      </c>
      <c r="J18838" t="s">
        <v>575</v>
      </c>
      <c r="K18838" t="s">
        <v>33</v>
      </c>
      <c r="L18838" t="s">
        <v>246</v>
      </c>
      <c r="N18838" t="s">
        <v>29</v>
      </c>
    </row>
    <row r="18839" spans="1:14">
      <c r="A18839" s="4" t="str">
        <f t="shared" si="1327"/>
        <v>EXP00440</v>
      </c>
      <c r="B18839" s="3" t="s">
        <v>66</v>
      </c>
      <c r="C18839" s="4" t="str">
        <f t="shared" si="1326"/>
        <v>TCGA-STAD</v>
      </c>
      <c r="D18839" s="1" t="s">
        <v>493</v>
      </c>
      <c r="E18839" t="s">
        <v>579</v>
      </c>
      <c r="F18839" s="1">
        <v>2</v>
      </c>
      <c r="G18839" s="1" t="s">
        <v>32</v>
      </c>
      <c r="H18839" s="4" t="str">
        <f>HYPERLINK("https://portal.gdc.cancer.gov/cases/8f9be4e3-a1e5-4fa3-8d31-a53de781ed97","TCGA-IN-7808-01A")</f>
        <v>TCGA-IN-7808-01A</v>
      </c>
      <c r="I18839" t="s">
        <v>574</v>
      </c>
      <c r="J18839" t="s">
        <v>575</v>
      </c>
      <c r="K18839" t="s">
        <v>33</v>
      </c>
      <c r="L18839" t="s">
        <v>246</v>
      </c>
      <c r="N18839" t="s">
        <v>29</v>
      </c>
    </row>
    <row r="18840" spans="1:14">
      <c r="A18840" s="4" t="str">
        <f t="shared" si="1327"/>
        <v>EXP00440</v>
      </c>
      <c r="B18840" s="3" t="s">
        <v>66</v>
      </c>
      <c r="C18840" s="4" t="str">
        <f t="shared" si="1326"/>
        <v>TCGA-STAD</v>
      </c>
      <c r="D18840" s="1" t="s">
        <v>493</v>
      </c>
      <c r="E18840" t="s">
        <v>579</v>
      </c>
      <c r="F18840" s="1">
        <v>2</v>
      </c>
      <c r="G18840" s="1" t="s">
        <v>32</v>
      </c>
      <c r="H18840" s="4" t="str">
        <f>HYPERLINK("https://portal.gdc.cancer.gov/cases/ba3911e6-2208-4a04-8891-b5cba9fda6bf","TCGA-IN-8462-01A")</f>
        <v>TCGA-IN-8462-01A</v>
      </c>
      <c r="I18840" t="s">
        <v>574</v>
      </c>
      <c r="J18840" t="s">
        <v>575</v>
      </c>
      <c r="K18840" t="s">
        <v>33</v>
      </c>
      <c r="L18840" t="s">
        <v>246</v>
      </c>
      <c r="N18840" t="s">
        <v>29</v>
      </c>
    </row>
    <row r="18841" spans="1:14">
      <c r="A18841" s="4" t="str">
        <f t="shared" si="1327"/>
        <v>EXP00440</v>
      </c>
      <c r="B18841" s="3" t="s">
        <v>66</v>
      </c>
      <c r="C18841" s="4" t="str">
        <f t="shared" si="1326"/>
        <v>TCGA-STAD</v>
      </c>
      <c r="D18841" s="1" t="s">
        <v>493</v>
      </c>
      <c r="E18841" t="s">
        <v>579</v>
      </c>
      <c r="F18841" s="1">
        <v>2</v>
      </c>
      <c r="G18841" s="1" t="s">
        <v>32</v>
      </c>
      <c r="H18841" s="4" t="str">
        <f>HYPERLINK("https://portal.gdc.cancer.gov/cases/d5550422-dc4b-4ebf-acb5-aa5243fff49f","TCGA-IN-8663-01A")</f>
        <v>TCGA-IN-8663-01A</v>
      </c>
      <c r="I18841" t="s">
        <v>574</v>
      </c>
      <c r="J18841" t="s">
        <v>575</v>
      </c>
      <c r="K18841" t="s">
        <v>33</v>
      </c>
      <c r="L18841" t="s">
        <v>246</v>
      </c>
      <c r="N18841" t="s">
        <v>29</v>
      </c>
    </row>
    <row r="18842" spans="1:14">
      <c r="A18842" s="4" t="str">
        <f t="shared" si="1327"/>
        <v>EXP00440</v>
      </c>
      <c r="B18842" s="3" t="s">
        <v>66</v>
      </c>
      <c r="C18842" s="4" t="str">
        <f t="shared" si="1326"/>
        <v>TCGA-STAD</v>
      </c>
      <c r="D18842" s="1" t="s">
        <v>493</v>
      </c>
      <c r="E18842" t="s">
        <v>579</v>
      </c>
      <c r="F18842" s="1">
        <v>2</v>
      </c>
      <c r="G18842" s="1" t="s">
        <v>32</v>
      </c>
      <c r="H18842" s="4" t="str">
        <f>HYPERLINK("https://portal.gdc.cancer.gov/cases/ec178822-d719-4e98-b864-16ec5aa005a4","TCGA-IN-A6RI-01A")</f>
        <v>TCGA-IN-A6RI-01A</v>
      </c>
      <c r="I18842" t="s">
        <v>574</v>
      </c>
      <c r="J18842" t="s">
        <v>575</v>
      </c>
      <c r="K18842" t="s">
        <v>33</v>
      </c>
      <c r="L18842" t="s">
        <v>246</v>
      </c>
      <c r="N18842" t="s">
        <v>29</v>
      </c>
    </row>
    <row r="18843" spans="1:14">
      <c r="A18843" s="4" t="str">
        <f t="shared" si="1327"/>
        <v>EXP00440</v>
      </c>
      <c r="B18843" s="3" t="s">
        <v>66</v>
      </c>
      <c r="C18843" s="4" t="str">
        <f t="shared" si="1326"/>
        <v>TCGA-STAD</v>
      </c>
      <c r="D18843" s="1" t="s">
        <v>493</v>
      </c>
      <c r="E18843" t="s">
        <v>579</v>
      </c>
      <c r="F18843" s="1">
        <v>2</v>
      </c>
      <c r="G18843" s="1" t="s">
        <v>32</v>
      </c>
      <c r="H18843" s="4" t="str">
        <f>HYPERLINK("https://portal.gdc.cancer.gov/cases/2a665611-2464-4fef-8ce8-17c966fc74a5","TCGA-IN-A6RJ-01A")</f>
        <v>TCGA-IN-A6RJ-01A</v>
      </c>
      <c r="I18843" t="s">
        <v>574</v>
      </c>
      <c r="J18843" t="s">
        <v>575</v>
      </c>
      <c r="K18843" t="s">
        <v>33</v>
      </c>
      <c r="L18843" t="s">
        <v>246</v>
      </c>
      <c r="N18843" t="s">
        <v>29</v>
      </c>
    </row>
    <row r="18844" spans="1:14">
      <c r="A18844" s="4" t="str">
        <f t="shared" si="1327"/>
        <v>EXP00440</v>
      </c>
      <c r="B18844" s="3" t="s">
        <v>66</v>
      </c>
      <c r="C18844" s="4" t="str">
        <f t="shared" si="1326"/>
        <v>TCGA-STAD</v>
      </c>
      <c r="D18844" s="1" t="s">
        <v>493</v>
      </c>
      <c r="E18844" t="s">
        <v>579</v>
      </c>
      <c r="F18844" s="1">
        <v>2</v>
      </c>
      <c r="G18844" s="1" t="s">
        <v>32</v>
      </c>
      <c r="H18844" s="4" t="str">
        <f>HYPERLINK("https://portal.gdc.cancer.gov/cases/d8daf273-5334-4be0-b9e0-cc0004552544","TCGA-IN-A6RL-01A")</f>
        <v>TCGA-IN-A6RL-01A</v>
      </c>
      <c r="I18844" t="s">
        <v>574</v>
      </c>
      <c r="J18844" t="s">
        <v>575</v>
      </c>
      <c r="K18844" t="s">
        <v>33</v>
      </c>
      <c r="L18844" t="s">
        <v>246</v>
      </c>
      <c r="N18844" t="s">
        <v>29</v>
      </c>
    </row>
    <row r="18845" spans="1:14">
      <c r="A18845" s="4" t="str">
        <f t="shared" si="1327"/>
        <v>EXP00440</v>
      </c>
      <c r="B18845" s="3" t="s">
        <v>66</v>
      </c>
      <c r="C18845" s="4" t="str">
        <f t="shared" si="1326"/>
        <v>TCGA-STAD</v>
      </c>
      <c r="D18845" s="1" t="s">
        <v>493</v>
      </c>
      <c r="E18845" t="s">
        <v>579</v>
      </c>
      <c r="F18845" s="1">
        <v>2</v>
      </c>
      <c r="G18845" s="1" t="s">
        <v>32</v>
      </c>
      <c r="H18845" s="4" t="str">
        <f>HYPERLINK("https://portal.gdc.cancer.gov/cases/d2e49fe3-fc7c-47c5-aa1f-b6b06d10951a","TCGA-IN-A6RN-01A")</f>
        <v>TCGA-IN-A6RN-01A</v>
      </c>
      <c r="I18845" t="s">
        <v>574</v>
      </c>
      <c r="J18845" t="s">
        <v>575</v>
      </c>
      <c r="K18845" t="s">
        <v>33</v>
      </c>
      <c r="L18845" t="s">
        <v>246</v>
      </c>
      <c r="N18845" t="s">
        <v>29</v>
      </c>
    </row>
    <row r="18846" spans="1:14">
      <c r="A18846" s="4" t="str">
        <f t="shared" si="1327"/>
        <v>EXP00440</v>
      </c>
      <c r="B18846" s="3" t="s">
        <v>66</v>
      </c>
      <c r="C18846" s="4" t="str">
        <f t="shared" si="1326"/>
        <v>TCGA-STAD</v>
      </c>
      <c r="D18846" s="1" t="s">
        <v>493</v>
      </c>
      <c r="E18846" t="s">
        <v>579</v>
      </c>
      <c r="F18846" s="1">
        <v>2</v>
      </c>
      <c r="G18846" s="1" t="s">
        <v>32</v>
      </c>
      <c r="H18846" s="4" t="str">
        <f>HYPERLINK("https://portal.gdc.cancer.gov/cases/2ae1706b-c0f7-40e3-afe5-cb75d1584b96","TCGA-IN-A6RO-01A")</f>
        <v>TCGA-IN-A6RO-01A</v>
      </c>
      <c r="I18846" t="s">
        <v>574</v>
      </c>
      <c r="J18846" t="s">
        <v>575</v>
      </c>
      <c r="K18846" t="s">
        <v>33</v>
      </c>
      <c r="L18846" t="s">
        <v>246</v>
      </c>
      <c r="N18846" t="s">
        <v>29</v>
      </c>
    </row>
    <row r="18847" spans="1:14">
      <c r="A18847" s="4" t="str">
        <f t="shared" si="1327"/>
        <v>EXP00440</v>
      </c>
      <c r="B18847" s="3" t="s">
        <v>66</v>
      </c>
      <c r="C18847" s="4" t="str">
        <f t="shared" si="1326"/>
        <v>TCGA-STAD</v>
      </c>
      <c r="D18847" s="1" t="s">
        <v>493</v>
      </c>
      <c r="E18847" t="s">
        <v>579</v>
      </c>
      <c r="F18847" s="1">
        <v>2</v>
      </c>
      <c r="G18847" s="1" t="s">
        <v>32</v>
      </c>
      <c r="H18847" s="4" t="str">
        <f>HYPERLINK("https://portal.gdc.cancer.gov/cases/7ab5a708-803f-4d8c-9b25-645f06851a26","TCGA-IN-A6RR-01A")</f>
        <v>TCGA-IN-A6RR-01A</v>
      </c>
      <c r="I18847" t="s">
        <v>574</v>
      </c>
      <c r="J18847" t="s">
        <v>575</v>
      </c>
      <c r="K18847" t="s">
        <v>33</v>
      </c>
      <c r="L18847" t="s">
        <v>246</v>
      </c>
      <c r="N18847" t="s">
        <v>29</v>
      </c>
    </row>
    <row r="18848" spans="1:14">
      <c r="A18848" s="4" t="str">
        <f t="shared" si="1327"/>
        <v>EXP00440</v>
      </c>
      <c r="B18848" s="3" t="s">
        <v>66</v>
      </c>
      <c r="C18848" s="4" t="str">
        <f t="shared" si="1326"/>
        <v>TCGA-STAD</v>
      </c>
      <c r="D18848" s="1" t="s">
        <v>493</v>
      </c>
      <c r="E18848" t="s">
        <v>579</v>
      </c>
      <c r="F18848" s="1">
        <v>2</v>
      </c>
      <c r="G18848" s="1" t="s">
        <v>32</v>
      </c>
      <c r="H18848" s="4" t="str">
        <f>HYPERLINK("https://portal.gdc.cancer.gov/cases/baf9a42a-e39e-4aac-b7b5-1b63b7fa1435","TCGA-IN-A6RS-01A")</f>
        <v>TCGA-IN-A6RS-01A</v>
      </c>
      <c r="I18848" t="s">
        <v>574</v>
      </c>
      <c r="J18848" t="s">
        <v>575</v>
      </c>
      <c r="K18848" t="s">
        <v>33</v>
      </c>
      <c r="L18848" t="s">
        <v>246</v>
      </c>
      <c r="N18848" t="s">
        <v>29</v>
      </c>
    </row>
    <row r="18849" spans="1:14">
      <c r="A18849" s="4" t="str">
        <f t="shared" si="1327"/>
        <v>EXP00440</v>
      </c>
      <c r="B18849" s="3" t="s">
        <v>66</v>
      </c>
      <c r="C18849" s="4" t="str">
        <f t="shared" si="1326"/>
        <v>TCGA-STAD</v>
      </c>
      <c r="D18849" s="1" t="s">
        <v>493</v>
      </c>
      <c r="E18849" t="s">
        <v>579</v>
      </c>
      <c r="F18849" s="1">
        <v>2</v>
      </c>
      <c r="G18849" s="1" t="s">
        <v>32</v>
      </c>
      <c r="H18849" s="4" t="str">
        <f>HYPERLINK("https://portal.gdc.cancer.gov/cases/f74df45f-8cfd-4da8-bf84-7b1c80dc57eb","TCGA-IN-A7NR-01A")</f>
        <v>TCGA-IN-A7NR-01A</v>
      </c>
      <c r="I18849" t="s">
        <v>574</v>
      </c>
      <c r="J18849" t="s">
        <v>575</v>
      </c>
      <c r="K18849" t="s">
        <v>33</v>
      </c>
      <c r="L18849" t="s">
        <v>246</v>
      </c>
      <c r="N18849" t="s">
        <v>29</v>
      </c>
    </row>
    <row r="18850" spans="1:14">
      <c r="A18850" s="4" t="str">
        <f t="shared" si="1327"/>
        <v>EXP00440</v>
      </c>
      <c r="B18850" s="3" t="s">
        <v>66</v>
      </c>
      <c r="C18850" s="4" t="str">
        <f t="shared" si="1326"/>
        <v>TCGA-STAD</v>
      </c>
      <c r="D18850" s="1" t="s">
        <v>493</v>
      </c>
      <c r="E18850" t="s">
        <v>579</v>
      </c>
      <c r="F18850" s="1">
        <v>2</v>
      </c>
      <c r="G18850" s="1" t="s">
        <v>32</v>
      </c>
      <c r="H18850" s="4" t="str">
        <f>HYPERLINK("https://portal.gdc.cancer.gov/cases/53108d62-6b7c-429f-9fec-474781174968","TCGA-IN-A7NT-01A")</f>
        <v>TCGA-IN-A7NT-01A</v>
      </c>
      <c r="I18850" t="s">
        <v>574</v>
      </c>
      <c r="J18850" t="s">
        <v>575</v>
      </c>
      <c r="K18850" t="s">
        <v>33</v>
      </c>
      <c r="L18850" t="s">
        <v>246</v>
      </c>
      <c r="N18850" t="s">
        <v>29</v>
      </c>
    </row>
    <row r="18851" spans="1:14">
      <c r="A18851" s="4" t="str">
        <f t="shared" si="1327"/>
        <v>EXP00440</v>
      </c>
      <c r="B18851" s="3" t="s">
        <v>66</v>
      </c>
      <c r="C18851" s="4" t="str">
        <f t="shared" si="1326"/>
        <v>TCGA-STAD</v>
      </c>
      <c r="D18851" s="1" t="s">
        <v>493</v>
      </c>
      <c r="E18851" t="s">
        <v>579</v>
      </c>
      <c r="F18851" s="1">
        <v>2</v>
      </c>
      <c r="G18851" s="1" t="s">
        <v>32</v>
      </c>
      <c r="H18851" s="4" t="str">
        <f>HYPERLINK("https://portal.gdc.cancer.gov/cases/26a5e389-8ec2-4316-beea-f9a63d455b73","TCGA-IN-A7NU-01A")</f>
        <v>TCGA-IN-A7NU-01A</v>
      </c>
      <c r="I18851" t="s">
        <v>574</v>
      </c>
      <c r="J18851" t="s">
        <v>575</v>
      </c>
      <c r="K18851" t="s">
        <v>33</v>
      </c>
      <c r="L18851" t="s">
        <v>246</v>
      </c>
      <c r="N18851" t="s">
        <v>29</v>
      </c>
    </row>
    <row r="18852" spans="1:14">
      <c r="A18852" s="4" t="str">
        <f t="shared" si="1327"/>
        <v>EXP00440</v>
      </c>
      <c r="B18852" s="3" t="s">
        <v>66</v>
      </c>
      <c r="C18852" s="4" t="str">
        <f t="shared" si="1326"/>
        <v>TCGA-STAD</v>
      </c>
      <c r="D18852" s="1" t="s">
        <v>493</v>
      </c>
      <c r="E18852" t="s">
        <v>579</v>
      </c>
      <c r="F18852" s="1">
        <v>2</v>
      </c>
      <c r="G18852" s="1" t="s">
        <v>32</v>
      </c>
      <c r="H18852" s="4" t="str">
        <f>HYPERLINK("https://portal.gdc.cancer.gov/cases/ddcc73bf-b10f-4fab-96d4-3077947fcd2d","TCGA-IN-AB1V-01A")</f>
        <v>TCGA-IN-AB1V-01A</v>
      </c>
      <c r="I18852" t="s">
        <v>574</v>
      </c>
      <c r="J18852" t="s">
        <v>575</v>
      </c>
      <c r="K18852" t="s">
        <v>33</v>
      </c>
      <c r="L18852" t="s">
        <v>246</v>
      </c>
      <c r="N18852" t="s">
        <v>29</v>
      </c>
    </row>
    <row r="18853" spans="1:14">
      <c r="A18853" s="4" t="str">
        <f t="shared" si="1327"/>
        <v>EXP00440</v>
      </c>
      <c r="B18853" s="3" t="s">
        <v>66</v>
      </c>
      <c r="C18853" s="4" t="str">
        <f t="shared" si="1326"/>
        <v>TCGA-STAD</v>
      </c>
      <c r="D18853" s="1" t="s">
        <v>493</v>
      </c>
      <c r="E18853" t="s">
        <v>579</v>
      </c>
      <c r="F18853" s="1">
        <v>2</v>
      </c>
      <c r="G18853" s="1" t="s">
        <v>32</v>
      </c>
      <c r="H18853" s="4" t="str">
        <f>HYPERLINK("https://portal.gdc.cancer.gov/cases/1e5a3796-6249-4a91-9fc8-0c273e337f29","TCGA-IN-AB1X-01A")</f>
        <v>TCGA-IN-AB1X-01A</v>
      </c>
      <c r="I18853" t="s">
        <v>574</v>
      </c>
      <c r="J18853" t="s">
        <v>575</v>
      </c>
      <c r="K18853" t="s">
        <v>33</v>
      </c>
      <c r="L18853" t="s">
        <v>246</v>
      </c>
      <c r="N18853" t="s">
        <v>29</v>
      </c>
    </row>
    <row r="18854" spans="1:14">
      <c r="A18854" s="4" t="str">
        <f t="shared" si="1327"/>
        <v>EXP00440</v>
      </c>
      <c r="B18854" s="3" t="s">
        <v>66</v>
      </c>
      <c r="C18854" s="4" t="str">
        <f t="shared" si="1326"/>
        <v>TCGA-STAD</v>
      </c>
      <c r="D18854" s="1" t="s">
        <v>493</v>
      </c>
      <c r="E18854" t="s">
        <v>579</v>
      </c>
      <c r="F18854" s="1">
        <v>2</v>
      </c>
      <c r="G18854" s="1" t="s">
        <v>32</v>
      </c>
      <c r="H18854" s="4" t="str">
        <f>HYPERLINK("https://portal.gdc.cancer.gov/cases/faf5f1e3-9f7d-4a9d-a005-6cad5e4becf7","TCGA-IP-7968-01A")</f>
        <v>TCGA-IP-7968-01A</v>
      </c>
      <c r="I18854" t="s">
        <v>574</v>
      </c>
      <c r="J18854" t="s">
        <v>575</v>
      </c>
      <c r="K18854" t="s">
        <v>33</v>
      </c>
      <c r="L18854" t="s">
        <v>246</v>
      </c>
      <c r="N18854" t="s">
        <v>29</v>
      </c>
    </row>
    <row r="18855" spans="1:14">
      <c r="A18855" s="4" t="str">
        <f t="shared" si="1327"/>
        <v>EXP00440</v>
      </c>
      <c r="B18855" s="3" t="s">
        <v>66</v>
      </c>
      <c r="C18855" s="4" t="str">
        <f t="shared" si="1326"/>
        <v>TCGA-STAD</v>
      </c>
      <c r="D18855" s="1" t="s">
        <v>493</v>
      </c>
      <c r="E18855" t="s">
        <v>579</v>
      </c>
      <c r="F18855" s="1">
        <v>2</v>
      </c>
      <c r="G18855" s="1" t="s">
        <v>32</v>
      </c>
      <c r="H18855" s="4" t="str">
        <f>HYPERLINK("https://portal.gdc.cancer.gov/cases/197d01a5-321c-461e-9b45-b359288b959a","TCGA-KB-A6F7-01A")</f>
        <v>TCGA-KB-A6F7-01A</v>
      </c>
      <c r="I18855" t="s">
        <v>574</v>
      </c>
      <c r="J18855" t="s">
        <v>575</v>
      </c>
      <c r="K18855" t="s">
        <v>33</v>
      </c>
      <c r="L18855" t="s">
        <v>246</v>
      </c>
      <c r="N18855" t="s">
        <v>29</v>
      </c>
    </row>
    <row r="18856" spans="1:14">
      <c r="A18856" s="4" t="str">
        <f t="shared" si="1327"/>
        <v>EXP00440</v>
      </c>
      <c r="B18856" s="3" t="s">
        <v>66</v>
      </c>
      <c r="C18856" s="4" t="str">
        <f t="shared" ref="C18856:C18919" si="1328">HYPERLINK("https://portal.gdc.cancer.gov/projects/TCGA-STAD","TCGA-STAD")</f>
        <v>TCGA-STAD</v>
      </c>
      <c r="D18856" s="1" t="s">
        <v>493</v>
      </c>
      <c r="E18856" t="s">
        <v>579</v>
      </c>
      <c r="F18856" s="1">
        <v>2</v>
      </c>
      <c r="G18856" s="1" t="s">
        <v>32</v>
      </c>
      <c r="H18856" s="4" t="str">
        <f>HYPERLINK("https://portal.gdc.cancer.gov/cases/5f263b2c-3385-4d07-99c2-d7b613c4a470","TCGA-KB-A93J-01A")</f>
        <v>TCGA-KB-A93J-01A</v>
      </c>
      <c r="I18856" t="s">
        <v>574</v>
      </c>
      <c r="J18856" t="s">
        <v>575</v>
      </c>
      <c r="K18856" t="s">
        <v>33</v>
      </c>
      <c r="L18856" t="s">
        <v>246</v>
      </c>
      <c r="N18856" t="s">
        <v>29</v>
      </c>
    </row>
    <row r="18857" spans="1:14">
      <c r="A18857" s="4" t="str">
        <f t="shared" si="1327"/>
        <v>EXP00440</v>
      </c>
      <c r="B18857" s="3" t="s">
        <v>66</v>
      </c>
      <c r="C18857" s="4" t="str">
        <f t="shared" si="1328"/>
        <v>TCGA-STAD</v>
      </c>
      <c r="D18857" s="1" t="s">
        <v>493</v>
      </c>
      <c r="E18857" t="s">
        <v>579</v>
      </c>
      <c r="F18857" s="1">
        <v>2</v>
      </c>
      <c r="G18857" s="1" t="s">
        <v>32</v>
      </c>
      <c r="H18857" s="4" t="str">
        <f>HYPERLINK("https://portal.gdc.cancer.gov/cases/f72a26e8-7f96-4d86-b37b-7dc35f681133","TCGA-MX-A5UG-01A")</f>
        <v>TCGA-MX-A5UG-01A</v>
      </c>
      <c r="I18857" t="s">
        <v>574</v>
      </c>
      <c r="J18857" t="s">
        <v>575</v>
      </c>
      <c r="K18857" t="s">
        <v>33</v>
      </c>
      <c r="L18857" t="s">
        <v>246</v>
      </c>
      <c r="N18857" t="s">
        <v>29</v>
      </c>
    </row>
    <row r="18858" spans="1:14">
      <c r="A18858" s="4" t="str">
        <f t="shared" si="1327"/>
        <v>EXP00440</v>
      </c>
      <c r="B18858" s="3" t="s">
        <v>66</v>
      </c>
      <c r="C18858" s="4" t="str">
        <f t="shared" si="1328"/>
        <v>TCGA-STAD</v>
      </c>
      <c r="D18858" s="1" t="s">
        <v>493</v>
      </c>
      <c r="E18858" t="s">
        <v>579</v>
      </c>
      <c r="F18858" s="1">
        <v>2</v>
      </c>
      <c r="G18858" s="1" t="s">
        <v>32</v>
      </c>
      <c r="H18858" s="4" t="str">
        <f>HYPERLINK("https://portal.gdc.cancer.gov/cases/43e3fbf3-7812-45fb-bf4c-ce22a2aa1eee","TCGA-MX-A5UJ-01A")</f>
        <v>TCGA-MX-A5UJ-01A</v>
      </c>
      <c r="I18858" t="s">
        <v>574</v>
      </c>
      <c r="J18858" t="s">
        <v>575</v>
      </c>
      <c r="K18858" t="s">
        <v>33</v>
      </c>
      <c r="L18858" t="s">
        <v>246</v>
      </c>
      <c r="N18858" t="s">
        <v>29</v>
      </c>
    </row>
    <row r="18859" spans="1:14">
      <c r="A18859" s="4" t="str">
        <f t="shared" si="1327"/>
        <v>EXP00440</v>
      </c>
      <c r="B18859" s="3" t="s">
        <v>66</v>
      </c>
      <c r="C18859" s="4" t="str">
        <f t="shared" si="1328"/>
        <v>TCGA-STAD</v>
      </c>
      <c r="D18859" s="1" t="s">
        <v>493</v>
      </c>
      <c r="E18859" t="s">
        <v>579</v>
      </c>
      <c r="F18859" s="1">
        <v>2</v>
      </c>
      <c r="G18859" s="1" t="s">
        <v>32</v>
      </c>
      <c r="H18859" s="4" t="str">
        <f>HYPERLINK("https://portal.gdc.cancer.gov/cases/e9d0aa8b-9ef4-40f7-8254-38fdce349bee","TCGA-MX-A663-01A")</f>
        <v>TCGA-MX-A663-01A</v>
      </c>
      <c r="I18859" t="s">
        <v>574</v>
      </c>
      <c r="J18859" t="s">
        <v>575</v>
      </c>
      <c r="K18859" t="s">
        <v>33</v>
      </c>
      <c r="L18859" t="s">
        <v>246</v>
      </c>
      <c r="N18859" t="s">
        <v>29</v>
      </c>
    </row>
    <row r="18860" spans="1:14">
      <c r="A18860" s="4" t="str">
        <f t="shared" si="1327"/>
        <v>EXP00440</v>
      </c>
      <c r="B18860" s="3" t="s">
        <v>66</v>
      </c>
      <c r="C18860" s="4" t="str">
        <f t="shared" si="1328"/>
        <v>TCGA-STAD</v>
      </c>
      <c r="D18860" s="1" t="s">
        <v>493</v>
      </c>
      <c r="E18860" t="s">
        <v>579</v>
      </c>
      <c r="F18860" s="1">
        <v>2</v>
      </c>
      <c r="G18860" s="1" t="s">
        <v>32</v>
      </c>
      <c r="H18860" s="4" t="str">
        <f>HYPERLINK("https://portal.gdc.cancer.gov/cases/d04e2e8c-9d58-4514-8ab7-3642289d4de0","TCGA-MX-A666-01A")</f>
        <v>TCGA-MX-A666-01A</v>
      </c>
      <c r="I18860" t="s">
        <v>574</v>
      </c>
      <c r="J18860" t="s">
        <v>575</v>
      </c>
      <c r="K18860" t="s">
        <v>33</v>
      </c>
      <c r="L18860" t="s">
        <v>246</v>
      </c>
      <c r="N18860" t="s">
        <v>29</v>
      </c>
    </row>
    <row r="18861" spans="1:14">
      <c r="A18861" s="4" t="str">
        <f t="shared" si="1327"/>
        <v>EXP00440</v>
      </c>
      <c r="B18861" s="3" t="s">
        <v>66</v>
      </c>
      <c r="C18861" s="4" t="str">
        <f t="shared" si="1328"/>
        <v>TCGA-STAD</v>
      </c>
      <c r="D18861" s="1" t="s">
        <v>493</v>
      </c>
      <c r="E18861" t="s">
        <v>579</v>
      </c>
      <c r="F18861" s="1">
        <v>2</v>
      </c>
      <c r="G18861" s="1" t="s">
        <v>32</v>
      </c>
      <c r="H18861" s="4" t="str">
        <f>HYPERLINK("https://portal.gdc.cancer.gov/cases/3bfa8069-6ca3-4405-9e32-11aa16b010ac","TCGA-R5-A7O7-01A")</f>
        <v>TCGA-R5-A7O7-01A</v>
      </c>
      <c r="I18861" t="s">
        <v>574</v>
      </c>
      <c r="J18861" t="s">
        <v>575</v>
      </c>
      <c r="K18861" t="s">
        <v>33</v>
      </c>
      <c r="L18861" t="s">
        <v>246</v>
      </c>
      <c r="N18861" t="s">
        <v>29</v>
      </c>
    </row>
    <row r="18862" spans="1:14">
      <c r="A18862" s="4" t="str">
        <f t="shared" si="1327"/>
        <v>EXP00440</v>
      </c>
      <c r="B18862" s="3" t="s">
        <v>66</v>
      </c>
      <c r="C18862" s="4" t="str">
        <f t="shared" si="1328"/>
        <v>TCGA-STAD</v>
      </c>
      <c r="D18862" s="1" t="s">
        <v>493</v>
      </c>
      <c r="E18862" t="s">
        <v>579</v>
      </c>
      <c r="F18862" s="1">
        <v>2</v>
      </c>
      <c r="G18862" s="1" t="s">
        <v>32</v>
      </c>
      <c r="H18862" s="4" t="str">
        <f>HYPERLINK("https://portal.gdc.cancer.gov/cases/7bef9122-0fb4-4f2e-bb6e-67eddc3ea9af","TCGA-R5-A7ZE-01B")</f>
        <v>TCGA-R5-A7ZE-01B</v>
      </c>
      <c r="I18862" t="s">
        <v>574</v>
      </c>
      <c r="J18862" t="s">
        <v>575</v>
      </c>
      <c r="K18862" t="s">
        <v>33</v>
      </c>
      <c r="L18862" t="s">
        <v>246</v>
      </c>
      <c r="N18862" t="s">
        <v>29</v>
      </c>
    </row>
    <row r="18863" spans="1:14">
      <c r="A18863" s="4" t="str">
        <f t="shared" si="1327"/>
        <v>EXP00440</v>
      </c>
      <c r="B18863" s="3" t="s">
        <v>66</v>
      </c>
      <c r="C18863" s="4" t="str">
        <f t="shared" si="1328"/>
        <v>TCGA-STAD</v>
      </c>
      <c r="D18863" s="1" t="s">
        <v>493</v>
      </c>
      <c r="E18863" t="s">
        <v>579</v>
      </c>
      <c r="F18863" s="1">
        <v>2</v>
      </c>
      <c r="G18863" s="1" t="s">
        <v>32</v>
      </c>
      <c r="H18863" s="4" t="str">
        <f>HYPERLINK("https://portal.gdc.cancer.gov/cases/9745f1ca-d663-458a-86dd-024ebbf6a863","TCGA-R5-A7ZF-01A")</f>
        <v>TCGA-R5-A7ZF-01A</v>
      </c>
      <c r="I18863" t="s">
        <v>574</v>
      </c>
      <c r="J18863" t="s">
        <v>575</v>
      </c>
      <c r="K18863" t="s">
        <v>33</v>
      </c>
      <c r="L18863" t="s">
        <v>246</v>
      </c>
      <c r="N18863" t="s">
        <v>29</v>
      </c>
    </row>
    <row r="18864" spans="1:14">
      <c r="A18864" s="4" t="str">
        <f t="shared" si="1327"/>
        <v>EXP00440</v>
      </c>
      <c r="B18864" s="3" t="s">
        <v>66</v>
      </c>
      <c r="C18864" s="4" t="str">
        <f t="shared" si="1328"/>
        <v>TCGA-STAD</v>
      </c>
      <c r="D18864" s="1" t="s">
        <v>493</v>
      </c>
      <c r="E18864" t="s">
        <v>579</v>
      </c>
      <c r="F18864" s="1">
        <v>2</v>
      </c>
      <c r="G18864" s="1" t="s">
        <v>32</v>
      </c>
      <c r="H18864" s="4" t="str">
        <f>HYPERLINK("https://portal.gdc.cancer.gov/cases/b4376da2-05ca-448f-a4bb-e7b62695491a","TCGA-R5-A7ZI-01A")</f>
        <v>TCGA-R5-A7ZI-01A</v>
      </c>
      <c r="I18864" t="s">
        <v>574</v>
      </c>
      <c r="J18864" t="s">
        <v>575</v>
      </c>
      <c r="K18864" t="s">
        <v>33</v>
      </c>
      <c r="L18864" t="s">
        <v>246</v>
      </c>
      <c r="N18864" t="s">
        <v>29</v>
      </c>
    </row>
    <row r="18865" spans="1:14">
      <c r="A18865" s="4" t="str">
        <f t="shared" si="1327"/>
        <v>EXP00440</v>
      </c>
      <c r="B18865" s="3" t="s">
        <v>66</v>
      </c>
      <c r="C18865" s="4" t="str">
        <f t="shared" si="1328"/>
        <v>TCGA-STAD</v>
      </c>
      <c r="D18865" s="1" t="s">
        <v>493</v>
      </c>
      <c r="E18865" t="s">
        <v>579</v>
      </c>
      <c r="F18865" s="1">
        <v>2</v>
      </c>
      <c r="G18865" s="1" t="s">
        <v>32</v>
      </c>
      <c r="H18865" s="4" t="str">
        <f>HYPERLINK("https://portal.gdc.cancer.gov/cases/e04a05ee-f0d8-4691-84bb-d1a61e1bd77b","TCGA-R5-A7ZR-01A")</f>
        <v>TCGA-R5-A7ZR-01A</v>
      </c>
      <c r="I18865" t="s">
        <v>574</v>
      </c>
      <c r="J18865" t="s">
        <v>575</v>
      </c>
      <c r="K18865" t="s">
        <v>33</v>
      </c>
      <c r="L18865" t="s">
        <v>246</v>
      </c>
      <c r="N18865" t="s">
        <v>29</v>
      </c>
    </row>
    <row r="18866" spans="1:14">
      <c r="A18866" s="4" t="str">
        <f t="shared" si="1327"/>
        <v>EXP00440</v>
      </c>
      <c r="B18866" s="3" t="s">
        <v>66</v>
      </c>
      <c r="C18866" s="4" t="str">
        <f t="shared" si="1328"/>
        <v>TCGA-STAD</v>
      </c>
      <c r="D18866" s="1" t="s">
        <v>493</v>
      </c>
      <c r="E18866" t="s">
        <v>579</v>
      </c>
      <c r="F18866" s="1">
        <v>2</v>
      </c>
      <c r="G18866" s="1" t="s">
        <v>32</v>
      </c>
      <c r="H18866" s="4" t="str">
        <f>HYPERLINK("https://portal.gdc.cancer.gov/cases/7059ea66-93d7-4941-a35c-8a324d1ab94a","TCGA-R5-A805-01A")</f>
        <v>TCGA-R5-A805-01A</v>
      </c>
      <c r="I18866" t="s">
        <v>574</v>
      </c>
      <c r="J18866" t="s">
        <v>575</v>
      </c>
      <c r="K18866" t="s">
        <v>33</v>
      </c>
      <c r="L18866" t="s">
        <v>246</v>
      </c>
      <c r="N18866" t="s">
        <v>29</v>
      </c>
    </row>
    <row r="18867" spans="1:14">
      <c r="A18867" s="4" t="str">
        <f t="shared" si="1327"/>
        <v>EXP00440</v>
      </c>
      <c r="B18867" s="3" t="s">
        <v>66</v>
      </c>
      <c r="C18867" s="4" t="str">
        <f t="shared" si="1328"/>
        <v>TCGA-STAD</v>
      </c>
      <c r="D18867" s="1" t="s">
        <v>493</v>
      </c>
      <c r="E18867" t="s">
        <v>579</v>
      </c>
      <c r="F18867" s="1">
        <v>2</v>
      </c>
      <c r="G18867" s="1" t="s">
        <v>32</v>
      </c>
      <c r="H18867" s="4" t="str">
        <f>HYPERLINK("https://portal.gdc.cancer.gov/cases/b54fe07a-f63d-4861-878a-8e8322e32fed","TCGA-RD-A7BW-01A")</f>
        <v>TCGA-RD-A7BW-01A</v>
      </c>
      <c r="I18867" t="s">
        <v>574</v>
      </c>
      <c r="J18867" t="s">
        <v>575</v>
      </c>
      <c r="K18867" t="s">
        <v>33</v>
      </c>
      <c r="L18867" t="s">
        <v>246</v>
      </c>
      <c r="N18867" t="s">
        <v>29</v>
      </c>
    </row>
    <row r="18868" spans="1:14">
      <c r="A18868" s="4" t="str">
        <f t="shared" si="1327"/>
        <v>EXP00440</v>
      </c>
      <c r="B18868" s="3" t="s">
        <v>66</v>
      </c>
      <c r="C18868" s="4" t="str">
        <f t="shared" si="1328"/>
        <v>TCGA-STAD</v>
      </c>
      <c r="D18868" s="1" t="s">
        <v>493</v>
      </c>
      <c r="E18868" t="s">
        <v>579</v>
      </c>
      <c r="F18868" s="1">
        <v>2</v>
      </c>
      <c r="G18868" s="1" t="s">
        <v>32</v>
      </c>
      <c r="H18868" s="4" t="str">
        <f>HYPERLINK("https://portal.gdc.cancer.gov/cases/17638f77-3d0a-4b7f-8801-d807aad6bbd4","TCGA-RD-A8MV-01A")</f>
        <v>TCGA-RD-A8MV-01A</v>
      </c>
      <c r="I18868" t="s">
        <v>574</v>
      </c>
      <c r="J18868" t="s">
        <v>575</v>
      </c>
      <c r="K18868" t="s">
        <v>33</v>
      </c>
      <c r="L18868" t="s">
        <v>246</v>
      </c>
      <c r="N18868" t="s">
        <v>29</v>
      </c>
    </row>
    <row r="18869" spans="1:14">
      <c r="A18869" s="4" t="str">
        <f t="shared" si="1327"/>
        <v>EXP00440</v>
      </c>
      <c r="B18869" s="3" t="s">
        <v>66</v>
      </c>
      <c r="C18869" s="4" t="str">
        <f t="shared" si="1328"/>
        <v>TCGA-STAD</v>
      </c>
      <c r="D18869" s="1" t="s">
        <v>493</v>
      </c>
      <c r="E18869" t="s">
        <v>579</v>
      </c>
      <c r="F18869" s="1">
        <v>2</v>
      </c>
      <c r="G18869" s="1" t="s">
        <v>32</v>
      </c>
      <c r="H18869" s="4" t="str">
        <f>HYPERLINK("https://portal.gdc.cancer.gov/cases/2360c1e2-90f5-4737-9486-3f4590c37322","TCGA-RD-A8N0-01A")</f>
        <v>TCGA-RD-A8N0-01A</v>
      </c>
      <c r="I18869" t="s">
        <v>574</v>
      </c>
      <c r="J18869" t="s">
        <v>575</v>
      </c>
      <c r="K18869" t="s">
        <v>33</v>
      </c>
      <c r="L18869" t="s">
        <v>246</v>
      </c>
      <c r="N18869" t="s">
        <v>29</v>
      </c>
    </row>
    <row r="18870" spans="1:14">
      <c r="A18870" s="4" t="str">
        <f t="shared" si="1327"/>
        <v>EXP00440</v>
      </c>
      <c r="B18870" s="3" t="s">
        <v>66</v>
      </c>
      <c r="C18870" s="4" t="str">
        <f t="shared" si="1328"/>
        <v>TCGA-STAD</v>
      </c>
      <c r="D18870" s="1" t="s">
        <v>493</v>
      </c>
      <c r="E18870" t="s">
        <v>579</v>
      </c>
      <c r="F18870" s="1">
        <v>2</v>
      </c>
      <c r="G18870" s="1" t="s">
        <v>32</v>
      </c>
      <c r="H18870" s="4" t="str">
        <f>HYPERLINK("https://portal.gdc.cancer.gov/cases/46d7489a-cfe6-440e-9d50-919d0ead8018","TCGA-RD-A8N1-01A")</f>
        <v>TCGA-RD-A8N1-01A</v>
      </c>
      <c r="I18870" t="s">
        <v>574</v>
      </c>
      <c r="J18870" t="s">
        <v>575</v>
      </c>
      <c r="K18870" t="s">
        <v>33</v>
      </c>
      <c r="L18870" t="s">
        <v>246</v>
      </c>
      <c r="N18870" t="s">
        <v>29</v>
      </c>
    </row>
    <row r="18871" spans="1:14">
      <c r="A18871" s="4" t="str">
        <f t="shared" si="1327"/>
        <v>EXP00440</v>
      </c>
      <c r="B18871" s="3" t="s">
        <v>66</v>
      </c>
      <c r="C18871" s="4" t="str">
        <f t="shared" si="1328"/>
        <v>TCGA-STAD</v>
      </c>
      <c r="D18871" s="1" t="s">
        <v>493</v>
      </c>
      <c r="E18871" t="s">
        <v>579</v>
      </c>
      <c r="F18871" s="1">
        <v>2</v>
      </c>
      <c r="G18871" s="1" t="s">
        <v>32</v>
      </c>
      <c r="H18871" s="4" t="str">
        <f>HYPERLINK("https://portal.gdc.cancer.gov/cases/158b6bd2-1e7d-4c7e-9d8a-42467342c9c2","TCGA-RD-A8N2-01A")</f>
        <v>TCGA-RD-A8N2-01A</v>
      </c>
      <c r="I18871" t="s">
        <v>574</v>
      </c>
      <c r="J18871" t="s">
        <v>575</v>
      </c>
      <c r="K18871" t="s">
        <v>33</v>
      </c>
      <c r="L18871" t="s">
        <v>246</v>
      </c>
      <c r="N18871" t="s">
        <v>29</v>
      </c>
    </row>
    <row r="18872" spans="1:14">
      <c r="A18872" s="4" t="str">
        <f t="shared" si="1327"/>
        <v>EXP00440</v>
      </c>
      <c r="B18872" s="3" t="s">
        <v>66</v>
      </c>
      <c r="C18872" s="4" t="str">
        <f t="shared" si="1328"/>
        <v>TCGA-STAD</v>
      </c>
      <c r="D18872" s="1" t="s">
        <v>493</v>
      </c>
      <c r="E18872" t="s">
        <v>579</v>
      </c>
      <c r="F18872" s="1">
        <v>2</v>
      </c>
      <c r="G18872" s="1" t="s">
        <v>32</v>
      </c>
      <c r="H18872" s="4" t="str">
        <f>HYPERLINK("https://portal.gdc.cancer.gov/cases/26bbeafa-6923-4c23-8d5f-aa33fba92e82","TCGA-RD-A8N4-01A")</f>
        <v>TCGA-RD-A8N4-01A</v>
      </c>
      <c r="I18872" t="s">
        <v>574</v>
      </c>
      <c r="J18872" t="s">
        <v>575</v>
      </c>
      <c r="K18872" t="s">
        <v>33</v>
      </c>
      <c r="L18872" t="s">
        <v>246</v>
      </c>
      <c r="N18872" t="s">
        <v>29</v>
      </c>
    </row>
    <row r="18873" spans="1:14">
      <c r="A18873" s="4" t="str">
        <f t="shared" si="1327"/>
        <v>EXP00440</v>
      </c>
      <c r="B18873" s="3" t="s">
        <v>66</v>
      </c>
      <c r="C18873" s="4" t="str">
        <f t="shared" si="1328"/>
        <v>TCGA-STAD</v>
      </c>
      <c r="D18873" s="1" t="s">
        <v>493</v>
      </c>
      <c r="E18873" t="s">
        <v>579</v>
      </c>
      <c r="F18873" s="1">
        <v>2</v>
      </c>
      <c r="G18873" s="1" t="s">
        <v>32</v>
      </c>
      <c r="H18873" s="4" t="str">
        <f>HYPERLINK("https://portal.gdc.cancer.gov/cases/6e2ecc9d-dc68-4922-a36e-e8bbaf9eafb3","TCGA-RD-A8N5-01A")</f>
        <v>TCGA-RD-A8N5-01A</v>
      </c>
      <c r="I18873" t="s">
        <v>574</v>
      </c>
      <c r="J18873" t="s">
        <v>575</v>
      </c>
      <c r="K18873" t="s">
        <v>33</v>
      </c>
      <c r="L18873" t="s">
        <v>246</v>
      </c>
      <c r="N18873" t="s">
        <v>29</v>
      </c>
    </row>
    <row r="18874" spans="1:14">
      <c r="A18874" s="4" t="str">
        <f t="shared" si="1327"/>
        <v>EXP00440</v>
      </c>
      <c r="B18874" s="3" t="s">
        <v>66</v>
      </c>
      <c r="C18874" s="4" t="str">
        <f t="shared" si="1328"/>
        <v>TCGA-STAD</v>
      </c>
      <c r="D18874" s="1" t="s">
        <v>493</v>
      </c>
      <c r="E18874" t="s">
        <v>579</v>
      </c>
      <c r="F18874" s="1">
        <v>2</v>
      </c>
      <c r="G18874" s="1" t="s">
        <v>32</v>
      </c>
      <c r="H18874" s="4" t="str">
        <f>HYPERLINK("https://portal.gdc.cancer.gov/cases/8ce63594-bf4a-4b8d-9a48-49cb92b98ea9","TCGA-RD-A8N9-01A")</f>
        <v>TCGA-RD-A8N9-01A</v>
      </c>
      <c r="I18874" t="s">
        <v>574</v>
      </c>
      <c r="J18874" t="s">
        <v>575</v>
      </c>
      <c r="K18874" t="s">
        <v>33</v>
      </c>
      <c r="L18874" t="s">
        <v>246</v>
      </c>
      <c r="N18874" t="s">
        <v>29</v>
      </c>
    </row>
    <row r="18875" spans="1:14">
      <c r="A18875" s="4" t="str">
        <f t="shared" si="1327"/>
        <v>EXP00440</v>
      </c>
      <c r="B18875" s="3" t="s">
        <v>66</v>
      </c>
      <c r="C18875" s="4" t="str">
        <f t="shared" si="1328"/>
        <v>TCGA-STAD</v>
      </c>
      <c r="D18875" s="1" t="s">
        <v>493</v>
      </c>
      <c r="E18875" t="s">
        <v>579</v>
      </c>
      <c r="F18875" s="1">
        <v>2</v>
      </c>
      <c r="G18875" s="1" t="s">
        <v>32</v>
      </c>
      <c r="H18875" s="4" t="str">
        <f>HYPERLINK("https://portal.gdc.cancer.gov/cases/76c666e8-75c0-4e82-978c-1e346435b0fa","TCGA-SW-A7EA-01A")</f>
        <v>TCGA-SW-A7EA-01A</v>
      </c>
      <c r="I18875" t="s">
        <v>574</v>
      </c>
      <c r="J18875" t="s">
        <v>575</v>
      </c>
      <c r="K18875" t="s">
        <v>33</v>
      </c>
      <c r="L18875" t="s">
        <v>246</v>
      </c>
      <c r="N18875" t="s">
        <v>29</v>
      </c>
    </row>
    <row r="18876" spans="1:14">
      <c r="A18876" s="4" t="str">
        <f t="shared" ref="A18876:A18927" si="1329">HYPERLINK("http://hcmdb.i-sanger.com/experiment/details/experiment_id/EXP00440","EXP00440")</f>
        <v>EXP00440</v>
      </c>
      <c r="B18876" s="3" t="s">
        <v>66</v>
      </c>
      <c r="C18876" s="4" t="str">
        <f t="shared" si="1328"/>
        <v>TCGA-STAD</v>
      </c>
      <c r="D18876" s="1" t="s">
        <v>493</v>
      </c>
      <c r="E18876" t="s">
        <v>579</v>
      </c>
      <c r="F18876" s="1">
        <v>2</v>
      </c>
      <c r="G18876" s="1" t="s">
        <v>32</v>
      </c>
      <c r="H18876" s="4" t="str">
        <f>HYPERLINK("https://portal.gdc.cancer.gov/cases/bfdcc333-1b9d-44d2-90a4-c1720ba712e9","TCGA-SW-A7EB-01A")</f>
        <v>TCGA-SW-A7EB-01A</v>
      </c>
      <c r="I18876" t="s">
        <v>574</v>
      </c>
      <c r="J18876" t="s">
        <v>575</v>
      </c>
      <c r="K18876" t="s">
        <v>33</v>
      </c>
      <c r="L18876" t="s">
        <v>246</v>
      </c>
      <c r="N18876" t="s">
        <v>29</v>
      </c>
    </row>
    <row r="18877" spans="1:14">
      <c r="A18877" s="4" t="str">
        <f t="shared" si="1329"/>
        <v>EXP00440</v>
      </c>
      <c r="B18877" s="3" t="s">
        <v>66</v>
      </c>
      <c r="C18877" s="4" t="str">
        <f t="shared" si="1328"/>
        <v>TCGA-STAD</v>
      </c>
      <c r="D18877" s="1" t="s">
        <v>493</v>
      </c>
      <c r="E18877" t="s">
        <v>579</v>
      </c>
      <c r="F18877" s="1">
        <v>2</v>
      </c>
      <c r="G18877" s="1" t="s">
        <v>32</v>
      </c>
      <c r="H18877" s="4" t="str">
        <f>HYPERLINK("https://portal.gdc.cancer.gov/cases/8027adc9-4918-45f0-a7da-5767da0b999e","TCGA-VQ-A8DT-01A")</f>
        <v>TCGA-VQ-A8DT-01A</v>
      </c>
      <c r="I18877" t="s">
        <v>574</v>
      </c>
      <c r="J18877" t="s">
        <v>575</v>
      </c>
      <c r="K18877" t="s">
        <v>33</v>
      </c>
      <c r="L18877" t="s">
        <v>246</v>
      </c>
      <c r="N18877" t="s">
        <v>29</v>
      </c>
    </row>
    <row r="18878" spans="1:14">
      <c r="A18878" s="4" t="str">
        <f t="shared" si="1329"/>
        <v>EXP00440</v>
      </c>
      <c r="B18878" s="3" t="s">
        <v>66</v>
      </c>
      <c r="C18878" s="4" t="str">
        <f t="shared" si="1328"/>
        <v>TCGA-STAD</v>
      </c>
      <c r="D18878" s="1" t="s">
        <v>493</v>
      </c>
      <c r="E18878" t="s">
        <v>579</v>
      </c>
      <c r="F18878" s="1">
        <v>2</v>
      </c>
      <c r="G18878" s="1" t="s">
        <v>32</v>
      </c>
      <c r="H18878" s="4" t="str">
        <f>HYPERLINK("https://portal.gdc.cancer.gov/cases/a8a9b061-b33c-4c69-bd4c-7f430474cdfd","TCGA-VQ-A8DZ-01A")</f>
        <v>TCGA-VQ-A8DZ-01A</v>
      </c>
      <c r="I18878" t="s">
        <v>574</v>
      </c>
      <c r="J18878" t="s">
        <v>575</v>
      </c>
      <c r="K18878" t="s">
        <v>33</v>
      </c>
      <c r="L18878" t="s">
        <v>246</v>
      </c>
      <c r="N18878" t="s">
        <v>29</v>
      </c>
    </row>
    <row r="18879" spans="1:14">
      <c r="A18879" s="4" t="str">
        <f t="shared" si="1329"/>
        <v>EXP00440</v>
      </c>
      <c r="B18879" s="3" t="s">
        <v>66</v>
      </c>
      <c r="C18879" s="4" t="str">
        <f t="shared" si="1328"/>
        <v>TCGA-STAD</v>
      </c>
      <c r="D18879" s="1" t="s">
        <v>493</v>
      </c>
      <c r="E18879" t="s">
        <v>579</v>
      </c>
      <c r="F18879" s="1">
        <v>2</v>
      </c>
      <c r="G18879" s="1" t="s">
        <v>32</v>
      </c>
      <c r="H18879" s="4" t="str">
        <f>HYPERLINK("https://portal.gdc.cancer.gov/cases/c16eed96-8da8-4d01-b87d-660f46172777","TCGA-VQ-A8E2-01A")</f>
        <v>TCGA-VQ-A8E2-01A</v>
      </c>
      <c r="I18879" t="s">
        <v>574</v>
      </c>
      <c r="J18879" t="s">
        <v>575</v>
      </c>
      <c r="K18879" t="s">
        <v>33</v>
      </c>
      <c r="L18879" t="s">
        <v>246</v>
      </c>
      <c r="N18879" t="s">
        <v>29</v>
      </c>
    </row>
    <row r="18880" spans="1:14">
      <c r="A18880" s="4" t="str">
        <f t="shared" si="1329"/>
        <v>EXP00440</v>
      </c>
      <c r="B18880" s="3" t="s">
        <v>66</v>
      </c>
      <c r="C18880" s="4" t="str">
        <f t="shared" si="1328"/>
        <v>TCGA-STAD</v>
      </c>
      <c r="D18880" s="1" t="s">
        <v>493</v>
      </c>
      <c r="E18880" t="s">
        <v>579</v>
      </c>
      <c r="F18880" s="1">
        <v>2</v>
      </c>
      <c r="G18880" s="1" t="s">
        <v>32</v>
      </c>
      <c r="H18880" s="4" t="str">
        <f>HYPERLINK("https://portal.gdc.cancer.gov/cases/e9b3822b-699d-412f-abd2-df399efcce8c","TCGA-VQ-A8E3-01A")</f>
        <v>TCGA-VQ-A8E3-01A</v>
      </c>
      <c r="I18880" t="s">
        <v>574</v>
      </c>
      <c r="J18880" t="s">
        <v>575</v>
      </c>
      <c r="K18880" t="s">
        <v>33</v>
      </c>
      <c r="L18880" t="s">
        <v>246</v>
      </c>
      <c r="N18880" t="s">
        <v>29</v>
      </c>
    </row>
    <row r="18881" spans="1:14">
      <c r="A18881" s="4" t="str">
        <f t="shared" si="1329"/>
        <v>EXP00440</v>
      </c>
      <c r="B18881" s="3" t="s">
        <v>66</v>
      </c>
      <c r="C18881" s="4" t="str">
        <f t="shared" si="1328"/>
        <v>TCGA-STAD</v>
      </c>
      <c r="D18881" s="1" t="s">
        <v>493</v>
      </c>
      <c r="E18881" t="s">
        <v>579</v>
      </c>
      <c r="F18881" s="1">
        <v>2</v>
      </c>
      <c r="G18881" s="1" t="s">
        <v>32</v>
      </c>
      <c r="H18881" s="4" t="str">
        <f>HYPERLINK("https://portal.gdc.cancer.gov/cases/7da1a098-73f7-40c1-8c9d-e0423c15009c","TCGA-VQ-A8E7-01B")</f>
        <v>TCGA-VQ-A8E7-01B</v>
      </c>
      <c r="I18881" t="s">
        <v>574</v>
      </c>
      <c r="J18881" t="s">
        <v>575</v>
      </c>
      <c r="K18881" t="s">
        <v>33</v>
      </c>
      <c r="L18881" t="s">
        <v>246</v>
      </c>
      <c r="N18881" t="s">
        <v>29</v>
      </c>
    </row>
    <row r="18882" spans="1:14">
      <c r="A18882" s="4" t="str">
        <f t="shared" si="1329"/>
        <v>EXP00440</v>
      </c>
      <c r="B18882" s="3" t="s">
        <v>66</v>
      </c>
      <c r="C18882" s="4" t="str">
        <f t="shared" si="1328"/>
        <v>TCGA-STAD</v>
      </c>
      <c r="D18882" s="1" t="s">
        <v>493</v>
      </c>
      <c r="E18882" t="s">
        <v>579</v>
      </c>
      <c r="F18882" s="1">
        <v>2</v>
      </c>
      <c r="G18882" s="1" t="s">
        <v>32</v>
      </c>
      <c r="H18882" s="4" t="str">
        <f>HYPERLINK("https://portal.gdc.cancer.gov/cases/a0d35a25-3500-46f3-874f-1a0820200473","TCGA-VQ-A8P2-01A")</f>
        <v>TCGA-VQ-A8P2-01A</v>
      </c>
      <c r="I18882" t="s">
        <v>574</v>
      </c>
      <c r="J18882" t="s">
        <v>575</v>
      </c>
      <c r="K18882" t="s">
        <v>33</v>
      </c>
      <c r="L18882" t="s">
        <v>246</v>
      </c>
      <c r="N18882" t="s">
        <v>29</v>
      </c>
    </row>
    <row r="18883" spans="1:14">
      <c r="A18883" s="4" t="str">
        <f t="shared" si="1329"/>
        <v>EXP00440</v>
      </c>
      <c r="B18883" s="3" t="s">
        <v>66</v>
      </c>
      <c r="C18883" s="4" t="str">
        <f t="shared" si="1328"/>
        <v>TCGA-STAD</v>
      </c>
      <c r="D18883" s="1" t="s">
        <v>493</v>
      </c>
      <c r="E18883" t="s">
        <v>579</v>
      </c>
      <c r="F18883" s="1">
        <v>2</v>
      </c>
      <c r="G18883" s="1" t="s">
        <v>32</v>
      </c>
      <c r="H18883" s="4" t="str">
        <f>HYPERLINK("https://portal.gdc.cancer.gov/cases/5c68e3e4-58f7-4699-989d-80d2e4996794","TCGA-VQ-A8P3-01A")</f>
        <v>TCGA-VQ-A8P3-01A</v>
      </c>
      <c r="I18883" t="s">
        <v>574</v>
      </c>
      <c r="J18883" t="s">
        <v>575</v>
      </c>
      <c r="K18883" t="s">
        <v>33</v>
      </c>
      <c r="L18883" t="s">
        <v>246</v>
      </c>
      <c r="N18883" t="s">
        <v>29</v>
      </c>
    </row>
    <row r="18884" spans="1:14">
      <c r="A18884" s="4" t="str">
        <f t="shared" si="1329"/>
        <v>EXP00440</v>
      </c>
      <c r="B18884" s="3" t="s">
        <v>66</v>
      </c>
      <c r="C18884" s="4" t="str">
        <f t="shared" si="1328"/>
        <v>TCGA-STAD</v>
      </c>
      <c r="D18884" s="1" t="s">
        <v>493</v>
      </c>
      <c r="E18884" t="s">
        <v>579</v>
      </c>
      <c r="F18884" s="1">
        <v>2</v>
      </c>
      <c r="G18884" s="1" t="s">
        <v>32</v>
      </c>
      <c r="H18884" s="4" t="str">
        <f>HYPERLINK("https://portal.gdc.cancer.gov/cases/1654c42b-664b-407e-8ca7-d4cd908b709a","TCGA-VQ-A8P5-01A")</f>
        <v>TCGA-VQ-A8P5-01A</v>
      </c>
      <c r="I18884" t="s">
        <v>574</v>
      </c>
      <c r="J18884" t="s">
        <v>575</v>
      </c>
      <c r="K18884" t="s">
        <v>33</v>
      </c>
      <c r="L18884" t="s">
        <v>246</v>
      </c>
      <c r="N18884" t="s">
        <v>29</v>
      </c>
    </row>
    <row r="18885" spans="1:14">
      <c r="A18885" s="4" t="str">
        <f t="shared" si="1329"/>
        <v>EXP00440</v>
      </c>
      <c r="B18885" s="3" t="s">
        <v>66</v>
      </c>
      <c r="C18885" s="4" t="str">
        <f t="shared" si="1328"/>
        <v>TCGA-STAD</v>
      </c>
      <c r="D18885" s="1" t="s">
        <v>493</v>
      </c>
      <c r="E18885" t="s">
        <v>579</v>
      </c>
      <c r="F18885" s="1">
        <v>2</v>
      </c>
      <c r="G18885" s="1" t="s">
        <v>32</v>
      </c>
      <c r="H18885" s="4" t="str">
        <f>HYPERLINK("https://portal.gdc.cancer.gov/cases/0403e788-27f1-4205-9e73-ade13b8df1e0","TCGA-VQ-A8P8-01A")</f>
        <v>TCGA-VQ-A8P8-01A</v>
      </c>
      <c r="I18885" t="s">
        <v>574</v>
      </c>
      <c r="J18885" t="s">
        <v>575</v>
      </c>
      <c r="K18885" t="s">
        <v>33</v>
      </c>
      <c r="L18885" t="s">
        <v>246</v>
      </c>
      <c r="N18885" t="s">
        <v>29</v>
      </c>
    </row>
    <row r="18886" spans="1:14">
      <c r="A18886" s="4" t="str">
        <f t="shared" si="1329"/>
        <v>EXP00440</v>
      </c>
      <c r="B18886" s="3" t="s">
        <v>66</v>
      </c>
      <c r="C18886" s="4" t="str">
        <f t="shared" si="1328"/>
        <v>TCGA-STAD</v>
      </c>
      <c r="D18886" s="1" t="s">
        <v>493</v>
      </c>
      <c r="E18886" t="s">
        <v>579</v>
      </c>
      <c r="F18886" s="1">
        <v>2</v>
      </c>
      <c r="G18886" s="1" t="s">
        <v>32</v>
      </c>
      <c r="H18886" s="4" t="str">
        <f>HYPERLINK("https://portal.gdc.cancer.gov/cases/02661985-d13f-4007-9a42-5e08d1a6ca10","TCGA-VQ-A8PB-01A")</f>
        <v>TCGA-VQ-A8PB-01A</v>
      </c>
      <c r="I18886" t="s">
        <v>574</v>
      </c>
      <c r="J18886" t="s">
        <v>575</v>
      </c>
      <c r="K18886" t="s">
        <v>33</v>
      </c>
      <c r="L18886" t="s">
        <v>246</v>
      </c>
      <c r="N18886" t="s">
        <v>29</v>
      </c>
    </row>
    <row r="18887" spans="1:14">
      <c r="A18887" s="4" t="str">
        <f t="shared" si="1329"/>
        <v>EXP00440</v>
      </c>
      <c r="B18887" s="3" t="s">
        <v>66</v>
      </c>
      <c r="C18887" s="4" t="str">
        <f t="shared" si="1328"/>
        <v>TCGA-STAD</v>
      </c>
      <c r="D18887" s="1" t="s">
        <v>493</v>
      </c>
      <c r="E18887" t="s">
        <v>579</v>
      </c>
      <c r="F18887" s="1">
        <v>2</v>
      </c>
      <c r="G18887" s="1" t="s">
        <v>32</v>
      </c>
      <c r="H18887" s="4" t="str">
        <f>HYPERLINK("https://portal.gdc.cancer.gov/cases/26f3ee89-7f74-4c4e-ad6f-fab29a5460f9","TCGA-VQ-A8PC-01A")</f>
        <v>TCGA-VQ-A8PC-01A</v>
      </c>
      <c r="I18887" t="s">
        <v>574</v>
      </c>
      <c r="J18887" t="s">
        <v>575</v>
      </c>
      <c r="K18887" t="s">
        <v>33</v>
      </c>
      <c r="L18887" t="s">
        <v>246</v>
      </c>
      <c r="N18887" t="s">
        <v>29</v>
      </c>
    </row>
    <row r="18888" spans="1:14">
      <c r="A18888" s="4" t="str">
        <f t="shared" si="1329"/>
        <v>EXP00440</v>
      </c>
      <c r="B18888" s="3" t="s">
        <v>66</v>
      </c>
      <c r="C18888" s="4" t="str">
        <f t="shared" si="1328"/>
        <v>TCGA-STAD</v>
      </c>
      <c r="D18888" s="1" t="s">
        <v>493</v>
      </c>
      <c r="E18888" t="s">
        <v>579</v>
      </c>
      <c r="F18888" s="1">
        <v>2</v>
      </c>
      <c r="G18888" s="1" t="s">
        <v>32</v>
      </c>
      <c r="H18888" s="4" t="str">
        <f>HYPERLINK("https://portal.gdc.cancer.gov/cases/32b1f9ff-dbad-47f5-9580-13f4120f5891","TCGA-VQ-A8PE-01A")</f>
        <v>TCGA-VQ-A8PE-01A</v>
      </c>
      <c r="I18888" t="s">
        <v>574</v>
      </c>
      <c r="J18888" t="s">
        <v>575</v>
      </c>
      <c r="K18888" t="s">
        <v>33</v>
      </c>
      <c r="L18888" t="s">
        <v>246</v>
      </c>
      <c r="N18888" t="s">
        <v>29</v>
      </c>
    </row>
    <row r="18889" spans="1:14">
      <c r="A18889" s="4" t="str">
        <f t="shared" si="1329"/>
        <v>EXP00440</v>
      </c>
      <c r="B18889" s="3" t="s">
        <v>66</v>
      </c>
      <c r="C18889" s="4" t="str">
        <f t="shared" si="1328"/>
        <v>TCGA-STAD</v>
      </c>
      <c r="D18889" s="1" t="s">
        <v>493</v>
      </c>
      <c r="E18889" t="s">
        <v>579</v>
      </c>
      <c r="F18889" s="1">
        <v>2</v>
      </c>
      <c r="G18889" s="1" t="s">
        <v>32</v>
      </c>
      <c r="H18889" s="4" t="str">
        <f>HYPERLINK("https://portal.gdc.cancer.gov/cases/94037c4f-7acc-436b-8433-7213a385539a","TCGA-VQ-A8PF-01A")</f>
        <v>TCGA-VQ-A8PF-01A</v>
      </c>
      <c r="I18889" t="s">
        <v>574</v>
      </c>
      <c r="J18889" t="s">
        <v>575</v>
      </c>
      <c r="K18889" t="s">
        <v>33</v>
      </c>
      <c r="L18889" t="s">
        <v>246</v>
      </c>
      <c r="N18889" t="s">
        <v>29</v>
      </c>
    </row>
    <row r="18890" spans="1:14">
      <c r="A18890" s="4" t="str">
        <f t="shared" si="1329"/>
        <v>EXP00440</v>
      </c>
      <c r="B18890" s="3" t="s">
        <v>66</v>
      </c>
      <c r="C18890" s="4" t="str">
        <f t="shared" si="1328"/>
        <v>TCGA-STAD</v>
      </c>
      <c r="D18890" s="1" t="s">
        <v>493</v>
      </c>
      <c r="E18890" t="s">
        <v>579</v>
      </c>
      <c r="F18890" s="1">
        <v>2</v>
      </c>
      <c r="G18890" s="1" t="s">
        <v>32</v>
      </c>
      <c r="H18890" s="4" t="str">
        <f>HYPERLINK("https://portal.gdc.cancer.gov/cases/52849c60-7e30-4ba4-9dae-be4adf031120","TCGA-VQ-A8PH-01A")</f>
        <v>TCGA-VQ-A8PH-01A</v>
      </c>
      <c r="I18890" t="s">
        <v>574</v>
      </c>
      <c r="J18890" t="s">
        <v>575</v>
      </c>
      <c r="K18890" t="s">
        <v>33</v>
      </c>
      <c r="L18890" t="s">
        <v>246</v>
      </c>
      <c r="N18890" t="s">
        <v>29</v>
      </c>
    </row>
    <row r="18891" spans="1:14">
      <c r="A18891" s="4" t="str">
        <f t="shared" si="1329"/>
        <v>EXP00440</v>
      </c>
      <c r="B18891" s="3" t="s">
        <v>66</v>
      </c>
      <c r="C18891" s="4" t="str">
        <f t="shared" si="1328"/>
        <v>TCGA-STAD</v>
      </c>
      <c r="D18891" s="1" t="s">
        <v>493</v>
      </c>
      <c r="E18891" t="s">
        <v>579</v>
      </c>
      <c r="F18891" s="1">
        <v>2</v>
      </c>
      <c r="G18891" s="1" t="s">
        <v>32</v>
      </c>
      <c r="H18891" s="4" t="str">
        <f>HYPERLINK("https://portal.gdc.cancer.gov/cases/0cd4b4a2-d3ce-4fc4-b899-bbcecb2b3d55","TCGA-VQ-A8PJ-01A")</f>
        <v>TCGA-VQ-A8PJ-01A</v>
      </c>
      <c r="I18891" t="s">
        <v>574</v>
      </c>
      <c r="J18891" t="s">
        <v>575</v>
      </c>
      <c r="K18891" t="s">
        <v>33</v>
      </c>
      <c r="L18891" t="s">
        <v>246</v>
      </c>
      <c r="N18891" t="s">
        <v>29</v>
      </c>
    </row>
    <row r="18892" spans="1:14">
      <c r="A18892" s="4" t="str">
        <f t="shared" si="1329"/>
        <v>EXP00440</v>
      </c>
      <c r="B18892" s="3" t="s">
        <v>66</v>
      </c>
      <c r="C18892" s="4" t="str">
        <f t="shared" si="1328"/>
        <v>TCGA-STAD</v>
      </c>
      <c r="D18892" s="1" t="s">
        <v>493</v>
      </c>
      <c r="E18892" t="s">
        <v>579</v>
      </c>
      <c r="F18892" s="1">
        <v>2</v>
      </c>
      <c r="G18892" s="1" t="s">
        <v>32</v>
      </c>
      <c r="H18892" s="4" t="str">
        <f>HYPERLINK("https://portal.gdc.cancer.gov/cases/56bcb686-5010-439f-819f-95dda9885ca5","TCGA-VQ-A8PK-01A")</f>
        <v>TCGA-VQ-A8PK-01A</v>
      </c>
      <c r="I18892" t="s">
        <v>574</v>
      </c>
      <c r="J18892" t="s">
        <v>575</v>
      </c>
      <c r="K18892" t="s">
        <v>33</v>
      </c>
      <c r="L18892" t="s">
        <v>246</v>
      </c>
      <c r="N18892" t="s">
        <v>29</v>
      </c>
    </row>
    <row r="18893" spans="1:14">
      <c r="A18893" s="4" t="str">
        <f t="shared" si="1329"/>
        <v>EXP00440</v>
      </c>
      <c r="B18893" s="3" t="s">
        <v>66</v>
      </c>
      <c r="C18893" s="4" t="str">
        <f t="shared" si="1328"/>
        <v>TCGA-STAD</v>
      </c>
      <c r="D18893" s="1" t="s">
        <v>493</v>
      </c>
      <c r="E18893" t="s">
        <v>579</v>
      </c>
      <c r="F18893" s="1">
        <v>2</v>
      </c>
      <c r="G18893" s="1" t="s">
        <v>32</v>
      </c>
      <c r="H18893" s="4" t="str">
        <f>HYPERLINK("https://portal.gdc.cancer.gov/cases/bab53c56-82f1-4d63-98f5-4608ea7b5f4e","TCGA-VQ-A8PM-01A")</f>
        <v>TCGA-VQ-A8PM-01A</v>
      </c>
      <c r="I18893" t="s">
        <v>574</v>
      </c>
      <c r="J18893" t="s">
        <v>575</v>
      </c>
      <c r="K18893" t="s">
        <v>33</v>
      </c>
      <c r="L18893" t="s">
        <v>246</v>
      </c>
      <c r="N18893" t="s">
        <v>29</v>
      </c>
    </row>
    <row r="18894" spans="1:14">
      <c r="A18894" s="4" t="str">
        <f t="shared" si="1329"/>
        <v>EXP00440</v>
      </c>
      <c r="B18894" s="3" t="s">
        <v>66</v>
      </c>
      <c r="C18894" s="4" t="str">
        <f t="shared" si="1328"/>
        <v>TCGA-STAD</v>
      </c>
      <c r="D18894" s="1" t="s">
        <v>493</v>
      </c>
      <c r="E18894" t="s">
        <v>579</v>
      </c>
      <c r="F18894" s="1">
        <v>2</v>
      </c>
      <c r="G18894" s="1" t="s">
        <v>32</v>
      </c>
      <c r="H18894" s="4" t="str">
        <f>HYPERLINK("https://portal.gdc.cancer.gov/cases/4ec9dbb4-358d-4c59-8039-552c7006c2bf","TCGA-VQ-A8PO-01A")</f>
        <v>TCGA-VQ-A8PO-01A</v>
      </c>
      <c r="I18894" t="s">
        <v>574</v>
      </c>
      <c r="J18894" t="s">
        <v>575</v>
      </c>
      <c r="K18894" t="s">
        <v>33</v>
      </c>
      <c r="L18894" t="s">
        <v>246</v>
      </c>
      <c r="N18894" t="s">
        <v>29</v>
      </c>
    </row>
    <row r="18895" spans="1:14">
      <c r="A18895" s="4" t="str">
        <f t="shared" si="1329"/>
        <v>EXP00440</v>
      </c>
      <c r="B18895" s="3" t="s">
        <v>66</v>
      </c>
      <c r="C18895" s="4" t="str">
        <f t="shared" si="1328"/>
        <v>TCGA-STAD</v>
      </c>
      <c r="D18895" s="1" t="s">
        <v>493</v>
      </c>
      <c r="E18895" t="s">
        <v>579</v>
      </c>
      <c r="F18895" s="1">
        <v>2</v>
      </c>
      <c r="G18895" s="1" t="s">
        <v>32</v>
      </c>
      <c r="H18895" s="4" t="str">
        <f>HYPERLINK("https://portal.gdc.cancer.gov/cases/e181474c-1585-4aed-ba90-bae5324569d5","TCGA-VQ-A8PP-01A")</f>
        <v>TCGA-VQ-A8PP-01A</v>
      </c>
      <c r="I18895" t="s">
        <v>574</v>
      </c>
      <c r="J18895" t="s">
        <v>575</v>
      </c>
      <c r="K18895" t="s">
        <v>33</v>
      </c>
      <c r="L18895" t="s">
        <v>246</v>
      </c>
      <c r="N18895" t="s">
        <v>29</v>
      </c>
    </row>
    <row r="18896" spans="1:14">
      <c r="A18896" s="4" t="str">
        <f t="shared" si="1329"/>
        <v>EXP00440</v>
      </c>
      <c r="B18896" s="3" t="s">
        <v>66</v>
      </c>
      <c r="C18896" s="4" t="str">
        <f t="shared" si="1328"/>
        <v>TCGA-STAD</v>
      </c>
      <c r="D18896" s="1" t="s">
        <v>493</v>
      </c>
      <c r="E18896" t="s">
        <v>579</v>
      </c>
      <c r="F18896" s="1">
        <v>2</v>
      </c>
      <c r="G18896" s="1" t="s">
        <v>32</v>
      </c>
      <c r="H18896" s="4" t="str">
        <f>HYPERLINK("https://portal.gdc.cancer.gov/cases/7136d33f-6109-4d86-ad76-a02ef5c3808a","TCGA-VQ-A8PQ-01A")</f>
        <v>TCGA-VQ-A8PQ-01A</v>
      </c>
      <c r="I18896" t="s">
        <v>574</v>
      </c>
      <c r="J18896" t="s">
        <v>575</v>
      </c>
      <c r="K18896" t="s">
        <v>33</v>
      </c>
      <c r="L18896" t="s">
        <v>246</v>
      </c>
      <c r="N18896" t="s">
        <v>29</v>
      </c>
    </row>
    <row r="18897" spans="1:14">
      <c r="A18897" s="4" t="str">
        <f t="shared" si="1329"/>
        <v>EXP00440</v>
      </c>
      <c r="B18897" s="3" t="s">
        <v>66</v>
      </c>
      <c r="C18897" s="4" t="str">
        <f t="shared" si="1328"/>
        <v>TCGA-STAD</v>
      </c>
      <c r="D18897" s="1" t="s">
        <v>493</v>
      </c>
      <c r="E18897" t="s">
        <v>579</v>
      </c>
      <c r="F18897" s="1">
        <v>2</v>
      </c>
      <c r="G18897" s="1" t="s">
        <v>32</v>
      </c>
      <c r="H18897" s="4" t="str">
        <f>HYPERLINK("https://portal.gdc.cancer.gov/cases/cb4394ec-1991-460d-b823-b74e005e3da7","TCGA-VQ-A8PU-01A")</f>
        <v>TCGA-VQ-A8PU-01A</v>
      </c>
      <c r="I18897" t="s">
        <v>574</v>
      </c>
      <c r="J18897" t="s">
        <v>575</v>
      </c>
      <c r="K18897" t="s">
        <v>33</v>
      </c>
      <c r="L18897" t="s">
        <v>246</v>
      </c>
      <c r="N18897" t="s">
        <v>29</v>
      </c>
    </row>
    <row r="18898" spans="1:14">
      <c r="A18898" s="4" t="str">
        <f t="shared" si="1329"/>
        <v>EXP00440</v>
      </c>
      <c r="B18898" s="3" t="s">
        <v>66</v>
      </c>
      <c r="C18898" s="4" t="str">
        <f t="shared" si="1328"/>
        <v>TCGA-STAD</v>
      </c>
      <c r="D18898" s="1" t="s">
        <v>493</v>
      </c>
      <c r="E18898" t="s">
        <v>579</v>
      </c>
      <c r="F18898" s="1">
        <v>2</v>
      </c>
      <c r="G18898" s="1" t="s">
        <v>32</v>
      </c>
      <c r="H18898" s="4" t="str">
        <f>HYPERLINK("https://portal.gdc.cancer.gov/cases/e6634a0a-9ab0-441e-a667-2f7f6c7368cc","TCGA-VQ-A8PX-01A")</f>
        <v>TCGA-VQ-A8PX-01A</v>
      </c>
      <c r="I18898" t="s">
        <v>574</v>
      </c>
      <c r="J18898" t="s">
        <v>575</v>
      </c>
      <c r="K18898" t="s">
        <v>33</v>
      </c>
      <c r="L18898" t="s">
        <v>246</v>
      </c>
      <c r="N18898" t="s">
        <v>29</v>
      </c>
    </row>
    <row r="18899" spans="1:14">
      <c r="A18899" s="4" t="str">
        <f t="shared" si="1329"/>
        <v>EXP00440</v>
      </c>
      <c r="B18899" s="3" t="s">
        <v>66</v>
      </c>
      <c r="C18899" s="4" t="str">
        <f t="shared" si="1328"/>
        <v>TCGA-STAD</v>
      </c>
      <c r="D18899" s="1" t="s">
        <v>493</v>
      </c>
      <c r="E18899" t="s">
        <v>579</v>
      </c>
      <c r="F18899" s="1">
        <v>2</v>
      </c>
      <c r="G18899" s="1" t="s">
        <v>32</v>
      </c>
      <c r="H18899" s="4" t="str">
        <f>HYPERLINK("https://portal.gdc.cancer.gov/cases/3ed0d746-ab57-4097-94d5-5e89985b8f31","TCGA-VQ-A91A-01A")</f>
        <v>TCGA-VQ-A91A-01A</v>
      </c>
      <c r="I18899" t="s">
        <v>574</v>
      </c>
      <c r="J18899" t="s">
        <v>575</v>
      </c>
      <c r="K18899" t="s">
        <v>33</v>
      </c>
      <c r="L18899" t="s">
        <v>246</v>
      </c>
      <c r="N18899" t="s">
        <v>29</v>
      </c>
    </row>
    <row r="18900" spans="1:14">
      <c r="A18900" s="4" t="str">
        <f t="shared" si="1329"/>
        <v>EXP00440</v>
      </c>
      <c r="B18900" s="3" t="s">
        <v>66</v>
      </c>
      <c r="C18900" s="4" t="str">
        <f t="shared" si="1328"/>
        <v>TCGA-STAD</v>
      </c>
      <c r="D18900" s="1" t="s">
        <v>493</v>
      </c>
      <c r="E18900" t="s">
        <v>579</v>
      </c>
      <c r="F18900" s="1">
        <v>2</v>
      </c>
      <c r="G18900" s="1" t="s">
        <v>32</v>
      </c>
      <c r="H18900" s="4" t="str">
        <f>HYPERLINK("https://portal.gdc.cancer.gov/cases/33a9f48e-75e5-4ec5-8e4a-7c6d91a98656","TCGA-VQ-A91D-01A")</f>
        <v>TCGA-VQ-A91D-01A</v>
      </c>
      <c r="I18900" t="s">
        <v>574</v>
      </c>
      <c r="J18900" t="s">
        <v>575</v>
      </c>
      <c r="K18900" t="s">
        <v>33</v>
      </c>
      <c r="L18900" t="s">
        <v>246</v>
      </c>
      <c r="N18900" t="s">
        <v>29</v>
      </c>
    </row>
    <row r="18901" spans="1:14">
      <c r="A18901" s="4" t="str">
        <f t="shared" si="1329"/>
        <v>EXP00440</v>
      </c>
      <c r="B18901" s="3" t="s">
        <v>66</v>
      </c>
      <c r="C18901" s="4" t="str">
        <f t="shared" si="1328"/>
        <v>TCGA-STAD</v>
      </c>
      <c r="D18901" s="1" t="s">
        <v>493</v>
      </c>
      <c r="E18901" t="s">
        <v>579</v>
      </c>
      <c r="F18901" s="1">
        <v>2</v>
      </c>
      <c r="G18901" s="1" t="s">
        <v>32</v>
      </c>
      <c r="H18901" s="4" t="str">
        <f>HYPERLINK("https://portal.gdc.cancer.gov/cases/2e04b48c-0805-4965-8afa-c5fcd32993c5","TCGA-VQ-A91E-01A")</f>
        <v>TCGA-VQ-A91E-01A</v>
      </c>
      <c r="I18901" t="s">
        <v>574</v>
      </c>
      <c r="J18901" t="s">
        <v>575</v>
      </c>
      <c r="K18901" t="s">
        <v>33</v>
      </c>
      <c r="L18901" t="s">
        <v>246</v>
      </c>
      <c r="N18901" t="s">
        <v>29</v>
      </c>
    </row>
    <row r="18902" spans="1:14">
      <c r="A18902" s="4" t="str">
        <f t="shared" si="1329"/>
        <v>EXP00440</v>
      </c>
      <c r="B18902" s="3" t="s">
        <v>66</v>
      </c>
      <c r="C18902" s="4" t="str">
        <f t="shared" si="1328"/>
        <v>TCGA-STAD</v>
      </c>
      <c r="D18902" s="1" t="s">
        <v>493</v>
      </c>
      <c r="E18902" t="s">
        <v>579</v>
      </c>
      <c r="F18902" s="1">
        <v>2</v>
      </c>
      <c r="G18902" s="1" t="s">
        <v>32</v>
      </c>
      <c r="H18902" s="4" t="str">
        <f>HYPERLINK("https://portal.gdc.cancer.gov/cases/2983f08c-3b32-4fb3-9d7e-5b34f9c2f741","TCGA-VQ-A91K-01A")</f>
        <v>TCGA-VQ-A91K-01A</v>
      </c>
      <c r="I18902" t="s">
        <v>574</v>
      </c>
      <c r="J18902" t="s">
        <v>575</v>
      </c>
      <c r="K18902" t="s">
        <v>33</v>
      </c>
      <c r="L18902" t="s">
        <v>246</v>
      </c>
      <c r="N18902" t="s">
        <v>29</v>
      </c>
    </row>
    <row r="18903" spans="1:14">
      <c r="A18903" s="4" t="str">
        <f t="shared" si="1329"/>
        <v>EXP00440</v>
      </c>
      <c r="B18903" s="3" t="s">
        <v>66</v>
      </c>
      <c r="C18903" s="4" t="str">
        <f t="shared" si="1328"/>
        <v>TCGA-STAD</v>
      </c>
      <c r="D18903" s="1" t="s">
        <v>493</v>
      </c>
      <c r="E18903" t="s">
        <v>579</v>
      </c>
      <c r="F18903" s="1">
        <v>2</v>
      </c>
      <c r="G18903" s="1" t="s">
        <v>32</v>
      </c>
      <c r="H18903" s="4" t="str">
        <f>HYPERLINK("https://portal.gdc.cancer.gov/cases/cbe05333-3185-4878-b6e6-977a0e1400e4","TCGA-VQ-A91N-01A")</f>
        <v>TCGA-VQ-A91N-01A</v>
      </c>
      <c r="I18903" t="s">
        <v>574</v>
      </c>
      <c r="J18903" t="s">
        <v>575</v>
      </c>
      <c r="K18903" t="s">
        <v>33</v>
      </c>
      <c r="L18903" t="s">
        <v>246</v>
      </c>
      <c r="N18903" t="s">
        <v>29</v>
      </c>
    </row>
    <row r="18904" spans="1:14">
      <c r="A18904" s="4" t="str">
        <f t="shared" si="1329"/>
        <v>EXP00440</v>
      </c>
      <c r="B18904" s="3" t="s">
        <v>66</v>
      </c>
      <c r="C18904" s="4" t="str">
        <f t="shared" si="1328"/>
        <v>TCGA-STAD</v>
      </c>
      <c r="D18904" s="1" t="s">
        <v>493</v>
      </c>
      <c r="E18904" t="s">
        <v>579</v>
      </c>
      <c r="F18904" s="1">
        <v>2</v>
      </c>
      <c r="G18904" s="1" t="s">
        <v>32</v>
      </c>
      <c r="H18904" s="4" t="str">
        <f>HYPERLINK("https://portal.gdc.cancer.gov/cases/c60e89a7-a8ba-458e-8f10-785c3f562fd6","TCGA-VQ-A91Q-01A")</f>
        <v>TCGA-VQ-A91Q-01A</v>
      </c>
      <c r="I18904" t="s">
        <v>574</v>
      </c>
      <c r="J18904" t="s">
        <v>575</v>
      </c>
      <c r="K18904" t="s">
        <v>33</v>
      </c>
      <c r="L18904" t="s">
        <v>246</v>
      </c>
      <c r="N18904" t="s">
        <v>29</v>
      </c>
    </row>
    <row r="18905" spans="1:14">
      <c r="A18905" s="4" t="str">
        <f t="shared" si="1329"/>
        <v>EXP00440</v>
      </c>
      <c r="B18905" s="3" t="s">
        <v>66</v>
      </c>
      <c r="C18905" s="4" t="str">
        <f t="shared" si="1328"/>
        <v>TCGA-STAD</v>
      </c>
      <c r="D18905" s="1" t="s">
        <v>493</v>
      </c>
      <c r="E18905" t="s">
        <v>579</v>
      </c>
      <c r="F18905" s="1">
        <v>2</v>
      </c>
      <c r="G18905" s="1" t="s">
        <v>32</v>
      </c>
      <c r="H18905" s="4" t="str">
        <f>HYPERLINK("https://portal.gdc.cancer.gov/cases/d22de643-5f93-42d0-9199-1f55405241d6","TCGA-VQ-A91S-01A")</f>
        <v>TCGA-VQ-A91S-01A</v>
      </c>
      <c r="I18905" t="s">
        <v>574</v>
      </c>
      <c r="J18905" t="s">
        <v>575</v>
      </c>
      <c r="K18905" t="s">
        <v>33</v>
      </c>
      <c r="L18905" t="s">
        <v>246</v>
      </c>
      <c r="N18905" t="s">
        <v>29</v>
      </c>
    </row>
    <row r="18906" spans="1:14">
      <c r="A18906" s="4" t="str">
        <f t="shared" si="1329"/>
        <v>EXP00440</v>
      </c>
      <c r="B18906" s="3" t="s">
        <v>66</v>
      </c>
      <c r="C18906" s="4" t="str">
        <f t="shared" si="1328"/>
        <v>TCGA-STAD</v>
      </c>
      <c r="D18906" s="1" t="s">
        <v>493</v>
      </c>
      <c r="E18906" t="s">
        <v>579</v>
      </c>
      <c r="F18906" s="1">
        <v>2</v>
      </c>
      <c r="G18906" s="1" t="s">
        <v>32</v>
      </c>
      <c r="H18906" s="4" t="str">
        <f>HYPERLINK("https://portal.gdc.cancer.gov/cases/37b64809-c4fd-412d-9a7f-fad6bf036aaf","TCGA-VQ-A91U-01A")</f>
        <v>TCGA-VQ-A91U-01A</v>
      </c>
      <c r="I18906" t="s">
        <v>574</v>
      </c>
      <c r="J18906" t="s">
        <v>575</v>
      </c>
      <c r="K18906" t="s">
        <v>33</v>
      </c>
      <c r="L18906" t="s">
        <v>246</v>
      </c>
      <c r="N18906" t="s">
        <v>29</v>
      </c>
    </row>
    <row r="18907" spans="1:14">
      <c r="A18907" s="4" t="str">
        <f t="shared" si="1329"/>
        <v>EXP00440</v>
      </c>
      <c r="B18907" s="3" t="s">
        <v>66</v>
      </c>
      <c r="C18907" s="4" t="str">
        <f t="shared" si="1328"/>
        <v>TCGA-STAD</v>
      </c>
      <c r="D18907" s="1" t="s">
        <v>493</v>
      </c>
      <c r="E18907" t="s">
        <v>579</v>
      </c>
      <c r="F18907" s="1">
        <v>2</v>
      </c>
      <c r="G18907" s="1" t="s">
        <v>32</v>
      </c>
      <c r="H18907" s="4" t="str">
        <f>HYPERLINK("https://portal.gdc.cancer.gov/cases/4b56b93e-934c-45ff-9d24-b4b6812a790b","TCGA-VQ-A91X-01A")</f>
        <v>TCGA-VQ-A91X-01A</v>
      </c>
      <c r="I18907" t="s">
        <v>574</v>
      </c>
      <c r="J18907" t="s">
        <v>575</v>
      </c>
      <c r="K18907" t="s">
        <v>33</v>
      </c>
      <c r="L18907" t="s">
        <v>246</v>
      </c>
      <c r="N18907" t="s">
        <v>29</v>
      </c>
    </row>
    <row r="18908" spans="1:14">
      <c r="A18908" s="4" t="str">
        <f t="shared" si="1329"/>
        <v>EXP00440</v>
      </c>
      <c r="B18908" s="3" t="s">
        <v>66</v>
      </c>
      <c r="C18908" s="4" t="str">
        <f t="shared" si="1328"/>
        <v>TCGA-STAD</v>
      </c>
      <c r="D18908" s="1" t="s">
        <v>493</v>
      </c>
      <c r="E18908" t="s">
        <v>579</v>
      </c>
      <c r="F18908" s="1">
        <v>2</v>
      </c>
      <c r="G18908" s="1" t="s">
        <v>32</v>
      </c>
      <c r="H18908" s="4" t="str">
        <f>HYPERLINK("https://portal.gdc.cancer.gov/cases/cafbae18-12a5-40fb-9dbe-c1d0598b9091","TCGA-VQ-A91Z-01A")</f>
        <v>TCGA-VQ-A91Z-01A</v>
      </c>
      <c r="I18908" t="s">
        <v>574</v>
      </c>
      <c r="J18908" t="s">
        <v>575</v>
      </c>
      <c r="K18908" t="s">
        <v>33</v>
      </c>
      <c r="L18908" t="s">
        <v>246</v>
      </c>
      <c r="N18908" t="s">
        <v>29</v>
      </c>
    </row>
    <row r="18909" spans="1:14">
      <c r="A18909" s="4" t="str">
        <f t="shared" si="1329"/>
        <v>EXP00440</v>
      </c>
      <c r="B18909" s="3" t="s">
        <v>66</v>
      </c>
      <c r="C18909" s="4" t="str">
        <f t="shared" si="1328"/>
        <v>TCGA-STAD</v>
      </c>
      <c r="D18909" s="1" t="s">
        <v>493</v>
      </c>
      <c r="E18909" t="s">
        <v>579</v>
      </c>
      <c r="F18909" s="1">
        <v>2</v>
      </c>
      <c r="G18909" s="1" t="s">
        <v>32</v>
      </c>
      <c r="H18909" s="4" t="str">
        <f>HYPERLINK("https://portal.gdc.cancer.gov/cases/4bae9c20-74a4-4ad3-8cf3-76e41217f389","TCGA-VQ-A923-01A")</f>
        <v>TCGA-VQ-A923-01A</v>
      </c>
      <c r="I18909" t="s">
        <v>574</v>
      </c>
      <c r="J18909" t="s">
        <v>575</v>
      </c>
      <c r="K18909" t="s">
        <v>33</v>
      </c>
      <c r="L18909" t="s">
        <v>246</v>
      </c>
      <c r="N18909" t="s">
        <v>29</v>
      </c>
    </row>
    <row r="18910" spans="1:14">
      <c r="A18910" s="4" t="str">
        <f t="shared" si="1329"/>
        <v>EXP00440</v>
      </c>
      <c r="B18910" s="3" t="s">
        <v>66</v>
      </c>
      <c r="C18910" s="4" t="str">
        <f t="shared" si="1328"/>
        <v>TCGA-STAD</v>
      </c>
      <c r="D18910" s="1" t="s">
        <v>493</v>
      </c>
      <c r="E18910" t="s">
        <v>579</v>
      </c>
      <c r="F18910" s="1">
        <v>2</v>
      </c>
      <c r="G18910" s="1" t="s">
        <v>32</v>
      </c>
      <c r="H18910" s="4" t="str">
        <f>HYPERLINK("https://portal.gdc.cancer.gov/cases/c656375b-6b63-4728-a126-dbd746a1f437","TCGA-VQ-A924-01A")</f>
        <v>TCGA-VQ-A924-01A</v>
      </c>
      <c r="I18910" t="s">
        <v>574</v>
      </c>
      <c r="J18910" t="s">
        <v>575</v>
      </c>
      <c r="K18910" t="s">
        <v>33</v>
      </c>
      <c r="L18910" t="s">
        <v>246</v>
      </c>
      <c r="N18910" t="s">
        <v>29</v>
      </c>
    </row>
    <row r="18911" spans="1:14">
      <c r="A18911" s="4" t="str">
        <f t="shared" si="1329"/>
        <v>EXP00440</v>
      </c>
      <c r="B18911" s="3" t="s">
        <v>66</v>
      </c>
      <c r="C18911" s="4" t="str">
        <f t="shared" si="1328"/>
        <v>TCGA-STAD</v>
      </c>
      <c r="D18911" s="1" t="s">
        <v>493</v>
      </c>
      <c r="E18911" t="s">
        <v>579</v>
      </c>
      <c r="F18911" s="1">
        <v>2</v>
      </c>
      <c r="G18911" s="1" t="s">
        <v>32</v>
      </c>
      <c r="H18911" s="4" t="str">
        <f>HYPERLINK("https://portal.gdc.cancer.gov/cases/012921da-962c-462c-9c36-d0f21b23c028","TCGA-VQ-A925-01A")</f>
        <v>TCGA-VQ-A925-01A</v>
      </c>
      <c r="I18911" t="s">
        <v>574</v>
      </c>
      <c r="J18911" t="s">
        <v>575</v>
      </c>
      <c r="K18911" t="s">
        <v>33</v>
      </c>
      <c r="L18911" t="s">
        <v>246</v>
      </c>
      <c r="N18911" t="s">
        <v>29</v>
      </c>
    </row>
    <row r="18912" spans="1:14">
      <c r="A18912" s="4" t="str">
        <f t="shared" si="1329"/>
        <v>EXP00440</v>
      </c>
      <c r="B18912" s="3" t="s">
        <v>66</v>
      </c>
      <c r="C18912" s="4" t="str">
        <f t="shared" si="1328"/>
        <v>TCGA-STAD</v>
      </c>
      <c r="D18912" s="1" t="s">
        <v>493</v>
      </c>
      <c r="E18912" t="s">
        <v>579</v>
      </c>
      <c r="F18912" s="1">
        <v>2</v>
      </c>
      <c r="G18912" s="1" t="s">
        <v>32</v>
      </c>
      <c r="H18912" s="4" t="str">
        <f>HYPERLINK("https://portal.gdc.cancer.gov/cases/76a4e24e-e645-47c5-836a-6a029e97a4c8","TCGA-VQ-A927-01A")</f>
        <v>TCGA-VQ-A927-01A</v>
      </c>
      <c r="I18912" t="s">
        <v>574</v>
      </c>
      <c r="J18912" t="s">
        <v>575</v>
      </c>
      <c r="K18912" t="s">
        <v>33</v>
      </c>
      <c r="L18912" t="s">
        <v>246</v>
      </c>
      <c r="N18912" t="s">
        <v>29</v>
      </c>
    </row>
    <row r="18913" spans="1:14">
      <c r="A18913" s="4" t="str">
        <f t="shared" si="1329"/>
        <v>EXP00440</v>
      </c>
      <c r="B18913" s="3" t="s">
        <v>66</v>
      </c>
      <c r="C18913" s="4" t="str">
        <f t="shared" si="1328"/>
        <v>TCGA-STAD</v>
      </c>
      <c r="D18913" s="1" t="s">
        <v>493</v>
      </c>
      <c r="E18913" t="s">
        <v>579</v>
      </c>
      <c r="F18913" s="1">
        <v>2</v>
      </c>
      <c r="G18913" s="1" t="s">
        <v>32</v>
      </c>
      <c r="H18913" s="4" t="str">
        <f>HYPERLINK("https://portal.gdc.cancer.gov/cases/aba9439a-ea8d-404f-9faf-eb71a306684d","TCGA-VQ-A92D-01A")</f>
        <v>TCGA-VQ-A92D-01A</v>
      </c>
      <c r="I18913" t="s">
        <v>574</v>
      </c>
      <c r="J18913" t="s">
        <v>575</v>
      </c>
      <c r="K18913" t="s">
        <v>33</v>
      </c>
      <c r="L18913" t="s">
        <v>246</v>
      </c>
      <c r="N18913" t="s">
        <v>29</v>
      </c>
    </row>
    <row r="18914" spans="1:14">
      <c r="A18914" s="4" t="str">
        <f t="shared" si="1329"/>
        <v>EXP00440</v>
      </c>
      <c r="B18914" s="3" t="s">
        <v>66</v>
      </c>
      <c r="C18914" s="4" t="str">
        <f t="shared" si="1328"/>
        <v>TCGA-STAD</v>
      </c>
      <c r="D18914" s="1" t="s">
        <v>493</v>
      </c>
      <c r="E18914" t="s">
        <v>579</v>
      </c>
      <c r="F18914" s="1">
        <v>2</v>
      </c>
      <c r="G18914" s="1" t="s">
        <v>32</v>
      </c>
      <c r="H18914" s="4" t="str">
        <f>HYPERLINK("https://portal.gdc.cancer.gov/cases/a205522f-2df0-4829-b86f-fa43c76c39cc","TCGA-VQ-A94P-01A")</f>
        <v>TCGA-VQ-A94P-01A</v>
      </c>
      <c r="I18914" t="s">
        <v>574</v>
      </c>
      <c r="J18914" t="s">
        <v>575</v>
      </c>
      <c r="K18914" t="s">
        <v>33</v>
      </c>
      <c r="L18914" t="s">
        <v>246</v>
      </c>
      <c r="N18914" t="s">
        <v>29</v>
      </c>
    </row>
    <row r="18915" spans="1:14">
      <c r="A18915" s="4" t="str">
        <f t="shared" si="1329"/>
        <v>EXP00440</v>
      </c>
      <c r="B18915" s="3" t="s">
        <v>66</v>
      </c>
      <c r="C18915" s="4" t="str">
        <f t="shared" si="1328"/>
        <v>TCGA-STAD</v>
      </c>
      <c r="D18915" s="1" t="s">
        <v>493</v>
      </c>
      <c r="E18915" t="s">
        <v>579</v>
      </c>
      <c r="F18915" s="1">
        <v>2</v>
      </c>
      <c r="G18915" s="1" t="s">
        <v>32</v>
      </c>
      <c r="H18915" s="4" t="str">
        <f>HYPERLINK("https://portal.gdc.cancer.gov/cases/95edfabe-0b35-4cdd-aed4-e2234d806f35","TCGA-VQ-A94R-01A")</f>
        <v>TCGA-VQ-A94R-01A</v>
      </c>
      <c r="I18915" t="s">
        <v>574</v>
      </c>
      <c r="J18915" t="s">
        <v>575</v>
      </c>
      <c r="K18915" t="s">
        <v>33</v>
      </c>
      <c r="L18915" t="s">
        <v>246</v>
      </c>
      <c r="N18915" t="s">
        <v>29</v>
      </c>
    </row>
    <row r="18916" spans="1:14">
      <c r="A18916" s="4" t="str">
        <f t="shared" si="1329"/>
        <v>EXP00440</v>
      </c>
      <c r="B18916" s="3" t="s">
        <v>66</v>
      </c>
      <c r="C18916" s="4" t="str">
        <f t="shared" si="1328"/>
        <v>TCGA-STAD</v>
      </c>
      <c r="D18916" s="1" t="s">
        <v>493</v>
      </c>
      <c r="E18916" t="s">
        <v>579</v>
      </c>
      <c r="F18916" s="1">
        <v>2</v>
      </c>
      <c r="G18916" s="1" t="s">
        <v>32</v>
      </c>
      <c r="H18916" s="4" t="str">
        <f>HYPERLINK("https://portal.gdc.cancer.gov/cases/e6daa4fa-dcf7-4698-b13f-fdfa4eda6943","TCGA-VQ-A94T-01A")</f>
        <v>TCGA-VQ-A94T-01A</v>
      </c>
      <c r="I18916" t="s">
        <v>574</v>
      </c>
      <c r="J18916" t="s">
        <v>575</v>
      </c>
      <c r="K18916" t="s">
        <v>33</v>
      </c>
      <c r="L18916" t="s">
        <v>246</v>
      </c>
      <c r="N18916" t="s">
        <v>29</v>
      </c>
    </row>
    <row r="18917" spans="1:14">
      <c r="A18917" s="4" t="str">
        <f t="shared" si="1329"/>
        <v>EXP00440</v>
      </c>
      <c r="B18917" s="3" t="s">
        <v>66</v>
      </c>
      <c r="C18917" s="4" t="str">
        <f t="shared" si="1328"/>
        <v>TCGA-STAD</v>
      </c>
      <c r="D18917" s="1" t="s">
        <v>493</v>
      </c>
      <c r="E18917" t="s">
        <v>579</v>
      </c>
      <c r="F18917" s="1">
        <v>2</v>
      </c>
      <c r="G18917" s="1" t="s">
        <v>32</v>
      </c>
      <c r="H18917" s="4" t="str">
        <f>HYPERLINK("https://portal.gdc.cancer.gov/cases/a0402de7-08ae-4528-9e77-289295ad8ef8","TCGA-VQ-A94U-01A")</f>
        <v>TCGA-VQ-A94U-01A</v>
      </c>
      <c r="I18917" t="s">
        <v>574</v>
      </c>
      <c r="J18917" t="s">
        <v>575</v>
      </c>
      <c r="K18917" t="s">
        <v>33</v>
      </c>
      <c r="L18917" t="s">
        <v>246</v>
      </c>
      <c r="N18917" t="s">
        <v>29</v>
      </c>
    </row>
    <row r="18918" spans="1:14">
      <c r="A18918" s="4" t="str">
        <f t="shared" si="1329"/>
        <v>EXP00440</v>
      </c>
      <c r="B18918" s="3" t="s">
        <v>66</v>
      </c>
      <c r="C18918" s="4" t="str">
        <f t="shared" si="1328"/>
        <v>TCGA-STAD</v>
      </c>
      <c r="D18918" s="1" t="s">
        <v>493</v>
      </c>
      <c r="E18918" t="s">
        <v>579</v>
      </c>
      <c r="F18918" s="1">
        <v>2</v>
      </c>
      <c r="G18918" s="1" t="s">
        <v>32</v>
      </c>
      <c r="H18918" s="4" t="str">
        <f>HYPERLINK("https://portal.gdc.cancer.gov/cases/fb143117-c3ad-4f4b-8f39-7586279e8eaa","TCGA-VQ-AA64-01A")</f>
        <v>TCGA-VQ-AA64-01A</v>
      </c>
      <c r="I18918" t="s">
        <v>574</v>
      </c>
      <c r="J18918" t="s">
        <v>575</v>
      </c>
      <c r="K18918" t="s">
        <v>33</v>
      </c>
      <c r="L18918" t="s">
        <v>246</v>
      </c>
      <c r="N18918" t="s">
        <v>29</v>
      </c>
    </row>
    <row r="18919" spans="1:14">
      <c r="A18919" s="4" t="str">
        <f t="shared" si="1329"/>
        <v>EXP00440</v>
      </c>
      <c r="B18919" s="3" t="s">
        <v>66</v>
      </c>
      <c r="C18919" s="4" t="str">
        <f t="shared" si="1328"/>
        <v>TCGA-STAD</v>
      </c>
      <c r="D18919" s="1" t="s">
        <v>493</v>
      </c>
      <c r="E18919" t="s">
        <v>579</v>
      </c>
      <c r="F18919" s="1">
        <v>2</v>
      </c>
      <c r="G18919" s="1" t="s">
        <v>32</v>
      </c>
      <c r="H18919" s="4" t="str">
        <f>HYPERLINK("https://portal.gdc.cancer.gov/cases/3ff9b46b-325f-4655-ab40-953154753dae","TCGA-VQ-AA68-01A")</f>
        <v>TCGA-VQ-AA68-01A</v>
      </c>
      <c r="I18919" t="s">
        <v>574</v>
      </c>
      <c r="J18919" t="s">
        <v>575</v>
      </c>
      <c r="K18919" t="s">
        <v>33</v>
      </c>
      <c r="L18919" t="s">
        <v>246</v>
      </c>
      <c r="N18919" t="s">
        <v>29</v>
      </c>
    </row>
    <row r="18920" spans="1:14">
      <c r="A18920" s="4" t="str">
        <f t="shared" si="1329"/>
        <v>EXP00440</v>
      </c>
      <c r="B18920" s="3" t="s">
        <v>66</v>
      </c>
      <c r="C18920" s="4" t="str">
        <f t="shared" ref="C18920:C18983" si="1330">HYPERLINK("https://portal.gdc.cancer.gov/projects/TCGA-STAD","TCGA-STAD")</f>
        <v>TCGA-STAD</v>
      </c>
      <c r="D18920" s="1" t="s">
        <v>493</v>
      </c>
      <c r="E18920" t="s">
        <v>579</v>
      </c>
      <c r="F18920" s="1">
        <v>2</v>
      </c>
      <c r="G18920" s="1" t="s">
        <v>32</v>
      </c>
      <c r="H18920" s="4" t="str">
        <f>HYPERLINK("https://portal.gdc.cancer.gov/cases/46874009-4b32-43ff-a36a-236a3ca28fef","TCGA-VQ-AA69-01A")</f>
        <v>TCGA-VQ-AA69-01A</v>
      </c>
      <c r="I18920" t="s">
        <v>574</v>
      </c>
      <c r="J18920" t="s">
        <v>575</v>
      </c>
      <c r="K18920" t="s">
        <v>33</v>
      </c>
      <c r="L18920" t="s">
        <v>246</v>
      </c>
      <c r="N18920" t="s">
        <v>29</v>
      </c>
    </row>
    <row r="18921" spans="1:14">
      <c r="A18921" s="4" t="str">
        <f t="shared" si="1329"/>
        <v>EXP00440</v>
      </c>
      <c r="B18921" s="3" t="s">
        <v>66</v>
      </c>
      <c r="C18921" s="4" t="str">
        <f t="shared" si="1330"/>
        <v>TCGA-STAD</v>
      </c>
      <c r="D18921" s="1" t="s">
        <v>493</v>
      </c>
      <c r="E18921" t="s">
        <v>579</v>
      </c>
      <c r="F18921" s="1">
        <v>2</v>
      </c>
      <c r="G18921" s="1" t="s">
        <v>32</v>
      </c>
      <c r="H18921" s="4" t="str">
        <f>HYPERLINK("https://portal.gdc.cancer.gov/cases/eb7e9aad-95d3-4efc-a706-e2c986d17055","TCGA-VQ-AA6A-01A")</f>
        <v>TCGA-VQ-AA6A-01A</v>
      </c>
      <c r="I18921" t="s">
        <v>574</v>
      </c>
      <c r="J18921" t="s">
        <v>575</v>
      </c>
      <c r="K18921" t="s">
        <v>33</v>
      </c>
      <c r="L18921" t="s">
        <v>246</v>
      </c>
      <c r="N18921" t="s">
        <v>29</v>
      </c>
    </row>
    <row r="18922" spans="1:14">
      <c r="A18922" s="4" t="str">
        <f t="shared" si="1329"/>
        <v>EXP00440</v>
      </c>
      <c r="B18922" s="3" t="s">
        <v>66</v>
      </c>
      <c r="C18922" s="4" t="str">
        <f t="shared" si="1330"/>
        <v>TCGA-STAD</v>
      </c>
      <c r="D18922" s="1" t="s">
        <v>493</v>
      </c>
      <c r="E18922" t="s">
        <v>579</v>
      </c>
      <c r="F18922" s="1">
        <v>2</v>
      </c>
      <c r="G18922" s="1" t="s">
        <v>32</v>
      </c>
      <c r="H18922" s="4" t="str">
        <f>HYPERLINK("https://portal.gdc.cancer.gov/cases/5779f7a7-05d7-4972-bd4f-aacb32420510","TCGA-VQ-AA6D-01A")</f>
        <v>TCGA-VQ-AA6D-01A</v>
      </c>
      <c r="I18922" t="s">
        <v>574</v>
      </c>
      <c r="J18922" t="s">
        <v>575</v>
      </c>
      <c r="K18922" t="s">
        <v>33</v>
      </c>
      <c r="L18922" t="s">
        <v>246</v>
      </c>
      <c r="N18922" t="s">
        <v>29</v>
      </c>
    </row>
    <row r="18923" spans="1:14">
      <c r="A18923" s="4" t="str">
        <f t="shared" si="1329"/>
        <v>EXP00440</v>
      </c>
      <c r="B18923" s="3" t="s">
        <v>66</v>
      </c>
      <c r="C18923" s="4" t="str">
        <f t="shared" si="1330"/>
        <v>TCGA-STAD</v>
      </c>
      <c r="D18923" s="1" t="s">
        <v>493</v>
      </c>
      <c r="E18923" t="s">
        <v>579</v>
      </c>
      <c r="F18923" s="1">
        <v>2</v>
      </c>
      <c r="G18923" s="1" t="s">
        <v>32</v>
      </c>
      <c r="H18923" s="4" t="str">
        <f>HYPERLINK("https://portal.gdc.cancer.gov/cases/dccd3854-8865-4452-9f1c-97283509b553","TCGA-VQ-AA6F-01A")</f>
        <v>TCGA-VQ-AA6F-01A</v>
      </c>
      <c r="I18923" t="s">
        <v>574</v>
      </c>
      <c r="J18923" t="s">
        <v>575</v>
      </c>
      <c r="K18923" t="s">
        <v>33</v>
      </c>
      <c r="L18923" t="s">
        <v>246</v>
      </c>
      <c r="N18923" t="s">
        <v>29</v>
      </c>
    </row>
    <row r="18924" spans="1:14">
      <c r="A18924" s="4" t="str">
        <f t="shared" si="1329"/>
        <v>EXP00440</v>
      </c>
      <c r="B18924" s="3" t="s">
        <v>66</v>
      </c>
      <c r="C18924" s="4" t="str">
        <f t="shared" si="1330"/>
        <v>TCGA-STAD</v>
      </c>
      <c r="D18924" s="1" t="s">
        <v>493</v>
      </c>
      <c r="E18924" t="s">
        <v>579</v>
      </c>
      <c r="F18924" s="1">
        <v>2</v>
      </c>
      <c r="G18924" s="1" t="s">
        <v>32</v>
      </c>
      <c r="H18924" s="4" t="str">
        <f>HYPERLINK("https://portal.gdc.cancer.gov/cases/a267ddb4-b2d9-4292-b120-6e13e70d01f8","TCGA-VQ-AA6J-01A")</f>
        <v>TCGA-VQ-AA6J-01A</v>
      </c>
      <c r="I18924" t="s">
        <v>574</v>
      </c>
      <c r="J18924" t="s">
        <v>575</v>
      </c>
      <c r="K18924" t="s">
        <v>33</v>
      </c>
      <c r="L18924" t="s">
        <v>246</v>
      </c>
      <c r="N18924" t="s">
        <v>29</v>
      </c>
    </row>
    <row r="18925" spans="1:14">
      <c r="A18925" s="4" t="str">
        <f t="shared" si="1329"/>
        <v>EXP00440</v>
      </c>
      <c r="B18925" s="3" t="s">
        <v>66</v>
      </c>
      <c r="C18925" s="4" t="str">
        <f t="shared" si="1330"/>
        <v>TCGA-STAD</v>
      </c>
      <c r="D18925" s="1" t="s">
        <v>493</v>
      </c>
      <c r="E18925" t="s">
        <v>579</v>
      </c>
      <c r="F18925" s="1">
        <v>2</v>
      </c>
      <c r="G18925" s="1" t="s">
        <v>32</v>
      </c>
      <c r="H18925" s="4" t="str">
        <f>HYPERLINK("https://portal.gdc.cancer.gov/cases/83a0f9ef-4bf0-4efe-8713-f8b6ab4f5773","TCGA-VQ-AA6K-01A")</f>
        <v>TCGA-VQ-AA6K-01A</v>
      </c>
      <c r="I18925" t="s">
        <v>574</v>
      </c>
      <c r="J18925" t="s">
        <v>575</v>
      </c>
      <c r="K18925" t="s">
        <v>33</v>
      </c>
      <c r="L18925" t="s">
        <v>246</v>
      </c>
      <c r="N18925" t="s">
        <v>29</v>
      </c>
    </row>
    <row r="18926" spans="1:14">
      <c r="A18926" s="4" t="str">
        <f t="shared" si="1329"/>
        <v>EXP00440</v>
      </c>
      <c r="B18926" s="3" t="s">
        <v>66</v>
      </c>
      <c r="C18926" s="4" t="str">
        <f t="shared" si="1330"/>
        <v>TCGA-STAD</v>
      </c>
      <c r="D18926" s="1" t="s">
        <v>493</v>
      </c>
      <c r="E18926" t="s">
        <v>579</v>
      </c>
      <c r="F18926" s="1">
        <v>2</v>
      </c>
      <c r="G18926" s="1" t="s">
        <v>32</v>
      </c>
      <c r="H18926" s="4" t="str">
        <f>HYPERLINK("https://portal.gdc.cancer.gov/cases/9130c730-b0bc-4d3a-9ee1-09bf43d9bd67","TCGA-ZA-A8F6-01A")</f>
        <v>TCGA-ZA-A8F6-01A</v>
      </c>
      <c r="I18926" t="s">
        <v>574</v>
      </c>
      <c r="J18926" t="s">
        <v>575</v>
      </c>
      <c r="K18926" t="s">
        <v>33</v>
      </c>
      <c r="L18926" t="s">
        <v>246</v>
      </c>
      <c r="N18926" t="s">
        <v>29</v>
      </c>
    </row>
    <row r="18927" spans="1:14">
      <c r="A18927" s="4" t="str">
        <f t="shared" si="1329"/>
        <v>EXP00440</v>
      </c>
      <c r="B18927" s="3" t="s">
        <v>66</v>
      </c>
      <c r="C18927" s="4" t="str">
        <f t="shared" si="1330"/>
        <v>TCGA-STAD</v>
      </c>
      <c r="D18927" s="1" t="s">
        <v>493</v>
      </c>
      <c r="E18927" t="s">
        <v>579</v>
      </c>
      <c r="F18927" s="1">
        <v>2</v>
      </c>
      <c r="G18927" s="1" t="s">
        <v>32</v>
      </c>
      <c r="H18927" s="4" t="str">
        <f>HYPERLINK("https://portal.gdc.cancer.gov/cases/f76122f7-343a-4345-9fb6-e46ad0b75cb0","TCGA-ZQ-A9CR-01A")</f>
        <v>TCGA-ZQ-A9CR-01A</v>
      </c>
      <c r="I18927" t="s">
        <v>574</v>
      </c>
      <c r="J18927" t="s">
        <v>575</v>
      </c>
      <c r="K18927" t="s">
        <v>33</v>
      </c>
      <c r="L18927" t="s">
        <v>246</v>
      </c>
      <c r="N18927" t="s">
        <v>29</v>
      </c>
    </row>
    <row r="18928" spans="1:14">
      <c r="A18928" s="4" t="str">
        <f t="shared" ref="A18928:A18991" si="1331">HYPERLINK("http://hcmdb.i-sanger.com/experiment/details/experiment_id/EXP00441","EXP00441")</f>
        <v>EXP00441</v>
      </c>
      <c r="B18928" s="3" t="s">
        <v>66</v>
      </c>
      <c r="C18928" s="4" t="str">
        <f t="shared" si="1330"/>
        <v>TCGA-STAD</v>
      </c>
      <c r="D18928" s="1" t="s">
        <v>493</v>
      </c>
      <c r="E18928" t="s">
        <v>580</v>
      </c>
      <c r="F18928" s="1">
        <v>1</v>
      </c>
      <c r="G18928" s="1" t="s">
        <v>36</v>
      </c>
      <c r="H18928" s="4" t="str">
        <f>HYPERLINK("https://portal.gdc.cancer.gov/cases/ae633e83-303f-4a90-ac3b-34458fd9beef","TCGA-BR-6453-11A")</f>
        <v>TCGA-BR-6453-11A</v>
      </c>
      <c r="I18928" t="s">
        <v>574</v>
      </c>
      <c r="J18928" t="s">
        <v>575</v>
      </c>
      <c r="K18928" t="s">
        <v>33</v>
      </c>
      <c r="L18928" t="s">
        <v>246</v>
      </c>
      <c r="N18928" t="s">
        <v>37</v>
      </c>
    </row>
    <row r="18929" spans="1:14">
      <c r="A18929" s="4" t="str">
        <f t="shared" si="1331"/>
        <v>EXP00441</v>
      </c>
      <c r="B18929" s="3" t="s">
        <v>66</v>
      </c>
      <c r="C18929" s="4" t="str">
        <f t="shared" si="1330"/>
        <v>TCGA-STAD</v>
      </c>
      <c r="D18929" s="1" t="s">
        <v>493</v>
      </c>
      <c r="E18929" t="s">
        <v>580</v>
      </c>
      <c r="F18929" s="1">
        <v>1</v>
      </c>
      <c r="G18929" s="1" t="s">
        <v>36</v>
      </c>
      <c r="H18929" s="4" t="str">
        <f>HYPERLINK("https://portal.gdc.cancer.gov/cases/ac2cbce4-4ba8-42c9-ac61-70f42995588e","TCGA-BR-6454-11A")</f>
        <v>TCGA-BR-6454-11A</v>
      </c>
      <c r="I18929" t="s">
        <v>574</v>
      </c>
      <c r="J18929" t="s">
        <v>575</v>
      </c>
      <c r="K18929" t="s">
        <v>33</v>
      </c>
      <c r="L18929" t="s">
        <v>246</v>
      </c>
      <c r="N18929" t="s">
        <v>37</v>
      </c>
    </row>
    <row r="18930" spans="1:14">
      <c r="A18930" s="4" t="str">
        <f t="shared" si="1331"/>
        <v>EXP00441</v>
      </c>
      <c r="B18930" s="3" t="s">
        <v>66</v>
      </c>
      <c r="C18930" s="4" t="str">
        <f t="shared" si="1330"/>
        <v>TCGA-STAD</v>
      </c>
      <c r="D18930" s="1" t="s">
        <v>493</v>
      </c>
      <c r="E18930" t="s">
        <v>580</v>
      </c>
      <c r="F18930" s="1">
        <v>1</v>
      </c>
      <c r="G18930" s="1" t="s">
        <v>36</v>
      </c>
      <c r="H18930" s="4" t="str">
        <f>HYPERLINK("https://portal.gdc.cancer.gov/cases/05ce16d4-a999-491a-91ad-9449a57228ff","TCGA-BR-6457-11A")</f>
        <v>TCGA-BR-6457-11A</v>
      </c>
      <c r="I18930" t="s">
        <v>574</v>
      </c>
      <c r="J18930" t="s">
        <v>575</v>
      </c>
      <c r="K18930" t="s">
        <v>33</v>
      </c>
      <c r="L18930" t="s">
        <v>246</v>
      </c>
      <c r="N18930" t="s">
        <v>37</v>
      </c>
    </row>
    <row r="18931" spans="1:14">
      <c r="A18931" s="4" t="str">
        <f t="shared" si="1331"/>
        <v>EXP00441</v>
      </c>
      <c r="B18931" s="3" t="s">
        <v>66</v>
      </c>
      <c r="C18931" s="4" t="str">
        <f t="shared" si="1330"/>
        <v>TCGA-STAD</v>
      </c>
      <c r="D18931" s="1" t="s">
        <v>493</v>
      </c>
      <c r="E18931" t="s">
        <v>580</v>
      </c>
      <c r="F18931" s="1">
        <v>1</v>
      </c>
      <c r="G18931" s="1" t="s">
        <v>36</v>
      </c>
      <c r="H18931" s="4" t="str">
        <f>HYPERLINK("https://portal.gdc.cancer.gov/cases/7c831a1d-3253-4af4-a0ff-7fe9ff9af1ce","TCGA-BR-6802-11A")</f>
        <v>TCGA-BR-6802-11A</v>
      </c>
      <c r="I18931" t="s">
        <v>574</v>
      </c>
      <c r="J18931" t="s">
        <v>575</v>
      </c>
      <c r="K18931" t="s">
        <v>33</v>
      </c>
      <c r="L18931" t="s">
        <v>246</v>
      </c>
      <c r="N18931" t="s">
        <v>37</v>
      </c>
    </row>
    <row r="18932" spans="1:14">
      <c r="A18932" s="4" t="str">
        <f t="shared" si="1331"/>
        <v>EXP00441</v>
      </c>
      <c r="B18932" s="3" t="s">
        <v>66</v>
      </c>
      <c r="C18932" s="4" t="str">
        <f t="shared" si="1330"/>
        <v>TCGA-STAD</v>
      </c>
      <c r="D18932" s="1" t="s">
        <v>493</v>
      </c>
      <c r="E18932" t="s">
        <v>580</v>
      </c>
      <c r="F18932" s="1">
        <v>1</v>
      </c>
      <c r="G18932" s="1" t="s">
        <v>36</v>
      </c>
      <c r="H18932" s="4" t="str">
        <f>HYPERLINK("https://portal.gdc.cancer.gov/cases/2943375e-3de8-4d42-959a-62f4192067ae","TCGA-BR-7703-11A")</f>
        <v>TCGA-BR-7703-11A</v>
      </c>
      <c r="I18932" t="s">
        <v>574</v>
      </c>
      <c r="J18932" t="s">
        <v>575</v>
      </c>
      <c r="K18932" t="s">
        <v>33</v>
      </c>
      <c r="L18932" t="s">
        <v>246</v>
      </c>
      <c r="N18932" t="s">
        <v>37</v>
      </c>
    </row>
    <row r="18933" spans="1:14">
      <c r="A18933" s="4" t="str">
        <f t="shared" si="1331"/>
        <v>EXP00441</v>
      </c>
      <c r="B18933" s="3" t="s">
        <v>66</v>
      </c>
      <c r="C18933" s="4" t="str">
        <f t="shared" si="1330"/>
        <v>TCGA-STAD</v>
      </c>
      <c r="D18933" s="1" t="s">
        <v>493</v>
      </c>
      <c r="E18933" t="s">
        <v>580</v>
      </c>
      <c r="F18933" s="1">
        <v>1</v>
      </c>
      <c r="G18933" s="1" t="s">
        <v>36</v>
      </c>
      <c r="H18933" s="4" t="str">
        <f>HYPERLINK("https://portal.gdc.cancer.gov/cases/9ef7582b-d4c1-4036-a1ed-ef65aa46fc60","TCGA-BR-7704-11A")</f>
        <v>TCGA-BR-7704-11A</v>
      </c>
      <c r="I18933" t="s">
        <v>574</v>
      </c>
      <c r="J18933" t="s">
        <v>575</v>
      </c>
      <c r="K18933" t="s">
        <v>33</v>
      </c>
      <c r="L18933" t="s">
        <v>246</v>
      </c>
      <c r="N18933" t="s">
        <v>37</v>
      </c>
    </row>
    <row r="18934" spans="1:14">
      <c r="A18934" s="4" t="str">
        <f t="shared" si="1331"/>
        <v>EXP00441</v>
      </c>
      <c r="B18934" s="3" t="s">
        <v>66</v>
      </c>
      <c r="C18934" s="4" t="str">
        <f t="shared" si="1330"/>
        <v>TCGA-STAD</v>
      </c>
      <c r="D18934" s="1" t="s">
        <v>493</v>
      </c>
      <c r="E18934" t="s">
        <v>580</v>
      </c>
      <c r="F18934" s="1">
        <v>1</v>
      </c>
      <c r="G18934" s="1" t="s">
        <v>36</v>
      </c>
      <c r="H18934" s="4" t="str">
        <f>HYPERLINK("https://portal.gdc.cancer.gov/cases/69704642-ba65-4a45-8f13-95d847185045","TCGA-BR-7715-11A")</f>
        <v>TCGA-BR-7715-11A</v>
      </c>
      <c r="I18934" t="s">
        <v>574</v>
      </c>
      <c r="J18934" t="s">
        <v>575</v>
      </c>
      <c r="K18934" t="s">
        <v>33</v>
      </c>
      <c r="L18934" t="s">
        <v>246</v>
      </c>
      <c r="N18934" t="s">
        <v>37</v>
      </c>
    </row>
    <row r="18935" spans="1:14">
      <c r="A18935" s="4" t="str">
        <f t="shared" si="1331"/>
        <v>EXP00441</v>
      </c>
      <c r="B18935" s="3" t="s">
        <v>66</v>
      </c>
      <c r="C18935" s="4" t="str">
        <f t="shared" si="1330"/>
        <v>TCGA-STAD</v>
      </c>
      <c r="D18935" s="1" t="s">
        <v>493</v>
      </c>
      <c r="E18935" t="s">
        <v>580</v>
      </c>
      <c r="F18935" s="1">
        <v>1</v>
      </c>
      <c r="G18935" s="1" t="s">
        <v>36</v>
      </c>
      <c r="H18935" s="4" t="str">
        <f>HYPERLINK("https://portal.gdc.cancer.gov/cases/ca21c55f-45a7-42af-be07-430990d5445b","TCGA-BR-7716-11A")</f>
        <v>TCGA-BR-7716-11A</v>
      </c>
      <c r="I18935" t="s">
        <v>574</v>
      </c>
      <c r="J18935" t="s">
        <v>575</v>
      </c>
      <c r="K18935" t="s">
        <v>33</v>
      </c>
      <c r="L18935" t="s">
        <v>246</v>
      </c>
      <c r="N18935" t="s">
        <v>37</v>
      </c>
    </row>
    <row r="18936" spans="1:14">
      <c r="A18936" s="4" t="str">
        <f t="shared" si="1331"/>
        <v>EXP00441</v>
      </c>
      <c r="B18936" s="3" t="s">
        <v>66</v>
      </c>
      <c r="C18936" s="4" t="str">
        <f t="shared" si="1330"/>
        <v>TCGA-STAD</v>
      </c>
      <c r="D18936" s="1" t="s">
        <v>493</v>
      </c>
      <c r="E18936" t="s">
        <v>580</v>
      </c>
      <c r="F18936" s="1">
        <v>1</v>
      </c>
      <c r="G18936" s="1" t="s">
        <v>36</v>
      </c>
      <c r="H18936" s="4" t="str">
        <f>HYPERLINK("https://portal.gdc.cancer.gov/cases/93a337ae-2bd3-4464-b38f-93dff92d3fde","TCGA-BR-7717-11A")</f>
        <v>TCGA-BR-7717-11A</v>
      </c>
      <c r="I18936" t="s">
        <v>574</v>
      </c>
      <c r="J18936" t="s">
        <v>575</v>
      </c>
      <c r="K18936" t="s">
        <v>33</v>
      </c>
      <c r="L18936" t="s">
        <v>246</v>
      </c>
      <c r="N18936" t="s">
        <v>37</v>
      </c>
    </row>
    <row r="18937" spans="1:14">
      <c r="A18937" s="4" t="str">
        <f t="shared" si="1331"/>
        <v>EXP00441</v>
      </c>
      <c r="B18937" s="3" t="s">
        <v>66</v>
      </c>
      <c r="C18937" s="4" t="str">
        <f t="shared" si="1330"/>
        <v>TCGA-STAD</v>
      </c>
      <c r="D18937" s="1" t="s">
        <v>493</v>
      </c>
      <c r="E18937" t="s">
        <v>580</v>
      </c>
      <c r="F18937" s="1">
        <v>1</v>
      </c>
      <c r="G18937" s="1" t="s">
        <v>36</v>
      </c>
      <c r="H18937" s="4" t="str">
        <f>HYPERLINK("https://portal.gdc.cancer.gov/cases/08c73b36-ede5-4136-b73b-0e964d432f89","TCGA-BR-7851-11A")</f>
        <v>TCGA-BR-7851-11A</v>
      </c>
      <c r="I18937" t="s">
        <v>574</v>
      </c>
      <c r="J18937" t="s">
        <v>575</v>
      </c>
      <c r="K18937" t="s">
        <v>33</v>
      </c>
      <c r="L18937" t="s">
        <v>246</v>
      </c>
      <c r="N18937" t="s">
        <v>37</v>
      </c>
    </row>
    <row r="18938" spans="1:14">
      <c r="A18938" s="4" t="str">
        <f t="shared" si="1331"/>
        <v>EXP00441</v>
      </c>
      <c r="B18938" s="3" t="s">
        <v>66</v>
      </c>
      <c r="C18938" s="4" t="str">
        <f t="shared" si="1330"/>
        <v>TCGA-STAD</v>
      </c>
      <c r="D18938" s="1" t="s">
        <v>493</v>
      </c>
      <c r="E18938" t="s">
        <v>580</v>
      </c>
      <c r="F18938" s="1">
        <v>1</v>
      </c>
      <c r="G18938" s="1" t="s">
        <v>36</v>
      </c>
      <c r="H18938" s="4" t="str">
        <f>HYPERLINK("https://portal.gdc.cancer.gov/cases/23ef21a0-3695-4ca2-99e2-274805f11892","TCGA-BR-8060-11A")</f>
        <v>TCGA-BR-8060-11A</v>
      </c>
      <c r="I18938" t="s">
        <v>574</v>
      </c>
      <c r="J18938" t="s">
        <v>575</v>
      </c>
      <c r="K18938" t="s">
        <v>33</v>
      </c>
      <c r="L18938" t="s">
        <v>246</v>
      </c>
      <c r="N18938" t="s">
        <v>37</v>
      </c>
    </row>
    <row r="18939" spans="1:14">
      <c r="A18939" s="4" t="str">
        <f t="shared" si="1331"/>
        <v>EXP00441</v>
      </c>
      <c r="B18939" s="3" t="s">
        <v>66</v>
      </c>
      <c r="C18939" s="4" t="str">
        <f t="shared" si="1330"/>
        <v>TCGA-STAD</v>
      </c>
      <c r="D18939" s="1" t="s">
        <v>493</v>
      </c>
      <c r="E18939" t="s">
        <v>580</v>
      </c>
      <c r="F18939" s="1">
        <v>1</v>
      </c>
      <c r="G18939" s="1" t="s">
        <v>36</v>
      </c>
      <c r="H18939" s="4" t="str">
        <f>HYPERLINK("https://portal.gdc.cancer.gov/cases/7c9ea4fa-4cbc-4941-945a-e531e1d48304","TCGA-CG-5720-11A")</f>
        <v>TCGA-CG-5720-11A</v>
      </c>
      <c r="I18939" t="s">
        <v>574</v>
      </c>
      <c r="J18939" t="s">
        <v>575</v>
      </c>
      <c r="K18939" t="s">
        <v>33</v>
      </c>
      <c r="L18939" t="s">
        <v>246</v>
      </c>
      <c r="N18939" t="s">
        <v>37</v>
      </c>
    </row>
    <row r="18940" spans="1:14">
      <c r="A18940" s="4" t="str">
        <f t="shared" si="1331"/>
        <v>EXP00441</v>
      </c>
      <c r="B18940" s="3" t="s">
        <v>66</v>
      </c>
      <c r="C18940" s="4" t="str">
        <f t="shared" si="1330"/>
        <v>TCGA-STAD</v>
      </c>
      <c r="D18940" s="1" t="s">
        <v>493</v>
      </c>
      <c r="E18940" t="s">
        <v>580</v>
      </c>
      <c r="F18940" s="1">
        <v>1</v>
      </c>
      <c r="G18940" s="1" t="s">
        <v>36</v>
      </c>
      <c r="H18940" s="4" t="str">
        <f>HYPERLINK("https://portal.gdc.cancer.gov/cases/588abaea-ab16-42f4-9457-5901ee791b5f","TCGA-CG-5721-11A")</f>
        <v>TCGA-CG-5721-11A</v>
      </c>
      <c r="I18940" t="s">
        <v>574</v>
      </c>
      <c r="J18940" t="s">
        <v>575</v>
      </c>
      <c r="K18940" t="s">
        <v>33</v>
      </c>
      <c r="L18940" t="s">
        <v>246</v>
      </c>
      <c r="N18940" t="s">
        <v>37</v>
      </c>
    </row>
    <row r="18941" spans="1:14">
      <c r="A18941" s="4" t="str">
        <f t="shared" si="1331"/>
        <v>EXP00441</v>
      </c>
      <c r="B18941" s="3" t="s">
        <v>66</v>
      </c>
      <c r="C18941" s="4" t="str">
        <f t="shared" si="1330"/>
        <v>TCGA-STAD</v>
      </c>
      <c r="D18941" s="1" t="s">
        <v>493</v>
      </c>
      <c r="E18941" t="s">
        <v>580</v>
      </c>
      <c r="F18941" s="1">
        <v>1</v>
      </c>
      <c r="G18941" s="1" t="s">
        <v>36</v>
      </c>
      <c r="H18941" s="4" t="str">
        <f>HYPERLINK("https://portal.gdc.cancer.gov/cases/f35e8fef-f61d-4614-b73f-f7e1d0f21f52","TCGA-CG-5722-11A")</f>
        <v>TCGA-CG-5722-11A</v>
      </c>
      <c r="I18941" t="s">
        <v>574</v>
      </c>
      <c r="J18941" t="s">
        <v>575</v>
      </c>
      <c r="K18941" t="s">
        <v>33</v>
      </c>
      <c r="L18941" t="s">
        <v>246</v>
      </c>
      <c r="N18941" t="s">
        <v>37</v>
      </c>
    </row>
    <row r="18942" spans="1:14">
      <c r="A18942" s="4" t="str">
        <f t="shared" si="1331"/>
        <v>EXP00441</v>
      </c>
      <c r="B18942" s="3" t="s">
        <v>66</v>
      </c>
      <c r="C18942" s="4" t="str">
        <f t="shared" si="1330"/>
        <v>TCGA-STAD</v>
      </c>
      <c r="D18942" s="1" t="s">
        <v>493</v>
      </c>
      <c r="E18942" t="s">
        <v>580</v>
      </c>
      <c r="F18942" s="1">
        <v>1</v>
      </c>
      <c r="G18942" s="1" t="s">
        <v>36</v>
      </c>
      <c r="H18942" s="4" t="str">
        <f>HYPERLINK("https://portal.gdc.cancer.gov/cases/1286ac33-a466-4f58-900e-f6b13fe9c25a","TCGA-CG-5728-11A")</f>
        <v>TCGA-CG-5728-11A</v>
      </c>
      <c r="I18942" t="s">
        <v>574</v>
      </c>
      <c r="J18942" t="s">
        <v>575</v>
      </c>
      <c r="K18942" t="s">
        <v>33</v>
      </c>
      <c r="L18942" t="s">
        <v>246</v>
      </c>
      <c r="N18942" t="s">
        <v>37</v>
      </c>
    </row>
    <row r="18943" spans="1:14">
      <c r="A18943" s="4" t="str">
        <f t="shared" si="1331"/>
        <v>EXP00441</v>
      </c>
      <c r="B18943" s="3" t="s">
        <v>66</v>
      </c>
      <c r="C18943" s="4" t="str">
        <f t="shared" si="1330"/>
        <v>TCGA-STAD</v>
      </c>
      <c r="D18943" s="1" t="s">
        <v>493</v>
      </c>
      <c r="E18943" t="s">
        <v>580</v>
      </c>
      <c r="F18943" s="1">
        <v>1</v>
      </c>
      <c r="G18943" s="1" t="s">
        <v>36</v>
      </c>
      <c r="H18943" s="4" t="str">
        <f>HYPERLINK("https://portal.gdc.cancer.gov/cases/09587f1c-5c99-4102-bc49-84d50fa8d0ce","TCGA-CG-5730-11A")</f>
        <v>TCGA-CG-5730-11A</v>
      </c>
      <c r="I18943" t="s">
        <v>574</v>
      </c>
      <c r="J18943" t="s">
        <v>575</v>
      </c>
      <c r="K18943" t="s">
        <v>33</v>
      </c>
      <c r="L18943" t="s">
        <v>246</v>
      </c>
      <c r="N18943" t="s">
        <v>37</v>
      </c>
    </row>
    <row r="18944" spans="1:14">
      <c r="A18944" s="4" t="str">
        <f t="shared" si="1331"/>
        <v>EXP00441</v>
      </c>
      <c r="B18944" s="3" t="s">
        <v>66</v>
      </c>
      <c r="C18944" s="4" t="str">
        <f t="shared" si="1330"/>
        <v>TCGA-STAD</v>
      </c>
      <c r="D18944" s="1" t="s">
        <v>493</v>
      </c>
      <c r="E18944" t="s">
        <v>580</v>
      </c>
      <c r="F18944" s="1">
        <v>1</v>
      </c>
      <c r="G18944" s="1" t="s">
        <v>36</v>
      </c>
      <c r="H18944" s="4" t="str">
        <f>HYPERLINK("https://portal.gdc.cancer.gov/cases/8a9afa5e-63ce-41eb-aafb-b0b03653da5a","TCGA-CG-5733-11A")</f>
        <v>TCGA-CG-5733-11A</v>
      </c>
      <c r="I18944" t="s">
        <v>574</v>
      </c>
      <c r="J18944" t="s">
        <v>575</v>
      </c>
      <c r="K18944" t="s">
        <v>33</v>
      </c>
      <c r="L18944" t="s">
        <v>246</v>
      </c>
      <c r="N18944" t="s">
        <v>37</v>
      </c>
    </row>
    <row r="18945" spans="1:14">
      <c r="A18945" s="4" t="str">
        <f t="shared" si="1331"/>
        <v>EXP00441</v>
      </c>
      <c r="B18945" s="3" t="s">
        <v>66</v>
      </c>
      <c r="C18945" s="4" t="str">
        <f t="shared" si="1330"/>
        <v>TCGA-STAD</v>
      </c>
      <c r="D18945" s="1" t="s">
        <v>493</v>
      </c>
      <c r="E18945" t="s">
        <v>580</v>
      </c>
      <c r="F18945" s="1">
        <v>1</v>
      </c>
      <c r="G18945" s="1" t="s">
        <v>36</v>
      </c>
      <c r="H18945" s="4" t="str">
        <f>HYPERLINK("https://portal.gdc.cancer.gov/cases/2a227292-c73d-45fc-ab68-cdfaf7aef9e7","TCGA-CG-5734-11A")</f>
        <v>TCGA-CG-5734-11A</v>
      </c>
      <c r="I18945" t="s">
        <v>574</v>
      </c>
      <c r="J18945" t="s">
        <v>575</v>
      </c>
      <c r="K18945" t="s">
        <v>33</v>
      </c>
      <c r="L18945" t="s">
        <v>246</v>
      </c>
      <c r="N18945" t="s">
        <v>37</v>
      </c>
    </row>
    <row r="18946" spans="1:14">
      <c r="A18946" s="4" t="str">
        <f t="shared" si="1331"/>
        <v>EXP00441</v>
      </c>
      <c r="B18946" s="3" t="s">
        <v>66</v>
      </c>
      <c r="C18946" s="4" t="str">
        <f t="shared" si="1330"/>
        <v>TCGA-STAD</v>
      </c>
      <c r="D18946" s="1" t="s">
        <v>493</v>
      </c>
      <c r="E18946" t="s">
        <v>580</v>
      </c>
      <c r="F18946" s="1">
        <v>1</v>
      </c>
      <c r="G18946" s="1" t="s">
        <v>36</v>
      </c>
      <c r="H18946" s="4" t="str">
        <f>HYPERLINK("https://portal.gdc.cancer.gov/cases/1d43af3c-4279-4aed-9ced-ce3896a48ae0","TCGA-FP-7735-11A")</f>
        <v>TCGA-FP-7735-11A</v>
      </c>
      <c r="I18946" t="s">
        <v>574</v>
      </c>
      <c r="J18946" t="s">
        <v>575</v>
      </c>
      <c r="K18946" t="s">
        <v>33</v>
      </c>
      <c r="L18946" t="s">
        <v>246</v>
      </c>
      <c r="N18946" t="s">
        <v>37</v>
      </c>
    </row>
    <row r="18947" spans="1:14">
      <c r="A18947" s="4" t="str">
        <f t="shared" si="1331"/>
        <v>EXP00441</v>
      </c>
      <c r="B18947" s="3" t="s">
        <v>66</v>
      </c>
      <c r="C18947" s="4" t="str">
        <f t="shared" si="1330"/>
        <v>TCGA-STAD</v>
      </c>
      <c r="D18947" s="1" t="s">
        <v>493</v>
      </c>
      <c r="E18947" t="s">
        <v>580</v>
      </c>
      <c r="F18947" s="1">
        <v>1</v>
      </c>
      <c r="G18947" s="1" t="s">
        <v>36</v>
      </c>
      <c r="H18947" s="4" t="str">
        <f>HYPERLINK("https://portal.gdc.cancer.gov/cases/45aacbb4-0fd8-431c-a57b-279ea57a19fc","TCGA-FP-7829-11A")</f>
        <v>TCGA-FP-7829-11A</v>
      </c>
      <c r="I18947" t="s">
        <v>574</v>
      </c>
      <c r="J18947" t="s">
        <v>575</v>
      </c>
      <c r="K18947" t="s">
        <v>33</v>
      </c>
      <c r="L18947" t="s">
        <v>246</v>
      </c>
      <c r="N18947" t="s">
        <v>37</v>
      </c>
    </row>
    <row r="18948" spans="1:14">
      <c r="A18948" s="4" t="str">
        <f t="shared" si="1331"/>
        <v>EXP00441</v>
      </c>
      <c r="B18948" s="3" t="s">
        <v>66</v>
      </c>
      <c r="C18948" s="4" t="str">
        <f t="shared" si="1330"/>
        <v>TCGA-STAD</v>
      </c>
      <c r="D18948" s="1" t="s">
        <v>493</v>
      </c>
      <c r="E18948" t="s">
        <v>580</v>
      </c>
      <c r="F18948" s="1">
        <v>1</v>
      </c>
      <c r="G18948" s="1" t="s">
        <v>36</v>
      </c>
      <c r="H18948" s="4" t="str">
        <f>HYPERLINK("https://portal.gdc.cancer.gov/cases/ac77e22d-42c0-4e06-b904-0dd5b31eb0d8","TCGA-HU-8238-11A")</f>
        <v>TCGA-HU-8238-11A</v>
      </c>
      <c r="I18948" t="s">
        <v>574</v>
      </c>
      <c r="J18948" t="s">
        <v>575</v>
      </c>
      <c r="K18948" t="s">
        <v>33</v>
      </c>
      <c r="L18948" t="s">
        <v>246</v>
      </c>
      <c r="N18948" t="s">
        <v>37</v>
      </c>
    </row>
    <row r="18949" spans="1:14">
      <c r="A18949" s="4" t="str">
        <f t="shared" si="1331"/>
        <v>EXP00441</v>
      </c>
      <c r="B18949" s="3" t="s">
        <v>66</v>
      </c>
      <c r="C18949" s="4" t="str">
        <f t="shared" si="1330"/>
        <v>TCGA-STAD</v>
      </c>
      <c r="D18949" s="1" t="s">
        <v>493</v>
      </c>
      <c r="E18949" t="s">
        <v>580</v>
      </c>
      <c r="F18949" s="1">
        <v>1</v>
      </c>
      <c r="G18949" s="1" t="s">
        <v>36</v>
      </c>
      <c r="H18949" s="4" t="str">
        <f>HYPERLINK("https://portal.gdc.cancer.gov/cases/13e5a0ad-6d0c-4fb4-bf62-325f5c8ed329","TCGA-HU-A4GC-11A")</f>
        <v>TCGA-HU-A4GC-11A</v>
      </c>
      <c r="I18949" t="s">
        <v>574</v>
      </c>
      <c r="J18949" t="s">
        <v>575</v>
      </c>
      <c r="K18949" t="s">
        <v>33</v>
      </c>
      <c r="L18949" t="s">
        <v>246</v>
      </c>
      <c r="N18949" t="s">
        <v>37</v>
      </c>
    </row>
    <row r="18950" spans="1:14">
      <c r="A18950" s="4" t="str">
        <f t="shared" si="1331"/>
        <v>EXP00441</v>
      </c>
      <c r="B18950" s="3" t="s">
        <v>66</v>
      </c>
      <c r="C18950" s="4" t="str">
        <f t="shared" si="1330"/>
        <v>TCGA-STAD</v>
      </c>
      <c r="D18950" s="1" t="s">
        <v>493</v>
      </c>
      <c r="E18950" t="s">
        <v>580</v>
      </c>
      <c r="F18950" s="1">
        <v>1</v>
      </c>
      <c r="G18950" s="1" t="s">
        <v>36</v>
      </c>
      <c r="H18950" s="4" t="str">
        <f>HYPERLINK("https://portal.gdc.cancer.gov/cases/d9424178-9cb4-4bfb-9814-ba1afe7ad954","TCGA-HU-A4GH-11A")</f>
        <v>TCGA-HU-A4GH-11A</v>
      </c>
      <c r="I18950" t="s">
        <v>574</v>
      </c>
      <c r="J18950" t="s">
        <v>575</v>
      </c>
      <c r="K18950" t="s">
        <v>33</v>
      </c>
      <c r="L18950" t="s">
        <v>246</v>
      </c>
      <c r="N18950" t="s">
        <v>37</v>
      </c>
    </row>
    <row r="18951" spans="1:14">
      <c r="A18951" s="4" t="str">
        <f t="shared" si="1331"/>
        <v>EXP00441</v>
      </c>
      <c r="B18951" s="3" t="s">
        <v>66</v>
      </c>
      <c r="C18951" s="4" t="str">
        <f t="shared" si="1330"/>
        <v>TCGA-STAD</v>
      </c>
      <c r="D18951" s="1" t="s">
        <v>493</v>
      </c>
      <c r="E18951" t="s">
        <v>580</v>
      </c>
      <c r="F18951" s="1">
        <v>1</v>
      </c>
      <c r="G18951" s="1" t="s">
        <v>36</v>
      </c>
      <c r="H18951" s="4" t="str">
        <f>HYPERLINK("https://portal.gdc.cancer.gov/cases/f8a32cb0-8c3d-4bc2-8e53-561b89000be7","TCGA-HU-A4GN-11A")</f>
        <v>TCGA-HU-A4GN-11A</v>
      </c>
      <c r="I18951" t="s">
        <v>574</v>
      </c>
      <c r="J18951" t="s">
        <v>575</v>
      </c>
      <c r="K18951" t="s">
        <v>33</v>
      </c>
      <c r="L18951" t="s">
        <v>246</v>
      </c>
      <c r="N18951" t="s">
        <v>37</v>
      </c>
    </row>
    <row r="18952" spans="1:14">
      <c r="A18952" s="4" t="str">
        <f t="shared" si="1331"/>
        <v>EXP00441</v>
      </c>
      <c r="B18952" s="3" t="s">
        <v>66</v>
      </c>
      <c r="C18952" s="4" t="str">
        <f t="shared" si="1330"/>
        <v>TCGA-STAD</v>
      </c>
      <c r="D18952" s="1" t="s">
        <v>493</v>
      </c>
      <c r="E18952" t="s">
        <v>580</v>
      </c>
      <c r="F18952" s="1">
        <v>1</v>
      </c>
      <c r="G18952" s="1" t="s">
        <v>36</v>
      </c>
      <c r="H18952" s="4" t="str">
        <f>HYPERLINK("https://portal.gdc.cancer.gov/cases/c46ff2bb-bdd0-48cd-b2ae-7ef421b4b91a","TCGA-HU-A4GP-11A")</f>
        <v>TCGA-HU-A4GP-11A</v>
      </c>
      <c r="I18952" t="s">
        <v>574</v>
      </c>
      <c r="J18952" t="s">
        <v>575</v>
      </c>
      <c r="K18952" t="s">
        <v>33</v>
      </c>
      <c r="L18952" t="s">
        <v>246</v>
      </c>
      <c r="N18952" t="s">
        <v>37</v>
      </c>
    </row>
    <row r="18953" spans="1:14">
      <c r="A18953" s="4" t="str">
        <f t="shared" si="1331"/>
        <v>EXP00441</v>
      </c>
      <c r="B18953" s="3" t="s">
        <v>66</v>
      </c>
      <c r="C18953" s="4" t="str">
        <f t="shared" si="1330"/>
        <v>TCGA-STAD</v>
      </c>
      <c r="D18953" s="1" t="s">
        <v>493</v>
      </c>
      <c r="E18953" t="s">
        <v>580</v>
      </c>
      <c r="F18953" s="1">
        <v>1</v>
      </c>
      <c r="G18953" s="1" t="s">
        <v>36</v>
      </c>
      <c r="H18953" s="4" t="str">
        <f>HYPERLINK("https://portal.gdc.cancer.gov/cases/41327aac-1228-435a-8de5-b26886bdbce0","TCGA-HU-A4GY-11A")</f>
        <v>TCGA-HU-A4GY-11A</v>
      </c>
      <c r="I18953" t="s">
        <v>574</v>
      </c>
      <c r="J18953" t="s">
        <v>575</v>
      </c>
      <c r="K18953" t="s">
        <v>33</v>
      </c>
      <c r="L18953" t="s">
        <v>246</v>
      </c>
      <c r="N18953" t="s">
        <v>37</v>
      </c>
    </row>
    <row r="18954" spans="1:14">
      <c r="A18954" s="4" t="str">
        <f t="shared" si="1331"/>
        <v>EXP00441</v>
      </c>
      <c r="B18954" s="3" t="s">
        <v>66</v>
      </c>
      <c r="C18954" s="4" t="str">
        <f t="shared" si="1330"/>
        <v>TCGA-STAD</v>
      </c>
      <c r="D18954" s="1" t="s">
        <v>493</v>
      </c>
      <c r="E18954" t="s">
        <v>580</v>
      </c>
      <c r="F18954" s="1">
        <v>1</v>
      </c>
      <c r="G18954" s="1" t="s">
        <v>36</v>
      </c>
      <c r="H18954" s="4" t="str">
        <f>HYPERLINK("https://portal.gdc.cancer.gov/cases/36e36773-1d03-4ed0-ae31-1c0ca55577a4","TCGA-HU-A4HB-11A")</f>
        <v>TCGA-HU-A4HB-11A</v>
      </c>
      <c r="I18954" t="s">
        <v>574</v>
      </c>
      <c r="J18954" t="s">
        <v>575</v>
      </c>
      <c r="K18954" t="s">
        <v>33</v>
      </c>
      <c r="L18954" t="s">
        <v>246</v>
      </c>
      <c r="N18954" t="s">
        <v>37</v>
      </c>
    </row>
    <row r="18955" spans="1:14">
      <c r="A18955" s="4" t="str">
        <f t="shared" si="1331"/>
        <v>EXP00441</v>
      </c>
      <c r="B18955" s="3" t="s">
        <v>66</v>
      </c>
      <c r="C18955" s="4" t="str">
        <f t="shared" si="1330"/>
        <v>TCGA-STAD</v>
      </c>
      <c r="D18955" s="1" t="s">
        <v>493</v>
      </c>
      <c r="E18955" t="s">
        <v>580</v>
      </c>
      <c r="F18955" s="1">
        <v>1</v>
      </c>
      <c r="G18955" s="1" t="s">
        <v>36</v>
      </c>
      <c r="H18955" s="4" t="str">
        <f>HYPERLINK("https://portal.gdc.cancer.gov/cases/87c217d4-66f4-46ca-8244-7856ce658fd3","TCGA-IN-7806-11A")</f>
        <v>TCGA-IN-7806-11A</v>
      </c>
      <c r="I18955" t="s">
        <v>574</v>
      </c>
      <c r="J18955" t="s">
        <v>575</v>
      </c>
      <c r="K18955" t="s">
        <v>33</v>
      </c>
      <c r="L18955" t="s">
        <v>246</v>
      </c>
      <c r="N18955" t="s">
        <v>37</v>
      </c>
    </row>
    <row r="18956" spans="1:14">
      <c r="A18956" s="4" t="str">
        <f t="shared" si="1331"/>
        <v>EXP00441</v>
      </c>
      <c r="B18956" s="3" t="s">
        <v>66</v>
      </c>
      <c r="C18956" s="4" t="str">
        <f t="shared" si="1330"/>
        <v>TCGA-STAD</v>
      </c>
      <c r="D18956" s="1" t="s">
        <v>493</v>
      </c>
      <c r="E18956" t="s">
        <v>580</v>
      </c>
      <c r="F18956" s="1">
        <v>1</v>
      </c>
      <c r="G18956" s="1" t="s">
        <v>36</v>
      </c>
      <c r="H18956" s="4" t="str">
        <f>HYPERLINK("https://portal.gdc.cancer.gov/cases/d5550422-dc4b-4ebf-acb5-aa5243fff49f","TCGA-IN-8663-11A")</f>
        <v>TCGA-IN-8663-11A</v>
      </c>
      <c r="I18956" t="s">
        <v>574</v>
      </c>
      <c r="J18956" t="s">
        <v>575</v>
      </c>
      <c r="K18956" t="s">
        <v>33</v>
      </c>
      <c r="L18956" t="s">
        <v>246</v>
      </c>
      <c r="N18956" t="s">
        <v>37</v>
      </c>
    </row>
    <row r="18957" spans="1:14">
      <c r="A18957" s="4" t="str">
        <f t="shared" si="1331"/>
        <v>EXP00441</v>
      </c>
      <c r="B18957" s="3" t="s">
        <v>66</v>
      </c>
      <c r="C18957" s="4" t="str">
        <f t="shared" si="1330"/>
        <v>TCGA-STAD</v>
      </c>
      <c r="D18957" s="1" t="s">
        <v>493</v>
      </c>
      <c r="E18957" t="s">
        <v>580</v>
      </c>
      <c r="F18957" s="1">
        <v>1</v>
      </c>
      <c r="G18957" s="1" t="s">
        <v>36</v>
      </c>
      <c r="H18957" s="4" t="str">
        <f>HYPERLINK("https://portal.gdc.cancer.gov/cases/ddcc73bf-b10f-4fab-96d4-3077947fcd2d","TCGA-IN-AB1V-11A")</f>
        <v>TCGA-IN-AB1V-11A</v>
      </c>
      <c r="I18957" t="s">
        <v>574</v>
      </c>
      <c r="J18957" t="s">
        <v>575</v>
      </c>
      <c r="K18957" t="s">
        <v>33</v>
      </c>
      <c r="L18957" t="s">
        <v>246</v>
      </c>
      <c r="N18957" t="s">
        <v>37</v>
      </c>
    </row>
    <row r="18958" spans="1:14">
      <c r="A18958" s="4" t="str">
        <f t="shared" si="1331"/>
        <v>EXP00441</v>
      </c>
      <c r="B18958" s="3" t="s">
        <v>66</v>
      </c>
      <c r="C18958" s="4" t="str">
        <f t="shared" si="1330"/>
        <v>TCGA-STAD</v>
      </c>
      <c r="D18958" s="1" t="s">
        <v>493</v>
      </c>
      <c r="E18958" t="s">
        <v>580</v>
      </c>
      <c r="F18958" s="1">
        <v>1</v>
      </c>
      <c r="G18958" s="1" t="s">
        <v>36</v>
      </c>
      <c r="H18958" s="4" t="str">
        <f>HYPERLINK("https://portal.gdc.cancer.gov/cases/1e5a3796-6249-4a91-9fc8-0c273e337f29","TCGA-IN-AB1X-11A")</f>
        <v>TCGA-IN-AB1X-11A</v>
      </c>
      <c r="I18958" t="s">
        <v>574</v>
      </c>
      <c r="J18958" t="s">
        <v>575</v>
      </c>
      <c r="K18958" t="s">
        <v>33</v>
      </c>
      <c r="L18958" t="s">
        <v>246</v>
      </c>
      <c r="N18958" t="s">
        <v>37</v>
      </c>
    </row>
    <row r="18959" spans="1:14">
      <c r="A18959" s="4" t="str">
        <f t="shared" si="1331"/>
        <v>EXP00441</v>
      </c>
      <c r="B18959" s="3" t="s">
        <v>66</v>
      </c>
      <c r="C18959" s="4" t="str">
        <f t="shared" si="1330"/>
        <v>TCGA-STAD</v>
      </c>
      <c r="D18959" s="1" t="s">
        <v>493</v>
      </c>
      <c r="E18959" t="s">
        <v>580</v>
      </c>
      <c r="F18959" s="1">
        <v>1</v>
      </c>
      <c r="G18959" s="1" t="s">
        <v>36</v>
      </c>
      <c r="H18959" s="4" t="str">
        <f>HYPERLINK("https://portal.gdc.cancer.gov/cases/faf5f1e3-9f7d-4a9d-a005-6cad5e4becf7","TCGA-IP-7968-11A")</f>
        <v>TCGA-IP-7968-11A</v>
      </c>
      <c r="I18959" t="s">
        <v>574</v>
      </c>
      <c r="J18959" t="s">
        <v>575</v>
      </c>
      <c r="K18959" t="s">
        <v>33</v>
      </c>
      <c r="L18959" t="s">
        <v>246</v>
      </c>
      <c r="N18959" t="s">
        <v>37</v>
      </c>
    </row>
    <row r="18960" spans="1:14">
      <c r="A18960" s="4" t="str">
        <f t="shared" si="1331"/>
        <v>EXP00441</v>
      </c>
      <c r="B18960" s="3" t="s">
        <v>66</v>
      </c>
      <c r="C18960" s="4" t="str">
        <f t="shared" si="1330"/>
        <v>TCGA-STAD</v>
      </c>
      <c r="D18960" s="1" t="s">
        <v>493</v>
      </c>
      <c r="E18960" t="s">
        <v>580</v>
      </c>
      <c r="F18960" s="1">
        <v>2</v>
      </c>
      <c r="G18960" s="1" t="s">
        <v>28</v>
      </c>
      <c r="H18960" s="4" t="str">
        <f>HYPERLINK("https://portal.gdc.cancer.gov/cases/be6531b2-d1f3-44ab-9c02-1ceae51ef2bb","TCGA-3M-AB46-01A")</f>
        <v>TCGA-3M-AB46-01A</v>
      </c>
      <c r="I18960" t="s">
        <v>574</v>
      </c>
      <c r="J18960" t="s">
        <v>575</v>
      </c>
      <c r="K18960" t="s">
        <v>33</v>
      </c>
      <c r="L18960" t="s">
        <v>246</v>
      </c>
      <c r="N18960" t="s">
        <v>29</v>
      </c>
    </row>
    <row r="18961" spans="1:14">
      <c r="A18961" s="4" t="str">
        <f t="shared" si="1331"/>
        <v>EXP00441</v>
      </c>
      <c r="B18961" s="3" t="s">
        <v>66</v>
      </c>
      <c r="C18961" s="4" t="str">
        <f t="shared" si="1330"/>
        <v>TCGA-STAD</v>
      </c>
      <c r="D18961" s="1" t="s">
        <v>493</v>
      </c>
      <c r="E18961" t="s">
        <v>580</v>
      </c>
      <c r="F18961" s="1">
        <v>2</v>
      </c>
      <c r="G18961" s="1" t="s">
        <v>28</v>
      </c>
      <c r="H18961" s="4" t="str">
        <f>HYPERLINK("https://portal.gdc.cancer.gov/cases/85c11b74-9e50-4da1-8c0b-d5677cc801b1","TCGA-3M-AB47-01A")</f>
        <v>TCGA-3M-AB47-01A</v>
      </c>
      <c r="I18961" t="s">
        <v>574</v>
      </c>
      <c r="J18961" t="s">
        <v>575</v>
      </c>
      <c r="K18961" t="s">
        <v>33</v>
      </c>
      <c r="L18961" t="s">
        <v>246</v>
      </c>
      <c r="N18961" t="s">
        <v>29</v>
      </c>
    </row>
    <row r="18962" spans="1:14">
      <c r="A18962" s="4" t="str">
        <f t="shared" si="1331"/>
        <v>EXP00441</v>
      </c>
      <c r="B18962" s="3" t="s">
        <v>66</v>
      </c>
      <c r="C18962" s="4" t="str">
        <f t="shared" si="1330"/>
        <v>TCGA-STAD</v>
      </c>
      <c r="D18962" s="1" t="s">
        <v>493</v>
      </c>
      <c r="E18962" t="s">
        <v>580</v>
      </c>
      <c r="F18962" s="1">
        <v>2</v>
      </c>
      <c r="G18962" s="1" t="s">
        <v>28</v>
      </c>
      <c r="H18962" s="4" t="str">
        <f>HYPERLINK("https://portal.gdc.cancer.gov/cases/6e03b415-84a1-4b91-8717-1a41edd4a255","TCGA-B7-5818-01A")</f>
        <v>TCGA-B7-5818-01A</v>
      </c>
      <c r="I18962" t="s">
        <v>574</v>
      </c>
      <c r="J18962" t="s">
        <v>575</v>
      </c>
      <c r="K18962" t="s">
        <v>33</v>
      </c>
      <c r="L18962" t="s">
        <v>246</v>
      </c>
      <c r="N18962" t="s">
        <v>29</v>
      </c>
    </row>
    <row r="18963" spans="1:14">
      <c r="A18963" s="4" t="str">
        <f t="shared" si="1331"/>
        <v>EXP00441</v>
      </c>
      <c r="B18963" s="3" t="s">
        <v>66</v>
      </c>
      <c r="C18963" s="4" t="str">
        <f t="shared" si="1330"/>
        <v>TCGA-STAD</v>
      </c>
      <c r="D18963" s="1" t="s">
        <v>493</v>
      </c>
      <c r="E18963" t="s">
        <v>580</v>
      </c>
      <c r="F18963" s="1">
        <v>2</v>
      </c>
      <c r="G18963" s="1" t="s">
        <v>28</v>
      </c>
      <c r="H18963" s="4" t="str">
        <f>HYPERLINK("https://portal.gdc.cancer.gov/cases/4310a287-5f01-4e0d-94e3-96c5379c3245","TCGA-B7-A5TI-01A")</f>
        <v>TCGA-B7-A5TI-01A</v>
      </c>
      <c r="I18963" t="s">
        <v>574</v>
      </c>
      <c r="J18963" t="s">
        <v>575</v>
      </c>
      <c r="K18963" t="s">
        <v>33</v>
      </c>
      <c r="L18963" t="s">
        <v>246</v>
      </c>
      <c r="N18963" t="s">
        <v>29</v>
      </c>
    </row>
    <row r="18964" spans="1:14">
      <c r="A18964" s="4" t="str">
        <f t="shared" si="1331"/>
        <v>EXP00441</v>
      </c>
      <c r="B18964" s="3" t="s">
        <v>66</v>
      </c>
      <c r="C18964" s="4" t="str">
        <f t="shared" si="1330"/>
        <v>TCGA-STAD</v>
      </c>
      <c r="D18964" s="1" t="s">
        <v>493</v>
      </c>
      <c r="E18964" t="s">
        <v>580</v>
      </c>
      <c r="F18964" s="1">
        <v>2</v>
      </c>
      <c r="G18964" s="1" t="s">
        <v>28</v>
      </c>
      <c r="H18964" s="4" t="str">
        <f>HYPERLINK("https://portal.gdc.cancer.gov/cases/5624beab-545a-4a5b-960e-c33429572272","TCGA-B7-A5TJ-01A")</f>
        <v>TCGA-B7-A5TJ-01A</v>
      </c>
      <c r="I18964" t="s">
        <v>574</v>
      </c>
      <c r="J18964" t="s">
        <v>575</v>
      </c>
      <c r="K18964" t="s">
        <v>33</v>
      </c>
      <c r="L18964" t="s">
        <v>246</v>
      </c>
      <c r="N18964" t="s">
        <v>29</v>
      </c>
    </row>
    <row r="18965" spans="1:14">
      <c r="A18965" s="4" t="str">
        <f t="shared" si="1331"/>
        <v>EXP00441</v>
      </c>
      <c r="B18965" s="3" t="s">
        <v>66</v>
      </c>
      <c r="C18965" s="4" t="str">
        <f t="shared" si="1330"/>
        <v>TCGA-STAD</v>
      </c>
      <c r="D18965" s="1" t="s">
        <v>493</v>
      </c>
      <c r="E18965" t="s">
        <v>580</v>
      </c>
      <c r="F18965" s="1">
        <v>2</v>
      </c>
      <c r="G18965" s="1" t="s">
        <v>28</v>
      </c>
      <c r="H18965" s="4" t="str">
        <f>HYPERLINK("https://portal.gdc.cancer.gov/cases/4ed55013-3853-48ea-909f-7d26d5055637","TCGA-B7-A5TK-01A")</f>
        <v>TCGA-B7-A5TK-01A</v>
      </c>
      <c r="I18965" t="s">
        <v>574</v>
      </c>
      <c r="J18965" t="s">
        <v>575</v>
      </c>
      <c r="K18965" t="s">
        <v>33</v>
      </c>
      <c r="L18965" t="s">
        <v>246</v>
      </c>
      <c r="N18965" t="s">
        <v>29</v>
      </c>
    </row>
    <row r="18966" spans="1:14">
      <c r="A18966" s="4" t="str">
        <f t="shared" si="1331"/>
        <v>EXP00441</v>
      </c>
      <c r="B18966" s="3" t="s">
        <v>66</v>
      </c>
      <c r="C18966" s="4" t="str">
        <f t="shared" si="1330"/>
        <v>TCGA-STAD</v>
      </c>
      <c r="D18966" s="1" t="s">
        <v>493</v>
      </c>
      <c r="E18966" t="s">
        <v>580</v>
      </c>
      <c r="F18966" s="1">
        <v>2</v>
      </c>
      <c r="G18966" s="1" t="s">
        <v>28</v>
      </c>
      <c r="H18966" s="4" t="str">
        <f>HYPERLINK("https://portal.gdc.cancer.gov/cases/77535af0-def4-439c-b50d-8720712235dd","TCGA-B7-A5TN-01A")</f>
        <v>TCGA-B7-A5TN-01A</v>
      </c>
      <c r="I18966" t="s">
        <v>574</v>
      </c>
      <c r="J18966" t="s">
        <v>575</v>
      </c>
      <c r="K18966" t="s">
        <v>33</v>
      </c>
      <c r="L18966" t="s">
        <v>246</v>
      </c>
      <c r="N18966" t="s">
        <v>29</v>
      </c>
    </row>
    <row r="18967" spans="1:14">
      <c r="A18967" s="4" t="str">
        <f t="shared" si="1331"/>
        <v>EXP00441</v>
      </c>
      <c r="B18967" s="3" t="s">
        <v>66</v>
      </c>
      <c r="C18967" s="4" t="str">
        <f t="shared" si="1330"/>
        <v>TCGA-STAD</v>
      </c>
      <c r="D18967" s="1" t="s">
        <v>493</v>
      </c>
      <c r="E18967" t="s">
        <v>580</v>
      </c>
      <c r="F18967" s="1">
        <v>2</v>
      </c>
      <c r="G18967" s="1" t="s">
        <v>28</v>
      </c>
      <c r="H18967" s="4" t="str">
        <f>HYPERLINK("https://portal.gdc.cancer.gov/cases/12071070-d06b-4c7b-a7b1-77c84963abe6","TCGA-BR-4187-01A")</f>
        <v>TCGA-BR-4187-01A</v>
      </c>
      <c r="I18967" t="s">
        <v>574</v>
      </c>
      <c r="J18967" t="s">
        <v>575</v>
      </c>
      <c r="K18967" t="s">
        <v>33</v>
      </c>
      <c r="L18967" t="s">
        <v>246</v>
      </c>
      <c r="N18967" t="s">
        <v>29</v>
      </c>
    </row>
    <row r="18968" spans="1:14">
      <c r="A18968" s="4" t="str">
        <f t="shared" si="1331"/>
        <v>EXP00441</v>
      </c>
      <c r="B18968" s="3" t="s">
        <v>66</v>
      </c>
      <c r="C18968" s="4" t="str">
        <f t="shared" si="1330"/>
        <v>TCGA-STAD</v>
      </c>
      <c r="D18968" s="1" t="s">
        <v>493</v>
      </c>
      <c r="E18968" t="s">
        <v>580</v>
      </c>
      <c r="F18968" s="1">
        <v>2</v>
      </c>
      <c r="G18968" s="1" t="s">
        <v>28</v>
      </c>
      <c r="H18968" s="4" t="str">
        <f>HYPERLINK("https://portal.gdc.cancer.gov/cases/74f859cf-6df5-4e96-ae6b-cfaab691d5fd","TCGA-BR-4191-01A")</f>
        <v>TCGA-BR-4191-01A</v>
      </c>
      <c r="I18968" t="s">
        <v>574</v>
      </c>
      <c r="J18968" t="s">
        <v>575</v>
      </c>
      <c r="K18968" t="s">
        <v>33</v>
      </c>
      <c r="L18968" t="s">
        <v>246</v>
      </c>
      <c r="N18968" t="s">
        <v>29</v>
      </c>
    </row>
    <row r="18969" spans="1:14">
      <c r="A18969" s="4" t="str">
        <f t="shared" si="1331"/>
        <v>EXP00441</v>
      </c>
      <c r="B18969" s="3" t="s">
        <v>66</v>
      </c>
      <c r="C18969" s="4" t="str">
        <f t="shared" si="1330"/>
        <v>TCGA-STAD</v>
      </c>
      <c r="D18969" s="1" t="s">
        <v>493</v>
      </c>
      <c r="E18969" t="s">
        <v>580</v>
      </c>
      <c r="F18969" s="1">
        <v>2</v>
      </c>
      <c r="G18969" s="1" t="s">
        <v>28</v>
      </c>
      <c r="H18969" s="4" t="str">
        <f>HYPERLINK("https://portal.gdc.cancer.gov/cases/8520654b-2192-46cf-9d72-1ddb885a7c55","TCGA-BR-4201-01A")</f>
        <v>TCGA-BR-4201-01A</v>
      </c>
      <c r="I18969" t="s">
        <v>574</v>
      </c>
      <c r="J18969" t="s">
        <v>575</v>
      </c>
      <c r="K18969" t="s">
        <v>33</v>
      </c>
      <c r="L18969" t="s">
        <v>246</v>
      </c>
      <c r="N18969" t="s">
        <v>29</v>
      </c>
    </row>
    <row r="18970" spans="1:14">
      <c r="A18970" s="4" t="str">
        <f t="shared" si="1331"/>
        <v>EXP00441</v>
      </c>
      <c r="B18970" s="3" t="s">
        <v>66</v>
      </c>
      <c r="C18970" s="4" t="str">
        <f t="shared" si="1330"/>
        <v>TCGA-STAD</v>
      </c>
      <c r="D18970" s="1" t="s">
        <v>493</v>
      </c>
      <c r="E18970" t="s">
        <v>580</v>
      </c>
      <c r="F18970" s="1">
        <v>2</v>
      </c>
      <c r="G18970" s="1" t="s">
        <v>28</v>
      </c>
      <c r="H18970" s="4" t="str">
        <f>HYPERLINK("https://portal.gdc.cancer.gov/cases/411257a4-a148-4606-8c8b-f9f1240e40ed","TCGA-BR-4253-01A")</f>
        <v>TCGA-BR-4253-01A</v>
      </c>
      <c r="I18970" t="s">
        <v>574</v>
      </c>
      <c r="J18970" t="s">
        <v>575</v>
      </c>
      <c r="K18970" t="s">
        <v>33</v>
      </c>
      <c r="L18970" t="s">
        <v>246</v>
      </c>
      <c r="N18970" t="s">
        <v>29</v>
      </c>
    </row>
    <row r="18971" spans="1:14">
      <c r="A18971" s="4" t="str">
        <f t="shared" si="1331"/>
        <v>EXP00441</v>
      </c>
      <c r="B18971" s="3" t="s">
        <v>66</v>
      </c>
      <c r="C18971" s="4" t="str">
        <f t="shared" si="1330"/>
        <v>TCGA-STAD</v>
      </c>
      <c r="D18971" s="1" t="s">
        <v>493</v>
      </c>
      <c r="E18971" t="s">
        <v>580</v>
      </c>
      <c r="F18971" s="1">
        <v>2</v>
      </c>
      <c r="G18971" s="1" t="s">
        <v>28</v>
      </c>
      <c r="H18971" s="4" t="str">
        <f>HYPERLINK("https://portal.gdc.cancer.gov/cases/7b0d69ca-13a6-46e0-839c-e433bbede3ad","TCGA-BR-4256-01A")</f>
        <v>TCGA-BR-4256-01A</v>
      </c>
      <c r="I18971" t="s">
        <v>574</v>
      </c>
      <c r="J18971" t="s">
        <v>575</v>
      </c>
      <c r="K18971" t="s">
        <v>33</v>
      </c>
      <c r="L18971" t="s">
        <v>246</v>
      </c>
      <c r="N18971" t="s">
        <v>29</v>
      </c>
    </row>
    <row r="18972" spans="1:14">
      <c r="A18972" s="4" t="str">
        <f t="shared" si="1331"/>
        <v>EXP00441</v>
      </c>
      <c r="B18972" s="3" t="s">
        <v>66</v>
      </c>
      <c r="C18972" s="4" t="str">
        <f t="shared" si="1330"/>
        <v>TCGA-STAD</v>
      </c>
      <c r="D18972" s="1" t="s">
        <v>493</v>
      </c>
      <c r="E18972" t="s">
        <v>580</v>
      </c>
      <c r="F18972" s="1">
        <v>2</v>
      </c>
      <c r="G18972" s="1" t="s">
        <v>28</v>
      </c>
      <c r="H18972" s="4" t="str">
        <f>HYPERLINK("https://portal.gdc.cancer.gov/cases/da112431-5579-4fd1-a230-9144b359b0e9","TCGA-BR-4257-01A")</f>
        <v>TCGA-BR-4257-01A</v>
      </c>
      <c r="I18972" t="s">
        <v>574</v>
      </c>
      <c r="J18972" t="s">
        <v>575</v>
      </c>
      <c r="K18972" t="s">
        <v>33</v>
      </c>
      <c r="L18972" t="s">
        <v>246</v>
      </c>
      <c r="N18972" t="s">
        <v>29</v>
      </c>
    </row>
    <row r="18973" spans="1:14">
      <c r="A18973" s="4" t="str">
        <f t="shared" si="1331"/>
        <v>EXP00441</v>
      </c>
      <c r="B18973" s="3" t="s">
        <v>66</v>
      </c>
      <c r="C18973" s="4" t="str">
        <f t="shared" si="1330"/>
        <v>TCGA-STAD</v>
      </c>
      <c r="D18973" s="1" t="s">
        <v>493</v>
      </c>
      <c r="E18973" t="s">
        <v>580</v>
      </c>
      <c r="F18973" s="1">
        <v>2</v>
      </c>
      <c r="G18973" s="1" t="s">
        <v>28</v>
      </c>
      <c r="H18973" s="4" t="str">
        <f>HYPERLINK("https://portal.gdc.cancer.gov/cases/0d0f0200-25b8-483b-b04a-82a7833b4d30","TCGA-BR-4267-01A")</f>
        <v>TCGA-BR-4267-01A</v>
      </c>
      <c r="I18973" t="s">
        <v>574</v>
      </c>
      <c r="J18973" t="s">
        <v>575</v>
      </c>
      <c r="K18973" t="s">
        <v>33</v>
      </c>
      <c r="L18973" t="s">
        <v>246</v>
      </c>
      <c r="N18973" t="s">
        <v>29</v>
      </c>
    </row>
    <row r="18974" spans="1:14">
      <c r="A18974" s="4" t="str">
        <f t="shared" si="1331"/>
        <v>EXP00441</v>
      </c>
      <c r="B18974" s="3" t="s">
        <v>66</v>
      </c>
      <c r="C18974" s="4" t="str">
        <f t="shared" si="1330"/>
        <v>TCGA-STAD</v>
      </c>
      <c r="D18974" s="1" t="s">
        <v>493</v>
      </c>
      <c r="E18974" t="s">
        <v>580</v>
      </c>
      <c r="F18974" s="1">
        <v>2</v>
      </c>
      <c r="G18974" s="1" t="s">
        <v>28</v>
      </c>
      <c r="H18974" s="4" t="str">
        <f>HYPERLINK("https://portal.gdc.cancer.gov/cases/117eb38b-0c62-4336-a866-fa5bd013256a","TCGA-BR-4279-01A")</f>
        <v>TCGA-BR-4279-01A</v>
      </c>
      <c r="I18974" t="s">
        <v>574</v>
      </c>
      <c r="J18974" t="s">
        <v>575</v>
      </c>
      <c r="K18974" t="s">
        <v>33</v>
      </c>
      <c r="L18974" t="s">
        <v>246</v>
      </c>
      <c r="N18974" t="s">
        <v>29</v>
      </c>
    </row>
    <row r="18975" spans="1:14">
      <c r="A18975" s="4" t="str">
        <f t="shared" si="1331"/>
        <v>EXP00441</v>
      </c>
      <c r="B18975" s="3" t="s">
        <v>66</v>
      </c>
      <c r="C18975" s="4" t="str">
        <f t="shared" si="1330"/>
        <v>TCGA-STAD</v>
      </c>
      <c r="D18975" s="1" t="s">
        <v>493</v>
      </c>
      <c r="E18975" t="s">
        <v>580</v>
      </c>
      <c r="F18975" s="1">
        <v>2</v>
      </c>
      <c r="G18975" s="1" t="s">
        <v>28</v>
      </c>
      <c r="H18975" s="4" t="str">
        <f>HYPERLINK("https://portal.gdc.cancer.gov/cases/e0916597-e489-45ef-a8f7-653a3c6591ef","TCGA-BR-4280-01A")</f>
        <v>TCGA-BR-4280-01A</v>
      </c>
      <c r="I18975" t="s">
        <v>574</v>
      </c>
      <c r="J18975" t="s">
        <v>575</v>
      </c>
      <c r="K18975" t="s">
        <v>33</v>
      </c>
      <c r="L18975" t="s">
        <v>246</v>
      </c>
      <c r="N18975" t="s">
        <v>29</v>
      </c>
    </row>
    <row r="18976" spans="1:14">
      <c r="A18976" s="4" t="str">
        <f t="shared" si="1331"/>
        <v>EXP00441</v>
      </c>
      <c r="B18976" s="3" t="s">
        <v>66</v>
      </c>
      <c r="C18976" s="4" t="str">
        <f t="shared" si="1330"/>
        <v>TCGA-STAD</v>
      </c>
      <c r="D18976" s="1" t="s">
        <v>493</v>
      </c>
      <c r="E18976" t="s">
        <v>580</v>
      </c>
      <c r="F18976" s="1">
        <v>2</v>
      </c>
      <c r="G18976" s="1" t="s">
        <v>28</v>
      </c>
      <c r="H18976" s="4" t="str">
        <f>HYPERLINK("https://portal.gdc.cancer.gov/cases/acab1362-c8a0-448b-8533-0cd84d97959c","TCGA-BR-4294-01A")</f>
        <v>TCGA-BR-4294-01A</v>
      </c>
      <c r="I18976" t="s">
        <v>574</v>
      </c>
      <c r="J18976" t="s">
        <v>575</v>
      </c>
      <c r="K18976" t="s">
        <v>33</v>
      </c>
      <c r="L18976" t="s">
        <v>246</v>
      </c>
      <c r="N18976" t="s">
        <v>29</v>
      </c>
    </row>
    <row r="18977" spans="1:14">
      <c r="A18977" s="4" t="str">
        <f t="shared" si="1331"/>
        <v>EXP00441</v>
      </c>
      <c r="B18977" s="3" t="s">
        <v>66</v>
      </c>
      <c r="C18977" s="4" t="str">
        <f t="shared" si="1330"/>
        <v>TCGA-STAD</v>
      </c>
      <c r="D18977" s="1" t="s">
        <v>493</v>
      </c>
      <c r="E18977" t="s">
        <v>580</v>
      </c>
      <c r="F18977" s="1">
        <v>2</v>
      </c>
      <c r="G18977" s="1" t="s">
        <v>28</v>
      </c>
      <c r="H18977" s="4" t="str">
        <f>HYPERLINK("https://portal.gdc.cancer.gov/cases/bec83dff-2bba-4467-92aa-5dc3db9e0eaf","TCGA-BR-4357-01A")</f>
        <v>TCGA-BR-4357-01A</v>
      </c>
      <c r="I18977" t="s">
        <v>574</v>
      </c>
      <c r="J18977" t="s">
        <v>575</v>
      </c>
      <c r="K18977" t="s">
        <v>33</v>
      </c>
      <c r="L18977" t="s">
        <v>246</v>
      </c>
      <c r="N18977" t="s">
        <v>29</v>
      </c>
    </row>
    <row r="18978" spans="1:14">
      <c r="A18978" s="4" t="str">
        <f t="shared" si="1331"/>
        <v>EXP00441</v>
      </c>
      <c r="B18978" s="3" t="s">
        <v>66</v>
      </c>
      <c r="C18978" s="4" t="str">
        <f t="shared" si="1330"/>
        <v>TCGA-STAD</v>
      </c>
      <c r="D18978" s="1" t="s">
        <v>493</v>
      </c>
      <c r="E18978" t="s">
        <v>580</v>
      </c>
      <c r="F18978" s="1">
        <v>2</v>
      </c>
      <c r="G18978" s="1" t="s">
        <v>28</v>
      </c>
      <c r="H18978" s="4" t="str">
        <f>HYPERLINK("https://portal.gdc.cancer.gov/cases/29ed984c-74b5-4016-a649-c32e5d1d9869","TCGA-BR-4361-01A")</f>
        <v>TCGA-BR-4361-01A</v>
      </c>
      <c r="I18978" t="s">
        <v>574</v>
      </c>
      <c r="J18978" t="s">
        <v>575</v>
      </c>
      <c r="K18978" t="s">
        <v>33</v>
      </c>
      <c r="L18978" t="s">
        <v>246</v>
      </c>
      <c r="N18978" t="s">
        <v>29</v>
      </c>
    </row>
    <row r="18979" spans="1:14">
      <c r="A18979" s="4" t="str">
        <f t="shared" si="1331"/>
        <v>EXP00441</v>
      </c>
      <c r="B18979" s="3" t="s">
        <v>66</v>
      </c>
      <c r="C18979" s="4" t="str">
        <f t="shared" si="1330"/>
        <v>TCGA-STAD</v>
      </c>
      <c r="D18979" s="1" t="s">
        <v>493</v>
      </c>
      <c r="E18979" t="s">
        <v>580</v>
      </c>
      <c r="F18979" s="1">
        <v>2</v>
      </c>
      <c r="G18979" s="1" t="s">
        <v>28</v>
      </c>
      <c r="H18979" s="4" t="str">
        <f>HYPERLINK("https://portal.gdc.cancer.gov/cases/66bca2f8-f269-454d-abe2-ce51a0704645","TCGA-BR-4363-01A")</f>
        <v>TCGA-BR-4363-01A</v>
      </c>
      <c r="I18979" t="s">
        <v>574</v>
      </c>
      <c r="J18979" t="s">
        <v>575</v>
      </c>
      <c r="K18979" t="s">
        <v>33</v>
      </c>
      <c r="L18979" t="s">
        <v>246</v>
      </c>
      <c r="N18979" t="s">
        <v>29</v>
      </c>
    </row>
    <row r="18980" spans="1:14">
      <c r="A18980" s="4" t="str">
        <f t="shared" si="1331"/>
        <v>EXP00441</v>
      </c>
      <c r="B18980" s="3" t="s">
        <v>66</v>
      </c>
      <c r="C18980" s="4" t="str">
        <f t="shared" si="1330"/>
        <v>TCGA-STAD</v>
      </c>
      <c r="D18980" s="1" t="s">
        <v>493</v>
      </c>
      <c r="E18980" t="s">
        <v>580</v>
      </c>
      <c r="F18980" s="1">
        <v>2</v>
      </c>
      <c r="G18980" s="1" t="s">
        <v>28</v>
      </c>
      <c r="H18980" s="4" t="str">
        <f>HYPERLINK("https://portal.gdc.cancer.gov/cases/525a6978-2d7b-4f3a-ac68-13fe8cbbbdcc","TCGA-BR-4366-01A")</f>
        <v>TCGA-BR-4366-01A</v>
      </c>
      <c r="I18980" t="s">
        <v>574</v>
      </c>
      <c r="J18980" t="s">
        <v>575</v>
      </c>
      <c r="K18980" t="s">
        <v>33</v>
      </c>
      <c r="L18980" t="s">
        <v>246</v>
      </c>
      <c r="N18980" t="s">
        <v>29</v>
      </c>
    </row>
    <row r="18981" spans="1:14">
      <c r="A18981" s="4" t="str">
        <f t="shared" si="1331"/>
        <v>EXP00441</v>
      </c>
      <c r="B18981" s="3" t="s">
        <v>66</v>
      </c>
      <c r="C18981" s="4" t="str">
        <f t="shared" si="1330"/>
        <v>TCGA-STAD</v>
      </c>
      <c r="D18981" s="1" t="s">
        <v>493</v>
      </c>
      <c r="E18981" t="s">
        <v>580</v>
      </c>
      <c r="F18981" s="1">
        <v>2</v>
      </c>
      <c r="G18981" s="1" t="s">
        <v>28</v>
      </c>
      <c r="H18981" s="4" t="str">
        <f>HYPERLINK("https://portal.gdc.cancer.gov/cases/d139bd0c-2eeb-44ec-856b-e77cb03d294e","TCGA-BR-4367-01A")</f>
        <v>TCGA-BR-4367-01A</v>
      </c>
      <c r="I18981" t="s">
        <v>574</v>
      </c>
      <c r="J18981" t="s">
        <v>575</v>
      </c>
      <c r="K18981" t="s">
        <v>33</v>
      </c>
      <c r="L18981" t="s">
        <v>246</v>
      </c>
      <c r="N18981" t="s">
        <v>29</v>
      </c>
    </row>
    <row r="18982" spans="1:14">
      <c r="A18982" s="4" t="str">
        <f t="shared" si="1331"/>
        <v>EXP00441</v>
      </c>
      <c r="B18982" s="3" t="s">
        <v>66</v>
      </c>
      <c r="C18982" s="4" t="str">
        <f t="shared" si="1330"/>
        <v>TCGA-STAD</v>
      </c>
      <c r="D18982" s="1" t="s">
        <v>493</v>
      </c>
      <c r="E18982" t="s">
        <v>580</v>
      </c>
      <c r="F18982" s="1">
        <v>2</v>
      </c>
      <c r="G18982" s="1" t="s">
        <v>28</v>
      </c>
      <c r="H18982" s="4" t="str">
        <f>HYPERLINK("https://portal.gdc.cancer.gov/cases/449bf2be-b20e-4ad0-9ffb-910d83114018","TCGA-BR-4368-01A")</f>
        <v>TCGA-BR-4368-01A</v>
      </c>
      <c r="I18982" t="s">
        <v>574</v>
      </c>
      <c r="J18982" t="s">
        <v>575</v>
      </c>
      <c r="K18982" t="s">
        <v>33</v>
      </c>
      <c r="L18982" t="s">
        <v>246</v>
      </c>
      <c r="N18982" t="s">
        <v>29</v>
      </c>
    </row>
    <row r="18983" spans="1:14">
      <c r="A18983" s="4" t="str">
        <f t="shared" si="1331"/>
        <v>EXP00441</v>
      </c>
      <c r="B18983" s="3" t="s">
        <v>66</v>
      </c>
      <c r="C18983" s="4" t="str">
        <f t="shared" si="1330"/>
        <v>TCGA-STAD</v>
      </c>
      <c r="D18983" s="1" t="s">
        <v>493</v>
      </c>
      <c r="E18983" t="s">
        <v>580</v>
      </c>
      <c r="F18983" s="1">
        <v>2</v>
      </c>
      <c r="G18983" s="1" t="s">
        <v>28</v>
      </c>
      <c r="H18983" s="4" t="str">
        <f>HYPERLINK("https://portal.gdc.cancer.gov/cases/fe9a5fcf-ff99-4dd1-8cc7-ed9f4b9d952b","TCGA-BR-4369-01A")</f>
        <v>TCGA-BR-4369-01A</v>
      </c>
      <c r="I18983" t="s">
        <v>574</v>
      </c>
      <c r="J18983" t="s">
        <v>575</v>
      </c>
      <c r="K18983" t="s">
        <v>33</v>
      </c>
      <c r="L18983" t="s">
        <v>246</v>
      </c>
      <c r="N18983" t="s">
        <v>29</v>
      </c>
    </row>
    <row r="18984" spans="1:14">
      <c r="A18984" s="4" t="str">
        <f t="shared" si="1331"/>
        <v>EXP00441</v>
      </c>
      <c r="B18984" s="3" t="s">
        <v>66</v>
      </c>
      <c r="C18984" s="4" t="str">
        <f t="shared" ref="C18984:C19047" si="1332">HYPERLINK("https://portal.gdc.cancer.gov/projects/TCGA-STAD","TCGA-STAD")</f>
        <v>TCGA-STAD</v>
      </c>
      <c r="D18984" s="1" t="s">
        <v>493</v>
      </c>
      <c r="E18984" t="s">
        <v>580</v>
      </c>
      <c r="F18984" s="1">
        <v>2</v>
      </c>
      <c r="G18984" s="1" t="s">
        <v>28</v>
      </c>
      <c r="H18984" s="4" t="str">
        <f>HYPERLINK("https://portal.gdc.cancer.gov/cases/a2a71cb0-9dbd-45cc-8867-da84500515e7","TCGA-BR-4370-01A")</f>
        <v>TCGA-BR-4370-01A</v>
      </c>
      <c r="I18984" t="s">
        <v>574</v>
      </c>
      <c r="J18984" t="s">
        <v>575</v>
      </c>
      <c r="K18984" t="s">
        <v>33</v>
      </c>
      <c r="L18984" t="s">
        <v>246</v>
      </c>
      <c r="N18984" t="s">
        <v>29</v>
      </c>
    </row>
    <row r="18985" spans="1:14">
      <c r="A18985" s="4" t="str">
        <f t="shared" si="1331"/>
        <v>EXP00441</v>
      </c>
      <c r="B18985" s="3" t="s">
        <v>66</v>
      </c>
      <c r="C18985" s="4" t="str">
        <f t="shared" si="1332"/>
        <v>TCGA-STAD</v>
      </c>
      <c r="D18985" s="1" t="s">
        <v>493</v>
      </c>
      <c r="E18985" t="s">
        <v>580</v>
      </c>
      <c r="F18985" s="1">
        <v>2</v>
      </c>
      <c r="G18985" s="1" t="s">
        <v>28</v>
      </c>
      <c r="H18985" s="4" t="str">
        <f>HYPERLINK("https://portal.gdc.cancer.gov/cases/c2f90f1a-a81b-465e-8e6b-5f02a21b27dd","TCGA-BR-4371-01A")</f>
        <v>TCGA-BR-4371-01A</v>
      </c>
      <c r="I18985" t="s">
        <v>574</v>
      </c>
      <c r="J18985" t="s">
        <v>575</v>
      </c>
      <c r="K18985" t="s">
        <v>33</v>
      </c>
      <c r="L18985" t="s">
        <v>246</v>
      </c>
      <c r="N18985" t="s">
        <v>29</v>
      </c>
    </row>
    <row r="18986" spans="1:14">
      <c r="A18986" s="4" t="str">
        <f t="shared" si="1331"/>
        <v>EXP00441</v>
      </c>
      <c r="B18986" s="3" t="s">
        <v>66</v>
      </c>
      <c r="C18986" s="4" t="str">
        <f t="shared" si="1332"/>
        <v>TCGA-STAD</v>
      </c>
      <c r="D18986" s="1" t="s">
        <v>493</v>
      </c>
      <c r="E18986" t="s">
        <v>580</v>
      </c>
      <c r="F18986" s="1">
        <v>2</v>
      </c>
      <c r="G18986" s="1" t="s">
        <v>28</v>
      </c>
      <c r="H18986" s="4" t="str">
        <f>HYPERLINK("https://portal.gdc.cancer.gov/cases/27988b3e-cde1-4f4b-82a1-6d8ad08db8e9","TCGA-BR-6452-01A")</f>
        <v>TCGA-BR-6452-01A</v>
      </c>
      <c r="I18986" t="s">
        <v>574</v>
      </c>
      <c r="J18986" t="s">
        <v>575</v>
      </c>
      <c r="K18986" t="s">
        <v>33</v>
      </c>
      <c r="L18986" t="s">
        <v>246</v>
      </c>
      <c r="N18986" t="s">
        <v>29</v>
      </c>
    </row>
    <row r="18987" spans="1:14">
      <c r="A18987" s="4" t="str">
        <f t="shared" si="1331"/>
        <v>EXP00441</v>
      </c>
      <c r="B18987" s="3" t="s">
        <v>66</v>
      </c>
      <c r="C18987" s="4" t="str">
        <f t="shared" si="1332"/>
        <v>TCGA-STAD</v>
      </c>
      <c r="D18987" s="1" t="s">
        <v>493</v>
      </c>
      <c r="E18987" t="s">
        <v>580</v>
      </c>
      <c r="F18987" s="1">
        <v>2</v>
      </c>
      <c r="G18987" s="1" t="s">
        <v>28</v>
      </c>
      <c r="H18987" s="4" t="str">
        <f>HYPERLINK("https://portal.gdc.cancer.gov/cases/ae633e83-303f-4a90-ac3b-34458fd9beef","TCGA-BR-6453-01A")</f>
        <v>TCGA-BR-6453-01A</v>
      </c>
      <c r="I18987" t="s">
        <v>574</v>
      </c>
      <c r="J18987" t="s">
        <v>575</v>
      </c>
      <c r="K18987" t="s">
        <v>33</v>
      </c>
      <c r="L18987" t="s">
        <v>246</v>
      </c>
      <c r="N18987" t="s">
        <v>29</v>
      </c>
    </row>
    <row r="18988" spans="1:14">
      <c r="A18988" s="4" t="str">
        <f t="shared" si="1331"/>
        <v>EXP00441</v>
      </c>
      <c r="B18988" s="3" t="s">
        <v>66</v>
      </c>
      <c r="C18988" s="4" t="str">
        <f t="shared" si="1332"/>
        <v>TCGA-STAD</v>
      </c>
      <c r="D18988" s="1" t="s">
        <v>493</v>
      </c>
      <c r="E18988" t="s">
        <v>580</v>
      </c>
      <c r="F18988" s="1">
        <v>2</v>
      </c>
      <c r="G18988" s="1" t="s">
        <v>28</v>
      </c>
      <c r="H18988" s="4" t="str">
        <f>HYPERLINK("https://portal.gdc.cancer.gov/cases/ac2cbce4-4ba8-42c9-ac61-70f42995588e","TCGA-BR-6454-01A")</f>
        <v>TCGA-BR-6454-01A</v>
      </c>
      <c r="I18988" t="s">
        <v>574</v>
      </c>
      <c r="J18988" t="s">
        <v>575</v>
      </c>
      <c r="K18988" t="s">
        <v>33</v>
      </c>
      <c r="L18988" t="s">
        <v>246</v>
      </c>
      <c r="N18988" t="s">
        <v>29</v>
      </c>
    </row>
    <row r="18989" spans="1:14">
      <c r="A18989" s="4" t="str">
        <f t="shared" si="1331"/>
        <v>EXP00441</v>
      </c>
      <c r="B18989" s="3" t="s">
        <v>66</v>
      </c>
      <c r="C18989" s="4" t="str">
        <f t="shared" si="1332"/>
        <v>TCGA-STAD</v>
      </c>
      <c r="D18989" s="1" t="s">
        <v>493</v>
      </c>
      <c r="E18989" t="s">
        <v>580</v>
      </c>
      <c r="F18989" s="1">
        <v>2</v>
      </c>
      <c r="G18989" s="1" t="s">
        <v>28</v>
      </c>
      <c r="H18989" s="4" t="str">
        <f>HYPERLINK("https://portal.gdc.cancer.gov/cases/75a29059-4705-4a55-bc3d-f5923b24b358","TCGA-BR-6455-01A")</f>
        <v>TCGA-BR-6455-01A</v>
      </c>
      <c r="I18989" t="s">
        <v>574</v>
      </c>
      <c r="J18989" t="s">
        <v>575</v>
      </c>
      <c r="K18989" t="s">
        <v>33</v>
      </c>
      <c r="L18989" t="s">
        <v>246</v>
      </c>
      <c r="N18989" t="s">
        <v>29</v>
      </c>
    </row>
    <row r="18990" spans="1:14">
      <c r="A18990" s="4" t="str">
        <f t="shared" si="1331"/>
        <v>EXP00441</v>
      </c>
      <c r="B18990" s="3" t="s">
        <v>66</v>
      </c>
      <c r="C18990" s="4" t="str">
        <f t="shared" si="1332"/>
        <v>TCGA-STAD</v>
      </c>
      <c r="D18990" s="1" t="s">
        <v>493</v>
      </c>
      <c r="E18990" t="s">
        <v>580</v>
      </c>
      <c r="F18990" s="1">
        <v>2</v>
      </c>
      <c r="G18990" s="1" t="s">
        <v>28</v>
      </c>
      <c r="H18990" s="4" t="str">
        <f>HYPERLINK("https://portal.gdc.cancer.gov/cases/1ca3c5e0-32b0-4467-8ec0-ca212e35d2b3","TCGA-BR-6456-01A")</f>
        <v>TCGA-BR-6456-01A</v>
      </c>
      <c r="I18990" t="s">
        <v>574</v>
      </c>
      <c r="J18990" t="s">
        <v>575</v>
      </c>
      <c r="K18990" t="s">
        <v>33</v>
      </c>
      <c r="L18990" t="s">
        <v>246</v>
      </c>
      <c r="N18990" t="s">
        <v>29</v>
      </c>
    </row>
    <row r="18991" spans="1:14">
      <c r="A18991" s="4" t="str">
        <f t="shared" si="1331"/>
        <v>EXP00441</v>
      </c>
      <c r="B18991" s="3" t="s">
        <v>66</v>
      </c>
      <c r="C18991" s="4" t="str">
        <f t="shared" si="1332"/>
        <v>TCGA-STAD</v>
      </c>
      <c r="D18991" s="1" t="s">
        <v>493</v>
      </c>
      <c r="E18991" t="s">
        <v>580</v>
      </c>
      <c r="F18991" s="1">
        <v>2</v>
      </c>
      <c r="G18991" s="1" t="s">
        <v>28</v>
      </c>
      <c r="H18991" s="4" t="str">
        <f>HYPERLINK("https://portal.gdc.cancer.gov/cases/05ce16d4-a999-491a-91ad-9449a57228ff","TCGA-BR-6457-01A")</f>
        <v>TCGA-BR-6457-01A</v>
      </c>
      <c r="I18991" t="s">
        <v>574</v>
      </c>
      <c r="J18991" t="s">
        <v>575</v>
      </c>
      <c r="K18991" t="s">
        <v>33</v>
      </c>
      <c r="L18991" t="s">
        <v>246</v>
      </c>
      <c r="N18991" t="s">
        <v>29</v>
      </c>
    </row>
    <row r="18992" spans="1:14">
      <c r="A18992" s="4" t="str">
        <f t="shared" ref="A18992:A19055" si="1333">HYPERLINK("http://hcmdb.i-sanger.com/experiment/details/experiment_id/EXP00441","EXP00441")</f>
        <v>EXP00441</v>
      </c>
      <c r="B18992" s="3" t="s">
        <v>66</v>
      </c>
      <c r="C18992" s="4" t="str">
        <f t="shared" si="1332"/>
        <v>TCGA-STAD</v>
      </c>
      <c r="D18992" s="1" t="s">
        <v>493</v>
      </c>
      <c r="E18992" t="s">
        <v>580</v>
      </c>
      <c r="F18992" s="1">
        <v>2</v>
      </c>
      <c r="G18992" s="1" t="s">
        <v>28</v>
      </c>
      <c r="H18992" s="4" t="str">
        <f>HYPERLINK("https://portal.gdc.cancer.gov/cases/e516880b-c4e5-43cd-a358-be0db88564d7","TCGA-BR-6458-01A")</f>
        <v>TCGA-BR-6458-01A</v>
      </c>
      <c r="I18992" t="s">
        <v>574</v>
      </c>
      <c r="J18992" t="s">
        <v>575</v>
      </c>
      <c r="K18992" t="s">
        <v>33</v>
      </c>
      <c r="L18992" t="s">
        <v>246</v>
      </c>
      <c r="N18992" t="s">
        <v>29</v>
      </c>
    </row>
    <row r="18993" spans="1:14">
      <c r="A18993" s="4" t="str">
        <f t="shared" si="1333"/>
        <v>EXP00441</v>
      </c>
      <c r="B18993" s="3" t="s">
        <v>66</v>
      </c>
      <c r="C18993" s="4" t="str">
        <f t="shared" si="1332"/>
        <v>TCGA-STAD</v>
      </c>
      <c r="D18993" s="1" t="s">
        <v>493</v>
      </c>
      <c r="E18993" t="s">
        <v>580</v>
      </c>
      <c r="F18993" s="1">
        <v>2</v>
      </c>
      <c r="G18993" s="1" t="s">
        <v>28</v>
      </c>
      <c r="H18993" s="4" t="str">
        <f>HYPERLINK("https://portal.gdc.cancer.gov/cases/9d7305be-60a3-4ecf-856a-bd5321166590","TCGA-BR-6563-01A")</f>
        <v>TCGA-BR-6563-01A</v>
      </c>
      <c r="I18993" t="s">
        <v>574</v>
      </c>
      <c r="J18993" t="s">
        <v>575</v>
      </c>
      <c r="K18993" t="s">
        <v>33</v>
      </c>
      <c r="L18993" t="s">
        <v>246</v>
      </c>
      <c r="N18993" t="s">
        <v>29</v>
      </c>
    </row>
    <row r="18994" spans="1:14">
      <c r="A18994" s="4" t="str">
        <f t="shared" si="1333"/>
        <v>EXP00441</v>
      </c>
      <c r="B18994" s="3" t="s">
        <v>66</v>
      </c>
      <c r="C18994" s="4" t="str">
        <f t="shared" si="1332"/>
        <v>TCGA-STAD</v>
      </c>
      <c r="D18994" s="1" t="s">
        <v>493</v>
      </c>
      <c r="E18994" t="s">
        <v>580</v>
      </c>
      <c r="F18994" s="1">
        <v>2</v>
      </c>
      <c r="G18994" s="1" t="s">
        <v>28</v>
      </c>
      <c r="H18994" s="4" t="str">
        <f>HYPERLINK("https://portal.gdc.cancer.gov/cases/af1086cc-b330-4ad6-ae1c-3b5c7259949a","TCGA-BR-6564-01A")</f>
        <v>TCGA-BR-6564-01A</v>
      </c>
      <c r="I18994" t="s">
        <v>574</v>
      </c>
      <c r="J18994" t="s">
        <v>575</v>
      </c>
      <c r="K18994" t="s">
        <v>33</v>
      </c>
      <c r="L18994" t="s">
        <v>246</v>
      </c>
      <c r="N18994" t="s">
        <v>29</v>
      </c>
    </row>
    <row r="18995" spans="1:14">
      <c r="A18995" s="4" t="str">
        <f t="shared" si="1333"/>
        <v>EXP00441</v>
      </c>
      <c r="B18995" s="3" t="s">
        <v>66</v>
      </c>
      <c r="C18995" s="4" t="str">
        <f t="shared" si="1332"/>
        <v>TCGA-STAD</v>
      </c>
      <c r="D18995" s="1" t="s">
        <v>493</v>
      </c>
      <c r="E18995" t="s">
        <v>580</v>
      </c>
      <c r="F18995" s="1">
        <v>2</v>
      </c>
      <c r="G18995" s="1" t="s">
        <v>28</v>
      </c>
      <c r="H18995" s="4" t="str">
        <f>HYPERLINK("https://portal.gdc.cancer.gov/cases/daecea36-b379-46ce-8ae9-a38d22556ce2","TCGA-BR-6565-01A")</f>
        <v>TCGA-BR-6565-01A</v>
      </c>
      <c r="I18995" t="s">
        <v>574</v>
      </c>
      <c r="J18995" t="s">
        <v>575</v>
      </c>
      <c r="K18995" t="s">
        <v>33</v>
      </c>
      <c r="L18995" t="s">
        <v>246</v>
      </c>
      <c r="N18995" t="s">
        <v>29</v>
      </c>
    </row>
    <row r="18996" spans="1:14">
      <c r="A18996" s="4" t="str">
        <f t="shared" si="1333"/>
        <v>EXP00441</v>
      </c>
      <c r="B18996" s="3" t="s">
        <v>66</v>
      </c>
      <c r="C18996" s="4" t="str">
        <f t="shared" si="1332"/>
        <v>TCGA-STAD</v>
      </c>
      <c r="D18996" s="1" t="s">
        <v>493</v>
      </c>
      <c r="E18996" t="s">
        <v>580</v>
      </c>
      <c r="F18996" s="1">
        <v>2</v>
      </c>
      <c r="G18996" s="1" t="s">
        <v>28</v>
      </c>
      <c r="H18996" s="4" t="str">
        <f>HYPERLINK("https://portal.gdc.cancer.gov/cases/43f0421c-6578-4d77-9314-ef0305c7efbd","TCGA-BR-6566-01A")</f>
        <v>TCGA-BR-6566-01A</v>
      </c>
      <c r="I18996" t="s">
        <v>574</v>
      </c>
      <c r="J18996" t="s">
        <v>575</v>
      </c>
      <c r="K18996" t="s">
        <v>33</v>
      </c>
      <c r="L18996" t="s">
        <v>246</v>
      </c>
      <c r="N18996" t="s">
        <v>29</v>
      </c>
    </row>
    <row r="18997" spans="1:14">
      <c r="A18997" s="4" t="str">
        <f t="shared" si="1333"/>
        <v>EXP00441</v>
      </c>
      <c r="B18997" s="3" t="s">
        <v>66</v>
      </c>
      <c r="C18997" s="4" t="str">
        <f t="shared" si="1332"/>
        <v>TCGA-STAD</v>
      </c>
      <c r="D18997" s="1" t="s">
        <v>493</v>
      </c>
      <c r="E18997" t="s">
        <v>580</v>
      </c>
      <c r="F18997" s="1">
        <v>2</v>
      </c>
      <c r="G18997" s="1" t="s">
        <v>28</v>
      </c>
      <c r="H18997" s="4" t="str">
        <f>HYPERLINK("https://portal.gdc.cancer.gov/cases/b14f2fcb-e869-475e-bc7c-adaf6e7e636f","TCGA-BR-6705-01A")</f>
        <v>TCGA-BR-6705-01A</v>
      </c>
      <c r="I18997" t="s">
        <v>574</v>
      </c>
      <c r="J18997" t="s">
        <v>575</v>
      </c>
      <c r="K18997" t="s">
        <v>33</v>
      </c>
      <c r="L18997" t="s">
        <v>246</v>
      </c>
      <c r="N18997" t="s">
        <v>29</v>
      </c>
    </row>
    <row r="18998" spans="1:14">
      <c r="A18998" s="4" t="str">
        <f t="shared" si="1333"/>
        <v>EXP00441</v>
      </c>
      <c r="B18998" s="3" t="s">
        <v>66</v>
      </c>
      <c r="C18998" s="4" t="str">
        <f t="shared" si="1332"/>
        <v>TCGA-STAD</v>
      </c>
      <c r="D18998" s="1" t="s">
        <v>493</v>
      </c>
      <c r="E18998" t="s">
        <v>580</v>
      </c>
      <c r="F18998" s="1">
        <v>2</v>
      </c>
      <c r="G18998" s="1" t="s">
        <v>28</v>
      </c>
      <c r="H18998" s="4" t="str">
        <f>HYPERLINK("https://portal.gdc.cancer.gov/cases/df3df249-86c2-43d4-abe1-796cd7df653f","TCGA-BR-6707-01A")</f>
        <v>TCGA-BR-6707-01A</v>
      </c>
      <c r="I18998" t="s">
        <v>574</v>
      </c>
      <c r="J18998" t="s">
        <v>575</v>
      </c>
      <c r="K18998" t="s">
        <v>33</v>
      </c>
      <c r="L18998" t="s">
        <v>246</v>
      </c>
      <c r="N18998" t="s">
        <v>29</v>
      </c>
    </row>
    <row r="18999" spans="1:14">
      <c r="A18999" s="4" t="str">
        <f t="shared" si="1333"/>
        <v>EXP00441</v>
      </c>
      <c r="B18999" s="3" t="s">
        <v>66</v>
      </c>
      <c r="C18999" s="4" t="str">
        <f t="shared" si="1332"/>
        <v>TCGA-STAD</v>
      </c>
      <c r="D18999" s="1" t="s">
        <v>493</v>
      </c>
      <c r="E18999" t="s">
        <v>580</v>
      </c>
      <c r="F18999" s="1">
        <v>2</v>
      </c>
      <c r="G18999" s="1" t="s">
        <v>28</v>
      </c>
      <c r="H18999" s="4" t="str">
        <f>HYPERLINK("https://portal.gdc.cancer.gov/cases/6f70e9f0-580b-4199-934b-dacd29fb28a0","TCGA-BR-6709-01A")</f>
        <v>TCGA-BR-6709-01A</v>
      </c>
      <c r="I18999" t="s">
        <v>574</v>
      </c>
      <c r="J18999" t="s">
        <v>575</v>
      </c>
      <c r="K18999" t="s">
        <v>33</v>
      </c>
      <c r="L18999" t="s">
        <v>246</v>
      </c>
      <c r="N18999" t="s">
        <v>29</v>
      </c>
    </row>
    <row r="19000" spans="1:14">
      <c r="A19000" s="4" t="str">
        <f t="shared" si="1333"/>
        <v>EXP00441</v>
      </c>
      <c r="B19000" s="3" t="s">
        <v>66</v>
      </c>
      <c r="C19000" s="4" t="str">
        <f t="shared" si="1332"/>
        <v>TCGA-STAD</v>
      </c>
      <c r="D19000" s="1" t="s">
        <v>493</v>
      </c>
      <c r="E19000" t="s">
        <v>580</v>
      </c>
      <c r="F19000" s="1">
        <v>2</v>
      </c>
      <c r="G19000" s="1" t="s">
        <v>28</v>
      </c>
      <c r="H19000" s="4" t="str">
        <f>HYPERLINK("https://portal.gdc.cancer.gov/cases/012e99fe-e3e8-4bb0-bb74-5b0c9992187c","TCGA-BR-6710-01A")</f>
        <v>TCGA-BR-6710-01A</v>
      </c>
      <c r="I19000" t="s">
        <v>574</v>
      </c>
      <c r="J19000" t="s">
        <v>575</v>
      </c>
      <c r="K19000" t="s">
        <v>33</v>
      </c>
      <c r="L19000" t="s">
        <v>246</v>
      </c>
      <c r="N19000" t="s">
        <v>29</v>
      </c>
    </row>
    <row r="19001" spans="1:14">
      <c r="A19001" s="4" t="str">
        <f t="shared" si="1333"/>
        <v>EXP00441</v>
      </c>
      <c r="B19001" s="3" t="s">
        <v>66</v>
      </c>
      <c r="C19001" s="4" t="str">
        <f t="shared" si="1332"/>
        <v>TCGA-STAD</v>
      </c>
      <c r="D19001" s="1" t="s">
        <v>493</v>
      </c>
      <c r="E19001" t="s">
        <v>580</v>
      </c>
      <c r="F19001" s="1">
        <v>2</v>
      </c>
      <c r="G19001" s="1" t="s">
        <v>28</v>
      </c>
      <c r="H19001" s="4" t="str">
        <f>HYPERLINK("https://portal.gdc.cancer.gov/cases/24fed326-bdcf-4c20-a06e-7c1c3d6c9cc5","TCGA-BR-6801-01A")</f>
        <v>TCGA-BR-6801-01A</v>
      </c>
      <c r="I19001" t="s">
        <v>574</v>
      </c>
      <c r="J19001" t="s">
        <v>575</v>
      </c>
      <c r="K19001" t="s">
        <v>33</v>
      </c>
      <c r="L19001" t="s">
        <v>246</v>
      </c>
      <c r="N19001" t="s">
        <v>29</v>
      </c>
    </row>
    <row r="19002" spans="1:14">
      <c r="A19002" s="4" t="str">
        <f t="shared" si="1333"/>
        <v>EXP00441</v>
      </c>
      <c r="B19002" s="3" t="s">
        <v>66</v>
      </c>
      <c r="C19002" s="4" t="str">
        <f t="shared" si="1332"/>
        <v>TCGA-STAD</v>
      </c>
      <c r="D19002" s="1" t="s">
        <v>493</v>
      </c>
      <c r="E19002" t="s">
        <v>580</v>
      </c>
      <c r="F19002" s="1">
        <v>2</v>
      </c>
      <c r="G19002" s="1" t="s">
        <v>28</v>
      </c>
      <c r="H19002" s="4" t="str">
        <f>HYPERLINK("https://portal.gdc.cancer.gov/cases/7c831a1d-3253-4af4-a0ff-7fe9ff9af1ce","TCGA-BR-6802-01A")</f>
        <v>TCGA-BR-6802-01A</v>
      </c>
      <c r="I19002" t="s">
        <v>574</v>
      </c>
      <c r="J19002" t="s">
        <v>575</v>
      </c>
      <c r="K19002" t="s">
        <v>33</v>
      </c>
      <c r="L19002" t="s">
        <v>246</v>
      </c>
      <c r="N19002" t="s">
        <v>29</v>
      </c>
    </row>
    <row r="19003" spans="1:14">
      <c r="A19003" s="4" t="str">
        <f t="shared" si="1333"/>
        <v>EXP00441</v>
      </c>
      <c r="B19003" s="3" t="s">
        <v>66</v>
      </c>
      <c r="C19003" s="4" t="str">
        <f t="shared" si="1332"/>
        <v>TCGA-STAD</v>
      </c>
      <c r="D19003" s="1" t="s">
        <v>493</v>
      </c>
      <c r="E19003" t="s">
        <v>580</v>
      </c>
      <c r="F19003" s="1">
        <v>2</v>
      </c>
      <c r="G19003" s="1" t="s">
        <v>28</v>
      </c>
      <c r="H19003" s="4" t="str">
        <f>HYPERLINK("https://portal.gdc.cancer.gov/cases/2f90209b-7464-4d7e-83d1-67850c263ded","TCGA-BR-6803-01A")</f>
        <v>TCGA-BR-6803-01A</v>
      </c>
      <c r="I19003" t="s">
        <v>574</v>
      </c>
      <c r="J19003" t="s">
        <v>575</v>
      </c>
      <c r="K19003" t="s">
        <v>33</v>
      </c>
      <c r="L19003" t="s">
        <v>246</v>
      </c>
      <c r="N19003" t="s">
        <v>29</v>
      </c>
    </row>
    <row r="19004" spans="1:14">
      <c r="A19004" s="4" t="str">
        <f t="shared" si="1333"/>
        <v>EXP00441</v>
      </c>
      <c r="B19004" s="3" t="s">
        <v>66</v>
      </c>
      <c r="C19004" s="4" t="str">
        <f t="shared" si="1332"/>
        <v>TCGA-STAD</v>
      </c>
      <c r="D19004" s="1" t="s">
        <v>493</v>
      </c>
      <c r="E19004" t="s">
        <v>580</v>
      </c>
      <c r="F19004" s="1">
        <v>2</v>
      </c>
      <c r="G19004" s="1" t="s">
        <v>28</v>
      </c>
      <c r="H19004" s="4" t="str">
        <f>HYPERLINK("https://portal.gdc.cancer.gov/cases/44799c67-61cd-4f3e-bdbc-423e2e0fd2e8","TCGA-BR-6852-01A")</f>
        <v>TCGA-BR-6852-01A</v>
      </c>
      <c r="I19004" t="s">
        <v>574</v>
      </c>
      <c r="J19004" t="s">
        <v>575</v>
      </c>
      <c r="K19004" t="s">
        <v>33</v>
      </c>
      <c r="L19004" t="s">
        <v>246</v>
      </c>
      <c r="N19004" t="s">
        <v>29</v>
      </c>
    </row>
    <row r="19005" spans="1:14">
      <c r="A19005" s="4" t="str">
        <f t="shared" si="1333"/>
        <v>EXP00441</v>
      </c>
      <c r="B19005" s="3" t="s">
        <v>66</v>
      </c>
      <c r="C19005" s="4" t="str">
        <f t="shared" si="1332"/>
        <v>TCGA-STAD</v>
      </c>
      <c r="D19005" s="1" t="s">
        <v>493</v>
      </c>
      <c r="E19005" t="s">
        <v>580</v>
      </c>
      <c r="F19005" s="1">
        <v>2</v>
      </c>
      <c r="G19005" s="1" t="s">
        <v>28</v>
      </c>
      <c r="H19005" s="4" t="str">
        <f>HYPERLINK("https://portal.gdc.cancer.gov/cases/1b641270-18f8-4257-821b-d26179e08e28","TCGA-BR-7196-01A")</f>
        <v>TCGA-BR-7196-01A</v>
      </c>
      <c r="I19005" t="s">
        <v>574</v>
      </c>
      <c r="J19005" t="s">
        <v>575</v>
      </c>
      <c r="K19005" t="s">
        <v>33</v>
      </c>
      <c r="L19005" t="s">
        <v>246</v>
      </c>
      <c r="N19005" t="s">
        <v>29</v>
      </c>
    </row>
    <row r="19006" spans="1:14">
      <c r="A19006" s="4" t="str">
        <f t="shared" si="1333"/>
        <v>EXP00441</v>
      </c>
      <c r="B19006" s="3" t="s">
        <v>66</v>
      </c>
      <c r="C19006" s="4" t="str">
        <f t="shared" si="1332"/>
        <v>TCGA-STAD</v>
      </c>
      <c r="D19006" s="1" t="s">
        <v>493</v>
      </c>
      <c r="E19006" t="s">
        <v>580</v>
      </c>
      <c r="F19006" s="1">
        <v>2</v>
      </c>
      <c r="G19006" s="1" t="s">
        <v>28</v>
      </c>
      <c r="H19006" s="4" t="str">
        <f>HYPERLINK("https://portal.gdc.cancer.gov/cases/79dbe26f-930b-420a-9a2e-483e3318ca10","TCGA-BR-7197-01A")</f>
        <v>TCGA-BR-7197-01A</v>
      </c>
      <c r="I19006" t="s">
        <v>574</v>
      </c>
      <c r="J19006" t="s">
        <v>575</v>
      </c>
      <c r="K19006" t="s">
        <v>33</v>
      </c>
      <c r="L19006" t="s">
        <v>246</v>
      </c>
      <c r="N19006" t="s">
        <v>29</v>
      </c>
    </row>
    <row r="19007" spans="1:14">
      <c r="A19007" s="4" t="str">
        <f t="shared" si="1333"/>
        <v>EXP00441</v>
      </c>
      <c r="B19007" s="3" t="s">
        <v>66</v>
      </c>
      <c r="C19007" s="4" t="str">
        <f t="shared" si="1332"/>
        <v>TCGA-STAD</v>
      </c>
      <c r="D19007" s="1" t="s">
        <v>493</v>
      </c>
      <c r="E19007" t="s">
        <v>580</v>
      </c>
      <c r="F19007" s="1">
        <v>2</v>
      </c>
      <c r="G19007" s="1" t="s">
        <v>28</v>
      </c>
      <c r="H19007" s="4" t="str">
        <f>HYPERLINK("https://portal.gdc.cancer.gov/cases/9ef7582b-d4c1-4036-a1ed-ef65aa46fc60","TCGA-BR-7704-01A")</f>
        <v>TCGA-BR-7704-01A</v>
      </c>
      <c r="I19007" t="s">
        <v>574</v>
      </c>
      <c r="J19007" t="s">
        <v>575</v>
      </c>
      <c r="K19007" t="s">
        <v>33</v>
      </c>
      <c r="L19007" t="s">
        <v>246</v>
      </c>
      <c r="N19007" t="s">
        <v>29</v>
      </c>
    </row>
    <row r="19008" spans="1:14">
      <c r="A19008" s="4" t="str">
        <f t="shared" si="1333"/>
        <v>EXP00441</v>
      </c>
      <c r="B19008" s="3" t="s">
        <v>66</v>
      </c>
      <c r="C19008" s="4" t="str">
        <f t="shared" si="1332"/>
        <v>TCGA-STAD</v>
      </c>
      <c r="D19008" s="1" t="s">
        <v>493</v>
      </c>
      <c r="E19008" t="s">
        <v>580</v>
      </c>
      <c r="F19008" s="1">
        <v>2</v>
      </c>
      <c r="G19008" s="1" t="s">
        <v>28</v>
      </c>
      <c r="H19008" s="4" t="str">
        <f>HYPERLINK("https://portal.gdc.cancer.gov/cases/84d2d341-9e52-49ab-8c51-417208834c5d","TCGA-BR-7707-01A")</f>
        <v>TCGA-BR-7707-01A</v>
      </c>
      <c r="I19008" t="s">
        <v>574</v>
      </c>
      <c r="J19008" t="s">
        <v>575</v>
      </c>
      <c r="K19008" t="s">
        <v>33</v>
      </c>
      <c r="L19008" t="s">
        <v>246</v>
      </c>
      <c r="N19008" t="s">
        <v>29</v>
      </c>
    </row>
    <row r="19009" spans="1:14">
      <c r="A19009" s="4" t="str">
        <f t="shared" si="1333"/>
        <v>EXP00441</v>
      </c>
      <c r="B19009" s="3" t="s">
        <v>66</v>
      </c>
      <c r="C19009" s="4" t="str">
        <f t="shared" si="1332"/>
        <v>TCGA-STAD</v>
      </c>
      <c r="D19009" s="1" t="s">
        <v>493</v>
      </c>
      <c r="E19009" t="s">
        <v>580</v>
      </c>
      <c r="F19009" s="1">
        <v>2</v>
      </c>
      <c r="G19009" s="1" t="s">
        <v>28</v>
      </c>
      <c r="H19009" s="4" t="str">
        <f>HYPERLINK("https://portal.gdc.cancer.gov/cases/69704642-ba65-4a45-8f13-95d847185045","TCGA-BR-7715-01A")</f>
        <v>TCGA-BR-7715-01A</v>
      </c>
      <c r="I19009" t="s">
        <v>574</v>
      </c>
      <c r="J19009" t="s">
        <v>575</v>
      </c>
      <c r="K19009" t="s">
        <v>33</v>
      </c>
      <c r="L19009" t="s">
        <v>246</v>
      </c>
      <c r="N19009" t="s">
        <v>29</v>
      </c>
    </row>
    <row r="19010" spans="1:14">
      <c r="A19010" s="4" t="str">
        <f t="shared" si="1333"/>
        <v>EXP00441</v>
      </c>
      <c r="B19010" s="3" t="s">
        <v>66</v>
      </c>
      <c r="C19010" s="4" t="str">
        <f t="shared" si="1332"/>
        <v>TCGA-STAD</v>
      </c>
      <c r="D19010" s="1" t="s">
        <v>493</v>
      </c>
      <c r="E19010" t="s">
        <v>580</v>
      </c>
      <c r="F19010" s="1">
        <v>2</v>
      </c>
      <c r="G19010" s="1" t="s">
        <v>28</v>
      </c>
      <c r="H19010" s="4" t="str">
        <f>HYPERLINK("https://portal.gdc.cancer.gov/cases/ca21c55f-45a7-42af-be07-430990d5445b","TCGA-BR-7716-01A")</f>
        <v>TCGA-BR-7716-01A</v>
      </c>
      <c r="I19010" t="s">
        <v>574</v>
      </c>
      <c r="J19010" t="s">
        <v>575</v>
      </c>
      <c r="K19010" t="s">
        <v>33</v>
      </c>
      <c r="L19010" t="s">
        <v>246</v>
      </c>
      <c r="N19010" t="s">
        <v>29</v>
      </c>
    </row>
    <row r="19011" spans="1:14">
      <c r="A19011" s="4" t="str">
        <f t="shared" si="1333"/>
        <v>EXP00441</v>
      </c>
      <c r="B19011" s="3" t="s">
        <v>66</v>
      </c>
      <c r="C19011" s="4" t="str">
        <f t="shared" si="1332"/>
        <v>TCGA-STAD</v>
      </c>
      <c r="D19011" s="1" t="s">
        <v>493</v>
      </c>
      <c r="E19011" t="s">
        <v>580</v>
      </c>
      <c r="F19011" s="1">
        <v>2</v>
      </c>
      <c r="G19011" s="1" t="s">
        <v>28</v>
      </c>
      <c r="H19011" s="4" t="str">
        <f>HYPERLINK("https://portal.gdc.cancer.gov/cases/93a337ae-2bd3-4464-b38f-93dff92d3fde","TCGA-BR-7717-01A")</f>
        <v>TCGA-BR-7717-01A</v>
      </c>
      <c r="I19011" t="s">
        <v>574</v>
      </c>
      <c r="J19011" t="s">
        <v>575</v>
      </c>
      <c r="K19011" t="s">
        <v>33</v>
      </c>
      <c r="L19011" t="s">
        <v>246</v>
      </c>
      <c r="N19011" t="s">
        <v>29</v>
      </c>
    </row>
    <row r="19012" spans="1:14">
      <c r="A19012" s="4" t="str">
        <f t="shared" si="1333"/>
        <v>EXP00441</v>
      </c>
      <c r="B19012" s="3" t="s">
        <v>66</v>
      </c>
      <c r="C19012" s="4" t="str">
        <f t="shared" si="1332"/>
        <v>TCGA-STAD</v>
      </c>
      <c r="D19012" s="1" t="s">
        <v>493</v>
      </c>
      <c r="E19012" t="s">
        <v>580</v>
      </c>
      <c r="F19012" s="1">
        <v>2</v>
      </c>
      <c r="G19012" s="1" t="s">
        <v>28</v>
      </c>
      <c r="H19012" s="4" t="str">
        <f>HYPERLINK("https://portal.gdc.cancer.gov/cases/8d3e3d09-bc61-4d5e-b8d6-5aee6cb488ae","TCGA-BR-7722-01A")</f>
        <v>TCGA-BR-7722-01A</v>
      </c>
      <c r="I19012" t="s">
        <v>574</v>
      </c>
      <c r="J19012" t="s">
        <v>575</v>
      </c>
      <c r="K19012" t="s">
        <v>33</v>
      </c>
      <c r="L19012" t="s">
        <v>246</v>
      </c>
      <c r="N19012" t="s">
        <v>29</v>
      </c>
    </row>
    <row r="19013" spans="1:14">
      <c r="A19013" s="4" t="str">
        <f t="shared" si="1333"/>
        <v>EXP00441</v>
      </c>
      <c r="B19013" s="3" t="s">
        <v>66</v>
      </c>
      <c r="C19013" s="4" t="str">
        <f t="shared" si="1332"/>
        <v>TCGA-STAD</v>
      </c>
      <c r="D19013" s="1" t="s">
        <v>493</v>
      </c>
      <c r="E19013" t="s">
        <v>580</v>
      </c>
      <c r="F19013" s="1">
        <v>2</v>
      </c>
      <c r="G19013" s="1" t="s">
        <v>28</v>
      </c>
      <c r="H19013" s="4" t="str">
        <f>HYPERLINK("https://portal.gdc.cancer.gov/cases/bb3729fe-2fa2-47fc-afde-c14036cb84f5","TCGA-BR-7723-01A")</f>
        <v>TCGA-BR-7723-01A</v>
      </c>
      <c r="I19013" t="s">
        <v>574</v>
      </c>
      <c r="J19013" t="s">
        <v>575</v>
      </c>
      <c r="K19013" t="s">
        <v>33</v>
      </c>
      <c r="L19013" t="s">
        <v>246</v>
      </c>
      <c r="N19013" t="s">
        <v>29</v>
      </c>
    </row>
    <row r="19014" spans="1:14">
      <c r="A19014" s="4" t="str">
        <f t="shared" si="1333"/>
        <v>EXP00441</v>
      </c>
      <c r="B19014" s="3" t="s">
        <v>66</v>
      </c>
      <c r="C19014" s="4" t="str">
        <f t="shared" si="1332"/>
        <v>TCGA-STAD</v>
      </c>
      <c r="D19014" s="1" t="s">
        <v>493</v>
      </c>
      <c r="E19014" t="s">
        <v>580</v>
      </c>
      <c r="F19014" s="1">
        <v>2</v>
      </c>
      <c r="G19014" s="1" t="s">
        <v>28</v>
      </c>
      <c r="H19014" s="4" t="str">
        <f>HYPERLINK("https://portal.gdc.cancer.gov/cases/08c73b36-ede5-4136-b73b-0e964d432f89","TCGA-BR-7851-01A")</f>
        <v>TCGA-BR-7851-01A</v>
      </c>
      <c r="I19014" t="s">
        <v>574</v>
      </c>
      <c r="J19014" t="s">
        <v>575</v>
      </c>
      <c r="K19014" t="s">
        <v>33</v>
      </c>
      <c r="L19014" t="s">
        <v>246</v>
      </c>
      <c r="N19014" t="s">
        <v>29</v>
      </c>
    </row>
    <row r="19015" spans="1:14">
      <c r="A19015" s="4" t="str">
        <f t="shared" si="1333"/>
        <v>EXP00441</v>
      </c>
      <c r="B19015" s="3" t="s">
        <v>66</v>
      </c>
      <c r="C19015" s="4" t="str">
        <f t="shared" si="1332"/>
        <v>TCGA-STAD</v>
      </c>
      <c r="D19015" s="1" t="s">
        <v>493</v>
      </c>
      <c r="E19015" t="s">
        <v>580</v>
      </c>
      <c r="F19015" s="1">
        <v>2</v>
      </c>
      <c r="G19015" s="1" t="s">
        <v>28</v>
      </c>
      <c r="H19015" s="4" t="str">
        <f>HYPERLINK("https://portal.gdc.cancer.gov/cases/9b5e5122-8ea0-432c-bc64-932bf376fffd","TCGA-BR-7901-01A")</f>
        <v>TCGA-BR-7901-01A</v>
      </c>
      <c r="I19015" t="s">
        <v>574</v>
      </c>
      <c r="J19015" t="s">
        <v>575</v>
      </c>
      <c r="K19015" t="s">
        <v>33</v>
      </c>
      <c r="L19015" t="s">
        <v>246</v>
      </c>
      <c r="N19015" t="s">
        <v>29</v>
      </c>
    </row>
    <row r="19016" spans="1:14">
      <c r="A19016" s="4" t="str">
        <f t="shared" si="1333"/>
        <v>EXP00441</v>
      </c>
      <c r="B19016" s="3" t="s">
        <v>66</v>
      </c>
      <c r="C19016" s="4" t="str">
        <f t="shared" si="1332"/>
        <v>TCGA-STAD</v>
      </c>
      <c r="D19016" s="1" t="s">
        <v>493</v>
      </c>
      <c r="E19016" t="s">
        <v>580</v>
      </c>
      <c r="F19016" s="1">
        <v>2</v>
      </c>
      <c r="G19016" s="1" t="s">
        <v>28</v>
      </c>
      <c r="H19016" s="4" t="str">
        <f>HYPERLINK("https://portal.gdc.cancer.gov/cases/0dfa566e-8fb2-4288-81ce-b4bcce674b06","TCGA-BR-7957-01A")</f>
        <v>TCGA-BR-7957-01A</v>
      </c>
      <c r="I19016" t="s">
        <v>574</v>
      </c>
      <c r="J19016" t="s">
        <v>575</v>
      </c>
      <c r="K19016" t="s">
        <v>33</v>
      </c>
      <c r="L19016" t="s">
        <v>246</v>
      </c>
      <c r="N19016" t="s">
        <v>29</v>
      </c>
    </row>
    <row r="19017" spans="1:14">
      <c r="A19017" s="4" t="str">
        <f t="shared" si="1333"/>
        <v>EXP00441</v>
      </c>
      <c r="B19017" s="3" t="s">
        <v>66</v>
      </c>
      <c r="C19017" s="4" t="str">
        <f t="shared" si="1332"/>
        <v>TCGA-STAD</v>
      </c>
      <c r="D19017" s="1" t="s">
        <v>493</v>
      </c>
      <c r="E19017" t="s">
        <v>580</v>
      </c>
      <c r="F19017" s="1">
        <v>2</v>
      </c>
      <c r="G19017" s="1" t="s">
        <v>28</v>
      </c>
      <c r="H19017" s="4" t="str">
        <f>HYPERLINK("https://portal.gdc.cancer.gov/cases/1fb6c06e-ecf4-4b4c-bb15-df8c0a9fad8f","TCGA-BR-7958-01A")</f>
        <v>TCGA-BR-7958-01A</v>
      </c>
      <c r="I19017" t="s">
        <v>574</v>
      </c>
      <c r="J19017" t="s">
        <v>575</v>
      </c>
      <c r="K19017" t="s">
        <v>33</v>
      </c>
      <c r="L19017" t="s">
        <v>246</v>
      </c>
      <c r="N19017" t="s">
        <v>29</v>
      </c>
    </row>
    <row r="19018" spans="1:14">
      <c r="A19018" s="4" t="str">
        <f t="shared" si="1333"/>
        <v>EXP00441</v>
      </c>
      <c r="B19018" s="3" t="s">
        <v>66</v>
      </c>
      <c r="C19018" s="4" t="str">
        <f t="shared" si="1332"/>
        <v>TCGA-STAD</v>
      </c>
      <c r="D19018" s="1" t="s">
        <v>493</v>
      </c>
      <c r="E19018" t="s">
        <v>580</v>
      </c>
      <c r="F19018" s="1">
        <v>2</v>
      </c>
      <c r="G19018" s="1" t="s">
        <v>28</v>
      </c>
      <c r="H19018" s="4" t="str">
        <f>HYPERLINK("https://portal.gdc.cancer.gov/cases/b16167d0-d7d7-408e-bd0e-ce429b7f828c","TCGA-BR-7959-01A")</f>
        <v>TCGA-BR-7959-01A</v>
      </c>
      <c r="I19018" t="s">
        <v>574</v>
      </c>
      <c r="J19018" t="s">
        <v>575</v>
      </c>
      <c r="K19018" t="s">
        <v>33</v>
      </c>
      <c r="L19018" t="s">
        <v>246</v>
      </c>
      <c r="N19018" t="s">
        <v>29</v>
      </c>
    </row>
    <row r="19019" spans="1:14">
      <c r="A19019" s="4" t="str">
        <f t="shared" si="1333"/>
        <v>EXP00441</v>
      </c>
      <c r="B19019" s="3" t="s">
        <v>66</v>
      </c>
      <c r="C19019" s="4" t="str">
        <f t="shared" si="1332"/>
        <v>TCGA-STAD</v>
      </c>
      <c r="D19019" s="1" t="s">
        <v>493</v>
      </c>
      <c r="E19019" t="s">
        <v>580</v>
      </c>
      <c r="F19019" s="1">
        <v>2</v>
      </c>
      <c r="G19019" s="1" t="s">
        <v>28</v>
      </c>
      <c r="H19019" s="4" t="str">
        <f>HYPERLINK("https://portal.gdc.cancer.gov/cases/4685dc14-1809-47ea-aba9-9bde72f6661b","TCGA-BR-8058-01A")</f>
        <v>TCGA-BR-8058-01A</v>
      </c>
      <c r="I19019" t="s">
        <v>574</v>
      </c>
      <c r="J19019" t="s">
        <v>575</v>
      </c>
      <c r="K19019" t="s">
        <v>33</v>
      </c>
      <c r="L19019" t="s">
        <v>246</v>
      </c>
      <c r="N19019" t="s">
        <v>29</v>
      </c>
    </row>
    <row r="19020" spans="1:14">
      <c r="A19020" s="4" t="str">
        <f t="shared" si="1333"/>
        <v>EXP00441</v>
      </c>
      <c r="B19020" s="3" t="s">
        <v>66</v>
      </c>
      <c r="C19020" s="4" t="str">
        <f t="shared" si="1332"/>
        <v>TCGA-STAD</v>
      </c>
      <c r="D19020" s="1" t="s">
        <v>493</v>
      </c>
      <c r="E19020" t="s">
        <v>580</v>
      </c>
      <c r="F19020" s="1">
        <v>2</v>
      </c>
      <c r="G19020" s="1" t="s">
        <v>28</v>
      </c>
      <c r="H19020" s="4" t="str">
        <f>HYPERLINK("https://portal.gdc.cancer.gov/cases/bae3c762-d894-4742-860c-43d18659b4bc","TCGA-BR-8059-01A")</f>
        <v>TCGA-BR-8059-01A</v>
      </c>
      <c r="I19020" t="s">
        <v>574</v>
      </c>
      <c r="J19020" t="s">
        <v>575</v>
      </c>
      <c r="K19020" t="s">
        <v>33</v>
      </c>
      <c r="L19020" t="s">
        <v>246</v>
      </c>
      <c r="N19020" t="s">
        <v>29</v>
      </c>
    </row>
    <row r="19021" spans="1:14">
      <c r="A19021" s="4" t="str">
        <f t="shared" si="1333"/>
        <v>EXP00441</v>
      </c>
      <c r="B19021" s="3" t="s">
        <v>66</v>
      </c>
      <c r="C19021" s="4" t="str">
        <f t="shared" si="1332"/>
        <v>TCGA-STAD</v>
      </c>
      <c r="D19021" s="1" t="s">
        <v>493</v>
      </c>
      <c r="E19021" t="s">
        <v>580</v>
      </c>
      <c r="F19021" s="1">
        <v>2</v>
      </c>
      <c r="G19021" s="1" t="s">
        <v>28</v>
      </c>
      <c r="H19021" s="4" t="str">
        <f>HYPERLINK("https://portal.gdc.cancer.gov/cases/23ef21a0-3695-4ca2-99e2-274805f11892","TCGA-BR-8060-01A")</f>
        <v>TCGA-BR-8060-01A</v>
      </c>
      <c r="I19021" t="s">
        <v>574</v>
      </c>
      <c r="J19021" t="s">
        <v>575</v>
      </c>
      <c r="K19021" t="s">
        <v>33</v>
      </c>
      <c r="L19021" t="s">
        <v>246</v>
      </c>
      <c r="N19021" t="s">
        <v>29</v>
      </c>
    </row>
    <row r="19022" spans="1:14">
      <c r="A19022" s="4" t="str">
        <f t="shared" si="1333"/>
        <v>EXP00441</v>
      </c>
      <c r="B19022" s="3" t="s">
        <v>66</v>
      </c>
      <c r="C19022" s="4" t="str">
        <f t="shared" si="1332"/>
        <v>TCGA-STAD</v>
      </c>
      <c r="D19022" s="1" t="s">
        <v>493</v>
      </c>
      <c r="E19022" t="s">
        <v>580</v>
      </c>
      <c r="F19022" s="1">
        <v>2</v>
      </c>
      <c r="G19022" s="1" t="s">
        <v>28</v>
      </c>
      <c r="H19022" s="4" t="str">
        <f>HYPERLINK("https://portal.gdc.cancer.gov/cases/faed873e-a019-49c0-95a9-e9880fc23093","TCGA-BR-8077-01A")</f>
        <v>TCGA-BR-8077-01A</v>
      </c>
      <c r="I19022" t="s">
        <v>574</v>
      </c>
      <c r="J19022" t="s">
        <v>575</v>
      </c>
      <c r="K19022" t="s">
        <v>33</v>
      </c>
      <c r="L19022" t="s">
        <v>246</v>
      </c>
      <c r="N19022" t="s">
        <v>29</v>
      </c>
    </row>
    <row r="19023" spans="1:14">
      <c r="A19023" s="4" t="str">
        <f t="shared" si="1333"/>
        <v>EXP00441</v>
      </c>
      <c r="B19023" s="3" t="s">
        <v>66</v>
      </c>
      <c r="C19023" s="4" t="str">
        <f t="shared" si="1332"/>
        <v>TCGA-STAD</v>
      </c>
      <c r="D19023" s="1" t="s">
        <v>493</v>
      </c>
      <c r="E19023" t="s">
        <v>580</v>
      </c>
      <c r="F19023" s="1">
        <v>2</v>
      </c>
      <c r="G19023" s="1" t="s">
        <v>28</v>
      </c>
      <c r="H19023" s="4" t="str">
        <f>HYPERLINK("https://portal.gdc.cancer.gov/cases/d0b78f02-2315-4c12-8b2a-ac1a110f882d","TCGA-BR-8080-01A")</f>
        <v>TCGA-BR-8080-01A</v>
      </c>
      <c r="I19023" t="s">
        <v>574</v>
      </c>
      <c r="J19023" t="s">
        <v>575</v>
      </c>
      <c r="K19023" t="s">
        <v>33</v>
      </c>
      <c r="L19023" t="s">
        <v>246</v>
      </c>
      <c r="N19023" t="s">
        <v>29</v>
      </c>
    </row>
    <row r="19024" spans="1:14">
      <c r="A19024" s="4" t="str">
        <f t="shared" si="1333"/>
        <v>EXP00441</v>
      </c>
      <c r="B19024" s="3" t="s">
        <v>66</v>
      </c>
      <c r="C19024" s="4" t="str">
        <f t="shared" si="1332"/>
        <v>TCGA-STAD</v>
      </c>
      <c r="D19024" s="1" t="s">
        <v>493</v>
      </c>
      <c r="E19024" t="s">
        <v>580</v>
      </c>
      <c r="F19024" s="1">
        <v>2</v>
      </c>
      <c r="G19024" s="1" t="s">
        <v>28</v>
      </c>
      <c r="H19024" s="4" t="str">
        <f>HYPERLINK("https://portal.gdc.cancer.gov/cases/1d3a03a5-b757-4617-b65a-50f429a0e026","TCGA-BR-8081-01A")</f>
        <v>TCGA-BR-8081-01A</v>
      </c>
      <c r="I19024" t="s">
        <v>574</v>
      </c>
      <c r="J19024" t="s">
        <v>575</v>
      </c>
      <c r="K19024" t="s">
        <v>33</v>
      </c>
      <c r="L19024" t="s">
        <v>246</v>
      </c>
      <c r="N19024" t="s">
        <v>29</v>
      </c>
    </row>
    <row r="19025" spans="1:14">
      <c r="A19025" s="4" t="str">
        <f t="shared" si="1333"/>
        <v>EXP00441</v>
      </c>
      <c r="B19025" s="3" t="s">
        <v>66</v>
      </c>
      <c r="C19025" s="4" t="str">
        <f t="shared" si="1332"/>
        <v>TCGA-STAD</v>
      </c>
      <c r="D19025" s="1" t="s">
        <v>493</v>
      </c>
      <c r="E19025" t="s">
        <v>580</v>
      </c>
      <c r="F19025" s="1">
        <v>2</v>
      </c>
      <c r="G19025" s="1" t="s">
        <v>28</v>
      </c>
      <c r="H19025" s="4" t="str">
        <f>HYPERLINK("https://portal.gdc.cancer.gov/cases/a89e46f4-4808-41e5-a047-acebf8744eb7","TCGA-BR-8284-01A")</f>
        <v>TCGA-BR-8284-01A</v>
      </c>
      <c r="I19025" t="s">
        <v>574</v>
      </c>
      <c r="J19025" t="s">
        <v>575</v>
      </c>
      <c r="K19025" t="s">
        <v>33</v>
      </c>
      <c r="L19025" t="s">
        <v>246</v>
      </c>
      <c r="N19025" t="s">
        <v>29</v>
      </c>
    </row>
    <row r="19026" spans="1:14">
      <c r="A19026" s="4" t="str">
        <f t="shared" si="1333"/>
        <v>EXP00441</v>
      </c>
      <c r="B19026" s="3" t="s">
        <v>66</v>
      </c>
      <c r="C19026" s="4" t="str">
        <f t="shared" si="1332"/>
        <v>TCGA-STAD</v>
      </c>
      <c r="D19026" s="1" t="s">
        <v>493</v>
      </c>
      <c r="E19026" t="s">
        <v>580</v>
      </c>
      <c r="F19026" s="1">
        <v>2</v>
      </c>
      <c r="G19026" s="1" t="s">
        <v>28</v>
      </c>
      <c r="H19026" s="4" t="str">
        <f>HYPERLINK("https://portal.gdc.cancer.gov/cases/7d915d11-729c-4577-a948-9824a8b033ce","TCGA-BR-8286-01A")</f>
        <v>TCGA-BR-8286-01A</v>
      </c>
      <c r="I19026" t="s">
        <v>574</v>
      </c>
      <c r="J19026" t="s">
        <v>575</v>
      </c>
      <c r="K19026" t="s">
        <v>33</v>
      </c>
      <c r="L19026" t="s">
        <v>246</v>
      </c>
      <c r="N19026" t="s">
        <v>29</v>
      </c>
    </row>
    <row r="19027" spans="1:14">
      <c r="A19027" s="4" t="str">
        <f t="shared" si="1333"/>
        <v>EXP00441</v>
      </c>
      <c r="B19027" s="3" t="s">
        <v>66</v>
      </c>
      <c r="C19027" s="4" t="str">
        <f t="shared" si="1332"/>
        <v>TCGA-STAD</v>
      </c>
      <c r="D19027" s="1" t="s">
        <v>493</v>
      </c>
      <c r="E19027" t="s">
        <v>580</v>
      </c>
      <c r="F19027" s="1">
        <v>2</v>
      </c>
      <c r="G19027" s="1" t="s">
        <v>28</v>
      </c>
      <c r="H19027" s="4" t="str">
        <f>HYPERLINK("https://portal.gdc.cancer.gov/cases/889cb779-36a5-4ac6-b2cf-ea7be0cc387d","TCGA-BR-8289-01A")</f>
        <v>TCGA-BR-8289-01A</v>
      </c>
      <c r="I19027" t="s">
        <v>574</v>
      </c>
      <c r="J19027" t="s">
        <v>575</v>
      </c>
      <c r="K19027" t="s">
        <v>33</v>
      </c>
      <c r="L19027" t="s">
        <v>246</v>
      </c>
      <c r="N19027" t="s">
        <v>29</v>
      </c>
    </row>
    <row r="19028" spans="1:14">
      <c r="A19028" s="4" t="str">
        <f t="shared" si="1333"/>
        <v>EXP00441</v>
      </c>
      <c r="B19028" s="3" t="s">
        <v>66</v>
      </c>
      <c r="C19028" s="4" t="str">
        <f t="shared" si="1332"/>
        <v>TCGA-STAD</v>
      </c>
      <c r="D19028" s="1" t="s">
        <v>493</v>
      </c>
      <c r="E19028" t="s">
        <v>580</v>
      </c>
      <c r="F19028" s="1">
        <v>2</v>
      </c>
      <c r="G19028" s="1" t="s">
        <v>28</v>
      </c>
      <c r="H19028" s="4" t="str">
        <f>HYPERLINK("https://portal.gdc.cancer.gov/cases/264b781d-122b-433d-80d4-59fbec262f22","TCGA-BR-8291-01A")</f>
        <v>TCGA-BR-8291-01A</v>
      </c>
      <c r="I19028" t="s">
        <v>574</v>
      </c>
      <c r="J19028" t="s">
        <v>575</v>
      </c>
      <c r="K19028" t="s">
        <v>33</v>
      </c>
      <c r="L19028" t="s">
        <v>246</v>
      </c>
      <c r="N19028" t="s">
        <v>29</v>
      </c>
    </row>
    <row r="19029" spans="1:14">
      <c r="A19029" s="4" t="str">
        <f t="shared" si="1333"/>
        <v>EXP00441</v>
      </c>
      <c r="B19029" s="3" t="s">
        <v>66</v>
      </c>
      <c r="C19029" s="4" t="str">
        <f t="shared" si="1332"/>
        <v>TCGA-STAD</v>
      </c>
      <c r="D19029" s="1" t="s">
        <v>493</v>
      </c>
      <c r="E19029" t="s">
        <v>580</v>
      </c>
      <c r="F19029" s="1">
        <v>2</v>
      </c>
      <c r="G19029" s="1" t="s">
        <v>28</v>
      </c>
      <c r="H19029" s="4" t="str">
        <f>HYPERLINK("https://portal.gdc.cancer.gov/cases/62d32d19-ec93-4359-ab17-dc32e599b29a","TCGA-BR-8295-01A")</f>
        <v>TCGA-BR-8295-01A</v>
      </c>
      <c r="I19029" t="s">
        <v>574</v>
      </c>
      <c r="J19029" t="s">
        <v>575</v>
      </c>
      <c r="K19029" t="s">
        <v>33</v>
      </c>
      <c r="L19029" t="s">
        <v>246</v>
      </c>
      <c r="N19029" t="s">
        <v>29</v>
      </c>
    </row>
    <row r="19030" spans="1:14">
      <c r="A19030" s="4" t="str">
        <f t="shared" si="1333"/>
        <v>EXP00441</v>
      </c>
      <c r="B19030" s="3" t="s">
        <v>66</v>
      </c>
      <c r="C19030" s="4" t="str">
        <f t="shared" si="1332"/>
        <v>TCGA-STAD</v>
      </c>
      <c r="D19030" s="1" t="s">
        <v>493</v>
      </c>
      <c r="E19030" t="s">
        <v>580</v>
      </c>
      <c r="F19030" s="1">
        <v>2</v>
      </c>
      <c r="G19030" s="1" t="s">
        <v>28</v>
      </c>
      <c r="H19030" s="4" t="str">
        <f>HYPERLINK("https://portal.gdc.cancer.gov/cases/2688d563-b052-440b-a810-873b1cd3666d","TCGA-BR-8296-01A")</f>
        <v>TCGA-BR-8296-01A</v>
      </c>
      <c r="I19030" t="s">
        <v>574</v>
      </c>
      <c r="J19030" t="s">
        <v>575</v>
      </c>
      <c r="K19030" t="s">
        <v>33</v>
      </c>
      <c r="L19030" t="s">
        <v>246</v>
      </c>
      <c r="N19030" t="s">
        <v>29</v>
      </c>
    </row>
    <row r="19031" spans="1:14">
      <c r="A19031" s="4" t="str">
        <f t="shared" si="1333"/>
        <v>EXP00441</v>
      </c>
      <c r="B19031" s="3" t="s">
        <v>66</v>
      </c>
      <c r="C19031" s="4" t="str">
        <f t="shared" si="1332"/>
        <v>TCGA-STAD</v>
      </c>
      <c r="D19031" s="1" t="s">
        <v>493</v>
      </c>
      <c r="E19031" t="s">
        <v>580</v>
      </c>
      <c r="F19031" s="1">
        <v>2</v>
      </c>
      <c r="G19031" s="1" t="s">
        <v>28</v>
      </c>
      <c r="H19031" s="4" t="str">
        <f>HYPERLINK("https://portal.gdc.cancer.gov/cases/304aab66-4a2a-4b9f-af87-4a591d518ca1","TCGA-BR-8297-01A")</f>
        <v>TCGA-BR-8297-01A</v>
      </c>
      <c r="I19031" t="s">
        <v>574</v>
      </c>
      <c r="J19031" t="s">
        <v>575</v>
      </c>
      <c r="K19031" t="s">
        <v>33</v>
      </c>
      <c r="L19031" t="s">
        <v>246</v>
      </c>
      <c r="N19031" t="s">
        <v>29</v>
      </c>
    </row>
    <row r="19032" spans="1:14">
      <c r="A19032" s="4" t="str">
        <f t="shared" si="1333"/>
        <v>EXP00441</v>
      </c>
      <c r="B19032" s="3" t="s">
        <v>66</v>
      </c>
      <c r="C19032" s="4" t="str">
        <f t="shared" si="1332"/>
        <v>TCGA-STAD</v>
      </c>
      <c r="D19032" s="1" t="s">
        <v>493</v>
      </c>
      <c r="E19032" t="s">
        <v>580</v>
      </c>
      <c r="F19032" s="1">
        <v>2</v>
      </c>
      <c r="G19032" s="1" t="s">
        <v>28</v>
      </c>
      <c r="H19032" s="4" t="str">
        <f>HYPERLINK("https://portal.gdc.cancer.gov/cases/86cbca52-29bd-4b88-a203-e8b9a072bd4b","TCGA-BR-8361-01A")</f>
        <v>TCGA-BR-8361-01A</v>
      </c>
      <c r="I19032" t="s">
        <v>574</v>
      </c>
      <c r="J19032" t="s">
        <v>575</v>
      </c>
      <c r="K19032" t="s">
        <v>33</v>
      </c>
      <c r="L19032" t="s">
        <v>246</v>
      </c>
      <c r="N19032" t="s">
        <v>29</v>
      </c>
    </row>
    <row r="19033" spans="1:14">
      <c r="A19033" s="4" t="str">
        <f t="shared" si="1333"/>
        <v>EXP00441</v>
      </c>
      <c r="B19033" s="3" t="s">
        <v>66</v>
      </c>
      <c r="C19033" s="4" t="str">
        <f t="shared" si="1332"/>
        <v>TCGA-STAD</v>
      </c>
      <c r="D19033" s="1" t="s">
        <v>493</v>
      </c>
      <c r="E19033" t="s">
        <v>580</v>
      </c>
      <c r="F19033" s="1">
        <v>2</v>
      </c>
      <c r="G19033" s="1" t="s">
        <v>28</v>
      </c>
      <c r="H19033" s="4" t="str">
        <f>HYPERLINK("https://portal.gdc.cancer.gov/cases/632f51b3-8ef4-4b6e-a992-c81e554507ed","TCGA-BR-8364-01A")</f>
        <v>TCGA-BR-8364-01A</v>
      </c>
      <c r="I19033" t="s">
        <v>574</v>
      </c>
      <c r="J19033" t="s">
        <v>575</v>
      </c>
      <c r="K19033" t="s">
        <v>33</v>
      </c>
      <c r="L19033" t="s">
        <v>246</v>
      </c>
      <c r="N19033" t="s">
        <v>29</v>
      </c>
    </row>
    <row r="19034" spans="1:14">
      <c r="A19034" s="4" t="str">
        <f t="shared" si="1333"/>
        <v>EXP00441</v>
      </c>
      <c r="B19034" s="3" t="s">
        <v>66</v>
      </c>
      <c r="C19034" s="4" t="str">
        <f t="shared" si="1332"/>
        <v>TCGA-STAD</v>
      </c>
      <c r="D19034" s="1" t="s">
        <v>493</v>
      </c>
      <c r="E19034" t="s">
        <v>580</v>
      </c>
      <c r="F19034" s="1">
        <v>2</v>
      </c>
      <c r="G19034" s="1" t="s">
        <v>28</v>
      </c>
      <c r="H19034" s="4" t="str">
        <f>HYPERLINK("https://portal.gdc.cancer.gov/cases/55a2c884-49a7-4d1a-9e0e-42f6a8b720fa","TCGA-BR-8365-01A")</f>
        <v>TCGA-BR-8365-01A</v>
      </c>
      <c r="I19034" t="s">
        <v>574</v>
      </c>
      <c r="J19034" t="s">
        <v>575</v>
      </c>
      <c r="K19034" t="s">
        <v>33</v>
      </c>
      <c r="L19034" t="s">
        <v>246</v>
      </c>
      <c r="N19034" t="s">
        <v>29</v>
      </c>
    </row>
    <row r="19035" spans="1:14">
      <c r="A19035" s="4" t="str">
        <f t="shared" si="1333"/>
        <v>EXP00441</v>
      </c>
      <c r="B19035" s="3" t="s">
        <v>66</v>
      </c>
      <c r="C19035" s="4" t="str">
        <f t="shared" si="1332"/>
        <v>TCGA-STAD</v>
      </c>
      <c r="D19035" s="1" t="s">
        <v>493</v>
      </c>
      <c r="E19035" t="s">
        <v>580</v>
      </c>
      <c r="F19035" s="1">
        <v>2</v>
      </c>
      <c r="G19035" s="1" t="s">
        <v>28</v>
      </c>
      <c r="H19035" s="4" t="str">
        <f>HYPERLINK("https://portal.gdc.cancer.gov/cases/66c04b8f-42fd-44c5-945b-ee149bcf5dad","TCGA-BR-8366-01A")</f>
        <v>TCGA-BR-8366-01A</v>
      </c>
      <c r="I19035" t="s">
        <v>574</v>
      </c>
      <c r="J19035" t="s">
        <v>575</v>
      </c>
      <c r="K19035" t="s">
        <v>33</v>
      </c>
      <c r="L19035" t="s">
        <v>246</v>
      </c>
      <c r="N19035" t="s">
        <v>29</v>
      </c>
    </row>
    <row r="19036" spans="1:14">
      <c r="A19036" s="4" t="str">
        <f t="shared" si="1333"/>
        <v>EXP00441</v>
      </c>
      <c r="B19036" s="3" t="s">
        <v>66</v>
      </c>
      <c r="C19036" s="4" t="str">
        <f t="shared" si="1332"/>
        <v>TCGA-STAD</v>
      </c>
      <c r="D19036" s="1" t="s">
        <v>493</v>
      </c>
      <c r="E19036" t="s">
        <v>580</v>
      </c>
      <c r="F19036" s="1">
        <v>2</v>
      </c>
      <c r="G19036" s="1" t="s">
        <v>28</v>
      </c>
      <c r="H19036" s="4" t="str">
        <f>HYPERLINK("https://portal.gdc.cancer.gov/cases/b12d9857-9ae1-445b-a963-b630b27b254e","TCGA-BR-8367-01A")</f>
        <v>TCGA-BR-8367-01A</v>
      </c>
      <c r="I19036" t="s">
        <v>574</v>
      </c>
      <c r="J19036" t="s">
        <v>575</v>
      </c>
      <c r="K19036" t="s">
        <v>33</v>
      </c>
      <c r="L19036" t="s">
        <v>246</v>
      </c>
      <c r="N19036" t="s">
        <v>29</v>
      </c>
    </row>
    <row r="19037" spans="1:14">
      <c r="A19037" s="4" t="str">
        <f t="shared" si="1333"/>
        <v>EXP00441</v>
      </c>
      <c r="B19037" s="3" t="s">
        <v>66</v>
      </c>
      <c r="C19037" s="4" t="str">
        <f t="shared" si="1332"/>
        <v>TCGA-STAD</v>
      </c>
      <c r="D19037" s="1" t="s">
        <v>493</v>
      </c>
      <c r="E19037" t="s">
        <v>580</v>
      </c>
      <c r="F19037" s="1">
        <v>2</v>
      </c>
      <c r="G19037" s="1" t="s">
        <v>28</v>
      </c>
      <c r="H19037" s="4" t="str">
        <f>HYPERLINK("https://portal.gdc.cancer.gov/cases/00781a96-4068-427c-a9c5-584d167c3dea","TCGA-BR-8368-01A")</f>
        <v>TCGA-BR-8368-01A</v>
      </c>
      <c r="I19037" t="s">
        <v>574</v>
      </c>
      <c r="J19037" t="s">
        <v>575</v>
      </c>
      <c r="K19037" t="s">
        <v>33</v>
      </c>
      <c r="L19037" t="s">
        <v>246</v>
      </c>
      <c r="N19037" t="s">
        <v>29</v>
      </c>
    </row>
    <row r="19038" spans="1:14">
      <c r="A19038" s="4" t="str">
        <f t="shared" si="1333"/>
        <v>EXP00441</v>
      </c>
      <c r="B19038" s="3" t="s">
        <v>66</v>
      </c>
      <c r="C19038" s="4" t="str">
        <f t="shared" si="1332"/>
        <v>TCGA-STAD</v>
      </c>
      <c r="D19038" s="1" t="s">
        <v>493</v>
      </c>
      <c r="E19038" t="s">
        <v>580</v>
      </c>
      <c r="F19038" s="1">
        <v>2</v>
      </c>
      <c r="G19038" s="1" t="s">
        <v>28</v>
      </c>
      <c r="H19038" s="4" t="str">
        <f>HYPERLINK("https://portal.gdc.cancer.gov/cases/f89ac782-e0b2-4e62-844d-2e00d10a1c65","TCGA-BR-8369-01A")</f>
        <v>TCGA-BR-8369-01A</v>
      </c>
      <c r="I19038" t="s">
        <v>574</v>
      </c>
      <c r="J19038" t="s">
        <v>575</v>
      </c>
      <c r="K19038" t="s">
        <v>33</v>
      </c>
      <c r="L19038" t="s">
        <v>246</v>
      </c>
      <c r="N19038" t="s">
        <v>29</v>
      </c>
    </row>
    <row r="19039" spans="1:14">
      <c r="A19039" s="4" t="str">
        <f t="shared" si="1333"/>
        <v>EXP00441</v>
      </c>
      <c r="B19039" s="3" t="s">
        <v>66</v>
      </c>
      <c r="C19039" s="4" t="str">
        <f t="shared" si="1332"/>
        <v>TCGA-STAD</v>
      </c>
      <c r="D19039" s="1" t="s">
        <v>493</v>
      </c>
      <c r="E19039" t="s">
        <v>580</v>
      </c>
      <c r="F19039" s="1">
        <v>2</v>
      </c>
      <c r="G19039" s="1" t="s">
        <v>28</v>
      </c>
      <c r="H19039" s="4" t="str">
        <f>HYPERLINK("https://portal.gdc.cancer.gov/cases/4020b1b1-576d-4869-9ff5-552e3afb3ab5","TCGA-BR-8371-01A")</f>
        <v>TCGA-BR-8371-01A</v>
      </c>
      <c r="I19039" t="s">
        <v>574</v>
      </c>
      <c r="J19039" t="s">
        <v>575</v>
      </c>
      <c r="K19039" t="s">
        <v>33</v>
      </c>
      <c r="L19039" t="s">
        <v>246</v>
      </c>
      <c r="N19039" t="s">
        <v>29</v>
      </c>
    </row>
    <row r="19040" spans="1:14">
      <c r="A19040" s="4" t="str">
        <f t="shared" si="1333"/>
        <v>EXP00441</v>
      </c>
      <c r="B19040" s="3" t="s">
        <v>66</v>
      </c>
      <c r="C19040" s="4" t="str">
        <f t="shared" si="1332"/>
        <v>TCGA-STAD</v>
      </c>
      <c r="D19040" s="1" t="s">
        <v>493</v>
      </c>
      <c r="E19040" t="s">
        <v>580</v>
      </c>
      <c r="F19040" s="1">
        <v>2</v>
      </c>
      <c r="G19040" s="1" t="s">
        <v>28</v>
      </c>
      <c r="H19040" s="4" t="str">
        <f>HYPERLINK("https://portal.gdc.cancer.gov/cases/5b52f882-df12-42ec-a000-ff3b428ba05b","TCGA-BR-8372-01A")</f>
        <v>TCGA-BR-8372-01A</v>
      </c>
      <c r="I19040" t="s">
        <v>574</v>
      </c>
      <c r="J19040" t="s">
        <v>575</v>
      </c>
      <c r="K19040" t="s">
        <v>33</v>
      </c>
      <c r="L19040" t="s">
        <v>246</v>
      </c>
      <c r="N19040" t="s">
        <v>29</v>
      </c>
    </row>
    <row r="19041" spans="1:14">
      <c r="A19041" s="4" t="str">
        <f t="shared" si="1333"/>
        <v>EXP00441</v>
      </c>
      <c r="B19041" s="3" t="s">
        <v>66</v>
      </c>
      <c r="C19041" s="4" t="str">
        <f t="shared" si="1332"/>
        <v>TCGA-STAD</v>
      </c>
      <c r="D19041" s="1" t="s">
        <v>493</v>
      </c>
      <c r="E19041" t="s">
        <v>580</v>
      </c>
      <c r="F19041" s="1">
        <v>2</v>
      </c>
      <c r="G19041" s="1" t="s">
        <v>28</v>
      </c>
      <c r="H19041" s="4" t="str">
        <f>HYPERLINK("https://portal.gdc.cancer.gov/cases/60879669-96c2-4710-82e0-0ae9d0e5b242","TCGA-BR-8373-01A")</f>
        <v>TCGA-BR-8373-01A</v>
      </c>
      <c r="I19041" t="s">
        <v>574</v>
      </c>
      <c r="J19041" t="s">
        <v>575</v>
      </c>
      <c r="K19041" t="s">
        <v>33</v>
      </c>
      <c r="L19041" t="s">
        <v>246</v>
      </c>
      <c r="N19041" t="s">
        <v>29</v>
      </c>
    </row>
    <row r="19042" spans="1:14">
      <c r="A19042" s="4" t="str">
        <f t="shared" si="1333"/>
        <v>EXP00441</v>
      </c>
      <c r="B19042" s="3" t="s">
        <v>66</v>
      </c>
      <c r="C19042" s="4" t="str">
        <f t="shared" si="1332"/>
        <v>TCGA-STAD</v>
      </c>
      <c r="D19042" s="1" t="s">
        <v>493</v>
      </c>
      <c r="E19042" t="s">
        <v>580</v>
      </c>
      <c r="F19042" s="1">
        <v>2</v>
      </c>
      <c r="G19042" s="1" t="s">
        <v>28</v>
      </c>
      <c r="H19042" s="4" t="str">
        <f>HYPERLINK("https://portal.gdc.cancer.gov/cases/9ebc8b58-363b-4638-8365-cfbde31a71ae","TCGA-BR-8380-01A")</f>
        <v>TCGA-BR-8380-01A</v>
      </c>
      <c r="I19042" t="s">
        <v>574</v>
      </c>
      <c r="J19042" t="s">
        <v>575</v>
      </c>
      <c r="K19042" t="s">
        <v>33</v>
      </c>
      <c r="L19042" t="s">
        <v>246</v>
      </c>
      <c r="N19042" t="s">
        <v>29</v>
      </c>
    </row>
    <row r="19043" spans="1:14">
      <c r="A19043" s="4" t="str">
        <f t="shared" si="1333"/>
        <v>EXP00441</v>
      </c>
      <c r="B19043" s="3" t="s">
        <v>66</v>
      </c>
      <c r="C19043" s="4" t="str">
        <f t="shared" si="1332"/>
        <v>TCGA-STAD</v>
      </c>
      <c r="D19043" s="1" t="s">
        <v>493</v>
      </c>
      <c r="E19043" t="s">
        <v>580</v>
      </c>
      <c r="F19043" s="1">
        <v>2</v>
      </c>
      <c r="G19043" s="1" t="s">
        <v>28</v>
      </c>
      <c r="H19043" s="4" t="str">
        <f>HYPERLINK("https://portal.gdc.cancer.gov/cases/aef8d98f-7a1c-47f3-b5a7-a3cb299c70de","TCGA-BR-8381-01A")</f>
        <v>TCGA-BR-8381-01A</v>
      </c>
      <c r="I19043" t="s">
        <v>574</v>
      </c>
      <c r="J19043" t="s">
        <v>575</v>
      </c>
      <c r="K19043" t="s">
        <v>33</v>
      </c>
      <c r="L19043" t="s">
        <v>246</v>
      </c>
      <c r="N19043" t="s">
        <v>29</v>
      </c>
    </row>
    <row r="19044" spans="1:14">
      <c r="A19044" s="4" t="str">
        <f t="shared" si="1333"/>
        <v>EXP00441</v>
      </c>
      <c r="B19044" s="3" t="s">
        <v>66</v>
      </c>
      <c r="C19044" s="4" t="str">
        <f t="shared" si="1332"/>
        <v>TCGA-STAD</v>
      </c>
      <c r="D19044" s="1" t="s">
        <v>493</v>
      </c>
      <c r="E19044" t="s">
        <v>580</v>
      </c>
      <c r="F19044" s="1">
        <v>2</v>
      </c>
      <c r="G19044" s="1" t="s">
        <v>28</v>
      </c>
      <c r="H19044" s="4" t="str">
        <f>HYPERLINK("https://portal.gdc.cancer.gov/cases/e617b5c5-55ca-47a7-8497-854ab2844818","TCGA-BR-8382-01A")</f>
        <v>TCGA-BR-8382-01A</v>
      </c>
      <c r="I19044" t="s">
        <v>574</v>
      </c>
      <c r="J19044" t="s">
        <v>575</v>
      </c>
      <c r="K19044" t="s">
        <v>33</v>
      </c>
      <c r="L19044" t="s">
        <v>246</v>
      </c>
      <c r="N19044" t="s">
        <v>29</v>
      </c>
    </row>
    <row r="19045" spans="1:14">
      <c r="A19045" s="4" t="str">
        <f t="shared" si="1333"/>
        <v>EXP00441</v>
      </c>
      <c r="B19045" s="3" t="s">
        <v>66</v>
      </c>
      <c r="C19045" s="4" t="str">
        <f t="shared" si="1332"/>
        <v>TCGA-STAD</v>
      </c>
      <c r="D19045" s="1" t="s">
        <v>493</v>
      </c>
      <c r="E19045" t="s">
        <v>580</v>
      </c>
      <c r="F19045" s="1">
        <v>2</v>
      </c>
      <c r="G19045" s="1" t="s">
        <v>28</v>
      </c>
      <c r="H19045" s="4" t="str">
        <f>HYPERLINK("https://portal.gdc.cancer.gov/cases/698a89d8-b4bc-48a8-80af-8414dbacf327","TCGA-BR-8384-01A")</f>
        <v>TCGA-BR-8384-01A</v>
      </c>
      <c r="I19045" t="s">
        <v>574</v>
      </c>
      <c r="J19045" t="s">
        <v>575</v>
      </c>
      <c r="K19045" t="s">
        <v>33</v>
      </c>
      <c r="L19045" t="s">
        <v>246</v>
      </c>
      <c r="N19045" t="s">
        <v>29</v>
      </c>
    </row>
    <row r="19046" spans="1:14">
      <c r="A19046" s="4" t="str">
        <f t="shared" si="1333"/>
        <v>EXP00441</v>
      </c>
      <c r="B19046" s="3" t="s">
        <v>66</v>
      </c>
      <c r="C19046" s="4" t="str">
        <f t="shared" si="1332"/>
        <v>TCGA-STAD</v>
      </c>
      <c r="D19046" s="1" t="s">
        <v>493</v>
      </c>
      <c r="E19046" t="s">
        <v>580</v>
      </c>
      <c r="F19046" s="1">
        <v>2</v>
      </c>
      <c r="G19046" s="1" t="s">
        <v>28</v>
      </c>
      <c r="H19046" s="4" t="str">
        <f>HYPERLINK("https://portal.gdc.cancer.gov/cases/e17cf9e9-0902-44e0-962b-af5492876f7d","TCGA-BR-8483-01A")</f>
        <v>TCGA-BR-8483-01A</v>
      </c>
      <c r="I19046" t="s">
        <v>574</v>
      </c>
      <c r="J19046" t="s">
        <v>575</v>
      </c>
      <c r="K19046" t="s">
        <v>33</v>
      </c>
      <c r="L19046" t="s">
        <v>246</v>
      </c>
      <c r="N19046" t="s">
        <v>29</v>
      </c>
    </row>
    <row r="19047" spans="1:14">
      <c r="A19047" s="4" t="str">
        <f t="shared" si="1333"/>
        <v>EXP00441</v>
      </c>
      <c r="B19047" s="3" t="s">
        <v>66</v>
      </c>
      <c r="C19047" s="4" t="str">
        <f t="shared" si="1332"/>
        <v>TCGA-STAD</v>
      </c>
      <c r="D19047" s="1" t="s">
        <v>493</v>
      </c>
      <c r="E19047" t="s">
        <v>580</v>
      </c>
      <c r="F19047" s="1">
        <v>2</v>
      </c>
      <c r="G19047" s="1" t="s">
        <v>28</v>
      </c>
      <c r="H19047" s="4" t="str">
        <f>HYPERLINK("https://portal.gdc.cancer.gov/cases/fa00a6a7-d5b0-40b9-8360-d56f7db64d34","TCGA-BR-8484-01A")</f>
        <v>TCGA-BR-8484-01A</v>
      </c>
      <c r="I19047" t="s">
        <v>574</v>
      </c>
      <c r="J19047" t="s">
        <v>575</v>
      </c>
      <c r="K19047" t="s">
        <v>33</v>
      </c>
      <c r="L19047" t="s">
        <v>246</v>
      </c>
      <c r="N19047" t="s">
        <v>29</v>
      </c>
    </row>
    <row r="19048" spans="1:14">
      <c r="A19048" s="4" t="str">
        <f t="shared" si="1333"/>
        <v>EXP00441</v>
      </c>
      <c r="B19048" s="3" t="s">
        <v>66</v>
      </c>
      <c r="C19048" s="4" t="str">
        <f t="shared" ref="C19048:C19111" si="1334">HYPERLINK("https://portal.gdc.cancer.gov/projects/TCGA-STAD","TCGA-STAD")</f>
        <v>TCGA-STAD</v>
      </c>
      <c r="D19048" s="1" t="s">
        <v>493</v>
      </c>
      <c r="E19048" t="s">
        <v>580</v>
      </c>
      <c r="F19048" s="1">
        <v>2</v>
      </c>
      <c r="G19048" s="1" t="s">
        <v>28</v>
      </c>
      <c r="H19048" s="4" t="str">
        <f>HYPERLINK("https://portal.gdc.cancer.gov/cases/1a3e7ec6-c9be-4174-8799-72267eb8a7bf","TCGA-BR-8485-01A")</f>
        <v>TCGA-BR-8485-01A</v>
      </c>
      <c r="I19048" t="s">
        <v>574</v>
      </c>
      <c r="J19048" t="s">
        <v>575</v>
      </c>
      <c r="K19048" t="s">
        <v>33</v>
      </c>
      <c r="L19048" t="s">
        <v>246</v>
      </c>
      <c r="N19048" t="s">
        <v>29</v>
      </c>
    </row>
    <row r="19049" spans="1:14">
      <c r="A19049" s="4" t="str">
        <f t="shared" si="1333"/>
        <v>EXP00441</v>
      </c>
      <c r="B19049" s="3" t="s">
        <v>66</v>
      </c>
      <c r="C19049" s="4" t="str">
        <f t="shared" si="1334"/>
        <v>TCGA-STAD</v>
      </c>
      <c r="D19049" s="1" t="s">
        <v>493</v>
      </c>
      <c r="E19049" t="s">
        <v>580</v>
      </c>
      <c r="F19049" s="1">
        <v>2</v>
      </c>
      <c r="G19049" s="1" t="s">
        <v>28</v>
      </c>
      <c r="H19049" s="4" t="str">
        <f>HYPERLINK("https://portal.gdc.cancer.gov/cases/b8a1c8c7-3945-4d84-8f58-3a1a1eb10730","TCGA-BR-8486-01A")</f>
        <v>TCGA-BR-8486-01A</v>
      </c>
      <c r="I19049" t="s">
        <v>574</v>
      </c>
      <c r="J19049" t="s">
        <v>575</v>
      </c>
      <c r="K19049" t="s">
        <v>33</v>
      </c>
      <c r="L19049" t="s">
        <v>246</v>
      </c>
      <c r="N19049" t="s">
        <v>29</v>
      </c>
    </row>
    <row r="19050" spans="1:14">
      <c r="A19050" s="4" t="str">
        <f t="shared" si="1333"/>
        <v>EXP00441</v>
      </c>
      <c r="B19050" s="3" t="s">
        <v>66</v>
      </c>
      <c r="C19050" s="4" t="str">
        <f t="shared" si="1334"/>
        <v>TCGA-STAD</v>
      </c>
      <c r="D19050" s="1" t="s">
        <v>493</v>
      </c>
      <c r="E19050" t="s">
        <v>580</v>
      </c>
      <c r="F19050" s="1">
        <v>2</v>
      </c>
      <c r="G19050" s="1" t="s">
        <v>28</v>
      </c>
      <c r="H19050" s="4" t="str">
        <f>HYPERLINK("https://portal.gdc.cancer.gov/cases/bd2a14e7-bb30-48d0-a585-7fbab767d4cf","TCGA-BR-8487-01A")</f>
        <v>TCGA-BR-8487-01A</v>
      </c>
      <c r="I19050" t="s">
        <v>574</v>
      </c>
      <c r="J19050" t="s">
        <v>575</v>
      </c>
      <c r="K19050" t="s">
        <v>33</v>
      </c>
      <c r="L19050" t="s">
        <v>246</v>
      </c>
      <c r="N19050" t="s">
        <v>29</v>
      </c>
    </row>
    <row r="19051" spans="1:14">
      <c r="A19051" s="4" t="str">
        <f t="shared" si="1333"/>
        <v>EXP00441</v>
      </c>
      <c r="B19051" s="3" t="s">
        <v>66</v>
      </c>
      <c r="C19051" s="4" t="str">
        <f t="shared" si="1334"/>
        <v>TCGA-STAD</v>
      </c>
      <c r="D19051" s="1" t="s">
        <v>493</v>
      </c>
      <c r="E19051" t="s">
        <v>580</v>
      </c>
      <c r="F19051" s="1">
        <v>2</v>
      </c>
      <c r="G19051" s="1" t="s">
        <v>28</v>
      </c>
      <c r="H19051" s="4" t="str">
        <f>HYPERLINK("https://portal.gdc.cancer.gov/cases/ad73529b-92d7-412f-b001-920a61cec313","TCGA-BR-8588-01A")</f>
        <v>TCGA-BR-8588-01A</v>
      </c>
      <c r="I19051" t="s">
        <v>574</v>
      </c>
      <c r="J19051" t="s">
        <v>575</v>
      </c>
      <c r="K19051" t="s">
        <v>33</v>
      </c>
      <c r="L19051" t="s">
        <v>246</v>
      </c>
      <c r="N19051" t="s">
        <v>29</v>
      </c>
    </row>
    <row r="19052" spans="1:14">
      <c r="A19052" s="4" t="str">
        <f t="shared" si="1333"/>
        <v>EXP00441</v>
      </c>
      <c r="B19052" s="3" t="s">
        <v>66</v>
      </c>
      <c r="C19052" s="4" t="str">
        <f t="shared" si="1334"/>
        <v>TCGA-STAD</v>
      </c>
      <c r="D19052" s="1" t="s">
        <v>493</v>
      </c>
      <c r="E19052" t="s">
        <v>580</v>
      </c>
      <c r="F19052" s="1">
        <v>2</v>
      </c>
      <c r="G19052" s="1" t="s">
        <v>28</v>
      </c>
      <c r="H19052" s="4" t="str">
        <f>HYPERLINK("https://portal.gdc.cancer.gov/cases/a1867d3e-a006-4e04-8118-478792bdca4b","TCGA-BR-8589-01A")</f>
        <v>TCGA-BR-8589-01A</v>
      </c>
      <c r="I19052" t="s">
        <v>574</v>
      </c>
      <c r="J19052" t="s">
        <v>575</v>
      </c>
      <c r="K19052" t="s">
        <v>33</v>
      </c>
      <c r="L19052" t="s">
        <v>246</v>
      </c>
      <c r="N19052" t="s">
        <v>29</v>
      </c>
    </row>
    <row r="19053" spans="1:14">
      <c r="A19053" s="4" t="str">
        <f t="shared" si="1333"/>
        <v>EXP00441</v>
      </c>
      <c r="B19053" s="3" t="s">
        <v>66</v>
      </c>
      <c r="C19053" s="4" t="str">
        <f t="shared" si="1334"/>
        <v>TCGA-STAD</v>
      </c>
      <c r="D19053" s="1" t="s">
        <v>493</v>
      </c>
      <c r="E19053" t="s">
        <v>580</v>
      </c>
      <c r="F19053" s="1">
        <v>2</v>
      </c>
      <c r="G19053" s="1" t="s">
        <v>28</v>
      </c>
      <c r="H19053" s="4" t="str">
        <f>HYPERLINK("https://portal.gdc.cancer.gov/cases/d59824bd-816e-4ffc-8aae-1c3eff1f800e","TCGA-BR-8590-01A")</f>
        <v>TCGA-BR-8590-01A</v>
      </c>
      <c r="I19053" t="s">
        <v>574</v>
      </c>
      <c r="J19053" t="s">
        <v>575</v>
      </c>
      <c r="K19053" t="s">
        <v>33</v>
      </c>
      <c r="L19053" t="s">
        <v>246</v>
      </c>
      <c r="N19053" t="s">
        <v>29</v>
      </c>
    </row>
    <row r="19054" spans="1:14">
      <c r="A19054" s="4" t="str">
        <f t="shared" si="1333"/>
        <v>EXP00441</v>
      </c>
      <c r="B19054" s="3" t="s">
        <v>66</v>
      </c>
      <c r="C19054" s="4" t="str">
        <f t="shared" si="1334"/>
        <v>TCGA-STAD</v>
      </c>
      <c r="D19054" s="1" t="s">
        <v>493</v>
      </c>
      <c r="E19054" t="s">
        <v>580</v>
      </c>
      <c r="F19054" s="1">
        <v>2</v>
      </c>
      <c r="G19054" s="1" t="s">
        <v>28</v>
      </c>
      <c r="H19054" s="4" t="str">
        <f>HYPERLINK("https://portal.gdc.cancer.gov/cases/0f3e2f16-1c06-4128-af45-ee73de19ea69","TCGA-BR-8591-01A")</f>
        <v>TCGA-BR-8591-01A</v>
      </c>
      <c r="I19054" t="s">
        <v>574</v>
      </c>
      <c r="J19054" t="s">
        <v>575</v>
      </c>
      <c r="K19054" t="s">
        <v>33</v>
      </c>
      <c r="L19054" t="s">
        <v>246</v>
      </c>
      <c r="N19054" t="s">
        <v>29</v>
      </c>
    </row>
    <row r="19055" spans="1:14">
      <c r="A19055" s="4" t="str">
        <f t="shared" si="1333"/>
        <v>EXP00441</v>
      </c>
      <c r="B19055" s="3" t="s">
        <v>66</v>
      </c>
      <c r="C19055" s="4" t="str">
        <f t="shared" si="1334"/>
        <v>TCGA-STAD</v>
      </c>
      <c r="D19055" s="1" t="s">
        <v>493</v>
      </c>
      <c r="E19055" t="s">
        <v>580</v>
      </c>
      <c r="F19055" s="1">
        <v>2</v>
      </c>
      <c r="G19055" s="1" t="s">
        <v>28</v>
      </c>
      <c r="H19055" s="4" t="str">
        <f>HYPERLINK("https://portal.gdc.cancer.gov/cases/a4cd4ff1-0c0e-488d-91d9-0ac8ef3e7bfd","TCGA-BR-8592-01A")</f>
        <v>TCGA-BR-8592-01A</v>
      </c>
      <c r="I19055" t="s">
        <v>574</v>
      </c>
      <c r="J19055" t="s">
        <v>575</v>
      </c>
      <c r="K19055" t="s">
        <v>33</v>
      </c>
      <c r="L19055" t="s">
        <v>246</v>
      </c>
      <c r="N19055" t="s">
        <v>29</v>
      </c>
    </row>
    <row r="19056" spans="1:14">
      <c r="A19056" s="4" t="str">
        <f t="shared" ref="A19056:A19119" si="1335">HYPERLINK("http://hcmdb.i-sanger.com/experiment/details/experiment_id/EXP00441","EXP00441")</f>
        <v>EXP00441</v>
      </c>
      <c r="B19056" s="3" t="s">
        <v>66</v>
      </c>
      <c r="C19056" s="4" t="str">
        <f t="shared" si="1334"/>
        <v>TCGA-STAD</v>
      </c>
      <c r="D19056" s="1" t="s">
        <v>493</v>
      </c>
      <c r="E19056" t="s">
        <v>580</v>
      </c>
      <c r="F19056" s="1">
        <v>2</v>
      </c>
      <c r="G19056" s="1" t="s">
        <v>28</v>
      </c>
      <c r="H19056" s="4" t="str">
        <f>HYPERLINK("https://portal.gdc.cancer.gov/cases/b604b620-cd32-4c87-ace3-00a68ab16973","TCGA-BR-8676-01A")</f>
        <v>TCGA-BR-8676-01A</v>
      </c>
      <c r="I19056" t="s">
        <v>574</v>
      </c>
      <c r="J19056" t="s">
        <v>575</v>
      </c>
      <c r="K19056" t="s">
        <v>33</v>
      </c>
      <c r="L19056" t="s">
        <v>246</v>
      </c>
      <c r="N19056" t="s">
        <v>29</v>
      </c>
    </row>
    <row r="19057" spans="1:14">
      <c r="A19057" s="4" t="str">
        <f t="shared" si="1335"/>
        <v>EXP00441</v>
      </c>
      <c r="B19057" s="3" t="s">
        <v>66</v>
      </c>
      <c r="C19057" s="4" t="str">
        <f t="shared" si="1334"/>
        <v>TCGA-STAD</v>
      </c>
      <c r="D19057" s="1" t="s">
        <v>493</v>
      </c>
      <c r="E19057" t="s">
        <v>580</v>
      </c>
      <c r="F19057" s="1">
        <v>2</v>
      </c>
      <c r="G19057" s="1" t="s">
        <v>28</v>
      </c>
      <c r="H19057" s="4" t="str">
        <f>HYPERLINK("https://portal.gdc.cancer.gov/cases/e7a3574b-1fcf-4366-adf8-f4330d9be6f8","TCGA-BR-8677-01A")</f>
        <v>TCGA-BR-8677-01A</v>
      </c>
      <c r="I19057" t="s">
        <v>574</v>
      </c>
      <c r="J19057" t="s">
        <v>575</v>
      </c>
      <c r="K19057" t="s">
        <v>33</v>
      </c>
      <c r="L19057" t="s">
        <v>246</v>
      </c>
      <c r="N19057" t="s">
        <v>29</v>
      </c>
    </row>
    <row r="19058" spans="1:14">
      <c r="A19058" s="4" t="str">
        <f t="shared" si="1335"/>
        <v>EXP00441</v>
      </c>
      <c r="B19058" s="3" t="s">
        <v>66</v>
      </c>
      <c r="C19058" s="4" t="str">
        <f t="shared" si="1334"/>
        <v>TCGA-STAD</v>
      </c>
      <c r="D19058" s="1" t="s">
        <v>493</v>
      </c>
      <c r="E19058" t="s">
        <v>580</v>
      </c>
      <c r="F19058" s="1">
        <v>2</v>
      </c>
      <c r="G19058" s="1" t="s">
        <v>28</v>
      </c>
      <c r="H19058" s="4" t="str">
        <f>HYPERLINK("https://portal.gdc.cancer.gov/cases/1770adbd-b424-4a88-95f0-768e5f168cee","TCGA-BR-8678-01A")</f>
        <v>TCGA-BR-8678-01A</v>
      </c>
      <c r="I19058" t="s">
        <v>574</v>
      </c>
      <c r="J19058" t="s">
        <v>575</v>
      </c>
      <c r="K19058" t="s">
        <v>33</v>
      </c>
      <c r="L19058" t="s">
        <v>246</v>
      </c>
      <c r="N19058" t="s">
        <v>29</v>
      </c>
    </row>
    <row r="19059" spans="1:14">
      <c r="A19059" s="4" t="str">
        <f t="shared" si="1335"/>
        <v>EXP00441</v>
      </c>
      <c r="B19059" s="3" t="s">
        <v>66</v>
      </c>
      <c r="C19059" s="4" t="str">
        <f t="shared" si="1334"/>
        <v>TCGA-STAD</v>
      </c>
      <c r="D19059" s="1" t="s">
        <v>493</v>
      </c>
      <c r="E19059" t="s">
        <v>580</v>
      </c>
      <c r="F19059" s="1">
        <v>2</v>
      </c>
      <c r="G19059" s="1" t="s">
        <v>28</v>
      </c>
      <c r="H19059" s="4" t="str">
        <f>HYPERLINK("https://portal.gdc.cancer.gov/cases/03e3082e-9f8b-4689-9013-0a9954146dfa","TCGA-BR-8679-01A")</f>
        <v>TCGA-BR-8679-01A</v>
      </c>
      <c r="I19059" t="s">
        <v>574</v>
      </c>
      <c r="J19059" t="s">
        <v>575</v>
      </c>
      <c r="K19059" t="s">
        <v>33</v>
      </c>
      <c r="L19059" t="s">
        <v>246</v>
      </c>
      <c r="N19059" t="s">
        <v>29</v>
      </c>
    </row>
    <row r="19060" spans="1:14">
      <c r="A19060" s="4" t="str">
        <f t="shared" si="1335"/>
        <v>EXP00441</v>
      </c>
      <c r="B19060" s="3" t="s">
        <v>66</v>
      </c>
      <c r="C19060" s="4" t="str">
        <f t="shared" si="1334"/>
        <v>TCGA-STAD</v>
      </c>
      <c r="D19060" s="1" t="s">
        <v>493</v>
      </c>
      <c r="E19060" t="s">
        <v>580</v>
      </c>
      <c r="F19060" s="1">
        <v>2</v>
      </c>
      <c r="G19060" s="1" t="s">
        <v>28</v>
      </c>
      <c r="H19060" s="4" t="str">
        <f>HYPERLINK("https://portal.gdc.cancer.gov/cases/ab76544e-df6a-4b05-9317-054812474d4c","TCGA-BR-8680-01A")</f>
        <v>TCGA-BR-8680-01A</v>
      </c>
      <c r="I19060" t="s">
        <v>574</v>
      </c>
      <c r="J19060" t="s">
        <v>575</v>
      </c>
      <c r="K19060" t="s">
        <v>33</v>
      </c>
      <c r="L19060" t="s">
        <v>246</v>
      </c>
      <c r="N19060" t="s">
        <v>29</v>
      </c>
    </row>
    <row r="19061" spans="1:14">
      <c r="A19061" s="4" t="str">
        <f t="shared" si="1335"/>
        <v>EXP00441</v>
      </c>
      <c r="B19061" s="3" t="s">
        <v>66</v>
      </c>
      <c r="C19061" s="4" t="str">
        <f t="shared" si="1334"/>
        <v>TCGA-STAD</v>
      </c>
      <c r="D19061" s="1" t="s">
        <v>493</v>
      </c>
      <c r="E19061" t="s">
        <v>580</v>
      </c>
      <c r="F19061" s="1">
        <v>2</v>
      </c>
      <c r="G19061" s="1" t="s">
        <v>28</v>
      </c>
      <c r="H19061" s="4" t="str">
        <f>HYPERLINK("https://portal.gdc.cancer.gov/cases/d5efcde2-21e6-4071-9aa4-3c5688a45b3f","TCGA-BR-8682-01A")</f>
        <v>TCGA-BR-8682-01A</v>
      </c>
      <c r="I19061" t="s">
        <v>574</v>
      </c>
      <c r="J19061" t="s">
        <v>575</v>
      </c>
      <c r="K19061" t="s">
        <v>33</v>
      </c>
      <c r="L19061" t="s">
        <v>246</v>
      </c>
      <c r="N19061" t="s">
        <v>29</v>
      </c>
    </row>
    <row r="19062" spans="1:14">
      <c r="A19062" s="4" t="str">
        <f t="shared" si="1335"/>
        <v>EXP00441</v>
      </c>
      <c r="B19062" s="3" t="s">
        <v>66</v>
      </c>
      <c r="C19062" s="4" t="str">
        <f t="shared" si="1334"/>
        <v>TCGA-STAD</v>
      </c>
      <c r="D19062" s="1" t="s">
        <v>493</v>
      </c>
      <c r="E19062" t="s">
        <v>580</v>
      </c>
      <c r="F19062" s="1">
        <v>2</v>
      </c>
      <c r="G19062" s="1" t="s">
        <v>28</v>
      </c>
      <c r="H19062" s="4" t="str">
        <f>HYPERLINK("https://portal.gdc.cancer.gov/cases/84d32a4c-023b-4563-9eb5-e2f47818142a","TCGA-BR-8683-01A")</f>
        <v>TCGA-BR-8683-01A</v>
      </c>
      <c r="I19062" t="s">
        <v>574</v>
      </c>
      <c r="J19062" t="s">
        <v>575</v>
      </c>
      <c r="K19062" t="s">
        <v>33</v>
      </c>
      <c r="L19062" t="s">
        <v>246</v>
      </c>
      <c r="N19062" t="s">
        <v>29</v>
      </c>
    </row>
    <row r="19063" spans="1:14">
      <c r="A19063" s="4" t="str">
        <f t="shared" si="1335"/>
        <v>EXP00441</v>
      </c>
      <c r="B19063" s="3" t="s">
        <v>66</v>
      </c>
      <c r="C19063" s="4" t="str">
        <f t="shared" si="1334"/>
        <v>TCGA-STAD</v>
      </c>
      <c r="D19063" s="1" t="s">
        <v>493</v>
      </c>
      <c r="E19063" t="s">
        <v>580</v>
      </c>
      <c r="F19063" s="1">
        <v>2</v>
      </c>
      <c r="G19063" s="1" t="s">
        <v>28</v>
      </c>
      <c r="H19063" s="4" t="str">
        <f>HYPERLINK("https://portal.gdc.cancer.gov/cases/7c7cef85-024c-48c0-8644-92c034432e8f","TCGA-BR-8686-01A")</f>
        <v>TCGA-BR-8686-01A</v>
      </c>
      <c r="I19063" t="s">
        <v>574</v>
      </c>
      <c r="J19063" t="s">
        <v>575</v>
      </c>
      <c r="K19063" t="s">
        <v>33</v>
      </c>
      <c r="L19063" t="s">
        <v>246</v>
      </c>
      <c r="N19063" t="s">
        <v>29</v>
      </c>
    </row>
    <row r="19064" spans="1:14">
      <c r="A19064" s="4" t="str">
        <f t="shared" si="1335"/>
        <v>EXP00441</v>
      </c>
      <c r="B19064" s="3" t="s">
        <v>66</v>
      </c>
      <c r="C19064" s="4" t="str">
        <f t="shared" si="1334"/>
        <v>TCGA-STAD</v>
      </c>
      <c r="D19064" s="1" t="s">
        <v>493</v>
      </c>
      <c r="E19064" t="s">
        <v>580</v>
      </c>
      <c r="F19064" s="1">
        <v>2</v>
      </c>
      <c r="G19064" s="1" t="s">
        <v>28</v>
      </c>
      <c r="H19064" s="4" t="str">
        <f>HYPERLINK("https://portal.gdc.cancer.gov/cases/621411ee-c1f2-4da4-b1c0-cbe0936060f6","TCGA-BR-8687-01A")</f>
        <v>TCGA-BR-8687-01A</v>
      </c>
      <c r="I19064" t="s">
        <v>574</v>
      </c>
      <c r="J19064" t="s">
        <v>575</v>
      </c>
      <c r="K19064" t="s">
        <v>33</v>
      </c>
      <c r="L19064" t="s">
        <v>246</v>
      </c>
      <c r="N19064" t="s">
        <v>29</v>
      </c>
    </row>
    <row r="19065" spans="1:14">
      <c r="A19065" s="4" t="str">
        <f t="shared" si="1335"/>
        <v>EXP00441</v>
      </c>
      <c r="B19065" s="3" t="s">
        <v>66</v>
      </c>
      <c r="C19065" s="4" t="str">
        <f t="shared" si="1334"/>
        <v>TCGA-STAD</v>
      </c>
      <c r="D19065" s="1" t="s">
        <v>493</v>
      </c>
      <c r="E19065" t="s">
        <v>580</v>
      </c>
      <c r="F19065" s="1">
        <v>2</v>
      </c>
      <c r="G19065" s="1" t="s">
        <v>28</v>
      </c>
      <c r="H19065" s="4" t="str">
        <f>HYPERLINK("https://portal.gdc.cancer.gov/cases/337819d2-5281-4b41-9583-a476924bc837","TCGA-BR-8690-01A")</f>
        <v>TCGA-BR-8690-01A</v>
      </c>
      <c r="I19065" t="s">
        <v>574</v>
      </c>
      <c r="J19065" t="s">
        <v>575</v>
      </c>
      <c r="K19065" t="s">
        <v>33</v>
      </c>
      <c r="L19065" t="s">
        <v>246</v>
      </c>
      <c r="N19065" t="s">
        <v>29</v>
      </c>
    </row>
    <row r="19066" spans="1:14">
      <c r="A19066" s="4" t="str">
        <f t="shared" si="1335"/>
        <v>EXP00441</v>
      </c>
      <c r="B19066" s="3" t="s">
        <v>66</v>
      </c>
      <c r="C19066" s="4" t="str">
        <f t="shared" si="1334"/>
        <v>TCGA-STAD</v>
      </c>
      <c r="D19066" s="1" t="s">
        <v>493</v>
      </c>
      <c r="E19066" t="s">
        <v>580</v>
      </c>
      <c r="F19066" s="1">
        <v>2</v>
      </c>
      <c r="G19066" s="1" t="s">
        <v>28</v>
      </c>
      <c r="H19066" s="4" t="str">
        <f>HYPERLINK("https://portal.gdc.cancer.gov/cases/98bf4652-0088-4ecc-9dfa-376438cb063c","TCGA-BR-A44T-01A")</f>
        <v>TCGA-BR-A44T-01A</v>
      </c>
      <c r="I19066" t="s">
        <v>574</v>
      </c>
      <c r="J19066" t="s">
        <v>575</v>
      </c>
      <c r="K19066" t="s">
        <v>33</v>
      </c>
      <c r="L19066" t="s">
        <v>246</v>
      </c>
      <c r="N19066" t="s">
        <v>29</v>
      </c>
    </row>
    <row r="19067" spans="1:14">
      <c r="A19067" s="4" t="str">
        <f t="shared" si="1335"/>
        <v>EXP00441</v>
      </c>
      <c r="B19067" s="3" t="s">
        <v>66</v>
      </c>
      <c r="C19067" s="4" t="str">
        <f t="shared" si="1334"/>
        <v>TCGA-STAD</v>
      </c>
      <c r="D19067" s="1" t="s">
        <v>493</v>
      </c>
      <c r="E19067" t="s">
        <v>580</v>
      </c>
      <c r="F19067" s="1">
        <v>2</v>
      </c>
      <c r="G19067" s="1" t="s">
        <v>28</v>
      </c>
      <c r="H19067" s="4" t="str">
        <f>HYPERLINK("https://portal.gdc.cancer.gov/cases/7840d10b-4927-4731-8dda-5f288da21bef","TCGA-BR-A44U-01A")</f>
        <v>TCGA-BR-A44U-01A</v>
      </c>
      <c r="I19067" t="s">
        <v>574</v>
      </c>
      <c r="J19067" t="s">
        <v>575</v>
      </c>
      <c r="K19067" t="s">
        <v>33</v>
      </c>
      <c r="L19067" t="s">
        <v>246</v>
      </c>
      <c r="N19067" t="s">
        <v>29</v>
      </c>
    </row>
    <row r="19068" spans="1:14">
      <c r="A19068" s="4" t="str">
        <f t="shared" si="1335"/>
        <v>EXP00441</v>
      </c>
      <c r="B19068" s="3" t="s">
        <v>66</v>
      </c>
      <c r="C19068" s="4" t="str">
        <f t="shared" si="1334"/>
        <v>TCGA-STAD</v>
      </c>
      <c r="D19068" s="1" t="s">
        <v>493</v>
      </c>
      <c r="E19068" t="s">
        <v>580</v>
      </c>
      <c r="F19068" s="1">
        <v>2</v>
      </c>
      <c r="G19068" s="1" t="s">
        <v>28</v>
      </c>
      <c r="H19068" s="4" t="str">
        <f>HYPERLINK("https://portal.gdc.cancer.gov/cases/794fbad5-93ce-4f9a-aee4-37a89a6719ec","TCGA-BR-A4CR-01A")</f>
        <v>TCGA-BR-A4CR-01A</v>
      </c>
      <c r="I19068" t="s">
        <v>574</v>
      </c>
      <c r="J19068" t="s">
        <v>575</v>
      </c>
      <c r="K19068" t="s">
        <v>33</v>
      </c>
      <c r="L19068" t="s">
        <v>246</v>
      </c>
      <c r="N19068" t="s">
        <v>29</v>
      </c>
    </row>
    <row r="19069" spans="1:14">
      <c r="A19069" s="4" t="str">
        <f t="shared" si="1335"/>
        <v>EXP00441</v>
      </c>
      <c r="B19069" s="3" t="s">
        <v>66</v>
      </c>
      <c r="C19069" s="4" t="str">
        <f t="shared" si="1334"/>
        <v>TCGA-STAD</v>
      </c>
      <c r="D19069" s="1" t="s">
        <v>493</v>
      </c>
      <c r="E19069" t="s">
        <v>580</v>
      </c>
      <c r="F19069" s="1">
        <v>2</v>
      </c>
      <c r="G19069" s="1" t="s">
        <v>28</v>
      </c>
      <c r="H19069" s="4" t="str">
        <f>HYPERLINK("https://portal.gdc.cancer.gov/cases/2a790f24-3563-4a7e-b445-56b71c70e685","TCGA-BR-A4CS-01A")</f>
        <v>TCGA-BR-A4CS-01A</v>
      </c>
      <c r="I19069" t="s">
        <v>574</v>
      </c>
      <c r="J19069" t="s">
        <v>575</v>
      </c>
      <c r="K19069" t="s">
        <v>33</v>
      </c>
      <c r="L19069" t="s">
        <v>246</v>
      </c>
      <c r="N19069" t="s">
        <v>29</v>
      </c>
    </row>
    <row r="19070" spans="1:14">
      <c r="A19070" s="4" t="str">
        <f t="shared" si="1335"/>
        <v>EXP00441</v>
      </c>
      <c r="B19070" s="3" t="s">
        <v>66</v>
      </c>
      <c r="C19070" s="4" t="str">
        <f t="shared" si="1334"/>
        <v>TCGA-STAD</v>
      </c>
      <c r="D19070" s="1" t="s">
        <v>493</v>
      </c>
      <c r="E19070" t="s">
        <v>580</v>
      </c>
      <c r="F19070" s="1">
        <v>2</v>
      </c>
      <c r="G19070" s="1" t="s">
        <v>28</v>
      </c>
      <c r="H19070" s="4" t="str">
        <f>HYPERLINK("https://portal.gdc.cancer.gov/cases/30425882-20d7-47ed-9630-60977ba62c72","TCGA-BR-A4IV-01A")</f>
        <v>TCGA-BR-A4IV-01A</v>
      </c>
      <c r="I19070" t="s">
        <v>574</v>
      </c>
      <c r="J19070" t="s">
        <v>575</v>
      </c>
      <c r="K19070" t="s">
        <v>33</v>
      </c>
      <c r="L19070" t="s">
        <v>246</v>
      </c>
      <c r="N19070" t="s">
        <v>29</v>
      </c>
    </row>
    <row r="19071" spans="1:14">
      <c r="A19071" s="4" t="str">
        <f t="shared" si="1335"/>
        <v>EXP00441</v>
      </c>
      <c r="B19071" s="3" t="s">
        <v>66</v>
      </c>
      <c r="C19071" s="4" t="str">
        <f t="shared" si="1334"/>
        <v>TCGA-STAD</v>
      </c>
      <c r="D19071" s="1" t="s">
        <v>493</v>
      </c>
      <c r="E19071" t="s">
        <v>580</v>
      </c>
      <c r="F19071" s="1">
        <v>2</v>
      </c>
      <c r="G19071" s="1" t="s">
        <v>28</v>
      </c>
      <c r="H19071" s="4" t="str">
        <f>HYPERLINK("https://portal.gdc.cancer.gov/cases/8a24f1a3-4bab-4591-9676-7bee01d096c1","TCGA-BR-A4J4-01A")</f>
        <v>TCGA-BR-A4J4-01A</v>
      </c>
      <c r="I19071" t="s">
        <v>574</v>
      </c>
      <c r="J19071" t="s">
        <v>575</v>
      </c>
      <c r="K19071" t="s">
        <v>33</v>
      </c>
      <c r="L19071" t="s">
        <v>246</v>
      </c>
      <c r="N19071" t="s">
        <v>29</v>
      </c>
    </row>
    <row r="19072" spans="1:14">
      <c r="A19072" s="4" t="str">
        <f t="shared" si="1335"/>
        <v>EXP00441</v>
      </c>
      <c r="B19072" s="3" t="s">
        <v>66</v>
      </c>
      <c r="C19072" s="4" t="str">
        <f t="shared" si="1334"/>
        <v>TCGA-STAD</v>
      </c>
      <c r="D19072" s="1" t="s">
        <v>493</v>
      </c>
      <c r="E19072" t="s">
        <v>580</v>
      </c>
      <c r="F19072" s="1">
        <v>2</v>
      </c>
      <c r="G19072" s="1" t="s">
        <v>28</v>
      </c>
      <c r="H19072" s="4" t="str">
        <f>HYPERLINK("https://portal.gdc.cancer.gov/cases/5a12857b-4132-4089-a7b7-e706366102db","TCGA-BR-A4J5-01A")</f>
        <v>TCGA-BR-A4J5-01A</v>
      </c>
      <c r="I19072" t="s">
        <v>574</v>
      </c>
      <c r="J19072" t="s">
        <v>575</v>
      </c>
      <c r="K19072" t="s">
        <v>33</v>
      </c>
      <c r="L19072" t="s">
        <v>246</v>
      </c>
      <c r="N19072" t="s">
        <v>29</v>
      </c>
    </row>
    <row r="19073" spans="1:14">
      <c r="A19073" s="4" t="str">
        <f t="shared" si="1335"/>
        <v>EXP00441</v>
      </c>
      <c r="B19073" s="3" t="s">
        <v>66</v>
      </c>
      <c r="C19073" s="4" t="str">
        <f t="shared" si="1334"/>
        <v>TCGA-STAD</v>
      </c>
      <c r="D19073" s="1" t="s">
        <v>493</v>
      </c>
      <c r="E19073" t="s">
        <v>580</v>
      </c>
      <c r="F19073" s="1">
        <v>2</v>
      </c>
      <c r="G19073" s="1" t="s">
        <v>28</v>
      </c>
      <c r="H19073" s="4" t="str">
        <f>HYPERLINK("https://portal.gdc.cancer.gov/cases/0f344863-11cc-4fae-8386-8247dff59de4","TCGA-BR-A4J6-01A")</f>
        <v>TCGA-BR-A4J6-01A</v>
      </c>
      <c r="I19073" t="s">
        <v>574</v>
      </c>
      <c r="J19073" t="s">
        <v>575</v>
      </c>
      <c r="K19073" t="s">
        <v>33</v>
      </c>
      <c r="L19073" t="s">
        <v>246</v>
      </c>
      <c r="N19073" t="s">
        <v>29</v>
      </c>
    </row>
    <row r="19074" spans="1:14">
      <c r="A19074" s="4" t="str">
        <f t="shared" si="1335"/>
        <v>EXP00441</v>
      </c>
      <c r="B19074" s="3" t="s">
        <v>66</v>
      </c>
      <c r="C19074" s="4" t="str">
        <f t="shared" si="1334"/>
        <v>TCGA-STAD</v>
      </c>
      <c r="D19074" s="1" t="s">
        <v>493</v>
      </c>
      <c r="E19074" t="s">
        <v>580</v>
      </c>
      <c r="F19074" s="1">
        <v>2</v>
      </c>
      <c r="G19074" s="1" t="s">
        <v>28</v>
      </c>
      <c r="H19074" s="4" t="str">
        <f>HYPERLINK("https://portal.gdc.cancer.gov/cases/394f390a-563c-447c-8cae-cd7d0d7e689f","TCGA-BR-A4J7-01A")</f>
        <v>TCGA-BR-A4J7-01A</v>
      </c>
      <c r="I19074" t="s">
        <v>574</v>
      </c>
      <c r="J19074" t="s">
        <v>575</v>
      </c>
      <c r="K19074" t="s">
        <v>33</v>
      </c>
      <c r="L19074" t="s">
        <v>246</v>
      </c>
      <c r="N19074" t="s">
        <v>29</v>
      </c>
    </row>
    <row r="19075" spans="1:14">
      <c r="A19075" s="4" t="str">
        <f t="shared" si="1335"/>
        <v>EXP00441</v>
      </c>
      <c r="B19075" s="3" t="s">
        <v>66</v>
      </c>
      <c r="C19075" s="4" t="str">
        <f t="shared" si="1334"/>
        <v>TCGA-STAD</v>
      </c>
      <c r="D19075" s="1" t="s">
        <v>493</v>
      </c>
      <c r="E19075" t="s">
        <v>580</v>
      </c>
      <c r="F19075" s="1">
        <v>2</v>
      </c>
      <c r="G19075" s="1" t="s">
        <v>28</v>
      </c>
      <c r="H19075" s="4" t="str">
        <f>HYPERLINK("https://portal.gdc.cancer.gov/cases/1eb2038d-3b4f-4da2-964b-e629ea068215","TCGA-BR-A4J8-01A")</f>
        <v>TCGA-BR-A4J8-01A</v>
      </c>
      <c r="I19075" t="s">
        <v>574</v>
      </c>
      <c r="J19075" t="s">
        <v>575</v>
      </c>
      <c r="K19075" t="s">
        <v>33</v>
      </c>
      <c r="L19075" t="s">
        <v>246</v>
      </c>
      <c r="N19075" t="s">
        <v>29</v>
      </c>
    </row>
    <row r="19076" spans="1:14">
      <c r="A19076" s="4" t="str">
        <f t="shared" si="1335"/>
        <v>EXP00441</v>
      </c>
      <c r="B19076" s="3" t="s">
        <v>66</v>
      </c>
      <c r="C19076" s="4" t="str">
        <f t="shared" si="1334"/>
        <v>TCGA-STAD</v>
      </c>
      <c r="D19076" s="1" t="s">
        <v>493</v>
      </c>
      <c r="E19076" t="s">
        <v>580</v>
      </c>
      <c r="F19076" s="1">
        <v>2</v>
      </c>
      <c r="G19076" s="1" t="s">
        <v>28</v>
      </c>
      <c r="H19076" s="4" t="str">
        <f>HYPERLINK("https://portal.gdc.cancer.gov/cases/5034cc97-9eec-42fe-acf9-cdc5a10e6547","TCGA-BR-A4J9-01A")</f>
        <v>TCGA-BR-A4J9-01A</v>
      </c>
      <c r="I19076" t="s">
        <v>574</v>
      </c>
      <c r="J19076" t="s">
        <v>575</v>
      </c>
      <c r="K19076" t="s">
        <v>33</v>
      </c>
      <c r="L19076" t="s">
        <v>246</v>
      </c>
      <c r="N19076" t="s">
        <v>29</v>
      </c>
    </row>
    <row r="19077" spans="1:14">
      <c r="A19077" s="4" t="str">
        <f t="shared" si="1335"/>
        <v>EXP00441</v>
      </c>
      <c r="B19077" s="3" t="s">
        <v>66</v>
      </c>
      <c r="C19077" s="4" t="str">
        <f t="shared" si="1334"/>
        <v>TCGA-STAD</v>
      </c>
      <c r="D19077" s="1" t="s">
        <v>493</v>
      </c>
      <c r="E19077" t="s">
        <v>580</v>
      </c>
      <c r="F19077" s="1">
        <v>2</v>
      </c>
      <c r="G19077" s="1" t="s">
        <v>28</v>
      </c>
      <c r="H19077" s="4" t="str">
        <f>HYPERLINK("https://portal.gdc.cancer.gov/cases/0f6b5086-4bc0-4ce3-84e7-ef8ea0356d1c","TCGA-BR-A4PF-01A")</f>
        <v>TCGA-BR-A4PF-01A</v>
      </c>
      <c r="I19077" t="s">
        <v>574</v>
      </c>
      <c r="J19077" t="s">
        <v>575</v>
      </c>
      <c r="K19077" t="s">
        <v>33</v>
      </c>
      <c r="L19077" t="s">
        <v>246</v>
      </c>
      <c r="N19077" t="s">
        <v>29</v>
      </c>
    </row>
    <row r="19078" spans="1:14">
      <c r="A19078" s="4" t="str">
        <f t="shared" si="1335"/>
        <v>EXP00441</v>
      </c>
      <c r="B19078" s="3" t="s">
        <v>66</v>
      </c>
      <c r="C19078" s="4" t="str">
        <f t="shared" si="1334"/>
        <v>TCGA-STAD</v>
      </c>
      <c r="D19078" s="1" t="s">
        <v>493</v>
      </c>
      <c r="E19078" t="s">
        <v>580</v>
      </c>
      <c r="F19078" s="1">
        <v>2</v>
      </c>
      <c r="G19078" s="1" t="s">
        <v>28</v>
      </c>
      <c r="H19078" s="4" t="str">
        <f>HYPERLINK("https://portal.gdc.cancer.gov/cases/aa2c5d29-2764-4804-9181-5870c0956904","TCGA-BR-A4QL-01A")</f>
        <v>TCGA-BR-A4QL-01A</v>
      </c>
      <c r="I19078" t="s">
        <v>574</v>
      </c>
      <c r="J19078" t="s">
        <v>575</v>
      </c>
      <c r="K19078" t="s">
        <v>33</v>
      </c>
      <c r="L19078" t="s">
        <v>246</v>
      </c>
      <c r="N19078" t="s">
        <v>29</v>
      </c>
    </row>
    <row r="19079" spans="1:14">
      <c r="A19079" s="4" t="str">
        <f t="shared" si="1335"/>
        <v>EXP00441</v>
      </c>
      <c r="B19079" s="3" t="s">
        <v>66</v>
      </c>
      <c r="C19079" s="4" t="str">
        <f t="shared" si="1334"/>
        <v>TCGA-STAD</v>
      </c>
      <c r="D19079" s="1" t="s">
        <v>493</v>
      </c>
      <c r="E19079" t="s">
        <v>580</v>
      </c>
      <c r="F19079" s="1">
        <v>2</v>
      </c>
      <c r="G19079" s="1" t="s">
        <v>28</v>
      </c>
      <c r="H19079" s="4" t="str">
        <f>HYPERLINK("https://portal.gdc.cancer.gov/cases/e42f45c6-fd00-44cf-a210-c8803da326a1","TCGA-CD-5798-01A")</f>
        <v>TCGA-CD-5798-01A</v>
      </c>
      <c r="I19079" t="s">
        <v>574</v>
      </c>
      <c r="J19079" t="s">
        <v>575</v>
      </c>
      <c r="K19079" t="s">
        <v>33</v>
      </c>
      <c r="L19079" t="s">
        <v>246</v>
      </c>
      <c r="N19079" t="s">
        <v>29</v>
      </c>
    </row>
    <row r="19080" spans="1:14">
      <c r="A19080" s="4" t="str">
        <f t="shared" si="1335"/>
        <v>EXP00441</v>
      </c>
      <c r="B19080" s="3" t="s">
        <v>66</v>
      </c>
      <c r="C19080" s="4" t="str">
        <f t="shared" si="1334"/>
        <v>TCGA-STAD</v>
      </c>
      <c r="D19080" s="1" t="s">
        <v>493</v>
      </c>
      <c r="E19080" t="s">
        <v>580</v>
      </c>
      <c r="F19080" s="1">
        <v>2</v>
      </c>
      <c r="G19080" s="1" t="s">
        <v>28</v>
      </c>
      <c r="H19080" s="4" t="str">
        <f>HYPERLINK("https://portal.gdc.cancer.gov/cases/c991697f-77f9-412a-9bd1-0e47f7387cb2","TCGA-CD-5799-01A")</f>
        <v>TCGA-CD-5799-01A</v>
      </c>
      <c r="I19080" t="s">
        <v>574</v>
      </c>
      <c r="J19080" t="s">
        <v>575</v>
      </c>
      <c r="K19080" t="s">
        <v>33</v>
      </c>
      <c r="L19080" t="s">
        <v>246</v>
      </c>
      <c r="N19080" t="s">
        <v>29</v>
      </c>
    </row>
    <row r="19081" spans="1:14">
      <c r="A19081" s="4" t="str">
        <f t="shared" si="1335"/>
        <v>EXP00441</v>
      </c>
      <c r="B19081" s="3" t="s">
        <v>66</v>
      </c>
      <c r="C19081" s="4" t="str">
        <f t="shared" si="1334"/>
        <v>TCGA-STAD</v>
      </c>
      <c r="D19081" s="1" t="s">
        <v>493</v>
      </c>
      <c r="E19081" t="s">
        <v>580</v>
      </c>
      <c r="F19081" s="1">
        <v>2</v>
      </c>
      <c r="G19081" s="1" t="s">
        <v>28</v>
      </c>
      <c r="H19081" s="4" t="str">
        <f>HYPERLINK("https://portal.gdc.cancer.gov/cases/eeb114ea-ecee-49ee-a162-b3b7bc0a60cd","TCGA-CD-5800-01A")</f>
        <v>TCGA-CD-5800-01A</v>
      </c>
      <c r="I19081" t="s">
        <v>574</v>
      </c>
      <c r="J19081" t="s">
        <v>575</v>
      </c>
      <c r="K19081" t="s">
        <v>33</v>
      </c>
      <c r="L19081" t="s">
        <v>246</v>
      </c>
      <c r="N19081" t="s">
        <v>29</v>
      </c>
    </row>
    <row r="19082" spans="1:14">
      <c r="A19082" s="4" t="str">
        <f t="shared" si="1335"/>
        <v>EXP00441</v>
      </c>
      <c r="B19082" s="3" t="s">
        <v>66</v>
      </c>
      <c r="C19082" s="4" t="str">
        <f t="shared" si="1334"/>
        <v>TCGA-STAD</v>
      </c>
      <c r="D19082" s="1" t="s">
        <v>493</v>
      </c>
      <c r="E19082" t="s">
        <v>580</v>
      </c>
      <c r="F19082" s="1">
        <v>2</v>
      </c>
      <c r="G19082" s="1" t="s">
        <v>28</v>
      </c>
      <c r="H19082" s="4" t="str">
        <f>HYPERLINK("https://portal.gdc.cancer.gov/cases/df822ea3-e0e6-4ad3-a228-e20e3a737dac","TCGA-CD-5801-01A")</f>
        <v>TCGA-CD-5801-01A</v>
      </c>
      <c r="I19082" t="s">
        <v>574</v>
      </c>
      <c r="J19082" t="s">
        <v>575</v>
      </c>
      <c r="K19082" t="s">
        <v>33</v>
      </c>
      <c r="L19082" t="s">
        <v>246</v>
      </c>
      <c r="N19082" t="s">
        <v>29</v>
      </c>
    </row>
    <row r="19083" spans="1:14">
      <c r="A19083" s="4" t="str">
        <f t="shared" si="1335"/>
        <v>EXP00441</v>
      </c>
      <c r="B19083" s="3" t="s">
        <v>66</v>
      </c>
      <c r="C19083" s="4" t="str">
        <f t="shared" si="1334"/>
        <v>TCGA-STAD</v>
      </c>
      <c r="D19083" s="1" t="s">
        <v>493</v>
      </c>
      <c r="E19083" t="s">
        <v>580</v>
      </c>
      <c r="F19083" s="1">
        <v>2</v>
      </c>
      <c r="G19083" s="1" t="s">
        <v>28</v>
      </c>
      <c r="H19083" s="4" t="str">
        <f>HYPERLINK("https://portal.gdc.cancer.gov/cases/33901c6f-9180-4a19-866c-f4ac6bec76da","TCGA-CD-5803-01A")</f>
        <v>TCGA-CD-5803-01A</v>
      </c>
      <c r="I19083" t="s">
        <v>574</v>
      </c>
      <c r="J19083" t="s">
        <v>575</v>
      </c>
      <c r="K19083" t="s">
        <v>33</v>
      </c>
      <c r="L19083" t="s">
        <v>246</v>
      </c>
      <c r="N19083" t="s">
        <v>29</v>
      </c>
    </row>
    <row r="19084" spans="1:14">
      <c r="A19084" s="4" t="str">
        <f t="shared" si="1335"/>
        <v>EXP00441</v>
      </c>
      <c r="B19084" s="3" t="s">
        <v>66</v>
      </c>
      <c r="C19084" s="4" t="str">
        <f t="shared" si="1334"/>
        <v>TCGA-STAD</v>
      </c>
      <c r="D19084" s="1" t="s">
        <v>493</v>
      </c>
      <c r="E19084" t="s">
        <v>580</v>
      </c>
      <c r="F19084" s="1">
        <v>2</v>
      </c>
      <c r="G19084" s="1" t="s">
        <v>28</v>
      </c>
      <c r="H19084" s="4" t="str">
        <f>HYPERLINK("https://portal.gdc.cancer.gov/cases/9fa752b7-9873-4bad-9eba-8cc113705fed","TCGA-CD-5804-01A")</f>
        <v>TCGA-CD-5804-01A</v>
      </c>
      <c r="I19084" t="s">
        <v>574</v>
      </c>
      <c r="J19084" t="s">
        <v>575</v>
      </c>
      <c r="K19084" t="s">
        <v>33</v>
      </c>
      <c r="L19084" t="s">
        <v>246</v>
      </c>
      <c r="N19084" t="s">
        <v>29</v>
      </c>
    </row>
    <row r="19085" spans="1:14">
      <c r="A19085" s="4" t="str">
        <f t="shared" si="1335"/>
        <v>EXP00441</v>
      </c>
      <c r="B19085" s="3" t="s">
        <v>66</v>
      </c>
      <c r="C19085" s="4" t="str">
        <f t="shared" si="1334"/>
        <v>TCGA-STAD</v>
      </c>
      <c r="D19085" s="1" t="s">
        <v>493</v>
      </c>
      <c r="E19085" t="s">
        <v>580</v>
      </c>
      <c r="F19085" s="1">
        <v>2</v>
      </c>
      <c r="G19085" s="1" t="s">
        <v>28</v>
      </c>
      <c r="H19085" s="4" t="str">
        <f>HYPERLINK("https://portal.gdc.cancer.gov/cases/152b9d8a-19fd-4665-b9e4-4fedfb1608cd","TCGA-CD-5813-01A")</f>
        <v>TCGA-CD-5813-01A</v>
      </c>
      <c r="I19085" t="s">
        <v>574</v>
      </c>
      <c r="J19085" t="s">
        <v>575</v>
      </c>
      <c r="K19085" t="s">
        <v>33</v>
      </c>
      <c r="L19085" t="s">
        <v>246</v>
      </c>
      <c r="N19085" t="s">
        <v>29</v>
      </c>
    </row>
    <row r="19086" spans="1:14">
      <c r="A19086" s="4" t="str">
        <f t="shared" si="1335"/>
        <v>EXP00441</v>
      </c>
      <c r="B19086" s="3" t="s">
        <v>66</v>
      </c>
      <c r="C19086" s="4" t="str">
        <f t="shared" si="1334"/>
        <v>TCGA-STAD</v>
      </c>
      <c r="D19086" s="1" t="s">
        <v>493</v>
      </c>
      <c r="E19086" t="s">
        <v>580</v>
      </c>
      <c r="F19086" s="1">
        <v>2</v>
      </c>
      <c r="G19086" s="1" t="s">
        <v>28</v>
      </c>
      <c r="H19086" s="4" t="str">
        <f>HYPERLINK("https://portal.gdc.cancer.gov/cases/315b8de8-9842-4738-b23b-1d61722f9583","TCGA-CD-8524-01A")</f>
        <v>TCGA-CD-8524-01A</v>
      </c>
      <c r="I19086" t="s">
        <v>574</v>
      </c>
      <c r="J19086" t="s">
        <v>575</v>
      </c>
      <c r="K19086" t="s">
        <v>33</v>
      </c>
      <c r="L19086" t="s">
        <v>246</v>
      </c>
      <c r="N19086" t="s">
        <v>29</v>
      </c>
    </row>
    <row r="19087" spans="1:14">
      <c r="A19087" s="4" t="str">
        <f t="shared" si="1335"/>
        <v>EXP00441</v>
      </c>
      <c r="B19087" s="3" t="s">
        <v>66</v>
      </c>
      <c r="C19087" s="4" t="str">
        <f t="shared" si="1334"/>
        <v>TCGA-STAD</v>
      </c>
      <c r="D19087" s="1" t="s">
        <v>493</v>
      </c>
      <c r="E19087" t="s">
        <v>580</v>
      </c>
      <c r="F19087" s="1">
        <v>2</v>
      </c>
      <c r="G19087" s="1" t="s">
        <v>28</v>
      </c>
      <c r="H19087" s="4" t="str">
        <f>HYPERLINK("https://portal.gdc.cancer.gov/cases/39acb803-f282-422e-ac56-a3a50693d203","TCGA-CD-8525-01A")</f>
        <v>TCGA-CD-8525-01A</v>
      </c>
      <c r="I19087" t="s">
        <v>574</v>
      </c>
      <c r="J19087" t="s">
        <v>575</v>
      </c>
      <c r="K19087" t="s">
        <v>33</v>
      </c>
      <c r="L19087" t="s">
        <v>246</v>
      </c>
      <c r="N19087" t="s">
        <v>29</v>
      </c>
    </row>
    <row r="19088" spans="1:14">
      <c r="A19088" s="4" t="str">
        <f t="shared" si="1335"/>
        <v>EXP00441</v>
      </c>
      <c r="B19088" s="3" t="s">
        <v>66</v>
      </c>
      <c r="C19088" s="4" t="str">
        <f t="shared" si="1334"/>
        <v>TCGA-STAD</v>
      </c>
      <c r="D19088" s="1" t="s">
        <v>493</v>
      </c>
      <c r="E19088" t="s">
        <v>580</v>
      </c>
      <c r="F19088" s="1">
        <v>2</v>
      </c>
      <c r="G19088" s="1" t="s">
        <v>28</v>
      </c>
      <c r="H19088" s="4" t="str">
        <f>HYPERLINK("https://portal.gdc.cancer.gov/cases/6a9b3d65-ae15-4e3c-84ed-468e2196372b","TCGA-CD-8526-01A")</f>
        <v>TCGA-CD-8526-01A</v>
      </c>
      <c r="I19088" t="s">
        <v>574</v>
      </c>
      <c r="J19088" t="s">
        <v>575</v>
      </c>
      <c r="K19088" t="s">
        <v>33</v>
      </c>
      <c r="L19088" t="s">
        <v>246</v>
      </c>
      <c r="N19088" t="s">
        <v>29</v>
      </c>
    </row>
    <row r="19089" spans="1:14">
      <c r="A19089" s="4" t="str">
        <f t="shared" si="1335"/>
        <v>EXP00441</v>
      </c>
      <c r="B19089" s="3" t="s">
        <v>66</v>
      </c>
      <c r="C19089" s="4" t="str">
        <f t="shared" si="1334"/>
        <v>TCGA-STAD</v>
      </c>
      <c r="D19089" s="1" t="s">
        <v>493</v>
      </c>
      <c r="E19089" t="s">
        <v>580</v>
      </c>
      <c r="F19089" s="1">
        <v>2</v>
      </c>
      <c r="G19089" s="1" t="s">
        <v>28</v>
      </c>
      <c r="H19089" s="4" t="str">
        <f>HYPERLINK("https://portal.gdc.cancer.gov/cases/1b98b2da-c5bf-422f-bb73-1190841fbec4","TCGA-CD-8527-01A")</f>
        <v>TCGA-CD-8527-01A</v>
      </c>
      <c r="I19089" t="s">
        <v>574</v>
      </c>
      <c r="J19089" t="s">
        <v>575</v>
      </c>
      <c r="K19089" t="s">
        <v>33</v>
      </c>
      <c r="L19089" t="s">
        <v>246</v>
      </c>
      <c r="N19089" t="s">
        <v>29</v>
      </c>
    </row>
    <row r="19090" spans="1:14">
      <c r="A19090" s="4" t="str">
        <f t="shared" si="1335"/>
        <v>EXP00441</v>
      </c>
      <c r="B19090" s="3" t="s">
        <v>66</v>
      </c>
      <c r="C19090" s="4" t="str">
        <f t="shared" si="1334"/>
        <v>TCGA-STAD</v>
      </c>
      <c r="D19090" s="1" t="s">
        <v>493</v>
      </c>
      <c r="E19090" t="s">
        <v>580</v>
      </c>
      <c r="F19090" s="1">
        <v>2</v>
      </c>
      <c r="G19090" s="1" t="s">
        <v>28</v>
      </c>
      <c r="H19090" s="4" t="str">
        <f>HYPERLINK("https://portal.gdc.cancer.gov/cases/1a1f2197-e303-46e4-8871-53f2eb2e599a","TCGA-CD-8528-01A")</f>
        <v>TCGA-CD-8528-01A</v>
      </c>
      <c r="I19090" t="s">
        <v>574</v>
      </c>
      <c r="J19090" t="s">
        <v>575</v>
      </c>
      <c r="K19090" t="s">
        <v>33</v>
      </c>
      <c r="L19090" t="s">
        <v>246</v>
      </c>
      <c r="N19090" t="s">
        <v>29</v>
      </c>
    </row>
    <row r="19091" spans="1:14">
      <c r="A19091" s="4" t="str">
        <f t="shared" si="1335"/>
        <v>EXP00441</v>
      </c>
      <c r="B19091" s="3" t="s">
        <v>66</v>
      </c>
      <c r="C19091" s="4" t="str">
        <f t="shared" si="1334"/>
        <v>TCGA-STAD</v>
      </c>
      <c r="D19091" s="1" t="s">
        <v>493</v>
      </c>
      <c r="E19091" t="s">
        <v>580</v>
      </c>
      <c r="F19091" s="1">
        <v>2</v>
      </c>
      <c r="G19091" s="1" t="s">
        <v>28</v>
      </c>
      <c r="H19091" s="4" t="str">
        <f>HYPERLINK("https://portal.gdc.cancer.gov/cases/5b7e557a-6aee-4077-b3cd-c96179e643ae","TCGA-CD-8529-01A")</f>
        <v>TCGA-CD-8529-01A</v>
      </c>
      <c r="I19091" t="s">
        <v>574</v>
      </c>
      <c r="J19091" t="s">
        <v>575</v>
      </c>
      <c r="K19091" t="s">
        <v>33</v>
      </c>
      <c r="L19091" t="s">
        <v>246</v>
      </c>
      <c r="N19091" t="s">
        <v>29</v>
      </c>
    </row>
    <row r="19092" spans="1:14">
      <c r="A19092" s="4" t="str">
        <f t="shared" si="1335"/>
        <v>EXP00441</v>
      </c>
      <c r="B19092" s="3" t="s">
        <v>66</v>
      </c>
      <c r="C19092" s="4" t="str">
        <f t="shared" si="1334"/>
        <v>TCGA-STAD</v>
      </c>
      <c r="D19092" s="1" t="s">
        <v>493</v>
      </c>
      <c r="E19092" t="s">
        <v>580</v>
      </c>
      <c r="F19092" s="1">
        <v>2</v>
      </c>
      <c r="G19092" s="1" t="s">
        <v>28</v>
      </c>
      <c r="H19092" s="4" t="str">
        <f>HYPERLINK("https://portal.gdc.cancer.gov/cases/0a11e958-7ec0-493c-bd7a-eb17536facd7","TCGA-CD-8530-01A")</f>
        <v>TCGA-CD-8530-01A</v>
      </c>
      <c r="I19092" t="s">
        <v>574</v>
      </c>
      <c r="J19092" t="s">
        <v>575</v>
      </c>
      <c r="K19092" t="s">
        <v>33</v>
      </c>
      <c r="L19092" t="s">
        <v>246</v>
      </c>
      <c r="N19092" t="s">
        <v>29</v>
      </c>
    </row>
    <row r="19093" spans="1:14">
      <c r="A19093" s="4" t="str">
        <f t="shared" si="1335"/>
        <v>EXP00441</v>
      </c>
      <c r="B19093" s="3" t="s">
        <v>66</v>
      </c>
      <c r="C19093" s="4" t="str">
        <f t="shared" si="1334"/>
        <v>TCGA-STAD</v>
      </c>
      <c r="D19093" s="1" t="s">
        <v>493</v>
      </c>
      <c r="E19093" t="s">
        <v>580</v>
      </c>
      <c r="F19093" s="1">
        <v>2</v>
      </c>
      <c r="G19093" s="1" t="s">
        <v>28</v>
      </c>
      <c r="H19093" s="4" t="str">
        <f>HYPERLINK("https://portal.gdc.cancer.gov/cases/efe8b105-b170-4679-8b97-c1142fefe069","TCGA-CD-8531-01A")</f>
        <v>TCGA-CD-8531-01A</v>
      </c>
      <c r="I19093" t="s">
        <v>574</v>
      </c>
      <c r="J19093" t="s">
        <v>575</v>
      </c>
      <c r="K19093" t="s">
        <v>33</v>
      </c>
      <c r="L19093" t="s">
        <v>246</v>
      </c>
      <c r="N19093" t="s">
        <v>29</v>
      </c>
    </row>
    <row r="19094" spans="1:14">
      <c r="A19094" s="4" t="str">
        <f t="shared" si="1335"/>
        <v>EXP00441</v>
      </c>
      <c r="B19094" s="3" t="s">
        <v>66</v>
      </c>
      <c r="C19094" s="4" t="str">
        <f t="shared" si="1334"/>
        <v>TCGA-STAD</v>
      </c>
      <c r="D19094" s="1" t="s">
        <v>493</v>
      </c>
      <c r="E19094" t="s">
        <v>580</v>
      </c>
      <c r="F19094" s="1">
        <v>2</v>
      </c>
      <c r="G19094" s="1" t="s">
        <v>28</v>
      </c>
      <c r="H19094" s="4" t="str">
        <f>HYPERLINK("https://portal.gdc.cancer.gov/cases/8e0f35e8-cd02-4d8b-9145-597cc65eac13","TCGA-CD-8532-01A")</f>
        <v>TCGA-CD-8532-01A</v>
      </c>
      <c r="I19094" t="s">
        <v>574</v>
      </c>
      <c r="J19094" t="s">
        <v>575</v>
      </c>
      <c r="K19094" t="s">
        <v>33</v>
      </c>
      <c r="L19094" t="s">
        <v>246</v>
      </c>
      <c r="N19094" t="s">
        <v>29</v>
      </c>
    </row>
    <row r="19095" spans="1:14">
      <c r="A19095" s="4" t="str">
        <f t="shared" si="1335"/>
        <v>EXP00441</v>
      </c>
      <c r="B19095" s="3" t="s">
        <v>66</v>
      </c>
      <c r="C19095" s="4" t="str">
        <f t="shared" si="1334"/>
        <v>TCGA-STAD</v>
      </c>
      <c r="D19095" s="1" t="s">
        <v>493</v>
      </c>
      <c r="E19095" t="s">
        <v>580</v>
      </c>
      <c r="F19095" s="1">
        <v>2</v>
      </c>
      <c r="G19095" s="1" t="s">
        <v>28</v>
      </c>
      <c r="H19095" s="4" t="str">
        <f>HYPERLINK("https://portal.gdc.cancer.gov/cases/c1cf00be-1a34-49aa-b1ab-6b2e26832c19","TCGA-CD-8533-01A")</f>
        <v>TCGA-CD-8533-01A</v>
      </c>
      <c r="I19095" t="s">
        <v>574</v>
      </c>
      <c r="J19095" t="s">
        <v>575</v>
      </c>
      <c r="K19095" t="s">
        <v>33</v>
      </c>
      <c r="L19095" t="s">
        <v>246</v>
      </c>
      <c r="N19095" t="s">
        <v>29</v>
      </c>
    </row>
    <row r="19096" spans="1:14">
      <c r="A19096" s="4" t="str">
        <f t="shared" si="1335"/>
        <v>EXP00441</v>
      </c>
      <c r="B19096" s="3" t="s">
        <v>66</v>
      </c>
      <c r="C19096" s="4" t="str">
        <f t="shared" si="1334"/>
        <v>TCGA-STAD</v>
      </c>
      <c r="D19096" s="1" t="s">
        <v>493</v>
      </c>
      <c r="E19096" t="s">
        <v>580</v>
      </c>
      <c r="F19096" s="1">
        <v>2</v>
      </c>
      <c r="G19096" s="1" t="s">
        <v>28</v>
      </c>
      <c r="H19096" s="4" t="str">
        <f>HYPERLINK("https://portal.gdc.cancer.gov/cases/65232ec1-4614-49bd-a3cf-d901d4f9556a","TCGA-CD-8534-01A")</f>
        <v>TCGA-CD-8534-01A</v>
      </c>
      <c r="I19096" t="s">
        <v>574</v>
      </c>
      <c r="J19096" t="s">
        <v>575</v>
      </c>
      <c r="K19096" t="s">
        <v>33</v>
      </c>
      <c r="L19096" t="s">
        <v>246</v>
      </c>
      <c r="N19096" t="s">
        <v>29</v>
      </c>
    </row>
    <row r="19097" spans="1:14">
      <c r="A19097" s="4" t="str">
        <f t="shared" si="1335"/>
        <v>EXP00441</v>
      </c>
      <c r="B19097" s="3" t="s">
        <v>66</v>
      </c>
      <c r="C19097" s="4" t="str">
        <f t="shared" si="1334"/>
        <v>TCGA-STAD</v>
      </c>
      <c r="D19097" s="1" t="s">
        <v>493</v>
      </c>
      <c r="E19097" t="s">
        <v>580</v>
      </c>
      <c r="F19097" s="1">
        <v>2</v>
      </c>
      <c r="G19097" s="1" t="s">
        <v>28</v>
      </c>
      <c r="H19097" s="4" t="str">
        <f>HYPERLINK("https://portal.gdc.cancer.gov/cases/569dd23a-d0d7-409c-bc83-7340512f4195","TCGA-CD-8535-01A")</f>
        <v>TCGA-CD-8535-01A</v>
      </c>
      <c r="I19097" t="s">
        <v>574</v>
      </c>
      <c r="J19097" t="s">
        <v>575</v>
      </c>
      <c r="K19097" t="s">
        <v>33</v>
      </c>
      <c r="L19097" t="s">
        <v>246</v>
      </c>
      <c r="N19097" t="s">
        <v>29</v>
      </c>
    </row>
    <row r="19098" spans="1:14">
      <c r="A19098" s="4" t="str">
        <f t="shared" si="1335"/>
        <v>EXP00441</v>
      </c>
      <c r="B19098" s="3" t="s">
        <v>66</v>
      </c>
      <c r="C19098" s="4" t="str">
        <f t="shared" si="1334"/>
        <v>TCGA-STAD</v>
      </c>
      <c r="D19098" s="1" t="s">
        <v>493</v>
      </c>
      <c r="E19098" t="s">
        <v>580</v>
      </c>
      <c r="F19098" s="1">
        <v>2</v>
      </c>
      <c r="G19098" s="1" t="s">
        <v>28</v>
      </c>
      <c r="H19098" s="4" t="str">
        <f>HYPERLINK("https://portal.gdc.cancer.gov/cases/c63ae423-c90a-4cf4-aa42-653bb8fa3e69","TCGA-CD-A486-01A")</f>
        <v>TCGA-CD-A486-01A</v>
      </c>
      <c r="I19098" t="s">
        <v>574</v>
      </c>
      <c r="J19098" t="s">
        <v>575</v>
      </c>
      <c r="K19098" t="s">
        <v>33</v>
      </c>
      <c r="L19098" t="s">
        <v>246</v>
      </c>
      <c r="N19098" t="s">
        <v>29</v>
      </c>
    </row>
    <row r="19099" spans="1:14">
      <c r="A19099" s="4" t="str">
        <f t="shared" si="1335"/>
        <v>EXP00441</v>
      </c>
      <c r="B19099" s="3" t="s">
        <v>66</v>
      </c>
      <c r="C19099" s="4" t="str">
        <f t="shared" si="1334"/>
        <v>TCGA-STAD</v>
      </c>
      <c r="D19099" s="1" t="s">
        <v>493</v>
      </c>
      <c r="E19099" t="s">
        <v>580</v>
      </c>
      <c r="F19099" s="1">
        <v>2</v>
      </c>
      <c r="G19099" s="1" t="s">
        <v>28</v>
      </c>
      <c r="H19099" s="4" t="str">
        <f>HYPERLINK("https://portal.gdc.cancer.gov/cases/b7d2401e-7d64-4c89-a74c-16d634cafe7f","TCGA-CD-A487-01A")</f>
        <v>TCGA-CD-A487-01A</v>
      </c>
      <c r="I19099" t="s">
        <v>574</v>
      </c>
      <c r="J19099" t="s">
        <v>575</v>
      </c>
      <c r="K19099" t="s">
        <v>33</v>
      </c>
      <c r="L19099" t="s">
        <v>246</v>
      </c>
      <c r="N19099" t="s">
        <v>29</v>
      </c>
    </row>
    <row r="19100" spans="1:14">
      <c r="A19100" s="4" t="str">
        <f t="shared" si="1335"/>
        <v>EXP00441</v>
      </c>
      <c r="B19100" s="3" t="s">
        <v>66</v>
      </c>
      <c r="C19100" s="4" t="str">
        <f t="shared" si="1334"/>
        <v>TCGA-STAD</v>
      </c>
      <c r="D19100" s="1" t="s">
        <v>493</v>
      </c>
      <c r="E19100" t="s">
        <v>580</v>
      </c>
      <c r="F19100" s="1">
        <v>2</v>
      </c>
      <c r="G19100" s="1" t="s">
        <v>28</v>
      </c>
      <c r="H19100" s="4" t="str">
        <f>HYPERLINK("https://portal.gdc.cancer.gov/cases/7f056fc5-3848-4884-9644-95b8b6ed9642","TCGA-CD-A489-01A")</f>
        <v>TCGA-CD-A489-01A</v>
      </c>
      <c r="I19100" t="s">
        <v>574</v>
      </c>
      <c r="J19100" t="s">
        <v>575</v>
      </c>
      <c r="K19100" t="s">
        <v>33</v>
      </c>
      <c r="L19100" t="s">
        <v>246</v>
      </c>
      <c r="N19100" t="s">
        <v>29</v>
      </c>
    </row>
    <row r="19101" spans="1:14">
      <c r="A19101" s="4" t="str">
        <f t="shared" si="1335"/>
        <v>EXP00441</v>
      </c>
      <c r="B19101" s="3" t="s">
        <v>66</v>
      </c>
      <c r="C19101" s="4" t="str">
        <f t="shared" si="1334"/>
        <v>TCGA-STAD</v>
      </c>
      <c r="D19101" s="1" t="s">
        <v>493</v>
      </c>
      <c r="E19101" t="s">
        <v>580</v>
      </c>
      <c r="F19101" s="1">
        <v>2</v>
      </c>
      <c r="G19101" s="1" t="s">
        <v>28</v>
      </c>
      <c r="H19101" s="4" t="str">
        <f>HYPERLINK("https://portal.gdc.cancer.gov/cases/a6635058-4498-463c-9bbc-1009dda3308c","TCGA-CD-A48A-01A")</f>
        <v>TCGA-CD-A48A-01A</v>
      </c>
      <c r="I19101" t="s">
        <v>574</v>
      </c>
      <c r="J19101" t="s">
        <v>575</v>
      </c>
      <c r="K19101" t="s">
        <v>33</v>
      </c>
      <c r="L19101" t="s">
        <v>246</v>
      </c>
      <c r="N19101" t="s">
        <v>29</v>
      </c>
    </row>
    <row r="19102" spans="1:14">
      <c r="A19102" s="4" t="str">
        <f t="shared" si="1335"/>
        <v>EXP00441</v>
      </c>
      <c r="B19102" s="3" t="s">
        <v>66</v>
      </c>
      <c r="C19102" s="4" t="str">
        <f t="shared" si="1334"/>
        <v>TCGA-STAD</v>
      </c>
      <c r="D19102" s="1" t="s">
        <v>493</v>
      </c>
      <c r="E19102" t="s">
        <v>580</v>
      </c>
      <c r="F19102" s="1">
        <v>2</v>
      </c>
      <c r="G19102" s="1" t="s">
        <v>28</v>
      </c>
      <c r="H19102" s="4" t="str">
        <f>HYPERLINK("https://portal.gdc.cancer.gov/cases/ec02b33c-8094-45e8-b679-b14dbe75d66f","TCGA-CD-A48C-01A")</f>
        <v>TCGA-CD-A48C-01A</v>
      </c>
      <c r="I19102" t="s">
        <v>574</v>
      </c>
      <c r="J19102" t="s">
        <v>575</v>
      </c>
      <c r="K19102" t="s">
        <v>33</v>
      </c>
      <c r="L19102" t="s">
        <v>246</v>
      </c>
      <c r="N19102" t="s">
        <v>29</v>
      </c>
    </row>
    <row r="19103" spans="1:14">
      <c r="A19103" s="4" t="str">
        <f t="shared" si="1335"/>
        <v>EXP00441</v>
      </c>
      <c r="B19103" s="3" t="s">
        <v>66</v>
      </c>
      <c r="C19103" s="4" t="str">
        <f t="shared" si="1334"/>
        <v>TCGA-STAD</v>
      </c>
      <c r="D19103" s="1" t="s">
        <v>493</v>
      </c>
      <c r="E19103" t="s">
        <v>580</v>
      </c>
      <c r="F19103" s="1">
        <v>2</v>
      </c>
      <c r="G19103" s="1" t="s">
        <v>28</v>
      </c>
      <c r="H19103" s="4" t="str">
        <f>HYPERLINK("https://portal.gdc.cancer.gov/cases/028632ed-d75a-49bb-b579-41962ba502fe","TCGA-CD-A4MG-01A")</f>
        <v>TCGA-CD-A4MG-01A</v>
      </c>
      <c r="I19103" t="s">
        <v>574</v>
      </c>
      <c r="J19103" t="s">
        <v>575</v>
      </c>
      <c r="K19103" t="s">
        <v>33</v>
      </c>
      <c r="L19103" t="s">
        <v>246</v>
      </c>
      <c r="N19103" t="s">
        <v>29</v>
      </c>
    </row>
    <row r="19104" spans="1:14">
      <c r="A19104" s="4" t="str">
        <f t="shared" si="1335"/>
        <v>EXP00441</v>
      </c>
      <c r="B19104" s="3" t="s">
        <v>66</v>
      </c>
      <c r="C19104" s="4" t="str">
        <f t="shared" si="1334"/>
        <v>TCGA-STAD</v>
      </c>
      <c r="D19104" s="1" t="s">
        <v>493</v>
      </c>
      <c r="E19104" t="s">
        <v>580</v>
      </c>
      <c r="F19104" s="1">
        <v>2</v>
      </c>
      <c r="G19104" s="1" t="s">
        <v>28</v>
      </c>
      <c r="H19104" s="4" t="str">
        <f>HYPERLINK("https://portal.gdc.cancer.gov/cases/23451ab5-a32b-4eec-9b8b-fd282282a0d4","TCGA-CD-A4MH-01A")</f>
        <v>TCGA-CD-A4MH-01A</v>
      </c>
      <c r="I19104" t="s">
        <v>574</v>
      </c>
      <c r="J19104" t="s">
        <v>575</v>
      </c>
      <c r="K19104" t="s">
        <v>33</v>
      </c>
      <c r="L19104" t="s">
        <v>246</v>
      </c>
      <c r="N19104" t="s">
        <v>29</v>
      </c>
    </row>
    <row r="19105" spans="1:14">
      <c r="A19105" s="4" t="str">
        <f t="shared" si="1335"/>
        <v>EXP00441</v>
      </c>
      <c r="B19105" s="3" t="s">
        <v>66</v>
      </c>
      <c r="C19105" s="4" t="str">
        <f t="shared" si="1334"/>
        <v>TCGA-STAD</v>
      </c>
      <c r="D19105" s="1" t="s">
        <v>493</v>
      </c>
      <c r="E19105" t="s">
        <v>580</v>
      </c>
      <c r="F19105" s="1">
        <v>2</v>
      </c>
      <c r="G19105" s="1" t="s">
        <v>28</v>
      </c>
      <c r="H19105" s="4" t="str">
        <f>HYPERLINK("https://portal.gdc.cancer.gov/cases/7e13fe2a-3d6e-487f-900d-f5891d986aa2","TCGA-CG-4301-01A")</f>
        <v>TCGA-CG-4301-01A</v>
      </c>
      <c r="I19105" t="s">
        <v>574</v>
      </c>
      <c r="J19105" t="s">
        <v>575</v>
      </c>
      <c r="K19105" t="s">
        <v>33</v>
      </c>
      <c r="L19105" t="s">
        <v>246</v>
      </c>
      <c r="N19105" t="s">
        <v>29</v>
      </c>
    </row>
    <row r="19106" spans="1:14">
      <c r="A19106" s="4" t="str">
        <f t="shared" si="1335"/>
        <v>EXP00441</v>
      </c>
      <c r="B19106" s="3" t="s">
        <v>66</v>
      </c>
      <c r="C19106" s="4" t="str">
        <f t="shared" si="1334"/>
        <v>TCGA-STAD</v>
      </c>
      <c r="D19106" s="1" t="s">
        <v>493</v>
      </c>
      <c r="E19106" t="s">
        <v>580</v>
      </c>
      <c r="F19106" s="1">
        <v>2</v>
      </c>
      <c r="G19106" s="1" t="s">
        <v>28</v>
      </c>
      <c r="H19106" s="4" t="str">
        <f>HYPERLINK("https://portal.gdc.cancer.gov/cases/8e005891-d6fe-4fee-a699-971fee4e70f1","TCGA-CG-4304-01A")</f>
        <v>TCGA-CG-4304-01A</v>
      </c>
      <c r="I19106" t="s">
        <v>574</v>
      </c>
      <c r="J19106" t="s">
        <v>575</v>
      </c>
      <c r="K19106" t="s">
        <v>33</v>
      </c>
      <c r="L19106" t="s">
        <v>246</v>
      </c>
      <c r="N19106" t="s">
        <v>29</v>
      </c>
    </row>
    <row r="19107" spans="1:14">
      <c r="A19107" s="4" t="str">
        <f t="shared" si="1335"/>
        <v>EXP00441</v>
      </c>
      <c r="B19107" s="3" t="s">
        <v>66</v>
      </c>
      <c r="C19107" s="4" t="str">
        <f t="shared" si="1334"/>
        <v>TCGA-STAD</v>
      </c>
      <c r="D19107" s="1" t="s">
        <v>493</v>
      </c>
      <c r="E19107" t="s">
        <v>580</v>
      </c>
      <c r="F19107" s="1">
        <v>2</v>
      </c>
      <c r="G19107" s="1" t="s">
        <v>28</v>
      </c>
      <c r="H19107" s="4" t="str">
        <f>HYPERLINK("https://portal.gdc.cancer.gov/cases/e0e35051-fbb4-4389-aedb-87bde84d21ad","TCGA-CG-4305-01A")</f>
        <v>TCGA-CG-4305-01A</v>
      </c>
      <c r="I19107" t="s">
        <v>574</v>
      </c>
      <c r="J19107" t="s">
        <v>575</v>
      </c>
      <c r="K19107" t="s">
        <v>33</v>
      </c>
      <c r="L19107" t="s">
        <v>246</v>
      </c>
      <c r="N19107" t="s">
        <v>29</v>
      </c>
    </row>
    <row r="19108" spans="1:14">
      <c r="A19108" s="4" t="str">
        <f t="shared" si="1335"/>
        <v>EXP00441</v>
      </c>
      <c r="B19108" s="3" t="s">
        <v>66</v>
      </c>
      <c r="C19108" s="4" t="str">
        <f t="shared" si="1334"/>
        <v>TCGA-STAD</v>
      </c>
      <c r="D19108" s="1" t="s">
        <v>493</v>
      </c>
      <c r="E19108" t="s">
        <v>580</v>
      </c>
      <c r="F19108" s="1">
        <v>2</v>
      </c>
      <c r="G19108" s="1" t="s">
        <v>28</v>
      </c>
      <c r="H19108" s="4" t="str">
        <f>HYPERLINK("https://portal.gdc.cancer.gov/cases/73d177f7-8c0a-42f6-a73d-8073c0e6142b","TCGA-CG-4306-01A")</f>
        <v>TCGA-CG-4306-01A</v>
      </c>
      <c r="I19108" t="s">
        <v>574</v>
      </c>
      <c r="J19108" t="s">
        <v>575</v>
      </c>
      <c r="K19108" t="s">
        <v>33</v>
      </c>
      <c r="L19108" t="s">
        <v>246</v>
      </c>
      <c r="N19108" t="s">
        <v>29</v>
      </c>
    </row>
    <row r="19109" spans="1:14">
      <c r="A19109" s="4" t="str">
        <f t="shared" si="1335"/>
        <v>EXP00441</v>
      </c>
      <c r="B19109" s="3" t="s">
        <v>66</v>
      </c>
      <c r="C19109" s="4" t="str">
        <f t="shared" si="1334"/>
        <v>TCGA-STAD</v>
      </c>
      <c r="D19109" s="1" t="s">
        <v>493</v>
      </c>
      <c r="E19109" t="s">
        <v>580</v>
      </c>
      <c r="F19109" s="1">
        <v>2</v>
      </c>
      <c r="G19109" s="1" t="s">
        <v>28</v>
      </c>
      <c r="H19109" s="4" t="str">
        <f>HYPERLINK("https://portal.gdc.cancer.gov/cases/7938ca55-766e-4277-9e7e-603ffa02e570","TCGA-CG-4436-01A")</f>
        <v>TCGA-CG-4436-01A</v>
      </c>
      <c r="I19109" t="s">
        <v>574</v>
      </c>
      <c r="J19109" t="s">
        <v>575</v>
      </c>
      <c r="K19109" t="s">
        <v>33</v>
      </c>
      <c r="L19109" t="s">
        <v>246</v>
      </c>
      <c r="N19109" t="s">
        <v>29</v>
      </c>
    </row>
    <row r="19110" spans="1:14">
      <c r="A19110" s="4" t="str">
        <f t="shared" si="1335"/>
        <v>EXP00441</v>
      </c>
      <c r="B19110" s="3" t="s">
        <v>66</v>
      </c>
      <c r="C19110" s="4" t="str">
        <f t="shared" si="1334"/>
        <v>TCGA-STAD</v>
      </c>
      <c r="D19110" s="1" t="s">
        <v>493</v>
      </c>
      <c r="E19110" t="s">
        <v>580</v>
      </c>
      <c r="F19110" s="1">
        <v>2</v>
      </c>
      <c r="G19110" s="1" t="s">
        <v>28</v>
      </c>
      <c r="H19110" s="4" t="str">
        <f>HYPERLINK("https://portal.gdc.cancer.gov/cases/6244e506-d163-4d34-8fec-6158191679cb","TCGA-CG-4437-01A")</f>
        <v>TCGA-CG-4437-01A</v>
      </c>
      <c r="I19110" t="s">
        <v>574</v>
      </c>
      <c r="J19110" t="s">
        <v>575</v>
      </c>
      <c r="K19110" t="s">
        <v>33</v>
      </c>
      <c r="L19110" t="s">
        <v>246</v>
      </c>
      <c r="N19110" t="s">
        <v>29</v>
      </c>
    </row>
    <row r="19111" spans="1:14">
      <c r="A19111" s="4" t="str">
        <f t="shared" si="1335"/>
        <v>EXP00441</v>
      </c>
      <c r="B19111" s="3" t="s">
        <v>66</v>
      </c>
      <c r="C19111" s="4" t="str">
        <f t="shared" si="1334"/>
        <v>TCGA-STAD</v>
      </c>
      <c r="D19111" s="1" t="s">
        <v>493</v>
      </c>
      <c r="E19111" t="s">
        <v>580</v>
      </c>
      <c r="F19111" s="1">
        <v>2</v>
      </c>
      <c r="G19111" s="1" t="s">
        <v>28</v>
      </c>
      <c r="H19111" s="4" t="str">
        <f>HYPERLINK("https://portal.gdc.cancer.gov/cases/0246823f-99f4-4a46-b2b1-27f81179584c","TCGA-CG-4438-01A")</f>
        <v>TCGA-CG-4438-01A</v>
      </c>
      <c r="I19111" t="s">
        <v>574</v>
      </c>
      <c r="J19111" t="s">
        <v>575</v>
      </c>
      <c r="K19111" t="s">
        <v>33</v>
      </c>
      <c r="L19111" t="s">
        <v>246</v>
      </c>
      <c r="N19111" t="s">
        <v>29</v>
      </c>
    </row>
    <row r="19112" spans="1:14">
      <c r="A19112" s="4" t="str">
        <f t="shared" si="1335"/>
        <v>EXP00441</v>
      </c>
      <c r="B19112" s="3" t="s">
        <v>66</v>
      </c>
      <c r="C19112" s="4" t="str">
        <f t="shared" ref="C19112:C19175" si="1336">HYPERLINK("https://portal.gdc.cancer.gov/projects/TCGA-STAD","TCGA-STAD")</f>
        <v>TCGA-STAD</v>
      </c>
      <c r="D19112" s="1" t="s">
        <v>493</v>
      </c>
      <c r="E19112" t="s">
        <v>580</v>
      </c>
      <c r="F19112" s="1">
        <v>2</v>
      </c>
      <c r="G19112" s="1" t="s">
        <v>28</v>
      </c>
      <c r="H19112" s="4" t="str">
        <f>HYPERLINK("https://portal.gdc.cancer.gov/cases/8ca597db-ac21-43d1-9329-586b2eaf6982","TCGA-CG-4440-01A")</f>
        <v>TCGA-CG-4440-01A</v>
      </c>
      <c r="I19112" t="s">
        <v>574</v>
      </c>
      <c r="J19112" t="s">
        <v>575</v>
      </c>
      <c r="K19112" t="s">
        <v>33</v>
      </c>
      <c r="L19112" t="s">
        <v>246</v>
      </c>
      <c r="N19112" t="s">
        <v>29</v>
      </c>
    </row>
    <row r="19113" spans="1:14">
      <c r="A19113" s="4" t="str">
        <f t="shared" si="1335"/>
        <v>EXP00441</v>
      </c>
      <c r="B19113" s="3" t="s">
        <v>66</v>
      </c>
      <c r="C19113" s="4" t="str">
        <f t="shared" si="1336"/>
        <v>TCGA-STAD</v>
      </c>
      <c r="D19113" s="1" t="s">
        <v>493</v>
      </c>
      <c r="E19113" t="s">
        <v>580</v>
      </c>
      <c r="F19113" s="1">
        <v>2</v>
      </c>
      <c r="G19113" s="1" t="s">
        <v>28</v>
      </c>
      <c r="H19113" s="4" t="str">
        <f>HYPERLINK("https://portal.gdc.cancer.gov/cases/37e22429-efd7-4d6a-b79a-9d8c7be2170c","TCGA-CG-4441-01A")</f>
        <v>TCGA-CG-4441-01A</v>
      </c>
      <c r="I19113" t="s">
        <v>574</v>
      </c>
      <c r="J19113" t="s">
        <v>575</v>
      </c>
      <c r="K19113" t="s">
        <v>33</v>
      </c>
      <c r="L19113" t="s">
        <v>246</v>
      </c>
      <c r="N19113" t="s">
        <v>29</v>
      </c>
    </row>
    <row r="19114" spans="1:14">
      <c r="A19114" s="4" t="str">
        <f t="shared" si="1335"/>
        <v>EXP00441</v>
      </c>
      <c r="B19114" s="3" t="s">
        <v>66</v>
      </c>
      <c r="C19114" s="4" t="str">
        <f t="shared" si="1336"/>
        <v>TCGA-STAD</v>
      </c>
      <c r="D19114" s="1" t="s">
        <v>493</v>
      </c>
      <c r="E19114" t="s">
        <v>580</v>
      </c>
      <c r="F19114" s="1">
        <v>2</v>
      </c>
      <c r="G19114" s="1" t="s">
        <v>28</v>
      </c>
      <c r="H19114" s="4" t="str">
        <f>HYPERLINK("https://portal.gdc.cancer.gov/cases/8fccff71-3710-4cb9-b8af-61707aebe5d8","TCGA-CG-4442-01A")</f>
        <v>TCGA-CG-4442-01A</v>
      </c>
      <c r="I19114" t="s">
        <v>574</v>
      </c>
      <c r="J19114" t="s">
        <v>575</v>
      </c>
      <c r="K19114" t="s">
        <v>33</v>
      </c>
      <c r="L19114" t="s">
        <v>246</v>
      </c>
      <c r="N19114" t="s">
        <v>29</v>
      </c>
    </row>
    <row r="19115" spans="1:14">
      <c r="A19115" s="4" t="str">
        <f t="shared" si="1335"/>
        <v>EXP00441</v>
      </c>
      <c r="B19115" s="3" t="s">
        <v>66</v>
      </c>
      <c r="C19115" s="4" t="str">
        <f t="shared" si="1336"/>
        <v>TCGA-STAD</v>
      </c>
      <c r="D19115" s="1" t="s">
        <v>493</v>
      </c>
      <c r="E19115" t="s">
        <v>580</v>
      </c>
      <c r="F19115" s="1">
        <v>2</v>
      </c>
      <c r="G19115" s="1" t="s">
        <v>28</v>
      </c>
      <c r="H19115" s="4" t="str">
        <f>HYPERLINK("https://portal.gdc.cancer.gov/cases/8cb0144b-be6b-40a1-86a2-708f96d9b615","TCGA-CG-4443-01A")</f>
        <v>TCGA-CG-4443-01A</v>
      </c>
      <c r="I19115" t="s">
        <v>574</v>
      </c>
      <c r="J19115" t="s">
        <v>575</v>
      </c>
      <c r="K19115" t="s">
        <v>33</v>
      </c>
      <c r="L19115" t="s">
        <v>246</v>
      </c>
      <c r="N19115" t="s">
        <v>29</v>
      </c>
    </row>
    <row r="19116" spans="1:14">
      <c r="A19116" s="4" t="str">
        <f t="shared" si="1335"/>
        <v>EXP00441</v>
      </c>
      <c r="B19116" s="3" t="s">
        <v>66</v>
      </c>
      <c r="C19116" s="4" t="str">
        <f t="shared" si="1336"/>
        <v>TCGA-STAD</v>
      </c>
      <c r="D19116" s="1" t="s">
        <v>493</v>
      </c>
      <c r="E19116" t="s">
        <v>580</v>
      </c>
      <c r="F19116" s="1">
        <v>2</v>
      </c>
      <c r="G19116" s="1" t="s">
        <v>28</v>
      </c>
      <c r="H19116" s="4" t="str">
        <f>HYPERLINK("https://portal.gdc.cancer.gov/cases/5c087d33-0bd3-407d-8350-fabba6aec597","TCGA-CG-4444-01A")</f>
        <v>TCGA-CG-4444-01A</v>
      </c>
      <c r="I19116" t="s">
        <v>574</v>
      </c>
      <c r="J19116" t="s">
        <v>575</v>
      </c>
      <c r="K19116" t="s">
        <v>33</v>
      </c>
      <c r="L19116" t="s">
        <v>246</v>
      </c>
      <c r="N19116" t="s">
        <v>29</v>
      </c>
    </row>
    <row r="19117" spans="1:14">
      <c r="A19117" s="4" t="str">
        <f t="shared" si="1335"/>
        <v>EXP00441</v>
      </c>
      <c r="B19117" s="3" t="s">
        <v>66</v>
      </c>
      <c r="C19117" s="4" t="str">
        <f t="shared" si="1336"/>
        <v>TCGA-STAD</v>
      </c>
      <c r="D19117" s="1" t="s">
        <v>493</v>
      </c>
      <c r="E19117" t="s">
        <v>580</v>
      </c>
      <c r="F19117" s="1">
        <v>2</v>
      </c>
      <c r="G19117" s="1" t="s">
        <v>28</v>
      </c>
      <c r="H19117" s="4" t="str">
        <f>HYPERLINK("https://portal.gdc.cancer.gov/cases/3c3d4ef0-019a-423e-89b2-4ac5a7b567ab","TCGA-CG-4460-01A")</f>
        <v>TCGA-CG-4460-01A</v>
      </c>
      <c r="I19117" t="s">
        <v>574</v>
      </c>
      <c r="J19117" t="s">
        <v>575</v>
      </c>
      <c r="K19117" t="s">
        <v>33</v>
      </c>
      <c r="L19117" t="s">
        <v>246</v>
      </c>
      <c r="N19117" t="s">
        <v>29</v>
      </c>
    </row>
    <row r="19118" spans="1:14">
      <c r="A19118" s="4" t="str">
        <f t="shared" si="1335"/>
        <v>EXP00441</v>
      </c>
      <c r="B19118" s="3" t="s">
        <v>66</v>
      </c>
      <c r="C19118" s="4" t="str">
        <f t="shared" si="1336"/>
        <v>TCGA-STAD</v>
      </c>
      <c r="D19118" s="1" t="s">
        <v>493</v>
      </c>
      <c r="E19118" t="s">
        <v>580</v>
      </c>
      <c r="F19118" s="1">
        <v>2</v>
      </c>
      <c r="G19118" s="1" t="s">
        <v>28</v>
      </c>
      <c r="H19118" s="4" t="str">
        <f>HYPERLINK("https://portal.gdc.cancer.gov/cases/e9ea3687-0db3-47f3-8099-b4fc054397f1","TCGA-CG-4462-01A")</f>
        <v>TCGA-CG-4462-01A</v>
      </c>
      <c r="I19118" t="s">
        <v>574</v>
      </c>
      <c r="J19118" t="s">
        <v>575</v>
      </c>
      <c r="K19118" t="s">
        <v>33</v>
      </c>
      <c r="L19118" t="s">
        <v>246</v>
      </c>
      <c r="N19118" t="s">
        <v>29</v>
      </c>
    </row>
    <row r="19119" spans="1:14">
      <c r="A19119" s="4" t="str">
        <f t="shared" si="1335"/>
        <v>EXP00441</v>
      </c>
      <c r="B19119" s="3" t="s">
        <v>66</v>
      </c>
      <c r="C19119" s="4" t="str">
        <f t="shared" si="1336"/>
        <v>TCGA-STAD</v>
      </c>
      <c r="D19119" s="1" t="s">
        <v>493</v>
      </c>
      <c r="E19119" t="s">
        <v>580</v>
      </c>
      <c r="F19119" s="1">
        <v>2</v>
      </c>
      <c r="G19119" s="1" t="s">
        <v>28</v>
      </c>
      <c r="H19119" s="4" t="str">
        <f>HYPERLINK("https://portal.gdc.cancer.gov/cases/c9ab5bf4-092a-420f-9b90-87deea58104c","TCGA-CG-4465-01A")</f>
        <v>TCGA-CG-4465-01A</v>
      </c>
      <c r="I19119" t="s">
        <v>574</v>
      </c>
      <c r="J19119" t="s">
        <v>575</v>
      </c>
      <c r="K19119" t="s">
        <v>33</v>
      </c>
      <c r="L19119" t="s">
        <v>246</v>
      </c>
      <c r="N19119" t="s">
        <v>29</v>
      </c>
    </row>
    <row r="19120" spans="1:14">
      <c r="A19120" s="4" t="str">
        <f t="shared" ref="A19120:A19183" si="1337">HYPERLINK("http://hcmdb.i-sanger.com/experiment/details/experiment_id/EXP00441","EXP00441")</f>
        <v>EXP00441</v>
      </c>
      <c r="B19120" s="3" t="s">
        <v>66</v>
      </c>
      <c r="C19120" s="4" t="str">
        <f t="shared" si="1336"/>
        <v>TCGA-STAD</v>
      </c>
      <c r="D19120" s="1" t="s">
        <v>493</v>
      </c>
      <c r="E19120" t="s">
        <v>580</v>
      </c>
      <c r="F19120" s="1">
        <v>2</v>
      </c>
      <c r="G19120" s="1" t="s">
        <v>28</v>
      </c>
      <c r="H19120" s="4" t="str">
        <f>HYPERLINK("https://portal.gdc.cancer.gov/cases/2f1b96b2-7031-4f7d-9490-14728d320f3e","TCGA-CG-4466-01A")</f>
        <v>TCGA-CG-4466-01A</v>
      </c>
      <c r="I19120" t="s">
        <v>574</v>
      </c>
      <c r="J19120" t="s">
        <v>575</v>
      </c>
      <c r="K19120" t="s">
        <v>33</v>
      </c>
      <c r="L19120" t="s">
        <v>246</v>
      </c>
      <c r="N19120" t="s">
        <v>29</v>
      </c>
    </row>
    <row r="19121" spans="1:14">
      <c r="A19121" s="4" t="str">
        <f t="shared" si="1337"/>
        <v>EXP00441</v>
      </c>
      <c r="B19121" s="3" t="s">
        <v>66</v>
      </c>
      <c r="C19121" s="4" t="str">
        <f t="shared" si="1336"/>
        <v>TCGA-STAD</v>
      </c>
      <c r="D19121" s="1" t="s">
        <v>493</v>
      </c>
      <c r="E19121" t="s">
        <v>580</v>
      </c>
      <c r="F19121" s="1">
        <v>2</v>
      </c>
      <c r="G19121" s="1" t="s">
        <v>28</v>
      </c>
      <c r="H19121" s="4" t="str">
        <f>HYPERLINK("https://portal.gdc.cancer.gov/cases/2ac986f6-cd6f-4ca5-90cc-7a105cfe85ea","TCGA-CG-4469-01A")</f>
        <v>TCGA-CG-4469-01A</v>
      </c>
      <c r="I19121" t="s">
        <v>574</v>
      </c>
      <c r="J19121" t="s">
        <v>575</v>
      </c>
      <c r="K19121" t="s">
        <v>33</v>
      </c>
      <c r="L19121" t="s">
        <v>246</v>
      </c>
      <c r="N19121" t="s">
        <v>29</v>
      </c>
    </row>
    <row r="19122" spans="1:14">
      <c r="A19122" s="4" t="str">
        <f t="shared" si="1337"/>
        <v>EXP00441</v>
      </c>
      <c r="B19122" s="3" t="s">
        <v>66</v>
      </c>
      <c r="C19122" s="4" t="str">
        <f t="shared" si="1336"/>
        <v>TCGA-STAD</v>
      </c>
      <c r="D19122" s="1" t="s">
        <v>493</v>
      </c>
      <c r="E19122" t="s">
        <v>580</v>
      </c>
      <c r="F19122" s="1">
        <v>2</v>
      </c>
      <c r="G19122" s="1" t="s">
        <v>28</v>
      </c>
      <c r="H19122" s="4" t="str">
        <f>HYPERLINK("https://portal.gdc.cancer.gov/cases/cad2adc1-0f41-4651-9c80-ae9961e2dc8d","TCGA-CG-4475-01A")</f>
        <v>TCGA-CG-4475-01A</v>
      </c>
      <c r="I19122" t="s">
        <v>574</v>
      </c>
      <c r="J19122" t="s">
        <v>575</v>
      </c>
      <c r="K19122" t="s">
        <v>33</v>
      </c>
      <c r="L19122" t="s">
        <v>246</v>
      </c>
      <c r="N19122" t="s">
        <v>29</v>
      </c>
    </row>
    <row r="19123" spans="1:14">
      <c r="A19123" s="4" t="str">
        <f t="shared" si="1337"/>
        <v>EXP00441</v>
      </c>
      <c r="B19123" s="3" t="s">
        <v>66</v>
      </c>
      <c r="C19123" s="4" t="str">
        <f t="shared" si="1336"/>
        <v>TCGA-STAD</v>
      </c>
      <c r="D19123" s="1" t="s">
        <v>493</v>
      </c>
      <c r="E19123" t="s">
        <v>580</v>
      </c>
      <c r="F19123" s="1">
        <v>2</v>
      </c>
      <c r="G19123" s="1" t="s">
        <v>28</v>
      </c>
      <c r="H19123" s="4" t="str">
        <f>HYPERLINK("https://portal.gdc.cancer.gov/cases/442d7415-d095-4962-8296-a14390bad40a","TCGA-CG-4476-01A")</f>
        <v>TCGA-CG-4476-01A</v>
      </c>
      <c r="I19123" t="s">
        <v>574</v>
      </c>
      <c r="J19123" t="s">
        <v>575</v>
      </c>
      <c r="K19123" t="s">
        <v>33</v>
      </c>
      <c r="L19123" t="s">
        <v>246</v>
      </c>
      <c r="N19123" t="s">
        <v>29</v>
      </c>
    </row>
    <row r="19124" spans="1:14">
      <c r="A19124" s="4" t="str">
        <f t="shared" si="1337"/>
        <v>EXP00441</v>
      </c>
      <c r="B19124" s="3" t="s">
        <v>66</v>
      </c>
      <c r="C19124" s="4" t="str">
        <f t="shared" si="1336"/>
        <v>TCGA-STAD</v>
      </c>
      <c r="D19124" s="1" t="s">
        <v>493</v>
      </c>
      <c r="E19124" t="s">
        <v>580</v>
      </c>
      <c r="F19124" s="1">
        <v>2</v>
      </c>
      <c r="G19124" s="1" t="s">
        <v>28</v>
      </c>
      <c r="H19124" s="4" t="str">
        <f>HYPERLINK("https://portal.gdc.cancer.gov/cases/18d0aae7-9694-4252-b8fe-16e62dadab07","TCGA-CG-4477-01A")</f>
        <v>TCGA-CG-4477-01A</v>
      </c>
      <c r="I19124" t="s">
        <v>574</v>
      </c>
      <c r="J19124" t="s">
        <v>575</v>
      </c>
      <c r="K19124" t="s">
        <v>33</v>
      </c>
      <c r="L19124" t="s">
        <v>246</v>
      </c>
      <c r="N19124" t="s">
        <v>29</v>
      </c>
    </row>
    <row r="19125" spans="1:14">
      <c r="A19125" s="4" t="str">
        <f t="shared" si="1337"/>
        <v>EXP00441</v>
      </c>
      <c r="B19125" s="3" t="s">
        <v>66</v>
      </c>
      <c r="C19125" s="4" t="str">
        <f t="shared" si="1336"/>
        <v>TCGA-STAD</v>
      </c>
      <c r="D19125" s="1" t="s">
        <v>493</v>
      </c>
      <c r="E19125" t="s">
        <v>580</v>
      </c>
      <c r="F19125" s="1">
        <v>2</v>
      </c>
      <c r="G19125" s="1" t="s">
        <v>28</v>
      </c>
      <c r="H19125" s="4" t="str">
        <f>HYPERLINK("https://portal.gdc.cancer.gov/cases/49587564-e30f-4f1c-b7b3-fc0989bb1a0a","TCGA-CG-5716-01A")</f>
        <v>TCGA-CG-5716-01A</v>
      </c>
      <c r="I19125" t="s">
        <v>574</v>
      </c>
      <c r="J19125" t="s">
        <v>575</v>
      </c>
      <c r="K19125" t="s">
        <v>33</v>
      </c>
      <c r="L19125" t="s">
        <v>246</v>
      </c>
      <c r="N19125" t="s">
        <v>29</v>
      </c>
    </row>
    <row r="19126" spans="1:14">
      <c r="A19126" s="4" t="str">
        <f t="shared" si="1337"/>
        <v>EXP00441</v>
      </c>
      <c r="B19126" s="3" t="s">
        <v>66</v>
      </c>
      <c r="C19126" s="4" t="str">
        <f t="shared" si="1336"/>
        <v>TCGA-STAD</v>
      </c>
      <c r="D19126" s="1" t="s">
        <v>493</v>
      </c>
      <c r="E19126" t="s">
        <v>580</v>
      </c>
      <c r="F19126" s="1">
        <v>2</v>
      </c>
      <c r="G19126" s="1" t="s">
        <v>28</v>
      </c>
      <c r="H19126" s="4" t="str">
        <f>HYPERLINK("https://portal.gdc.cancer.gov/cases/bdc3899e-15ae-421f-829b-0e07fbd27c60","TCGA-CG-5717-01A")</f>
        <v>TCGA-CG-5717-01A</v>
      </c>
      <c r="I19126" t="s">
        <v>574</v>
      </c>
      <c r="J19126" t="s">
        <v>575</v>
      </c>
      <c r="K19126" t="s">
        <v>33</v>
      </c>
      <c r="L19126" t="s">
        <v>246</v>
      </c>
      <c r="N19126" t="s">
        <v>29</v>
      </c>
    </row>
    <row r="19127" spans="1:14">
      <c r="A19127" s="4" t="str">
        <f t="shared" si="1337"/>
        <v>EXP00441</v>
      </c>
      <c r="B19127" s="3" t="s">
        <v>66</v>
      </c>
      <c r="C19127" s="4" t="str">
        <f t="shared" si="1336"/>
        <v>TCGA-STAD</v>
      </c>
      <c r="D19127" s="1" t="s">
        <v>493</v>
      </c>
      <c r="E19127" t="s">
        <v>580</v>
      </c>
      <c r="F19127" s="1">
        <v>2</v>
      </c>
      <c r="G19127" s="1" t="s">
        <v>28</v>
      </c>
      <c r="H19127" s="4" t="str">
        <f>HYPERLINK("https://portal.gdc.cancer.gov/cases/d5c58161-05ed-4472-81ed-176216f49929","TCGA-CG-5718-01A")</f>
        <v>TCGA-CG-5718-01A</v>
      </c>
      <c r="I19127" t="s">
        <v>574</v>
      </c>
      <c r="J19127" t="s">
        <v>575</v>
      </c>
      <c r="K19127" t="s">
        <v>33</v>
      </c>
      <c r="L19127" t="s">
        <v>246</v>
      </c>
      <c r="N19127" t="s">
        <v>29</v>
      </c>
    </row>
    <row r="19128" spans="1:14">
      <c r="A19128" s="4" t="str">
        <f t="shared" si="1337"/>
        <v>EXP00441</v>
      </c>
      <c r="B19128" s="3" t="s">
        <v>66</v>
      </c>
      <c r="C19128" s="4" t="str">
        <f t="shared" si="1336"/>
        <v>TCGA-STAD</v>
      </c>
      <c r="D19128" s="1" t="s">
        <v>493</v>
      </c>
      <c r="E19128" t="s">
        <v>580</v>
      </c>
      <c r="F19128" s="1">
        <v>2</v>
      </c>
      <c r="G19128" s="1" t="s">
        <v>28</v>
      </c>
      <c r="H19128" s="4" t="str">
        <f>HYPERLINK("https://portal.gdc.cancer.gov/cases/263f67e0-0a28-42e6-b3f3-1ddd0d397220","TCGA-CG-5719-01A")</f>
        <v>TCGA-CG-5719-01A</v>
      </c>
      <c r="I19128" t="s">
        <v>574</v>
      </c>
      <c r="J19128" t="s">
        <v>575</v>
      </c>
      <c r="K19128" t="s">
        <v>33</v>
      </c>
      <c r="L19128" t="s">
        <v>246</v>
      </c>
      <c r="N19128" t="s">
        <v>29</v>
      </c>
    </row>
    <row r="19129" spans="1:14">
      <c r="A19129" s="4" t="str">
        <f t="shared" si="1337"/>
        <v>EXP00441</v>
      </c>
      <c r="B19129" s="3" t="s">
        <v>66</v>
      </c>
      <c r="C19129" s="4" t="str">
        <f t="shared" si="1336"/>
        <v>TCGA-STAD</v>
      </c>
      <c r="D19129" s="1" t="s">
        <v>493</v>
      </c>
      <c r="E19129" t="s">
        <v>580</v>
      </c>
      <c r="F19129" s="1">
        <v>2</v>
      </c>
      <c r="G19129" s="1" t="s">
        <v>28</v>
      </c>
      <c r="H19129" s="4" t="str">
        <f>HYPERLINK("https://portal.gdc.cancer.gov/cases/7c9ea4fa-4cbc-4941-945a-e531e1d48304","TCGA-CG-5720-01A")</f>
        <v>TCGA-CG-5720-01A</v>
      </c>
      <c r="I19129" t="s">
        <v>574</v>
      </c>
      <c r="J19129" t="s">
        <v>575</v>
      </c>
      <c r="K19129" t="s">
        <v>33</v>
      </c>
      <c r="L19129" t="s">
        <v>246</v>
      </c>
      <c r="N19129" t="s">
        <v>29</v>
      </c>
    </row>
    <row r="19130" spans="1:14">
      <c r="A19130" s="4" t="str">
        <f t="shared" si="1337"/>
        <v>EXP00441</v>
      </c>
      <c r="B19130" s="3" t="s">
        <v>66</v>
      </c>
      <c r="C19130" s="4" t="str">
        <f t="shared" si="1336"/>
        <v>TCGA-STAD</v>
      </c>
      <c r="D19130" s="1" t="s">
        <v>493</v>
      </c>
      <c r="E19130" t="s">
        <v>580</v>
      </c>
      <c r="F19130" s="1">
        <v>2</v>
      </c>
      <c r="G19130" s="1" t="s">
        <v>28</v>
      </c>
      <c r="H19130" s="4" t="str">
        <f>HYPERLINK("https://portal.gdc.cancer.gov/cases/588abaea-ab16-42f4-9457-5901ee791b5f","TCGA-CG-5721-01A")</f>
        <v>TCGA-CG-5721-01A</v>
      </c>
      <c r="I19130" t="s">
        <v>574</v>
      </c>
      <c r="J19130" t="s">
        <v>575</v>
      </c>
      <c r="K19130" t="s">
        <v>33</v>
      </c>
      <c r="L19130" t="s">
        <v>246</v>
      </c>
      <c r="N19130" t="s">
        <v>29</v>
      </c>
    </row>
    <row r="19131" spans="1:14">
      <c r="A19131" s="4" t="str">
        <f t="shared" si="1337"/>
        <v>EXP00441</v>
      </c>
      <c r="B19131" s="3" t="s">
        <v>66</v>
      </c>
      <c r="C19131" s="4" t="str">
        <f t="shared" si="1336"/>
        <v>TCGA-STAD</v>
      </c>
      <c r="D19131" s="1" t="s">
        <v>493</v>
      </c>
      <c r="E19131" t="s">
        <v>580</v>
      </c>
      <c r="F19131" s="1">
        <v>2</v>
      </c>
      <c r="G19131" s="1" t="s">
        <v>28</v>
      </c>
      <c r="H19131" s="4" t="str">
        <f>HYPERLINK("https://portal.gdc.cancer.gov/cases/f35e8fef-f61d-4614-b73f-f7e1d0f21f52","TCGA-CG-5722-01A")</f>
        <v>TCGA-CG-5722-01A</v>
      </c>
      <c r="I19131" t="s">
        <v>574</v>
      </c>
      <c r="J19131" t="s">
        <v>575</v>
      </c>
      <c r="K19131" t="s">
        <v>33</v>
      </c>
      <c r="L19131" t="s">
        <v>246</v>
      </c>
      <c r="N19131" t="s">
        <v>29</v>
      </c>
    </row>
    <row r="19132" spans="1:14">
      <c r="A19132" s="4" t="str">
        <f t="shared" si="1337"/>
        <v>EXP00441</v>
      </c>
      <c r="B19132" s="3" t="s">
        <v>66</v>
      </c>
      <c r="C19132" s="4" t="str">
        <f t="shared" si="1336"/>
        <v>TCGA-STAD</v>
      </c>
      <c r="D19132" s="1" t="s">
        <v>493</v>
      </c>
      <c r="E19132" t="s">
        <v>580</v>
      </c>
      <c r="F19132" s="1">
        <v>2</v>
      </c>
      <c r="G19132" s="1" t="s">
        <v>28</v>
      </c>
      <c r="H19132" s="4" t="str">
        <f>HYPERLINK("https://portal.gdc.cancer.gov/cases/0f00ad32-e4be-49d4-a02a-d233bfc913c5","TCGA-CG-5723-01A")</f>
        <v>TCGA-CG-5723-01A</v>
      </c>
      <c r="I19132" t="s">
        <v>574</v>
      </c>
      <c r="J19132" t="s">
        <v>575</v>
      </c>
      <c r="K19132" t="s">
        <v>33</v>
      </c>
      <c r="L19132" t="s">
        <v>246</v>
      </c>
      <c r="N19132" t="s">
        <v>29</v>
      </c>
    </row>
    <row r="19133" spans="1:14">
      <c r="A19133" s="4" t="str">
        <f t="shared" si="1337"/>
        <v>EXP00441</v>
      </c>
      <c r="B19133" s="3" t="s">
        <v>66</v>
      </c>
      <c r="C19133" s="4" t="str">
        <f t="shared" si="1336"/>
        <v>TCGA-STAD</v>
      </c>
      <c r="D19133" s="1" t="s">
        <v>493</v>
      </c>
      <c r="E19133" t="s">
        <v>580</v>
      </c>
      <c r="F19133" s="1">
        <v>2</v>
      </c>
      <c r="G19133" s="1" t="s">
        <v>28</v>
      </c>
      <c r="H19133" s="4" t="str">
        <f>HYPERLINK("https://portal.gdc.cancer.gov/cases/0b4e8d73-459d-4930-9d1a-abb8d53e1844","TCGA-CG-5724-01A")</f>
        <v>TCGA-CG-5724-01A</v>
      </c>
      <c r="I19133" t="s">
        <v>574</v>
      </c>
      <c r="J19133" t="s">
        <v>575</v>
      </c>
      <c r="K19133" t="s">
        <v>33</v>
      </c>
      <c r="L19133" t="s">
        <v>246</v>
      </c>
      <c r="N19133" t="s">
        <v>29</v>
      </c>
    </row>
    <row r="19134" spans="1:14">
      <c r="A19134" s="4" t="str">
        <f t="shared" si="1337"/>
        <v>EXP00441</v>
      </c>
      <c r="B19134" s="3" t="s">
        <v>66</v>
      </c>
      <c r="C19134" s="4" t="str">
        <f t="shared" si="1336"/>
        <v>TCGA-STAD</v>
      </c>
      <c r="D19134" s="1" t="s">
        <v>493</v>
      </c>
      <c r="E19134" t="s">
        <v>580</v>
      </c>
      <c r="F19134" s="1">
        <v>2</v>
      </c>
      <c r="G19134" s="1" t="s">
        <v>28</v>
      </c>
      <c r="H19134" s="4" t="str">
        <f>HYPERLINK("https://portal.gdc.cancer.gov/cases/129d95ca-71ef-44aa-a93d-f87803c37c9a","TCGA-CG-5725-01A")</f>
        <v>TCGA-CG-5725-01A</v>
      </c>
      <c r="I19134" t="s">
        <v>574</v>
      </c>
      <c r="J19134" t="s">
        <v>575</v>
      </c>
      <c r="K19134" t="s">
        <v>33</v>
      </c>
      <c r="L19134" t="s">
        <v>246</v>
      </c>
      <c r="N19134" t="s">
        <v>29</v>
      </c>
    </row>
    <row r="19135" spans="1:14">
      <c r="A19135" s="4" t="str">
        <f t="shared" si="1337"/>
        <v>EXP00441</v>
      </c>
      <c r="B19135" s="3" t="s">
        <v>66</v>
      </c>
      <c r="C19135" s="4" t="str">
        <f t="shared" si="1336"/>
        <v>TCGA-STAD</v>
      </c>
      <c r="D19135" s="1" t="s">
        <v>493</v>
      </c>
      <c r="E19135" t="s">
        <v>580</v>
      </c>
      <c r="F19135" s="1">
        <v>2</v>
      </c>
      <c r="G19135" s="1" t="s">
        <v>28</v>
      </c>
      <c r="H19135" s="4" t="str">
        <f>HYPERLINK("https://portal.gdc.cancer.gov/cases/863ad936-e2a0-471c-8d95-3a548bb94afa","TCGA-CG-5726-01A")</f>
        <v>TCGA-CG-5726-01A</v>
      </c>
      <c r="I19135" t="s">
        <v>574</v>
      </c>
      <c r="J19135" t="s">
        <v>575</v>
      </c>
      <c r="K19135" t="s">
        <v>33</v>
      </c>
      <c r="L19135" t="s">
        <v>246</v>
      </c>
      <c r="N19135" t="s">
        <v>29</v>
      </c>
    </row>
    <row r="19136" spans="1:14">
      <c r="A19136" s="4" t="str">
        <f t="shared" si="1337"/>
        <v>EXP00441</v>
      </c>
      <c r="B19136" s="3" t="s">
        <v>66</v>
      </c>
      <c r="C19136" s="4" t="str">
        <f t="shared" si="1336"/>
        <v>TCGA-STAD</v>
      </c>
      <c r="D19136" s="1" t="s">
        <v>493</v>
      </c>
      <c r="E19136" t="s">
        <v>580</v>
      </c>
      <c r="F19136" s="1">
        <v>2</v>
      </c>
      <c r="G19136" s="1" t="s">
        <v>28</v>
      </c>
      <c r="H19136" s="4" t="str">
        <f>HYPERLINK("https://portal.gdc.cancer.gov/cases/e62d5f3c-0a99-4932-a589-bff4fa02b1d3","TCGA-CG-5732-01A")</f>
        <v>TCGA-CG-5732-01A</v>
      </c>
      <c r="I19136" t="s">
        <v>574</v>
      </c>
      <c r="J19136" t="s">
        <v>575</v>
      </c>
      <c r="K19136" t="s">
        <v>33</v>
      </c>
      <c r="L19136" t="s">
        <v>246</v>
      </c>
      <c r="N19136" t="s">
        <v>29</v>
      </c>
    </row>
    <row r="19137" spans="1:14">
      <c r="A19137" s="4" t="str">
        <f t="shared" si="1337"/>
        <v>EXP00441</v>
      </c>
      <c r="B19137" s="3" t="s">
        <v>66</v>
      </c>
      <c r="C19137" s="4" t="str">
        <f t="shared" si="1336"/>
        <v>TCGA-STAD</v>
      </c>
      <c r="D19137" s="1" t="s">
        <v>493</v>
      </c>
      <c r="E19137" t="s">
        <v>580</v>
      </c>
      <c r="F19137" s="1">
        <v>2</v>
      </c>
      <c r="G19137" s="1" t="s">
        <v>28</v>
      </c>
      <c r="H19137" s="4" t="str">
        <f>HYPERLINK("https://portal.gdc.cancer.gov/cases/2a227292-c73d-45fc-ab68-cdfaf7aef9e7","TCGA-CG-5734-01A")</f>
        <v>TCGA-CG-5734-01A</v>
      </c>
      <c r="I19137" t="s">
        <v>574</v>
      </c>
      <c r="J19137" t="s">
        <v>575</v>
      </c>
      <c r="K19137" t="s">
        <v>33</v>
      </c>
      <c r="L19137" t="s">
        <v>246</v>
      </c>
      <c r="N19137" t="s">
        <v>29</v>
      </c>
    </row>
    <row r="19138" spans="1:14">
      <c r="A19138" s="4" t="str">
        <f t="shared" si="1337"/>
        <v>EXP00441</v>
      </c>
      <c r="B19138" s="3" t="s">
        <v>66</v>
      </c>
      <c r="C19138" s="4" t="str">
        <f t="shared" si="1336"/>
        <v>TCGA-STAD</v>
      </c>
      <c r="D19138" s="1" t="s">
        <v>493</v>
      </c>
      <c r="E19138" t="s">
        <v>580</v>
      </c>
      <c r="F19138" s="1">
        <v>2</v>
      </c>
      <c r="G19138" s="1" t="s">
        <v>28</v>
      </c>
      <c r="H19138" s="4" t="str">
        <f>HYPERLINK("https://portal.gdc.cancer.gov/cases/2dc154aa-c478-404b-a92e-86abcc8dbdb7","TCGA-D7-5577-01A")</f>
        <v>TCGA-D7-5577-01A</v>
      </c>
      <c r="I19138" t="s">
        <v>574</v>
      </c>
      <c r="J19138" t="s">
        <v>575</v>
      </c>
      <c r="K19138" t="s">
        <v>33</v>
      </c>
      <c r="L19138" t="s">
        <v>246</v>
      </c>
      <c r="N19138" t="s">
        <v>29</v>
      </c>
    </row>
    <row r="19139" spans="1:14">
      <c r="A19139" s="4" t="str">
        <f t="shared" si="1337"/>
        <v>EXP00441</v>
      </c>
      <c r="B19139" s="3" t="s">
        <v>66</v>
      </c>
      <c r="C19139" s="4" t="str">
        <f t="shared" si="1336"/>
        <v>TCGA-STAD</v>
      </c>
      <c r="D19139" s="1" t="s">
        <v>493</v>
      </c>
      <c r="E19139" t="s">
        <v>580</v>
      </c>
      <c r="F19139" s="1">
        <v>2</v>
      </c>
      <c r="G19139" s="1" t="s">
        <v>28</v>
      </c>
      <c r="H19139" s="4" t="str">
        <f>HYPERLINK("https://portal.gdc.cancer.gov/cases/a3c1f9a2-9174-48cf-81dc-2afcfdc4ba9c","TCGA-D7-5578-01A")</f>
        <v>TCGA-D7-5578-01A</v>
      </c>
      <c r="I19139" t="s">
        <v>574</v>
      </c>
      <c r="J19139" t="s">
        <v>575</v>
      </c>
      <c r="K19139" t="s">
        <v>33</v>
      </c>
      <c r="L19139" t="s">
        <v>246</v>
      </c>
      <c r="N19139" t="s">
        <v>29</v>
      </c>
    </row>
    <row r="19140" spans="1:14">
      <c r="A19140" s="4" t="str">
        <f t="shared" si="1337"/>
        <v>EXP00441</v>
      </c>
      <c r="B19140" s="3" t="s">
        <v>66</v>
      </c>
      <c r="C19140" s="4" t="str">
        <f t="shared" si="1336"/>
        <v>TCGA-STAD</v>
      </c>
      <c r="D19140" s="1" t="s">
        <v>493</v>
      </c>
      <c r="E19140" t="s">
        <v>580</v>
      </c>
      <c r="F19140" s="1">
        <v>2</v>
      </c>
      <c r="G19140" s="1" t="s">
        <v>28</v>
      </c>
      <c r="H19140" s="4" t="str">
        <f>HYPERLINK("https://portal.gdc.cancer.gov/cases/e37cae9e-0656-4b89-b326-739a5cc859e0","TCGA-D7-6519-01A")</f>
        <v>TCGA-D7-6519-01A</v>
      </c>
      <c r="I19140" t="s">
        <v>574</v>
      </c>
      <c r="J19140" t="s">
        <v>575</v>
      </c>
      <c r="K19140" t="s">
        <v>33</v>
      </c>
      <c r="L19140" t="s">
        <v>246</v>
      </c>
      <c r="N19140" t="s">
        <v>29</v>
      </c>
    </row>
    <row r="19141" spans="1:14">
      <c r="A19141" s="4" t="str">
        <f t="shared" si="1337"/>
        <v>EXP00441</v>
      </c>
      <c r="B19141" s="3" t="s">
        <v>66</v>
      </c>
      <c r="C19141" s="4" t="str">
        <f t="shared" si="1336"/>
        <v>TCGA-STAD</v>
      </c>
      <c r="D19141" s="1" t="s">
        <v>493</v>
      </c>
      <c r="E19141" t="s">
        <v>580</v>
      </c>
      <c r="F19141" s="1">
        <v>2</v>
      </c>
      <c r="G19141" s="1" t="s">
        <v>28</v>
      </c>
      <c r="H19141" s="4" t="str">
        <f>HYPERLINK("https://portal.gdc.cancer.gov/cases/3c573af6-6298-49de-8de0-6a7f9ce9b000","TCGA-D7-6520-01A")</f>
        <v>TCGA-D7-6520-01A</v>
      </c>
      <c r="I19141" t="s">
        <v>574</v>
      </c>
      <c r="J19141" t="s">
        <v>575</v>
      </c>
      <c r="K19141" t="s">
        <v>33</v>
      </c>
      <c r="L19141" t="s">
        <v>246</v>
      </c>
      <c r="N19141" t="s">
        <v>29</v>
      </c>
    </row>
    <row r="19142" spans="1:14">
      <c r="A19142" s="4" t="str">
        <f t="shared" si="1337"/>
        <v>EXP00441</v>
      </c>
      <c r="B19142" s="3" t="s">
        <v>66</v>
      </c>
      <c r="C19142" s="4" t="str">
        <f t="shared" si="1336"/>
        <v>TCGA-STAD</v>
      </c>
      <c r="D19142" s="1" t="s">
        <v>493</v>
      </c>
      <c r="E19142" t="s">
        <v>580</v>
      </c>
      <c r="F19142" s="1">
        <v>2</v>
      </c>
      <c r="G19142" s="1" t="s">
        <v>28</v>
      </c>
      <c r="H19142" s="4" t="str">
        <f>HYPERLINK("https://portal.gdc.cancer.gov/cases/6de6b8e2-03eb-4f32-b5a3-bea73fc632b4","TCGA-D7-6521-01A")</f>
        <v>TCGA-D7-6521-01A</v>
      </c>
      <c r="I19142" t="s">
        <v>574</v>
      </c>
      <c r="J19142" t="s">
        <v>575</v>
      </c>
      <c r="K19142" t="s">
        <v>33</v>
      </c>
      <c r="L19142" t="s">
        <v>246</v>
      </c>
      <c r="N19142" t="s">
        <v>29</v>
      </c>
    </row>
    <row r="19143" spans="1:14">
      <c r="A19143" s="4" t="str">
        <f t="shared" si="1337"/>
        <v>EXP00441</v>
      </c>
      <c r="B19143" s="3" t="s">
        <v>66</v>
      </c>
      <c r="C19143" s="4" t="str">
        <f t="shared" si="1336"/>
        <v>TCGA-STAD</v>
      </c>
      <c r="D19143" s="1" t="s">
        <v>493</v>
      </c>
      <c r="E19143" t="s">
        <v>580</v>
      </c>
      <c r="F19143" s="1">
        <v>2</v>
      </c>
      <c r="G19143" s="1" t="s">
        <v>28</v>
      </c>
      <c r="H19143" s="4" t="str">
        <f>HYPERLINK("https://portal.gdc.cancer.gov/cases/8bb3facb-1933-4350-9f78-74537559e000","TCGA-D7-6522-01A")</f>
        <v>TCGA-D7-6522-01A</v>
      </c>
      <c r="I19143" t="s">
        <v>574</v>
      </c>
      <c r="J19143" t="s">
        <v>575</v>
      </c>
      <c r="K19143" t="s">
        <v>33</v>
      </c>
      <c r="L19143" t="s">
        <v>246</v>
      </c>
      <c r="N19143" t="s">
        <v>29</v>
      </c>
    </row>
    <row r="19144" spans="1:14">
      <c r="A19144" s="4" t="str">
        <f t="shared" si="1337"/>
        <v>EXP00441</v>
      </c>
      <c r="B19144" s="3" t="s">
        <v>66</v>
      </c>
      <c r="C19144" s="4" t="str">
        <f t="shared" si="1336"/>
        <v>TCGA-STAD</v>
      </c>
      <c r="D19144" s="1" t="s">
        <v>493</v>
      </c>
      <c r="E19144" t="s">
        <v>580</v>
      </c>
      <c r="F19144" s="1">
        <v>2</v>
      </c>
      <c r="G19144" s="1" t="s">
        <v>28</v>
      </c>
      <c r="H19144" s="4" t="str">
        <f>HYPERLINK("https://portal.gdc.cancer.gov/cases/7ef3f065-1928-4a58-b5a6-76dddb8488cf","TCGA-D7-6524-01A")</f>
        <v>TCGA-D7-6524-01A</v>
      </c>
      <c r="I19144" t="s">
        <v>574</v>
      </c>
      <c r="J19144" t="s">
        <v>575</v>
      </c>
      <c r="K19144" t="s">
        <v>33</v>
      </c>
      <c r="L19144" t="s">
        <v>246</v>
      </c>
      <c r="N19144" t="s">
        <v>29</v>
      </c>
    </row>
    <row r="19145" spans="1:14">
      <c r="A19145" s="4" t="str">
        <f t="shared" si="1337"/>
        <v>EXP00441</v>
      </c>
      <c r="B19145" s="3" t="s">
        <v>66</v>
      </c>
      <c r="C19145" s="4" t="str">
        <f t="shared" si="1336"/>
        <v>TCGA-STAD</v>
      </c>
      <c r="D19145" s="1" t="s">
        <v>493</v>
      </c>
      <c r="E19145" t="s">
        <v>580</v>
      </c>
      <c r="F19145" s="1">
        <v>2</v>
      </c>
      <c r="G19145" s="1" t="s">
        <v>28</v>
      </c>
      <c r="H19145" s="4" t="str">
        <f>HYPERLINK("https://portal.gdc.cancer.gov/cases/82f9a197-040d-4c5e-89d9-d87a7aa0168d","TCGA-D7-6525-01A")</f>
        <v>TCGA-D7-6525-01A</v>
      </c>
      <c r="I19145" t="s">
        <v>574</v>
      </c>
      <c r="J19145" t="s">
        <v>575</v>
      </c>
      <c r="K19145" t="s">
        <v>33</v>
      </c>
      <c r="L19145" t="s">
        <v>246</v>
      </c>
      <c r="N19145" t="s">
        <v>29</v>
      </c>
    </row>
    <row r="19146" spans="1:14">
      <c r="A19146" s="4" t="str">
        <f t="shared" si="1337"/>
        <v>EXP00441</v>
      </c>
      <c r="B19146" s="3" t="s">
        <v>66</v>
      </c>
      <c r="C19146" s="4" t="str">
        <f t="shared" si="1336"/>
        <v>TCGA-STAD</v>
      </c>
      <c r="D19146" s="1" t="s">
        <v>493</v>
      </c>
      <c r="E19146" t="s">
        <v>580</v>
      </c>
      <c r="F19146" s="1">
        <v>2</v>
      </c>
      <c r="G19146" s="1" t="s">
        <v>28</v>
      </c>
      <c r="H19146" s="4" t="str">
        <f>HYPERLINK("https://portal.gdc.cancer.gov/cases/a28e57e2-9071-4558-856a-162f7a837380","TCGA-D7-6526-01A")</f>
        <v>TCGA-D7-6526-01A</v>
      </c>
      <c r="I19146" t="s">
        <v>574</v>
      </c>
      <c r="J19146" t="s">
        <v>575</v>
      </c>
      <c r="K19146" t="s">
        <v>33</v>
      </c>
      <c r="L19146" t="s">
        <v>246</v>
      </c>
      <c r="N19146" t="s">
        <v>29</v>
      </c>
    </row>
    <row r="19147" spans="1:14">
      <c r="A19147" s="4" t="str">
        <f t="shared" si="1337"/>
        <v>EXP00441</v>
      </c>
      <c r="B19147" s="3" t="s">
        <v>66</v>
      </c>
      <c r="C19147" s="4" t="str">
        <f t="shared" si="1336"/>
        <v>TCGA-STAD</v>
      </c>
      <c r="D19147" s="1" t="s">
        <v>493</v>
      </c>
      <c r="E19147" t="s">
        <v>580</v>
      </c>
      <c r="F19147" s="1">
        <v>2</v>
      </c>
      <c r="G19147" s="1" t="s">
        <v>28</v>
      </c>
      <c r="H19147" s="4" t="str">
        <f>HYPERLINK("https://portal.gdc.cancer.gov/cases/cb622cd6-776d-4681-8a67-4addd61c66b8","TCGA-D7-6527-01A")</f>
        <v>TCGA-D7-6527-01A</v>
      </c>
      <c r="I19147" t="s">
        <v>574</v>
      </c>
      <c r="J19147" t="s">
        <v>575</v>
      </c>
      <c r="K19147" t="s">
        <v>33</v>
      </c>
      <c r="L19147" t="s">
        <v>246</v>
      </c>
      <c r="N19147" t="s">
        <v>29</v>
      </c>
    </row>
    <row r="19148" spans="1:14">
      <c r="A19148" s="4" t="str">
        <f t="shared" si="1337"/>
        <v>EXP00441</v>
      </c>
      <c r="B19148" s="3" t="s">
        <v>66</v>
      </c>
      <c r="C19148" s="4" t="str">
        <f t="shared" si="1336"/>
        <v>TCGA-STAD</v>
      </c>
      <c r="D19148" s="1" t="s">
        <v>493</v>
      </c>
      <c r="E19148" t="s">
        <v>580</v>
      </c>
      <c r="F19148" s="1">
        <v>2</v>
      </c>
      <c r="G19148" s="1" t="s">
        <v>28</v>
      </c>
      <c r="H19148" s="4" t="str">
        <f>HYPERLINK("https://portal.gdc.cancer.gov/cases/35496e4e-598f-4ffc-b11e-8edaeb676079","TCGA-D7-6528-01A")</f>
        <v>TCGA-D7-6528-01A</v>
      </c>
      <c r="I19148" t="s">
        <v>574</v>
      </c>
      <c r="J19148" t="s">
        <v>575</v>
      </c>
      <c r="K19148" t="s">
        <v>33</v>
      </c>
      <c r="L19148" t="s">
        <v>246</v>
      </c>
      <c r="N19148" t="s">
        <v>29</v>
      </c>
    </row>
    <row r="19149" spans="1:14">
      <c r="A19149" s="4" t="str">
        <f t="shared" si="1337"/>
        <v>EXP00441</v>
      </c>
      <c r="B19149" s="3" t="s">
        <v>66</v>
      </c>
      <c r="C19149" s="4" t="str">
        <f t="shared" si="1336"/>
        <v>TCGA-STAD</v>
      </c>
      <c r="D19149" s="1" t="s">
        <v>493</v>
      </c>
      <c r="E19149" t="s">
        <v>580</v>
      </c>
      <c r="F19149" s="1">
        <v>2</v>
      </c>
      <c r="G19149" s="1" t="s">
        <v>28</v>
      </c>
      <c r="H19149" s="4" t="str">
        <f>HYPERLINK("https://portal.gdc.cancer.gov/cases/53086e20-a727-40d6-b42d-8030109b5130","TCGA-D7-6815-01A")</f>
        <v>TCGA-D7-6815-01A</v>
      </c>
      <c r="I19149" t="s">
        <v>574</v>
      </c>
      <c r="J19149" t="s">
        <v>575</v>
      </c>
      <c r="K19149" t="s">
        <v>33</v>
      </c>
      <c r="L19149" t="s">
        <v>246</v>
      </c>
      <c r="N19149" t="s">
        <v>29</v>
      </c>
    </row>
    <row r="19150" spans="1:14">
      <c r="A19150" s="4" t="str">
        <f t="shared" si="1337"/>
        <v>EXP00441</v>
      </c>
      <c r="B19150" s="3" t="s">
        <v>66</v>
      </c>
      <c r="C19150" s="4" t="str">
        <f t="shared" si="1336"/>
        <v>TCGA-STAD</v>
      </c>
      <c r="D19150" s="1" t="s">
        <v>493</v>
      </c>
      <c r="E19150" t="s">
        <v>580</v>
      </c>
      <c r="F19150" s="1">
        <v>2</v>
      </c>
      <c r="G19150" s="1" t="s">
        <v>28</v>
      </c>
      <c r="H19150" s="4" t="str">
        <f>HYPERLINK("https://portal.gdc.cancer.gov/cases/aa2934f9-8783-428e-88a6-1d04b93fa1fd","TCGA-D7-6818-01A")</f>
        <v>TCGA-D7-6818-01A</v>
      </c>
      <c r="I19150" t="s">
        <v>574</v>
      </c>
      <c r="J19150" t="s">
        <v>575</v>
      </c>
      <c r="K19150" t="s">
        <v>33</v>
      </c>
      <c r="L19150" t="s">
        <v>246</v>
      </c>
      <c r="N19150" t="s">
        <v>29</v>
      </c>
    </row>
    <row r="19151" spans="1:14">
      <c r="A19151" s="4" t="str">
        <f t="shared" si="1337"/>
        <v>EXP00441</v>
      </c>
      <c r="B19151" s="3" t="s">
        <v>66</v>
      </c>
      <c r="C19151" s="4" t="str">
        <f t="shared" si="1336"/>
        <v>TCGA-STAD</v>
      </c>
      <c r="D19151" s="1" t="s">
        <v>493</v>
      </c>
      <c r="E19151" t="s">
        <v>580</v>
      </c>
      <c r="F19151" s="1">
        <v>2</v>
      </c>
      <c r="G19151" s="1" t="s">
        <v>28</v>
      </c>
      <c r="H19151" s="4" t="str">
        <f>HYPERLINK("https://portal.gdc.cancer.gov/cases/e2aaabd9-f4ba-4763-a28a-c14d46a4bc5d","TCGA-D7-6822-01A")</f>
        <v>TCGA-D7-6822-01A</v>
      </c>
      <c r="I19151" t="s">
        <v>574</v>
      </c>
      <c r="J19151" t="s">
        <v>575</v>
      </c>
      <c r="K19151" t="s">
        <v>33</v>
      </c>
      <c r="L19151" t="s">
        <v>246</v>
      </c>
      <c r="N19151" t="s">
        <v>29</v>
      </c>
    </row>
    <row r="19152" spans="1:14">
      <c r="A19152" s="4" t="str">
        <f t="shared" si="1337"/>
        <v>EXP00441</v>
      </c>
      <c r="B19152" s="3" t="s">
        <v>66</v>
      </c>
      <c r="C19152" s="4" t="str">
        <f t="shared" si="1336"/>
        <v>TCGA-STAD</v>
      </c>
      <c r="D19152" s="1" t="s">
        <v>493</v>
      </c>
      <c r="E19152" t="s">
        <v>580</v>
      </c>
      <c r="F19152" s="1">
        <v>2</v>
      </c>
      <c r="G19152" s="1" t="s">
        <v>28</v>
      </c>
      <c r="H19152" s="4" t="str">
        <f>HYPERLINK("https://portal.gdc.cancer.gov/cases/1e1cdf72-820f-48a4-8fb6-89575d07cde9","TCGA-D7-8570-01A")</f>
        <v>TCGA-D7-8570-01A</v>
      </c>
      <c r="I19152" t="s">
        <v>574</v>
      </c>
      <c r="J19152" t="s">
        <v>575</v>
      </c>
      <c r="K19152" t="s">
        <v>33</v>
      </c>
      <c r="L19152" t="s">
        <v>246</v>
      </c>
      <c r="N19152" t="s">
        <v>29</v>
      </c>
    </row>
    <row r="19153" spans="1:14">
      <c r="A19153" s="4" t="str">
        <f t="shared" si="1337"/>
        <v>EXP00441</v>
      </c>
      <c r="B19153" s="3" t="s">
        <v>66</v>
      </c>
      <c r="C19153" s="4" t="str">
        <f t="shared" si="1336"/>
        <v>TCGA-STAD</v>
      </c>
      <c r="D19153" s="1" t="s">
        <v>493</v>
      </c>
      <c r="E19153" t="s">
        <v>580</v>
      </c>
      <c r="F19153" s="1">
        <v>2</v>
      </c>
      <c r="G19153" s="1" t="s">
        <v>28</v>
      </c>
      <c r="H19153" s="4" t="str">
        <f>HYPERLINK("https://portal.gdc.cancer.gov/cases/8097fddc-c7b9-4192-89d7-6bcceb7465b5","TCGA-D7-8572-01A")</f>
        <v>TCGA-D7-8572-01A</v>
      </c>
      <c r="I19153" t="s">
        <v>574</v>
      </c>
      <c r="J19153" t="s">
        <v>575</v>
      </c>
      <c r="K19153" t="s">
        <v>33</v>
      </c>
      <c r="L19153" t="s">
        <v>246</v>
      </c>
      <c r="N19153" t="s">
        <v>29</v>
      </c>
    </row>
    <row r="19154" spans="1:14">
      <c r="A19154" s="4" t="str">
        <f t="shared" si="1337"/>
        <v>EXP00441</v>
      </c>
      <c r="B19154" s="3" t="s">
        <v>66</v>
      </c>
      <c r="C19154" s="4" t="str">
        <f t="shared" si="1336"/>
        <v>TCGA-STAD</v>
      </c>
      <c r="D19154" s="1" t="s">
        <v>493</v>
      </c>
      <c r="E19154" t="s">
        <v>580</v>
      </c>
      <c r="F19154" s="1">
        <v>2</v>
      </c>
      <c r="G19154" s="1" t="s">
        <v>28</v>
      </c>
      <c r="H19154" s="4" t="str">
        <f>HYPERLINK("https://portal.gdc.cancer.gov/cases/e4344668-5a50-4dde-8eec-f4d7f01f99fd","TCGA-D7-8573-01A")</f>
        <v>TCGA-D7-8573-01A</v>
      </c>
      <c r="I19154" t="s">
        <v>574</v>
      </c>
      <c r="J19154" t="s">
        <v>575</v>
      </c>
      <c r="K19154" t="s">
        <v>33</v>
      </c>
      <c r="L19154" t="s">
        <v>246</v>
      </c>
      <c r="N19154" t="s">
        <v>29</v>
      </c>
    </row>
    <row r="19155" spans="1:14">
      <c r="A19155" s="4" t="str">
        <f t="shared" si="1337"/>
        <v>EXP00441</v>
      </c>
      <c r="B19155" s="3" t="s">
        <v>66</v>
      </c>
      <c r="C19155" s="4" t="str">
        <f t="shared" si="1336"/>
        <v>TCGA-STAD</v>
      </c>
      <c r="D19155" s="1" t="s">
        <v>493</v>
      </c>
      <c r="E19155" t="s">
        <v>580</v>
      </c>
      <c r="F19155" s="1">
        <v>2</v>
      </c>
      <c r="G19155" s="1" t="s">
        <v>28</v>
      </c>
      <c r="H19155" s="4" t="str">
        <f>HYPERLINK("https://portal.gdc.cancer.gov/cases/a873475c-b2c7-4c84-bd89-5b9ee6060ce1","TCGA-D7-8574-01A")</f>
        <v>TCGA-D7-8574-01A</v>
      </c>
      <c r="I19155" t="s">
        <v>574</v>
      </c>
      <c r="J19155" t="s">
        <v>575</v>
      </c>
      <c r="K19155" t="s">
        <v>33</v>
      </c>
      <c r="L19155" t="s">
        <v>246</v>
      </c>
      <c r="N19155" t="s">
        <v>29</v>
      </c>
    </row>
    <row r="19156" spans="1:14">
      <c r="A19156" s="4" t="str">
        <f t="shared" si="1337"/>
        <v>EXP00441</v>
      </c>
      <c r="B19156" s="3" t="s">
        <v>66</v>
      </c>
      <c r="C19156" s="4" t="str">
        <f t="shared" si="1336"/>
        <v>TCGA-STAD</v>
      </c>
      <c r="D19156" s="1" t="s">
        <v>493</v>
      </c>
      <c r="E19156" t="s">
        <v>580</v>
      </c>
      <c r="F19156" s="1">
        <v>2</v>
      </c>
      <c r="G19156" s="1" t="s">
        <v>28</v>
      </c>
      <c r="H19156" s="4" t="str">
        <f>HYPERLINK("https://portal.gdc.cancer.gov/cases/00ee3098-1b32-4e7a-81ea-993773587c41","TCGA-D7-8575-01A")</f>
        <v>TCGA-D7-8575-01A</v>
      </c>
      <c r="I19156" t="s">
        <v>574</v>
      </c>
      <c r="J19156" t="s">
        <v>575</v>
      </c>
      <c r="K19156" t="s">
        <v>33</v>
      </c>
      <c r="L19156" t="s">
        <v>246</v>
      </c>
      <c r="N19156" t="s">
        <v>29</v>
      </c>
    </row>
    <row r="19157" spans="1:14">
      <c r="A19157" s="4" t="str">
        <f t="shared" si="1337"/>
        <v>EXP00441</v>
      </c>
      <c r="B19157" s="3" t="s">
        <v>66</v>
      </c>
      <c r="C19157" s="4" t="str">
        <f t="shared" si="1336"/>
        <v>TCGA-STAD</v>
      </c>
      <c r="D19157" s="1" t="s">
        <v>493</v>
      </c>
      <c r="E19157" t="s">
        <v>580</v>
      </c>
      <c r="F19157" s="1">
        <v>2</v>
      </c>
      <c r="G19157" s="1" t="s">
        <v>28</v>
      </c>
      <c r="H19157" s="4" t="str">
        <f>HYPERLINK("https://portal.gdc.cancer.gov/cases/ec8268c7-943d-451a-9036-f0196078b6c5","TCGA-D7-8576-01A")</f>
        <v>TCGA-D7-8576-01A</v>
      </c>
      <c r="I19157" t="s">
        <v>574</v>
      </c>
      <c r="J19157" t="s">
        <v>575</v>
      </c>
      <c r="K19157" t="s">
        <v>33</v>
      </c>
      <c r="L19157" t="s">
        <v>246</v>
      </c>
      <c r="N19157" t="s">
        <v>29</v>
      </c>
    </row>
    <row r="19158" spans="1:14">
      <c r="A19158" s="4" t="str">
        <f t="shared" si="1337"/>
        <v>EXP00441</v>
      </c>
      <c r="B19158" s="3" t="s">
        <v>66</v>
      </c>
      <c r="C19158" s="4" t="str">
        <f t="shared" si="1336"/>
        <v>TCGA-STAD</v>
      </c>
      <c r="D19158" s="1" t="s">
        <v>493</v>
      </c>
      <c r="E19158" t="s">
        <v>580</v>
      </c>
      <c r="F19158" s="1">
        <v>2</v>
      </c>
      <c r="G19158" s="1" t="s">
        <v>28</v>
      </c>
      <c r="H19158" s="4" t="str">
        <f>HYPERLINK("https://portal.gdc.cancer.gov/cases/50279b37-828d-4e18-b41f-f793c3923e75","TCGA-D7-8578-01A")</f>
        <v>TCGA-D7-8578-01A</v>
      </c>
      <c r="I19158" t="s">
        <v>574</v>
      </c>
      <c r="J19158" t="s">
        <v>575</v>
      </c>
      <c r="K19158" t="s">
        <v>33</v>
      </c>
      <c r="L19158" t="s">
        <v>246</v>
      </c>
      <c r="N19158" t="s">
        <v>29</v>
      </c>
    </row>
    <row r="19159" spans="1:14">
      <c r="A19159" s="4" t="str">
        <f t="shared" si="1337"/>
        <v>EXP00441</v>
      </c>
      <c r="B19159" s="3" t="s">
        <v>66</v>
      </c>
      <c r="C19159" s="4" t="str">
        <f t="shared" si="1336"/>
        <v>TCGA-STAD</v>
      </c>
      <c r="D19159" s="1" t="s">
        <v>493</v>
      </c>
      <c r="E19159" t="s">
        <v>580</v>
      </c>
      <c r="F19159" s="1">
        <v>2</v>
      </c>
      <c r="G19159" s="1" t="s">
        <v>28</v>
      </c>
      <c r="H19159" s="4" t="str">
        <f>HYPERLINK("https://portal.gdc.cancer.gov/cases/81a7f6a2-e44c-43d6-b687-01158eaf44ee","TCGA-D7-8579-01A")</f>
        <v>TCGA-D7-8579-01A</v>
      </c>
      <c r="I19159" t="s">
        <v>574</v>
      </c>
      <c r="J19159" t="s">
        <v>575</v>
      </c>
      <c r="K19159" t="s">
        <v>33</v>
      </c>
      <c r="L19159" t="s">
        <v>246</v>
      </c>
      <c r="N19159" t="s">
        <v>29</v>
      </c>
    </row>
    <row r="19160" spans="1:14">
      <c r="A19160" s="4" t="str">
        <f t="shared" si="1337"/>
        <v>EXP00441</v>
      </c>
      <c r="B19160" s="3" t="s">
        <v>66</v>
      </c>
      <c r="C19160" s="4" t="str">
        <f t="shared" si="1336"/>
        <v>TCGA-STAD</v>
      </c>
      <c r="D19160" s="1" t="s">
        <v>493</v>
      </c>
      <c r="E19160" t="s">
        <v>580</v>
      </c>
      <c r="F19160" s="1">
        <v>2</v>
      </c>
      <c r="G19160" s="1" t="s">
        <v>28</v>
      </c>
      <c r="H19160" s="4" t="str">
        <f>HYPERLINK("https://portal.gdc.cancer.gov/cases/32b44138-64e2-4bbf-aa2f-93a3b07ec670","TCGA-D7-A4YU-01A")</f>
        <v>TCGA-D7-A4YU-01A</v>
      </c>
      <c r="I19160" t="s">
        <v>574</v>
      </c>
      <c r="J19160" t="s">
        <v>575</v>
      </c>
      <c r="K19160" t="s">
        <v>33</v>
      </c>
      <c r="L19160" t="s">
        <v>246</v>
      </c>
      <c r="N19160" t="s">
        <v>29</v>
      </c>
    </row>
    <row r="19161" spans="1:14">
      <c r="A19161" s="4" t="str">
        <f t="shared" si="1337"/>
        <v>EXP00441</v>
      </c>
      <c r="B19161" s="3" t="s">
        <v>66</v>
      </c>
      <c r="C19161" s="4" t="str">
        <f t="shared" si="1336"/>
        <v>TCGA-STAD</v>
      </c>
      <c r="D19161" s="1" t="s">
        <v>493</v>
      </c>
      <c r="E19161" t="s">
        <v>580</v>
      </c>
      <c r="F19161" s="1">
        <v>2</v>
      </c>
      <c r="G19161" s="1" t="s">
        <v>28</v>
      </c>
      <c r="H19161" s="4" t="str">
        <f>HYPERLINK("https://portal.gdc.cancer.gov/cases/2b4f014f-74e9-4dda-a1ad-abcbd124fc44","TCGA-D7-A4YX-01A")</f>
        <v>TCGA-D7-A4YX-01A</v>
      </c>
      <c r="I19161" t="s">
        <v>574</v>
      </c>
      <c r="J19161" t="s">
        <v>575</v>
      </c>
      <c r="K19161" t="s">
        <v>33</v>
      </c>
      <c r="L19161" t="s">
        <v>246</v>
      </c>
      <c r="N19161" t="s">
        <v>29</v>
      </c>
    </row>
    <row r="19162" spans="1:14">
      <c r="A19162" s="4" t="str">
        <f t="shared" si="1337"/>
        <v>EXP00441</v>
      </c>
      <c r="B19162" s="3" t="s">
        <v>66</v>
      </c>
      <c r="C19162" s="4" t="str">
        <f t="shared" si="1336"/>
        <v>TCGA-STAD</v>
      </c>
      <c r="D19162" s="1" t="s">
        <v>493</v>
      </c>
      <c r="E19162" t="s">
        <v>580</v>
      </c>
      <c r="F19162" s="1">
        <v>2</v>
      </c>
      <c r="G19162" s="1" t="s">
        <v>28</v>
      </c>
      <c r="H19162" s="4" t="str">
        <f>HYPERLINK("https://portal.gdc.cancer.gov/cases/dce21359-004f-4e8b-89e4-9e1a30faffdf","TCGA-D7-A4Z0-01A")</f>
        <v>TCGA-D7-A4Z0-01A</v>
      </c>
      <c r="I19162" t="s">
        <v>574</v>
      </c>
      <c r="J19162" t="s">
        <v>575</v>
      </c>
      <c r="K19162" t="s">
        <v>33</v>
      </c>
      <c r="L19162" t="s">
        <v>246</v>
      </c>
      <c r="N19162" t="s">
        <v>29</v>
      </c>
    </row>
    <row r="19163" spans="1:14">
      <c r="A19163" s="4" t="str">
        <f t="shared" si="1337"/>
        <v>EXP00441</v>
      </c>
      <c r="B19163" s="3" t="s">
        <v>66</v>
      </c>
      <c r="C19163" s="4" t="str">
        <f t="shared" si="1336"/>
        <v>TCGA-STAD</v>
      </c>
      <c r="D19163" s="1" t="s">
        <v>493</v>
      </c>
      <c r="E19163" t="s">
        <v>580</v>
      </c>
      <c r="F19163" s="1">
        <v>2</v>
      </c>
      <c r="G19163" s="1" t="s">
        <v>28</v>
      </c>
      <c r="H19163" s="4" t="str">
        <f>HYPERLINK("https://portal.gdc.cancer.gov/cases/72b10481-7b16-469f-b133-464609569adf","TCGA-D7-A6EV-01A")</f>
        <v>TCGA-D7-A6EV-01A</v>
      </c>
      <c r="I19163" t="s">
        <v>574</v>
      </c>
      <c r="J19163" t="s">
        <v>575</v>
      </c>
      <c r="K19163" t="s">
        <v>33</v>
      </c>
      <c r="L19163" t="s">
        <v>246</v>
      </c>
      <c r="N19163" t="s">
        <v>29</v>
      </c>
    </row>
    <row r="19164" spans="1:14">
      <c r="A19164" s="4" t="str">
        <f t="shared" si="1337"/>
        <v>EXP00441</v>
      </c>
      <c r="B19164" s="3" t="s">
        <v>66</v>
      </c>
      <c r="C19164" s="4" t="str">
        <f t="shared" si="1336"/>
        <v>TCGA-STAD</v>
      </c>
      <c r="D19164" s="1" t="s">
        <v>493</v>
      </c>
      <c r="E19164" t="s">
        <v>580</v>
      </c>
      <c r="F19164" s="1">
        <v>2</v>
      </c>
      <c r="G19164" s="1" t="s">
        <v>28</v>
      </c>
      <c r="H19164" s="4" t="str">
        <f>HYPERLINK("https://portal.gdc.cancer.gov/cases/1b391187-1d9a-4428-ba9a-ef1800f17d3e","TCGA-D7-A6EX-01A")</f>
        <v>TCGA-D7-A6EX-01A</v>
      </c>
      <c r="I19164" t="s">
        <v>574</v>
      </c>
      <c r="J19164" t="s">
        <v>575</v>
      </c>
      <c r="K19164" t="s">
        <v>33</v>
      </c>
      <c r="L19164" t="s">
        <v>246</v>
      </c>
      <c r="N19164" t="s">
        <v>29</v>
      </c>
    </row>
    <row r="19165" spans="1:14">
      <c r="A19165" s="4" t="str">
        <f t="shared" si="1337"/>
        <v>EXP00441</v>
      </c>
      <c r="B19165" s="3" t="s">
        <v>66</v>
      </c>
      <c r="C19165" s="4" t="str">
        <f t="shared" si="1336"/>
        <v>TCGA-STAD</v>
      </c>
      <c r="D19165" s="1" t="s">
        <v>493</v>
      </c>
      <c r="E19165" t="s">
        <v>580</v>
      </c>
      <c r="F19165" s="1">
        <v>2</v>
      </c>
      <c r="G19165" s="1" t="s">
        <v>28</v>
      </c>
      <c r="H19165" s="4" t="str">
        <f>HYPERLINK("https://portal.gdc.cancer.gov/cases/73bd696b-0f35-4f70-8888-8153b1ba9ee4","TCGA-D7-A6EY-01A")</f>
        <v>TCGA-D7-A6EY-01A</v>
      </c>
      <c r="I19165" t="s">
        <v>574</v>
      </c>
      <c r="J19165" t="s">
        <v>575</v>
      </c>
      <c r="K19165" t="s">
        <v>33</v>
      </c>
      <c r="L19165" t="s">
        <v>246</v>
      </c>
      <c r="N19165" t="s">
        <v>29</v>
      </c>
    </row>
    <row r="19166" spans="1:14">
      <c r="A19166" s="4" t="str">
        <f t="shared" si="1337"/>
        <v>EXP00441</v>
      </c>
      <c r="B19166" s="3" t="s">
        <v>66</v>
      </c>
      <c r="C19166" s="4" t="str">
        <f t="shared" si="1336"/>
        <v>TCGA-STAD</v>
      </c>
      <c r="D19166" s="1" t="s">
        <v>493</v>
      </c>
      <c r="E19166" t="s">
        <v>580</v>
      </c>
      <c r="F19166" s="1">
        <v>2</v>
      </c>
      <c r="G19166" s="1" t="s">
        <v>28</v>
      </c>
      <c r="H19166" s="4" t="str">
        <f>HYPERLINK("https://portal.gdc.cancer.gov/cases/263b18e1-5722-4650-b16b-dac1961a3af8","TCGA-D7-A6EZ-01A")</f>
        <v>TCGA-D7-A6EZ-01A</v>
      </c>
      <c r="I19166" t="s">
        <v>574</v>
      </c>
      <c r="J19166" t="s">
        <v>575</v>
      </c>
      <c r="K19166" t="s">
        <v>33</v>
      </c>
      <c r="L19166" t="s">
        <v>246</v>
      </c>
      <c r="N19166" t="s">
        <v>29</v>
      </c>
    </row>
    <row r="19167" spans="1:14">
      <c r="A19167" s="4" t="str">
        <f t="shared" si="1337"/>
        <v>EXP00441</v>
      </c>
      <c r="B19167" s="3" t="s">
        <v>66</v>
      </c>
      <c r="C19167" s="4" t="str">
        <f t="shared" si="1336"/>
        <v>TCGA-STAD</v>
      </c>
      <c r="D19167" s="1" t="s">
        <v>493</v>
      </c>
      <c r="E19167" t="s">
        <v>580</v>
      </c>
      <c r="F19167" s="1">
        <v>2</v>
      </c>
      <c r="G19167" s="1" t="s">
        <v>28</v>
      </c>
      <c r="H19167" s="4" t="str">
        <f>HYPERLINK("https://portal.gdc.cancer.gov/cases/b1fee7af-8030-4d93-94ac-6294683d4298","TCGA-D7-A6F0-01A")</f>
        <v>TCGA-D7-A6F0-01A</v>
      </c>
      <c r="I19167" t="s">
        <v>574</v>
      </c>
      <c r="J19167" t="s">
        <v>575</v>
      </c>
      <c r="K19167" t="s">
        <v>33</v>
      </c>
      <c r="L19167" t="s">
        <v>246</v>
      </c>
      <c r="N19167" t="s">
        <v>29</v>
      </c>
    </row>
    <row r="19168" spans="1:14">
      <c r="A19168" s="4" t="str">
        <f t="shared" si="1337"/>
        <v>EXP00441</v>
      </c>
      <c r="B19168" s="3" t="s">
        <v>66</v>
      </c>
      <c r="C19168" s="4" t="str">
        <f t="shared" si="1336"/>
        <v>TCGA-STAD</v>
      </c>
      <c r="D19168" s="1" t="s">
        <v>493</v>
      </c>
      <c r="E19168" t="s">
        <v>580</v>
      </c>
      <c r="F19168" s="1">
        <v>2</v>
      </c>
      <c r="G19168" s="1" t="s">
        <v>28</v>
      </c>
      <c r="H19168" s="4" t="str">
        <f>HYPERLINK("https://portal.gdc.cancer.gov/cases/f4b1e633-38e6-4cc6-a0c6-911582d4066b","TCGA-D7-A6F2-01A")</f>
        <v>TCGA-D7-A6F2-01A</v>
      </c>
      <c r="I19168" t="s">
        <v>574</v>
      </c>
      <c r="J19168" t="s">
        <v>575</v>
      </c>
      <c r="K19168" t="s">
        <v>33</v>
      </c>
      <c r="L19168" t="s">
        <v>246</v>
      </c>
      <c r="N19168" t="s">
        <v>29</v>
      </c>
    </row>
    <row r="19169" spans="1:14">
      <c r="A19169" s="4" t="str">
        <f t="shared" si="1337"/>
        <v>EXP00441</v>
      </c>
      <c r="B19169" s="3" t="s">
        <v>66</v>
      </c>
      <c r="C19169" s="4" t="str">
        <f t="shared" si="1336"/>
        <v>TCGA-STAD</v>
      </c>
      <c r="D19169" s="1" t="s">
        <v>493</v>
      </c>
      <c r="E19169" t="s">
        <v>580</v>
      </c>
      <c r="F19169" s="1">
        <v>2</v>
      </c>
      <c r="G19169" s="1" t="s">
        <v>28</v>
      </c>
      <c r="H19169" s="4" t="str">
        <f>HYPERLINK("https://portal.gdc.cancer.gov/cases/37f93d19-c78f-4fbc-affb-5a2ccc84be1b","TCGA-D7-A747-01A")</f>
        <v>TCGA-D7-A747-01A</v>
      </c>
      <c r="I19169" t="s">
        <v>574</v>
      </c>
      <c r="J19169" t="s">
        <v>575</v>
      </c>
      <c r="K19169" t="s">
        <v>33</v>
      </c>
      <c r="L19169" t="s">
        <v>246</v>
      </c>
      <c r="N19169" t="s">
        <v>29</v>
      </c>
    </row>
    <row r="19170" spans="1:14">
      <c r="A19170" s="4" t="str">
        <f t="shared" si="1337"/>
        <v>EXP00441</v>
      </c>
      <c r="B19170" s="3" t="s">
        <v>66</v>
      </c>
      <c r="C19170" s="4" t="str">
        <f t="shared" si="1336"/>
        <v>TCGA-STAD</v>
      </c>
      <c r="D19170" s="1" t="s">
        <v>493</v>
      </c>
      <c r="E19170" t="s">
        <v>580</v>
      </c>
      <c r="F19170" s="1">
        <v>2</v>
      </c>
      <c r="G19170" s="1" t="s">
        <v>28</v>
      </c>
      <c r="H19170" s="4" t="str">
        <f>HYPERLINK("https://portal.gdc.cancer.gov/cases/40837a4d-7931-497c-a6bf-6a661813c443","TCGA-D7-A74A-01A")</f>
        <v>TCGA-D7-A74A-01A</v>
      </c>
      <c r="I19170" t="s">
        <v>574</v>
      </c>
      <c r="J19170" t="s">
        <v>575</v>
      </c>
      <c r="K19170" t="s">
        <v>33</v>
      </c>
      <c r="L19170" t="s">
        <v>246</v>
      </c>
      <c r="N19170" t="s">
        <v>29</v>
      </c>
    </row>
    <row r="19171" spans="1:14">
      <c r="A19171" s="4" t="str">
        <f t="shared" si="1337"/>
        <v>EXP00441</v>
      </c>
      <c r="B19171" s="3" t="s">
        <v>66</v>
      </c>
      <c r="C19171" s="4" t="str">
        <f t="shared" si="1336"/>
        <v>TCGA-STAD</v>
      </c>
      <c r="D19171" s="1" t="s">
        <v>493</v>
      </c>
      <c r="E19171" t="s">
        <v>580</v>
      </c>
      <c r="F19171" s="1">
        <v>2</v>
      </c>
      <c r="G19171" s="1" t="s">
        <v>28</v>
      </c>
      <c r="H19171" s="4" t="str">
        <f>HYPERLINK("https://portal.gdc.cancer.gov/cases/4e921bc8-df5d-4f54-93d1-d5a433f91bdb","TCGA-EQ-8122-01A")</f>
        <v>TCGA-EQ-8122-01A</v>
      </c>
      <c r="I19171" t="s">
        <v>574</v>
      </c>
      <c r="J19171" t="s">
        <v>575</v>
      </c>
      <c r="K19171" t="s">
        <v>33</v>
      </c>
      <c r="L19171" t="s">
        <v>246</v>
      </c>
      <c r="N19171" t="s">
        <v>29</v>
      </c>
    </row>
    <row r="19172" spans="1:14">
      <c r="A19172" s="4" t="str">
        <f t="shared" si="1337"/>
        <v>EXP00441</v>
      </c>
      <c r="B19172" s="3" t="s">
        <v>66</v>
      </c>
      <c r="C19172" s="4" t="str">
        <f t="shared" si="1336"/>
        <v>TCGA-STAD</v>
      </c>
      <c r="D19172" s="1" t="s">
        <v>493</v>
      </c>
      <c r="E19172" t="s">
        <v>580</v>
      </c>
      <c r="F19172" s="1">
        <v>2</v>
      </c>
      <c r="G19172" s="1" t="s">
        <v>28</v>
      </c>
      <c r="H19172" s="4" t="str">
        <f>HYPERLINK("https://portal.gdc.cancer.gov/cases/c3cba26e-38c2-4569-afd6-6b045e604808","TCGA-F1-6177-01A")</f>
        <v>TCGA-F1-6177-01A</v>
      </c>
      <c r="I19172" t="s">
        <v>574</v>
      </c>
      <c r="J19172" t="s">
        <v>575</v>
      </c>
      <c r="K19172" t="s">
        <v>33</v>
      </c>
      <c r="L19172" t="s">
        <v>246</v>
      </c>
      <c r="N19172" t="s">
        <v>29</v>
      </c>
    </row>
    <row r="19173" spans="1:14">
      <c r="A19173" s="4" t="str">
        <f t="shared" si="1337"/>
        <v>EXP00441</v>
      </c>
      <c r="B19173" s="3" t="s">
        <v>66</v>
      </c>
      <c r="C19173" s="4" t="str">
        <f t="shared" si="1336"/>
        <v>TCGA-STAD</v>
      </c>
      <c r="D19173" s="1" t="s">
        <v>493</v>
      </c>
      <c r="E19173" t="s">
        <v>580</v>
      </c>
      <c r="F19173" s="1">
        <v>2</v>
      </c>
      <c r="G19173" s="1" t="s">
        <v>28</v>
      </c>
      <c r="H19173" s="4" t="str">
        <f>HYPERLINK("https://portal.gdc.cancer.gov/cases/106f3344-f699-4b2c-8f62-4ac6c948dde4","TCGA-F1-6874-01A")</f>
        <v>TCGA-F1-6874-01A</v>
      </c>
      <c r="I19173" t="s">
        <v>574</v>
      </c>
      <c r="J19173" t="s">
        <v>575</v>
      </c>
      <c r="K19173" t="s">
        <v>33</v>
      </c>
      <c r="L19173" t="s">
        <v>246</v>
      </c>
      <c r="N19173" t="s">
        <v>29</v>
      </c>
    </row>
    <row r="19174" spans="1:14">
      <c r="A19174" s="4" t="str">
        <f t="shared" si="1337"/>
        <v>EXP00441</v>
      </c>
      <c r="B19174" s="3" t="s">
        <v>66</v>
      </c>
      <c r="C19174" s="4" t="str">
        <f t="shared" si="1336"/>
        <v>TCGA-STAD</v>
      </c>
      <c r="D19174" s="1" t="s">
        <v>493</v>
      </c>
      <c r="E19174" t="s">
        <v>580</v>
      </c>
      <c r="F19174" s="1">
        <v>2</v>
      </c>
      <c r="G19174" s="1" t="s">
        <v>28</v>
      </c>
      <c r="H19174" s="4" t="str">
        <f>HYPERLINK("https://portal.gdc.cancer.gov/cases/283776cd-32e8-4a79-bed1-1411c9d3a9e0","TCGA-F1-6875-01A")</f>
        <v>TCGA-F1-6875-01A</v>
      </c>
      <c r="I19174" t="s">
        <v>574</v>
      </c>
      <c r="J19174" t="s">
        <v>575</v>
      </c>
      <c r="K19174" t="s">
        <v>33</v>
      </c>
      <c r="L19174" t="s">
        <v>246</v>
      </c>
      <c r="N19174" t="s">
        <v>29</v>
      </c>
    </row>
    <row r="19175" spans="1:14">
      <c r="A19175" s="4" t="str">
        <f t="shared" si="1337"/>
        <v>EXP00441</v>
      </c>
      <c r="B19175" s="3" t="s">
        <v>66</v>
      </c>
      <c r="C19175" s="4" t="str">
        <f t="shared" si="1336"/>
        <v>TCGA-STAD</v>
      </c>
      <c r="D19175" s="1" t="s">
        <v>493</v>
      </c>
      <c r="E19175" t="s">
        <v>580</v>
      </c>
      <c r="F19175" s="1">
        <v>2</v>
      </c>
      <c r="G19175" s="1" t="s">
        <v>28</v>
      </c>
      <c r="H19175" s="4" t="str">
        <f>HYPERLINK("https://portal.gdc.cancer.gov/cases/cca74404-cd91-4a69-ae09-bfb5d9142d3d","TCGA-F1-A448-01A")</f>
        <v>TCGA-F1-A448-01A</v>
      </c>
      <c r="I19175" t="s">
        <v>574</v>
      </c>
      <c r="J19175" t="s">
        <v>575</v>
      </c>
      <c r="K19175" t="s">
        <v>33</v>
      </c>
      <c r="L19175" t="s">
        <v>246</v>
      </c>
      <c r="N19175" t="s">
        <v>29</v>
      </c>
    </row>
    <row r="19176" spans="1:14">
      <c r="A19176" s="4" t="str">
        <f t="shared" si="1337"/>
        <v>EXP00441</v>
      </c>
      <c r="B19176" s="3" t="s">
        <v>66</v>
      </c>
      <c r="C19176" s="4" t="str">
        <f t="shared" ref="C19176:C19239" si="1338">HYPERLINK("https://portal.gdc.cancer.gov/projects/TCGA-STAD","TCGA-STAD")</f>
        <v>TCGA-STAD</v>
      </c>
      <c r="D19176" s="1" t="s">
        <v>493</v>
      </c>
      <c r="E19176" t="s">
        <v>580</v>
      </c>
      <c r="F19176" s="1">
        <v>2</v>
      </c>
      <c r="G19176" s="1" t="s">
        <v>28</v>
      </c>
      <c r="H19176" s="4" t="str">
        <f>HYPERLINK("https://portal.gdc.cancer.gov/cases/5c76cb89-b1b1-4910-b811-e44d3b277430","TCGA-F1-A72C-01A")</f>
        <v>TCGA-F1-A72C-01A</v>
      </c>
      <c r="I19176" t="s">
        <v>574</v>
      </c>
      <c r="J19176" t="s">
        <v>575</v>
      </c>
      <c r="K19176" t="s">
        <v>33</v>
      </c>
      <c r="L19176" t="s">
        <v>246</v>
      </c>
      <c r="N19176" t="s">
        <v>29</v>
      </c>
    </row>
    <row r="19177" spans="1:14">
      <c r="A19177" s="4" t="str">
        <f t="shared" si="1337"/>
        <v>EXP00441</v>
      </c>
      <c r="B19177" s="3" t="s">
        <v>66</v>
      </c>
      <c r="C19177" s="4" t="str">
        <f t="shared" si="1338"/>
        <v>TCGA-STAD</v>
      </c>
      <c r="D19177" s="1" t="s">
        <v>493</v>
      </c>
      <c r="E19177" t="s">
        <v>580</v>
      </c>
      <c r="F19177" s="1">
        <v>2</v>
      </c>
      <c r="G19177" s="1" t="s">
        <v>28</v>
      </c>
      <c r="H19177" s="4" t="str">
        <f>HYPERLINK("https://portal.gdc.cancer.gov/cases/1d43af3c-4279-4aed-9ced-ce3896a48ae0","TCGA-FP-7735-01A")</f>
        <v>TCGA-FP-7735-01A</v>
      </c>
      <c r="I19177" t="s">
        <v>574</v>
      </c>
      <c r="J19177" t="s">
        <v>575</v>
      </c>
      <c r="K19177" t="s">
        <v>33</v>
      </c>
      <c r="L19177" t="s">
        <v>246</v>
      </c>
      <c r="N19177" t="s">
        <v>29</v>
      </c>
    </row>
    <row r="19178" spans="1:14">
      <c r="A19178" s="4" t="str">
        <f t="shared" si="1337"/>
        <v>EXP00441</v>
      </c>
      <c r="B19178" s="3" t="s">
        <v>66</v>
      </c>
      <c r="C19178" s="4" t="str">
        <f t="shared" si="1338"/>
        <v>TCGA-STAD</v>
      </c>
      <c r="D19178" s="1" t="s">
        <v>493</v>
      </c>
      <c r="E19178" t="s">
        <v>580</v>
      </c>
      <c r="F19178" s="1">
        <v>2</v>
      </c>
      <c r="G19178" s="1" t="s">
        <v>28</v>
      </c>
      <c r="H19178" s="4" t="str">
        <f>HYPERLINK("https://portal.gdc.cancer.gov/cases/45aacbb4-0fd8-431c-a57b-279ea57a19fc","TCGA-FP-7829-01A")</f>
        <v>TCGA-FP-7829-01A</v>
      </c>
      <c r="I19178" t="s">
        <v>574</v>
      </c>
      <c r="J19178" t="s">
        <v>575</v>
      </c>
      <c r="K19178" t="s">
        <v>33</v>
      </c>
      <c r="L19178" t="s">
        <v>246</v>
      </c>
      <c r="N19178" t="s">
        <v>29</v>
      </c>
    </row>
    <row r="19179" spans="1:14">
      <c r="A19179" s="4" t="str">
        <f t="shared" si="1337"/>
        <v>EXP00441</v>
      </c>
      <c r="B19179" s="3" t="s">
        <v>66</v>
      </c>
      <c r="C19179" s="4" t="str">
        <f t="shared" si="1338"/>
        <v>TCGA-STAD</v>
      </c>
      <c r="D19179" s="1" t="s">
        <v>493</v>
      </c>
      <c r="E19179" t="s">
        <v>580</v>
      </c>
      <c r="F19179" s="1">
        <v>2</v>
      </c>
      <c r="G19179" s="1" t="s">
        <v>28</v>
      </c>
      <c r="H19179" s="4" t="str">
        <f>HYPERLINK("https://portal.gdc.cancer.gov/cases/d384dd0c-1947-4ffc-bee9-de38311d8249","TCGA-FP-7916-01A")</f>
        <v>TCGA-FP-7916-01A</v>
      </c>
      <c r="I19179" t="s">
        <v>574</v>
      </c>
      <c r="J19179" t="s">
        <v>575</v>
      </c>
      <c r="K19179" t="s">
        <v>33</v>
      </c>
      <c r="L19179" t="s">
        <v>246</v>
      </c>
      <c r="N19179" t="s">
        <v>29</v>
      </c>
    </row>
    <row r="19180" spans="1:14">
      <c r="A19180" s="4" t="str">
        <f t="shared" si="1337"/>
        <v>EXP00441</v>
      </c>
      <c r="B19180" s="3" t="s">
        <v>66</v>
      </c>
      <c r="C19180" s="4" t="str">
        <f t="shared" si="1338"/>
        <v>TCGA-STAD</v>
      </c>
      <c r="D19180" s="1" t="s">
        <v>493</v>
      </c>
      <c r="E19180" t="s">
        <v>580</v>
      </c>
      <c r="F19180" s="1">
        <v>2</v>
      </c>
      <c r="G19180" s="1" t="s">
        <v>28</v>
      </c>
      <c r="H19180" s="4" t="str">
        <f>HYPERLINK("https://portal.gdc.cancer.gov/cases/b2e2d35c-7a79-4165-97a5-82d5c37d94f2","TCGA-FP-7998-01A")</f>
        <v>TCGA-FP-7998-01A</v>
      </c>
      <c r="I19180" t="s">
        <v>574</v>
      </c>
      <c r="J19180" t="s">
        <v>575</v>
      </c>
      <c r="K19180" t="s">
        <v>33</v>
      </c>
      <c r="L19180" t="s">
        <v>246</v>
      </c>
      <c r="N19180" t="s">
        <v>29</v>
      </c>
    </row>
    <row r="19181" spans="1:14">
      <c r="A19181" s="4" t="str">
        <f t="shared" si="1337"/>
        <v>EXP00441</v>
      </c>
      <c r="B19181" s="3" t="s">
        <v>66</v>
      </c>
      <c r="C19181" s="4" t="str">
        <f t="shared" si="1338"/>
        <v>TCGA-STAD</v>
      </c>
      <c r="D19181" s="1" t="s">
        <v>493</v>
      </c>
      <c r="E19181" t="s">
        <v>580</v>
      </c>
      <c r="F19181" s="1">
        <v>2</v>
      </c>
      <c r="G19181" s="1" t="s">
        <v>28</v>
      </c>
      <c r="H19181" s="4" t="str">
        <f>HYPERLINK("https://portal.gdc.cancer.gov/cases/5956529e-f359-47c9-8222-0bd7f68c1e65","TCGA-FP-8099-01A")</f>
        <v>TCGA-FP-8099-01A</v>
      </c>
      <c r="I19181" t="s">
        <v>574</v>
      </c>
      <c r="J19181" t="s">
        <v>575</v>
      </c>
      <c r="K19181" t="s">
        <v>33</v>
      </c>
      <c r="L19181" t="s">
        <v>246</v>
      </c>
      <c r="N19181" t="s">
        <v>29</v>
      </c>
    </row>
    <row r="19182" spans="1:14">
      <c r="A19182" s="4" t="str">
        <f t="shared" si="1337"/>
        <v>EXP00441</v>
      </c>
      <c r="B19182" s="3" t="s">
        <v>66</v>
      </c>
      <c r="C19182" s="4" t="str">
        <f t="shared" si="1338"/>
        <v>TCGA-STAD</v>
      </c>
      <c r="D19182" s="1" t="s">
        <v>493</v>
      </c>
      <c r="E19182" t="s">
        <v>580</v>
      </c>
      <c r="F19182" s="1">
        <v>2</v>
      </c>
      <c r="G19182" s="1" t="s">
        <v>28</v>
      </c>
      <c r="H19182" s="4" t="str">
        <f>HYPERLINK("https://portal.gdc.cancer.gov/cases/92654ad8-156c-4dd1-862e-dc339240d721","TCGA-FP-8210-01A")</f>
        <v>TCGA-FP-8210-01A</v>
      </c>
      <c r="I19182" t="s">
        <v>574</v>
      </c>
      <c r="J19182" t="s">
        <v>575</v>
      </c>
      <c r="K19182" t="s">
        <v>33</v>
      </c>
      <c r="L19182" t="s">
        <v>246</v>
      </c>
      <c r="N19182" t="s">
        <v>29</v>
      </c>
    </row>
    <row r="19183" spans="1:14">
      <c r="A19183" s="4" t="str">
        <f t="shared" si="1337"/>
        <v>EXP00441</v>
      </c>
      <c r="B19183" s="3" t="s">
        <v>66</v>
      </c>
      <c r="C19183" s="4" t="str">
        <f t="shared" si="1338"/>
        <v>TCGA-STAD</v>
      </c>
      <c r="D19183" s="1" t="s">
        <v>493</v>
      </c>
      <c r="E19183" t="s">
        <v>580</v>
      </c>
      <c r="F19183" s="1">
        <v>2</v>
      </c>
      <c r="G19183" s="1" t="s">
        <v>28</v>
      </c>
      <c r="H19183" s="4" t="str">
        <f>HYPERLINK("https://portal.gdc.cancer.gov/cases/0b1663fc-6a7e-4698-951d-a8c90fdf2411","TCGA-FP-8211-01A")</f>
        <v>TCGA-FP-8211-01A</v>
      </c>
      <c r="I19183" t="s">
        <v>574</v>
      </c>
      <c r="J19183" t="s">
        <v>575</v>
      </c>
      <c r="K19183" t="s">
        <v>33</v>
      </c>
      <c r="L19183" t="s">
        <v>246</v>
      </c>
      <c r="N19183" t="s">
        <v>29</v>
      </c>
    </row>
    <row r="19184" spans="1:14">
      <c r="A19184" s="4" t="str">
        <f t="shared" ref="A19184:A19247" si="1339">HYPERLINK("http://hcmdb.i-sanger.com/experiment/details/experiment_id/EXP00441","EXP00441")</f>
        <v>EXP00441</v>
      </c>
      <c r="B19184" s="3" t="s">
        <v>66</v>
      </c>
      <c r="C19184" s="4" t="str">
        <f t="shared" si="1338"/>
        <v>TCGA-STAD</v>
      </c>
      <c r="D19184" s="1" t="s">
        <v>493</v>
      </c>
      <c r="E19184" t="s">
        <v>580</v>
      </c>
      <c r="F19184" s="1">
        <v>2</v>
      </c>
      <c r="G19184" s="1" t="s">
        <v>28</v>
      </c>
      <c r="H19184" s="4" t="str">
        <f>HYPERLINK("https://portal.gdc.cancer.gov/cases/1a4313e7-a770-4a0e-93f1-c10562f521e3","TCGA-FP-8631-01A")</f>
        <v>TCGA-FP-8631-01A</v>
      </c>
      <c r="I19184" t="s">
        <v>574</v>
      </c>
      <c r="J19184" t="s">
        <v>575</v>
      </c>
      <c r="K19184" t="s">
        <v>33</v>
      </c>
      <c r="L19184" t="s">
        <v>246</v>
      </c>
      <c r="N19184" t="s">
        <v>29</v>
      </c>
    </row>
    <row r="19185" spans="1:14">
      <c r="A19185" s="4" t="str">
        <f t="shared" si="1339"/>
        <v>EXP00441</v>
      </c>
      <c r="B19185" s="3" t="s">
        <v>66</v>
      </c>
      <c r="C19185" s="4" t="str">
        <f t="shared" si="1338"/>
        <v>TCGA-STAD</v>
      </c>
      <c r="D19185" s="1" t="s">
        <v>493</v>
      </c>
      <c r="E19185" t="s">
        <v>580</v>
      </c>
      <c r="F19185" s="1">
        <v>2</v>
      </c>
      <c r="G19185" s="1" t="s">
        <v>28</v>
      </c>
      <c r="H19185" s="4" t="str">
        <f>HYPERLINK("https://portal.gdc.cancer.gov/cases/0ae2b51d-aade-4d24-8d0b-6990123d9074","TCGA-FP-A4BF-01A")</f>
        <v>TCGA-FP-A4BF-01A</v>
      </c>
      <c r="I19185" t="s">
        <v>574</v>
      </c>
      <c r="J19185" t="s">
        <v>575</v>
      </c>
      <c r="K19185" t="s">
        <v>33</v>
      </c>
      <c r="L19185" t="s">
        <v>246</v>
      </c>
      <c r="N19185" t="s">
        <v>29</v>
      </c>
    </row>
    <row r="19186" spans="1:14">
      <c r="A19186" s="4" t="str">
        <f t="shared" si="1339"/>
        <v>EXP00441</v>
      </c>
      <c r="B19186" s="3" t="s">
        <v>66</v>
      </c>
      <c r="C19186" s="4" t="str">
        <f t="shared" si="1338"/>
        <v>TCGA-STAD</v>
      </c>
      <c r="D19186" s="1" t="s">
        <v>493</v>
      </c>
      <c r="E19186" t="s">
        <v>580</v>
      </c>
      <c r="F19186" s="1">
        <v>2</v>
      </c>
      <c r="G19186" s="1" t="s">
        <v>28</v>
      </c>
      <c r="H19186" s="4" t="str">
        <f>HYPERLINK("https://portal.gdc.cancer.gov/cases/feb5ccf3-395f-415a-85d3-db637fcd514f","TCGA-FP-A8CX-01A")</f>
        <v>TCGA-FP-A8CX-01A</v>
      </c>
      <c r="I19186" t="s">
        <v>574</v>
      </c>
      <c r="J19186" t="s">
        <v>575</v>
      </c>
      <c r="K19186" t="s">
        <v>33</v>
      </c>
      <c r="L19186" t="s">
        <v>246</v>
      </c>
      <c r="N19186" t="s">
        <v>29</v>
      </c>
    </row>
    <row r="19187" spans="1:14">
      <c r="A19187" s="4" t="str">
        <f t="shared" si="1339"/>
        <v>EXP00441</v>
      </c>
      <c r="B19187" s="3" t="s">
        <v>66</v>
      </c>
      <c r="C19187" s="4" t="str">
        <f t="shared" si="1338"/>
        <v>TCGA-STAD</v>
      </c>
      <c r="D19187" s="1" t="s">
        <v>493</v>
      </c>
      <c r="E19187" t="s">
        <v>580</v>
      </c>
      <c r="F19187" s="1">
        <v>2</v>
      </c>
      <c r="G19187" s="1" t="s">
        <v>28</v>
      </c>
      <c r="H19187" s="4" t="str">
        <f>HYPERLINK("https://portal.gdc.cancer.gov/cases/36abeaf9-cc0f-43dd-9c55-b9347d826529","TCGA-FP-A9TM-01A")</f>
        <v>TCGA-FP-A9TM-01A</v>
      </c>
      <c r="I19187" t="s">
        <v>574</v>
      </c>
      <c r="J19187" t="s">
        <v>575</v>
      </c>
      <c r="K19187" t="s">
        <v>33</v>
      </c>
      <c r="L19187" t="s">
        <v>246</v>
      </c>
      <c r="N19187" t="s">
        <v>29</v>
      </c>
    </row>
    <row r="19188" spans="1:14">
      <c r="A19188" s="4" t="str">
        <f t="shared" si="1339"/>
        <v>EXP00441</v>
      </c>
      <c r="B19188" s="3" t="s">
        <v>66</v>
      </c>
      <c r="C19188" s="4" t="str">
        <f t="shared" si="1338"/>
        <v>TCGA-STAD</v>
      </c>
      <c r="D19188" s="1" t="s">
        <v>493</v>
      </c>
      <c r="E19188" t="s">
        <v>580</v>
      </c>
      <c r="F19188" s="1">
        <v>2</v>
      </c>
      <c r="G19188" s="1" t="s">
        <v>28</v>
      </c>
      <c r="H19188" s="4" t="str">
        <f>HYPERLINK("https://portal.gdc.cancer.gov/cases/06fd3086-0801-4d74-bced-4916efc544d2","TCGA-HF-7131-01A")</f>
        <v>TCGA-HF-7131-01A</v>
      </c>
      <c r="I19188" t="s">
        <v>574</v>
      </c>
      <c r="J19188" t="s">
        <v>575</v>
      </c>
      <c r="K19188" t="s">
        <v>33</v>
      </c>
      <c r="L19188" t="s">
        <v>246</v>
      </c>
      <c r="N19188" t="s">
        <v>29</v>
      </c>
    </row>
    <row r="19189" spans="1:14">
      <c r="A19189" s="4" t="str">
        <f t="shared" si="1339"/>
        <v>EXP00441</v>
      </c>
      <c r="B19189" s="3" t="s">
        <v>66</v>
      </c>
      <c r="C19189" s="4" t="str">
        <f t="shared" si="1338"/>
        <v>TCGA-STAD</v>
      </c>
      <c r="D19189" s="1" t="s">
        <v>493</v>
      </c>
      <c r="E19189" t="s">
        <v>580</v>
      </c>
      <c r="F19189" s="1">
        <v>2</v>
      </c>
      <c r="G19189" s="1" t="s">
        <v>28</v>
      </c>
      <c r="H19189" s="4" t="str">
        <f>HYPERLINK("https://portal.gdc.cancer.gov/cases/6c3687fd-0761-477d-95ab-73e11d66dbd6","TCGA-HF-7132-01A")</f>
        <v>TCGA-HF-7132-01A</v>
      </c>
      <c r="I19189" t="s">
        <v>574</v>
      </c>
      <c r="J19189" t="s">
        <v>575</v>
      </c>
      <c r="K19189" t="s">
        <v>33</v>
      </c>
      <c r="L19189" t="s">
        <v>246</v>
      </c>
      <c r="N19189" t="s">
        <v>29</v>
      </c>
    </row>
    <row r="19190" spans="1:14">
      <c r="A19190" s="4" t="str">
        <f t="shared" si="1339"/>
        <v>EXP00441</v>
      </c>
      <c r="B19190" s="3" t="s">
        <v>66</v>
      </c>
      <c r="C19190" s="4" t="str">
        <f t="shared" si="1338"/>
        <v>TCGA-STAD</v>
      </c>
      <c r="D19190" s="1" t="s">
        <v>493</v>
      </c>
      <c r="E19190" t="s">
        <v>580</v>
      </c>
      <c r="F19190" s="1">
        <v>2</v>
      </c>
      <c r="G19190" s="1" t="s">
        <v>28</v>
      </c>
      <c r="H19190" s="4" t="str">
        <f>HYPERLINK("https://portal.gdc.cancer.gov/cases/5d33895e-a959-4d5e-8850-c49c7fa49a22","TCGA-HF-7133-01A")</f>
        <v>TCGA-HF-7133-01A</v>
      </c>
      <c r="I19190" t="s">
        <v>574</v>
      </c>
      <c r="J19190" t="s">
        <v>575</v>
      </c>
      <c r="K19190" t="s">
        <v>33</v>
      </c>
      <c r="L19190" t="s">
        <v>246</v>
      </c>
      <c r="N19190" t="s">
        <v>29</v>
      </c>
    </row>
    <row r="19191" spans="1:14">
      <c r="A19191" s="4" t="str">
        <f t="shared" si="1339"/>
        <v>EXP00441</v>
      </c>
      <c r="B19191" s="3" t="s">
        <v>66</v>
      </c>
      <c r="C19191" s="4" t="str">
        <f t="shared" si="1338"/>
        <v>TCGA-STAD</v>
      </c>
      <c r="D19191" s="1" t="s">
        <v>493</v>
      </c>
      <c r="E19191" t="s">
        <v>580</v>
      </c>
      <c r="F19191" s="1">
        <v>2</v>
      </c>
      <c r="G19191" s="1" t="s">
        <v>28</v>
      </c>
      <c r="H19191" s="4" t="str">
        <f>HYPERLINK("https://portal.gdc.cancer.gov/cases/1dbe1e26-3bcd-45cf-990e-ad7c8754f4d4","TCGA-HF-7134-01A")</f>
        <v>TCGA-HF-7134-01A</v>
      </c>
      <c r="I19191" t="s">
        <v>574</v>
      </c>
      <c r="J19191" t="s">
        <v>575</v>
      </c>
      <c r="K19191" t="s">
        <v>33</v>
      </c>
      <c r="L19191" t="s">
        <v>246</v>
      </c>
      <c r="N19191" t="s">
        <v>29</v>
      </c>
    </row>
    <row r="19192" spans="1:14">
      <c r="A19192" s="4" t="str">
        <f t="shared" si="1339"/>
        <v>EXP00441</v>
      </c>
      <c r="B19192" s="3" t="s">
        <v>66</v>
      </c>
      <c r="C19192" s="4" t="str">
        <f t="shared" si="1338"/>
        <v>TCGA-STAD</v>
      </c>
      <c r="D19192" s="1" t="s">
        <v>493</v>
      </c>
      <c r="E19192" t="s">
        <v>580</v>
      </c>
      <c r="F19192" s="1">
        <v>2</v>
      </c>
      <c r="G19192" s="1" t="s">
        <v>28</v>
      </c>
      <c r="H19192" s="4" t="str">
        <f>HYPERLINK("https://portal.gdc.cancer.gov/cases/a58b6cd2-48f8-47d0-b97a-02a376f83e5c","TCGA-HF-A5NB-01A")</f>
        <v>TCGA-HF-A5NB-01A</v>
      </c>
      <c r="I19192" t="s">
        <v>574</v>
      </c>
      <c r="J19192" t="s">
        <v>575</v>
      </c>
      <c r="K19192" t="s">
        <v>33</v>
      </c>
      <c r="L19192" t="s">
        <v>246</v>
      </c>
      <c r="N19192" t="s">
        <v>29</v>
      </c>
    </row>
    <row r="19193" spans="1:14">
      <c r="A19193" s="4" t="str">
        <f t="shared" si="1339"/>
        <v>EXP00441</v>
      </c>
      <c r="B19193" s="3" t="s">
        <v>66</v>
      </c>
      <c r="C19193" s="4" t="str">
        <f t="shared" si="1338"/>
        <v>TCGA-STAD</v>
      </c>
      <c r="D19193" s="1" t="s">
        <v>493</v>
      </c>
      <c r="E19193" t="s">
        <v>580</v>
      </c>
      <c r="F19193" s="1">
        <v>2</v>
      </c>
      <c r="G19193" s="1" t="s">
        <v>28</v>
      </c>
      <c r="H19193" s="4" t="str">
        <f>HYPERLINK("https://portal.gdc.cancer.gov/cases/83d681f4-6c0e-45cc-a31d-0b1b31c8e073","TCGA-HJ-7597-01A")</f>
        <v>TCGA-HJ-7597-01A</v>
      </c>
      <c r="I19193" t="s">
        <v>574</v>
      </c>
      <c r="J19193" t="s">
        <v>575</v>
      </c>
      <c r="K19193" t="s">
        <v>33</v>
      </c>
      <c r="L19193" t="s">
        <v>246</v>
      </c>
      <c r="N19193" t="s">
        <v>29</v>
      </c>
    </row>
    <row r="19194" spans="1:14">
      <c r="A19194" s="4" t="str">
        <f t="shared" si="1339"/>
        <v>EXP00441</v>
      </c>
      <c r="B19194" s="3" t="s">
        <v>66</v>
      </c>
      <c r="C19194" s="4" t="str">
        <f t="shared" si="1338"/>
        <v>TCGA-STAD</v>
      </c>
      <c r="D19194" s="1" t="s">
        <v>493</v>
      </c>
      <c r="E19194" t="s">
        <v>580</v>
      </c>
      <c r="F19194" s="1">
        <v>2</v>
      </c>
      <c r="G19194" s="1" t="s">
        <v>28</v>
      </c>
      <c r="H19194" s="4" t="str">
        <f>HYPERLINK("https://portal.gdc.cancer.gov/cases/ac77e22d-42c0-4e06-b904-0dd5b31eb0d8","TCGA-HU-8238-01A")</f>
        <v>TCGA-HU-8238-01A</v>
      </c>
      <c r="I19194" t="s">
        <v>574</v>
      </c>
      <c r="J19194" t="s">
        <v>575</v>
      </c>
      <c r="K19194" t="s">
        <v>33</v>
      </c>
      <c r="L19194" t="s">
        <v>246</v>
      </c>
      <c r="N19194" t="s">
        <v>29</v>
      </c>
    </row>
    <row r="19195" spans="1:14">
      <c r="A19195" s="4" t="str">
        <f t="shared" si="1339"/>
        <v>EXP00441</v>
      </c>
      <c r="B19195" s="3" t="s">
        <v>66</v>
      </c>
      <c r="C19195" s="4" t="str">
        <f t="shared" si="1338"/>
        <v>TCGA-STAD</v>
      </c>
      <c r="D19195" s="1" t="s">
        <v>493</v>
      </c>
      <c r="E19195" t="s">
        <v>580</v>
      </c>
      <c r="F19195" s="1">
        <v>2</v>
      </c>
      <c r="G19195" s="1" t="s">
        <v>28</v>
      </c>
      <c r="H19195" s="4" t="str">
        <f>HYPERLINK("https://portal.gdc.cancer.gov/cases/f0b6e8f8-995c-47c1-bbec-d1d51dc97828","TCGA-HU-8244-01A")</f>
        <v>TCGA-HU-8244-01A</v>
      </c>
      <c r="I19195" t="s">
        <v>574</v>
      </c>
      <c r="J19195" t="s">
        <v>575</v>
      </c>
      <c r="K19195" t="s">
        <v>33</v>
      </c>
      <c r="L19195" t="s">
        <v>246</v>
      </c>
      <c r="N19195" t="s">
        <v>29</v>
      </c>
    </row>
    <row r="19196" spans="1:14">
      <c r="A19196" s="4" t="str">
        <f t="shared" si="1339"/>
        <v>EXP00441</v>
      </c>
      <c r="B19196" s="3" t="s">
        <v>66</v>
      </c>
      <c r="C19196" s="4" t="str">
        <f t="shared" si="1338"/>
        <v>TCGA-STAD</v>
      </c>
      <c r="D19196" s="1" t="s">
        <v>493</v>
      </c>
      <c r="E19196" t="s">
        <v>580</v>
      </c>
      <c r="F19196" s="1">
        <v>2</v>
      </c>
      <c r="G19196" s="1" t="s">
        <v>28</v>
      </c>
      <c r="H19196" s="4" t="str">
        <f>HYPERLINK("https://portal.gdc.cancer.gov/cases/e302f643-eed3-4f07-a7fb-c32ee2031a1c","TCGA-HU-8249-01A")</f>
        <v>TCGA-HU-8249-01A</v>
      </c>
      <c r="I19196" t="s">
        <v>574</v>
      </c>
      <c r="J19196" t="s">
        <v>575</v>
      </c>
      <c r="K19196" t="s">
        <v>33</v>
      </c>
      <c r="L19196" t="s">
        <v>246</v>
      </c>
      <c r="N19196" t="s">
        <v>29</v>
      </c>
    </row>
    <row r="19197" spans="1:14">
      <c r="A19197" s="4" t="str">
        <f t="shared" si="1339"/>
        <v>EXP00441</v>
      </c>
      <c r="B19197" s="3" t="s">
        <v>66</v>
      </c>
      <c r="C19197" s="4" t="str">
        <f t="shared" si="1338"/>
        <v>TCGA-STAD</v>
      </c>
      <c r="D19197" s="1" t="s">
        <v>493</v>
      </c>
      <c r="E19197" t="s">
        <v>580</v>
      </c>
      <c r="F19197" s="1">
        <v>2</v>
      </c>
      <c r="G19197" s="1" t="s">
        <v>28</v>
      </c>
      <c r="H19197" s="4" t="str">
        <f>HYPERLINK("https://portal.gdc.cancer.gov/cases/edce7aac-1d8b-41cb-88e2-f50b8eeca4d8","TCGA-HU-8602-01A")</f>
        <v>TCGA-HU-8602-01A</v>
      </c>
      <c r="I19197" t="s">
        <v>574</v>
      </c>
      <c r="J19197" t="s">
        <v>575</v>
      </c>
      <c r="K19197" t="s">
        <v>33</v>
      </c>
      <c r="L19197" t="s">
        <v>246</v>
      </c>
      <c r="N19197" t="s">
        <v>29</v>
      </c>
    </row>
    <row r="19198" spans="1:14">
      <c r="A19198" s="4" t="str">
        <f t="shared" si="1339"/>
        <v>EXP00441</v>
      </c>
      <c r="B19198" s="3" t="s">
        <v>66</v>
      </c>
      <c r="C19198" s="4" t="str">
        <f t="shared" si="1338"/>
        <v>TCGA-STAD</v>
      </c>
      <c r="D19198" s="1" t="s">
        <v>493</v>
      </c>
      <c r="E19198" t="s">
        <v>580</v>
      </c>
      <c r="F19198" s="1">
        <v>2</v>
      </c>
      <c r="G19198" s="1" t="s">
        <v>28</v>
      </c>
      <c r="H19198" s="4" t="str">
        <f>HYPERLINK("https://portal.gdc.cancer.gov/cases/43945bf6-6e64-4f13-9822-baf30dcd726c","TCGA-HU-8604-01A")</f>
        <v>TCGA-HU-8604-01A</v>
      </c>
      <c r="I19198" t="s">
        <v>574</v>
      </c>
      <c r="J19198" t="s">
        <v>575</v>
      </c>
      <c r="K19198" t="s">
        <v>33</v>
      </c>
      <c r="L19198" t="s">
        <v>246</v>
      </c>
      <c r="N19198" t="s">
        <v>29</v>
      </c>
    </row>
    <row r="19199" spans="1:14">
      <c r="A19199" s="4" t="str">
        <f t="shared" si="1339"/>
        <v>EXP00441</v>
      </c>
      <c r="B19199" s="3" t="s">
        <v>66</v>
      </c>
      <c r="C19199" s="4" t="str">
        <f t="shared" si="1338"/>
        <v>TCGA-STAD</v>
      </c>
      <c r="D19199" s="1" t="s">
        <v>493</v>
      </c>
      <c r="E19199" t="s">
        <v>580</v>
      </c>
      <c r="F19199" s="1">
        <v>2</v>
      </c>
      <c r="G19199" s="1" t="s">
        <v>28</v>
      </c>
      <c r="H19199" s="4" t="str">
        <f>HYPERLINK("https://portal.gdc.cancer.gov/cases/131fb0f0-e0af-431c-8462-f1925a5f4c72","TCGA-HU-8610-01A")</f>
        <v>TCGA-HU-8610-01A</v>
      </c>
      <c r="I19199" t="s">
        <v>574</v>
      </c>
      <c r="J19199" t="s">
        <v>575</v>
      </c>
      <c r="K19199" t="s">
        <v>33</v>
      </c>
      <c r="L19199" t="s">
        <v>246</v>
      </c>
      <c r="N19199" t="s">
        <v>29</v>
      </c>
    </row>
    <row r="19200" spans="1:14">
      <c r="A19200" s="4" t="str">
        <f t="shared" si="1339"/>
        <v>EXP00441</v>
      </c>
      <c r="B19200" s="3" t="s">
        <v>66</v>
      </c>
      <c r="C19200" s="4" t="str">
        <f t="shared" si="1338"/>
        <v>TCGA-STAD</v>
      </c>
      <c r="D19200" s="1" t="s">
        <v>493</v>
      </c>
      <c r="E19200" t="s">
        <v>580</v>
      </c>
      <c r="F19200" s="1">
        <v>2</v>
      </c>
      <c r="G19200" s="1" t="s">
        <v>28</v>
      </c>
      <c r="H19200" s="4" t="str">
        <f>HYPERLINK("https://portal.gdc.cancer.gov/cases/3b17c66a-34ae-4b10-b907-4464d6d58383","TCGA-HU-A4G2-01A")</f>
        <v>TCGA-HU-A4G2-01A</v>
      </c>
      <c r="I19200" t="s">
        <v>574</v>
      </c>
      <c r="J19200" t="s">
        <v>575</v>
      </c>
      <c r="K19200" t="s">
        <v>33</v>
      </c>
      <c r="L19200" t="s">
        <v>246</v>
      </c>
      <c r="N19200" t="s">
        <v>29</v>
      </c>
    </row>
    <row r="19201" spans="1:14">
      <c r="A19201" s="4" t="str">
        <f t="shared" si="1339"/>
        <v>EXP00441</v>
      </c>
      <c r="B19201" s="3" t="s">
        <v>66</v>
      </c>
      <c r="C19201" s="4" t="str">
        <f t="shared" si="1338"/>
        <v>TCGA-STAD</v>
      </c>
      <c r="D19201" s="1" t="s">
        <v>493</v>
      </c>
      <c r="E19201" t="s">
        <v>580</v>
      </c>
      <c r="F19201" s="1">
        <v>2</v>
      </c>
      <c r="G19201" s="1" t="s">
        <v>28</v>
      </c>
      <c r="H19201" s="4" t="str">
        <f>HYPERLINK("https://portal.gdc.cancer.gov/cases/6eeee564-1057-42e4-bfce-b6fe17d58d10","TCGA-HU-A4G3-01A")</f>
        <v>TCGA-HU-A4G3-01A</v>
      </c>
      <c r="I19201" t="s">
        <v>574</v>
      </c>
      <c r="J19201" t="s">
        <v>575</v>
      </c>
      <c r="K19201" t="s">
        <v>33</v>
      </c>
      <c r="L19201" t="s">
        <v>246</v>
      </c>
      <c r="N19201" t="s">
        <v>29</v>
      </c>
    </row>
    <row r="19202" spans="1:14">
      <c r="A19202" s="4" t="str">
        <f t="shared" si="1339"/>
        <v>EXP00441</v>
      </c>
      <c r="B19202" s="3" t="s">
        <v>66</v>
      </c>
      <c r="C19202" s="4" t="str">
        <f t="shared" si="1338"/>
        <v>TCGA-STAD</v>
      </c>
      <c r="D19202" s="1" t="s">
        <v>493</v>
      </c>
      <c r="E19202" t="s">
        <v>580</v>
      </c>
      <c r="F19202" s="1">
        <v>2</v>
      </c>
      <c r="G19202" s="1" t="s">
        <v>28</v>
      </c>
      <c r="H19202" s="4" t="str">
        <f>HYPERLINK("https://portal.gdc.cancer.gov/cases/16286ebd-6811-4e53-b4d5-82e1e825bc7a","TCGA-HU-A4G8-01A")</f>
        <v>TCGA-HU-A4G8-01A</v>
      </c>
      <c r="I19202" t="s">
        <v>574</v>
      </c>
      <c r="J19202" t="s">
        <v>575</v>
      </c>
      <c r="K19202" t="s">
        <v>33</v>
      </c>
      <c r="L19202" t="s">
        <v>246</v>
      </c>
      <c r="N19202" t="s">
        <v>29</v>
      </c>
    </row>
    <row r="19203" spans="1:14">
      <c r="A19203" s="4" t="str">
        <f t="shared" si="1339"/>
        <v>EXP00441</v>
      </c>
      <c r="B19203" s="3" t="s">
        <v>66</v>
      </c>
      <c r="C19203" s="4" t="str">
        <f t="shared" si="1338"/>
        <v>TCGA-STAD</v>
      </c>
      <c r="D19203" s="1" t="s">
        <v>493</v>
      </c>
      <c r="E19203" t="s">
        <v>580</v>
      </c>
      <c r="F19203" s="1">
        <v>2</v>
      </c>
      <c r="G19203" s="1" t="s">
        <v>28</v>
      </c>
      <c r="H19203" s="4" t="str">
        <f>HYPERLINK("https://portal.gdc.cancer.gov/cases/8114d553-4025-4c8f-ae02-5ed01720723a","TCGA-HU-A4G9-01A")</f>
        <v>TCGA-HU-A4G9-01A</v>
      </c>
      <c r="I19203" t="s">
        <v>574</v>
      </c>
      <c r="J19203" t="s">
        <v>575</v>
      </c>
      <c r="K19203" t="s">
        <v>33</v>
      </c>
      <c r="L19203" t="s">
        <v>246</v>
      </c>
      <c r="N19203" t="s">
        <v>29</v>
      </c>
    </row>
    <row r="19204" spans="1:14">
      <c r="A19204" s="4" t="str">
        <f t="shared" si="1339"/>
        <v>EXP00441</v>
      </c>
      <c r="B19204" s="3" t="s">
        <v>66</v>
      </c>
      <c r="C19204" s="4" t="str">
        <f t="shared" si="1338"/>
        <v>TCGA-STAD</v>
      </c>
      <c r="D19204" s="1" t="s">
        <v>493</v>
      </c>
      <c r="E19204" t="s">
        <v>580</v>
      </c>
      <c r="F19204" s="1">
        <v>2</v>
      </c>
      <c r="G19204" s="1" t="s">
        <v>28</v>
      </c>
      <c r="H19204" s="4" t="str">
        <f>HYPERLINK("https://portal.gdc.cancer.gov/cases/13e5a0ad-6d0c-4fb4-bf62-325f5c8ed329","TCGA-HU-A4GC-01A")</f>
        <v>TCGA-HU-A4GC-01A</v>
      </c>
      <c r="I19204" t="s">
        <v>574</v>
      </c>
      <c r="J19204" t="s">
        <v>575</v>
      </c>
      <c r="K19204" t="s">
        <v>33</v>
      </c>
      <c r="L19204" t="s">
        <v>246</v>
      </c>
      <c r="N19204" t="s">
        <v>29</v>
      </c>
    </row>
    <row r="19205" spans="1:14">
      <c r="A19205" s="4" t="str">
        <f t="shared" si="1339"/>
        <v>EXP00441</v>
      </c>
      <c r="B19205" s="3" t="s">
        <v>66</v>
      </c>
      <c r="C19205" s="4" t="str">
        <f t="shared" si="1338"/>
        <v>TCGA-STAD</v>
      </c>
      <c r="D19205" s="1" t="s">
        <v>493</v>
      </c>
      <c r="E19205" t="s">
        <v>580</v>
      </c>
      <c r="F19205" s="1">
        <v>2</v>
      </c>
      <c r="G19205" s="1" t="s">
        <v>28</v>
      </c>
      <c r="H19205" s="4" t="str">
        <f>HYPERLINK("https://portal.gdc.cancer.gov/cases/df89b0be-fbe1-4ca7-bea7-ae057c3f6461","TCGA-HU-A4GF-01A")</f>
        <v>TCGA-HU-A4GF-01A</v>
      </c>
      <c r="I19205" t="s">
        <v>574</v>
      </c>
      <c r="J19205" t="s">
        <v>575</v>
      </c>
      <c r="K19205" t="s">
        <v>33</v>
      </c>
      <c r="L19205" t="s">
        <v>246</v>
      </c>
      <c r="N19205" t="s">
        <v>29</v>
      </c>
    </row>
    <row r="19206" spans="1:14">
      <c r="A19206" s="4" t="str">
        <f t="shared" si="1339"/>
        <v>EXP00441</v>
      </c>
      <c r="B19206" s="3" t="s">
        <v>66</v>
      </c>
      <c r="C19206" s="4" t="str">
        <f t="shared" si="1338"/>
        <v>TCGA-STAD</v>
      </c>
      <c r="D19206" s="1" t="s">
        <v>493</v>
      </c>
      <c r="E19206" t="s">
        <v>580</v>
      </c>
      <c r="F19206" s="1">
        <v>2</v>
      </c>
      <c r="G19206" s="1" t="s">
        <v>28</v>
      </c>
      <c r="H19206" s="4" t="str">
        <f>HYPERLINK("https://portal.gdc.cancer.gov/cases/d9424178-9cb4-4bfb-9814-ba1afe7ad954","TCGA-HU-A4GH-01A")</f>
        <v>TCGA-HU-A4GH-01A</v>
      </c>
      <c r="I19206" t="s">
        <v>574</v>
      </c>
      <c r="J19206" t="s">
        <v>575</v>
      </c>
      <c r="K19206" t="s">
        <v>33</v>
      </c>
      <c r="L19206" t="s">
        <v>246</v>
      </c>
      <c r="N19206" t="s">
        <v>29</v>
      </c>
    </row>
    <row r="19207" spans="1:14">
      <c r="A19207" s="4" t="str">
        <f t="shared" si="1339"/>
        <v>EXP00441</v>
      </c>
      <c r="B19207" s="3" t="s">
        <v>66</v>
      </c>
      <c r="C19207" s="4" t="str">
        <f t="shared" si="1338"/>
        <v>TCGA-STAD</v>
      </c>
      <c r="D19207" s="1" t="s">
        <v>493</v>
      </c>
      <c r="E19207" t="s">
        <v>580</v>
      </c>
      <c r="F19207" s="1">
        <v>2</v>
      </c>
      <c r="G19207" s="1" t="s">
        <v>28</v>
      </c>
      <c r="H19207" s="4" t="str">
        <f>HYPERLINK("https://portal.gdc.cancer.gov/cases/c46ff2bb-bdd0-48cd-b2ae-7ef421b4b91a","TCGA-HU-A4GP-01A")</f>
        <v>TCGA-HU-A4GP-01A</v>
      </c>
      <c r="I19207" t="s">
        <v>574</v>
      </c>
      <c r="J19207" t="s">
        <v>575</v>
      </c>
      <c r="K19207" t="s">
        <v>33</v>
      </c>
      <c r="L19207" t="s">
        <v>246</v>
      </c>
      <c r="N19207" t="s">
        <v>29</v>
      </c>
    </row>
    <row r="19208" spans="1:14">
      <c r="A19208" s="4" t="str">
        <f t="shared" si="1339"/>
        <v>EXP00441</v>
      </c>
      <c r="B19208" s="3" t="s">
        <v>66</v>
      </c>
      <c r="C19208" s="4" t="str">
        <f t="shared" si="1338"/>
        <v>TCGA-STAD</v>
      </c>
      <c r="D19208" s="1" t="s">
        <v>493</v>
      </c>
      <c r="E19208" t="s">
        <v>580</v>
      </c>
      <c r="F19208" s="1">
        <v>2</v>
      </c>
      <c r="G19208" s="1" t="s">
        <v>28</v>
      </c>
      <c r="H19208" s="4" t="str">
        <f>HYPERLINK("https://portal.gdc.cancer.gov/cases/7739f659-0e25-4404-ad25-ee52fbbcfd44","TCGA-HU-A4GQ-01A")</f>
        <v>TCGA-HU-A4GQ-01A</v>
      </c>
      <c r="I19208" t="s">
        <v>574</v>
      </c>
      <c r="J19208" t="s">
        <v>575</v>
      </c>
      <c r="K19208" t="s">
        <v>33</v>
      </c>
      <c r="L19208" t="s">
        <v>246</v>
      </c>
      <c r="N19208" t="s">
        <v>29</v>
      </c>
    </row>
    <row r="19209" spans="1:14">
      <c r="A19209" s="4" t="str">
        <f t="shared" si="1339"/>
        <v>EXP00441</v>
      </c>
      <c r="B19209" s="3" t="s">
        <v>66</v>
      </c>
      <c r="C19209" s="4" t="str">
        <f t="shared" si="1338"/>
        <v>TCGA-STAD</v>
      </c>
      <c r="D19209" s="1" t="s">
        <v>493</v>
      </c>
      <c r="E19209" t="s">
        <v>580</v>
      </c>
      <c r="F19209" s="1">
        <v>2</v>
      </c>
      <c r="G19209" s="1" t="s">
        <v>28</v>
      </c>
      <c r="H19209" s="4" t="str">
        <f>HYPERLINK("https://portal.gdc.cancer.gov/cases/7997f3d8-bff6-4808-8df0-d88d344d7c9e","TCGA-HU-A4GT-01A")</f>
        <v>TCGA-HU-A4GT-01A</v>
      </c>
      <c r="I19209" t="s">
        <v>574</v>
      </c>
      <c r="J19209" t="s">
        <v>575</v>
      </c>
      <c r="K19209" t="s">
        <v>33</v>
      </c>
      <c r="L19209" t="s">
        <v>246</v>
      </c>
      <c r="N19209" t="s">
        <v>29</v>
      </c>
    </row>
    <row r="19210" spans="1:14">
      <c r="A19210" s="4" t="str">
        <f t="shared" si="1339"/>
        <v>EXP00441</v>
      </c>
      <c r="B19210" s="3" t="s">
        <v>66</v>
      </c>
      <c r="C19210" s="4" t="str">
        <f t="shared" si="1338"/>
        <v>TCGA-STAD</v>
      </c>
      <c r="D19210" s="1" t="s">
        <v>493</v>
      </c>
      <c r="E19210" t="s">
        <v>580</v>
      </c>
      <c r="F19210" s="1">
        <v>2</v>
      </c>
      <c r="G19210" s="1" t="s">
        <v>28</v>
      </c>
      <c r="H19210" s="4" t="str">
        <f>HYPERLINK("https://portal.gdc.cancer.gov/cases/b93221ba-2076-4dd4-9931-179571b7e16c","TCGA-HU-A4GU-01A")</f>
        <v>TCGA-HU-A4GU-01A</v>
      </c>
      <c r="I19210" t="s">
        <v>574</v>
      </c>
      <c r="J19210" t="s">
        <v>575</v>
      </c>
      <c r="K19210" t="s">
        <v>33</v>
      </c>
      <c r="L19210" t="s">
        <v>246</v>
      </c>
      <c r="N19210" t="s">
        <v>29</v>
      </c>
    </row>
    <row r="19211" spans="1:14">
      <c r="A19211" s="4" t="str">
        <f t="shared" si="1339"/>
        <v>EXP00441</v>
      </c>
      <c r="B19211" s="3" t="s">
        <v>66</v>
      </c>
      <c r="C19211" s="4" t="str">
        <f t="shared" si="1338"/>
        <v>TCGA-STAD</v>
      </c>
      <c r="D19211" s="1" t="s">
        <v>493</v>
      </c>
      <c r="E19211" t="s">
        <v>580</v>
      </c>
      <c r="F19211" s="1">
        <v>2</v>
      </c>
      <c r="G19211" s="1" t="s">
        <v>28</v>
      </c>
      <c r="H19211" s="4" t="str">
        <f>HYPERLINK("https://portal.gdc.cancer.gov/cases/75915370-0895-4933-8875-8a31c65c3d50","TCGA-HU-A4GX-01A")</f>
        <v>TCGA-HU-A4GX-01A</v>
      </c>
      <c r="I19211" t="s">
        <v>574</v>
      </c>
      <c r="J19211" t="s">
        <v>575</v>
      </c>
      <c r="K19211" t="s">
        <v>33</v>
      </c>
      <c r="L19211" t="s">
        <v>246</v>
      </c>
      <c r="N19211" t="s">
        <v>29</v>
      </c>
    </row>
    <row r="19212" spans="1:14">
      <c r="A19212" s="4" t="str">
        <f t="shared" si="1339"/>
        <v>EXP00441</v>
      </c>
      <c r="B19212" s="3" t="s">
        <v>66</v>
      </c>
      <c r="C19212" s="4" t="str">
        <f t="shared" si="1338"/>
        <v>TCGA-STAD</v>
      </c>
      <c r="D19212" s="1" t="s">
        <v>493</v>
      </c>
      <c r="E19212" t="s">
        <v>580</v>
      </c>
      <c r="F19212" s="1">
        <v>2</v>
      </c>
      <c r="G19212" s="1" t="s">
        <v>28</v>
      </c>
      <c r="H19212" s="4" t="str">
        <f>HYPERLINK("https://portal.gdc.cancer.gov/cases/41327aac-1228-435a-8de5-b26886bdbce0","TCGA-HU-A4GY-01A")</f>
        <v>TCGA-HU-A4GY-01A</v>
      </c>
      <c r="I19212" t="s">
        <v>574</v>
      </c>
      <c r="J19212" t="s">
        <v>575</v>
      </c>
      <c r="K19212" t="s">
        <v>33</v>
      </c>
      <c r="L19212" t="s">
        <v>246</v>
      </c>
      <c r="N19212" t="s">
        <v>29</v>
      </c>
    </row>
    <row r="19213" spans="1:14">
      <c r="A19213" s="4" t="str">
        <f t="shared" si="1339"/>
        <v>EXP00441</v>
      </c>
      <c r="B19213" s="3" t="s">
        <v>66</v>
      </c>
      <c r="C19213" s="4" t="str">
        <f t="shared" si="1338"/>
        <v>TCGA-STAD</v>
      </c>
      <c r="D19213" s="1" t="s">
        <v>493</v>
      </c>
      <c r="E19213" t="s">
        <v>580</v>
      </c>
      <c r="F19213" s="1">
        <v>2</v>
      </c>
      <c r="G19213" s="1" t="s">
        <v>28</v>
      </c>
      <c r="H19213" s="4" t="str">
        <f>HYPERLINK("https://portal.gdc.cancer.gov/cases/fe45eaee-ff0c-4d52-b18c-04dc2d64d3b4","TCGA-HU-A4H0-01A")</f>
        <v>TCGA-HU-A4H0-01A</v>
      </c>
      <c r="I19213" t="s">
        <v>574</v>
      </c>
      <c r="J19213" t="s">
        <v>575</v>
      </c>
      <c r="K19213" t="s">
        <v>33</v>
      </c>
      <c r="L19213" t="s">
        <v>246</v>
      </c>
      <c r="N19213" t="s">
        <v>29</v>
      </c>
    </row>
    <row r="19214" spans="1:14">
      <c r="A19214" s="4" t="str">
        <f t="shared" si="1339"/>
        <v>EXP00441</v>
      </c>
      <c r="B19214" s="3" t="s">
        <v>66</v>
      </c>
      <c r="C19214" s="4" t="str">
        <f t="shared" si="1338"/>
        <v>TCGA-STAD</v>
      </c>
      <c r="D19214" s="1" t="s">
        <v>493</v>
      </c>
      <c r="E19214" t="s">
        <v>580</v>
      </c>
      <c r="F19214" s="1">
        <v>2</v>
      </c>
      <c r="G19214" s="1" t="s">
        <v>28</v>
      </c>
      <c r="H19214" s="4" t="str">
        <f>HYPERLINK("https://portal.gdc.cancer.gov/cases/7b594344-573d-46a0-b735-6727f6f15585","TCGA-HU-A4H2-01A")</f>
        <v>TCGA-HU-A4H2-01A</v>
      </c>
      <c r="I19214" t="s">
        <v>574</v>
      </c>
      <c r="J19214" t="s">
        <v>575</v>
      </c>
      <c r="K19214" t="s">
        <v>33</v>
      </c>
      <c r="L19214" t="s">
        <v>246</v>
      </c>
      <c r="N19214" t="s">
        <v>29</v>
      </c>
    </row>
    <row r="19215" spans="1:14">
      <c r="A19215" s="4" t="str">
        <f t="shared" si="1339"/>
        <v>EXP00441</v>
      </c>
      <c r="B19215" s="3" t="s">
        <v>66</v>
      </c>
      <c r="C19215" s="4" t="str">
        <f t="shared" si="1338"/>
        <v>TCGA-STAD</v>
      </c>
      <c r="D19215" s="1" t="s">
        <v>493</v>
      </c>
      <c r="E19215" t="s">
        <v>580</v>
      </c>
      <c r="F19215" s="1">
        <v>2</v>
      </c>
      <c r="G19215" s="1" t="s">
        <v>28</v>
      </c>
      <c r="H19215" s="4" t="str">
        <f>HYPERLINK("https://portal.gdc.cancer.gov/cases/00fdf96d-c48a-47e0-b91d-576c52e6819c","TCGA-HU-A4H4-01A")</f>
        <v>TCGA-HU-A4H4-01A</v>
      </c>
      <c r="I19215" t="s">
        <v>574</v>
      </c>
      <c r="J19215" t="s">
        <v>575</v>
      </c>
      <c r="K19215" t="s">
        <v>33</v>
      </c>
      <c r="L19215" t="s">
        <v>246</v>
      </c>
      <c r="N19215" t="s">
        <v>29</v>
      </c>
    </row>
    <row r="19216" spans="1:14">
      <c r="A19216" s="4" t="str">
        <f t="shared" si="1339"/>
        <v>EXP00441</v>
      </c>
      <c r="B19216" s="3" t="s">
        <v>66</v>
      </c>
      <c r="C19216" s="4" t="str">
        <f t="shared" si="1338"/>
        <v>TCGA-STAD</v>
      </c>
      <c r="D19216" s="1" t="s">
        <v>493</v>
      </c>
      <c r="E19216" t="s">
        <v>580</v>
      </c>
      <c r="F19216" s="1">
        <v>2</v>
      </c>
      <c r="G19216" s="1" t="s">
        <v>28</v>
      </c>
      <c r="H19216" s="4" t="str">
        <f>HYPERLINK("https://portal.gdc.cancer.gov/cases/d262fdf0-30bf-4618-9342-de5a2a053828","TCGA-HU-A4H5-01A")</f>
        <v>TCGA-HU-A4H5-01A</v>
      </c>
      <c r="I19216" t="s">
        <v>574</v>
      </c>
      <c r="J19216" t="s">
        <v>575</v>
      </c>
      <c r="K19216" t="s">
        <v>33</v>
      </c>
      <c r="L19216" t="s">
        <v>246</v>
      </c>
      <c r="N19216" t="s">
        <v>29</v>
      </c>
    </row>
    <row r="19217" spans="1:14">
      <c r="A19217" s="4" t="str">
        <f t="shared" si="1339"/>
        <v>EXP00441</v>
      </c>
      <c r="B19217" s="3" t="s">
        <v>66</v>
      </c>
      <c r="C19217" s="4" t="str">
        <f t="shared" si="1338"/>
        <v>TCGA-STAD</v>
      </c>
      <c r="D19217" s="1" t="s">
        <v>493</v>
      </c>
      <c r="E19217" t="s">
        <v>580</v>
      </c>
      <c r="F19217" s="1">
        <v>2</v>
      </c>
      <c r="G19217" s="1" t="s">
        <v>28</v>
      </c>
      <c r="H19217" s="4" t="str">
        <f>HYPERLINK("https://portal.gdc.cancer.gov/cases/416fd59b-a4f8-4610-9f8b-473cb5c04a4a","TCGA-HU-A4H6-01A")</f>
        <v>TCGA-HU-A4H6-01A</v>
      </c>
      <c r="I19217" t="s">
        <v>574</v>
      </c>
      <c r="J19217" t="s">
        <v>575</v>
      </c>
      <c r="K19217" t="s">
        <v>33</v>
      </c>
      <c r="L19217" t="s">
        <v>246</v>
      </c>
      <c r="N19217" t="s">
        <v>29</v>
      </c>
    </row>
    <row r="19218" spans="1:14">
      <c r="A19218" s="4" t="str">
        <f t="shared" si="1339"/>
        <v>EXP00441</v>
      </c>
      <c r="B19218" s="3" t="s">
        <v>66</v>
      </c>
      <c r="C19218" s="4" t="str">
        <f t="shared" si="1338"/>
        <v>TCGA-STAD</v>
      </c>
      <c r="D19218" s="1" t="s">
        <v>493</v>
      </c>
      <c r="E19218" t="s">
        <v>580</v>
      </c>
      <c r="F19218" s="1">
        <v>2</v>
      </c>
      <c r="G19218" s="1" t="s">
        <v>28</v>
      </c>
      <c r="H19218" s="4" t="str">
        <f>HYPERLINK("https://portal.gdc.cancer.gov/cases/98760b3e-3075-4444-9a01-8f11935069d4","TCGA-HU-A4H8-01A")</f>
        <v>TCGA-HU-A4H8-01A</v>
      </c>
      <c r="I19218" t="s">
        <v>574</v>
      </c>
      <c r="J19218" t="s">
        <v>575</v>
      </c>
      <c r="K19218" t="s">
        <v>33</v>
      </c>
      <c r="L19218" t="s">
        <v>246</v>
      </c>
      <c r="N19218" t="s">
        <v>29</v>
      </c>
    </row>
    <row r="19219" spans="1:14">
      <c r="A19219" s="4" t="str">
        <f t="shared" si="1339"/>
        <v>EXP00441</v>
      </c>
      <c r="B19219" s="3" t="s">
        <v>66</v>
      </c>
      <c r="C19219" s="4" t="str">
        <f t="shared" si="1338"/>
        <v>TCGA-STAD</v>
      </c>
      <c r="D19219" s="1" t="s">
        <v>493</v>
      </c>
      <c r="E19219" t="s">
        <v>580</v>
      </c>
      <c r="F19219" s="1">
        <v>2</v>
      </c>
      <c r="G19219" s="1" t="s">
        <v>28</v>
      </c>
      <c r="H19219" s="4" t="str">
        <f>HYPERLINK("https://portal.gdc.cancer.gov/cases/36e36773-1d03-4ed0-ae31-1c0ca55577a4","TCGA-HU-A4HB-01A")</f>
        <v>TCGA-HU-A4HB-01A</v>
      </c>
      <c r="I19219" t="s">
        <v>574</v>
      </c>
      <c r="J19219" t="s">
        <v>575</v>
      </c>
      <c r="K19219" t="s">
        <v>33</v>
      </c>
      <c r="L19219" t="s">
        <v>246</v>
      </c>
      <c r="N19219" t="s">
        <v>29</v>
      </c>
    </row>
    <row r="19220" spans="1:14">
      <c r="A19220" s="4" t="str">
        <f t="shared" si="1339"/>
        <v>EXP00441</v>
      </c>
      <c r="B19220" s="3" t="s">
        <v>66</v>
      </c>
      <c r="C19220" s="4" t="str">
        <f t="shared" si="1338"/>
        <v>TCGA-STAD</v>
      </c>
      <c r="D19220" s="1" t="s">
        <v>493</v>
      </c>
      <c r="E19220" t="s">
        <v>580</v>
      </c>
      <c r="F19220" s="1">
        <v>2</v>
      </c>
      <c r="G19220" s="1" t="s">
        <v>28</v>
      </c>
      <c r="H19220" s="4" t="str">
        <f>HYPERLINK("https://portal.gdc.cancer.gov/cases/d807a1c0-f586-4f13-b8ef-3f79ab3d4b70","TCGA-HU-A4HD-01A")</f>
        <v>TCGA-HU-A4HD-01A</v>
      </c>
      <c r="I19220" t="s">
        <v>574</v>
      </c>
      <c r="J19220" t="s">
        <v>575</v>
      </c>
      <c r="K19220" t="s">
        <v>33</v>
      </c>
      <c r="L19220" t="s">
        <v>246</v>
      </c>
      <c r="N19220" t="s">
        <v>29</v>
      </c>
    </row>
    <row r="19221" spans="1:14">
      <c r="A19221" s="4" t="str">
        <f t="shared" si="1339"/>
        <v>EXP00441</v>
      </c>
      <c r="B19221" s="3" t="s">
        <v>66</v>
      </c>
      <c r="C19221" s="4" t="str">
        <f t="shared" si="1338"/>
        <v>TCGA-STAD</v>
      </c>
      <c r="D19221" s="1" t="s">
        <v>493</v>
      </c>
      <c r="E19221" t="s">
        <v>580</v>
      </c>
      <c r="F19221" s="1">
        <v>2</v>
      </c>
      <c r="G19221" s="1" t="s">
        <v>28</v>
      </c>
      <c r="H19221" s="4" t="str">
        <f>HYPERLINK("https://portal.gdc.cancer.gov/cases/87c217d4-66f4-46ca-8244-7856ce658fd3","TCGA-IN-7806-01A")</f>
        <v>TCGA-IN-7806-01A</v>
      </c>
      <c r="I19221" t="s">
        <v>574</v>
      </c>
      <c r="J19221" t="s">
        <v>575</v>
      </c>
      <c r="K19221" t="s">
        <v>33</v>
      </c>
      <c r="L19221" t="s">
        <v>246</v>
      </c>
      <c r="N19221" t="s">
        <v>29</v>
      </c>
    </row>
    <row r="19222" spans="1:14">
      <c r="A19222" s="4" t="str">
        <f t="shared" si="1339"/>
        <v>EXP00441</v>
      </c>
      <c r="B19222" s="3" t="s">
        <v>66</v>
      </c>
      <c r="C19222" s="4" t="str">
        <f t="shared" si="1338"/>
        <v>TCGA-STAD</v>
      </c>
      <c r="D19222" s="1" t="s">
        <v>493</v>
      </c>
      <c r="E19222" t="s">
        <v>580</v>
      </c>
      <c r="F19222" s="1">
        <v>2</v>
      </c>
      <c r="G19222" s="1" t="s">
        <v>28</v>
      </c>
      <c r="H19222" s="4" t="str">
        <f>HYPERLINK("https://portal.gdc.cancer.gov/cases/8f9be4e3-a1e5-4fa3-8d31-a53de781ed97","TCGA-IN-7808-01A")</f>
        <v>TCGA-IN-7808-01A</v>
      </c>
      <c r="I19222" t="s">
        <v>574</v>
      </c>
      <c r="J19222" t="s">
        <v>575</v>
      </c>
      <c r="K19222" t="s">
        <v>33</v>
      </c>
      <c r="L19222" t="s">
        <v>246</v>
      </c>
      <c r="N19222" t="s">
        <v>29</v>
      </c>
    </row>
    <row r="19223" spans="1:14">
      <c r="A19223" s="4" t="str">
        <f t="shared" si="1339"/>
        <v>EXP00441</v>
      </c>
      <c r="B19223" s="3" t="s">
        <v>66</v>
      </c>
      <c r="C19223" s="4" t="str">
        <f t="shared" si="1338"/>
        <v>TCGA-STAD</v>
      </c>
      <c r="D19223" s="1" t="s">
        <v>493</v>
      </c>
      <c r="E19223" t="s">
        <v>580</v>
      </c>
      <c r="F19223" s="1">
        <v>2</v>
      </c>
      <c r="G19223" s="1" t="s">
        <v>28</v>
      </c>
      <c r="H19223" s="4" t="str">
        <f>HYPERLINK("https://portal.gdc.cancer.gov/cases/ba3911e6-2208-4a04-8891-b5cba9fda6bf","TCGA-IN-8462-01A")</f>
        <v>TCGA-IN-8462-01A</v>
      </c>
      <c r="I19223" t="s">
        <v>574</v>
      </c>
      <c r="J19223" t="s">
        <v>575</v>
      </c>
      <c r="K19223" t="s">
        <v>33</v>
      </c>
      <c r="L19223" t="s">
        <v>246</v>
      </c>
      <c r="N19223" t="s">
        <v>29</v>
      </c>
    </row>
    <row r="19224" spans="1:14">
      <c r="A19224" s="4" t="str">
        <f t="shared" si="1339"/>
        <v>EXP00441</v>
      </c>
      <c r="B19224" s="3" t="s">
        <v>66</v>
      </c>
      <c r="C19224" s="4" t="str">
        <f t="shared" si="1338"/>
        <v>TCGA-STAD</v>
      </c>
      <c r="D19224" s="1" t="s">
        <v>493</v>
      </c>
      <c r="E19224" t="s">
        <v>580</v>
      </c>
      <c r="F19224" s="1">
        <v>2</v>
      </c>
      <c r="G19224" s="1" t="s">
        <v>28</v>
      </c>
      <c r="H19224" s="4" t="str">
        <f>HYPERLINK("https://portal.gdc.cancer.gov/cases/d5550422-dc4b-4ebf-acb5-aa5243fff49f","TCGA-IN-8663-01A")</f>
        <v>TCGA-IN-8663-01A</v>
      </c>
      <c r="I19224" t="s">
        <v>574</v>
      </c>
      <c r="J19224" t="s">
        <v>575</v>
      </c>
      <c r="K19224" t="s">
        <v>33</v>
      </c>
      <c r="L19224" t="s">
        <v>246</v>
      </c>
      <c r="N19224" t="s">
        <v>29</v>
      </c>
    </row>
    <row r="19225" spans="1:14">
      <c r="A19225" s="4" t="str">
        <f t="shared" si="1339"/>
        <v>EXP00441</v>
      </c>
      <c r="B19225" s="3" t="s">
        <v>66</v>
      </c>
      <c r="C19225" s="4" t="str">
        <f t="shared" si="1338"/>
        <v>TCGA-STAD</v>
      </c>
      <c r="D19225" s="1" t="s">
        <v>493</v>
      </c>
      <c r="E19225" t="s">
        <v>580</v>
      </c>
      <c r="F19225" s="1">
        <v>2</v>
      </c>
      <c r="G19225" s="1" t="s">
        <v>28</v>
      </c>
      <c r="H19225" s="4" t="str">
        <f>HYPERLINK("https://portal.gdc.cancer.gov/cases/ec178822-d719-4e98-b864-16ec5aa005a4","TCGA-IN-A6RI-01A")</f>
        <v>TCGA-IN-A6RI-01A</v>
      </c>
      <c r="I19225" t="s">
        <v>574</v>
      </c>
      <c r="J19225" t="s">
        <v>575</v>
      </c>
      <c r="K19225" t="s">
        <v>33</v>
      </c>
      <c r="L19225" t="s">
        <v>246</v>
      </c>
      <c r="N19225" t="s">
        <v>29</v>
      </c>
    </row>
    <row r="19226" spans="1:14">
      <c r="A19226" s="4" t="str">
        <f t="shared" si="1339"/>
        <v>EXP00441</v>
      </c>
      <c r="B19226" s="3" t="s">
        <v>66</v>
      </c>
      <c r="C19226" s="4" t="str">
        <f t="shared" si="1338"/>
        <v>TCGA-STAD</v>
      </c>
      <c r="D19226" s="1" t="s">
        <v>493</v>
      </c>
      <c r="E19226" t="s">
        <v>580</v>
      </c>
      <c r="F19226" s="1">
        <v>2</v>
      </c>
      <c r="G19226" s="1" t="s">
        <v>28</v>
      </c>
      <c r="H19226" s="4" t="str">
        <f>HYPERLINK("https://portal.gdc.cancer.gov/cases/2a665611-2464-4fef-8ce8-17c966fc74a5","TCGA-IN-A6RJ-01A")</f>
        <v>TCGA-IN-A6RJ-01A</v>
      </c>
      <c r="I19226" t="s">
        <v>574</v>
      </c>
      <c r="J19226" t="s">
        <v>575</v>
      </c>
      <c r="K19226" t="s">
        <v>33</v>
      </c>
      <c r="L19226" t="s">
        <v>246</v>
      </c>
      <c r="N19226" t="s">
        <v>29</v>
      </c>
    </row>
    <row r="19227" spans="1:14">
      <c r="A19227" s="4" t="str">
        <f t="shared" si="1339"/>
        <v>EXP00441</v>
      </c>
      <c r="B19227" s="3" t="s">
        <v>66</v>
      </c>
      <c r="C19227" s="4" t="str">
        <f t="shared" si="1338"/>
        <v>TCGA-STAD</v>
      </c>
      <c r="D19227" s="1" t="s">
        <v>493</v>
      </c>
      <c r="E19227" t="s">
        <v>580</v>
      </c>
      <c r="F19227" s="1">
        <v>2</v>
      </c>
      <c r="G19227" s="1" t="s">
        <v>28</v>
      </c>
      <c r="H19227" s="4" t="str">
        <f>HYPERLINK("https://portal.gdc.cancer.gov/cases/d8daf273-5334-4be0-b9e0-cc0004552544","TCGA-IN-A6RL-01A")</f>
        <v>TCGA-IN-A6RL-01A</v>
      </c>
      <c r="I19227" t="s">
        <v>574</v>
      </c>
      <c r="J19227" t="s">
        <v>575</v>
      </c>
      <c r="K19227" t="s">
        <v>33</v>
      </c>
      <c r="L19227" t="s">
        <v>246</v>
      </c>
      <c r="N19227" t="s">
        <v>29</v>
      </c>
    </row>
    <row r="19228" spans="1:14">
      <c r="A19228" s="4" t="str">
        <f t="shared" si="1339"/>
        <v>EXP00441</v>
      </c>
      <c r="B19228" s="3" t="s">
        <v>66</v>
      </c>
      <c r="C19228" s="4" t="str">
        <f t="shared" si="1338"/>
        <v>TCGA-STAD</v>
      </c>
      <c r="D19228" s="1" t="s">
        <v>493</v>
      </c>
      <c r="E19228" t="s">
        <v>580</v>
      </c>
      <c r="F19228" s="1">
        <v>2</v>
      </c>
      <c r="G19228" s="1" t="s">
        <v>28</v>
      </c>
      <c r="H19228" s="4" t="str">
        <f>HYPERLINK("https://portal.gdc.cancer.gov/cases/d2e49fe3-fc7c-47c5-aa1f-b6b06d10951a","TCGA-IN-A6RN-01A")</f>
        <v>TCGA-IN-A6RN-01A</v>
      </c>
      <c r="I19228" t="s">
        <v>574</v>
      </c>
      <c r="J19228" t="s">
        <v>575</v>
      </c>
      <c r="K19228" t="s">
        <v>33</v>
      </c>
      <c r="L19228" t="s">
        <v>246</v>
      </c>
      <c r="N19228" t="s">
        <v>29</v>
      </c>
    </row>
    <row r="19229" spans="1:14">
      <c r="A19229" s="4" t="str">
        <f t="shared" si="1339"/>
        <v>EXP00441</v>
      </c>
      <c r="B19229" s="3" t="s">
        <v>66</v>
      </c>
      <c r="C19229" s="4" t="str">
        <f t="shared" si="1338"/>
        <v>TCGA-STAD</v>
      </c>
      <c r="D19229" s="1" t="s">
        <v>493</v>
      </c>
      <c r="E19229" t="s">
        <v>580</v>
      </c>
      <c r="F19229" s="1">
        <v>2</v>
      </c>
      <c r="G19229" s="1" t="s">
        <v>28</v>
      </c>
      <c r="H19229" s="4" t="str">
        <f>HYPERLINK("https://portal.gdc.cancer.gov/cases/2ae1706b-c0f7-40e3-afe5-cb75d1584b96","TCGA-IN-A6RO-01A")</f>
        <v>TCGA-IN-A6RO-01A</v>
      </c>
      <c r="I19229" t="s">
        <v>574</v>
      </c>
      <c r="J19229" t="s">
        <v>575</v>
      </c>
      <c r="K19229" t="s">
        <v>33</v>
      </c>
      <c r="L19229" t="s">
        <v>246</v>
      </c>
      <c r="N19229" t="s">
        <v>29</v>
      </c>
    </row>
    <row r="19230" spans="1:14">
      <c r="A19230" s="4" t="str">
        <f t="shared" si="1339"/>
        <v>EXP00441</v>
      </c>
      <c r="B19230" s="3" t="s">
        <v>66</v>
      </c>
      <c r="C19230" s="4" t="str">
        <f t="shared" si="1338"/>
        <v>TCGA-STAD</v>
      </c>
      <c r="D19230" s="1" t="s">
        <v>493</v>
      </c>
      <c r="E19230" t="s">
        <v>580</v>
      </c>
      <c r="F19230" s="1">
        <v>2</v>
      </c>
      <c r="G19230" s="1" t="s">
        <v>28</v>
      </c>
      <c r="H19230" s="4" t="str">
        <f>HYPERLINK("https://portal.gdc.cancer.gov/cases/7ab5a708-803f-4d8c-9b25-645f06851a26","TCGA-IN-A6RR-01A")</f>
        <v>TCGA-IN-A6RR-01A</v>
      </c>
      <c r="I19230" t="s">
        <v>574</v>
      </c>
      <c r="J19230" t="s">
        <v>575</v>
      </c>
      <c r="K19230" t="s">
        <v>33</v>
      </c>
      <c r="L19230" t="s">
        <v>246</v>
      </c>
      <c r="N19230" t="s">
        <v>29</v>
      </c>
    </row>
    <row r="19231" spans="1:14">
      <c r="A19231" s="4" t="str">
        <f t="shared" si="1339"/>
        <v>EXP00441</v>
      </c>
      <c r="B19231" s="3" t="s">
        <v>66</v>
      </c>
      <c r="C19231" s="4" t="str">
        <f t="shared" si="1338"/>
        <v>TCGA-STAD</v>
      </c>
      <c r="D19231" s="1" t="s">
        <v>493</v>
      </c>
      <c r="E19231" t="s">
        <v>580</v>
      </c>
      <c r="F19231" s="1">
        <v>2</v>
      </c>
      <c r="G19231" s="1" t="s">
        <v>28</v>
      </c>
      <c r="H19231" s="4" t="str">
        <f>HYPERLINK("https://portal.gdc.cancer.gov/cases/baf9a42a-e39e-4aac-b7b5-1b63b7fa1435","TCGA-IN-A6RS-01A")</f>
        <v>TCGA-IN-A6RS-01A</v>
      </c>
      <c r="I19231" t="s">
        <v>574</v>
      </c>
      <c r="J19231" t="s">
        <v>575</v>
      </c>
      <c r="K19231" t="s">
        <v>33</v>
      </c>
      <c r="L19231" t="s">
        <v>246</v>
      </c>
      <c r="N19231" t="s">
        <v>29</v>
      </c>
    </row>
    <row r="19232" spans="1:14">
      <c r="A19232" s="4" t="str">
        <f t="shared" si="1339"/>
        <v>EXP00441</v>
      </c>
      <c r="B19232" s="3" t="s">
        <v>66</v>
      </c>
      <c r="C19232" s="4" t="str">
        <f t="shared" si="1338"/>
        <v>TCGA-STAD</v>
      </c>
      <c r="D19232" s="1" t="s">
        <v>493</v>
      </c>
      <c r="E19232" t="s">
        <v>580</v>
      </c>
      <c r="F19232" s="1">
        <v>2</v>
      </c>
      <c r="G19232" s="1" t="s">
        <v>28</v>
      </c>
      <c r="H19232" s="4" t="str">
        <f>HYPERLINK("https://portal.gdc.cancer.gov/cases/f74df45f-8cfd-4da8-bf84-7b1c80dc57eb","TCGA-IN-A7NR-01A")</f>
        <v>TCGA-IN-A7NR-01A</v>
      </c>
      <c r="I19232" t="s">
        <v>574</v>
      </c>
      <c r="J19232" t="s">
        <v>575</v>
      </c>
      <c r="K19232" t="s">
        <v>33</v>
      </c>
      <c r="L19232" t="s">
        <v>246</v>
      </c>
      <c r="N19232" t="s">
        <v>29</v>
      </c>
    </row>
    <row r="19233" spans="1:14">
      <c r="A19233" s="4" t="str">
        <f t="shared" si="1339"/>
        <v>EXP00441</v>
      </c>
      <c r="B19233" s="3" t="s">
        <v>66</v>
      </c>
      <c r="C19233" s="4" t="str">
        <f t="shared" si="1338"/>
        <v>TCGA-STAD</v>
      </c>
      <c r="D19233" s="1" t="s">
        <v>493</v>
      </c>
      <c r="E19233" t="s">
        <v>580</v>
      </c>
      <c r="F19233" s="1">
        <v>2</v>
      </c>
      <c r="G19233" s="1" t="s">
        <v>28</v>
      </c>
      <c r="H19233" s="4" t="str">
        <f>HYPERLINK("https://portal.gdc.cancer.gov/cases/53108d62-6b7c-429f-9fec-474781174968","TCGA-IN-A7NT-01A")</f>
        <v>TCGA-IN-A7NT-01A</v>
      </c>
      <c r="I19233" t="s">
        <v>574</v>
      </c>
      <c r="J19233" t="s">
        <v>575</v>
      </c>
      <c r="K19233" t="s">
        <v>33</v>
      </c>
      <c r="L19233" t="s">
        <v>246</v>
      </c>
      <c r="N19233" t="s">
        <v>29</v>
      </c>
    </row>
    <row r="19234" spans="1:14">
      <c r="A19234" s="4" t="str">
        <f t="shared" si="1339"/>
        <v>EXP00441</v>
      </c>
      <c r="B19234" s="3" t="s">
        <v>66</v>
      </c>
      <c r="C19234" s="4" t="str">
        <f t="shared" si="1338"/>
        <v>TCGA-STAD</v>
      </c>
      <c r="D19234" s="1" t="s">
        <v>493</v>
      </c>
      <c r="E19234" t="s">
        <v>580</v>
      </c>
      <c r="F19234" s="1">
        <v>2</v>
      </c>
      <c r="G19234" s="1" t="s">
        <v>28</v>
      </c>
      <c r="H19234" s="4" t="str">
        <f>HYPERLINK("https://portal.gdc.cancer.gov/cases/26a5e389-8ec2-4316-beea-f9a63d455b73","TCGA-IN-A7NU-01A")</f>
        <v>TCGA-IN-A7NU-01A</v>
      </c>
      <c r="I19234" t="s">
        <v>574</v>
      </c>
      <c r="J19234" t="s">
        <v>575</v>
      </c>
      <c r="K19234" t="s">
        <v>33</v>
      </c>
      <c r="L19234" t="s">
        <v>246</v>
      </c>
      <c r="N19234" t="s">
        <v>29</v>
      </c>
    </row>
    <row r="19235" spans="1:14">
      <c r="A19235" s="4" t="str">
        <f t="shared" si="1339"/>
        <v>EXP00441</v>
      </c>
      <c r="B19235" s="3" t="s">
        <v>66</v>
      </c>
      <c r="C19235" s="4" t="str">
        <f t="shared" si="1338"/>
        <v>TCGA-STAD</v>
      </c>
      <c r="D19235" s="1" t="s">
        <v>493</v>
      </c>
      <c r="E19235" t="s">
        <v>580</v>
      </c>
      <c r="F19235" s="1">
        <v>2</v>
      </c>
      <c r="G19235" s="1" t="s">
        <v>28</v>
      </c>
      <c r="H19235" s="4" t="str">
        <f>HYPERLINK("https://portal.gdc.cancer.gov/cases/ddcc73bf-b10f-4fab-96d4-3077947fcd2d","TCGA-IN-AB1V-01A")</f>
        <v>TCGA-IN-AB1V-01A</v>
      </c>
      <c r="I19235" t="s">
        <v>574</v>
      </c>
      <c r="J19235" t="s">
        <v>575</v>
      </c>
      <c r="K19235" t="s">
        <v>33</v>
      </c>
      <c r="L19235" t="s">
        <v>246</v>
      </c>
      <c r="N19235" t="s">
        <v>29</v>
      </c>
    </row>
    <row r="19236" spans="1:14">
      <c r="A19236" s="4" t="str">
        <f t="shared" si="1339"/>
        <v>EXP00441</v>
      </c>
      <c r="B19236" s="3" t="s">
        <v>66</v>
      </c>
      <c r="C19236" s="4" t="str">
        <f t="shared" si="1338"/>
        <v>TCGA-STAD</v>
      </c>
      <c r="D19236" s="1" t="s">
        <v>493</v>
      </c>
      <c r="E19236" t="s">
        <v>580</v>
      </c>
      <c r="F19236" s="1">
        <v>2</v>
      </c>
      <c r="G19236" s="1" t="s">
        <v>28</v>
      </c>
      <c r="H19236" s="4" t="str">
        <f>HYPERLINK("https://portal.gdc.cancer.gov/cases/1e5a3796-6249-4a91-9fc8-0c273e337f29","TCGA-IN-AB1X-01A")</f>
        <v>TCGA-IN-AB1X-01A</v>
      </c>
      <c r="I19236" t="s">
        <v>574</v>
      </c>
      <c r="J19236" t="s">
        <v>575</v>
      </c>
      <c r="K19236" t="s">
        <v>33</v>
      </c>
      <c r="L19236" t="s">
        <v>246</v>
      </c>
      <c r="N19236" t="s">
        <v>29</v>
      </c>
    </row>
    <row r="19237" spans="1:14">
      <c r="A19237" s="4" t="str">
        <f t="shared" si="1339"/>
        <v>EXP00441</v>
      </c>
      <c r="B19237" s="3" t="s">
        <v>66</v>
      </c>
      <c r="C19237" s="4" t="str">
        <f t="shared" si="1338"/>
        <v>TCGA-STAD</v>
      </c>
      <c r="D19237" s="1" t="s">
        <v>493</v>
      </c>
      <c r="E19237" t="s">
        <v>580</v>
      </c>
      <c r="F19237" s="1">
        <v>2</v>
      </c>
      <c r="G19237" s="1" t="s">
        <v>28</v>
      </c>
      <c r="H19237" s="4" t="str">
        <f>HYPERLINK("https://portal.gdc.cancer.gov/cases/faf5f1e3-9f7d-4a9d-a005-6cad5e4becf7","TCGA-IP-7968-01A")</f>
        <v>TCGA-IP-7968-01A</v>
      </c>
      <c r="I19237" t="s">
        <v>574</v>
      </c>
      <c r="J19237" t="s">
        <v>575</v>
      </c>
      <c r="K19237" t="s">
        <v>33</v>
      </c>
      <c r="L19237" t="s">
        <v>246</v>
      </c>
      <c r="N19237" t="s">
        <v>29</v>
      </c>
    </row>
    <row r="19238" spans="1:14">
      <c r="A19238" s="4" t="str">
        <f t="shared" si="1339"/>
        <v>EXP00441</v>
      </c>
      <c r="B19238" s="3" t="s">
        <v>66</v>
      </c>
      <c r="C19238" s="4" t="str">
        <f t="shared" si="1338"/>
        <v>TCGA-STAD</v>
      </c>
      <c r="D19238" s="1" t="s">
        <v>493</v>
      </c>
      <c r="E19238" t="s">
        <v>580</v>
      </c>
      <c r="F19238" s="1">
        <v>2</v>
      </c>
      <c r="G19238" s="1" t="s">
        <v>28</v>
      </c>
      <c r="H19238" s="4" t="str">
        <f>HYPERLINK("https://portal.gdc.cancer.gov/cases/197d01a5-321c-461e-9b45-b359288b959a","TCGA-KB-A6F7-01A")</f>
        <v>TCGA-KB-A6F7-01A</v>
      </c>
      <c r="I19238" t="s">
        <v>574</v>
      </c>
      <c r="J19238" t="s">
        <v>575</v>
      </c>
      <c r="K19238" t="s">
        <v>33</v>
      </c>
      <c r="L19238" t="s">
        <v>246</v>
      </c>
      <c r="N19238" t="s">
        <v>29</v>
      </c>
    </row>
    <row r="19239" spans="1:14">
      <c r="A19239" s="4" t="str">
        <f t="shared" si="1339"/>
        <v>EXP00441</v>
      </c>
      <c r="B19239" s="3" t="s">
        <v>66</v>
      </c>
      <c r="C19239" s="4" t="str">
        <f t="shared" si="1338"/>
        <v>TCGA-STAD</v>
      </c>
      <c r="D19239" s="1" t="s">
        <v>493</v>
      </c>
      <c r="E19239" t="s">
        <v>580</v>
      </c>
      <c r="F19239" s="1">
        <v>2</v>
      </c>
      <c r="G19239" s="1" t="s">
        <v>28</v>
      </c>
      <c r="H19239" s="4" t="str">
        <f>HYPERLINK("https://portal.gdc.cancer.gov/cases/5f263b2c-3385-4d07-99c2-d7b613c4a470","TCGA-KB-A93J-01A")</f>
        <v>TCGA-KB-A93J-01A</v>
      </c>
      <c r="I19239" t="s">
        <v>574</v>
      </c>
      <c r="J19239" t="s">
        <v>575</v>
      </c>
      <c r="K19239" t="s">
        <v>33</v>
      </c>
      <c r="L19239" t="s">
        <v>246</v>
      </c>
      <c r="N19239" t="s">
        <v>29</v>
      </c>
    </row>
    <row r="19240" spans="1:14">
      <c r="A19240" s="4" t="str">
        <f t="shared" si="1339"/>
        <v>EXP00441</v>
      </c>
      <c r="B19240" s="3" t="s">
        <v>66</v>
      </c>
      <c r="C19240" s="4" t="str">
        <f t="shared" ref="C19240:C19303" si="1340">HYPERLINK("https://portal.gdc.cancer.gov/projects/TCGA-STAD","TCGA-STAD")</f>
        <v>TCGA-STAD</v>
      </c>
      <c r="D19240" s="1" t="s">
        <v>493</v>
      </c>
      <c r="E19240" t="s">
        <v>580</v>
      </c>
      <c r="F19240" s="1">
        <v>2</v>
      </c>
      <c r="G19240" s="1" t="s">
        <v>28</v>
      </c>
      <c r="H19240" s="4" t="str">
        <f>HYPERLINK("https://portal.gdc.cancer.gov/cases/f72a26e8-7f96-4d86-b37b-7dc35f681133","TCGA-MX-A5UG-01A")</f>
        <v>TCGA-MX-A5UG-01A</v>
      </c>
      <c r="I19240" t="s">
        <v>574</v>
      </c>
      <c r="J19240" t="s">
        <v>575</v>
      </c>
      <c r="K19240" t="s">
        <v>33</v>
      </c>
      <c r="L19240" t="s">
        <v>246</v>
      </c>
      <c r="N19240" t="s">
        <v>29</v>
      </c>
    </row>
    <row r="19241" spans="1:14">
      <c r="A19241" s="4" t="str">
        <f t="shared" si="1339"/>
        <v>EXP00441</v>
      </c>
      <c r="B19241" s="3" t="s">
        <v>66</v>
      </c>
      <c r="C19241" s="4" t="str">
        <f t="shared" si="1340"/>
        <v>TCGA-STAD</v>
      </c>
      <c r="D19241" s="1" t="s">
        <v>493</v>
      </c>
      <c r="E19241" t="s">
        <v>580</v>
      </c>
      <c r="F19241" s="1">
        <v>2</v>
      </c>
      <c r="G19241" s="1" t="s">
        <v>28</v>
      </c>
      <c r="H19241" s="4" t="str">
        <f>HYPERLINK("https://portal.gdc.cancer.gov/cases/43e3fbf3-7812-45fb-bf4c-ce22a2aa1eee","TCGA-MX-A5UJ-01A")</f>
        <v>TCGA-MX-A5UJ-01A</v>
      </c>
      <c r="I19241" t="s">
        <v>574</v>
      </c>
      <c r="J19241" t="s">
        <v>575</v>
      </c>
      <c r="K19241" t="s">
        <v>33</v>
      </c>
      <c r="L19241" t="s">
        <v>246</v>
      </c>
      <c r="N19241" t="s">
        <v>29</v>
      </c>
    </row>
    <row r="19242" spans="1:14">
      <c r="A19242" s="4" t="str">
        <f t="shared" si="1339"/>
        <v>EXP00441</v>
      </c>
      <c r="B19242" s="3" t="s">
        <v>66</v>
      </c>
      <c r="C19242" s="4" t="str">
        <f t="shared" si="1340"/>
        <v>TCGA-STAD</v>
      </c>
      <c r="D19242" s="1" t="s">
        <v>493</v>
      </c>
      <c r="E19242" t="s">
        <v>580</v>
      </c>
      <c r="F19242" s="1">
        <v>2</v>
      </c>
      <c r="G19242" s="1" t="s">
        <v>28</v>
      </c>
      <c r="H19242" s="4" t="str">
        <f>HYPERLINK("https://portal.gdc.cancer.gov/cases/e9d0aa8b-9ef4-40f7-8254-38fdce349bee","TCGA-MX-A663-01A")</f>
        <v>TCGA-MX-A663-01A</v>
      </c>
      <c r="I19242" t="s">
        <v>574</v>
      </c>
      <c r="J19242" t="s">
        <v>575</v>
      </c>
      <c r="K19242" t="s">
        <v>33</v>
      </c>
      <c r="L19242" t="s">
        <v>246</v>
      </c>
      <c r="N19242" t="s">
        <v>29</v>
      </c>
    </row>
    <row r="19243" spans="1:14">
      <c r="A19243" s="4" t="str">
        <f t="shared" si="1339"/>
        <v>EXP00441</v>
      </c>
      <c r="B19243" s="3" t="s">
        <v>66</v>
      </c>
      <c r="C19243" s="4" t="str">
        <f t="shared" si="1340"/>
        <v>TCGA-STAD</v>
      </c>
      <c r="D19243" s="1" t="s">
        <v>493</v>
      </c>
      <c r="E19243" t="s">
        <v>580</v>
      </c>
      <c r="F19243" s="1">
        <v>2</v>
      </c>
      <c r="G19243" s="1" t="s">
        <v>28</v>
      </c>
      <c r="H19243" s="4" t="str">
        <f>HYPERLINK("https://portal.gdc.cancer.gov/cases/d04e2e8c-9d58-4514-8ab7-3642289d4de0","TCGA-MX-A666-01A")</f>
        <v>TCGA-MX-A666-01A</v>
      </c>
      <c r="I19243" t="s">
        <v>574</v>
      </c>
      <c r="J19243" t="s">
        <v>575</v>
      </c>
      <c r="K19243" t="s">
        <v>33</v>
      </c>
      <c r="L19243" t="s">
        <v>246</v>
      </c>
      <c r="N19243" t="s">
        <v>29</v>
      </c>
    </row>
    <row r="19244" spans="1:14">
      <c r="A19244" s="4" t="str">
        <f t="shared" si="1339"/>
        <v>EXP00441</v>
      </c>
      <c r="B19244" s="3" t="s">
        <v>66</v>
      </c>
      <c r="C19244" s="4" t="str">
        <f t="shared" si="1340"/>
        <v>TCGA-STAD</v>
      </c>
      <c r="D19244" s="1" t="s">
        <v>493</v>
      </c>
      <c r="E19244" t="s">
        <v>580</v>
      </c>
      <c r="F19244" s="1">
        <v>2</v>
      </c>
      <c r="G19244" s="1" t="s">
        <v>28</v>
      </c>
      <c r="H19244" s="4" t="str">
        <f>HYPERLINK("https://portal.gdc.cancer.gov/cases/3bfa8069-6ca3-4405-9e32-11aa16b010ac","TCGA-R5-A7O7-01A")</f>
        <v>TCGA-R5-A7O7-01A</v>
      </c>
      <c r="I19244" t="s">
        <v>574</v>
      </c>
      <c r="J19244" t="s">
        <v>575</v>
      </c>
      <c r="K19244" t="s">
        <v>33</v>
      </c>
      <c r="L19244" t="s">
        <v>246</v>
      </c>
      <c r="N19244" t="s">
        <v>29</v>
      </c>
    </row>
    <row r="19245" spans="1:14">
      <c r="A19245" s="4" t="str">
        <f t="shared" si="1339"/>
        <v>EXP00441</v>
      </c>
      <c r="B19245" s="3" t="s">
        <v>66</v>
      </c>
      <c r="C19245" s="4" t="str">
        <f t="shared" si="1340"/>
        <v>TCGA-STAD</v>
      </c>
      <c r="D19245" s="1" t="s">
        <v>493</v>
      </c>
      <c r="E19245" t="s">
        <v>580</v>
      </c>
      <c r="F19245" s="1">
        <v>2</v>
      </c>
      <c r="G19245" s="1" t="s">
        <v>28</v>
      </c>
      <c r="H19245" s="4" t="str">
        <f>HYPERLINK("https://portal.gdc.cancer.gov/cases/7bef9122-0fb4-4f2e-bb6e-67eddc3ea9af","TCGA-R5-A7ZE-01B")</f>
        <v>TCGA-R5-A7ZE-01B</v>
      </c>
      <c r="I19245" t="s">
        <v>574</v>
      </c>
      <c r="J19245" t="s">
        <v>575</v>
      </c>
      <c r="K19245" t="s">
        <v>33</v>
      </c>
      <c r="L19245" t="s">
        <v>246</v>
      </c>
      <c r="N19245" t="s">
        <v>29</v>
      </c>
    </row>
    <row r="19246" spans="1:14">
      <c r="A19246" s="4" t="str">
        <f t="shared" si="1339"/>
        <v>EXP00441</v>
      </c>
      <c r="B19246" s="3" t="s">
        <v>66</v>
      </c>
      <c r="C19246" s="4" t="str">
        <f t="shared" si="1340"/>
        <v>TCGA-STAD</v>
      </c>
      <c r="D19246" s="1" t="s">
        <v>493</v>
      </c>
      <c r="E19246" t="s">
        <v>580</v>
      </c>
      <c r="F19246" s="1">
        <v>2</v>
      </c>
      <c r="G19246" s="1" t="s">
        <v>28</v>
      </c>
      <c r="H19246" s="4" t="str">
        <f>HYPERLINK("https://portal.gdc.cancer.gov/cases/9745f1ca-d663-458a-86dd-024ebbf6a863","TCGA-R5-A7ZF-01A")</f>
        <v>TCGA-R5-A7ZF-01A</v>
      </c>
      <c r="I19246" t="s">
        <v>574</v>
      </c>
      <c r="J19246" t="s">
        <v>575</v>
      </c>
      <c r="K19246" t="s">
        <v>33</v>
      </c>
      <c r="L19246" t="s">
        <v>246</v>
      </c>
      <c r="N19246" t="s">
        <v>29</v>
      </c>
    </row>
    <row r="19247" spans="1:14">
      <c r="A19247" s="4" t="str">
        <f t="shared" si="1339"/>
        <v>EXP00441</v>
      </c>
      <c r="B19247" s="3" t="s">
        <v>66</v>
      </c>
      <c r="C19247" s="4" t="str">
        <f t="shared" si="1340"/>
        <v>TCGA-STAD</v>
      </c>
      <c r="D19247" s="1" t="s">
        <v>493</v>
      </c>
      <c r="E19247" t="s">
        <v>580</v>
      </c>
      <c r="F19247" s="1">
        <v>2</v>
      </c>
      <c r="G19247" s="1" t="s">
        <v>28</v>
      </c>
      <c r="H19247" s="4" t="str">
        <f>HYPERLINK("https://portal.gdc.cancer.gov/cases/b4376da2-05ca-448f-a4bb-e7b62695491a","TCGA-R5-A7ZI-01A")</f>
        <v>TCGA-R5-A7ZI-01A</v>
      </c>
      <c r="I19247" t="s">
        <v>574</v>
      </c>
      <c r="J19247" t="s">
        <v>575</v>
      </c>
      <c r="K19247" t="s">
        <v>33</v>
      </c>
      <c r="L19247" t="s">
        <v>246</v>
      </c>
      <c r="N19247" t="s">
        <v>29</v>
      </c>
    </row>
    <row r="19248" spans="1:14">
      <c r="A19248" s="4" t="str">
        <f t="shared" ref="A19248:A19310" si="1341">HYPERLINK("http://hcmdb.i-sanger.com/experiment/details/experiment_id/EXP00441","EXP00441")</f>
        <v>EXP00441</v>
      </c>
      <c r="B19248" s="3" t="s">
        <v>66</v>
      </c>
      <c r="C19248" s="4" t="str">
        <f t="shared" si="1340"/>
        <v>TCGA-STAD</v>
      </c>
      <c r="D19248" s="1" t="s">
        <v>493</v>
      </c>
      <c r="E19248" t="s">
        <v>580</v>
      </c>
      <c r="F19248" s="1">
        <v>2</v>
      </c>
      <c r="G19248" s="1" t="s">
        <v>28</v>
      </c>
      <c r="H19248" s="4" t="str">
        <f>HYPERLINK("https://portal.gdc.cancer.gov/cases/e04a05ee-f0d8-4691-84bb-d1a61e1bd77b","TCGA-R5-A7ZR-01A")</f>
        <v>TCGA-R5-A7ZR-01A</v>
      </c>
      <c r="I19248" t="s">
        <v>574</v>
      </c>
      <c r="J19248" t="s">
        <v>575</v>
      </c>
      <c r="K19248" t="s">
        <v>33</v>
      </c>
      <c r="L19248" t="s">
        <v>246</v>
      </c>
      <c r="N19248" t="s">
        <v>29</v>
      </c>
    </row>
    <row r="19249" spans="1:14">
      <c r="A19249" s="4" t="str">
        <f t="shared" si="1341"/>
        <v>EXP00441</v>
      </c>
      <c r="B19249" s="3" t="s">
        <v>66</v>
      </c>
      <c r="C19249" s="4" t="str">
        <f t="shared" si="1340"/>
        <v>TCGA-STAD</v>
      </c>
      <c r="D19249" s="1" t="s">
        <v>493</v>
      </c>
      <c r="E19249" t="s">
        <v>580</v>
      </c>
      <c r="F19249" s="1">
        <v>2</v>
      </c>
      <c r="G19249" s="1" t="s">
        <v>28</v>
      </c>
      <c r="H19249" s="4" t="str">
        <f>HYPERLINK("https://portal.gdc.cancer.gov/cases/7059ea66-93d7-4941-a35c-8a324d1ab94a","TCGA-R5-A805-01A")</f>
        <v>TCGA-R5-A805-01A</v>
      </c>
      <c r="I19249" t="s">
        <v>574</v>
      </c>
      <c r="J19249" t="s">
        <v>575</v>
      </c>
      <c r="K19249" t="s">
        <v>33</v>
      </c>
      <c r="L19249" t="s">
        <v>246</v>
      </c>
      <c r="N19249" t="s">
        <v>29</v>
      </c>
    </row>
    <row r="19250" spans="1:14">
      <c r="A19250" s="4" t="str">
        <f t="shared" si="1341"/>
        <v>EXP00441</v>
      </c>
      <c r="B19250" s="3" t="s">
        <v>66</v>
      </c>
      <c r="C19250" s="4" t="str">
        <f t="shared" si="1340"/>
        <v>TCGA-STAD</v>
      </c>
      <c r="D19250" s="1" t="s">
        <v>493</v>
      </c>
      <c r="E19250" t="s">
        <v>580</v>
      </c>
      <c r="F19250" s="1">
        <v>2</v>
      </c>
      <c r="G19250" s="1" t="s">
        <v>28</v>
      </c>
      <c r="H19250" s="4" t="str">
        <f>HYPERLINK("https://portal.gdc.cancer.gov/cases/b54fe07a-f63d-4861-878a-8e8322e32fed","TCGA-RD-A7BW-01A")</f>
        <v>TCGA-RD-A7BW-01A</v>
      </c>
      <c r="I19250" t="s">
        <v>574</v>
      </c>
      <c r="J19250" t="s">
        <v>575</v>
      </c>
      <c r="K19250" t="s">
        <v>33</v>
      </c>
      <c r="L19250" t="s">
        <v>246</v>
      </c>
      <c r="N19250" t="s">
        <v>29</v>
      </c>
    </row>
    <row r="19251" spans="1:14">
      <c r="A19251" s="4" t="str">
        <f t="shared" si="1341"/>
        <v>EXP00441</v>
      </c>
      <c r="B19251" s="3" t="s">
        <v>66</v>
      </c>
      <c r="C19251" s="4" t="str">
        <f t="shared" si="1340"/>
        <v>TCGA-STAD</v>
      </c>
      <c r="D19251" s="1" t="s">
        <v>493</v>
      </c>
      <c r="E19251" t="s">
        <v>580</v>
      </c>
      <c r="F19251" s="1">
        <v>2</v>
      </c>
      <c r="G19251" s="1" t="s">
        <v>28</v>
      </c>
      <c r="H19251" s="4" t="str">
        <f>HYPERLINK("https://portal.gdc.cancer.gov/cases/17638f77-3d0a-4b7f-8801-d807aad6bbd4","TCGA-RD-A8MV-01A")</f>
        <v>TCGA-RD-A8MV-01A</v>
      </c>
      <c r="I19251" t="s">
        <v>574</v>
      </c>
      <c r="J19251" t="s">
        <v>575</v>
      </c>
      <c r="K19251" t="s">
        <v>33</v>
      </c>
      <c r="L19251" t="s">
        <v>246</v>
      </c>
      <c r="N19251" t="s">
        <v>29</v>
      </c>
    </row>
    <row r="19252" spans="1:14">
      <c r="A19252" s="4" t="str">
        <f t="shared" si="1341"/>
        <v>EXP00441</v>
      </c>
      <c r="B19252" s="3" t="s">
        <v>66</v>
      </c>
      <c r="C19252" s="4" t="str">
        <f t="shared" si="1340"/>
        <v>TCGA-STAD</v>
      </c>
      <c r="D19252" s="1" t="s">
        <v>493</v>
      </c>
      <c r="E19252" t="s">
        <v>580</v>
      </c>
      <c r="F19252" s="1">
        <v>2</v>
      </c>
      <c r="G19252" s="1" t="s">
        <v>28</v>
      </c>
      <c r="H19252" s="4" t="str">
        <f>HYPERLINK("https://portal.gdc.cancer.gov/cases/2360c1e2-90f5-4737-9486-3f4590c37322","TCGA-RD-A8N0-01A")</f>
        <v>TCGA-RD-A8N0-01A</v>
      </c>
      <c r="I19252" t="s">
        <v>574</v>
      </c>
      <c r="J19252" t="s">
        <v>575</v>
      </c>
      <c r="K19252" t="s">
        <v>33</v>
      </c>
      <c r="L19252" t="s">
        <v>246</v>
      </c>
      <c r="N19252" t="s">
        <v>29</v>
      </c>
    </row>
    <row r="19253" spans="1:14">
      <c r="A19253" s="4" t="str">
        <f t="shared" si="1341"/>
        <v>EXP00441</v>
      </c>
      <c r="B19253" s="3" t="s">
        <v>66</v>
      </c>
      <c r="C19253" s="4" t="str">
        <f t="shared" si="1340"/>
        <v>TCGA-STAD</v>
      </c>
      <c r="D19253" s="1" t="s">
        <v>493</v>
      </c>
      <c r="E19253" t="s">
        <v>580</v>
      </c>
      <c r="F19253" s="1">
        <v>2</v>
      </c>
      <c r="G19253" s="1" t="s">
        <v>28</v>
      </c>
      <c r="H19253" s="4" t="str">
        <f>HYPERLINK("https://portal.gdc.cancer.gov/cases/46d7489a-cfe6-440e-9d50-919d0ead8018","TCGA-RD-A8N1-01A")</f>
        <v>TCGA-RD-A8N1-01A</v>
      </c>
      <c r="I19253" t="s">
        <v>574</v>
      </c>
      <c r="J19253" t="s">
        <v>575</v>
      </c>
      <c r="K19253" t="s">
        <v>33</v>
      </c>
      <c r="L19253" t="s">
        <v>246</v>
      </c>
      <c r="N19253" t="s">
        <v>29</v>
      </c>
    </row>
    <row r="19254" spans="1:14">
      <c r="A19254" s="4" t="str">
        <f t="shared" si="1341"/>
        <v>EXP00441</v>
      </c>
      <c r="B19254" s="3" t="s">
        <v>66</v>
      </c>
      <c r="C19254" s="4" t="str">
        <f t="shared" si="1340"/>
        <v>TCGA-STAD</v>
      </c>
      <c r="D19254" s="1" t="s">
        <v>493</v>
      </c>
      <c r="E19254" t="s">
        <v>580</v>
      </c>
      <c r="F19254" s="1">
        <v>2</v>
      </c>
      <c r="G19254" s="1" t="s">
        <v>28</v>
      </c>
      <c r="H19254" s="4" t="str">
        <f>HYPERLINK("https://portal.gdc.cancer.gov/cases/158b6bd2-1e7d-4c7e-9d8a-42467342c9c2","TCGA-RD-A8N2-01A")</f>
        <v>TCGA-RD-A8N2-01A</v>
      </c>
      <c r="I19254" t="s">
        <v>574</v>
      </c>
      <c r="J19254" t="s">
        <v>575</v>
      </c>
      <c r="K19254" t="s">
        <v>33</v>
      </c>
      <c r="L19254" t="s">
        <v>246</v>
      </c>
      <c r="N19254" t="s">
        <v>29</v>
      </c>
    </row>
    <row r="19255" spans="1:14">
      <c r="A19255" s="4" t="str">
        <f t="shared" si="1341"/>
        <v>EXP00441</v>
      </c>
      <c r="B19255" s="3" t="s">
        <v>66</v>
      </c>
      <c r="C19255" s="4" t="str">
        <f t="shared" si="1340"/>
        <v>TCGA-STAD</v>
      </c>
      <c r="D19255" s="1" t="s">
        <v>493</v>
      </c>
      <c r="E19255" t="s">
        <v>580</v>
      </c>
      <c r="F19255" s="1">
        <v>2</v>
      </c>
      <c r="G19255" s="1" t="s">
        <v>28</v>
      </c>
      <c r="H19255" s="4" t="str">
        <f>HYPERLINK("https://portal.gdc.cancer.gov/cases/26bbeafa-6923-4c23-8d5f-aa33fba92e82","TCGA-RD-A8N4-01A")</f>
        <v>TCGA-RD-A8N4-01A</v>
      </c>
      <c r="I19255" t="s">
        <v>574</v>
      </c>
      <c r="J19255" t="s">
        <v>575</v>
      </c>
      <c r="K19255" t="s">
        <v>33</v>
      </c>
      <c r="L19255" t="s">
        <v>246</v>
      </c>
      <c r="N19255" t="s">
        <v>29</v>
      </c>
    </row>
    <row r="19256" spans="1:14">
      <c r="A19256" s="4" t="str">
        <f t="shared" si="1341"/>
        <v>EXP00441</v>
      </c>
      <c r="B19256" s="3" t="s">
        <v>66</v>
      </c>
      <c r="C19256" s="4" t="str">
        <f t="shared" si="1340"/>
        <v>TCGA-STAD</v>
      </c>
      <c r="D19256" s="1" t="s">
        <v>493</v>
      </c>
      <c r="E19256" t="s">
        <v>580</v>
      </c>
      <c r="F19256" s="1">
        <v>2</v>
      </c>
      <c r="G19256" s="1" t="s">
        <v>28</v>
      </c>
      <c r="H19256" s="4" t="str">
        <f>HYPERLINK("https://portal.gdc.cancer.gov/cases/6e2ecc9d-dc68-4922-a36e-e8bbaf9eafb3","TCGA-RD-A8N5-01A")</f>
        <v>TCGA-RD-A8N5-01A</v>
      </c>
      <c r="I19256" t="s">
        <v>574</v>
      </c>
      <c r="J19256" t="s">
        <v>575</v>
      </c>
      <c r="K19256" t="s">
        <v>33</v>
      </c>
      <c r="L19256" t="s">
        <v>246</v>
      </c>
      <c r="N19256" t="s">
        <v>29</v>
      </c>
    </row>
    <row r="19257" spans="1:14">
      <c r="A19257" s="4" t="str">
        <f t="shared" si="1341"/>
        <v>EXP00441</v>
      </c>
      <c r="B19257" s="3" t="s">
        <v>66</v>
      </c>
      <c r="C19257" s="4" t="str">
        <f t="shared" si="1340"/>
        <v>TCGA-STAD</v>
      </c>
      <c r="D19257" s="1" t="s">
        <v>493</v>
      </c>
      <c r="E19257" t="s">
        <v>580</v>
      </c>
      <c r="F19257" s="1">
        <v>2</v>
      </c>
      <c r="G19257" s="1" t="s">
        <v>28</v>
      </c>
      <c r="H19257" s="4" t="str">
        <f>HYPERLINK("https://portal.gdc.cancer.gov/cases/8ce63594-bf4a-4b8d-9a48-49cb92b98ea9","TCGA-RD-A8N9-01A")</f>
        <v>TCGA-RD-A8N9-01A</v>
      </c>
      <c r="I19257" t="s">
        <v>574</v>
      </c>
      <c r="J19257" t="s">
        <v>575</v>
      </c>
      <c r="K19257" t="s">
        <v>33</v>
      </c>
      <c r="L19257" t="s">
        <v>246</v>
      </c>
      <c r="N19257" t="s">
        <v>29</v>
      </c>
    </row>
    <row r="19258" spans="1:14">
      <c r="A19258" s="4" t="str">
        <f t="shared" si="1341"/>
        <v>EXP00441</v>
      </c>
      <c r="B19258" s="3" t="s">
        <v>66</v>
      </c>
      <c r="C19258" s="4" t="str">
        <f t="shared" si="1340"/>
        <v>TCGA-STAD</v>
      </c>
      <c r="D19258" s="1" t="s">
        <v>493</v>
      </c>
      <c r="E19258" t="s">
        <v>580</v>
      </c>
      <c r="F19258" s="1">
        <v>2</v>
      </c>
      <c r="G19258" s="1" t="s">
        <v>28</v>
      </c>
      <c r="H19258" s="4" t="str">
        <f>HYPERLINK("https://portal.gdc.cancer.gov/cases/76c666e8-75c0-4e82-978c-1e346435b0fa","TCGA-SW-A7EA-01A")</f>
        <v>TCGA-SW-A7EA-01A</v>
      </c>
      <c r="I19258" t="s">
        <v>574</v>
      </c>
      <c r="J19258" t="s">
        <v>575</v>
      </c>
      <c r="K19258" t="s">
        <v>33</v>
      </c>
      <c r="L19258" t="s">
        <v>246</v>
      </c>
      <c r="N19258" t="s">
        <v>29</v>
      </c>
    </row>
    <row r="19259" spans="1:14">
      <c r="A19259" s="4" t="str">
        <f t="shared" si="1341"/>
        <v>EXP00441</v>
      </c>
      <c r="B19259" s="3" t="s">
        <v>66</v>
      </c>
      <c r="C19259" s="4" t="str">
        <f t="shared" si="1340"/>
        <v>TCGA-STAD</v>
      </c>
      <c r="D19259" s="1" t="s">
        <v>493</v>
      </c>
      <c r="E19259" t="s">
        <v>580</v>
      </c>
      <c r="F19259" s="1">
        <v>2</v>
      </c>
      <c r="G19259" s="1" t="s">
        <v>28</v>
      </c>
      <c r="H19259" s="4" t="str">
        <f>HYPERLINK("https://portal.gdc.cancer.gov/cases/bfdcc333-1b9d-44d2-90a4-c1720ba712e9","TCGA-SW-A7EB-01A")</f>
        <v>TCGA-SW-A7EB-01A</v>
      </c>
      <c r="I19259" t="s">
        <v>574</v>
      </c>
      <c r="J19259" t="s">
        <v>575</v>
      </c>
      <c r="K19259" t="s">
        <v>33</v>
      </c>
      <c r="L19259" t="s">
        <v>246</v>
      </c>
      <c r="N19259" t="s">
        <v>29</v>
      </c>
    </row>
    <row r="19260" spans="1:14">
      <c r="A19260" s="4" t="str">
        <f t="shared" si="1341"/>
        <v>EXP00441</v>
      </c>
      <c r="B19260" s="3" t="s">
        <v>66</v>
      </c>
      <c r="C19260" s="4" t="str">
        <f t="shared" si="1340"/>
        <v>TCGA-STAD</v>
      </c>
      <c r="D19260" s="1" t="s">
        <v>493</v>
      </c>
      <c r="E19260" t="s">
        <v>580</v>
      </c>
      <c r="F19260" s="1">
        <v>2</v>
      </c>
      <c r="G19260" s="1" t="s">
        <v>28</v>
      </c>
      <c r="H19260" s="4" t="str">
        <f>HYPERLINK("https://portal.gdc.cancer.gov/cases/8027adc9-4918-45f0-a7da-5767da0b999e","TCGA-VQ-A8DT-01A")</f>
        <v>TCGA-VQ-A8DT-01A</v>
      </c>
      <c r="I19260" t="s">
        <v>574</v>
      </c>
      <c r="J19260" t="s">
        <v>575</v>
      </c>
      <c r="K19260" t="s">
        <v>33</v>
      </c>
      <c r="L19260" t="s">
        <v>246</v>
      </c>
      <c r="N19260" t="s">
        <v>29</v>
      </c>
    </row>
    <row r="19261" spans="1:14">
      <c r="A19261" s="4" t="str">
        <f t="shared" si="1341"/>
        <v>EXP00441</v>
      </c>
      <c r="B19261" s="3" t="s">
        <v>66</v>
      </c>
      <c r="C19261" s="4" t="str">
        <f t="shared" si="1340"/>
        <v>TCGA-STAD</v>
      </c>
      <c r="D19261" s="1" t="s">
        <v>493</v>
      </c>
      <c r="E19261" t="s">
        <v>580</v>
      </c>
      <c r="F19261" s="1">
        <v>2</v>
      </c>
      <c r="G19261" s="1" t="s">
        <v>28</v>
      </c>
      <c r="H19261" s="4" t="str">
        <f>HYPERLINK("https://portal.gdc.cancer.gov/cases/a8a9b061-b33c-4c69-bd4c-7f430474cdfd","TCGA-VQ-A8DZ-01A")</f>
        <v>TCGA-VQ-A8DZ-01A</v>
      </c>
      <c r="I19261" t="s">
        <v>574</v>
      </c>
      <c r="J19261" t="s">
        <v>575</v>
      </c>
      <c r="K19261" t="s">
        <v>33</v>
      </c>
      <c r="L19261" t="s">
        <v>246</v>
      </c>
      <c r="N19261" t="s">
        <v>29</v>
      </c>
    </row>
    <row r="19262" spans="1:14">
      <c r="A19262" s="4" t="str">
        <f t="shared" si="1341"/>
        <v>EXP00441</v>
      </c>
      <c r="B19262" s="3" t="s">
        <v>66</v>
      </c>
      <c r="C19262" s="4" t="str">
        <f t="shared" si="1340"/>
        <v>TCGA-STAD</v>
      </c>
      <c r="D19262" s="1" t="s">
        <v>493</v>
      </c>
      <c r="E19262" t="s">
        <v>580</v>
      </c>
      <c r="F19262" s="1">
        <v>2</v>
      </c>
      <c r="G19262" s="1" t="s">
        <v>28</v>
      </c>
      <c r="H19262" s="4" t="str">
        <f>HYPERLINK("https://portal.gdc.cancer.gov/cases/c16eed96-8da8-4d01-b87d-660f46172777","TCGA-VQ-A8E2-01A")</f>
        <v>TCGA-VQ-A8E2-01A</v>
      </c>
      <c r="I19262" t="s">
        <v>574</v>
      </c>
      <c r="J19262" t="s">
        <v>575</v>
      </c>
      <c r="K19262" t="s">
        <v>33</v>
      </c>
      <c r="L19262" t="s">
        <v>246</v>
      </c>
      <c r="N19262" t="s">
        <v>29</v>
      </c>
    </row>
    <row r="19263" spans="1:14">
      <c r="A19263" s="4" t="str">
        <f t="shared" si="1341"/>
        <v>EXP00441</v>
      </c>
      <c r="B19263" s="3" t="s">
        <v>66</v>
      </c>
      <c r="C19263" s="4" t="str">
        <f t="shared" si="1340"/>
        <v>TCGA-STAD</v>
      </c>
      <c r="D19263" s="1" t="s">
        <v>493</v>
      </c>
      <c r="E19263" t="s">
        <v>580</v>
      </c>
      <c r="F19263" s="1">
        <v>2</v>
      </c>
      <c r="G19263" s="1" t="s">
        <v>28</v>
      </c>
      <c r="H19263" s="4" t="str">
        <f>HYPERLINK("https://portal.gdc.cancer.gov/cases/e9b3822b-699d-412f-abd2-df399efcce8c","TCGA-VQ-A8E3-01A")</f>
        <v>TCGA-VQ-A8E3-01A</v>
      </c>
      <c r="I19263" t="s">
        <v>574</v>
      </c>
      <c r="J19263" t="s">
        <v>575</v>
      </c>
      <c r="K19263" t="s">
        <v>33</v>
      </c>
      <c r="L19263" t="s">
        <v>246</v>
      </c>
      <c r="N19263" t="s">
        <v>29</v>
      </c>
    </row>
    <row r="19264" spans="1:14">
      <c r="A19264" s="4" t="str">
        <f t="shared" si="1341"/>
        <v>EXP00441</v>
      </c>
      <c r="B19264" s="3" t="s">
        <v>66</v>
      </c>
      <c r="C19264" s="4" t="str">
        <f t="shared" si="1340"/>
        <v>TCGA-STAD</v>
      </c>
      <c r="D19264" s="1" t="s">
        <v>493</v>
      </c>
      <c r="E19264" t="s">
        <v>580</v>
      </c>
      <c r="F19264" s="1">
        <v>2</v>
      </c>
      <c r="G19264" s="1" t="s">
        <v>28</v>
      </c>
      <c r="H19264" s="4" t="str">
        <f>HYPERLINK("https://portal.gdc.cancer.gov/cases/7da1a098-73f7-40c1-8c9d-e0423c15009c","TCGA-VQ-A8E7-01B")</f>
        <v>TCGA-VQ-A8E7-01B</v>
      </c>
      <c r="I19264" t="s">
        <v>574</v>
      </c>
      <c r="J19264" t="s">
        <v>575</v>
      </c>
      <c r="K19264" t="s">
        <v>33</v>
      </c>
      <c r="L19264" t="s">
        <v>246</v>
      </c>
      <c r="N19264" t="s">
        <v>29</v>
      </c>
    </row>
    <row r="19265" spans="1:14">
      <c r="A19265" s="4" t="str">
        <f t="shared" si="1341"/>
        <v>EXP00441</v>
      </c>
      <c r="B19265" s="3" t="s">
        <v>66</v>
      </c>
      <c r="C19265" s="4" t="str">
        <f t="shared" si="1340"/>
        <v>TCGA-STAD</v>
      </c>
      <c r="D19265" s="1" t="s">
        <v>493</v>
      </c>
      <c r="E19265" t="s">
        <v>580</v>
      </c>
      <c r="F19265" s="1">
        <v>2</v>
      </c>
      <c r="G19265" s="1" t="s">
        <v>28</v>
      </c>
      <c r="H19265" s="4" t="str">
        <f>HYPERLINK("https://portal.gdc.cancer.gov/cases/a0d35a25-3500-46f3-874f-1a0820200473","TCGA-VQ-A8P2-01A")</f>
        <v>TCGA-VQ-A8P2-01A</v>
      </c>
      <c r="I19265" t="s">
        <v>574</v>
      </c>
      <c r="J19265" t="s">
        <v>575</v>
      </c>
      <c r="K19265" t="s">
        <v>33</v>
      </c>
      <c r="L19265" t="s">
        <v>246</v>
      </c>
      <c r="N19265" t="s">
        <v>29</v>
      </c>
    </row>
    <row r="19266" spans="1:14">
      <c r="A19266" s="4" t="str">
        <f t="shared" si="1341"/>
        <v>EXP00441</v>
      </c>
      <c r="B19266" s="3" t="s">
        <v>66</v>
      </c>
      <c r="C19266" s="4" t="str">
        <f t="shared" si="1340"/>
        <v>TCGA-STAD</v>
      </c>
      <c r="D19266" s="1" t="s">
        <v>493</v>
      </c>
      <c r="E19266" t="s">
        <v>580</v>
      </c>
      <c r="F19266" s="1">
        <v>2</v>
      </c>
      <c r="G19266" s="1" t="s">
        <v>28</v>
      </c>
      <c r="H19266" s="4" t="str">
        <f>HYPERLINK("https://portal.gdc.cancer.gov/cases/5c68e3e4-58f7-4699-989d-80d2e4996794","TCGA-VQ-A8P3-01A")</f>
        <v>TCGA-VQ-A8P3-01A</v>
      </c>
      <c r="I19266" t="s">
        <v>574</v>
      </c>
      <c r="J19266" t="s">
        <v>575</v>
      </c>
      <c r="K19266" t="s">
        <v>33</v>
      </c>
      <c r="L19266" t="s">
        <v>246</v>
      </c>
      <c r="N19266" t="s">
        <v>29</v>
      </c>
    </row>
    <row r="19267" spans="1:14">
      <c r="A19267" s="4" t="str">
        <f t="shared" si="1341"/>
        <v>EXP00441</v>
      </c>
      <c r="B19267" s="3" t="s">
        <v>66</v>
      </c>
      <c r="C19267" s="4" t="str">
        <f t="shared" si="1340"/>
        <v>TCGA-STAD</v>
      </c>
      <c r="D19267" s="1" t="s">
        <v>493</v>
      </c>
      <c r="E19267" t="s">
        <v>580</v>
      </c>
      <c r="F19267" s="1">
        <v>2</v>
      </c>
      <c r="G19267" s="1" t="s">
        <v>28</v>
      </c>
      <c r="H19267" s="4" t="str">
        <f>HYPERLINK("https://portal.gdc.cancer.gov/cases/1654c42b-664b-407e-8ca7-d4cd908b709a","TCGA-VQ-A8P5-01A")</f>
        <v>TCGA-VQ-A8P5-01A</v>
      </c>
      <c r="I19267" t="s">
        <v>574</v>
      </c>
      <c r="J19267" t="s">
        <v>575</v>
      </c>
      <c r="K19267" t="s">
        <v>33</v>
      </c>
      <c r="L19267" t="s">
        <v>246</v>
      </c>
      <c r="N19267" t="s">
        <v>29</v>
      </c>
    </row>
    <row r="19268" spans="1:14">
      <c r="A19268" s="4" t="str">
        <f t="shared" si="1341"/>
        <v>EXP00441</v>
      </c>
      <c r="B19268" s="3" t="s">
        <v>66</v>
      </c>
      <c r="C19268" s="4" t="str">
        <f t="shared" si="1340"/>
        <v>TCGA-STAD</v>
      </c>
      <c r="D19268" s="1" t="s">
        <v>493</v>
      </c>
      <c r="E19268" t="s">
        <v>580</v>
      </c>
      <c r="F19268" s="1">
        <v>2</v>
      </c>
      <c r="G19268" s="1" t="s">
        <v>28</v>
      </c>
      <c r="H19268" s="4" t="str">
        <f>HYPERLINK("https://portal.gdc.cancer.gov/cases/0403e788-27f1-4205-9e73-ade13b8df1e0","TCGA-VQ-A8P8-01A")</f>
        <v>TCGA-VQ-A8P8-01A</v>
      </c>
      <c r="I19268" t="s">
        <v>574</v>
      </c>
      <c r="J19268" t="s">
        <v>575</v>
      </c>
      <c r="K19268" t="s">
        <v>33</v>
      </c>
      <c r="L19268" t="s">
        <v>246</v>
      </c>
      <c r="N19268" t="s">
        <v>29</v>
      </c>
    </row>
    <row r="19269" spans="1:14">
      <c r="A19269" s="4" t="str">
        <f t="shared" si="1341"/>
        <v>EXP00441</v>
      </c>
      <c r="B19269" s="3" t="s">
        <v>66</v>
      </c>
      <c r="C19269" s="4" t="str">
        <f t="shared" si="1340"/>
        <v>TCGA-STAD</v>
      </c>
      <c r="D19269" s="1" t="s">
        <v>493</v>
      </c>
      <c r="E19269" t="s">
        <v>580</v>
      </c>
      <c r="F19269" s="1">
        <v>2</v>
      </c>
      <c r="G19269" s="1" t="s">
        <v>28</v>
      </c>
      <c r="H19269" s="4" t="str">
        <f>HYPERLINK("https://portal.gdc.cancer.gov/cases/02661985-d13f-4007-9a42-5e08d1a6ca10","TCGA-VQ-A8PB-01A")</f>
        <v>TCGA-VQ-A8PB-01A</v>
      </c>
      <c r="I19269" t="s">
        <v>574</v>
      </c>
      <c r="J19269" t="s">
        <v>575</v>
      </c>
      <c r="K19269" t="s">
        <v>33</v>
      </c>
      <c r="L19269" t="s">
        <v>246</v>
      </c>
      <c r="N19269" t="s">
        <v>29</v>
      </c>
    </row>
    <row r="19270" spans="1:14">
      <c r="A19270" s="4" t="str">
        <f t="shared" si="1341"/>
        <v>EXP00441</v>
      </c>
      <c r="B19270" s="3" t="s">
        <v>66</v>
      </c>
      <c r="C19270" s="4" t="str">
        <f t="shared" si="1340"/>
        <v>TCGA-STAD</v>
      </c>
      <c r="D19270" s="1" t="s">
        <v>493</v>
      </c>
      <c r="E19270" t="s">
        <v>580</v>
      </c>
      <c r="F19270" s="1">
        <v>2</v>
      </c>
      <c r="G19270" s="1" t="s">
        <v>28</v>
      </c>
      <c r="H19270" s="4" t="str">
        <f>HYPERLINK("https://portal.gdc.cancer.gov/cases/26f3ee89-7f74-4c4e-ad6f-fab29a5460f9","TCGA-VQ-A8PC-01A")</f>
        <v>TCGA-VQ-A8PC-01A</v>
      </c>
      <c r="I19270" t="s">
        <v>574</v>
      </c>
      <c r="J19270" t="s">
        <v>575</v>
      </c>
      <c r="K19270" t="s">
        <v>33</v>
      </c>
      <c r="L19270" t="s">
        <v>246</v>
      </c>
      <c r="N19270" t="s">
        <v>29</v>
      </c>
    </row>
    <row r="19271" spans="1:14">
      <c r="A19271" s="4" t="str">
        <f t="shared" si="1341"/>
        <v>EXP00441</v>
      </c>
      <c r="B19271" s="3" t="s">
        <v>66</v>
      </c>
      <c r="C19271" s="4" t="str">
        <f t="shared" si="1340"/>
        <v>TCGA-STAD</v>
      </c>
      <c r="D19271" s="1" t="s">
        <v>493</v>
      </c>
      <c r="E19271" t="s">
        <v>580</v>
      </c>
      <c r="F19271" s="1">
        <v>2</v>
      </c>
      <c r="G19271" s="1" t="s">
        <v>28</v>
      </c>
      <c r="H19271" s="4" t="str">
        <f>HYPERLINK("https://portal.gdc.cancer.gov/cases/32b1f9ff-dbad-47f5-9580-13f4120f5891","TCGA-VQ-A8PE-01A")</f>
        <v>TCGA-VQ-A8PE-01A</v>
      </c>
      <c r="I19271" t="s">
        <v>574</v>
      </c>
      <c r="J19271" t="s">
        <v>575</v>
      </c>
      <c r="K19271" t="s">
        <v>33</v>
      </c>
      <c r="L19271" t="s">
        <v>246</v>
      </c>
      <c r="N19271" t="s">
        <v>29</v>
      </c>
    </row>
    <row r="19272" spans="1:14">
      <c r="A19272" s="4" t="str">
        <f t="shared" si="1341"/>
        <v>EXP00441</v>
      </c>
      <c r="B19272" s="3" t="s">
        <v>66</v>
      </c>
      <c r="C19272" s="4" t="str">
        <f t="shared" si="1340"/>
        <v>TCGA-STAD</v>
      </c>
      <c r="D19272" s="1" t="s">
        <v>493</v>
      </c>
      <c r="E19272" t="s">
        <v>580</v>
      </c>
      <c r="F19272" s="1">
        <v>2</v>
      </c>
      <c r="G19272" s="1" t="s">
        <v>28</v>
      </c>
      <c r="H19272" s="4" t="str">
        <f>HYPERLINK("https://portal.gdc.cancer.gov/cases/94037c4f-7acc-436b-8433-7213a385539a","TCGA-VQ-A8PF-01A")</f>
        <v>TCGA-VQ-A8PF-01A</v>
      </c>
      <c r="I19272" t="s">
        <v>574</v>
      </c>
      <c r="J19272" t="s">
        <v>575</v>
      </c>
      <c r="K19272" t="s">
        <v>33</v>
      </c>
      <c r="L19272" t="s">
        <v>246</v>
      </c>
      <c r="N19272" t="s">
        <v>29</v>
      </c>
    </row>
    <row r="19273" spans="1:14">
      <c r="A19273" s="4" t="str">
        <f t="shared" si="1341"/>
        <v>EXP00441</v>
      </c>
      <c r="B19273" s="3" t="s">
        <v>66</v>
      </c>
      <c r="C19273" s="4" t="str">
        <f t="shared" si="1340"/>
        <v>TCGA-STAD</v>
      </c>
      <c r="D19273" s="1" t="s">
        <v>493</v>
      </c>
      <c r="E19273" t="s">
        <v>580</v>
      </c>
      <c r="F19273" s="1">
        <v>2</v>
      </c>
      <c r="G19273" s="1" t="s">
        <v>28</v>
      </c>
      <c r="H19273" s="4" t="str">
        <f>HYPERLINK("https://portal.gdc.cancer.gov/cases/52849c60-7e30-4ba4-9dae-be4adf031120","TCGA-VQ-A8PH-01A")</f>
        <v>TCGA-VQ-A8PH-01A</v>
      </c>
      <c r="I19273" t="s">
        <v>574</v>
      </c>
      <c r="J19273" t="s">
        <v>575</v>
      </c>
      <c r="K19273" t="s">
        <v>33</v>
      </c>
      <c r="L19273" t="s">
        <v>246</v>
      </c>
      <c r="N19273" t="s">
        <v>29</v>
      </c>
    </row>
    <row r="19274" spans="1:14">
      <c r="A19274" s="4" t="str">
        <f t="shared" si="1341"/>
        <v>EXP00441</v>
      </c>
      <c r="B19274" s="3" t="s">
        <v>66</v>
      </c>
      <c r="C19274" s="4" t="str">
        <f t="shared" si="1340"/>
        <v>TCGA-STAD</v>
      </c>
      <c r="D19274" s="1" t="s">
        <v>493</v>
      </c>
      <c r="E19274" t="s">
        <v>580</v>
      </c>
      <c r="F19274" s="1">
        <v>2</v>
      </c>
      <c r="G19274" s="1" t="s">
        <v>28</v>
      </c>
      <c r="H19274" s="4" t="str">
        <f>HYPERLINK("https://portal.gdc.cancer.gov/cases/0cd4b4a2-d3ce-4fc4-b899-bbcecb2b3d55","TCGA-VQ-A8PJ-01A")</f>
        <v>TCGA-VQ-A8PJ-01A</v>
      </c>
      <c r="I19274" t="s">
        <v>574</v>
      </c>
      <c r="J19274" t="s">
        <v>575</v>
      </c>
      <c r="K19274" t="s">
        <v>33</v>
      </c>
      <c r="L19274" t="s">
        <v>246</v>
      </c>
      <c r="N19274" t="s">
        <v>29</v>
      </c>
    </row>
    <row r="19275" spans="1:14">
      <c r="A19275" s="4" t="str">
        <f t="shared" si="1341"/>
        <v>EXP00441</v>
      </c>
      <c r="B19275" s="3" t="s">
        <v>66</v>
      </c>
      <c r="C19275" s="4" t="str">
        <f t="shared" si="1340"/>
        <v>TCGA-STAD</v>
      </c>
      <c r="D19275" s="1" t="s">
        <v>493</v>
      </c>
      <c r="E19275" t="s">
        <v>580</v>
      </c>
      <c r="F19275" s="1">
        <v>2</v>
      </c>
      <c r="G19275" s="1" t="s">
        <v>28</v>
      </c>
      <c r="H19275" s="4" t="str">
        <f>HYPERLINK("https://portal.gdc.cancer.gov/cases/56bcb686-5010-439f-819f-95dda9885ca5","TCGA-VQ-A8PK-01A")</f>
        <v>TCGA-VQ-A8PK-01A</v>
      </c>
      <c r="I19275" t="s">
        <v>574</v>
      </c>
      <c r="J19275" t="s">
        <v>575</v>
      </c>
      <c r="K19275" t="s">
        <v>33</v>
      </c>
      <c r="L19275" t="s">
        <v>246</v>
      </c>
      <c r="N19275" t="s">
        <v>29</v>
      </c>
    </row>
    <row r="19276" spans="1:14">
      <c r="A19276" s="4" t="str">
        <f t="shared" si="1341"/>
        <v>EXP00441</v>
      </c>
      <c r="B19276" s="3" t="s">
        <v>66</v>
      </c>
      <c r="C19276" s="4" t="str">
        <f t="shared" si="1340"/>
        <v>TCGA-STAD</v>
      </c>
      <c r="D19276" s="1" t="s">
        <v>493</v>
      </c>
      <c r="E19276" t="s">
        <v>580</v>
      </c>
      <c r="F19276" s="1">
        <v>2</v>
      </c>
      <c r="G19276" s="1" t="s">
        <v>28</v>
      </c>
      <c r="H19276" s="4" t="str">
        <f>HYPERLINK("https://portal.gdc.cancer.gov/cases/bab53c56-82f1-4d63-98f5-4608ea7b5f4e","TCGA-VQ-A8PM-01A")</f>
        <v>TCGA-VQ-A8PM-01A</v>
      </c>
      <c r="I19276" t="s">
        <v>574</v>
      </c>
      <c r="J19276" t="s">
        <v>575</v>
      </c>
      <c r="K19276" t="s">
        <v>33</v>
      </c>
      <c r="L19276" t="s">
        <v>246</v>
      </c>
      <c r="N19276" t="s">
        <v>29</v>
      </c>
    </row>
    <row r="19277" spans="1:14">
      <c r="A19277" s="4" t="str">
        <f t="shared" si="1341"/>
        <v>EXP00441</v>
      </c>
      <c r="B19277" s="3" t="s">
        <v>66</v>
      </c>
      <c r="C19277" s="4" t="str">
        <f t="shared" si="1340"/>
        <v>TCGA-STAD</v>
      </c>
      <c r="D19277" s="1" t="s">
        <v>493</v>
      </c>
      <c r="E19277" t="s">
        <v>580</v>
      </c>
      <c r="F19277" s="1">
        <v>2</v>
      </c>
      <c r="G19277" s="1" t="s">
        <v>28</v>
      </c>
      <c r="H19277" s="4" t="str">
        <f>HYPERLINK("https://portal.gdc.cancer.gov/cases/4ec9dbb4-358d-4c59-8039-552c7006c2bf","TCGA-VQ-A8PO-01A")</f>
        <v>TCGA-VQ-A8PO-01A</v>
      </c>
      <c r="I19277" t="s">
        <v>574</v>
      </c>
      <c r="J19277" t="s">
        <v>575</v>
      </c>
      <c r="K19277" t="s">
        <v>33</v>
      </c>
      <c r="L19277" t="s">
        <v>246</v>
      </c>
      <c r="N19277" t="s">
        <v>29</v>
      </c>
    </row>
    <row r="19278" spans="1:14">
      <c r="A19278" s="4" t="str">
        <f t="shared" si="1341"/>
        <v>EXP00441</v>
      </c>
      <c r="B19278" s="3" t="s">
        <v>66</v>
      </c>
      <c r="C19278" s="4" t="str">
        <f t="shared" si="1340"/>
        <v>TCGA-STAD</v>
      </c>
      <c r="D19278" s="1" t="s">
        <v>493</v>
      </c>
      <c r="E19278" t="s">
        <v>580</v>
      </c>
      <c r="F19278" s="1">
        <v>2</v>
      </c>
      <c r="G19278" s="1" t="s">
        <v>28</v>
      </c>
      <c r="H19278" s="4" t="str">
        <f>HYPERLINK("https://portal.gdc.cancer.gov/cases/e181474c-1585-4aed-ba90-bae5324569d5","TCGA-VQ-A8PP-01A")</f>
        <v>TCGA-VQ-A8PP-01A</v>
      </c>
      <c r="I19278" t="s">
        <v>574</v>
      </c>
      <c r="J19278" t="s">
        <v>575</v>
      </c>
      <c r="K19278" t="s">
        <v>33</v>
      </c>
      <c r="L19278" t="s">
        <v>246</v>
      </c>
      <c r="N19278" t="s">
        <v>29</v>
      </c>
    </row>
    <row r="19279" spans="1:14">
      <c r="A19279" s="4" t="str">
        <f t="shared" si="1341"/>
        <v>EXP00441</v>
      </c>
      <c r="B19279" s="3" t="s">
        <v>66</v>
      </c>
      <c r="C19279" s="4" t="str">
        <f t="shared" si="1340"/>
        <v>TCGA-STAD</v>
      </c>
      <c r="D19279" s="1" t="s">
        <v>493</v>
      </c>
      <c r="E19279" t="s">
        <v>580</v>
      </c>
      <c r="F19279" s="1">
        <v>2</v>
      </c>
      <c r="G19279" s="1" t="s">
        <v>28</v>
      </c>
      <c r="H19279" s="4" t="str">
        <f>HYPERLINK("https://portal.gdc.cancer.gov/cases/7136d33f-6109-4d86-ad76-a02ef5c3808a","TCGA-VQ-A8PQ-01A")</f>
        <v>TCGA-VQ-A8PQ-01A</v>
      </c>
      <c r="I19279" t="s">
        <v>574</v>
      </c>
      <c r="J19279" t="s">
        <v>575</v>
      </c>
      <c r="K19279" t="s">
        <v>33</v>
      </c>
      <c r="L19279" t="s">
        <v>246</v>
      </c>
      <c r="N19279" t="s">
        <v>29</v>
      </c>
    </row>
    <row r="19280" spans="1:14">
      <c r="A19280" s="4" t="str">
        <f t="shared" si="1341"/>
        <v>EXP00441</v>
      </c>
      <c r="B19280" s="3" t="s">
        <v>66</v>
      </c>
      <c r="C19280" s="4" t="str">
        <f t="shared" si="1340"/>
        <v>TCGA-STAD</v>
      </c>
      <c r="D19280" s="1" t="s">
        <v>493</v>
      </c>
      <c r="E19280" t="s">
        <v>580</v>
      </c>
      <c r="F19280" s="1">
        <v>2</v>
      </c>
      <c r="G19280" s="1" t="s">
        <v>28</v>
      </c>
      <c r="H19280" s="4" t="str">
        <f>HYPERLINK("https://portal.gdc.cancer.gov/cases/cb4394ec-1991-460d-b823-b74e005e3da7","TCGA-VQ-A8PU-01A")</f>
        <v>TCGA-VQ-A8PU-01A</v>
      </c>
      <c r="I19280" t="s">
        <v>574</v>
      </c>
      <c r="J19280" t="s">
        <v>575</v>
      </c>
      <c r="K19280" t="s">
        <v>33</v>
      </c>
      <c r="L19280" t="s">
        <v>246</v>
      </c>
      <c r="N19280" t="s">
        <v>29</v>
      </c>
    </row>
    <row r="19281" spans="1:14">
      <c r="A19281" s="4" t="str">
        <f t="shared" si="1341"/>
        <v>EXP00441</v>
      </c>
      <c r="B19281" s="3" t="s">
        <v>66</v>
      </c>
      <c r="C19281" s="4" t="str">
        <f t="shared" si="1340"/>
        <v>TCGA-STAD</v>
      </c>
      <c r="D19281" s="1" t="s">
        <v>493</v>
      </c>
      <c r="E19281" t="s">
        <v>580</v>
      </c>
      <c r="F19281" s="1">
        <v>2</v>
      </c>
      <c r="G19281" s="1" t="s">
        <v>28</v>
      </c>
      <c r="H19281" s="4" t="str">
        <f>HYPERLINK("https://portal.gdc.cancer.gov/cases/e6634a0a-9ab0-441e-a667-2f7f6c7368cc","TCGA-VQ-A8PX-01A")</f>
        <v>TCGA-VQ-A8PX-01A</v>
      </c>
      <c r="I19281" t="s">
        <v>574</v>
      </c>
      <c r="J19281" t="s">
        <v>575</v>
      </c>
      <c r="K19281" t="s">
        <v>33</v>
      </c>
      <c r="L19281" t="s">
        <v>246</v>
      </c>
      <c r="N19281" t="s">
        <v>29</v>
      </c>
    </row>
    <row r="19282" spans="1:14">
      <c r="A19282" s="4" t="str">
        <f t="shared" si="1341"/>
        <v>EXP00441</v>
      </c>
      <c r="B19282" s="3" t="s">
        <v>66</v>
      </c>
      <c r="C19282" s="4" t="str">
        <f t="shared" si="1340"/>
        <v>TCGA-STAD</v>
      </c>
      <c r="D19282" s="1" t="s">
        <v>493</v>
      </c>
      <c r="E19282" t="s">
        <v>580</v>
      </c>
      <c r="F19282" s="1">
        <v>2</v>
      </c>
      <c r="G19282" s="1" t="s">
        <v>28</v>
      </c>
      <c r="H19282" s="4" t="str">
        <f>HYPERLINK("https://portal.gdc.cancer.gov/cases/3ed0d746-ab57-4097-94d5-5e89985b8f31","TCGA-VQ-A91A-01A")</f>
        <v>TCGA-VQ-A91A-01A</v>
      </c>
      <c r="I19282" t="s">
        <v>574</v>
      </c>
      <c r="J19282" t="s">
        <v>575</v>
      </c>
      <c r="K19282" t="s">
        <v>33</v>
      </c>
      <c r="L19282" t="s">
        <v>246</v>
      </c>
      <c r="N19282" t="s">
        <v>29</v>
      </c>
    </row>
    <row r="19283" spans="1:14">
      <c r="A19283" s="4" t="str">
        <f t="shared" si="1341"/>
        <v>EXP00441</v>
      </c>
      <c r="B19283" s="3" t="s">
        <v>66</v>
      </c>
      <c r="C19283" s="4" t="str">
        <f t="shared" si="1340"/>
        <v>TCGA-STAD</v>
      </c>
      <c r="D19283" s="1" t="s">
        <v>493</v>
      </c>
      <c r="E19283" t="s">
        <v>580</v>
      </c>
      <c r="F19283" s="1">
        <v>2</v>
      </c>
      <c r="G19283" s="1" t="s">
        <v>28</v>
      </c>
      <c r="H19283" s="4" t="str">
        <f>HYPERLINK("https://portal.gdc.cancer.gov/cases/33a9f48e-75e5-4ec5-8e4a-7c6d91a98656","TCGA-VQ-A91D-01A")</f>
        <v>TCGA-VQ-A91D-01A</v>
      </c>
      <c r="I19283" t="s">
        <v>574</v>
      </c>
      <c r="J19283" t="s">
        <v>575</v>
      </c>
      <c r="K19283" t="s">
        <v>33</v>
      </c>
      <c r="L19283" t="s">
        <v>246</v>
      </c>
      <c r="N19283" t="s">
        <v>29</v>
      </c>
    </row>
    <row r="19284" spans="1:14">
      <c r="A19284" s="4" t="str">
        <f t="shared" si="1341"/>
        <v>EXP00441</v>
      </c>
      <c r="B19284" s="3" t="s">
        <v>66</v>
      </c>
      <c r="C19284" s="4" t="str">
        <f t="shared" si="1340"/>
        <v>TCGA-STAD</v>
      </c>
      <c r="D19284" s="1" t="s">
        <v>493</v>
      </c>
      <c r="E19284" t="s">
        <v>580</v>
      </c>
      <c r="F19284" s="1">
        <v>2</v>
      </c>
      <c r="G19284" s="1" t="s">
        <v>28</v>
      </c>
      <c r="H19284" s="4" t="str">
        <f>HYPERLINK("https://portal.gdc.cancer.gov/cases/2e04b48c-0805-4965-8afa-c5fcd32993c5","TCGA-VQ-A91E-01A")</f>
        <v>TCGA-VQ-A91E-01A</v>
      </c>
      <c r="I19284" t="s">
        <v>574</v>
      </c>
      <c r="J19284" t="s">
        <v>575</v>
      </c>
      <c r="K19284" t="s">
        <v>33</v>
      </c>
      <c r="L19284" t="s">
        <v>246</v>
      </c>
      <c r="N19284" t="s">
        <v>29</v>
      </c>
    </row>
    <row r="19285" spans="1:14">
      <c r="A19285" s="4" t="str">
        <f t="shared" si="1341"/>
        <v>EXP00441</v>
      </c>
      <c r="B19285" s="3" t="s">
        <v>66</v>
      </c>
      <c r="C19285" s="4" t="str">
        <f t="shared" si="1340"/>
        <v>TCGA-STAD</v>
      </c>
      <c r="D19285" s="1" t="s">
        <v>493</v>
      </c>
      <c r="E19285" t="s">
        <v>580</v>
      </c>
      <c r="F19285" s="1">
        <v>2</v>
      </c>
      <c r="G19285" s="1" t="s">
        <v>28</v>
      </c>
      <c r="H19285" s="4" t="str">
        <f>HYPERLINK("https://portal.gdc.cancer.gov/cases/2983f08c-3b32-4fb3-9d7e-5b34f9c2f741","TCGA-VQ-A91K-01A")</f>
        <v>TCGA-VQ-A91K-01A</v>
      </c>
      <c r="I19285" t="s">
        <v>574</v>
      </c>
      <c r="J19285" t="s">
        <v>575</v>
      </c>
      <c r="K19285" t="s">
        <v>33</v>
      </c>
      <c r="L19285" t="s">
        <v>246</v>
      </c>
      <c r="N19285" t="s">
        <v>29</v>
      </c>
    </row>
    <row r="19286" spans="1:14">
      <c r="A19286" s="4" t="str">
        <f t="shared" si="1341"/>
        <v>EXP00441</v>
      </c>
      <c r="B19286" s="3" t="s">
        <v>66</v>
      </c>
      <c r="C19286" s="4" t="str">
        <f t="shared" si="1340"/>
        <v>TCGA-STAD</v>
      </c>
      <c r="D19286" s="1" t="s">
        <v>493</v>
      </c>
      <c r="E19286" t="s">
        <v>580</v>
      </c>
      <c r="F19286" s="1">
        <v>2</v>
      </c>
      <c r="G19286" s="1" t="s">
        <v>28</v>
      </c>
      <c r="H19286" s="4" t="str">
        <f>HYPERLINK("https://portal.gdc.cancer.gov/cases/cbe05333-3185-4878-b6e6-977a0e1400e4","TCGA-VQ-A91N-01A")</f>
        <v>TCGA-VQ-A91N-01A</v>
      </c>
      <c r="I19286" t="s">
        <v>574</v>
      </c>
      <c r="J19286" t="s">
        <v>575</v>
      </c>
      <c r="K19286" t="s">
        <v>33</v>
      </c>
      <c r="L19286" t="s">
        <v>246</v>
      </c>
      <c r="N19286" t="s">
        <v>29</v>
      </c>
    </row>
    <row r="19287" spans="1:14">
      <c r="A19287" s="4" t="str">
        <f t="shared" si="1341"/>
        <v>EXP00441</v>
      </c>
      <c r="B19287" s="3" t="s">
        <v>66</v>
      </c>
      <c r="C19287" s="4" t="str">
        <f t="shared" si="1340"/>
        <v>TCGA-STAD</v>
      </c>
      <c r="D19287" s="1" t="s">
        <v>493</v>
      </c>
      <c r="E19287" t="s">
        <v>580</v>
      </c>
      <c r="F19287" s="1">
        <v>2</v>
      </c>
      <c r="G19287" s="1" t="s">
        <v>28</v>
      </c>
      <c r="H19287" s="4" t="str">
        <f>HYPERLINK("https://portal.gdc.cancer.gov/cases/c60e89a7-a8ba-458e-8f10-785c3f562fd6","TCGA-VQ-A91Q-01A")</f>
        <v>TCGA-VQ-A91Q-01A</v>
      </c>
      <c r="I19287" t="s">
        <v>574</v>
      </c>
      <c r="J19287" t="s">
        <v>575</v>
      </c>
      <c r="K19287" t="s">
        <v>33</v>
      </c>
      <c r="L19287" t="s">
        <v>246</v>
      </c>
      <c r="N19287" t="s">
        <v>29</v>
      </c>
    </row>
    <row r="19288" spans="1:14">
      <c r="A19288" s="4" t="str">
        <f t="shared" si="1341"/>
        <v>EXP00441</v>
      </c>
      <c r="B19288" s="3" t="s">
        <v>66</v>
      </c>
      <c r="C19288" s="4" t="str">
        <f t="shared" si="1340"/>
        <v>TCGA-STAD</v>
      </c>
      <c r="D19288" s="1" t="s">
        <v>493</v>
      </c>
      <c r="E19288" t="s">
        <v>580</v>
      </c>
      <c r="F19288" s="1">
        <v>2</v>
      </c>
      <c r="G19288" s="1" t="s">
        <v>28</v>
      </c>
      <c r="H19288" s="4" t="str">
        <f>HYPERLINK("https://portal.gdc.cancer.gov/cases/d22de643-5f93-42d0-9199-1f55405241d6","TCGA-VQ-A91S-01A")</f>
        <v>TCGA-VQ-A91S-01A</v>
      </c>
      <c r="I19288" t="s">
        <v>574</v>
      </c>
      <c r="J19288" t="s">
        <v>575</v>
      </c>
      <c r="K19288" t="s">
        <v>33</v>
      </c>
      <c r="L19288" t="s">
        <v>246</v>
      </c>
      <c r="N19288" t="s">
        <v>29</v>
      </c>
    </row>
    <row r="19289" spans="1:14">
      <c r="A19289" s="4" t="str">
        <f t="shared" si="1341"/>
        <v>EXP00441</v>
      </c>
      <c r="B19289" s="3" t="s">
        <v>66</v>
      </c>
      <c r="C19289" s="4" t="str">
        <f t="shared" si="1340"/>
        <v>TCGA-STAD</v>
      </c>
      <c r="D19289" s="1" t="s">
        <v>493</v>
      </c>
      <c r="E19289" t="s">
        <v>580</v>
      </c>
      <c r="F19289" s="1">
        <v>2</v>
      </c>
      <c r="G19289" s="1" t="s">
        <v>28</v>
      </c>
      <c r="H19289" s="4" t="str">
        <f>HYPERLINK("https://portal.gdc.cancer.gov/cases/37b64809-c4fd-412d-9a7f-fad6bf036aaf","TCGA-VQ-A91U-01A")</f>
        <v>TCGA-VQ-A91U-01A</v>
      </c>
      <c r="I19289" t="s">
        <v>574</v>
      </c>
      <c r="J19289" t="s">
        <v>575</v>
      </c>
      <c r="K19289" t="s">
        <v>33</v>
      </c>
      <c r="L19289" t="s">
        <v>246</v>
      </c>
      <c r="N19289" t="s">
        <v>29</v>
      </c>
    </row>
    <row r="19290" spans="1:14">
      <c r="A19290" s="4" t="str">
        <f t="shared" si="1341"/>
        <v>EXP00441</v>
      </c>
      <c r="B19290" s="3" t="s">
        <v>66</v>
      </c>
      <c r="C19290" s="4" t="str">
        <f t="shared" si="1340"/>
        <v>TCGA-STAD</v>
      </c>
      <c r="D19290" s="1" t="s">
        <v>493</v>
      </c>
      <c r="E19290" t="s">
        <v>580</v>
      </c>
      <c r="F19290" s="1">
        <v>2</v>
      </c>
      <c r="G19290" s="1" t="s">
        <v>28</v>
      </c>
      <c r="H19290" s="4" t="str">
        <f>HYPERLINK("https://portal.gdc.cancer.gov/cases/4b56b93e-934c-45ff-9d24-b4b6812a790b","TCGA-VQ-A91X-01A")</f>
        <v>TCGA-VQ-A91X-01A</v>
      </c>
      <c r="I19290" t="s">
        <v>574</v>
      </c>
      <c r="J19290" t="s">
        <v>575</v>
      </c>
      <c r="K19290" t="s">
        <v>33</v>
      </c>
      <c r="L19290" t="s">
        <v>246</v>
      </c>
      <c r="N19290" t="s">
        <v>29</v>
      </c>
    </row>
    <row r="19291" spans="1:14">
      <c r="A19291" s="4" t="str">
        <f t="shared" si="1341"/>
        <v>EXP00441</v>
      </c>
      <c r="B19291" s="3" t="s">
        <v>66</v>
      </c>
      <c r="C19291" s="4" t="str">
        <f t="shared" si="1340"/>
        <v>TCGA-STAD</v>
      </c>
      <c r="D19291" s="1" t="s">
        <v>493</v>
      </c>
      <c r="E19291" t="s">
        <v>580</v>
      </c>
      <c r="F19291" s="1">
        <v>2</v>
      </c>
      <c r="G19291" s="1" t="s">
        <v>28</v>
      </c>
      <c r="H19291" s="4" t="str">
        <f>HYPERLINK("https://portal.gdc.cancer.gov/cases/cafbae18-12a5-40fb-9dbe-c1d0598b9091","TCGA-VQ-A91Z-01A")</f>
        <v>TCGA-VQ-A91Z-01A</v>
      </c>
      <c r="I19291" t="s">
        <v>574</v>
      </c>
      <c r="J19291" t="s">
        <v>575</v>
      </c>
      <c r="K19291" t="s">
        <v>33</v>
      </c>
      <c r="L19291" t="s">
        <v>246</v>
      </c>
      <c r="N19291" t="s">
        <v>29</v>
      </c>
    </row>
    <row r="19292" spans="1:14">
      <c r="A19292" s="4" t="str">
        <f t="shared" si="1341"/>
        <v>EXP00441</v>
      </c>
      <c r="B19292" s="3" t="s">
        <v>66</v>
      </c>
      <c r="C19292" s="4" t="str">
        <f t="shared" si="1340"/>
        <v>TCGA-STAD</v>
      </c>
      <c r="D19292" s="1" t="s">
        <v>493</v>
      </c>
      <c r="E19292" t="s">
        <v>580</v>
      </c>
      <c r="F19292" s="1">
        <v>2</v>
      </c>
      <c r="G19292" s="1" t="s">
        <v>28</v>
      </c>
      <c r="H19292" s="4" t="str">
        <f>HYPERLINK("https://portal.gdc.cancer.gov/cases/4bae9c20-74a4-4ad3-8cf3-76e41217f389","TCGA-VQ-A923-01A")</f>
        <v>TCGA-VQ-A923-01A</v>
      </c>
      <c r="I19292" t="s">
        <v>574</v>
      </c>
      <c r="J19292" t="s">
        <v>575</v>
      </c>
      <c r="K19292" t="s">
        <v>33</v>
      </c>
      <c r="L19292" t="s">
        <v>246</v>
      </c>
      <c r="N19292" t="s">
        <v>29</v>
      </c>
    </row>
    <row r="19293" spans="1:14">
      <c r="A19293" s="4" t="str">
        <f t="shared" si="1341"/>
        <v>EXP00441</v>
      </c>
      <c r="B19293" s="3" t="s">
        <v>66</v>
      </c>
      <c r="C19293" s="4" t="str">
        <f t="shared" si="1340"/>
        <v>TCGA-STAD</v>
      </c>
      <c r="D19293" s="1" t="s">
        <v>493</v>
      </c>
      <c r="E19293" t="s">
        <v>580</v>
      </c>
      <c r="F19293" s="1">
        <v>2</v>
      </c>
      <c r="G19293" s="1" t="s">
        <v>28</v>
      </c>
      <c r="H19293" s="4" t="str">
        <f>HYPERLINK("https://portal.gdc.cancer.gov/cases/c656375b-6b63-4728-a126-dbd746a1f437","TCGA-VQ-A924-01A")</f>
        <v>TCGA-VQ-A924-01A</v>
      </c>
      <c r="I19293" t="s">
        <v>574</v>
      </c>
      <c r="J19293" t="s">
        <v>575</v>
      </c>
      <c r="K19293" t="s">
        <v>33</v>
      </c>
      <c r="L19293" t="s">
        <v>246</v>
      </c>
      <c r="N19293" t="s">
        <v>29</v>
      </c>
    </row>
    <row r="19294" spans="1:14">
      <c r="A19294" s="4" t="str">
        <f t="shared" si="1341"/>
        <v>EXP00441</v>
      </c>
      <c r="B19294" s="3" t="s">
        <v>66</v>
      </c>
      <c r="C19294" s="4" t="str">
        <f t="shared" si="1340"/>
        <v>TCGA-STAD</v>
      </c>
      <c r="D19294" s="1" t="s">
        <v>493</v>
      </c>
      <c r="E19294" t="s">
        <v>580</v>
      </c>
      <c r="F19294" s="1">
        <v>2</v>
      </c>
      <c r="G19294" s="1" t="s">
        <v>28</v>
      </c>
      <c r="H19294" s="4" t="str">
        <f>HYPERLINK("https://portal.gdc.cancer.gov/cases/012921da-962c-462c-9c36-d0f21b23c028","TCGA-VQ-A925-01A")</f>
        <v>TCGA-VQ-A925-01A</v>
      </c>
      <c r="I19294" t="s">
        <v>574</v>
      </c>
      <c r="J19294" t="s">
        <v>575</v>
      </c>
      <c r="K19294" t="s">
        <v>33</v>
      </c>
      <c r="L19294" t="s">
        <v>246</v>
      </c>
      <c r="N19294" t="s">
        <v>29</v>
      </c>
    </row>
    <row r="19295" spans="1:14">
      <c r="A19295" s="4" t="str">
        <f t="shared" si="1341"/>
        <v>EXP00441</v>
      </c>
      <c r="B19295" s="3" t="s">
        <v>66</v>
      </c>
      <c r="C19295" s="4" t="str">
        <f t="shared" si="1340"/>
        <v>TCGA-STAD</v>
      </c>
      <c r="D19295" s="1" t="s">
        <v>493</v>
      </c>
      <c r="E19295" t="s">
        <v>580</v>
      </c>
      <c r="F19295" s="1">
        <v>2</v>
      </c>
      <c r="G19295" s="1" t="s">
        <v>28</v>
      </c>
      <c r="H19295" s="4" t="str">
        <f>HYPERLINK("https://portal.gdc.cancer.gov/cases/76a4e24e-e645-47c5-836a-6a029e97a4c8","TCGA-VQ-A927-01A")</f>
        <v>TCGA-VQ-A927-01A</v>
      </c>
      <c r="I19295" t="s">
        <v>574</v>
      </c>
      <c r="J19295" t="s">
        <v>575</v>
      </c>
      <c r="K19295" t="s">
        <v>33</v>
      </c>
      <c r="L19295" t="s">
        <v>246</v>
      </c>
      <c r="N19295" t="s">
        <v>29</v>
      </c>
    </row>
    <row r="19296" spans="1:14">
      <c r="A19296" s="4" t="str">
        <f t="shared" si="1341"/>
        <v>EXP00441</v>
      </c>
      <c r="B19296" s="3" t="s">
        <v>66</v>
      </c>
      <c r="C19296" s="4" t="str">
        <f t="shared" si="1340"/>
        <v>TCGA-STAD</v>
      </c>
      <c r="D19296" s="1" t="s">
        <v>493</v>
      </c>
      <c r="E19296" t="s">
        <v>580</v>
      </c>
      <c r="F19296" s="1">
        <v>2</v>
      </c>
      <c r="G19296" s="1" t="s">
        <v>28</v>
      </c>
      <c r="H19296" s="4" t="str">
        <f>HYPERLINK("https://portal.gdc.cancer.gov/cases/aba9439a-ea8d-404f-9faf-eb71a306684d","TCGA-VQ-A92D-01A")</f>
        <v>TCGA-VQ-A92D-01A</v>
      </c>
      <c r="I19296" t="s">
        <v>574</v>
      </c>
      <c r="J19296" t="s">
        <v>575</v>
      </c>
      <c r="K19296" t="s">
        <v>33</v>
      </c>
      <c r="L19296" t="s">
        <v>246</v>
      </c>
      <c r="N19296" t="s">
        <v>29</v>
      </c>
    </row>
    <row r="19297" spans="1:14">
      <c r="A19297" s="4" t="str">
        <f t="shared" si="1341"/>
        <v>EXP00441</v>
      </c>
      <c r="B19297" s="3" t="s">
        <v>66</v>
      </c>
      <c r="C19297" s="4" t="str">
        <f t="shared" si="1340"/>
        <v>TCGA-STAD</v>
      </c>
      <c r="D19297" s="1" t="s">
        <v>493</v>
      </c>
      <c r="E19297" t="s">
        <v>580</v>
      </c>
      <c r="F19297" s="1">
        <v>2</v>
      </c>
      <c r="G19297" s="1" t="s">
        <v>28</v>
      </c>
      <c r="H19297" s="4" t="str">
        <f>HYPERLINK("https://portal.gdc.cancer.gov/cases/a205522f-2df0-4829-b86f-fa43c76c39cc","TCGA-VQ-A94P-01A")</f>
        <v>TCGA-VQ-A94P-01A</v>
      </c>
      <c r="I19297" t="s">
        <v>574</v>
      </c>
      <c r="J19297" t="s">
        <v>575</v>
      </c>
      <c r="K19297" t="s">
        <v>33</v>
      </c>
      <c r="L19297" t="s">
        <v>246</v>
      </c>
      <c r="N19297" t="s">
        <v>29</v>
      </c>
    </row>
    <row r="19298" spans="1:14">
      <c r="A19298" s="4" t="str">
        <f t="shared" si="1341"/>
        <v>EXP00441</v>
      </c>
      <c r="B19298" s="3" t="s">
        <v>66</v>
      </c>
      <c r="C19298" s="4" t="str">
        <f t="shared" si="1340"/>
        <v>TCGA-STAD</v>
      </c>
      <c r="D19298" s="1" t="s">
        <v>493</v>
      </c>
      <c r="E19298" t="s">
        <v>580</v>
      </c>
      <c r="F19298" s="1">
        <v>2</v>
      </c>
      <c r="G19298" s="1" t="s">
        <v>28</v>
      </c>
      <c r="H19298" s="4" t="str">
        <f>HYPERLINK("https://portal.gdc.cancer.gov/cases/95edfabe-0b35-4cdd-aed4-e2234d806f35","TCGA-VQ-A94R-01A")</f>
        <v>TCGA-VQ-A94R-01A</v>
      </c>
      <c r="I19298" t="s">
        <v>574</v>
      </c>
      <c r="J19298" t="s">
        <v>575</v>
      </c>
      <c r="K19298" t="s">
        <v>33</v>
      </c>
      <c r="L19298" t="s">
        <v>246</v>
      </c>
      <c r="N19298" t="s">
        <v>29</v>
      </c>
    </row>
    <row r="19299" spans="1:14">
      <c r="A19299" s="4" t="str">
        <f t="shared" si="1341"/>
        <v>EXP00441</v>
      </c>
      <c r="B19299" s="3" t="s">
        <v>66</v>
      </c>
      <c r="C19299" s="4" t="str">
        <f t="shared" si="1340"/>
        <v>TCGA-STAD</v>
      </c>
      <c r="D19299" s="1" t="s">
        <v>493</v>
      </c>
      <c r="E19299" t="s">
        <v>580</v>
      </c>
      <c r="F19299" s="1">
        <v>2</v>
      </c>
      <c r="G19299" s="1" t="s">
        <v>28</v>
      </c>
      <c r="H19299" s="4" t="str">
        <f>HYPERLINK("https://portal.gdc.cancer.gov/cases/e6daa4fa-dcf7-4698-b13f-fdfa4eda6943","TCGA-VQ-A94T-01A")</f>
        <v>TCGA-VQ-A94T-01A</v>
      </c>
      <c r="I19299" t="s">
        <v>574</v>
      </c>
      <c r="J19299" t="s">
        <v>575</v>
      </c>
      <c r="K19299" t="s">
        <v>33</v>
      </c>
      <c r="L19299" t="s">
        <v>246</v>
      </c>
      <c r="N19299" t="s">
        <v>29</v>
      </c>
    </row>
    <row r="19300" spans="1:14">
      <c r="A19300" s="4" t="str">
        <f t="shared" si="1341"/>
        <v>EXP00441</v>
      </c>
      <c r="B19300" s="3" t="s">
        <v>66</v>
      </c>
      <c r="C19300" s="4" t="str">
        <f t="shared" si="1340"/>
        <v>TCGA-STAD</v>
      </c>
      <c r="D19300" s="1" t="s">
        <v>493</v>
      </c>
      <c r="E19300" t="s">
        <v>580</v>
      </c>
      <c r="F19300" s="1">
        <v>2</v>
      </c>
      <c r="G19300" s="1" t="s">
        <v>28</v>
      </c>
      <c r="H19300" s="4" t="str">
        <f>HYPERLINK("https://portal.gdc.cancer.gov/cases/a0402de7-08ae-4528-9e77-289295ad8ef8","TCGA-VQ-A94U-01A")</f>
        <v>TCGA-VQ-A94U-01A</v>
      </c>
      <c r="I19300" t="s">
        <v>574</v>
      </c>
      <c r="J19300" t="s">
        <v>575</v>
      </c>
      <c r="K19300" t="s">
        <v>33</v>
      </c>
      <c r="L19300" t="s">
        <v>246</v>
      </c>
      <c r="N19300" t="s">
        <v>29</v>
      </c>
    </row>
    <row r="19301" spans="1:14">
      <c r="A19301" s="4" t="str">
        <f t="shared" si="1341"/>
        <v>EXP00441</v>
      </c>
      <c r="B19301" s="3" t="s">
        <v>66</v>
      </c>
      <c r="C19301" s="4" t="str">
        <f t="shared" si="1340"/>
        <v>TCGA-STAD</v>
      </c>
      <c r="D19301" s="1" t="s">
        <v>493</v>
      </c>
      <c r="E19301" t="s">
        <v>580</v>
      </c>
      <c r="F19301" s="1">
        <v>2</v>
      </c>
      <c r="G19301" s="1" t="s">
        <v>28</v>
      </c>
      <c r="H19301" s="4" t="str">
        <f>HYPERLINK("https://portal.gdc.cancer.gov/cases/fb143117-c3ad-4f4b-8f39-7586279e8eaa","TCGA-VQ-AA64-01A")</f>
        <v>TCGA-VQ-AA64-01A</v>
      </c>
      <c r="I19301" t="s">
        <v>574</v>
      </c>
      <c r="J19301" t="s">
        <v>575</v>
      </c>
      <c r="K19301" t="s">
        <v>33</v>
      </c>
      <c r="L19301" t="s">
        <v>246</v>
      </c>
      <c r="N19301" t="s">
        <v>29</v>
      </c>
    </row>
    <row r="19302" spans="1:14">
      <c r="A19302" s="4" t="str">
        <f t="shared" si="1341"/>
        <v>EXP00441</v>
      </c>
      <c r="B19302" s="3" t="s">
        <v>66</v>
      </c>
      <c r="C19302" s="4" t="str">
        <f t="shared" si="1340"/>
        <v>TCGA-STAD</v>
      </c>
      <c r="D19302" s="1" t="s">
        <v>493</v>
      </c>
      <c r="E19302" t="s">
        <v>580</v>
      </c>
      <c r="F19302" s="1">
        <v>2</v>
      </c>
      <c r="G19302" s="1" t="s">
        <v>28</v>
      </c>
      <c r="H19302" s="4" t="str">
        <f>HYPERLINK("https://portal.gdc.cancer.gov/cases/3ff9b46b-325f-4655-ab40-953154753dae","TCGA-VQ-AA68-01A")</f>
        <v>TCGA-VQ-AA68-01A</v>
      </c>
      <c r="I19302" t="s">
        <v>574</v>
      </c>
      <c r="J19302" t="s">
        <v>575</v>
      </c>
      <c r="K19302" t="s">
        <v>33</v>
      </c>
      <c r="L19302" t="s">
        <v>246</v>
      </c>
      <c r="N19302" t="s">
        <v>29</v>
      </c>
    </row>
    <row r="19303" spans="1:14">
      <c r="A19303" s="4" t="str">
        <f t="shared" si="1341"/>
        <v>EXP00441</v>
      </c>
      <c r="B19303" s="3" t="s">
        <v>66</v>
      </c>
      <c r="C19303" s="4" t="str">
        <f t="shared" si="1340"/>
        <v>TCGA-STAD</v>
      </c>
      <c r="D19303" s="1" t="s">
        <v>493</v>
      </c>
      <c r="E19303" t="s">
        <v>580</v>
      </c>
      <c r="F19303" s="1">
        <v>2</v>
      </c>
      <c r="G19303" s="1" t="s">
        <v>28</v>
      </c>
      <c r="H19303" s="4" t="str">
        <f>HYPERLINK("https://portal.gdc.cancer.gov/cases/46874009-4b32-43ff-a36a-236a3ca28fef","TCGA-VQ-AA69-01A")</f>
        <v>TCGA-VQ-AA69-01A</v>
      </c>
      <c r="I19303" t="s">
        <v>574</v>
      </c>
      <c r="J19303" t="s">
        <v>575</v>
      </c>
      <c r="K19303" t="s">
        <v>33</v>
      </c>
      <c r="L19303" t="s">
        <v>246</v>
      </c>
      <c r="N19303" t="s">
        <v>29</v>
      </c>
    </row>
    <row r="19304" spans="1:14">
      <c r="A19304" s="4" t="str">
        <f t="shared" si="1341"/>
        <v>EXP00441</v>
      </c>
      <c r="B19304" s="3" t="s">
        <v>66</v>
      </c>
      <c r="C19304" s="4" t="str">
        <f t="shared" ref="C19304:C19310" si="1342">HYPERLINK("https://portal.gdc.cancer.gov/projects/TCGA-STAD","TCGA-STAD")</f>
        <v>TCGA-STAD</v>
      </c>
      <c r="D19304" s="1" t="s">
        <v>493</v>
      </c>
      <c r="E19304" t="s">
        <v>580</v>
      </c>
      <c r="F19304" s="1">
        <v>2</v>
      </c>
      <c r="G19304" s="1" t="s">
        <v>28</v>
      </c>
      <c r="H19304" s="4" t="str">
        <f>HYPERLINK("https://portal.gdc.cancer.gov/cases/eb7e9aad-95d3-4efc-a706-e2c986d17055","TCGA-VQ-AA6A-01A")</f>
        <v>TCGA-VQ-AA6A-01A</v>
      </c>
      <c r="I19304" t="s">
        <v>574</v>
      </c>
      <c r="J19304" t="s">
        <v>575</v>
      </c>
      <c r="K19304" t="s">
        <v>33</v>
      </c>
      <c r="L19304" t="s">
        <v>246</v>
      </c>
      <c r="N19304" t="s">
        <v>29</v>
      </c>
    </row>
    <row r="19305" spans="1:14">
      <c r="A19305" s="4" t="str">
        <f t="shared" si="1341"/>
        <v>EXP00441</v>
      </c>
      <c r="B19305" s="3" t="s">
        <v>66</v>
      </c>
      <c r="C19305" s="4" t="str">
        <f t="shared" si="1342"/>
        <v>TCGA-STAD</v>
      </c>
      <c r="D19305" s="1" t="s">
        <v>493</v>
      </c>
      <c r="E19305" t="s">
        <v>580</v>
      </c>
      <c r="F19305" s="1">
        <v>2</v>
      </c>
      <c r="G19305" s="1" t="s">
        <v>28</v>
      </c>
      <c r="H19305" s="4" t="str">
        <f>HYPERLINK("https://portal.gdc.cancer.gov/cases/5779f7a7-05d7-4972-bd4f-aacb32420510","TCGA-VQ-AA6D-01A")</f>
        <v>TCGA-VQ-AA6D-01A</v>
      </c>
      <c r="I19305" t="s">
        <v>574</v>
      </c>
      <c r="J19305" t="s">
        <v>575</v>
      </c>
      <c r="K19305" t="s">
        <v>33</v>
      </c>
      <c r="L19305" t="s">
        <v>246</v>
      </c>
      <c r="N19305" t="s">
        <v>29</v>
      </c>
    </row>
    <row r="19306" spans="1:14">
      <c r="A19306" s="4" t="str">
        <f t="shared" si="1341"/>
        <v>EXP00441</v>
      </c>
      <c r="B19306" s="3" t="s">
        <v>66</v>
      </c>
      <c r="C19306" s="4" t="str">
        <f t="shared" si="1342"/>
        <v>TCGA-STAD</v>
      </c>
      <c r="D19306" s="1" t="s">
        <v>493</v>
      </c>
      <c r="E19306" t="s">
        <v>580</v>
      </c>
      <c r="F19306" s="1">
        <v>2</v>
      </c>
      <c r="G19306" s="1" t="s">
        <v>28</v>
      </c>
      <c r="H19306" s="4" t="str">
        <f>HYPERLINK("https://portal.gdc.cancer.gov/cases/dccd3854-8865-4452-9f1c-97283509b553","TCGA-VQ-AA6F-01A")</f>
        <v>TCGA-VQ-AA6F-01A</v>
      </c>
      <c r="I19306" t="s">
        <v>574</v>
      </c>
      <c r="J19306" t="s">
        <v>575</v>
      </c>
      <c r="K19306" t="s">
        <v>33</v>
      </c>
      <c r="L19306" t="s">
        <v>246</v>
      </c>
      <c r="N19306" t="s">
        <v>29</v>
      </c>
    </row>
    <row r="19307" spans="1:14">
      <c r="A19307" s="4" t="str">
        <f t="shared" si="1341"/>
        <v>EXP00441</v>
      </c>
      <c r="B19307" s="3" t="s">
        <v>66</v>
      </c>
      <c r="C19307" s="4" t="str">
        <f t="shared" si="1342"/>
        <v>TCGA-STAD</v>
      </c>
      <c r="D19307" s="1" t="s">
        <v>493</v>
      </c>
      <c r="E19307" t="s">
        <v>580</v>
      </c>
      <c r="F19307" s="1">
        <v>2</v>
      </c>
      <c r="G19307" s="1" t="s">
        <v>28</v>
      </c>
      <c r="H19307" s="4" t="str">
        <f>HYPERLINK("https://portal.gdc.cancer.gov/cases/a267ddb4-b2d9-4292-b120-6e13e70d01f8","TCGA-VQ-AA6J-01A")</f>
        <v>TCGA-VQ-AA6J-01A</v>
      </c>
      <c r="I19307" t="s">
        <v>574</v>
      </c>
      <c r="J19307" t="s">
        <v>575</v>
      </c>
      <c r="K19307" t="s">
        <v>33</v>
      </c>
      <c r="L19307" t="s">
        <v>246</v>
      </c>
      <c r="N19307" t="s">
        <v>29</v>
      </c>
    </row>
    <row r="19308" spans="1:14">
      <c r="A19308" s="4" t="str">
        <f t="shared" si="1341"/>
        <v>EXP00441</v>
      </c>
      <c r="B19308" s="3" t="s">
        <v>66</v>
      </c>
      <c r="C19308" s="4" t="str">
        <f t="shared" si="1342"/>
        <v>TCGA-STAD</v>
      </c>
      <c r="D19308" s="1" t="s">
        <v>493</v>
      </c>
      <c r="E19308" t="s">
        <v>580</v>
      </c>
      <c r="F19308" s="1">
        <v>2</v>
      </c>
      <c r="G19308" s="1" t="s">
        <v>28</v>
      </c>
      <c r="H19308" s="4" t="str">
        <f>HYPERLINK("https://portal.gdc.cancer.gov/cases/83a0f9ef-4bf0-4efe-8713-f8b6ab4f5773","TCGA-VQ-AA6K-01A")</f>
        <v>TCGA-VQ-AA6K-01A</v>
      </c>
      <c r="I19308" t="s">
        <v>574</v>
      </c>
      <c r="J19308" t="s">
        <v>575</v>
      </c>
      <c r="K19308" t="s">
        <v>33</v>
      </c>
      <c r="L19308" t="s">
        <v>246</v>
      </c>
      <c r="N19308" t="s">
        <v>29</v>
      </c>
    </row>
    <row r="19309" spans="1:14">
      <c r="A19309" s="4" t="str">
        <f t="shared" si="1341"/>
        <v>EXP00441</v>
      </c>
      <c r="B19309" s="3" t="s">
        <v>66</v>
      </c>
      <c r="C19309" s="4" t="str">
        <f t="shared" si="1342"/>
        <v>TCGA-STAD</v>
      </c>
      <c r="D19309" s="1" t="s">
        <v>493</v>
      </c>
      <c r="E19309" t="s">
        <v>580</v>
      </c>
      <c r="F19309" s="1">
        <v>2</v>
      </c>
      <c r="G19309" s="1" t="s">
        <v>28</v>
      </c>
      <c r="H19309" s="4" t="str">
        <f>HYPERLINK("https://portal.gdc.cancer.gov/cases/9130c730-b0bc-4d3a-9ee1-09bf43d9bd67","TCGA-ZA-A8F6-01A")</f>
        <v>TCGA-ZA-A8F6-01A</v>
      </c>
      <c r="I19309" t="s">
        <v>574</v>
      </c>
      <c r="J19309" t="s">
        <v>575</v>
      </c>
      <c r="K19309" t="s">
        <v>33</v>
      </c>
      <c r="L19309" t="s">
        <v>246</v>
      </c>
      <c r="N19309" t="s">
        <v>29</v>
      </c>
    </row>
    <row r="19310" spans="1:14">
      <c r="A19310" s="4" t="str">
        <f t="shared" si="1341"/>
        <v>EXP00441</v>
      </c>
      <c r="B19310" s="3" t="s">
        <v>66</v>
      </c>
      <c r="C19310" s="4" t="str">
        <f t="shared" si="1342"/>
        <v>TCGA-STAD</v>
      </c>
      <c r="D19310" s="1" t="s">
        <v>493</v>
      </c>
      <c r="E19310" t="s">
        <v>580</v>
      </c>
      <c r="F19310" s="1">
        <v>2</v>
      </c>
      <c r="G19310" s="1" t="s">
        <v>28</v>
      </c>
      <c r="H19310" s="4" t="str">
        <f>HYPERLINK("https://portal.gdc.cancer.gov/cases/f76122f7-343a-4345-9fb6-e46ad0b75cb0","TCGA-ZQ-A9CR-01A")</f>
        <v>TCGA-ZQ-A9CR-01A</v>
      </c>
      <c r="I19310" t="s">
        <v>574</v>
      </c>
      <c r="J19310" t="s">
        <v>575</v>
      </c>
      <c r="K19310" t="s">
        <v>33</v>
      </c>
      <c r="L19310" t="s">
        <v>246</v>
      </c>
      <c r="N19310" t="s">
        <v>29</v>
      </c>
    </row>
    <row r="19311" spans="1:14">
      <c r="A19311" s="4" t="str">
        <f t="shared" ref="A19311:A19342" si="1343">HYPERLINK("http://hcmdb.i-sanger.com/experiment/details/experiment_id/EXP00442","EXP00442")</f>
        <v>EXP00442</v>
      </c>
      <c r="B19311" s="3" t="s">
        <v>66</v>
      </c>
      <c r="C19311" s="4" t="str">
        <f t="shared" ref="C19311:C19342" si="1344">HYPERLINK("https://portal.gdc.cancer.gov/projects/TCGA-TGCT","TCGA-TGCT")</f>
        <v>TCGA-TGCT</v>
      </c>
      <c r="D19311" s="1" t="s">
        <v>493</v>
      </c>
      <c r="E19311" t="s">
        <v>581</v>
      </c>
      <c r="F19311" s="1">
        <v>1</v>
      </c>
      <c r="G19311" s="1" t="s">
        <v>31</v>
      </c>
      <c r="H19311" s="4" t="str">
        <f>HYPERLINK("https://portal.gdc.cancer.gov/cases/894b81b8-e98e-4ecb-b4e0-4c1c9ad97957","TCGA-2G-AAFL-01A")</f>
        <v>TCGA-2G-AAFL-01A</v>
      </c>
      <c r="I19311" t="s">
        <v>319</v>
      </c>
      <c r="J19311" t="s">
        <v>582</v>
      </c>
      <c r="K19311" t="s">
        <v>19</v>
      </c>
      <c r="L19311" t="s">
        <v>321</v>
      </c>
      <c r="M19311" t="s">
        <v>41</v>
      </c>
      <c r="N19311" t="s">
        <v>29</v>
      </c>
    </row>
    <row r="19312" spans="1:14">
      <c r="A19312" s="4" t="str">
        <f t="shared" si="1343"/>
        <v>EXP00442</v>
      </c>
      <c r="B19312" s="3" t="s">
        <v>66</v>
      </c>
      <c r="C19312" s="4" t="str">
        <f t="shared" si="1344"/>
        <v>TCGA-TGCT</v>
      </c>
      <c r="D19312" s="1" t="s">
        <v>493</v>
      </c>
      <c r="E19312" t="s">
        <v>581</v>
      </c>
      <c r="F19312" s="1">
        <v>1</v>
      </c>
      <c r="G19312" s="1" t="s">
        <v>31</v>
      </c>
      <c r="H19312" s="4" t="str">
        <f>HYPERLINK("https://portal.gdc.cancer.gov/cases/251b5341-405f-4f16-8334-475f2d358c25","TCGA-2G-AAG0-01A")</f>
        <v>TCGA-2G-AAG0-01A</v>
      </c>
      <c r="I19312" t="s">
        <v>319</v>
      </c>
      <c r="J19312" t="s">
        <v>582</v>
      </c>
      <c r="K19312" t="s">
        <v>19</v>
      </c>
      <c r="L19312" t="s">
        <v>321</v>
      </c>
      <c r="M19312" t="s">
        <v>41</v>
      </c>
      <c r="N19312" t="s">
        <v>29</v>
      </c>
    </row>
    <row r="19313" spans="1:14">
      <c r="A19313" s="4" t="str">
        <f t="shared" si="1343"/>
        <v>EXP00442</v>
      </c>
      <c r="B19313" s="3" t="s">
        <v>66</v>
      </c>
      <c r="C19313" s="4" t="str">
        <f t="shared" si="1344"/>
        <v>TCGA-TGCT</v>
      </c>
      <c r="D19313" s="1" t="s">
        <v>493</v>
      </c>
      <c r="E19313" t="s">
        <v>581</v>
      </c>
      <c r="F19313" s="1">
        <v>1</v>
      </c>
      <c r="G19313" s="1" t="s">
        <v>31</v>
      </c>
      <c r="H19313" s="4" t="str">
        <f>HYPERLINK("https://portal.gdc.cancer.gov/cases/11d10254-3a16-4526-98e8-80838f8427f2","TCGA-XE-AANV-01A")</f>
        <v>TCGA-XE-AANV-01A</v>
      </c>
      <c r="I19313" t="s">
        <v>319</v>
      </c>
      <c r="J19313" t="s">
        <v>582</v>
      </c>
      <c r="K19313" t="s">
        <v>19</v>
      </c>
      <c r="L19313" t="s">
        <v>321</v>
      </c>
      <c r="M19313" t="s">
        <v>24</v>
      </c>
      <c r="N19313" t="s">
        <v>29</v>
      </c>
    </row>
    <row r="19314" spans="1:14">
      <c r="A19314" s="4" t="str">
        <f t="shared" si="1343"/>
        <v>EXP00442</v>
      </c>
      <c r="B19314" s="3" t="s">
        <v>66</v>
      </c>
      <c r="C19314" s="4" t="str">
        <f t="shared" si="1344"/>
        <v>TCGA-TGCT</v>
      </c>
      <c r="D19314" s="1" t="s">
        <v>493</v>
      </c>
      <c r="E19314" t="s">
        <v>581</v>
      </c>
      <c r="F19314" s="1">
        <v>1</v>
      </c>
      <c r="G19314" s="1" t="s">
        <v>31</v>
      </c>
      <c r="H19314" s="4" t="str">
        <f>HYPERLINK("https://portal.gdc.cancer.gov/cases/7db75a66-3e9d-40e1-93c0-23f3630d6a9c","TCGA-XE-AAOB-01A")</f>
        <v>TCGA-XE-AAOB-01A</v>
      </c>
      <c r="I19314" t="s">
        <v>319</v>
      </c>
      <c r="J19314" t="s">
        <v>582</v>
      </c>
      <c r="K19314" t="s">
        <v>19</v>
      </c>
      <c r="L19314" t="s">
        <v>321</v>
      </c>
      <c r="M19314" t="s">
        <v>520</v>
      </c>
      <c r="N19314" t="s">
        <v>29</v>
      </c>
    </row>
    <row r="19315" spans="1:14">
      <c r="A19315" s="4" t="str">
        <f t="shared" si="1343"/>
        <v>EXP00442</v>
      </c>
      <c r="B19315" s="3" t="s">
        <v>66</v>
      </c>
      <c r="C19315" s="4" t="str">
        <f t="shared" si="1344"/>
        <v>TCGA-TGCT</v>
      </c>
      <c r="D19315" s="1" t="s">
        <v>493</v>
      </c>
      <c r="E19315" t="s">
        <v>581</v>
      </c>
      <c r="F19315" s="1">
        <v>2</v>
      </c>
      <c r="G19315" s="1" t="s">
        <v>32</v>
      </c>
      <c r="H19315" s="4" t="str">
        <f>HYPERLINK("https://portal.gdc.cancer.gov/cases/4efebe0b-ea06-4189-be34-5c191f69d1f6","TCGA-2G-AAEW-01A")</f>
        <v>TCGA-2G-AAEW-01A</v>
      </c>
      <c r="I19315" t="s">
        <v>319</v>
      </c>
      <c r="J19315" t="s">
        <v>582</v>
      </c>
      <c r="K19315" t="s">
        <v>33</v>
      </c>
      <c r="L19315" t="s">
        <v>321</v>
      </c>
      <c r="N19315" t="s">
        <v>29</v>
      </c>
    </row>
    <row r="19316" spans="1:14">
      <c r="A19316" s="4" t="str">
        <f t="shared" si="1343"/>
        <v>EXP00442</v>
      </c>
      <c r="B19316" s="3" t="s">
        <v>66</v>
      </c>
      <c r="C19316" s="4" t="str">
        <f t="shared" si="1344"/>
        <v>TCGA-TGCT</v>
      </c>
      <c r="D19316" s="1" t="s">
        <v>493</v>
      </c>
      <c r="E19316" t="s">
        <v>581</v>
      </c>
      <c r="F19316" s="1">
        <v>2</v>
      </c>
      <c r="G19316" s="1" t="s">
        <v>32</v>
      </c>
      <c r="H19316" s="4" t="str">
        <f>HYPERLINK("https://portal.gdc.cancer.gov/cases/27b529b8-0a7e-4a1a-9020-d33ee956c920","TCGA-2G-AAEX-01A")</f>
        <v>TCGA-2G-AAEX-01A</v>
      </c>
      <c r="I19316" t="s">
        <v>319</v>
      </c>
      <c r="J19316" t="s">
        <v>582</v>
      </c>
      <c r="K19316" t="s">
        <v>33</v>
      </c>
      <c r="L19316" t="s">
        <v>321</v>
      </c>
      <c r="N19316" t="s">
        <v>29</v>
      </c>
    </row>
    <row r="19317" spans="1:14">
      <c r="A19317" s="4" t="str">
        <f t="shared" si="1343"/>
        <v>EXP00442</v>
      </c>
      <c r="B19317" s="3" t="s">
        <v>66</v>
      </c>
      <c r="C19317" s="4" t="str">
        <f t="shared" si="1344"/>
        <v>TCGA-TGCT</v>
      </c>
      <c r="D19317" s="1" t="s">
        <v>493</v>
      </c>
      <c r="E19317" t="s">
        <v>581</v>
      </c>
      <c r="F19317" s="1">
        <v>2</v>
      </c>
      <c r="G19317" s="1" t="s">
        <v>32</v>
      </c>
      <c r="H19317" s="4" t="str">
        <f>HYPERLINK("https://portal.gdc.cancer.gov/cases/1b6f6269-64a6-408b-9103-58128615117c","TCGA-2G-AAF1-01A")</f>
        <v>TCGA-2G-AAF1-01A</v>
      </c>
      <c r="I19317" t="s">
        <v>319</v>
      </c>
      <c r="J19317" t="s">
        <v>582</v>
      </c>
      <c r="K19317" t="s">
        <v>33</v>
      </c>
      <c r="L19317" t="s">
        <v>321</v>
      </c>
      <c r="N19317" t="s">
        <v>29</v>
      </c>
    </row>
    <row r="19318" spans="1:14">
      <c r="A19318" s="4" t="str">
        <f t="shared" si="1343"/>
        <v>EXP00442</v>
      </c>
      <c r="B19318" s="3" t="s">
        <v>66</v>
      </c>
      <c r="C19318" s="4" t="str">
        <f t="shared" si="1344"/>
        <v>TCGA-TGCT</v>
      </c>
      <c r="D19318" s="1" t="s">
        <v>493</v>
      </c>
      <c r="E19318" t="s">
        <v>581</v>
      </c>
      <c r="F19318" s="1">
        <v>2</v>
      </c>
      <c r="G19318" s="1" t="s">
        <v>32</v>
      </c>
      <c r="H19318" s="4" t="str">
        <f>HYPERLINK("https://portal.gdc.cancer.gov/cases/23592bc3-17ff-44f3-9b17-c8f21d0af6b4","TCGA-2G-AAF4-01A")</f>
        <v>TCGA-2G-AAF4-01A</v>
      </c>
      <c r="I19318" t="s">
        <v>319</v>
      </c>
      <c r="J19318" t="s">
        <v>582</v>
      </c>
      <c r="K19318" t="s">
        <v>33</v>
      </c>
      <c r="L19318" t="s">
        <v>321</v>
      </c>
      <c r="N19318" t="s">
        <v>29</v>
      </c>
    </row>
    <row r="19319" spans="1:14">
      <c r="A19319" s="4" t="str">
        <f t="shared" si="1343"/>
        <v>EXP00442</v>
      </c>
      <c r="B19319" s="3" t="s">
        <v>66</v>
      </c>
      <c r="C19319" s="4" t="str">
        <f t="shared" si="1344"/>
        <v>TCGA-TGCT</v>
      </c>
      <c r="D19319" s="1" t="s">
        <v>493</v>
      </c>
      <c r="E19319" t="s">
        <v>581</v>
      </c>
      <c r="F19319" s="1">
        <v>2</v>
      </c>
      <c r="G19319" s="1" t="s">
        <v>32</v>
      </c>
      <c r="H19319" s="4" t="str">
        <f>HYPERLINK("https://portal.gdc.cancer.gov/cases/e03c99f2-93cb-457f-8a77-d600f292e313","TCGA-2G-AAF6-01A")</f>
        <v>TCGA-2G-AAF6-01A</v>
      </c>
      <c r="I19319" t="s">
        <v>319</v>
      </c>
      <c r="J19319" t="s">
        <v>582</v>
      </c>
      <c r="K19319" t="s">
        <v>33</v>
      </c>
      <c r="L19319" t="s">
        <v>321</v>
      </c>
      <c r="N19319" t="s">
        <v>29</v>
      </c>
    </row>
    <row r="19320" spans="1:14">
      <c r="A19320" s="4" t="str">
        <f t="shared" si="1343"/>
        <v>EXP00442</v>
      </c>
      <c r="B19320" s="3" t="s">
        <v>66</v>
      </c>
      <c r="C19320" s="4" t="str">
        <f t="shared" si="1344"/>
        <v>TCGA-TGCT</v>
      </c>
      <c r="D19320" s="1" t="s">
        <v>493</v>
      </c>
      <c r="E19320" t="s">
        <v>581</v>
      </c>
      <c r="F19320" s="1">
        <v>2</v>
      </c>
      <c r="G19320" s="1" t="s">
        <v>32</v>
      </c>
      <c r="H19320" s="4" t="str">
        <f>HYPERLINK("https://portal.gdc.cancer.gov/cases/a9c10a1d-ef0b-4a4e-8433-522a9e04796e","TCGA-2G-AAF8-01A")</f>
        <v>TCGA-2G-AAF8-01A</v>
      </c>
      <c r="I19320" t="s">
        <v>319</v>
      </c>
      <c r="J19320" t="s">
        <v>582</v>
      </c>
      <c r="K19320" t="s">
        <v>33</v>
      </c>
      <c r="L19320" t="s">
        <v>321</v>
      </c>
      <c r="N19320" t="s">
        <v>29</v>
      </c>
    </row>
    <row r="19321" spans="1:14">
      <c r="A19321" s="4" t="str">
        <f t="shared" si="1343"/>
        <v>EXP00442</v>
      </c>
      <c r="B19321" s="3" t="s">
        <v>66</v>
      </c>
      <c r="C19321" s="4" t="str">
        <f t="shared" si="1344"/>
        <v>TCGA-TGCT</v>
      </c>
      <c r="D19321" s="1" t="s">
        <v>493</v>
      </c>
      <c r="E19321" t="s">
        <v>581</v>
      </c>
      <c r="F19321" s="1">
        <v>2</v>
      </c>
      <c r="G19321" s="1" t="s">
        <v>32</v>
      </c>
      <c r="H19321" s="4" t="str">
        <f>HYPERLINK("https://portal.gdc.cancer.gov/cases/1d25c24e-bd3c-4023-85c1-b158f76324f1","TCGA-2G-AAFE-01A")</f>
        <v>TCGA-2G-AAFE-01A</v>
      </c>
      <c r="I19321" t="s">
        <v>319</v>
      </c>
      <c r="J19321" t="s">
        <v>582</v>
      </c>
      <c r="K19321" t="s">
        <v>33</v>
      </c>
      <c r="L19321" t="s">
        <v>321</v>
      </c>
      <c r="N19321" t="s">
        <v>29</v>
      </c>
    </row>
    <row r="19322" spans="1:14">
      <c r="A19322" s="4" t="str">
        <f t="shared" si="1343"/>
        <v>EXP00442</v>
      </c>
      <c r="B19322" s="3" t="s">
        <v>66</v>
      </c>
      <c r="C19322" s="4" t="str">
        <f t="shared" si="1344"/>
        <v>TCGA-TGCT</v>
      </c>
      <c r="D19322" s="1" t="s">
        <v>493</v>
      </c>
      <c r="E19322" t="s">
        <v>581</v>
      </c>
      <c r="F19322" s="1">
        <v>2</v>
      </c>
      <c r="G19322" s="1" t="s">
        <v>32</v>
      </c>
      <c r="H19322" s="4" t="str">
        <f>HYPERLINK("https://portal.gdc.cancer.gov/cases/630c683d-d1a2-4bec-aa20-38ef59227d97","TCGA-2G-AAFG-01A")</f>
        <v>TCGA-2G-AAFG-01A</v>
      </c>
      <c r="I19322" t="s">
        <v>319</v>
      </c>
      <c r="J19322" t="s">
        <v>582</v>
      </c>
      <c r="K19322" t="s">
        <v>33</v>
      </c>
      <c r="L19322" t="s">
        <v>321</v>
      </c>
      <c r="N19322" t="s">
        <v>29</v>
      </c>
    </row>
    <row r="19323" spans="1:14">
      <c r="A19323" s="4" t="str">
        <f t="shared" si="1343"/>
        <v>EXP00442</v>
      </c>
      <c r="B19323" s="3" t="s">
        <v>66</v>
      </c>
      <c r="C19323" s="4" t="str">
        <f t="shared" si="1344"/>
        <v>TCGA-TGCT</v>
      </c>
      <c r="D19323" s="1" t="s">
        <v>493</v>
      </c>
      <c r="E19323" t="s">
        <v>581</v>
      </c>
      <c r="F19323" s="1">
        <v>2</v>
      </c>
      <c r="G19323" s="1" t="s">
        <v>32</v>
      </c>
      <c r="H19323" s="4" t="str">
        <f>HYPERLINK("https://portal.gdc.cancer.gov/cases/0b98a1b7-02d6-4b30-a411-f4e4bbd4c41e","TCGA-2G-AAFH-01A")</f>
        <v>TCGA-2G-AAFH-01A</v>
      </c>
      <c r="I19323" t="s">
        <v>319</v>
      </c>
      <c r="J19323" t="s">
        <v>582</v>
      </c>
      <c r="K19323" t="s">
        <v>33</v>
      </c>
      <c r="L19323" t="s">
        <v>321</v>
      </c>
      <c r="N19323" t="s">
        <v>29</v>
      </c>
    </row>
    <row r="19324" spans="1:14">
      <c r="A19324" s="4" t="str">
        <f t="shared" si="1343"/>
        <v>EXP00442</v>
      </c>
      <c r="B19324" s="3" t="s">
        <v>66</v>
      </c>
      <c r="C19324" s="4" t="str">
        <f t="shared" si="1344"/>
        <v>TCGA-TGCT</v>
      </c>
      <c r="D19324" s="1" t="s">
        <v>493</v>
      </c>
      <c r="E19324" t="s">
        <v>581</v>
      </c>
      <c r="F19324" s="1">
        <v>2</v>
      </c>
      <c r="G19324" s="1" t="s">
        <v>32</v>
      </c>
      <c r="H19324" s="4" t="str">
        <f>HYPERLINK("https://portal.gdc.cancer.gov/cases/79dc329e-9cde-4bd4-819c-ee3d45d813ca","TCGA-2G-AAFI-01A")</f>
        <v>TCGA-2G-AAFI-01A</v>
      </c>
      <c r="I19324" t="s">
        <v>319</v>
      </c>
      <c r="J19324" t="s">
        <v>582</v>
      </c>
      <c r="K19324" t="s">
        <v>33</v>
      </c>
      <c r="L19324" t="s">
        <v>321</v>
      </c>
      <c r="N19324" t="s">
        <v>29</v>
      </c>
    </row>
    <row r="19325" spans="1:14">
      <c r="A19325" s="4" t="str">
        <f t="shared" si="1343"/>
        <v>EXP00442</v>
      </c>
      <c r="B19325" s="3" t="s">
        <v>66</v>
      </c>
      <c r="C19325" s="4" t="str">
        <f t="shared" si="1344"/>
        <v>TCGA-TGCT</v>
      </c>
      <c r="D19325" s="1" t="s">
        <v>493</v>
      </c>
      <c r="E19325" t="s">
        <v>581</v>
      </c>
      <c r="F19325" s="1">
        <v>2</v>
      </c>
      <c r="G19325" s="1" t="s">
        <v>32</v>
      </c>
      <c r="H19325" s="4" t="str">
        <f>HYPERLINK("https://portal.gdc.cancer.gov/cases/67dcde6d-e247-402e-ab27-ba2832b2cc3b","TCGA-2G-AAFJ-01A")</f>
        <v>TCGA-2G-AAFJ-01A</v>
      </c>
      <c r="I19325" t="s">
        <v>319</v>
      </c>
      <c r="J19325" t="s">
        <v>582</v>
      </c>
      <c r="K19325" t="s">
        <v>33</v>
      </c>
      <c r="L19325" t="s">
        <v>321</v>
      </c>
      <c r="N19325" t="s">
        <v>29</v>
      </c>
    </row>
    <row r="19326" spans="1:14">
      <c r="A19326" s="4" t="str">
        <f t="shared" si="1343"/>
        <v>EXP00442</v>
      </c>
      <c r="B19326" s="3" t="s">
        <v>66</v>
      </c>
      <c r="C19326" s="4" t="str">
        <f t="shared" si="1344"/>
        <v>TCGA-TGCT</v>
      </c>
      <c r="D19326" s="1" t="s">
        <v>493</v>
      </c>
      <c r="E19326" t="s">
        <v>581</v>
      </c>
      <c r="F19326" s="1">
        <v>2</v>
      </c>
      <c r="G19326" s="1" t="s">
        <v>32</v>
      </c>
      <c r="H19326" s="4" t="str">
        <f>HYPERLINK("https://portal.gdc.cancer.gov/cases/a123784a-0b6b-4f9a-847f-c5a17cb922bb","TCGA-2G-AAFM-01A")</f>
        <v>TCGA-2G-AAFM-01A</v>
      </c>
      <c r="I19326" t="s">
        <v>319</v>
      </c>
      <c r="J19326" t="s">
        <v>582</v>
      </c>
      <c r="K19326" t="s">
        <v>33</v>
      </c>
      <c r="L19326" t="s">
        <v>321</v>
      </c>
      <c r="N19326" t="s">
        <v>29</v>
      </c>
    </row>
    <row r="19327" spans="1:14">
      <c r="A19327" s="4" t="str">
        <f t="shared" si="1343"/>
        <v>EXP00442</v>
      </c>
      <c r="B19327" s="3" t="s">
        <v>66</v>
      </c>
      <c r="C19327" s="4" t="str">
        <f t="shared" si="1344"/>
        <v>TCGA-TGCT</v>
      </c>
      <c r="D19327" s="1" t="s">
        <v>493</v>
      </c>
      <c r="E19327" t="s">
        <v>581</v>
      </c>
      <c r="F19327" s="1">
        <v>2</v>
      </c>
      <c r="G19327" s="1" t="s">
        <v>32</v>
      </c>
      <c r="H19327" s="4" t="str">
        <f>HYPERLINK("https://portal.gdc.cancer.gov/cases/46332d2c-aee8-4a8a-b781-55702082f097","TCGA-2G-AAFN-01A")</f>
        <v>TCGA-2G-AAFN-01A</v>
      </c>
      <c r="I19327" t="s">
        <v>319</v>
      </c>
      <c r="J19327" t="s">
        <v>582</v>
      </c>
      <c r="K19327" t="s">
        <v>33</v>
      </c>
      <c r="L19327" t="s">
        <v>321</v>
      </c>
      <c r="N19327" t="s">
        <v>29</v>
      </c>
    </row>
    <row r="19328" spans="1:14">
      <c r="A19328" s="4" t="str">
        <f t="shared" si="1343"/>
        <v>EXP00442</v>
      </c>
      <c r="B19328" s="3" t="s">
        <v>66</v>
      </c>
      <c r="C19328" s="4" t="str">
        <f t="shared" si="1344"/>
        <v>TCGA-TGCT</v>
      </c>
      <c r="D19328" s="1" t="s">
        <v>493</v>
      </c>
      <c r="E19328" t="s">
        <v>581</v>
      </c>
      <c r="F19328" s="1">
        <v>2</v>
      </c>
      <c r="G19328" s="1" t="s">
        <v>32</v>
      </c>
      <c r="H19328" s="4" t="str">
        <f>HYPERLINK("https://portal.gdc.cancer.gov/cases/6a32e197-db90-4b3a-adc9-63b4c55d2cda","TCGA-2G-AAFO-01A")</f>
        <v>TCGA-2G-AAFO-01A</v>
      </c>
      <c r="I19328" t="s">
        <v>319</v>
      </c>
      <c r="J19328" t="s">
        <v>582</v>
      </c>
      <c r="K19328" t="s">
        <v>33</v>
      </c>
      <c r="L19328" t="s">
        <v>321</v>
      </c>
      <c r="N19328" t="s">
        <v>29</v>
      </c>
    </row>
    <row r="19329" spans="1:14">
      <c r="A19329" s="4" t="str">
        <f t="shared" si="1343"/>
        <v>EXP00442</v>
      </c>
      <c r="B19329" s="3" t="s">
        <v>66</v>
      </c>
      <c r="C19329" s="4" t="str">
        <f t="shared" si="1344"/>
        <v>TCGA-TGCT</v>
      </c>
      <c r="D19329" s="1" t="s">
        <v>493</v>
      </c>
      <c r="E19329" t="s">
        <v>581</v>
      </c>
      <c r="F19329" s="1">
        <v>2</v>
      </c>
      <c r="G19329" s="1" t="s">
        <v>32</v>
      </c>
      <c r="H19329" s="4" t="str">
        <f>HYPERLINK("https://portal.gdc.cancer.gov/cases/0edeab00-e86e-484e-974f-e0f41efad22c","TCGA-2G-AAFV-01A")</f>
        <v>TCGA-2G-AAFV-01A</v>
      </c>
      <c r="I19329" t="s">
        <v>319</v>
      </c>
      <c r="J19329" t="s">
        <v>582</v>
      </c>
      <c r="K19329" t="s">
        <v>33</v>
      </c>
      <c r="L19329" t="s">
        <v>321</v>
      </c>
      <c r="N19329" t="s">
        <v>29</v>
      </c>
    </row>
    <row r="19330" spans="1:14">
      <c r="A19330" s="4" t="str">
        <f t="shared" si="1343"/>
        <v>EXP00442</v>
      </c>
      <c r="B19330" s="3" t="s">
        <v>66</v>
      </c>
      <c r="C19330" s="4" t="str">
        <f t="shared" si="1344"/>
        <v>TCGA-TGCT</v>
      </c>
      <c r="D19330" s="1" t="s">
        <v>493</v>
      </c>
      <c r="E19330" t="s">
        <v>581</v>
      </c>
      <c r="F19330" s="1">
        <v>2</v>
      </c>
      <c r="G19330" s="1" t="s">
        <v>32</v>
      </c>
      <c r="H19330" s="4" t="str">
        <f>HYPERLINK("https://portal.gdc.cancer.gov/cases/1b1e7d1d-634f-4d39-bea1-3c1d72bb2af4","TCGA-2G-AAFY-01A")</f>
        <v>TCGA-2G-AAFY-01A</v>
      </c>
      <c r="I19330" t="s">
        <v>319</v>
      </c>
      <c r="J19330" t="s">
        <v>582</v>
      </c>
      <c r="K19330" t="s">
        <v>33</v>
      </c>
      <c r="L19330" t="s">
        <v>321</v>
      </c>
      <c r="N19330" t="s">
        <v>29</v>
      </c>
    </row>
    <row r="19331" spans="1:14">
      <c r="A19331" s="4" t="str">
        <f t="shared" si="1343"/>
        <v>EXP00442</v>
      </c>
      <c r="B19331" s="3" t="s">
        <v>66</v>
      </c>
      <c r="C19331" s="4" t="str">
        <f t="shared" si="1344"/>
        <v>TCGA-TGCT</v>
      </c>
      <c r="D19331" s="1" t="s">
        <v>493</v>
      </c>
      <c r="E19331" t="s">
        <v>581</v>
      </c>
      <c r="F19331" s="1">
        <v>2</v>
      </c>
      <c r="G19331" s="1" t="s">
        <v>32</v>
      </c>
      <c r="H19331" s="4" t="str">
        <f>HYPERLINK("https://portal.gdc.cancer.gov/cases/e6b32289-55a3-4852-88f3-5e483463249e","TCGA-2G-AAFZ-01A")</f>
        <v>TCGA-2G-AAFZ-01A</v>
      </c>
      <c r="I19331" t="s">
        <v>319</v>
      </c>
      <c r="J19331" t="s">
        <v>582</v>
      </c>
      <c r="K19331" t="s">
        <v>33</v>
      </c>
      <c r="L19331" t="s">
        <v>321</v>
      </c>
      <c r="N19331" t="s">
        <v>29</v>
      </c>
    </row>
    <row r="19332" spans="1:14">
      <c r="A19332" s="4" t="str">
        <f t="shared" si="1343"/>
        <v>EXP00442</v>
      </c>
      <c r="B19332" s="3" t="s">
        <v>66</v>
      </c>
      <c r="C19332" s="4" t="str">
        <f t="shared" si="1344"/>
        <v>TCGA-TGCT</v>
      </c>
      <c r="D19332" s="1" t="s">
        <v>493</v>
      </c>
      <c r="E19332" t="s">
        <v>581</v>
      </c>
      <c r="F19332" s="1">
        <v>2</v>
      </c>
      <c r="G19332" s="1" t="s">
        <v>32</v>
      </c>
      <c r="H19332" s="4" t="str">
        <f>HYPERLINK("https://portal.gdc.cancer.gov/cases/a789b81c-3d8f-42a6-80b9-ae2ab4df34e9","TCGA-2G-AAG3-01A")</f>
        <v>TCGA-2G-AAG3-01A</v>
      </c>
      <c r="I19332" t="s">
        <v>319</v>
      </c>
      <c r="J19332" t="s">
        <v>582</v>
      </c>
      <c r="K19332" t="s">
        <v>33</v>
      </c>
      <c r="L19332" t="s">
        <v>321</v>
      </c>
      <c r="N19332" t="s">
        <v>29</v>
      </c>
    </row>
    <row r="19333" spans="1:14">
      <c r="A19333" s="4" t="str">
        <f t="shared" si="1343"/>
        <v>EXP00442</v>
      </c>
      <c r="B19333" s="3" t="s">
        <v>66</v>
      </c>
      <c r="C19333" s="4" t="str">
        <f t="shared" si="1344"/>
        <v>TCGA-TGCT</v>
      </c>
      <c r="D19333" s="1" t="s">
        <v>493</v>
      </c>
      <c r="E19333" t="s">
        <v>581</v>
      </c>
      <c r="F19333" s="1">
        <v>2</v>
      </c>
      <c r="G19333" s="1" t="s">
        <v>32</v>
      </c>
      <c r="H19333" s="4" t="str">
        <f>HYPERLINK("https://portal.gdc.cancer.gov/cases/31356d96-f0a1-4a17-895f-89720c264377","TCGA-2G-AAG5-01A")</f>
        <v>TCGA-2G-AAG5-01A</v>
      </c>
      <c r="I19333" t="s">
        <v>319</v>
      </c>
      <c r="J19333" t="s">
        <v>582</v>
      </c>
      <c r="K19333" t="s">
        <v>33</v>
      </c>
      <c r="L19333" t="s">
        <v>321</v>
      </c>
      <c r="N19333" t="s">
        <v>29</v>
      </c>
    </row>
    <row r="19334" spans="1:14">
      <c r="A19334" s="4" t="str">
        <f t="shared" si="1343"/>
        <v>EXP00442</v>
      </c>
      <c r="B19334" s="3" t="s">
        <v>66</v>
      </c>
      <c r="C19334" s="4" t="str">
        <f t="shared" si="1344"/>
        <v>TCGA-TGCT</v>
      </c>
      <c r="D19334" s="1" t="s">
        <v>493</v>
      </c>
      <c r="E19334" t="s">
        <v>581</v>
      </c>
      <c r="F19334" s="1">
        <v>2</v>
      </c>
      <c r="G19334" s="1" t="s">
        <v>32</v>
      </c>
      <c r="H19334" s="4" t="str">
        <f>HYPERLINK("https://portal.gdc.cancer.gov/cases/43e0141d-9bea-4b26-86e0-88a11175053a","TCGA-2G-AAG6-01A")</f>
        <v>TCGA-2G-AAG6-01A</v>
      </c>
      <c r="I19334" t="s">
        <v>319</v>
      </c>
      <c r="J19334" t="s">
        <v>582</v>
      </c>
      <c r="K19334" t="s">
        <v>33</v>
      </c>
      <c r="L19334" t="s">
        <v>321</v>
      </c>
      <c r="N19334" t="s">
        <v>29</v>
      </c>
    </row>
    <row r="19335" spans="1:14">
      <c r="A19335" s="4" t="str">
        <f t="shared" si="1343"/>
        <v>EXP00442</v>
      </c>
      <c r="B19335" s="3" t="s">
        <v>66</v>
      </c>
      <c r="C19335" s="4" t="str">
        <f t="shared" si="1344"/>
        <v>TCGA-TGCT</v>
      </c>
      <c r="D19335" s="1" t="s">
        <v>493</v>
      </c>
      <c r="E19335" t="s">
        <v>581</v>
      </c>
      <c r="F19335" s="1">
        <v>2</v>
      </c>
      <c r="G19335" s="1" t="s">
        <v>32</v>
      </c>
      <c r="H19335" s="4" t="str">
        <f>HYPERLINK("https://portal.gdc.cancer.gov/cases/aac5502e-147d-4ff9-9876-d9bffacf3dd0","TCGA-2G-AAG7-01A")</f>
        <v>TCGA-2G-AAG7-01A</v>
      </c>
      <c r="I19335" t="s">
        <v>319</v>
      </c>
      <c r="J19335" t="s">
        <v>582</v>
      </c>
      <c r="K19335" t="s">
        <v>33</v>
      </c>
      <c r="L19335" t="s">
        <v>321</v>
      </c>
      <c r="N19335" t="s">
        <v>29</v>
      </c>
    </row>
    <row r="19336" spans="1:14">
      <c r="A19336" s="4" t="str">
        <f t="shared" si="1343"/>
        <v>EXP00442</v>
      </c>
      <c r="B19336" s="3" t="s">
        <v>66</v>
      </c>
      <c r="C19336" s="4" t="str">
        <f t="shared" si="1344"/>
        <v>TCGA-TGCT</v>
      </c>
      <c r="D19336" s="1" t="s">
        <v>493</v>
      </c>
      <c r="E19336" t="s">
        <v>581</v>
      </c>
      <c r="F19336" s="1">
        <v>2</v>
      </c>
      <c r="G19336" s="1" t="s">
        <v>32</v>
      </c>
      <c r="H19336" s="4" t="str">
        <f>HYPERLINK("https://portal.gdc.cancer.gov/cases/cb342b8c-90db-43d3-83df-db6e728712bf","TCGA-2G-AAG8-01A")</f>
        <v>TCGA-2G-AAG8-01A</v>
      </c>
      <c r="I19336" t="s">
        <v>319</v>
      </c>
      <c r="J19336" t="s">
        <v>582</v>
      </c>
      <c r="K19336" t="s">
        <v>33</v>
      </c>
      <c r="L19336" t="s">
        <v>321</v>
      </c>
      <c r="N19336" t="s">
        <v>29</v>
      </c>
    </row>
    <row r="19337" spans="1:14">
      <c r="A19337" s="4" t="str">
        <f t="shared" si="1343"/>
        <v>EXP00442</v>
      </c>
      <c r="B19337" s="3" t="s">
        <v>66</v>
      </c>
      <c r="C19337" s="4" t="str">
        <f t="shared" si="1344"/>
        <v>TCGA-TGCT</v>
      </c>
      <c r="D19337" s="1" t="s">
        <v>493</v>
      </c>
      <c r="E19337" t="s">
        <v>581</v>
      </c>
      <c r="F19337" s="1">
        <v>2</v>
      </c>
      <c r="G19337" s="1" t="s">
        <v>32</v>
      </c>
      <c r="H19337" s="4" t="str">
        <f>HYPERLINK("https://portal.gdc.cancer.gov/cases/39a18c44-1990-4f01-a126-a6eda1d4ab1d","TCGA-2G-AAG9-01A")</f>
        <v>TCGA-2G-AAG9-01A</v>
      </c>
      <c r="I19337" t="s">
        <v>319</v>
      </c>
      <c r="J19337" t="s">
        <v>582</v>
      </c>
      <c r="K19337" t="s">
        <v>33</v>
      </c>
      <c r="L19337" t="s">
        <v>321</v>
      </c>
      <c r="N19337" t="s">
        <v>29</v>
      </c>
    </row>
    <row r="19338" spans="1:14">
      <c r="A19338" s="4" t="str">
        <f t="shared" si="1343"/>
        <v>EXP00442</v>
      </c>
      <c r="B19338" s="3" t="s">
        <v>66</v>
      </c>
      <c r="C19338" s="4" t="str">
        <f t="shared" si="1344"/>
        <v>TCGA-TGCT</v>
      </c>
      <c r="D19338" s="1" t="s">
        <v>493</v>
      </c>
      <c r="E19338" t="s">
        <v>581</v>
      </c>
      <c r="F19338" s="1">
        <v>2</v>
      </c>
      <c r="G19338" s="1" t="s">
        <v>32</v>
      </c>
      <c r="H19338" s="4" t="str">
        <f>HYPERLINK("https://portal.gdc.cancer.gov/cases/6a7dce9c-1c9d-41a2-a5ca-0a7d36e91fd7","TCGA-2G-AAGA-01A")</f>
        <v>TCGA-2G-AAGA-01A</v>
      </c>
      <c r="I19338" t="s">
        <v>319</v>
      </c>
      <c r="J19338" t="s">
        <v>582</v>
      </c>
      <c r="K19338" t="s">
        <v>33</v>
      </c>
      <c r="L19338" t="s">
        <v>321</v>
      </c>
      <c r="N19338" t="s">
        <v>29</v>
      </c>
    </row>
    <row r="19339" spans="1:14">
      <c r="A19339" s="4" t="str">
        <f t="shared" si="1343"/>
        <v>EXP00442</v>
      </c>
      <c r="B19339" s="3" t="s">
        <v>66</v>
      </c>
      <c r="C19339" s="4" t="str">
        <f t="shared" si="1344"/>
        <v>TCGA-TGCT</v>
      </c>
      <c r="D19339" s="1" t="s">
        <v>493</v>
      </c>
      <c r="E19339" t="s">
        <v>581</v>
      </c>
      <c r="F19339" s="1">
        <v>2</v>
      </c>
      <c r="G19339" s="1" t="s">
        <v>32</v>
      </c>
      <c r="H19339" s="4" t="str">
        <f>HYPERLINK("https://portal.gdc.cancer.gov/cases/1b67d80c-335e-4094-b973-e8c064c6bf59","TCGA-2G-AAGC-01A")</f>
        <v>TCGA-2G-AAGC-01A</v>
      </c>
      <c r="I19339" t="s">
        <v>319</v>
      </c>
      <c r="J19339" t="s">
        <v>582</v>
      </c>
      <c r="K19339" t="s">
        <v>33</v>
      </c>
      <c r="L19339" t="s">
        <v>321</v>
      </c>
      <c r="N19339" t="s">
        <v>29</v>
      </c>
    </row>
    <row r="19340" spans="1:14">
      <c r="A19340" s="4" t="str">
        <f t="shared" si="1343"/>
        <v>EXP00442</v>
      </c>
      <c r="B19340" s="3" t="s">
        <v>66</v>
      </c>
      <c r="C19340" s="4" t="str">
        <f t="shared" si="1344"/>
        <v>TCGA-TGCT</v>
      </c>
      <c r="D19340" s="1" t="s">
        <v>493</v>
      </c>
      <c r="E19340" t="s">
        <v>581</v>
      </c>
      <c r="F19340" s="1">
        <v>2</v>
      </c>
      <c r="G19340" s="1" t="s">
        <v>32</v>
      </c>
      <c r="H19340" s="4" t="str">
        <f>HYPERLINK("https://portal.gdc.cancer.gov/cases/626c1cb7-05f6-4db1-a809-f6fcba2cce8e","TCGA-2G-AAGE-01A")</f>
        <v>TCGA-2G-AAGE-01A</v>
      </c>
      <c r="I19340" t="s">
        <v>319</v>
      </c>
      <c r="J19340" t="s">
        <v>582</v>
      </c>
      <c r="K19340" t="s">
        <v>33</v>
      </c>
      <c r="L19340" t="s">
        <v>321</v>
      </c>
      <c r="N19340" t="s">
        <v>29</v>
      </c>
    </row>
    <row r="19341" spans="1:14">
      <c r="A19341" s="4" t="str">
        <f t="shared" si="1343"/>
        <v>EXP00442</v>
      </c>
      <c r="B19341" s="3" t="s">
        <v>66</v>
      </c>
      <c r="C19341" s="4" t="str">
        <f t="shared" si="1344"/>
        <v>TCGA-TGCT</v>
      </c>
      <c r="D19341" s="1" t="s">
        <v>493</v>
      </c>
      <c r="E19341" t="s">
        <v>581</v>
      </c>
      <c r="F19341" s="1">
        <v>2</v>
      </c>
      <c r="G19341" s="1" t="s">
        <v>32</v>
      </c>
      <c r="H19341" s="4" t="str">
        <f>HYPERLINK("https://portal.gdc.cancer.gov/cases/8f734f5c-fe5c-4c81-98c9-f88a8ca4a5ee","TCGA-2G-AAGF-01A")</f>
        <v>TCGA-2G-AAGF-01A</v>
      </c>
      <c r="I19341" t="s">
        <v>319</v>
      </c>
      <c r="J19341" t="s">
        <v>582</v>
      </c>
      <c r="K19341" t="s">
        <v>33</v>
      </c>
      <c r="L19341" t="s">
        <v>321</v>
      </c>
      <c r="N19341" t="s">
        <v>29</v>
      </c>
    </row>
    <row r="19342" spans="1:14">
      <c r="A19342" s="4" t="str">
        <f t="shared" si="1343"/>
        <v>EXP00442</v>
      </c>
      <c r="B19342" s="3" t="s">
        <v>66</v>
      </c>
      <c r="C19342" s="4" t="str">
        <f t="shared" si="1344"/>
        <v>TCGA-TGCT</v>
      </c>
      <c r="D19342" s="1" t="s">
        <v>493</v>
      </c>
      <c r="E19342" t="s">
        <v>581</v>
      </c>
      <c r="F19342" s="1">
        <v>2</v>
      </c>
      <c r="G19342" s="1" t="s">
        <v>32</v>
      </c>
      <c r="H19342" s="4" t="str">
        <f>HYPERLINK("https://portal.gdc.cancer.gov/cases/bbbd714f-8a2b-452a-939a-d6839eb7865c","TCGA-2G-AAGG-01A")</f>
        <v>TCGA-2G-AAGG-01A</v>
      </c>
      <c r="I19342" t="s">
        <v>319</v>
      </c>
      <c r="J19342" t="s">
        <v>582</v>
      </c>
      <c r="K19342" t="s">
        <v>33</v>
      </c>
      <c r="L19342" t="s">
        <v>321</v>
      </c>
      <c r="N19342" t="s">
        <v>29</v>
      </c>
    </row>
    <row r="19343" spans="1:14">
      <c r="A19343" s="4" t="str">
        <f t="shared" ref="A19343:A19374" si="1345">HYPERLINK("http://hcmdb.i-sanger.com/experiment/details/experiment_id/EXP00442","EXP00442")</f>
        <v>EXP00442</v>
      </c>
      <c r="B19343" s="3" t="s">
        <v>66</v>
      </c>
      <c r="C19343" s="4" t="str">
        <f t="shared" ref="C19343:C19374" si="1346">HYPERLINK("https://portal.gdc.cancer.gov/projects/TCGA-TGCT","TCGA-TGCT")</f>
        <v>TCGA-TGCT</v>
      </c>
      <c r="D19343" s="1" t="s">
        <v>493</v>
      </c>
      <c r="E19343" t="s">
        <v>581</v>
      </c>
      <c r="F19343" s="1">
        <v>2</v>
      </c>
      <c r="G19343" s="1" t="s">
        <v>32</v>
      </c>
      <c r="H19343" s="4" t="str">
        <f>HYPERLINK("https://portal.gdc.cancer.gov/cases/8062ca27-542f-4a00-a047-c88b9b26f34f","TCGA-2G-AAGI-01A")</f>
        <v>TCGA-2G-AAGI-01A</v>
      </c>
      <c r="I19343" t="s">
        <v>319</v>
      </c>
      <c r="J19343" t="s">
        <v>582</v>
      </c>
      <c r="K19343" t="s">
        <v>33</v>
      </c>
      <c r="L19343" t="s">
        <v>321</v>
      </c>
      <c r="N19343" t="s">
        <v>29</v>
      </c>
    </row>
    <row r="19344" spans="1:14">
      <c r="A19344" s="4" t="str">
        <f t="shared" si="1345"/>
        <v>EXP00442</v>
      </c>
      <c r="B19344" s="3" t="s">
        <v>66</v>
      </c>
      <c r="C19344" s="4" t="str">
        <f t="shared" si="1346"/>
        <v>TCGA-TGCT</v>
      </c>
      <c r="D19344" s="1" t="s">
        <v>493</v>
      </c>
      <c r="E19344" t="s">
        <v>581</v>
      </c>
      <c r="F19344" s="1">
        <v>2</v>
      </c>
      <c r="G19344" s="1" t="s">
        <v>32</v>
      </c>
      <c r="H19344" s="4" t="str">
        <f>HYPERLINK("https://portal.gdc.cancer.gov/cases/4e7eb78e-a4e2-463e-a3a0-54e128108031","TCGA-2G-AAGJ-01A")</f>
        <v>TCGA-2G-AAGJ-01A</v>
      </c>
      <c r="I19344" t="s">
        <v>319</v>
      </c>
      <c r="J19344" t="s">
        <v>582</v>
      </c>
      <c r="K19344" t="s">
        <v>33</v>
      </c>
      <c r="L19344" t="s">
        <v>321</v>
      </c>
      <c r="N19344" t="s">
        <v>29</v>
      </c>
    </row>
    <row r="19345" spans="1:14">
      <c r="A19345" s="4" t="str">
        <f t="shared" si="1345"/>
        <v>EXP00442</v>
      </c>
      <c r="B19345" s="3" t="s">
        <v>66</v>
      </c>
      <c r="C19345" s="4" t="str">
        <f t="shared" si="1346"/>
        <v>TCGA-TGCT</v>
      </c>
      <c r="D19345" s="1" t="s">
        <v>493</v>
      </c>
      <c r="E19345" t="s">
        <v>581</v>
      </c>
      <c r="F19345" s="1">
        <v>2</v>
      </c>
      <c r="G19345" s="1" t="s">
        <v>32</v>
      </c>
      <c r="H19345" s="4" t="str">
        <f>HYPERLINK("https://portal.gdc.cancer.gov/cases/a1a4313c-9c5b-432c-a879-5425898ffaee","TCGA-2G-AAGK-01A")</f>
        <v>TCGA-2G-AAGK-01A</v>
      </c>
      <c r="I19345" t="s">
        <v>319</v>
      </c>
      <c r="J19345" t="s">
        <v>582</v>
      </c>
      <c r="K19345" t="s">
        <v>33</v>
      </c>
      <c r="L19345" t="s">
        <v>321</v>
      </c>
      <c r="N19345" t="s">
        <v>29</v>
      </c>
    </row>
    <row r="19346" spans="1:14">
      <c r="A19346" s="4" t="str">
        <f t="shared" si="1345"/>
        <v>EXP00442</v>
      </c>
      <c r="B19346" s="3" t="s">
        <v>66</v>
      </c>
      <c r="C19346" s="4" t="str">
        <f t="shared" si="1346"/>
        <v>TCGA-TGCT</v>
      </c>
      <c r="D19346" s="1" t="s">
        <v>493</v>
      </c>
      <c r="E19346" t="s">
        <v>581</v>
      </c>
      <c r="F19346" s="1">
        <v>2</v>
      </c>
      <c r="G19346" s="1" t="s">
        <v>32</v>
      </c>
      <c r="H19346" s="4" t="str">
        <f>HYPERLINK("https://portal.gdc.cancer.gov/cases/bd42cf82-4281-41bf-93e5-8403f1a94905","TCGA-2G-AAGM-01A")</f>
        <v>TCGA-2G-AAGM-01A</v>
      </c>
      <c r="I19346" t="s">
        <v>319</v>
      </c>
      <c r="J19346" t="s">
        <v>582</v>
      </c>
      <c r="K19346" t="s">
        <v>33</v>
      </c>
      <c r="L19346" t="s">
        <v>321</v>
      </c>
      <c r="N19346" t="s">
        <v>29</v>
      </c>
    </row>
    <row r="19347" spans="1:14">
      <c r="A19347" s="4" t="str">
        <f t="shared" si="1345"/>
        <v>EXP00442</v>
      </c>
      <c r="B19347" s="3" t="s">
        <v>66</v>
      </c>
      <c r="C19347" s="4" t="str">
        <f t="shared" si="1346"/>
        <v>TCGA-TGCT</v>
      </c>
      <c r="D19347" s="1" t="s">
        <v>493</v>
      </c>
      <c r="E19347" t="s">
        <v>581</v>
      </c>
      <c r="F19347" s="1">
        <v>2</v>
      </c>
      <c r="G19347" s="1" t="s">
        <v>32</v>
      </c>
      <c r="H19347" s="4" t="str">
        <f>HYPERLINK("https://portal.gdc.cancer.gov/cases/a554973a-e5ce-4fee-ae98-ace6c4d08565","TCGA-2G-AAGN-01A")</f>
        <v>TCGA-2G-AAGN-01A</v>
      </c>
      <c r="I19347" t="s">
        <v>319</v>
      </c>
      <c r="J19347" t="s">
        <v>582</v>
      </c>
      <c r="K19347" t="s">
        <v>33</v>
      </c>
      <c r="L19347" t="s">
        <v>321</v>
      </c>
      <c r="N19347" t="s">
        <v>29</v>
      </c>
    </row>
    <row r="19348" spans="1:14">
      <c r="A19348" s="4" t="str">
        <f t="shared" si="1345"/>
        <v>EXP00442</v>
      </c>
      <c r="B19348" s="3" t="s">
        <v>66</v>
      </c>
      <c r="C19348" s="4" t="str">
        <f t="shared" si="1346"/>
        <v>TCGA-TGCT</v>
      </c>
      <c r="D19348" s="1" t="s">
        <v>493</v>
      </c>
      <c r="E19348" t="s">
        <v>581</v>
      </c>
      <c r="F19348" s="1">
        <v>2</v>
      </c>
      <c r="G19348" s="1" t="s">
        <v>32</v>
      </c>
      <c r="H19348" s="4" t="str">
        <f>HYPERLINK("https://portal.gdc.cancer.gov/cases/69509852-ed3e-4b5f-afc3-e7f7d88ce936","TCGA-2G-AAGO-01A")</f>
        <v>TCGA-2G-AAGO-01A</v>
      </c>
      <c r="I19348" t="s">
        <v>319</v>
      </c>
      <c r="J19348" t="s">
        <v>582</v>
      </c>
      <c r="K19348" t="s">
        <v>33</v>
      </c>
      <c r="L19348" t="s">
        <v>321</v>
      </c>
      <c r="N19348" t="s">
        <v>29</v>
      </c>
    </row>
    <row r="19349" spans="1:14">
      <c r="A19349" s="4" t="str">
        <f t="shared" si="1345"/>
        <v>EXP00442</v>
      </c>
      <c r="B19349" s="3" t="s">
        <v>66</v>
      </c>
      <c r="C19349" s="4" t="str">
        <f t="shared" si="1346"/>
        <v>TCGA-TGCT</v>
      </c>
      <c r="D19349" s="1" t="s">
        <v>493</v>
      </c>
      <c r="E19349" t="s">
        <v>581</v>
      </c>
      <c r="F19349" s="1">
        <v>2</v>
      </c>
      <c r="G19349" s="1" t="s">
        <v>32</v>
      </c>
      <c r="H19349" s="4" t="str">
        <f>HYPERLINK("https://portal.gdc.cancer.gov/cases/fec8549c-9328-47b3-8266-f446db5b7ae9","TCGA-2G-AAGP-01A")</f>
        <v>TCGA-2G-AAGP-01A</v>
      </c>
      <c r="I19349" t="s">
        <v>319</v>
      </c>
      <c r="J19349" t="s">
        <v>582</v>
      </c>
      <c r="K19349" t="s">
        <v>33</v>
      </c>
      <c r="L19349" t="s">
        <v>321</v>
      </c>
      <c r="N19349" t="s">
        <v>29</v>
      </c>
    </row>
    <row r="19350" spans="1:14">
      <c r="A19350" s="4" t="str">
        <f t="shared" si="1345"/>
        <v>EXP00442</v>
      </c>
      <c r="B19350" s="3" t="s">
        <v>66</v>
      </c>
      <c r="C19350" s="4" t="str">
        <f t="shared" si="1346"/>
        <v>TCGA-TGCT</v>
      </c>
      <c r="D19350" s="1" t="s">
        <v>493</v>
      </c>
      <c r="E19350" t="s">
        <v>581</v>
      </c>
      <c r="F19350" s="1">
        <v>2</v>
      </c>
      <c r="G19350" s="1" t="s">
        <v>32</v>
      </c>
      <c r="H19350" s="4" t="str">
        <f>HYPERLINK("https://portal.gdc.cancer.gov/cases/a22235ef-0fd3-4087-a36c-bb22704450ea","TCGA-2G-AAGS-01A")</f>
        <v>TCGA-2G-AAGS-01A</v>
      </c>
      <c r="I19350" t="s">
        <v>319</v>
      </c>
      <c r="J19350" t="s">
        <v>582</v>
      </c>
      <c r="K19350" t="s">
        <v>33</v>
      </c>
      <c r="L19350" t="s">
        <v>321</v>
      </c>
      <c r="N19350" t="s">
        <v>29</v>
      </c>
    </row>
    <row r="19351" spans="1:14">
      <c r="A19351" s="4" t="str">
        <f t="shared" si="1345"/>
        <v>EXP00442</v>
      </c>
      <c r="B19351" s="3" t="s">
        <v>66</v>
      </c>
      <c r="C19351" s="4" t="str">
        <f t="shared" si="1346"/>
        <v>TCGA-TGCT</v>
      </c>
      <c r="D19351" s="1" t="s">
        <v>493</v>
      </c>
      <c r="E19351" t="s">
        <v>581</v>
      </c>
      <c r="F19351" s="1">
        <v>2</v>
      </c>
      <c r="G19351" s="1" t="s">
        <v>32</v>
      </c>
      <c r="H19351" s="4" t="str">
        <f>HYPERLINK("https://portal.gdc.cancer.gov/cases/320995df-9ef7-460c-aa37-e232e2d4e327","TCGA-2G-AAGT-01A")</f>
        <v>TCGA-2G-AAGT-01A</v>
      </c>
      <c r="I19351" t="s">
        <v>319</v>
      </c>
      <c r="J19351" t="s">
        <v>582</v>
      </c>
      <c r="K19351" t="s">
        <v>33</v>
      </c>
      <c r="L19351" t="s">
        <v>321</v>
      </c>
      <c r="N19351" t="s">
        <v>29</v>
      </c>
    </row>
    <row r="19352" spans="1:14">
      <c r="A19352" s="4" t="str">
        <f t="shared" si="1345"/>
        <v>EXP00442</v>
      </c>
      <c r="B19352" s="3" t="s">
        <v>66</v>
      </c>
      <c r="C19352" s="4" t="str">
        <f t="shared" si="1346"/>
        <v>TCGA-TGCT</v>
      </c>
      <c r="D19352" s="1" t="s">
        <v>493</v>
      </c>
      <c r="E19352" t="s">
        <v>581</v>
      </c>
      <c r="F19352" s="1">
        <v>2</v>
      </c>
      <c r="G19352" s="1" t="s">
        <v>32</v>
      </c>
      <c r="H19352" s="4" t="str">
        <f>HYPERLINK("https://portal.gdc.cancer.gov/cases/6d952a17-f8d7-4f4c-8b91-b050e84fbe54","TCGA-2G-AAGV-01A")</f>
        <v>TCGA-2G-AAGV-01A</v>
      </c>
      <c r="I19352" t="s">
        <v>319</v>
      </c>
      <c r="J19352" t="s">
        <v>582</v>
      </c>
      <c r="K19352" t="s">
        <v>33</v>
      </c>
      <c r="L19352" t="s">
        <v>321</v>
      </c>
      <c r="N19352" t="s">
        <v>29</v>
      </c>
    </row>
    <row r="19353" spans="1:14">
      <c r="A19353" s="4" t="str">
        <f t="shared" si="1345"/>
        <v>EXP00442</v>
      </c>
      <c r="B19353" s="3" t="s">
        <v>66</v>
      </c>
      <c r="C19353" s="4" t="str">
        <f t="shared" si="1346"/>
        <v>TCGA-TGCT</v>
      </c>
      <c r="D19353" s="1" t="s">
        <v>493</v>
      </c>
      <c r="E19353" t="s">
        <v>581</v>
      </c>
      <c r="F19353" s="1">
        <v>2</v>
      </c>
      <c r="G19353" s="1" t="s">
        <v>32</v>
      </c>
      <c r="H19353" s="4" t="str">
        <f>HYPERLINK("https://portal.gdc.cancer.gov/cases/3cdbf331-991d-41cb-a694-a2aa95c4aa26","TCGA-2G-AAGW-01A")</f>
        <v>TCGA-2G-AAGW-01A</v>
      </c>
      <c r="I19353" t="s">
        <v>319</v>
      </c>
      <c r="J19353" t="s">
        <v>582</v>
      </c>
      <c r="K19353" t="s">
        <v>33</v>
      </c>
      <c r="L19353" t="s">
        <v>321</v>
      </c>
      <c r="N19353" t="s">
        <v>29</v>
      </c>
    </row>
    <row r="19354" spans="1:14">
      <c r="A19354" s="4" t="str">
        <f t="shared" si="1345"/>
        <v>EXP00442</v>
      </c>
      <c r="B19354" s="3" t="s">
        <v>66</v>
      </c>
      <c r="C19354" s="4" t="str">
        <f t="shared" si="1346"/>
        <v>TCGA-TGCT</v>
      </c>
      <c r="D19354" s="1" t="s">
        <v>493</v>
      </c>
      <c r="E19354" t="s">
        <v>581</v>
      </c>
      <c r="F19354" s="1">
        <v>2</v>
      </c>
      <c r="G19354" s="1" t="s">
        <v>32</v>
      </c>
      <c r="H19354" s="4" t="str">
        <f>HYPERLINK("https://portal.gdc.cancer.gov/cases/9ed4368b-ac80-419e-b6ad-1c70d56ef4e7","TCGA-2G-AAGX-01A")</f>
        <v>TCGA-2G-AAGX-01A</v>
      </c>
      <c r="I19354" t="s">
        <v>319</v>
      </c>
      <c r="J19354" t="s">
        <v>582</v>
      </c>
      <c r="K19354" t="s">
        <v>33</v>
      </c>
      <c r="L19354" t="s">
        <v>321</v>
      </c>
      <c r="N19354" t="s">
        <v>29</v>
      </c>
    </row>
    <row r="19355" spans="1:14">
      <c r="A19355" s="4" t="str">
        <f t="shared" si="1345"/>
        <v>EXP00442</v>
      </c>
      <c r="B19355" s="3" t="s">
        <v>66</v>
      </c>
      <c r="C19355" s="4" t="str">
        <f t="shared" si="1346"/>
        <v>TCGA-TGCT</v>
      </c>
      <c r="D19355" s="1" t="s">
        <v>493</v>
      </c>
      <c r="E19355" t="s">
        <v>581</v>
      </c>
      <c r="F19355" s="1">
        <v>2</v>
      </c>
      <c r="G19355" s="1" t="s">
        <v>32</v>
      </c>
      <c r="H19355" s="4" t="str">
        <f>HYPERLINK("https://portal.gdc.cancer.gov/cases/24718e25-4434-4054-861b-0b3e63fe506a","TCGA-2G-AAGY-01A")</f>
        <v>TCGA-2G-AAGY-01A</v>
      </c>
      <c r="I19355" t="s">
        <v>319</v>
      </c>
      <c r="J19355" t="s">
        <v>582</v>
      </c>
      <c r="K19355" t="s">
        <v>33</v>
      </c>
      <c r="L19355" t="s">
        <v>321</v>
      </c>
      <c r="N19355" t="s">
        <v>29</v>
      </c>
    </row>
    <row r="19356" spans="1:14">
      <c r="A19356" s="4" t="str">
        <f t="shared" si="1345"/>
        <v>EXP00442</v>
      </c>
      <c r="B19356" s="3" t="s">
        <v>66</v>
      </c>
      <c r="C19356" s="4" t="str">
        <f t="shared" si="1346"/>
        <v>TCGA-TGCT</v>
      </c>
      <c r="D19356" s="1" t="s">
        <v>493</v>
      </c>
      <c r="E19356" t="s">
        <v>581</v>
      </c>
      <c r="F19356" s="1">
        <v>2</v>
      </c>
      <c r="G19356" s="1" t="s">
        <v>32</v>
      </c>
      <c r="H19356" s="4" t="str">
        <f>HYPERLINK("https://portal.gdc.cancer.gov/cases/0cf24a4b-66af-454b-9e74-715cff8b73d4","TCGA-2G-AAGZ-01A")</f>
        <v>TCGA-2G-AAGZ-01A</v>
      </c>
      <c r="I19356" t="s">
        <v>319</v>
      </c>
      <c r="J19356" t="s">
        <v>582</v>
      </c>
      <c r="K19356" t="s">
        <v>33</v>
      </c>
      <c r="L19356" t="s">
        <v>321</v>
      </c>
      <c r="N19356" t="s">
        <v>29</v>
      </c>
    </row>
    <row r="19357" spans="1:14">
      <c r="A19357" s="4" t="str">
        <f t="shared" si="1345"/>
        <v>EXP00442</v>
      </c>
      <c r="B19357" s="3" t="s">
        <v>66</v>
      </c>
      <c r="C19357" s="4" t="str">
        <f t="shared" si="1346"/>
        <v>TCGA-TGCT</v>
      </c>
      <c r="D19357" s="1" t="s">
        <v>493</v>
      </c>
      <c r="E19357" t="s">
        <v>581</v>
      </c>
      <c r="F19357" s="1">
        <v>2</v>
      </c>
      <c r="G19357" s="1" t="s">
        <v>32</v>
      </c>
      <c r="H19357" s="4" t="str">
        <f>HYPERLINK("https://portal.gdc.cancer.gov/cases/d0f2103b-a525-4ab4-a476-df21623e756c","TCGA-2G-AAH0-01A")</f>
        <v>TCGA-2G-AAH0-01A</v>
      </c>
      <c r="I19357" t="s">
        <v>319</v>
      </c>
      <c r="J19357" t="s">
        <v>582</v>
      </c>
      <c r="K19357" t="s">
        <v>33</v>
      </c>
      <c r="L19357" t="s">
        <v>321</v>
      </c>
      <c r="N19357" t="s">
        <v>29</v>
      </c>
    </row>
    <row r="19358" spans="1:14">
      <c r="A19358" s="4" t="str">
        <f t="shared" si="1345"/>
        <v>EXP00442</v>
      </c>
      <c r="B19358" s="3" t="s">
        <v>66</v>
      </c>
      <c r="C19358" s="4" t="str">
        <f t="shared" si="1346"/>
        <v>TCGA-TGCT</v>
      </c>
      <c r="D19358" s="1" t="s">
        <v>493</v>
      </c>
      <c r="E19358" t="s">
        <v>581</v>
      </c>
      <c r="F19358" s="1">
        <v>2</v>
      </c>
      <c r="G19358" s="1" t="s">
        <v>32</v>
      </c>
      <c r="H19358" s="4" t="str">
        <f>HYPERLINK("https://portal.gdc.cancer.gov/cases/287fc873-3f50-4b7d-89eb-ebbf858ddfcf","TCGA-2G-AAH2-01A")</f>
        <v>TCGA-2G-AAH2-01A</v>
      </c>
      <c r="I19358" t="s">
        <v>319</v>
      </c>
      <c r="J19358" t="s">
        <v>582</v>
      </c>
      <c r="K19358" t="s">
        <v>33</v>
      </c>
      <c r="L19358" t="s">
        <v>321</v>
      </c>
      <c r="N19358" t="s">
        <v>29</v>
      </c>
    </row>
    <row r="19359" spans="1:14">
      <c r="A19359" s="4" t="str">
        <f t="shared" si="1345"/>
        <v>EXP00442</v>
      </c>
      <c r="B19359" s="3" t="s">
        <v>66</v>
      </c>
      <c r="C19359" s="4" t="str">
        <f t="shared" si="1346"/>
        <v>TCGA-TGCT</v>
      </c>
      <c r="D19359" s="1" t="s">
        <v>493</v>
      </c>
      <c r="E19359" t="s">
        <v>581</v>
      </c>
      <c r="F19359" s="1">
        <v>2</v>
      </c>
      <c r="G19359" s="1" t="s">
        <v>32</v>
      </c>
      <c r="H19359" s="4" t="str">
        <f>HYPERLINK("https://portal.gdc.cancer.gov/cases/e089ebef-a48e-43d1-a21b-000d820453ef","TCGA-2G-AAH3-01A")</f>
        <v>TCGA-2G-AAH3-01A</v>
      </c>
      <c r="I19359" t="s">
        <v>319</v>
      </c>
      <c r="J19359" t="s">
        <v>582</v>
      </c>
      <c r="K19359" t="s">
        <v>33</v>
      </c>
      <c r="L19359" t="s">
        <v>321</v>
      </c>
      <c r="N19359" t="s">
        <v>29</v>
      </c>
    </row>
    <row r="19360" spans="1:14">
      <c r="A19360" s="4" t="str">
        <f t="shared" si="1345"/>
        <v>EXP00442</v>
      </c>
      <c r="B19360" s="3" t="s">
        <v>66</v>
      </c>
      <c r="C19360" s="4" t="str">
        <f t="shared" si="1346"/>
        <v>TCGA-TGCT</v>
      </c>
      <c r="D19360" s="1" t="s">
        <v>493</v>
      </c>
      <c r="E19360" t="s">
        <v>581</v>
      </c>
      <c r="F19360" s="1">
        <v>2</v>
      </c>
      <c r="G19360" s="1" t="s">
        <v>32</v>
      </c>
      <c r="H19360" s="4" t="str">
        <f>HYPERLINK("https://portal.gdc.cancer.gov/cases/d1e7a280-963a-48b0-b6fb-1acf7c1a435e","TCGA-2G-AAH4-01A")</f>
        <v>TCGA-2G-AAH4-01A</v>
      </c>
      <c r="I19360" t="s">
        <v>319</v>
      </c>
      <c r="J19360" t="s">
        <v>582</v>
      </c>
      <c r="K19360" t="s">
        <v>33</v>
      </c>
      <c r="L19360" t="s">
        <v>321</v>
      </c>
      <c r="N19360" t="s">
        <v>29</v>
      </c>
    </row>
    <row r="19361" spans="1:14">
      <c r="A19361" s="4" t="str">
        <f t="shared" si="1345"/>
        <v>EXP00442</v>
      </c>
      <c r="B19361" s="3" t="s">
        <v>66</v>
      </c>
      <c r="C19361" s="4" t="str">
        <f t="shared" si="1346"/>
        <v>TCGA-TGCT</v>
      </c>
      <c r="D19361" s="1" t="s">
        <v>493</v>
      </c>
      <c r="E19361" t="s">
        <v>581</v>
      </c>
      <c r="F19361" s="1">
        <v>2</v>
      </c>
      <c r="G19361" s="1" t="s">
        <v>32</v>
      </c>
      <c r="H19361" s="4" t="str">
        <f>HYPERLINK("https://portal.gdc.cancer.gov/cases/6dfea807-028d-4ee3-991a-6c2607a8c8df","TCGA-2G-AAH8-01A")</f>
        <v>TCGA-2G-AAH8-01A</v>
      </c>
      <c r="I19361" t="s">
        <v>319</v>
      </c>
      <c r="J19361" t="s">
        <v>582</v>
      </c>
      <c r="K19361" t="s">
        <v>33</v>
      </c>
      <c r="L19361" t="s">
        <v>321</v>
      </c>
      <c r="N19361" t="s">
        <v>29</v>
      </c>
    </row>
    <row r="19362" spans="1:14">
      <c r="A19362" s="4" t="str">
        <f t="shared" si="1345"/>
        <v>EXP00442</v>
      </c>
      <c r="B19362" s="3" t="s">
        <v>66</v>
      </c>
      <c r="C19362" s="4" t="str">
        <f t="shared" si="1346"/>
        <v>TCGA-TGCT</v>
      </c>
      <c r="D19362" s="1" t="s">
        <v>493</v>
      </c>
      <c r="E19362" t="s">
        <v>581</v>
      </c>
      <c r="F19362" s="1">
        <v>2</v>
      </c>
      <c r="G19362" s="1" t="s">
        <v>32</v>
      </c>
      <c r="H19362" s="4" t="str">
        <f>HYPERLINK("https://portal.gdc.cancer.gov/cases/cbf26a55-e2d4-4c90-b7eb-b8161afa9de8","TCGA-2G-AAHA-01A")</f>
        <v>TCGA-2G-AAHA-01A</v>
      </c>
      <c r="I19362" t="s">
        <v>319</v>
      </c>
      <c r="J19362" t="s">
        <v>582</v>
      </c>
      <c r="K19362" t="s">
        <v>33</v>
      </c>
      <c r="L19362" t="s">
        <v>321</v>
      </c>
      <c r="N19362" t="s">
        <v>29</v>
      </c>
    </row>
    <row r="19363" spans="1:14">
      <c r="A19363" s="4" t="str">
        <f t="shared" si="1345"/>
        <v>EXP00442</v>
      </c>
      <c r="B19363" s="3" t="s">
        <v>66</v>
      </c>
      <c r="C19363" s="4" t="str">
        <f t="shared" si="1346"/>
        <v>TCGA-TGCT</v>
      </c>
      <c r="D19363" s="1" t="s">
        <v>493</v>
      </c>
      <c r="E19363" t="s">
        <v>581</v>
      </c>
      <c r="F19363" s="1">
        <v>2</v>
      </c>
      <c r="G19363" s="1" t="s">
        <v>32</v>
      </c>
      <c r="H19363" s="4" t="str">
        <f>HYPERLINK("https://portal.gdc.cancer.gov/cases/a18378cd-06e4-44ce-9aa5-d78986bcfe32","TCGA-2G-AAHC-01A")</f>
        <v>TCGA-2G-AAHC-01A</v>
      </c>
      <c r="I19363" t="s">
        <v>319</v>
      </c>
      <c r="J19363" t="s">
        <v>582</v>
      </c>
      <c r="K19363" t="s">
        <v>33</v>
      </c>
      <c r="L19363" t="s">
        <v>321</v>
      </c>
      <c r="N19363" t="s">
        <v>29</v>
      </c>
    </row>
    <row r="19364" spans="1:14">
      <c r="A19364" s="4" t="str">
        <f t="shared" si="1345"/>
        <v>EXP00442</v>
      </c>
      <c r="B19364" s="3" t="s">
        <v>66</v>
      </c>
      <c r="C19364" s="4" t="str">
        <f t="shared" si="1346"/>
        <v>TCGA-TGCT</v>
      </c>
      <c r="D19364" s="1" t="s">
        <v>493</v>
      </c>
      <c r="E19364" t="s">
        <v>581</v>
      </c>
      <c r="F19364" s="1">
        <v>2</v>
      </c>
      <c r="G19364" s="1" t="s">
        <v>32</v>
      </c>
      <c r="H19364" s="4" t="str">
        <f>HYPERLINK("https://portal.gdc.cancer.gov/cases/f5f4b937-8b81-4be5-b93e-b3224e357c15","TCGA-2G-AAHG-01A")</f>
        <v>TCGA-2G-AAHG-01A</v>
      </c>
      <c r="I19364" t="s">
        <v>319</v>
      </c>
      <c r="J19364" t="s">
        <v>582</v>
      </c>
      <c r="K19364" t="s">
        <v>33</v>
      </c>
      <c r="L19364" t="s">
        <v>321</v>
      </c>
      <c r="N19364" t="s">
        <v>29</v>
      </c>
    </row>
    <row r="19365" spans="1:14">
      <c r="A19365" s="4" t="str">
        <f t="shared" si="1345"/>
        <v>EXP00442</v>
      </c>
      <c r="B19365" s="3" t="s">
        <v>66</v>
      </c>
      <c r="C19365" s="4" t="str">
        <f t="shared" si="1346"/>
        <v>TCGA-TGCT</v>
      </c>
      <c r="D19365" s="1" t="s">
        <v>493</v>
      </c>
      <c r="E19365" t="s">
        <v>581</v>
      </c>
      <c r="F19365" s="1">
        <v>2</v>
      </c>
      <c r="G19365" s="1" t="s">
        <v>32</v>
      </c>
      <c r="H19365" s="4" t="str">
        <f>HYPERLINK("https://portal.gdc.cancer.gov/cases/bac49a26-1556-45b8-8729-a05df52623d8","TCGA-2G-AAHL-01A")</f>
        <v>TCGA-2G-AAHL-01A</v>
      </c>
      <c r="I19365" t="s">
        <v>319</v>
      </c>
      <c r="J19365" t="s">
        <v>582</v>
      </c>
      <c r="K19365" t="s">
        <v>33</v>
      </c>
      <c r="L19365" t="s">
        <v>321</v>
      </c>
      <c r="N19365" t="s">
        <v>29</v>
      </c>
    </row>
    <row r="19366" spans="1:14">
      <c r="A19366" s="4" t="str">
        <f t="shared" si="1345"/>
        <v>EXP00442</v>
      </c>
      <c r="B19366" s="3" t="s">
        <v>66</v>
      </c>
      <c r="C19366" s="4" t="str">
        <f t="shared" si="1346"/>
        <v>TCGA-TGCT</v>
      </c>
      <c r="D19366" s="1" t="s">
        <v>493</v>
      </c>
      <c r="E19366" t="s">
        <v>581</v>
      </c>
      <c r="F19366" s="1">
        <v>2</v>
      </c>
      <c r="G19366" s="1" t="s">
        <v>32</v>
      </c>
      <c r="H19366" s="4" t="str">
        <f>HYPERLINK("https://portal.gdc.cancer.gov/cases/c8744498-5d0e-4090-a6f1-c84aa6bb2bcb","TCGA-2G-AAHN-01A")</f>
        <v>TCGA-2G-AAHN-01A</v>
      </c>
      <c r="I19366" t="s">
        <v>319</v>
      </c>
      <c r="J19366" t="s">
        <v>582</v>
      </c>
      <c r="K19366" t="s">
        <v>33</v>
      </c>
      <c r="L19366" t="s">
        <v>321</v>
      </c>
      <c r="N19366" t="s">
        <v>29</v>
      </c>
    </row>
    <row r="19367" spans="1:14">
      <c r="A19367" s="4" t="str">
        <f t="shared" si="1345"/>
        <v>EXP00442</v>
      </c>
      <c r="B19367" s="3" t="s">
        <v>66</v>
      </c>
      <c r="C19367" s="4" t="str">
        <f t="shared" si="1346"/>
        <v>TCGA-TGCT</v>
      </c>
      <c r="D19367" s="1" t="s">
        <v>493</v>
      </c>
      <c r="E19367" t="s">
        <v>581</v>
      </c>
      <c r="F19367" s="1">
        <v>2</v>
      </c>
      <c r="G19367" s="1" t="s">
        <v>32</v>
      </c>
      <c r="H19367" s="4" t="str">
        <f>HYPERLINK("https://portal.gdc.cancer.gov/cases/d7d793f6-eaea-4dd3-8237-c2c02b042340","TCGA-2G-AAHP-01A")</f>
        <v>TCGA-2G-AAHP-01A</v>
      </c>
      <c r="I19367" t="s">
        <v>319</v>
      </c>
      <c r="J19367" t="s">
        <v>582</v>
      </c>
      <c r="K19367" t="s">
        <v>33</v>
      </c>
      <c r="L19367" t="s">
        <v>321</v>
      </c>
      <c r="N19367" t="s">
        <v>29</v>
      </c>
    </row>
    <row r="19368" spans="1:14">
      <c r="A19368" s="4" t="str">
        <f t="shared" si="1345"/>
        <v>EXP00442</v>
      </c>
      <c r="B19368" s="3" t="s">
        <v>66</v>
      </c>
      <c r="C19368" s="4" t="str">
        <f t="shared" si="1346"/>
        <v>TCGA-TGCT</v>
      </c>
      <c r="D19368" s="1" t="s">
        <v>493</v>
      </c>
      <c r="E19368" t="s">
        <v>581</v>
      </c>
      <c r="F19368" s="1">
        <v>2</v>
      </c>
      <c r="G19368" s="1" t="s">
        <v>32</v>
      </c>
      <c r="H19368" s="4" t="str">
        <f>HYPERLINK("https://portal.gdc.cancer.gov/cases/905c998d-4219-46ef-9906-8e92d7416794","TCGA-2G-AAHT-01A")</f>
        <v>TCGA-2G-AAHT-01A</v>
      </c>
      <c r="I19368" t="s">
        <v>319</v>
      </c>
      <c r="J19368" t="s">
        <v>582</v>
      </c>
      <c r="K19368" t="s">
        <v>33</v>
      </c>
      <c r="L19368" t="s">
        <v>321</v>
      </c>
      <c r="N19368" t="s">
        <v>29</v>
      </c>
    </row>
    <row r="19369" spans="1:14">
      <c r="A19369" s="4" t="str">
        <f t="shared" si="1345"/>
        <v>EXP00442</v>
      </c>
      <c r="B19369" s="3" t="s">
        <v>66</v>
      </c>
      <c r="C19369" s="4" t="str">
        <f t="shared" si="1346"/>
        <v>TCGA-TGCT</v>
      </c>
      <c r="D19369" s="1" t="s">
        <v>493</v>
      </c>
      <c r="E19369" t="s">
        <v>581</v>
      </c>
      <c r="F19369" s="1">
        <v>2</v>
      </c>
      <c r="G19369" s="1" t="s">
        <v>32</v>
      </c>
      <c r="H19369" s="4" t="str">
        <f>HYPERLINK("https://portal.gdc.cancer.gov/cases/9c947fba-e570-4a4b-9d16-9496dae1ee2e","TCGA-2G-AAKD-01A")</f>
        <v>TCGA-2G-AAKD-01A</v>
      </c>
      <c r="I19369" t="s">
        <v>319</v>
      </c>
      <c r="J19369" t="s">
        <v>582</v>
      </c>
      <c r="K19369" t="s">
        <v>33</v>
      </c>
      <c r="L19369" t="s">
        <v>321</v>
      </c>
      <c r="N19369" t="s">
        <v>29</v>
      </c>
    </row>
    <row r="19370" spans="1:14">
      <c r="A19370" s="4" t="str">
        <f t="shared" si="1345"/>
        <v>EXP00442</v>
      </c>
      <c r="B19370" s="3" t="s">
        <v>66</v>
      </c>
      <c r="C19370" s="4" t="str">
        <f t="shared" si="1346"/>
        <v>TCGA-TGCT</v>
      </c>
      <c r="D19370" s="1" t="s">
        <v>493</v>
      </c>
      <c r="E19370" t="s">
        <v>581</v>
      </c>
      <c r="F19370" s="1">
        <v>2</v>
      </c>
      <c r="G19370" s="1" t="s">
        <v>32</v>
      </c>
      <c r="H19370" s="4" t="str">
        <f>HYPERLINK("https://portal.gdc.cancer.gov/cases/43cc3c60-f0a6-4b44-bd7b-8ec4da71991f","TCGA-2G-AAKG-01A")</f>
        <v>TCGA-2G-AAKG-01A</v>
      </c>
      <c r="I19370" t="s">
        <v>319</v>
      </c>
      <c r="J19370" t="s">
        <v>582</v>
      </c>
      <c r="K19370" t="s">
        <v>33</v>
      </c>
      <c r="L19370" t="s">
        <v>321</v>
      </c>
      <c r="N19370" t="s">
        <v>29</v>
      </c>
    </row>
    <row r="19371" spans="1:14">
      <c r="A19371" s="4" t="str">
        <f t="shared" si="1345"/>
        <v>EXP00442</v>
      </c>
      <c r="B19371" s="3" t="s">
        <v>66</v>
      </c>
      <c r="C19371" s="4" t="str">
        <f t="shared" si="1346"/>
        <v>TCGA-TGCT</v>
      </c>
      <c r="D19371" s="1" t="s">
        <v>493</v>
      </c>
      <c r="E19371" t="s">
        <v>581</v>
      </c>
      <c r="F19371" s="1">
        <v>2</v>
      </c>
      <c r="G19371" s="1" t="s">
        <v>32</v>
      </c>
      <c r="H19371" s="4" t="str">
        <f>HYPERLINK("https://portal.gdc.cancer.gov/cases/c50d0ef9-1cc7-4bad-b1de-aa866276b977","TCGA-2G-AAKH-01A")</f>
        <v>TCGA-2G-AAKH-01A</v>
      </c>
      <c r="I19371" t="s">
        <v>319</v>
      </c>
      <c r="J19371" t="s">
        <v>582</v>
      </c>
      <c r="K19371" t="s">
        <v>33</v>
      </c>
      <c r="L19371" t="s">
        <v>321</v>
      </c>
      <c r="N19371" t="s">
        <v>29</v>
      </c>
    </row>
    <row r="19372" spans="1:14">
      <c r="A19372" s="4" t="str">
        <f t="shared" si="1345"/>
        <v>EXP00442</v>
      </c>
      <c r="B19372" s="3" t="s">
        <v>66</v>
      </c>
      <c r="C19372" s="4" t="str">
        <f t="shared" si="1346"/>
        <v>TCGA-TGCT</v>
      </c>
      <c r="D19372" s="1" t="s">
        <v>493</v>
      </c>
      <c r="E19372" t="s">
        <v>581</v>
      </c>
      <c r="F19372" s="1">
        <v>2</v>
      </c>
      <c r="G19372" s="1" t="s">
        <v>32</v>
      </c>
      <c r="H19372" s="4" t="str">
        <f>HYPERLINK("https://portal.gdc.cancer.gov/cases/cf81c2f5-ac98-4423-9d80-150ce436e003","TCGA-2G-AAKL-01A")</f>
        <v>TCGA-2G-AAKL-01A</v>
      </c>
      <c r="I19372" t="s">
        <v>319</v>
      </c>
      <c r="J19372" t="s">
        <v>582</v>
      </c>
      <c r="K19372" t="s">
        <v>33</v>
      </c>
      <c r="L19372" t="s">
        <v>321</v>
      </c>
      <c r="N19372" t="s">
        <v>29</v>
      </c>
    </row>
    <row r="19373" spans="1:14">
      <c r="A19373" s="4" t="str">
        <f t="shared" si="1345"/>
        <v>EXP00442</v>
      </c>
      <c r="B19373" s="3" t="s">
        <v>66</v>
      </c>
      <c r="C19373" s="4" t="str">
        <f t="shared" si="1346"/>
        <v>TCGA-TGCT</v>
      </c>
      <c r="D19373" s="1" t="s">
        <v>493</v>
      </c>
      <c r="E19373" t="s">
        <v>581</v>
      </c>
      <c r="F19373" s="1">
        <v>2</v>
      </c>
      <c r="G19373" s="1" t="s">
        <v>32</v>
      </c>
      <c r="H19373" s="4" t="str">
        <f>HYPERLINK("https://portal.gdc.cancer.gov/cases/a30fbec8-68c1-41ed-984f-8476f1984085","TCGA-2G-AAKM-01A")</f>
        <v>TCGA-2G-AAKM-01A</v>
      </c>
      <c r="I19373" t="s">
        <v>319</v>
      </c>
      <c r="J19373" t="s">
        <v>582</v>
      </c>
      <c r="K19373" t="s">
        <v>33</v>
      </c>
      <c r="L19373" t="s">
        <v>321</v>
      </c>
      <c r="N19373" t="s">
        <v>29</v>
      </c>
    </row>
    <row r="19374" spans="1:14">
      <c r="A19374" s="4" t="str">
        <f t="shared" si="1345"/>
        <v>EXP00442</v>
      </c>
      <c r="B19374" s="3" t="s">
        <v>66</v>
      </c>
      <c r="C19374" s="4" t="str">
        <f t="shared" si="1346"/>
        <v>TCGA-TGCT</v>
      </c>
      <c r="D19374" s="1" t="s">
        <v>493</v>
      </c>
      <c r="E19374" t="s">
        <v>581</v>
      </c>
      <c r="F19374" s="1">
        <v>2</v>
      </c>
      <c r="G19374" s="1" t="s">
        <v>32</v>
      </c>
      <c r="H19374" s="4" t="str">
        <f>HYPERLINK("https://portal.gdc.cancer.gov/cases/3f0a06d1-4c45-46b8-a06d-036c8998342c","TCGA-2G-AAL5-01A")</f>
        <v>TCGA-2G-AAL5-01A</v>
      </c>
      <c r="I19374" t="s">
        <v>319</v>
      </c>
      <c r="J19374" t="s">
        <v>582</v>
      </c>
      <c r="K19374" t="s">
        <v>33</v>
      </c>
      <c r="L19374" t="s">
        <v>321</v>
      </c>
      <c r="N19374" t="s">
        <v>29</v>
      </c>
    </row>
    <row r="19375" spans="1:14">
      <c r="A19375" s="4" t="str">
        <f t="shared" ref="A19375:A19406" si="1347">HYPERLINK("http://hcmdb.i-sanger.com/experiment/details/experiment_id/EXP00442","EXP00442")</f>
        <v>EXP00442</v>
      </c>
      <c r="B19375" s="3" t="s">
        <v>66</v>
      </c>
      <c r="C19375" s="4" t="str">
        <f t="shared" ref="C19375:C19406" si="1348">HYPERLINK("https://portal.gdc.cancer.gov/projects/TCGA-TGCT","TCGA-TGCT")</f>
        <v>TCGA-TGCT</v>
      </c>
      <c r="D19375" s="1" t="s">
        <v>493</v>
      </c>
      <c r="E19375" t="s">
        <v>581</v>
      </c>
      <c r="F19375" s="1">
        <v>2</v>
      </c>
      <c r="G19375" s="1" t="s">
        <v>32</v>
      </c>
      <c r="H19375" s="4" t="str">
        <f>HYPERLINK("https://portal.gdc.cancer.gov/cases/18e7182d-16e8-4eff-96ec-56ff241810d3","TCGA-2G-AAL7-01A")</f>
        <v>TCGA-2G-AAL7-01A</v>
      </c>
      <c r="I19375" t="s">
        <v>319</v>
      </c>
      <c r="J19375" t="s">
        <v>582</v>
      </c>
      <c r="K19375" t="s">
        <v>33</v>
      </c>
      <c r="L19375" t="s">
        <v>321</v>
      </c>
      <c r="N19375" t="s">
        <v>29</v>
      </c>
    </row>
    <row r="19376" spans="1:14">
      <c r="A19376" s="4" t="str">
        <f t="shared" si="1347"/>
        <v>EXP00442</v>
      </c>
      <c r="B19376" s="3" t="s">
        <v>66</v>
      </c>
      <c r="C19376" s="4" t="str">
        <f t="shared" si="1348"/>
        <v>TCGA-TGCT</v>
      </c>
      <c r="D19376" s="1" t="s">
        <v>493</v>
      </c>
      <c r="E19376" t="s">
        <v>581</v>
      </c>
      <c r="F19376" s="1">
        <v>2</v>
      </c>
      <c r="G19376" s="1" t="s">
        <v>32</v>
      </c>
      <c r="H19376" s="4" t="str">
        <f>HYPERLINK("https://portal.gdc.cancer.gov/cases/c3515fef-c079-4be0-9005-2fc8a0bdeb39","TCGA-2G-AALP-01A")</f>
        <v>TCGA-2G-AALP-01A</v>
      </c>
      <c r="I19376" t="s">
        <v>319</v>
      </c>
      <c r="J19376" t="s">
        <v>582</v>
      </c>
      <c r="K19376" t="s">
        <v>33</v>
      </c>
      <c r="L19376" t="s">
        <v>321</v>
      </c>
      <c r="N19376" t="s">
        <v>29</v>
      </c>
    </row>
    <row r="19377" spans="1:14">
      <c r="A19377" s="4" t="str">
        <f t="shared" si="1347"/>
        <v>EXP00442</v>
      </c>
      <c r="B19377" s="3" t="s">
        <v>66</v>
      </c>
      <c r="C19377" s="4" t="str">
        <f t="shared" si="1348"/>
        <v>TCGA-TGCT</v>
      </c>
      <c r="D19377" s="1" t="s">
        <v>493</v>
      </c>
      <c r="E19377" t="s">
        <v>581</v>
      </c>
      <c r="F19377" s="1">
        <v>2</v>
      </c>
      <c r="G19377" s="1" t="s">
        <v>32</v>
      </c>
      <c r="H19377" s="4" t="str">
        <f>HYPERLINK("https://portal.gdc.cancer.gov/cases/0556e2d9-4c92-4293-ad66-2d7d24d5d213","TCGA-2X-A9D5-01A")</f>
        <v>TCGA-2X-A9D5-01A</v>
      </c>
      <c r="I19377" t="s">
        <v>319</v>
      </c>
      <c r="J19377" t="s">
        <v>582</v>
      </c>
      <c r="K19377" t="s">
        <v>33</v>
      </c>
      <c r="L19377" t="s">
        <v>321</v>
      </c>
      <c r="N19377" t="s">
        <v>29</v>
      </c>
    </row>
    <row r="19378" spans="1:14">
      <c r="A19378" s="4" t="str">
        <f t="shared" si="1347"/>
        <v>EXP00442</v>
      </c>
      <c r="B19378" s="3" t="s">
        <v>66</v>
      </c>
      <c r="C19378" s="4" t="str">
        <f t="shared" si="1348"/>
        <v>TCGA-TGCT</v>
      </c>
      <c r="D19378" s="1" t="s">
        <v>493</v>
      </c>
      <c r="E19378" t="s">
        <v>581</v>
      </c>
      <c r="F19378" s="1">
        <v>2</v>
      </c>
      <c r="G19378" s="1" t="s">
        <v>32</v>
      </c>
      <c r="H19378" s="4" t="str">
        <f>HYPERLINK("https://portal.gdc.cancer.gov/cases/1b1cae14-ad83-4d2a-b152-504392900e30","TCGA-2X-A9D6-01A")</f>
        <v>TCGA-2X-A9D6-01A</v>
      </c>
      <c r="I19378" t="s">
        <v>319</v>
      </c>
      <c r="J19378" t="s">
        <v>582</v>
      </c>
      <c r="K19378" t="s">
        <v>33</v>
      </c>
      <c r="L19378" t="s">
        <v>321</v>
      </c>
      <c r="N19378" t="s">
        <v>29</v>
      </c>
    </row>
    <row r="19379" spans="1:14">
      <c r="A19379" s="4" t="str">
        <f t="shared" si="1347"/>
        <v>EXP00442</v>
      </c>
      <c r="B19379" s="3" t="s">
        <v>66</v>
      </c>
      <c r="C19379" s="4" t="str">
        <f t="shared" si="1348"/>
        <v>TCGA-TGCT</v>
      </c>
      <c r="D19379" s="1" t="s">
        <v>493</v>
      </c>
      <c r="E19379" t="s">
        <v>581</v>
      </c>
      <c r="F19379" s="1">
        <v>2</v>
      </c>
      <c r="G19379" s="1" t="s">
        <v>32</v>
      </c>
      <c r="H19379" s="4" t="str">
        <f>HYPERLINK("https://portal.gdc.cancer.gov/cases/d4749ab4-c2fb-4384-8576-97dda543357f","TCGA-4K-AA1G-01A")</f>
        <v>TCGA-4K-AA1G-01A</v>
      </c>
      <c r="I19379" t="s">
        <v>319</v>
      </c>
      <c r="J19379" t="s">
        <v>582</v>
      </c>
      <c r="K19379" t="s">
        <v>33</v>
      </c>
      <c r="L19379" t="s">
        <v>321</v>
      </c>
      <c r="N19379" t="s">
        <v>29</v>
      </c>
    </row>
    <row r="19380" spans="1:14">
      <c r="A19380" s="4" t="str">
        <f t="shared" si="1347"/>
        <v>EXP00442</v>
      </c>
      <c r="B19380" s="3" t="s">
        <v>66</v>
      </c>
      <c r="C19380" s="4" t="str">
        <f t="shared" si="1348"/>
        <v>TCGA-TGCT</v>
      </c>
      <c r="D19380" s="1" t="s">
        <v>493</v>
      </c>
      <c r="E19380" t="s">
        <v>581</v>
      </c>
      <c r="F19380" s="1">
        <v>2</v>
      </c>
      <c r="G19380" s="1" t="s">
        <v>32</v>
      </c>
      <c r="H19380" s="4" t="str">
        <f>HYPERLINK("https://portal.gdc.cancer.gov/cases/2a85e0e7-7829-4637-b2c9-3beb3aeb571e","TCGA-4K-AA1H-01A")</f>
        <v>TCGA-4K-AA1H-01A</v>
      </c>
      <c r="I19380" t="s">
        <v>319</v>
      </c>
      <c r="J19380" t="s">
        <v>582</v>
      </c>
      <c r="K19380" t="s">
        <v>33</v>
      </c>
      <c r="L19380" t="s">
        <v>321</v>
      </c>
      <c r="N19380" t="s">
        <v>29</v>
      </c>
    </row>
    <row r="19381" spans="1:14">
      <c r="A19381" s="4" t="str">
        <f t="shared" si="1347"/>
        <v>EXP00442</v>
      </c>
      <c r="B19381" s="3" t="s">
        <v>66</v>
      </c>
      <c r="C19381" s="4" t="str">
        <f t="shared" si="1348"/>
        <v>TCGA-TGCT</v>
      </c>
      <c r="D19381" s="1" t="s">
        <v>493</v>
      </c>
      <c r="E19381" t="s">
        <v>581</v>
      </c>
      <c r="F19381" s="1">
        <v>2</v>
      </c>
      <c r="G19381" s="1" t="s">
        <v>32</v>
      </c>
      <c r="H19381" s="4" t="str">
        <f>HYPERLINK("https://portal.gdc.cancer.gov/cases/e08bddcd-8ea5-4994-af6a-9fe9b7c93da4","TCGA-4K-AA1I-01A")</f>
        <v>TCGA-4K-AA1I-01A</v>
      </c>
      <c r="I19381" t="s">
        <v>319</v>
      </c>
      <c r="J19381" t="s">
        <v>582</v>
      </c>
      <c r="K19381" t="s">
        <v>33</v>
      </c>
      <c r="L19381" t="s">
        <v>321</v>
      </c>
      <c r="N19381" t="s">
        <v>29</v>
      </c>
    </row>
    <row r="19382" spans="1:14">
      <c r="A19382" s="4" t="str">
        <f t="shared" si="1347"/>
        <v>EXP00442</v>
      </c>
      <c r="B19382" s="3" t="s">
        <v>66</v>
      </c>
      <c r="C19382" s="4" t="str">
        <f t="shared" si="1348"/>
        <v>TCGA-TGCT</v>
      </c>
      <c r="D19382" s="1" t="s">
        <v>493</v>
      </c>
      <c r="E19382" t="s">
        <v>581</v>
      </c>
      <c r="F19382" s="1">
        <v>2</v>
      </c>
      <c r="G19382" s="1" t="s">
        <v>32</v>
      </c>
      <c r="H19382" s="4" t="str">
        <f>HYPERLINK("https://portal.gdc.cancer.gov/cases/588cc671-b7d3-492a-843b-f2e99f1e1109","TCGA-4K-AAAL-01A")</f>
        <v>TCGA-4K-AAAL-01A</v>
      </c>
      <c r="I19382" t="s">
        <v>319</v>
      </c>
      <c r="J19382" t="s">
        <v>582</v>
      </c>
      <c r="K19382" t="s">
        <v>33</v>
      </c>
      <c r="L19382" t="s">
        <v>321</v>
      </c>
      <c r="N19382" t="s">
        <v>29</v>
      </c>
    </row>
    <row r="19383" spans="1:14">
      <c r="A19383" s="4" t="str">
        <f t="shared" si="1347"/>
        <v>EXP00442</v>
      </c>
      <c r="B19383" s="3" t="s">
        <v>66</v>
      </c>
      <c r="C19383" s="4" t="str">
        <f t="shared" si="1348"/>
        <v>TCGA-TGCT</v>
      </c>
      <c r="D19383" s="1" t="s">
        <v>493</v>
      </c>
      <c r="E19383" t="s">
        <v>581</v>
      </c>
      <c r="F19383" s="1">
        <v>2</v>
      </c>
      <c r="G19383" s="1" t="s">
        <v>32</v>
      </c>
      <c r="H19383" s="4" t="str">
        <f>HYPERLINK("https://portal.gdc.cancer.gov/cases/646116c6-167e-46c8-b43e-87d2b885c676","TCGA-S6-A8JW-01A")</f>
        <v>TCGA-S6-A8JW-01A</v>
      </c>
      <c r="I19383" t="s">
        <v>319</v>
      </c>
      <c r="J19383" t="s">
        <v>582</v>
      </c>
      <c r="K19383" t="s">
        <v>33</v>
      </c>
      <c r="L19383" t="s">
        <v>321</v>
      </c>
      <c r="N19383" t="s">
        <v>29</v>
      </c>
    </row>
    <row r="19384" spans="1:14">
      <c r="A19384" s="4" t="str">
        <f t="shared" si="1347"/>
        <v>EXP00442</v>
      </c>
      <c r="B19384" s="3" t="s">
        <v>66</v>
      </c>
      <c r="C19384" s="4" t="str">
        <f t="shared" si="1348"/>
        <v>TCGA-TGCT</v>
      </c>
      <c r="D19384" s="1" t="s">
        <v>493</v>
      </c>
      <c r="E19384" t="s">
        <v>581</v>
      </c>
      <c r="F19384" s="1">
        <v>2</v>
      </c>
      <c r="G19384" s="1" t="s">
        <v>32</v>
      </c>
      <c r="H19384" s="4" t="str">
        <f>HYPERLINK("https://portal.gdc.cancer.gov/cases/e2e7d802-c59c-40bf-b3b5-5c3d3d4eb4fe","TCGA-S6-A8JX-01A")</f>
        <v>TCGA-S6-A8JX-01A</v>
      </c>
      <c r="I19384" t="s">
        <v>319</v>
      </c>
      <c r="J19384" t="s">
        <v>582</v>
      </c>
      <c r="K19384" t="s">
        <v>33</v>
      </c>
      <c r="L19384" t="s">
        <v>321</v>
      </c>
      <c r="N19384" t="s">
        <v>29</v>
      </c>
    </row>
    <row r="19385" spans="1:14">
      <c r="A19385" s="4" t="str">
        <f t="shared" si="1347"/>
        <v>EXP00442</v>
      </c>
      <c r="B19385" s="3" t="s">
        <v>66</v>
      </c>
      <c r="C19385" s="4" t="str">
        <f t="shared" si="1348"/>
        <v>TCGA-TGCT</v>
      </c>
      <c r="D19385" s="1" t="s">
        <v>493</v>
      </c>
      <c r="E19385" t="s">
        <v>581</v>
      </c>
      <c r="F19385" s="1">
        <v>2</v>
      </c>
      <c r="G19385" s="1" t="s">
        <v>32</v>
      </c>
      <c r="H19385" s="4" t="str">
        <f>HYPERLINK("https://portal.gdc.cancer.gov/cases/1d8829fa-246d-49e9-9905-566a785155c7","TCGA-S6-A8JY-01A")</f>
        <v>TCGA-S6-A8JY-01A</v>
      </c>
      <c r="I19385" t="s">
        <v>319</v>
      </c>
      <c r="J19385" t="s">
        <v>582</v>
      </c>
      <c r="K19385" t="s">
        <v>33</v>
      </c>
      <c r="L19385" t="s">
        <v>321</v>
      </c>
      <c r="N19385" t="s">
        <v>29</v>
      </c>
    </row>
    <row r="19386" spans="1:14">
      <c r="A19386" s="4" t="str">
        <f t="shared" si="1347"/>
        <v>EXP00442</v>
      </c>
      <c r="B19386" s="3" t="s">
        <v>66</v>
      </c>
      <c r="C19386" s="4" t="str">
        <f t="shared" si="1348"/>
        <v>TCGA-TGCT</v>
      </c>
      <c r="D19386" s="1" t="s">
        <v>493</v>
      </c>
      <c r="E19386" t="s">
        <v>581</v>
      </c>
      <c r="F19386" s="1">
        <v>2</v>
      </c>
      <c r="G19386" s="1" t="s">
        <v>32</v>
      </c>
      <c r="H19386" s="4" t="str">
        <f>HYPERLINK("https://portal.gdc.cancer.gov/cases/8b5bb660-c3c6-4ad6-9b32-e12d458b8ad7","TCGA-SB-A6J6-01A")</f>
        <v>TCGA-SB-A6J6-01A</v>
      </c>
      <c r="I19386" t="s">
        <v>319</v>
      </c>
      <c r="J19386" t="s">
        <v>582</v>
      </c>
      <c r="K19386" t="s">
        <v>33</v>
      </c>
      <c r="L19386" t="s">
        <v>321</v>
      </c>
      <c r="N19386" t="s">
        <v>29</v>
      </c>
    </row>
    <row r="19387" spans="1:14">
      <c r="A19387" s="4" t="str">
        <f t="shared" si="1347"/>
        <v>EXP00442</v>
      </c>
      <c r="B19387" s="3" t="s">
        <v>66</v>
      </c>
      <c r="C19387" s="4" t="str">
        <f t="shared" si="1348"/>
        <v>TCGA-TGCT</v>
      </c>
      <c r="D19387" s="1" t="s">
        <v>493</v>
      </c>
      <c r="E19387" t="s">
        <v>581</v>
      </c>
      <c r="F19387" s="1">
        <v>2</v>
      </c>
      <c r="G19387" s="1" t="s">
        <v>32</v>
      </c>
      <c r="H19387" s="4" t="str">
        <f>HYPERLINK("https://portal.gdc.cancer.gov/cases/730bf0e5-50a3-4bdd-90ef-bc6d932979ce","TCGA-SB-A76C-01A")</f>
        <v>TCGA-SB-A76C-01A</v>
      </c>
      <c r="I19387" t="s">
        <v>319</v>
      </c>
      <c r="J19387" t="s">
        <v>582</v>
      </c>
      <c r="K19387" t="s">
        <v>33</v>
      </c>
      <c r="L19387" t="s">
        <v>321</v>
      </c>
      <c r="N19387" t="s">
        <v>29</v>
      </c>
    </row>
    <row r="19388" spans="1:14">
      <c r="A19388" s="4" t="str">
        <f t="shared" si="1347"/>
        <v>EXP00442</v>
      </c>
      <c r="B19388" s="3" t="s">
        <v>66</v>
      </c>
      <c r="C19388" s="4" t="str">
        <f t="shared" si="1348"/>
        <v>TCGA-TGCT</v>
      </c>
      <c r="D19388" s="1" t="s">
        <v>493</v>
      </c>
      <c r="E19388" t="s">
        <v>581</v>
      </c>
      <c r="F19388" s="1">
        <v>2</v>
      </c>
      <c r="G19388" s="1" t="s">
        <v>32</v>
      </c>
      <c r="H19388" s="4" t="str">
        <f>HYPERLINK("https://portal.gdc.cancer.gov/cases/7b411b6f-a273-4ea0-b5c8-637520f1fe5f","TCGA-SN-A6IS-01A")</f>
        <v>TCGA-SN-A6IS-01A</v>
      </c>
      <c r="I19388" t="s">
        <v>319</v>
      </c>
      <c r="J19388" t="s">
        <v>582</v>
      </c>
      <c r="K19388" t="s">
        <v>33</v>
      </c>
      <c r="L19388" t="s">
        <v>321</v>
      </c>
      <c r="N19388" t="s">
        <v>29</v>
      </c>
    </row>
    <row r="19389" spans="1:14">
      <c r="A19389" s="4" t="str">
        <f t="shared" si="1347"/>
        <v>EXP00442</v>
      </c>
      <c r="B19389" s="3" t="s">
        <v>66</v>
      </c>
      <c r="C19389" s="4" t="str">
        <f t="shared" si="1348"/>
        <v>TCGA-TGCT</v>
      </c>
      <c r="D19389" s="1" t="s">
        <v>493</v>
      </c>
      <c r="E19389" t="s">
        <v>581</v>
      </c>
      <c r="F19389" s="1">
        <v>2</v>
      </c>
      <c r="G19389" s="1" t="s">
        <v>32</v>
      </c>
      <c r="H19389" s="4" t="str">
        <f>HYPERLINK("https://portal.gdc.cancer.gov/cases/4d20edf6-0c1d-4556-b3f5-9d95ceb47c2a","TCGA-SN-A84W-01A")</f>
        <v>TCGA-SN-A84W-01A</v>
      </c>
      <c r="I19389" t="s">
        <v>319</v>
      </c>
      <c r="J19389" t="s">
        <v>582</v>
      </c>
      <c r="K19389" t="s">
        <v>33</v>
      </c>
      <c r="L19389" t="s">
        <v>321</v>
      </c>
      <c r="N19389" t="s">
        <v>29</v>
      </c>
    </row>
    <row r="19390" spans="1:14">
      <c r="A19390" s="4" t="str">
        <f t="shared" si="1347"/>
        <v>EXP00442</v>
      </c>
      <c r="B19390" s="3" t="s">
        <v>66</v>
      </c>
      <c r="C19390" s="4" t="str">
        <f t="shared" si="1348"/>
        <v>TCGA-TGCT</v>
      </c>
      <c r="D19390" s="1" t="s">
        <v>493</v>
      </c>
      <c r="E19390" t="s">
        <v>581</v>
      </c>
      <c r="F19390" s="1">
        <v>2</v>
      </c>
      <c r="G19390" s="1" t="s">
        <v>32</v>
      </c>
      <c r="H19390" s="4" t="str">
        <f>HYPERLINK("https://portal.gdc.cancer.gov/cases/53670f27-e632-4e0e-be58-f5c6a66d967f","TCGA-SN-A84X-01A")</f>
        <v>TCGA-SN-A84X-01A</v>
      </c>
      <c r="I19390" t="s">
        <v>319</v>
      </c>
      <c r="J19390" t="s">
        <v>582</v>
      </c>
      <c r="K19390" t="s">
        <v>33</v>
      </c>
      <c r="L19390" t="s">
        <v>321</v>
      </c>
      <c r="N19390" t="s">
        <v>29</v>
      </c>
    </row>
    <row r="19391" spans="1:14">
      <c r="A19391" s="4" t="str">
        <f t="shared" si="1347"/>
        <v>EXP00442</v>
      </c>
      <c r="B19391" s="3" t="s">
        <v>66</v>
      </c>
      <c r="C19391" s="4" t="str">
        <f t="shared" si="1348"/>
        <v>TCGA-TGCT</v>
      </c>
      <c r="D19391" s="1" t="s">
        <v>493</v>
      </c>
      <c r="E19391" t="s">
        <v>581</v>
      </c>
      <c r="F19391" s="1">
        <v>2</v>
      </c>
      <c r="G19391" s="1" t="s">
        <v>32</v>
      </c>
      <c r="H19391" s="4" t="str">
        <f>HYPERLINK("https://portal.gdc.cancer.gov/cases/b8f0d793-c9ac-4964-aded-35bbd30b669b","TCGA-SN-A84Y-01A")</f>
        <v>TCGA-SN-A84Y-01A</v>
      </c>
      <c r="I19391" t="s">
        <v>319</v>
      </c>
      <c r="J19391" t="s">
        <v>582</v>
      </c>
      <c r="K19391" t="s">
        <v>33</v>
      </c>
      <c r="L19391" t="s">
        <v>321</v>
      </c>
      <c r="N19391" t="s">
        <v>29</v>
      </c>
    </row>
    <row r="19392" spans="1:14">
      <c r="A19392" s="4" t="str">
        <f t="shared" si="1347"/>
        <v>EXP00442</v>
      </c>
      <c r="B19392" s="3" t="s">
        <v>66</v>
      </c>
      <c r="C19392" s="4" t="str">
        <f t="shared" si="1348"/>
        <v>TCGA-TGCT</v>
      </c>
      <c r="D19392" s="1" t="s">
        <v>493</v>
      </c>
      <c r="E19392" t="s">
        <v>581</v>
      </c>
      <c r="F19392" s="1">
        <v>2</v>
      </c>
      <c r="G19392" s="1" t="s">
        <v>32</v>
      </c>
      <c r="H19392" s="4" t="str">
        <f>HYPERLINK("https://portal.gdc.cancer.gov/cases/e535d430-ad45-4df6-bccc-6ed718f4237a","TCGA-SO-A8JP-01A")</f>
        <v>TCGA-SO-A8JP-01A</v>
      </c>
      <c r="I19392" t="s">
        <v>319</v>
      </c>
      <c r="J19392" t="s">
        <v>582</v>
      </c>
      <c r="K19392" t="s">
        <v>33</v>
      </c>
      <c r="L19392" t="s">
        <v>321</v>
      </c>
      <c r="N19392" t="s">
        <v>29</v>
      </c>
    </row>
    <row r="19393" spans="1:14">
      <c r="A19393" s="4" t="str">
        <f t="shared" si="1347"/>
        <v>EXP00442</v>
      </c>
      <c r="B19393" s="3" t="s">
        <v>66</v>
      </c>
      <c r="C19393" s="4" t="str">
        <f t="shared" si="1348"/>
        <v>TCGA-TGCT</v>
      </c>
      <c r="D19393" s="1" t="s">
        <v>493</v>
      </c>
      <c r="E19393" t="s">
        <v>581</v>
      </c>
      <c r="F19393" s="1">
        <v>2</v>
      </c>
      <c r="G19393" s="1" t="s">
        <v>32</v>
      </c>
      <c r="H19393" s="4" t="str">
        <f>HYPERLINK("https://portal.gdc.cancer.gov/cases/074c58a6-7304-4f34-babc-c537da15d971","TCGA-VF-A8A8-01A")</f>
        <v>TCGA-VF-A8A8-01A</v>
      </c>
      <c r="I19393" t="s">
        <v>319</v>
      </c>
      <c r="J19393" t="s">
        <v>582</v>
      </c>
      <c r="K19393" t="s">
        <v>33</v>
      </c>
      <c r="L19393" t="s">
        <v>321</v>
      </c>
      <c r="N19393" t="s">
        <v>29</v>
      </c>
    </row>
    <row r="19394" spans="1:14">
      <c r="A19394" s="4" t="str">
        <f t="shared" si="1347"/>
        <v>EXP00442</v>
      </c>
      <c r="B19394" s="3" t="s">
        <v>66</v>
      </c>
      <c r="C19394" s="4" t="str">
        <f t="shared" si="1348"/>
        <v>TCGA-TGCT</v>
      </c>
      <c r="D19394" s="1" t="s">
        <v>493</v>
      </c>
      <c r="E19394" t="s">
        <v>581</v>
      </c>
      <c r="F19394" s="1">
        <v>2</v>
      </c>
      <c r="G19394" s="1" t="s">
        <v>32</v>
      </c>
      <c r="H19394" s="4" t="str">
        <f>HYPERLINK("https://portal.gdc.cancer.gov/cases/56ce11f3-4193-4314-9254-54bc514efbad","TCGA-VF-A8A9-01A")</f>
        <v>TCGA-VF-A8A9-01A</v>
      </c>
      <c r="I19394" t="s">
        <v>319</v>
      </c>
      <c r="J19394" t="s">
        <v>582</v>
      </c>
      <c r="K19394" t="s">
        <v>33</v>
      </c>
      <c r="L19394" t="s">
        <v>321</v>
      </c>
      <c r="N19394" t="s">
        <v>29</v>
      </c>
    </row>
    <row r="19395" spans="1:14">
      <c r="A19395" s="4" t="str">
        <f t="shared" si="1347"/>
        <v>EXP00442</v>
      </c>
      <c r="B19395" s="3" t="s">
        <v>66</v>
      </c>
      <c r="C19395" s="4" t="str">
        <f t="shared" si="1348"/>
        <v>TCGA-TGCT</v>
      </c>
      <c r="D19395" s="1" t="s">
        <v>493</v>
      </c>
      <c r="E19395" t="s">
        <v>581</v>
      </c>
      <c r="F19395" s="1">
        <v>2</v>
      </c>
      <c r="G19395" s="1" t="s">
        <v>32</v>
      </c>
      <c r="H19395" s="4" t="str">
        <f>HYPERLINK("https://portal.gdc.cancer.gov/cases/b0df5500-d608-416e-82f4-9a99206d24c8","TCGA-VF-A8AA-01A")</f>
        <v>TCGA-VF-A8AA-01A</v>
      </c>
      <c r="I19395" t="s">
        <v>319</v>
      </c>
      <c r="J19395" t="s">
        <v>582</v>
      </c>
      <c r="K19395" t="s">
        <v>33</v>
      </c>
      <c r="L19395" t="s">
        <v>321</v>
      </c>
      <c r="N19395" t="s">
        <v>29</v>
      </c>
    </row>
    <row r="19396" spans="1:14">
      <c r="A19396" s="4" t="str">
        <f t="shared" si="1347"/>
        <v>EXP00442</v>
      </c>
      <c r="B19396" s="3" t="s">
        <v>66</v>
      </c>
      <c r="C19396" s="4" t="str">
        <f t="shared" si="1348"/>
        <v>TCGA-TGCT</v>
      </c>
      <c r="D19396" s="1" t="s">
        <v>493</v>
      </c>
      <c r="E19396" t="s">
        <v>581</v>
      </c>
      <c r="F19396" s="1">
        <v>2</v>
      </c>
      <c r="G19396" s="1" t="s">
        <v>32</v>
      </c>
      <c r="H19396" s="4" t="str">
        <f>HYPERLINK("https://portal.gdc.cancer.gov/cases/d5a27462-bc30-4f5f-9572-7bea0844ce38","TCGA-VF-A8AB-01A")</f>
        <v>TCGA-VF-A8AB-01A</v>
      </c>
      <c r="I19396" t="s">
        <v>319</v>
      </c>
      <c r="J19396" t="s">
        <v>582</v>
      </c>
      <c r="K19396" t="s">
        <v>33</v>
      </c>
      <c r="L19396" t="s">
        <v>321</v>
      </c>
      <c r="N19396" t="s">
        <v>29</v>
      </c>
    </row>
    <row r="19397" spans="1:14">
      <c r="A19397" s="4" t="str">
        <f t="shared" si="1347"/>
        <v>EXP00442</v>
      </c>
      <c r="B19397" s="3" t="s">
        <v>66</v>
      </c>
      <c r="C19397" s="4" t="str">
        <f t="shared" si="1348"/>
        <v>TCGA-TGCT</v>
      </c>
      <c r="D19397" s="1" t="s">
        <v>493</v>
      </c>
      <c r="E19397" t="s">
        <v>581</v>
      </c>
      <c r="F19397" s="1">
        <v>2</v>
      </c>
      <c r="G19397" s="1" t="s">
        <v>32</v>
      </c>
      <c r="H19397" s="4" t="str">
        <f>HYPERLINK("https://portal.gdc.cancer.gov/cases/526b0d88-481d-476c-ad83-548967bab58b","TCGA-VF-A8AC-01A")</f>
        <v>TCGA-VF-A8AC-01A</v>
      </c>
      <c r="I19397" t="s">
        <v>319</v>
      </c>
      <c r="J19397" t="s">
        <v>582</v>
      </c>
      <c r="K19397" t="s">
        <v>33</v>
      </c>
      <c r="L19397" t="s">
        <v>321</v>
      </c>
      <c r="N19397" t="s">
        <v>29</v>
      </c>
    </row>
    <row r="19398" spans="1:14">
      <c r="A19398" s="4" t="str">
        <f t="shared" si="1347"/>
        <v>EXP00442</v>
      </c>
      <c r="B19398" s="3" t="s">
        <v>66</v>
      </c>
      <c r="C19398" s="4" t="str">
        <f t="shared" si="1348"/>
        <v>TCGA-TGCT</v>
      </c>
      <c r="D19398" s="1" t="s">
        <v>493</v>
      </c>
      <c r="E19398" t="s">
        <v>581</v>
      </c>
      <c r="F19398" s="1">
        <v>2</v>
      </c>
      <c r="G19398" s="1" t="s">
        <v>32</v>
      </c>
      <c r="H19398" s="4" t="str">
        <f>HYPERLINK("https://portal.gdc.cancer.gov/cases/be5254df-ebcf-4a63-9f9f-4a73b7a8d9ed","TCGA-VF-A8AD-01A")</f>
        <v>TCGA-VF-A8AD-01A</v>
      </c>
      <c r="I19398" t="s">
        <v>319</v>
      </c>
      <c r="J19398" t="s">
        <v>582</v>
      </c>
      <c r="K19398" t="s">
        <v>33</v>
      </c>
      <c r="L19398" t="s">
        <v>321</v>
      </c>
      <c r="N19398" t="s">
        <v>29</v>
      </c>
    </row>
    <row r="19399" spans="1:14">
      <c r="A19399" s="4" t="str">
        <f t="shared" si="1347"/>
        <v>EXP00442</v>
      </c>
      <c r="B19399" s="3" t="s">
        <v>66</v>
      </c>
      <c r="C19399" s="4" t="str">
        <f t="shared" si="1348"/>
        <v>TCGA-TGCT</v>
      </c>
      <c r="D19399" s="1" t="s">
        <v>493</v>
      </c>
      <c r="E19399" t="s">
        <v>581</v>
      </c>
      <c r="F19399" s="1">
        <v>2</v>
      </c>
      <c r="G19399" s="1" t="s">
        <v>32</v>
      </c>
      <c r="H19399" s="4" t="str">
        <f>HYPERLINK("https://portal.gdc.cancer.gov/cases/cbdd5d0c-baba-4b67-9740-9605b73adf6c","TCGA-VF-A8AE-01A")</f>
        <v>TCGA-VF-A8AE-01A</v>
      </c>
      <c r="I19399" t="s">
        <v>319</v>
      </c>
      <c r="J19399" t="s">
        <v>582</v>
      </c>
      <c r="K19399" t="s">
        <v>33</v>
      </c>
      <c r="L19399" t="s">
        <v>321</v>
      </c>
      <c r="N19399" t="s">
        <v>29</v>
      </c>
    </row>
    <row r="19400" spans="1:14">
      <c r="A19400" s="4" t="str">
        <f t="shared" si="1347"/>
        <v>EXP00442</v>
      </c>
      <c r="B19400" s="3" t="s">
        <v>66</v>
      </c>
      <c r="C19400" s="4" t="str">
        <f t="shared" si="1348"/>
        <v>TCGA-TGCT</v>
      </c>
      <c r="D19400" s="1" t="s">
        <v>493</v>
      </c>
      <c r="E19400" t="s">
        <v>581</v>
      </c>
      <c r="F19400" s="1">
        <v>2</v>
      </c>
      <c r="G19400" s="1" t="s">
        <v>32</v>
      </c>
      <c r="H19400" s="4" t="str">
        <f>HYPERLINK("https://portal.gdc.cancer.gov/cases/21e8b3c8-0be7-4fb1-b986-9e5403d04e26","TCGA-W4-A7U2-01A")</f>
        <v>TCGA-W4-A7U2-01A</v>
      </c>
      <c r="I19400" t="s">
        <v>319</v>
      </c>
      <c r="J19400" t="s">
        <v>582</v>
      </c>
      <c r="K19400" t="s">
        <v>33</v>
      </c>
      <c r="L19400" t="s">
        <v>321</v>
      </c>
      <c r="N19400" t="s">
        <v>29</v>
      </c>
    </row>
    <row r="19401" spans="1:14">
      <c r="A19401" s="4" t="str">
        <f t="shared" si="1347"/>
        <v>EXP00442</v>
      </c>
      <c r="B19401" s="3" t="s">
        <v>66</v>
      </c>
      <c r="C19401" s="4" t="str">
        <f t="shared" si="1348"/>
        <v>TCGA-TGCT</v>
      </c>
      <c r="D19401" s="1" t="s">
        <v>493</v>
      </c>
      <c r="E19401" t="s">
        <v>581</v>
      </c>
      <c r="F19401" s="1">
        <v>2</v>
      </c>
      <c r="G19401" s="1" t="s">
        <v>32</v>
      </c>
      <c r="H19401" s="4" t="str">
        <f>HYPERLINK("https://portal.gdc.cancer.gov/cases/452a54f2-f389-4f6d-93d3-8350c48c17eb","TCGA-W4-A7U3-01A")</f>
        <v>TCGA-W4-A7U3-01A</v>
      </c>
      <c r="I19401" t="s">
        <v>319</v>
      </c>
      <c r="J19401" t="s">
        <v>582</v>
      </c>
      <c r="K19401" t="s">
        <v>33</v>
      </c>
      <c r="L19401" t="s">
        <v>321</v>
      </c>
      <c r="N19401" t="s">
        <v>29</v>
      </c>
    </row>
    <row r="19402" spans="1:14">
      <c r="A19402" s="4" t="str">
        <f t="shared" si="1347"/>
        <v>EXP00442</v>
      </c>
      <c r="B19402" s="3" t="s">
        <v>66</v>
      </c>
      <c r="C19402" s="4" t="str">
        <f t="shared" si="1348"/>
        <v>TCGA-TGCT</v>
      </c>
      <c r="D19402" s="1" t="s">
        <v>493</v>
      </c>
      <c r="E19402" t="s">
        <v>581</v>
      </c>
      <c r="F19402" s="1">
        <v>2</v>
      </c>
      <c r="G19402" s="1" t="s">
        <v>32</v>
      </c>
      <c r="H19402" s="4" t="str">
        <f>HYPERLINK("https://portal.gdc.cancer.gov/cases/be3b6f94-9468-4164-9d96-abc205f53e92","TCGA-W4-A7U4-01A")</f>
        <v>TCGA-W4-A7U4-01A</v>
      </c>
      <c r="I19402" t="s">
        <v>319</v>
      </c>
      <c r="J19402" t="s">
        <v>582</v>
      </c>
      <c r="K19402" t="s">
        <v>33</v>
      </c>
      <c r="L19402" t="s">
        <v>321</v>
      </c>
      <c r="N19402" t="s">
        <v>29</v>
      </c>
    </row>
    <row r="19403" spans="1:14">
      <c r="A19403" s="4" t="str">
        <f t="shared" si="1347"/>
        <v>EXP00442</v>
      </c>
      <c r="B19403" s="3" t="s">
        <v>66</v>
      </c>
      <c r="C19403" s="4" t="str">
        <f t="shared" si="1348"/>
        <v>TCGA-TGCT</v>
      </c>
      <c r="D19403" s="1" t="s">
        <v>493</v>
      </c>
      <c r="E19403" t="s">
        <v>581</v>
      </c>
      <c r="F19403" s="1">
        <v>2</v>
      </c>
      <c r="G19403" s="1" t="s">
        <v>32</v>
      </c>
      <c r="H19403" s="4" t="str">
        <f>HYPERLINK("https://portal.gdc.cancer.gov/cases/dfdd5d0a-b87a-4b07-8e66-8ff396e86efd","TCGA-WZ-A7V3-01A")</f>
        <v>TCGA-WZ-A7V3-01A</v>
      </c>
      <c r="I19403" t="s">
        <v>319</v>
      </c>
      <c r="J19403" t="s">
        <v>582</v>
      </c>
      <c r="K19403" t="s">
        <v>33</v>
      </c>
      <c r="L19403" t="s">
        <v>321</v>
      </c>
      <c r="N19403" t="s">
        <v>29</v>
      </c>
    </row>
    <row r="19404" spans="1:14">
      <c r="A19404" s="4" t="str">
        <f t="shared" si="1347"/>
        <v>EXP00442</v>
      </c>
      <c r="B19404" s="3" t="s">
        <v>66</v>
      </c>
      <c r="C19404" s="4" t="str">
        <f t="shared" si="1348"/>
        <v>TCGA-TGCT</v>
      </c>
      <c r="D19404" s="1" t="s">
        <v>493</v>
      </c>
      <c r="E19404" t="s">
        <v>581</v>
      </c>
      <c r="F19404" s="1">
        <v>2</v>
      </c>
      <c r="G19404" s="1" t="s">
        <v>32</v>
      </c>
      <c r="H19404" s="4" t="str">
        <f>HYPERLINK("https://portal.gdc.cancer.gov/cases/a1fe45e4-587e-43fc-b53d-85b5a7c4959b","TCGA-WZ-A7V4-01A")</f>
        <v>TCGA-WZ-A7V4-01A</v>
      </c>
      <c r="I19404" t="s">
        <v>319</v>
      </c>
      <c r="J19404" t="s">
        <v>582</v>
      </c>
      <c r="K19404" t="s">
        <v>33</v>
      </c>
      <c r="L19404" t="s">
        <v>321</v>
      </c>
      <c r="N19404" t="s">
        <v>29</v>
      </c>
    </row>
    <row r="19405" spans="1:14">
      <c r="A19405" s="4" t="str">
        <f t="shared" si="1347"/>
        <v>EXP00442</v>
      </c>
      <c r="B19405" s="3" t="s">
        <v>66</v>
      </c>
      <c r="C19405" s="4" t="str">
        <f t="shared" si="1348"/>
        <v>TCGA-TGCT</v>
      </c>
      <c r="D19405" s="1" t="s">
        <v>493</v>
      </c>
      <c r="E19405" t="s">
        <v>581</v>
      </c>
      <c r="F19405" s="1">
        <v>2</v>
      </c>
      <c r="G19405" s="1" t="s">
        <v>32</v>
      </c>
      <c r="H19405" s="4" t="str">
        <f>HYPERLINK("https://portal.gdc.cancer.gov/cases/c5a16472-ac62-422b-a799-26d17aeaa38e","TCGA-WZ-A7V5-01A")</f>
        <v>TCGA-WZ-A7V5-01A</v>
      </c>
      <c r="I19405" t="s">
        <v>319</v>
      </c>
      <c r="J19405" t="s">
        <v>582</v>
      </c>
      <c r="K19405" t="s">
        <v>33</v>
      </c>
      <c r="L19405" t="s">
        <v>321</v>
      </c>
      <c r="N19405" t="s">
        <v>29</v>
      </c>
    </row>
    <row r="19406" spans="1:14">
      <c r="A19406" s="4" t="str">
        <f t="shared" si="1347"/>
        <v>EXP00442</v>
      </c>
      <c r="B19406" s="3" t="s">
        <v>66</v>
      </c>
      <c r="C19406" s="4" t="str">
        <f t="shared" si="1348"/>
        <v>TCGA-TGCT</v>
      </c>
      <c r="D19406" s="1" t="s">
        <v>493</v>
      </c>
      <c r="E19406" t="s">
        <v>581</v>
      </c>
      <c r="F19406" s="1">
        <v>2</v>
      </c>
      <c r="G19406" s="1" t="s">
        <v>32</v>
      </c>
      <c r="H19406" s="4" t="str">
        <f>HYPERLINK("https://portal.gdc.cancer.gov/cases/8ed15b85-5bb3-4317-a93d-67ee376a8244","TCGA-WZ-A8D5-01A")</f>
        <v>TCGA-WZ-A8D5-01A</v>
      </c>
      <c r="I19406" t="s">
        <v>319</v>
      </c>
      <c r="J19406" t="s">
        <v>582</v>
      </c>
      <c r="K19406" t="s">
        <v>33</v>
      </c>
      <c r="L19406" t="s">
        <v>321</v>
      </c>
      <c r="N19406" t="s">
        <v>29</v>
      </c>
    </row>
    <row r="19407" spans="1:14">
      <c r="A19407" s="4" t="str">
        <f t="shared" ref="A19407:A19438" si="1349">HYPERLINK("http://hcmdb.i-sanger.com/experiment/details/experiment_id/EXP00442","EXP00442")</f>
        <v>EXP00442</v>
      </c>
      <c r="B19407" s="3" t="s">
        <v>66</v>
      </c>
      <c r="C19407" s="4" t="str">
        <f t="shared" ref="C19407:C19438" si="1350">HYPERLINK("https://portal.gdc.cancer.gov/projects/TCGA-TGCT","TCGA-TGCT")</f>
        <v>TCGA-TGCT</v>
      </c>
      <c r="D19407" s="1" t="s">
        <v>493</v>
      </c>
      <c r="E19407" t="s">
        <v>581</v>
      </c>
      <c r="F19407" s="1">
        <v>2</v>
      </c>
      <c r="G19407" s="1" t="s">
        <v>32</v>
      </c>
      <c r="H19407" s="4" t="str">
        <f>HYPERLINK("https://portal.gdc.cancer.gov/cases/f02b66f4-3f20-443e-80c4-70139252959a","TCGA-X3-A8G4-01A")</f>
        <v>TCGA-X3-A8G4-01A</v>
      </c>
      <c r="I19407" t="s">
        <v>319</v>
      </c>
      <c r="J19407" t="s">
        <v>582</v>
      </c>
      <c r="K19407" t="s">
        <v>33</v>
      </c>
      <c r="L19407" t="s">
        <v>321</v>
      </c>
      <c r="N19407" t="s">
        <v>29</v>
      </c>
    </row>
    <row r="19408" spans="1:14">
      <c r="A19408" s="4" t="str">
        <f t="shared" si="1349"/>
        <v>EXP00442</v>
      </c>
      <c r="B19408" s="3" t="s">
        <v>66</v>
      </c>
      <c r="C19408" s="4" t="str">
        <f t="shared" si="1350"/>
        <v>TCGA-TGCT</v>
      </c>
      <c r="D19408" s="1" t="s">
        <v>493</v>
      </c>
      <c r="E19408" t="s">
        <v>581</v>
      </c>
      <c r="F19408" s="1">
        <v>2</v>
      </c>
      <c r="G19408" s="1" t="s">
        <v>32</v>
      </c>
      <c r="H19408" s="4" t="str">
        <f>HYPERLINK("https://portal.gdc.cancer.gov/cases/606b2512-c27a-4904-87cb-c57eafd098f1","TCGA-XE-A8H1-01A")</f>
        <v>TCGA-XE-A8H1-01A</v>
      </c>
      <c r="I19408" t="s">
        <v>319</v>
      </c>
      <c r="J19408" t="s">
        <v>582</v>
      </c>
      <c r="K19408" t="s">
        <v>33</v>
      </c>
      <c r="L19408" t="s">
        <v>321</v>
      </c>
      <c r="N19408" t="s">
        <v>29</v>
      </c>
    </row>
    <row r="19409" spans="1:14">
      <c r="A19409" s="4" t="str">
        <f t="shared" si="1349"/>
        <v>EXP00442</v>
      </c>
      <c r="B19409" s="3" t="s">
        <v>66</v>
      </c>
      <c r="C19409" s="4" t="str">
        <f t="shared" si="1350"/>
        <v>TCGA-TGCT</v>
      </c>
      <c r="D19409" s="1" t="s">
        <v>493</v>
      </c>
      <c r="E19409" t="s">
        <v>581</v>
      </c>
      <c r="F19409" s="1">
        <v>2</v>
      </c>
      <c r="G19409" s="1" t="s">
        <v>32</v>
      </c>
      <c r="H19409" s="4" t="str">
        <f>HYPERLINK("https://portal.gdc.cancer.gov/cases/8faad47d-3686-44ab-a0e3-842f64179229","TCGA-XE-A8H4-01A")</f>
        <v>TCGA-XE-A8H4-01A</v>
      </c>
      <c r="I19409" t="s">
        <v>319</v>
      </c>
      <c r="J19409" t="s">
        <v>582</v>
      </c>
      <c r="K19409" t="s">
        <v>33</v>
      </c>
      <c r="L19409" t="s">
        <v>321</v>
      </c>
      <c r="N19409" t="s">
        <v>29</v>
      </c>
    </row>
    <row r="19410" spans="1:14">
      <c r="A19410" s="4" t="str">
        <f t="shared" si="1349"/>
        <v>EXP00442</v>
      </c>
      <c r="B19410" s="3" t="s">
        <v>66</v>
      </c>
      <c r="C19410" s="4" t="str">
        <f t="shared" si="1350"/>
        <v>TCGA-TGCT</v>
      </c>
      <c r="D19410" s="1" t="s">
        <v>493</v>
      </c>
      <c r="E19410" t="s">
        <v>581</v>
      </c>
      <c r="F19410" s="1">
        <v>2</v>
      </c>
      <c r="G19410" s="1" t="s">
        <v>32</v>
      </c>
      <c r="H19410" s="4" t="str">
        <f>HYPERLINK("https://portal.gdc.cancer.gov/cases/3713865f-b6d5-44f4-809b-8b17b696ace3","TCGA-XE-A8H5-01A")</f>
        <v>TCGA-XE-A8H5-01A</v>
      </c>
      <c r="I19410" t="s">
        <v>319</v>
      </c>
      <c r="J19410" t="s">
        <v>582</v>
      </c>
      <c r="K19410" t="s">
        <v>33</v>
      </c>
      <c r="L19410" t="s">
        <v>321</v>
      </c>
      <c r="N19410" t="s">
        <v>29</v>
      </c>
    </row>
    <row r="19411" spans="1:14">
      <c r="A19411" s="4" t="str">
        <f t="shared" si="1349"/>
        <v>EXP00442</v>
      </c>
      <c r="B19411" s="3" t="s">
        <v>66</v>
      </c>
      <c r="C19411" s="4" t="str">
        <f t="shared" si="1350"/>
        <v>TCGA-TGCT</v>
      </c>
      <c r="D19411" s="1" t="s">
        <v>493</v>
      </c>
      <c r="E19411" t="s">
        <v>581</v>
      </c>
      <c r="F19411" s="1">
        <v>2</v>
      </c>
      <c r="G19411" s="1" t="s">
        <v>32</v>
      </c>
      <c r="H19411" s="4" t="str">
        <f>HYPERLINK("https://portal.gdc.cancer.gov/cases/4d215c5d-6813-44a6-ba6e-03c24da903b0","TCGA-XE-A9SE-01A")</f>
        <v>TCGA-XE-A9SE-01A</v>
      </c>
      <c r="I19411" t="s">
        <v>319</v>
      </c>
      <c r="J19411" t="s">
        <v>582</v>
      </c>
      <c r="K19411" t="s">
        <v>33</v>
      </c>
      <c r="L19411" t="s">
        <v>321</v>
      </c>
      <c r="N19411" t="s">
        <v>29</v>
      </c>
    </row>
    <row r="19412" spans="1:14">
      <c r="A19412" s="4" t="str">
        <f t="shared" si="1349"/>
        <v>EXP00442</v>
      </c>
      <c r="B19412" s="3" t="s">
        <v>66</v>
      </c>
      <c r="C19412" s="4" t="str">
        <f t="shared" si="1350"/>
        <v>TCGA-TGCT</v>
      </c>
      <c r="D19412" s="1" t="s">
        <v>493</v>
      </c>
      <c r="E19412" t="s">
        <v>581</v>
      </c>
      <c r="F19412" s="1">
        <v>2</v>
      </c>
      <c r="G19412" s="1" t="s">
        <v>32</v>
      </c>
      <c r="H19412" s="4" t="str">
        <f>HYPERLINK("https://portal.gdc.cancer.gov/cases/c08e6d8f-329c-49d5-afc0-ff52e978b915","TCGA-XE-AANI-01A")</f>
        <v>TCGA-XE-AANI-01A</v>
      </c>
      <c r="I19412" t="s">
        <v>319</v>
      </c>
      <c r="J19412" t="s">
        <v>582</v>
      </c>
      <c r="K19412" t="s">
        <v>33</v>
      </c>
      <c r="L19412" t="s">
        <v>321</v>
      </c>
      <c r="N19412" t="s">
        <v>29</v>
      </c>
    </row>
    <row r="19413" spans="1:14">
      <c r="A19413" s="4" t="str">
        <f t="shared" si="1349"/>
        <v>EXP00442</v>
      </c>
      <c r="B19413" s="3" t="s">
        <v>66</v>
      </c>
      <c r="C19413" s="4" t="str">
        <f t="shared" si="1350"/>
        <v>TCGA-TGCT</v>
      </c>
      <c r="D19413" s="1" t="s">
        <v>493</v>
      </c>
      <c r="E19413" t="s">
        <v>581</v>
      </c>
      <c r="F19413" s="1">
        <v>2</v>
      </c>
      <c r="G19413" s="1" t="s">
        <v>32</v>
      </c>
      <c r="H19413" s="4" t="str">
        <f>HYPERLINK("https://portal.gdc.cancer.gov/cases/a9d8a9e3-2a0d-4dbd-808f-646a624d2e0a","TCGA-XE-AANJ-01A")</f>
        <v>TCGA-XE-AANJ-01A</v>
      </c>
      <c r="I19413" t="s">
        <v>319</v>
      </c>
      <c r="J19413" t="s">
        <v>582</v>
      </c>
      <c r="K19413" t="s">
        <v>33</v>
      </c>
      <c r="L19413" t="s">
        <v>321</v>
      </c>
      <c r="N19413" t="s">
        <v>29</v>
      </c>
    </row>
    <row r="19414" spans="1:14">
      <c r="A19414" s="4" t="str">
        <f t="shared" si="1349"/>
        <v>EXP00442</v>
      </c>
      <c r="B19414" s="3" t="s">
        <v>66</v>
      </c>
      <c r="C19414" s="4" t="str">
        <f t="shared" si="1350"/>
        <v>TCGA-TGCT</v>
      </c>
      <c r="D19414" s="1" t="s">
        <v>493</v>
      </c>
      <c r="E19414" t="s">
        <v>581</v>
      </c>
      <c r="F19414" s="1">
        <v>2</v>
      </c>
      <c r="G19414" s="1" t="s">
        <v>32</v>
      </c>
      <c r="H19414" s="4" t="str">
        <f>HYPERLINK("https://portal.gdc.cancer.gov/cases/e9844c04-0562-4b01-a008-812365bd4c2c","TCGA-XE-AANR-01A")</f>
        <v>TCGA-XE-AANR-01A</v>
      </c>
      <c r="I19414" t="s">
        <v>319</v>
      </c>
      <c r="J19414" t="s">
        <v>582</v>
      </c>
      <c r="K19414" t="s">
        <v>33</v>
      </c>
      <c r="L19414" t="s">
        <v>321</v>
      </c>
      <c r="N19414" t="s">
        <v>29</v>
      </c>
    </row>
    <row r="19415" spans="1:14">
      <c r="A19415" s="4" t="str">
        <f t="shared" si="1349"/>
        <v>EXP00442</v>
      </c>
      <c r="B19415" s="3" t="s">
        <v>66</v>
      </c>
      <c r="C19415" s="4" t="str">
        <f t="shared" si="1350"/>
        <v>TCGA-TGCT</v>
      </c>
      <c r="D19415" s="1" t="s">
        <v>493</v>
      </c>
      <c r="E19415" t="s">
        <v>581</v>
      </c>
      <c r="F19415" s="1">
        <v>2</v>
      </c>
      <c r="G19415" s="1" t="s">
        <v>32</v>
      </c>
      <c r="H19415" s="4" t="str">
        <f>HYPERLINK("https://portal.gdc.cancer.gov/cases/59f1f860-2f84-4668-ae62-8ca8fa38e47a","TCGA-XE-AAO3-01A")</f>
        <v>TCGA-XE-AAO3-01A</v>
      </c>
      <c r="I19415" t="s">
        <v>319</v>
      </c>
      <c r="J19415" t="s">
        <v>582</v>
      </c>
      <c r="K19415" t="s">
        <v>33</v>
      </c>
      <c r="L19415" t="s">
        <v>321</v>
      </c>
      <c r="N19415" t="s">
        <v>29</v>
      </c>
    </row>
    <row r="19416" spans="1:14">
      <c r="A19416" s="4" t="str">
        <f t="shared" si="1349"/>
        <v>EXP00442</v>
      </c>
      <c r="B19416" s="3" t="s">
        <v>66</v>
      </c>
      <c r="C19416" s="4" t="str">
        <f t="shared" si="1350"/>
        <v>TCGA-TGCT</v>
      </c>
      <c r="D19416" s="1" t="s">
        <v>493</v>
      </c>
      <c r="E19416" t="s">
        <v>581</v>
      </c>
      <c r="F19416" s="1">
        <v>2</v>
      </c>
      <c r="G19416" s="1" t="s">
        <v>32</v>
      </c>
      <c r="H19416" s="4" t="str">
        <f>HYPERLINK("https://portal.gdc.cancer.gov/cases/485936b6-38dc-481a-9e35-89348b076466","TCGA-XE-AAO4-01A")</f>
        <v>TCGA-XE-AAO4-01A</v>
      </c>
      <c r="I19416" t="s">
        <v>319</v>
      </c>
      <c r="J19416" t="s">
        <v>582</v>
      </c>
      <c r="K19416" t="s">
        <v>33</v>
      </c>
      <c r="L19416" t="s">
        <v>321</v>
      </c>
      <c r="N19416" t="s">
        <v>29</v>
      </c>
    </row>
    <row r="19417" spans="1:14">
      <c r="A19417" s="4" t="str">
        <f t="shared" si="1349"/>
        <v>EXP00442</v>
      </c>
      <c r="B19417" s="3" t="s">
        <v>66</v>
      </c>
      <c r="C19417" s="4" t="str">
        <f t="shared" si="1350"/>
        <v>TCGA-TGCT</v>
      </c>
      <c r="D19417" s="1" t="s">
        <v>493</v>
      </c>
      <c r="E19417" t="s">
        <v>581</v>
      </c>
      <c r="F19417" s="1">
        <v>2</v>
      </c>
      <c r="G19417" s="1" t="s">
        <v>32</v>
      </c>
      <c r="H19417" s="4" t="str">
        <f>HYPERLINK("https://portal.gdc.cancer.gov/cases/5cea1082-2ad5-4233-a6e3-067566780471","TCGA-XE-AAO6-01A")</f>
        <v>TCGA-XE-AAO6-01A</v>
      </c>
      <c r="I19417" t="s">
        <v>319</v>
      </c>
      <c r="J19417" t="s">
        <v>582</v>
      </c>
      <c r="K19417" t="s">
        <v>33</v>
      </c>
      <c r="L19417" t="s">
        <v>321</v>
      </c>
      <c r="N19417" t="s">
        <v>29</v>
      </c>
    </row>
    <row r="19418" spans="1:14">
      <c r="A19418" s="4" t="str">
        <f t="shared" si="1349"/>
        <v>EXP00442</v>
      </c>
      <c r="B19418" s="3" t="s">
        <v>66</v>
      </c>
      <c r="C19418" s="4" t="str">
        <f t="shared" si="1350"/>
        <v>TCGA-TGCT</v>
      </c>
      <c r="D19418" s="1" t="s">
        <v>493</v>
      </c>
      <c r="E19418" t="s">
        <v>581</v>
      </c>
      <c r="F19418" s="1">
        <v>2</v>
      </c>
      <c r="G19418" s="1" t="s">
        <v>32</v>
      </c>
      <c r="H19418" s="4" t="str">
        <f>HYPERLINK("https://portal.gdc.cancer.gov/cases/7b394c92-c818-4d2b-9ed5-d560581190a7","TCGA-XE-AAOC-01A")</f>
        <v>TCGA-XE-AAOC-01A</v>
      </c>
      <c r="I19418" t="s">
        <v>319</v>
      </c>
      <c r="J19418" t="s">
        <v>582</v>
      </c>
      <c r="K19418" t="s">
        <v>33</v>
      </c>
      <c r="L19418" t="s">
        <v>321</v>
      </c>
      <c r="N19418" t="s">
        <v>29</v>
      </c>
    </row>
    <row r="19419" spans="1:14">
      <c r="A19419" s="4" t="str">
        <f t="shared" si="1349"/>
        <v>EXP00442</v>
      </c>
      <c r="B19419" s="3" t="s">
        <v>66</v>
      </c>
      <c r="C19419" s="4" t="str">
        <f t="shared" si="1350"/>
        <v>TCGA-TGCT</v>
      </c>
      <c r="D19419" s="1" t="s">
        <v>493</v>
      </c>
      <c r="E19419" t="s">
        <v>581</v>
      </c>
      <c r="F19419" s="1">
        <v>2</v>
      </c>
      <c r="G19419" s="1" t="s">
        <v>32</v>
      </c>
      <c r="H19419" s="4" t="str">
        <f>HYPERLINK("https://portal.gdc.cancer.gov/cases/6af41619-490e-4ffb-9a7b-ad9b7483b5a2","TCGA-XE-AAOD-01A")</f>
        <v>TCGA-XE-AAOD-01A</v>
      </c>
      <c r="I19419" t="s">
        <v>319</v>
      </c>
      <c r="J19419" t="s">
        <v>582</v>
      </c>
      <c r="K19419" t="s">
        <v>33</v>
      </c>
      <c r="L19419" t="s">
        <v>321</v>
      </c>
      <c r="N19419" t="s">
        <v>29</v>
      </c>
    </row>
    <row r="19420" spans="1:14">
      <c r="A19420" s="4" t="str">
        <f t="shared" si="1349"/>
        <v>EXP00442</v>
      </c>
      <c r="B19420" s="3" t="s">
        <v>66</v>
      </c>
      <c r="C19420" s="4" t="str">
        <f t="shared" si="1350"/>
        <v>TCGA-TGCT</v>
      </c>
      <c r="D19420" s="1" t="s">
        <v>493</v>
      </c>
      <c r="E19420" t="s">
        <v>581</v>
      </c>
      <c r="F19420" s="1">
        <v>2</v>
      </c>
      <c r="G19420" s="1" t="s">
        <v>32</v>
      </c>
      <c r="H19420" s="4" t="str">
        <f>HYPERLINK("https://portal.gdc.cancer.gov/cases/2132f775-5d09-4b7f-b739-883b4aefb264","TCGA-XE-AAOF-01A")</f>
        <v>TCGA-XE-AAOF-01A</v>
      </c>
      <c r="I19420" t="s">
        <v>319</v>
      </c>
      <c r="J19420" t="s">
        <v>582</v>
      </c>
      <c r="K19420" t="s">
        <v>33</v>
      </c>
      <c r="L19420" t="s">
        <v>321</v>
      </c>
      <c r="N19420" t="s">
        <v>29</v>
      </c>
    </row>
    <row r="19421" spans="1:14">
      <c r="A19421" s="4" t="str">
        <f t="shared" si="1349"/>
        <v>EXP00442</v>
      </c>
      <c r="B19421" s="3" t="s">
        <v>66</v>
      </c>
      <c r="C19421" s="4" t="str">
        <f t="shared" si="1350"/>
        <v>TCGA-TGCT</v>
      </c>
      <c r="D19421" s="1" t="s">
        <v>493</v>
      </c>
      <c r="E19421" t="s">
        <v>581</v>
      </c>
      <c r="F19421" s="1">
        <v>2</v>
      </c>
      <c r="G19421" s="1" t="s">
        <v>32</v>
      </c>
      <c r="H19421" s="4" t="str">
        <f>HYPERLINK("https://portal.gdc.cancer.gov/cases/f18e8e44-6dca-4588-a003-77d70d6e6866","TCGA-XE-AAOJ-01A")</f>
        <v>TCGA-XE-AAOJ-01A</v>
      </c>
      <c r="I19421" t="s">
        <v>319</v>
      </c>
      <c r="J19421" t="s">
        <v>582</v>
      </c>
      <c r="K19421" t="s">
        <v>33</v>
      </c>
      <c r="L19421" t="s">
        <v>321</v>
      </c>
      <c r="N19421" t="s">
        <v>29</v>
      </c>
    </row>
    <row r="19422" spans="1:14">
      <c r="A19422" s="4" t="str">
        <f t="shared" si="1349"/>
        <v>EXP00442</v>
      </c>
      <c r="B19422" s="3" t="s">
        <v>66</v>
      </c>
      <c r="C19422" s="4" t="str">
        <f t="shared" si="1350"/>
        <v>TCGA-TGCT</v>
      </c>
      <c r="D19422" s="1" t="s">
        <v>493</v>
      </c>
      <c r="E19422" t="s">
        <v>581</v>
      </c>
      <c r="F19422" s="1">
        <v>2</v>
      </c>
      <c r="G19422" s="1" t="s">
        <v>32</v>
      </c>
      <c r="H19422" s="4" t="str">
        <f>HYPERLINK("https://portal.gdc.cancer.gov/cases/a3a72058-5a59-45ac-b945-3dcaa566cb03","TCGA-XE-AAOL-01A")</f>
        <v>TCGA-XE-AAOL-01A</v>
      </c>
      <c r="I19422" t="s">
        <v>319</v>
      </c>
      <c r="J19422" t="s">
        <v>582</v>
      </c>
      <c r="K19422" t="s">
        <v>33</v>
      </c>
      <c r="L19422" t="s">
        <v>321</v>
      </c>
      <c r="N19422" t="s">
        <v>29</v>
      </c>
    </row>
    <row r="19423" spans="1:14">
      <c r="A19423" s="4" t="str">
        <f t="shared" si="1349"/>
        <v>EXP00442</v>
      </c>
      <c r="B19423" s="3" t="s">
        <v>66</v>
      </c>
      <c r="C19423" s="4" t="str">
        <f t="shared" si="1350"/>
        <v>TCGA-TGCT</v>
      </c>
      <c r="D19423" s="1" t="s">
        <v>493</v>
      </c>
      <c r="E19423" t="s">
        <v>581</v>
      </c>
      <c r="F19423" s="1">
        <v>2</v>
      </c>
      <c r="G19423" s="1" t="s">
        <v>32</v>
      </c>
      <c r="H19423" s="4" t="str">
        <f>HYPERLINK("https://portal.gdc.cancer.gov/cases/eded94bb-625f-4615-81c7-b794c7c9da62","TCGA-XY-A89B-01A")</f>
        <v>TCGA-XY-A89B-01A</v>
      </c>
      <c r="I19423" t="s">
        <v>319</v>
      </c>
      <c r="J19423" t="s">
        <v>582</v>
      </c>
      <c r="K19423" t="s">
        <v>33</v>
      </c>
      <c r="L19423" t="s">
        <v>321</v>
      </c>
      <c r="N19423" t="s">
        <v>29</v>
      </c>
    </row>
    <row r="19424" spans="1:14">
      <c r="A19424" s="4" t="str">
        <f t="shared" si="1349"/>
        <v>EXP00442</v>
      </c>
      <c r="B19424" s="3" t="s">
        <v>66</v>
      </c>
      <c r="C19424" s="4" t="str">
        <f t="shared" si="1350"/>
        <v>TCGA-TGCT</v>
      </c>
      <c r="D19424" s="1" t="s">
        <v>493</v>
      </c>
      <c r="E19424" t="s">
        <v>581</v>
      </c>
      <c r="F19424" s="1">
        <v>2</v>
      </c>
      <c r="G19424" s="1" t="s">
        <v>32</v>
      </c>
      <c r="H19424" s="4" t="str">
        <f>HYPERLINK("https://portal.gdc.cancer.gov/cases/3290e7d0-64b4-402f-b2c4-0dc999ad3a64","TCGA-XY-A8S2-01A")</f>
        <v>TCGA-XY-A8S2-01A</v>
      </c>
      <c r="I19424" t="s">
        <v>319</v>
      </c>
      <c r="J19424" t="s">
        <v>582</v>
      </c>
      <c r="K19424" t="s">
        <v>33</v>
      </c>
      <c r="L19424" t="s">
        <v>321</v>
      </c>
      <c r="N19424" t="s">
        <v>29</v>
      </c>
    </row>
    <row r="19425" spans="1:14">
      <c r="A19425" s="4" t="str">
        <f t="shared" si="1349"/>
        <v>EXP00442</v>
      </c>
      <c r="B19425" s="3" t="s">
        <v>66</v>
      </c>
      <c r="C19425" s="4" t="str">
        <f t="shared" si="1350"/>
        <v>TCGA-TGCT</v>
      </c>
      <c r="D19425" s="1" t="s">
        <v>493</v>
      </c>
      <c r="E19425" t="s">
        <v>581</v>
      </c>
      <c r="F19425" s="1">
        <v>2</v>
      </c>
      <c r="G19425" s="1" t="s">
        <v>32</v>
      </c>
      <c r="H19425" s="4" t="str">
        <f>HYPERLINK("https://portal.gdc.cancer.gov/cases/02461e5d-eee8-4222-8b6d-bf141aad9440","TCGA-XY-A8S3-01B")</f>
        <v>TCGA-XY-A8S3-01B</v>
      </c>
      <c r="I19425" t="s">
        <v>319</v>
      </c>
      <c r="J19425" t="s">
        <v>582</v>
      </c>
      <c r="K19425" t="s">
        <v>33</v>
      </c>
      <c r="L19425" t="s">
        <v>321</v>
      </c>
      <c r="N19425" t="s">
        <v>29</v>
      </c>
    </row>
    <row r="19426" spans="1:14">
      <c r="A19426" s="4" t="str">
        <f t="shared" si="1349"/>
        <v>EXP00442</v>
      </c>
      <c r="B19426" s="3" t="s">
        <v>66</v>
      </c>
      <c r="C19426" s="4" t="str">
        <f t="shared" si="1350"/>
        <v>TCGA-TGCT</v>
      </c>
      <c r="D19426" s="1" t="s">
        <v>493</v>
      </c>
      <c r="E19426" t="s">
        <v>581</v>
      </c>
      <c r="F19426" s="1">
        <v>2</v>
      </c>
      <c r="G19426" s="1" t="s">
        <v>32</v>
      </c>
      <c r="H19426" s="4" t="str">
        <f>HYPERLINK("https://portal.gdc.cancer.gov/cases/a0be056d-792d-40a0-97c6-fbd4976820b3","TCGA-XY-A9T9-01A")</f>
        <v>TCGA-XY-A9T9-01A</v>
      </c>
      <c r="I19426" t="s">
        <v>319</v>
      </c>
      <c r="J19426" t="s">
        <v>582</v>
      </c>
      <c r="K19426" t="s">
        <v>33</v>
      </c>
      <c r="L19426" t="s">
        <v>321</v>
      </c>
      <c r="N19426" t="s">
        <v>29</v>
      </c>
    </row>
    <row r="19427" spans="1:14">
      <c r="A19427" s="4" t="str">
        <f t="shared" si="1349"/>
        <v>EXP00442</v>
      </c>
      <c r="B19427" s="3" t="s">
        <v>66</v>
      </c>
      <c r="C19427" s="4" t="str">
        <f t="shared" si="1350"/>
        <v>TCGA-TGCT</v>
      </c>
      <c r="D19427" s="1" t="s">
        <v>493</v>
      </c>
      <c r="E19427" t="s">
        <v>581</v>
      </c>
      <c r="F19427" s="1">
        <v>2</v>
      </c>
      <c r="G19427" s="1" t="s">
        <v>32</v>
      </c>
      <c r="H19427" s="4" t="str">
        <f>HYPERLINK("https://portal.gdc.cancer.gov/cases/9ea1db00-cae9-492c-b63a-bff816c046ed","TCGA-YU-A90P-01A")</f>
        <v>TCGA-YU-A90P-01A</v>
      </c>
      <c r="I19427" t="s">
        <v>319</v>
      </c>
      <c r="J19427" t="s">
        <v>582</v>
      </c>
      <c r="K19427" t="s">
        <v>33</v>
      </c>
      <c r="L19427" t="s">
        <v>321</v>
      </c>
      <c r="N19427" t="s">
        <v>29</v>
      </c>
    </row>
    <row r="19428" spans="1:14">
      <c r="A19428" s="4" t="str">
        <f t="shared" si="1349"/>
        <v>EXP00442</v>
      </c>
      <c r="B19428" s="3" t="s">
        <v>66</v>
      </c>
      <c r="C19428" s="4" t="str">
        <f t="shared" si="1350"/>
        <v>TCGA-TGCT</v>
      </c>
      <c r="D19428" s="1" t="s">
        <v>493</v>
      </c>
      <c r="E19428" t="s">
        <v>581</v>
      </c>
      <c r="F19428" s="1">
        <v>2</v>
      </c>
      <c r="G19428" s="1" t="s">
        <v>32</v>
      </c>
      <c r="H19428" s="4" t="str">
        <f>HYPERLINK("https://portal.gdc.cancer.gov/cases/928ee84c-dd3c-48f0-a9ac-ddc8619317f4","TCGA-YU-A90Q-01A")</f>
        <v>TCGA-YU-A90Q-01A</v>
      </c>
      <c r="I19428" t="s">
        <v>319</v>
      </c>
      <c r="J19428" t="s">
        <v>582</v>
      </c>
      <c r="K19428" t="s">
        <v>33</v>
      </c>
      <c r="L19428" t="s">
        <v>321</v>
      </c>
      <c r="N19428" t="s">
        <v>29</v>
      </c>
    </row>
    <row r="19429" spans="1:14">
      <c r="A19429" s="4" t="str">
        <f t="shared" si="1349"/>
        <v>EXP00442</v>
      </c>
      <c r="B19429" s="3" t="s">
        <v>66</v>
      </c>
      <c r="C19429" s="4" t="str">
        <f t="shared" si="1350"/>
        <v>TCGA-TGCT</v>
      </c>
      <c r="D19429" s="1" t="s">
        <v>493</v>
      </c>
      <c r="E19429" t="s">
        <v>581</v>
      </c>
      <c r="F19429" s="1">
        <v>2</v>
      </c>
      <c r="G19429" s="1" t="s">
        <v>32</v>
      </c>
      <c r="H19429" s="4" t="str">
        <f>HYPERLINK("https://portal.gdc.cancer.gov/cases/399cb248-9d00-41dc-af44-fa96ca9f649a","TCGA-YU-A90S-01A")</f>
        <v>TCGA-YU-A90S-01A</v>
      </c>
      <c r="I19429" t="s">
        <v>319</v>
      </c>
      <c r="J19429" t="s">
        <v>582</v>
      </c>
      <c r="K19429" t="s">
        <v>33</v>
      </c>
      <c r="L19429" t="s">
        <v>321</v>
      </c>
      <c r="N19429" t="s">
        <v>29</v>
      </c>
    </row>
    <row r="19430" spans="1:14">
      <c r="A19430" s="4" t="str">
        <f t="shared" si="1349"/>
        <v>EXP00442</v>
      </c>
      <c r="B19430" s="3" t="s">
        <v>66</v>
      </c>
      <c r="C19430" s="4" t="str">
        <f t="shared" si="1350"/>
        <v>TCGA-TGCT</v>
      </c>
      <c r="D19430" s="1" t="s">
        <v>493</v>
      </c>
      <c r="E19430" t="s">
        <v>581</v>
      </c>
      <c r="F19430" s="1">
        <v>2</v>
      </c>
      <c r="G19430" s="1" t="s">
        <v>32</v>
      </c>
      <c r="H19430" s="4" t="str">
        <f>HYPERLINK("https://portal.gdc.cancer.gov/cases/4e4e6280-713c-41bf-bf3a-e93c2fa44d59","TCGA-YU-A90W-01A")</f>
        <v>TCGA-YU-A90W-01A</v>
      </c>
      <c r="I19430" t="s">
        <v>319</v>
      </c>
      <c r="J19430" t="s">
        <v>582</v>
      </c>
      <c r="K19430" t="s">
        <v>33</v>
      </c>
      <c r="L19430" t="s">
        <v>321</v>
      </c>
      <c r="N19430" t="s">
        <v>29</v>
      </c>
    </row>
    <row r="19431" spans="1:14">
      <c r="A19431" s="4" t="str">
        <f t="shared" si="1349"/>
        <v>EXP00442</v>
      </c>
      <c r="B19431" s="3" t="s">
        <v>66</v>
      </c>
      <c r="C19431" s="4" t="str">
        <f t="shared" si="1350"/>
        <v>TCGA-TGCT</v>
      </c>
      <c r="D19431" s="1" t="s">
        <v>493</v>
      </c>
      <c r="E19431" t="s">
        <v>581</v>
      </c>
      <c r="F19431" s="1">
        <v>2</v>
      </c>
      <c r="G19431" s="1" t="s">
        <v>32</v>
      </c>
      <c r="H19431" s="4" t="str">
        <f>HYPERLINK("https://portal.gdc.cancer.gov/cases/814a95ad-02f8-44fe-9765-2da3183a2ef5","TCGA-YU-A90Y-01A")</f>
        <v>TCGA-YU-A90Y-01A</v>
      </c>
      <c r="I19431" t="s">
        <v>319</v>
      </c>
      <c r="J19431" t="s">
        <v>582</v>
      </c>
      <c r="K19431" t="s">
        <v>33</v>
      </c>
      <c r="L19431" t="s">
        <v>321</v>
      </c>
      <c r="N19431" t="s">
        <v>29</v>
      </c>
    </row>
    <row r="19432" spans="1:14">
      <c r="A19432" s="4" t="str">
        <f t="shared" si="1349"/>
        <v>EXP00442</v>
      </c>
      <c r="B19432" s="3" t="s">
        <v>66</v>
      </c>
      <c r="C19432" s="4" t="str">
        <f t="shared" si="1350"/>
        <v>TCGA-TGCT</v>
      </c>
      <c r="D19432" s="1" t="s">
        <v>493</v>
      </c>
      <c r="E19432" t="s">
        <v>581</v>
      </c>
      <c r="F19432" s="1">
        <v>2</v>
      </c>
      <c r="G19432" s="1" t="s">
        <v>32</v>
      </c>
      <c r="H19432" s="4" t="str">
        <f>HYPERLINK("https://portal.gdc.cancer.gov/cases/a4bdd4ea-3870-4e60-be7a-cdd44ce22445","TCGA-YU-A912-01A")</f>
        <v>TCGA-YU-A912-01A</v>
      </c>
      <c r="I19432" t="s">
        <v>319</v>
      </c>
      <c r="J19432" t="s">
        <v>582</v>
      </c>
      <c r="K19432" t="s">
        <v>33</v>
      </c>
      <c r="L19432" t="s">
        <v>321</v>
      </c>
      <c r="N19432" t="s">
        <v>29</v>
      </c>
    </row>
    <row r="19433" spans="1:14">
      <c r="A19433" s="4" t="str">
        <f t="shared" si="1349"/>
        <v>EXP00442</v>
      </c>
      <c r="B19433" s="3" t="s">
        <v>66</v>
      </c>
      <c r="C19433" s="4" t="str">
        <f t="shared" si="1350"/>
        <v>TCGA-TGCT</v>
      </c>
      <c r="D19433" s="1" t="s">
        <v>493</v>
      </c>
      <c r="E19433" t="s">
        <v>581</v>
      </c>
      <c r="F19433" s="1">
        <v>2</v>
      </c>
      <c r="G19433" s="1" t="s">
        <v>32</v>
      </c>
      <c r="H19433" s="4" t="str">
        <f>HYPERLINK("https://portal.gdc.cancer.gov/cases/0efd3473-c23d-4788-a601-c600cbe60a32","TCGA-YU-A94D-01A")</f>
        <v>TCGA-YU-A94D-01A</v>
      </c>
      <c r="I19433" t="s">
        <v>319</v>
      </c>
      <c r="J19433" t="s">
        <v>582</v>
      </c>
      <c r="K19433" t="s">
        <v>33</v>
      </c>
      <c r="L19433" t="s">
        <v>321</v>
      </c>
      <c r="N19433" t="s">
        <v>29</v>
      </c>
    </row>
    <row r="19434" spans="1:14">
      <c r="A19434" s="4" t="str">
        <f t="shared" si="1349"/>
        <v>EXP00442</v>
      </c>
      <c r="B19434" s="3" t="s">
        <v>66</v>
      </c>
      <c r="C19434" s="4" t="str">
        <f t="shared" si="1350"/>
        <v>TCGA-TGCT</v>
      </c>
      <c r="D19434" s="1" t="s">
        <v>493</v>
      </c>
      <c r="E19434" t="s">
        <v>581</v>
      </c>
      <c r="F19434" s="1">
        <v>2</v>
      </c>
      <c r="G19434" s="1" t="s">
        <v>32</v>
      </c>
      <c r="H19434" s="4" t="str">
        <f>HYPERLINK("https://portal.gdc.cancer.gov/cases/d6b67920-f8e8-40fe-a5dd-aa0004d88a21","TCGA-YU-A94I-01A")</f>
        <v>TCGA-YU-A94I-01A</v>
      </c>
      <c r="I19434" t="s">
        <v>319</v>
      </c>
      <c r="J19434" t="s">
        <v>582</v>
      </c>
      <c r="K19434" t="s">
        <v>33</v>
      </c>
      <c r="L19434" t="s">
        <v>321</v>
      </c>
      <c r="N19434" t="s">
        <v>29</v>
      </c>
    </row>
    <row r="19435" spans="1:14">
      <c r="A19435" s="4" t="str">
        <f t="shared" si="1349"/>
        <v>EXP00442</v>
      </c>
      <c r="B19435" s="3" t="s">
        <v>66</v>
      </c>
      <c r="C19435" s="4" t="str">
        <f t="shared" si="1350"/>
        <v>TCGA-TGCT</v>
      </c>
      <c r="D19435" s="1" t="s">
        <v>493</v>
      </c>
      <c r="E19435" t="s">
        <v>581</v>
      </c>
      <c r="F19435" s="1">
        <v>2</v>
      </c>
      <c r="G19435" s="1" t="s">
        <v>32</v>
      </c>
      <c r="H19435" s="4" t="str">
        <f>HYPERLINK("https://portal.gdc.cancer.gov/cases/29b8c1f6-8478-40db-a182-4ef15154a33d","TCGA-YU-AA4L-01A")</f>
        <v>TCGA-YU-AA4L-01A</v>
      </c>
      <c r="I19435" t="s">
        <v>319</v>
      </c>
      <c r="J19435" t="s">
        <v>582</v>
      </c>
      <c r="K19435" t="s">
        <v>33</v>
      </c>
      <c r="L19435" t="s">
        <v>321</v>
      </c>
      <c r="N19435" t="s">
        <v>29</v>
      </c>
    </row>
    <row r="19436" spans="1:14">
      <c r="A19436" s="4" t="str">
        <f t="shared" si="1349"/>
        <v>EXP00442</v>
      </c>
      <c r="B19436" s="3" t="s">
        <v>66</v>
      </c>
      <c r="C19436" s="4" t="str">
        <f t="shared" si="1350"/>
        <v>TCGA-TGCT</v>
      </c>
      <c r="D19436" s="1" t="s">
        <v>493</v>
      </c>
      <c r="E19436" t="s">
        <v>581</v>
      </c>
      <c r="F19436" s="1">
        <v>2</v>
      </c>
      <c r="G19436" s="1" t="s">
        <v>32</v>
      </c>
      <c r="H19436" s="4" t="str">
        <f>HYPERLINK("https://portal.gdc.cancer.gov/cases/0cc39a51-865a-44e1-9096-baf710fb3813","TCGA-YU-AA61-01A")</f>
        <v>TCGA-YU-AA61-01A</v>
      </c>
      <c r="I19436" t="s">
        <v>319</v>
      </c>
      <c r="J19436" t="s">
        <v>582</v>
      </c>
      <c r="K19436" t="s">
        <v>33</v>
      </c>
      <c r="L19436" t="s">
        <v>321</v>
      </c>
      <c r="N19436" t="s">
        <v>29</v>
      </c>
    </row>
    <row r="19437" spans="1:14">
      <c r="A19437" s="4" t="str">
        <f t="shared" si="1349"/>
        <v>EXP00442</v>
      </c>
      <c r="B19437" s="3" t="s">
        <v>66</v>
      </c>
      <c r="C19437" s="4" t="str">
        <f t="shared" si="1350"/>
        <v>TCGA-TGCT</v>
      </c>
      <c r="D19437" s="1" t="s">
        <v>493</v>
      </c>
      <c r="E19437" t="s">
        <v>581</v>
      </c>
      <c r="F19437" s="1">
        <v>2</v>
      </c>
      <c r="G19437" s="1" t="s">
        <v>32</v>
      </c>
      <c r="H19437" s="4" t="str">
        <f>HYPERLINK("https://portal.gdc.cancer.gov/cases/4a380e03-667a-4d08-9a8c-e537a5900291","TCGA-ZM-AA05-01A")</f>
        <v>TCGA-ZM-AA05-01A</v>
      </c>
      <c r="I19437" t="s">
        <v>319</v>
      </c>
      <c r="J19437" t="s">
        <v>582</v>
      </c>
      <c r="K19437" t="s">
        <v>33</v>
      </c>
      <c r="L19437" t="s">
        <v>321</v>
      </c>
      <c r="N19437" t="s">
        <v>29</v>
      </c>
    </row>
    <row r="19438" spans="1:14">
      <c r="A19438" s="4" t="str">
        <f t="shared" si="1349"/>
        <v>EXP00442</v>
      </c>
      <c r="B19438" s="3" t="s">
        <v>66</v>
      </c>
      <c r="C19438" s="4" t="str">
        <f t="shared" si="1350"/>
        <v>TCGA-TGCT</v>
      </c>
      <c r="D19438" s="1" t="s">
        <v>493</v>
      </c>
      <c r="E19438" t="s">
        <v>581</v>
      </c>
      <c r="F19438" s="1">
        <v>2</v>
      </c>
      <c r="G19438" s="1" t="s">
        <v>32</v>
      </c>
      <c r="H19438" s="4" t="str">
        <f>HYPERLINK("https://portal.gdc.cancer.gov/cases/61544d30-175b-45bc-86bd-9ad45bebb840","TCGA-ZM-AA06-01A")</f>
        <v>TCGA-ZM-AA06-01A</v>
      </c>
      <c r="I19438" t="s">
        <v>319</v>
      </c>
      <c r="J19438" t="s">
        <v>582</v>
      </c>
      <c r="K19438" t="s">
        <v>33</v>
      </c>
      <c r="L19438" t="s">
        <v>321</v>
      </c>
      <c r="N19438" t="s">
        <v>29</v>
      </c>
    </row>
    <row r="19439" spans="1:14">
      <c r="A19439" s="4" t="str">
        <f t="shared" ref="A19439:A19444" si="1351">HYPERLINK("http://hcmdb.i-sanger.com/experiment/details/experiment_id/EXP00442","EXP00442")</f>
        <v>EXP00442</v>
      </c>
      <c r="B19439" s="3" t="s">
        <v>66</v>
      </c>
      <c r="C19439" s="4" t="str">
        <f t="shared" ref="C19439:C19444" si="1352">HYPERLINK("https://portal.gdc.cancer.gov/projects/TCGA-TGCT","TCGA-TGCT")</f>
        <v>TCGA-TGCT</v>
      </c>
      <c r="D19439" s="1" t="s">
        <v>493</v>
      </c>
      <c r="E19439" t="s">
        <v>581</v>
      </c>
      <c r="F19439" s="1">
        <v>2</v>
      </c>
      <c r="G19439" s="1" t="s">
        <v>32</v>
      </c>
      <c r="H19439" s="4" t="str">
        <f>HYPERLINK("https://portal.gdc.cancer.gov/cases/e9d6e631-a4d9-4855-a8b3-b11e3be63cfc","TCGA-ZM-AA0B-01A")</f>
        <v>TCGA-ZM-AA0B-01A</v>
      </c>
      <c r="I19439" t="s">
        <v>319</v>
      </c>
      <c r="J19439" t="s">
        <v>582</v>
      </c>
      <c r="K19439" t="s">
        <v>33</v>
      </c>
      <c r="L19439" t="s">
        <v>321</v>
      </c>
      <c r="N19439" t="s">
        <v>29</v>
      </c>
    </row>
    <row r="19440" spans="1:14">
      <c r="A19440" s="4" t="str">
        <f t="shared" si="1351"/>
        <v>EXP00442</v>
      </c>
      <c r="B19440" s="3" t="s">
        <v>66</v>
      </c>
      <c r="C19440" s="4" t="str">
        <f t="shared" si="1352"/>
        <v>TCGA-TGCT</v>
      </c>
      <c r="D19440" s="1" t="s">
        <v>493</v>
      </c>
      <c r="E19440" t="s">
        <v>581</v>
      </c>
      <c r="F19440" s="1">
        <v>2</v>
      </c>
      <c r="G19440" s="1" t="s">
        <v>32</v>
      </c>
      <c r="H19440" s="4" t="str">
        <f>HYPERLINK("https://portal.gdc.cancer.gov/cases/43cdb4df-06db-4252-a25a-04def9d24c6d","TCGA-ZM-AA0D-01A")</f>
        <v>TCGA-ZM-AA0D-01A</v>
      </c>
      <c r="I19440" t="s">
        <v>319</v>
      </c>
      <c r="J19440" t="s">
        <v>582</v>
      </c>
      <c r="K19440" t="s">
        <v>33</v>
      </c>
      <c r="L19440" t="s">
        <v>321</v>
      </c>
      <c r="N19440" t="s">
        <v>29</v>
      </c>
    </row>
    <row r="19441" spans="1:14">
      <c r="A19441" s="4" t="str">
        <f t="shared" si="1351"/>
        <v>EXP00442</v>
      </c>
      <c r="B19441" s="3" t="s">
        <v>66</v>
      </c>
      <c r="C19441" s="4" t="str">
        <f t="shared" si="1352"/>
        <v>TCGA-TGCT</v>
      </c>
      <c r="D19441" s="1" t="s">
        <v>493</v>
      </c>
      <c r="E19441" t="s">
        <v>581</v>
      </c>
      <c r="F19441" s="1">
        <v>2</v>
      </c>
      <c r="G19441" s="1" t="s">
        <v>32</v>
      </c>
      <c r="H19441" s="4" t="str">
        <f>HYPERLINK("https://portal.gdc.cancer.gov/cases/89d95f32-019c-48e7-b804-566285a8a2a6","TCGA-ZM-AA0E-01A")</f>
        <v>TCGA-ZM-AA0E-01A</v>
      </c>
      <c r="I19441" t="s">
        <v>319</v>
      </c>
      <c r="J19441" t="s">
        <v>582</v>
      </c>
      <c r="K19441" t="s">
        <v>33</v>
      </c>
      <c r="L19441" t="s">
        <v>321</v>
      </c>
      <c r="N19441" t="s">
        <v>29</v>
      </c>
    </row>
    <row r="19442" spans="1:14">
      <c r="A19442" s="4" t="str">
        <f t="shared" si="1351"/>
        <v>EXP00442</v>
      </c>
      <c r="B19442" s="3" t="s">
        <v>66</v>
      </c>
      <c r="C19442" s="4" t="str">
        <f t="shared" si="1352"/>
        <v>TCGA-TGCT</v>
      </c>
      <c r="D19442" s="1" t="s">
        <v>493</v>
      </c>
      <c r="E19442" t="s">
        <v>581</v>
      </c>
      <c r="F19442" s="1">
        <v>2</v>
      </c>
      <c r="G19442" s="1" t="s">
        <v>32</v>
      </c>
      <c r="H19442" s="4" t="str">
        <f>HYPERLINK("https://portal.gdc.cancer.gov/cases/0bd2551f-4060-43b2-bee3-956e7e09db31","TCGA-ZM-AA0F-01A")</f>
        <v>TCGA-ZM-AA0F-01A</v>
      </c>
      <c r="I19442" t="s">
        <v>319</v>
      </c>
      <c r="J19442" t="s">
        <v>582</v>
      </c>
      <c r="K19442" t="s">
        <v>33</v>
      </c>
      <c r="L19442" t="s">
        <v>321</v>
      </c>
      <c r="N19442" t="s">
        <v>29</v>
      </c>
    </row>
    <row r="19443" spans="1:14">
      <c r="A19443" s="4" t="str">
        <f t="shared" si="1351"/>
        <v>EXP00442</v>
      </c>
      <c r="B19443" s="3" t="s">
        <v>66</v>
      </c>
      <c r="C19443" s="4" t="str">
        <f t="shared" si="1352"/>
        <v>TCGA-TGCT</v>
      </c>
      <c r="D19443" s="1" t="s">
        <v>493</v>
      </c>
      <c r="E19443" t="s">
        <v>581</v>
      </c>
      <c r="F19443" s="1">
        <v>2</v>
      </c>
      <c r="G19443" s="1" t="s">
        <v>32</v>
      </c>
      <c r="H19443" s="4" t="str">
        <f>HYPERLINK("https://portal.gdc.cancer.gov/cases/97ca0157-0096-4b0c-a3e7-bab59078d2d6","TCGA-ZM-AA0H-01A")</f>
        <v>TCGA-ZM-AA0H-01A</v>
      </c>
      <c r="I19443" t="s">
        <v>319</v>
      </c>
      <c r="J19443" t="s">
        <v>582</v>
      </c>
      <c r="K19443" t="s">
        <v>33</v>
      </c>
      <c r="L19443" t="s">
        <v>321</v>
      </c>
      <c r="N19443" t="s">
        <v>29</v>
      </c>
    </row>
    <row r="19444" spans="1:14">
      <c r="A19444" s="4" t="str">
        <f t="shared" si="1351"/>
        <v>EXP00442</v>
      </c>
      <c r="B19444" s="3" t="s">
        <v>66</v>
      </c>
      <c r="C19444" s="4" t="str">
        <f t="shared" si="1352"/>
        <v>TCGA-TGCT</v>
      </c>
      <c r="D19444" s="1" t="s">
        <v>493</v>
      </c>
      <c r="E19444" t="s">
        <v>581</v>
      </c>
      <c r="F19444" s="1">
        <v>2</v>
      </c>
      <c r="G19444" s="1" t="s">
        <v>32</v>
      </c>
      <c r="H19444" s="4" t="str">
        <f>HYPERLINK("https://portal.gdc.cancer.gov/cases/d6c4198b-6c69-40e5-a8eb-b2de3ac0b2b7","TCGA-ZM-AA0N-01A")</f>
        <v>TCGA-ZM-AA0N-01A</v>
      </c>
      <c r="I19444" t="s">
        <v>319</v>
      </c>
      <c r="J19444" t="s">
        <v>582</v>
      </c>
      <c r="K19444" t="s">
        <v>33</v>
      </c>
      <c r="L19444" t="s">
        <v>321</v>
      </c>
      <c r="N19444" t="s">
        <v>29</v>
      </c>
    </row>
    <row r="19445" spans="1:14">
      <c r="A19445" s="4" t="str">
        <f t="shared" ref="A19445:A19460" si="1353">HYPERLINK("http://hcmdb.i-sanger.com/experiment/details/experiment_id/EXP00443","EXP00443")</f>
        <v>EXP00443</v>
      </c>
      <c r="B19445" s="3" t="s">
        <v>66</v>
      </c>
      <c r="C19445" s="4" t="str">
        <f t="shared" ref="C19445:C19508" si="1354">HYPERLINK("https://portal.gdc.cancer.gov/projects/TCGA-THCA","TCGA-THCA")</f>
        <v>TCGA-THCA</v>
      </c>
      <c r="D19445" s="1" t="s">
        <v>493</v>
      </c>
      <c r="E19445" t="s">
        <v>583</v>
      </c>
      <c r="F19445" s="1">
        <v>1</v>
      </c>
      <c r="G19445" s="1" t="s">
        <v>26</v>
      </c>
      <c r="H19445" s="4" t="str">
        <f>HYPERLINK("https://portal.gdc.cancer.gov/cases/cd0c33c3-4427-471d-979e-79dc43f3a018","TCGA-DE-A4MD-06A")</f>
        <v>TCGA-DE-A4MD-06A</v>
      </c>
      <c r="I19445" t="s">
        <v>333</v>
      </c>
      <c r="J19445" t="s">
        <v>584</v>
      </c>
      <c r="K19445" t="s">
        <v>19</v>
      </c>
      <c r="L19445" t="s">
        <v>335</v>
      </c>
      <c r="N19445" t="s">
        <v>22</v>
      </c>
    </row>
    <row r="19446" spans="1:14">
      <c r="A19446" s="4" t="str">
        <f t="shared" si="1353"/>
        <v>EXP00443</v>
      </c>
      <c r="B19446" s="3" t="s">
        <v>66</v>
      </c>
      <c r="C19446" s="4" t="str">
        <f t="shared" si="1354"/>
        <v>TCGA-THCA</v>
      </c>
      <c r="D19446" s="1" t="s">
        <v>493</v>
      </c>
      <c r="E19446" t="s">
        <v>583</v>
      </c>
      <c r="F19446" s="1">
        <v>1</v>
      </c>
      <c r="G19446" s="1" t="s">
        <v>26</v>
      </c>
      <c r="H19446" s="4" t="str">
        <f>HYPERLINK("https://portal.gdc.cancer.gov/cases/7555e736-a9e2-4b96-a633-fb0f7224d62c","TCGA-EM-A2CS-06A")</f>
        <v>TCGA-EM-A2CS-06A</v>
      </c>
      <c r="I19446" t="s">
        <v>333</v>
      </c>
      <c r="J19446" t="s">
        <v>584</v>
      </c>
      <c r="K19446" t="s">
        <v>19</v>
      </c>
      <c r="L19446" t="s">
        <v>335</v>
      </c>
      <c r="N19446" t="s">
        <v>22</v>
      </c>
    </row>
    <row r="19447" spans="1:14">
      <c r="A19447" s="4" t="str">
        <f t="shared" si="1353"/>
        <v>EXP00443</v>
      </c>
      <c r="B19447" s="3" t="s">
        <v>66</v>
      </c>
      <c r="C19447" s="4" t="str">
        <f t="shared" si="1354"/>
        <v>TCGA-THCA</v>
      </c>
      <c r="D19447" s="1" t="s">
        <v>493</v>
      </c>
      <c r="E19447" t="s">
        <v>583</v>
      </c>
      <c r="F19447" s="1">
        <v>1</v>
      </c>
      <c r="G19447" s="1" t="s">
        <v>26</v>
      </c>
      <c r="H19447" s="4" t="str">
        <f>HYPERLINK("https://portal.gdc.cancer.gov/cases/9b6acc25-447d-4144-b4c0-ef52b8850d96","TCGA-EM-A2P1-06A")</f>
        <v>TCGA-EM-A2P1-06A</v>
      </c>
      <c r="I19447" t="s">
        <v>333</v>
      </c>
      <c r="J19447" t="s">
        <v>584</v>
      </c>
      <c r="K19447" t="s">
        <v>19</v>
      </c>
      <c r="L19447" t="s">
        <v>335</v>
      </c>
      <c r="N19447" t="s">
        <v>22</v>
      </c>
    </row>
    <row r="19448" spans="1:14">
      <c r="A19448" s="4" t="str">
        <f t="shared" si="1353"/>
        <v>EXP00443</v>
      </c>
      <c r="B19448" s="3" t="s">
        <v>66</v>
      </c>
      <c r="C19448" s="4" t="str">
        <f t="shared" si="1354"/>
        <v>TCGA-THCA</v>
      </c>
      <c r="D19448" s="1" t="s">
        <v>493</v>
      </c>
      <c r="E19448" t="s">
        <v>583</v>
      </c>
      <c r="F19448" s="1">
        <v>1</v>
      </c>
      <c r="G19448" s="1" t="s">
        <v>26</v>
      </c>
      <c r="H19448" s="4" t="str">
        <f>HYPERLINK("https://portal.gdc.cancer.gov/cases/fef9c64f-5959-4da0-aaa2-66b56fc7b4c3","TCGA-EM-A3FQ-06A")</f>
        <v>TCGA-EM-A3FQ-06A</v>
      </c>
      <c r="I19448" t="s">
        <v>333</v>
      </c>
      <c r="J19448" t="s">
        <v>584</v>
      </c>
      <c r="K19448" t="s">
        <v>19</v>
      </c>
      <c r="L19448" t="s">
        <v>335</v>
      </c>
      <c r="N19448" t="s">
        <v>22</v>
      </c>
    </row>
    <row r="19449" spans="1:14">
      <c r="A19449" s="4" t="str">
        <f t="shared" si="1353"/>
        <v>EXP00443</v>
      </c>
      <c r="B19449" s="3" t="s">
        <v>66</v>
      </c>
      <c r="C19449" s="4" t="str">
        <f t="shared" si="1354"/>
        <v>TCGA-THCA</v>
      </c>
      <c r="D19449" s="1" t="s">
        <v>493</v>
      </c>
      <c r="E19449" t="s">
        <v>583</v>
      </c>
      <c r="F19449" s="1">
        <v>1</v>
      </c>
      <c r="G19449" s="1" t="s">
        <v>26</v>
      </c>
      <c r="H19449" s="4" t="str">
        <f>HYPERLINK("https://portal.gdc.cancer.gov/cases/fe28f76e-7ead-4d29-8c53-a576ae6021f7","TCGA-EM-A3SU-06A")</f>
        <v>TCGA-EM-A3SU-06A</v>
      </c>
      <c r="I19449" t="s">
        <v>333</v>
      </c>
      <c r="J19449" t="s">
        <v>584</v>
      </c>
      <c r="K19449" t="s">
        <v>19</v>
      </c>
      <c r="L19449" t="s">
        <v>335</v>
      </c>
      <c r="N19449" t="s">
        <v>22</v>
      </c>
    </row>
    <row r="19450" spans="1:14">
      <c r="A19450" s="4" t="str">
        <f t="shared" si="1353"/>
        <v>EXP00443</v>
      </c>
      <c r="B19450" s="3" t="s">
        <v>66</v>
      </c>
      <c r="C19450" s="4" t="str">
        <f t="shared" si="1354"/>
        <v>TCGA-THCA</v>
      </c>
      <c r="D19450" s="1" t="s">
        <v>493</v>
      </c>
      <c r="E19450" t="s">
        <v>583</v>
      </c>
      <c r="F19450" s="1">
        <v>1</v>
      </c>
      <c r="G19450" s="1" t="s">
        <v>26</v>
      </c>
      <c r="H19450" s="4" t="str">
        <f>HYPERLINK("https://portal.gdc.cancer.gov/cases/039bfc94-fadd-440a-aade-a1595128583e","TCGA-J8-A3O2-06A")</f>
        <v>TCGA-J8-A3O2-06A</v>
      </c>
      <c r="I19450" t="s">
        <v>333</v>
      </c>
      <c r="J19450" t="s">
        <v>584</v>
      </c>
      <c r="K19450" t="s">
        <v>19</v>
      </c>
      <c r="L19450" t="s">
        <v>335</v>
      </c>
      <c r="N19450" t="s">
        <v>22</v>
      </c>
    </row>
    <row r="19451" spans="1:14">
      <c r="A19451" s="4" t="str">
        <f t="shared" si="1353"/>
        <v>EXP00443</v>
      </c>
      <c r="B19451" s="3" t="s">
        <v>66</v>
      </c>
      <c r="C19451" s="4" t="str">
        <f t="shared" si="1354"/>
        <v>TCGA-THCA</v>
      </c>
      <c r="D19451" s="1" t="s">
        <v>493</v>
      </c>
      <c r="E19451" t="s">
        <v>583</v>
      </c>
      <c r="F19451" s="1">
        <v>1</v>
      </c>
      <c r="G19451" s="1" t="s">
        <v>26</v>
      </c>
      <c r="H19451" s="4" t="str">
        <f>HYPERLINK("https://portal.gdc.cancer.gov/cases/a09b20b5-c187-4632-b996-0d5314a9885c","TCGA-J8-A3YH-06A")</f>
        <v>TCGA-J8-A3YH-06A</v>
      </c>
      <c r="I19451" t="s">
        <v>333</v>
      </c>
      <c r="J19451" t="s">
        <v>584</v>
      </c>
      <c r="K19451" t="s">
        <v>19</v>
      </c>
      <c r="L19451" t="s">
        <v>335</v>
      </c>
      <c r="N19451" t="s">
        <v>22</v>
      </c>
    </row>
    <row r="19452" spans="1:14">
      <c r="A19452" s="4" t="str">
        <f t="shared" si="1353"/>
        <v>EXP00443</v>
      </c>
      <c r="B19452" s="3" t="s">
        <v>66</v>
      </c>
      <c r="C19452" s="4" t="str">
        <f t="shared" si="1354"/>
        <v>TCGA-THCA</v>
      </c>
      <c r="D19452" s="1" t="s">
        <v>493</v>
      </c>
      <c r="E19452" t="s">
        <v>583</v>
      </c>
      <c r="F19452" s="1">
        <v>1</v>
      </c>
      <c r="G19452" s="1" t="s">
        <v>26</v>
      </c>
      <c r="H19452" s="4" t="str">
        <f>HYPERLINK("https://portal.gdc.cancer.gov/cases/fd3315da-c870-4ad0-9d2a-50b1647d3e46","TCGA-J8-A4HW-06A")</f>
        <v>TCGA-J8-A4HW-06A</v>
      </c>
      <c r="I19452" t="s">
        <v>333</v>
      </c>
      <c r="J19452" t="s">
        <v>584</v>
      </c>
      <c r="K19452" t="s">
        <v>19</v>
      </c>
      <c r="L19452" t="s">
        <v>335</v>
      </c>
      <c r="N19452" t="s">
        <v>22</v>
      </c>
    </row>
    <row r="19453" spans="1:14">
      <c r="A19453" s="4" t="str">
        <f t="shared" si="1353"/>
        <v>EXP00443</v>
      </c>
      <c r="B19453" s="3" t="s">
        <v>66</v>
      </c>
      <c r="C19453" s="4" t="str">
        <f t="shared" si="1354"/>
        <v>TCGA-THCA</v>
      </c>
      <c r="D19453" s="1" t="s">
        <v>493</v>
      </c>
      <c r="E19453" t="s">
        <v>583</v>
      </c>
      <c r="F19453" s="1">
        <v>2</v>
      </c>
      <c r="G19453" s="1" t="s">
        <v>28</v>
      </c>
      <c r="H19453" s="4" t="str">
        <f>HYPERLINK("https://portal.gdc.cancer.gov/cases/cd0c33c3-4427-471d-979e-79dc43f3a018","TCGA-DE-A4MD-01A")</f>
        <v>TCGA-DE-A4MD-01A</v>
      </c>
      <c r="I19453" t="s">
        <v>333</v>
      </c>
      <c r="J19453" t="s">
        <v>584</v>
      </c>
      <c r="K19453" t="s">
        <v>19</v>
      </c>
      <c r="L19453" t="s">
        <v>335</v>
      </c>
      <c r="N19453" t="s">
        <v>29</v>
      </c>
    </row>
    <row r="19454" spans="1:14">
      <c r="A19454" s="4" t="str">
        <f t="shared" si="1353"/>
        <v>EXP00443</v>
      </c>
      <c r="B19454" s="3" t="s">
        <v>66</v>
      </c>
      <c r="C19454" s="4" t="str">
        <f t="shared" si="1354"/>
        <v>TCGA-THCA</v>
      </c>
      <c r="D19454" s="1" t="s">
        <v>493</v>
      </c>
      <c r="E19454" t="s">
        <v>583</v>
      </c>
      <c r="F19454" s="1">
        <v>2</v>
      </c>
      <c r="G19454" s="1" t="s">
        <v>28</v>
      </c>
      <c r="H19454" s="4" t="str">
        <f>HYPERLINK("https://portal.gdc.cancer.gov/cases/7555e736-a9e2-4b96-a633-fb0f7224d62c","TCGA-EM-A2CS-01A")</f>
        <v>TCGA-EM-A2CS-01A</v>
      </c>
      <c r="I19454" t="s">
        <v>333</v>
      </c>
      <c r="J19454" t="s">
        <v>584</v>
      </c>
      <c r="K19454" t="s">
        <v>19</v>
      </c>
      <c r="L19454" t="s">
        <v>335</v>
      </c>
      <c r="N19454" t="s">
        <v>29</v>
      </c>
    </row>
    <row r="19455" spans="1:14">
      <c r="A19455" s="4" t="str">
        <f t="shared" si="1353"/>
        <v>EXP00443</v>
      </c>
      <c r="B19455" s="3" t="s">
        <v>66</v>
      </c>
      <c r="C19455" s="4" t="str">
        <f t="shared" si="1354"/>
        <v>TCGA-THCA</v>
      </c>
      <c r="D19455" s="1" t="s">
        <v>493</v>
      </c>
      <c r="E19455" t="s">
        <v>583</v>
      </c>
      <c r="F19455" s="1">
        <v>2</v>
      </c>
      <c r="G19455" s="1" t="s">
        <v>28</v>
      </c>
      <c r="H19455" s="4" t="str">
        <f>HYPERLINK("https://portal.gdc.cancer.gov/cases/9b6acc25-447d-4144-b4c0-ef52b8850d96","TCGA-EM-A2P1-01A")</f>
        <v>TCGA-EM-A2P1-01A</v>
      </c>
      <c r="I19455" t="s">
        <v>333</v>
      </c>
      <c r="J19455" t="s">
        <v>584</v>
      </c>
      <c r="K19455" t="s">
        <v>19</v>
      </c>
      <c r="L19455" t="s">
        <v>335</v>
      </c>
      <c r="N19455" t="s">
        <v>29</v>
      </c>
    </row>
    <row r="19456" spans="1:14">
      <c r="A19456" s="4" t="str">
        <f t="shared" si="1353"/>
        <v>EXP00443</v>
      </c>
      <c r="B19456" s="3" t="s">
        <v>66</v>
      </c>
      <c r="C19456" s="4" t="str">
        <f t="shared" si="1354"/>
        <v>TCGA-THCA</v>
      </c>
      <c r="D19456" s="1" t="s">
        <v>493</v>
      </c>
      <c r="E19456" t="s">
        <v>583</v>
      </c>
      <c r="F19456" s="1">
        <v>2</v>
      </c>
      <c r="G19456" s="1" t="s">
        <v>28</v>
      </c>
      <c r="H19456" s="4" t="str">
        <f>HYPERLINK("https://portal.gdc.cancer.gov/cases/fef9c64f-5959-4da0-aaa2-66b56fc7b4c3","TCGA-EM-A3FQ-01A")</f>
        <v>TCGA-EM-A3FQ-01A</v>
      </c>
      <c r="I19456" t="s">
        <v>333</v>
      </c>
      <c r="J19456" t="s">
        <v>584</v>
      </c>
      <c r="K19456" t="s">
        <v>19</v>
      </c>
      <c r="L19456" t="s">
        <v>335</v>
      </c>
      <c r="N19456" t="s">
        <v>29</v>
      </c>
    </row>
    <row r="19457" spans="1:14">
      <c r="A19457" s="4" t="str">
        <f t="shared" si="1353"/>
        <v>EXP00443</v>
      </c>
      <c r="B19457" s="3" t="s">
        <v>66</v>
      </c>
      <c r="C19457" s="4" t="str">
        <f t="shared" si="1354"/>
        <v>TCGA-THCA</v>
      </c>
      <c r="D19457" s="1" t="s">
        <v>493</v>
      </c>
      <c r="E19457" t="s">
        <v>583</v>
      </c>
      <c r="F19457" s="1">
        <v>2</v>
      </c>
      <c r="G19457" s="1" t="s">
        <v>28</v>
      </c>
      <c r="H19457" s="4" t="str">
        <f>HYPERLINK("https://portal.gdc.cancer.gov/cases/fe28f76e-7ead-4d29-8c53-a576ae6021f7","TCGA-EM-A3SU-01A")</f>
        <v>TCGA-EM-A3SU-01A</v>
      </c>
      <c r="I19457" t="s">
        <v>333</v>
      </c>
      <c r="J19457" t="s">
        <v>584</v>
      </c>
      <c r="K19457" t="s">
        <v>19</v>
      </c>
      <c r="L19457" t="s">
        <v>335</v>
      </c>
      <c r="N19457" t="s">
        <v>29</v>
      </c>
    </row>
    <row r="19458" spans="1:14">
      <c r="A19458" s="4" t="str">
        <f t="shared" si="1353"/>
        <v>EXP00443</v>
      </c>
      <c r="B19458" s="3" t="s">
        <v>66</v>
      </c>
      <c r="C19458" s="4" t="str">
        <f t="shared" si="1354"/>
        <v>TCGA-THCA</v>
      </c>
      <c r="D19458" s="1" t="s">
        <v>493</v>
      </c>
      <c r="E19458" t="s">
        <v>583</v>
      </c>
      <c r="F19458" s="1">
        <v>2</v>
      </c>
      <c r="G19458" s="1" t="s">
        <v>28</v>
      </c>
      <c r="H19458" s="4" t="str">
        <f>HYPERLINK("https://portal.gdc.cancer.gov/cases/039bfc94-fadd-440a-aade-a1595128583e","TCGA-J8-A3O2-01A")</f>
        <v>TCGA-J8-A3O2-01A</v>
      </c>
      <c r="I19458" t="s">
        <v>333</v>
      </c>
      <c r="J19458" t="s">
        <v>584</v>
      </c>
      <c r="K19458" t="s">
        <v>19</v>
      </c>
      <c r="L19458" t="s">
        <v>335</v>
      </c>
      <c r="N19458" t="s">
        <v>29</v>
      </c>
    </row>
    <row r="19459" spans="1:14">
      <c r="A19459" s="4" t="str">
        <f t="shared" si="1353"/>
        <v>EXP00443</v>
      </c>
      <c r="B19459" s="3" t="s">
        <v>66</v>
      </c>
      <c r="C19459" s="4" t="str">
        <f t="shared" si="1354"/>
        <v>TCGA-THCA</v>
      </c>
      <c r="D19459" s="1" t="s">
        <v>493</v>
      </c>
      <c r="E19459" t="s">
        <v>583</v>
      </c>
      <c r="F19459" s="1">
        <v>2</v>
      </c>
      <c r="G19459" s="1" t="s">
        <v>28</v>
      </c>
      <c r="H19459" s="4" t="str">
        <f>HYPERLINK("https://portal.gdc.cancer.gov/cases/a09b20b5-c187-4632-b996-0d5314a9885c","TCGA-J8-A3YH-01A")</f>
        <v>TCGA-J8-A3YH-01A</v>
      </c>
      <c r="I19459" t="s">
        <v>333</v>
      </c>
      <c r="J19459" t="s">
        <v>584</v>
      </c>
      <c r="K19459" t="s">
        <v>19</v>
      </c>
      <c r="L19459" t="s">
        <v>335</v>
      </c>
      <c r="N19459" t="s">
        <v>29</v>
      </c>
    </row>
    <row r="19460" spans="1:14">
      <c r="A19460" s="4" t="str">
        <f t="shared" si="1353"/>
        <v>EXP00443</v>
      </c>
      <c r="B19460" s="3" t="s">
        <v>66</v>
      </c>
      <c r="C19460" s="4" t="str">
        <f t="shared" si="1354"/>
        <v>TCGA-THCA</v>
      </c>
      <c r="D19460" s="1" t="s">
        <v>493</v>
      </c>
      <c r="E19460" t="s">
        <v>583</v>
      </c>
      <c r="F19460" s="1">
        <v>2</v>
      </c>
      <c r="G19460" s="1" t="s">
        <v>28</v>
      </c>
      <c r="H19460" s="4" t="str">
        <f>HYPERLINK("https://portal.gdc.cancer.gov/cases/fd3315da-c870-4ad0-9d2a-50b1647d3e46","TCGA-J8-A4HW-01A")</f>
        <v>TCGA-J8-A4HW-01A</v>
      </c>
      <c r="I19460" t="s">
        <v>333</v>
      </c>
      <c r="J19460" t="s">
        <v>584</v>
      </c>
      <c r="K19460" t="s">
        <v>19</v>
      </c>
      <c r="L19460" t="s">
        <v>335</v>
      </c>
      <c r="N19460" t="s">
        <v>29</v>
      </c>
    </row>
    <row r="19461" spans="1:14">
      <c r="A19461" s="4" t="str">
        <f t="shared" ref="A19461:A19470" si="1355">HYPERLINK("http://hcmdb.i-sanger.com/experiment/details/experiment_id/EXP00444","EXP00444")</f>
        <v>EXP00444</v>
      </c>
      <c r="B19461" s="3" t="s">
        <v>66</v>
      </c>
      <c r="C19461" s="4" t="str">
        <f t="shared" si="1354"/>
        <v>TCGA-THCA</v>
      </c>
      <c r="D19461" s="1" t="s">
        <v>493</v>
      </c>
      <c r="E19461" t="s">
        <v>585</v>
      </c>
      <c r="F19461" s="1">
        <v>1</v>
      </c>
      <c r="G19461" s="1" t="s">
        <v>586</v>
      </c>
      <c r="H19461" s="4" t="str">
        <f>HYPERLINK("https://portal.gdc.cancer.gov/cases/cd0c33c3-4427-471d-979e-79dc43f3a018","TCGA-DE-A4MD-01A")</f>
        <v>TCGA-DE-A4MD-01A</v>
      </c>
      <c r="I19461" t="s">
        <v>333</v>
      </c>
      <c r="J19461" t="s">
        <v>584</v>
      </c>
      <c r="K19461" t="s">
        <v>19</v>
      </c>
      <c r="L19461" t="s">
        <v>335</v>
      </c>
      <c r="N19461" t="s">
        <v>29</v>
      </c>
    </row>
    <row r="19462" spans="1:14">
      <c r="A19462" s="4" t="str">
        <f t="shared" si="1355"/>
        <v>EXP00444</v>
      </c>
      <c r="B19462" s="3" t="s">
        <v>66</v>
      </c>
      <c r="C19462" s="4" t="str">
        <f t="shared" si="1354"/>
        <v>TCGA-THCA</v>
      </c>
      <c r="D19462" s="1" t="s">
        <v>493</v>
      </c>
      <c r="E19462" t="s">
        <v>585</v>
      </c>
      <c r="F19462" s="1">
        <v>1</v>
      </c>
      <c r="G19462" s="1" t="s">
        <v>586</v>
      </c>
      <c r="H19462" s="4" t="str">
        <f>HYPERLINK("https://portal.gdc.cancer.gov/cases/7555e736-a9e2-4b96-a633-fb0f7224d62c","TCGA-EM-A2CS-01A")</f>
        <v>TCGA-EM-A2CS-01A</v>
      </c>
      <c r="I19462" t="s">
        <v>333</v>
      </c>
      <c r="J19462" t="s">
        <v>584</v>
      </c>
      <c r="K19462" t="s">
        <v>19</v>
      </c>
      <c r="L19462" t="s">
        <v>335</v>
      </c>
      <c r="N19462" t="s">
        <v>29</v>
      </c>
    </row>
    <row r="19463" spans="1:14">
      <c r="A19463" s="4" t="str">
        <f t="shared" si="1355"/>
        <v>EXP00444</v>
      </c>
      <c r="B19463" s="3" t="s">
        <v>66</v>
      </c>
      <c r="C19463" s="4" t="str">
        <f t="shared" si="1354"/>
        <v>TCGA-THCA</v>
      </c>
      <c r="D19463" s="1" t="s">
        <v>493</v>
      </c>
      <c r="E19463" t="s">
        <v>585</v>
      </c>
      <c r="F19463" s="1">
        <v>1</v>
      </c>
      <c r="G19463" s="1" t="s">
        <v>586</v>
      </c>
      <c r="H19463" s="4" t="str">
        <f>HYPERLINK("https://portal.gdc.cancer.gov/cases/9b6acc25-447d-4144-b4c0-ef52b8850d96","TCGA-EM-A2P1-01A")</f>
        <v>TCGA-EM-A2P1-01A</v>
      </c>
      <c r="I19463" t="s">
        <v>333</v>
      </c>
      <c r="J19463" t="s">
        <v>584</v>
      </c>
      <c r="K19463" t="s">
        <v>19</v>
      </c>
      <c r="L19463" t="s">
        <v>335</v>
      </c>
      <c r="N19463" t="s">
        <v>29</v>
      </c>
    </row>
    <row r="19464" spans="1:14">
      <c r="A19464" s="4" t="str">
        <f t="shared" si="1355"/>
        <v>EXP00444</v>
      </c>
      <c r="B19464" s="3" t="s">
        <v>66</v>
      </c>
      <c r="C19464" s="4" t="str">
        <f t="shared" si="1354"/>
        <v>TCGA-THCA</v>
      </c>
      <c r="D19464" s="1" t="s">
        <v>493</v>
      </c>
      <c r="E19464" t="s">
        <v>585</v>
      </c>
      <c r="F19464" s="1">
        <v>1</v>
      </c>
      <c r="G19464" s="1" t="s">
        <v>586</v>
      </c>
      <c r="H19464" s="4" t="str">
        <f>HYPERLINK("https://portal.gdc.cancer.gov/cases/fef9c64f-5959-4da0-aaa2-66b56fc7b4c3","TCGA-EM-A3FQ-01A")</f>
        <v>TCGA-EM-A3FQ-01A</v>
      </c>
      <c r="I19464" t="s">
        <v>333</v>
      </c>
      <c r="J19464" t="s">
        <v>584</v>
      </c>
      <c r="K19464" t="s">
        <v>19</v>
      </c>
      <c r="L19464" t="s">
        <v>335</v>
      </c>
      <c r="N19464" t="s">
        <v>29</v>
      </c>
    </row>
    <row r="19465" spans="1:14">
      <c r="A19465" s="4" t="str">
        <f t="shared" si="1355"/>
        <v>EXP00444</v>
      </c>
      <c r="B19465" s="3" t="s">
        <v>66</v>
      </c>
      <c r="C19465" s="4" t="str">
        <f t="shared" si="1354"/>
        <v>TCGA-THCA</v>
      </c>
      <c r="D19465" s="1" t="s">
        <v>493</v>
      </c>
      <c r="E19465" t="s">
        <v>585</v>
      </c>
      <c r="F19465" s="1">
        <v>1</v>
      </c>
      <c r="G19465" s="1" t="s">
        <v>586</v>
      </c>
      <c r="H19465" s="4" t="str">
        <f>HYPERLINK("https://portal.gdc.cancer.gov/cases/fe28f76e-7ead-4d29-8c53-a576ae6021f7","TCGA-EM-A3SU-01A")</f>
        <v>TCGA-EM-A3SU-01A</v>
      </c>
      <c r="I19465" t="s">
        <v>333</v>
      </c>
      <c r="J19465" t="s">
        <v>584</v>
      </c>
      <c r="K19465" t="s">
        <v>19</v>
      </c>
      <c r="L19465" t="s">
        <v>335</v>
      </c>
      <c r="N19465" t="s">
        <v>29</v>
      </c>
    </row>
    <row r="19466" spans="1:14">
      <c r="A19466" s="4" t="str">
        <f t="shared" si="1355"/>
        <v>EXP00444</v>
      </c>
      <c r="B19466" s="3" t="s">
        <v>66</v>
      </c>
      <c r="C19466" s="4" t="str">
        <f t="shared" si="1354"/>
        <v>TCGA-THCA</v>
      </c>
      <c r="D19466" s="1" t="s">
        <v>493</v>
      </c>
      <c r="E19466" t="s">
        <v>585</v>
      </c>
      <c r="F19466" s="1">
        <v>1</v>
      </c>
      <c r="G19466" s="1" t="s">
        <v>586</v>
      </c>
      <c r="H19466" s="4" t="str">
        <f>HYPERLINK("https://portal.gdc.cancer.gov/cases/039bfc94-fadd-440a-aade-a1595128583e","TCGA-J8-A3O2-01A")</f>
        <v>TCGA-J8-A3O2-01A</v>
      </c>
      <c r="I19466" t="s">
        <v>333</v>
      </c>
      <c r="J19466" t="s">
        <v>584</v>
      </c>
      <c r="K19466" t="s">
        <v>19</v>
      </c>
      <c r="L19466" t="s">
        <v>335</v>
      </c>
      <c r="N19466" t="s">
        <v>29</v>
      </c>
    </row>
    <row r="19467" spans="1:14">
      <c r="A19467" s="4" t="str">
        <f t="shared" si="1355"/>
        <v>EXP00444</v>
      </c>
      <c r="B19467" s="3" t="s">
        <v>66</v>
      </c>
      <c r="C19467" s="4" t="str">
        <f t="shared" si="1354"/>
        <v>TCGA-THCA</v>
      </c>
      <c r="D19467" s="1" t="s">
        <v>493</v>
      </c>
      <c r="E19467" t="s">
        <v>585</v>
      </c>
      <c r="F19467" s="1">
        <v>1</v>
      </c>
      <c r="G19467" s="1" t="s">
        <v>586</v>
      </c>
      <c r="H19467" s="4" t="str">
        <f>HYPERLINK("https://portal.gdc.cancer.gov/cases/a09b20b5-c187-4632-b996-0d5314a9885c","TCGA-J8-A3YH-01A")</f>
        <v>TCGA-J8-A3YH-01A</v>
      </c>
      <c r="I19467" t="s">
        <v>333</v>
      </c>
      <c r="J19467" t="s">
        <v>584</v>
      </c>
      <c r="K19467" t="s">
        <v>19</v>
      </c>
      <c r="L19467" t="s">
        <v>335</v>
      </c>
      <c r="N19467" t="s">
        <v>29</v>
      </c>
    </row>
    <row r="19468" spans="1:14">
      <c r="A19468" s="4" t="str">
        <f t="shared" si="1355"/>
        <v>EXP00444</v>
      </c>
      <c r="B19468" s="3" t="s">
        <v>66</v>
      </c>
      <c r="C19468" s="4" t="str">
        <f t="shared" si="1354"/>
        <v>TCGA-THCA</v>
      </c>
      <c r="D19468" s="1" t="s">
        <v>493</v>
      </c>
      <c r="E19468" t="s">
        <v>585</v>
      </c>
      <c r="F19468" s="1">
        <v>1</v>
      </c>
      <c r="G19468" s="1" t="s">
        <v>586</v>
      </c>
      <c r="H19468" s="4" t="str">
        <f>HYPERLINK("https://portal.gdc.cancer.gov/cases/fd3315da-c870-4ad0-9d2a-50b1647d3e46","TCGA-J8-A4HW-01A")</f>
        <v>TCGA-J8-A4HW-01A</v>
      </c>
      <c r="I19468" t="s">
        <v>333</v>
      </c>
      <c r="J19468" t="s">
        <v>584</v>
      </c>
      <c r="K19468" t="s">
        <v>19</v>
      </c>
      <c r="L19468" t="s">
        <v>335</v>
      </c>
      <c r="N19468" t="s">
        <v>29</v>
      </c>
    </row>
    <row r="19469" spans="1:14">
      <c r="A19469" s="4" t="str">
        <f t="shared" si="1355"/>
        <v>EXP00444</v>
      </c>
      <c r="B19469" s="3" t="s">
        <v>66</v>
      </c>
      <c r="C19469" s="4" t="str">
        <f t="shared" si="1354"/>
        <v>TCGA-THCA</v>
      </c>
      <c r="D19469" s="1" t="s">
        <v>493</v>
      </c>
      <c r="E19469" t="s">
        <v>585</v>
      </c>
      <c r="F19469" s="1">
        <v>2</v>
      </c>
      <c r="G19469" s="1" t="s">
        <v>587</v>
      </c>
      <c r="H19469" s="4" t="str">
        <f>HYPERLINK("https://portal.gdc.cancer.gov/cases/dde7ade8-de24-467f-855d-a422bbede407","TCGA-EL-A3GU-01A")</f>
        <v>TCGA-EL-A3GU-01A</v>
      </c>
      <c r="I19469" t="s">
        <v>333</v>
      </c>
      <c r="J19469" t="s">
        <v>584</v>
      </c>
      <c r="K19469" t="s">
        <v>19</v>
      </c>
      <c r="L19469" t="s">
        <v>335</v>
      </c>
      <c r="M19469" t="s">
        <v>41</v>
      </c>
      <c r="N19469" t="s">
        <v>29</v>
      </c>
    </row>
    <row r="19470" spans="1:14">
      <c r="A19470" s="4" t="str">
        <f t="shared" si="1355"/>
        <v>EXP00444</v>
      </c>
      <c r="B19470" s="3" t="s">
        <v>66</v>
      </c>
      <c r="C19470" s="4" t="str">
        <f t="shared" si="1354"/>
        <v>TCGA-THCA</v>
      </c>
      <c r="D19470" s="1" t="s">
        <v>493</v>
      </c>
      <c r="E19470" t="s">
        <v>585</v>
      </c>
      <c r="F19470" s="1">
        <v>2</v>
      </c>
      <c r="G19470" s="1" t="s">
        <v>587</v>
      </c>
      <c r="H19470" s="4" t="str">
        <f>HYPERLINK("https://portal.gdc.cancer.gov/cases/6befdc6a-27fc-4cde-979b-ffe05cd8603f","TCGA-ET-A40Q-01A")</f>
        <v>TCGA-ET-A40Q-01A</v>
      </c>
      <c r="I19470" t="s">
        <v>333</v>
      </c>
      <c r="J19470" t="s">
        <v>584</v>
      </c>
      <c r="K19470" t="s">
        <v>19</v>
      </c>
      <c r="L19470" t="s">
        <v>335</v>
      </c>
      <c r="M19470" t="s">
        <v>41</v>
      </c>
      <c r="N19470" t="s">
        <v>29</v>
      </c>
    </row>
    <row r="19471" spans="1:14">
      <c r="A19471" s="4" t="str">
        <f t="shared" ref="A19471:A19490" si="1356">HYPERLINK("http://hcmdb.i-sanger.com/experiment/details/experiment_id/EXP00445","EXP00445")</f>
        <v>EXP00445</v>
      </c>
      <c r="B19471" s="3" t="s">
        <v>66</v>
      </c>
      <c r="C19471" s="4" t="str">
        <f t="shared" si="1354"/>
        <v>TCGA-THCA</v>
      </c>
      <c r="D19471" s="1" t="s">
        <v>493</v>
      </c>
      <c r="E19471" t="s">
        <v>588</v>
      </c>
      <c r="F19471" s="1">
        <v>1</v>
      </c>
      <c r="G19471" s="1" t="s">
        <v>26</v>
      </c>
      <c r="H19471" s="4" t="str">
        <f>HYPERLINK("https://portal.gdc.cancer.gov/cases/cd0c33c3-4427-471d-979e-79dc43f3a018","TCGA-DE-A4MD-06A")</f>
        <v>TCGA-DE-A4MD-06A</v>
      </c>
      <c r="I19471" t="s">
        <v>333</v>
      </c>
      <c r="J19471" t="s">
        <v>584</v>
      </c>
      <c r="K19471" t="s">
        <v>19</v>
      </c>
      <c r="L19471" t="s">
        <v>335</v>
      </c>
      <c r="N19471" t="s">
        <v>22</v>
      </c>
    </row>
    <row r="19472" spans="1:14">
      <c r="A19472" s="4" t="str">
        <f t="shared" si="1356"/>
        <v>EXP00445</v>
      </c>
      <c r="B19472" s="3" t="s">
        <v>66</v>
      </c>
      <c r="C19472" s="4" t="str">
        <f t="shared" si="1354"/>
        <v>TCGA-THCA</v>
      </c>
      <c r="D19472" s="1" t="s">
        <v>493</v>
      </c>
      <c r="E19472" t="s">
        <v>588</v>
      </c>
      <c r="F19472" s="1">
        <v>1</v>
      </c>
      <c r="G19472" s="1" t="s">
        <v>26</v>
      </c>
      <c r="H19472" s="4" t="str">
        <f>HYPERLINK("https://portal.gdc.cancer.gov/cases/7555e736-a9e2-4b96-a633-fb0f7224d62c","TCGA-EM-A2CS-06A")</f>
        <v>TCGA-EM-A2CS-06A</v>
      </c>
      <c r="I19472" t="s">
        <v>333</v>
      </c>
      <c r="J19472" t="s">
        <v>584</v>
      </c>
      <c r="K19472" t="s">
        <v>19</v>
      </c>
      <c r="L19472" t="s">
        <v>335</v>
      </c>
      <c r="N19472" t="s">
        <v>22</v>
      </c>
    </row>
    <row r="19473" spans="1:14">
      <c r="A19473" s="4" t="str">
        <f t="shared" si="1356"/>
        <v>EXP00445</v>
      </c>
      <c r="B19473" s="3" t="s">
        <v>66</v>
      </c>
      <c r="C19473" s="4" t="str">
        <f t="shared" si="1354"/>
        <v>TCGA-THCA</v>
      </c>
      <c r="D19473" s="1" t="s">
        <v>493</v>
      </c>
      <c r="E19473" t="s">
        <v>588</v>
      </c>
      <c r="F19473" s="1">
        <v>1</v>
      </c>
      <c r="G19473" s="1" t="s">
        <v>26</v>
      </c>
      <c r="H19473" s="4" t="str">
        <f>HYPERLINK("https://portal.gdc.cancer.gov/cases/9b6acc25-447d-4144-b4c0-ef52b8850d96","TCGA-EM-A2P1-06A")</f>
        <v>TCGA-EM-A2P1-06A</v>
      </c>
      <c r="I19473" t="s">
        <v>333</v>
      </c>
      <c r="J19473" t="s">
        <v>584</v>
      </c>
      <c r="K19473" t="s">
        <v>19</v>
      </c>
      <c r="L19473" t="s">
        <v>335</v>
      </c>
      <c r="N19473" t="s">
        <v>22</v>
      </c>
    </row>
    <row r="19474" spans="1:14">
      <c r="A19474" s="4" t="str">
        <f t="shared" si="1356"/>
        <v>EXP00445</v>
      </c>
      <c r="B19474" s="3" t="s">
        <v>66</v>
      </c>
      <c r="C19474" s="4" t="str">
        <f t="shared" si="1354"/>
        <v>TCGA-THCA</v>
      </c>
      <c r="D19474" s="1" t="s">
        <v>493</v>
      </c>
      <c r="E19474" t="s">
        <v>588</v>
      </c>
      <c r="F19474" s="1">
        <v>1</v>
      </c>
      <c r="G19474" s="1" t="s">
        <v>26</v>
      </c>
      <c r="H19474" s="4" t="str">
        <f>HYPERLINK("https://portal.gdc.cancer.gov/cases/fef9c64f-5959-4da0-aaa2-66b56fc7b4c3","TCGA-EM-A3FQ-06A")</f>
        <v>TCGA-EM-A3FQ-06A</v>
      </c>
      <c r="I19474" t="s">
        <v>333</v>
      </c>
      <c r="J19474" t="s">
        <v>584</v>
      </c>
      <c r="K19474" t="s">
        <v>19</v>
      </c>
      <c r="L19474" t="s">
        <v>335</v>
      </c>
      <c r="N19474" t="s">
        <v>22</v>
      </c>
    </row>
    <row r="19475" spans="1:14">
      <c r="A19475" s="4" t="str">
        <f t="shared" si="1356"/>
        <v>EXP00445</v>
      </c>
      <c r="B19475" s="3" t="s">
        <v>66</v>
      </c>
      <c r="C19475" s="4" t="str">
        <f t="shared" si="1354"/>
        <v>TCGA-THCA</v>
      </c>
      <c r="D19475" s="1" t="s">
        <v>493</v>
      </c>
      <c r="E19475" t="s">
        <v>588</v>
      </c>
      <c r="F19475" s="1">
        <v>1</v>
      </c>
      <c r="G19475" s="1" t="s">
        <v>26</v>
      </c>
      <c r="H19475" s="4" t="str">
        <f>HYPERLINK("https://portal.gdc.cancer.gov/cases/fe28f76e-7ead-4d29-8c53-a576ae6021f7","TCGA-EM-A3SU-06A")</f>
        <v>TCGA-EM-A3SU-06A</v>
      </c>
      <c r="I19475" t="s">
        <v>333</v>
      </c>
      <c r="J19475" t="s">
        <v>584</v>
      </c>
      <c r="K19475" t="s">
        <v>19</v>
      </c>
      <c r="L19475" t="s">
        <v>335</v>
      </c>
      <c r="N19475" t="s">
        <v>22</v>
      </c>
    </row>
    <row r="19476" spans="1:14">
      <c r="A19476" s="4" t="str">
        <f t="shared" si="1356"/>
        <v>EXP00445</v>
      </c>
      <c r="B19476" s="3" t="s">
        <v>66</v>
      </c>
      <c r="C19476" s="4" t="str">
        <f t="shared" si="1354"/>
        <v>TCGA-THCA</v>
      </c>
      <c r="D19476" s="1" t="s">
        <v>493</v>
      </c>
      <c r="E19476" t="s">
        <v>588</v>
      </c>
      <c r="F19476" s="1">
        <v>1</v>
      </c>
      <c r="G19476" s="1" t="s">
        <v>26</v>
      </c>
      <c r="H19476" s="4" t="str">
        <f>HYPERLINK("https://portal.gdc.cancer.gov/cases/039bfc94-fadd-440a-aade-a1595128583e","TCGA-J8-A3O2-06A")</f>
        <v>TCGA-J8-A3O2-06A</v>
      </c>
      <c r="I19476" t="s">
        <v>333</v>
      </c>
      <c r="J19476" t="s">
        <v>584</v>
      </c>
      <c r="K19476" t="s">
        <v>19</v>
      </c>
      <c r="L19476" t="s">
        <v>335</v>
      </c>
      <c r="N19476" t="s">
        <v>22</v>
      </c>
    </row>
    <row r="19477" spans="1:14">
      <c r="A19477" s="4" t="str">
        <f t="shared" si="1356"/>
        <v>EXP00445</v>
      </c>
      <c r="B19477" s="3" t="s">
        <v>66</v>
      </c>
      <c r="C19477" s="4" t="str">
        <f t="shared" si="1354"/>
        <v>TCGA-THCA</v>
      </c>
      <c r="D19477" s="1" t="s">
        <v>493</v>
      </c>
      <c r="E19477" t="s">
        <v>588</v>
      </c>
      <c r="F19477" s="1">
        <v>1</v>
      </c>
      <c r="G19477" s="1" t="s">
        <v>26</v>
      </c>
      <c r="H19477" s="4" t="str">
        <f>HYPERLINK("https://portal.gdc.cancer.gov/cases/a09b20b5-c187-4632-b996-0d5314a9885c","TCGA-J8-A3YH-06A")</f>
        <v>TCGA-J8-A3YH-06A</v>
      </c>
      <c r="I19477" t="s">
        <v>333</v>
      </c>
      <c r="J19477" t="s">
        <v>584</v>
      </c>
      <c r="K19477" t="s">
        <v>19</v>
      </c>
      <c r="L19477" t="s">
        <v>335</v>
      </c>
      <c r="N19477" t="s">
        <v>22</v>
      </c>
    </row>
    <row r="19478" spans="1:14">
      <c r="A19478" s="4" t="str">
        <f t="shared" si="1356"/>
        <v>EXP00445</v>
      </c>
      <c r="B19478" s="3" t="s">
        <v>66</v>
      </c>
      <c r="C19478" s="4" t="str">
        <f t="shared" si="1354"/>
        <v>TCGA-THCA</v>
      </c>
      <c r="D19478" s="1" t="s">
        <v>493</v>
      </c>
      <c r="E19478" t="s">
        <v>588</v>
      </c>
      <c r="F19478" s="1">
        <v>1</v>
      </c>
      <c r="G19478" s="1" t="s">
        <v>26</v>
      </c>
      <c r="H19478" s="4" t="str">
        <f>HYPERLINK("https://portal.gdc.cancer.gov/cases/fd3315da-c870-4ad0-9d2a-50b1647d3e46","TCGA-J8-A4HW-06A")</f>
        <v>TCGA-J8-A4HW-06A</v>
      </c>
      <c r="I19478" t="s">
        <v>333</v>
      </c>
      <c r="J19478" t="s">
        <v>584</v>
      </c>
      <c r="K19478" t="s">
        <v>19</v>
      </c>
      <c r="L19478" t="s">
        <v>335</v>
      </c>
      <c r="N19478" t="s">
        <v>22</v>
      </c>
    </row>
    <row r="19479" spans="1:14">
      <c r="A19479" s="4" t="str">
        <f t="shared" si="1356"/>
        <v>EXP00445</v>
      </c>
      <c r="B19479" s="3" t="s">
        <v>66</v>
      </c>
      <c r="C19479" s="4" t="str">
        <f t="shared" si="1354"/>
        <v>TCGA-THCA</v>
      </c>
      <c r="D19479" s="1" t="s">
        <v>493</v>
      </c>
      <c r="E19479" t="s">
        <v>588</v>
      </c>
      <c r="F19479" s="1">
        <v>2</v>
      </c>
      <c r="G19479" s="1" t="s">
        <v>28</v>
      </c>
      <c r="H19479" s="4" t="str">
        <f>HYPERLINK("https://portal.gdc.cancer.gov/cases/4cccc34b-daf6-41ca-9bf8-f1614525eac9","TCGA-BJ-A3PU-01A")</f>
        <v>TCGA-BJ-A3PU-01A</v>
      </c>
      <c r="I19479" t="s">
        <v>333</v>
      </c>
      <c r="J19479" t="s">
        <v>584</v>
      </c>
      <c r="K19479" t="s">
        <v>19</v>
      </c>
      <c r="L19479" t="s">
        <v>335</v>
      </c>
      <c r="M19479" t="s">
        <v>512</v>
      </c>
      <c r="N19479" t="s">
        <v>29</v>
      </c>
    </row>
    <row r="19480" spans="1:14">
      <c r="A19480" s="4" t="str">
        <f t="shared" si="1356"/>
        <v>EXP00445</v>
      </c>
      <c r="B19480" s="3" t="s">
        <v>66</v>
      </c>
      <c r="C19480" s="4" t="str">
        <f t="shared" si="1354"/>
        <v>TCGA-THCA</v>
      </c>
      <c r="D19480" s="1" t="s">
        <v>493</v>
      </c>
      <c r="E19480" t="s">
        <v>588</v>
      </c>
      <c r="F19480" s="1">
        <v>2</v>
      </c>
      <c r="G19480" s="1" t="s">
        <v>28</v>
      </c>
      <c r="H19480" s="4" t="str">
        <f>HYPERLINK("https://portal.gdc.cancer.gov/cases/cd0c33c3-4427-471d-979e-79dc43f3a018","TCGA-DE-A4MD-01A")</f>
        <v>TCGA-DE-A4MD-01A</v>
      </c>
      <c r="I19480" t="s">
        <v>333</v>
      </c>
      <c r="J19480" t="s">
        <v>584</v>
      </c>
      <c r="K19480" t="s">
        <v>19</v>
      </c>
      <c r="L19480" t="s">
        <v>335</v>
      </c>
      <c r="N19480" t="s">
        <v>29</v>
      </c>
    </row>
    <row r="19481" spans="1:14">
      <c r="A19481" s="4" t="str">
        <f t="shared" si="1356"/>
        <v>EXP00445</v>
      </c>
      <c r="B19481" s="3" t="s">
        <v>66</v>
      </c>
      <c r="C19481" s="4" t="str">
        <f t="shared" si="1354"/>
        <v>TCGA-THCA</v>
      </c>
      <c r="D19481" s="1" t="s">
        <v>493</v>
      </c>
      <c r="E19481" t="s">
        <v>588</v>
      </c>
      <c r="F19481" s="1">
        <v>2</v>
      </c>
      <c r="G19481" s="1" t="s">
        <v>28</v>
      </c>
      <c r="H19481" s="4" t="str">
        <f>HYPERLINK("https://portal.gdc.cancer.gov/cases/dde7ade8-de24-467f-855d-a422bbede407","TCGA-EL-A3GU-01A")</f>
        <v>TCGA-EL-A3GU-01A</v>
      </c>
      <c r="I19481" t="s">
        <v>333</v>
      </c>
      <c r="J19481" t="s">
        <v>584</v>
      </c>
      <c r="K19481" t="s">
        <v>19</v>
      </c>
      <c r="L19481" t="s">
        <v>335</v>
      </c>
      <c r="M19481" t="s">
        <v>41</v>
      </c>
      <c r="N19481" t="s">
        <v>29</v>
      </c>
    </row>
    <row r="19482" spans="1:14">
      <c r="A19482" s="4" t="str">
        <f t="shared" si="1356"/>
        <v>EXP00445</v>
      </c>
      <c r="B19482" s="3" t="s">
        <v>66</v>
      </c>
      <c r="C19482" s="4" t="str">
        <f t="shared" si="1354"/>
        <v>TCGA-THCA</v>
      </c>
      <c r="D19482" s="1" t="s">
        <v>493</v>
      </c>
      <c r="E19482" t="s">
        <v>588</v>
      </c>
      <c r="F19482" s="1">
        <v>2</v>
      </c>
      <c r="G19482" s="1" t="s">
        <v>28</v>
      </c>
      <c r="H19482" s="4" t="str">
        <f>HYPERLINK("https://portal.gdc.cancer.gov/cases/ea2c873a-ea52-4920-8d20-554d5fa8ddc1","TCGA-EL-A3MX-01A")</f>
        <v>TCGA-EL-A3MX-01A</v>
      </c>
      <c r="I19482" t="s">
        <v>333</v>
      </c>
      <c r="J19482" t="s">
        <v>584</v>
      </c>
      <c r="K19482" t="s">
        <v>19</v>
      </c>
      <c r="L19482" t="s">
        <v>335</v>
      </c>
      <c r="M19482" t="s">
        <v>503</v>
      </c>
      <c r="N19482" t="s">
        <v>29</v>
      </c>
    </row>
    <row r="19483" spans="1:14">
      <c r="A19483" s="4" t="str">
        <f t="shared" si="1356"/>
        <v>EXP00445</v>
      </c>
      <c r="B19483" s="3" t="s">
        <v>66</v>
      </c>
      <c r="C19483" s="4" t="str">
        <f t="shared" si="1354"/>
        <v>TCGA-THCA</v>
      </c>
      <c r="D19483" s="1" t="s">
        <v>493</v>
      </c>
      <c r="E19483" t="s">
        <v>588</v>
      </c>
      <c r="F19483" s="1">
        <v>2</v>
      </c>
      <c r="G19483" s="1" t="s">
        <v>28</v>
      </c>
      <c r="H19483" s="4" t="str">
        <f>HYPERLINK("https://portal.gdc.cancer.gov/cases/7555e736-a9e2-4b96-a633-fb0f7224d62c","TCGA-EM-A2CS-01A")</f>
        <v>TCGA-EM-A2CS-01A</v>
      </c>
      <c r="I19483" t="s">
        <v>333</v>
      </c>
      <c r="J19483" t="s">
        <v>584</v>
      </c>
      <c r="K19483" t="s">
        <v>19</v>
      </c>
      <c r="L19483" t="s">
        <v>335</v>
      </c>
      <c r="N19483" t="s">
        <v>29</v>
      </c>
    </row>
    <row r="19484" spans="1:14">
      <c r="A19484" s="4" t="str">
        <f t="shared" si="1356"/>
        <v>EXP00445</v>
      </c>
      <c r="B19484" s="3" t="s">
        <v>66</v>
      </c>
      <c r="C19484" s="4" t="str">
        <f t="shared" si="1354"/>
        <v>TCGA-THCA</v>
      </c>
      <c r="D19484" s="1" t="s">
        <v>493</v>
      </c>
      <c r="E19484" t="s">
        <v>588</v>
      </c>
      <c r="F19484" s="1">
        <v>2</v>
      </c>
      <c r="G19484" s="1" t="s">
        <v>28</v>
      </c>
      <c r="H19484" s="4" t="str">
        <f>HYPERLINK("https://portal.gdc.cancer.gov/cases/9b6acc25-447d-4144-b4c0-ef52b8850d96","TCGA-EM-A2P1-01A")</f>
        <v>TCGA-EM-A2P1-01A</v>
      </c>
      <c r="I19484" t="s">
        <v>333</v>
      </c>
      <c r="J19484" t="s">
        <v>584</v>
      </c>
      <c r="K19484" t="s">
        <v>19</v>
      </c>
      <c r="L19484" t="s">
        <v>335</v>
      </c>
      <c r="N19484" t="s">
        <v>29</v>
      </c>
    </row>
    <row r="19485" spans="1:14">
      <c r="A19485" s="4" t="str">
        <f t="shared" si="1356"/>
        <v>EXP00445</v>
      </c>
      <c r="B19485" s="3" t="s">
        <v>66</v>
      </c>
      <c r="C19485" s="4" t="str">
        <f t="shared" si="1354"/>
        <v>TCGA-THCA</v>
      </c>
      <c r="D19485" s="1" t="s">
        <v>493</v>
      </c>
      <c r="E19485" t="s">
        <v>588</v>
      </c>
      <c r="F19485" s="1">
        <v>2</v>
      </c>
      <c r="G19485" s="1" t="s">
        <v>28</v>
      </c>
      <c r="H19485" s="4" t="str">
        <f>HYPERLINK("https://portal.gdc.cancer.gov/cases/fef9c64f-5959-4da0-aaa2-66b56fc7b4c3","TCGA-EM-A3FQ-01A")</f>
        <v>TCGA-EM-A3FQ-01A</v>
      </c>
      <c r="I19485" t="s">
        <v>333</v>
      </c>
      <c r="J19485" t="s">
        <v>584</v>
      </c>
      <c r="K19485" t="s">
        <v>19</v>
      </c>
      <c r="L19485" t="s">
        <v>335</v>
      </c>
      <c r="N19485" t="s">
        <v>29</v>
      </c>
    </row>
    <row r="19486" spans="1:14">
      <c r="A19486" s="4" t="str">
        <f t="shared" si="1356"/>
        <v>EXP00445</v>
      </c>
      <c r="B19486" s="3" t="s">
        <v>66</v>
      </c>
      <c r="C19486" s="4" t="str">
        <f t="shared" si="1354"/>
        <v>TCGA-THCA</v>
      </c>
      <c r="D19486" s="1" t="s">
        <v>493</v>
      </c>
      <c r="E19486" t="s">
        <v>588</v>
      </c>
      <c r="F19486" s="1">
        <v>2</v>
      </c>
      <c r="G19486" s="1" t="s">
        <v>28</v>
      </c>
      <c r="H19486" s="4" t="str">
        <f>HYPERLINK("https://portal.gdc.cancer.gov/cases/fe28f76e-7ead-4d29-8c53-a576ae6021f7","TCGA-EM-A3SU-01A")</f>
        <v>TCGA-EM-A3SU-01A</v>
      </c>
      <c r="I19486" t="s">
        <v>333</v>
      </c>
      <c r="J19486" t="s">
        <v>584</v>
      </c>
      <c r="K19486" t="s">
        <v>19</v>
      </c>
      <c r="L19486" t="s">
        <v>335</v>
      </c>
      <c r="N19486" t="s">
        <v>29</v>
      </c>
    </row>
    <row r="19487" spans="1:14">
      <c r="A19487" s="4" t="str">
        <f t="shared" si="1356"/>
        <v>EXP00445</v>
      </c>
      <c r="B19487" s="3" t="s">
        <v>66</v>
      </c>
      <c r="C19487" s="4" t="str">
        <f t="shared" si="1354"/>
        <v>TCGA-THCA</v>
      </c>
      <c r="D19487" s="1" t="s">
        <v>493</v>
      </c>
      <c r="E19487" t="s">
        <v>588</v>
      </c>
      <c r="F19487" s="1">
        <v>2</v>
      </c>
      <c r="G19487" s="1" t="s">
        <v>28</v>
      </c>
      <c r="H19487" s="4" t="str">
        <f>HYPERLINK("https://portal.gdc.cancer.gov/cases/6befdc6a-27fc-4cde-979b-ffe05cd8603f","TCGA-ET-A40Q-01A")</f>
        <v>TCGA-ET-A40Q-01A</v>
      </c>
      <c r="I19487" t="s">
        <v>333</v>
      </c>
      <c r="J19487" t="s">
        <v>584</v>
      </c>
      <c r="K19487" t="s">
        <v>19</v>
      </c>
      <c r="L19487" t="s">
        <v>335</v>
      </c>
      <c r="M19487" t="s">
        <v>41</v>
      </c>
      <c r="N19487" t="s">
        <v>29</v>
      </c>
    </row>
    <row r="19488" spans="1:14">
      <c r="A19488" s="4" t="str">
        <f t="shared" si="1356"/>
        <v>EXP00445</v>
      </c>
      <c r="B19488" s="3" t="s">
        <v>66</v>
      </c>
      <c r="C19488" s="4" t="str">
        <f t="shared" si="1354"/>
        <v>TCGA-THCA</v>
      </c>
      <c r="D19488" s="1" t="s">
        <v>493</v>
      </c>
      <c r="E19488" t="s">
        <v>588</v>
      </c>
      <c r="F19488" s="1">
        <v>2</v>
      </c>
      <c r="G19488" s="1" t="s">
        <v>28</v>
      </c>
      <c r="H19488" s="4" t="str">
        <f>HYPERLINK("https://portal.gdc.cancer.gov/cases/039bfc94-fadd-440a-aade-a1595128583e","TCGA-J8-A3O2-01A")</f>
        <v>TCGA-J8-A3O2-01A</v>
      </c>
      <c r="I19488" t="s">
        <v>333</v>
      </c>
      <c r="J19488" t="s">
        <v>584</v>
      </c>
      <c r="K19488" t="s">
        <v>19</v>
      </c>
      <c r="L19488" t="s">
        <v>335</v>
      </c>
      <c r="N19488" t="s">
        <v>29</v>
      </c>
    </row>
    <row r="19489" spans="1:14">
      <c r="A19489" s="4" t="str">
        <f t="shared" si="1356"/>
        <v>EXP00445</v>
      </c>
      <c r="B19489" s="3" t="s">
        <v>66</v>
      </c>
      <c r="C19489" s="4" t="str">
        <f t="shared" si="1354"/>
        <v>TCGA-THCA</v>
      </c>
      <c r="D19489" s="1" t="s">
        <v>493</v>
      </c>
      <c r="E19489" t="s">
        <v>588</v>
      </c>
      <c r="F19489" s="1">
        <v>2</v>
      </c>
      <c r="G19489" s="1" t="s">
        <v>28</v>
      </c>
      <c r="H19489" s="4" t="str">
        <f>HYPERLINK("https://portal.gdc.cancer.gov/cases/a09b20b5-c187-4632-b996-0d5314a9885c","TCGA-J8-A3YH-01A")</f>
        <v>TCGA-J8-A3YH-01A</v>
      </c>
      <c r="I19489" t="s">
        <v>333</v>
      </c>
      <c r="J19489" t="s">
        <v>584</v>
      </c>
      <c r="K19489" t="s">
        <v>19</v>
      </c>
      <c r="L19489" t="s">
        <v>335</v>
      </c>
      <c r="N19489" t="s">
        <v>29</v>
      </c>
    </row>
    <row r="19490" spans="1:14">
      <c r="A19490" s="4" t="str">
        <f t="shared" si="1356"/>
        <v>EXP00445</v>
      </c>
      <c r="B19490" s="3" t="s">
        <v>66</v>
      </c>
      <c r="C19490" s="4" t="str">
        <f t="shared" si="1354"/>
        <v>TCGA-THCA</v>
      </c>
      <c r="D19490" s="1" t="s">
        <v>493</v>
      </c>
      <c r="E19490" t="s">
        <v>588</v>
      </c>
      <c r="F19490" s="1">
        <v>2</v>
      </c>
      <c r="G19490" s="1" t="s">
        <v>28</v>
      </c>
      <c r="H19490" s="4" t="str">
        <f>HYPERLINK("https://portal.gdc.cancer.gov/cases/fd3315da-c870-4ad0-9d2a-50b1647d3e46","TCGA-J8-A4HW-01A")</f>
        <v>TCGA-J8-A4HW-01A</v>
      </c>
      <c r="I19490" t="s">
        <v>333</v>
      </c>
      <c r="J19490" t="s">
        <v>584</v>
      </c>
      <c r="K19490" t="s">
        <v>19</v>
      </c>
      <c r="L19490" t="s">
        <v>335</v>
      </c>
      <c r="N19490" t="s">
        <v>29</v>
      </c>
    </row>
    <row r="19491" spans="1:14">
      <c r="A19491" s="4" t="str">
        <f t="shared" ref="A19491:A19504" si="1357">HYPERLINK("http://hcmdb.i-sanger.com/experiment/details/experiment_id/EXP00446","EXP00446")</f>
        <v>EXP00446</v>
      </c>
      <c r="B19491" s="3" t="s">
        <v>66</v>
      </c>
      <c r="C19491" s="4" t="str">
        <f t="shared" si="1354"/>
        <v>TCGA-THCA</v>
      </c>
      <c r="D19491" s="1" t="s">
        <v>493</v>
      </c>
      <c r="E19491" t="s">
        <v>589</v>
      </c>
      <c r="F19491" s="1">
        <v>1</v>
      </c>
      <c r="G19491" s="1" t="s">
        <v>36</v>
      </c>
      <c r="H19491" s="4" t="str">
        <f>HYPERLINK("https://portal.gdc.cancer.gov/cases/4cccc34b-daf6-41ca-9bf8-f1614525eac9","TCGA-BJ-A3PU-11A")</f>
        <v>TCGA-BJ-A3PU-11A</v>
      </c>
      <c r="I19491" t="s">
        <v>333</v>
      </c>
      <c r="J19491" t="s">
        <v>584</v>
      </c>
      <c r="K19491" t="s">
        <v>19</v>
      </c>
      <c r="L19491" t="s">
        <v>335</v>
      </c>
      <c r="M19491" t="s">
        <v>512</v>
      </c>
      <c r="N19491" t="s">
        <v>37</v>
      </c>
    </row>
    <row r="19492" spans="1:14">
      <c r="A19492" s="4" t="str">
        <f t="shared" si="1357"/>
        <v>EXP00446</v>
      </c>
      <c r="B19492" s="3" t="s">
        <v>66</v>
      </c>
      <c r="C19492" s="4" t="str">
        <f t="shared" si="1354"/>
        <v>TCGA-THCA</v>
      </c>
      <c r="D19492" s="1" t="s">
        <v>493</v>
      </c>
      <c r="E19492" t="s">
        <v>589</v>
      </c>
      <c r="F19492" s="1">
        <v>1</v>
      </c>
      <c r="G19492" s="1" t="s">
        <v>36</v>
      </c>
      <c r="H19492" s="4" t="str">
        <f>HYPERLINK("https://portal.gdc.cancer.gov/cases/ea2c873a-ea52-4920-8d20-554d5fa8ddc1","TCGA-EL-A3MX-11A")</f>
        <v>TCGA-EL-A3MX-11A</v>
      </c>
      <c r="I19492" t="s">
        <v>333</v>
      </c>
      <c r="J19492" t="s">
        <v>584</v>
      </c>
      <c r="K19492" t="s">
        <v>19</v>
      </c>
      <c r="L19492" t="s">
        <v>335</v>
      </c>
      <c r="M19492" t="s">
        <v>503</v>
      </c>
      <c r="N19492" t="s">
        <v>37</v>
      </c>
    </row>
    <row r="19493" spans="1:14">
      <c r="A19493" s="4" t="str">
        <f t="shared" si="1357"/>
        <v>EXP00446</v>
      </c>
      <c r="B19493" s="3" t="s">
        <v>66</v>
      </c>
      <c r="C19493" s="4" t="str">
        <f t="shared" si="1354"/>
        <v>TCGA-THCA</v>
      </c>
      <c r="D19493" s="1" t="s">
        <v>493</v>
      </c>
      <c r="E19493" t="s">
        <v>589</v>
      </c>
      <c r="F19493" s="1">
        <v>2</v>
      </c>
      <c r="G19493" s="1" t="s">
        <v>28</v>
      </c>
      <c r="H19493" s="4" t="str">
        <f>HYPERLINK("https://portal.gdc.cancer.gov/cases/4cccc34b-daf6-41ca-9bf8-f1614525eac9","TCGA-BJ-A3PU-01A")</f>
        <v>TCGA-BJ-A3PU-01A</v>
      </c>
      <c r="I19493" t="s">
        <v>333</v>
      </c>
      <c r="J19493" t="s">
        <v>584</v>
      </c>
      <c r="K19493" t="s">
        <v>19</v>
      </c>
      <c r="L19493" t="s">
        <v>335</v>
      </c>
      <c r="M19493" t="s">
        <v>512</v>
      </c>
      <c r="N19493" t="s">
        <v>29</v>
      </c>
    </row>
    <row r="19494" spans="1:14">
      <c r="A19494" s="4" t="str">
        <f t="shared" si="1357"/>
        <v>EXP00446</v>
      </c>
      <c r="B19494" s="3" t="s">
        <v>66</v>
      </c>
      <c r="C19494" s="4" t="str">
        <f t="shared" si="1354"/>
        <v>TCGA-THCA</v>
      </c>
      <c r="D19494" s="1" t="s">
        <v>493</v>
      </c>
      <c r="E19494" t="s">
        <v>589</v>
      </c>
      <c r="F19494" s="1">
        <v>2</v>
      </c>
      <c r="G19494" s="1" t="s">
        <v>28</v>
      </c>
      <c r="H19494" s="4" t="str">
        <f>HYPERLINK("https://portal.gdc.cancer.gov/cases/cd0c33c3-4427-471d-979e-79dc43f3a018","TCGA-DE-A4MD-01A")</f>
        <v>TCGA-DE-A4MD-01A</v>
      </c>
      <c r="I19494" t="s">
        <v>333</v>
      </c>
      <c r="J19494" t="s">
        <v>584</v>
      </c>
      <c r="K19494" t="s">
        <v>19</v>
      </c>
      <c r="L19494" t="s">
        <v>335</v>
      </c>
      <c r="N19494" t="s">
        <v>29</v>
      </c>
    </row>
    <row r="19495" spans="1:14">
      <c r="A19495" s="4" t="str">
        <f t="shared" si="1357"/>
        <v>EXP00446</v>
      </c>
      <c r="B19495" s="3" t="s">
        <v>66</v>
      </c>
      <c r="C19495" s="4" t="str">
        <f t="shared" si="1354"/>
        <v>TCGA-THCA</v>
      </c>
      <c r="D19495" s="1" t="s">
        <v>493</v>
      </c>
      <c r="E19495" t="s">
        <v>589</v>
      </c>
      <c r="F19495" s="1">
        <v>2</v>
      </c>
      <c r="G19495" s="1" t="s">
        <v>28</v>
      </c>
      <c r="H19495" s="4" t="str">
        <f>HYPERLINK("https://portal.gdc.cancer.gov/cases/dde7ade8-de24-467f-855d-a422bbede407","TCGA-EL-A3GU-01A")</f>
        <v>TCGA-EL-A3GU-01A</v>
      </c>
      <c r="I19495" t="s">
        <v>333</v>
      </c>
      <c r="J19495" t="s">
        <v>584</v>
      </c>
      <c r="K19495" t="s">
        <v>19</v>
      </c>
      <c r="L19495" t="s">
        <v>335</v>
      </c>
      <c r="M19495" t="s">
        <v>41</v>
      </c>
      <c r="N19495" t="s">
        <v>29</v>
      </c>
    </row>
    <row r="19496" spans="1:14">
      <c r="A19496" s="4" t="str">
        <f t="shared" si="1357"/>
        <v>EXP00446</v>
      </c>
      <c r="B19496" s="3" t="s">
        <v>66</v>
      </c>
      <c r="C19496" s="4" t="str">
        <f t="shared" si="1354"/>
        <v>TCGA-THCA</v>
      </c>
      <c r="D19496" s="1" t="s">
        <v>493</v>
      </c>
      <c r="E19496" t="s">
        <v>589</v>
      </c>
      <c r="F19496" s="1">
        <v>2</v>
      </c>
      <c r="G19496" s="1" t="s">
        <v>28</v>
      </c>
      <c r="H19496" s="4" t="str">
        <f>HYPERLINK("https://portal.gdc.cancer.gov/cases/ea2c873a-ea52-4920-8d20-554d5fa8ddc1","TCGA-EL-A3MX-01A")</f>
        <v>TCGA-EL-A3MX-01A</v>
      </c>
      <c r="I19496" t="s">
        <v>333</v>
      </c>
      <c r="J19496" t="s">
        <v>584</v>
      </c>
      <c r="K19496" t="s">
        <v>19</v>
      </c>
      <c r="L19496" t="s">
        <v>335</v>
      </c>
      <c r="M19496" t="s">
        <v>503</v>
      </c>
      <c r="N19496" t="s">
        <v>29</v>
      </c>
    </row>
    <row r="19497" spans="1:14">
      <c r="A19497" s="4" t="str">
        <f t="shared" si="1357"/>
        <v>EXP00446</v>
      </c>
      <c r="B19497" s="3" t="s">
        <v>66</v>
      </c>
      <c r="C19497" s="4" t="str">
        <f t="shared" si="1354"/>
        <v>TCGA-THCA</v>
      </c>
      <c r="D19497" s="1" t="s">
        <v>493</v>
      </c>
      <c r="E19497" t="s">
        <v>589</v>
      </c>
      <c r="F19497" s="1">
        <v>2</v>
      </c>
      <c r="G19497" s="1" t="s">
        <v>28</v>
      </c>
      <c r="H19497" s="4" t="str">
        <f>HYPERLINK("https://portal.gdc.cancer.gov/cases/7555e736-a9e2-4b96-a633-fb0f7224d62c","TCGA-EM-A2CS-01A")</f>
        <v>TCGA-EM-A2CS-01A</v>
      </c>
      <c r="I19497" t="s">
        <v>333</v>
      </c>
      <c r="J19497" t="s">
        <v>584</v>
      </c>
      <c r="K19497" t="s">
        <v>19</v>
      </c>
      <c r="L19497" t="s">
        <v>335</v>
      </c>
      <c r="N19497" t="s">
        <v>29</v>
      </c>
    </row>
    <row r="19498" spans="1:14">
      <c r="A19498" s="4" t="str">
        <f t="shared" si="1357"/>
        <v>EXP00446</v>
      </c>
      <c r="B19498" s="3" t="s">
        <v>66</v>
      </c>
      <c r="C19498" s="4" t="str">
        <f t="shared" si="1354"/>
        <v>TCGA-THCA</v>
      </c>
      <c r="D19498" s="1" t="s">
        <v>493</v>
      </c>
      <c r="E19498" t="s">
        <v>589</v>
      </c>
      <c r="F19498" s="1">
        <v>2</v>
      </c>
      <c r="G19498" s="1" t="s">
        <v>28</v>
      </c>
      <c r="H19498" s="4" t="str">
        <f>HYPERLINK("https://portal.gdc.cancer.gov/cases/9b6acc25-447d-4144-b4c0-ef52b8850d96","TCGA-EM-A2P1-01A")</f>
        <v>TCGA-EM-A2P1-01A</v>
      </c>
      <c r="I19498" t="s">
        <v>333</v>
      </c>
      <c r="J19498" t="s">
        <v>584</v>
      </c>
      <c r="K19498" t="s">
        <v>19</v>
      </c>
      <c r="L19498" t="s">
        <v>335</v>
      </c>
      <c r="N19498" t="s">
        <v>29</v>
      </c>
    </row>
    <row r="19499" spans="1:14">
      <c r="A19499" s="4" t="str">
        <f t="shared" si="1357"/>
        <v>EXP00446</v>
      </c>
      <c r="B19499" s="3" t="s">
        <v>66</v>
      </c>
      <c r="C19499" s="4" t="str">
        <f t="shared" si="1354"/>
        <v>TCGA-THCA</v>
      </c>
      <c r="D19499" s="1" t="s">
        <v>493</v>
      </c>
      <c r="E19499" t="s">
        <v>589</v>
      </c>
      <c r="F19499" s="1">
        <v>2</v>
      </c>
      <c r="G19499" s="1" t="s">
        <v>28</v>
      </c>
      <c r="H19499" s="4" t="str">
        <f>HYPERLINK("https://portal.gdc.cancer.gov/cases/fef9c64f-5959-4da0-aaa2-66b56fc7b4c3","TCGA-EM-A3FQ-01A")</f>
        <v>TCGA-EM-A3FQ-01A</v>
      </c>
      <c r="I19499" t="s">
        <v>333</v>
      </c>
      <c r="J19499" t="s">
        <v>584</v>
      </c>
      <c r="K19499" t="s">
        <v>19</v>
      </c>
      <c r="L19499" t="s">
        <v>335</v>
      </c>
      <c r="N19499" t="s">
        <v>29</v>
      </c>
    </row>
    <row r="19500" spans="1:14">
      <c r="A19500" s="4" t="str">
        <f t="shared" si="1357"/>
        <v>EXP00446</v>
      </c>
      <c r="B19500" s="3" t="s">
        <v>66</v>
      </c>
      <c r="C19500" s="4" t="str">
        <f t="shared" si="1354"/>
        <v>TCGA-THCA</v>
      </c>
      <c r="D19500" s="1" t="s">
        <v>493</v>
      </c>
      <c r="E19500" t="s">
        <v>589</v>
      </c>
      <c r="F19500" s="1">
        <v>2</v>
      </c>
      <c r="G19500" s="1" t="s">
        <v>28</v>
      </c>
      <c r="H19500" s="4" t="str">
        <f>HYPERLINK("https://portal.gdc.cancer.gov/cases/fe28f76e-7ead-4d29-8c53-a576ae6021f7","TCGA-EM-A3SU-01A")</f>
        <v>TCGA-EM-A3SU-01A</v>
      </c>
      <c r="I19500" t="s">
        <v>333</v>
      </c>
      <c r="J19500" t="s">
        <v>584</v>
      </c>
      <c r="K19500" t="s">
        <v>19</v>
      </c>
      <c r="L19500" t="s">
        <v>335</v>
      </c>
      <c r="N19500" t="s">
        <v>29</v>
      </c>
    </row>
    <row r="19501" spans="1:14">
      <c r="A19501" s="4" t="str">
        <f t="shared" si="1357"/>
        <v>EXP00446</v>
      </c>
      <c r="B19501" s="3" t="s">
        <v>66</v>
      </c>
      <c r="C19501" s="4" t="str">
        <f t="shared" si="1354"/>
        <v>TCGA-THCA</v>
      </c>
      <c r="D19501" s="1" t="s">
        <v>493</v>
      </c>
      <c r="E19501" t="s">
        <v>589</v>
      </c>
      <c r="F19501" s="1">
        <v>2</v>
      </c>
      <c r="G19501" s="1" t="s">
        <v>28</v>
      </c>
      <c r="H19501" s="4" t="str">
        <f>HYPERLINK("https://portal.gdc.cancer.gov/cases/6befdc6a-27fc-4cde-979b-ffe05cd8603f","TCGA-ET-A40Q-01A")</f>
        <v>TCGA-ET-A40Q-01A</v>
      </c>
      <c r="I19501" t="s">
        <v>333</v>
      </c>
      <c r="J19501" t="s">
        <v>584</v>
      </c>
      <c r="K19501" t="s">
        <v>19</v>
      </c>
      <c r="L19501" t="s">
        <v>335</v>
      </c>
      <c r="M19501" t="s">
        <v>41</v>
      </c>
      <c r="N19501" t="s">
        <v>29</v>
      </c>
    </row>
    <row r="19502" spans="1:14">
      <c r="A19502" s="4" t="str">
        <f t="shared" si="1357"/>
        <v>EXP00446</v>
      </c>
      <c r="B19502" s="3" t="s">
        <v>66</v>
      </c>
      <c r="C19502" s="4" t="str">
        <f t="shared" si="1354"/>
        <v>TCGA-THCA</v>
      </c>
      <c r="D19502" s="1" t="s">
        <v>493</v>
      </c>
      <c r="E19502" t="s">
        <v>589</v>
      </c>
      <c r="F19502" s="1">
        <v>2</v>
      </c>
      <c r="G19502" s="1" t="s">
        <v>28</v>
      </c>
      <c r="H19502" s="4" t="str">
        <f>HYPERLINK("https://portal.gdc.cancer.gov/cases/039bfc94-fadd-440a-aade-a1595128583e","TCGA-J8-A3O2-01A")</f>
        <v>TCGA-J8-A3O2-01A</v>
      </c>
      <c r="I19502" t="s">
        <v>333</v>
      </c>
      <c r="J19502" t="s">
        <v>584</v>
      </c>
      <c r="K19502" t="s">
        <v>19</v>
      </c>
      <c r="L19502" t="s">
        <v>335</v>
      </c>
      <c r="N19502" t="s">
        <v>29</v>
      </c>
    </row>
    <row r="19503" spans="1:14">
      <c r="A19503" s="4" t="str">
        <f t="shared" si="1357"/>
        <v>EXP00446</v>
      </c>
      <c r="B19503" s="3" t="s">
        <v>66</v>
      </c>
      <c r="C19503" s="4" t="str">
        <f t="shared" si="1354"/>
        <v>TCGA-THCA</v>
      </c>
      <c r="D19503" s="1" t="s">
        <v>493</v>
      </c>
      <c r="E19503" t="s">
        <v>589</v>
      </c>
      <c r="F19503" s="1">
        <v>2</v>
      </c>
      <c r="G19503" s="1" t="s">
        <v>28</v>
      </c>
      <c r="H19503" s="4" t="str">
        <f>HYPERLINK("https://portal.gdc.cancer.gov/cases/a09b20b5-c187-4632-b996-0d5314a9885c","TCGA-J8-A3YH-01A")</f>
        <v>TCGA-J8-A3YH-01A</v>
      </c>
      <c r="I19503" t="s">
        <v>333</v>
      </c>
      <c r="J19503" t="s">
        <v>584</v>
      </c>
      <c r="K19503" t="s">
        <v>19</v>
      </c>
      <c r="L19503" t="s">
        <v>335</v>
      </c>
      <c r="N19503" t="s">
        <v>29</v>
      </c>
    </row>
    <row r="19504" spans="1:14">
      <c r="A19504" s="4" t="str">
        <f t="shared" si="1357"/>
        <v>EXP00446</v>
      </c>
      <c r="B19504" s="3" t="s">
        <v>66</v>
      </c>
      <c r="C19504" s="4" t="str">
        <f t="shared" si="1354"/>
        <v>TCGA-THCA</v>
      </c>
      <c r="D19504" s="1" t="s">
        <v>493</v>
      </c>
      <c r="E19504" t="s">
        <v>589</v>
      </c>
      <c r="F19504" s="1">
        <v>2</v>
      </c>
      <c r="G19504" s="1" t="s">
        <v>28</v>
      </c>
      <c r="H19504" s="4" t="str">
        <f>HYPERLINK("https://portal.gdc.cancer.gov/cases/fd3315da-c870-4ad0-9d2a-50b1647d3e46","TCGA-J8-A4HW-01A")</f>
        <v>TCGA-J8-A4HW-01A</v>
      </c>
      <c r="I19504" t="s">
        <v>333</v>
      </c>
      <c r="J19504" t="s">
        <v>584</v>
      </c>
      <c r="K19504" t="s">
        <v>19</v>
      </c>
      <c r="L19504" t="s">
        <v>335</v>
      </c>
      <c r="N19504" t="s">
        <v>29</v>
      </c>
    </row>
    <row r="19505" spans="1:14">
      <c r="A19505" s="4" t="str">
        <f t="shared" ref="A19505:A19568" si="1358">HYPERLINK("http://hcmdb.i-sanger.com/experiment/details/experiment_id/EXP00447","EXP00447")</f>
        <v>EXP00447</v>
      </c>
      <c r="B19505" s="3" t="s">
        <v>66</v>
      </c>
      <c r="C19505" s="4" t="str">
        <f t="shared" si="1354"/>
        <v>TCGA-THCA</v>
      </c>
      <c r="D19505" s="1" t="s">
        <v>493</v>
      </c>
      <c r="E19505" t="s">
        <v>590</v>
      </c>
      <c r="F19505" s="1">
        <v>1</v>
      </c>
      <c r="G19505" s="1" t="s">
        <v>31</v>
      </c>
      <c r="H19505" s="4" t="str">
        <f>HYPERLINK("https://portal.gdc.cancer.gov/cases/4cccc34b-daf6-41ca-9bf8-f1614525eac9","TCGA-BJ-A3PU-01A")</f>
        <v>TCGA-BJ-A3PU-01A</v>
      </c>
      <c r="I19505" t="s">
        <v>333</v>
      </c>
      <c r="J19505" t="s">
        <v>584</v>
      </c>
      <c r="K19505" t="s">
        <v>19</v>
      </c>
      <c r="L19505" t="s">
        <v>335</v>
      </c>
      <c r="M19505" t="s">
        <v>512</v>
      </c>
      <c r="N19505" t="s">
        <v>29</v>
      </c>
    </row>
    <row r="19506" spans="1:14">
      <c r="A19506" s="4" t="str">
        <f t="shared" si="1358"/>
        <v>EXP00447</v>
      </c>
      <c r="B19506" s="3" t="s">
        <v>66</v>
      </c>
      <c r="C19506" s="4" t="str">
        <f t="shared" si="1354"/>
        <v>TCGA-THCA</v>
      </c>
      <c r="D19506" s="1" t="s">
        <v>493</v>
      </c>
      <c r="E19506" t="s">
        <v>590</v>
      </c>
      <c r="F19506" s="1">
        <v>1</v>
      </c>
      <c r="G19506" s="1" t="s">
        <v>31</v>
      </c>
      <c r="H19506" s="4" t="str">
        <f>HYPERLINK("https://portal.gdc.cancer.gov/cases/cd0c33c3-4427-471d-979e-79dc43f3a018","TCGA-DE-A4MD-01A")</f>
        <v>TCGA-DE-A4MD-01A</v>
      </c>
      <c r="I19506" t="s">
        <v>333</v>
      </c>
      <c r="J19506" t="s">
        <v>584</v>
      </c>
      <c r="K19506" t="s">
        <v>19</v>
      </c>
      <c r="L19506" t="s">
        <v>335</v>
      </c>
      <c r="N19506" t="s">
        <v>29</v>
      </c>
    </row>
    <row r="19507" spans="1:14">
      <c r="A19507" s="4" t="str">
        <f t="shared" si="1358"/>
        <v>EXP00447</v>
      </c>
      <c r="B19507" s="3" t="s">
        <v>66</v>
      </c>
      <c r="C19507" s="4" t="str">
        <f t="shared" si="1354"/>
        <v>TCGA-THCA</v>
      </c>
      <c r="D19507" s="1" t="s">
        <v>493</v>
      </c>
      <c r="E19507" t="s">
        <v>590</v>
      </c>
      <c r="F19507" s="1">
        <v>1</v>
      </c>
      <c r="G19507" s="1" t="s">
        <v>31</v>
      </c>
      <c r="H19507" s="4" t="str">
        <f>HYPERLINK("https://portal.gdc.cancer.gov/cases/dde7ade8-de24-467f-855d-a422bbede407","TCGA-EL-A3GU-01A")</f>
        <v>TCGA-EL-A3GU-01A</v>
      </c>
      <c r="I19507" t="s">
        <v>333</v>
      </c>
      <c r="J19507" t="s">
        <v>584</v>
      </c>
      <c r="K19507" t="s">
        <v>19</v>
      </c>
      <c r="L19507" t="s">
        <v>335</v>
      </c>
      <c r="M19507" t="s">
        <v>41</v>
      </c>
      <c r="N19507" t="s">
        <v>29</v>
      </c>
    </row>
    <row r="19508" spans="1:14">
      <c r="A19508" s="4" t="str">
        <f t="shared" si="1358"/>
        <v>EXP00447</v>
      </c>
      <c r="B19508" s="3" t="s">
        <v>66</v>
      </c>
      <c r="C19508" s="4" t="str">
        <f t="shared" si="1354"/>
        <v>TCGA-THCA</v>
      </c>
      <c r="D19508" s="1" t="s">
        <v>493</v>
      </c>
      <c r="E19508" t="s">
        <v>590</v>
      </c>
      <c r="F19508" s="1">
        <v>1</v>
      </c>
      <c r="G19508" s="1" t="s">
        <v>31</v>
      </c>
      <c r="H19508" s="4" t="str">
        <f>HYPERLINK("https://portal.gdc.cancer.gov/cases/ea2c873a-ea52-4920-8d20-554d5fa8ddc1","TCGA-EL-A3MX-01A")</f>
        <v>TCGA-EL-A3MX-01A</v>
      </c>
      <c r="I19508" t="s">
        <v>333</v>
      </c>
      <c r="J19508" t="s">
        <v>584</v>
      </c>
      <c r="K19508" t="s">
        <v>19</v>
      </c>
      <c r="L19508" t="s">
        <v>335</v>
      </c>
      <c r="M19508" t="s">
        <v>503</v>
      </c>
      <c r="N19508" t="s">
        <v>29</v>
      </c>
    </row>
    <row r="19509" spans="1:14">
      <c r="A19509" s="4" t="str">
        <f t="shared" si="1358"/>
        <v>EXP00447</v>
      </c>
      <c r="B19509" s="3" t="s">
        <v>66</v>
      </c>
      <c r="C19509" s="4" t="str">
        <f t="shared" ref="C19509:C19572" si="1359">HYPERLINK("https://portal.gdc.cancer.gov/projects/TCGA-THCA","TCGA-THCA")</f>
        <v>TCGA-THCA</v>
      </c>
      <c r="D19509" s="1" t="s">
        <v>493</v>
      </c>
      <c r="E19509" t="s">
        <v>590</v>
      </c>
      <c r="F19509" s="1">
        <v>1</v>
      </c>
      <c r="G19509" s="1" t="s">
        <v>31</v>
      </c>
      <c r="H19509" s="4" t="str">
        <f>HYPERLINK("https://portal.gdc.cancer.gov/cases/7555e736-a9e2-4b96-a633-fb0f7224d62c","TCGA-EM-A2CS-01A")</f>
        <v>TCGA-EM-A2CS-01A</v>
      </c>
      <c r="I19509" t="s">
        <v>333</v>
      </c>
      <c r="J19509" t="s">
        <v>584</v>
      </c>
      <c r="K19509" t="s">
        <v>19</v>
      </c>
      <c r="L19509" t="s">
        <v>335</v>
      </c>
      <c r="N19509" t="s">
        <v>29</v>
      </c>
    </row>
    <row r="19510" spans="1:14">
      <c r="A19510" s="4" t="str">
        <f t="shared" si="1358"/>
        <v>EXP00447</v>
      </c>
      <c r="B19510" s="3" t="s">
        <v>66</v>
      </c>
      <c r="C19510" s="4" t="str">
        <f t="shared" si="1359"/>
        <v>TCGA-THCA</v>
      </c>
      <c r="D19510" s="1" t="s">
        <v>493</v>
      </c>
      <c r="E19510" t="s">
        <v>590</v>
      </c>
      <c r="F19510" s="1">
        <v>1</v>
      </c>
      <c r="G19510" s="1" t="s">
        <v>31</v>
      </c>
      <c r="H19510" s="4" t="str">
        <f>HYPERLINK("https://portal.gdc.cancer.gov/cases/9b6acc25-447d-4144-b4c0-ef52b8850d96","TCGA-EM-A2P1-01A")</f>
        <v>TCGA-EM-A2P1-01A</v>
      </c>
      <c r="I19510" t="s">
        <v>333</v>
      </c>
      <c r="J19510" t="s">
        <v>584</v>
      </c>
      <c r="K19510" t="s">
        <v>19</v>
      </c>
      <c r="L19510" t="s">
        <v>335</v>
      </c>
      <c r="N19510" t="s">
        <v>29</v>
      </c>
    </row>
    <row r="19511" spans="1:14">
      <c r="A19511" s="4" t="str">
        <f t="shared" si="1358"/>
        <v>EXP00447</v>
      </c>
      <c r="B19511" s="3" t="s">
        <v>66</v>
      </c>
      <c r="C19511" s="4" t="str">
        <f t="shared" si="1359"/>
        <v>TCGA-THCA</v>
      </c>
      <c r="D19511" s="1" t="s">
        <v>493</v>
      </c>
      <c r="E19511" t="s">
        <v>590</v>
      </c>
      <c r="F19511" s="1">
        <v>1</v>
      </c>
      <c r="G19511" s="1" t="s">
        <v>31</v>
      </c>
      <c r="H19511" s="4" t="str">
        <f>HYPERLINK("https://portal.gdc.cancer.gov/cases/fef9c64f-5959-4da0-aaa2-66b56fc7b4c3","TCGA-EM-A3FQ-01A")</f>
        <v>TCGA-EM-A3FQ-01A</v>
      </c>
      <c r="I19511" t="s">
        <v>333</v>
      </c>
      <c r="J19511" t="s">
        <v>584</v>
      </c>
      <c r="K19511" t="s">
        <v>19</v>
      </c>
      <c r="L19511" t="s">
        <v>335</v>
      </c>
      <c r="N19511" t="s">
        <v>29</v>
      </c>
    </row>
    <row r="19512" spans="1:14">
      <c r="A19512" s="4" t="str">
        <f t="shared" si="1358"/>
        <v>EXP00447</v>
      </c>
      <c r="B19512" s="3" t="s">
        <v>66</v>
      </c>
      <c r="C19512" s="4" t="str">
        <f t="shared" si="1359"/>
        <v>TCGA-THCA</v>
      </c>
      <c r="D19512" s="1" t="s">
        <v>493</v>
      </c>
      <c r="E19512" t="s">
        <v>590</v>
      </c>
      <c r="F19512" s="1">
        <v>1</v>
      </c>
      <c r="G19512" s="1" t="s">
        <v>31</v>
      </c>
      <c r="H19512" s="4" t="str">
        <f>HYPERLINK("https://portal.gdc.cancer.gov/cases/fe28f76e-7ead-4d29-8c53-a576ae6021f7","TCGA-EM-A3SU-01A")</f>
        <v>TCGA-EM-A3SU-01A</v>
      </c>
      <c r="I19512" t="s">
        <v>333</v>
      </c>
      <c r="J19512" t="s">
        <v>584</v>
      </c>
      <c r="K19512" t="s">
        <v>19</v>
      </c>
      <c r="L19512" t="s">
        <v>335</v>
      </c>
      <c r="N19512" t="s">
        <v>29</v>
      </c>
    </row>
    <row r="19513" spans="1:14">
      <c r="A19513" s="4" t="str">
        <f t="shared" si="1358"/>
        <v>EXP00447</v>
      </c>
      <c r="B19513" s="3" t="s">
        <v>66</v>
      </c>
      <c r="C19513" s="4" t="str">
        <f t="shared" si="1359"/>
        <v>TCGA-THCA</v>
      </c>
      <c r="D19513" s="1" t="s">
        <v>493</v>
      </c>
      <c r="E19513" t="s">
        <v>590</v>
      </c>
      <c r="F19513" s="1">
        <v>1</v>
      </c>
      <c r="G19513" s="1" t="s">
        <v>31</v>
      </c>
      <c r="H19513" s="4" t="str">
        <f>HYPERLINK("https://portal.gdc.cancer.gov/cases/6befdc6a-27fc-4cde-979b-ffe05cd8603f","TCGA-ET-A40Q-01A")</f>
        <v>TCGA-ET-A40Q-01A</v>
      </c>
      <c r="I19513" t="s">
        <v>333</v>
      </c>
      <c r="J19513" t="s">
        <v>584</v>
      </c>
      <c r="K19513" t="s">
        <v>19</v>
      </c>
      <c r="L19513" t="s">
        <v>335</v>
      </c>
      <c r="M19513" t="s">
        <v>41</v>
      </c>
      <c r="N19513" t="s">
        <v>29</v>
      </c>
    </row>
    <row r="19514" spans="1:14">
      <c r="A19514" s="4" t="str">
        <f t="shared" si="1358"/>
        <v>EXP00447</v>
      </c>
      <c r="B19514" s="3" t="s">
        <v>66</v>
      </c>
      <c r="C19514" s="4" t="str">
        <f t="shared" si="1359"/>
        <v>TCGA-THCA</v>
      </c>
      <c r="D19514" s="1" t="s">
        <v>493</v>
      </c>
      <c r="E19514" t="s">
        <v>590</v>
      </c>
      <c r="F19514" s="1">
        <v>1</v>
      </c>
      <c r="G19514" s="1" t="s">
        <v>31</v>
      </c>
      <c r="H19514" s="4" t="str">
        <f>HYPERLINK("https://portal.gdc.cancer.gov/cases/039bfc94-fadd-440a-aade-a1595128583e","TCGA-J8-A3O2-01A")</f>
        <v>TCGA-J8-A3O2-01A</v>
      </c>
      <c r="I19514" t="s">
        <v>333</v>
      </c>
      <c r="J19514" t="s">
        <v>584</v>
      </c>
      <c r="K19514" t="s">
        <v>19</v>
      </c>
      <c r="L19514" t="s">
        <v>335</v>
      </c>
      <c r="N19514" t="s">
        <v>29</v>
      </c>
    </row>
    <row r="19515" spans="1:14">
      <c r="A19515" s="4" t="str">
        <f t="shared" si="1358"/>
        <v>EXP00447</v>
      </c>
      <c r="B19515" s="3" t="s">
        <v>66</v>
      </c>
      <c r="C19515" s="4" t="str">
        <f t="shared" si="1359"/>
        <v>TCGA-THCA</v>
      </c>
      <c r="D19515" s="1" t="s">
        <v>493</v>
      </c>
      <c r="E19515" t="s">
        <v>590</v>
      </c>
      <c r="F19515" s="1">
        <v>1</v>
      </c>
      <c r="G19515" s="1" t="s">
        <v>31</v>
      </c>
      <c r="H19515" s="4" t="str">
        <f>HYPERLINK("https://portal.gdc.cancer.gov/cases/a09b20b5-c187-4632-b996-0d5314a9885c","TCGA-J8-A3YH-01A")</f>
        <v>TCGA-J8-A3YH-01A</v>
      </c>
      <c r="I19515" t="s">
        <v>333</v>
      </c>
      <c r="J19515" t="s">
        <v>584</v>
      </c>
      <c r="K19515" t="s">
        <v>19</v>
      </c>
      <c r="L19515" t="s">
        <v>335</v>
      </c>
      <c r="N19515" t="s">
        <v>29</v>
      </c>
    </row>
    <row r="19516" spans="1:14">
      <c r="A19516" s="4" t="str">
        <f t="shared" si="1358"/>
        <v>EXP00447</v>
      </c>
      <c r="B19516" s="3" t="s">
        <v>66</v>
      </c>
      <c r="C19516" s="4" t="str">
        <f t="shared" si="1359"/>
        <v>TCGA-THCA</v>
      </c>
      <c r="D19516" s="1" t="s">
        <v>493</v>
      </c>
      <c r="E19516" t="s">
        <v>590</v>
      </c>
      <c r="F19516" s="1">
        <v>1</v>
      </c>
      <c r="G19516" s="1" t="s">
        <v>31</v>
      </c>
      <c r="H19516" s="4" t="str">
        <f>HYPERLINK("https://portal.gdc.cancer.gov/cases/fd3315da-c870-4ad0-9d2a-50b1647d3e46","TCGA-J8-A4HW-01A")</f>
        <v>TCGA-J8-A4HW-01A</v>
      </c>
      <c r="I19516" t="s">
        <v>333</v>
      </c>
      <c r="J19516" t="s">
        <v>584</v>
      </c>
      <c r="K19516" t="s">
        <v>19</v>
      </c>
      <c r="L19516" t="s">
        <v>335</v>
      </c>
      <c r="N19516" t="s">
        <v>29</v>
      </c>
    </row>
    <row r="19517" spans="1:14">
      <c r="A19517" s="4" t="str">
        <f t="shared" si="1358"/>
        <v>EXP00447</v>
      </c>
      <c r="B19517" s="3" t="s">
        <v>66</v>
      </c>
      <c r="C19517" s="4" t="str">
        <f t="shared" si="1359"/>
        <v>TCGA-THCA</v>
      </c>
      <c r="D19517" s="1" t="s">
        <v>493</v>
      </c>
      <c r="E19517" t="s">
        <v>590</v>
      </c>
      <c r="F19517" s="1">
        <v>2</v>
      </c>
      <c r="G19517" s="1" t="s">
        <v>32</v>
      </c>
      <c r="H19517" s="4" t="str">
        <f>HYPERLINK("https://portal.gdc.cancer.gov/cases/e1c8af06-9ea4-4062-9264-aa916e0025d1","TCGA-4C-A93U-01A")</f>
        <v>TCGA-4C-A93U-01A</v>
      </c>
      <c r="I19517" t="s">
        <v>333</v>
      </c>
      <c r="J19517" t="s">
        <v>584</v>
      </c>
      <c r="K19517" t="s">
        <v>33</v>
      </c>
      <c r="L19517" t="s">
        <v>335</v>
      </c>
      <c r="N19517" t="s">
        <v>29</v>
      </c>
    </row>
    <row r="19518" spans="1:14">
      <c r="A19518" s="4" t="str">
        <f t="shared" si="1358"/>
        <v>EXP00447</v>
      </c>
      <c r="B19518" s="3" t="s">
        <v>66</v>
      </c>
      <c r="C19518" s="4" t="str">
        <f t="shared" si="1359"/>
        <v>TCGA-THCA</v>
      </c>
      <c r="D19518" s="1" t="s">
        <v>493</v>
      </c>
      <c r="E19518" t="s">
        <v>590</v>
      </c>
      <c r="F19518" s="1">
        <v>2</v>
      </c>
      <c r="G19518" s="1" t="s">
        <v>32</v>
      </c>
      <c r="H19518" s="4" t="str">
        <f>HYPERLINK("https://portal.gdc.cancer.gov/cases/f3ee888e-5116-4313-a2f6-3b1dcc3e4bc1","TCGA-BJ-A0YZ-01A")</f>
        <v>TCGA-BJ-A0YZ-01A</v>
      </c>
      <c r="I19518" t="s">
        <v>333</v>
      </c>
      <c r="J19518" t="s">
        <v>584</v>
      </c>
      <c r="K19518" t="s">
        <v>33</v>
      </c>
      <c r="L19518" t="s">
        <v>335</v>
      </c>
      <c r="N19518" t="s">
        <v>29</v>
      </c>
    </row>
    <row r="19519" spans="1:14">
      <c r="A19519" s="4" t="str">
        <f t="shared" si="1358"/>
        <v>EXP00447</v>
      </c>
      <c r="B19519" s="3" t="s">
        <v>66</v>
      </c>
      <c r="C19519" s="4" t="str">
        <f t="shared" si="1359"/>
        <v>TCGA-THCA</v>
      </c>
      <c r="D19519" s="1" t="s">
        <v>493</v>
      </c>
      <c r="E19519" t="s">
        <v>590</v>
      </c>
      <c r="F19519" s="1">
        <v>2</v>
      </c>
      <c r="G19519" s="1" t="s">
        <v>32</v>
      </c>
      <c r="H19519" s="4" t="str">
        <f>HYPERLINK("https://portal.gdc.cancer.gov/cases/72d8dcc3-0709-4fd1-98d4-fb75e9340758","TCGA-BJ-A0Z0-01A")</f>
        <v>TCGA-BJ-A0Z0-01A</v>
      </c>
      <c r="I19519" t="s">
        <v>333</v>
      </c>
      <c r="J19519" t="s">
        <v>584</v>
      </c>
      <c r="K19519" t="s">
        <v>33</v>
      </c>
      <c r="L19519" t="s">
        <v>335</v>
      </c>
      <c r="N19519" t="s">
        <v>29</v>
      </c>
    </row>
    <row r="19520" spans="1:14">
      <c r="A19520" s="4" t="str">
        <f t="shared" si="1358"/>
        <v>EXP00447</v>
      </c>
      <c r="B19520" s="3" t="s">
        <v>66</v>
      </c>
      <c r="C19520" s="4" t="str">
        <f t="shared" si="1359"/>
        <v>TCGA-THCA</v>
      </c>
      <c r="D19520" s="1" t="s">
        <v>493</v>
      </c>
      <c r="E19520" t="s">
        <v>590</v>
      </c>
      <c r="F19520" s="1">
        <v>2</v>
      </c>
      <c r="G19520" s="1" t="s">
        <v>32</v>
      </c>
      <c r="H19520" s="4" t="str">
        <f>HYPERLINK("https://portal.gdc.cancer.gov/cases/f9ceffc0-d544-418d-b4a9-bd3c84e37026","TCGA-BJ-A0Z2-01A")</f>
        <v>TCGA-BJ-A0Z2-01A</v>
      </c>
      <c r="I19520" t="s">
        <v>333</v>
      </c>
      <c r="J19520" t="s">
        <v>584</v>
      </c>
      <c r="K19520" t="s">
        <v>33</v>
      </c>
      <c r="L19520" t="s">
        <v>335</v>
      </c>
      <c r="N19520" t="s">
        <v>29</v>
      </c>
    </row>
    <row r="19521" spans="1:14">
      <c r="A19521" s="4" t="str">
        <f t="shared" si="1358"/>
        <v>EXP00447</v>
      </c>
      <c r="B19521" s="3" t="s">
        <v>66</v>
      </c>
      <c r="C19521" s="4" t="str">
        <f t="shared" si="1359"/>
        <v>TCGA-THCA</v>
      </c>
      <c r="D19521" s="1" t="s">
        <v>493</v>
      </c>
      <c r="E19521" t="s">
        <v>590</v>
      </c>
      <c r="F19521" s="1">
        <v>2</v>
      </c>
      <c r="G19521" s="1" t="s">
        <v>32</v>
      </c>
      <c r="H19521" s="4" t="str">
        <f>HYPERLINK("https://portal.gdc.cancer.gov/cases/331cae6e-2868-4c58-9302-709a9ff7d025","TCGA-BJ-A0Z3-01A")</f>
        <v>TCGA-BJ-A0Z3-01A</v>
      </c>
      <c r="I19521" t="s">
        <v>333</v>
      </c>
      <c r="J19521" t="s">
        <v>584</v>
      </c>
      <c r="K19521" t="s">
        <v>33</v>
      </c>
      <c r="L19521" t="s">
        <v>335</v>
      </c>
      <c r="N19521" t="s">
        <v>29</v>
      </c>
    </row>
    <row r="19522" spans="1:14">
      <c r="A19522" s="4" t="str">
        <f t="shared" si="1358"/>
        <v>EXP00447</v>
      </c>
      <c r="B19522" s="3" t="s">
        <v>66</v>
      </c>
      <c r="C19522" s="4" t="str">
        <f t="shared" si="1359"/>
        <v>TCGA-THCA</v>
      </c>
      <c r="D19522" s="1" t="s">
        <v>493</v>
      </c>
      <c r="E19522" t="s">
        <v>590</v>
      </c>
      <c r="F19522" s="1">
        <v>2</v>
      </c>
      <c r="G19522" s="1" t="s">
        <v>32</v>
      </c>
      <c r="H19522" s="4" t="str">
        <f>HYPERLINK("https://portal.gdc.cancer.gov/cases/0fe3b19a-f5e4-497e-92da-32ff6c77b066","TCGA-BJ-A0Z5-01A")</f>
        <v>TCGA-BJ-A0Z5-01A</v>
      </c>
      <c r="I19522" t="s">
        <v>333</v>
      </c>
      <c r="J19522" t="s">
        <v>584</v>
      </c>
      <c r="K19522" t="s">
        <v>33</v>
      </c>
      <c r="L19522" t="s">
        <v>335</v>
      </c>
      <c r="N19522" t="s">
        <v>29</v>
      </c>
    </row>
    <row r="19523" spans="1:14">
      <c r="A19523" s="4" t="str">
        <f t="shared" si="1358"/>
        <v>EXP00447</v>
      </c>
      <c r="B19523" s="3" t="s">
        <v>66</v>
      </c>
      <c r="C19523" s="4" t="str">
        <f t="shared" si="1359"/>
        <v>TCGA-THCA</v>
      </c>
      <c r="D19523" s="1" t="s">
        <v>493</v>
      </c>
      <c r="E19523" t="s">
        <v>590</v>
      </c>
      <c r="F19523" s="1">
        <v>2</v>
      </c>
      <c r="G19523" s="1" t="s">
        <v>32</v>
      </c>
      <c r="H19523" s="4" t="str">
        <f>HYPERLINK("https://portal.gdc.cancer.gov/cases/86f9eca0-d1ea-4375-a6bc-055e44b3198a","TCGA-BJ-A0Z9-01A")</f>
        <v>TCGA-BJ-A0Z9-01A</v>
      </c>
      <c r="I19523" t="s">
        <v>333</v>
      </c>
      <c r="J19523" t="s">
        <v>584</v>
      </c>
      <c r="K19523" t="s">
        <v>33</v>
      </c>
      <c r="L19523" t="s">
        <v>335</v>
      </c>
      <c r="N19523" t="s">
        <v>29</v>
      </c>
    </row>
    <row r="19524" spans="1:14">
      <c r="A19524" s="4" t="str">
        <f t="shared" si="1358"/>
        <v>EXP00447</v>
      </c>
      <c r="B19524" s="3" t="s">
        <v>66</v>
      </c>
      <c r="C19524" s="4" t="str">
        <f t="shared" si="1359"/>
        <v>TCGA-THCA</v>
      </c>
      <c r="D19524" s="1" t="s">
        <v>493</v>
      </c>
      <c r="E19524" t="s">
        <v>590</v>
      </c>
      <c r="F19524" s="1">
        <v>2</v>
      </c>
      <c r="G19524" s="1" t="s">
        <v>32</v>
      </c>
      <c r="H19524" s="4" t="str">
        <f>HYPERLINK("https://portal.gdc.cancer.gov/cases/4c513413-263e-4c7b-b997-7b688c47b698","TCGA-BJ-A0ZA-01A")</f>
        <v>TCGA-BJ-A0ZA-01A</v>
      </c>
      <c r="I19524" t="s">
        <v>333</v>
      </c>
      <c r="J19524" t="s">
        <v>584</v>
      </c>
      <c r="K19524" t="s">
        <v>33</v>
      </c>
      <c r="L19524" t="s">
        <v>335</v>
      </c>
      <c r="N19524" t="s">
        <v>29</v>
      </c>
    </row>
    <row r="19525" spans="1:14">
      <c r="A19525" s="4" t="str">
        <f t="shared" si="1358"/>
        <v>EXP00447</v>
      </c>
      <c r="B19525" s="3" t="s">
        <v>66</v>
      </c>
      <c r="C19525" s="4" t="str">
        <f t="shared" si="1359"/>
        <v>TCGA-THCA</v>
      </c>
      <c r="D19525" s="1" t="s">
        <v>493</v>
      </c>
      <c r="E19525" t="s">
        <v>590</v>
      </c>
      <c r="F19525" s="1">
        <v>2</v>
      </c>
      <c r="G19525" s="1" t="s">
        <v>32</v>
      </c>
      <c r="H19525" s="4" t="str">
        <f>HYPERLINK("https://portal.gdc.cancer.gov/cases/dc4d8468-6f34-40cb-a826-8d582cd86fde","TCGA-BJ-A0ZB-01A")</f>
        <v>TCGA-BJ-A0ZB-01A</v>
      </c>
      <c r="I19525" t="s">
        <v>333</v>
      </c>
      <c r="J19525" t="s">
        <v>584</v>
      </c>
      <c r="K19525" t="s">
        <v>33</v>
      </c>
      <c r="L19525" t="s">
        <v>335</v>
      </c>
      <c r="N19525" t="s">
        <v>29</v>
      </c>
    </row>
    <row r="19526" spans="1:14">
      <c r="A19526" s="4" t="str">
        <f t="shared" si="1358"/>
        <v>EXP00447</v>
      </c>
      <c r="B19526" s="3" t="s">
        <v>66</v>
      </c>
      <c r="C19526" s="4" t="str">
        <f t="shared" si="1359"/>
        <v>TCGA-THCA</v>
      </c>
      <c r="D19526" s="1" t="s">
        <v>493</v>
      </c>
      <c r="E19526" t="s">
        <v>590</v>
      </c>
      <c r="F19526" s="1">
        <v>2</v>
      </c>
      <c r="G19526" s="1" t="s">
        <v>32</v>
      </c>
      <c r="H19526" s="4" t="str">
        <f>HYPERLINK("https://portal.gdc.cancer.gov/cases/6675c581-297d-44cd-b80f-ae7e53d48228","TCGA-BJ-A0ZC-01A")</f>
        <v>TCGA-BJ-A0ZC-01A</v>
      </c>
      <c r="I19526" t="s">
        <v>333</v>
      </c>
      <c r="J19526" t="s">
        <v>584</v>
      </c>
      <c r="K19526" t="s">
        <v>33</v>
      </c>
      <c r="L19526" t="s">
        <v>335</v>
      </c>
      <c r="N19526" t="s">
        <v>29</v>
      </c>
    </row>
    <row r="19527" spans="1:14">
      <c r="A19527" s="4" t="str">
        <f t="shared" si="1358"/>
        <v>EXP00447</v>
      </c>
      <c r="B19527" s="3" t="s">
        <v>66</v>
      </c>
      <c r="C19527" s="4" t="str">
        <f t="shared" si="1359"/>
        <v>TCGA-THCA</v>
      </c>
      <c r="D19527" s="1" t="s">
        <v>493</v>
      </c>
      <c r="E19527" t="s">
        <v>590</v>
      </c>
      <c r="F19527" s="1">
        <v>2</v>
      </c>
      <c r="G19527" s="1" t="s">
        <v>32</v>
      </c>
      <c r="H19527" s="4" t="str">
        <f>HYPERLINK("https://portal.gdc.cancer.gov/cases/ab8c9101-adeb-4c43-a8bb-b089ebd711f6","TCGA-BJ-A0ZE-01A")</f>
        <v>TCGA-BJ-A0ZE-01A</v>
      </c>
      <c r="I19527" t="s">
        <v>333</v>
      </c>
      <c r="J19527" t="s">
        <v>584</v>
      </c>
      <c r="K19527" t="s">
        <v>33</v>
      </c>
      <c r="L19527" t="s">
        <v>335</v>
      </c>
      <c r="N19527" t="s">
        <v>29</v>
      </c>
    </row>
    <row r="19528" spans="1:14">
      <c r="A19528" s="4" t="str">
        <f t="shared" si="1358"/>
        <v>EXP00447</v>
      </c>
      <c r="B19528" s="3" t="s">
        <v>66</v>
      </c>
      <c r="C19528" s="4" t="str">
        <f t="shared" si="1359"/>
        <v>TCGA-THCA</v>
      </c>
      <c r="D19528" s="1" t="s">
        <v>493</v>
      </c>
      <c r="E19528" t="s">
        <v>590</v>
      </c>
      <c r="F19528" s="1">
        <v>2</v>
      </c>
      <c r="G19528" s="1" t="s">
        <v>32</v>
      </c>
      <c r="H19528" s="4" t="str">
        <f>HYPERLINK("https://portal.gdc.cancer.gov/cases/8beee000-ecab-4a49-9c9d-bb8e677ae199","TCGA-BJ-A0ZF-01A")</f>
        <v>TCGA-BJ-A0ZF-01A</v>
      </c>
      <c r="I19528" t="s">
        <v>333</v>
      </c>
      <c r="J19528" t="s">
        <v>584</v>
      </c>
      <c r="K19528" t="s">
        <v>33</v>
      </c>
      <c r="L19528" t="s">
        <v>335</v>
      </c>
      <c r="N19528" t="s">
        <v>29</v>
      </c>
    </row>
    <row r="19529" spans="1:14">
      <c r="A19529" s="4" t="str">
        <f t="shared" si="1358"/>
        <v>EXP00447</v>
      </c>
      <c r="B19529" s="3" t="s">
        <v>66</v>
      </c>
      <c r="C19529" s="4" t="str">
        <f t="shared" si="1359"/>
        <v>TCGA-THCA</v>
      </c>
      <c r="D19529" s="1" t="s">
        <v>493</v>
      </c>
      <c r="E19529" t="s">
        <v>590</v>
      </c>
      <c r="F19529" s="1">
        <v>2</v>
      </c>
      <c r="G19529" s="1" t="s">
        <v>32</v>
      </c>
      <c r="H19529" s="4" t="str">
        <f>HYPERLINK("https://portal.gdc.cancer.gov/cases/a3810f36-d2b4-4a45-ad08-a4dbfb9d27aa","TCGA-BJ-A0ZG-01A")</f>
        <v>TCGA-BJ-A0ZG-01A</v>
      </c>
      <c r="I19529" t="s">
        <v>333</v>
      </c>
      <c r="J19529" t="s">
        <v>584</v>
      </c>
      <c r="K19529" t="s">
        <v>33</v>
      </c>
      <c r="L19529" t="s">
        <v>335</v>
      </c>
      <c r="N19529" t="s">
        <v>29</v>
      </c>
    </row>
    <row r="19530" spans="1:14">
      <c r="A19530" s="4" t="str">
        <f t="shared" si="1358"/>
        <v>EXP00447</v>
      </c>
      <c r="B19530" s="3" t="s">
        <v>66</v>
      </c>
      <c r="C19530" s="4" t="str">
        <f t="shared" si="1359"/>
        <v>TCGA-THCA</v>
      </c>
      <c r="D19530" s="1" t="s">
        <v>493</v>
      </c>
      <c r="E19530" t="s">
        <v>590</v>
      </c>
      <c r="F19530" s="1">
        <v>2</v>
      </c>
      <c r="G19530" s="1" t="s">
        <v>32</v>
      </c>
      <c r="H19530" s="4" t="str">
        <f>HYPERLINK("https://portal.gdc.cancer.gov/cases/866ca8ad-adc9-45d4-ad92-9f8f1a161ddf","TCGA-BJ-A0ZH-01A")</f>
        <v>TCGA-BJ-A0ZH-01A</v>
      </c>
      <c r="I19530" t="s">
        <v>333</v>
      </c>
      <c r="J19530" t="s">
        <v>584</v>
      </c>
      <c r="K19530" t="s">
        <v>33</v>
      </c>
      <c r="L19530" t="s">
        <v>335</v>
      </c>
      <c r="N19530" t="s">
        <v>29</v>
      </c>
    </row>
    <row r="19531" spans="1:14">
      <c r="A19531" s="4" t="str">
        <f t="shared" si="1358"/>
        <v>EXP00447</v>
      </c>
      <c r="B19531" s="3" t="s">
        <v>66</v>
      </c>
      <c r="C19531" s="4" t="str">
        <f t="shared" si="1359"/>
        <v>TCGA-THCA</v>
      </c>
      <c r="D19531" s="1" t="s">
        <v>493</v>
      </c>
      <c r="E19531" t="s">
        <v>590</v>
      </c>
      <c r="F19531" s="1">
        <v>2</v>
      </c>
      <c r="G19531" s="1" t="s">
        <v>32</v>
      </c>
      <c r="H19531" s="4" t="str">
        <f>HYPERLINK("https://portal.gdc.cancer.gov/cases/8877b479-b62a-4794-b71e-418de96dff23","TCGA-BJ-A0ZJ-01A")</f>
        <v>TCGA-BJ-A0ZJ-01A</v>
      </c>
      <c r="I19531" t="s">
        <v>333</v>
      </c>
      <c r="J19531" t="s">
        <v>584</v>
      </c>
      <c r="K19531" t="s">
        <v>33</v>
      </c>
      <c r="L19531" t="s">
        <v>335</v>
      </c>
      <c r="N19531" t="s">
        <v>29</v>
      </c>
    </row>
    <row r="19532" spans="1:14">
      <c r="A19532" s="4" t="str">
        <f t="shared" si="1358"/>
        <v>EXP00447</v>
      </c>
      <c r="B19532" s="3" t="s">
        <v>66</v>
      </c>
      <c r="C19532" s="4" t="str">
        <f t="shared" si="1359"/>
        <v>TCGA-THCA</v>
      </c>
      <c r="D19532" s="1" t="s">
        <v>493</v>
      </c>
      <c r="E19532" t="s">
        <v>590</v>
      </c>
      <c r="F19532" s="1">
        <v>2</v>
      </c>
      <c r="G19532" s="1" t="s">
        <v>32</v>
      </c>
      <c r="H19532" s="4" t="str">
        <f>HYPERLINK("https://portal.gdc.cancer.gov/cases/acb3b9db-16e9-40f5-87a9-9df9d4ceee54","TCGA-BJ-A18Y-01A")</f>
        <v>TCGA-BJ-A18Y-01A</v>
      </c>
      <c r="I19532" t="s">
        <v>333</v>
      </c>
      <c r="J19532" t="s">
        <v>584</v>
      </c>
      <c r="K19532" t="s">
        <v>33</v>
      </c>
      <c r="L19532" t="s">
        <v>335</v>
      </c>
      <c r="N19532" t="s">
        <v>29</v>
      </c>
    </row>
    <row r="19533" spans="1:14">
      <c r="A19533" s="4" t="str">
        <f t="shared" si="1358"/>
        <v>EXP00447</v>
      </c>
      <c r="B19533" s="3" t="s">
        <v>66</v>
      </c>
      <c r="C19533" s="4" t="str">
        <f t="shared" si="1359"/>
        <v>TCGA-THCA</v>
      </c>
      <c r="D19533" s="1" t="s">
        <v>493</v>
      </c>
      <c r="E19533" t="s">
        <v>590</v>
      </c>
      <c r="F19533" s="1">
        <v>2</v>
      </c>
      <c r="G19533" s="1" t="s">
        <v>32</v>
      </c>
      <c r="H19533" s="4" t="str">
        <f>HYPERLINK("https://portal.gdc.cancer.gov/cases/0d497faf-2c1c-4173-a5fe-770cca73323c","TCGA-BJ-A18Z-01A")</f>
        <v>TCGA-BJ-A18Z-01A</v>
      </c>
      <c r="I19533" t="s">
        <v>333</v>
      </c>
      <c r="J19533" t="s">
        <v>584</v>
      </c>
      <c r="K19533" t="s">
        <v>33</v>
      </c>
      <c r="L19533" t="s">
        <v>335</v>
      </c>
      <c r="N19533" t="s">
        <v>29</v>
      </c>
    </row>
    <row r="19534" spans="1:14">
      <c r="A19534" s="4" t="str">
        <f t="shared" si="1358"/>
        <v>EXP00447</v>
      </c>
      <c r="B19534" s="3" t="s">
        <v>66</v>
      </c>
      <c r="C19534" s="4" t="str">
        <f t="shared" si="1359"/>
        <v>TCGA-THCA</v>
      </c>
      <c r="D19534" s="1" t="s">
        <v>493</v>
      </c>
      <c r="E19534" t="s">
        <v>590</v>
      </c>
      <c r="F19534" s="1">
        <v>2</v>
      </c>
      <c r="G19534" s="1" t="s">
        <v>32</v>
      </c>
      <c r="H19534" s="4" t="str">
        <f>HYPERLINK("https://portal.gdc.cancer.gov/cases/04fff86a-b6f5-4900-9e37-c1f0b881b160","TCGA-BJ-A190-01A")</f>
        <v>TCGA-BJ-A190-01A</v>
      </c>
      <c r="I19534" t="s">
        <v>333</v>
      </c>
      <c r="J19534" t="s">
        <v>584</v>
      </c>
      <c r="K19534" t="s">
        <v>33</v>
      </c>
      <c r="L19534" t="s">
        <v>335</v>
      </c>
      <c r="N19534" t="s">
        <v>29</v>
      </c>
    </row>
    <row r="19535" spans="1:14">
      <c r="A19535" s="4" t="str">
        <f t="shared" si="1358"/>
        <v>EXP00447</v>
      </c>
      <c r="B19535" s="3" t="s">
        <v>66</v>
      </c>
      <c r="C19535" s="4" t="str">
        <f t="shared" si="1359"/>
        <v>TCGA-THCA</v>
      </c>
      <c r="D19535" s="1" t="s">
        <v>493</v>
      </c>
      <c r="E19535" t="s">
        <v>590</v>
      </c>
      <c r="F19535" s="1">
        <v>2</v>
      </c>
      <c r="G19535" s="1" t="s">
        <v>32</v>
      </c>
      <c r="H19535" s="4" t="str">
        <f>HYPERLINK("https://portal.gdc.cancer.gov/cases/2501ee46-8d38-448b-8765-e9c9706cbbe8","TCGA-BJ-A191-01A")</f>
        <v>TCGA-BJ-A191-01A</v>
      </c>
      <c r="I19535" t="s">
        <v>333</v>
      </c>
      <c r="J19535" t="s">
        <v>584</v>
      </c>
      <c r="K19535" t="s">
        <v>33</v>
      </c>
      <c r="L19535" t="s">
        <v>335</v>
      </c>
      <c r="N19535" t="s">
        <v>29</v>
      </c>
    </row>
    <row r="19536" spans="1:14">
      <c r="A19536" s="4" t="str">
        <f t="shared" si="1358"/>
        <v>EXP00447</v>
      </c>
      <c r="B19536" s="3" t="s">
        <v>66</v>
      </c>
      <c r="C19536" s="4" t="str">
        <f t="shared" si="1359"/>
        <v>TCGA-THCA</v>
      </c>
      <c r="D19536" s="1" t="s">
        <v>493</v>
      </c>
      <c r="E19536" t="s">
        <v>590</v>
      </c>
      <c r="F19536" s="1">
        <v>2</v>
      </c>
      <c r="G19536" s="1" t="s">
        <v>32</v>
      </c>
      <c r="H19536" s="4" t="str">
        <f>HYPERLINK("https://portal.gdc.cancer.gov/cases/b55375c3-9ef2-4d2f-9c29-224e746931c4","TCGA-BJ-A192-01A")</f>
        <v>TCGA-BJ-A192-01A</v>
      </c>
      <c r="I19536" t="s">
        <v>333</v>
      </c>
      <c r="J19536" t="s">
        <v>584</v>
      </c>
      <c r="K19536" t="s">
        <v>33</v>
      </c>
      <c r="L19536" t="s">
        <v>335</v>
      </c>
      <c r="N19536" t="s">
        <v>29</v>
      </c>
    </row>
    <row r="19537" spans="1:14">
      <c r="A19537" s="4" t="str">
        <f t="shared" si="1358"/>
        <v>EXP00447</v>
      </c>
      <c r="B19537" s="3" t="s">
        <v>66</v>
      </c>
      <c r="C19537" s="4" t="str">
        <f t="shared" si="1359"/>
        <v>TCGA-THCA</v>
      </c>
      <c r="D19537" s="1" t="s">
        <v>493</v>
      </c>
      <c r="E19537" t="s">
        <v>590</v>
      </c>
      <c r="F19537" s="1">
        <v>2</v>
      </c>
      <c r="G19537" s="1" t="s">
        <v>32</v>
      </c>
      <c r="H19537" s="4" t="str">
        <f>HYPERLINK("https://portal.gdc.cancer.gov/cases/524a39ee-8fa3-418e-98a2-a6a90e9c8064","TCGA-BJ-A28R-01A")</f>
        <v>TCGA-BJ-A28R-01A</v>
      </c>
      <c r="I19537" t="s">
        <v>333</v>
      </c>
      <c r="J19537" t="s">
        <v>584</v>
      </c>
      <c r="K19537" t="s">
        <v>33</v>
      </c>
      <c r="L19537" t="s">
        <v>335</v>
      </c>
      <c r="N19537" t="s">
        <v>29</v>
      </c>
    </row>
    <row r="19538" spans="1:14">
      <c r="A19538" s="4" t="str">
        <f t="shared" si="1358"/>
        <v>EXP00447</v>
      </c>
      <c r="B19538" s="3" t="s">
        <v>66</v>
      </c>
      <c r="C19538" s="4" t="str">
        <f t="shared" si="1359"/>
        <v>TCGA-THCA</v>
      </c>
      <c r="D19538" s="1" t="s">
        <v>493</v>
      </c>
      <c r="E19538" t="s">
        <v>590</v>
      </c>
      <c r="F19538" s="1">
        <v>2</v>
      </c>
      <c r="G19538" s="1" t="s">
        <v>32</v>
      </c>
      <c r="H19538" s="4" t="str">
        <f>HYPERLINK("https://portal.gdc.cancer.gov/cases/59e91fe5-c80f-4915-be0f-1a7cd3f31f3e","TCGA-BJ-A28S-01A")</f>
        <v>TCGA-BJ-A28S-01A</v>
      </c>
      <c r="I19538" t="s">
        <v>333</v>
      </c>
      <c r="J19538" t="s">
        <v>584</v>
      </c>
      <c r="K19538" t="s">
        <v>33</v>
      </c>
      <c r="L19538" t="s">
        <v>335</v>
      </c>
      <c r="N19538" t="s">
        <v>29</v>
      </c>
    </row>
    <row r="19539" spans="1:14">
      <c r="A19539" s="4" t="str">
        <f t="shared" si="1358"/>
        <v>EXP00447</v>
      </c>
      <c r="B19539" s="3" t="s">
        <v>66</v>
      </c>
      <c r="C19539" s="4" t="str">
        <f t="shared" si="1359"/>
        <v>TCGA-THCA</v>
      </c>
      <c r="D19539" s="1" t="s">
        <v>493</v>
      </c>
      <c r="E19539" t="s">
        <v>590</v>
      </c>
      <c r="F19539" s="1">
        <v>2</v>
      </c>
      <c r="G19539" s="1" t="s">
        <v>32</v>
      </c>
      <c r="H19539" s="4" t="str">
        <f>HYPERLINK("https://portal.gdc.cancer.gov/cases/a9d8f797-8a53-4be5-b957-0f1f6d080390","TCGA-BJ-A28T-01A")</f>
        <v>TCGA-BJ-A28T-01A</v>
      </c>
      <c r="I19539" t="s">
        <v>333</v>
      </c>
      <c r="J19539" t="s">
        <v>584</v>
      </c>
      <c r="K19539" t="s">
        <v>33</v>
      </c>
      <c r="L19539" t="s">
        <v>335</v>
      </c>
      <c r="N19539" t="s">
        <v>29</v>
      </c>
    </row>
    <row r="19540" spans="1:14">
      <c r="A19540" s="4" t="str">
        <f t="shared" si="1358"/>
        <v>EXP00447</v>
      </c>
      <c r="B19540" s="3" t="s">
        <v>66</v>
      </c>
      <c r="C19540" s="4" t="str">
        <f t="shared" si="1359"/>
        <v>TCGA-THCA</v>
      </c>
      <c r="D19540" s="1" t="s">
        <v>493</v>
      </c>
      <c r="E19540" t="s">
        <v>590</v>
      </c>
      <c r="F19540" s="1">
        <v>2</v>
      </c>
      <c r="G19540" s="1" t="s">
        <v>32</v>
      </c>
      <c r="H19540" s="4" t="str">
        <f>HYPERLINK("https://portal.gdc.cancer.gov/cases/bed1fb3c-4459-460e-8190-29211857fa73","TCGA-BJ-A28V-01A")</f>
        <v>TCGA-BJ-A28V-01A</v>
      </c>
      <c r="I19540" t="s">
        <v>333</v>
      </c>
      <c r="J19540" t="s">
        <v>584</v>
      </c>
      <c r="K19540" t="s">
        <v>33</v>
      </c>
      <c r="L19540" t="s">
        <v>335</v>
      </c>
      <c r="N19540" t="s">
        <v>29</v>
      </c>
    </row>
    <row r="19541" spans="1:14">
      <c r="A19541" s="4" t="str">
        <f t="shared" si="1358"/>
        <v>EXP00447</v>
      </c>
      <c r="B19541" s="3" t="s">
        <v>66</v>
      </c>
      <c r="C19541" s="4" t="str">
        <f t="shared" si="1359"/>
        <v>TCGA-THCA</v>
      </c>
      <c r="D19541" s="1" t="s">
        <v>493</v>
      </c>
      <c r="E19541" t="s">
        <v>590</v>
      </c>
      <c r="F19541" s="1">
        <v>2</v>
      </c>
      <c r="G19541" s="1" t="s">
        <v>32</v>
      </c>
      <c r="H19541" s="4" t="str">
        <f>HYPERLINK("https://portal.gdc.cancer.gov/cases/a6d37f61-beca-46ea-a59a-62257475ac77","TCGA-BJ-A28W-01A")</f>
        <v>TCGA-BJ-A28W-01A</v>
      </c>
      <c r="I19541" t="s">
        <v>333</v>
      </c>
      <c r="J19541" t="s">
        <v>584</v>
      </c>
      <c r="K19541" t="s">
        <v>33</v>
      </c>
      <c r="L19541" t="s">
        <v>335</v>
      </c>
      <c r="N19541" t="s">
        <v>29</v>
      </c>
    </row>
    <row r="19542" spans="1:14">
      <c r="A19542" s="4" t="str">
        <f t="shared" si="1358"/>
        <v>EXP00447</v>
      </c>
      <c r="B19542" s="3" t="s">
        <v>66</v>
      </c>
      <c r="C19542" s="4" t="str">
        <f t="shared" si="1359"/>
        <v>TCGA-THCA</v>
      </c>
      <c r="D19542" s="1" t="s">
        <v>493</v>
      </c>
      <c r="E19542" t="s">
        <v>590</v>
      </c>
      <c r="F19542" s="1">
        <v>2</v>
      </c>
      <c r="G19542" s="1" t="s">
        <v>32</v>
      </c>
      <c r="H19542" s="4" t="str">
        <f>HYPERLINK("https://portal.gdc.cancer.gov/cases/b30f5b13-8cc9-48a0-93ea-3d49ce8a7d0d","TCGA-BJ-A28X-01A")</f>
        <v>TCGA-BJ-A28X-01A</v>
      </c>
      <c r="I19542" t="s">
        <v>333</v>
      </c>
      <c r="J19542" t="s">
        <v>584</v>
      </c>
      <c r="K19542" t="s">
        <v>33</v>
      </c>
      <c r="L19542" t="s">
        <v>335</v>
      </c>
      <c r="N19542" t="s">
        <v>29</v>
      </c>
    </row>
    <row r="19543" spans="1:14">
      <c r="A19543" s="4" t="str">
        <f t="shared" si="1358"/>
        <v>EXP00447</v>
      </c>
      <c r="B19543" s="3" t="s">
        <v>66</v>
      </c>
      <c r="C19543" s="4" t="str">
        <f t="shared" si="1359"/>
        <v>TCGA-THCA</v>
      </c>
      <c r="D19543" s="1" t="s">
        <v>493</v>
      </c>
      <c r="E19543" t="s">
        <v>590</v>
      </c>
      <c r="F19543" s="1">
        <v>2</v>
      </c>
      <c r="G19543" s="1" t="s">
        <v>32</v>
      </c>
      <c r="H19543" s="4" t="str">
        <f>HYPERLINK("https://portal.gdc.cancer.gov/cases/6ba76174-620e-4851-857a-d0adbfd6f3e6","TCGA-BJ-A28Z-01A")</f>
        <v>TCGA-BJ-A28Z-01A</v>
      </c>
      <c r="I19543" t="s">
        <v>333</v>
      </c>
      <c r="J19543" t="s">
        <v>584</v>
      </c>
      <c r="K19543" t="s">
        <v>33</v>
      </c>
      <c r="L19543" t="s">
        <v>335</v>
      </c>
      <c r="N19543" t="s">
        <v>29</v>
      </c>
    </row>
    <row r="19544" spans="1:14">
      <c r="A19544" s="4" t="str">
        <f t="shared" si="1358"/>
        <v>EXP00447</v>
      </c>
      <c r="B19544" s="3" t="s">
        <v>66</v>
      </c>
      <c r="C19544" s="4" t="str">
        <f t="shared" si="1359"/>
        <v>TCGA-THCA</v>
      </c>
      <c r="D19544" s="1" t="s">
        <v>493</v>
      </c>
      <c r="E19544" t="s">
        <v>590</v>
      </c>
      <c r="F19544" s="1">
        <v>2</v>
      </c>
      <c r="G19544" s="1" t="s">
        <v>32</v>
      </c>
      <c r="H19544" s="4" t="str">
        <f>HYPERLINK("https://portal.gdc.cancer.gov/cases/3cd2d4bd-8256-42fa-8272-db379d598007","TCGA-BJ-A290-01A")</f>
        <v>TCGA-BJ-A290-01A</v>
      </c>
      <c r="I19544" t="s">
        <v>333</v>
      </c>
      <c r="J19544" t="s">
        <v>584</v>
      </c>
      <c r="K19544" t="s">
        <v>33</v>
      </c>
      <c r="L19544" t="s">
        <v>335</v>
      </c>
      <c r="N19544" t="s">
        <v>29</v>
      </c>
    </row>
    <row r="19545" spans="1:14">
      <c r="A19545" s="4" t="str">
        <f t="shared" si="1358"/>
        <v>EXP00447</v>
      </c>
      <c r="B19545" s="3" t="s">
        <v>66</v>
      </c>
      <c r="C19545" s="4" t="str">
        <f t="shared" si="1359"/>
        <v>TCGA-THCA</v>
      </c>
      <c r="D19545" s="1" t="s">
        <v>493</v>
      </c>
      <c r="E19545" t="s">
        <v>590</v>
      </c>
      <c r="F19545" s="1">
        <v>2</v>
      </c>
      <c r="G19545" s="1" t="s">
        <v>32</v>
      </c>
      <c r="H19545" s="4" t="str">
        <f>HYPERLINK("https://portal.gdc.cancer.gov/cases/d4c68c1c-a3f3-4e0c-b555-d457378a1d24","TCGA-BJ-A291-01A")</f>
        <v>TCGA-BJ-A291-01A</v>
      </c>
      <c r="I19545" t="s">
        <v>333</v>
      </c>
      <c r="J19545" t="s">
        <v>584</v>
      </c>
      <c r="K19545" t="s">
        <v>33</v>
      </c>
      <c r="L19545" t="s">
        <v>335</v>
      </c>
      <c r="N19545" t="s">
        <v>29</v>
      </c>
    </row>
    <row r="19546" spans="1:14">
      <c r="A19546" s="4" t="str">
        <f t="shared" si="1358"/>
        <v>EXP00447</v>
      </c>
      <c r="B19546" s="3" t="s">
        <v>66</v>
      </c>
      <c r="C19546" s="4" t="str">
        <f t="shared" si="1359"/>
        <v>TCGA-THCA</v>
      </c>
      <c r="D19546" s="1" t="s">
        <v>493</v>
      </c>
      <c r="E19546" t="s">
        <v>590</v>
      </c>
      <c r="F19546" s="1">
        <v>2</v>
      </c>
      <c r="G19546" s="1" t="s">
        <v>32</v>
      </c>
      <c r="H19546" s="4" t="str">
        <f>HYPERLINK("https://portal.gdc.cancer.gov/cases/cbab7a72-11f7-4dfe-80f8-1b1ef1cf0055","TCGA-BJ-A2N7-01A")</f>
        <v>TCGA-BJ-A2N7-01A</v>
      </c>
      <c r="I19546" t="s">
        <v>333</v>
      </c>
      <c r="J19546" t="s">
        <v>584</v>
      </c>
      <c r="K19546" t="s">
        <v>33</v>
      </c>
      <c r="L19546" t="s">
        <v>335</v>
      </c>
      <c r="N19546" t="s">
        <v>29</v>
      </c>
    </row>
    <row r="19547" spans="1:14">
      <c r="A19547" s="4" t="str">
        <f t="shared" si="1358"/>
        <v>EXP00447</v>
      </c>
      <c r="B19547" s="3" t="s">
        <v>66</v>
      </c>
      <c r="C19547" s="4" t="str">
        <f t="shared" si="1359"/>
        <v>TCGA-THCA</v>
      </c>
      <c r="D19547" s="1" t="s">
        <v>493</v>
      </c>
      <c r="E19547" t="s">
        <v>590</v>
      </c>
      <c r="F19547" s="1">
        <v>2</v>
      </c>
      <c r="G19547" s="1" t="s">
        <v>32</v>
      </c>
      <c r="H19547" s="4" t="str">
        <f>HYPERLINK("https://portal.gdc.cancer.gov/cases/729fc937-192a-4eb7-b357-b8f0d2da1f08","TCGA-BJ-A2N8-01A")</f>
        <v>TCGA-BJ-A2N8-01A</v>
      </c>
      <c r="I19547" t="s">
        <v>333</v>
      </c>
      <c r="J19547" t="s">
        <v>584</v>
      </c>
      <c r="K19547" t="s">
        <v>33</v>
      </c>
      <c r="L19547" t="s">
        <v>335</v>
      </c>
      <c r="N19547" t="s">
        <v>29</v>
      </c>
    </row>
    <row r="19548" spans="1:14">
      <c r="A19548" s="4" t="str">
        <f t="shared" si="1358"/>
        <v>EXP00447</v>
      </c>
      <c r="B19548" s="3" t="s">
        <v>66</v>
      </c>
      <c r="C19548" s="4" t="str">
        <f t="shared" si="1359"/>
        <v>TCGA-THCA</v>
      </c>
      <c r="D19548" s="1" t="s">
        <v>493</v>
      </c>
      <c r="E19548" t="s">
        <v>590</v>
      </c>
      <c r="F19548" s="1">
        <v>2</v>
      </c>
      <c r="G19548" s="1" t="s">
        <v>32</v>
      </c>
      <c r="H19548" s="4" t="str">
        <f>HYPERLINK("https://portal.gdc.cancer.gov/cases/1e63d4b3-1b49-4bb9-b64f-001273aae120","TCGA-BJ-A2N9-01A")</f>
        <v>TCGA-BJ-A2N9-01A</v>
      </c>
      <c r="I19548" t="s">
        <v>333</v>
      </c>
      <c r="J19548" t="s">
        <v>584</v>
      </c>
      <c r="K19548" t="s">
        <v>33</v>
      </c>
      <c r="L19548" t="s">
        <v>335</v>
      </c>
      <c r="N19548" t="s">
        <v>29</v>
      </c>
    </row>
    <row r="19549" spans="1:14">
      <c r="A19549" s="4" t="str">
        <f t="shared" si="1358"/>
        <v>EXP00447</v>
      </c>
      <c r="B19549" s="3" t="s">
        <v>66</v>
      </c>
      <c r="C19549" s="4" t="str">
        <f t="shared" si="1359"/>
        <v>TCGA-THCA</v>
      </c>
      <c r="D19549" s="1" t="s">
        <v>493</v>
      </c>
      <c r="E19549" t="s">
        <v>590</v>
      </c>
      <c r="F19549" s="1">
        <v>2</v>
      </c>
      <c r="G19549" s="1" t="s">
        <v>32</v>
      </c>
      <c r="H19549" s="4" t="str">
        <f>HYPERLINK("https://portal.gdc.cancer.gov/cases/f9d35f8e-ada4-4cc6-8227-28565ee531d2","TCGA-BJ-A2NA-01A")</f>
        <v>TCGA-BJ-A2NA-01A</v>
      </c>
      <c r="I19549" t="s">
        <v>333</v>
      </c>
      <c r="J19549" t="s">
        <v>584</v>
      </c>
      <c r="K19549" t="s">
        <v>33</v>
      </c>
      <c r="L19549" t="s">
        <v>335</v>
      </c>
      <c r="N19549" t="s">
        <v>29</v>
      </c>
    </row>
    <row r="19550" spans="1:14">
      <c r="A19550" s="4" t="str">
        <f t="shared" si="1358"/>
        <v>EXP00447</v>
      </c>
      <c r="B19550" s="3" t="s">
        <v>66</v>
      </c>
      <c r="C19550" s="4" t="str">
        <f t="shared" si="1359"/>
        <v>TCGA-THCA</v>
      </c>
      <c r="D19550" s="1" t="s">
        <v>493</v>
      </c>
      <c r="E19550" t="s">
        <v>590</v>
      </c>
      <c r="F19550" s="1">
        <v>2</v>
      </c>
      <c r="G19550" s="1" t="s">
        <v>32</v>
      </c>
      <c r="H19550" s="4" t="str">
        <f>HYPERLINK("https://portal.gdc.cancer.gov/cases/e8d74dbb-410c-4f8f-8e1f-2b2dd7634160","TCGA-BJ-A2P4-01A")</f>
        <v>TCGA-BJ-A2P4-01A</v>
      </c>
      <c r="I19550" t="s">
        <v>333</v>
      </c>
      <c r="J19550" t="s">
        <v>584</v>
      </c>
      <c r="K19550" t="s">
        <v>33</v>
      </c>
      <c r="L19550" t="s">
        <v>335</v>
      </c>
      <c r="N19550" t="s">
        <v>29</v>
      </c>
    </row>
    <row r="19551" spans="1:14">
      <c r="A19551" s="4" t="str">
        <f t="shared" si="1358"/>
        <v>EXP00447</v>
      </c>
      <c r="B19551" s="3" t="s">
        <v>66</v>
      </c>
      <c r="C19551" s="4" t="str">
        <f t="shared" si="1359"/>
        <v>TCGA-THCA</v>
      </c>
      <c r="D19551" s="1" t="s">
        <v>493</v>
      </c>
      <c r="E19551" t="s">
        <v>590</v>
      </c>
      <c r="F19551" s="1">
        <v>2</v>
      </c>
      <c r="G19551" s="1" t="s">
        <v>32</v>
      </c>
      <c r="H19551" s="4" t="str">
        <f>HYPERLINK("https://portal.gdc.cancer.gov/cases/befa0ef5-d621-4866-904d-13341ea54aa1","TCGA-BJ-A3EZ-01A")</f>
        <v>TCGA-BJ-A3EZ-01A</v>
      </c>
      <c r="I19551" t="s">
        <v>333</v>
      </c>
      <c r="J19551" t="s">
        <v>584</v>
      </c>
      <c r="K19551" t="s">
        <v>33</v>
      </c>
      <c r="L19551" t="s">
        <v>335</v>
      </c>
      <c r="N19551" t="s">
        <v>29</v>
      </c>
    </row>
    <row r="19552" spans="1:14">
      <c r="A19552" s="4" t="str">
        <f t="shared" si="1358"/>
        <v>EXP00447</v>
      </c>
      <c r="B19552" s="3" t="s">
        <v>66</v>
      </c>
      <c r="C19552" s="4" t="str">
        <f t="shared" si="1359"/>
        <v>TCGA-THCA</v>
      </c>
      <c r="D19552" s="1" t="s">
        <v>493</v>
      </c>
      <c r="E19552" t="s">
        <v>590</v>
      </c>
      <c r="F19552" s="1">
        <v>2</v>
      </c>
      <c r="G19552" s="1" t="s">
        <v>32</v>
      </c>
      <c r="H19552" s="4" t="str">
        <f>HYPERLINK("https://portal.gdc.cancer.gov/cases/a6bdba04-f27d-4cef-bd82-872fb8390e46","TCGA-BJ-A3F0-01A")</f>
        <v>TCGA-BJ-A3F0-01A</v>
      </c>
      <c r="I19552" t="s">
        <v>333</v>
      </c>
      <c r="J19552" t="s">
        <v>584</v>
      </c>
      <c r="K19552" t="s">
        <v>33</v>
      </c>
      <c r="L19552" t="s">
        <v>335</v>
      </c>
      <c r="N19552" t="s">
        <v>29</v>
      </c>
    </row>
    <row r="19553" spans="1:14">
      <c r="A19553" s="4" t="str">
        <f t="shared" si="1358"/>
        <v>EXP00447</v>
      </c>
      <c r="B19553" s="3" t="s">
        <v>66</v>
      </c>
      <c r="C19553" s="4" t="str">
        <f t="shared" si="1359"/>
        <v>TCGA-THCA</v>
      </c>
      <c r="D19553" s="1" t="s">
        <v>493</v>
      </c>
      <c r="E19553" t="s">
        <v>590</v>
      </c>
      <c r="F19553" s="1">
        <v>2</v>
      </c>
      <c r="G19553" s="1" t="s">
        <v>32</v>
      </c>
      <c r="H19553" s="4" t="str">
        <f>HYPERLINK("https://portal.gdc.cancer.gov/cases/fd036ec5-3ffb-40b1-8002-943be0e2532e","TCGA-BJ-A3PR-01A")</f>
        <v>TCGA-BJ-A3PR-01A</v>
      </c>
      <c r="I19553" t="s">
        <v>333</v>
      </c>
      <c r="J19553" t="s">
        <v>584</v>
      </c>
      <c r="K19553" t="s">
        <v>33</v>
      </c>
      <c r="L19553" t="s">
        <v>335</v>
      </c>
      <c r="N19553" t="s">
        <v>29</v>
      </c>
    </row>
    <row r="19554" spans="1:14">
      <c r="A19554" s="4" t="str">
        <f t="shared" si="1358"/>
        <v>EXP00447</v>
      </c>
      <c r="B19554" s="3" t="s">
        <v>66</v>
      </c>
      <c r="C19554" s="4" t="str">
        <f t="shared" si="1359"/>
        <v>TCGA-THCA</v>
      </c>
      <c r="D19554" s="1" t="s">
        <v>493</v>
      </c>
      <c r="E19554" t="s">
        <v>590</v>
      </c>
      <c r="F19554" s="1">
        <v>2</v>
      </c>
      <c r="G19554" s="1" t="s">
        <v>32</v>
      </c>
      <c r="H19554" s="4" t="str">
        <f>HYPERLINK("https://portal.gdc.cancer.gov/cases/29c4319c-3ead-42b1-810d-418da8d515c4","TCGA-BJ-A3PT-01A")</f>
        <v>TCGA-BJ-A3PT-01A</v>
      </c>
      <c r="I19554" t="s">
        <v>333</v>
      </c>
      <c r="J19554" t="s">
        <v>584</v>
      </c>
      <c r="K19554" t="s">
        <v>33</v>
      </c>
      <c r="L19554" t="s">
        <v>335</v>
      </c>
      <c r="N19554" t="s">
        <v>29</v>
      </c>
    </row>
    <row r="19555" spans="1:14">
      <c r="A19555" s="4" t="str">
        <f t="shared" si="1358"/>
        <v>EXP00447</v>
      </c>
      <c r="B19555" s="3" t="s">
        <v>66</v>
      </c>
      <c r="C19555" s="4" t="str">
        <f t="shared" si="1359"/>
        <v>TCGA-THCA</v>
      </c>
      <c r="D19555" s="1" t="s">
        <v>493</v>
      </c>
      <c r="E19555" t="s">
        <v>590</v>
      </c>
      <c r="F19555" s="1">
        <v>2</v>
      </c>
      <c r="G19555" s="1" t="s">
        <v>32</v>
      </c>
      <c r="H19555" s="4" t="str">
        <f>HYPERLINK("https://portal.gdc.cancer.gov/cases/a1196d5f-8c7d-4d9d-9e46-c5c22a9c2fef","TCGA-BJ-A45C-01A")</f>
        <v>TCGA-BJ-A45C-01A</v>
      </c>
      <c r="I19555" t="s">
        <v>333</v>
      </c>
      <c r="J19555" t="s">
        <v>584</v>
      </c>
      <c r="K19555" t="s">
        <v>33</v>
      </c>
      <c r="L19555" t="s">
        <v>335</v>
      </c>
      <c r="N19555" t="s">
        <v>29</v>
      </c>
    </row>
    <row r="19556" spans="1:14">
      <c r="A19556" s="4" t="str">
        <f t="shared" si="1358"/>
        <v>EXP00447</v>
      </c>
      <c r="B19556" s="3" t="s">
        <v>66</v>
      </c>
      <c r="C19556" s="4" t="str">
        <f t="shared" si="1359"/>
        <v>TCGA-THCA</v>
      </c>
      <c r="D19556" s="1" t="s">
        <v>493</v>
      </c>
      <c r="E19556" t="s">
        <v>590</v>
      </c>
      <c r="F19556" s="1">
        <v>2</v>
      </c>
      <c r="G19556" s="1" t="s">
        <v>32</v>
      </c>
      <c r="H19556" s="4" t="str">
        <f>HYPERLINK("https://portal.gdc.cancer.gov/cases/e7cf1cca-384e-4a00-bb30-bed154ec15c0","TCGA-BJ-A45D-01A")</f>
        <v>TCGA-BJ-A45D-01A</v>
      </c>
      <c r="I19556" t="s">
        <v>333</v>
      </c>
      <c r="J19556" t="s">
        <v>584</v>
      </c>
      <c r="K19556" t="s">
        <v>33</v>
      </c>
      <c r="L19556" t="s">
        <v>335</v>
      </c>
      <c r="N19556" t="s">
        <v>29</v>
      </c>
    </row>
    <row r="19557" spans="1:14">
      <c r="A19557" s="4" t="str">
        <f t="shared" si="1358"/>
        <v>EXP00447</v>
      </c>
      <c r="B19557" s="3" t="s">
        <v>66</v>
      </c>
      <c r="C19557" s="4" t="str">
        <f t="shared" si="1359"/>
        <v>TCGA-THCA</v>
      </c>
      <c r="D19557" s="1" t="s">
        <v>493</v>
      </c>
      <c r="E19557" t="s">
        <v>590</v>
      </c>
      <c r="F19557" s="1">
        <v>2</v>
      </c>
      <c r="G19557" s="1" t="s">
        <v>32</v>
      </c>
      <c r="H19557" s="4" t="str">
        <f>HYPERLINK("https://portal.gdc.cancer.gov/cases/3b088cb4-6fd4-45ac-a708-dffd873546dc","TCGA-BJ-A45E-01A")</f>
        <v>TCGA-BJ-A45E-01A</v>
      </c>
      <c r="I19557" t="s">
        <v>333</v>
      </c>
      <c r="J19557" t="s">
        <v>584</v>
      </c>
      <c r="K19557" t="s">
        <v>33</v>
      </c>
      <c r="L19557" t="s">
        <v>335</v>
      </c>
      <c r="N19557" t="s">
        <v>29</v>
      </c>
    </row>
    <row r="19558" spans="1:14">
      <c r="A19558" s="4" t="str">
        <f t="shared" si="1358"/>
        <v>EXP00447</v>
      </c>
      <c r="B19558" s="3" t="s">
        <v>66</v>
      </c>
      <c r="C19558" s="4" t="str">
        <f t="shared" si="1359"/>
        <v>TCGA-THCA</v>
      </c>
      <c r="D19558" s="1" t="s">
        <v>493</v>
      </c>
      <c r="E19558" t="s">
        <v>590</v>
      </c>
      <c r="F19558" s="1">
        <v>2</v>
      </c>
      <c r="G19558" s="1" t="s">
        <v>32</v>
      </c>
      <c r="H19558" s="4" t="str">
        <f>HYPERLINK("https://portal.gdc.cancer.gov/cases/dd305533-e48c-4fed-9283-5082703c23ff","TCGA-BJ-A45F-01A")</f>
        <v>TCGA-BJ-A45F-01A</v>
      </c>
      <c r="I19558" t="s">
        <v>333</v>
      </c>
      <c r="J19558" t="s">
        <v>584</v>
      </c>
      <c r="K19558" t="s">
        <v>33</v>
      </c>
      <c r="L19558" t="s">
        <v>335</v>
      </c>
      <c r="N19558" t="s">
        <v>29</v>
      </c>
    </row>
    <row r="19559" spans="1:14">
      <c r="A19559" s="4" t="str">
        <f t="shared" si="1358"/>
        <v>EXP00447</v>
      </c>
      <c r="B19559" s="3" t="s">
        <v>66</v>
      </c>
      <c r="C19559" s="4" t="str">
        <f t="shared" si="1359"/>
        <v>TCGA-THCA</v>
      </c>
      <c r="D19559" s="1" t="s">
        <v>493</v>
      </c>
      <c r="E19559" t="s">
        <v>590</v>
      </c>
      <c r="F19559" s="1">
        <v>2</v>
      </c>
      <c r="G19559" s="1" t="s">
        <v>32</v>
      </c>
      <c r="H19559" s="4" t="str">
        <f>HYPERLINK("https://portal.gdc.cancer.gov/cases/b8cb385a-4e5f-4932-944d-04d6ea1bba5a","TCGA-BJ-A45G-01A")</f>
        <v>TCGA-BJ-A45G-01A</v>
      </c>
      <c r="I19559" t="s">
        <v>333</v>
      </c>
      <c r="J19559" t="s">
        <v>584</v>
      </c>
      <c r="K19559" t="s">
        <v>33</v>
      </c>
      <c r="L19559" t="s">
        <v>335</v>
      </c>
      <c r="N19559" t="s">
        <v>29</v>
      </c>
    </row>
    <row r="19560" spans="1:14">
      <c r="A19560" s="4" t="str">
        <f t="shared" si="1358"/>
        <v>EXP00447</v>
      </c>
      <c r="B19560" s="3" t="s">
        <v>66</v>
      </c>
      <c r="C19560" s="4" t="str">
        <f t="shared" si="1359"/>
        <v>TCGA-THCA</v>
      </c>
      <c r="D19560" s="1" t="s">
        <v>493</v>
      </c>
      <c r="E19560" t="s">
        <v>590</v>
      </c>
      <c r="F19560" s="1">
        <v>2</v>
      </c>
      <c r="G19560" s="1" t="s">
        <v>32</v>
      </c>
      <c r="H19560" s="4" t="str">
        <f>HYPERLINK("https://portal.gdc.cancer.gov/cases/778a8f53-53f6-4a03-8ce1-b0928539a444","TCGA-BJ-A45H-01A")</f>
        <v>TCGA-BJ-A45H-01A</v>
      </c>
      <c r="I19560" t="s">
        <v>333</v>
      </c>
      <c r="J19560" t="s">
        <v>584</v>
      </c>
      <c r="K19560" t="s">
        <v>33</v>
      </c>
      <c r="L19560" t="s">
        <v>335</v>
      </c>
      <c r="N19560" t="s">
        <v>29</v>
      </c>
    </row>
    <row r="19561" spans="1:14">
      <c r="A19561" s="4" t="str">
        <f t="shared" si="1358"/>
        <v>EXP00447</v>
      </c>
      <c r="B19561" s="3" t="s">
        <v>66</v>
      </c>
      <c r="C19561" s="4" t="str">
        <f t="shared" si="1359"/>
        <v>TCGA-THCA</v>
      </c>
      <c r="D19561" s="1" t="s">
        <v>493</v>
      </c>
      <c r="E19561" t="s">
        <v>590</v>
      </c>
      <c r="F19561" s="1">
        <v>2</v>
      </c>
      <c r="G19561" s="1" t="s">
        <v>32</v>
      </c>
      <c r="H19561" s="4" t="str">
        <f>HYPERLINK("https://portal.gdc.cancer.gov/cases/c5d08be7-b94c-423a-aea8-bbc635787c63","TCGA-BJ-A45I-01A")</f>
        <v>TCGA-BJ-A45I-01A</v>
      </c>
      <c r="I19561" t="s">
        <v>333</v>
      </c>
      <c r="J19561" t="s">
        <v>584</v>
      </c>
      <c r="K19561" t="s">
        <v>33</v>
      </c>
      <c r="L19561" t="s">
        <v>335</v>
      </c>
      <c r="N19561" t="s">
        <v>29</v>
      </c>
    </row>
    <row r="19562" spans="1:14">
      <c r="A19562" s="4" t="str">
        <f t="shared" si="1358"/>
        <v>EXP00447</v>
      </c>
      <c r="B19562" s="3" t="s">
        <v>66</v>
      </c>
      <c r="C19562" s="4" t="str">
        <f t="shared" si="1359"/>
        <v>TCGA-THCA</v>
      </c>
      <c r="D19562" s="1" t="s">
        <v>493</v>
      </c>
      <c r="E19562" t="s">
        <v>590</v>
      </c>
      <c r="F19562" s="1">
        <v>2</v>
      </c>
      <c r="G19562" s="1" t="s">
        <v>32</v>
      </c>
      <c r="H19562" s="4" t="str">
        <f>HYPERLINK("https://portal.gdc.cancer.gov/cases/6b85d76d-6098-47ea-9823-586238526cf1","TCGA-BJ-A45J-01A")</f>
        <v>TCGA-BJ-A45J-01A</v>
      </c>
      <c r="I19562" t="s">
        <v>333</v>
      </c>
      <c r="J19562" t="s">
        <v>584</v>
      </c>
      <c r="K19562" t="s">
        <v>33</v>
      </c>
      <c r="L19562" t="s">
        <v>335</v>
      </c>
      <c r="N19562" t="s">
        <v>29</v>
      </c>
    </row>
    <row r="19563" spans="1:14">
      <c r="A19563" s="4" t="str">
        <f t="shared" si="1358"/>
        <v>EXP00447</v>
      </c>
      <c r="B19563" s="3" t="s">
        <v>66</v>
      </c>
      <c r="C19563" s="4" t="str">
        <f t="shared" si="1359"/>
        <v>TCGA-THCA</v>
      </c>
      <c r="D19563" s="1" t="s">
        <v>493</v>
      </c>
      <c r="E19563" t="s">
        <v>590</v>
      </c>
      <c r="F19563" s="1">
        <v>2</v>
      </c>
      <c r="G19563" s="1" t="s">
        <v>32</v>
      </c>
      <c r="H19563" s="4" t="str">
        <f>HYPERLINK("https://portal.gdc.cancer.gov/cases/8cfb88f6-7b37-4f1e-882b-3a368b604167","TCGA-BJ-A45K-01A")</f>
        <v>TCGA-BJ-A45K-01A</v>
      </c>
      <c r="I19563" t="s">
        <v>333</v>
      </c>
      <c r="J19563" t="s">
        <v>584</v>
      </c>
      <c r="K19563" t="s">
        <v>33</v>
      </c>
      <c r="L19563" t="s">
        <v>335</v>
      </c>
      <c r="N19563" t="s">
        <v>29</v>
      </c>
    </row>
    <row r="19564" spans="1:14">
      <c r="A19564" s="4" t="str">
        <f t="shared" si="1358"/>
        <v>EXP00447</v>
      </c>
      <c r="B19564" s="3" t="s">
        <v>66</v>
      </c>
      <c r="C19564" s="4" t="str">
        <f t="shared" si="1359"/>
        <v>TCGA-THCA</v>
      </c>
      <c r="D19564" s="1" t="s">
        <v>493</v>
      </c>
      <c r="E19564" t="s">
        <v>590</v>
      </c>
      <c r="F19564" s="1">
        <v>2</v>
      </c>
      <c r="G19564" s="1" t="s">
        <v>32</v>
      </c>
      <c r="H19564" s="4" t="str">
        <f>HYPERLINK("https://portal.gdc.cancer.gov/cases/1009a500-2a37-4aee-b7c3-049b5ce961a4","TCGA-BJ-A4O8-01A")</f>
        <v>TCGA-BJ-A4O8-01A</v>
      </c>
      <c r="I19564" t="s">
        <v>333</v>
      </c>
      <c r="J19564" t="s">
        <v>584</v>
      </c>
      <c r="K19564" t="s">
        <v>33</v>
      </c>
      <c r="L19564" t="s">
        <v>335</v>
      </c>
      <c r="N19564" t="s">
        <v>29</v>
      </c>
    </row>
    <row r="19565" spans="1:14">
      <c r="A19565" s="4" t="str">
        <f t="shared" si="1358"/>
        <v>EXP00447</v>
      </c>
      <c r="B19565" s="3" t="s">
        <v>66</v>
      </c>
      <c r="C19565" s="4" t="str">
        <f t="shared" si="1359"/>
        <v>TCGA-THCA</v>
      </c>
      <c r="D19565" s="1" t="s">
        <v>493</v>
      </c>
      <c r="E19565" t="s">
        <v>590</v>
      </c>
      <c r="F19565" s="1">
        <v>2</v>
      </c>
      <c r="G19565" s="1" t="s">
        <v>32</v>
      </c>
      <c r="H19565" s="4" t="str">
        <f>HYPERLINK("https://portal.gdc.cancer.gov/cases/cc84500c-0196-450d-87a1-ca394cc227b5","TCGA-BJ-A4O9-01A")</f>
        <v>TCGA-BJ-A4O9-01A</v>
      </c>
      <c r="I19565" t="s">
        <v>333</v>
      </c>
      <c r="J19565" t="s">
        <v>584</v>
      </c>
      <c r="K19565" t="s">
        <v>33</v>
      </c>
      <c r="L19565" t="s">
        <v>335</v>
      </c>
      <c r="N19565" t="s">
        <v>29</v>
      </c>
    </row>
    <row r="19566" spans="1:14">
      <c r="A19566" s="4" t="str">
        <f t="shared" si="1358"/>
        <v>EXP00447</v>
      </c>
      <c r="B19566" s="3" t="s">
        <v>66</v>
      </c>
      <c r="C19566" s="4" t="str">
        <f t="shared" si="1359"/>
        <v>TCGA-THCA</v>
      </c>
      <c r="D19566" s="1" t="s">
        <v>493</v>
      </c>
      <c r="E19566" t="s">
        <v>590</v>
      </c>
      <c r="F19566" s="1">
        <v>2</v>
      </c>
      <c r="G19566" s="1" t="s">
        <v>32</v>
      </c>
      <c r="H19566" s="4" t="str">
        <f>HYPERLINK("https://portal.gdc.cancer.gov/cases/a1227ffa-2733-4a43-ba82-834755453870","TCGA-CE-A13K-01A")</f>
        <v>TCGA-CE-A13K-01A</v>
      </c>
      <c r="I19566" t="s">
        <v>333</v>
      </c>
      <c r="J19566" t="s">
        <v>584</v>
      </c>
      <c r="K19566" t="s">
        <v>33</v>
      </c>
      <c r="L19566" t="s">
        <v>335</v>
      </c>
      <c r="N19566" t="s">
        <v>29</v>
      </c>
    </row>
    <row r="19567" spans="1:14">
      <c r="A19567" s="4" t="str">
        <f t="shared" si="1358"/>
        <v>EXP00447</v>
      </c>
      <c r="B19567" s="3" t="s">
        <v>66</v>
      </c>
      <c r="C19567" s="4" t="str">
        <f t="shared" si="1359"/>
        <v>TCGA-THCA</v>
      </c>
      <c r="D19567" s="1" t="s">
        <v>493</v>
      </c>
      <c r="E19567" t="s">
        <v>590</v>
      </c>
      <c r="F19567" s="1">
        <v>2</v>
      </c>
      <c r="G19567" s="1" t="s">
        <v>32</v>
      </c>
      <c r="H19567" s="4" t="str">
        <f>HYPERLINK("https://portal.gdc.cancer.gov/cases/75a93f0e-cd41-43c6-a303-ff37e31395e9","TCGA-CE-A27D-01A")</f>
        <v>TCGA-CE-A27D-01A</v>
      </c>
      <c r="I19567" t="s">
        <v>333</v>
      </c>
      <c r="J19567" t="s">
        <v>584</v>
      </c>
      <c r="K19567" t="s">
        <v>33</v>
      </c>
      <c r="L19567" t="s">
        <v>335</v>
      </c>
      <c r="N19567" t="s">
        <v>29</v>
      </c>
    </row>
    <row r="19568" spans="1:14">
      <c r="A19568" s="4" t="str">
        <f t="shared" si="1358"/>
        <v>EXP00447</v>
      </c>
      <c r="B19568" s="3" t="s">
        <v>66</v>
      </c>
      <c r="C19568" s="4" t="str">
        <f t="shared" si="1359"/>
        <v>TCGA-THCA</v>
      </c>
      <c r="D19568" s="1" t="s">
        <v>493</v>
      </c>
      <c r="E19568" t="s">
        <v>590</v>
      </c>
      <c r="F19568" s="1">
        <v>2</v>
      </c>
      <c r="G19568" s="1" t="s">
        <v>32</v>
      </c>
      <c r="H19568" s="4" t="str">
        <f>HYPERLINK("https://portal.gdc.cancer.gov/cases/16505d78-90d9-47d0-9b86-c6ef91d23aac","TCGA-CE-A3MD-01A")</f>
        <v>TCGA-CE-A3MD-01A</v>
      </c>
      <c r="I19568" t="s">
        <v>333</v>
      </c>
      <c r="J19568" t="s">
        <v>584</v>
      </c>
      <c r="K19568" t="s">
        <v>33</v>
      </c>
      <c r="L19568" t="s">
        <v>335</v>
      </c>
      <c r="N19568" t="s">
        <v>29</v>
      </c>
    </row>
    <row r="19569" spans="1:14">
      <c r="A19569" s="4" t="str">
        <f t="shared" ref="A19569:A19632" si="1360">HYPERLINK("http://hcmdb.i-sanger.com/experiment/details/experiment_id/EXP00447","EXP00447")</f>
        <v>EXP00447</v>
      </c>
      <c r="B19569" s="3" t="s">
        <v>66</v>
      </c>
      <c r="C19569" s="4" t="str">
        <f t="shared" si="1359"/>
        <v>TCGA-THCA</v>
      </c>
      <c r="D19569" s="1" t="s">
        <v>493</v>
      </c>
      <c r="E19569" t="s">
        <v>590</v>
      </c>
      <c r="F19569" s="1">
        <v>2</v>
      </c>
      <c r="G19569" s="1" t="s">
        <v>32</v>
      </c>
      <c r="H19569" s="4" t="str">
        <f>HYPERLINK("https://portal.gdc.cancer.gov/cases/dec7a0a2-c26e-4a89-a4d5-74bd1409ff91","TCGA-CE-A3ME-01A")</f>
        <v>TCGA-CE-A3ME-01A</v>
      </c>
      <c r="I19569" t="s">
        <v>333</v>
      </c>
      <c r="J19569" t="s">
        <v>584</v>
      </c>
      <c r="K19569" t="s">
        <v>33</v>
      </c>
      <c r="L19569" t="s">
        <v>335</v>
      </c>
      <c r="N19569" t="s">
        <v>29</v>
      </c>
    </row>
    <row r="19570" spans="1:14">
      <c r="A19570" s="4" t="str">
        <f t="shared" si="1360"/>
        <v>EXP00447</v>
      </c>
      <c r="B19570" s="3" t="s">
        <v>66</v>
      </c>
      <c r="C19570" s="4" t="str">
        <f t="shared" si="1359"/>
        <v>TCGA-THCA</v>
      </c>
      <c r="D19570" s="1" t="s">
        <v>493</v>
      </c>
      <c r="E19570" t="s">
        <v>590</v>
      </c>
      <c r="F19570" s="1">
        <v>2</v>
      </c>
      <c r="G19570" s="1" t="s">
        <v>32</v>
      </c>
      <c r="H19570" s="4" t="str">
        <f>HYPERLINK("https://portal.gdc.cancer.gov/cases/2c9e8686-9757-4e05-8d0e-efeaa3045d66","TCGA-CE-A481-01A")</f>
        <v>TCGA-CE-A481-01A</v>
      </c>
      <c r="I19570" t="s">
        <v>333</v>
      </c>
      <c r="J19570" t="s">
        <v>584</v>
      </c>
      <c r="K19570" t="s">
        <v>33</v>
      </c>
      <c r="L19570" t="s">
        <v>335</v>
      </c>
      <c r="N19570" t="s">
        <v>29</v>
      </c>
    </row>
    <row r="19571" spans="1:14">
      <c r="A19571" s="4" t="str">
        <f t="shared" si="1360"/>
        <v>EXP00447</v>
      </c>
      <c r="B19571" s="3" t="s">
        <v>66</v>
      </c>
      <c r="C19571" s="4" t="str">
        <f t="shared" si="1359"/>
        <v>TCGA-THCA</v>
      </c>
      <c r="D19571" s="1" t="s">
        <v>493</v>
      </c>
      <c r="E19571" t="s">
        <v>590</v>
      </c>
      <c r="F19571" s="1">
        <v>2</v>
      </c>
      <c r="G19571" s="1" t="s">
        <v>32</v>
      </c>
      <c r="H19571" s="4" t="str">
        <f>HYPERLINK("https://portal.gdc.cancer.gov/cases/a5406575-c840-475a-ab1b-e1a159413fbd","TCGA-CE-A482-01A")</f>
        <v>TCGA-CE-A482-01A</v>
      </c>
      <c r="I19571" t="s">
        <v>333</v>
      </c>
      <c r="J19571" t="s">
        <v>584</v>
      </c>
      <c r="K19571" t="s">
        <v>33</v>
      </c>
      <c r="L19571" t="s">
        <v>335</v>
      </c>
      <c r="N19571" t="s">
        <v>29</v>
      </c>
    </row>
    <row r="19572" spans="1:14">
      <c r="A19572" s="4" t="str">
        <f t="shared" si="1360"/>
        <v>EXP00447</v>
      </c>
      <c r="B19572" s="3" t="s">
        <v>66</v>
      </c>
      <c r="C19572" s="4" t="str">
        <f t="shared" si="1359"/>
        <v>TCGA-THCA</v>
      </c>
      <c r="D19572" s="1" t="s">
        <v>493</v>
      </c>
      <c r="E19572" t="s">
        <v>590</v>
      </c>
      <c r="F19572" s="1">
        <v>2</v>
      </c>
      <c r="G19572" s="1" t="s">
        <v>32</v>
      </c>
      <c r="H19572" s="4" t="str">
        <f>HYPERLINK("https://portal.gdc.cancer.gov/cases/80da6e75-b7ad-47a6-9923-1e21a519a968","TCGA-CE-A483-01A")</f>
        <v>TCGA-CE-A483-01A</v>
      </c>
      <c r="I19572" t="s">
        <v>333</v>
      </c>
      <c r="J19572" t="s">
        <v>584</v>
      </c>
      <c r="K19572" t="s">
        <v>33</v>
      </c>
      <c r="L19572" t="s">
        <v>335</v>
      </c>
      <c r="N19572" t="s">
        <v>29</v>
      </c>
    </row>
    <row r="19573" spans="1:14">
      <c r="A19573" s="4" t="str">
        <f t="shared" si="1360"/>
        <v>EXP00447</v>
      </c>
      <c r="B19573" s="3" t="s">
        <v>66</v>
      </c>
      <c r="C19573" s="4" t="str">
        <f t="shared" ref="C19573:C19636" si="1361">HYPERLINK("https://portal.gdc.cancer.gov/projects/TCGA-THCA","TCGA-THCA")</f>
        <v>TCGA-THCA</v>
      </c>
      <c r="D19573" s="1" t="s">
        <v>493</v>
      </c>
      <c r="E19573" t="s">
        <v>590</v>
      </c>
      <c r="F19573" s="1">
        <v>2</v>
      </c>
      <c r="G19573" s="1" t="s">
        <v>32</v>
      </c>
      <c r="H19573" s="4" t="str">
        <f>HYPERLINK("https://portal.gdc.cancer.gov/cases/e62a728d-390f-428a-bea1-fc8c9814fb11","TCGA-CE-A484-01A")</f>
        <v>TCGA-CE-A484-01A</v>
      </c>
      <c r="I19573" t="s">
        <v>333</v>
      </c>
      <c r="J19573" t="s">
        <v>584</v>
      </c>
      <c r="K19573" t="s">
        <v>33</v>
      </c>
      <c r="L19573" t="s">
        <v>335</v>
      </c>
      <c r="N19573" t="s">
        <v>29</v>
      </c>
    </row>
    <row r="19574" spans="1:14">
      <c r="A19574" s="4" t="str">
        <f t="shared" si="1360"/>
        <v>EXP00447</v>
      </c>
      <c r="B19574" s="3" t="s">
        <v>66</v>
      </c>
      <c r="C19574" s="4" t="str">
        <f t="shared" si="1361"/>
        <v>TCGA-THCA</v>
      </c>
      <c r="D19574" s="1" t="s">
        <v>493</v>
      </c>
      <c r="E19574" t="s">
        <v>590</v>
      </c>
      <c r="F19574" s="1">
        <v>2</v>
      </c>
      <c r="G19574" s="1" t="s">
        <v>32</v>
      </c>
      <c r="H19574" s="4" t="str">
        <f>HYPERLINK("https://portal.gdc.cancer.gov/cases/9b1dbd0d-be6d-4a88-881a-faf57ceba81c","TCGA-CE-A485-01A")</f>
        <v>TCGA-CE-A485-01A</v>
      </c>
      <c r="I19574" t="s">
        <v>333</v>
      </c>
      <c r="J19574" t="s">
        <v>584</v>
      </c>
      <c r="K19574" t="s">
        <v>33</v>
      </c>
      <c r="L19574" t="s">
        <v>335</v>
      </c>
      <c r="N19574" t="s">
        <v>29</v>
      </c>
    </row>
    <row r="19575" spans="1:14">
      <c r="A19575" s="4" t="str">
        <f t="shared" si="1360"/>
        <v>EXP00447</v>
      </c>
      <c r="B19575" s="3" t="s">
        <v>66</v>
      </c>
      <c r="C19575" s="4" t="str">
        <f t="shared" si="1361"/>
        <v>TCGA-THCA</v>
      </c>
      <c r="D19575" s="1" t="s">
        <v>493</v>
      </c>
      <c r="E19575" t="s">
        <v>590</v>
      </c>
      <c r="F19575" s="1">
        <v>2</v>
      </c>
      <c r="G19575" s="1" t="s">
        <v>32</v>
      </c>
      <c r="H19575" s="4" t="str">
        <f>HYPERLINK("https://portal.gdc.cancer.gov/cases/3e9fda23-676d-4e78-8948-0c9df3d10064","TCGA-DE-A0XZ-01A")</f>
        <v>TCGA-DE-A0XZ-01A</v>
      </c>
      <c r="I19575" t="s">
        <v>333</v>
      </c>
      <c r="J19575" t="s">
        <v>584</v>
      </c>
      <c r="K19575" t="s">
        <v>33</v>
      </c>
      <c r="L19575" t="s">
        <v>335</v>
      </c>
      <c r="N19575" t="s">
        <v>29</v>
      </c>
    </row>
    <row r="19576" spans="1:14">
      <c r="A19576" s="4" t="str">
        <f t="shared" si="1360"/>
        <v>EXP00447</v>
      </c>
      <c r="B19576" s="3" t="s">
        <v>66</v>
      </c>
      <c r="C19576" s="4" t="str">
        <f t="shared" si="1361"/>
        <v>TCGA-THCA</v>
      </c>
      <c r="D19576" s="1" t="s">
        <v>493</v>
      </c>
      <c r="E19576" t="s">
        <v>590</v>
      </c>
      <c r="F19576" s="1">
        <v>2</v>
      </c>
      <c r="G19576" s="1" t="s">
        <v>32</v>
      </c>
      <c r="H19576" s="4" t="str">
        <f>HYPERLINK("https://portal.gdc.cancer.gov/cases/6ad260ad-769a-4f3c-bd07-927adf6b2338","TCGA-DE-A0Y2-01A")</f>
        <v>TCGA-DE-A0Y2-01A</v>
      </c>
      <c r="I19576" t="s">
        <v>333</v>
      </c>
      <c r="J19576" t="s">
        <v>584</v>
      </c>
      <c r="K19576" t="s">
        <v>33</v>
      </c>
      <c r="L19576" t="s">
        <v>335</v>
      </c>
      <c r="N19576" t="s">
        <v>29</v>
      </c>
    </row>
    <row r="19577" spans="1:14">
      <c r="A19577" s="4" t="str">
        <f t="shared" si="1360"/>
        <v>EXP00447</v>
      </c>
      <c r="B19577" s="3" t="s">
        <v>66</v>
      </c>
      <c r="C19577" s="4" t="str">
        <f t="shared" si="1361"/>
        <v>TCGA-THCA</v>
      </c>
      <c r="D19577" s="1" t="s">
        <v>493</v>
      </c>
      <c r="E19577" t="s">
        <v>590</v>
      </c>
      <c r="F19577" s="1">
        <v>2</v>
      </c>
      <c r="G19577" s="1" t="s">
        <v>32</v>
      </c>
      <c r="H19577" s="4" t="str">
        <f>HYPERLINK("https://portal.gdc.cancer.gov/cases/c31b3adf-3fc6-4a72-83b0-bbc0f295b5e7","TCGA-DE-A0Y3-01B")</f>
        <v>TCGA-DE-A0Y3-01B</v>
      </c>
      <c r="I19577" t="s">
        <v>333</v>
      </c>
      <c r="J19577" t="s">
        <v>584</v>
      </c>
      <c r="K19577" t="s">
        <v>33</v>
      </c>
      <c r="L19577" t="s">
        <v>335</v>
      </c>
      <c r="N19577" t="s">
        <v>29</v>
      </c>
    </row>
    <row r="19578" spans="1:14">
      <c r="A19578" s="4" t="str">
        <f t="shared" si="1360"/>
        <v>EXP00447</v>
      </c>
      <c r="B19578" s="3" t="s">
        <v>66</v>
      </c>
      <c r="C19578" s="4" t="str">
        <f t="shared" si="1361"/>
        <v>TCGA-THCA</v>
      </c>
      <c r="D19578" s="1" t="s">
        <v>493</v>
      </c>
      <c r="E19578" t="s">
        <v>590</v>
      </c>
      <c r="F19578" s="1">
        <v>2</v>
      </c>
      <c r="G19578" s="1" t="s">
        <v>32</v>
      </c>
      <c r="H19578" s="4" t="str">
        <f>HYPERLINK("https://portal.gdc.cancer.gov/cases/77bb90f0-e923-4e28-bb88-4d6b420e0b5c","TCGA-DE-A2OL-01A")</f>
        <v>TCGA-DE-A2OL-01A</v>
      </c>
      <c r="I19578" t="s">
        <v>333</v>
      </c>
      <c r="J19578" t="s">
        <v>584</v>
      </c>
      <c r="K19578" t="s">
        <v>33</v>
      </c>
      <c r="L19578" t="s">
        <v>335</v>
      </c>
      <c r="N19578" t="s">
        <v>29</v>
      </c>
    </row>
    <row r="19579" spans="1:14">
      <c r="A19579" s="4" t="str">
        <f t="shared" si="1360"/>
        <v>EXP00447</v>
      </c>
      <c r="B19579" s="3" t="s">
        <v>66</v>
      </c>
      <c r="C19579" s="4" t="str">
        <f t="shared" si="1361"/>
        <v>TCGA-THCA</v>
      </c>
      <c r="D19579" s="1" t="s">
        <v>493</v>
      </c>
      <c r="E19579" t="s">
        <v>590</v>
      </c>
      <c r="F19579" s="1">
        <v>2</v>
      </c>
      <c r="G19579" s="1" t="s">
        <v>32</v>
      </c>
      <c r="H19579" s="4" t="str">
        <f>HYPERLINK("https://portal.gdc.cancer.gov/cases/085ffcdc-8600-42e2-852a-506465f716a2","TCGA-DE-A3KN-01A")</f>
        <v>TCGA-DE-A3KN-01A</v>
      </c>
      <c r="I19579" t="s">
        <v>333</v>
      </c>
      <c r="J19579" t="s">
        <v>584</v>
      </c>
      <c r="K19579" t="s">
        <v>33</v>
      </c>
      <c r="L19579" t="s">
        <v>335</v>
      </c>
      <c r="N19579" t="s">
        <v>29</v>
      </c>
    </row>
    <row r="19580" spans="1:14">
      <c r="A19580" s="4" t="str">
        <f t="shared" si="1360"/>
        <v>EXP00447</v>
      </c>
      <c r="B19580" s="3" t="s">
        <v>66</v>
      </c>
      <c r="C19580" s="4" t="str">
        <f t="shared" si="1361"/>
        <v>TCGA-THCA</v>
      </c>
      <c r="D19580" s="1" t="s">
        <v>493</v>
      </c>
      <c r="E19580" t="s">
        <v>590</v>
      </c>
      <c r="F19580" s="1">
        <v>2</v>
      </c>
      <c r="G19580" s="1" t="s">
        <v>32</v>
      </c>
      <c r="H19580" s="4" t="str">
        <f>HYPERLINK("https://portal.gdc.cancer.gov/cases/a4a217c1-66e8-4cc5-805a-1172ce5da721","TCGA-DE-A4M8-01A")</f>
        <v>TCGA-DE-A4M8-01A</v>
      </c>
      <c r="I19580" t="s">
        <v>333</v>
      </c>
      <c r="J19580" t="s">
        <v>584</v>
      </c>
      <c r="K19580" t="s">
        <v>33</v>
      </c>
      <c r="L19580" t="s">
        <v>335</v>
      </c>
      <c r="N19580" t="s">
        <v>29</v>
      </c>
    </row>
    <row r="19581" spans="1:14">
      <c r="A19581" s="4" t="str">
        <f t="shared" si="1360"/>
        <v>EXP00447</v>
      </c>
      <c r="B19581" s="3" t="s">
        <v>66</v>
      </c>
      <c r="C19581" s="4" t="str">
        <f t="shared" si="1361"/>
        <v>TCGA-THCA</v>
      </c>
      <c r="D19581" s="1" t="s">
        <v>493</v>
      </c>
      <c r="E19581" t="s">
        <v>590</v>
      </c>
      <c r="F19581" s="1">
        <v>2</v>
      </c>
      <c r="G19581" s="1" t="s">
        <v>32</v>
      </c>
      <c r="H19581" s="4" t="str">
        <f>HYPERLINK("https://portal.gdc.cancer.gov/cases/86657a3c-10cf-48b7-9fda-f2df5e2afad5","TCGA-DE-A4M9-01A")</f>
        <v>TCGA-DE-A4M9-01A</v>
      </c>
      <c r="I19581" t="s">
        <v>333</v>
      </c>
      <c r="J19581" t="s">
        <v>584</v>
      </c>
      <c r="K19581" t="s">
        <v>33</v>
      </c>
      <c r="L19581" t="s">
        <v>335</v>
      </c>
      <c r="N19581" t="s">
        <v>29</v>
      </c>
    </row>
    <row r="19582" spans="1:14">
      <c r="A19582" s="4" t="str">
        <f t="shared" si="1360"/>
        <v>EXP00447</v>
      </c>
      <c r="B19582" s="3" t="s">
        <v>66</v>
      </c>
      <c r="C19582" s="4" t="str">
        <f t="shared" si="1361"/>
        <v>TCGA-THCA</v>
      </c>
      <c r="D19582" s="1" t="s">
        <v>493</v>
      </c>
      <c r="E19582" t="s">
        <v>590</v>
      </c>
      <c r="F19582" s="1">
        <v>2</v>
      </c>
      <c r="G19582" s="1" t="s">
        <v>32</v>
      </c>
      <c r="H19582" s="4" t="str">
        <f>HYPERLINK("https://portal.gdc.cancer.gov/cases/89c72f0e-e724-4826-bb9c-d7524d1b1258","TCGA-DE-A4MA-01A")</f>
        <v>TCGA-DE-A4MA-01A</v>
      </c>
      <c r="I19582" t="s">
        <v>333</v>
      </c>
      <c r="J19582" t="s">
        <v>584</v>
      </c>
      <c r="K19582" t="s">
        <v>33</v>
      </c>
      <c r="L19582" t="s">
        <v>335</v>
      </c>
      <c r="N19582" t="s">
        <v>29</v>
      </c>
    </row>
    <row r="19583" spans="1:14">
      <c r="A19583" s="4" t="str">
        <f t="shared" si="1360"/>
        <v>EXP00447</v>
      </c>
      <c r="B19583" s="3" t="s">
        <v>66</v>
      </c>
      <c r="C19583" s="4" t="str">
        <f t="shared" si="1361"/>
        <v>TCGA-THCA</v>
      </c>
      <c r="D19583" s="1" t="s">
        <v>493</v>
      </c>
      <c r="E19583" t="s">
        <v>590</v>
      </c>
      <c r="F19583" s="1">
        <v>2</v>
      </c>
      <c r="G19583" s="1" t="s">
        <v>32</v>
      </c>
      <c r="H19583" s="4" t="str">
        <f>HYPERLINK("https://portal.gdc.cancer.gov/cases/4ec2bb20-2190-4c37-8aaa-4086fef1fbb6","TCGA-DE-A4MB-01A")</f>
        <v>TCGA-DE-A4MB-01A</v>
      </c>
      <c r="I19583" t="s">
        <v>333</v>
      </c>
      <c r="J19583" t="s">
        <v>584</v>
      </c>
      <c r="K19583" t="s">
        <v>33</v>
      </c>
      <c r="L19583" t="s">
        <v>335</v>
      </c>
      <c r="N19583" t="s">
        <v>29</v>
      </c>
    </row>
    <row r="19584" spans="1:14">
      <c r="A19584" s="4" t="str">
        <f t="shared" si="1360"/>
        <v>EXP00447</v>
      </c>
      <c r="B19584" s="3" t="s">
        <v>66</v>
      </c>
      <c r="C19584" s="4" t="str">
        <f t="shared" si="1361"/>
        <v>TCGA-THCA</v>
      </c>
      <c r="D19584" s="1" t="s">
        <v>493</v>
      </c>
      <c r="E19584" t="s">
        <v>590</v>
      </c>
      <c r="F19584" s="1">
        <v>2</v>
      </c>
      <c r="G19584" s="1" t="s">
        <v>32</v>
      </c>
      <c r="H19584" s="4" t="str">
        <f>HYPERLINK("https://portal.gdc.cancer.gov/cases/85def63a-39ab-4c83-ab8c-02c6f702f05d","TCGA-DE-A4MC-01A")</f>
        <v>TCGA-DE-A4MC-01A</v>
      </c>
      <c r="I19584" t="s">
        <v>333</v>
      </c>
      <c r="J19584" t="s">
        <v>584</v>
      </c>
      <c r="K19584" t="s">
        <v>33</v>
      </c>
      <c r="L19584" t="s">
        <v>335</v>
      </c>
      <c r="N19584" t="s">
        <v>29</v>
      </c>
    </row>
    <row r="19585" spans="1:14">
      <c r="A19585" s="4" t="str">
        <f t="shared" si="1360"/>
        <v>EXP00447</v>
      </c>
      <c r="B19585" s="3" t="s">
        <v>66</v>
      </c>
      <c r="C19585" s="4" t="str">
        <f t="shared" si="1361"/>
        <v>TCGA-THCA</v>
      </c>
      <c r="D19585" s="1" t="s">
        <v>493</v>
      </c>
      <c r="E19585" t="s">
        <v>590</v>
      </c>
      <c r="F19585" s="1">
        <v>2</v>
      </c>
      <c r="G19585" s="1" t="s">
        <v>32</v>
      </c>
      <c r="H19585" s="4" t="str">
        <f>HYPERLINK("https://portal.gdc.cancer.gov/cases/9efd27c7-9893-49fd-886e-e85057dd5d2e","TCGA-DE-A69J-01A")</f>
        <v>TCGA-DE-A69J-01A</v>
      </c>
      <c r="I19585" t="s">
        <v>333</v>
      </c>
      <c r="J19585" t="s">
        <v>584</v>
      </c>
      <c r="K19585" t="s">
        <v>33</v>
      </c>
      <c r="L19585" t="s">
        <v>335</v>
      </c>
      <c r="N19585" t="s">
        <v>29</v>
      </c>
    </row>
    <row r="19586" spans="1:14">
      <c r="A19586" s="4" t="str">
        <f t="shared" si="1360"/>
        <v>EXP00447</v>
      </c>
      <c r="B19586" s="3" t="s">
        <v>66</v>
      </c>
      <c r="C19586" s="4" t="str">
        <f t="shared" si="1361"/>
        <v>TCGA-THCA</v>
      </c>
      <c r="D19586" s="1" t="s">
        <v>493</v>
      </c>
      <c r="E19586" t="s">
        <v>590</v>
      </c>
      <c r="F19586" s="1">
        <v>2</v>
      </c>
      <c r="G19586" s="1" t="s">
        <v>32</v>
      </c>
      <c r="H19586" s="4" t="str">
        <f>HYPERLINK("https://portal.gdc.cancer.gov/cases/7f9fad75-ac3e-4580-b949-80eed07a3230","TCGA-DE-A69K-01A")</f>
        <v>TCGA-DE-A69K-01A</v>
      </c>
      <c r="I19586" t="s">
        <v>333</v>
      </c>
      <c r="J19586" t="s">
        <v>584</v>
      </c>
      <c r="K19586" t="s">
        <v>33</v>
      </c>
      <c r="L19586" t="s">
        <v>335</v>
      </c>
      <c r="N19586" t="s">
        <v>29</v>
      </c>
    </row>
    <row r="19587" spans="1:14">
      <c r="A19587" s="4" t="str">
        <f t="shared" si="1360"/>
        <v>EXP00447</v>
      </c>
      <c r="B19587" s="3" t="s">
        <v>66</v>
      </c>
      <c r="C19587" s="4" t="str">
        <f t="shared" si="1361"/>
        <v>TCGA-THCA</v>
      </c>
      <c r="D19587" s="1" t="s">
        <v>493</v>
      </c>
      <c r="E19587" t="s">
        <v>590</v>
      </c>
      <c r="F19587" s="1">
        <v>2</v>
      </c>
      <c r="G19587" s="1" t="s">
        <v>32</v>
      </c>
      <c r="H19587" s="4" t="str">
        <f>HYPERLINK("https://portal.gdc.cancer.gov/cases/2378935d-aebd-4f6f-b31b-53bc6bd59bf9","TCGA-DE-A7U5-01A")</f>
        <v>TCGA-DE-A7U5-01A</v>
      </c>
      <c r="I19587" t="s">
        <v>333</v>
      </c>
      <c r="J19587" t="s">
        <v>584</v>
      </c>
      <c r="K19587" t="s">
        <v>33</v>
      </c>
      <c r="L19587" t="s">
        <v>335</v>
      </c>
      <c r="N19587" t="s">
        <v>29</v>
      </c>
    </row>
    <row r="19588" spans="1:14">
      <c r="A19588" s="4" t="str">
        <f t="shared" si="1360"/>
        <v>EXP00447</v>
      </c>
      <c r="B19588" s="3" t="s">
        <v>66</v>
      </c>
      <c r="C19588" s="4" t="str">
        <f t="shared" si="1361"/>
        <v>TCGA-THCA</v>
      </c>
      <c r="D19588" s="1" t="s">
        <v>493</v>
      </c>
      <c r="E19588" t="s">
        <v>590</v>
      </c>
      <c r="F19588" s="1">
        <v>2</v>
      </c>
      <c r="G19588" s="1" t="s">
        <v>32</v>
      </c>
      <c r="H19588" s="4" t="str">
        <f>HYPERLINK("https://portal.gdc.cancer.gov/cases/c7a2f394-3e3f-4c90-9f1e-f2be3e5b0d6b","TCGA-DJ-A13L-01A")</f>
        <v>TCGA-DJ-A13L-01A</v>
      </c>
      <c r="I19588" t="s">
        <v>333</v>
      </c>
      <c r="J19588" t="s">
        <v>584</v>
      </c>
      <c r="K19588" t="s">
        <v>33</v>
      </c>
      <c r="L19588" t="s">
        <v>335</v>
      </c>
      <c r="N19588" t="s">
        <v>29</v>
      </c>
    </row>
    <row r="19589" spans="1:14">
      <c r="A19589" s="4" t="str">
        <f t="shared" si="1360"/>
        <v>EXP00447</v>
      </c>
      <c r="B19589" s="3" t="s">
        <v>66</v>
      </c>
      <c r="C19589" s="4" t="str">
        <f t="shared" si="1361"/>
        <v>TCGA-THCA</v>
      </c>
      <c r="D19589" s="1" t="s">
        <v>493</v>
      </c>
      <c r="E19589" t="s">
        <v>590</v>
      </c>
      <c r="F19589" s="1">
        <v>2</v>
      </c>
      <c r="G19589" s="1" t="s">
        <v>32</v>
      </c>
      <c r="H19589" s="4" t="str">
        <f>HYPERLINK("https://portal.gdc.cancer.gov/cases/ba9dec81-ffc0-453a-9621-94beba45fab1","TCGA-DJ-A13M-01A")</f>
        <v>TCGA-DJ-A13M-01A</v>
      </c>
      <c r="I19589" t="s">
        <v>333</v>
      </c>
      <c r="J19589" t="s">
        <v>584</v>
      </c>
      <c r="K19589" t="s">
        <v>33</v>
      </c>
      <c r="L19589" t="s">
        <v>335</v>
      </c>
      <c r="N19589" t="s">
        <v>29</v>
      </c>
    </row>
    <row r="19590" spans="1:14">
      <c r="A19590" s="4" t="str">
        <f t="shared" si="1360"/>
        <v>EXP00447</v>
      </c>
      <c r="B19590" s="3" t="s">
        <v>66</v>
      </c>
      <c r="C19590" s="4" t="str">
        <f t="shared" si="1361"/>
        <v>TCGA-THCA</v>
      </c>
      <c r="D19590" s="1" t="s">
        <v>493</v>
      </c>
      <c r="E19590" t="s">
        <v>590</v>
      </c>
      <c r="F19590" s="1">
        <v>2</v>
      </c>
      <c r="G19590" s="1" t="s">
        <v>32</v>
      </c>
      <c r="H19590" s="4" t="str">
        <f>HYPERLINK("https://portal.gdc.cancer.gov/cases/77d5b246-33ba-4a96-9d73-06aca797653e","TCGA-DJ-A13O-01A")</f>
        <v>TCGA-DJ-A13O-01A</v>
      </c>
      <c r="I19590" t="s">
        <v>333</v>
      </c>
      <c r="J19590" t="s">
        <v>584</v>
      </c>
      <c r="K19590" t="s">
        <v>33</v>
      </c>
      <c r="L19590" t="s">
        <v>335</v>
      </c>
      <c r="N19590" t="s">
        <v>29</v>
      </c>
    </row>
    <row r="19591" spans="1:14">
      <c r="A19591" s="4" t="str">
        <f t="shared" si="1360"/>
        <v>EXP00447</v>
      </c>
      <c r="B19591" s="3" t="s">
        <v>66</v>
      </c>
      <c r="C19591" s="4" t="str">
        <f t="shared" si="1361"/>
        <v>TCGA-THCA</v>
      </c>
      <c r="D19591" s="1" t="s">
        <v>493</v>
      </c>
      <c r="E19591" t="s">
        <v>590</v>
      </c>
      <c r="F19591" s="1">
        <v>2</v>
      </c>
      <c r="G19591" s="1" t="s">
        <v>32</v>
      </c>
      <c r="H19591" s="4" t="str">
        <f>HYPERLINK("https://portal.gdc.cancer.gov/cases/ca95a11c-b54c-409e-b9a0-da850945033d","TCGA-DJ-A13P-01A")</f>
        <v>TCGA-DJ-A13P-01A</v>
      </c>
      <c r="I19591" t="s">
        <v>333</v>
      </c>
      <c r="J19591" t="s">
        <v>584</v>
      </c>
      <c r="K19591" t="s">
        <v>33</v>
      </c>
      <c r="L19591" t="s">
        <v>335</v>
      </c>
      <c r="N19591" t="s">
        <v>29</v>
      </c>
    </row>
    <row r="19592" spans="1:14">
      <c r="A19592" s="4" t="str">
        <f t="shared" si="1360"/>
        <v>EXP00447</v>
      </c>
      <c r="B19592" s="3" t="s">
        <v>66</v>
      </c>
      <c r="C19592" s="4" t="str">
        <f t="shared" si="1361"/>
        <v>TCGA-THCA</v>
      </c>
      <c r="D19592" s="1" t="s">
        <v>493</v>
      </c>
      <c r="E19592" t="s">
        <v>590</v>
      </c>
      <c r="F19592" s="1">
        <v>2</v>
      </c>
      <c r="G19592" s="1" t="s">
        <v>32</v>
      </c>
      <c r="H19592" s="4" t="str">
        <f>HYPERLINK("https://portal.gdc.cancer.gov/cases/3e787a0e-b5d2-401e-b1e5-077376090b3a","TCGA-DJ-A13R-01A")</f>
        <v>TCGA-DJ-A13R-01A</v>
      </c>
      <c r="I19592" t="s">
        <v>333</v>
      </c>
      <c r="J19592" t="s">
        <v>584</v>
      </c>
      <c r="K19592" t="s">
        <v>33</v>
      </c>
      <c r="L19592" t="s">
        <v>335</v>
      </c>
      <c r="N19592" t="s">
        <v>29</v>
      </c>
    </row>
    <row r="19593" spans="1:14">
      <c r="A19593" s="4" t="str">
        <f t="shared" si="1360"/>
        <v>EXP00447</v>
      </c>
      <c r="B19593" s="3" t="s">
        <v>66</v>
      </c>
      <c r="C19593" s="4" t="str">
        <f t="shared" si="1361"/>
        <v>TCGA-THCA</v>
      </c>
      <c r="D19593" s="1" t="s">
        <v>493</v>
      </c>
      <c r="E19593" t="s">
        <v>590</v>
      </c>
      <c r="F19593" s="1">
        <v>2</v>
      </c>
      <c r="G19593" s="1" t="s">
        <v>32</v>
      </c>
      <c r="H19593" s="4" t="str">
        <f>HYPERLINK("https://portal.gdc.cancer.gov/cases/8aa99f35-c644-4f91-9eff-a5d3fae758b0","TCGA-DJ-A13S-01A")</f>
        <v>TCGA-DJ-A13S-01A</v>
      </c>
      <c r="I19593" t="s">
        <v>333</v>
      </c>
      <c r="J19593" t="s">
        <v>584</v>
      </c>
      <c r="K19593" t="s">
        <v>33</v>
      </c>
      <c r="L19593" t="s">
        <v>335</v>
      </c>
      <c r="N19593" t="s">
        <v>29</v>
      </c>
    </row>
    <row r="19594" spans="1:14">
      <c r="A19594" s="4" t="str">
        <f t="shared" si="1360"/>
        <v>EXP00447</v>
      </c>
      <c r="B19594" s="3" t="s">
        <v>66</v>
      </c>
      <c r="C19594" s="4" t="str">
        <f t="shared" si="1361"/>
        <v>TCGA-THCA</v>
      </c>
      <c r="D19594" s="1" t="s">
        <v>493</v>
      </c>
      <c r="E19594" t="s">
        <v>590</v>
      </c>
      <c r="F19594" s="1">
        <v>2</v>
      </c>
      <c r="G19594" s="1" t="s">
        <v>32</v>
      </c>
      <c r="H19594" s="4" t="str">
        <f>HYPERLINK("https://portal.gdc.cancer.gov/cases/0b170ed4-d919-466b-b765-47878b865aed","TCGA-DJ-A13T-01A")</f>
        <v>TCGA-DJ-A13T-01A</v>
      </c>
      <c r="I19594" t="s">
        <v>333</v>
      </c>
      <c r="J19594" t="s">
        <v>584</v>
      </c>
      <c r="K19594" t="s">
        <v>33</v>
      </c>
      <c r="L19594" t="s">
        <v>335</v>
      </c>
      <c r="N19594" t="s">
        <v>29</v>
      </c>
    </row>
    <row r="19595" spans="1:14">
      <c r="A19595" s="4" t="str">
        <f t="shared" si="1360"/>
        <v>EXP00447</v>
      </c>
      <c r="B19595" s="3" t="s">
        <v>66</v>
      </c>
      <c r="C19595" s="4" t="str">
        <f t="shared" si="1361"/>
        <v>TCGA-THCA</v>
      </c>
      <c r="D19595" s="1" t="s">
        <v>493</v>
      </c>
      <c r="E19595" t="s">
        <v>590</v>
      </c>
      <c r="F19595" s="1">
        <v>2</v>
      </c>
      <c r="G19595" s="1" t="s">
        <v>32</v>
      </c>
      <c r="H19595" s="4" t="str">
        <f>HYPERLINK("https://portal.gdc.cancer.gov/cases/8c5aef43-341e-4a37-84eb-fd730eb957c7","TCGA-DJ-A13U-01A")</f>
        <v>TCGA-DJ-A13U-01A</v>
      </c>
      <c r="I19595" t="s">
        <v>333</v>
      </c>
      <c r="J19595" t="s">
        <v>584</v>
      </c>
      <c r="K19595" t="s">
        <v>33</v>
      </c>
      <c r="L19595" t="s">
        <v>335</v>
      </c>
      <c r="N19595" t="s">
        <v>29</v>
      </c>
    </row>
    <row r="19596" spans="1:14">
      <c r="A19596" s="4" t="str">
        <f t="shared" si="1360"/>
        <v>EXP00447</v>
      </c>
      <c r="B19596" s="3" t="s">
        <v>66</v>
      </c>
      <c r="C19596" s="4" t="str">
        <f t="shared" si="1361"/>
        <v>TCGA-THCA</v>
      </c>
      <c r="D19596" s="1" t="s">
        <v>493</v>
      </c>
      <c r="E19596" t="s">
        <v>590</v>
      </c>
      <c r="F19596" s="1">
        <v>2</v>
      </c>
      <c r="G19596" s="1" t="s">
        <v>32</v>
      </c>
      <c r="H19596" s="4" t="str">
        <f>HYPERLINK("https://portal.gdc.cancer.gov/cases/3b48cc5e-3396-4dd5-893d-54b75b98b016","TCGA-DJ-A13W-01A")</f>
        <v>TCGA-DJ-A13W-01A</v>
      </c>
      <c r="I19596" t="s">
        <v>333</v>
      </c>
      <c r="J19596" t="s">
        <v>584</v>
      </c>
      <c r="K19596" t="s">
        <v>33</v>
      </c>
      <c r="L19596" t="s">
        <v>335</v>
      </c>
      <c r="N19596" t="s">
        <v>29</v>
      </c>
    </row>
    <row r="19597" spans="1:14">
      <c r="A19597" s="4" t="str">
        <f t="shared" si="1360"/>
        <v>EXP00447</v>
      </c>
      <c r="B19597" s="3" t="s">
        <v>66</v>
      </c>
      <c r="C19597" s="4" t="str">
        <f t="shared" si="1361"/>
        <v>TCGA-THCA</v>
      </c>
      <c r="D19597" s="1" t="s">
        <v>493</v>
      </c>
      <c r="E19597" t="s">
        <v>590</v>
      </c>
      <c r="F19597" s="1">
        <v>2</v>
      </c>
      <c r="G19597" s="1" t="s">
        <v>32</v>
      </c>
      <c r="H19597" s="4" t="str">
        <f>HYPERLINK("https://portal.gdc.cancer.gov/cases/3b3c99ab-5336-4433-b682-e1a590221611","TCGA-DJ-A13X-01A")</f>
        <v>TCGA-DJ-A13X-01A</v>
      </c>
      <c r="I19597" t="s">
        <v>333</v>
      </c>
      <c r="J19597" t="s">
        <v>584</v>
      </c>
      <c r="K19597" t="s">
        <v>33</v>
      </c>
      <c r="L19597" t="s">
        <v>335</v>
      </c>
      <c r="N19597" t="s">
        <v>29</v>
      </c>
    </row>
    <row r="19598" spans="1:14">
      <c r="A19598" s="4" t="str">
        <f t="shared" si="1360"/>
        <v>EXP00447</v>
      </c>
      <c r="B19598" s="3" t="s">
        <v>66</v>
      </c>
      <c r="C19598" s="4" t="str">
        <f t="shared" si="1361"/>
        <v>TCGA-THCA</v>
      </c>
      <c r="D19598" s="1" t="s">
        <v>493</v>
      </c>
      <c r="E19598" t="s">
        <v>590</v>
      </c>
      <c r="F19598" s="1">
        <v>2</v>
      </c>
      <c r="G19598" s="1" t="s">
        <v>32</v>
      </c>
      <c r="H19598" s="4" t="str">
        <f>HYPERLINK("https://portal.gdc.cancer.gov/cases/da201150-748e-4b74-bb35-10c995e26079","TCGA-DJ-A1QD-01A")</f>
        <v>TCGA-DJ-A1QD-01A</v>
      </c>
      <c r="I19598" t="s">
        <v>333</v>
      </c>
      <c r="J19598" t="s">
        <v>584</v>
      </c>
      <c r="K19598" t="s">
        <v>33</v>
      </c>
      <c r="L19598" t="s">
        <v>335</v>
      </c>
      <c r="N19598" t="s">
        <v>29</v>
      </c>
    </row>
    <row r="19599" spans="1:14">
      <c r="A19599" s="4" t="str">
        <f t="shared" si="1360"/>
        <v>EXP00447</v>
      </c>
      <c r="B19599" s="3" t="s">
        <v>66</v>
      </c>
      <c r="C19599" s="4" t="str">
        <f t="shared" si="1361"/>
        <v>TCGA-THCA</v>
      </c>
      <c r="D19599" s="1" t="s">
        <v>493</v>
      </c>
      <c r="E19599" t="s">
        <v>590</v>
      </c>
      <c r="F19599" s="1">
        <v>2</v>
      </c>
      <c r="G19599" s="1" t="s">
        <v>32</v>
      </c>
      <c r="H19599" s="4" t="str">
        <f>HYPERLINK("https://portal.gdc.cancer.gov/cases/dccba97d-4e81-42fb-93b3-90be68a034fb","TCGA-DJ-A1QE-01A")</f>
        <v>TCGA-DJ-A1QE-01A</v>
      </c>
      <c r="I19599" t="s">
        <v>333</v>
      </c>
      <c r="J19599" t="s">
        <v>584</v>
      </c>
      <c r="K19599" t="s">
        <v>33</v>
      </c>
      <c r="L19599" t="s">
        <v>335</v>
      </c>
      <c r="N19599" t="s">
        <v>29</v>
      </c>
    </row>
    <row r="19600" spans="1:14">
      <c r="A19600" s="4" t="str">
        <f t="shared" si="1360"/>
        <v>EXP00447</v>
      </c>
      <c r="B19600" s="3" t="s">
        <v>66</v>
      </c>
      <c r="C19600" s="4" t="str">
        <f t="shared" si="1361"/>
        <v>TCGA-THCA</v>
      </c>
      <c r="D19600" s="1" t="s">
        <v>493</v>
      </c>
      <c r="E19600" t="s">
        <v>590</v>
      </c>
      <c r="F19600" s="1">
        <v>2</v>
      </c>
      <c r="G19600" s="1" t="s">
        <v>32</v>
      </c>
      <c r="H19600" s="4" t="str">
        <f>HYPERLINK("https://portal.gdc.cancer.gov/cases/fca0c7d9-5e6f-4aa7-ba04-5df2eb8ba398","TCGA-DJ-A1QF-01A")</f>
        <v>TCGA-DJ-A1QF-01A</v>
      </c>
      <c r="I19600" t="s">
        <v>333</v>
      </c>
      <c r="J19600" t="s">
        <v>584</v>
      </c>
      <c r="K19600" t="s">
        <v>33</v>
      </c>
      <c r="L19600" t="s">
        <v>335</v>
      </c>
      <c r="N19600" t="s">
        <v>29</v>
      </c>
    </row>
    <row r="19601" spans="1:14">
      <c r="A19601" s="4" t="str">
        <f t="shared" si="1360"/>
        <v>EXP00447</v>
      </c>
      <c r="B19601" s="3" t="s">
        <v>66</v>
      </c>
      <c r="C19601" s="4" t="str">
        <f t="shared" si="1361"/>
        <v>TCGA-THCA</v>
      </c>
      <c r="D19601" s="1" t="s">
        <v>493</v>
      </c>
      <c r="E19601" t="s">
        <v>590</v>
      </c>
      <c r="F19601" s="1">
        <v>2</v>
      </c>
      <c r="G19601" s="1" t="s">
        <v>32</v>
      </c>
      <c r="H19601" s="4" t="str">
        <f>HYPERLINK("https://portal.gdc.cancer.gov/cases/cb29e795-7618-4882-a7e0-69d39787b80c","TCGA-DJ-A1QG-01A")</f>
        <v>TCGA-DJ-A1QG-01A</v>
      </c>
      <c r="I19601" t="s">
        <v>333</v>
      </c>
      <c r="J19601" t="s">
        <v>584</v>
      </c>
      <c r="K19601" t="s">
        <v>33</v>
      </c>
      <c r="L19601" t="s">
        <v>335</v>
      </c>
      <c r="N19601" t="s">
        <v>29</v>
      </c>
    </row>
    <row r="19602" spans="1:14">
      <c r="A19602" s="4" t="str">
        <f t="shared" si="1360"/>
        <v>EXP00447</v>
      </c>
      <c r="B19602" s="3" t="s">
        <v>66</v>
      </c>
      <c r="C19602" s="4" t="str">
        <f t="shared" si="1361"/>
        <v>TCGA-THCA</v>
      </c>
      <c r="D19602" s="1" t="s">
        <v>493</v>
      </c>
      <c r="E19602" t="s">
        <v>590</v>
      </c>
      <c r="F19602" s="1">
        <v>2</v>
      </c>
      <c r="G19602" s="1" t="s">
        <v>32</v>
      </c>
      <c r="H19602" s="4" t="str">
        <f>HYPERLINK("https://portal.gdc.cancer.gov/cases/f3c73dc9-6280-4619-a629-b575fdbdb0ca","TCGA-DJ-A1QH-01A")</f>
        <v>TCGA-DJ-A1QH-01A</v>
      </c>
      <c r="I19602" t="s">
        <v>333</v>
      </c>
      <c r="J19602" t="s">
        <v>584</v>
      </c>
      <c r="K19602" t="s">
        <v>33</v>
      </c>
      <c r="L19602" t="s">
        <v>335</v>
      </c>
      <c r="N19602" t="s">
        <v>29</v>
      </c>
    </row>
    <row r="19603" spans="1:14">
      <c r="A19603" s="4" t="str">
        <f t="shared" si="1360"/>
        <v>EXP00447</v>
      </c>
      <c r="B19603" s="3" t="s">
        <v>66</v>
      </c>
      <c r="C19603" s="4" t="str">
        <f t="shared" si="1361"/>
        <v>TCGA-THCA</v>
      </c>
      <c r="D19603" s="1" t="s">
        <v>493</v>
      </c>
      <c r="E19603" t="s">
        <v>590</v>
      </c>
      <c r="F19603" s="1">
        <v>2</v>
      </c>
      <c r="G19603" s="1" t="s">
        <v>32</v>
      </c>
      <c r="H19603" s="4" t="str">
        <f>HYPERLINK("https://portal.gdc.cancer.gov/cases/3b1e2bd6-3d32-40f7-9b32-0df32dfcbc72","TCGA-DJ-A1QI-01A")</f>
        <v>TCGA-DJ-A1QI-01A</v>
      </c>
      <c r="I19603" t="s">
        <v>333</v>
      </c>
      <c r="J19603" t="s">
        <v>584</v>
      </c>
      <c r="K19603" t="s">
        <v>33</v>
      </c>
      <c r="L19603" t="s">
        <v>335</v>
      </c>
      <c r="N19603" t="s">
        <v>29</v>
      </c>
    </row>
    <row r="19604" spans="1:14">
      <c r="A19604" s="4" t="str">
        <f t="shared" si="1360"/>
        <v>EXP00447</v>
      </c>
      <c r="B19604" s="3" t="s">
        <v>66</v>
      </c>
      <c r="C19604" s="4" t="str">
        <f t="shared" si="1361"/>
        <v>TCGA-THCA</v>
      </c>
      <c r="D19604" s="1" t="s">
        <v>493</v>
      </c>
      <c r="E19604" t="s">
        <v>590</v>
      </c>
      <c r="F19604" s="1">
        <v>2</v>
      </c>
      <c r="G19604" s="1" t="s">
        <v>32</v>
      </c>
      <c r="H19604" s="4" t="str">
        <f>HYPERLINK("https://portal.gdc.cancer.gov/cases/e4b08e66-0772-4956-8670-e5c6553eecbe","TCGA-DJ-A1QL-01A")</f>
        <v>TCGA-DJ-A1QL-01A</v>
      </c>
      <c r="I19604" t="s">
        <v>333</v>
      </c>
      <c r="J19604" t="s">
        <v>584</v>
      </c>
      <c r="K19604" t="s">
        <v>33</v>
      </c>
      <c r="L19604" t="s">
        <v>335</v>
      </c>
      <c r="N19604" t="s">
        <v>29</v>
      </c>
    </row>
    <row r="19605" spans="1:14">
      <c r="A19605" s="4" t="str">
        <f t="shared" si="1360"/>
        <v>EXP00447</v>
      </c>
      <c r="B19605" s="3" t="s">
        <v>66</v>
      </c>
      <c r="C19605" s="4" t="str">
        <f t="shared" si="1361"/>
        <v>TCGA-THCA</v>
      </c>
      <c r="D19605" s="1" t="s">
        <v>493</v>
      </c>
      <c r="E19605" t="s">
        <v>590</v>
      </c>
      <c r="F19605" s="1">
        <v>2</v>
      </c>
      <c r="G19605" s="1" t="s">
        <v>32</v>
      </c>
      <c r="H19605" s="4" t="str">
        <f>HYPERLINK("https://portal.gdc.cancer.gov/cases/3597af5e-65ff-40a7-95fc-dacc26cbca14","TCGA-DJ-A1QM-01A")</f>
        <v>TCGA-DJ-A1QM-01A</v>
      </c>
      <c r="I19605" t="s">
        <v>333</v>
      </c>
      <c r="J19605" t="s">
        <v>584</v>
      </c>
      <c r="K19605" t="s">
        <v>33</v>
      </c>
      <c r="L19605" t="s">
        <v>335</v>
      </c>
      <c r="N19605" t="s">
        <v>29</v>
      </c>
    </row>
    <row r="19606" spans="1:14">
      <c r="A19606" s="4" t="str">
        <f t="shared" si="1360"/>
        <v>EXP00447</v>
      </c>
      <c r="B19606" s="3" t="s">
        <v>66</v>
      </c>
      <c r="C19606" s="4" t="str">
        <f t="shared" si="1361"/>
        <v>TCGA-THCA</v>
      </c>
      <c r="D19606" s="1" t="s">
        <v>493</v>
      </c>
      <c r="E19606" t="s">
        <v>590</v>
      </c>
      <c r="F19606" s="1">
        <v>2</v>
      </c>
      <c r="G19606" s="1" t="s">
        <v>32</v>
      </c>
      <c r="H19606" s="4" t="str">
        <f>HYPERLINK("https://portal.gdc.cancer.gov/cases/2012869d-c169-4cea-aa09-c892fb79bbaa","TCGA-DJ-A1QN-01A")</f>
        <v>TCGA-DJ-A1QN-01A</v>
      </c>
      <c r="I19606" t="s">
        <v>333</v>
      </c>
      <c r="J19606" t="s">
        <v>584</v>
      </c>
      <c r="K19606" t="s">
        <v>33</v>
      </c>
      <c r="L19606" t="s">
        <v>335</v>
      </c>
      <c r="N19606" t="s">
        <v>29</v>
      </c>
    </row>
    <row r="19607" spans="1:14">
      <c r="A19607" s="4" t="str">
        <f t="shared" si="1360"/>
        <v>EXP00447</v>
      </c>
      <c r="B19607" s="3" t="s">
        <v>66</v>
      </c>
      <c r="C19607" s="4" t="str">
        <f t="shared" si="1361"/>
        <v>TCGA-THCA</v>
      </c>
      <c r="D19607" s="1" t="s">
        <v>493</v>
      </c>
      <c r="E19607" t="s">
        <v>590</v>
      </c>
      <c r="F19607" s="1">
        <v>2</v>
      </c>
      <c r="G19607" s="1" t="s">
        <v>32</v>
      </c>
      <c r="H19607" s="4" t="str">
        <f>HYPERLINK("https://portal.gdc.cancer.gov/cases/f2ad720e-579f-4e2c-a3f0-17877ca91067","TCGA-DJ-A1QO-01A")</f>
        <v>TCGA-DJ-A1QO-01A</v>
      </c>
      <c r="I19607" t="s">
        <v>333</v>
      </c>
      <c r="J19607" t="s">
        <v>584</v>
      </c>
      <c r="K19607" t="s">
        <v>33</v>
      </c>
      <c r="L19607" t="s">
        <v>335</v>
      </c>
      <c r="N19607" t="s">
        <v>29</v>
      </c>
    </row>
    <row r="19608" spans="1:14">
      <c r="A19608" s="4" t="str">
        <f t="shared" si="1360"/>
        <v>EXP00447</v>
      </c>
      <c r="B19608" s="3" t="s">
        <v>66</v>
      </c>
      <c r="C19608" s="4" t="str">
        <f t="shared" si="1361"/>
        <v>TCGA-THCA</v>
      </c>
      <c r="D19608" s="1" t="s">
        <v>493</v>
      </c>
      <c r="E19608" t="s">
        <v>590</v>
      </c>
      <c r="F19608" s="1">
        <v>2</v>
      </c>
      <c r="G19608" s="1" t="s">
        <v>32</v>
      </c>
      <c r="H19608" s="4" t="str">
        <f>HYPERLINK("https://portal.gdc.cancer.gov/cases/99ef2fec-5a3c-4e42-8f78-7eaf9877e26d","TCGA-DJ-A1QQ-01A")</f>
        <v>TCGA-DJ-A1QQ-01A</v>
      </c>
      <c r="I19608" t="s">
        <v>333</v>
      </c>
      <c r="J19608" t="s">
        <v>584</v>
      </c>
      <c r="K19608" t="s">
        <v>33</v>
      </c>
      <c r="L19608" t="s">
        <v>335</v>
      </c>
      <c r="N19608" t="s">
        <v>29</v>
      </c>
    </row>
    <row r="19609" spans="1:14">
      <c r="A19609" s="4" t="str">
        <f t="shared" si="1360"/>
        <v>EXP00447</v>
      </c>
      <c r="B19609" s="3" t="s">
        <v>66</v>
      </c>
      <c r="C19609" s="4" t="str">
        <f t="shared" si="1361"/>
        <v>TCGA-THCA</v>
      </c>
      <c r="D19609" s="1" t="s">
        <v>493</v>
      </c>
      <c r="E19609" t="s">
        <v>590</v>
      </c>
      <c r="F19609" s="1">
        <v>2</v>
      </c>
      <c r="G19609" s="1" t="s">
        <v>32</v>
      </c>
      <c r="H19609" s="4" t="str">
        <f>HYPERLINK("https://portal.gdc.cancer.gov/cases/fb39f29a-5d1e-4f96-8adb-e18cc87fad2e","TCGA-DJ-A2PN-01A")</f>
        <v>TCGA-DJ-A2PN-01A</v>
      </c>
      <c r="I19609" t="s">
        <v>333</v>
      </c>
      <c r="J19609" t="s">
        <v>584</v>
      </c>
      <c r="K19609" t="s">
        <v>33</v>
      </c>
      <c r="L19609" t="s">
        <v>335</v>
      </c>
      <c r="N19609" t="s">
        <v>29</v>
      </c>
    </row>
    <row r="19610" spans="1:14">
      <c r="A19610" s="4" t="str">
        <f t="shared" si="1360"/>
        <v>EXP00447</v>
      </c>
      <c r="B19610" s="3" t="s">
        <v>66</v>
      </c>
      <c r="C19610" s="4" t="str">
        <f t="shared" si="1361"/>
        <v>TCGA-THCA</v>
      </c>
      <c r="D19610" s="1" t="s">
        <v>493</v>
      </c>
      <c r="E19610" t="s">
        <v>590</v>
      </c>
      <c r="F19610" s="1">
        <v>2</v>
      </c>
      <c r="G19610" s="1" t="s">
        <v>32</v>
      </c>
      <c r="H19610" s="4" t="str">
        <f>HYPERLINK("https://portal.gdc.cancer.gov/cases/d60f6620-575d-47fe-83e8-80a6ad838bed","TCGA-DJ-A2PO-01A")</f>
        <v>TCGA-DJ-A2PO-01A</v>
      </c>
      <c r="I19610" t="s">
        <v>333</v>
      </c>
      <c r="J19610" t="s">
        <v>584</v>
      </c>
      <c r="K19610" t="s">
        <v>33</v>
      </c>
      <c r="L19610" t="s">
        <v>335</v>
      </c>
      <c r="N19610" t="s">
        <v>29</v>
      </c>
    </row>
    <row r="19611" spans="1:14">
      <c r="A19611" s="4" t="str">
        <f t="shared" si="1360"/>
        <v>EXP00447</v>
      </c>
      <c r="B19611" s="3" t="s">
        <v>66</v>
      </c>
      <c r="C19611" s="4" t="str">
        <f t="shared" si="1361"/>
        <v>TCGA-THCA</v>
      </c>
      <c r="D19611" s="1" t="s">
        <v>493</v>
      </c>
      <c r="E19611" t="s">
        <v>590</v>
      </c>
      <c r="F19611" s="1">
        <v>2</v>
      </c>
      <c r="G19611" s="1" t="s">
        <v>32</v>
      </c>
      <c r="H19611" s="4" t="str">
        <f>HYPERLINK("https://portal.gdc.cancer.gov/cases/05350770-2b5b-4c58-84ce-0917665ccb90","TCGA-DJ-A2PP-01A")</f>
        <v>TCGA-DJ-A2PP-01A</v>
      </c>
      <c r="I19611" t="s">
        <v>333</v>
      </c>
      <c r="J19611" t="s">
        <v>584</v>
      </c>
      <c r="K19611" t="s">
        <v>33</v>
      </c>
      <c r="L19611" t="s">
        <v>335</v>
      </c>
      <c r="N19611" t="s">
        <v>29</v>
      </c>
    </row>
    <row r="19612" spans="1:14">
      <c r="A19612" s="4" t="str">
        <f t="shared" si="1360"/>
        <v>EXP00447</v>
      </c>
      <c r="B19612" s="3" t="s">
        <v>66</v>
      </c>
      <c r="C19612" s="4" t="str">
        <f t="shared" si="1361"/>
        <v>TCGA-THCA</v>
      </c>
      <c r="D19612" s="1" t="s">
        <v>493</v>
      </c>
      <c r="E19612" t="s">
        <v>590</v>
      </c>
      <c r="F19612" s="1">
        <v>2</v>
      </c>
      <c r="G19612" s="1" t="s">
        <v>32</v>
      </c>
      <c r="H19612" s="4" t="str">
        <f>HYPERLINK("https://portal.gdc.cancer.gov/cases/edb90376-0ef9-47dd-be6f-a6e8a0380a9c","TCGA-DJ-A2PQ-01A")</f>
        <v>TCGA-DJ-A2PQ-01A</v>
      </c>
      <c r="I19612" t="s">
        <v>333</v>
      </c>
      <c r="J19612" t="s">
        <v>584</v>
      </c>
      <c r="K19612" t="s">
        <v>33</v>
      </c>
      <c r="L19612" t="s">
        <v>335</v>
      </c>
      <c r="N19612" t="s">
        <v>29</v>
      </c>
    </row>
    <row r="19613" spans="1:14">
      <c r="A19613" s="4" t="str">
        <f t="shared" si="1360"/>
        <v>EXP00447</v>
      </c>
      <c r="B19613" s="3" t="s">
        <v>66</v>
      </c>
      <c r="C19613" s="4" t="str">
        <f t="shared" si="1361"/>
        <v>TCGA-THCA</v>
      </c>
      <c r="D19613" s="1" t="s">
        <v>493</v>
      </c>
      <c r="E19613" t="s">
        <v>590</v>
      </c>
      <c r="F19613" s="1">
        <v>2</v>
      </c>
      <c r="G19613" s="1" t="s">
        <v>32</v>
      </c>
      <c r="H19613" s="4" t="str">
        <f>HYPERLINK("https://portal.gdc.cancer.gov/cases/2ce580e9-4d75-464c-b403-c9f4626d7aa4","TCGA-DJ-A2PR-01A")</f>
        <v>TCGA-DJ-A2PR-01A</v>
      </c>
      <c r="I19613" t="s">
        <v>333</v>
      </c>
      <c r="J19613" t="s">
        <v>584</v>
      </c>
      <c r="K19613" t="s">
        <v>33</v>
      </c>
      <c r="L19613" t="s">
        <v>335</v>
      </c>
      <c r="N19613" t="s">
        <v>29</v>
      </c>
    </row>
    <row r="19614" spans="1:14">
      <c r="A19614" s="4" t="str">
        <f t="shared" si="1360"/>
        <v>EXP00447</v>
      </c>
      <c r="B19614" s="3" t="s">
        <v>66</v>
      </c>
      <c r="C19614" s="4" t="str">
        <f t="shared" si="1361"/>
        <v>TCGA-THCA</v>
      </c>
      <c r="D19614" s="1" t="s">
        <v>493</v>
      </c>
      <c r="E19614" t="s">
        <v>590</v>
      </c>
      <c r="F19614" s="1">
        <v>2</v>
      </c>
      <c r="G19614" s="1" t="s">
        <v>32</v>
      </c>
      <c r="H19614" s="4" t="str">
        <f>HYPERLINK("https://portal.gdc.cancer.gov/cases/9f31deb9-b9f4-439b-aea4-f87c71406c79","TCGA-DJ-A2PS-01A")</f>
        <v>TCGA-DJ-A2PS-01A</v>
      </c>
      <c r="I19614" t="s">
        <v>333</v>
      </c>
      <c r="J19614" t="s">
        <v>584</v>
      </c>
      <c r="K19614" t="s">
        <v>33</v>
      </c>
      <c r="L19614" t="s">
        <v>335</v>
      </c>
      <c r="N19614" t="s">
        <v>29</v>
      </c>
    </row>
    <row r="19615" spans="1:14">
      <c r="A19615" s="4" t="str">
        <f t="shared" si="1360"/>
        <v>EXP00447</v>
      </c>
      <c r="B19615" s="3" t="s">
        <v>66</v>
      </c>
      <c r="C19615" s="4" t="str">
        <f t="shared" si="1361"/>
        <v>TCGA-THCA</v>
      </c>
      <c r="D19615" s="1" t="s">
        <v>493</v>
      </c>
      <c r="E19615" t="s">
        <v>590</v>
      </c>
      <c r="F19615" s="1">
        <v>2</v>
      </c>
      <c r="G19615" s="1" t="s">
        <v>32</v>
      </c>
      <c r="H19615" s="4" t="str">
        <f>HYPERLINK("https://portal.gdc.cancer.gov/cases/39e68907-3ffb-4ca1-a955-db5fa2f0deb1","TCGA-DJ-A2PT-01A")</f>
        <v>TCGA-DJ-A2PT-01A</v>
      </c>
      <c r="I19615" t="s">
        <v>333</v>
      </c>
      <c r="J19615" t="s">
        <v>584</v>
      </c>
      <c r="K19615" t="s">
        <v>33</v>
      </c>
      <c r="L19615" t="s">
        <v>335</v>
      </c>
      <c r="N19615" t="s">
        <v>29</v>
      </c>
    </row>
    <row r="19616" spans="1:14">
      <c r="A19616" s="4" t="str">
        <f t="shared" si="1360"/>
        <v>EXP00447</v>
      </c>
      <c r="B19616" s="3" t="s">
        <v>66</v>
      </c>
      <c r="C19616" s="4" t="str">
        <f t="shared" si="1361"/>
        <v>TCGA-THCA</v>
      </c>
      <c r="D19616" s="1" t="s">
        <v>493</v>
      </c>
      <c r="E19616" t="s">
        <v>590</v>
      </c>
      <c r="F19616" s="1">
        <v>2</v>
      </c>
      <c r="G19616" s="1" t="s">
        <v>32</v>
      </c>
      <c r="H19616" s="4" t="str">
        <f>HYPERLINK("https://portal.gdc.cancer.gov/cases/13577a2b-ee68-45e5-96a8-b1fd71fc62da","TCGA-DJ-A2PU-01A")</f>
        <v>TCGA-DJ-A2PU-01A</v>
      </c>
      <c r="I19616" t="s">
        <v>333</v>
      </c>
      <c r="J19616" t="s">
        <v>584</v>
      </c>
      <c r="K19616" t="s">
        <v>33</v>
      </c>
      <c r="L19616" t="s">
        <v>335</v>
      </c>
      <c r="N19616" t="s">
        <v>29</v>
      </c>
    </row>
    <row r="19617" spans="1:14">
      <c r="A19617" s="4" t="str">
        <f t="shared" si="1360"/>
        <v>EXP00447</v>
      </c>
      <c r="B19617" s="3" t="s">
        <v>66</v>
      </c>
      <c r="C19617" s="4" t="str">
        <f t="shared" si="1361"/>
        <v>TCGA-THCA</v>
      </c>
      <c r="D19617" s="1" t="s">
        <v>493</v>
      </c>
      <c r="E19617" t="s">
        <v>590</v>
      </c>
      <c r="F19617" s="1">
        <v>2</v>
      </c>
      <c r="G19617" s="1" t="s">
        <v>32</v>
      </c>
      <c r="H19617" s="4" t="str">
        <f>HYPERLINK("https://portal.gdc.cancer.gov/cases/63076bda-61a1-4403-a270-4130b5d003ee","TCGA-DJ-A2PV-01A")</f>
        <v>TCGA-DJ-A2PV-01A</v>
      </c>
      <c r="I19617" t="s">
        <v>333</v>
      </c>
      <c r="J19617" t="s">
        <v>584</v>
      </c>
      <c r="K19617" t="s">
        <v>33</v>
      </c>
      <c r="L19617" t="s">
        <v>335</v>
      </c>
      <c r="N19617" t="s">
        <v>29</v>
      </c>
    </row>
    <row r="19618" spans="1:14">
      <c r="A19618" s="4" t="str">
        <f t="shared" si="1360"/>
        <v>EXP00447</v>
      </c>
      <c r="B19618" s="3" t="s">
        <v>66</v>
      </c>
      <c r="C19618" s="4" t="str">
        <f t="shared" si="1361"/>
        <v>TCGA-THCA</v>
      </c>
      <c r="D19618" s="1" t="s">
        <v>493</v>
      </c>
      <c r="E19618" t="s">
        <v>590</v>
      </c>
      <c r="F19618" s="1">
        <v>2</v>
      </c>
      <c r="G19618" s="1" t="s">
        <v>32</v>
      </c>
      <c r="H19618" s="4" t="str">
        <f>HYPERLINK("https://portal.gdc.cancer.gov/cases/d487536f-0521-4d42-9150-6a806ae00241","TCGA-DJ-A2PW-01A")</f>
        <v>TCGA-DJ-A2PW-01A</v>
      </c>
      <c r="I19618" t="s">
        <v>333</v>
      </c>
      <c r="J19618" t="s">
        <v>584</v>
      </c>
      <c r="K19618" t="s">
        <v>33</v>
      </c>
      <c r="L19618" t="s">
        <v>335</v>
      </c>
      <c r="N19618" t="s">
        <v>29</v>
      </c>
    </row>
    <row r="19619" spans="1:14">
      <c r="A19619" s="4" t="str">
        <f t="shared" si="1360"/>
        <v>EXP00447</v>
      </c>
      <c r="B19619" s="3" t="s">
        <v>66</v>
      </c>
      <c r="C19619" s="4" t="str">
        <f t="shared" si="1361"/>
        <v>TCGA-THCA</v>
      </c>
      <c r="D19619" s="1" t="s">
        <v>493</v>
      </c>
      <c r="E19619" t="s">
        <v>590</v>
      </c>
      <c r="F19619" s="1">
        <v>2</v>
      </c>
      <c r="G19619" s="1" t="s">
        <v>32</v>
      </c>
      <c r="H19619" s="4" t="str">
        <f>HYPERLINK("https://portal.gdc.cancer.gov/cases/a175a9a5-ab86-4c68-9814-c30cfcc52662","TCGA-DJ-A2PX-01A")</f>
        <v>TCGA-DJ-A2PX-01A</v>
      </c>
      <c r="I19619" t="s">
        <v>333</v>
      </c>
      <c r="J19619" t="s">
        <v>584</v>
      </c>
      <c r="K19619" t="s">
        <v>33</v>
      </c>
      <c r="L19619" t="s">
        <v>335</v>
      </c>
      <c r="N19619" t="s">
        <v>29</v>
      </c>
    </row>
    <row r="19620" spans="1:14">
      <c r="A19620" s="4" t="str">
        <f t="shared" si="1360"/>
        <v>EXP00447</v>
      </c>
      <c r="B19620" s="3" t="s">
        <v>66</v>
      </c>
      <c r="C19620" s="4" t="str">
        <f t="shared" si="1361"/>
        <v>TCGA-THCA</v>
      </c>
      <c r="D19620" s="1" t="s">
        <v>493</v>
      </c>
      <c r="E19620" t="s">
        <v>590</v>
      </c>
      <c r="F19620" s="1">
        <v>2</v>
      </c>
      <c r="G19620" s="1" t="s">
        <v>32</v>
      </c>
      <c r="H19620" s="4" t="str">
        <f>HYPERLINK("https://portal.gdc.cancer.gov/cases/fd25e4e6-f017-4c07-b109-d8a5eea8763c","TCGA-DJ-A2PY-01A")</f>
        <v>TCGA-DJ-A2PY-01A</v>
      </c>
      <c r="I19620" t="s">
        <v>333</v>
      </c>
      <c r="J19620" t="s">
        <v>584</v>
      </c>
      <c r="K19620" t="s">
        <v>33</v>
      </c>
      <c r="L19620" t="s">
        <v>335</v>
      </c>
      <c r="N19620" t="s">
        <v>29</v>
      </c>
    </row>
    <row r="19621" spans="1:14">
      <c r="A19621" s="4" t="str">
        <f t="shared" si="1360"/>
        <v>EXP00447</v>
      </c>
      <c r="B19621" s="3" t="s">
        <v>66</v>
      </c>
      <c r="C19621" s="4" t="str">
        <f t="shared" si="1361"/>
        <v>TCGA-THCA</v>
      </c>
      <c r="D19621" s="1" t="s">
        <v>493</v>
      </c>
      <c r="E19621" t="s">
        <v>590</v>
      </c>
      <c r="F19621" s="1">
        <v>2</v>
      </c>
      <c r="G19621" s="1" t="s">
        <v>32</v>
      </c>
      <c r="H19621" s="4" t="str">
        <f>HYPERLINK("https://portal.gdc.cancer.gov/cases/5dcbdfcf-8a4d-4da5-9049-f2b970fe8ca8","TCGA-DJ-A2PZ-01A")</f>
        <v>TCGA-DJ-A2PZ-01A</v>
      </c>
      <c r="I19621" t="s">
        <v>333</v>
      </c>
      <c r="J19621" t="s">
        <v>584</v>
      </c>
      <c r="K19621" t="s">
        <v>33</v>
      </c>
      <c r="L19621" t="s">
        <v>335</v>
      </c>
      <c r="N19621" t="s">
        <v>29</v>
      </c>
    </row>
    <row r="19622" spans="1:14">
      <c r="A19622" s="4" t="str">
        <f t="shared" si="1360"/>
        <v>EXP00447</v>
      </c>
      <c r="B19622" s="3" t="s">
        <v>66</v>
      </c>
      <c r="C19622" s="4" t="str">
        <f t="shared" si="1361"/>
        <v>TCGA-THCA</v>
      </c>
      <c r="D19622" s="1" t="s">
        <v>493</v>
      </c>
      <c r="E19622" t="s">
        <v>590</v>
      </c>
      <c r="F19622" s="1">
        <v>2</v>
      </c>
      <c r="G19622" s="1" t="s">
        <v>32</v>
      </c>
      <c r="H19622" s="4" t="str">
        <f>HYPERLINK("https://portal.gdc.cancer.gov/cases/8bea483b-ac43-4265-b2c4-0f031e539008","TCGA-DJ-A2Q0-01A")</f>
        <v>TCGA-DJ-A2Q0-01A</v>
      </c>
      <c r="I19622" t="s">
        <v>333</v>
      </c>
      <c r="J19622" t="s">
        <v>584</v>
      </c>
      <c r="K19622" t="s">
        <v>33</v>
      </c>
      <c r="L19622" t="s">
        <v>335</v>
      </c>
      <c r="N19622" t="s">
        <v>29</v>
      </c>
    </row>
    <row r="19623" spans="1:14">
      <c r="A19623" s="4" t="str">
        <f t="shared" si="1360"/>
        <v>EXP00447</v>
      </c>
      <c r="B19623" s="3" t="s">
        <v>66</v>
      </c>
      <c r="C19623" s="4" t="str">
        <f t="shared" si="1361"/>
        <v>TCGA-THCA</v>
      </c>
      <c r="D19623" s="1" t="s">
        <v>493</v>
      </c>
      <c r="E19623" t="s">
        <v>590</v>
      </c>
      <c r="F19623" s="1">
        <v>2</v>
      </c>
      <c r="G19623" s="1" t="s">
        <v>32</v>
      </c>
      <c r="H19623" s="4" t="str">
        <f>HYPERLINK("https://portal.gdc.cancer.gov/cases/e35b2928-8784-45d0-a71a-a2df161542fa","TCGA-DJ-A2Q1-01A")</f>
        <v>TCGA-DJ-A2Q1-01A</v>
      </c>
      <c r="I19623" t="s">
        <v>333</v>
      </c>
      <c r="J19623" t="s">
        <v>584</v>
      </c>
      <c r="K19623" t="s">
        <v>33</v>
      </c>
      <c r="L19623" t="s">
        <v>335</v>
      </c>
      <c r="N19623" t="s">
        <v>29</v>
      </c>
    </row>
    <row r="19624" spans="1:14">
      <c r="A19624" s="4" t="str">
        <f t="shared" si="1360"/>
        <v>EXP00447</v>
      </c>
      <c r="B19624" s="3" t="s">
        <v>66</v>
      </c>
      <c r="C19624" s="4" t="str">
        <f t="shared" si="1361"/>
        <v>TCGA-THCA</v>
      </c>
      <c r="D19624" s="1" t="s">
        <v>493</v>
      </c>
      <c r="E19624" t="s">
        <v>590</v>
      </c>
      <c r="F19624" s="1">
        <v>2</v>
      </c>
      <c r="G19624" s="1" t="s">
        <v>32</v>
      </c>
      <c r="H19624" s="4" t="str">
        <f>HYPERLINK("https://portal.gdc.cancer.gov/cases/a00da907-e527-45f9-9afb-2fad2c7b0940","TCGA-DJ-A2Q2-01A")</f>
        <v>TCGA-DJ-A2Q2-01A</v>
      </c>
      <c r="I19624" t="s">
        <v>333</v>
      </c>
      <c r="J19624" t="s">
        <v>584</v>
      </c>
      <c r="K19624" t="s">
        <v>33</v>
      </c>
      <c r="L19624" t="s">
        <v>335</v>
      </c>
      <c r="N19624" t="s">
        <v>29</v>
      </c>
    </row>
    <row r="19625" spans="1:14">
      <c r="A19625" s="4" t="str">
        <f t="shared" si="1360"/>
        <v>EXP00447</v>
      </c>
      <c r="B19625" s="3" t="s">
        <v>66</v>
      </c>
      <c r="C19625" s="4" t="str">
        <f t="shared" si="1361"/>
        <v>TCGA-THCA</v>
      </c>
      <c r="D19625" s="1" t="s">
        <v>493</v>
      </c>
      <c r="E19625" t="s">
        <v>590</v>
      </c>
      <c r="F19625" s="1">
        <v>2</v>
      </c>
      <c r="G19625" s="1" t="s">
        <v>32</v>
      </c>
      <c r="H19625" s="4" t="str">
        <f>HYPERLINK("https://portal.gdc.cancer.gov/cases/acba8d76-999a-4f6d-b3a4-8d7dd0f2bb52","TCGA-DJ-A2Q3-01A")</f>
        <v>TCGA-DJ-A2Q3-01A</v>
      </c>
      <c r="I19625" t="s">
        <v>333</v>
      </c>
      <c r="J19625" t="s">
        <v>584</v>
      </c>
      <c r="K19625" t="s">
        <v>33</v>
      </c>
      <c r="L19625" t="s">
        <v>335</v>
      </c>
      <c r="N19625" t="s">
        <v>29</v>
      </c>
    </row>
    <row r="19626" spans="1:14">
      <c r="A19626" s="4" t="str">
        <f t="shared" si="1360"/>
        <v>EXP00447</v>
      </c>
      <c r="B19626" s="3" t="s">
        <v>66</v>
      </c>
      <c r="C19626" s="4" t="str">
        <f t="shared" si="1361"/>
        <v>TCGA-THCA</v>
      </c>
      <c r="D19626" s="1" t="s">
        <v>493</v>
      </c>
      <c r="E19626" t="s">
        <v>590</v>
      </c>
      <c r="F19626" s="1">
        <v>2</v>
      </c>
      <c r="G19626" s="1" t="s">
        <v>32</v>
      </c>
      <c r="H19626" s="4" t="str">
        <f>HYPERLINK("https://portal.gdc.cancer.gov/cases/f00fd40a-1254-4300-baf9-88528c453a2e","TCGA-DJ-A2Q4-01A")</f>
        <v>TCGA-DJ-A2Q4-01A</v>
      </c>
      <c r="I19626" t="s">
        <v>333</v>
      </c>
      <c r="J19626" t="s">
        <v>584</v>
      </c>
      <c r="K19626" t="s">
        <v>33</v>
      </c>
      <c r="L19626" t="s">
        <v>335</v>
      </c>
      <c r="N19626" t="s">
        <v>29</v>
      </c>
    </row>
    <row r="19627" spans="1:14">
      <c r="A19627" s="4" t="str">
        <f t="shared" si="1360"/>
        <v>EXP00447</v>
      </c>
      <c r="B19627" s="3" t="s">
        <v>66</v>
      </c>
      <c r="C19627" s="4" t="str">
        <f t="shared" si="1361"/>
        <v>TCGA-THCA</v>
      </c>
      <c r="D19627" s="1" t="s">
        <v>493</v>
      </c>
      <c r="E19627" t="s">
        <v>590</v>
      </c>
      <c r="F19627" s="1">
        <v>2</v>
      </c>
      <c r="G19627" s="1" t="s">
        <v>32</v>
      </c>
      <c r="H19627" s="4" t="str">
        <f>HYPERLINK("https://portal.gdc.cancer.gov/cases/13c97cfb-eea2-4ae8-9209-c967d9642cef","TCGA-DJ-A2Q5-01A")</f>
        <v>TCGA-DJ-A2Q5-01A</v>
      </c>
      <c r="I19627" t="s">
        <v>333</v>
      </c>
      <c r="J19627" t="s">
        <v>584</v>
      </c>
      <c r="K19627" t="s">
        <v>33</v>
      </c>
      <c r="L19627" t="s">
        <v>335</v>
      </c>
      <c r="N19627" t="s">
        <v>29</v>
      </c>
    </row>
    <row r="19628" spans="1:14">
      <c r="A19628" s="4" t="str">
        <f t="shared" si="1360"/>
        <v>EXP00447</v>
      </c>
      <c r="B19628" s="3" t="s">
        <v>66</v>
      </c>
      <c r="C19628" s="4" t="str">
        <f t="shared" si="1361"/>
        <v>TCGA-THCA</v>
      </c>
      <c r="D19628" s="1" t="s">
        <v>493</v>
      </c>
      <c r="E19628" t="s">
        <v>590</v>
      </c>
      <c r="F19628" s="1">
        <v>2</v>
      </c>
      <c r="G19628" s="1" t="s">
        <v>32</v>
      </c>
      <c r="H19628" s="4" t="str">
        <f>HYPERLINK("https://portal.gdc.cancer.gov/cases/af546062-0960-41f0-9ed1-6acecbad99f3","TCGA-DJ-A2Q6-01A")</f>
        <v>TCGA-DJ-A2Q6-01A</v>
      </c>
      <c r="I19628" t="s">
        <v>333</v>
      </c>
      <c r="J19628" t="s">
        <v>584</v>
      </c>
      <c r="K19628" t="s">
        <v>33</v>
      </c>
      <c r="L19628" t="s">
        <v>335</v>
      </c>
      <c r="N19628" t="s">
        <v>29</v>
      </c>
    </row>
    <row r="19629" spans="1:14">
      <c r="A19629" s="4" t="str">
        <f t="shared" si="1360"/>
        <v>EXP00447</v>
      </c>
      <c r="B19629" s="3" t="s">
        <v>66</v>
      </c>
      <c r="C19629" s="4" t="str">
        <f t="shared" si="1361"/>
        <v>TCGA-THCA</v>
      </c>
      <c r="D19629" s="1" t="s">
        <v>493</v>
      </c>
      <c r="E19629" t="s">
        <v>590</v>
      </c>
      <c r="F19629" s="1">
        <v>2</v>
      </c>
      <c r="G19629" s="1" t="s">
        <v>32</v>
      </c>
      <c r="H19629" s="4" t="str">
        <f>HYPERLINK("https://portal.gdc.cancer.gov/cases/7a9b57c9-6f80-4aea-bf9c-76407c8084be","TCGA-DJ-A2Q7-01A")</f>
        <v>TCGA-DJ-A2Q7-01A</v>
      </c>
      <c r="I19629" t="s">
        <v>333</v>
      </c>
      <c r="J19629" t="s">
        <v>584</v>
      </c>
      <c r="K19629" t="s">
        <v>33</v>
      </c>
      <c r="L19629" t="s">
        <v>335</v>
      </c>
      <c r="N19629" t="s">
        <v>29</v>
      </c>
    </row>
    <row r="19630" spans="1:14">
      <c r="A19630" s="4" t="str">
        <f t="shared" si="1360"/>
        <v>EXP00447</v>
      </c>
      <c r="B19630" s="3" t="s">
        <v>66</v>
      </c>
      <c r="C19630" s="4" t="str">
        <f t="shared" si="1361"/>
        <v>TCGA-THCA</v>
      </c>
      <c r="D19630" s="1" t="s">
        <v>493</v>
      </c>
      <c r="E19630" t="s">
        <v>590</v>
      </c>
      <c r="F19630" s="1">
        <v>2</v>
      </c>
      <c r="G19630" s="1" t="s">
        <v>32</v>
      </c>
      <c r="H19630" s="4" t="str">
        <f>HYPERLINK("https://portal.gdc.cancer.gov/cases/061fab24-727a-4551-a205-89eeb9f530ea","TCGA-DJ-A2Q9-01A")</f>
        <v>TCGA-DJ-A2Q9-01A</v>
      </c>
      <c r="I19630" t="s">
        <v>333</v>
      </c>
      <c r="J19630" t="s">
        <v>584</v>
      </c>
      <c r="K19630" t="s">
        <v>33</v>
      </c>
      <c r="L19630" t="s">
        <v>335</v>
      </c>
      <c r="N19630" t="s">
        <v>29</v>
      </c>
    </row>
    <row r="19631" spans="1:14">
      <c r="A19631" s="4" t="str">
        <f t="shared" si="1360"/>
        <v>EXP00447</v>
      </c>
      <c r="B19631" s="3" t="s">
        <v>66</v>
      </c>
      <c r="C19631" s="4" t="str">
        <f t="shared" si="1361"/>
        <v>TCGA-THCA</v>
      </c>
      <c r="D19631" s="1" t="s">
        <v>493</v>
      </c>
      <c r="E19631" t="s">
        <v>590</v>
      </c>
      <c r="F19631" s="1">
        <v>2</v>
      </c>
      <c r="G19631" s="1" t="s">
        <v>32</v>
      </c>
      <c r="H19631" s="4" t="str">
        <f>HYPERLINK("https://portal.gdc.cancer.gov/cases/b07435d4-1341-4b41-9b11-d13a4f1ca0ad","TCGA-DJ-A2QA-01A")</f>
        <v>TCGA-DJ-A2QA-01A</v>
      </c>
      <c r="I19631" t="s">
        <v>333</v>
      </c>
      <c r="J19631" t="s">
        <v>584</v>
      </c>
      <c r="K19631" t="s">
        <v>33</v>
      </c>
      <c r="L19631" t="s">
        <v>335</v>
      </c>
      <c r="N19631" t="s">
        <v>29</v>
      </c>
    </row>
    <row r="19632" spans="1:14">
      <c r="A19632" s="4" t="str">
        <f t="shared" si="1360"/>
        <v>EXP00447</v>
      </c>
      <c r="B19632" s="3" t="s">
        <v>66</v>
      </c>
      <c r="C19632" s="4" t="str">
        <f t="shared" si="1361"/>
        <v>TCGA-THCA</v>
      </c>
      <c r="D19632" s="1" t="s">
        <v>493</v>
      </c>
      <c r="E19632" t="s">
        <v>590</v>
      </c>
      <c r="F19632" s="1">
        <v>2</v>
      </c>
      <c r="G19632" s="1" t="s">
        <v>32</v>
      </c>
      <c r="H19632" s="4" t="str">
        <f>HYPERLINK("https://portal.gdc.cancer.gov/cases/b597023c-ff84-44cc-bfcc-8bee64ca4cff","TCGA-DJ-A2QB-01A")</f>
        <v>TCGA-DJ-A2QB-01A</v>
      </c>
      <c r="I19632" t="s">
        <v>333</v>
      </c>
      <c r="J19632" t="s">
        <v>584</v>
      </c>
      <c r="K19632" t="s">
        <v>33</v>
      </c>
      <c r="L19632" t="s">
        <v>335</v>
      </c>
      <c r="N19632" t="s">
        <v>29</v>
      </c>
    </row>
    <row r="19633" spans="1:14">
      <c r="A19633" s="4" t="str">
        <f t="shared" ref="A19633:A19696" si="1362">HYPERLINK("http://hcmdb.i-sanger.com/experiment/details/experiment_id/EXP00447","EXP00447")</f>
        <v>EXP00447</v>
      </c>
      <c r="B19633" s="3" t="s">
        <v>66</v>
      </c>
      <c r="C19633" s="4" t="str">
        <f t="shared" si="1361"/>
        <v>TCGA-THCA</v>
      </c>
      <c r="D19633" s="1" t="s">
        <v>493</v>
      </c>
      <c r="E19633" t="s">
        <v>590</v>
      </c>
      <c r="F19633" s="1">
        <v>2</v>
      </c>
      <c r="G19633" s="1" t="s">
        <v>32</v>
      </c>
      <c r="H19633" s="4" t="str">
        <f>HYPERLINK("https://portal.gdc.cancer.gov/cases/1f094db9-f8cc-4066-adff-609682936172","TCGA-DJ-A2QC-01A")</f>
        <v>TCGA-DJ-A2QC-01A</v>
      </c>
      <c r="I19633" t="s">
        <v>333</v>
      </c>
      <c r="J19633" t="s">
        <v>584</v>
      </c>
      <c r="K19633" t="s">
        <v>33</v>
      </c>
      <c r="L19633" t="s">
        <v>335</v>
      </c>
      <c r="N19633" t="s">
        <v>29</v>
      </c>
    </row>
    <row r="19634" spans="1:14">
      <c r="A19634" s="4" t="str">
        <f t="shared" si="1362"/>
        <v>EXP00447</v>
      </c>
      <c r="B19634" s="3" t="s">
        <v>66</v>
      </c>
      <c r="C19634" s="4" t="str">
        <f t="shared" si="1361"/>
        <v>TCGA-THCA</v>
      </c>
      <c r="D19634" s="1" t="s">
        <v>493</v>
      </c>
      <c r="E19634" t="s">
        <v>590</v>
      </c>
      <c r="F19634" s="1">
        <v>2</v>
      </c>
      <c r="G19634" s="1" t="s">
        <v>32</v>
      </c>
      <c r="H19634" s="4" t="str">
        <f>HYPERLINK("https://portal.gdc.cancer.gov/cases/d61ca744-adc4-44d5-ad15-cc17399e8083","TCGA-DJ-A3UK-01A")</f>
        <v>TCGA-DJ-A3UK-01A</v>
      </c>
      <c r="I19634" t="s">
        <v>333</v>
      </c>
      <c r="J19634" t="s">
        <v>584</v>
      </c>
      <c r="K19634" t="s">
        <v>33</v>
      </c>
      <c r="L19634" t="s">
        <v>335</v>
      </c>
      <c r="N19634" t="s">
        <v>29</v>
      </c>
    </row>
    <row r="19635" spans="1:14">
      <c r="A19635" s="4" t="str">
        <f t="shared" si="1362"/>
        <v>EXP00447</v>
      </c>
      <c r="B19635" s="3" t="s">
        <v>66</v>
      </c>
      <c r="C19635" s="4" t="str">
        <f t="shared" si="1361"/>
        <v>TCGA-THCA</v>
      </c>
      <c r="D19635" s="1" t="s">
        <v>493</v>
      </c>
      <c r="E19635" t="s">
        <v>590</v>
      </c>
      <c r="F19635" s="1">
        <v>2</v>
      </c>
      <c r="G19635" s="1" t="s">
        <v>32</v>
      </c>
      <c r="H19635" s="4" t="str">
        <f>HYPERLINK("https://portal.gdc.cancer.gov/cases/d579370b-8aa7-4472-9e28-43c761be3eda","TCGA-DJ-A3UM-01A")</f>
        <v>TCGA-DJ-A3UM-01A</v>
      </c>
      <c r="I19635" t="s">
        <v>333</v>
      </c>
      <c r="J19635" t="s">
        <v>584</v>
      </c>
      <c r="K19635" t="s">
        <v>33</v>
      </c>
      <c r="L19635" t="s">
        <v>335</v>
      </c>
      <c r="N19635" t="s">
        <v>29</v>
      </c>
    </row>
    <row r="19636" spans="1:14">
      <c r="A19636" s="4" t="str">
        <f t="shared" si="1362"/>
        <v>EXP00447</v>
      </c>
      <c r="B19636" s="3" t="s">
        <v>66</v>
      </c>
      <c r="C19636" s="4" t="str">
        <f t="shared" si="1361"/>
        <v>TCGA-THCA</v>
      </c>
      <c r="D19636" s="1" t="s">
        <v>493</v>
      </c>
      <c r="E19636" t="s">
        <v>590</v>
      </c>
      <c r="F19636" s="1">
        <v>2</v>
      </c>
      <c r="G19636" s="1" t="s">
        <v>32</v>
      </c>
      <c r="H19636" s="4" t="str">
        <f>HYPERLINK("https://portal.gdc.cancer.gov/cases/69f621c8-de77-48c7-8939-4c887da9e6d8","TCGA-DJ-A3UN-01A")</f>
        <v>TCGA-DJ-A3UN-01A</v>
      </c>
      <c r="I19636" t="s">
        <v>333</v>
      </c>
      <c r="J19636" t="s">
        <v>584</v>
      </c>
      <c r="K19636" t="s">
        <v>33</v>
      </c>
      <c r="L19636" t="s">
        <v>335</v>
      </c>
      <c r="N19636" t="s">
        <v>29</v>
      </c>
    </row>
    <row r="19637" spans="1:14">
      <c r="A19637" s="4" t="str">
        <f t="shared" si="1362"/>
        <v>EXP00447</v>
      </c>
      <c r="B19637" s="3" t="s">
        <v>66</v>
      </c>
      <c r="C19637" s="4" t="str">
        <f t="shared" ref="C19637:C19700" si="1363">HYPERLINK("https://portal.gdc.cancer.gov/projects/TCGA-THCA","TCGA-THCA")</f>
        <v>TCGA-THCA</v>
      </c>
      <c r="D19637" s="1" t="s">
        <v>493</v>
      </c>
      <c r="E19637" t="s">
        <v>590</v>
      </c>
      <c r="F19637" s="1">
        <v>2</v>
      </c>
      <c r="G19637" s="1" t="s">
        <v>32</v>
      </c>
      <c r="H19637" s="4" t="str">
        <f>HYPERLINK("https://portal.gdc.cancer.gov/cases/d78012b6-24f9-48f5-9409-9845d0be2b3c","TCGA-DJ-A3UO-01A")</f>
        <v>TCGA-DJ-A3UO-01A</v>
      </c>
      <c r="I19637" t="s">
        <v>333</v>
      </c>
      <c r="J19637" t="s">
        <v>584</v>
      </c>
      <c r="K19637" t="s">
        <v>33</v>
      </c>
      <c r="L19637" t="s">
        <v>335</v>
      </c>
      <c r="N19637" t="s">
        <v>29</v>
      </c>
    </row>
    <row r="19638" spans="1:14">
      <c r="A19638" s="4" t="str">
        <f t="shared" si="1362"/>
        <v>EXP00447</v>
      </c>
      <c r="B19638" s="3" t="s">
        <v>66</v>
      </c>
      <c r="C19638" s="4" t="str">
        <f t="shared" si="1363"/>
        <v>TCGA-THCA</v>
      </c>
      <c r="D19638" s="1" t="s">
        <v>493</v>
      </c>
      <c r="E19638" t="s">
        <v>590</v>
      </c>
      <c r="F19638" s="1">
        <v>2</v>
      </c>
      <c r="G19638" s="1" t="s">
        <v>32</v>
      </c>
      <c r="H19638" s="4" t="str">
        <f>HYPERLINK("https://portal.gdc.cancer.gov/cases/2610485e-f2b2-45f7-a578-99d6983d5f0e","TCGA-DJ-A3UP-01A")</f>
        <v>TCGA-DJ-A3UP-01A</v>
      </c>
      <c r="I19638" t="s">
        <v>333</v>
      </c>
      <c r="J19638" t="s">
        <v>584</v>
      </c>
      <c r="K19638" t="s">
        <v>33</v>
      </c>
      <c r="L19638" t="s">
        <v>335</v>
      </c>
      <c r="N19638" t="s">
        <v>29</v>
      </c>
    </row>
    <row r="19639" spans="1:14">
      <c r="A19639" s="4" t="str">
        <f t="shared" si="1362"/>
        <v>EXP00447</v>
      </c>
      <c r="B19639" s="3" t="s">
        <v>66</v>
      </c>
      <c r="C19639" s="4" t="str">
        <f t="shared" si="1363"/>
        <v>TCGA-THCA</v>
      </c>
      <c r="D19639" s="1" t="s">
        <v>493</v>
      </c>
      <c r="E19639" t="s">
        <v>590</v>
      </c>
      <c r="F19639" s="1">
        <v>2</v>
      </c>
      <c r="G19639" s="1" t="s">
        <v>32</v>
      </c>
      <c r="H19639" s="4" t="str">
        <f>HYPERLINK("https://portal.gdc.cancer.gov/cases/368689a0-f782-4826-9f08-cf0e0055162e","TCGA-DJ-A3UQ-01A")</f>
        <v>TCGA-DJ-A3UQ-01A</v>
      </c>
      <c r="I19639" t="s">
        <v>333</v>
      </c>
      <c r="J19639" t="s">
        <v>584</v>
      </c>
      <c r="K19639" t="s">
        <v>33</v>
      </c>
      <c r="L19639" t="s">
        <v>335</v>
      </c>
      <c r="N19639" t="s">
        <v>29</v>
      </c>
    </row>
    <row r="19640" spans="1:14">
      <c r="A19640" s="4" t="str">
        <f t="shared" si="1362"/>
        <v>EXP00447</v>
      </c>
      <c r="B19640" s="3" t="s">
        <v>66</v>
      </c>
      <c r="C19640" s="4" t="str">
        <f t="shared" si="1363"/>
        <v>TCGA-THCA</v>
      </c>
      <c r="D19640" s="1" t="s">
        <v>493</v>
      </c>
      <c r="E19640" t="s">
        <v>590</v>
      </c>
      <c r="F19640" s="1">
        <v>2</v>
      </c>
      <c r="G19640" s="1" t="s">
        <v>32</v>
      </c>
      <c r="H19640" s="4" t="str">
        <f>HYPERLINK("https://portal.gdc.cancer.gov/cases/c5fd200b-ce02-4d7d-a240-78f147e483be","TCGA-DJ-A3UR-01A")</f>
        <v>TCGA-DJ-A3UR-01A</v>
      </c>
      <c r="I19640" t="s">
        <v>333</v>
      </c>
      <c r="J19640" t="s">
        <v>584</v>
      </c>
      <c r="K19640" t="s">
        <v>33</v>
      </c>
      <c r="L19640" t="s">
        <v>335</v>
      </c>
      <c r="N19640" t="s">
        <v>29</v>
      </c>
    </row>
    <row r="19641" spans="1:14">
      <c r="A19641" s="4" t="str">
        <f t="shared" si="1362"/>
        <v>EXP00447</v>
      </c>
      <c r="B19641" s="3" t="s">
        <v>66</v>
      </c>
      <c r="C19641" s="4" t="str">
        <f t="shared" si="1363"/>
        <v>TCGA-THCA</v>
      </c>
      <c r="D19641" s="1" t="s">
        <v>493</v>
      </c>
      <c r="E19641" t="s">
        <v>590</v>
      </c>
      <c r="F19641" s="1">
        <v>2</v>
      </c>
      <c r="G19641" s="1" t="s">
        <v>32</v>
      </c>
      <c r="H19641" s="4" t="str">
        <f>HYPERLINK("https://portal.gdc.cancer.gov/cases/6ee95dc8-2bac-4691-afa2-8222e07506ad","TCGA-DJ-A3US-01A")</f>
        <v>TCGA-DJ-A3US-01A</v>
      </c>
      <c r="I19641" t="s">
        <v>333</v>
      </c>
      <c r="J19641" t="s">
        <v>584</v>
      </c>
      <c r="K19641" t="s">
        <v>33</v>
      </c>
      <c r="L19641" t="s">
        <v>335</v>
      </c>
      <c r="N19641" t="s">
        <v>29</v>
      </c>
    </row>
    <row r="19642" spans="1:14">
      <c r="A19642" s="4" t="str">
        <f t="shared" si="1362"/>
        <v>EXP00447</v>
      </c>
      <c r="B19642" s="3" t="s">
        <v>66</v>
      </c>
      <c r="C19642" s="4" t="str">
        <f t="shared" si="1363"/>
        <v>TCGA-THCA</v>
      </c>
      <c r="D19642" s="1" t="s">
        <v>493</v>
      </c>
      <c r="E19642" t="s">
        <v>590</v>
      </c>
      <c r="F19642" s="1">
        <v>2</v>
      </c>
      <c r="G19642" s="1" t="s">
        <v>32</v>
      </c>
      <c r="H19642" s="4" t="str">
        <f>HYPERLINK("https://portal.gdc.cancer.gov/cases/9d3f6163-f586-4974-babc-67b5163b706b","TCGA-DJ-A3UT-01A")</f>
        <v>TCGA-DJ-A3UT-01A</v>
      </c>
      <c r="I19642" t="s">
        <v>333</v>
      </c>
      <c r="J19642" t="s">
        <v>584</v>
      </c>
      <c r="K19642" t="s">
        <v>33</v>
      </c>
      <c r="L19642" t="s">
        <v>335</v>
      </c>
      <c r="N19642" t="s">
        <v>29</v>
      </c>
    </row>
    <row r="19643" spans="1:14">
      <c r="A19643" s="4" t="str">
        <f t="shared" si="1362"/>
        <v>EXP00447</v>
      </c>
      <c r="B19643" s="3" t="s">
        <v>66</v>
      </c>
      <c r="C19643" s="4" t="str">
        <f t="shared" si="1363"/>
        <v>TCGA-THCA</v>
      </c>
      <c r="D19643" s="1" t="s">
        <v>493</v>
      </c>
      <c r="E19643" t="s">
        <v>590</v>
      </c>
      <c r="F19643" s="1">
        <v>2</v>
      </c>
      <c r="G19643" s="1" t="s">
        <v>32</v>
      </c>
      <c r="H19643" s="4" t="str">
        <f>HYPERLINK("https://portal.gdc.cancer.gov/cases/45eefba8-9f7c-49e9-a3f5-d13cfa264ff6","TCGA-DJ-A3UU-01A")</f>
        <v>TCGA-DJ-A3UU-01A</v>
      </c>
      <c r="I19643" t="s">
        <v>333</v>
      </c>
      <c r="J19643" t="s">
        <v>584</v>
      </c>
      <c r="K19643" t="s">
        <v>33</v>
      </c>
      <c r="L19643" t="s">
        <v>335</v>
      </c>
      <c r="N19643" t="s">
        <v>29</v>
      </c>
    </row>
    <row r="19644" spans="1:14">
      <c r="A19644" s="4" t="str">
        <f t="shared" si="1362"/>
        <v>EXP00447</v>
      </c>
      <c r="B19644" s="3" t="s">
        <v>66</v>
      </c>
      <c r="C19644" s="4" t="str">
        <f t="shared" si="1363"/>
        <v>TCGA-THCA</v>
      </c>
      <c r="D19644" s="1" t="s">
        <v>493</v>
      </c>
      <c r="E19644" t="s">
        <v>590</v>
      </c>
      <c r="F19644" s="1">
        <v>2</v>
      </c>
      <c r="G19644" s="1" t="s">
        <v>32</v>
      </c>
      <c r="H19644" s="4" t="str">
        <f>HYPERLINK("https://portal.gdc.cancer.gov/cases/f2bbb5fa-9997-45de-88d4-8f1e94c18f0d","TCGA-DJ-A3UV-01A")</f>
        <v>TCGA-DJ-A3UV-01A</v>
      </c>
      <c r="I19644" t="s">
        <v>333</v>
      </c>
      <c r="J19644" t="s">
        <v>584</v>
      </c>
      <c r="K19644" t="s">
        <v>33</v>
      </c>
      <c r="L19644" t="s">
        <v>335</v>
      </c>
      <c r="N19644" t="s">
        <v>29</v>
      </c>
    </row>
    <row r="19645" spans="1:14">
      <c r="A19645" s="4" t="str">
        <f t="shared" si="1362"/>
        <v>EXP00447</v>
      </c>
      <c r="B19645" s="3" t="s">
        <v>66</v>
      </c>
      <c r="C19645" s="4" t="str">
        <f t="shared" si="1363"/>
        <v>TCGA-THCA</v>
      </c>
      <c r="D19645" s="1" t="s">
        <v>493</v>
      </c>
      <c r="E19645" t="s">
        <v>590</v>
      </c>
      <c r="F19645" s="1">
        <v>2</v>
      </c>
      <c r="G19645" s="1" t="s">
        <v>32</v>
      </c>
      <c r="H19645" s="4" t="str">
        <f>HYPERLINK("https://portal.gdc.cancer.gov/cases/5e085199-152a-40f5-a8f8-3a3a0f31c2e0","TCGA-DJ-A3UW-01A")</f>
        <v>TCGA-DJ-A3UW-01A</v>
      </c>
      <c r="I19645" t="s">
        <v>333</v>
      </c>
      <c r="J19645" t="s">
        <v>584</v>
      </c>
      <c r="K19645" t="s">
        <v>33</v>
      </c>
      <c r="L19645" t="s">
        <v>335</v>
      </c>
      <c r="N19645" t="s">
        <v>29</v>
      </c>
    </row>
    <row r="19646" spans="1:14">
      <c r="A19646" s="4" t="str">
        <f t="shared" si="1362"/>
        <v>EXP00447</v>
      </c>
      <c r="B19646" s="3" t="s">
        <v>66</v>
      </c>
      <c r="C19646" s="4" t="str">
        <f t="shared" si="1363"/>
        <v>TCGA-THCA</v>
      </c>
      <c r="D19646" s="1" t="s">
        <v>493</v>
      </c>
      <c r="E19646" t="s">
        <v>590</v>
      </c>
      <c r="F19646" s="1">
        <v>2</v>
      </c>
      <c r="G19646" s="1" t="s">
        <v>32</v>
      </c>
      <c r="H19646" s="4" t="str">
        <f>HYPERLINK("https://portal.gdc.cancer.gov/cases/a3765a2b-ff09-4dec-b990-65529345214e","TCGA-DJ-A3UX-01A")</f>
        <v>TCGA-DJ-A3UX-01A</v>
      </c>
      <c r="I19646" t="s">
        <v>333</v>
      </c>
      <c r="J19646" t="s">
        <v>584</v>
      </c>
      <c r="K19646" t="s">
        <v>33</v>
      </c>
      <c r="L19646" t="s">
        <v>335</v>
      </c>
      <c r="N19646" t="s">
        <v>29</v>
      </c>
    </row>
    <row r="19647" spans="1:14">
      <c r="A19647" s="4" t="str">
        <f t="shared" si="1362"/>
        <v>EXP00447</v>
      </c>
      <c r="B19647" s="3" t="s">
        <v>66</v>
      </c>
      <c r="C19647" s="4" t="str">
        <f t="shared" si="1363"/>
        <v>TCGA-THCA</v>
      </c>
      <c r="D19647" s="1" t="s">
        <v>493</v>
      </c>
      <c r="E19647" t="s">
        <v>590</v>
      </c>
      <c r="F19647" s="1">
        <v>2</v>
      </c>
      <c r="G19647" s="1" t="s">
        <v>32</v>
      </c>
      <c r="H19647" s="4" t="str">
        <f>HYPERLINK("https://portal.gdc.cancer.gov/cases/02a8e937-c747-4ba1-911c-0860e62b8f83","TCGA-DJ-A3UY-01A")</f>
        <v>TCGA-DJ-A3UY-01A</v>
      </c>
      <c r="I19647" t="s">
        <v>333</v>
      </c>
      <c r="J19647" t="s">
        <v>584</v>
      </c>
      <c r="K19647" t="s">
        <v>33</v>
      </c>
      <c r="L19647" t="s">
        <v>335</v>
      </c>
      <c r="N19647" t="s">
        <v>29</v>
      </c>
    </row>
    <row r="19648" spans="1:14">
      <c r="A19648" s="4" t="str">
        <f t="shared" si="1362"/>
        <v>EXP00447</v>
      </c>
      <c r="B19648" s="3" t="s">
        <v>66</v>
      </c>
      <c r="C19648" s="4" t="str">
        <f t="shared" si="1363"/>
        <v>TCGA-THCA</v>
      </c>
      <c r="D19648" s="1" t="s">
        <v>493</v>
      </c>
      <c r="E19648" t="s">
        <v>590</v>
      </c>
      <c r="F19648" s="1">
        <v>2</v>
      </c>
      <c r="G19648" s="1" t="s">
        <v>32</v>
      </c>
      <c r="H19648" s="4" t="str">
        <f>HYPERLINK("https://portal.gdc.cancer.gov/cases/ab0a98ae-98f1-425e-9418-550df6ac24cd","TCGA-DJ-A3UZ-01A")</f>
        <v>TCGA-DJ-A3UZ-01A</v>
      </c>
      <c r="I19648" t="s">
        <v>333</v>
      </c>
      <c r="J19648" t="s">
        <v>584</v>
      </c>
      <c r="K19648" t="s">
        <v>33</v>
      </c>
      <c r="L19648" t="s">
        <v>335</v>
      </c>
      <c r="N19648" t="s">
        <v>29</v>
      </c>
    </row>
    <row r="19649" spans="1:14">
      <c r="A19649" s="4" t="str">
        <f t="shared" si="1362"/>
        <v>EXP00447</v>
      </c>
      <c r="B19649" s="3" t="s">
        <v>66</v>
      </c>
      <c r="C19649" s="4" t="str">
        <f t="shared" si="1363"/>
        <v>TCGA-THCA</v>
      </c>
      <c r="D19649" s="1" t="s">
        <v>493</v>
      </c>
      <c r="E19649" t="s">
        <v>590</v>
      </c>
      <c r="F19649" s="1">
        <v>2</v>
      </c>
      <c r="G19649" s="1" t="s">
        <v>32</v>
      </c>
      <c r="H19649" s="4" t="str">
        <f>HYPERLINK("https://portal.gdc.cancer.gov/cases/b82e08e3-ae79-404a-a501-0d501df84b8b","TCGA-DJ-A3V0-01A")</f>
        <v>TCGA-DJ-A3V0-01A</v>
      </c>
      <c r="I19649" t="s">
        <v>333</v>
      </c>
      <c r="J19649" t="s">
        <v>584</v>
      </c>
      <c r="K19649" t="s">
        <v>33</v>
      </c>
      <c r="L19649" t="s">
        <v>335</v>
      </c>
      <c r="N19649" t="s">
        <v>29</v>
      </c>
    </row>
    <row r="19650" spans="1:14">
      <c r="A19650" s="4" t="str">
        <f t="shared" si="1362"/>
        <v>EXP00447</v>
      </c>
      <c r="B19650" s="3" t="s">
        <v>66</v>
      </c>
      <c r="C19650" s="4" t="str">
        <f t="shared" si="1363"/>
        <v>TCGA-THCA</v>
      </c>
      <c r="D19650" s="1" t="s">
        <v>493</v>
      </c>
      <c r="E19650" t="s">
        <v>590</v>
      </c>
      <c r="F19650" s="1">
        <v>2</v>
      </c>
      <c r="G19650" s="1" t="s">
        <v>32</v>
      </c>
      <c r="H19650" s="4" t="str">
        <f>HYPERLINK("https://portal.gdc.cancer.gov/cases/7b46ee87-e976-41bf-bdf1-9bff58f8314e","TCGA-DJ-A3V2-01A")</f>
        <v>TCGA-DJ-A3V2-01A</v>
      </c>
      <c r="I19650" t="s">
        <v>333</v>
      </c>
      <c r="J19650" t="s">
        <v>584</v>
      </c>
      <c r="K19650" t="s">
        <v>33</v>
      </c>
      <c r="L19650" t="s">
        <v>335</v>
      </c>
      <c r="N19650" t="s">
        <v>29</v>
      </c>
    </row>
    <row r="19651" spans="1:14">
      <c r="A19651" s="4" t="str">
        <f t="shared" si="1362"/>
        <v>EXP00447</v>
      </c>
      <c r="B19651" s="3" t="s">
        <v>66</v>
      </c>
      <c r="C19651" s="4" t="str">
        <f t="shared" si="1363"/>
        <v>TCGA-THCA</v>
      </c>
      <c r="D19651" s="1" t="s">
        <v>493</v>
      </c>
      <c r="E19651" t="s">
        <v>590</v>
      </c>
      <c r="F19651" s="1">
        <v>2</v>
      </c>
      <c r="G19651" s="1" t="s">
        <v>32</v>
      </c>
      <c r="H19651" s="4" t="str">
        <f>HYPERLINK("https://portal.gdc.cancer.gov/cases/6592a7db-cbc7-4afd-9fdb-5cc16c16eeca","TCGA-DJ-A3V3-01A")</f>
        <v>TCGA-DJ-A3V3-01A</v>
      </c>
      <c r="I19651" t="s">
        <v>333</v>
      </c>
      <c r="J19651" t="s">
        <v>584</v>
      </c>
      <c r="K19651" t="s">
        <v>33</v>
      </c>
      <c r="L19651" t="s">
        <v>335</v>
      </c>
      <c r="N19651" t="s">
        <v>29</v>
      </c>
    </row>
    <row r="19652" spans="1:14">
      <c r="A19652" s="4" t="str">
        <f t="shared" si="1362"/>
        <v>EXP00447</v>
      </c>
      <c r="B19652" s="3" t="s">
        <v>66</v>
      </c>
      <c r="C19652" s="4" t="str">
        <f t="shared" si="1363"/>
        <v>TCGA-THCA</v>
      </c>
      <c r="D19652" s="1" t="s">
        <v>493</v>
      </c>
      <c r="E19652" t="s">
        <v>590</v>
      </c>
      <c r="F19652" s="1">
        <v>2</v>
      </c>
      <c r="G19652" s="1" t="s">
        <v>32</v>
      </c>
      <c r="H19652" s="4" t="str">
        <f>HYPERLINK("https://portal.gdc.cancer.gov/cases/35277c30-010c-4d3f-9dfe-754bf72799d7","TCGA-DJ-A3V4-01A")</f>
        <v>TCGA-DJ-A3V4-01A</v>
      </c>
      <c r="I19652" t="s">
        <v>333</v>
      </c>
      <c r="J19652" t="s">
        <v>584</v>
      </c>
      <c r="K19652" t="s">
        <v>33</v>
      </c>
      <c r="L19652" t="s">
        <v>335</v>
      </c>
      <c r="N19652" t="s">
        <v>29</v>
      </c>
    </row>
    <row r="19653" spans="1:14">
      <c r="A19653" s="4" t="str">
        <f t="shared" si="1362"/>
        <v>EXP00447</v>
      </c>
      <c r="B19653" s="3" t="s">
        <v>66</v>
      </c>
      <c r="C19653" s="4" t="str">
        <f t="shared" si="1363"/>
        <v>TCGA-THCA</v>
      </c>
      <c r="D19653" s="1" t="s">
        <v>493</v>
      </c>
      <c r="E19653" t="s">
        <v>590</v>
      </c>
      <c r="F19653" s="1">
        <v>2</v>
      </c>
      <c r="G19653" s="1" t="s">
        <v>32</v>
      </c>
      <c r="H19653" s="4" t="str">
        <f>HYPERLINK("https://portal.gdc.cancer.gov/cases/7b82e2d2-47f9-41a1-9eca-40904c92039c","TCGA-DJ-A3V5-01A")</f>
        <v>TCGA-DJ-A3V5-01A</v>
      </c>
      <c r="I19653" t="s">
        <v>333</v>
      </c>
      <c r="J19653" t="s">
        <v>584</v>
      </c>
      <c r="K19653" t="s">
        <v>33</v>
      </c>
      <c r="L19653" t="s">
        <v>335</v>
      </c>
      <c r="N19653" t="s">
        <v>29</v>
      </c>
    </row>
    <row r="19654" spans="1:14">
      <c r="A19654" s="4" t="str">
        <f t="shared" si="1362"/>
        <v>EXP00447</v>
      </c>
      <c r="B19654" s="3" t="s">
        <v>66</v>
      </c>
      <c r="C19654" s="4" t="str">
        <f t="shared" si="1363"/>
        <v>TCGA-THCA</v>
      </c>
      <c r="D19654" s="1" t="s">
        <v>493</v>
      </c>
      <c r="E19654" t="s">
        <v>590</v>
      </c>
      <c r="F19654" s="1">
        <v>2</v>
      </c>
      <c r="G19654" s="1" t="s">
        <v>32</v>
      </c>
      <c r="H19654" s="4" t="str">
        <f>HYPERLINK("https://portal.gdc.cancer.gov/cases/76c4d298-6f17-4f11-a706-cd844a0e0914","TCGA-DJ-A3V6-01A")</f>
        <v>TCGA-DJ-A3V6-01A</v>
      </c>
      <c r="I19654" t="s">
        <v>333</v>
      </c>
      <c r="J19654" t="s">
        <v>584</v>
      </c>
      <c r="K19654" t="s">
        <v>33</v>
      </c>
      <c r="L19654" t="s">
        <v>335</v>
      </c>
      <c r="N19654" t="s">
        <v>29</v>
      </c>
    </row>
    <row r="19655" spans="1:14">
      <c r="A19655" s="4" t="str">
        <f t="shared" si="1362"/>
        <v>EXP00447</v>
      </c>
      <c r="B19655" s="3" t="s">
        <v>66</v>
      </c>
      <c r="C19655" s="4" t="str">
        <f t="shared" si="1363"/>
        <v>TCGA-THCA</v>
      </c>
      <c r="D19655" s="1" t="s">
        <v>493</v>
      </c>
      <c r="E19655" t="s">
        <v>590</v>
      </c>
      <c r="F19655" s="1">
        <v>2</v>
      </c>
      <c r="G19655" s="1" t="s">
        <v>32</v>
      </c>
      <c r="H19655" s="4" t="str">
        <f>HYPERLINK("https://portal.gdc.cancer.gov/cases/8e9c3621-bc43-40d0-bb2d-0c8b7ade37c2","TCGA-DJ-A3V7-01A")</f>
        <v>TCGA-DJ-A3V7-01A</v>
      </c>
      <c r="I19655" t="s">
        <v>333</v>
      </c>
      <c r="J19655" t="s">
        <v>584</v>
      </c>
      <c r="K19655" t="s">
        <v>33</v>
      </c>
      <c r="L19655" t="s">
        <v>335</v>
      </c>
      <c r="N19655" t="s">
        <v>29</v>
      </c>
    </row>
    <row r="19656" spans="1:14">
      <c r="A19656" s="4" t="str">
        <f t="shared" si="1362"/>
        <v>EXP00447</v>
      </c>
      <c r="B19656" s="3" t="s">
        <v>66</v>
      </c>
      <c r="C19656" s="4" t="str">
        <f t="shared" si="1363"/>
        <v>TCGA-THCA</v>
      </c>
      <c r="D19656" s="1" t="s">
        <v>493</v>
      </c>
      <c r="E19656" t="s">
        <v>590</v>
      </c>
      <c r="F19656" s="1">
        <v>2</v>
      </c>
      <c r="G19656" s="1" t="s">
        <v>32</v>
      </c>
      <c r="H19656" s="4" t="str">
        <f>HYPERLINK("https://portal.gdc.cancer.gov/cases/a3b49c90-fa9f-4189-a442-64ec1ad97a01","TCGA-DJ-A3V8-01A")</f>
        <v>TCGA-DJ-A3V8-01A</v>
      </c>
      <c r="I19656" t="s">
        <v>333</v>
      </c>
      <c r="J19656" t="s">
        <v>584</v>
      </c>
      <c r="K19656" t="s">
        <v>33</v>
      </c>
      <c r="L19656" t="s">
        <v>335</v>
      </c>
      <c r="N19656" t="s">
        <v>29</v>
      </c>
    </row>
    <row r="19657" spans="1:14">
      <c r="A19657" s="4" t="str">
        <f t="shared" si="1362"/>
        <v>EXP00447</v>
      </c>
      <c r="B19657" s="3" t="s">
        <v>66</v>
      </c>
      <c r="C19657" s="4" t="str">
        <f t="shared" si="1363"/>
        <v>TCGA-THCA</v>
      </c>
      <c r="D19657" s="1" t="s">
        <v>493</v>
      </c>
      <c r="E19657" t="s">
        <v>590</v>
      </c>
      <c r="F19657" s="1">
        <v>2</v>
      </c>
      <c r="G19657" s="1" t="s">
        <v>32</v>
      </c>
      <c r="H19657" s="4" t="str">
        <f>HYPERLINK("https://portal.gdc.cancer.gov/cases/2dcdf9a1-9437-4515-88c1-1c17d6b6418c","TCGA-DJ-A3V9-01A")</f>
        <v>TCGA-DJ-A3V9-01A</v>
      </c>
      <c r="I19657" t="s">
        <v>333</v>
      </c>
      <c r="J19657" t="s">
        <v>584</v>
      </c>
      <c r="K19657" t="s">
        <v>33</v>
      </c>
      <c r="L19657" t="s">
        <v>335</v>
      </c>
      <c r="N19657" t="s">
        <v>29</v>
      </c>
    </row>
    <row r="19658" spans="1:14">
      <c r="A19658" s="4" t="str">
        <f t="shared" si="1362"/>
        <v>EXP00447</v>
      </c>
      <c r="B19658" s="3" t="s">
        <v>66</v>
      </c>
      <c r="C19658" s="4" t="str">
        <f t="shared" si="1363"/>
        <v>TCGA-THCA</v>
      </c>
      <c r="D19658" s="1" t="s">
        <v>493</v>
      </c>
      <c r="E19658" t="s">
        <v>590</v>
      </c>
      <c r="F19658" s="1">
        <v>2</v>
      </c>
      <c r="G19658" s="1" t="s">
        <v>32</v>
      </c>
      <c r="H19658" s="4" t="str">
        <f>HYPERLINK("https://portal.gdc.cancer.gov/cases/28aef3ae-5375-4139-9b4e-5569eb394c88","TCGA-DJ-A3VA-01A")</f>
        <v>TCGA-DJ-A3VA-01A</v>
      </c>
      <c r="I19658" t="s">
        <v>333</v>
      </c>
      <c r="J19658" t="s">
        <v>584</v>
      </c>
      <c r="K19658" t="s">
        <v>33</v>
      </c>
      <c r="L19658" t="s">
        <v>335</v>
      </c>
      <c r="N19658" t="s">
        <v>29</v>
      </c>
    </row>
    <row r="19659" spans="1:14">
      <c r="A19659" s="4" t="str">
        <f t="shared" si="1362"/>
        <v>EXP00447</v>
      </c>
      <c r="B19659" s="3" t="s">
        <v>66</v>
      </c>
      <c r="C19659" s="4" t="str">
        <f t="shared" si="1363"/>
        <v>TCGA-THCA</v>
      </c>
      <c r="D19659" s="1" t="s">
        <v>493</v>
      </c>
      <c r="E19659" t="s">
        <v>590</v>
      </c>
      <c r="F19659" s="1">
        <v>2</v>
      </c>
      <c r="G19659" s="1" t="s">
        <v>32</v>
      </c>
      <c r="H19659" s="4" t="str">
        <f>HYPERLINK("https://portal.gdc.cancer.gov/cases/b305b716-5ae5-421b-b3c9-0824d37b08a8","TCGA-DJ-A3VB-01A")</f>
        <v>TCGA-DJ-A3VB-01A</v>
      </c>
      <c r="I19659" t="s">
        <v>333</v>
      </c>
      <c r="J19659" t="s">
        <v>584</v>
      </c>
      <c r="K19659" t="s">
        <v>33</v>
      </c>
      <c r="L19659" t="s">
        <v>335</v>
      </c>
      <c r="N19659" t="s">
        <v>29</v>
      </c>
    </row>
    <row r="19660" spans="1:14">
      <c r="A19660" s="4" t="str">
        <f t="shared" si="1362"/>
        <v>EXP00447</v>
      </c>
      <c r="B19660" s="3" t="s">
        <v>66</v>
      </c>
      <c r="C19660" s="4" t="str">
        <f t="shared" si="1363"/>
        <v>TCGA-THCA</v>
      </c>
      <c r="D19660" s="1" t="s">
        <v>493</v>
      </c>
      <c r="E19660" t="s">
        <v>590</v>
      </c>
      <c r="F19660" s="1">
        <v>2</v>
      </c>
      <c r="G19660" s="1" t="s">
        <v>32</v>
      </c>
      <c r="H19660" s="4" t="str">
        <f>HYPERLINK("https://portal.gdc.cancer.gov/cases/dc659941-8d12-4095-8d8a-1769878c363c","TCGA-DJ-A3VD-01A")</f>
        <v>TCGA-DJ-A3VD-01A</v>
      </c>
      <c r="I19660" t="s">
        <v>333</v>
      </c>
      <c r="J19660" t="s">
        <v>584</v>
      </c>
      <c r="K19660" t="s">
        <v>33</v>
      </c>
      <c r="L19660" t="s">
        <v>335</v>
      </c>
      <c r="N19660" t="s">
        <v>29</v>
      </c>
    </row>
    <row r="19661" spans="1:14">
      <c r="A19661" s="4" t="str">
        <f t="shared" si="1362"/>
        <v>EXP00447</v>
      </c>
      <c r="B19661" s="3" t="s">
        <v>66</v>
      </c>
      <c r="C19661" s="4" t="str">
        <f t="shared" si="1363"/>
        <v>TCGA-THCA</v>
      </c>
      <c r="D19661" s="1" t="s">
        <v>493</v>
      </c>
      <c r="E19661" t="s">
        <v>590</v>
      </c>
      <c r="F19661" s="1">
        <v>2</v>
      </c>
      <c r="G19661" s="1" t="s">
        <v>32</v>
      </c>
      <c r="H19661" s="4" t="str">
        <f>HYPERLINK("https://portal.gdc.cancer.gov/cases/e071c940-60fa-4c73-bb65-1ad670021854","TCGA-DJ-A3VE-01A")</f>
        <v>TCGA-DJ-A3VE-01A</v>
      </c>
      <c r="I19661" t="s">
        <v>333</v>
      </c>
      <c r="J19661" t="s">
        <v>584</v>
      </c>
      <c r="K19661" t="s">
        <v>33</v>
      </c>
      <c r="L19661" t="s">
        <v>335</v>
      </c>
      <c r="N19661" t="s">
        <v>29</v>
      </c>
    </row>
    <row r="19662" spans="1:14">
      <c r="A19662" s="4" t="str">
        <f t="shared" si="1362"/>
        <v>EXP00447</v>
      </c>
      <c r="B19662" s="3" t="s">
        <v>66</v>
      </c>
      <c r="C19662" s="4" t="str">
        <f t="shared" si="1363"/>
        <v>TCGA-THCA</v>
      </c>
      <c r="D19662" s="1" t="s">
        <v>493</v>
      </c>
      <c r="E19662" t="s">
        <v>590</v>
      </c>
      <c r="F19662" s="1">
        <v>2</v>
      </c>
      <c r="G19662" s="1" t="s">
        <v>32</v>
      </c>
      <c r="H19662" s="4" t="str">
        <f>HYPERLINK("https://portal.gdc.cancer.gov/cases/a7030d2b-2cc0-46be-9721-dc210954bee0","TCGA-DJ-A3VF-01A")</f>
        <v>TCGA-DJ-A3VF-01A</v>
      </c>
      <c r="I19662" t="s">
        <v>333</v>
      </c>
      <c r="J19662" t="s">
        <v>584</v>
      </c>
      <c r="K19662" t="s">
        <v>33</v>
      </c>
      <c r="L19662" t="s">
        <v>335</v>
      </c>
      <c r="N19662" t="s">
        <v>29</v>
      </c>
    </row>
    <row r="19663" spans="1:14">
      <c r="A19663" s="4" t="str">
        <f t="shared" si="1362"/>
        <v>EXP00447</v>
      </c>
      <c r="B19663" s="3" t="s">
        <v>66</v>
      </c>
      <c r="C19663" s="4" t="str">
        <f t="shared" si="1363"/>
        <v>TCGA-THCA</v>
      </c>
      <c r="D19663" s="1" t="s">
        <v>493</v>
      </c>
      <c r="E19663" t="s">
        <v>590</v>
      </c>
      <c r="F19663" s="1">
        <v>2</v>
      </c>
      <c r="G19663" s="1" t="s">
        <v>32</v>
      </c>
      <c r="H19663" s="4" t="str">
        <f>HYPERLINK("https://portal.gdc.cancer.gov/cases/c042a639-63c6-471b-a7c5-3fb4e12c4d12","TCGA-DJ-A3VG-01A")</f>
        <v>TCGA-DJ-A3VG-01A</v>
      </c>
      <c r="I19663" t="s">
        <v>333</v>
      </c>
      <c r="J19663" t="s">
        <v>584</v>
      </c>
      <c r="K19663" t="s">
        <v>33</v>
      </c>
      <c r="L19663" t="s">
        <v>335</v>
      </c>
      <c r="N19663" t="s">
        <v>29</v>
      </c>
    </row>
    <row r="19664" spans="1:14">
      <c r="A19664" s="4" t="str">
        <f t="shared" si="1362"/>
        <v>EXP00447</v>
      </c>
      <c r="B19664" s="3" t="s">
        <v>66</v>
      </c>
      <c r="C19664" s="4" t="str">
        <f t="shared" si="1363"/>
        <v>TCGA-THCA</v>
      </c>
      <c r="D19664" s="1" t="s">
        <v>493</v>
      </c>
      <c r="E19664" t="s">
        <v>590</v>
      </c>
      <c r="F19664" s="1">
        <v>2</v>
      </c>
      <c r="G19664" s="1" t="s">
        <v>32</v>
      </c>
      <c r="H19664" s="4" t="str">
        <f>HYPERLINK("https://portal.gdc.cancer.gov/cases/188013d3-cefe-4861-b115-c34db1cf3831","TCGA-DJ-A3VI-01A")</f>
        <v>TCGA-DJ-A3VI-01A</v>
      </c>
      <c r="I19664" t="s">
        <v>333</v>
      </c>
      <c r="J19664" t="s">
        <v>584</v>
      </c>
      <c r="K19664" t="s">
        <v>33</v>
      </c>
      <c r="L19664" t="s">
        <v>335</v>
      </c>
      <c r="N19664" t="s">
        <v>29</v>
      </c>
    </row>
    <row r="19665" spans="1:14">
      <c r="A19665" s="4" t="str">
        <f t="shared" si="1362"/>
        <v>EXP00447</v>
      </c>
      <c r="B19665" s="3" t="s">
        <v>66</v>
      </c>
      <c r="C19665" s="4" t="str">
        <f t="shared" si="1363"/>
        <v>TCGA-THCA</v>
      </c>
      <c r="D19665" s="1" t="s">
        <v>493</v>
      </c>
      <c r="E19665" t="s">
        <v>590</v>
      </c>
      <c r="F19665" s="1">
        <v>2</v>
      </c>
      <c r="G19665" s="1" t="s">
        <v>32</v>
      </c>
      <c r="H19665" s="4" t="str">
        <f>HYPERLINK("https://portal.gdc.cancer.gov/cases/e62adac4-803a-4d94-9ae0-7b1a49041799","TCGA-DJ-A3VJ-01A")</f>
        <v>TCGA-DJ-A3VJ-01A</v>
      </c>
      <c r="I19665" t="s">
        <v>333</v>
      </c>
      <c r="J19665" t="s">
        <v>584</v>
      </c>
      <c r="K19665" t="s">
        <v>33</v>
      </c>
      <c r="L19665" t="s">
        <v>335</v>
      </c>
      <c r="N19665" t="s">
        <v>29</v>
      </c>
    </row>
    <row r="19666" spans="1:14">
      <c r="A19666" s="4" t="str">
        <f t="shared" si="1362"/>
        <v>EXP00447</v>
      </c>
      <c r="B19666" s="3" t="s">
        <v>66</v>
      </c>
      <c r="C19666" s="4" t="str">
        <f t="shared" si="1363"/>
        <v>TCGA-THCA</v>
      </c>
      <c r="D19666" s="1" t="s">
        <v>493</v>
      </c>
      <c r="E19666" t="s">
        <v>590</v>
      </c>
      <c r="F19666" s="1">
        <v>2</v>
      </c>
      <c r="G19666" s="1" t="s">
        <v>32</v>
      </c>
      <c r="H19666" s="4" t="str">
        <f>HYPERLINK("https://portal.gdc.cancer.gov/cases/94443df0-7f16-4178-9e66-bee82f6ca33a","TCGA-DJ-A3VK-01A")</f>
        <v>TCGA-DJ-A3VK-01A</v>
      </c>
      <c r="I19666" t="s">
        <v>333</v>
      </c>
      <c r="J19666" t="s">
        <v>584</v>
      </c>
      <c r="K19666" t="s">
        <v>33</v>
      </c>
      <c r="L19666" t="s">
        <v>335</v>
      </c>
      <c r="N19666" t="s">
        <v>29</v>
      </c>
    </row>
    <row r="19667" spans="1:14">
      <c r="A19667" s="4" t="str">
        <f t="shared" si="1362"/>
        <v>EXP00447</v>
      </c>
      <c r="B19667" s="3" t="s">
        <v>66</v>
      </c>
      <c r="C19667" s="4" t="str">
        <f t="shared" si="1363"/>
        <v>TCGA-THCA</v>
      </c>
      <c r="D19667" s="1" t="s">
        <v>493</v>
      </c>
      <c r="E19667" t="s">
        <v>590</v>
      </c>
      <c r="F19667" s="1">
        <v>2</v>
      </c>
      <c r="G19667" s="1" t="s">
        <v>32</v>
      </c>
      <c r="H19667" s="4" t="str">
        <f>HYPERLINK("https://portal.gdc.cancer.gov/cases/cac8246a-a806-4945-898a-105cd88b2752","TCGA-DJ-A3VL-01A")</f>
        <v>TCGA-DJ-A3VL-01A</v>
      </c>
      <c r="I19667" t="s">
        <v>333</v>
      </c>
      <c r="J19667" t="s">
        <v>584</v>
      </c>
      <c r="K19667" t="s">
        <v>33</v>
      </c>
      <c r="L19667" t="s">
        <v>335</v>
      </c>
      <c r="N19667" t="s">
        <v>29</v>
      </c>
    </row>
    <row r="19668" spans="1:14">
      <c r="A19668" s="4" t="str">
        <f t="shared" si="1362"/>
        <v>EXP00447</v>
      </c>
      <c r="B19668" s="3" t="s">
        <v>66</v>
      </c>
      <c r="C19668" s="4" t="str">
        <f t="shared" si="1363"/>
        <v>TCGA-THCA</v>
      </c>
      <c r="D19668" s="1" t="s">
        <v>493</v>
      </c>
      <c r="E19668" t="s">
        <v>590</v>
      </c>
      <c r="F19668" s="1">
        <v>2</v>
      </c>
      <c r="G19668" s="1" t="s">
        <v>32</v>
      </c>
      <c r="H19668" s="4" t="str">
        <f>HYPERLINK("https://portal.gdc.cancer.gov/cases/1ebd5834-56b8-498a-8f34-c0031fcfd856","TCGA-DJ-A3VM-01A")</f>
        <v>TCGA-DJ-A3VM-01A</v>
      </c>
      <c r="I19668" t="s">
        <v>333</v>
      </c>
      <c r="J19668" t="s">
        <v>584</v>
      </c>
      <c r="K19668" t="s">
        <v>33</v>
      </c>
      <c r="L19668" t="s">
        <v>335</v>
      </c>
      <c r="N19668" t="s">
        <v>29</v>
      </c>
    </row>
    <row r="19669" spans="1:14">
      <c r="A19669" s="4" t="str">
        <f t="shared" si="1362"/>
        <v>EXP00447</v>
      </c>
      <c r="B19669" s="3" t="s">
        <v>66</v>
      </c>
      <c r="C19669" s="4" t="str">
        <f t="shared" si="1363"/>
        <v>TCGA-THCA</v>
      </c>
      <c r="D19669" s="1" t="s">
        <v>493</v>
      </c>
      <c r="E19669" t="s">
        <v>590</v>
      </c>
      <c r="F19669" s="1">
        <v>2</v>
      </c>
      <c r="G19669" s="1" t="s">
        <v>32</v>
      </c>
      <c r="H19669" s="4" t="str">
        <f>HYPERLINK("https://portal.gdc.cancer.gov/cases/7851512b-5f44-43de-8b27-99b5e91a8119","TCGA-DJ-A4UL-01A")</f>
        <v>TCGA-DJ-A4UL-01A</v>
      </c>
      <c r="I19669" t="s">
        <v>333</v>
      </c>
      <c r="J19669" t="s">
        <v>584</v>
      </c>
      <c r="K19669" t="s">
        <v>33</v>
      </c>
      <c r="L19669" t="s">
        <v>335</v>
      </c>
      <c r="N19669" t="s">
        <v>29</v>
      </c>
    </row>
    <row r="19670" spans="1:14">
      <c r="A19670" s="4" t="str">
        <f t="shared" si="1362"/>
        <v>EXP00447</v>
      </c>
      <c r="B19670" s="3" t="s">
        <v>66</v>
      </c>
      <c r="C19670" s="4" t="str">
        <f t="shared" si="1363"/>
        <v>TCGA-THCA</v>
      </c>
      <c r="D19670" s="1" t="s">
        <v>493</v>
      </c>
      <c r="E19670" t="s">
        <v>590</v>
      </c>
      <c r="F19670" s="1">
        <v>2</v>
      </c>
      <c r="G19670" s="1" t="s">
        <v>32</v>
      </c>
      <c r="H19670" s="4" t="str">
        <f>HYPERLINK("https://portal.gdc.cancer.gov/cases/256976a4-41ab-445e-ae26-c594ba1fa324","TCGA-DJ-A4UP-01A")</f>
        <v>TCGA-DJ-A4UP-01A</v>
      </c>
      <c r="I19670" t="s">
        <v>333</v>
      </c>
      <c r="J19670" t="s">
        <v>584</v>
      </c>
      <c r="K19670" t="s">
        <v>33</v>
      </c>
      <c r="L19670" t="s">
        <v>335</v>
      </c>
      <c r="N19670" t="s">
        <v>29</v>
      </c>
    </row>
    <row r="19671" spans="1:14">
      <c r="A19671" s="4" t="str">
        <f t="shared" si="1362"/>
        <v>EXP00447</v>
      </c>
      <c r="B19671" s="3" t="s">
        <v>66</v>
      </c>
      <c r="C19671" s="4" t="str">
        <f t="shared" si="1363"/>
        <v>TCGA-THCA</v>
      </c>
      <c r="D19671" s="1" t="s">
        <v>493</v>
      </c>
      <c r="E19671" t="s">
        <v>590</v>
      </c>
      <c r="F19671" s="1">
        <v>2</v>
      </c>
      <c r="G19671" s="1" t="s">
        <v>32</v>
      </c>
      <c r="H19671" s="4" t="str">
        <f>HYPERLINK("https://portal.gdc.cancer.gov/cases/274225cf-a0f4-4635-848b-819f479001de","TCGA-DJ-A4UQ-01A")</f>
        <v>TCGA-DJ-A4UQ-01A</v>
      </c>
      <c r="I19671" t="s">
        <v>333</v>
      </c>
      <c r="J19671" t="s">
        <v>584</v>
      </c>
      <c r="K19671" t="s">
        <v>33</v>
      </c>
      <c r="L19671" t="s">
        <v>335</v>
      </c>
      <c r="N19671" t="s">
        <v>29</v>
      </c>
    </row>
    <row r="19672" spans="1:14">
      <c r="A19672" s="4" t="str">
        <f t="shared" si="1362"/>
        <v>EXP00447</v>
      </c>
      <c r="B19672" s="3" t="s">
        <v>66</v>
      </c>
      <c r="C19672" s="4" t="str">
        <f t="shared" si="1363"/>
        <v>TCGA-THCA</v>
      </c>
      <c r="D19672" s="1" t="s">
        <v>493</v>
      </c>
      <c r="E19672" t="s">
        <v>590</v>
      </c>
      <c r="F19672" s="1">
        <v>2</v>
      </c>
      <c r="G19672" s="1" t="s">
        <v>32</v>
      </c>
      <c r="H19672" s="4" t="str">
        <f>HYPERLINK("https://portal.gdc.cancer.gov/cases/c53c4bfe-d9d2-4882-a46b-fa487d95b8ba","TCGA-DJ-A4UR-01A")</f>
        <v>TCGA-DJ-A4UR-01A</v>
      </c>
      <c r="I19672" t="s">
        <v>333</v>
      </c>
      <c r="J19672" t="s">
        <v>584</v>
      </c>
      <c r="K19672" t="s">
        <v>33</v>
      </c>
      <c r="L19672" t="s">
        <v>335</v>
      </c>
      <c r="N19672" t="s">
        <v>29</v>
      </c>
    </row>
    <row r="19673" spans="1:14">
      <c r="A19673" s="4" t="str">
        <f t="shared" si="1362"/>
        <v>EXP00447</v>
      </c>
      <c r="B19673" s="3" t="s">
        <v>66</v>
      </c>
      <c r="C19673" s="4" t="str">
        <f t="shared" si="1363"/>
        <v>TCGA-THCA</v>
      </c>
      <c r="D19673" s="1" t="s">
        <v>493</v>
      </c>
      <c r="E19673" t="s">
        <v>590</v>
      </c>
      <c r="F19673" s="1">
        <v>2</v>
      </c>
      <c r="G19673" s="1" t="s">
        <v>32</v>
      </c>
      <c r="H19673" s="4" t="str">
        <f>HYPERLINK("https://portal.gdc.cancer.gov/cases/acb80b76-2394-4250-8687-60e40e16e83b","TCGA-DJ-A4UT-01A")</f>
        <v>TCGA-DJ-A4UT-01A</v>
      </c>
      <c r="I19673" t="s">
        <v>333</v>
      </c>
      <c r="J19673" t="s">
        <v>584</v>
      </c>
      <c r="K19673" t="s">
        <v>33</v>
      </c>
      <c r="L19673" t="s">
        <v>335</v>
      </c>
      <c r="N19673" t="s">
        <v>29</v>
      </c>
    </row>
    <row r="19674" spans="1:14">
      <c r="A19674" s="4" t="str">
        <f t="shared" si="1362"/>
        <v>EXP00447</v>
      </c>
      <c r="B19674" s="3" t="s">
        <v>66</v>
      </c>
      <c r="C19674" s="4" t="str">
        <f t="shared" si="1363"/>
        <v>TCGA-THCA</v>
      </c>
      <c r="D19674" s="1" t="s">
        <v>493</v>
      </c>
      <c r="E19674" t="s">
        <v>590</v>
      </c>
      <c r="F19674" s="1">
        <v>2</v>
      </c>
      <c r="G19674" s="1" t="s">
        <v>32</v>
      </c>
      <c r="H19674" s="4" t="str">
        <f>HYPERLINK("https://portal.gdc.cancer.gov/cases/97384352-0e80-42c2-8a8b-7bdbda2b58ee","TCGA-DJ-A4UW-01A")</f>
        <v>TCGA-DJ-A4UW-01A</v>
      </c>
      <c r="I19674" t="s">
        <v>333</v>
      </c>
      <c r="J19674" t="s">
        <v>584</v>
      </c>
      <c r="K19674" t="s">
        <v>33</v>
      </c>
      <c r="L19674" t="s">
        <v>335</v>
      </c>
      <c r="N19674" t="s">
        <v>29</v>
      </c>
    </row>
    <row r="19675" spans="1:14">
      <c r="A19675" s="4" t="str">
        <f t="shared" si="1362"/>
        <v>EXP00447</v>
      </c>
      <c r="B19675" s="3" t="s">
        <v>66</v>
      </c>
      <c r="C19675" s="4" t="str">
        <f t="shared" si="1363"/>
        <v>TCGA-THCA</v>
      </c>
      <c r="D19675" s="1" t="s">
        <v>493</v>
      </c>
      <c r="E19675" t="s">
        <v>590</v>
      </c>
      <c r="F19675" s="1">
        <v>2</v>
      </c>
      <c r="G19675" s="1" t="s">
        <v>32</v>
      </c>
      <c r="H19675" s="4" t="str">
        <f>HYPERLINK("https://portal.gdc.cancer.gov/cases/fffdb1d9-58d1-425c-ac12-1e1e5f443bf7","TCGA-DJ-A4V0-01A")</f>
        <v>TCGA-DJ-A4V0-01A</v>
      </c>
      <c r="I19675" t="s">
        <v>333</v>
      </c>
      <c r="J19675" t="s">
        <v>584</v>
      </c>
      <c r="K19675" t="s">
        <v>33</v>
      </c>
      <c r="L19675" t="s">
        <v>335</v>
      </c>
      <c r="N19675" t="s">
        <v>29</v>
      </c>
    </row>
    <row r="19676" spans="1:14">
      <c r="A19676" s="4" t="str">
        <f t="shared" si="1362"/>
        <v>EXP00447</v>
      </c>
      <c r="B19676" s="3" t="s">
        <v>66</v>
      </c>
      <c r="C19676" s="4" t="str">
        <f t="shared" si="1363"/>
        <v>TCGA-THCA</v>
      </c>
      <c r="D19676" s="1" t="s">
        <v>493</v>
      </c>
      <c r="E19676" t="s">
        <v>590</v>
      </c>
      <c r="F19676" s="1">
        <v>2</v>
      </c>
      <c r="G19676" s="1" t="s">
        <v>32</v>
      </c>
      <c r="H19676" s="4" t="str">
        <f>HYPERLINK("https://portal.gdc.cancer.gov/cases/da575651-8a69-4d08-aa0f-4a1891b0b44f","TCGA-DJ-A4V2-01A")</f>
        <v>TCGA-DJ-A4V2-01A</v>
      </c>
      <c r="I19676" t="s">
        <v>333</v>
      </c>
      <c r="J19676" t="s">
        <v>584</v>
      </c>
      <c r="K19676" t="s">
        <v>33</v>
      </c>
      <c r="L19676" t="s">
        <v>335</v>
      </c>
      <c r="N19676" t="s">
        <v>29</v>
      </c>
    </row>
    <row r="19677" spans="1:14">
      <c r="A19677" s="4" t="str">
        <f t="shared" si="1362"/>
        <v>EXP00447</v>
      </c>
      <c r="B19677" s="3" t="s">
        <v>66</v>
      </c>
      <c r="C19677" s="4" t="str">
        <f t="shared" si="1363"/>
        <v>TCGA-THCA</v>
      </c>
      <c r="D19677" s="1" t="s">
        <v>493</v>
      </c>
      <c r="E19677" t="s">
        <v>590</v>
      </c>
      <c r="F19677" s="1">
        <v>2</v>
      </c>
      <c r="G19677" s="1" t="s">
        <v>32</v>
      </c>
      <c r="H19677" s="4" t="str">
        <f>HYPERLINK("https://portal.gdc.cancer.gov/cases/b78c953f-f1bb-4295-85f1-23c4000ce9d3","TCGA-DJ-A4V4-01A")</f>
        <v>TCGA-DJ-A4V4-01A</v>
      </c>
      <c r="I19677" t="s">
        <v>333</v>
      </c>
      <c r="J19677" t="s">
        <v>584</v>
      </c>
      <c r="K19677" t="s">
        <v>33</v>
      </c>
      <c r="L19677" t="s">
        <v>335</v>
      </c>
      <c r="N19677" t="s">
        <v>29</v>
      </c>
    </row>
    <row r="19678" spans="1:14">
      <c r="A19678" s="4" t="str">
        <f t="shared" si="1362"/>
        <v>EXP00447</v>
      </c>
      <c r="B19678" s="3" t="s">
        <v>66</v>
      </c>
      <c r="C19678" s="4" t="str">
        <f t="shared" si="1363"/>
        <v>TCGA-THCA</v>
      </c>
      <c r="D19678" s="1" t="s">
        <v>493</v>
      </c>
      <c r="E19678" t="s">
        <v>590</v>
      </c>
      <c r="F19678" s="1">
        <v>2</v>
      </c>
      <c r="G19678" s="1" t="s">
        <v>32</v>
      </c>
      <c r="H19678" s="4" t="str">
        <f>HYPERLINK("https://portal.gdc.cancer.gov/cases/86d5865e-6a1c-467c-97c9-47460b77f5a4","TCGA-DJ-A4V5-01A")</f>
        <v>TCGA-DJ-A4V5-01A</v>
      </c>
      <c r="I19678" t="s">
        <v>333</v>
      </c>
      <c r="J19678" t="s">
        <v>584</v>
      </c>
      <c r="K19678" t="s">
        <v>33</v>
      </c>
      <c r="L19678" t="s">
        <v>335</v>
      </c>
      <c r="N19678" t="s">
        <v>29</v>
      </c>
    </row>
    <row r="19679" spans="1:14">
      <c r="A19679" s="4" t="str">
        <f t="shared" si="1362"/>
        <v>EXP00447</v>
      </c>
      <c r="B19679" s="3" t="s">
        <v>66</v>
      </c>
      <c r="C19679" s="4" t="str">
        <f t="shared" si="1363"/>
        <v>TCGA-THCA</v>
      </c>
      <c r="D19679" s="1" t="s">
        <v>493</v>
      </c>
      <c r="E19679" t="s">
        <v>590</v>
      </c>
      <c r="F19679" s="1">
        <v>2</v>
      </c>
      <c r="G19679" s="1" t="s">
        <v>32</v>
      </c>
      <c r="H19679" s="4" t="str">
        <f>HYPERLINK("https://portal.gdc.cancer.gov/cases/169f045f-1739-4b0b-9bdc-028aaca420f8","TCGA-DO-A1JZ-01A")</f>
        <v>TCGA-DO-A1JZ-01A</v>
      </c>
      <c r="I19679" t="s">
        <v>333</v>
      </c>
      <c r="J19679" t="s">
        <v>584</v>
      </c>
      <c r="K19679" t="s">
        <v>33</v>
      </c>
      <c r="L19679" t="s">
        <v>335</v>
      </c>
      <c r="N19679" t="s">
        <v>29</v>
      </c>
    </row>
    <row r="19680" spans="1:14">
      <c r="A19680" s="4" t="str">
        <f t="shared" si="1362"/>
        <v>EXP00447</v>
      </c>
      <c r="B19680" s="3" t="s">
        <v>66</v>
      </c>
      <c r="C19680" s="4" t="str">
        <f t="shared" si="1363"/>
        <v>TCGA-THCA</v>
      </c>
      <c r="D19680" s="1" t="s">
        <v>493</v>
      </c>
      <c r="E19680" t="s">
        <v>590</v>
      </c>
      <c r="F19680" s="1">
        <v>2</v>
      </c>
      <c r="G19680" s="1" t="s">
        <v>32</v>
      </c>
      <c r="H19680" s="4" t="str">
        <f>HYPERLINK("https://portal.gdc.cancer.gov/cases/b7a01148-5bab-4268-986a-a9cf7bca967f","TCGA-DO-A1K0-01A")</f>
        <v>TCGA-DO-A1K0-01A</v>
      </c>
      <c r="I19680" t="s">
        <v>333</v>
      </c>
      <c r="J19680" t="s">
        <v>584</v>
      </c>
      <c r="K19680" t="s">
        <v>33</v>
      </c>
      <c r="L19680" t="s">
        <v>335</v>
      </c>
      <c r="N19680" t="s">
        <v>29</v>
      </c>
    </row>
    <row r="19681" spans="1:14">
      <c r="A19681" s="4" t="str">
        <f t="shared" si="1362"/>
        <v>EXP00447</v>
      </c>
      <c r="B19681" s="3" t="s">
        <v>66</v>
      </c>
      <c r="C19681" s="4" t="str">
        <f t="shared" si="1363"/>
        <v>TCGA-THCA</v>
      </c>
      <c r="D19681" s="1" t="s">
        <v>493</v>
      </c>
      <c r="E19681" t="s">
        <v>590</v>
      </c>
      <c r="F19681" s="1">
        <v>2</v>
      </c>
      <c r="G19681" s="1" t="s">
        <v>32</v>
      </c>
      <c r="H19681" s="4" t="str">
        <f>HYPERLINK("https://portal.gdc.cancer.gov/cases/82dd133b-691b-4bbf-b948-6270869d9b69","TCGA-DO-A2HM-01B")</f>
        <v>TCGA-DO-A2HM-01B</v>
      </c>
      <c r="I19681" t="s">
        <v>333</v>
      </c>
      <c r="J19681" t="s">
        <v>584</v>
      </c>
      <c r="K19681" t="s">
        <v>33</v>
      </c>
      <c r="L19681" t="s">
        <v>335</v>
      </c>
      <c r="N19681" t="s">
        <v>29</v>
      </c>
    </row>
    <row r="19682" spans="1:14">
      <c r="A19682" s="4" t="str">
        <f t="shared" si="1362"/>
        <v>EXP00447</v>
      </c>
      <c r="B19682" s="3" t="s">
        <v>66</v>
      </c>
      <c r="C19682" s="4" t="str">
        <f t="shared" si="1363"/>
        <v>TCGA-THCA</v>
      </c>
      <c r="D19682" s="1" t="s">
        <v>493</v>
      </c>
      <c r="E19682" t="s">
        <v>590</v>
      </c>
      <c r="F19682" s="1">
        <v>2</v>
      </c>
      <c r="G19682" s="1" t="s">
        <v>32</v>
      </c>
      <c r="H19682" s="4" t="str">
        <f>HYPERLINK("https://portal.gdc.cancer.gov/cases/dffef9e8-5b69-43d9-a95b-0744daa38d1d","TCGA-E3-A3DY-01A")</f>
        <v>TCGA-E3-A3DY-01A</v>
      </c>
      <c r="I19682" t="s">
        <v>333</v>
      </c>
      <c r="J19682" t="s">
        <v>584</v>
      </c>
      <c r="K19682" t="s">
        <v>33</v>
      </c>
      <c r="L19682" t="s">
        <v>335</v>
      </c>
      <c r="N19682" t="s">
        <v>29</v>
      </c>
    </row>
    <row r="19683" spans="1:14">
      <c r="A19683" s="4" t="str">
        <f t="shared" si="1362"/>
        <v>EXP00447</v>
      </c>
      <c r="B19683" s="3" t="s">
        <v>66</v>
      </c>
      <c r="C19683" s="4" t="str">
        <f t="shared" si="1363"/>
        <v>TCGA-THCA</v>
      </c>
      <c r="D19683" s="1" t="s">
        <v>493</v>
      </c>
      <c r="E19683" t="s">
        <v>590</v>
      </c>
      <c r="F19683" s="1">
        <v>2</v>
      </c>
      <c r="G19683" s="1" t="s">
        <v>32</v>
      </c>
      <c r="H19683" s="4" t="str">
        <f>HYPERLINK("https://portal.gdc.cancer.gov/cases/59e47734-96de-4328-aca7-e9423dda9c52","TCGA-E3-A3DZ-01A")</f>
        <v>TCGA-E3-A3DZ-01A</v>
      </c>
      <c r="I19683" t="s">
        <v>333</v>
      </c>
      <c r="J19683" t="s">
        <v>584</v>
      </c>
      <c r="K19683" t="s">
        <v>33</v>
      </c>
      <c r="L19683" t="s">
        <v>335</v>
      </c>
      <c r="N19683" t="s">
        <v>29</v>
      </c>
    </row>
    <row r="19684" spans="1:14">
      <c r="A19684" s="4" t="str">
        <f t="shared" si="1362"/>
        <v>EXP00447</v>
      </c>
      <c r="B19684" s="3" t="s">
        <v>66</v>
      </c>
      <c r="C19684" s="4" t="str">
        <f t="shared" si="1363"/>
        <v>TCGA-THCA</v>
      </c>
      <c r="D19684" s="1" t="s">
        <v>493</v>
      </c>
      <c r="E19684" t="s">
        <v>590</v>
      </c>
      <c r="F19684" s="1">
        <v>2</v>
      </c>
      <c r="G19684" s="1" t="s">
        <v>32</v>
      </c>
      <c r="H19684" s="4" t="str">
        <f>HYPERLINK("https://portal.gdc.cancer.gov/cases/5be6c0d9-6ad7-482f-bd00-0432702df495","TCGA-E3-A3E0-01A")</f>
        <v>TCGA-E3-A3E0-01A</v>
      </c>
      <c r="I19684" t="s">
        <v>333</v>
      </c>
      <c r="J19684" t="s">
        <v>584</v>
      </c>
      <c r="K19684" t="s">
        <v>33</v>
      </c>
      <c r="L19684" t="s">
        <v>335</v>
      </c>
      <c r="N19684" t="s">
        <v>29</v>
      </c>
    </row>
    <row r="19685" spans="1:14">
      <c r="A19685" s="4" t="str">
        <f t="shared" si="1362"/>
        <v>EXP00447</v>
      </c>
      <c r="B19685" s="3" t="s">
        <v>66</v>
      </c>
      <c r="C19685" s="4" t="str">
        <f t="shared" si="1363"/>
        <v>TCGA-THCA</v>
      </c>
      <c r="D19685" s="1" t="s">
        <v>493</v>
      </c>
      <c r="E19685" t="s">
        <v>590</v>
      </c>
      <c r="F19685" s="1">
        <v>2</v>
      </c>
      <c r="G19685" s="1" t="s">
        <v>32</v>
      </c>
      <c r="H19685" s="4" t="str">
        <f>HYPERLINK("https://portal.gdc.cancer.gov/cases/884ad3b9-5350-4580-85f6-80ac05a6dcea","TCGA-E3-A3E1-01A")</f>
        <v>TCGA-E3-A3E1-01A</v>
      </c>
      <c r="I19685" t="s">
        <v>333</v>
      </c>
      <c r="J19685" t="s">
        <v>584</v>
      </c>
      <c r="K19685" t="s">
        <v>33</v>
      </c>
      <c r="L19685" t="s">
        <v>335</v>
      </c>
      <c r="N19685" t="s">
        <v>29</v>
      </c>
    </row>
    <row r="19686" spans="1:14">
      <c r="A19686" s="4" t="str">
        <f t="shared" si="1362"/>
        <v>EXP00447</v>
      </c>
      <c r="B19686" s="3" t="s">
        <v>66</v>
      </c>
      <c r="C19686" s="4" t="str">
        <f t="shared" si="1363"/>
        <v>TCGA-THCA</v>
      </c>
      <c r="D19686" s="1" t="s">
        <v>493</v>
      </c>
      <c r="E19686" t="s">
        <v>590</v>
      </c>
      <c r="F19686" s="1">
        <v>2</v>
      </c>
      <c r="G19686" s="1" t="s">
        <v>32</v>
      </c>
      <c r="H19686" s="4" t="str">
        <f>HYPERLINK("https://portal.gdc.cancer.gov/cases/efbdedaa-4b02-40ac-b93c-9670c018cf7f","TCGA-E3-A3E2-01A")</f>
        <v>TCGA-E3-A3E2-01A</v>
      </c>
      <c r="I19686" t="s">
        <v>333</v>
      </c>
      <c r="J19686" t="s">
        <v>584</v>
      </c>
      <c r="K19686" t="s">
        <v>33</v>
      </c>
      <c r="L19686" t="s">
        <v>335</v>
      </c>
      <c r="N19686" t="s">
        <v>29</v>
      </c>
    </row>
    <row r="19687" spans="1:14">
      <c r="A19687" s="4" t="str">
        <f t="shared" si="1362"/>
        <v>EXP00447</v>
      </c>
      <c r="B19687" s="3" t="s">
        <v>66</v>
      </c>
      <c r="C19687" s="4" t="str">
        <f t="shared" si="1363"/>
        <v>TCGA-THCA</v>
      </c>
      <c r="D19687" s="1" t="s">
        <v>493</v>
      </c>
      <c r="E19687" t="s">
        <v>590</v>
      </c>
      <c r="F19687" s="1">
        <v>2</v>
      </c>
      <c r="G19687" s="1" t="s">
        <v>32</v>
      </c>
      <c r="H19687" s="4" t="str">
        <f>HYPERLINK("https://portal.gdc.cancer.gov/cases/63e8c48e-f01b-4a7f-87e2-30607a2c8f6c","TCGA-E3-A3E3-01A")</f>
        <v>TCGA-E3-A3E3-01A</v>
      </c>
      <c r="I19687" t="s">
        <v>333</v>
      </c>
      <c r="J19687" t="s">
        <v>584</v>
      </c>
      <c r="K19687" t="s">
        <v>33</v>
      </c>
      <c r="L19687" t="s">
        <v>335</v>
      </c>
      <c r="N19687" t="s">
        <v>29</v>
      </c>
    </row>
    <row r="19688" spans="1:14">
      <c r="A19688" s="4" t="str">
        <f t="shared" si="1362"/>
        <v>EXP00447</v>
      </c>
      <c r="B19688" s="3" t="s">
        <v>66</v>
      </c>
      <c r="C19688" s="4" t="str">
        <f t="shared" si="1363"/>
        <v>TCGA-THCA</v>
      </c>
      <c r="D19688" s="1" t="s">
        <v>493</v>
      </c>
      <c r="E19688" t="s">
        <v>590</v>
      </c>
      <c r="F19688" s="1">
        <v>2</v>
      </c>
      <c r="G19688" s="1" t="s">
        <v>32</v>
      </c>
      <c r="H19688" s="4" t="str">
        <f>HYPERLINK("https://portal.gdc.cancer.gov/cases/90750006-fb25-4ccd-90df-9f300cd26a5b","TCGA-E3-A3E5-01A")</f>
        <v>TCGA-E3-A3E5-01A</v>
      </c>
      <c r="I19688" t="s">
        <v>333</v>
      </c>
      <c r="J19688" t="s">
        <v>584</v>
      </c>
      <c r="K19688" t="s">
        <v>33</v>
      </c>
      <c r="L19688" t="s">
        <v>335</v>
      </c>
      <c r="N19688" t="s">
        <v>29</v>
      </c>
    </row>
    <row r="19689" spans="1:14">
      <c r="A19689" s="4" t="str">
        <f t="shared" si="1362"/>
        <v>EXP00447</v>
      </c>
      <c r="B19689" s="3" t="s">
        <v>66</v>
      </c>
      <c r="C19689" s="4" t="str">
        <f t="shared" si="1363"/>
        <v>TCGA-THCA</v>
      </c>
      <c r="D19689" s="1" t="s">
        <v>493</v>
      </c>
      <c r="E19689" t="s">
        <v>590</v>
      </c>
      <c r="F19689" s="1">
        <v>2</v>
      </c>
      <c r="G19689" s="1" t="s">
        <v>32</v>
      </c>
      <c r="H19689" s="4" t="str">
        <f>HYPERLINK("https://portal.gdc.cancer.gov/cases/4d9de9a1-7df1-412e-9f16-15dd51b4c5f5","TCGA-E8-A242-01A")</f>
        <v>TCGA-E8-A242-01A</v>
      </c>
      <c r="I19689" t="s">
        <v>333</v>
      </c>
      <c r="J19689" t="s">
        <v>584</v>
      </c>
      <c r="K19689" t="s">
        <v>33</v>
      </c>
      <c r="L19689" t="s">
        <v>335</v>
      </c>
      <c r="N19689" t="s">
        <v>29</v>
      </c>
    </row>
    <row r="19690" spans="1:14">
      <c r="A19690" s="4" t="str">
        <f t="shared" si="1362"/>
        <v>EXP00447</v>
      </c>
      <c r="B19690" s="3" t="s">
        <v>66</v>
      </c>
      <c r="C19690" s="4" t="str">
        <f t="shared" si="1363"/>
        <v>TCGA-THCA</v>
      </c>
      <c r="D19690" s="1" t="s">
        <v>493</v>
      </c>
      <c r="E19690" t="s">
        <v>590</v>
      </c>
      <c r="F19690" s="1">
        <v>2</v>
      </c>
      <c r="G19690" s="1" t="s">
        <v>32</v>
      </c>
      <c r="H19690" s="4" t="str">
        <f>HYPERLINK("https://portal.gdc.cancer.gov/cases/980d1c65-b675-4568-9ce8-c0278686ae8d","TCGA-E8-A2EA-01A")</f>
        <v>TCGA-E8-A2EA-01A</v>
      </c>
      <c r="I19690" t="s">
        <v>333</v>
      </c>
      <c r="J19690" t="s">
        <v>584</v>
      </c>
      <c r="K19690" t="s">
        <v>33</v>
      </c>
      <c r="L19690" t="s">
        <v>335</v>
      </c>
      <c r="N19690" t="s">
        <v>29</v>
      </c>
    </row>
    <row r="19691" spans="1:14">
      <c r="A19691" s="4" t="str">
        <f t="shared" si="1362"/>
        <v>EXP00447</v>
      </c>
      <c r="B19691" s="3" t="s">
        <v>66</v>
      </c>
      <c r="C19691" s="4" t="str">
        <f t="shared" si="1363"/>
        <v>TCGA-THCA</v>
      </c>
      <c r="D19691" s="1" t="s">
        <v>493</v>
      </c>
      <c r="E19691" t="s">
        <v>590</v>
      </c>
      <c r="F19691" s="1">
        <v>2</v>
      </c>
      <c r="G19691" s="1" t="s">
        <v>32</v>
      </c>
      <c r="H19691" s="4" t="str">
        <f>HYPERLINK("https://portal.gdc.cancer.gov/cases/f69ff5fb-7e0b-4b16-9fc9-498379b11562","TCGA-E8-A2JQ-01A")</f>
        <v>TCGA-E8-A2JQ-01A</v>
      </c>
      <c r="I19691" t="s">
        <v>333</v>
      </c>
      <c r="J19691" t="s">
        <v>584</v>
      </c>
      <c r="K19691" t="s">
        <v>33</v>
      </c>
      <c r="L19691" t="s">
        <v>335</v>
      </c>
      <c r="N19691" t="s">
        <v>29</v>
      </c>
    </row>
    <row r="19692" spans="1:14">
      <c r="A19692" s="4" t="str">
        <f t="shared" si="1362"/>
        <v>EXP00447</v>
      </c>
      <c r="B19692" s="3" t="s">
        <v>66</v>
      </c>
      <c r="C19692" s="4" t="str">
        <f t="shared" si="1363"/>
        <v>TCGA-THCA</v>
      </c>
      <c r="D19692" s="1" t="s">
        <v>493</v>
      </c>
      <c r="E19692" t="s">
        <v>590</v>
      </c>
      <c r="F19692" s="1">
        <v>2</v>
      </c>
      <c r="G19692" s="1" t="s">
        <v>32</v>
      </c>
      <c r="H19692" s="4" t="str">
        <f>HYPERLINK("https://portal.gdc.cancer.gov/cases/f3665b89-957b-4d7b-b67f-39615c47d28b","TCGA-E8-A3X7-01A")</f>
        <v>TCGA-E8-A3X7-01A</v>
      </c>
      <c r="I19692" t="s">
        <v>333</v>
      </c>
      <c r="J19692" t="s">
        <v>584</v>
      </c>
      <c r="K19692" t="s">
        <v>33</v>
      </c>
      <c r="L19692" t="s">
        <v>335</v>
      </c>
      <c r="N19692" t="s">
        <v>29</v>
      </c>
    </row>
    <row r="19693" spans="1:14">
      <c r="A19693" s="4" t="str">
        <f t="shared" si="1362"/>
        <v>EXP00447</v>
      </c>
      <c r="B19693" s="3" t="s">
        <v>66</v>
      </c>
      <c r="C19693" s="4" t="str">
        <f t="shared" si="1363"/>
        <v>TCGA-THCA</v>
      </c>
      <c r="D19693" s="1" t="s">
        <v>493</v>
      </c>
      <c r="E19693" t="s">
        <v>590</v>
      </c>
      <c r="F19693" s="1">
        <v>2</v>
      </c>
      <c r="G19693" s="1" t="s">
        <v>32</v>
      </c>
      <c r="H19693" s="4" t="str">
        <f>HYPERLINK("https://portal.gdc.cancer.gov/cases/d5ea6520-e446-43d2-9883-441f70d80359","TCGA-E8-A413-01A")</f>
        <v>TCGA-E8-A413-01A</v>
      </c>
      <c r="I19693" t="s">
        <v>333</v>
      </c>
      <c r="J19693" t="s">
        <v>584</v>
      </c>
      <c r="K19693" t="s">
        <v>33</v>
      </c>
      <c r="L19693" t="s">
        <v>335</v>
      </c>
      <c r="N19693" t="s">
        <v>29</v>
      </c>
    </row>
    <row r="19694" spans="1:14">
      <c r="A19694" s="4" t="str">
        <f t="shared" si="1362"/>
        <v>EXP00447</v>
      </c>
      <c r="B19694" s="3" t="s">
        <v>66</v>
      </c>
      <c r="C19694" s="4" t="str">
        <f t="shared" si="1363"/>
        <v>TCGA-THCA</v>
      </c>
      <c r="D19694" s="1" t="s">
        <v>493</v>
      </c>
      <c r="E19694" t="s">
        <v>590</v>
      </c>
      <c r="F19694" s="1">
        <v>2</v>
      </c>
      <c r="G19694" s="1" t="s">
        <v>32</v>
      </c>
      <c r="H19694" s="4" t="str">
        <f>HYPERLINK("https://portal.gdc.cancer.gov/cases/23f47401-1bab-4395-970f-4e388aab2542","TCGA-E8-A414-01A")</f>
        <v>TCGA-E8-A414-01A</v>
      </c>
      <c r="I19694" t="s">
        <v>333</v>
      </c>
      <c r="J19694" t="s">
        <v>584</v>
      </c>
      <c r="K19694" t="s">
        <v>33</v>
      </c>
      <c r="L19694" t="s">
        <v>335</v>
      </c>
      <c r="N19694" t="s">
        <v>29</v>
      </c>
    </row>
    <row r="19695" spans="1:14">
      <c r="A19695" s="4" t="str">
        <f t="shared" si="1362"/>
        <v>EXP00447</v>
      </c>
      <c r="B19695" s="3" t="s">
        <v>66</v>
      </c>
      <c r="C19695" s="4" t="str">
        <f t="shared" si="1363"/>
        <v>TCGA-THCA</v>
      </c>
      <c r="D19695" s="1" t="s">
        <v>493</v>
      </c>
      <c r="E19695" t="s">
        <v>590</v>
      </c>
      <c r="F19695" s="1">
        <v>2</v>
      </c>
      <c r="G19695" s="1" t="s">
        <v>32</v>
      </c>
      <c r="H19695" s="4" t="str">
        <f>HYPERLINK("https://portal.gdc.cancer.gov/cases/c438c562-a2b6-4ceb-b91a-7e77eb2ec962","TCGA-E8-A415-01A")</f>
        <v>TCGA-E8-A415-01A</v>
      </c>
      <c r="I19695" t="s">
        <v>333</v>
      </c>
      <c r="J19695" t="s">
        <v>584</v>
      </c>
      <c r="K19695" t="s">
        <v>33</v>
      </c>
      <c r="L19695" t="s">
        <v>335</v>
      </c>
      <c r="N19695" t="s">
        <v>29</v>
      </c>
    </row>
    <row r="19696" spans="1:14">
      <c r="A19696" s="4" t="str">
        <f t="shared" si="1362"/>
        <v>EXP00447</v>
      </c>
      <c r="B19696" s="3" t="s">
        <v>66</v>
      </c>
      <c r="C19696" s="4" t="str">
        <f t="shared" si="1363"/>
        <v>TCGA-THCA</v>
      </c>
      <c r="D19696" s="1" t="s">
        <v>493</v>
      </c>
      <c r="E19696" t="s">
        <v>590</v>
      </c>
      <c r="F19696" s="1">
        <v>2</v>
      </c>
      <c r="G19696" s="1" t="s">
        <v>32</v>
      </c>
      <c r="H19696" s="4" t="str">
        <f>HYPERLINK("https://portal.gdc.cancer.gov/cases/86b82345-6f4d-44fd-a9db-6f107de62f53","TCGA-E8-A416-01A")</f>
        <v>TCGA-E8-A416-01A</v>
      </c>
      <c r="I19696" t="s">
        <v>333</v>
      </c>
      <c r="J19696" t="s">
        <v>584</v>
      </c>
      <c r="K19696" t="s">
        <v>33</v>
      </c>
      <c r="L19696" t="s">
        <v>335</v>
      </c>
      <c r="N19696" t="s">
        <v>29</v>
      </c>
    </row>
    <row r="19697" spans="1:14">
      <c r="A19697" s="4" t="str">
        <f t="shared" ref="A19697:A19760" si="1364">HYPERLINK("http://hcmdb.i-sanger.com/experiment/details/experiment_id/EXP00447","EXP00447")</f>
        <v>EXP00447</v>
      </c>
      <c r="B19697" s="3" t="s">
        <v>66</v>
      </c>
      <c r="C19697" s="4" t="str">
        <f t="shared" si="1363"/>
        <v>TCGA-THCA</v>
      </c>
      <c r="D19697" s="1" t="s">
        <v>493</v>
      </c>
      <c r="E19697" t="s">
        <v>590</v>
      </c>
      <c r="F19697" s="1">
        <v>2</v>
      </c>
      <c r="G19697" s="1" t="s">
        <v>32</v>
      </c>
      <c r="H19697" s="4" t="str">
        <f>HYPERLINK("https://portal.gdc.cancer.gov/cases/93691bae-f1bd-437e-ae72-b50736d1e29a","TCGA-E8-A417-01A")</f>
        <v>TCGA-E8-A417-01A</v>
      </c>
      <c r="I19697" t="s">
        <v>333</v>
      </c>
      <c r="J19697" t="s">
        <v>584</v>
      </c>
      <c r="K19697" t="s">
        <v>33</v>
      </c>
      <c r="L19697" t="s">
        <v>335</v>
      </c>
      <c r="N19697" t="s">
        <v>29</v>
      </c>
    </row>
    <row r="19698" spans="1:14">
      <c r="A19698" s="4" t="str">
        <f t="shared" si="1364"/>
        <v>EXP00447</v>
      </c>
      <c r="B19698" s="3" t="s">
        <v>66</v>
      </c>
      <c r="C19698" s="4" t="str">
        <f t="shared" si="1363"/>
        <v>TCGA-THCA</v>
      </c>
      <c r="D19698" s="1" t="s">
        <v>493</v>
      </c>
      <c r="E19698" t="s">
        <v>590</v>
      </c>
      <c r="F19698" s="1">
        <v>2</v>
      </c>
      <c r="G19698" s="1" t="s">
        <v>32</v>
      </c>
      <c r="H19698" s="4" t="str">
        <f>HYPERLINK("https://portal.gdc.cancer.gov/cases/ebbd54ad-7b97-4081-ad11-7f7f3ce74eef","TCGA-E8-A418-01A")</f>
        <v>TCGA-E8-A418-01A</v>
      </c>
      <c r="I19698" t="s">
        <v>333</v>
      </c>
      <c r="J19698" t="s">
        <v>584</v>
      </c>
      <c r="K19698" t="s">
        <v>33</v>
      </c>
      <c r="L19698" t="s">
        <v>335</v>
      </c>
      <c r="N19698" t="s">
        <v>29</v>
      </c>
    </row>
    <row r="19699" spans="1:14">
      <c r="A19699" s="4" t="str">
        <f t="shared" si="1364"/>
        <v>EXP00447</v>
      </c>
      <c r="B19699" s="3" t="s">
        <v>66</v>
      </c>
      <c r="C19699" s="4" t="str">
        <f t="shared" si="1363"/>
        <v>TCGA-THCA</v>
      </c>
      <c r="D19699" s="1" t="s">
        <v>493</v>
      </c>
      <c r="E19699" t="s">
        <v>590</v>
      </c>
      <c r="F19699" s="1">
        <v>2</v>
      </c>
      <c r="G19699" s="1" t="s">
        <v>32</v>
      </c>
      <c r="H19699" s="4" t="str">
        <f>HYPERLINK("https://portal.gdc.cancer.gov/cases/a2e2fac3-cca5-4e33-aa6c-1d9d3ac3aeec","TCGA-E8-A419-01A")</f>
        <v>TCGA-E8-A419-01A</v>
      </c>
      <c r="I19699" t="s">
        <v>333</v>
      </c>
      <c r="J19699" t="s">
        <v>584</v>
      </c>
      <c r="K19699" t="s">
        <v>33</v>
      </c>
      <c r="L19699" t="s">
        <v>335</v>
      </c>
      <c r="N19699" t="s">
        <v>29</v>
      </c>
    </row>
    <row r="19700" spans="1:14">
      <c r="A19700" s="4" t="str">
        <f t="shared" si="1364"/>
        <v>EXP00447</v>
      </c>
      <c r="B19700" s="3" t="s">
        <v>66</v>
      </c>
      <c r="C19700" s="4" t="str">
        <f t="shared" si="1363"/>
        <v>TCGA-THCA</v>
      </c>
      <c r="D19700" s="1" t="s">
        <v>493</v>
      </c>
      <c r="E19700" t="s">
        <v>590</v>
      </c>
      <c r="F19700" s="1">
        <v>2</v>
      </c>
      <c r="G19700" s="1" t="s">
        <v>32</v>
      </c>
      <c r="H19700" s="4" t="str">
        <f>HYPERLINK("https://portal.gdc.cancer.gov/cases/aa3ce865-4bc1-4cca-9ba8-35ff4c5e165e","TCGA-E8-A432-01A")</f>
        <v>TCGA-E8-A432-01A</v>
      </c>
      <c r="I19700" t="s">
        <v>333</v>
      </c>
      <c r="J19700" t="s">
        <v>584</v>
      </c>
      <c r="K19700" t="s">
        <v>33</v>
      </c>
      <c r="L19700" t="s">
        <v>335</v>
      </c>
      <c r="N19700" t="s">
        <v>29</v>
      </c>
    </row>
    <row r="19701" spans="1:14">
      <c r="A19701" s="4" t="str">
        <f t="shared" si="1364"/>
        <v>EXP00447</v>
      </c>
      <c r="B19701" s="3" t="s">
        <v>66</v>
      </c>
      <c r="C19701" s="4" t="str">
        <f t="shared" ref="C19701:C19764" si="1365">HYPERLINK("https://portal.gdc.cancer.gov/projects/TCGA-THCA","TCGA-THCA")</f>
        <v>TCGA-THCA</v>
      </c>
      <c r="D19701" s="1" t="s">
        <v>493</v>
      </c>
      <c r="E19701" t="s">
        <v>590</v>
      </c>
      <c r="F19701" s="1">
        <v>2</v>
      </c>
      <c r="G19701" s="1" t="s">
        <v>32</v>
      </c>
      <c r="H19701" s="4" t="str">
        <f>HYPERLINK("https://portal.gdc.cancer.gov/cases/4be84ffe-4b12-4b71-90bb-9ea0ca6947f8","TCGA-E8-A433-01A")</f>
        <v>TCGA-E8-A433-01A</v>
      </c>
      <c r="I19701" t="s">
        <v>333</v>
      </c>
      <c r="J19701" t="s">
        <v>584</v>
      </c>
      <c r="K19701" t="s">
        <v>33</v>
      </c>
      <c r="L19701" t="s">
        <v>335</v>
      </c>
      <c r="N19701" t="s">
        <v>29</v>
      </c>
    </row>
    <row r="19702" spans="1:14">
      <c r="A19702" s="4" t="str">
        <f t="shared" si="1364"/>
        <v>EXP00447</v>
      </c>
      <c r="B19702" s="3" t="s">
        <v>66</v>
      </c>
      <c r="C19702" s="4" t="str">
        <f t="shared" si="1365"/>
        <v>TCGA-THCA</v>
      </c>
      <c r="D19702" s="1" t="s">
        <v>493</v>
      </c>
      <c r="E19702" t="s">
        <v>590</v>
      </c>
      <c r="F19702" s="1">
        <v>2</v>
      </c>
      <c r="G19702" s="1" t="s">
        <v>32</v>
      </c>
      <c r="H19702" s="4" t="str">
        <f>HYPERLINK("https://portal.gdc.cancer.gov/cases/efc46db7-f9df-494e-acca-357cb64c019a","TCGA-E8-A434-01A")</f>
        <v>TCGA-E8-A434-01A</v>
      </c>
      <c r="I19702" t="s">
        <v>333</v>
      </c>
      <c r="J19702" t="s">
        <v>584</v>
      </c>
      <c r="K19702" t="s">
        <v>33</v>
      </c>
      <c r="L19702" t="s">
        <v>335</v>
      </c>
      <c r="N19702" t="s">
        <v>29</v>
      </c>
    </row>
    <row r="19703" spans="1:14">
      <c r="A19703" s="4" t="str">
        <f t="shared" si="1364"/>
        <v>EXP00447</v>
      </c>
      <c r="B19703" s="3" t="s">
        <v>66</v>
      </c>
      <c r="C19703" s="4" t="str">
        <f t="shared" si="1365"/>
        <v>TCGA-THCA</v>
      </c>
      <c r="D19703" s="1" t="s">
        <v>493</v>
      </c>
      <c r="E19703" t="s">
        <v>590</v>
      </c>
      <c r="F19703" s="1">
        <v>2</v>
      </c>
      <c r="G19703" s="1" t="s">
        <v>32</v>
      </c>
      <c r="H19703" s="4" t="str">
        <f>HYPERLINK("https://portal.gdc.cancer.gov/cases/dff3c4f1-9009-4111-9fc2-3834f8f7dbdd","TCGA-E8-A436-01A")</f>
        <v>TCGA-E8-A436-01A</v>
      </c>
      <c r="I19703" t="s">
        <v>333</v>
      </c>
      <c r="J19703" t="s">
        <v>584</v>
      </c>
      <c r="K19703" t="s">
        <v>33</v>
      </c>
      <c r="L19703" t="s">
        <v>335</v>
      </c>
      <c r="N19703" t="s">
        <v>29</v>
      </c>
    </row>
    <row r="19704" spans="1:14">
      <c r="A19704" s="4" t="str">
        <f t="shared" si="1364"/>
        <v>EXP00447</v>
      </c>
      <c r="B19704" s="3" t="s">
        <v>66</v>
      </c>
      <c r="C19704" s="4" t="str">
        <f t="shared" si="1365"/>
        <v>TCGA-THCA</v>
      </c>
      <c r="D19704" s="1" t="s">
        <v>493</v>
      </c>
      <c r="E19704" t="s">
        <v>590</v>
      </c>
      <c r="F19704" s="1">
        <v>2</v>
      </c>
      <c r="G19704" s="1" t="s">
        <v>32</v>
      </c>
      <c r="H19704" s="4" t="str">
        <f>HYPERLINK("https://portal.gdc.cancer.gov/cases/1da4ab7d-4353-4565-a522-d2fecadd4a85","TCGA-E8-A437-01A")</f>
        <v>TCGA-E8-A437-01A</v>
      </c>
      <c r="I19704" t="s">
        <v>333</v>
      </c>
      <c r="J19704" t="s">
        <v>584</v>
      </c>
      <c r="K19704" t="s">
        <v>33</v>
      </c>
      <c r="L19704" t="s">
        <v>335</v>
      </c>
      <c r="N19704" t="s">
        <v>29</v>
      </c>
    </row>
    <row r="19705" spans="1:14">
      <c r="A19705" s="4" t="str">
        <f t="shared" si="1364"/>
        <v>EXP00447</v>
      </c>
      <c r="B19705" s="3" t="s">
        <v>66</v>
      </c>
      <c r="C19705" s="4" t="str">
        <f t="shared" si="1365"/>
        <v>TCGA-THCA</v>
      </c>
      <c r="D19705" s="1" t="s">
        <v>493</v>
      </c>
      <c r="E19705" t="s">
        <v>590</v>
      </c>
      <c r="F19705" s="1">
        <v>2</v>
      </c>
      <c r="G19705" s="1" t="s">
        <v>32</v>
      </c>
      <c r="H19705" s="4" t="str">
        <f>HYPERLINK("https://portal.gdc.cancer.gov/cases/f12fa57b-3427-45fe-994b-602f498b68da","TCGA-E8-A438-01A")</f>
        <v>TCGA-E8-A438-01A</v>
      </c>
      <c r="I19705" t="s">
        <v>333</v>
      </c>
      <c r="J19705" t="s">
        <v>584</v>
      </c>
      <c r="K19705" t="s">
        <v>33</v>
      </c>
      <c r="L19705" t="s">
        <v>335</v>
      </c>
      <c r="N19705" t="s">
        <v>29</v>
      </c>
    </row>
    <row r="19706" spans="1:14">
      <c r="A19706" s="4" t="str">
        <f t="shared" si="1364"/>
        <v>EXP00447</v>
      </c>
      <c r="B19706" s="3" t="s">
        <v>66</v>
      </c>
      <c r="C19706" s="4" t="str">
        <f t="shared" si="1365"/>
        <v>TCGA-THCA</v>
      </c>
      <c r="D19706" s="1" t="s">
        <v>493</v>
      </c>
      <c r="E19706" t="s">
        <v>590</v>
      </c>
      <c r="F19706" s="1">
        <v>2</v>
      </c>
      <c r="G19706" s="1" t="s">
        <v>32</v>
      </c>
      <c r="H19706" s="4" t="str">
        <f>HYPERLINK("https://portal.gdc.cancer.gov/cases/a552e8ab-9dec-44ea-9f02-7ca704ee8467","TCGA-E8-A44K-01A")</f>
        <v>TCGA-E8-A44K-01A</v>
      </c>
      <c r="I19706" t="s">
        <v>333</v>
      </c>
      <c r="J19706" t="s">
        <v>584</v>
      </c>
      <c r="K19706" t="s">
        <v>33</v>
      </c>
      <c r="L19706" t="s">
        <v>335</v>
      </c>
      <c r="N19706" t="s">
        <v>29</v>
      </c>
    </row>
    <row r="19707" spans="1:14">
      <c r="A19707" s="4" t="str">
        <f t="shared" si="1364"/>
        <v>EXP00447</v>
      </c>
      <c r="B19707" s="3" t="s">
        <v>66</v>
      </c>
      <c r="C19707" s="4" t="str">
        <f t="shared" si="1365"/>
        <v>TCGA-THCA</v>
      </c>
      <c r="D19707" s="1" t="s">
        <v>493</v>
      </c>
      <c r="E19707" t="s">
        <v>590</v>
      </c>
      <c r="F19707" s="1">
        <v>2</v>
      </c>
      <c r="G19707" s="1" t="s">
        <v>32</v>
      </c>
      <c r="H19707" s="4" t="str">
        <f>HYPERLINK("https://portal.gdc.cancer.gov/cases/2d633ced-ae85-462c-90e7-c1b109e084cf","TCGA-E8-A44M-01A")</f>
        <v>TCGA-E8-A44M-01A</v>
      </c>
      <c r="I19707" t="s">
        <v>333</v>
      </c>
      <c r="J19707" t="s">
        <v>584</v>
      </c>
      <c r="K19707" t="s">
        <v>33</v>
      </c>
      <c r="L19707" t="s">
        <v>335</v>
      </c>
      <c r="N19707" t="s">
        <v>29</v>
      </c>
    </row>
    <row r="19708" spans="1:14">
      <c r="A19708" s="4" t="str">
        <f t="shared" si="1364"/>
        <v>EXP00447</v>
      </c>
      <c r="B19708" s="3" t="s">
        <v>66</v>
      </c>
      <c r="C19708" s="4" t="str">
        <f t="shared" si="1365"/>
        <v>TCGA-THCA</v>
      </c>
      <c r="D19708" s="1" t="s">
        <v>493</v>
      </c>
      <c r="E19708" t="s">
        <v>590</v>
      </c>
      <c r="F19708" s="1">
        <v>2</v>
      </c>
      <c r="G19708" s="1" t="s">
        <v>32</v>
      </c>
      <c r="H19708" s="4" t="str">
        <f>HYPERLINK("https://portal.gdc.cancer.gov/cases/641ba101-135b-4395-9360-2058fabfed56","TCGA-EL-A3CL-01A")</f>
        <v>TCGA-EL-A3CL-01A</v>
      </c>
      <c r="I19708" t="s">
        <v>333</v>
      </c>
      <c r="J19708" t="s">
        <v>584</v>
      </c>
      <c r="K19708" t="s">
        <v>33</v>
      </c>
      <c r="L19708" t="s">
        <v>335</v>
      </c>
      <c r="N19708" t="s">
        <v>29</v>
      </c>
    </row>
    <row r="19709" spans="1:14">
      <c r="A19709" s="4" t="str">
        <f t="shared" si="1364"/>
        <v>EXP00447</v>
      </c>
      <c r="B19709" s="3" t="s">
        <v>66</v>
      </c>
      <c r="C19709" s="4" t="str">
        <f t="shared" si="1365"/>
        <v>TCGA-THCA</v>
      </c>
      <c r="D19709" s="1" t="s">
        <v>493</v>
      </c>
      <c r="E19709" t="s">
        <v>590</v>
      </c>
      <c r="F19709" s="1">
        <v>2</v>
      </c>
      <c r="G19709" s="1" t="s">
        <v>32</v>
      </c>
      <c r="H19709" s="4" t="str">
        <f>HYPERLINK("https://portal.gdc.cancer.gov/cases/229004af-14eb-442e-905e-61c842b3efa0","TCGA-EL-A3CM-01A")</f>
        <v>TCGA-EL-A3CM-01A</v>
      </c>
      <c r="I19709" t="s">
        <v>333</v>
      </c>
      <c r="J19709" t="s">
        <v>584</v>
      </c>
      <c r="K19709" t="s">
        <v>33</v>
      </c>
      <c r="L19709" t="s">
        <v>335</v>
      </c>
      <c r="N19709" t="s">
        <v>29</v>
      </c>
    </row>
    <row r="19710" spans="1:14">
      <c r="A19710" s="4" t="str">
        <f t="shared" si="1364"/>
        <v>EXP00447</v>
      </c>
      <c r="B19710" s="3" t="s">
        <v>66</v>
      </c>
      <c r="C19710" s="4" t="str">
        <f t="shared" si="1365"/>
        <v>TCGA-THCA</v>
      </c>
      <c r="D19710" s="1" t="s">
        <v>493</v>
      </c>
      <c r="E19710" t="s">
        <v>590</v>
      </c>
      <c r="F19710" s="1">
        <v>2</v>
      </c>
      <c r="G19710" s="1" t="s">
        <v>32</v>
      </c>
      <c r="H19710" s="4" t="str">
        <f>HYPERLINK("https://portal.gdc.cancer.gov/cases/471636d5-9eca-49df-872a-c2a2cac61838","TCGA-EL-A3CN-01A")</f>
        <v>TCGA-EL-A3CN-01A</v>
      </c>
      <c r="I19710" t="s">
        <v>333</v>
      </c>
      <c r="J19710" t="s">
        <v>584</v>
      </c>
      <c r="K19710" t="s">
        <v>33</v>
      </c>
      <c r="L19710" t="s">
        <v>335</v>
      </c>
      <c r="N19710" t="s">
        <v>29</v>
      </c>
    </row>
    <row r="19711" spans="1:14">
      <c r="A19711" s="4" t="str">
        <f t="shared" si="1364"/>
        <v>EXP00447</v>
      </c>
      <c r="B19711" s="3" t="s">
        <v>66</v>
      </c>
      <c r="C19711" s="4" t="str">
        <f t="shared" si="1365"/>
        <v>TCGA-THCA</v>
      </c>
      <c r="D19711" s="1" t="s">
        <v>493</v>
      </c>
      <c r="E19711" t="s">
        <v>590</v>
      </c>
      <c r="F19711" s="1">
        <v>2</v>
      </c>
      <c r="G19711" s="1" t="s">
        <v>32</v>
      </c>
      <c r="H19711" s="4" t="str">
        <f>HYPERLINK("https://portal.gdc.cancer.gov/cases/fd661b1b-fe0b-4ab0-ae82-76324e2f6a81","TCGA-EL-A3CO-01A")</f>
        <v>TCGA-EL-A3CO-01A</v>
      </c>
      <c r="I19711" t="s">
        <v>333</v>
      </c>
      <c r="J19711" t="s">
        <v>584</v>
      </c>
      <c r="K19711" t="s">
        <v>33</v>
      </c>
      <c r="L19711" t="s">
        <v>335</v>
      </c>
      <c r="N19711" t="s">
        <v>29</v>
      </c>
    </row>
    <row r="19712" spans="1:14">
      <c r="A19712" s="4" t="str">
        <f t="shared" si="1364"/>
        <v>EXP00447</v>
      </c>
      <c r="B19712" s="3" t="s">
        <v>66</v>
      </c>
      <c r="C19712" s="4" t="str">
        <f t="shared" si="1365"/>
        <v>TCGA-THCA</v>
      </c>
      <c r="D19712" s="1" t="s">
        <v>493</v>
      </c>
      <c r="E19712" t="s">
        <v>590</v>
      </c>
      <c r="F19712" s="1">
        <v>2</v>
      </c>
      <c r="G19712" s="1" t="s">
        <v>32</v>
      </c>
      <c r="H19712" s="4" t="str">
        <f>HYPERLINK("https://portal.gdc.cancer.gov/cases/3585ddab-fe5e-4a5a-92c7-3cbaff52af57","TCGA-EL-A3CP-01A")</f>
        <v>TCGA-EL-A3CP-01A</v>
      </c>
      <c r="I19712" t="s">
        <v>333</v>
      </c>
      <c r="J19712" t="s">
        <v>584</v>
      </c>
      <c r="K19712" t="s">
        <v>33</v>
      </c>
      <c r="L19712" t="s">
        <v>335</v>
      </c>
      <c r="N19712" t="s">
        <v>29</v>
      </c>
    </row>
    <row r="19713" spans="1:14">
      <c r="A19713" s="4" t="str">
        <f t="shared" si="1364"/>
        <v>EXP00447</v>
      </c>
      <c r="B19713" s="3" t="s">
        <v>66</v>
      </c>
      <c r="C19713" s="4" t="str">
        <f t="shared" si="1365"/>
        <v>TCGA-THCA</v>
      </c>
      <c r="D19713" s="1" t="s">
        <v>493</v>
      </c>
      <c r="E19713" t="s">
        <v>590</v>
      </c>
      <c r="F19713" s="1">
        <v>2</v>
      </c>
      <c r="G19713" s="1" t="s">
        <v>32</v>
      </c>
      <c r="H19713" s="4" t="str">
        <f>HYPERLINK("https://portal.gdc.cancer.gov/cases/258dccee-a3ce-4d4b-a60c-64f45ebfb7ad","TCGA-EL-A3CR-01A")</f>
        <v>TCGA-EL-A3CR-01A</v>
      </c>
      <c r="I19713" t="s">
        <v>333</v>
      </c>
      <c r="J19713" t="s">
        <v>584</v>
      </c>
      <c r="K19713" t="s">
        <v>33</v>
      </c>
      <c r="L19713" t="s">
        <v>335</v>
      </c>
      <c r="N19713" t="s">
        <v>29</v>
      </c>
    </row>
    <row r="19714" spans="1:14">
      <c r="A19714" s="4" t="str">
        <f t="shared" si="1364"/>
        <v>EXP00447</v>
      </c>
      <c r="B19714" s="3" t="s">
        <v>66</v>
      </c>
      <c r="C19714" s="4" t="str">
        <f t="shared" si="1365"/>
        <v>TCGA-THCA</v>
      </c>
      <c r="D19714" s="1" t="s">
        <v>493</v>
      </c>
      <c r="E19714" t="s">
        <v>590</v>
      </c>
      <c r="F19714" s="1">
        <v>2</v>
      </c>
      <c r="G19714" s="1" t="s">
        <v>32</v>
      </c>
      <c r="H19714" s="4" t="str">
        <f>HYPERLINK("https://portal.gdc.cancer.gov/cases/8b1987f7-75fd-4e24-be77-891bbd2d40a1","TCGA-EL-A3CS-01A")</f>
        <v>TCGA-EL-A3CS-01A</v>
      </c>
      <c r="I19714" t="s">
        <v>333</v>
      </c>
      <c r="J19714" t="s">
        <v>584</v>
      </c>
      <c r="K19714" t="s">
        <v>33</v>
      </c>
      <c r="L19714" t="s">
        <v>335</v>
      </c>
      <c r="N19714" t="s">
        <v>29</v>
      </c>
    </row>
    <row r="19715" spans="1:14">
      <c r="A19715" s="4" t="str">
        <f t="shared" si="1364"/>
        <v>EXP00447</v>
      </c>
      <c r="B19715" s="3" t="s">
        <v>66</v>
      </c>
      <c r="C19715" s="4" t="str">
        <f t="shared" si="1365"/>
        <v>TCGA-THCA</v>
      </c>
      <c r="D19715" s="1" t="s">
        <v>493</v>
      </c>
      <c r="E19715" t="s">
        <v>590</v>
      </c>
      <c r="F19715" s="1">
        <v>2</v>
      </c>
      <c r="G19715" s="1" t="s">
        <v>32</v>
      </c>
      <c r="H19715" s="4" t="str">
        <f>HYPERLINK("https://portal.gdc.cancer.gov/cases/4c0b29e6-8530-43d5-8e8a-efb754e83ecd","TCGA-EL-A3CT-01A")</f>
        <v>TCGA-EL-A3CT-01A</v>
      </c>
      <c r="I19715" t="s">
        <v>333</v>
      </c>
      <c r="J19715" t="s">
        <v>584</v>
      </c>
      <c r="K19715" t="s">
        <v>33</v>
      </c>
      <c r="L19715" t="s">
        <v>335</v>
      </c>
      <c r="N19715" t="s">
        <v>29</v>
      </c>
    </row>
    <row r="19716" spans="1:14">
      <c r="A19716" s="4" t="str">
        <f t="shared" si="1364"/>
        <v>EXP00447</v>
      </c>
      <c r="B19716" s="3" t="s">
        <v>66</v>
      </c>
      <c r="C19716" s="4" t="str">
        <f t="shared" si="1365"/>
        <v>TCGA-THCA</v>
      </c>
      <c r="D19716" s="1" t="s">
        <v>493</v>
      </c>
      <c r="E19716" t="s">
        <v>590</v>
      </c>
      <c r="F19716" s="1">
        <v>2</v>
      </c>
      <c r="G19716" s="1" t="s">
        <v>32</v>
      </c>
      <c r="H19716" s="4" t="str">
        <f>HYPERLINK("https://portal.gdc.cancer.gov/cases/745642a0-ddba-495b-bafc-da085552758a","TCGA-EL-A3CU-01A")</f>
        <v>TCGA-EL-A3CU-01A</v>
      </c>
      <c r="I19716" t="s">
        <v>333</v>
      </c>
      <c r="J19716" t="s">
        <v>584</v>
      </c>
      <c r="K19716" t="s">
        <v>33</v>
      </c>
      <c r="L19716" t="s">
        <v>335</v>
      </c>
      <c r="N19716" t="s">
        <v>29</v>
      </c>
    </row>
    <row r="19717" spans="1:14">
      <c r="A19717" s="4" t="str">
        <f t="shared" si="1364"/>
        <v>EXP00447</v>
      </c>
      <c r="B19717" s="3" t="s">
        <v>66</v>
      </c>
      <c r="C19717" s="4" t="str">
        <f t="shared" si="1365"/>
        <v>TCGA-THCA</v>
      </c>
      <c r="D19717" s="1" t="s">
        <v>493</v>
      </c>
      <c r="E19717" t="s">
        <v>590</v>
      </c>
      <c r="F19717" s="1">
        <v>2</v>
      </c>
      <c r="G19717" s="1" t="s">
        <v>32</v>
      </c>
      <c r="H19717" s="4" t="str">
        <f>HYPERLINK("https://portal.gdc.cancer.gov/cases/fb83f7d7-2182-4fb7-8e3e-8ad7f1feac72","TCGA-EL-A3CV-01A")</f>
        <v>TCGA-EL-A3CV-01A</v>
      </c>
      <c r="I19717" t="s">
        <v>333</v>
      </c>
      <c r="J19717" t="s">
        <v>584</v>
      </c>
      <c r="K19717" t="s">
        <v>33</v>
      </c>
      <c r="L19717" t="s">
        <v>335</v>
      </c>
      <c r="N19717" t="s">
        <v>29</v>
      </c>
    </row>
    <row r="19718" spans="1:14">
      <c r="A19718" s="4" t="str">
        <f t="shared" si="1364"/>
        <v>EXP00447</v>
      </c>
      <c r="B19718" s="3" t="s">
        <v>66</v>
      </c>
      <c r="C19718" s="4" t="str">
        <f t="shared" si="1365"/>
        <v>TCGA-THCA</v>
      </c>
      <c r="D19718" s="1" t="s">
        <v>493</v>
      </c>
      <c r="E19718" t="s">
        <v>590</v>
      </c>
      <c r="F19718" s="1">
        <v>2</v>
      </c>
      <c r="G19718" s="1" t="s">
        <v>32</v>
      </c>
      <c r="H19718" s="4" t="str">
        <f>HYPERLINK("https://portal.gdc.cancer.gov/cases/011ae7b8-5003-4fcd-9f20-906a723f2c66","TCGA-EL-A3CW-01A")</f>
        <v>TCGA-EL-A3CW-01A</v>
      </c>
      <c r="I19718" t="s">
        <v>333</v>
      </c>
      <c r="J19718" t="s">
        <v>584</v>
      </c>
      <c r="K19718" t="s">
        <v>33</v>
      </c>
      <c r="L19718" t="s">
        <v>335</v>
      </c>
      <c r="N19718" t="s">
        <v>29</v>
      </c>
    </row>
    <row r="19719" spans="1:14">
      <c r="A19719" s="4" t="str">
        <f t="shared" si="1364"/>
        <v>EXP00447</v>
      </c>
      <c r="B19719" s="3" t="s">
        <v>66</v>
      </c>
      <c r="C19719" s="4" t="str">
        <f t="shared" si="1365"/>
        <v>TCGA-THCA</v>
      </c>
      <c r="D19719" s="1" t="s">
        <v>493</v>
      </c>
      <c r="E19719" t="s">
        <v>590</v>
      </c>
      <c r="F19719" s="1">
        <v>2</v>
      </c>
      <c r="G19719" s="1" t="s">
        <v>32</v>
      </c>
      <c r="H19719" s="4" t="str">
        <f>HYPERLINK("https://portal.gdc.cancer.gov/cases/934a58af-0ffc-487e-9e95-fa7643b7d5cb","TCGA-EL-A3CX-01A")</f>
        <v>TCGA-EL-A3CX-01A</v>
      </c>
      <c r="I19719" t="s">
        <v>333</v>
      </c>
      <c r="J19719" t="s">
        <v>584</v>
      </c>
      <c r="K19719" t="s">
        <v>33</v>
      </c>
      <c r="L19719" t="s">
        <v>335</v>
      </c>
      <c r="N19719" t="s">
        <v>29</v>
      </c>
    </row>
    <row r="19720" spans="1:14">
      <c r="A19720" s="4" t="str">
        <f t="shared" si="1364"/>
        <v>EXP00447</v>
      </c>
      <c r="B19720" s="3" t="s">
        <v>66</v>
      </c>
      <c r="C19720" s="4" t="str">
        <f t="shared" si="1365"/>
        <v>TCGA-THCA</v>
      </c>
      <c r="D19720" s="1" t="s">
        <v>493</v>
      </c>
      <c r="E19720" t="s">
        <v>590</v>
      </c>
      <c r="F19720" s="1">
        <v>2</v>
      </c>
      <c r="G19720" s="1" t="s">
        <v>32</v>
      </c>
      <c r="H19720" s="4" t="str">
        <f>HYPERLINK("https://portal.gdc.cancer.gov/cases/ab17d69e-0078-4206-939e-e4784fdc9a96","TCGA-EL-A3CY-01A")</f>
        <v>TCGA-EL-A3CY-01A</v>
      </c>
      <c r="I19720" t="s">
        <v>333</v>
      </c>
      <c r="J19720" t="s">
        <v>584</v>
      </c>
      <c r="K19720" t="s">
        <v>33</v>
      </c>
      <c r="L19720" t="s">
        <v>335</v>
      </c>
      <c r="N19720" t="s">
        <v>29</v>
      </c>
    </row>
    <row r="19721" spans="1:14">
      <c r="A19721" s="4" t="str">
        <f t="shared" si="1364"/>
        <v>EXP00447</v>
      </c>
      <c r="B19721" s="3" t="s">
        <v>66</v>
      </c>
      <c r="C19721" s="4" t="str">
        <f t="shared" si="1365"/>
        <v>TCGA-THCA</v>
      </c>
      <c r="D19721" s="1" t="s">
        <v>493</v>
      </c>
      <c r="E19721" t="s">
        <v>590</v>
      </c>
      <c r="F19721" s="1">
        <v>2</v>
      </c>
      <c r="G19721" s="1" t="s">
        <v>32</v>
      </c>
      <c r="H19721" s="4" t="str">
        <f>HYPERLINK("https://portal.gdc.cancer.gov/cases/c951b786-7de3-4195-85b9-c4c19e95f546","TCGA-EL-A3CZ-01A")</f>
        <v>TCGA-EL-A3CZ-01A</v>
      </c>
      <c r="I19721" t="s">
        <v>333</v>
      </c>
      <c r="J19721" t="s">
        <v>584</v>
      </c>
      <c r="K19721" t="s">
        <v>33</v>
      </c>
      <c r="L19721" t="s">
        <v>335</v>
      </c>
      <c r="N19721" t="s">
        <v>29</v>
      </c>
    </row>
    <row r="19722" spans="1:14">
      <c r="A19722" s="4" t="str">
        <f t="shared" si="1364"/>
        <v>EXP00447</v>
      </c>
      <c r="B19722" s="3" t="s">
        <v>66</v>
      </c>
      <c r="C19722" s="4" t="str">
        <f t="shared" si="1365"/>
        <v>TCGA-THCA</v>
      </c>
      <c r="D19722" s="1" t="s">
        <v>493</v>
      </c>
      <c r="E19722" t="s">
        <v>590</v>
      </c>
      <c r="F19722" s="1">
        <v>2</v>
      </c>
      <c r="G19722" s="1" t="s">
        <v>32</v>
      </c>
      <c r="H19722" s="4" t="str">
        <f>HYPERLINK("https://portal.gdc.cancer.gov/cases/63986dd0-63ba-4ee5-aa25-8ff2cbb762d3","TCGA-EL-A3D0-01A")</f>
        <v>TCGA-EL-A3D0-01A</v>
      </c>
      <c r="I19722" t="s">
        <v>333</v>
      </c>
      <c r="J19722" t="s">
        <v>584</v>
      </c>
      <c r="K19722" t="s">
        <v>33</v>
      </c>
      <c r="L19722" t="s">
        <v>335</v>
      </c>
      <c r="N19722" t="s">
        <v>29</v>
      </c>
    </row>
    <row r="19723" spans="1:14">
      <c r="A19723" s="4" t="str">
        <f t="shared" si="1364"/>
        <v>EXP00447</v>
      </c>
      <c r="B19723" s="3" t="s">
        <v>66</v>
      </c>
      <c r="C19723" s="4" t="str">
        <f t="shared" si="1365"/>
        <v>TCGA-THCA</v>
      </c>
      <c r="D19723" s="1" t="s">
        <v>493</v>
      </c>
      <c r="E19723" t="s">
        <v>590</v>
      </c>
      <c r="F19723" s="1">
        <v>2</v>
      </c>
      <c r="G19723" s="1" t="s">
        <v>32</v>
      </c>
      <c r="H19723" s="4" t="str">
        <f>HYPERLINK("https://portal.gdc.cancer.gov/cases/bcd63672-8a22-4a30-9045-a43def5b4d6f","TCGA-EL-A3D1-01A")</f>
        <v>TCGA-EL-A3D1-01A</v>
      </c>
      <c r="I19723" t="s">
        <v>333</v>
      </c>
      <c r="J19723" t="s">
        <v>584</v>
      </c>
      <c r="K19723" t="s">
        <v>33</v>
      </c>
      <c r="L19723" t="s">
        <v>335</v>
      </c>
      <c r="N19723" t="s">
        <v>29</v>
      </c>
    </row>
    <row r="19724" spans="1:14">
      <c r="A19724" s="4" t="str">
        <f t="shared" si="1364"/>
        <v>EXP00447</v>
      </c>
      <c r="B19724" s="3" t="s">
        <v>66</v>
      </c>
      <c r="C19724" s="4" t="str">
        <f t="shared" si="1365"/>
        <v>TCGA-THCA</v>
      </c>
      <c r="D19724" s="1" t="s">
        <v>493</v>
      </c>
      <c r="E19724" t="s">
        <v>590</v>
      </c>
      <c r="F19724" s="1">
        <v>2</v>
      </c>
      <c r="G19724" s="1" t="s">
        <v>32</v>
      </c>
      <c r="H19724" s="4" t="str">
        <f>HYPERLINK("https://portal.gdc.cancer.gov/cases/5d0cc336-26f2-4cb0-aa9e-58491dda102f","TCGA-EL-A3D4-01A")</f>
        <v>TCGA-EL-A3D4-01A</v>
      </c>
      <c r="I19724" t="s">
        <v>333</v>
      </c>
      <c r="J19724" t="s">
        <v>584</v>
      </c>
      <c r="K19724" t="s">
        <v>33</v>
      </c>
      <c r="L19724" t="s">
        <v>335</v>
      </c>
      <c r="N19724" t="s">
        <v>29</v>
      </c>
    </row>
    <row r="19725" spans="1:14">
      <c r="A19725" s="4" t="str">
        <f t="shared" si="1364"/>
        <v>EXP00447</v>
      </c>
      <c r="B19725" s="3" t="s">
        <v>66</v>
      </c>
      <c r="C19725" s="4" t="str">
        <f t="shared" si="1365"/>
        <v>TCGA-THCA</v>
      </c>
      <c r="D19725" s="1" t="s">
        <v>493</v>
      </c>
      <c r="E19725" t="s">
        <v>590</v>
      </c>
      <c r="F19725" s="1">
        <v>2</v>
      </c>
      <c r="G19725" s="1" t="s">
        <v>32</v>
      </c>
      <c r="H19725" s="4" t="str">
        <f>HYPERLINK("https://portal.gdc.cancer.gov/cases/e9ccf355-e68a-489c-a914-31b766bd0aef","TCGA-EL-A3D5-01A")</f>
        <v>TCGA-EL-A3D5-01A</v>
      </c>
      <c r="I19725" t="s">
        <v>333</v>
      </c>
      <c r="J19725" t="s">
        <v>584</v>
      </c>
      <c r="K19725" t="s">
        <v>33</v>
      </c>
      <c r="L19725" t="s">
        <v>335</v>
      </c>
      <c r="N19725" t="s">
        <v>29</v>
      </c>
    </row>
    <row r="19726" spans="1:14">
      <c r="A19726" s="4" t="str">
        <f t="shared" si="1364"/>
        <v>EXP00447</v>
      </c>
      <c r="B19726" s="3" t="s">
        <v>66</v>
      </c>
      <c r="C19726" s="4" t="str">
        <f t="shared" si="1365"/>
        <v>TCGA-THCA</v>
      </c>
      <c r="D19726" s="1" t="s">
        <v>493</v>
      </c>
      <c r="E19726" t="s">
        <v>590</v>
      </c>
      <c r="F19726" s="1">
        <v>2</v>
      </c>
      <c r="G19726" s="1" t="s">
        <v>32</v>
      </c>
      <c r="H19726" s="4" t="str">
        <f>HYPERLINK("https://portal.gdc.cancer.gov/cases/2106f0cd-cb3c-4568-bdc5-197ee11f2337","TCGA-EL-A3D6-01A")</f>
        <v>TCGA-EL-A3D6-01A</v>
      </c>
      <c r="I19726" t="s">
        <v>333</v>
      </c>
      <c r="J19726" t="s">
        <v>584</v>
      </c>
      <c r="K19726" t="s">
        <v>33</v>
      </c>
      <c r="L19726" t="s">
        <v>335</v>
      </c>
      <c r="N19726" t="s">
        <v>29</v>
      </c>
    </row>
    <row r="19727" spans="1:14">
      <c r="A19727" s="4" t="str">
        <f t="shared" si="1364"/>
        <v>EXP00447</v>
      </c>
      <c r="B19727" s="3" t="s">
        <v>66</v>
      </c>
      <c r="C19727" s="4" t="str">
        <f t="shared" si="1365"/>
        <v>TCGA-THCA</v>
      </c>
      <c r="D19727" s="1" t="s">
        <v>493</v>
      </c>
      <c r="E19727" t="s">
        <v>590</v>
      </c>
      <c r="F19727" s="1">
        <v>2</v>
      </c>
      <c r="G19727" s="1" t="s">
        <v>32</v>
      </c>
      <c r="H19727" s="4" t="str">
        <f>HYPERLINK("https://portal.gdc.cancer.gov/cases/aa528913-cbbc-4e1d-b6d0-87f6a46bcbc9","TCGA-EL-A3GO-01A")</f>
        <v>TCGA-EL-A3GO-01A</v>
      </c>
      <c r="I19727" t="s">
        <v>333</v>
      </c>
      <c r="J19727" t="s">
        <v>584</v>
      </c>
      <c r="K19727" t="s">
        <v>33</v>
      </c>
      <c r="L19727" t="s">
        <v>335</v>
      </c>
      <c r="N19727" t="s">
        <v>29</v>
      </c>
    </row>
    <row r="19728" spans="1:14">
      <c r="A19728" s="4" t="str">
        <f t="shared" si="1364"/>
        <v>EXP00447</v>
      </c>
      <c r="B19728" s="3" t="s">
        <v>66</v>
      </c>
      <c r="C19728" s="4" t="str">
        <f t="shared" si="1365"/>
        <v>TCGA-THCA</v>
      </c>
      <c r="D19728" s="1" t="s">
        <v>493</v>
      </c>
      <c r="E19728" t="s">
        <v>590</v>
      </c>
      <c r="F19728" s="1">
        <v>2</v>
      </c>
      <c r="G19728" s="1" t="s">
        <v>32</v>
      </c>
      <c r="H19728" s="4" t="str">
        <f>HYPERLINK("https://portal.gdc.cancer.gov/cases/dd981e11-4b49-447e-8ebc-d9db4b55ce9b","TCGA-EL-A3GP-01A")</f>
        <v>TCGA-EL-A3GP-01A</v>
      </c>
      <c r="I19728" t="s">
        <v>333</v>
      </c>
      <c r="J19728" t="s">
        <v>584</v>
      </c>
      <c r="K19728" t="s">
        <v>33</v>
      </c>
      <c r="L19728" t="s">
        <v>335</v>
      </c>
      <c r="N19728" t="s">
        <v>29</v>
      </c>
    </row>
    <row r="19729" spans="1:14">
      <c r="A19729" s="4" t="str">
        <f t="shared" si="1364"/>
        <v>EXP00447</v>
      </c>
      <c r="B19729" s="3" t="s">
        <v>66</v>
      </c>
      <c r="C19729" s="4" t="str">
        <f t="shared" si="1365"/>
        <v>TCGA-THCA</v>
      </c>
      <c r="D19729" s="1" t="s">
        <v>493</v>
      </c>
      <c r="E19729" t="s">
        <v>590</v>
      </c>
      <c r="F19729" s="1">
        <v>2</v>
      </c>
      <c r="G19729" s="1" t="s">
        <v>32</v>
      </c>
      <c r="H19729" s="4" t="str">
        <f>HYPERLINK("https://portal.gdc.cancer.gov/cases/4e959d61-4f7f-4933-bada-d33a621d9c03","TCGA-EL-A3GQ-01A")</f>
        <v>TCGA-EL-A3GQ-01A</v>
      </c>
      <c r="I19729" t="s">
        <v>333</v>
      </c>
      <c r="J19729" t="s">
        <v>584</v>
      </c>
      <c r="K19729" t="s">
        <v>33</v>
      </c>
      <c r="L19729" t="s">
        <v>335</v>
      </c>
      <c r="N19729" t="s">
        <v>29</v>
      </c>
    </row>
    <row r="19730" spans="1:14">
      <c r="A19730" s="4" t="str">
        <f t="shared" si="1364"/>
        <v>EXP00447</v>
      </c>
      <c r="B19730" s="3" t="s">
        <v>66</v>
      </c>
      <c r="C19730" s="4" t="str">
        <f t="shared" si="1365"/>
        <v>TCGA-THCA</v>
      </c>
      <c r="D19730" s="1" t="s">
        <v>493</v>
      </c>
      <c r="E19730" t="s">
        <v>590</v>
      </c>
      <c r="F19730" s="1">
        <v>2</v>
      </c>
      <c r="G19730" s="1" t="s">
        <v>32</v>
      </c>
      <c r="H19730" s="4" t="str">
        <f>HYPERLINK("https://portal.gdc.cancer.gov/cases/b107b012-335a-4282-a7aa-273b740831f1","TCGA-EL-A3GR-01A")</f>
        <v>TCGA-EL-A3GR-01A</v>
      </c>
      <c r="I19730" t="s">
        <v>333</v>
      </c>
      <c r="J19730" t="s">
        <v>584</v>
      </c>
      <c r="K19730" t="s">
        <v>33</v>
      </c>
      <c r="L19730" t="s">
        <v>335</v>
      </c>
      <c r="N19730" t="s">
        <v>29</v>
      </c>
    </row>
    <row r="19731" spans="1:14">
      <c r="A19731" s="4" t="str">
        <f t="shared" si="1364"/>
        <v>EXP00447</v>
      </c>
      <c r="B19731" s="3" t="s">
        <v>66</v>
      </c>
      <c r="C19731" s="4" t="str">
        <f t="shared" si="1365"/>
        <v>TCGA-THCA</v>
      </c>
      <c r="D19731" s="1" t="s">
        <v>493</v>
      </c>
      <c r="E19731" t="s">
        <v>590</v>
      </c>
      <c r="F19731" s="1">
        <v>2</v>
      </c>
      <c r="G19731" s="1" t="s">
        <v>32</v>
      </c>
      <c r="H19731" s="4" t="str">
        <f>HYPERLINK("https://portal.gdc.cancer.gov/cases/24a968aa-8169-44cb-a8ac-72d7efa1fa7b","TCGA-EL-A3GS-01A")</f>
        <v>TCGA-EL-A3GS-01A</v>
      </c>
      <c r="I19731" t="s">
        <v>333</v>
      </c>
      <c r="J19731" t="s">
        <v>584</v>
      </c>
      <c r="K19731" t="s">
        <v>33</v>
      </c>
      <c r="L19731" t="s">
        <v>335</v>
      </c>
      <c r="N19731" t="s">
        <v>29</v>
      </c>
    </row>
    <row r="19732" spans="1:14">
      <c r="A19732" s="4" t="str">
        <f t="shared" si="1364"/>
        <v>EXP00447</v>
      </c>
      <c r="B19732" s="3" t="s">
        <v>66</v>
      </c>
      <c r="C19732" s="4" t="str">
        <f t="shared" si="1365"/>
        <v>TCGA-THCA</v>
      </c>
      <c r="D19732" s="1" t="s">
        <v>493</v>
      </c>
      <c r="E19732" t="s">
        <v>590</v>
      </c>
      <c r="F19732" s="1">
        <v>2</v>
      </c>
      <c r="G19732" s="1" t="s">
        <v>32</v>
      </c>
      <c r="H19732" s="4" t="str">
        <f>HYPERLINK("https://portal.gdc.cancer.gov/cases/e95c7f24-89ab-4d56-aae6-d2268888c549","TCGA-EL-A3GV-01A")</f>
        <v>TCGA-EL-A3GV-01A</v>
      </c>
      <c r="I19732" t="s">
        <v>333</v>
      </c>
      <c r="J19732" t="s">
        <v>584</v>
      </c>
      <c r="K19732" t="s">
        <v>33</v>
      </c>
      <c r="L19732" t="s">
        <v>335</v>
      </c>
      <c r="N19732" t="s">
        <v>29</v>
      </c>
    </row>
    <row r="19733" spans="1:14">
      <c r="A19733" s="4" t="str">
        <f t="shared" si="1364"/>
        <v>EXP00447</v>
      </c>
      <c r="B19733" s="3" t="s">
        <v>66</v>
      </c>
      <c r="C19733" s="4" t="str">
        <f t="shared" si="1365"/>
        <v>TCGA-THCA</v>
      </c>
      <c r="D19733" s="1" t="s">
        <v>493</v>
      </c>
      <c r="E19733" t="s">
        <v>590</v>
      </c>
      <c r="F19733" s="1">
        <v>2</v>
      </c>
      <c r="G19733" s="1" t="s">
        <v>32</v>
      </c>
      <c r="H19733" s="4" t="str">
        <f>HYPERLINK("https://portal.gdc.cancer.gov/cases/ca65a38e-8b49-4b50-908a-478b95b95c02","TCGA-EL-A3GW-01A")</f>
        <v>TCGA-EL-A3GW-01A</v>
      </c>
      <c r="I19733" t="s">
        <v>333</v>
      </c>
      <c r="J19733" t="s">
        <v>584</v>
      </c>
      <c r="K19733" t="s">
        <v>33</v>
      </c>
      <c r="L19733" t="s">
        <v>335</v>
      </c>
      <c r="N19733" t="s">
        <v>29</v>
      </c>
    </row>
    <row r="19734" spans="1:14">
      <c r="A19734" s="4" t="str">
        <f t="shared" si="1364"/>
        <v>EXP00447</v>
      </c>
      <c r="B19734" s="3" t="s">
        <v>66</v>
      </c>
      <c r="C19734" s="4" t="str">
        <f t="shared" si="1365"/>
        <v>TCGA-THCA</v>
      </c>
      <c r="D19734" s="1" t="s">
        <v>493</v>
      </c>
      <c r="E19734" t="s">
        <v>590</v>
      </c>
      <c r="F19734" s="1">
        <v>2</v>
      </c>
      <c r="G19734" s="1" t="s">
        <v>32</v>
      </c>
      <c r="H19734" s="4" t="str">
        <f>HYPERLINK("https://portal.gdc.cancer.gov/cases/856893d6-0ed7-422b-ac19-1a5871088805","TCGA-EL-A3GX-01A")</f>
        <v>TCGA-EL-A3GX-01A</v>
      </c>
      <c r="I19734" t="s">
        <v>333</v>
      </c>
      <c r="J19734" t="s">
        <v>584</v>
      </c>
      <c r="K19734" t="s">
        <v>33</v>
      </c>
      <c r="L19734" t="s">
        <v>335</v>
      </c>
      <c r="N19734" t="s">
        <v>29</v>
      </c>
    </row>
    <row r="19735" spans="1:14">
      <c r="A19735" s="4" t="str">
        <f t="shared" si="1364"/>
        <v>EXP00447</v>
      </c>
      <c r="B19735" s="3" t="s">
        <v>66</v>
      </c>
      <c r="C19735" s="4" t="str">
        <f t="shared" si="1365"/>
        <v>TCGA-THCA</v>
      </c>
      <c r="D19735" s="1" t="s">
        <v>493</v>
      </c>
      <c r="E19735" t="s">
        <v>590</v>
      </c>
      <c r="F19735" s="1">
        <v>2</v>
      </c>
      <c r="G19735" s="1" t="s">
        <v>32</v>
      </c>
      <c r="H19735" s="4" t="str">
        <f>HYPERLINK("https://portal.gdc.cancer.gov/cases/154b4e7f-06f9-4813-beab-232227229f8b","TCGA-EL-A3GY-01A")</f>
        <v>TCGA-EL-A3GY-01A</v>
      </c>
      <c r="I19735" t="s">
        <v>333</v>
      </c>
      <c r="J19735" t="s">
        <v>584</v>
      </c>
      <c r="K19735" t="s">
        <v>33</v>
      </c>
      <c r="L19735" t="s">
        <v>335</v>
      </c>
      <c r="N19735" t="s">
        <v>29</v>
      </c>
    </row>
    <row r="19736" spans="1:14">
      <c r="A19736" s="4" t="str">
        <f t="shared" si="1364"/>
        <v>EXP00447</v>
      </c>
      <c r="B19736" s="3" t="s">
        <v>66</v>
      </c>
      <c r="C19736" s="4" t="str">
        <f t="shared" si="1365"/>
        <v>TCGA-THCA</v>
      </c>
      <c r="D19736" s="1" t="s">
        <v>493</v>
      </c>
      <c r="E19736" t="s">
        <v>590</v>
      </c>
      <c r="F19736" s="1">
        <v>2</v>
      </c>
      <c r="G19736" s="1" t="s">
        <v>32</v>
      </c>
      <c r="H19736" s="4" t="str">
        <f>HYPERLINK("https://portal.gdc.cancer.gov/cases/2fa2dd09-593a-4cde-97c7-61cdb8ba2bfe","TCGA-EL-A3GZ-01A")</f>
        <v>TCGA-EL-A3GZ-01A</v>
      </c>
      <c r="I19736" t="s">
        <v>333</v>
      </c>
      <c r="J19736" t="s">
        <v>584</v>
      </c>
      <c r="K19736" t="s">
        <v>33</v>
      </c>
      <c r="L19736" t="s">
        <v>335</v>
      </c>
      <c r="N19736" t="s">
        <v>29</v>
      </c>
    </row>
    <row r="19737" spans="1:14">
      <c r="A19737" s="4" t="str">
        <f t="shared" si="1364"/>
        <v>EXP00447</v>
      </c>
      <c r="B19737" s="3" t="s">
        <v>66</v>
      </c>
      <c r="C19737" s="4" t="str">
        <f t="shared" si="1365"/>
        <v>TCGA-THCA</v>
      </c>
      <c r="D19737" s="1" t="s">
        <v>493</v>
      </c>
      <c r="E19737" t="s">
        <v>590</v>
      </c>
      <c r="F19737" s="1">
        <v>2</v>
      </c>
      <c r="G19737" s="1" t="s">
        <v>32</v>
      </c>
      <c r="H19737" s="4" t="str">
        <f>HYPERLINK("https://portal.gdc.cancer.gov/cases/8d54a2ed-03f1-4a23-bdd2-f3395f5d3716","TCGA-EL-A3H1-01A")</f>
        <v>TCGA-EL-A3H1-01A</v>
      </c>
      <c r="I19737" t="s">
        <v>333</v>
      </c>
      <c r="J19737" t="s">
        <v>584</v>
      </c>
      <c r="K19737" t="s">
        <v>33</v>
      </c>
      <c r="L19737" t="s">
        <v>335</v>
      </c>
      <c r="N19737" t="s">
        <v>29</v>
      </c>
    </row>
    <row r="19738" spans="1:14">
      <c r="A19738" s="4" t="str">
        <f t="shared" si="1364"/>
        <v>EXP00447</v>
      </c>
      <c r="B19738" s="3" t="s">
        <v>66</v>
      </c>
      <c r="C19738" s="4" t="str">
        <f t="shared" si="1365"/>
        <v>TCGA-THCA</v>
      </c>
      <c r="D19738" s="1" t="s">
        <v>493</v>
      </c>
      <c r="E19738" t="s">
        <v>590</v>
      </c>
      <c r="F19738" s="1">
        <v>2</v>
      </c>
      <c r="G19738" s="1" t="s">
        <v>32</v>
      </c>
      <c r="H19738" s="4" t="str">
        <f>HYPERLINK("https://portal.gdc.cancer.gov/cases/77200abe-4a09-4a4a-bb45-60d9b96d4998","TCGA-EL-A3H2-01A")</f>
        <v>TCGA-EL-A3H2-01A</v>
      </c>
      <c r="I19738" t="s">
        <v>333</v>
      </c>
      <c r="J19738" t="s">
        <v>584</v>
      </c>
      <c r="K19738" t="s">
        <v>33</v>
      </c>
      <c r="L19738" t="s">
        <v>335</v>
      </c>
      <c r="N19738" t="s">
        <v>29</v>
      </c>
    </row>
    <row r="19739" spans="1:14">
      <c r="A19739" s="4" t="str">
        <f t="shared" si="1364"/>
        <v>EXP00447</v>
      </c>
      <c r="B19739" s="3" t="s">
        <v>66</v>
      </c>
      <c r="C19739" s="4" t="str">
        <f t="shared" si="1365"/>
        <v>TCGA-THCA</v>
      </c>
      <c r="D19739" s="1" t="s">
        <v>493</v>
      </c>
      <c r="E19739" t="s">
        <v>590</v>
      </c>
      <c r="F19739" s="1">
        <v>2</v>
      </c>
      <c r="G19739" s="1" t="s">
        <v>32</v>
      </c>
      <c r="H19739" s="4" t="str">
        <f>HYPERLINK("https://portal.gdc.cancer.gov/cases/39d45532-d2f4-49f1-b1c6-880ff0ebe0ed","TCGA-EL-A3H3-01A")</f>
        <v>TCGA-EL-A3H3-01A</v>
      </c>
      <c r="I19739" t="s">
        <v>333</v>
      </c>
      <c r="J19739" t="s">
        <v>584</v>
      </c>
      <c r="K19739" t="s">
        <v>33</v>
      </c>
      <c r="L19739" t="s">
        <v>335</v>
      </c>
      <c r="N19739" t="s">
        <v>29</v>
      </c>
    </row>
    <row r="19740" spans="1:14">
      <c r="A19740" s="4" t="str">
        <f t="shared" si="1364"/>
        <v>EXP00447</v>
      </c>
      <c r="B19740" s="3" t="s">
        <v>66</v>
      </c>
      <c r="C19740" s="4" t="str">
        <f t="shared" si="1365"/>
        <v>TCGA-THCA</v>
      </c>
      <c r="D19740" s="1" t="s">
        <v>493</v>
      </c>
      <c r="E19740" t="s">
        <v>590</v>
      </c>
      <c r="F19740" s="1">
        <v>2</v>
      </c>
      <c r="G19740" s="1" t="s">
        <v>32</v>
      </c>
      <c r="H19740" s="4" t="str">
        <f>HYPERLINK("https://portal.gdc.cancer.gov/cases/e069dcad-2fd1-464e-a5e9-fe36f05a0446","TCGA-EL-A3H4-01A")</f>
        <v>TCGA-EL-A3H4-01A</v>
      </c>
      <c r="I19740" t="s">
        <v>333</v>
      </c>
      <c r="J19740" t="s">
        <v>584</v>
      </c>
      <c r="K19740" t="s">
        <v>33</v>
      </c>
      <c r="L19740" t="s">
        <v>335</v>
      </c>
      <c r="N19740" t="s">
        <v>29</v>
      </c>
    </row>
    <row r="19741" spans="1:14">
      <c r="A19741" s="4" t="str">
        <f t="shared" si="1364"/>
        <v>EXP00447</v>
      </c>
      <c r="B19741" s="3" t="s">
        <v>66</v>
      </c>
      <c r="C19741" s="4" t="str">
        <f t="shared" si="1365"/>
        <v>TCGA-THCA</v>
      </c>
      <c r="D19741" s="1" t="s">
        <v>493</v>
      </c>
      <c r="E19741" t="s">
        <v>590</v>
      </c>
      <c r="F19741" s="1">
        <v>2</v>
      </c>
      <c r="G19741" s="1" t="s">
        <v>32</v>
      </c>
      <c r="H19741" s="4" t="str">
        <f>HYPERLINK("https://portal.gdc.cancer.gov/cases/40a9c1d3-6629-4e22-a783-12e0d48349d1","TCGA-EL-A3H5-01A")</f>
        <v>TCGA-EL-A3H5-01A</v>
      </c>
      <c r="I19741" t="s">
        <v>333</v>
      </c>
      <c r="J19741" t="s">
        <v>584</v>
      </c>
      <c r="K19741" t="s">
        <v>33</v>
      </c>
      <c r="L19741" t="s">
        <v>335</v>
      </c>
      <c r="N19741" t="s">
        <v>29</v>
      </c>
    </row>
    <row r="19742" spans="1:14">
      <c r="A19742" s="4" t="str">
        <f t="shared" si="1364"/>
        <v>EXP00447</v>
      </c>
      <c r="B19742" s="3" t="s">
        <v>66</v>
      </c>
      <c r="C19742" s="4" t="str">
        <f t="shared" si="1365"/>
        <v>TCGA-THCA</v>
      </c>
      <c r="D19742" s="1" t="s">
        <v>493</v>
      </c>
      <c r="E19742" t="s">
        <v>590</v>
      </c>
      <c r="F19742" s="1">
        <v>2</v>
      </c>
      <c r="G19742" s="1" t="s">
        <v>32</v>
      </c>
      <c r="H19742" s="4" t="str">
        <f>HYPERLINK("https://portal.gdc.cancer.gov/cases/faa51172-60ec-48d8-9224-36bfda1d27e0","TCGA-EL-A3H7-01A")</f>
        <v>TCGA-EL-A3H7-01A</v>
      </c>
      <c r="I19742" t="s">
        <v>333</v>
      </c>
      <c r="J19742" t="s">
        <v>584</v>
      </c>
      <c r="K19742" t="s">
        <v>33</v>
      </c>
      <c r="L19742" t="s">
        <v>335</v>
      </c>
      <c r="N19742" t="s">
        <v>29</v>
      </c>
    </row>
    <row r="19743" spans="1:14">
      <c r="A19743" s="4" t="str">
        <f t="shared" si="1364"/>
        <v>EXP00447</v>
      </c>
      <c r="B19743" s="3" t="s">
        <v>66</v>
      </c>
      <c r="C19743" s="4" t="str">
        <f t="shared" si="1365"/>
        <v>TCGA-THCA</v>
      </c>
      <c r="D19743" s="1" t="s">
        <v>493</v>
      </c>
      <c r="E19743" t="s">
        <v>590</v>
      </c>
      <c r="F19743" s="1">
        <v>2</v>
      </c>
      <c r="G19743" s="1" t="s">
        <v>32</v>
      </c>
      <c r="H19743" s="4" t="str">
        <f>HYPERLINK("https://portal.gdc.cancer.gov/cases/f9deeda6-8f81-441a-9c47-24c2eefd049a","TCGA-EL-A3H8-01A")</f>
        <v>TCGA-EL-A3H8-01A</v>
      </c>
      <c r="I19743" t="s">
        <v>333</v>
      </c>
      <c r="J19743" t="s">
        <v>584</v>
      </c>
      <c r="K19743" t="s">
        <v>33</v>
      </c>
      <c r="L19743" t="s">
        <v>335</v>
      </c>
      <c r="N19743" t="s">
        <v>29</v>
      </c>
    </row>
    <row r="19744" spans="1:14">
      <c r="A19744" s="4" t="str">
        <f t="shared" si="1364"/>
        <v>EXP00447</v>
      </c>
      <c r="B19744" s="3" t="s">
        <v>66</v>
      </c>
      <c r="C19744" s="4" t="str">
        <f t="shared" si="1365"/>
        <v>TCGA-THCA</v>
      </c>
      <c r="D19744" s="1" t="s">
        <v>493</v>
      </c>
      <c r="E19744" t="s">
        <v>590</v>
      </c>
      <c r="F19744" s="1">
        <v>2</v>
      </c>
      <c r="G19744" s="1" t="s">
        <v>32</v>
      </c>
      <c r="H19744" s="4" t="str">
        <f>HYPERLINK("https://portal.gdc.cancer.gov/cases/ef3dd880-7be4-46a8-93c2-7cba1a9cd24d","TCGA-EL-A3MW-01A")</f>
        <v>TCGA-EL-A3MW-01A</v>
      </c>
      <c r="I19744" t="s">
        <v>333</v>
      </c>
      <c r="J19744" t="s">
        <v>584</v>
      </c>
      <c r="K19744" t="s">
        <v>33</v>
      </c>
      <c r="L19744" t="s">
        <v>335</v>
      </c>
      <c r="N19744" t="s">
        <v>29</v>
      </c>
    </row>
    <row r="19745" spans="1:14">
      <c r="A19745" s="4" t="str">
        <f t="shared" si="1364"/>
        <v>EXP00447</v>
      </c>
      <c r="B19745" s="3" t="s">
        <v>66</v>
      </c>
      <c r="C19745" s="4" t="str">
        <f t="shared" si="1365"/>
        <v>TCGA-THCA</v>
      </c>
      <c r="D19745" s="1" t="s">
        <v>493</v>
      </c>
      <c r="E19745" t="s">
        <v>590</v>
      </c>
      <c r="F19745" s="1">
        <v>2</v>
      </c>
      <c r="G19745" s="1" t="s">
        <v>32</v>
      </c>
      <c r="H19745" s="4" t="str">
        <f>HYPERLINK("https://portal.gdc.cancer.gov/cases/7746be87-7ad0-48a7-84fb-08a81b220bdb","TCGA-EL-A3MY-01A")</f>
        <v>TCGA-EL-A3MY-01A</v>
      </c>
      <c r="I19745" t="s">
        <v>333</v>
      </c>
      <c r="J19745" t="s">
        <v>584</v>
      </c>
      <c r="K19745" t="s">
        <v>33</v>
      </c>
      <c r="L19745" t="s">
        <v>335</v>
      </c>
      <c r="N19745" t="s">
        <v>29</v>
      </c>
    </row>
    <row r="19746" spans="1:14">
      <c r="A19746" s="4" t="str">
        <f t="shared" si="1364"/>
        <v>EXP00447</v>
      </c>
      <c r="B19746" s="3" t="s">
        <v>66</v>
      </c>
      <c r="C19746" s="4" t="str">
        <f t="shared" si="1365"/>
        <v>TCGA-THCA</v>
      </c>
      <c r="D19746" s="1" t="s">
        <v>493</v>
      </c>
      <c r="E19746" t="s">
        <v>590</v>
      </c>
      <c r="F19746" s="1">
        <v>2</v>
      </c>
      <c r="G19746" s="1" t="s">
        <v>32</v>
      </c>
      <c r="H19746" s="4" t="str">
        <f>HYPERLINK("https://portal.gdc.cancer.gov/cases/f82f9ae8-e106-4c61-941c-3614d51b0f41","TCGA-EL-A3MZ-01A")</f>
        <v>TCGA-EL-A3MZ-01A</v>
      </c>
      <c r="I19746" t="s">
        <v>333</v>
      </c>
      <c r="J19746" t="s">
        <v>584</v>
      </c>
      <c r="K19746" t="s">
        <v>33</v>
      </c>
      <c r="L19746" t="s">
        <v>335</v>
      </c>
      <c r="N19746" t="s">
        <v>29</v>
      </c>
    </row>
    <row r="19747" spans="1:14">
      <c r="A19747" s="4" t="str">
        <f t="shared" si="1364"/>
        <v>EXP00447</v>
      </c>
      <c r="B19747" s="3" t="s">
        <v>66</v>
      </c>
      <c r="C19747" s="4" t="str">
        <f t="shared" si="1365"/>
        <v>TCGA-THCA</v>
      </c>
      <c r="D19747" s="1" t="s">
        <v>493</v>
      </c>
      <c r="E19747" t="s">
        <v>590</v>
      </c>
      <c r="F19747" s="1">
        <v>2</v>
      </c>
      <c r="G19747" s="1" t="s">
        <v>32</v>
      </c>
      <c r="H19747" s="4" t="str">
        <f>HYPERLINK("https://portal.gdc.cancer.gov/cases/34d4cc10-b868-4e85-96a5-8680fc729e34","TCGA-EL-A3N2-01A")</f>
        <v>TCGA-EL-A3N2-01A</v>
      </c>
      <c r="I19747" t="s">
        <v>333</v>
      </c>
      <c r="J19747" t="s">
        <v>584</v>
      </c>
      <c r="K19747" t="s">
        <v>33</v>
      </c>
      <c r="L19747" t="s">
        <v>335</v>
      </c>
      <c r="N19747" t="s">
        <v>29</v>
      </c>
    </row>
    <row r="19748" spans="1:14">
      <c r="A19748" s="4" t="str">
        <f t="shared" si="1364"/>
        <v>EXP00447</v>
      </c>
      <c r="B19748" s="3" t="s">
        <v>66</v>
      </c>
      <c r="C19748" s="4" t="str">
        <f t="shared" si="1365"/>
        <v>TCGA-THCA</v>
      </c>
      <c r="D19748" s="1" t="s">
        <v>493</v>
      </c>
      <c r="E19748" t="s">
        <v>590</v>
      </c>
      <c r="F19748" s="1">
        <v>2</v>
      </c>
      <c r="G19748" s="1" t="s">
        <v>32</v>
      </c>
      <c r="H19748" s="4" t="str">
        <f>HYPERLINK("https://portal.gdc.cancer.gov/cases/00a02e62-e1ab-467a-91b3-5f526dd2251a","TCGA-EL-A3N3-01A")</f>
        <v>TCGA-EL-A3N3-01A</v>
      </c>
      <c r="I19748" t="s">
        <v>333</v>
      </c>
      <c r="J19748" t="s">
        <v>584</v>
      </c>
      <c r="K19748" t="s">
        <v>33</v>
      </c>
      <c r="L19748" t="s">
        <v>335</v>
      </c>
      <c r="N19748" t="s">
        <v>29</v>
      </c>
    </row>
    <row r="19749" spans="1:14">
      <c r="A19749" s="4" t="str">
        <f t="shared" si="1364"/>
        <v>EXP00447</v>
      </c>
      <c r="B19749" s="3" t="s">
        <v>66</v>
      </c>
      <c r="C19749" s="4" t="str">
        <f t="shared" si="1365"/>
        <v>TCGA-THCA</v>
      </c>
      <c r="D19749" s="1" t="s">
        <v>493</v>
      </c>
      <c r="E19749" t="s">
        <v>590</v>
      </c>
      <c r="F19749" s="1">
        <v>2</v>
      </c>
      <c r="G19749" s="1" t="s">
        <v>32</v>
      </c>
      <c r="H19749" s="4" t="str">
        <f>HYPERLINK("https://portal.gdc.cancer.gov/cases/861f94ce-45ff-4588-addb-e1ea48878c2e","TCGA-EL-A3T0-01A")</f>
        <v>TCGA-EL-A3T0-01A</v>
      </c>
      <c r="I19749" t="s">
        <v>333</v>
      </c>
      <c r="J19749" t="s">
        <v>584</v>
      </c>
      <c r="K19749" t="s">
        <v>33</v>
      </c>
      <c r="L19749" t="s">
        <v>335</v>
      </c>
      <c r="N19749" t="s">
        <v>29</v>
      </c>
    </row>
    <row r="19750" spans="1:14">
      <c r="A19750" s="4" t="str">
        <f t="shared" si="1364"/>
        <v>EXP00447</v>
      </c>
      <c r="B19750" s="3" t="s">
        <v>66</v>
      </c>
      <c r="C19750" s="4" t="str">
        <f t="shared" si="1365"/>
        <v>TCGA-THCA</v>
      </c>
      <c r="D19750" s="1" t="s">
        <v>493</v>
      </c>
      <c r="E19750" t="s">
        <v>590</v>
      </c>
      <c r="F19750" s="1">
        <v>2</v>
      </c>
      <c r="G19750" s="1" t="s">
        <v>32</v>
      </c>
      <c r="H19750" s="4" t="str">
        <f>HYPERLINK("https://portal.gdc.cancer.gov/cases/97d0e1bb-1459-4124-b25a-48195f2ad8b5","TCGA-EL-A3T1-01A")</f>
        <v>TCGA-EL-A3T1-01A</v>
      </c>
      <c r="I19750" t="s">
        <v>333</v>
      </c>
      <c r="J19750" t="s">
        <v>584</v>
      </c>
      <c r="K19750" t="s">
        <v>33</v>
      </c>
      <c r="L19750" t="s">
        <v>335</v>
      </c>
      <c r="N19750" t="s">
        <v>29</v>
      </c>
    </row>
    <row r="19751" spans="1:14">
      <c r="A19751" s="4" t="str">
        <f t="shared" si="1364"/>
        <v>EXP00447</v>
      </c>
      <c r="B19751" s="3" t="s">
        <v>66</v>
      </c>
      <c r="C19751" s="4" t="str">
        <f t="shared" si="1365"/>
        <v>TCGA-THCA</v>
      </c>
      <c r="D19751" s="1" t="s">
        <v>493</v>
      </c>
      <c r="E19751" t="s">
        <v>590</v>
      </c>
      <c r="F19751" s="1">
        <v>2</v>
      </c>
      <c r="G19751" s="1" t="s">
        <v>32</v>
      </c>
      <c r="H19751" s="4" t="str">
        <f>HYPERLINK("https://portal.gdc.cancer.gov/cases/8a476795-0e05-4da6-bbe1-ff7304da1b39","TCGA-EL-A3T2-01A")</f>
        <v>TCGA-EL-A3T2-01A</v>
      </c>
      <c r="I19751" t="s">
        <v>333</v>
      </c>
      <c r="J19751" t="s">
        <v>584</v>
      </c>
      <c r="K19751" t="s">
        <v>33</v>
      </c>
      <c r="L19751" t="s">
        <v>335</v>
      </c>
      <c r="N19751" t="s">
        <v>29</v>
      </c>
    </row>
    <row r="19752" spans="1:14">
      <c r="A19752" s="4" t="str">
        <f t="shared" si="1364"/>
        <v>EXP00447</v>
      </c>
      <c r="B19752" s="3" t="s">
        <v>66</v>
      </c>
      <c r="C19752" s="4" t="str">
        <f t="shared" si="1365"/>
        <v>TCGA-THCA</v>
      </c>
      <c r="D19752" s="1" t="s">
        <v>493</v>
      </c>
      <c r="E19752" t="s">
        <v>590</v>
      </c>
      <c r="F19752" s="1">
        <v>2</v>
      </c>
      <c r="G19752" s="1" t="s">
        <v>32</v>
      </c>
      <c r="H19752" s="4" t="str">
        <f>HYPERLINK("https://portal.gdc.cancer.gov/cases/6435ea21-7214-40c5-9ccb-a1f22685a728","TCGA-EL-A3T3-01A")</f>
        <v>TCGA-EL-A3T3-01A</v>
      </c>
      <c r="I19752" t="s">
        <v>333</v>
      </c>
      <c r="J19752" t="s">
        <v>584</v>
      </c>
      <c r="K19752" t="s">
        <v>33</v>
      </c>
      <c r="L19752" t="s">
        <v>335</v>
      </c>
      <c r="N19752" t="s">
        <v>29</v>
      </c>
    </row>
    <row r="19753" spans="1:14">
      <c r="A19753" s="4" t="str">
        <f t="shared" si="1364"/>
        <v>EXP00447</v>
      </c>
      <c r="B19753" s="3" t="s">
        <v>66</v>
      </c>
      <c r="C19753" s="4" t="str">
        <f t="shared" si="1365"/>
        <v>TCGA-THCA</v>
      </c>
      <c r="D19753" s="1" t="s">
        <v>493</v>
      </c>
      <c r="E19753" t="s">
        <v>590</v>
      </c>
      <c r="F19753" s="1">
        <v>2</v>
      </c>
      <c r="G19753" s="1" t="s">
        <v>32</v>
      </c>
      <c r="H19753" s="4" t="str">
        <f>HYPERLINK("https://portal.gdc.cancer.gov/cases/90507baa-b716-4bcf-a18e-9d8ae97d809a","TCGA-EL-A3T6-01A")</f>
        <v>TCGA-EL-A3T6-01A</v>
      </c>
      <c r="I19753" t="s">
        <v>333</v>
      </c>
      <c r="J19753" t="s">
        <v>584</v>
      </c>
      <c r="K19753" t="s">
        <v>33</v>
      </c>
      <c r="L19753" t="s">
        <v>335</v>
      </c>
      <c r="N19753" t="s">
        <v>29</v>
      </c>
    </row>
    <row r="19754" spans="1:14">
      <c r="A19754" s="4" t="str">
        <f t="shared" si="1364"/>
        <v>EXP00447</v>
      </c>
      <c r="B19754" s="3" t="s">
        <v>66</v>
      </c>
      <c r="C19754" s="4" t="str">
        <f t="shared" si="1365"/>
        <v>TCGA-THCA</v>
      </c>
      <c r="D19754" s="1" t="s">
        <v>493</v>
      </c>
      <c r="E19754" t="s">
        <v>590</v>
      </c>
      <c r="F19754" s="1">
        <v>2</v>
      </c>
      <c r="G19754" s="1" t="s">
        <v>32</v>
      </c>
      <c r="H19754" s="4" t="str">
        <f>HYPERLINK("https://portal.gdc.cancer.gov/cases/b1640709-8b2f-4cca-a2c0-55a1b4a1884b","TCGA-EL-A3T7-01A")</f>
        <v>TCGA-EL-A3T7-01A</v>
      </c>
      <c r="I19754" t="s">
        <v>333</v>
      </c>
      <c r="J19754" t="s">
        <v>584</v>
      </c>
      <c r="K19754" t="s">
        <v>33</v>
      </c>
      <c r="L19754" t="s">
        <v>335</v>
      </c>
      <c r="N19754" t="s">
        <v>29</v>
      </c>
    </row>
    <row r="19755" spans="1:14">
      <c r="A19755" s="4" t="str">
        <f t="shared" si="1364"/>
        <v>EXP00447</v>
      </c>
      <c r="B19755" s="3" t="s">
        <v>66</v>
      </c>
      <c r="C19755" s="4" t="str">
        <f t="shared" si="1365"/>
        <v>TCGA-THCA</v>
      </c>
      <c r="D19755" s="1" t="s">
        <v>493</v>
      </c>
      <c r="E19755" t="s">
        <v>590</v>
      </c>
      <c r="F19755" s="1">
        <v>2</v>
      </c>
      <c r="G19755" s="1" t="s">
        <v>32</v>
      </c>
      <c r="H19755" s="4" t="str">
        <f>HYPERLINK("https://portal.gdc.cancer.gov/cases/989e9202-c08e-4bbf-85b3-1e278a475cb7","TCGA-EL-A3T8-01A")</f>
        <v>TCGA-EL-A3T8-01A</v>
      </c>
      <c r="I19755" t="s">
        <v>333</v>
      </c>
      <c r="J19755" t="s">
        <v>584</v>
      </c>
      <c r="K19755" t="s">
        <v>33</v>
      </c>
      <c r="L19755" t="s">
        <v>335</v>
      </c>
      <c r="N19755" t="s">
        <v>29</v>
      </c>
    </row>
    <row r="19756" spans="1:14">
      <c r="A19756" s="4" t="str">
        <f t="shared" si="1364"/>
        <v>EXP00447</v>
      </c>
      <c r="B19756" s="3" t="s">
        <v>66</v>
      </c>
      <c r="C19756" s="4" t="str">
        <f t="shared" si="1365"/>
        <v>TCGA-THCA</v>
      </c>
      <c r="D19756" s="1" t="s">
        <v>493</v>
      </c>
      <c r="E19756" t="s">
        <v>590</v>
      </c>
      <c r="F19756" s="1">
        <v>2</v>
      </c>
      <c r="G19756" s="1" t="s">
        <v>32</v>
      </c>
      <c r="H19756" s="4" t="str">
        <f>HYPERLINK("https://portal.gdc.cancer.gov/cases/8a233b01-2959-467f-8950-02be16309156","TCGA-EL-A3T9-01A")</f>
        <v>TCGA-EL-A3T9-01A</v>
      </c>
      <c r="I19756" t="s">
        <v>333</v>
      </c>
      <c r="J19756" t="s">
        <v>584</v>
      </c>
      <c r="K19756" t="s">
        <v>33</v>
      </c>
      <c r="L19756" t="s">
        <v>335</v>
      </c>
      <c r="N19756" t="s">
        <v>29</v>
      </c>
    </row>
    <row r="19757" spans="1:14">
      <c r="A19757" s="4" t="str">
        <f t="shared" si="1364"/>
        <v>EXP00447</v>
      </c>
      <c r="B19757" s="3" t="s">
        <v>66</v>
      </c>
      <c r="C19757" s="4" t="str">
        <f t="shared" si="1365"/>
        <v>TCGA-THCA</v>
      </c>
      <c r="D19757" s="1" t="s">
        <v>493</v>
      </c>
      <c r="E19757" t="s">
        <v>590</v>
      </c>
      <c r="F19757" s="1">
        <v>2</v>
      </c>
      <c r="G19757" s="1" t="s">
        <v>32</v>
      </c>
      <c r="H19757" s="4" t="str">
        <f>HYPERLINK("https://portal.gdc.cancer.gov/cases/d4355111-3abb-40f0-bdb7-b9eaa39dc771","TCGA-EL-A3TA-01A")</f>
        <v>TCGA-EL-A3TA-01A</v>
      </c>
      <c r="I19757" t="s">
        <v>333</v>
      </c>
      <c r="J19757" t="s">
        <v>584</v>
      </c>
      <c r="K19757" t="s">
        <v>33</v>
      </c>
      <c r="L19757" t="s">
        <v>335</v>
      </c>
      <c r="N19757" t="s">
        <v>29</v>
      </c>
    </row>
    <row r="19758" spans="1:14">
      <c r="A19758" s="4" t="str">
        <f t="shared" si="1364"/>
        <v>EXP00447</v>
      </c>
      <c r="B19758" s="3" t="s">
        <v>66</v>
      </c>
      <c r="C19758" s="4" t="str">
        <f t="shared" si="1365"/>
        <v>TCGA-THCA</v>
      </c>
      <c r="D19758" s="1" t="s">
        <v>493</v>
      </c>
      <c r="E19758" t="s">
        <v>590</v>
      </c>
      <c r="F19758" s="1">
        <v>2</v>
      </c>
      <c r="G19758" s="1" t="s">
        <v>32</v>
      </c>
      <c r="H19758" s="4" t="str">
        <f>HYPERLINK("https://portal.gdc.cancer.gov/cases/a09d0be0-fd41-4b30-b488-9a9f2abef8e7","TCGA-EL-A3TB-01A")</f>
        <v>TCGA-EL-A3TB-01A</v>
      </c>
      <c r="I19758" t="s">
        <v>333</v>
      </c>
      <c r="J19758" t="s">
        <v>584</v>
      </c>
      <c r="K19758" t="s">
        <v>33</v>
      </c>
      <c r="L19758" t="s">
        <v>335</v>
      </c>
      <c r="N19758" t="s">
        <v>29</v>
      </c>
    </row>
    <row r="19759" spans="1:14">
      <c r="A19759" s="4" t="str">
        <f t="shared" si="1364"/>
        <v>EXP00447</v>
      </c>
      <c r="B19759" s="3" t="s">
        <v>66</v>
      </c>
      <c r="C19759" s="4" t="str">
        <f t="shared" si="1365"/>
        <v>TCGA-THCA</v>
      </c>
      <c r="D19759" s="1" t="s">
        <v>493</v>
      </c>
      <c r="E19759" t="s">
        <v>590</v>
      </c>
      <c r="F19759" s="1">
        <v>2</v>
      </c>
      <c r="G19759" s="1" t="s">
        <v>32</v>
      </c>
      <c r="H19759" s="4" t="str">
        <f>HYPERLINK("https://portal.gdc.cancer.gov/cases/286c69b0-75ba-48d6-a26b-26077f101bbb","TCGA-EL-A3ZG-01A")</f>
        <v>TCGA-EL-A3ZG-01A</v>
      </c>
      <c r="I19759" t="s">
        <v>333</v>
      </c>
      <c r="J19759" t="s">
        <v>584</v>
      </c>
      <c r="K19759" t="s">
        <v>33</v>
      </c>
      <c r="L19759" t="s">
        <v>335</v>
      </c>
      <c r="N19759" t="s">
        <v>29</v>
      </c>
    </row>
    <row r="19760" spans="1:14">
      <c r="A19760" s="4" t="str">
        <f t="shared" si="1364"/>
        <v>EXP00447</v>
      </c>
      <c r="B19760" s="3" t="s">
        <v>66</v>
      </c>
      <c r="C19760" s="4" t="str">
        <f t="shared" si="1365"/>
        <v>TCGA-THCA</v>
      </c>
      <c r="D19760" s="1" t="s">
        <v>493</v>
      </c>
      <c r="E19760" t="s">
        <v>590</v>
      </c>
      <c r="F19760" s="1">
        <v>2</v>
      </c>
      <c r="G19760" s="1" t="s">
        <v>32</v>
      </c>
      <c r="H19760" s="4" t="str">
        <f>HYPERLINK("https://portal.gdc.cancer.gov/cases/149b46a3-75de-44e1-ba73-bdc4ff379c7f","TCGA-EL-A3ZH-01A")</f>
        <v>TCGA-EL-A3ZH-01A</v>
      </c>
      <c r="I19760" t="s">
        <v>333</v>
      </c>
      <c r="J19760" t="s">
        <v>584</v>
      </c>
      <c r="K19760" t="s">
        <v>33</v>
      </c>
      <c r="L19760" t="s">
        <v>335</v>
      </c>
      <c r="N19760" t="s">
        <v>29</v>
      </c>
    </row>
    <row r="19761" spans="1:14">
      <c r="A19761" s="4" t="str">
        <f t="shared" ref="A19761:A19824" si="1366">HYPERLINK("http://hcmdb.i-sanger.com/experiment/details/experiment_id/EXP00447","EXP00447")</f>
        <v>EXP00447</v>
      </c>
      <c r="B19761" s="3" t="s">
        <v>66</v>
      </c>
      <c r="C19761" s="4" t="str">
        <f t="shared" si="1365"/>
        <v>TCGA-THCA</v>
      </c>
      <c r="D19761" s="1" t="s">
        <v>493</v>
      </c>
      <c r="E19761" t="s">
        <v>590</v>
      </c>
      <c r="F19761" s="1">
        <v>2</v>
      </c>
      <c r="G19761" s="1" t="s">
        <v>32</v>
      </c>
      <c r="H19761" s="4" t="str">
        <f>HYPERLINK("https://portal.gdc.cancer.gov/cases/3d8b7654-b403-4360-80dc-8273ca90c2dc","TCGA-EL-A3ZK-01A")</f>
        <v>TCGA-EL-A3ZK-01A</v>
      </c>
      <c r="I19761" t="s">
        <v>333</v>
      </c>
      <c r="J19761" t="s">
        <v>584</v>
      </c>
      <c r="K19761" t="s">
        <v>33</v>
      </c>
      <c r="L19761" t="s">
        <v>335</v>
      </c>
      <c r="N19761" t="s">
        <v>29</v>
      </c>
    </row>
    <row r="19762" spans="1:14">
      <c r="A19762" s="4" t="str">
        <f t="shared" si="1366"/>
        <v>EXP00447</v>
      </c>
      <c r="B19762" s="3" t="s">
        <v>66</v>
      </c>
      <c r="C19762" s="4" t="str">
        <f t="shared" si="1365"/>
        <v>TCGA-THCA</v>
      </c>
      <c r="D19762" s="1" t="s">
        <v>493</v>
      </c>
      <c r="E19762" t="s">
        <v>590</v>
      </c>
      <c r="F19762" s="1">
        <v>2</v>
      </c>
      <c r="G19762" s="1" t="s">
        <v>32</v>
      </c>
      <c r="H19762" s="4" t="str">
        <f>HYPERLINK("https://portal.gdc.cancer.gov/cases/e2475d48-628b-4095-b101-865d79a4b0ed","TCGA-EL-A3ZL-01A")</f>
        <v>TCGA-EL-A3ZL-01A</v>
      </c>
      <c r="I19762" t="s">
        <v>333</v>
      </c>
      <c r="J19762" t="s">
        <v>584</v>
      </c>
      <c r="K19762" t="s">
        <v>33</v>
      </c>
      <c r="L19762" t="s">
        <v>335</v>
      </c>
      <c r="N19762" t="s">
        <v>29</v>
      </c>
    </row>
    <row r="19763" spans="1:14">
      <c r="A19763" s="4" t="str">
        <f t="shared" si="1366"/>
        <v>EXP00447</v>
      </c>
      <c r="B19763" s="3" t="s">
        <v>66</v>
      </c>
      <c r="C19763" s="4" t="str">
        <f t="shared" si="1365"/>
        <v>TCGA-THCA</v>
      </c>
      <c r="D19763" s="1" t="s">
        <v>493</v>
      </c>
      <c r="E19763" t="s">
        <v>590</v>
      </c>
      <c r="F19763" s="1">
        <v>2</v>
      </c>
      <c r="G19763" s="1" t="s">
        <v>32</v>
      </c>
      <c r="H19763" s="4" t="str">
        <f>HYPERLINK("https://portal.gdc.cancer.gov/cases/04dc8ee3-ec93-4b56-a546-f96746f8122f","TCGA-EL-A3ZM-01A")</f>
        <v>TCGA-EL-A3ZM-01A</v>
      </c>
      <c r="I19763" t="s">
        <v>333</v>
      </c>
      <c r="J19763" t="s">
        <v>584</v>
      </c>
      <c r="K19763" t="s">
        <v>33</v>
      </c>
      <c r="L19763" t="s">
        <v>335</v>
      </c>
      <c r="N19763" t="s">
        <v>29</v>
      </c>
    </row>
    <row r="19764" spans="1:14">
      <c r="A19764" s="4" t="str">
        <f t="shared" si="1366"/>
        <v>EXP00447</v>
      </c>
      <c r="B19764" s="3" t="s">
        <v>66</v>
      </c>
      <c r="C19764" s="4" t="str">
        <f t="shared" si="1365"/>
        <v>TCGA-THCA</v>
      </c>
      <c r="D19764" s="1" t="s">
        <v>493</v>
      </c>
      <c r="E19764" t="s">
        <v>590</v>
      </c>
      <c r="F19764" s="1">
        <v>2</v>
      </c>
      <c r="G19764" s="1" t="s">
        <v>32</v>
      </c>
      <c r="H19764" s="4" t="str">
        <f>HYPERLINK("https://portal.gdc.cancer.gov/cases/1f3915cb-718c-42ae-ab0a-ce62b8664995","TCGA-EL-A3ZN-01A")</f>
        <v>TCGA-EL-A3ZN-01A</v>
      </c>
      <c r="I19764" t="s">
        <v>333</v>
      </c>
      <c r="J19764" t="s">
        <v>584</v>
      </c>
      <c r="K19764" t="s">
        <v>33</v>
      </c>
      <c r="L19764" t="s">
        <v>335</v>
      </c>
      <c r="N19764" t="s">
        <v>29</v>
      </c>
    </row>
    <row r="19765" spans="1:14">
      <c r="A19765" s="4" t="str">
        <f t="shared" si="1366"/>
        <v>EXP00447</v>
      </c>
      <c r="B19765" s="3" t="s">
        <v>66</v>
      </c>
      <c r="C19765" s="4" t="str">
        <f t="shared" ref="C19765:C19828" si="1367">HYPERLINK("https://portal.gdc.cancer.gov/projects/TCGA-THCA","TCGA-THCA")</f>
        <v>TCGA-THCA</v>
      </c>
      <c r="D19765" s="1" t="s">
        <v>493</v>
      </c>
      <c r="E19765" t="s">
        <v>590</v>
      </c>
      <c r="F19765" s="1">
        <v>2</v>
      </c>
      <c r="G19765" s="1" t="s">
        <v>32</v>
      </c>
      <c r="H19765" s="4" t="str">
        <f>HYPERLINK("https://portal.gdc.cancer.gov/cases/3bfa52af-cb40-45d8-9bdc-591985aae7fb","TCGA-EL-A3ZO-01A")</f>
        <v>TCGA-EL-A3ZO-01A</v>
      </c>
      <c r="I19765" t="s">
        <v>333</v>
      </c>
      <c r="J19765" t="s">
        <v>584</v>
      </c>
      <c r="K19765" t="s">
        <v>33</v>
      </c>
      <c r="L19765" t="s">
        <v>335</v>
      </c>
      <c r="N19765" t="s">
        <v>29</v>
      </c>
    </row>
    <row r="19766" spans="1:14">
      <c r="A19766" s="4" t="str">
        <f t="shared" si="1366"/>
        <v>EXP00447</v>
      </c>
      <c r="B19766" s="3" t="s">
        <v>66</v>
      </c>
      <c r="C19766" s="4" t="str">
        <f t="shared" si="1367"/>
        <v>TCGA-THCA</v>
      </c>
      <c r="D19766" s="1" t="s">
        <v>493</v>
      </c>
      <c r="E19766" t="s">
        <v>590</v>
      </c>
      <c r="F19766" s="1">
        <v>2</v>
      </c>
      <c r="G19766" s="1" t="s">
        <v>32</v>
      </c>
      <c r="H19766" s="4" t="str">
        <f>HYPERLINK("https://portal.gdc.cancer.gov/cases/ea859a83-00c3-40b2-97c1-fb24ad027ea6","TCGA-EL-A3ZP-01A")</f>
        <v>TCGA-EL-A3ZP-01A</v>
      </c>
      <c r="I19766" t="s">
        <v>333</v>
      </c>
      <c r="J19766" t="s">
        <v>584</v>
      </c>
      <c r="K19766" t="s">
        <v>33</v>
      </c>
      <c r="L19766" t="s">
        <v>335</v>
      </c>
      <c r="N19766" t="s">
        <v>29</v>
      </c>
    </row>
    <row r="19767" spans="1:14">
      <c r="A19767" s="4" t="str">
        <f t="shared" si="1366"/>
        <v>EXP00447</v>
      </c>
      <c r="B19767" s="3" t="s">
        <v>66</v>
      </c>
      <c r="C19767" s="4" t="str">
        <f t="shared" si="1367"/>
        <v>TCGA-THCA</v>
      </c>
      <c r="D19767" s="1" t="s">
        <v>493</v>
      </c>
      <c r="E19767" t="s">
        <v>590</v>
      </c>
      <c r="F19767" s="1">
        <v>2</v>
      </c>
      <c r="G19767" s="1" t="s">
        <v>32</v>
      </c>
      <c r="H19767" s="4" t="str">
        <f>HYPERLINK("https://portal.gdc.cancer.gov/cases/315cbbe8-62c8-488b-92c5-e2046321efb7","TCGA-EL-A3ZQ-01A")</f>
        <v>TCGA-EL-A3ZQ-01A</v>
      </c>
      <c r="I19767" t="s">
        <v>333</v>
      </c>
      <c r="J19767" t="s">
        <v>584</v>
      </c>
      <c r="K19767" t="s">
        <v>33</v>
      </c>
      <c r="L19767" t="s">
        <v>335</v>
      </c>
      <c r="N19767" t="s">
        <v>29</v>
      </c>
    </row>
    <row r="19768" spans="1:14">
      <c r="A19768" s="4" t="str">
        <f t="shared" si="1366"/>
        <v>EXP00447</v>
      </c>
      <c r="B19768" s="3" t="s">
        <v>66</v>
      </c>
      <c r="C19768" s="4" t="str">
        <f t="shared" si="1367"/>
        <v>TCGA-THCA</v>
      </c>
      <c r="D19768" s="1" t="s">
        <v>493</v>
      </c>
      <c r="E19768" t="s">
        <v>590</v>
      </c>
      <c r="F19768" s="1">
        <v>2</v>
      </c>
      <c r="G19768" s="1" t="s">
        <v>32</v>
      </c>
      <c r="H19768" s="4" t="str">
        <f>HYPERLINK("https://portal.gdc.cancer.gov/cases/96b95a2c-fb4f-4cba-89e7-a7f0e90db146","TCGA-EL-A3ZR-01A")</f>
        <v>TCGA-EL-A3ZR-01A</v>
      </c>
      <c r="I19768" t="s">
        <v>333</v>
      </c>
      <c r="J19768" t="s">
        <v>584</v>
      </c>
      <c r="K19768" t="s">
        <v>33</v>
      </c>
      <c r="L19768" t="s">
        <v>335</v>
      </c>
      <c r="N19768" t="s">
        <v>29</v>
      </c>
    </row>
    <row r="19769" spans="1:14">
      <c r="A19769" s="4" t="str">
        <f t="shared" si="1366"/>
        <v>EXP00447</v>
      </c>
      <c r="B19769" s="3" t="s">
        <v>66</v>
      </c>
      <c r="C19769" s="4" t="str">
        <f t="shared" si="1367"/>
        <v>TCGA-THCA</v>
      </c>
      <c r="D19769" s="1" t="s">
        <v>493</v>
      </c>
      <c r="E19769" t="s">
        <v>590</v>
      </c>
      <c r="F19769" s="1">
        <v>2</v>
      </c>
      <c r="G19769" s="1" t="s">
        <v>32</v>
      </c>
      <c r="H19769" s="4" t="str">
        <f>HYPERLINK("https://portal.gdc.cancer.gov/cases/a253b21e-ba9b-4928-95d1-89b59c868794","TCGA-EL-A3ZS-01A")</f>
        <v>TCGA-EL-A3ZS-01A</v>
      </c>
      <c r="I19769" t="s">
        <v>333</v>
      </c>
      <c r="J19769" t="s">
        <v>584</v>
      </c>
      <c r="K19769" t="s">
        <v>33</v>
      </c>
      <c r="L19769" t="s">
        <v>335</v>
      </c>
      <c r="N19769" t="s">
        <v>29</v>
      </c>
    </row>
    <row r="19770" spans="1:14">
      <c r="A19770" s="4" t="str">
        <f t="shared" si="1366"/>
        <v>EXP00447</v>
      </c>
      <c r="B19770" s="3" t="s">
        <v>66</v>
      </c>
      <c r="C19770" s="4" t="str">
        <f t="shared" si="1367"/>
        <v>TCGA-THCA</v>
      </c>
      <c r="D19770" s="1" t="s">
        <v>493</v>
      </c>
      <c r="E19770" t="s">
        <v>590</v>
      </c>
      <c r="F19770" s="1">
        <v>2</v>
      </c>
      <c r="G19770" s="1" t="s">
        <v>32</v>
      </c>
      <c r="H19770" s="4" t="str">
        <f>HYPERLINK("https://portal.gdc.cancer.gov/cases/64de42bd-d134-4f44-82fa-d6614709bf01","TCGA-EL-A3ZT-01A")</f>
        <v>TCGA-EL-A3ZT-01A</v>
      </c>
      <c r="I19770" t="s">
        <v>333</v>
      </c>
      <c r="J19770" t="s">
        <v>584</v>
      </c>
      <c r="K19770" t="s">
        <v>33</v>
      </c>
      <c r="L19770" t="s">
        <v>335</v>
      </c>
      <c r="N19770" t="s">
        <v>29</v>
      </c>
    </row>
    <row r="19771" spans="1:14">
      <c r="A19771" s="4" t="str">
        <f t="shared" si="1366"/>
        <v>EXP00447</v>
      </c>
      <c r="B19771" s="3" t="s">
        <v>66</v>
      </c>
      <c r="C19771" s="4" t="str">
        <f t="shared" si="1367"/>
        <v>TCGA-THCA</v>
      </c>
      <c r="D19771" s="1" t="s">
        <v>493</v>
      </c>
      <c r="E19771" t="s">
        <v>590</v>
      </c>
      <c r="F19771" s="1">
        <v>2</v>
      </c>
      <c r="G19771" s="1" t="s">
        <v>32</v>
      </c>
      <c r="H19771" s="4" t="str">
        <f>HYPERLINK("https://portal.gdc.cancer.gov/cases/6f77fc81-1bf4-47c8-b1d8-78bb17cb13f8","TCGA-EL-A4JV-01A")</f>
        <v>TCGA-EL-A4JV-01A</v>
      </c>
      <c r="I19771" t="s">
        <v>333</v>
      </c>
      <c r="J19771" t="s">
        <v>584</v>
      </c>
      <c r="K19771" t="s">
        <v>33</v>
      </c>
      <c r="L19771" t="s">
        <v>335</v>
      </c>
      <c r="N19771" t="s">
        <v>29</v>
      </c>
    </row>
    <row r="19772" spans="1:14">
      <c r="A19772" s="4" t="str">
        <f t="shared" si="1366"/>
        <v>EXP00447</v>
      </c>
      <c r="B19772" s="3" t="s">
        <v>66</v>
      </c>
      <c r="C19772" s="4" t="str">
        <f t="shared" si="1367"/>
        <v>TCGA-THCA</v>
      </c>
      <c r="D19772" s="1" t="s">
        <v>493</v>
      </c>
      <c r="E19772" t="s">
        <v>590</v>
      </c>
      <c r="F19772" s="1">
        <v>2</v>
      </c>
      <c r="G19772" s="1" t="s">
        <v>32</v>
      </c>
      <c r="H19772" s="4" t="str">
        <f>HYPERLINK("https://portal.gdc.cancer.gov/cases/4f340c8c-5912-4257-b57d-c096da254c26","TCGA-EL-A4JW-01A")</f>
        <v>TCGA-EL-A4JW-01A</v>
      </c>
      <c r="I19772" t="s">
        <v>333</v>
      </c>
      <c r="J19772" t="s">
        <v>584</v>
      </c>
      <c r="K19772" t="s">
        <v>33</v>
      </c>
      <c r="L19772" t="s">
        <v>335</v>
      </c>
      <c r="N19772" t="s">
        <v>29</v>
      </c>
    </row>
    <row r="19773" spans="1:14">
      <c r="A19773" s="4" t="str">
        <f t="shared" si="1366"/>
        <v>EXP00447</v>
      </c>
      <c r="B19773" s="3" t="s">
        <v>66</v>
      </c>
      <c r="C19773" s="4" t="str">
        <f t="shared" si="1367"/>
        <v>TCGA-THCA</v>
      </c>
      <c r="D19773" s="1" t="s">
        <v>493</v>
      </c>
      <c r="E19773" t="s">
        <v>590</v>
      </c>
      <c r="F19773" s="1">
        <v>2</v>
      </c>
      <c r="G19773" s="1" t="s">
        <v>32</v>
      </c>
      <c r="H19773" s="4" t="str">
        <f>HYPERLINK("https://portal.gdc.cancer.gov/cases/6a63961e-6ca4-45fa-93ee-65f7c392fcf0","TCGA-EL-A4JX-01A")</f>
        <v>TCGA-EL-A4JX-01A</v>
      </c>
      <c r="I19773" t="s">
        <v>333</v>
      </c>
      <c r="J19773" t="s">
        <v>584</v>
      </c>
      <c r="K19773" t="s">
        <v>33</v>
      </c>
      <c r="L19773" t="s">
        <v>335</v>
      </c>
      <c r="N19773" t="s">
        <v>29</v>
      </c>
    </row>
    <row r="19774" spans="1:14">
      <c r="A19774" s="4" t="str">
        <f t="shared" si="1366"/>
        <v>EXP00447</v>
      </c>
      <c r="B19774" s="3" t="s">
        <v>66</v>
      </c>
      <c r="C19774" s="4" t="str">
        <f t="shared" si="1367"/>
        <v>TCGA-THCA</v>
      </c>
      <c r="D19774" s="1" t="s">
        <v>493</v>
      </c>
      <c r="E19774" t="s">
        <v>590</v>
      </c>
      <c r="F19774" s="1">
        <v>2</v>
      </c>
      <c r="G19774" s="1" t="s">
        <v>32</v>
      </c>
      <c r="H19774" s="4" t="str">
        <f>HYPERLINK("https://portal.gdc.cancer.gov/cases/3d952b80-501e-41c6-a3af-0bd6014b81e4","TCGA-EL-A4JZ-01A")</f>
        <v>TCGA-EL-A4JZ-01A</v>
      </c>
      <c r="I19774" t="s">
        <v>333</v>
      </c>
      <c r="J19774" t="s">
        <v>584</v>
      </c>
      <c r="K19774" t="s">
        <v>33</v>
      </c>
      <c r="L19774" t="s">
        <v>335</v>
      </c>
      <c r="N19774" t="s">
        <v>29</v>
      </c>
    </row>
    <row r="19775" spans="1:14">
      <c r="A19775" s="4" t="str">
        <f t="shared" si="1366"/>
        <v>EXP00447</v>
      </c>
      <c r="B19775" s="3" t="s">
        <v>66</v>
      </c>
      <c r="C19775" s="4" t="str">
        <f t="shared" si="1367"/>
        <v>TCGA-THCA</v>
      </c>
      <c r="D19775" s="1" t="s">
        <v>493</v>
      </c>
      <c r="E19775" t="s">
        <v>590</v>
      </c>
      <c r="F19775" s="1">
        <v>2</v>
      </c>
      <c r="G19775" s="1" t="s">
        <v>32</v>
      </c>
      <c r="H19775" s="4" t="str">
        <f>HYPERLINK("https://portal.gdc.cancer.gov/cases/08293bf4-727d-45c2-abbf-1aec3ba1c8a4","TCGA-EL-A4K0-01A")</f>
        <v>TCGA-EL-A4K0-01A</v>
      </c>
      <c r="I19775" t="s">
        <v>333</v>
      </c>
      <c r="J19775" t="s">
        <v>584</v>
      </c>
      <c r="K19775" t="s">
        <v>33</v>
      </c>
      <c r="L19775" t="s">
        <v>335</v>
      </c>
      <c r="N19775" t="s">
        <v>29</v>
      </c>
    </row>
    <row r="19776" spans="1:14">
      <c r="A19776" s="4" t="str">
        <f t="shared" si="1366"/>
        <v>EXP00447</v>
      </c>
      <c r="B19776" s="3" t="s">
        <v>66</v>
      </c>
      <c r="C19776" s="4" t="str">
        <f t="shared" si="1367"/>
        <v>TCGA-THCA</v>
      </c>
      <c r="D19776" s="1" t="s">
        <v>493</v>
      </c>
      <c r="E19776" t="s">
        <v>590</v>
      </c>
      <c r="F19776" s="1">
        <v>2</v>
      </c>
      <c r="G19776" s="1" t="s">
        <v>32</v>
      </c>
      <c r="H19776" s="4" t="str">
        <f>HYPERLINK("https://portal.gdc.cancer.gov/cases/aa6e3437-ea1c-4bed-ab7d-8f3f89f8ceeb","TCGA-EL-A4K1-01A")</f>
        <v>TCGA-EL-A4K1-01A</v>
      </c>
      <c r="I19776" t="s">
        <v>333</v>
      </c>
      <c r="J19776" t="s">
        <v>584</v>
      </c>
      <c r="K19776" t="s">
        <v>33</v>
      </c>
      <c r="L19776" t="s">
        <v>335</v>
      </c>
      <c r="N19776" t="s">
        <v>29</v>
      </c>
    </row>
    <row r="19777" spans="1:14">
      <c r="A19777" s="4" t="str">
        <f t="shared" si="1366"/>
        <v>EXP00447</v>
      </c>
      <c r="B19777" s="3" t="s">
        <v>66</v>
      </c>
      <c r="C19777" s="4" t="str">
        <f t="shared" si="1367"/>
        <v>TCGA-THCA</v>
      </c>
      <c r="D19777" s="1" t="s">
        <v>493</v>
      </c>
      <c r="E19777" t="s">
        <v>590</v>
      </c>
      <c r="F19777" s="1">
        <v>2</v>
      </c>
      <c r="G19777" s="1" t="s">
        <v>32</v>
      </c>
      <c r="H19777" s="4" t="str">
        <f>HYPERLINK("https://portal.gdc.cancer.gov/cases/a3f87411-0a7b-4415-ba17-8edcc2639f6c","TCGA-EL-A4K2-01A")</f>
        <v>TCGA-EL-A4K2-01A</v>
      </c>
      <c r="I19777" t="s">
        <v>333</v>
      </c>
      <c r="J19777" t="s">
        <v>584</v>
      </c>
      <c r="K19777" t="s">
        <v>33</v>
      </c>
      <c r="L19777" t="s">
        <v>335</v>
      </c>
      <c r="N19777" t="s">
        <v>29</v>
      </c>
    </row>
    <row r="19778" spans="1:14">
      <c r="A19778" s="4" t="str">
        <f t="shared" si="1366"/>
        <v>EXP00447</v>
      </c>
      <c r="B19778" s="3" t="s">
        <v>66</v>
      </c>
      <c r="C19778" s="4" t="str">
        <f t="shared" si="1367"/>
        <v>TCGA-THCA</v>
      </c>
      <c r="D19778" s="1" t="s">
        <v>493</v>
      </c>
      <c r="E19778" t="s">
        <v>590</v>
      </c>
      <c r="F19778" s="1">
        <v>2</v>
      </c>
      <c r="G19778" s="1" t="s">
        <v>32</v>
      </c>
      <c r="H19778" s="4" t="str">
        <f>HYPERLINK("https://portal.gdc.cancer.gov/cases/29afb71c-c2ca-499e-b1c7-12758c9b03d6","TCGA-EL-A4K4-01A")</f>
        <v>TCGA-EL-A4K4-01A</v>
      </c>
      <c r="I19778" t="s">
        <v>333</v>
      </c>
      <c r="J19778" t="s">
        <v>584</v>
      </c>
      <c r="K19778" t="s">
        <v>33</v>
      </c>
      <c r="L19778" t="s">
        <v>335</v>
      </c>
      <c r="N19778" t="s">
        <v>29</v>
      </c>
    </row>
    <row r="19779" spans="1:14">
      <c r="A19779" s="4" t="str">
        <f t="shared" si="1366"/>
        <v>EXP00447</v>
      </c>
      <c r="B19779" s="3" t="s">
        <v>66</v>
      </c>
      <c r="C19779" s="4" t="str">
        <f t="shared" si="1367"/>
        <v>TCGA-THCA</v>
      </c>
      <c r="D19779" s="1" t="s">
        <v>493</v>
      </c>
      <c r="E19779" t="s">
        <v>590</v>
      </c>
      <c r="F19779" s="1">
        <v>2</v>
      </c>
      <c r="G19779" s="1" t="s">
        <v>32</v>
      </c>
      <c r="H19779" s="4" t="str">
        <f>HYPERLINK("https://portal.gdc.cancer.gov/cases/4fc8e011-4433-4537-b03f-457a3a70240f","TCGA-EL-A4K6-01A")</f>
        <v>TCGA-EL-A4K6-01A</v>
      </c>
      <c r="I19779" t="s">
        <v>333</v>
      </c>
      <c r="J19779" t="s">
        <v>584</v>
      </c>
      <c r="K19779" t="s">
        <v>33</v>
      </c>
      <c r="L19779" t="s">
        <v>335</v>
      </c>
      <c r="N19779" t="s">
        <v>29</v>
      </c>
    </row>
    <row r="19780" spans="1:14">
      <c r="A19780" s="4" t="str">
        <f t="shared" si="1366"/>
        <v>EXP00447</v>
      </c>
      <c r="B19780" s="3" t="s">
        <v>66</v>
      </c>
      <c r="C19780" s="4" t="str">
        <f t="shared" si="1367"/>
        <v>TCGA-THCA</v>
      </c>
      <c r="D19780" s="1" t="s">
        <v>493</v>
      </c>
      <c r="E19780" t="s">
        <v>590</v>
      </c>
      <c r="F19780" s="1">
        <v>2</v>
      </c>
      <c r="G19780" s="1" t="s">
        <v>32</v>
      </c>
      <c r="H19780" s="4" t="str">
        <f>HYPERLINK("https://portal.gdc.cancer.gov/cases/dc392a57-2028-4eca-8bf3-760ec99703ee","TCGA-EL-A4K7-01A")</f>
        <v>TCGA-EL-A4K7-01A</v>
      </c>
      <c r="I19780" t="s">
        <v>333</v>
      </c>
      <c r="J19780" t="s">
        <v>584</v>
      </c>
      <c r="K19780" t="s">
        <v>33</v>
      </c>
      <c r="L19780" t="s">
        <v>335</v>
      </c>
      <c r="N19780" t="s">
        <v>29</v>
      </c>
    </row>
    <row r="19781" spans="1:14">
      <c r="A19781" s="4" t="str">
        <f t="shared" si="1366"/>
        <v>EXP00447</v>
      </c>
      <c r="B19781" s="3" t="s">
        <v>66</v>
      </c>
      <c r="C19781" s="4" t="str">
        <f t="shared" si="1367"/>
        <v>TCGA-THCA</v>
      </c>
      <c r="D19781" s="1" t="s">
        <v>493</v>
      </c>
      <c r="E19781" t="s">
        <v>590</v>
      </c>
      <c r="F19781" s="1">
        <v>2</v>
      </c>
      <c r="G19781" s="1" t="s">
        <v>32</v>
      </c>
      <c r="H19781" s="4" t="str">
        <f>HYPERLINK("https://portal.gdc.cancer.gov/cases/89f4a6a5-bf9b-4a0e-bacf-8cd715c2ca93","TCGA-EL-A4K9-01A")</f>
        <v>TCGA-EL-A4K9-01A</v>
      </c>
      <c r="I19781" t="s">
        <v>333</v>
      </c>
      <c r="J19781" t="s">
        <v>584</v>
      </c>
      <c r="K19781" t="s">
        <v>33</v>
      </c>
      <c r="L19781" t="s">
        <v>335</v>
      </c>
      <c r="N19781" t="s">
        <v>29</v>
      </c>
    </row>
    <row r="19782" spans="1:14">
      <c r="A19782" s="4" t="str">
        <f t="shared" si="1366"/>
        <v>EXP00447</v>
      </c>
      <c r="B19782" s="3" t="s">
        <v>66</v>
      </c>
      <c r="C19782" s="4" t="str">
        <f t="shared" si="1367"/>
        <v>TCGA-THCA</v>
      </c>
      <c r="D19782" s="1" t="s">
        <v>493</v>
      </c>
      <c r="E19782" t="s">
        <v>590</v>
      </c>
      <c r="F19782" s="1">
        <v>2</v>
      </c>
      <c r="G19782" s="1" t="s">
        <v>32</v>
      </c>
      <c r="H19782" s="4" t="str">
        <f>HYPERLINK("https://portal.gdc.cancer.gov/cases/b4a60a32-2c1b-44fb-92f4-b30f985dc424","TCGA-EL-A4KD-01A")</f>
        <v>TCGA-EL-A4KD-01A</v>
      </c>
      <c r="I19782" t="s">
        <v>333</v>
      </c>
      <c r="J19782" t="s">
        <v>584</v>
      </c>
      <c r="K19782" t="s">
        <v>33</v>
      </c>
      <c r="L19782" t="s">
        <v>335</v>
      </c>
      <c r="N19782" t="s">
        <v>29</v>
      </c>
    </row>
    <row r="19783" spans="1:14">
      <c r="A19783" s="4" t="str">
        <f t="shared" si="1366"/>
        <v>EXP00447</v>
      </c>
      <c r="B19783" s="3" t="s">
        <v>66</v>
      </c>
      <c r="C19783" s="4" t="str">
        <f t="shared" si="1367"/>
        <v>TCGA-THCA</v>
      </c>
      <c r="D19783" s="1" t="s">
        <v>493</v>
      </c>
      <c r="E19783" t="s">
        <v>590</v>
      </c>
      <c r="F19783" s="1">
        <v>2</v>
      </c>
      <c r="G19783" s="1" t="s">
        <v>32</v>
      </c>
      <c r="H19783" s="4" t="str">
        <f>HYPERLINK("https://portal.gdc.cancer.gov/cases/dc5c1a76-30de-4b30-b397-3ad691c92a86","TCGA-EL-A4KG-01A")</f>
        <v>TCGA-EL-A4KG-01A</v>
      </c>
      <c r="I19783" t="s">
        <v>333</v>
      </c>
      <c r="J19783" t="s">
        <v>584</v>
      </c>
      <c r="K19783" t="s">
        <v>33</v>
      </c>
      <c r="L19783" t="s">
        <v>335</v>
      </c>
      <c r="N19783" t="s">
        <v>29</v>
      </c>
    </row>
    <row r="19784" spans="1:14">
      <c r="A19784" s="4" t="str">
        <f t="shared" si="1366"/>
        <v>EXP00447</v>
      </c>
      <c r="B19784" s="3" t="s">
        <v>66</v>
      </c>
      <c r="C19784" s="4" t="str">
        <f t="shared" si="1367"/>
        <v>TCGA-THCA</v>
      </c>
      <c r="D19784" s="1" t="s">
        <v>493</v>
      </c>
      <c r="E19784" t="s">
        <v>590</v>
      </c>
      <c r="F19784" s="1">
        <v>2</v>
      </c>
      <c r="G19784" s="1" t="s">
        <v>32</v>
      </c>
      <c r="H19784" s="4" t="str">
        <f>HYPERLINK("https://portal.gdc.cancer.gov/cases/64131b0b-9f36-44be-8bec-92c71ec36343","TCGA-EL-A4KH-01A")</f>
        <v>TCGA-EL-A4KH-01A</v>
      </c>
      <c r="I19784" t="s">
        <v>333</v>
      </c>
      <c r="J19784" t="s">
        <v>584</v>
      </c>
      <c r="K19784" t="s">
        <v>33</v>
      </c>
      <c r="L19784" t="s">
        <v>335</v>
      </c>
      <c r="N19784" t="s">
        <v>29</v>
      </c>
    </row>
    <row r="19785" spans="1:14">
      <c r="A19785" s="4" t="str">
        <f t="shared" si="1366"/>
        <v>EXP00447</v>
      </c>
      <c r="B19785" s="3" t="s">
        <v>66</v>
      </c>
      <c r="C19785" s="4" t="str">
        <f t="shared" si="1367"/>
        <v>TCGA-THCA</v>
      </c>
      <c r="D19785" s="1" t="s">
        <v>493</v>
      </c>
      <c r="E19785" t="s">
        <v>590</v>
      </c>
      <c r="F19785" s="1">
        <v>2</v>
      </c>
      <c r="G19785" s="1" t="s">
        <v>32</v>
      </c>
      <c r="H19785" s="4" t="str">
        <f>HYPERLINK("https://portal.gdc.cancer.gov/cases/1bacebf3-609e-4bb7-bb93-eb217b3a1b5c","TCGA-EL-A4KI-01A")</f>
        <v>TCGA-EL-A4KI-01A</v>
      </c>
      <c r="I19785" t="s">
        <v>333</v>
      </c>
      <c r="J19785" t="s">
        <v>584</v>
      </c>
      <c r="K19785" t="s">
        <v>33</v>
      </c>
      <c r="L19785" t="s">
        <v>335</v>
      </c>
      <c r="N19785" t="s">
        <v>29</v>
      </c>
    </row>
    <row r="19786" spans="1:14">
      <c r="A19786" s="4" t="str">
        <f t="shared" si="1366"/>
        <v>EXP00447</v>
      </c>
      <c r="B19786" s="3" t="s">
        <v>66</v>
      </c>
      <c r="C19786" s="4" t="str">
        <f t="shared" si="1367"/>
        <v>TCGA-THCA</v>
      </c>
      <c r="D19786" s="1" t="s">
        <v>493</v>
      </c>
      <c r="E19786" t="s">
        <v>590</v>
      </c>
      <c r="F19786" s="1">
        <v>2</v>
      </c>
      <c r="G19786" s="1" t="s">
        <v>32</v>
      </c>
      <c r="H19786" s="4" t="str">
        <f>HYPERLINK("https://portal.gdc.cancer.gov/cases/e92bdb0d-969a-4d98-ada8-5dfec68119b5","TCGA-EM-A1CS-01A")</f>
        <v>TCGA-EM-A1CS-01A</v>
      </c>
      <c r="I19786" t="s">
        <v>333</v>
      </c>
      <c r="J19786" t="s">
        <v>584</v>
      </c>
      <c r="K19786" t="s">
        <v>33</v>
      </c>
      <c r="L19786" t="s">
        <v>335</v>
      </c>
      <c r="N19786" t="s">
        <v>29</v>
      </c>
    </row>
    <row r="19787" spans="1:14">
      <c r="A19787" s="4" t="str">
        <f t="shared" si="1366"/>
        <v>EXP00447</v>
      </c>
      <c r="B19787" s="3" t="s">
        <v>66</v>
      </c>
      <c r="C19787" s="4" t="str">
        <f t="shared" si="1367"/>
        <v>TCGA-THCA</v>
      </c>
      <c r="D19787" s="1" t="s">
        <v>493</v>
      </c>
      <c r="E19787" t="s">
        <v>590</v>
      </c>
      <c r="F19787" s="1">
        <v>2</v>
      </c>
      <c r="G19787" s="1" t="s">
        <v>32</v>
      </c>
      <c r="H19787" s="4" t="str">
        <f>HYPERLINK("https://portal.gdc.cancer.gov/cases/290be61a-84ef-4bed-8e37-b432cba6c88e","TCGA-EM-A1CT-01A")</f>
        <v>TCGA-EM-A1CT-01A</v>
      </c>
      <c r="I19787" t="s">
        <v>333</v>
      </c>
      <c r="J19787" t="s">
        <v>584</v>
      </c>
      <c r="K19787" t="s">
        <v>33</v>
      </c>
      <c r="L19787" t="s">
        <v>335</v>
      </c>
      <c r="N19787" t="s">
        <v>29</v>
      </c>
    </row>
    <row r="19788" spans="1:14">
      <c r="A19788" s="4" t="str">
        <f t="shared" si="1366"/>
        <v>EXP00447</v>
      </c>
      <c r="B19788" s="3" t="s">
        <v>66</v>
      </c>
      <c r="C19788" s="4" t="str">
        <f t="shared" si="1367"/>
        <v>TCGA-THCA</v>
      </c>
      <c r="D19788" s="1" t="s">
        <v>493</v>
      </c>
      <c r="E19788" t="s">
        <v>590</v>
      </c>
      <c r="F19788" s="1">
        <v>2</v>
      </c>
      <c r="G19788" s="1" t="s">
        <v>32</v>
      </c>
      <c r="H19788" s="4" t="str">
        <f>HYPERLINK("https://portal.gdc.cancer.gov/cases/4e80f403-0e10-4725-854d-f023c12ee1e2","TCGA-EM-A1CU-01A")</f>
        <v>TCGA-EM-A1CU-01A</v>
      </c>
      <c r="I19788" t="s">
        <v>333</v>
      </c>
      <c r="J19788" t="s">
        <v>584</v>
      </c>
      <c r="K19788" t="s">
        <v>33</v>
      </c>
      <c r="L19788" t="s">
        <v>335</v>
      </c>
      <c r="N19788" t="s">
        <v>29</v>
      </c>
    </row>
    <row r="19789" spans="1:14">
      <c r="A19789" s="4" t="str">
        <f t="shared" si="1366"/>
        <v>EXP00447</v>
      </c>
      <c r="B19789" s="3" t="s">
        <v>66</v>
      </c>
      <c r="C19789" s="4" t="str">
        <f t="shared" si="1367"/>
        <v>TCGA-THCA</v>
      </c>
      <c r="D19789" s="1" t="s">
        <v>493</v>
      </c>
      <c r="E19789" t="s">
        <v>590</v>
      </c>
      <c r="F19789" s="1">
        <v>2</v>
      </c>
      <c r="G19789" s="1" t="s">
        <v>32</v>
      </c>
      <c r="H19789" s="4" t="str">
        <f>HYPERLINK("https://portal.gdc.cancer.gov/cases/762eddb5-1b47-4b79-b20a-1edfb07c0705","TCGA-EM-A1CV-01A")</f>
        <v>TCGA-EM-A1CV-01A</v>
      </c>
      <c r="I19789" t="s">
        <v>333</v>
      </c>
      <c r="J19789" t="s">
        <v>584</v>
      </c>
      <c r="K19789" t="s">
        <v>33</v>
      </c>
      <c r="L19789" t="s">
        <v>335</v>
      </c>
      <c r="N19789" t="s">
        <v>29</v>
      </c>
    </row>
    <row r="19790" spans="1:14">
      <c r="A19790" s="4" t="str">
        <f t="shared" si="1366"/>
        <v>EXP00447</v>
      </c>
      <c r="B19790" s="3" t="s">
        <v>66</v>
      </c>
      <c r="C19790" s="4" t="str">
        <f t="shared" si="1367"/>
        <v>TCGA-THCA</v>
      </c>
      <c r="D19790" s="1" t="s">
        <v>493</v>
      </c>
      <c r="E19790" t="s">
        <v>590</v>
      </c>
      <c r="F19790" s="1">
        <v>2</v>
      </c>
      <c r="G19790" s="1" t="s">
        <v>32</v>
      </c>
      <c r="H19790" s="4" t="str">
        <f>HYPERLINK("https://portal.gdc.cancer.gov/cases/22eb9f00-6869-4d8f-b657-dfd64f81e9e9","TCGA-EM-A1CW-01A")</f>
        <v>TCGA-EM-A1CW-01A</v>
      </c>
      <c r="I19790" t="s">
        <v>333</v>
      </c>
      <c r="J19790" t="s">
        <v>584</v>
      </c>
      <c r="K19790" t="s">
        <v>33</v>
      </c>
      <c r="L19790" t="s">
        <v>335</v>
      </c>
      <c r="N19790" t="s">
        <v>29</v>
      </c>
    </row>
    <row r="19791" spans="1:14">
      <c r="A19791" s="4" t="str">
        <f t="shared" si="1366"/>
        <v>EXP00447</v>
      </c>
      <c r="B19791" s="3" t="s">
        <v>66</v>
      </c>
      <c r="C19791" s="4" t="str">
        <f t="shared" si="1367"/>
        <v>TCGA-THCA</v>
      </c>
      <c r="D19791" s="1" t="s">
        <v>493</v>
      </c>
      <c r="E19791" t="s">
        <v>590</v>
      </c>
      <c r="F19791" s="1">
        <v>2</v>
      </c>
      <c r="G19791" s="1" t="s">
        <v>32</v>
      </c>
      <c r="H19791" s="4" t="str">
        <f>HYPERLINK("https://portal.gdc.cancer.gov/cases/567e4d90-5c5a-44f0-a462-90c831f3c096","TCGA-EM-A1YA-01A")</f>
        <v>TCGA-EM-A1YA-01A</v>
      </c>
      <c r="I19791" t="s">
        <v>333</v>
      </c>
      <c r="J19791" t="s">
        <v>584</v>
      </c>
      <c r="K19791" t="s">
        <v>33</v>
      </c>
      <c r="L19791" t="s">
        <v>335</v>
      </c>
      <c r="N19791" t="s">
        <v>29</v>
      </c>
    </row>
    <row r="19792" spans="1:14">
      <c r="A19792" s="4" t="str">
        <f t="shared" si="1366"/>
        <v>EXP00447</v>
      </c>
      <c r="B19792" s="3" t="s">
        <v>66</v>
      </c>
      <c r="C19792" s="4" t="str">
        <f t="shared" si="1367"/>
        <v>TCGA-THCA</v>
      </c>
      <c r="D19792" s="1" t="s">
        <v>493</v>
      </c>
      <c r="E19792" t="s">
        <v>590</v>
      </c>
      <c r="F19792" s="1">
        <v>2</v>
      </c>
      <c r="G19792" s="1" t="s">
        <v>32</v>
      </c>
      <c r="H19792" s="4" t="str">
        <f>HYPERLINK("https://portal.gdc.cancer.gov/cases/b43a4f92-7a13-4558-a97e-7b3feb2d70c9","TCGA-EM-A1YB-01A")</f>
        <v>TCGA-EM-A1YB-01A</v>
      </c>
      <c r="I19792" t="s">
        <v>333</v>
      </c>
      <c r="J19792" t="s">
        <v>584</v>
      </c>
      <c r="K19792" t="s">
        <v>33</v>
      </c>
      <c r="L19792" t="s">
        <v>335</v>
      </c>
      <c r="N19792" t="s">
        <v>29</v>
      </c>
    </row>
    <row r="19793" spans="1:14">
      <c r="A19793" s="4" t="str">
        <f t="shared" si="1366"/>
        <v>EXP00447</v>
      </c>
      <c r="B19793" s="3" t="s">
        <v>66</v>
      </c>
      <c r="C19793" s="4" t="str">
        <f t="shared" si="1367"/>
        <v>TCGA-THCA</v>
      </c>
      <c r="D19793" s="1" t="s">
        <v>493</v>
      </c>
      <c r="E19793" t="s">
        <v>590</v>
      </c>
      <c r="F19793" s="1">
        <v>2</v>
      </c>
      <c r="G19793" s="1" t="s">
        <v>32</v>
      </c>
      <c r="H19793" s="4" t="str">
        <f>HYPERLINK("https://portal.gdc.cancer.gov/cases/0ad2a2b3-c1bb-4597-b28e-a6385f93d09c","TCGA-EM-A1YC-01A")</f>
        <v>TCGA-EM-A1YC-01A</v>
      </c>
      <c r="I19793" t="s">
        <v>333</v>
      </c>
      <c r="J19793" t="s">
        <v>584</v>
      </c>
      <c r="K19793" t="s">
        <v>33</v>
      </c>
      <c r="L19793" t="s">
        <v>335</v>
      </c>
      <c r="N19793" t="s">
        <v>29</v>
      </c>
    </row>
    <row r="19794" spans="1:14">
      <c r="A19794" s="4" t="str">
        <f t="shared" si="1366"/>
        <v>EXP00447</v>
      </c>
      <c r="B19794" s="3" t="s">
        <v>66</v>
      </c>
      <c r="C19794" s="4" t="str">
        <f t="shared" si="1367"/>
        <v>TCGA-THCA</v>
      </c>
      <c r="D19794" s="1" t="s">
        <v>493</v>
      </c>
      <c r="E19794" t="s">
        <v>590</v>
      </c>
      <c r="F19794" s="1">
        <v>2</v>
      </c>
      <c r="G19794" s="1" t="s">
        <v>32</v>
      </c>
      <c r="H19794" s="4" t="str">
        <f>HYPERLINK("https://portal.gdc.cancer.gov/cases/8a3659a8-2a85-4bab-8bf3-55795922474c","TCGA-EM-A1YD-01A")</f>
        <v>TCGA-EM-A1YD-01A</v>
      </c>
      <c r="I19794" t="s">
        <v>333</v>
      </c>
      <c r="J19794" t="s">
        <v>584</v>
      </c>
      <c r="K19794" t="s">
        <v>33</v>
      </c>
      <c r="L19794" t="s">
        <v>335</v>
      </c>
      <c r="N19794" t="s">
        <v>29</v>
      </c>
    </row>
    <row r="19795" spans="1:14">
      <c r="A19795" s="4" t="str">
        <f t="shared" si="1366"/>
        <v>EXP00447</v>
      </c>
      <c r="B19795" s="3" t="s">
        <v>66</v>
      </c>
      <c r="C19795" s="4" t="str">
        <f t="shared" si="1367"/>
        <v>TCGA-THCA</v>
      </c>
      <c r="D19795" s="1" t="s">
        <v>493</v>
      </c>
      <c r="E19795" t="s">
        <v>590</v>
      </c>
      <c r="F19795" s="1">
        <v>2</v>
      </c>
      <c r="G19795" s="1" t="s">
        <v>32</v>
      </c>
      <c r="H19795" s="4" t="str">
        <f>HYPERLINK("https://portal.gdc.cancer.gov/cases/e632b443-cf6a-4592-96c6-c3493ec86fea","TCGA-EM-A1YE-01A")</f>
        <v>TCGA-EM-A1YE-01A</v>
      </c>
      <c r="I19795" t="s">
        <v>333</v>
      </c>
      <c r="J19795" t="s">
        <v>584</v>
      </c>
      <c r="K19795" t="s">
        <v>33</v>
      </c>
      <c r="L19795" t="s">
        <v>335</v>
      </c>
      <c r="N19795" t="s">
        <v>29</v>
      </c>
    </row>
    <row r="19796" spans="1:14">
      <c r="A19796" s="4" t="str">
        <f t="shared" si="1366"/>
        <v>EXP00447</v>
      </c>
      <c r="B19796" s="3" t="s">
        <v>66</v>
      </c>
      <c r="C19796" s="4" t="str">
        <f t="shared" si="1367"/>
        <v>TCGA-THCA</v>
      </c>
      <c r="D19796" s="1" t="s">
        <v>493</v>
      </c>
      <c r="E19796" t="s">
        <v>590</v>
      </c>
      <c r="F19796" s="1">
        <v>2</v>
      </c>
      <c r="G19796" s="1" t="s">
        <v>32</v>
      </c>
      <c r="H19796" s="4" t="str">
        <f>HYPERLINK("https://portal.gdc.cancer.gov/cases/ef306507-f426-499e-8a1f-3401a522fb6b","TCGA-EM-A22I-01A")</f>
        <v>TCGA-EM-A22I-01A</v>
      </c>
      <c r="I19796" t="s">
        <v>333</v>
      </c>
      <c r="J19796" t="s">
        <v>584</v>
      </c>
      <c r="K19796" t="s">
        <v>33</v>
      </c>
      <c r="L19796" t="s">
        <v>335</v>
      </c>
      <c r="N19796" t="s">
        <v>29</v>
      </c>
    </row>
    <row r="19797" spans="1:14">
      <c r="A19797" s="4" t="str">
        <f t="shared" si="1366"/>
        <v>EXP00447</v>
      </c>
      <c r="B19797" s="3" t="s">
        <v>66</v>
      </c>
      <c r="C19797" s="4" t="str">
        <f t="shared" si="1367"/>
        <v>TCGA-THCA</v>
      </c>
      <c r="D19797" s="1" t="s">
        <v>493</v>
      </c>
      <c r="E19797" t="s">
        <v>590</v>
      </c>
      <c r="F19797" s="1">
        <v>2</v>
      </c>
      <c r="G19797" s="1" t="s">
        <v>32</v>
      </c>
      <c r="H19797" s="4" t="str">
        <f>HYPERLINK("https://portal.gdc.cancer.gov/cases/c53167d4-14da-40cc-b30a-35eb3967b8df","TCGA-EM-A22J-01A")</f>
        <v>TCGA-EM-A22J-01A</v>
      </c>
      <c r="I19797" t="s">
        <v>333</v>
      </c>
      <c r="J19797" t="s">
        <v>584</v>
      </c>
      <c r="K19797" t="s">
        <v>33</v>
      </c>
      <c r="L19797" t="s">
        <v>335</v>
      </c>
      <c r="N19797" t="s">
        <v>29</v>
      </c>
    </row>
    <row r="19798" spans="1:14">
      <c r="A19798" s="4" t="str">
        <f t="shared" si="1366"/>
        <v>EXP00447</v>
      </c>
      <c r="B19798" s="3" t="s">
        <v>66</v>
      </c>
      <c r="C19798" s="4" t="str">
        <f t="shared" si="1367"/>
        <v>TCGA-THCA</v>
      </c>
      <c r="D19798" s="1" t="s">
        <v>493</v>
      </c>
      <c r="E19798" t="s">
        <v>590</v>
      </c>
      <c r="F19798" s="1">
        <v>2</v>
      </c>
      <c r="G19798" s="1" t="s">
        <v>32</v>
      </c>
      <c r="H19798" s="4" t="str">
        <f>HYPERLINK("https://portal.gdc.cancer.gov/cases/de9315b3-b3df-45f0-adc2-69aa6b8ff717","TCGA-EM-A22K-01A")</f>
        <v>TCGA-EM-A22K-01A</v>
      </c>
      <c r="I19798" t="s">
        <v>333</v>
      </c>
      <c r="J19798" t="s">
        <v>584</v>
      </c>
      <c r="K19798" t="s">
        <v>33</v>
      </c>
      <c r="L19798" t="s">
        <v>335</v>
      </c>
      <c r="N19798" t="s">
        <v>29</v>
      </c>
    </row>
    <row r="19799" spans="1:14">
      <c r="A19799" s="4" t="str">
        <f t="shared" si="1366"/>
        <v>EXP00447</v>
      </c>
      <c r="B19799" s="3" t="s">
        <v>66</v>
      </c>
      <c r="C19799" s="4" t="str">
        <f t="shared" si="1367"/>
        <v>TCGA-THCA</v>
      </c>
      <c r="D19799" s="1" t="s">
        <v>493</v>
      </c>
      <c r="E19799" t="s">
        <v>590</v>
      </c>
      <c r="F19799" s="1">
        <v>2</v>
      </c>
      <c r="G19799" s="1" t="s">
        <v>32</v>
      </c>
      <c r="H19799" s="4" t="str">
        <f>HYPERLINK("https://portal.gdc.cancer.gov/cases/aabc7724-71c8-4c1b-a54b-22e88dde148f","TCGA-EM-A22L-01A")</f>
        <v>TCGA-EM-A22L-01A</v>
      </c>
      <c r="I19799" t="s">
        <v>333</v>
      </c>
      <c r="J19799" t="s">
        <v>584</v>
      </c>
      <c r="K19799" t="s">
        <v>33</v>
      </c>
      <c r="L19799" t="s">
        <v>335</v>
      </c>
      <c r="N19799" t="s">
        <v>29</v>
      </c>
    </row>
    <row r="19800" spans="1:14">
      <c r="A19800" s="4" t="str">
        <f t="shared" si="1366"/>
        <v>EXP00447</v>
      </c>
      <c r="B19800" s="3" t="s">
        <v>66</v>
      </c>
      <c r="C19800" s="4" t="str">
        <f t="shared" si="1367"/>
        <v>TCGA-THCA</v>
      </c>
      <c r="D19800" s="1" t="s">
        <v>493</v>
      </c>
      <c r="E19800" t="s">
        <v>590</v>
      </c>
      <c r="F19800" s="1">
        <v>2</v>
      </c>
      <c r="G19800" s="1" t="s">
        <v>32</v>
      </c>
      <c r="H19800" s="4" t="str">
        <f>HYPERLINK("https://portal.gdc.cancer.gov/cases/92e9f5e1-b597-451b-b6d5-fad9a77ba87a","TCGA-EM-A22M-01A")</f>
        <v>TCGA-EM-A22M-01A</v>
      </c>
      <c r="I19800" t="s">
        <v>333</v>
      </c>
      <c r="J19800" t="s">
        <v>584</v>
      </c>
      <c r="K19800" t="s">
        <v>33</v>
      </c>
      <c r="L19800" t="s">
        <v>335</v>
      </c>
      <c r="N19800" t="s">
        <v>29</v>
      </c>
    </row>
    <row r="19801" spans="1:14">
      <c r="A19801" s="4" t="str">
        <f t="shared" si="1366"/>
        <v>EXP00447</v>
      </c>
      <c r="B19801" s="3" t="s">
        <v>66</v>
      </c>
      <c r="C19801" s="4" t="str">
        <f t="shared" si="1367"/>
        <v>TCGA-THCA</v>
      </c>
      <c r="D19801" s="1" t="s">
        <v>493</v>
      </c>
      <c r="E19801" t="s">
        <v>590</v>
      </c>
      <c r="F19801" s="1">
        <v>2</v>
      </c>
      <c r="G19801" s="1" t="s">
        <v>32</v>
      </c>
      <c r="H19801" s="4" t="str">
        <f>HYPERLINK("https://portal.gdc.cancer.gov/cases/c63936dd-39fd-41fa-a9f6-18b18303ef05","TCGA-EM-A22N-01A")</f>
        <v>TCGA-EM-A22N-01A</v>
      </c>
      <c r="I19801" t="s">
        <v>333</v>
      </c>
      <c r="J19801" t="s">
        <v>584</v>
      </c>
      <c r="K19801" t="s">
        <v>33</v>
      </c>
      <c r="L19801" t="s">
        <v>335</v>
      </c>
      <c r="N19801" t="s">
        <v>29</v>
      </c>
    </row>
    <row r="19802" spans="1:14">
      <c r="A19802" s="4" t="str">
        <f t="shared" si="1366"/>
        <v>EXP00447</v>
      </c>
      <c r="B19802" s="3" t="s">
        <v>66</v>
      </c>
      <c r="C19802" s="4" t="str">
        <f t="shared" si="1367"/>
        <v>TCGA-THCA</v>
      </c>
      <c r="D19802" s="1" t="s">
        <v>493</v>
      </c>
      <c r="E19802" t="s">
        <v>590</v>
      </c>
      <c r="F19802" s="1">
        <v>2</v>
      </c>
      <c r="G19802" s="1" t="s">
        <v>32</v>
      </c>
      <c r="H19802" s="4" t="str">
        <f>HYPERLINK("https://portal.gdc.cancer.gov/cases/6abc861a-376d-446b-acee-fb0f03a82c09","TCGA-EM-A22O-01A")</f>
        <v>TCGA-EM-A22O-01A</v>
      </c>
      <c r="I19802" t="s">
        <v>333</v>
      </c>
      <c r="J19802" t="s">
        <v>584</v>
      </c>
      <c r="K19802" t="s">
        <v>33</v>
      </c>
      <c r="L19802" t="s">
        <v>335</v>
      </c>
      <c r="N19802" t="s">
        <v>29</v>
      </c>
    </row>
    <row r="19803" spans="1:14">
      <c r="A19803" s="4" t="str">
        <f t="shared" si="1366"/>
        <v>EXP00447</v>
      </c>
      <c r="B19803" s="3" t="s">
        <v>66</v>
      </c>
      <c r="C19803" s="4" t="str">
        <f t="shared" si="1367"/>
        <v>TCGA-THCA</v>
      </c>
      <c r="D19803" s="1" t="s">
        <v>493</v>
      </c>
      <c r="E19803" t="s">
        <v>590</v>
      </c>
      <c r="F19803" s="1">
        <v>2</v>
      </c>
      <c r="G19803" s="1" t="s">
        <v>32</v>
      </c>
      <c r="H19803" s="4" t="str">
        <f>HYPERLINK("https://portal.gdc.cancer.gov/cases/1a4164d9-4484-452d-9382-8cbf896a870e","TCGA-EM-A22P-01A")</f>
        <v>TCGA-EM-A22P-01A</v>
      </c>
      <c r="I19803" t="s">
        <v>333</v>
      </c>
      <c r="J19803" t="s">
        <v>584</v>
      </c>
      <c r="K19803" t="s">
        <v>33</v>
      </c>
      <c r="L19803" t="s">
        <v>335</v>
      </c>
      <c r="N19803" t="s">
        <v>29</v>
      </c>
    </row>
    <row r="19804" spans="1:14">
      <c r="A19804" s="4" t="str">
        <f t="shared" si="1366"/>
        <v>EXP00447</v>
      </c>
      <c r="B19804" s="3" t="s">
        <v>66</v>
      </c>
      <c r="C19804" s="4" t="str">
        <f t="shared" si="1367"/>
        <v>TCGA-THCA</v>
      </c>
      <c r="D19804" s="1" t="s">
        <v>493</v>
      </c>
      <c r="E19804" t="s">
        <v>590</v>
      </c>
      <c r="F19804" s="1">
        <v>2</v>
      </c>
      <c r="G19804" s="1" t="s">
        <v>32</v>
      </c>
      <c r="H19804" s="4" t="str">
        <f>HYPERLINK("https://portal.gdc.cancer.gov/cases/8492820d-b619-4a74-95d3-eb574067f3f3","TCGA-EM-A22Q-01A")</f>
        <v>TCGA-EM-A22Q-01A</v>
      </c>
      <c r="I19804" t="s">
        <v>333</v>
      </c>
      <c r="J19804" t="s">
        <v>584</v>
      </c>
      <c r="K19804" t="s">
        <v>33</v>
      </c>
      <c r="L19804" t="s">
        <v>335</v>
      </c>
      <c r="N19804" t="s">
        <v>29</v>
      </c>
    </row>
    <row r="19805" spans="1:14">
      <c r="A19805" s="4" t="str">
        <f t="shared" si="1366"/>
        <v>EXP00447</v>
      </c>
      <c r="B19805" s="3" t="s">
        <v>66</v>
      </c>
      <c r="C19805" s="4" t="str">
        <f t="shared" si="1367"/>
        <v>TCGA-THCA</v>
      </c>
      <c r="D19805" s="1" t="s">
        <v>493</v>
      </c>
      <c r="E19805" t="s">
        <v>590</v>
      </c>
      <c r="F19805" s="1">
        <v>2</v>
      </c>
      <c r="G19805" s="1" t="s">
        <v>32</v>
      </c>
      <c r="H19805" s="4" t="str">
        <f>HYPERLINK("https://portal.gdc.cancer.gov/cases/dc2bece1-1fcd-467a-8476-da171d56488c","TCGA-EM-A2CJ-01A")</f>
        <v>TCGA-EM-A2CJ-01A</v>
      </c>
      <c r="I19805" t="s">
        <v>333</v>
      </c>
      <c r="J19805" t="s">
        <v>584</v>
      </c>
      <c r="K19805" t="s">
        <v>33</v>
      </c>
      <c r="L19805" t="s">
        <v>335</v>
      </c>
      <c r="N19805" t="s">
        <v>29</v>
      </c>
    </row>
    <row r="19806" spans="1:14">
      <c r="A19806" s="4" t="str">
        <f t="shared" si="1366"/>
        <v>EXP00447</v>
      </c>
      <c r="B19806" s="3" t="s">
        <v>66</v>
      </c>
      <c r="C19806" s="4" t="str">
        <f t="shared" si="1367"/>
        <v>TCGA-THCA</v>
      </c>
      <c r="D19806" s="1" t="s">
        <v>493</v>
      </c>
      <c r="E19806" t="s">
        <v>590</v>
      </c>
      <c r="F19806" s="1">
        <v>2</v>
      </c>
      <c r="G19806" s="1" t="s">
        <v>32</v>
      </c>
      <c r="H19806" s="4" t="str">
        <f>HYPERLINK("https://portal.gdc.cancer.gov/cases/7802140a-e518-4ae6-9bd1-c26d80b14ab1","TCGA-EM-A2CK-01A")</f>
        <v>TCGA-EM-A2CK-01A</v>
      </c>
      <c r="I19806" t="s">
        <v>333</v>
      </c>
      <c r="J19806" t="s">
        <v>584</v>
      </c>
      <c r="K19806" t="s">
        <v>33</v>
      </c>
      <c r="L19806" t="s">
        <v>335</v>
      </c>
      <c r="N19806" t="s">
        <v>29</v>
      </c>
    </row>
    <row r="19807" spans="1:14">
      <c r="A19807" s="4" t="str">
        <f t="shared" si="1366"/>
        <v>EXP00447</v>
      </c>
      <c r="B19807" s="3" t="s">
        <v>66</v>
      </c>
      <c r="C19807" s="4" t="str">
        <f t="shared" si="1367"/>
        <v>TCGA-THCA</v>
      </c>
      <c r="D19807" s="1" t="s">
        <v>493</v>
      </c>
      <c r="E19807" t="s">
        <v>590</v>
      </c>
      <c r="F19807" s="1">
        <v>2</v>
      </c>
      <c r="G19807" s="1" t="s">
        <v>32</v>
      </c>
      <c r="H19807" s="4" t="str">
        <f>HYPERLINK("https://portal.gdc.cancer.gov/cases/286de8cd-7222-4f85-a370-79a7903edf45","TCGA-EM-A2CL-01A")</f>
        <v>TCGA-EM-A2CL-01A</v>
      </c>
      <c r="I19807" t="s">
        <v>333</v>
      </c>
      <c r="J19807" t="s">
        <v>584</v>
      </c>
      <c r="K19807" t="s">
        <v>33</v>
      </c>
      <c r="L19807" t="s">
        <v>335</v>
      </c>
      <c r="N19807" t="s">
        <v>29</v>
      </c>
    </row>
    <row r="19808" spans="1:14">
      <c r="A19808" s="4" t="str">
        <f t="shared" si="1366"/>
        <v>EXP00447</v>
      </c>
      <c r="B19808" s="3" t="s">
        <v>66</v>
      </c>
      <c r="C19808" s="4" t="str">
        <f t="shared" si="1367"/>
        <v>TCGA-THCA</v>
      </c>
      <c r="D19808" s="1" t="s">
        <v>493</v>
      </c>
      <c r="E19808" t="s">
        <v>590</v>
      </c>
      <c r="F19808" s="1">
        <v>2</v>
      </c>
      <c r="G19808" s="1" t="s">
        <v>32</v>
      </c>
      <c r="H19808" s="4" t="str">
        <f>HYPERLINK("https://portal.gdc.cancer.gov/cases/2acb6f29-06d3-48d4-8553-a9f5839afe22","TCGA-EM-A2CM-01A")</f>
        <v>TCGA-EM-A2CM-01A</v>
      </c>
      <c r="I19808" t="s">
        <v>333</v>
      </c>
      <c r="J19808" t="s">
        <v>584</v>
      </c>
      <c r="K19808" t="s">
        <v>33</v>
      </c>
      <c r="L19808" t="s">
        <v>335</v>
      </c>
      <c r="N19808" t="s">
        <v>29</v>
      </c>
    </row>
    <row r="19809" spans="1:14">
      <c r="A19809" s="4" t="str">
        <f t="shared" si="1366"/>
        <v>EXP00447</v>
      </c>
      <c r="B19809" s="3" t="s">
        <v>66</v>
      </c>
      <c r="C19809" s="4" t="str">
        <f t="shared" si="1367"/>
        <v>TCGA-THCA</v>
      </c>
      <c r="D19809" s="1" t="s">
        <v>493</v>
      </c>
      <c r="E19809" t="s">
        <v>590</v>
      </c>
      <c r="F19809" s="1">
        <v>2</v>
      </c>
      <c r="G19809" s="1" t="s">
        <v>32</v>
      </c>
      <c r="H19809" s="4" t="str">
        <f>HYPERLINK("https://portal.gdc.cancer.gov/cases/4aed5116-d27b-4911-b310-05c2248b861f","TCGA-EM-A2CN-01A")</f>
        <v>TCGA-EM-A2CN-01A</v>
      </c>
      <c r="I19809" t="s">
        <v>333</v>
      </c>
      <c r="J19809" t="s">
        <v>584</v>
      </c>
      <c r="K19809" t="s">
        <v>33</v>
      </c>
      <c r="L19809" t="s">
        <v>335</v>
      </c>
      <c r="N19809" t="s">
        <v>29</v>
      </c>
    </row>
    <row r="19810" spans="1:14">
      <c r="A19810" s="4" t="str">
        <f t="shared" si="1366"/>
        <v>EXP00447</v>
      </c>
      <c r="B19810" s="3" t="s">
        <v>66</v>
      </c>
      <c r="C19810" s="4" t="str">
        <f t="shared" si="1367"/>
        <v>TCGA-THCA</v>
      </c>
      <c r="D19810" s="1" t="s">
        <v>493</v>
      </c>
      <c r="E19810" t="s">
        <v>590</v>
      </c>
      <c r="F19810" s="1">
        <v>2</v>
      </c>
      <c r="G19810" s="1" t="s">
        <v>32</v>
      </c>
      <c r="H19810" s="4" t="str">
        <f>HYPERLINK("https://portal.gdc.cancer.gov/cases/04ae6b65-8514-47fa-b573-ec1e067ff116","TCGA-EM-A2CO-01A")</f>
        <v>TCGA-EM-A2CO-01A</v>
      </c>
      <c r="I19810" t="s">
        <v>333</v>
      </c>
      <c r="J19810" t="s">
        <v>584</v>
      </c>
      <c r="K19810" t="s">
        <v>33</v>
      </c>
      <c r="L19810" t="s">
        <v>335</v>
      </c>
      <c r="N19810" t="s">
        <v>29</v>
      </c>
    </row>
    <row r="19811" spans="1:14">
      <c r="A19811" s="4" t="str">
        <f t="shared" si="1366"/>
        <v>EXP00447</v>
      </c>
      <c r="B19811" s="3" t="s">
        <v>66</v>
      </c>
      <c r="C19811" s="4" t="str">
        <f t="shared" si="1367"/>
        <v>TCGA-THCA</v>
      </c>
      <c r="D19811" s="1" t="s">
        <v>493</v>
      </c>
      <c r="E19811" t="s">
        <v>590</v>
      </c>
      <c r="F19811" s="1">
        <v>2</v>
      </c>
      <c r="G19811" s="1" t="s">
        <v>32</v>
      </c>
      <c r="H19811" s="4" t="str">
        <f>HYPERLINK("https://portal.gdc.cancer.gov/cases/2f59f12d-ca0c-4ac6-9718-98a6d455af46","TCGA-EM-A2CP-01A")</f>
        <v>TCGA-EM-A2CP-01A</v>
      </c>
      <c r="I19811" t="s">
        <v>333</v>
      </c>
      <c r="J19811" t="s">
        <v>584</v>
      </c>
      <c r="K19811" t="s">
        <v>33</v>
      </c>
      <c r="L19811" t="s">
        <v>335</v>
      </c>
      <c r="N19811" t="s">
        <v>29</v>
      </c>
    </row>
    <row r="19812" spans="1:14">
      <c r="A19812" s="4" t="str">
        <f t="shared" si="1366"/>
        <v>EXP00447</v>
      </c>
      <c r="B19812" s="3" t="s">
        <v>66</v>
      </c>
      <c r="C19812" s="4" t="str">
        <f t="shared" si="1367"/>
        <v>TCGA-THCA</v>
      </c>
      <c r="D19812" s="1" t="s">
        <v>493</v>
      </c>
      <c r="E19812" t="s">
        <v>590</v>
      </c>
      <c r="F19812" s="1">
        <v>2</v>
      </c>
      <c r="G19812" s="1" t="s">
        <v>32</v>
      </c>
      <c r="H19812" s="4" t="str">
        <f>HYPERLINK("https://portal.gdc.cancer.gov/cases/7244b7db-8282-43aa-a4b4-ad6af972cf9b","TCGA-EM-A2CQ-01A")</f>
        <v>TCGA-EM-A2CQ-01A</v>
      </c>
      <c r="I19812" t="s">
        <v>333</v>
      </c>
      <c r="J19812" t="s">
        <v>584</v>
      </c>
      <c r="K19812" t="s">
        <v>33</v>
      </c>
      <c r="L19812" t="s">
        <v>335</v>
      </c>
      <c r="N19812" t="s">
        <v>29</v>
      </c>
    </row>
    <row r="19813" spans="1:14">
      <c r="A19813" s="4" t="str">
        <f t="shared" si="1366"/>
        <v>EXP00447</v>
      </c>
      <c r="B19813" s="3" t="s">
        <v>66</v>
      </c>
      <c r="C19813" s="4" t="str">
        <f t="shared" si="1367"/>
        <v>TCGA-THCA</v>
      </c>
      <c r="D19813" s="1" t="s">
        <v>493</v>
      </c>
      <c r="E19813" t="s">
        <v>590</v>
      </c>
      <c r="F19813" s="1">
        <v>2</v>
      </c>
      <c r="G19813" s="1" t="s">
        <v>32</v>
      </c>
      <c r="H19813" s="4" t="str">
        <f>HYPERLINK("https://portal.gdc.cancer.gov/cases/212b2002-1ebf-47dd-82f8-6c0b904cf909","TCGA-EM-A2CR-01A")</f>
        <v>TCGA-EM-A2CR-01A</v>
      </c>
      <c r="I19813" t="s">
        <v>333</v>
      </c>
      <c r="J19813" t="s">
        <v>584</v>
      </c>
      <c r="K19813" t="s">
        <v>33</v>
      </c>
      <c r="L19813" t="s">
        <v>335</v>
      </c>
      <c r="N19813" t="s">
        <v>29</v>
      </c>
    </row>
    <row r="19814" spans="1:14">
      <c r="A19814" s="4" t="str">
        <f t="shared" si="1366"/>
        <v>EXP00447</v>
      </c>
      <c r="B19814" s="3" t="s">
        <v>66</v>
      </c>
      <c r="C19814" s="4" t="str">
        <f t="shared" si="1367"/>
        <v>TCGA-THCA</v>
      </c>
      <c r="D19814" s="1" t="s">
        <v>493</v>
      </c>
      <c r="E19814" t="s">
        <v>590</v>
      </c>
      <c r="F19814" s="1">
        <v>2</v>
      </c>
      <c r="G19814" s="1" t="s">
        <v>32</v>
      </c>
      <c r="H19814" s="4" t="str">
        <f>HYPERLINK("https://portal.gdc.cancer.gov/cases/c8703a65-816b-4f6e-bb15-53dcb3288f66","TCGA-EM-A2CT-01A")</f>
        <v>TCGA-EM-A2CT-01A</v>
      </c>
      <c r="I19814" t="s">
        <v>333</v>
      </c>
      <c r="J19814" t="s">
        <v>584</v>
      </c>
      <c r="K19814" t="s">
        <v>33</v>
      </c>
      <c r="L19814" t="s">
        <v>335</v>
      </c>
      <c r="N19814" t="s">
        <v>29</v>
      </c>
    </row>
    <row r="19815" spans="1:14">
      <c r="A19815" s="4" t="str">
        <f t="shared" si="1366"/>
        <v>EXP00447</v>
      </c>
      <c r="B19815" s="3" t="s">
        <v>66</v>
      </c>
      <c r="C19815" s="4" t="str">
        <f t="shared" si="1367"/>
        <v>TCGA-THCA</v>
      </c>
      <c r="D19815" s="1" t="s">
        <v>493</v>
      </c>
      <c r="E19815" t="s">
        <v>590</v>
      </c>
      <c r="F19815" s="1">
        <v>2</v>
      </c>
      <c r="G19815" s="1" t="s">
        <v>32</v>
      </c>
      <c r="H19815" s="4" t="str">
        <f>HYPERLINK("https://portal.gdc.cancer.gov/cases/667eb7f6-1d36-49bb-9d7b-c9d167b64619","TCGA-EM-A2CU-01A")</f>
        <v>TCGA-EM-A2CU-01A</v>
      </c>
      <c r="I19815" t="s">
        <v>333</v>
      </c>
      <c r="J19815" t="s">
        <v>584</v>
      </c>
      <c r="K19815" t="s">
        <v>33</v>
      </c>
      <c r="L19815" t="s">
        <v>335</v>
      </c>
      <c r="N19815" t="s">
        <v>29</v>
      </c>
    </row>
    <row r="19816" spans="1:14">
      <c r="A19816" s="4" t="str">
        <f t="shared" si="1366"/>
        <v>EXP00447</v>
      </c>
      <c r="B19816" s="3" t="s">
        <v>66</v>
      </c>
      <c r="C19816" s="4" t="str">
        <f t="shared" si="1367"/>
        <v>TCGA-THCA</v>
      </c>
      <c r="D19816" s="1" t="s">
        <v>493</v>
      </c>
      <c r="E19816" t="s">
        <v>590</v>
      </c>
      <c r="F19816" s="1">
        <v>2</v>
      </c>
      <c r="G19816" s="1" t="s">
        <v>32</v>
      </c>
      <c r="H19816" s="4" t="str">
        <f>HYPERLINK("https://portal.gdc.cancer.gov/cases/55e03ffc-f006-4ec8-8e5d-a738ff091f8a","TCGA-EM-A2OV-01A")</f>
        <v>TCGA-EM-A2OV-01A</v>
      </c>
      <c r="I19816" t="s">
        <v>333</v>
      </c>
      <c r="J19816" t="s">
        <v>584</v>
      </c>
      <c r="K19816" t="s">
        <v>33</v>
      </c>
      <c r="L19816" t="s">
        <v>335</v>
      </c>
      <c r="N19816" t="s">
        <v>29</v>
      </c>
    </row>
    <row r="19817" spans="1:14">
      <c r="A19817" s="4" t="str">
        <f t="shared" si="1366"/>
        <v>EXP00447</v>
      </c>
      <c r="B19817" s="3" t="s">
        <v>66</v>
      </c>
      <c r="C19817" s="4" t="str">
        <f t="shared" si="1367"/>
        <v>TCGA-THCA</v>
      </c>
      <c r="D19817" s="1" t="s">
        <v>493</v>
      </c>
      <c r="E19817" t="s">
        <v>590</v>
      </c>
      <c r="F19817" s="1">
        <v>2</v>
      </c>
      <c r="G19817" s="1" t="s">
        <v>32</v>
      </c>
      <c r="H19817" s="4" t="str">
        <f>HYPERLINK("https://portal.gdc.cancer.gov/cases/a65ec434-9ae0-453f-b440-08bf25558fd1","TCGA-EM-A2OW-01A")</f>
        <v>TCGA-EM-A2OW-01A</v>
      </c>
      <c r="I19817" t="s">
        <v>333</v>
      </c>
      <c r="J19817" t="s">
        <v>584</v>
      </c>
      <c r="K19817" t="s">
        <v>33</v>
      </c>
      <c r="L19817" t="s">
        <v>335</v>
      </c>
      <c r="N19817" t="s">
        <v>29</v>
      </c>
    </row>
    <row r="19818" spans="1:14">
      <c r="A19818" s="4" t="str">
        <f t="shared" si="1366"/>
        <v>EXP00447</v>
      </c>
      <c r="B19818" s="3" t="s">
        <v>66</v>
      </c>
      <c r="C19818" s="4" t="str">
        <f t="shared" si="1367"/>
        <v>TCGA-THCA</v>
      </c>
      <c r="D19818" s="1" t="s">
        <v>493</v>
      </c>
      <c r="E19818" t="s">
        <v>590</v>
      </c>
      <c r="F19818" s="1">
        <v>2</v>
      </c>
      <c r="G19818" s="1" t="s">
        <v>32</v>
      </c>
      <c r="H19818" s="4" t="str">
        <f>HYPERLINK("https://portal.gdc.cancer.gov/cases/98a08015-9040-4e0b-bcfa-2c6db7d0f888","TCGA-EM-A2OX-01A")</f>
        <v>TCGA-EM-A2OX-01A</v>
      </c>
      <c r="I19818" t="s">
        <v>333</v>
      </c>
      <c r="J19818" t="s">
        <v>584</v>
      </c>
      <c r="K19818" t="s">
        <v>33</v>
      </c>
      <c r="L19818" t="s">
        <v>335</v>
      </c>
      <c r="N19818" t="s">
        <v>29</v>
      </c>
    </row>
    <row r="19819" spans="1:14">
      <c r="A19819" s="4" t="str">
        <f t="shared" si="1366"/>
        <v>EXP00447</v>
      </c>
      <c r="B19819" s="3" t="s">
        <v>66</v>
      </c>
      <c r="C19819" s="4" t="str">
        <f t="shared" si="1367"/>
        <v>TCGA-THCA</v>
      </c>
      <c r="D19819" s="1" t="s">
        <v>493</v>
      </c>
      <c r="E19819" t="s">
        <v>590</v>
      </c>
      <c r="F19819" s="1">
        <v>2</v>
      </c>
      <c r="G19819" s="1" t="s">
        <v>32</v>
      </c>
      <c r="H19819" s="4" t="str">
        <f>HYPERLINK("https://portal.gdc.cancer.gov/cases/d3e75fb4-fb7c-4ebf-9c75-2be9ffd9f52d","TCGA-EM-A2OY-01A")</f>
        <v>TCGA-EM-A2OY-01A</v>
      </c>
      <c r="I19819" t="s">
        <v>333</v>
      </c>
      <c r="J19819" t="s">
        <v>584</v>
      </c>
      <c r="K19819" t="s">
        <v>33</v>
      </c>
      <c r="L19819" t="s">
        <v>335</v>
      </c>
      <c r="N19819" t="s">
        <v>29</v>
      </c>
    </row>
    <row r="19820" spans="1:14">
      <c r="A19820" s="4" t="str">
        <f t="shared" si="1366"/>
        <v>EXP00447</v>
      </c>
      <c r="B19820" s="3" t="s">
        <v>66</v>
      </c>
      <c r="C19820" s="4" t="str">
        <f t="shared" si="1367"/>
        <v>TCGA-THCA</v>
      </c>
      <c r="D19820" s="1" t="s">
        <v>493</v>
      </c>
      <c r="E19820" t="s">
        <v>590</v>
      </c>
      <c r="F19820" s="1">
        <v>2</v>
      </c>
      <c r="G19820" s="1" t="s">
        <v>32</v>
      </c>
      <c r="H19820" s="4" t="str">
        <f>HYPERLINK("https://portal.gdc.cancer.gov/cases/1f6be7ca-76fd-4509-99a6-dfa59b0ac51f","TCGA-EM-A2OZ-01A")</f>
        <v>TCGA-EM-A2OZ-01A</v>
      </c>
      <c r="I19820" t="s">
        <v>333</v>
      </c>
      <c r="J19820" t="s">
        <v>584</v>
      </c>
      <c r="K19820" t="s">
        <v>33</v>
      </c>
      <c r="L19820" t="s">
        <v>335</v>
      </c>
      <c r="N19820" t="s">
        <v>29</v>
      </c>
    </row>
    <row r="19821" spans="1:14">
      <c r="A19821" s="4" t="str">
        <f t="shared" si="1366"/>
        <v>EXP00447</v>
      </c>
      <c r="B19821" s="3" t="s">
        <v>66</v>
      </c>
      <c r="C19821" s="4" t="str">
        <f t="shared" si="1367"/>
        <v>TCGA-THCA</v>
      </c>
      <c r="D19821" s="1" t="s">
        <v>493</v>
      </c>
      <c r="E19821" t="s">
        <v>590</v>
      </c>
      <c r="F19821" s="1">
        <v>2</v>
      </c>
      <c r="G19821" s="1" t="s">
        <v>32</v>
      </c>
      <c r="H19821" s="4" t="str">
        <f>HYPERLINK("https://portal.gdc.cancer.gov/cases/80420c04-709b-4ab2-a88c-1e22b3a09b9c","TCGA-EM-A2P0-01A")</f>
        <v>TCGA-EM-A2P0-01A</v>
      </c>
      <c r="I19821" t="s">
        <v>333</v>
      </c>
      <c r="J19821" t="s">
        <v>584</v>
      </c>
      <c r="K19821" t="s">
        <v>33</v>
      </c>
      <c r="L19821" t="s">
        <v>335</v>
      </c>
      <c r="N19821" t="s">
        <v>29</v>
      </c>
    </row>
    <row r="19822" spans="1:14">
      <c r="A19822" s="4" t="str">
        <f t="shared" si="1366"/>
        <v>EXP00447</v>
      </c>
      <c r="B19822" s="3" t="s">
        <v>66</v>
      </c>
      <c r="C19822" s="4" t="str">
        <f t="shared" si="1367"/>
        <v>TCGA-THCA</v>
      </c>
      <c r="D19822" s="1" t="s">
        <v>493</v>
      </c>
      <c r="E19822" t="s">
        <v>590</v>
      </c>
      <c r="F19822" s="1">
        <v>2</v>
      </c>
      <c r="G19822" s="1" t="s">
        <v>32</v>
      </c>
      <c r="H19822" s="4" t="str">
        <f>HYPERLINK("https://portal.gdc.cancer.gov/cases/b9e6a966-da7c-46f3-825f-8e19c06518c3","TCGA-EM-A2P2-01A")</f>
        <v>TCGA-EM-A2P2-01A</v>
      </c>
      <c r="I19822" t="s">
        <v>333</v>
      </c>
      <c r="J19822" t="s">
        <v>584</v>
      </c>
      <c r="K19822" t="s">
        <v>33</v>
      </c>
      <c r="L19822" t="s">
        <v>335</v>
      </c>
      <c r="N19822" t="s">
        <v>29</v>
      </c>
    </row>
    <row r="19823" spans="1:14">
      <c r="A19823" s="4" t="str">
        <f t="shared" si="1366"/>
        <v>EXP00447</v>
      </c>
      <c r="B19823" s="3" t="s">
        <v>66</v>
      </c>
      <c r="C19823" s="4" t="str">
        <f t="shared" si="1367"/>
        <v>TCGA-THCA</v>
      </c>
      <c r="D19823" s="1" t="s">
        <v>493</v>
      </c>
      <c r="E19823" t="s">
        <v>590</v>
      </c>
      <c r="F19823" s="1">
        <v>2</v>
      </c>
      <c r="G19823" s="1" t="s">
        <v>32</v>
      </c>
      <c r="H19823" s="4" t="str">
        <f>HYPERLINK("https://portal.gdc.cancer.gov/cases/c9dc11ad-d3f5-4cdf-9c26-7139580b59af","TCGA-EM-A2P3-01A")</f>
        <v>TCGA-EM-A2P3-01A</v>
      </c>
      <c r="I19823" t="s">
        <v>333</v>
      </c>
      <c r="J19823" t="s">
        <v>584</v>
      </c>
      <c r="K19823" t="s">
        <v>33</v>
      </c>
      <c r="L19823" t="s">
        <v>335</v>
      </c>
      <c r="N19823" t="s">
        <v>29</v>
      </c>
    </row>
    <row r="19824" spans="1:14">
      <c r="A19824" s="4" t="str">
        <f t="shared" si="1366"/>
        <v>EXP00447</v>
      </c>
      <c r="B19824" s="3" t="s">
        <v>66</v>
      </c>
      <c r="C19824" s="4" t="str">
        <f t="shared" si="1367"/>
        <v>TCGA-THCA</v>
      </c>
      <c r="D19824" s="1" t="s">
        <v>493</v>
      </c>
      <c r="E19824" t="s">
        <v>590</v>
      </c>
      <c r="F19824" s="1">
        <v>2</v>
      </c>
      <c r="G19824" s="1" t="s">
        <v>32</v>
      </c>
      <c r="H19824" s="4" t="str">
        <f>HYPERLINK("https://portal.gdc.cancer.gov/cases/6a87bbc4-6161-4fc6-b4df-518d7831f4d2","TCGA-EM-A3AI-01A")</f>
        <v>TCGA-EM-A3AI-01A</v>
      </c>
      <c r="I19824" t="s">
        <v>333</v>
      </c>
      <c r="J19824" t="s">
        <v>584</v>
      </c>
      <c r="K19824" t="s">
        <v>33</v>
      </c>
      <c r="L19824" t="s">
        <v>335</v>
      </c>
      <c r="N19824" t="s">
        <v>29</v>
      </c>
    </row>
    <row r="19825" spans="1:14">
      <c r="A19825" s="4" t="str">
        <f t="shared" ref="A19825:A19888" si="1368">HYPERLINK("http://hcmdb.i-sanger.com/experiment/details/experiment_id/EXP00447","EXP00447")</f>
        <v>EXP00447</v>
      </c>
      <c r="B19825" s="3" t="s">
        <v>66</v>
      </c>
      <c r="C19825" s="4" t="str">
        <f t="shared" si="1367"/>
        <v>TCGA-THCA</v>
      </c>
      <c r="D19825" s="1" t="s">
        <v>493</v>
      </c>
      <c r="E19825" t="s">
        <v>590</v>
      </c>
      <c r="F19825" s="1">
        <v>2</v>
      </c>
      <c r="G19825" s="1" t="s">
        <v>32</v>
      </c>
      <c r="H19825" s="4" t="str">
        <f>HYPERLINK("https://portal.gdc.cancer.gov/cases/d8d54c81-7ef5-4b0f-b35b-28fbf8c5198e","TCGA-EM-A3AJ-01A")</f>
        <v>TCGA-EM-A3AJ-01A</v>
      </c>
      <c r="I19825" t="s">
        <v>333</v>
      </c>
      <c r="J19825" t="s">
        <v>584</v>
      </c>
      <c r="K19825" t="s">
        <v>33</v>
      </c>
      <c r="L19825" t="s">
        <v>335</v>
      </c>
      <c r="N19825" t="s">
        <v>29</v>
      </c>
    </row>
    <row r="19826" spans="1:14">
      <c r="A19826" s="4" t="str">
        <f t="shared" si="1368"/>
        <v>EXP00447</v>
      </c>
      <c r="B19826" s="3" t="s">
        <v>66</v>
      </c>
      <c r="C19826" s="4" t="str">
        <f t="shared" si="1367"/>
        <v>TCGA-THCA</v>
      </c>
      <c r="D19826" s="1" t="s">
        <v>493</v>
      </c>
      <c r="E19826" t="s">
        <v>590</v>
      </c>
      <c r="F19826" s="1">
        <v>2</v>
      </c>
      <c r="G19826" s="1" t="s">
        <v>32</v>
      </c>
      <c r="H19826" s="4" t="str">
        <f>HYPERLINK("https://portal.gdc.cancer.gov/cases/47bde6dd-fa41-4d1b-8b20-2a5a5cdb2769","TCGA-EM-A3AK-01A")</f>
        <v>TCGA-EM-A3AK-01A</v>
      </c>
      <c r="I19826" t="s">
        <v>333</v>
      </c>
      <c r="J19826" t="s">
        <v>584</v>
      </c>
      <c r="K19826" t="s">
        <v>33</v>
      </c>
      <c r="L19826" t="s">
        <v>335</v>
      </c>
      <c r="N19826" t="s">
        <v>29</v>
      </c>
    </row>
    <row r="19827" spans="1:14">
      <c r="A19827" s="4" t="str">
        <f t="shared" si="1368"/>
        <v>EXP00447</v>
      </c>
      <c r="B19827" s="3" t="s">
        <v>66</v>
      </c>
      <c r="C19827" s="4" t="str">
        <f t="shared" si="1367"/>
        <v>TCGA-THCA</v>
      </c>
      <c r="D19827" s="1" t="s">
        <v>493</v>
      </c>
      <c r="E19827" t="s">
        <v>590</v>
      </c>
      <c r="F19827" s="1">
        <v>2</v>
      </c>
      <c r="G19827" s="1" t="s">
        <v>32</v>
      </c>
      <c r="H19827" s="4" t="str">
        <f>HYPERLINK("https://portal.gdc.cancer.gov/cases/0c50a2c2-1d4c-45ca-9127-f96d4db18daf","TCGA-EM-A3AL-01A")</f>
        <v>TCGA-EM-A3AL-01A</v>
      </c>
      <c r="I19827" t="s">
        <v>333</v>
      </c>
      <c r="J19827" t="s">
        <v>584</v>
      </c>
      <c r="K19827" t="s">
        <v>33</v>
      </c>
      <c r="L19827" t="s">
        <v>335</v>
      </c>
      <c r="N19827" t="s">
        <v>29</v>
      </c>
    </row>
    <row r="19828" spans="1:14">
      <c r="A19828" s="4" t="str">
        <f t="shared" si="1368"/>
        <v>EXP00447</v>
      </c>
      <c r="B19828" s="3" t="s">
        <v>66</v>
      </c>
      <c r="C19828" s="4" t="str">
        <f t="shared" si="1367"/>
        <v>TCGA-THCA</v>
      </c>
      <c r="D19828" s="1" t="s">
        <v>493</v>
      </c>
      <c r="E19828" t="s">
        <v>590</v>
      </c>
      <c r="F19828" s="1">
        <v>2</v>
      </c>
      <c r="G19828" s="1" t="s">
        <v>32</v>
      </c>
      <c r="H19828" s="4" t="str">
        <f>HYPERLINK("https://portal.gdc.cancer.gov/cases/6491d025-c061-4180-bfd4-d7c6e6e55f66","TCGA-EM-A3AN-01A")</f>
        <v>TCGA-EM-A3AN-01A</v>
      </c>
      <c r="I19828" t="s">
        <v>333</v>
      </c>
      <c r="J19828" t="s">
        <v>584</v>
      </c>
      <c r="K19828" t="s">
        <v>33</v>
      </c>
      <c r="L19828" t="s">
        <v>335</v>
      </c>
      <c r="N19828" t="s">
        <v>29</v>
      </c>
    </row>
    <row r="19829" spans="1:14">
      <c r="A19829" s="4" t="str">
        <f t="shared" si="1368"/>
        <v>EXP00447</v>
      </c>
      <c r="B19829" s="3" t="s">
        <v>66</v>
      </c>
      <c r="C19829" s="4" t="str">
        <f t="shared" ref="C19829:C19892" si="1369">HYPERLINK("https://portal.gdc.cancer.gov/projects/TCGA-THCA","TCGA-THCA")</f>
        <v>TCGA-THCA</v>
      </c>
      <c r="D19829" s="1" t="s">
        <v>493</v>
      </c>
      <c r="E19829" t="s">
        <v>590</v>
      </c>
      <c r="F19829" s="1">
        <v>2</v>
      </c>
      <c r="G19829" s="1" t="s">
        <v>32</v>
      </c>
      <c r="H19829" s="4" t="str">
        <f>HYPERLINK("https://portal.gdc.cancer.gov/cases/19378727-e0a6-4898-b2d0-f12241616870","TCGA-EM-A3AO-01A")</f>
        <v>TCGA-EM-A3AO-01A</v>
      </c>
      <c r="I19829" t="s">
        <v>333</v>
      </c>
      <c r="J19829" t="s">
        <v>584</v>
      </c>
      <c r="K19829" t="s">
        <v>33</v>
      </c>
      <c r="L19829" t="s">
        <v>335</v>
      </c>
      <c r="N19829" t="s">
        <v>29</v>
      </c>
    </row>
    <row r="19830" spans="1:14">
      <c r="A19830" s="4" t="str">
        <f t="shared" si="1368"/>
        <v>EXP00447</v>
      </c>
      <c r="B19830" s="3" t="s">
        <v>66</v>
      </c>
      <c r="C19830" s="4" t="str">
        <f t="shared" si="1369"/>
        <v>TCGA-THCA</v>
      </c>
      <c r="D19830" s="1" t="s">
        <v>493</v>
      </c>
      <c r="E19830" t="s">
        <v>590</v>
      </c>
      <c r="F19830" s="1">
        <v>2</v>
      </c>
      <c r="G19830" s="1" t="s">
        <v>32</v>
      </c>
      <c r="H19830" s="4" t="str">
        <f>HYPERLINK("https://portal.gdc.cancer.gov/cases/105210cc-6fe3-4615-a582-475553e14272","TCGA-EM-A3AP-01A")</f>
        <v>TCGA-EM-A3AP-01A</v>
      </c>
      <c r="I19830" t="s">
        <v>333</v>
      </c>
      <c r="J19830" t="s">
        <v>584</v>
      </c>
      <c r="K19830" t="s">
        <v>33</v>
      </c>
      <c r="L19830" t="s">
        <v>335</v>
      </c>
      <c r="N19830" t="s">
        <v>29</v>
      </c>
    </row>
    <row r="19831" spans="1:14">
      <c r="A19831" s="4" t="str">
        <f t="shared" si="1368"/>
        <v>EXP00447</v>
      </c>
      <c r="B19831" s="3" t="s">
        <v>66</v>
      </c>
      <c r="C19831" s="4" t="str">
        <f t="shared" si="1369"/>
        <v>TCGA-THCA</v>
      </c>
      <c r="D19831" s="1" t="s">
        <v>493</v>
      </c>
      <c r="E19831" t="s">
        <v>590</v>
      </c>
      <c r="F19831" s="1">
        <v>2</v>
      </c>
      <c r="G19831" s="1" t="s">
        <v>32</v>
      </c>
      <c r="H19831" s="4" t="str">
        <f>HYPERLINK("https://portal.gdc.cancer.gov/cases/e8f56d0f-eee4-4def-a43a-dec91f4382a1","TCGA-EM-A3AQ-01A")</f>
        <v>TCGA-EM-A3AQ-01A</v>
      </c>
      <c r="I19831" t="s">
        <v>333</v>
      </c>
      <c r="J19831" t="s">
        <v>584</v>
      </c>
      <c r="K19831" t="s">
        <v>33</v>
      </c>
      <c r="L19831" t="s">
        <v>335</v>
      </c>
      <c r="N19831" t="s">
        <v>29</v>
      </c>
    </row>
    <row r="19832" spans="1:14">
      <c r="A19832" s="4" t="str">
        <f t="shared" si="1368"/>
        <v>EXP00447</v>
      </c>
      <c r="B19832" s="3" t="s">
        <v>66</v>
      </c>
      <c r="C19832" s="4" t="str">
        <f t="shared" si="1369"/>
        <v>TCGA-THCA</v>
      </c>
      <c r="D19832" s="1" t="s">
        <v>493</v>
      </c>
      <c r="E19832" t="s">
        <v>590</v>
      </c>
      <c r="F19832" s="1">
        <v>2</v>
      </c>
      <c r="G19832" s="1" t="s">
        <v>32</v>
      </c>
      <c r="H19832" s="4" t="str">
        <f>HYPERLINK("https://portal.gdc.cancer.gov/cases/707312fe-1d92-413e-a891-1ea3f496c343","TCGA-EM-A3AR-01A")</f>
        <v>TCGA-EM-A3AR-01A</v>
      </c>
      <c r="I19832" t="s">
        <v>333</v>
      </c>
      <c r="J19832" t="s">
        <v>584</v>
      </c>
      <c r="K19832" t="s">
        <v>33</v>
      </c>
      <c r="L19832" t="s">
        <v>335</v>
      </c>
      <c r="N19832" t="s">
        <v>29</v>
      </c>
    </row>
    <row r="19833" spans="1:14">
      <c r="A19833" s="4" t="str">
        <f t="shared" si="1368"/>
        <v>EXP00447</v>
      </c>
      <c r="B19833" s="3" t="s">
        <v>66</v>
      </c>
      <c r="C19833" s="4" t="str">
        <f t="shared" si="1369"/>
        <v>TCGA-THCA</v>
      </c>
      <c r="D19833" s="1" t="s">
        <v>493</v>
      </c>
      <c r="E19833" t="s">
        <v>590</v>
      </c>
      <c r="F19833" s="1">
        <v>2</v>
      </c>
      <c r="G19833" s="1" t="s">
        <v>32</v>
      </c>
      <c r="H19833" s="4" t="str">
        <f>HYPERLINK("https://portal.gdc.cancer.gov/cases/c9c00e4f-4092-400e-aebb-3d9961be0f0e","TCGA-EM-A3FJ-01A")</f>
        <v>TCGA-EM-A3FJ-01A</v>
      </c>
      <c r="I19833" t="s">
        <v>333</v>
      </c>
      <c r="J19833" t="s">
        <v>584</v>
      </c>
      <c r="K19833" t="s">
        <v>33</v>
      </c>
      <c r="L19833" t="s">
        <v>335</v>
      </c>
      <c r="N19833" t="s">
        <v>29</v>
      </c>
    </row>
    <row r="19834" spans="1:14">
      <c r="A19834" s="4" t="str">
        <f t="shared" si="1368"/>
        <v>EXP00447</v>
      </c>
      <c r="B19834" s="3" t="s">
        <v>66</v>
      </c>
      <c r="C19834" s="4" t="str">
        <f t="shared" si="1369"/>
        <v>TCGA-THCA</v>
      </c>
      <c r="D19834" s="1" t="s">
        <v>493</v>
      </c>
      <c r="E19834" t="s">
        <v>590</v>
      </c>
      <c r="F19834" s="1">
        <v>2</v>
      </c>
      <c r="G19834" s="1" t="s">
        <v>32</v>
      </c>
      <c r="H19834" s="4" t="str">
        <f>HYPERLINK("https://portal.gdc.cancer.gov/cases/0f9b78c8-ee9d-4e60-939c-bdbe040c212d","TCGA-EM-A3FK-01A")</f>
        <v>TCGA-EM-A3FK-01A</v>
      </c>
      <c r="I19834" t="s">
        <v>333</v>
      </c>
      <c r="J19834" t="s">
        <v>584</v>
      </c>
      <c r="K19834" t="s">
        <v>33</v>
      </c>
      <c r="L19834" t="s">
        <v>335</v>
      </c>
      <c r="N19834" t="s">
        <v>29</v>
      </c>
    </row>
    <row r="19835" spans="1:14">
      <c r="A19835" s="4" t="str">
        <f t="shared" si="1368"/>
        <v>EXP00447</v>
      </c>
      <c r="B19835" s="3" t="s">
        <v>66</v>
      </c>
      <c r="C19835" s="4" t="str">
        <f t="shared" si="1369"/>
        <v>TCGA-THCA</v>
      </c>
      <c r="D19835" s="1" t="s">
        <v>493</v>
      </c>
      <c r="E19835" t="s">
        <v>590</v>
      </c>
      <c r="F19835" s="1">
        <v>2</v>
      </c>
      <c r="G19835" s="1" t="s">
        <v>32</v>
      </c>
      <c r="H19835" s="4" t="str">
        <f>HYPERLINK("https://portal.gdc.cancer.gov/cases/cfdd2155-57a9-499c-92e1-fb82b577b050","TCGA-EM-A3FL-01A")</f>
        <v>TCGA-EM-A3FL-01A</v>
      </c>
      <c r="I19835" t="s">
        <v>333</v>
      </c>
      <c r="J19835" t="s">
        <v>584</v>
      </c>
      <c r="K19835" t="s">
        <v>33</v>
      </c>
      <c r="L19835" t="s">
        <v>335</v>
      </c>
      <c r="N19835" t="s">
        <v>29</v>
      </c>
    </row>
    <row r="19836" spans="1:14">
      <c r="A19836" s="4" t="str">
        <f t="shared" si="1368"/>
        <v>EXP00447</v>
      </c>
      <c r="B19836" s="3" t="s">
        <v>66</v>
      </c>
      <c r="C19836" s="4" t="str">
        <f t="shared" si="1369"/>
        <v>TCGA-THCA</v>
      </c>
      <c r="D19836" s="1" t="s">
        <v>493</v>
      </c>
      <c r="E19836" t="s">
        <v>590</v>
      </c>
      <c r="F19836" s="1">
        <v>2</v>
      </c>
      <c r="G19836" s="1" t="s">
        <v>32</v>
      </c>
      <c r="H19836" s="4" t="str">
        <f>HYPERLINK("https://portal.gdc.cancer.gov/cases/90473122-7221-491d-8fc2-0c72421d7861","TCGA-EM-A3FM-01A")</f>
        <v>TCGA-EM-A3FM-01A</v>
      </c>
      <c r="I19836" t="s">
        <v>333</v>
      </c>
      <c r="J19836" t="s">
        <v>584</v>
      </c>
      <c r="K19836" t="s">
        <v>33</v>
      </c>
      <c r="L19836" t="s">
        <v>335</v>
      </c>
      <c r="N19836" t="s">
        <v>29</v>
      </c>
    </row>
    <row r="19837" spans="1:14">
      <c r="A19837" s="4" t="str">
        <f t="shared" si="1368"/>
        <v>EXP00447</v>
      </c>
      <c r="B19837" s="3" t="s">
        <v>66</v>
      </c>
      <c r="C19837" s="4" t="str">
        <f t="shared" si="1369"/>
        <v>TCGA-THCA</v>
      </c>
      <c r="D19837" s="1" t="s">
        <v>493</v>
      </c>
      <c r="E19837" t="s">
        <v>590</v>
      </c>
      <c r="F19837" s="1">
        <v>2</v>
      </c>
      <c r="G19837" s="1" t="s">
        <v>32</v>
      </c>
      <c r="H19837" s="4" t="str">
        <f>HYPERLINK("https://portal.gdc.cancer.gov/cases/59cd0969-a798-4d19-95ed-a311f39d2f38","TCGA-EM-A3FN-01A")</f>
        <v>TCGA-EM-A3FN-01A</v>
      </c>
      <c r="I19837" t="s">
        <v>333</v>
      </c>
      <c r="J19837" t="s">
        <v>584</v>
      </c>
      <c r="K19837" t="s">
        <v>33</v>
      </c>
      <c r="L19837" t="s">
        <v>335</v>
      </c>
      <c r="N19837" t="s">
        <v>29</v>
      </c>
    </row>
    <row r="19838" spans="1:14">
      <c r="A19838" s="4" t="str">
        <f t="shared" si="1368"/>
        <v>EXP00447</v>
      </c>
      <c r="B19838" s="3" t="s">
        <v>66</v>
      </c>
      <c r="C19838" s="4" t="str">
        <f t="shared" si="1369"/>
        <v>TCGA-THCA</v>
      </c>
      <c r="D19838" s="1" t="s">
        <v>493</v>
      </c>
      <c r="E19838" t="s">
        <v>590</v>
      </c>
      <c r="F19838" s="1">
        <v>2</v>
      </c>
      <c r="G19838" s="1" t="s">
        <v>32</v>
      </c>
      <c r="H19838" s="4" t="str">
        <f>HYPERLINK("https://portal.gdc.cancer.gov/cases/b2e6933f-50e1-48e3-ae1f-173e1bc889ff","TCGA-EM-A3FO-01A")</f>
        <v>TCGA-EM-A3FO-01A</v>
      </c>
      <c r="I19838" t="s">
        <v>333</v>
      </c>
      <c r="J19838" t="s">
        <v>584</v>
      </c>
      <c r="K19838" t="s">
        <v>33</v>
      </c>
      <c r="L19838" t="s">
        <v>335</v>
      </c>
      <c r="N19838" t="s">
        <v>29</v>
      </c>
    </row>
    <row r="19839" spans="1:14">
      <c r="A19839" s="4" t="str">
        <f t="shared" si="1368"/>
        <v>EXP00447</v>
      </c>
      <c r="B19839" s="3" t="s">
        <v>66</v>
      </c>
      <c r="C19839" s="4" t="str">
        <f t="shared" si="1369"/>
        <v>TCGA-THCA</v>
      </c>
      <c r="D19839" s="1" t="s">
        <v>493</v>
      </c>
      <c r="E19839" t="s">
        <v>590</v>
      </c>
      <c r="F19839" s="1">
        <v>2</v>
      </c>
      <c r="G19839" s="1" t="s">
        <v>32</v>
      </c>
      <c r="H19839" s="4" t="str">
        <f>HYPERLINK("https://portal.gdc.cancer.gov/cases/c2291b36-7b7f-4c07-a164-6600d9e7929f","TCGA-EM-A3FP-01A")</f>
        <v>TCGA-EM-A3FP-01A</v>
      </c>
      <c r="I19839" t="s">
        <v>333</v>
      </c>
      <c r="J19839" t="s">
        <v>584</v>
      </c>
      <c r="K19839" t="s">
        <v>33</v>
      </c>
      <c r="L19839" t="s">
        <v>335</v>
      </c>
      <c r="N19839" t="s">
        <v>29</v>
      </c>
    </row>
    <row r="19840" spans="1:14">
      <c r="A19840" s="4" t="str">
        <f t="shared" si="1368"/>
        <v>EXP00447</v>
      </c>
      <c r="B19840" s="3" t="s">
        <v>66</v>
      </c>
      <c r="C19840" s="4" t="str">
        <f t="shared" si="1369"/>
        <v>TCGA-THCA</v>
      </c>
      <c r="D19840" s="1" t="s">
        <v>493</v>
      </c>
      <c r="E19840" t="s">
        <v>590</v>
      </c>
      <c r="F19840" s="1">
        <v>2</v>
      </c>
      <c r="G19840" s="1" t="s">
        <v>32</v>
      </c>
      <c r="H19840" s="4" t="str">
        <f>HYPERLINK("https://portal.gdc.cancer.gov/cases/2b84cfbc-7cf6-4cb1-a1e3-ba85dafb89f4","TCGA-EM-A3FR-01A")</f>
        <v>TCGA-EM-A3FR-01A</v>
      </c>
      <c r="I19840" t="s">
        <v>333</v>
      </c>
      <c r="J19840" t="s">
        <v>584</v>
      </c>
      <c r="K19840" t="s">
        <v>33</v>
      </c>
      <c r="L19840" t="s">
        <v>335</v>
      </c>
      <c r="N19840" t="s">
        <v>29</v>
      </c>
    </row>
    <row r="19841" spans="1:14">
      <c r="A19841" s="4" t="str">
        <f t="shared" si="1368"/>
        <v>EXP00447</v>
      </c>
      <c r="B19841" s="3" t="s">
        <v>66</v>
      </c>
      <c r="C19841" s="4" t="str">
        <f t="shared" si="1369"/>
        <v>TCGA-THCA</v>
      </c>
      <c r="D19841" s="1" t="s">
        <v>493</v>
      </c>
      <c r="E19841" t="s">
        <v>590</v>
      </c>
      <c r="F19841" s="1">
        <v>2</v>
      </c>
      <c r="G19841" s="1" t="s">
        <v>32</v>
      </c>
      <c r="H19841" s="4" t="str">
        <f>HYPERLINK("https://portal.gdc.cancer.gov/cases/2a398af1-aea5-4aae-ab00-a2dc152f965a","TCGA-EM-A3O3-01A")</f>
        <v>TCGA-EM-A3O3-01A</v>
      </c>
      <c r="I19841" t="s">
        <v>333</v>
      </c>
      <c r="J19841" t="s">
        <v>584</v>
      </c>
      <c r="K19841" t="s">
        <v>33</v>
      </c>
      <c r="L19841" t="s">
        <v>335</v>
      </c>
      <c r="N19841" t="s">
        <v>29</v>
      </c>
    </row>
    <row r="19842" spans="1:14">
      <c r="A19842" s="4" t="str">
        <f t="shared" si="1368"/>
        <v>EXP00447</v>
      </c>
      <c r="B19842" s="3" t="s">
        <v>66</v>
      </c>
      <c r="C19842" s="4" t="str">
        <f t="shared" si="1369"/>
        <v>TCGA-THCA</v>
      </c>
      <c r="D19842" s="1" t="s">
        <v>493</v>
      </c>
      <c r="E19842" t="s">
        <v>590</v>
      </c>
      <c r="F19842" s="1">
        <v>2</v>
      </c>
      <c r="G19842" s="1" t="s">
        <v>32</v>
      </c>
      <c r="H19842" s="4" t="str">
        <f>HYPERLINK("https://portal.gdc.cancer.gov/cases/398d5c2e-f877-4bbf-a10c-486b8523c9ce","TCGA-EM-A3O6-01A")</f>
        <v>TCGA-EM-A3O6-01A</v>
      </c>
      <c r="I19842" t="s">
        <v>333</v>
      </c>
      <c r="J19842" t="s">
        <v>584</v>
      </c>
      <c r="K19842" t="s">
        <v>33</v>
      </c>
      <c r="L19842" t="s">
        <v>335</v>
      </c>
      <c r="N19842" t="s">
        <v>29</v>
      </c>
    </row>
    <row r="19843" spans="1:14">
      <c r="A19843" s="4" t="str">
        <f t="shared" si="1368"/>
        <v>EXP00447</v>
      </c>
      <c r="B19843" s="3" t="s">
        <v>66</v>
      </c>
      <c r="C19843" s="4" t="str">
        <f t="shared" si="1369"/>
        <v>TCGA-THCA</v>
      </c>
      <c r="D19843" s="1" t="s">
        <v>493</v>
      </c>
      <c r="E19843" t="s">
        <v>590</v>
      </c>
      <c r="F19843" s="1">
        <v>2</v>
      </c>
      <c r="G19843" s="1" t="s">
        <v>32</v>
      </c>
      <c r="H19843" s="4" t="str">
        <f>HYPERLINK("https://portal.gdc.cancer.gov/cases/3a211d5a-085f-4902-86b6-50e4eb36b897","TCGA-EM-A3O7-01A")</f>
        <v>TCGA-EM-A3O7-01A</v>
      </c>
      <c r="I19843" t="s">
        <v>333</v>
      </c>
      <c r="J19843" t="s">
        <v>584</v>
      </c>
      <c r="K19843" t="s">
        <v>33</v>
      </c>
      <c r="L19843" t="s">
        <v>335</v>
      </c>
      <c r="N19843" t="s">
        <v>29</v>
      </c>
    </row>
    <row r="19844" spans="1:14">
      <c r="A19844" s="4" t="str">
        <f t="shared" si="1368"/>
        <v>EXP00447</v>
      </c>
      <c r="B19844" s="3" t="s">
        <v>66</v>
      </c>
      <c r="C19844" s="4" t="str">
        <f t="shared" si="1369"/>
        <v>TCGA-THCA</v>
      </c>
      <c r="D19844" s="1" t="s">
        <v>493</v>
      </c>
      <c r="E19844" t="s">
        <v>590</v>
      </c>
      <c r="F19844" s="1">
        <v>2</v>
      </c>
      <c r="G19844" s="1" t="s">
        <v>32</v>
      </c>
      <c r="H19844" s="4" t="str">
        <f>HYPERLINK("https://portal.gdc.cancer.gov/cases/97b5017c-2066-4472-ab3f-31cfe64a6762","TCGA-EM-A3O8-01A")</f>
        <v>TCGA-EM-A3O8-01A</v>
      </c>
      <c r="I19844" t="s">
        <v>333</v>
      </c>
      <c r="J19844" t="s">
        <v>584</v>
      </c>
      <c r="K19844" t="s">
        <v>33</v>
      </c>
      <c r="L19844" t="s">
        <v>335</v>
      </c>
      <c r="N19844" t="s">
        <v>29</v>
      </c>
    </row>
    <row r="19845" spans="1:14">
      <c r="A19845" s="4" t="str">
        <f t="shared" si="1368"/>
        <v>EXP00447</v>
      </c>
      <c r="B19845" s="3" t="s">
        <v>66</v>
      </c>
      <c r="C19845" s="4" t="str">
        <f t="shared" si="1369"/>
        <v>TCGA-THCA</v>
      </c>
      <c r="D19845" s="1" t="s">
        <v>493</v>
      </c>
      <c r="E19845" t="s">
        <v>590</v>
      </c>
      <c r="F19845" s="1">
        <v>2</v>
      </c>
      <c r="G19845" s="1" t="s">
        <v>32</v>
      </c>
      <c r="H19845" s="4" t="str">
        <f>HYPERLINK("https://portal.gdc.cancer.gov/cases/24cf6397-60ef-4635-81f0-78a67157aac0","TCGA-EM-A3OA-01A")</f>
        <v>TCGA-EM-A3OA-01A</v>
      </c>
      <c r="I19845" t="s">
        <v>333</v>
      </c>
      <c r="J19845" t="s">
        <v>584</v>
      </c>
      <c r="K19845" t="s">
        <v>33</v>
      </c>
      <c r="L19845" t="s">
        <v>335</v>
      </c>
      <c r="N19845" t="s">
        <v>29</v>
      </c>
    </row>
    <row r="19846" spans="1:14">
      <c r="A19846" s="4" t="str">
        <f t="shared" si="1368"/>
        <v>EXP00447</v>
      </c>
      <c r="B19846" s="3" t="s">
        <v>66</v>
      </c>
      <c r="C19846" s="4" t="str">
        <f t="shared" si="1369"/>
        <v>TCGA-THCA</v>
      </c>
      <c r="D19846" s="1" t="s">
        <v>493</v>
      </c>
      <c r="E19846" t="s">
        <v>590</v>
      </c>
      <c r="F19846" s="1">
        <v>2</v>
      </c>
      <c r="G19846" s="1" t="s">
        <v>32</v>
      </c>
      <c r="H19846" s="4" t="str">
        <f>HYPERLINK("https://portal.gdc.cancer.gov/cases/8cfc2589-b0ad-4fe6-8420-8f6fe0178bcc","TCGA-EM-A3OB-01A")</f>
        <v>TCGA-EM-A3OB-01A</v>
      </c>
      <c r="I19846" t="s">
        <v>333</v>
      </c>
      <c r="J19846" t="s">
        <v>584</v>
      </c>
      <c r="K19846" t="s">
        <v>33</v>
      </c>
      <c r="L19846" t="s">
        <v>335</v>
      </c>
      <c r="N19846" t="s">
        <v>29</v>
      </c>
    </row>
    <row r="19847" spans="1:14">
      <c r="A19847" s="4" t="str">
        <f t="shared" si="1368"/>
        <v>EXP00447</v>
      </c>
      <c r="B19847" s="3" t="s">
        <v>66</v>
      </c>
      <c r="C19847" s="4" t="str">
        <f t="shared" si="1369"/>
        <v>TCGA-THCA</v>
      </c>
      <c r="D19847" s="1" t="s">
        <v>493</v>
      </c>
      <c r="E19847" t="s">
        <v>590</v>
      </c>
      <c r="F19847" s="1">
        <v>2</v>
      </c>
      <c r="G19847" s="1" t="s">
        <v>32</v>
      </c>
      <c r="H19847" s="4" t="str">
        <f>HYPERLINK("https://portal.gdc.cancer.gov/cases/d5932dd7-b777-427f-8b55-3ec369fd76a3","TCGA-EM-A3ST-01A")</f>
        <v>TCGA-EM-A3ST-01A</v>
      </c>
      <c r="I19847" t="s">
        <v>333</v>
      </c>
      <c r="J19847" t="s">
        <v>584</v>
      </c>
      <c r="K19847" t="s">
        <v>33</v>
      </c>
      <c r="L19847" t="s">
        <v>335</v>
      </c>
      <c r="N19847" t="s">
        <v>29</v>
      </c>
    </row>
    <row r="19848" spans="1:14">
      <c r="A19848" s="4" t="str">
        <f t="shared" si="1368"/>
        <v>EXP00447</v>
      </c>
      <c r="B19848" s="3" t="s">
        <v>66</v>
      </c>
      <c r="C19848" s="4" t="str">
        <f t="shared" si="1369"/>
        <v>TCGA-THCA</v>
      </c>
      <c r="D19848" s="1" t="s">
        <v>493</v>
      </c>
      <c r="E19848" t="s">
        <v>590</v>
      </c>
      <c r="F19848" s="1">
        <v>2</v>
      </c>
      <c r="G19848" s="1" t="s">
        <v>32</v>
      </c>
      <c r="H19848" s="4" t="str">
        <f>HYPERLINK("https://portal.gdc.cancer.gov/cases/14591ce2-ed02-440d-8004-7ca0ad94d0a7","TCGA-EM-A3SX-01A")</f>
        <v>TCGA-EM-A3SX-01A</v>
      </c>
      <c r="I19848" t="s">
        <v>333</v>
      </c>
      <c r="J19848" t="s">
        <v>584</v>
      </c>
      <c r="K19848" t="s">
        <v>33</v>
      </c>
      <c r="L19848" t="s">
        <v>335</v>
      </c>
      <c r="N19848" t="s">
        <v>29</v>
      </c>
    </row>
    <row r="19849" spans="1:14">
      <c r="A19849" s="4" t="str">
        <f t="shared" si="1368"/>
        <v>EXP00447</v>
      </c>
      <c r="B19849" s="3" t="s">
        <v>66</v>
      </c>
      <c r="C19849" s="4" t="str">
        <f t="shared" si="1369"/>
        <v>TCGA-THCA</v>
      </c>
      <c r="D19849" s="1" t="s">
        <v>493</v>
      </c>
      <c r="E19849" t="s">
        <v>590</v>
      </c>
      <c r="F19849" s="1">
        <v>2</v>
      </c>
      <c r="G19849" s="1" t="s">
        <v>32</v>
      </c>
      <c r="H19849" s="4" t="str">
        <f>HYPERLINK("https://portal.gdc.cancer.gov/cases/95dcd0a2-2fcd-4952-9022-d8143ba61fac","TCGA-EM-A3SY-01A")</f>
        <v>TCGA-EM-A3SY-01A</v>
      </c>
      <c r="I19849" t="s">
        <v>333</v>
      </c>
      <c r="J19849" t="s">
        <v>584</v>
      </c>
      <c r="K19849" t="s">
        <v>33</v>
      </c>
      <c r="L19849" t="s">
        <v>335</v>
      </c>
      <c r="N19849" t="s">
        <v>29</v>
      </c>
    </row>
    <row r="19850" spans="1:14">
      <c r="A19850" s="4" t="str">
        <f t="shared" si="1368"/>
        <v>EXP00447</v>
      </c>
      <c r="B19850" s="3" t="s">
        <v>66</v>
      </c>
      <c r="C19850" s="4" t="str">
        <f t="shared" si="1369"/>
        <v>TCGA-THCA</v>
      </c>
      <c r="D19850" s="1" t="s">
        <v>493</v>
      </c>
      <c r="E19850" t="s">
        <v>590</v>
      </c>
      <c r="F19850" s="1">
        <v>2</v>
      </c>
      <c r="G19850" s="1" t="s">
        <v>32</v>
      </c>
      <c r="H19850" s="4" t="str">
        <f>HYPERLINK("https://portal.gdc.cancer.gov/cases/104b6629-aff4-411b-9704-547c47ada5a1","TCGA-EM-A3SZ-01A")</f>
        <v>TCGA-EM-A3SZ-01A</v>
      </c>
      <c r="I19850" t="s">
        <v>333</v>
      </c>
      <c r="J19850" t="s">
        <v>584</v>
      </c>
      <c r="K19850" t="s">
        <v>33</v>
      </c>
      <c r="L19850" t="s">
        <v>335</v>
      </c>
      <c r="N19850" t="s">
        <v>29</v>
      </c>
    </row>
    <row r="19851" spans="1:14">
      <c r="A19851" s="4" t="str">
        <f t="shared" si="1368"/>
        <v>EXP00447</v>
      </c>
      <c r="B19851" s="3" t="s">
        <v>66</v>
      </c>
      <c r="C19851" s="4" t="str">
        <f t="shared" si="1369"/>
        <v>TCGA-THCA</v>
      </c>
      <c r="D19851" s="1" t="s">
        <v>493</v>
      </c>
      <c r="E19851" t="s">
        <v>590</v>
      </c>
      <c r="F19851" s="1">
        <v>2</v>
      </c>
      <c r="G19851" s="1" t="s">
        <v>32</v>
      </c>
      <c r="H19851" s="4" t="str">
        <f>HYPERLINK("https://portal.gdc.cancer.gov/cases/b7bafe7f-295c-4598-9cc8-49d785bd2218","TCGA-EM-A4FF-01A")</f>
        <v>TCGA-EM-A4FF-01A</v>
      </c>
      <c r="I19851" t="s">
        <v>333</v>
      </c>
      <c r="J19851" t="s">
        <v>584</v>
      </c>
      <c r="K19851" t="s">
        <v>33</v>
      </c>
      <c r="L19851" t="s">
        <v>335</v>
      </c>
      <c r="N19851" t="s">
        <v>29</v>
      </c>
    </row>
    <row r="19852" spans="1:14">
      <c r="A19852" s="4" t="str">
        <f t="shared" si="1368"/>
        <v>EXP00447</v>
      </c>
      <c r="B19852" s="3" t="s">
        <v>66</v>
      </c>
      <c r="C19852" s="4" t="str">
        <f t="shared" si="1369"/>
        <v>TCGA-THCA</v>
      </c>
      <c r="D19852" s="1" t="s">
        <v>493</v>
      </c>
      <c r="E19852" t="s">
        <v>590</v>
      </c>
      <c r="F19852" s="1">
        <v>2</v>
      </c>
      <c r="G19852" s="1" t="s">
        <v>32</v>
      </c>
      <c r="H19852" s="4" t="str">
        <f>HYPERLINK("https://portal.gdc.cancer.gov/cases/4729410a-7240-4ed0-b478-78cc6c7a4810","TCGA-EM-A4FH-01A")</f>
        <v>TCGA-EM-A4FH-01A</v>
      </c>
      <c r="I19852" t="s">
        <v>333</v>
      </c>
      <c r="J19852" t="s">
        <v>584</v>
      </c>
      <c r="K19852" t="s">
        <v>33</v>
      </c>
      <c r="L19852" t="s">
        <v>335</v>
      </c>
      <c r="N19852" t="s">
        <v>29</v>
      </c>
    </row>
    <row r="19853" spans="1:14">
      <c r="A19853" s="4" t="str">
        <f t="shared" si="1368"/>
        <v>EXP00447</v>
      </c>
      <c r="B19853" s="3" t="s">
        <v>66</v>
      </c>
      <c r="C19853" s="4" t="str">
        <f t="shared" si="1369"/>
        <v>TCGA-THCA</v>
      </c>
      <c r="D19853" s="1" t="s">
        <v>493</v>
      </c>
      <c r="E19853" t="s">
        <v>590</v>
      </c>
      <c r="F19853" s="1">
        <v>2</v>
      </c>
      <c r="G19853" s="1" t="s">
        <v>32</v>
      </c>
      <c r="H19853" s="4" t="str">
        <f>HYPERLINK("https://portal.gdc.cancer.gov/cases/0dc361b5-e755-4131-8766-d2c1375336d8","TCGA-EM-A4FK-01A")</f>
        <v>TCGA-EM-A4FK-01A</v>
      </c>
      <c r="I19853" t="s">
        <v>333</v>
      </c>
      <c r="J19853" t="s">
        <v>584</v>
      </c>
      <c r="K19853" t="s">
        <v>33</v>
      </c>
      <c r="L19853" t="s">
        <v>335</v>
      </c>
      <c r="N19853" t="s">
        <v>29</v>
      </c>
    </row>
    <row r="19854" spans="1:14">
      <c r="A19854" s="4" t="str">
        <f t="shared" si="1368"/>
        <v>EXP00447</v>
      </c>
      <c r="B19854" s="3" t="s">
        <v>66</v>
      </c>
      <c r="C19854" s="4" t="str">
        <f t="shared" si="1369"/>
        <v>TCGA-THCA</v>
      </c>
      <c r="D19854" s="1" t="s">
        <v>493</v>
      </c>
      <c r="E19854" t="s">
        <v>590</v>
      </c>
      <c r="F19854" s="1">
        <v>2</v>
      </c>
      <c r="G19854" s="1" t="s">
        <v>32</v>
      </c>
      <c r="H19854" s="4" t="str">
        <f>HYPERLINK("https://portal.gdc.cancer.gov/cases/12f90efb-c45b-4372-8197-2dfd9ca247ea","TCGA-EM-A4FM-01A")</f>
        <v>TCGA-EM-A4FM-01A</v>
      </c>
      <c r="I19854" t="s">
        <v>333</v>
      </c>
      <c r="J19854" t="s">
        <v>584</v>
      </c>
      <c r="K19854" t="s">
        <v>33</v>
      </c>
      <c r="L19854" t="s">
        <v>335</v>
      </c>
      <c r="N19854" t="s">
        <v>29</v>
      </c>
    </row>
    <row r="19855" spans="1:14">
      <c r="A19855" s="4" t="str">
        <f t="shared" si="1368"/>
        <v>EXP00447</v>
      </c>
      <c r="B19855" s="3" t="s">
        <v>66</v>
      </c>
      <c r="C19855" s="4" t="str">
        <f t="shared" si="1369"/>
        <v>TCGA-THCA</v>
      </c>
      <c r="D19855" s="1" t="s">
        <v>493</v>
      </c>
      <c r="E19855" t="s">
        <v>590</v>
      </c>
      <c r="F19855" s="1">
        <v>2</v>
      </c>
      <c r="G19855" s="1" t="s">
        <v>32</v>
      </c>
      <c r="H19855" s="4" t="str">
        <f>HYPERLINK("https://portal.gdc.cancer.gov/cases/f854ce67-c586-4424-a674-2dd67ad0ed7f","TCGA-EM-A4FN-01A")</f>
        <v>TCGA-EM-A4FN-01A</v>
      </c>
      <c r="I19855" t="s">
        <v>333</v>
      </c>
      <c r="J19855" t="s">
        <v>584</v>
      </c>
      <c r="K19855" t="s">
        <v>33</v>
      </c>
      <c r="L19855" t="s">
        <v>335</v>
      </c>
      <c r="N19855" t="s">
        <v>29</v>
      </c>
    </row>
    <row r="19856" spans="1:14">
      <c r="A19856" s="4" t="str">
        <f t="shared" si="1368"/>
        <v>EXP00447</v>
      </c>
      <c r="B19856" s="3" t="s">
        <v>66</v>
      </c>
      <c r="C19856" s="4" t="str">
        <f t="shared" si="1369"/>
        <v>TCGA-THCA</v>
      </c>
      <c r="D19856" s="1" t="s">
        <v>493</v>
      </c>
      <c r="E19856" t="s">
        <v>590</v>
      </c>
      <c r="F19856" s="1">
        <v>2</v>
      </c>
      <c r="G19856" s="1" t="s">
        <v>32</v>
      </c>
      <c r="H19856" s="4" t="str">
        <f>HYPERLINK("https://portal.gdc.cancer.gov/cases/e0ab95ef-5c96-4d00-8950-04e26e3b4672","TCGA-EM-A4FO-01A")</f>
        <v>TCGA-EM-A4FO-01A</v>
      </c>
      <c r="I19856" t="s">
        <v>333</v>
      </c>
      <c r="J19856" t="s">
        <v>584</v>
      </c>
      <c r="K19856" t="s">
        <v>33</v>
      </c>
      <c r="L19856" t="s">
        <v>335</v>
      </c>
      <c r="N19856" t="s">
        <v>29</v>
      </c>
    </row>
    <row r="19857" spans="1:14">
      <c r="A19857" s="4" t="str">
        <f t="shared" si="1368"/>
        <v>EXP00447</v>
      </c>
      <c r="B19857" s="3" t="s">
        <v>66</v>
      </c>
      <c r="C19857" s="4" t="str">
        <f t="shared" si="1369"/>
        <v>TCGA-THCA</v>
      </c>
      <c r="D19857" s="1" t="s">
        <v>493</v>
      </c>
      <c r="E19857" t="s">
        <v>590</v>
      </c>
      <c r="F19857" s="1">
        <v>2</v>
      </c>
      <c r="G19857" s="1" t="s">
        <v>32</v>
      </c>
      <c r="H19857" s="4" t="str">
        <f>HYPERLINK("https://portal.gdc.cancer.gov/cases/511b5f28-709b-4e43-9efd-b2f425bba962","TCGA-EM-A4FQ-01A")</f>
        <v>TCGA-EM-A4FQ-01A</v>
      </c>
      <c r="I19857" t="s">
        <v>333</v>
      </c>
      <c r="J19857" t="s">
        <v>584</v>
      </c>
      <c r="K19857" t="s">
        <v>33</v>
      </c>
      <c r="L19857" t="s">
        <v>335</v>
      </c>
      <c r="N19857" t="s">
        <v>29</v>
      </c>
    </row>
    <row r="19858" spans="1:14">
      <c r="A19858" s="4" t="str">
        <f t="shared" si="1368"/>
        <v>EXP00447</v>
      </c>
      <c r="B19858" s="3" t="s">
        <v>66</v>
      </c>
      <c r="C19858" s="4" t="str">
        <f t="shared" si="1369"/>
        <v>TCGA-THCA</v>
      </c>
      <c r="D19858" s="1" t="s">
        <v>493</v>
      </c>
      <c r="E19858" t="s">
        <v>590</v>
      </c>
      <c r="F19858" s="1">
        <v>2</v>
      </c>
      <c r="G19858" s="1" t="s">
        <v>32</v>
      </c>
      <c r="H19858" s="4" t="str">
        <f>HYPERLINK("https://portal.gdc.cancer.gov/cases/8dd09d74-0be8-4c58-bf44-de4a2466d044","TCGA-EM-A4FR-01A")</f>
        <v>TCGA-EM-A4FR-01A</v>
      </c>
      <c r="I19858" t="s">
        <v>333</v>
      </c>
      <c r="J19858" t="s">
        <v>584</v>
      </c>
      <c r="K19858" t="s">
        <v>33</v>
      </c>
      <c r="L19858" t="s">
        <v>335</v>
      </c>
      <c r="N19858" t="s">
        <v>29</v>
      </c>
    </row>
    <row r="19859" spans="1:14">
      <c r="A19859" s="4" t="str">
        <f t="shared" si="1368"/>
        <v>EXP00447</v>
      </c>
      <c r="B19859" s="3" t="s">
        <v>66</v>
      </c>
      <c r="C19859" s="4" t="str">
        <f t="shared" si="1369"/>
        <v>TCGA-THCA</v>
      </c>
      <c r="D19859" s="1" t="s">
        <v>493</v>
      </c>
      <c r="E19859" t="s">
        <v>590</v>
      </c>
      <c r="F19859" s="1">
        <v>2</v>
      </c>
      <c r="G19859" s="1" t="s">
        <v>32</v>
      </c>
      <c r="H19859" s="4" t="str">
        <f>HYPERLINK("https://portal.gdc.cancer.gov/cases/50ec4170-29ea-4ee9-8ce7-67ec78d1dc76","TCGA-EM-A4FU-01A")</f>
        <v>TCGA-EM-A4FU-01A</v>
      </c>
      <c r="I19859" t="s">
        <v>333</v>
      </c>
      <c r="J19859" t="s">
        <v>584</v>
      </c>
      <c r="K19859" t="s">
        <v>33</v>
      </c>
      <c r="L19859" t="s">
        <v>335</v>
      </c>
      <c r="N19859" t="s">
        <v>29</v>
      </c>
    </row>
    <row r="19860" spans="1:14">
      <c r="A19860" s="4" t="str">
        <f t="shared" si="1368"/>
        <v>EXP00447</v>
      </c>
      <c r="B19860" s="3" t="s">
        <v>66</v>
      </c>
      <c r="C19860" s="4" t="str">
        <f t="shared" si="1369"/>
        <v>TCGA-THCA</v>
      </c>
      <c r="D19860" s="1" t="s">
        <v>493</v>
      </c>
      <c r="E19860" t="s">
        <v>590</v>
      </c>
      <c r="F19860" s="1">
        <v>2</v>
      </c>
      <c r="G19860" s="1" t="s">
        <v>32</v>
      </c>
      <c r="H19860" s="4" t="str">
        <f>HYPERLINK("https://portal.gdc.cancer.gov/cases/646d1585-2d12-483c-8425-77d5451b2869","TCGA-EM-A4FV-01A")</f>
        <v>TCGA-EM-A4FV-01A</v>
      </c>
      <c r="I19860" t="s">
        <v>333</v>
      </c>
      <c r="J19860" t="s">
        <v>584</v>
      </c>
      <c r="K19860" t="s">
        <v>33</v>
      </c>
      <c r="L19860" t="s">
        <v>335</v>
      </c>
      <c r="N19860" t="s">
        <v>29</v>
      </c>
    </row>
    <row r="19861" spans="1:14">
      <c r="A19861" s="4" t="str">
        <f t="shared" si="1368"/>
        <v>EXP00447</v>
      </c>
      <c r="B19861" s="3" t="s">
        <v>66</v>
      </c>
      <c r="C19861" s="4" t="str">
        <f t="shared" si="1369"/>
        <v>TCGA-THCA</v>
      </c>
      <c r="D19861" s="1" t="s">
        <v>493</v>
      </c>
      <c r="E19861" t="s">
        <v>590</v>
      </c>
      <c r="F19861" s="1">
        <v>2</v>
      </c>
      <c r="G19861" s="1" t="s">
        <v>32</v>
      </c>
      <c r="H19861" s="4" t="str">
        <f>HYPERLINK("https://portal.gdc.cancer.gov/cases/ca625067-1c6d-45c7-b752-af40c8327ea5","TCGA-EM-A4G1-01A")</f>
        <v>TCGA-EM-A4G1-01A</v>
      </c>
      <c r="I19861" t="s">
        <v>333</v>
      </c>
      <c r="J19861" t="s">
        <v>584</v>
      </c>
      <c r="K19861" t="s">
        <v>33</v>
      </c>
      <c r="L19861" t="s">
        <v>335</v>
      </c>
      <c r="N19861" t="s">
        <v>29</v>
      </c>
    </row>
    <row r="19862" spans="1:14">
      <c r="A19862" s="4" t="str">
        <f t="shared" si="1368"/>
        <v>EXP00447</v>
      </c>
      <c r="B19862" s="3" t="s">
        <v>66</v>
      </c>
      <c r="C19862" s="4" t="str">
        <f t="shared" si="1369"/>
        <v>TCGA-THCA</v>
      </c>
      <c r="D19862" s="1" t="s">
        <v>493</v>
      </c>
      <c r="E19862" t="s">
        <v>590</v>
      </c>
      <c r="F19862" s="1">
        <v>2</v>
      </c>
      <c r="G19862" s="1" t="s">
        <v>32</v>
      </c>
      <c r="H19862" s="4" t="str">
        <f>HYPERLINK("https://portal.gdc.cancer.gov/cases/e23cd75a-06ad-4da0-b19b-b812b0f6c1b9","TCGA-ET-A25G-01A")</f>
        <v>TCGA-ET-A25G-01A</v>
      </c>
      <c r="I19862" t="s">
        <v>333</v>
      </c>
      <c r="J19862" t="s">
        <v>584</v>
      </c>
      <c r="K19862" t="s">
        <v>33</v>
      </c>
      <c r="L19862" t="s">
        <v>335</v>
      </c>
      <c r="N19862" t="s">
        <v>29</v>
      </c>
    </row>
    <row r="19863" spans="1:14">
      <c r="A19863" s="4" t="str">
        <f t="shared" si="1368"/>
        <v>EXP00447</v>
      </c>
      <c r="B19863" s="3" t="s">
        <v>66</v>
      </c>
      <c r="C19863" s="4" t="str">
        <f t="shared" si="1369"/>
        <v>TCGA-THCA</v>
      </c>
      <c r="D19863" s="1" t="s">
        <v>493</v>
      </c>
      <c r="E19863" t="s">
        <v>590</v>
      </c>
      <c r="F19863" s="1">
        <v>2</v>
      </c>
      <c r="G19863" s="1" t="s">
        <v>32</v>
      </c>
      <c r="H19863" s="4" t="str">
        <f>HYPERLINK("https://portal.gdc.cancer.gov/cases/1005ccb2-10ef-4e37-950e-ad72393db03c","TCGA-ET-A25I-01A")</f>
        <v>TCGA-ET-A25I-01A</v>
      </c>
      <c r="I19863" t="s">
        <v>333</v>
      </c>
      <c r="J19863" t="s">
        <v>584</v>
      </c>
      <c r="K19863" t="s">
        <v>33</v>
      </c>
      <c r="L19863" t="s">
        <v>335</v>
      </c>
      <c r="N19863" t="s">
        <v>29</v>
      </c>
    </row>
    <row r="19864" spans="1:14">
      <c r="A19864" s="4" t="str">
        <f t="shared" si="1368"/>
        <v>EXP00447</v>
      </c>
      <c r="B19864" s="3" t="s">
        <v>66</v>
      </c>
      <c r="C19864" s="4" t="str">
        <f t="shared" si="1369"/>
        <v>TCGA-THCA</v>
      </c>
      <c r="D19864" s="1" t="s">
        <v>493</v>
      </c>
      <c r="E19864" t="s">
        <v>590</v>
      </c>
      <c r="F19864" s="1">
        <v>2</v>
      </c>
      <c r="G19864" s="1" t="s">
        <v>32</v>
      </c>
      <c r="H19864" s="4" t="str">
        <f>HYPERLINK("https://portal.gdc.cancer.gov/cases/2f9ed09d-2626-4c23-ba47-1850d36f812a","TCGA-ET-A25K-01A")</f>
        <v>TCGA-ET-A25K-01A</v>
      </c>
      <c r="I19864" t="s">
        <v>333</v>
      </c>
      <c r="J19864" t="s">
        <v>584</v>
      </c>
      <c r="K19864" t="s">
        <v>33</v>
      </c>
      <c r="L19864" t="s">
        <v>335</v>
      </c>
      <c r="N19864" t="s">
        <v>29</v>
      </c>
    </row>
    <row r="19865" spans="1:14">
      <c r="A19865" s="4" t="str">
        <f t="shared" si="1368"/>
        <v>EXP00447</v>
      </c>
      <c r="B19865" s="3" t="s">
        <v>66</v>
      </c>
      <c r="C19865" s="4" t="str">
        <f t="shared" si="1369"/>
        <v>TCGA-THCA</v>
      </c>
      <c r="D19865" s="1" t="s">
        <v>493</v>
      </c>
      <c r="E19865" t="s">
        <v>590</v>
      </c>
      <c r="F19865" s="1">
        <v>2</v>
      </c>
      <c r="G19865" s="1" t="s">
        <v>32</v>
      </c>
      <c r="H19865" s="4" t="str">
        <f>HYPERLINK("https://portal.gdc.cancer.gov/cases/4481d84d-109e-44a0-bcb4-e6e61bdce796","TCGA-ET-A25L-01A")</f>
        <v>TCGA-ET-A25L-01A</v>
      </c>
      <c r="I19865" t="s">
        <v>333</v>
      </c>
      <c r="J19865" t="s">
        <v>584</v>
      </c>
      <c r="K19865" t="s">
        <v>33</v>
      </c>
      <c r="L19865" t="s">
        <v>335</v>
      </c>
      <c r="N19865" t="s">
        <v>29</v>
      </c>
    </row>
    <row r="19866" spans="1:14">
      <c r="A19866" s="4" t="str">
        <f t="shared" si="1368"/>
        <v>EXP00447</v>
      </c>
      <c r="B19866" s="3" t="s">
        <v>66</v>
      </c>
      <c r="C19866" s="4" t="str">
        <f t="shared" si="1369"/>
        <v>TCGA-THCA</v>
      </c>
      <c r="D19866" s="1" t="s">
        <v>493</v>
      </c>
      <c r="E19866" t="s">
        <v>590</v>
      </c>
      <c r="F19866" s="1">
        <v>2</v>
      </c>
      <c r="G19866" s="1" t="s">
        <v>32</v>
      </c>
      <c r="H19866" s="4" t="str">
        <f>HYPERLINK("https://portal.gdc.cancer.gov/cases/8023d4c9-b56d-417a-9a52-d45b59c756ed","TCGA-ET-A25M-01A")</f>
        <v>TCGA-ET-A25M-01A</v>
      </c>
      <c r="I19866" t="s">
        <v>333</v>
      </c>
      <c r="J19866" t="s">
        <v>584</v>
      </c>
      <c r="K19866" t="s">
        <v>33</v>
      </c>
      <c r="L19866" t="s">
        <v>335</v>
      </c>
      <c r="N19866" t="s">
        <v>29</v>
      </c>
    </row>
    <row r="19867" spans="1:14">
      <c r="A19867" s="4" t="str">
        <f t="shared" si="1368"/>
        <v>EXP00447</v>
      </c>
      <c r="B19867" s="3" t="s">
        <v>66</v>
      </c>
      <c r="C19867" s="4" t="str">
        <f t="shared" si="1369"/>
        <v>TCGA-THCA</v>
      </c>
      <c r="D19867" s="1" t="s">
        <v>493</v>
      </c>
      <c r="E19867" t="s">
        <v>590</v>
      </c>
      <c r="F19867" s="1">
        <v>2</v>
      </c>
      <c r="G19867" s="1" t="s">
        <v>32</v>
      </c>
      <c r="H19867" s="4" t="str">
        <f>HYPERLINK("https://portal.gdc.cancer.gov/cases/ebccfb5f-c0a8-4263-aaff-b5dd83585191","TCGA-ET-A25N-01A")</f>
        <v>TCGA-ET-A25N-01A</v>
      </c>
      <c r="I19867" t="s">
        <v>333</v>
      </c>
      <c r="J19867" t="s">
        <v>584</v>
      </c>
      <c r="K19867" t="s">
        <v>33</v>
      </c>
      <c r="L19867" t="s">
        <v>335</v>
      </c>
      <c r="N19867" t="s">
        <v>29</v>
      </c>
    </row>
    <row r="19868" spans="1:14">
      <c r="A19868" s="4" t="str">
        <f t="shared" si="1368"/>
        <v>EXP00447</v>
      </c>
      <c r="B19868" s="3" t="s">
        <v>66</v>
      </c>
      <c r="C19868" s="4" t="str">
        <f t="shared" si="1369"/>
        <v>TCGA-THCA</v>
      </c>
      <c r="D19868" s="1" t="s">
        <v>493</v>
      </c>
      <c r="E19868" t="s">
        <v>590</v>
      </c>
      <c r="F19868" s="1">
        <v>2</v>
      </c>
      <c r="G19868" s="1" t="s">
        <v>32</v>
      </c>
      <c r="H19868" s="4" t="str">
        <f>HYPERLINK("https://portal.gdc.cancer.gov/cases/c30eb9bd-d705-4464-9014-e0aa7cda53c7","TCGA-ET-A25O-01A")</f>
        <v>TCGA-ET-A25O-01A</v>
      </c>
      <c r="I19868" t="s">
        <v>333</v>
      </c>
      <c r="J19868" t="s">
        <v>584</v>
      </c>
      <c r="K19868" t="s">
        <v>33</v>
      </c>
      <c r="L19868" t="s">
        <v>335</v>
      </c>
      <c r="N19868" t="s">
        <v>29</v>
      </c>
    </row>
    <row r="19869" spans="1:14">
      <c r="A19869" s="4" t="str">
        <f t="shared" si="1368"/>
        <v>EXP00447</v>
      </c>
      <c r="B19869" s="3" t="s">
        <v>66</v>
      </c>
      <c r="C19869" s="4" t="str">
        <f t="shared" si="1369"/>
        <v>TCGA-THCA</v>
      </c>
      <c r="D19869" s="1" t="s">
        <v>493</v>
      </c>
      <c r="E19869" t="s">
        <v>590</v>
      </c>
      <c r="F19869" s="1">
        <v>2</v>
      </c>
      <c r="G19869" s="1" t="s">
        <v>32</v>
      </c>
      <c r="H19869" s="4" t="str">
        <f>HYPERLINK("https://portal.gdc.cancer.gov/cases/12ecc0e5-8cb8-406e-ac9f-4f8c22b64fc1","TCGA-ET-A25P-01A")</f>
        <v>TCGA-ET-A25P-01A</v>
      </c>
      <c r="I19869" t="s">
        <v>333</v>
      </c>
      <c r="J19869" t="s">
        <v>584</v>
      </c>
      <c r="K19869" t="s">
        <v>33</v>
      </c>
      <c r="L19869" t="s">
        <v>335</v>
      </c>
      <c r="N19869" t="s">
        <v>29</v>
      </c>
    </row>
    <row r="19870" spans="1:14">
      <c r="A19870" s="4" t="str">
        <f t="shared" si="1368"/>
        <v>EXP00447</v>
      </c>
      <c r="B19870" s="3" t="s">
        <v>66</v>
      </c>
      <c r="C19870" s="4" t="str">
        <f t="shared" si="1369"/>
        <v>TCGA-THCA</v>
      </c>
      <c r="D19870" s="1" t="s">
        <v>493</v>
      </c>
      <c r="E19870" t="s">
        <v>590</v>
      </c>
      <c r="F19870" s="1">
        <v>2</v>
      </c>
      <c r="G19870" s="1" t="s">
        <v>32</v>
      </c>
      <c r="H19870" s="4" t="str">
        <f>HYPERLINK("https://portal.gdc.cancer.gov/cases/097b9cf1-ec0c-487c-9ade-2bdab12eb4ca","TCGA-ET-A25R-01A")</f>
        <v>TCGA-ET-A25R-01A</v>
      </c>
      <c r="I19870" t="s">
        <v>333</v>
      </c>
      <c r="J19870" t="s">
        <v>584</v>
      </c>
      <c r="K19870" t="s">
        <v>33</v>
      </c>
      <c r="L19870" t="s">
        <v>335</v>
      </c>
      <c r="N19870" t="s">
        <v>29</v>
      </c>
    </row>
    <row r="19871" spans="1:14">
      <c r="A19871" s="4" t="str">
        <f t="shared" si="1368"/>
        <v>EXP00447</v>
      </c>
      <c r="B19871" s="3" t="s">
        <v>66</v>
      </c>
      <c r="C19871" s="4" t="str">
        <f t="shared" si="1369"/>
        <v>TCGA-THCA</v>
      </c>
      <c r="D19871" s="1" t="s">
        <v>493</v>
      </c>
      <c r="E19871" t="s">
        <v>590</v>
      </c>
      <c r="F19871" s="1">
        <v>2</v>
      </c>
      <c r="G19871" s="1" t="s">
        <v>32</v>
      </c>
      <c r="H19871" s="4" t="str">
        <f>HYPERLINK("https://portal.gdc.cancer.gov/cases/59681e8f-cf57-47b4-82e1-6be8ead9583e","TCGA-ET-A2MX-01A")</f>
        <v>TCGA-ET-A2MX-01A</v>
      </c>
      <c r="I19871" t="s">
        <v>333</v>
      </c>
      <c r="J19871" t="s">
        <v>584</v>
      </c>
      <c r="K19871" t="s">
        <v>33</v>
      </c>
      <c r="L19871" t="s">
        <v>335</v>
      </c>
      <c r="N19871" t="s">
        <v>29</v>
      </c>
    </row>
    <row r="19872" spans="1:14">
      <c r="A19872" s="4" t="str">
        <f t="shared" si="1368"/>
        <v>EXP00447</v>
      </c>
      <c r="B19872" s="3" t="s">
        <v>66</v>
      </c>
      <c r="C19872" s="4" t="str">
        <f t="shared" si="1369"/>
        <v>TCGA-THCA</v>
      </c>
      <c r="D19872" s="1" t="s">
        <v>493</v>
      </c>
      <c r="E19872" t="s">
        <v>590</v>
      </c>
      <c r="F19872" s="1">
        <v>2</v>
      </c>
      <c r="G19872" s="1" t="s">
        <v>32</v>
      </c>
      <c r="H19872" s="4" t="str">
        <f>HYPERLINK("https://portal.gdc.cancer.gov/cases/eb15422b-cafd-4af2-973e-8c997a911170","TCGA-ET-A2MY-01A")</f>
        <v>TCGA-ET-A2MY-01A</v>
      </c>
      <c r="I19872" t="s">
        <v>333</v>
      </c>
      <c r="J19872" t="s">
        <v>584</v>
      </c>
      <c r="K19872" t="s">
        <v>33</v>
      </c>
      <c r="L19872" t="s">
        <v>335</v>
      </c>
      <c r="N19872" t="s">
        <v>29</v>
      </c>
    </row>
    <row r="19873" spans="1:14">
      <c r="A19873" s="4" t="str">
        <f t="shared" si="1368"/>
        <v>EXP00447</v>
      </c>
      <c r="B19873" s="3" t="s">
        <v>66</v>
      </c>
      <c r="C19873" s="4" t="str">
        <f t="shared" si="1369"/>
        <v>TCGA-THCA</v>
      </c>
      <c r="D19873" s="1" t="s">
        <v>493</v>
      </c>
      <c r="E19873" t="s">
        <v>590</v>
      </c>
      <c r="F19873" s="1">
        <v>2</v>
      </c>
      <c r="G19873" s="1" t="s">
        <v>32</v>
      </c>
      <c r="H19873" s="4" t="str">
        <f>HYPERLINK("https://portal.gdc.cancer.gov/cases/4fa53eb7-1fdb-4fe5-b5ad-f3d8069b3eb8","TCGA-ET-A2MZ-01A")</f>
        <v>TCGA-ET-A2MZ-01A</v>
      </c>
      <c r="I19873" t="s">
        <v>333</v>
      </c>
      <c r="J19873" t="s">
        <v>584</v>
      </c>
      <c r="K19873" t="s">
        <v>33</v>
      </c>
      <c r="L19873" t="s">
        <v>335</v>
      </c>
      <c r="N19873" t="s">
        <v>29</v>
      </c>
    </row>
    <row r="19874" spans="1:14">
      <c r="A19874" s="4" t="str">
        <f t="shared" si="1368"/>
        <v>EXP00447</v>
      </c>
      <c r="B19874" s="3" t="s">
        <v>66</v>
      </c>
      <c r="C19874" s="4" t="str">
        <f t="shared" si="1369"/>
        <v>TCGA-THCA</v>
      </c>
      <c r="D19874" s="1" t="s">
        <v>493</v>
      </c>
      <c r="E19874" t="s">
        <v>590</v>
      </c>
      <c r="F19874" s="1">
        <v>2</v>
      </c>
      <c r="G19874" s="1" t="s">
        <v>32</v>
      </c>
      <c r="H19874" s="4" t="str">
        <f>HYPERLINK("https://portal.gdc.cancer.gov/cases/212aa9c4-610d-4286-9ca2-ae6c87b9bc0e","TCGA-ET-A2N0-01A")</f>
        <v>TCGA-ET-A2N0-01A</v>
      </c>
      <c r="I19874" t="s">
        <v>333</v>
      </c>
      <c r="J19874" t="s">
        <v>584</v>
      </c>
      <c r="K19874" t="s">
        <v>33</v>
      </c>
      <c r="L19874" t="s">
        <v>335</v>
      </c>
      <c r="N19874" t="s">
        <v>29</v>
      </c>
    </row>
    <row r="19875" spans="1:14">
      <c r="A19875" s="4" t="str">
        <f t="shared" si="1368"/>
        <v>EXP00447</v>
      </c>
      <c r="B19875" s="3" t="s">
        <v>66</v>
      </c>
      <c r="C19875" s="4" t="str">
        <f t="shared" si="1369"/>
        <v>TCGA-THCA</v>
      </c>
      <c r="D19875" s="1" t="s">
        <v>493</v>
      </c>
      <c r="E19875" t="s">
        <v>590</v>
      </c>
      <c r="F19875" s="1">
        <v>2</v>
      </c>
      <c r="G19875" s="1" t="s">
        <v>32</v>
      </c>
      <c r="H19875" s="4" t="str">
        <f>HYPERLINK("https://portal.gdc.cancer.gov/cases/9dcaa676-10ca-48cb-b245-7cc4bd1fe9bb","TCGA-ET-A2N3-01B")</f>
        <v>TCGA-ET-A2N3-01B</v>
      </c>
      <c r="I19875" t="s">
        <v>333</v>
      </c>
      <c r="J19875" t="s">
        <v>584</v>
      </c>
      <c r="K19875" t="s">
        <v>33</v>
      </c>
      <c r="L19875" t="s">
        <v>335</v>
      </c>
      <c r="N19875" t="s">
        <v>29</v>
      </c>
    </row>
    <row r="19876" spans="1:14">
      <c r="A19876" s="4" t="str">
        <f t="shared" si="1368"/>
        <v>EXP00447</v>
      </c>
      <c r="B19876" s="3" t="s">
        <v>66</v>
      </c>
      <c r="C19876" s="4" t="str">
        <f t="shared" si="1369"/>
        <v>TCGA-THCA</v>
      </c>
      <c r="D19876" s="1" t="s">
        <v>493</v>
      </c>
      <c r="E19876" t="s">
        <v>590</v>
      </c>
      <c r="F19876" s="1">
        <v>2</v>
      </c>
      <c r="G19876" s="1" t="s">
        <v>32</v>
      </c>
      <c r="H19876" s="4" t="str">
        <f>HYPERLINK("https://portal.gdc.cancer.gov/cases/3dcee02c-a3d2-4188-a072-4d36c8a7e8fd","TCGA-ET-A2N4-01A")</f>
        <v>TCGA-ET-A2N4-01A</v>
      </c>
      <c r="I19876" t="s">
        <v>333</v>
      </c>
      <c r="J19876" t="s">
        <v>584</v>
      </c>
      <c r="K19876" t="s">
        <v>33</v>
      </c>
      <c r="L19876" t="s">
        <v>335</v>
      </c>
      <c r="N19876" t="s">
        <v>29</v>
      </c>
    </row>
    <row r="19877" spans="1:14">
      <c r="A19877" s="4" t="str">
        <f t="shared" si="1368"/>
        <v>EXP00447</v>
      </c>
      <c r="B19877" s="3" t="s">
        <v>66</v>
      </c>
      <c r="C19877" s="4" t="str">
        <f t="shared" si="1369"/>
        <v>TCGA-THCA</v>
      </c>
      <c r="D19877" s="1" t="s">
        <v>493</v>
      </c>
      <c r="E19877" t="s">
        <v>590</v>
      </c>
      <c r="F19877" s="1">
        <v>2</v>
      </c>
      <c r="G19877" s="1" t="s">
        <v>32</v>
      </c>
      <c r="H19877" s="4" t="str">
        <f>HYPERLINK("https://portal.gdc.cancer.gov/cases/7d818f01-49a6-4ba8-9f1c-c77398adbdd0","TCGA-ET-A2N5-01A")</f>
        <v>TCGA-ET-A2N5-01A</v>
      </c>
      <c r="I19877" t="s">
        <v>333</v>
      </c>
      <c r="J19877" t="s">
        <v>584</v>
      </c>
      <c r="K19877" t="s">
        <v>33</v>
      </c>
      <c r="L19877" t="s">
        <v>335</v>
      </c>
      <c r="N19877" t="s">
        <v>29</v>
      </c>
    </row>
    <row r="19878" spans="1:14">
      <c r="A19878" s="4" t="str">
        <f t="shared" si="1368"/>
        <v>EXP00447</v>
      </c>
      <c r="B19878" s="3" t="s">
        <v>66</v>
      </c>
      <c r="C19878" s="4" t="str">
        <f t="shared" si="1369"/>
        <v>TCGA-THCA</v>
      </c>
      <c r="D19878" s="1" t="s">
        <v>493</v>
      </c>
      <c r="E19878" t="s">
        <v>590</v>
      </c>
      <c r="F19878" s="1">
        <v>2</v>
      </c>
      <c r="G19878" s="1" t="s">
        <v>32</v>
      </c>
      <c r="H19878" s="4" t="str">
        <f>HYPERLINK("https://portal.gdc.cancer.gov/cases/369a07a5-f835-4886-a204-d5584c67f253","TCGA-ET-A39I-01A")</f>
        <v>TCGA-ET-A39I-01A</v>
      </c>
      <c r="I19878" t="s">
        <v>333</v>
      </c>
      <c r="J19878" t="s">
        <v>584</v>
      </c>
      <c r="K19878" t="s">
        <v>33</v>
      </c>
      <c r="L19878" t="s">
        <v>335</v>
      </c>
      <c r="N19878" t="s">
        <v>29</v>
      </c>
    </row>
    <row r="19879" spans="1:14">
      <c r="A19879" s="4" t="str">
        <f t="shared" si="1368"/>
        <v>EXP00447</v>
      </c>
      <c r="B19879" s="3" t="s">
        <v>66</v>
      </c>
      <c r="C19879" s="4" t="str">
        <f t="shared" si="1369"/>
        <v>TCGA-THCA</v>
      </c>
      <c r="D19879" s="1" t="s">
        <v>493</v>
      </c>
      <c r="E19879" t="s">
        <v>590</v>
      </c>
      <c r="F19879" s="1">
        <v>2</v>
      </c>
      <c r="G19879" s="1" t="s">
        <v>32</v>
      </c>
      <c r="H19879" s="4" t="str">
        <f>HYPERLINK("https://portal.gdc.cancer.gov/cases/1757c89f-8795-4c3b-bbad-1e6f617f2472","TCGA-ET-A39J-01A")</f>
        <v>TCGA-ET-A39J-01A</v>
      </c>
      <c r="I19879" t="s">
        <v>333</v>
      </c>
      <c r="J19879" t="s">
        <v>584</v>
      </c>
      <c r="K19879" t="s">
        <v>33</v>
      </c>
      <c r="L19879" t="s">
        <v>335</v>
      </c>
      <c r="N19879" t="s">
        <v>29</v>
      </c>
    </row>
    <row r="19880" spans="1:14">
      <c r="A19880" s="4" t="str">
        <f t="shared" si="1368"/>
        <v>EXP00447</v>
      </c>
      <c r="B19880" s="3" t="s">
        <v>66</v>
      </c>
      <c r="C19880" s="4" t="str">
        <f t="shared" si="1369"/>
        <v>TCGA-THCA</v>
      </c>
      <c r="D19880" s="1" t="s">
        <v>493</v>
      </c>
      <c r="E19880" t="s">
        <v>590</v>
      </c>
      <c r="F19880" s="1">
        <v>2</v>
      </c>
      <c r="G19880" s="1" t="s">
        <v>32</v>
      </c>
      <c r="H19880" s="4" t="str">
        <f>HYPERLINK("https://portal.gdc.cancer.gov/cases/6e1c9ac8-eead-4db9-8f30-ef3591daf78b","TCGA-ET-A39K-01A")</f>
        <v>TCGA-ET-A39K-01A</v>
      </c>
      <c r="I19880" t="s">
        <v>333</v>
      </c>
      <c r="J19880" t="s">
        <v>584</v>
      </c>
      <c r="K19880" t="s">
        <v>33</v>
      </c>
      <c r="L19880" t="s">
        <v>335</v>
      </c>
      <c r="N19880" t="s">
        <v>29</v>
      </c>
    </row>
    <row r="19881" spans="1:14">
      <c r="A19881" s="4" t="str">
        <f t="shared" si="1368"/>
        <v>EXP00447</v>
      </c>
      <c r="B19881" s="3" t="s">
        <v>66</v>
      </c>
      <c r="C19881" s="4" t="str">
        <f t="shared" si="1369"/>
        <v>TCGA-THCA</v>
      </c>
      <c r="D19881" s="1" t="s">
        <v>493</v>
      </c>
      <c r="E19881" t="s">
        <v>590</v>
      </c>
      <c r="F19881" s="1">
        <v>2</v>
      </c>
      <c r="G19881" s="1" t="s">
        <v>32</v>
      </c>
      <c r="H19881" s="4" t="str">
        <f>HYPERLINK("https://portal.gdc.cancer.gov/cases/cd73c807-a74e-46a8-9855-92de33da9b0d","TCGA-ET-A39L-01A")</f>
        <v>TCGA-ET-A39L-01A</v>
      </c>
      <c r="I19881" t="s">
        <v>333</v>
      </c>
      <c r="J19881" t="s">
        <v>584</v>
      </c>
      <c r="K19881" t="s">
        <v>33</v>
      </c>
      <c r="L19881" t="s">
        <v>335</v>
      </c>
      <c r="N19881" t="s">
        <v>29</v>
      </c>
    </row>
    <row r="19882" spans="1:14">
      <c r="A19882" s="4" t="str">
        <f t="shared" si="1368"/>
        <v>EXP00447</v>
      </c>
      <c r="B19882" s="3" t="s">
        <v>66</v>
      </c>
      <c r="C19882" s="4" t="str">
        <f t="shared" si="1369"/>
        <v>TCGA-THCA</v>
      </c>
      <c r="D19882" s="1" t="s">
        <v>493</v>
      </c>
      <c r="E19882" t="s">
        <v>590</v>
      </c>
      <c r="F19882" s="1">
        <v>2</v>
      </c>
      <c r="G19882" s="1" t="s">
        <v>32</v>
      </c>
      <c r="H19882" s="4" t="str">
        <f>HYPERLINK("https://portal.gdc.cancer.gov/cases/e9949320-ad37-4542-98c1-b72df60b1668","TCGA-ET-A39M-01A")</f>
        <v>TCGA-ET-A39M-01A</v>
      </c>
      <c r="I19882" t="s">
        <v>333</v>
      </c>
      <c r="J19882" t="s">
        <v>584</v>
      </c>
      <c r="K19882" t="s">
        <v>33</v>
      </c>
      <c r="L19882" t="s">
        <v>335</v>
      </c>
      <c r="N19882" t="s">
        <v>29</v>
      </c>
    </row>
    <row r="19883" spans="1:14">
      <c r="A19883" s="4" t="str">
        <f t="shared" si="1368"/>
        <v>EXP00447</v>
      </c>
      <c r="B19883" s="3" t="s">
        <v>66</v>
      </c>
      <c r="C19883" s="4" t="str">
        <f t="shared" si="1369"/>
        <v>TCGA-THCA</v>
      </c>
      <c r="D19883" s="1" t="s">
        <v>493</v>
      </c>
      <c r="E19883" t="s">
        <v>590</v>
      </c>
      <c r="F19883" s="1">
        <v>2</v>
      </c>
      <c r="G19883" s="1" t="s">
        <v>32</v>
      </c>
      <c r="H19883" s="4" t="str">
        <f>HYPERLINK("https://portal.gdc.cancer.gov/cases/87858089-1bad-4e5d-80ed-04f846da9ca4","TCGA-ET-A39N-01A")</f>
        <v>TCGA-ET-A39N-01A</v>
      </c>
      <c r="I19883" t="s">
        <v>333</v>
      </c>
      <c r="J19883" t="s">
        <v>584</v>
      </c>
      <c r="K19883" t="s">
        <v>33</v>
      </c>
      <c r="L19883" t="s">
        <v>335</v>
      </c>
      <c r="N19883" t="s">
        <v>29</v>
      </c>
    </row>
    <row r="19884" spans="1:14">
      <c r="A19884" s="4" t="str">
        <f t="shared" si="1368"/>
        <v>EXP00447</v>
      </c>
      <c r="B19884" s="3" t="s">
        <v>66</v>
      </c>
      <c r="C19884" s="4" t="str">
        <f t="shared" si="1369"/>
        <v>TCGA-THCA</v>
      </c>
      <c r="D19884" s="1" t="s">
        <v>493</v>
      </c>
      <c r="E19884" t="s">
        <v>590</v>
      </c>
      <c r="F19884" s="1">
        <v>2</v>
      </c>
      <c r="G19884" s="1" t="s">
        <v>32</v>
      </c>
      <c r="H19884" s="4" t="str">
        <f>HYPERLINK("https://portal.gdc.cancer.gov/cases/d2512fd6-9042-4a62-8b49-d483cb84b89d","TCGA-ET-A39O-01A")</f>
        <v>TCGA-ET-A39O-01A</v>
      </c>
      <c r="I19884" t="s">
        <v>333</v>
      </c>
      <c r="J19884" t="s">
        <v>584</v>
      </c>
      <c r="K19884" t="s">
        <v>33</v>
      </c>
      <c r="L19884" t="s">
        <v>335</v>
      </c>
      <c r="N19884" t="s">
        <v>29</v>
      </c>
    </row>
    <row r="19885" spans="1:14">
      <c r="A19885" s="4" t="str">
        <f t="shared" si="1368"/>
        <v>EXP00447</v>
      </c>
      <c r="B19885" s="3" t="s">
        <v>66</v>
      </c>
      <c r="C19885" s="4" t="str">
        <f t="shared" si="1369"/>
        <v>TCGA-THCA</v>
      </c>
      <c r="D19885" s="1" t="s">
        <v>493</v>
      </c>
      <c r="E19885" t="s">
        <v>590</v>
      </c>
      <c r="F19885" s="1">
        <v>2</v>
      </c>
      <c r="G19885" s="1" t="s">
        <v>32</v>
      </c>
      <c r="H19885" s="4" t="str">
        <f>HYPERLINK("https://portal.gdc.cancer.gov/cases/44465a32-8ee9-4575-94b8-0200ba7c5bd4","TCGA-ET-A39P-01A")</f>
        <v>TCGA-ET-A39P-01A</v>
      </c>
      <c r="I19885" t="s">
        <v>333</v>
      </c>
      <c r="J19885" t="s">
        <v>584</v>
      </c>
      <c r="K19885" t="s">
        <v>33</v>
      </c>
      <c r="L19885" t="s">
        <v>335</v>
      </c>
      <c r="N19885" t="s">
        <v>29</v>
      </c>
    </row>
    <row r="19886" spans="1:14">
      <c r="A19886" s="4" t="str">
        <f t="shared" si="1368"/>
        <v>EXP00447</v>
      </c>
      <c r="B19886" s="3" t="s">
        <v>66</v>
      </c>
      <c r="C19886" s="4" t="str">
        <f t="shared" si="1369"/>
        <v>TCGA-THCA</v>
      </c>
      <c r="D19886" s="1" t="s">
        <v>493</v>
      </c>
      <c r="E19886" t="s">
        <v>590</v>
      </c>
      <c r="F19886" s="1">
        <v>2</v>
      </c>
      <c r="G19886" s="1" t="s">
        <v>32</v>
      </c>
      <c r="H19886" s="4" t="str">
        <f>HYPERLINK("https://portal.gdc.cancer.gov/cases/9a19f08b-386a-40b1-b694-78e8556a6caa","TCGA-ET-A39R-01A")</f>
        <v>TCGA-ET-A39R-01A</v>
      </c>
      <c r="I19886" t="s">
        <v>333</v>
      </c>
      <c r="J19886" t="s">
        <v>584</v>
      </c>
      <c r="K19886" t="s">
        <v>33</v>
      </c>
      <c r="L19886" t="s">
        <v>335</v>
      </c>
      <c r="N19886" t="s">
        <v>29</v>
      </c>
    </row>
    <row r="19887" spans="1:14">
      <c r="A19887" s="4" t="str">
        <f t="shared" si="1368"/>
        <v>EXP00447</v>
      </c>
      <c r="B19887" s="3" t="s">
        <v>66</v>
      </c>
      <c r="C19887" s="4" t="str">
        <f t="shared" si="1369"/>
        <v>TCGA-THCA</v>
      </c>
      <c r="D19887" s="1" t="s">
        <v>493</v>
      </c>
      <c r="E19887" t="s">
        <v>590</v>
      </c>
      <c r="F19887" s="1">
        <v>2</v>
      </c>
      <c r="G19887" s="1" t="s">
        <v>32</v>
      </c>
      <c r="H19887" s="4" t="str">
        <f>HYPERLINK("https://portal.gdc.cancer.gov/cases/dfe086e6-71a5-4131-9602-f20977bf7454","TCGA-ET-A39S-01A")</f>
        <v>TCGA-ET-A39S-01A</v>
      </c>
      <c r="I19887" t="s">
        <v>333</v>
      </c>
      <c r="J19887" t="s">
        <v>584</v>
      </c>
      <c r="K19887" t="s">
        <v>33</v>
      </c>
      <c r="L19887" t="s">
        <v>335</v>
      </c>
      <c r="N19887" t="s">
        <v>29</v>
      </c>
    </row>
    <row r="19888" spans="1:14">
      <c r="A19888" s="4" t="str">
        <f t="shared" si="1368"/>
        <v>EXP00447</v>
      </c>
      <c r="B19888" s="3" t="s">
        <v>66</v>
      </c>
      <c r="C19888" s="4" t="str">
        <f t="shared" si="1369"/>
        <v>TCGA-THCA</v>
      </c>
      <c r="D19888" s="1" t="s">
        <v>493</v>
      </c>
      <c r="E19888" t="s">
        <v>590</v>
      </c>
      <c r="F19888" s="1">
        <v>2</v>
      </c>
      <c r="G19888" s="1" t="s">
        <v>32</v>
      </c>
      <c r="H19888" s="4" t="str">
        <f>HYPERLINK("https://portal.gdc.cancer.gov/cases/7a45cbc2-9fbe-49f9-9d70-f8dc82829769","TCGA-ET-A39T-01A")</f>
        <v>TCGA-ET-A39T-01A</v>
      </c>
      <c r="I19888" t="s">
        <v>333</v>
      </c>
      <c r="J19888" t="s">
        <v>584</v>
      </c>
      <c r="K19888" t="s">
        <v>33</v>
      </c>
      <c r="L19888" t="s">
        <v>335</v>
      </c>
      <c r="N19888" t="s">
        <v>29</v>
      </c>
    </row>
    <row r="19889" spans="1:14">
      <c r="A19889" s="4" t="str">
        <f t="shared" ref="A19889:A19952" si="1370">HYPERLINK("http://hcmdb.i-sanger.com/experiment/details/experiment_id/EXP00447","EXP00447")</f>
        <v>EXP00447</v>
      </c>
      <c r="B19889" s="3" t="s">
        <v>66</v>
      </c>
      <c r="C19889" s="4" t="str">
        <f t="shared" si="1369"/>
        <v>TCGA-THCA</v>
      </c>
      <c r="D19889" s="1" t="s">
        <v>493</v>
      </c>
      <c r="E19889" t="s">
        <v>590</v>
      </c>
      <c r="F19889" s="1">
        <v>2</v>
      </c>
      <c r="G19889" s="1" t="s">
        <v>32</v>
      </c>
      <c r="H19889" s="4" t="str">
        <f>HYPERLINK("https://portal.gdc.cancer.gov/cases/3b5582e4-58af-4a01-b83d-6fe9704f2b43","TCGA-ET-A3BN-01A")</f>
        <v>TCGA-ET-A3BN-01A</v>
      </c>
      <c r="I19889" t="s">
        <v>333</v>
      </c>
      <c r="J19889" t="s">
        <v>584</v>
      </c>
      <c r="K19889" t="s">
        <v>33</v>
      </c>
      <c r="L19889" t="s">
        <v>335</v>
      </c>
      <c r="N19889" t="s">
        <v>29</v>
      </c>
    </row>
    <row r="19890" spans="1:14">
      <c r="A19890" s="4" t="str">
        <f t="shared" si="1370"/>
        <v>EXP00447</v>
      </c>
      <c r="B19890" s="3" t="s">
        <v>66</v>
      </c>
      <c r="C19890" s="4" t="str">
        <f t="shared" si="1369"/>
        <v>TCGA-THCA</v>
      </c>
      <c r="D19890" s="1" t="s">
        <v>493</v>
      </c>
      <c r="E19890" t="s">
        <v>590</v>
      </c>
      <c r="F19890" s="1">
        <v>2</v>
      </c>
      <c r="G19890" s="1" t="s">
        <v>32</v>
      </c>
      <c r="H19890" s="4" t="str">
        <f>HYPERLINK("https://portal.gdc.cancer.gov/cases/c115df9d-cec4-4d7a-87f0-36a5c1f1d51f","TCGA-ET-A3BO-01A")</f>
        <v>TCGA-ET-A3BO-01A</v>
      </c>
      <c r="I19890" t="s">
        <v>333</v>
      </c>
      <c r="J19890" t="s">
        <v>584</v>
      </c>
      <c r="K19890" t="s">
        <v>33</v>
      </c>
      <c r="L19890" t="s">
        <v>335</v>
      </c>
      <c r="N19890" t="s">
        <v>29</v>
      </c>
    </row>
    <row r="19891" spans="1:14">
      <c r="A19891" s="4" t="str">
        <f t="shared" si="1370"/>
        <v>EXP00447</v>
      </c>
      <c r="B19891" s="3" t="s">
        <v>66</v>
      </c>
      <c r="C19891" s="4" t="str">
        <f t="shared" si="1369"/>
        <v>TCGA-THCA</v>
      </c>
      <c r="D19891" s="1" t="s">
        <v>493</v>
      </c>
      <c r="E19891" t="s">
        <v>590</v>
      </c>
      <c r="F19891" s="1">
        <v>2</v>
      </c>
      <c r="G19891" s="1" t="s">
        <v>32</v>
      </c>
      <c r="H19891" s="4" t="str">
        <f>HYPERLINK("https://portal.gdc.cancer.gov/cases/9382942c-40dc-404a-ad8a-697612cdb575","TCGA-ET-A3BP-01A")</f>
        <v>TCGA-ET-A3BP-01A</v>
      </c>
      <c r="I19891" t="s">
        <v>333</v>
      </c>
      <c r="J19891" t="s">
        <v>584</v>
      </c>
      <c r="K19891" t="s">
        <v>33</v>
      </c>
      <c r="L19891" t="s">
        <v>335</v>
      </c>
      <c r="N19891" t="s">
        <v>29</v>
      </c>
    </row>
    <row r="19892" spans="1:14">
      <c r="A19892" s="4" t="str">
        <f t="shared" si="1370"/>
        <v>EXP00447</v>
      </c>
      <c r="B19892" s="3" t="s">
        <v>66</v>
      </c>
      <c r="C19892" s="4" t="str">
        <f t="shared" si="1369"/>
        <v>TCGA-THCA</v>
      </c>
      <c r="D19892" s="1" t="s">
        <v>493</v>
      </c>
      <c r="E19892" t="s">
        <v>590</v>
      </c>
      <c r="F19892" s="1">
        <v>2</v>
      </c>
      <c r="G19892" s="1" t="s">
        <v>32</v>
      </c>
      <c r="H19892" s="4" t="str">
        <f>HYPERLINK("https://portal.gdc.cancer.gov/cases/5a6b9340-acde-4d97-8836-20ae29732851","TCGA-ET-A3BQ-01B")</f>
        <v>TCGA-ET-A3BQ-01B</v>
      </c>
      <c r="I19892" t="s">
        <v>333</v>
      </c>
      <c r="J19892" t="s">
        <v>584</v>
      </c>
      <c r="K19892" t="s">
        <v>33</v>
      </c>
      <c r="L19892" t="s">
        <v>335</v>
      </c>
      <c r="N19892" t="s">
        <v>29</v>
      </c>
    </row>
    <row r="19893" spans="1:14">
      <c r="A19893" s="4" t="str">
        <f t="shared" si="1370"/>
        <v>EXP00447</v>
      </c>
      <c r="B19893" s="3" t="s">
        <v>66</v>
      </c>
      <c r="C19893" s="4" t="str">
        <f t="shared" ref="C19893:C19956" si="1371">HYPERLINK("https://portal.gdc.cancer.gov/projects/TCGA-THCA","TCGA-THCA")</f>
        <v>TCGA-THCA</v>
      </c>
      <c r="D19893" s="1" t="s">
        <v>493</v>
      </c>
      <c r="E19893" t="s">
        <v>590</v>
      </c>
      <c r="F19893" s="1">
        <v>2</v>
      </c>
      <c r="G19893" s="1" t="s">
        <v>32</v>
      </c>
      <c r="H19893" s="4" t="str">
        <f>HYPERLINK("https://portal.gdc.cancer.gov/cases/c83fb5e6-8af3-47e4-ae48-cee92dff9db7","TCGA-ET-A3BS-01A")</f>
        <v>TCGA-ET-A3BS-01A</v>
      </c>
      <c r="I19893" t="s">
        <v>333</v>
      </c>
      <c r="J19893" t="s">
        <v>584</v>
      </c>
      <c r="K19893" t="s">
        <v>33</v>
      </c>
      <c r="L19893" t="s">
        <v>335</v>
      </c>
      <c r="N19893" t="s">
        <v>29</v>
      </c>
    </row>
    <row r="19894" spans="1:14">
      <c r="A19894" s="4" t="str">
        <f t="shared" si="1370"/>
        <v>EXP00447</v>
      </c>
      <c r="B19894" s="3" t="s">
        <v>66</v>
      </c>
      <c r="C19894" s="4" t="str">
        <f t="shared" si="1371"/>
        <v>TCGA-THCA</v>
      </c>
      <c r="D19894" s="1" t="s">
        <v>493</v>
      </c>
      <c r="E19894" t="s">
        <v>590</v>
      </c>
      <c r="F19894" s="1">
        <v>2</v>
      </c>
      <c r="G19894" s="1" t="s">
        <v>32</v>
      </c>
      <c r="H19894" s="4" t="str">
        <f>HYPERLINK("https://portal.gdc.cancer.gov/cases/d84312e8-999d-49ad-b0aa-e48e87efc462","TCGA-ET-A3BT-01A")</f>
        <v>TCGA-ET-A3BT-01A</v>
      </c>
      <c r="I19894" t="s">
        <v>333</v>
      </c>
      <c r="J19894" t="s">
        <v>584</v>
      </c>
      <c r="K19894" t="s">
        <v>33</v>
      </c>
      <c r="L19894" t="s">
        <v>335</v>
      </c>
      <c r="N19894" t="s">
        <v>29</v>
      </c>
    </row>
    <row r="19895" spans="1:14">
      <c r="A19895" s="4" t="str">
        <f t="shared" si="1370"/>
        <v>EXP00447</v>
      </c>
      <c r="B19895" s="3" t="s">
        <v>66</v>
      </c>
      <c r="C19895" s="4" t="str">
        <f t="shared" si="1371"/>
        <v>TCGA-THCA</v>
      </c>
      <c r="D19895" s="1" t="s">
        <v>493</v>
      </c>
      <c r="E19895" t="s">
        <v>590</v>
      </c>
      <c r="F19895" s="1">
        <v>2</v>
      </c>
      <c r="G19895" s="1" t="s">
        <v>32</v>
      </c>
      <c r="H19895" s="4" t="str">
        <f>HYPERLINK("https://portal.gdc.cancer.gov/cases/46239f1e-bd85-4d7a-a313-762666599a6d","TCGA-ET-A3BU-01A")</f>
        <v>TCGA-ET-A3BU-01A</v>
      </c>
      <c r="I19895" t="s">
        <v>333</v>
      </c>
      <c r="J19895" t="s">
        <v>584</v>
      </c>
      <c r="K19895" t="s">
        <v>33</v>
      </c>
      <c r="L19895" t="s">
        <v>335</v>
      </c>
      <c r="N19895" t="s">
        <v>29</v>
      </c>
    </row>
    <row r="19896" spans="1:14">
      <c r="A19896" s="4" t="str">
        <f t="shared" si="1370"/>
        <v>EXP00447</v>
      </c>
      <c r="B19896" s="3" t="s">
        <v>66</v>
      </c>
      <c r="C19896" s="4" t="str">
        <f t="shared" si="1371"/>
        <v>TCGA-THCA</v>
      </c>
      <c r="D19896" s="1" t="s">
        <v>493</v>
      </c>
      <c r="E19896" t="s">
        <v>590</v>
      </c>
      <c r="F19896" s="1">
        <v>2</v>
      </c>
      <c r="G19896" s="1" t="s">
        <v>32</v>
      </c>
      <c r="H19896" s="4" t="str">
        <f>HYPERLINK("https://portal.gdc.cancer.gov/cases/c14a0460-30b0-453b-ab81-da03ad4ad02e","TCGA-ET-A3BV-01A")</f>
        <v>TCGA-ET-A3BV-01A</v>
      </c>
      <c r="I19896" t="s">
        <v>333</v>
      </c>
      <c r="J19896" t="s">
        <v>584</v>
      </c>
      <c r="K19896" t="s">
        <v>33</v>
      </c>
      <c r="L19896" t="s">
        <v>335</v>
      </c>
      <c r="N19896" t="s">
        <v>29</v>
      </c>
    </row>
    <row r="19897" spans="1:14">
      <c r="A19897" s="4" t="str">
        <f t="shared" si="1370"/>
        <v>EXP00447</v>
      </c>
      <c r="B19897" s="3" t="s">
        <v>66</v>
      </c>
      <c r="C19897" s="4" t="str">
        <f t="shared" si="1371"/>
        <v>TCGA-THCA</v>
      </c>
      <c r="D19897" s="1" t="s">
        <v>493</v>
      </c>
      <c r="E19897" t="s">
        <v>590</v>
      </c>
      <c r="F19897" s="1">
        <v>2</v>
      </c>
      <c r="G19897" s="1" t="s">
        <v>32</v>
      </c>
      <c r="H19897" s="4" t="str">
        <f>HYPERLINK("https://portal.gdc.cancer.gov/cases/2cb43652-109b-4b59-9fcd-512903591f45","TCGA-ET-A3BW-01A")</f>
        <v>TCGA-ET-A3BW-01A</v>
      </c>
      <c r="I19897" t="s">
        <v>333</v>
      </c>
      <c r="J19897" t="s">
        <v>584</v>
      </c>
      <c r="K19897" t="s">
        <v>33</v>
      </c>
      <c r="L19897" t="s">
        <v>335</v>
      </c>
      <c r="N19897" t="s">
        <v>29</v>
      </c>
    </row>
    <row r="19898" spans="1:14">
      <c r="A19898" s="4" t="str">
        <f t="shared" si="1370"/>
        <v>EXP00447</v>
      </c>
      <c r="B19898" s="3" t="s">
        <v>66</v>
      </c>
      <c r="C19898" s="4" t="str">
        <f t="shared" si="1371"/>
        <v>TCGA-THCA</v>
      </c>
      <c r="D19898" s="1" t="s">
        <v>493</v>
      </c>
      <c r="E19898" t="s">
        <v>590</v>
      </c>
      <c r="F19898" s="1">
        <v>2</v>
      </c>
      <c r="G19898" s="1" t="s">
        <v>32</v>
      </c>
      <c r="H19898" s="4" t="str">
        <f>HYPERLINK("https://portal.gdc.cancer.gov/cases/8a02f305-6fd8-4908-bc19-06babf028b5b","TCGA-ET-A3BX-01A")</f>
        <v>TCGA-ET-A3BX-01A</v>
      </c>
      <c r="I19898" t="s">
        <v>333</v>
      </c>
      <c r="J19898" t="s">
        <v>584</v>
      </c>
      <c r="K19898" t="s">
        <v>33</v>
      </c>
      <c r="L19898" t="s">
        <v>335</v>
      </c>
      <c r="N19898" t="s">
        <v>29</v>
      </c>
    </row>
    <row r="19899" spans="1:14">
      <c r="A19899" s="4" t="str">
        <f t="shared" si="1370"/>
        <v>EXP00447</v>
      </c>
      <c r="B19899" s="3" t="s">
        <v>66</v>
      </c>
      <c r="C19899" s="4" t="str">
        <f t="shared" si="1371"/>
        <v>TCGA-THCA</v>
      </c>
      <c r="D19899" s="1" t="s">
        <v>493</v>
      </c>
      <c r="E19899" t="s">
        <v>590</v>
      </c>
      <c r="F19899" s="1">
        <v>2</v>
      </c>
      <c r="G19899" s="1" t="s">
        <v>32</v>
      </c>
      <c r="H19899" s="4" t="str">
        <f>HYPERLINK("https://portal.gdc.cancer.gov/cases/0cafefef-911b-46e8-9e6c-19a0e7d555aa","TCGA-ET-A3DO-01A")</f>
        <v>TCGA-ET-A3DO-01A</v>
      </c>
      <c r="I19899" t="s">
        <v>333</v>
      </c>
      <c r="J19899" t="s">
        <v>584</v>
      </c>
      <c r="K19899" t="s">
        <v>33</v>
      </c>
      <c r="L19899" t="s">
        <v>335</v>
      </c>
      <c r="N19899" t="s">
        <v>29</v>
      </c>
    </row>
    <row r="19900" spans="1:14">
      <c r="A19900" s="4" t="str">
        <f t="shared" si="1370"/>
        <v>EXP00447</v>
      </c>
      <c r="B19900" s="3" t="s">
        <v>66</v>
      </c>
      <c r="C19900" s="4" t="str">
        <f t="shared" si="1371"/>
        <v>TCGA-THCA</v>
      </c>
      <c r="D19900" s="1" t="s">
        <v>493</v>
      </c>
      <c r="E19900" t="s">
        <v>590</v>
      </c>
      <c r="F19900" s="1">
        <v>2</v>
      </c>
      <c r="G19900" s="1" t="s">
        <v>32</v>
      </c>
      <c r="H19900" s="4" t="str">
        <f>HYPERLINK("https://portal.gdc.cancer.gov/cases/18a58e3e-f18e-45cf-86bc-1851abb9b3de","TCGA-ET-A3DP-01A")</f>
        <v>TCGA-ET-A3DP-01A</v>
      </c>
      <c r="I19900" t="s">
        <v>333</v>
      </c>
      <c r="J19900" t="s">
        <v>584</v>
      </c>
      <c r="K19900" t="s">
        <v>33</v>
      </c>
      <c r="L19900" t="s">
        <v>335</v>
      </c>
      <c r="N19900" t="s">
        <v>29</v>
      </c>
    </row>
    <row r="19901" spans="1:14">
      <c r="A19901" s="4" t="str">
        <f t="shared" si="1370"/>
        <v>EXP00447</v>
      </c>
      <c r="B19901" s="3" t="s">
        <v>66</v>
      </c>
      <c r="C19901" s="4" t="str">
        <f t="shared" si="1371"/>
        <v>TCGA-THCA</v>
      </c>
      <c r="D19901" s="1" t="s">
        <v>493</v>
      </c>
      <c r="E19901" t="s">
        <v>590</v>
      </c>
      <c r="F19901" s="1">
        <v>2</v>
      </c>
      <c r="G19901" s="1" t="s">
        <v>32</v>
      </c>
      <c r="H19901" s="4" t="str">
        <f>HYPERLINK("https://portal.gdc.cancer.gov/cases/f9217c58-11ef-4c4b-99cf-0e134a718552","TCGA-ET-A3DQ-01A")</f>
        <v>TCGA-ET-A3DQ-01A</v>
      </c>
      <c r="I19901" t="s">
        <v>333</v>
      </c>
      <c r="J19901" t="s">
        <v>584</v>
      </c>
      <c r="K19901" t="s">
        <v>33</v>
      </c>
      <c r="L19901" t="s">
        <v>335</v>
      </c>
      <c r="N19901" t="s">
        <v>29</v>
      </c>
    </row>
    <row r="19902" spans="1:14">
      <c r="A19902" s="4" t="str">
        <f t="shared" si="1370"/>
        <v>EXP00447</v>
      </c>
      <c r="B19902" s="3" t="s">
        <v>66</v>
      </c>
      <c r="C19902" s="4" t="str">
        <f t="shared" si="1371"/>
        <v>TCGA-THCA</v>
      </c>
      <c r="D19902" s="1" t="s">
        <v>493</v>
      </c>
      <c r="E19902" t="s">
        <v>590</v>
      </c>
      <c r="F19902" s="1">
        <v>2</v>
      </c>
      <c r="G19902" s="1" t="s">
        <v>32</v>
      </c>
      <c r="H19902" s="4" t="str">
        <f>HYPERLINK("https://portal.gdc.cancer.gov/cases/a061976d-ba2c-4a18-a51e-952f198eb4d5","TCGA-ET-A3DR-01A")</f>
        <v>TCGA-ET-A3DR-01A</v>
      </c>
      <c r="I19902" t="s">
        <v>333</v>
      </c>
      <c r="J19902" t="s">
        <v>584</v>
      </c>
      <c r="K19902" t="s">
        <v>33</v>
      </c>
      <c r="L19902" t="s">
        <v>335</v>
      </c>
      <c r="N19902" t="s">
        <v>29</v>
      </c>
    </row>
    <row r="19903" spans="1:14">
      <c r="A19903" s="4" t="str">
        <f t="shared" si="1370"/>
        <v>EXP00447</v>
      </c>
      <c r="B19903" s="3" t="s">
        <v>66</v>
      </c>
      <c r="C19903" s="4" t="str">
        <f t="shared" si="1371"/>
        <v>TCGA-THCA</v>
      </c>
      <c r="D19903" s="1" t="s">
        <v>493</v>
      </c>
      <c r="E19903" t="s">
        <v>590</v>
      </c>
      <c r="F19903" s="1">
        <v>2</v>
      </c>
      <c r="G19903" s="1" t="s">
        <v>32</v>
      </c>
      <c r="H19903" s="4" t="str">
        <f>HYPERLINK("https://portal.gdc.cancer.gov/cases/5cdaa0c8-27b8-4552-9dcd-20d67b1eb70f","TCGA-ET-A3DS-01A")</f>
        <v>TCGA-ET-A3DS-01A</v>
      </c>
      <c r="I19903" t="s">
        <v>333</v>
      </c>
      <c r="J19903" t="s">
        <v>584</v>
      </c>
      <c r="K19903" t="s">
        <v>33</v>
      </c>
      <c r="L19903" t="s">
        <v>335</v>
      </c>
      <c r="N19903" t="s">
        <v>29</v>
      </c>
    </row>
    <row r="19904" spans="1:14">
      <c r="A19904" s="4" t="str">
        <f t="shared" si="1370"/>
        <v>EXP00447</v>
      </c>
      <c r="B19904" s="3" t="s">
        <v>66</v>
      </c>
      <c r="C19904" s="4" t="str">
        <f t="shared" si="1371"/>
        <v>TCGA-THCA</v>
      </c>
      <c r="D19904" s="1" t="s">
        <v>493</v>
      </c>
      <c r="E19904" t="s">
        <v>590</v>
      </c>
      <c r="F19904" s="1">
        <v>2</v>
      </c>
      <c r="G19904" s="1" t="s">
        <v>32</v>
      </c>
      <c r="H19904" s="4" t="str">
        <f>HYPERLINK("https://portal.gdc.cancer.gov/cases/c047e741-2b29-45df-a577-351bddc50eb8","TCGA-ET-A3DU-01A")</f>
        <v>TCGA-ET-A3DU-01A</v>
      </c>
      <c r="I19904" t="s">
        <v>333</v>
      </c>
      <c r="J19904" t="s">
        <v>584</v>
      </c>
      <c r="K19904" t="s">
        <v>33</v>
      </c>
      <c r="L19904" t="s">
        <v>335</v>
      </c>
      <c r="N19904" t="s">
        <v>29</v>
      </c>
    </row>
    <row r="19905" spans="1:14">
      <c r="A19905" s="4" t="str">
        <f t="shared" si="1370"/>
        <v>EXP00447</v>
      </c>
      <c r="B19905" s="3" t="s">
        <v>66</v>
      </c>
      <c r="C19905" s="4" t="str">
        <f t="shared" si="1371"/>
        <v>TCGA-THCA</v>
      </c>
      <c r="D19905" s="1" t="s">
        <v>493</v>
      </c>
      <c r="E19905" t="s">
        <v>590</v>
      </c>
      <c r="F19905" s="1">
        <v>2</v>
      </c>
      <c r="G19905" s="1" t="s">
        <v>32</v>
      </c>
      <c r="H19905" s="4" t="str">
        <f>HYPERLINK("https://portal.gdc.cancer.gov/cases/b46d88e9-8477-4900-8da9-5e7dbded0653","TCGA-ET-A3DV-01A")</f>
        <v>TCGA-ET-A3DV-01A</v>
      </c>
      <c r="I19905" t="s">
        <v>333</v>
      </c>
      <c r="J19905" t="s">
        <v>584</v>
      </c>
      <c r="K19905" t="s">
        <v>33</v>
      </c>
      <c r="L19905" t="s">
        <v>335</v>
      </c>
      <c r="N19905" t="s">
        <v>29</v>
      </c>
    </row>
    <row r="19906" spans="1:14">
      <c r="A19906" s="4" t="str">
        <f t="shared" si="1370"/>
        <v>EXP00447</v>
      </c>
      <c r="B19906" s="3" t="s">
        <v>66</v>
      </c>
      <c r="C19906" s="4" t="str">
        <f t="shared" si="1371"/>
        <v>TCGA-THCA</v>
      </c>
      <c r="D19906" s="1" t="s">
        <v>493</v>
      </c>
      <c r="E19906" t="s">
        <v>590</v>
      </c>
      <c r="F19906" s="1">
        <v>2</v>
      </c>
      <c r="G19906" s="1" t="s">
        <v>32</v>
      </c>
      <c r="H19906" s="4" t="str">
        <f>HYPERLINK("https://portal.gdc.cancer.gov/cases/424de829-9efd-4689-ac5d-24485a5d5ecf","TCGA-ET-A3DW-01A")</f>
        <v>TCGA-ET-A3DW-01A</v>
      </c>
      <c r="I19906" t="s">
        <v>333</v>
      </c>
      <c r="J19906" t="s">
        <v>584</v>
      </c>
      <c r="K19906" t="s">
        <v>33</v>
      </c>
      <c r="L19906" t="s">
        <v>335</v>
      </c>
      <c r="N19906" t="s">
        <v>29</v>
      </c>
    </row>
    <row r="19907" spans="1:14">
      <c r="A19907" s="4" t="str">
        <f t="shared" si="1370"/>
        <v>EXP00447</v>
      </c>
      <c r="B19907" s="3" t="s">
        <v>66</v>
      </c>
      <c r="C19907" s="4" t="str">
        <f t="shared" si="1371"/>
        <v>TCGA-THCA</v>
      </c>
      <c r="D19907" s="1" t="s">
        <v>493</v>
      </c>
      <c r="E19907" t="s">
        <v>590</v>
      </c>
      <c r="F19907" s="1">
        <v>2</v>
      </c>
      <c r="G19907" s="1" t="s">
        <v>32</v>
      </c>
      <c r="H19907" s="4" t="str">
        <f>HYPERLINK("https://portal.gdc.cancer.gov/cases/7b49f263-fa0d-4f1b-9c00-1ff7a8c9ac79","TCGA-ET-A40P-01A")</f>
        <v>TCGA-ET-A40P-01A</v>
      </c>
      <c r="I19907" t="s">
        <v>333</v>
      </c>
      <c r="J19907" t="s">
        <v>584</v>
      </c>
      <c r="K19907" t="s">
        <v>33</v>
      </c>
      <c r="L19907" t="s">
        <v>335</v>
      </c>
      <c r="N19907" t="s">
        <v>29</v>
      </c>
    </row>
    <row r="19908" spans="1:14">
      <c r="A19908" s="4" t="str">
        <f t="shared" si="1370"/>
        <v>EXP00447</v>
      </c>
      <c r="B19908" s="3" t="s">
        <v>66</v>
      </c>
      <c r="C19908" s="4" t="str">
        <f t="shared" si="1371"/>
        <v>TCGA-THCA</v>
      </c>
      <c r="D19908" s="1" t="s">
        <v>493</v>
      </c>
      <c r="E19908" t="s">
        <v>590</v>
      </c>
      <c r="F19908" s="1">
        <v>2</v>
      </c>
      <c r="G19908" s="1" t="s">
        <v>32</v>
      </c>
      <c r="H19908" s="4" t="str">
        <f>HYPERLINK("https://portal.gdc.cancer.gov/cases/2513ab46-646c-4750-ab42-de3940890553","TCGA-ET-A40R-01A")</f>
        <v>TCGA-ET-A40R-01A</v>
      </c>
      <c r="I19908" t="s">
        <v>333</v>
      </c>
      <c r="J19908" t="s">
        <v>584</v>
      </c>
      <c r="K19908" t="s">
        <v>33</v>
      </c>
      <c r="L19908" t="s">
        <v>335</v>
      </c>
      <c r="N19908" t="s">
        <v>29</v>
      </c>
    </row>
    <row r="19909" spans="1:14">
      <c r="A19909" s="4" t="str">
        <f t="shared" si="1370"/>
        <v>EXP00447</v>
      </c>
      <c r="B19909" s="3" t="s">
        <v>66</v>
      </c>
      <c r="C19909" s="4" t="str">
        <f t="shared" si="1371"/>
        <v>TCGA-THCA</v>
      </c>
      <c r="D19909" s="1" t="s">
        <v>493</v>
      </c>
      <c r="E19909" t="s">
        <v>590</v>
      </c>
      <c r="F19909" s="1">
        <v>2</v>
      </c>
      <c r="G19909" s="1" t="s">
        <v>32</v>
      </c>
      <c r="H19909" s="4" t="str">
        <f>HYPERLINK("https://portal.gdc.cancer.gov/cases/c8d62754-1601-40c0-98ef-e5bb94306b92","TCGA-ET-A40S-01A")</f>
        <v>TCGA-ET-A40S-01A</v>
      </c>
      <c r="I19909" t="s">
        <v>333</v>
      </c>
      <c r="J19909" t="s">
        <v>584</v>
      </c>
      <c r="K19909" t="s">
        <v>33</v>
      </c>
      <c r="L19909" t="s">
        <v>335</v>
      </c>
      <c r="N19909" t="s">
        <v>29</v>
      </c>
    </row>
    <row r="19910" spans="1:14">
      <c r="A19910" s="4" t="str">
        <f t="shared" si="1370"/>
        <v>EXP00447</v>
      </c>
      <c r="B19910" s="3" t="s">
        <v>66</v>
      </c>
      <c r="C19910" s="4" t="str">
        <f t="shared" si="1371"/>
        <v>TCGA-THCA</v>
      </c>
      <c r="D19910" s="1" t="s">
        <v>493</v>
      </c>
      <c r="E19910" t="s">
        <v>590</v>
      </c>
      <c r="F19910" s="1">
        <v>2</v>
      </c>
      <c r="G19910" s="1" t="s">
        <v>32</v>
      </c>
      <c r="H19910" s="4" t="str">
        <f>HYPERLINK("https://portal.gdc.cancer.gov/cases/2cae34a6-73a0-4a67-8dcc-051468c41389","TCGA-ET-A40T-01A")</f>
        <v>TCGA-ET-A40T-01A</v>
      </c>
      <c r="I19910" t="s">
        <v>333</v>
      </c>
      <c r="J19910" t="s">
        <v>584</v>
      </c>
      <c r="K19910" t="s">
        <v>33</v>
      </c>
      <c r="L19910" t="s">
        <v>335</v>
      </c>
      <c r="N19910" t="s">
        <v>29</v>
      </c>
    </row>
    <row r="19911" spans="1:14">
      <c r="A19911" s="4" t="str">
        <f t="shared" si="1370"/>
        <v>EXP00447</v>
      </c>
      <c r="B19911" s="3" t="s">
        <v>66</v>
      </c>
      <c r="C19911" s="4" t="str">
        <f t="shared" si="1371"/>
        <v>TCGA-THCA</v>
      </c>
      <c r="D19911" s="1" t="s">
        <v>493</v>
      </c>
      <c r="E19911" t="s">
        <v>590</v>
      </c>
      <c r="F19911" s="1">
        <v>2</v>
      </c>
      <c r="G19911" s="1" t="s">
        <v>32</v>
      </c>
      <c r="H19911" s="4" t="str">
        <f>HYPERLINK("https://portal.gdc.cancer.gov/cases/7629f864-a009-4aa9-bf7e-2d99e00d294e","TCGA-ET-A4KN-01A")</f>
        <v>TCGA-ET-A4KN-01A</v>
      </c>
      <c r="I19911" t="s">
        <v>333</v>
      </c>
      <c r="J19911" t="s">
        <v>584</v>
      </c>
      <c r="K19911" t="s">
        <v>33</v>
      </c>
      <c r="L19911" t="s">
        <v>335</v>
      </c>
      <c r="N19911" t="s">
        <v>29</v>
      </c>
    </row>
    <row r="19912" spans="1:14">
      <c r="A19912" s="4" t="str">
        <f t="shared" si="1370"/>
        <v>EXP00447</v>
      </c>
      <c r="B19912" s="3" t="s">
        <v>66</v>
      </c>
      <c r="C19912" s="4" t="str">
        <f t="shared" si="1371"/>
        <v>TCGA-THCA</v>
      </c>
      <c r="D19912" s="1" t="s">
        <v>493</v>
      </c>
      <c r="E19912" t="s">
        <v>590</v>
      </c>
      <c r="F19912" s="1">
        <v>2</v>
      </c>
      <c r="G19912" s="1" t="s">
        <v>32</v>
      </c>
      <c r="H19912" s="4" t="str">
        <f>HYPERLINK("https://portal.gdc.cancer.gov/cases/29963391-3926-4b7c-8066-185f0f2d5bfc","TCGA-ET-A4KQ-01A")</f>
        <v>TCGA-ET-A4KQ-01A</v>
      </c>
      <c r="I19912" t="s">
        <v>333</v>
      </c>
      <c r="J19912" t="s">
        <v>584</v>
      </c>
      <c r="K19912" t="s">
        <v>33</v>
      </c>
      <c r="L19912" t="s">
        <v>335</v>
      </c>
      <c r="N19912" t="s">
        <v>29</v>
      </c>
    </row>
    <row r="19913" spans="1:14">
      <c r="A19913" s="4" t="str">
        <f t="shared" si="1370"/>
        <v>EXP00447</v>
      </c>
      <c r="B19913" s="3" t="s">
        <v>66</v>
      </c>
      <c r="C19913" s="4" t="str">
        <f t="shared" si="1371"/>
        <v>TCGA-THCA</v>
      </c>
      <c r="D19913" s="1" t="s">
        <v>493</v>
      </c>
      <c r="E19913" t="s">
        <v>590</v>
      </c>
      <c r="F19913" s="1">
        <v>2</v>
      </c>
      <c r="G19913" s="1" t="s">
        <v>32</v>
      </c>
      <c r="H19913" s="4" t="str">
        <f>HYPERLINK("https://portal.gdc.cancer.gov/cases/78d14f86-896a-4f98-9274-b2e8e387add9","TCGA-FE-A22Z-01A")</f>
        <v>TCGA-FE-A22Z-01A</v>
      </c>
      <c r="I19913" t="s">
        <v>333</v>
      </c>
      <c r="J19913" t="s">
        <v>584</v>
      </c>
      <c r="K19913" t="s">
        <v>33</v>
      </c>
      <c r="L19913" t="s">
        <v>335</v>
      </c>
      <c r="N19913" t="s">
        <v>29</v>
      </c>
    </row>
    <row r="19914" spans="1:14">
      <c r="A19914" s="4" t="str">
        <f t="shared" si="1370"/>
        <v>EXP00447</v>
      </c>
      <c r="B19914" s="3" t="s">
        <v>66</v>
      </c>
      <c r="C19914" s="4" t="str">
        <f t="shared" si="1371"/>
        <v>TCGA-THCA</v>
      </c>
      <c r="D19914" s="1" t="s">
        <v>493</v>
      </c>
      <c r="E19914" t="s">
        <v>590</v>
      </c>
      <c r="F19914" s="1">
        <v>2</v>
      </c>
      <c r="G19914" s="1" t="s">
        <v>32</v>
      </c>
      <c r="H19914" s="4" t="str">
        <f>HYPERLINK("https://portal.gdc.cancer.gov/cases/b1d71782-2443-43f3-bd0e-8b7220515cb6","TCGA-FE-A230-01A")</f>
        <v>TCGA-FE-A230-01A</v>
      </c>
      <c r="I19914" t="s">
        <v>333</v>
      </c>
      <c r="J19914" t="s">
        <v>584</v>
      </c>
      <c r="K19914" t="s">
        <v>33</v>
      </c>
      <c r="L19914" t="s">
        <v>335</v>
      </c>
      <c r="N19914" t="s">
        <v>29</v>
      </c>
    </row>
    <row r="19915" spans="1:14">
      <c r="A19915" s="4" t="str">
        <f t="shared" si="1370"/>
        <v>EXP00447</v>
      </c>
      <c r="B19915" s="3" t="s">
        <v>66</v>
      </c>
      <c r="C19915" s="4" t="str">
        <f t="shared" si="1371"/>
        <v>TCGA-THCA</v>
      </c>
      <c r="D19915" s="1" t="s">
        <v>493</v>
      </c>
      <c r="E19915" t="s">
        <v>590</v>
      </c>
      <c r="F19915" s="1">
        <v>2</v>
      </c>
      <c r="G19915" s="1" t="s">
        <v>32</v>
      </c>
      <c r="H19915" s="4" t="str">
        <f>HYPERLINK("https://portal.gdc.cancer.gov/cases/7044dee0-fd6c-4e75-b731-dc60a386a1ab","TCGA-FE-A231-01A")</f>
        <v>TCGA-FE-A231-01A</v>
      </c>
      <c r="I19915" t="s">
        <v>333</v>
      </c>
      <c r="J19915" t="s">
        <v>584</v>
      </c>
      <c r="K19915" t="s">
        <v>33</v>
      </c>
      <c r="L19915" t="s">
        <v>335</v>
      </c>
      <c r="N19915" t="s">
        <v>29</v>
      </c>
    </row>
    <row r="19916" spans="1:14">
      <c r="A19916" s="4" t="str">
        <f t="shared" si="1370"/>
        <v>EXP00447</v>
      </c>
      <c r="B19916" s="3" t="s">
        <v>66</v>
      </c>
      <c r="C19916" s="4" t="str">
        <f t="shared" si="1371"/>
        <v>TCGA-THCA</v>
      </c>
      <c r="D19916" s="1" t="s">
        <v>493</v>
      </c>
      <c r="E19916" t="s">
        <v>590</v>
      </c>
      <c r="F19916" s="1">
        <v>2</v>
      </c>
      <c r="G19916" s="1" t="s">
        <v>32</v>
      </c>
      <c r="H19916" s="4" t="str">
        <f>HYPERLINK("https://portal.gdc.cancer.gov/cases/5eb0d577-223b-4409-89d1-5c5d196affc3","TCGA-FE-A232-01A")</f>
        <v>TCGA-FE-A232-01A</v>
      </c>
      <c r="I19916" t="s">
        <v>333</v>
      </c>
      <c r="J19916" t="s">
        <v>584</v>
      </c>
      <c r="K19916" t="s">
        <v>33</v>
      </c>
      <c r="L19916" t="s">
        <v>335</v>
      </c>
      <c r="N19916" t="s">
        <v>29</v>
      </c>
    </row>
    <row r="19917" spans="1:14">
      <c r="A19917" s="4" t="str">
        <f t="shared" si="1370"/>
        <v>EXP00447</v>
      </c>
      <c r="B19917" s="3" t="s">
        <v>66</v>
      </c>
      <c r="C19917" s="4" t="str">
        <f t="shared" si="1371"/>
        <v>TCGA-THCA</v>
      </c>
      <c r="D19917" s="1" t="s">
        <v>493</v>
      </c>
      <c r="E19917" t="s">
        <v>590</v>
      </c>
      <c r="F19917" s="1">
        <v>2</v>
      </c>
      <c r="G19917" s="1" t="s">
        <v>32</v>
      </c>
      <c r="H19917" s="4" t="str">
        <f>HYPERLINK("https://portal.gdc.cancer.gov/cases/e70feafd-1390-4f4c-a635-da65c1a7daeb","TCGA-FE-A233-01A")</f>
        <v>TCGA-FE-A233-01A</v>
      </c>
      <c r="I19917" t="s">
        <v>333</v>
      </c>
      <c r="J19917" t="s">
        <v>584</v>
      </c>
      <c r="K19917" t="s">
        <v>33</v>
      </c>
      <c r="L19917" t="s">
        <v>335</v>
      </c>
      <c r="N19917" t="s">
        <v>29</v>
      </c>
    </row>
    <row r="19918" spans="1:14">
      <c r="A19918" s="4" t="str">
        <f t="shared" si="1370"/>
        <v>EXP00447</v>
      </c>
      <c r="B19918" s="3" t="s">
        <v>66</v>
      </c>
      <c r="C19918" s="4" t="str">
        <f t="shared" si="1371"/>
        <v>TCGA-THCA</v>
      </c>
      <c r="D19918" s="1" t="s">
        <v>493</v>
      </c>
      <c r="E19918" t="s">
        <v>590</v>
      </c>
      <c r="F19918" s="1">
        <v>2</v>
      </c>
      <c r="G19918" s="1" t="s">
        <v>32</v>
      </c>
      <c r="H19918" s="4" t="str">
        <f>HYPERLINK("https://portal.gdc.cancer.gov/cases/e4c85bdd-7b7c-414f-9503-647d9b825915","TCGA-FE-A234-01A")</f>
        <v>TCGA-FE-A234-01A</v>
      </c>
      <c r="I19918" t="s">
        <v>333</v>
      </c>
      <c r="J19918" t="s">
        <v>584</v>
      </c>
      <c r="K19918" t="s">
        <v>33</v>
      </c>
      <c r="L19918" t="s">
        <v>335</v>
      </c>
      <c r="N19918" t="s">
        <v>29</v>
      </c>
    </row>
    <row r="19919" spans="1:14">
      <c r="A19919" s="4" t="str">
        <f t="shared" si="1370"/>
        <v>EXP00447</v>
      </c>
      <c r="B19919" s="3" t="s">
        <v>66</v>
      </c>
      <c r="C19919" s="4" t="str">
        <f t="shared" si="1371"/>
        <v>TCGA-THCA</v>
      </c>
      <c r="D19919" s="1" t="s">
        <v>493</v>
      </c>
      <c r="E19919" t="s">
        <v>590</v>
      </c>
      <c r="F19919" s="1">
        <v>2</v>
      </c>
      <c r="G19919" s="1" t="s">
        <v>32</v>
      </c>
      <c r="H19919" s="4" t="str">
        <f>HYPERLINK("https://portal.gdc.cancer.gov/cases/c781b49e-d08f-49e6-b774-7cfe4100e92d","TCGA-FE-A235-01A")</f>
        <v>TCGA-FE-A235-01A</v>
      </c>
      <c r="I19919" t="s">
        <v>333</v>
      </c>
      <c r="J19919" t="s">
        <v>584</v>
      </c>
      <c r="K19919" t="s">
        <v>33</v>
      </c>
      <c r="L19919" t="s">
        <v>335</v>
      </c>
      <c r="N19919" t="s">
        <v>29</v>
      </c>
    </row>
    <row r="19920" spans="1:14">
      <c r="A19920" s="4" t="str">
        <f t="shared" si="1370"/>
        <v>EXP00447</v>
      </c>
      <c r="B19920" s="3" t="s">
        <v>66</v>
      </c>
      <c r="C19920" s="4" t="str">
        <f t="shared" si="1371"/>
        <v>TCGA-THCA</v>
      </c>
      <c r="D19920" s="1" t="s">
        <v>493</v>
      </c>
      <c r="E19920" t="s">
        <v>590</v>
      </c>
      <c r="F19920" s="1">
        <v>2</v>
      </c>
      <c r="G19920" s="1" t="s">
        <v>32</v>
      </c>
      <c r="H19920" s="4" t="str">
        <f>HYPERLINK("https://portal.gdc.cancer.gov/cases/300720c8-68e5-4a3b-a873-3ad36ad0f953","TCGA-FE-A236-01A")</f>
        <v>TCGA-FE-A236-01A</v>
      </c>
      <c r="I19920" t="s">
        <v>333</v>
      </c>
      <c r="J19920" t="s">
        <v>584</v>
      </c>
      <c r="K19920" t="s">
        <v>33</v>
      </c>
      <c r="L19920" t="s">
        <v>335</v>
      </c>
      <c r="N19920" t="s">
        <v>29</v>
      </c>
    </row>
    <row r="19921" spans="1:14">
      <c r="A19921" s="4" t="str">
        <f t="shared" si="1370"/>
        <v>EXP00447</v>
      </c>
      <c r="B19921" s="3" t="s">
        <v>66</v>
      </c>
      <c r="C19921" s="4" t="str">
        <f t="shared" si="1371"/>
        <v>TCGA-THCA</v>
      </c>
      <c r="D19921" s="1" t="s">
        <v>493</v>
      </c>
      <c r="E19921" t="s">
        <v>590</v>
      </c>
      <c r="F19921" s="1">
        <v>2</v>
      </c>
      <c r="G19921" s="1" t="s">
        <v>32</v>
      </c>
      <c r="H19921" s="4" t="str">
        <f>HYPERLINK("https://portal.gdc.cancer.gov/cases/7d11b016-c564-4fb5-9b85-1b1a0188006f","TCGA-FE-A237-01A")</f>
        <v>TCGA-FE-A237-01A</v>
      </c>
      <c r="I19921" t="s">
        <v>333</v>
      </c>
      <c r="J19921" t="s">
        <v>584</v>
      </c>
      <c r="K19921" t="s">
        <v>33</v>
      </c>
      <c r="L19921" t="s">
        <v>335</v>
      </c>
      <c r="N19921" t="s">
        <v>29</v>
      </c>
    </row>
    <row r="19922" spans="1:14">
      <c r="A19922" s="4" t="str">
        <f t="shared" si="1370"/>
        <v>EXP00447</v>
      </c>
      <c r="B19922" s="3" t="s">
        <v>66</v>
      </c>
      <c r="C19922" s="4" t="str">
        <f t="shared" si="1371"/>
        <v>TCGA-THCA</v>
      </c>
      <c r="D19922" s="1" t="s">
        <v>493</v>
      </c>
      <c r="E19922" t="s">
        <v>590</v>
      </c>
      <c r="F19922" s="1">
        <v>2</v>
      </c>
      <c r="G19922" s="1" t="s">
        <v>32</v>
      </c>
      <c r="H19922" s="4" t="str">
        <f>HYPERLINK("https://portal.gdc.cancer.gov/cases/dffc4f7a-c67a-4ac5-a338-717dffde686d","TCGA-FE-A238-01A")</f>
        <v>TCGA-FE-A238-01A</v>
      </c>
      <c r="I19922" t="s">
        <v>333</v>
      </c>
      <c r="J19922" t="s">
        <v>584</v>
      </c>
      <c r="K19922" t="s">
        <v>33</v>
      </c>
      <c r="L19922" t="s">
        <v>335</v>
      </c>
      <c r="N19922" t="s">
        <v>29</v>
      </c>
    </row>
    <row r="19923" spans="1:14">
      <c r="A19923" s="4" t="str">
        <f t="shared" si="1370"/>
        <v>EXP00447</v>
      </c>
      <c r="B19923" s="3" t="s">
        <v>66</v>
      </c>
      <c r="C19923" s="4" t="str">
        <f t="shared" si="1371"/>
        <v>TCGA-THCA</v>
      </c>
      <c r="D19923" s="1" t="s">
        <v>493</v>
      </c>
      <c r="E19923" t="s">
        <v>590</v>
      </c>
      <c r="F19923" s="1">
        <v>2</v>
      </c>
      <c r="G19923" s="1" t="s">
        <v>32</v>
      </c>
      <c r="H19923" s="4" t="str">
        <f>HYPERLINK("https://portal.gdc.cancer.gov/cases/fc70a652-7925-4759-8e1f-05fd56829df4","TCGA-FE-A239-01A")</f>
        <v>TCGA-FE-A239-01A</v>
      </c>
      <c r="I19923" t="s">
        <v>333</v>
      </c>
      <c r="J19923" t="s">
        <v>584</v>
      </c>
      <c r="K19923" t="s">
        <v>33</v>
      </c>
      <c r="L19923" t="s">
        <v>335</v>
      </c>
      <c r="N19923" t="s">
        <v>29</v>
      </c>
    </row>
    <row r="19924" spans="1:14">
      <c r="A19924" s="4" t="str">
        <f t="shared" si="1370"/>
        <v>EXP00447</v>
      </c>
      <c r="B19924" s="3" t="s">
        <v>66</v>
      </c>
      <c r="C19924" s="4" t="str">
        <f t="shared" si="1371"/>
        <v>TCGA-THCA</v>
      </c>
      <c r="D19924" s="1" t="s">
        <v>493</v>
      </c>
      <c r="E19924" t="s">
        <v>590</v>
      </c>
      <c r="F19924" s="1">
        <v>2</v>
      </c>
      <c r="G19924" s="1" t="s">
        <v>32</v>
      </c>
      <c r="H19924" s="4" t="str">
        <f>HYPERLINK("https://portal.gdc.cancer.gov/cases/fd8c4ff3-e759-495f-96e7-1f406bb70190","TCGA-FE-A23A-01A")</f>
        <v>TCGA-FE-A23A-01A</v>
      </c>
      <c r="I19924" t="s">
        <v>333</v>
      </c>
      <c r="J19924" t="s">
        <v>584</v>
      </c>
      <c r="K19924" t="s">
        <v>33</v>
      </c>
      <c r="L19924" t="s">
        <v>335</v>
      </c>
      <c r="N19924" t="s">
        <v>29</v>
      </c>
    </row>
    <row r="19925" spans="1:14">
      <c r="A19925" s="4" t="str">
        <f t="shared" si="1370"/>
        <v>EXP00447</v>
      </c>
      <c r="B19925" s="3" t="s">
        <v>66</v>
      </c>
      <c r="C19925" s="4" t="str">
        <f t="shared" si="1371"/>
        <v>TCGA-THCA</v>
      </c>
      <c r="D19925" s="1" t="s">
        <v>493</v>
      </c>
      <c r="E19925" t="s">
        <v>590</v>
      </c>
      <c r="F19925" s="1">
        <v>2</v>
      </c>
      <c r="G19925" s="1" t="s">
        <v>32</v>
      </c>
      <c r="H19925" s="4" t="str">
        <f>HYPERLINK("https://portal.gdc.cancer.gov/cases/10bdafbb-831d-48b5-b9a3-ad374fc50235","TCGA-FE-A3PA-01A")</f>
        <v>TCGA-FE-A3PA-01A</v>
      </c>
      <c r="I19925" t="s">
        <v>333</v>
      </c>
      <c r="J19925" t="s">
        <v>584</v>
      </c>
      <c r="K19925" t="s">
        <v>33</v>
      </c>
      <c r="L19925" t="s">
        <v>335</v>
      </c>
      <c r="N19925" t="s">
        <v>29</v>
      </c>
    </row>
    <row r="19926" spans="1:14">
      <c r="A19926" s="4" t="str">
        <f t="shared" si="1370"/>
        <v>EXP00447</v>
      </c>
      <c r="B19926" s="3" t="s">
        <v>66</v>
      </c>
      <c r="C19926" s="4" t="str">
        <f t="shared" si="1371"/>
        <v>TCGA-THCA</v>
      </c>
      <c r="D19926" s="1" t="s">
        <v>493</v>
      </c>
      <c r="E19926" t="s">
        <v>590</v>
      </c>
      <c r="F19926" s="1">
        <v>2</v>
      </c>
      <c r="G19926" s="1" t="s">
        <v>32</v>
      </c>
      <c r="H19926" s="4" t="str">
        <f>HYPERLINK("https://portal.gdc.cancer.gov/cases/05a8268a-6b33-429b-8638-8c9bb366ef28","TCGA-FE-A3PB-01A")</f>
        <v>TCGA-FE-A3PB-01A</v>
      </c>
      <c r="I19926" t="s">
        <v>333</v>
      </c>
      <c r="J19926" t="s">
        <v>584</v>
      </c>
      <c r="K19926" t="s">
        <v>33</v>
      </c>
      <c r="L19926" t="s">
        <v>335</v>
      </c>
      <c r="N19926" t="s">
        <v>29</v>
      </c>
    </row>
    <row r="19927" spans="1:14">
      <c r="A19927" s="4" t="str">
        <f t="shared" si="1370"/>
        <v>EXP00447</v>
      </c>
      <c r="B19927" s="3" t="s">
        <v>66</v>
      </c>
      <c r="C19927" s="4" t="str">
        <f t="shared" si="1371"/>
        <v>TCGA-THCA</v>
      </c>
      <c r="D19927" s="1" t="s">
        <v>493</v>
      </c>
      <c r="E19927" t="s">
        <v>590</v>
      </c>
      <c r="F19927" s="1">
        <v>2</v>
      </c>
      <c r="G19927" s="1" t="s">
        <v>32</v>
      </c>
      <c r="H19927" s="4" t="str">
        <f>HYPERLINK("https://portal.gdc.cancer.gov/cases/a86ac3b5-b5e9-4420-8de0-a358fcad85b6","TCGA-FE-A3PC-01A")</f>
        <v>TCGA-FE-A3PC-01A</v>
      </c>
      <c r="I19927" t="s">
        <v>333</v>
      </c>
      <c r="J19927" t="s">
        <v>584</v>
      </c>
      <c r="K19927" t="s">
        <v>33</v>
      </c>
      <c r="L19927" t="s">
        <v>335</v>
      </c>
      <c r="N19927" t="s">
        <v>29</v>
      </c>
    </row>
    <row r="19928" spans="1:14">
      <c r="A19928" s="4" t="str">
        <f t="shared" si="1370"/>
        <v>EXP00447</v>
      </c>
      <c r="B19928" s="3" t="s">
        <v>66</v>
      </c>
      <c r="C19928" s="4" t="str">
        <f t="shared" si="1371"/>
        <v>TCGA-THCA</v>
      </c>
      <c r="D19928" s="1" t="s">
        <v>493</v>
      </c>
      <c r="E19928" t="s">
        <v>590</v>
      </c>
      <c r="F19928" s="1">
        <v>2</v>
      </c>
      <c r="G19928" s="1" t="s">
        <v>32</v>
      </c>
      <c r="H19928" s="4" t="str">
        <f>HYPERLINK("https://portal.gdc.cancer.gov/cases/39d90499-8549-4da5-b391-c421f18facf1","TCGA-FE-A3PD-01A")</f>
        <v>TCGA-FE-A3PD-01A</v>
      </c>
      <c r="I19928" t="s">
        <v>333</v>
      </c>
      <c r="J19928" t="s">
        <v>584</v>
      </c>
      <c r="K19928" t="s">
        <v>33</v>
      </c>
      <c r="L19928" t="s">
        <v>335</v>
      </c>
      <c r="N19928" t="s">
        <v>29</v>
      </c>
    </row>
    <row r="19929" spans="1:14">
      <c r="A19929" s="4" t="str">
        <f t="shared" si="1370"/>
        <v>EXP00447</v>
      </c>
      <c r="B19929" s="3" t="s">
        <v>66</v>
      </c>
      <c r="C19929" s="4" t="str">
        <f t="shared" si="1371"/>
        <v>TCGA-THCA</v>
      </c>
      <c r="D19929" s="1" t="s">
        <v>493</v>
      </c>
      <c r="E19929" t="s">
        <v>590</v>
      </c>
      <c r="F19929" s="1">
        <v>2</v>
      </c>
      <c r="G19929" s="1" t="s">
        <v>32</v>
      </c>
      <c r="H19929" s="4" t="str">
        <f>HYPERLINK("https://portal.gdc.cancer.gov/cases/785803bb-42a8-4afb-b7b4-58c114894408","TCGA-FK-A3S3-01A")</f>
        <v>TCGA-FK-A3S3-01A</v>
      </c>
      <c r="I19929" t="s">
        <v>333</v>
      </c>
      <c r="J19929" t="s">
        <v>584</v>
      </c>
      <c r="K19929" t="s">
        <v>33</v>
      </c>
      <c r="L19929" t="s">
        <v>335</v>
      </c>
      <c r="N19929" t="s">
        <v>29</v>
      </c>
    </row>
    <row r="19930" spans="1:14">
      <c r="A19930" s="4" t="str">
        <f t="shared" si="1370"/>
        <v>EXP00447</v>
      </c>
      <c r="B19930" s="3" t="s">
        <v>66</v>
      </c>
      <c r="C19930" s="4" t="str">
        <f t="shared" si="1371"/>
        <v>TCGA-THCA</v>
      </c>
      <c r="D19930" s="1" t="s">
        <v>493</v>
      </c>
      <c r="E19930" t="s">
        <v>590</v>
      </c>
      <c r="F19930" s="1">
        <v>2</v>
      </c>
      <c r="G19930" s="1" t="s">
        <v>32</v>
      </c>
      <c r="H19930" s="4" t="str">
        <f>HYPERLINK("https://portal.gdc.cancer.gov/cases/8950691c-600f-4a90-adf6-42a8f129aa3e","TCGA-FK-A3SB-01A")</f>
        <v>TCGA-FK-A3SB-01A</v>
      </c>
      <c r="I19930" t="s">
        <v>333</v>
      </c>
      <c r="J19930" t="s">
        <v>584</v>
      </c>
      <c r="K19930" t="s">
        <v>33</v>
      </c>
      <c r="L19930" t="s">
        <v>335</v>
      </c>
      <c r="N19930" t="s">
        <v>29</v>
      </c>
    </row>
    <row r="19931" spans="1:14">
      <c r="A19931" s="4" t="str">
        <f t="shared" si="1370"/>
        <v>EXP00447</v>
      </c>
      <c r="B19931" s="3" t="s">
        <v>66</v>
      </c>
      <c r="C19931" s="4" t="str">
        <f t="shared" si="1371"/>
        <v>TCGA-THCA</v>
      </c>
      <c r="D19931" s="1" t="s">
        <v>493</v>
      </c>
      <c r="E19931" t="s">
        <v>590</v>
      </c>
      <c r="F19931" s="1">
        <v>2</v>
      </c>
      <c r="G19931" s="1" t="s">
        <v>32</v>
      </c>
      <c r="H19931" s="4" t="str">
        <f>HYPERLINK("https://portal.gdc.cancer.gov/cases/63b01b43-a68a-4046-89b0-736ba4d08504","TCGA-FK-A3SD-01A")</f>
        <v>TCGA-FK-A3SD-01A</v>
      </c>
      <c r="I19931" t="s">
        <v>333</v>
      </c>
      <c r="J19931" t="s">
        <v>584</v>
      </c>
      <c r="K19931" t="s">
        <v>33</v>
      </c>
      <c r="L19931" t="s">
        <v>335</v>
      </c>
      <c r="N19931" t="s">
        <v>29</v>
      </c>
    </row>
    <row r="19932" spans="1:14">
      <c r="A19932" s="4" t="str">
        <f t="shared" si="1370"/>
        <v>EXP00447</v>
      </c>
      <c r="B19932" s="3" t="s">
        <v>66</v>
      </c>
      <c r="C19932" s="4" t="str">
        <f t="shared" si="1371"/>
        <v>TCGA-THCA</v>
      </c>
      <c r="D19932" s="1" t="s">
        <v>493</v>
      </c>
      <c r="E19932" t="s">
        <v>590</v>
      </c>
      <c r="F19932" s="1">
        <v>2</v>
      </c>
      <c r="G19932" s="1" t="s">
        <v>32</v>
      </c>
      <c r="H19932" s="4" t="str">
        <f>HYPERLINK("https://portal.gdc.cancer.gov/cases/afb00cd4-e5da-4251-86fb-532c3f65324c","TCGA-FK-A3SE-01A")</f>
        <v>TCGA-FK-A3SE-01A</v>
      </c>
      <c r="I19932" t="s">
        <v>333</v>
      </c>
      <c r="J19932" t="s">
        <v>584</v>
      </c>
      <c r="K19932" t="s">
        <v>33</v>
      </c>
      <c r="L19932" t="s">
        <v>335</v>
      </c>
      <c r="N19932" t="s">
        <v>29</v>
      </c>
    </row>
    <row r="19933" spans="1:14">
      <c r="A19933" s="4" t="str">
        <f t="shared" si="1370"/>
        <v>EXP00447</v>
      </c>
      <c r="B19933" s="3" t="s">
        <v>66</v>
      </c>
      <c r="C19933" s="4" t="str">
        <f t="shared" si="1371"/>
        <v>TCGA-THCA</v>
      </c>
      <c r="D19933" s="1" t="s">
        <v>493</v>
      </c>
      <c r="E19933" t="s">
        <v>590</v>
      </c>
      <c r="F19933" s="1">
        <v>2</v>
      </c>
      <c r="G19933" s="1" t="s">
        <v>32</v>
      </c>
      <c r="H19933" s="4" t="str">
        <f>HYPERLINK("https://portal.gdc.cancer.gov/cases/8446bcba-0dcd-42eb-96a1-00f5470c9f65","TCGA-FK-A3SG-01A")</f>
        <v>TCGA-FK-A3SG-01A</v>
      </c>
      <c r="I19933" t="s">
        <v>333</v>
      </c>
      <c r="J19933" t="s">
        <v>584</v>
      </c>
      <c r="K19933" t="s">
        <v>33</v>
      </c>
      <c r="L19933" t="s">
        <v>335</v>
      </c>
      <c r="N19933" t="s">
        <v>29</v>
      </c>
    </row>
    <row r="19934" spans="1:14">
      <c r="A19934" s="4" t="str">
        <f t="shared" si="1370"/>
        <v>EXP00447</v>
      </c>
      <c r="B19934" s="3" t="s">
        <v>66</v>
      </c>
      <c r="C19934" s="4" t="str">
        <f t="shared" si="1371"/>
        <v>TCGA-THCA</v>
      </c>
      <c r="D19934" s="1" t="s">
        <v>493</v>
      </c>
      <c r="E19934" t="s">
        <v>590</v>
      </c>
      <c r="F19934" s="1">
        <v>2</v>
      </c>
      <c r="G19934" s="1" t="s">
        <v>32</v>
      </c>
      <c r="H19934" s="4" t="str">
        <f>HYPERLINK("https://portal.gdc.cancer.gov/cases/e48a8fa7-4e2b-44a0-95f5-e2925c60bad3","TCGA-FK-A3SH-01A")</f>
        <v>TCGA-FK-A3SH-01A</v>
      </c>
      <c r="I19934" t="s">
        <v>333</v>
      </c>
      <c r="J19934" t="s">
        <v>584</v>
      </c>
      <c r="K19934" t="s">
        <v>33</v>
      </c>
      <c r="L19934" t="s">
        <v>335</v>
      </c>
      <c r="N19934" t="s">
        <v>29</v>
      </c>
    </row>
    <row r="19935" spans="1:14">
      <c r="A19935" s="4" t="str">
        <f t="shared" si="1370"/>
        <v>EXP00447</v>
      </c>
      <c r="B19935" s="3" t="s">
        <v>66</v>
      </c>
      <c r="C19935" s="4" t="str">
        <f t="shared" si="1371"/>
        <v>TCGA-THCA</v>
      </c>
      <c r="D19935" s="1" t="s">
        <v>493</v>
      </c>
      <c r="E19935" t="s">
        <v>590</v>
      </c>
      <c r="F19935" s="1">
        <v>2</v>
      </c>
      <c r="G19935" s="1" t="s">
        <v>32</v>
      </c>
      <c r="H19935" s="4" t="str">
        <f>HYPERLINK("https://portal.gdc.cancer.gov/cases/7cec93da-42c9-495d-8110-9fb43763041b","TCGA-FK-A4UB-01A")</f>
        <v>TCGA-FK-A4UB-01A</v>
      </c>
      <c r="I19935" t="s">
        <v>333</v>
      </c>
      <c r="J19935" t="s">
        <v>584</v>
      </c>
      <c r="K19935" t="s">
        <v>33</v>
      </c>
      <c r="L19935" t="s">
        <v>335</v>
      </c>
      <c r="N19935" t="s">
        <v>29</v>
      </c>
    </row>
    <row r="19936" spans="1:14">
      <c r="A19936" s="4" t="str">
        <f t="shared" si="1370"/>
        <v>EXP00447</v>
      </c>
      <c r="B19936" s="3" t="s">
        <v>66</v>
      </c>
      <c r="C19936" s="4" t="str">
        <f t="shared" si="1371"/>
        <v>TCGA-THCA</v>
      </c>
      <c r="D19936" s="1" t="s">
        <v>493</v>
      </c>
      <c r="E19936" t="s">
        <v>590</v>
      </c>
      <c r="F19936" s="1">
        <v>2</v>
      </c>
      <c r="G19936" s="1" t="s">
        <v>32</v>
      </c>
      <c r="H19936" s="4" t="str">
        <f>HYPERLINK("https://portal.gdc.cancer.gov/cases/b0cb6ed7-3d9f-4d5e-8df5-edcc921c43b4","TCGA-FY-A2QD-01A")</f>
        <v>TCGA-FY-A2QD-01A</v>
      </c>
      <c r="I19936" t="s">
        <v>333</v>
      </c>
      <c r="J19936" t="s">
        <v>584</v>
      </c>
      <c r="K19936" t="s">
        <v>33</v>
      </c>
      <c r="L19936" t="s">
        <v>335</v>
      </c>
      <c r="N19936" t="s">
        <v>29</v>
      </c>
    </row>
    <row r="19937" spans="1:14">
      <c r="A19937" s="4" t="str">
        <f t="shared" si="1370"/>
        <v>EXP00447</v>
      </c>
      <c r="B19937" s="3" t="s">
        <v>66</v>
      </c>
      <c r="C19937" s="4" t="str">
        <f t="shared" si="1371"/>
        <v>TCGA-THCA</v>
      </c>
      <c r="D19937" s="1" t="s">
        <v>493</v>
      </c>
      <c r="E19937" t="s">
        <v>590</v>
      </c>
      <c r="F19937" s="1">
        <v>2</v>
      </c>
      <c r="G19937" s="1" t="s">
        <v>32</v>
      </c>
      <c r="H19937" s="4" t="str">
        <f>HYPERLINK("https://portal.gdc.cancer.gov/cases/c6f08366-f30d-45bd-b949-b59d2493995d","TCGA-FY-A3BL-01A")</f>
        <v>TCGA-FY-A3BL-01A</v>
      </c>
      <c r="I19937" t="s">
        <v>333</v>
      </c>
      <c r="J19937" t="s">
        <v>584</v>
      </c>
      <c r="K19937" t="s">
        <v>33</v>
      </c>
      <c r="L19937" t="s">
        <v>335</v>
      </c>
      <c r="N19937" t="s">
        <v>29</v>
      </c>
    </row>
    <row r="19938" spans="1:14">
      <c r="A19938" s="4" t="str">
        <f t="shared" si="1370"/>
        <v>EXP00447</v>
      </c>
      <c r="B19938" s="3" t="s">
        <v>66</v>
      </c>
      <c r="C19938" s="4" t="str">
        <f t="shared" si="1371"/>
        <v>TCGA-THCA</v>
      </c>
      <c r="D19938" s="1" t="s">
        <v>493</v>
      </c>
      <c r="E19938" t="s">
        <v>590</v>
      </c>
      <c r="F19938" s="1">
        <v>2</v>
      </c>
      <c r="G19938" s="1" t="s">
        <v>32</v>
      </c>
      <c r="H19938" s="4" t="str">
        <f>HYPERLINK("https://portal.gdc.cancer.gov/cases/cd1656d8-55a5-4248-b81d-fed9d5992cbe","TCGA-FY-A3I4-01A")</f>
        <v>TCGA-FY-A3I4-01A</v>
      </c>
      <c r="I19938" t="s">
        <v>333</v>
      </c>
      <c r="J19938" t="s">
        <v>584</v>
      </c>
      <c r="K19938" t="s">
        <v>33</v>
      </c>
      <c r="L19938" t="s">
        <v>335</v>
      </c>
      <c r="N19938" t="s">
        <v>29</v>
      </c>
    </row>
    <row r="19939" spans="1:14">
      <c r="A19939" s="4" t="str">
        <f t="shared" si="1370"/>
        <v>EXP00447</v>
      </c>
      <c r="B19939" s="3" t="s">
        <v>66</v>
      </c>
      <c r="C19939" s="4" t="str">
        <f t="shared" si="1371"/>
        <v>TCGA-THCA</v>
      </c>
      <c r="D19939" s="1" t="s">
        <v>493</v>
      </c>
      <c r="E19939" t="s">
        <v>590</v>
      </c>
      <c r="F19939" s="1">
        <v>2</v>
      </c>
      <c r="G19939" s="1" t="s">
        <v>32</v>
      </c>
      <c r="H19939" s="4" t="str">
        <f>HYPERLINK("https://portal.gdc.cancer.gov/cases/52203ff5-57b2-4d56-8935-2ff1eb61d7b8","TCGA-FY-A3I5-01B")</f>
        <v>TCGA-FY-A3I5-01B</v>
      </c>
      <c r="I19939" t="s">
        <v>333</v>
      </c>
      <c r="J19939" t="s">
        <v>584</v>
      </c>
      <c r="K19939" t="s">
        <v>33</v>
      </c>
      <c r="L19939" t="s">
        <v>335</v>
      </c>
      <c r="N19939" t="s">
        <v>29</v>
      </c>
    </row>
    <row r="19940" spans="1:14">
      <c r="A19940" s="4" t="str">
        <f t="shared" si="1370"/>
        <v>EXP00447</v>
      </c>
      <c r="B19940" s="3" t="s">
        <v>66</v>
      </c>
      <c r="C19940" s="4" t="str">
        <f t="shared" si="1371"/>
        <v>TCGA-THCA</v>
      </c>
      <c r="D19940" s="1" t="s">
        <v>493</v>
      </c>
      <c r="E19940" t="s">
        <v>590</v>
      </c>
      <c r="F19940" s="1">
        <v>2</v>
      </c>
      <c r="G19940" s="1" t="s">
        <v>32</v>
      </c>
      <c r="H19940" s="4" t="str">
        <f>HYPERLINK("https://portal.gdc.cancer.gov/cases/f7f6e9f4-1aa8-48a0-bea9-efaa9379f6f6","TCGA-FY-A3NM-01A")</f>
        <v>TCGA-FY-A3NM-01A</v>
      </c>
      <c r="I19940" t="s">
        <v>333</v>
      </c>
      <c r="J19940" t="s">
        <v>584</v>
      </c>
      <c r="K19940" t="s">
        <v>33</v>
      </c>
      <c r="L19940" t="s">
        <v>335</v>
      </c>
      <c r="N19940" t="s">
        <v>29</v>
      </c>
    </row>
    <row r="19941" spans="1:14">
      <c r="A19941" s="4" t="str">
        <f t="shared" si="1370"/>
        <v>EXP00447</v>
      </c>
      <c r="B19941" s="3" t="s">
        <v>66</v>
      </c>
      <c r="C19941" s="4" t="str">
        <f t="shared" si="1371"/>
        <v>TCGA-THCA</v>
      </c>
      <c r="D19941" s="1" t="s">
        <v>493</v>
      </c>
      <c r="E19941" t="s">
        <v>590</v>
      </c>
      <c r="F19941" s="1">
        <v>2</v>
      </c>
      <c r="G19941" s="1" t="s">
        <v>32</v>
      </c>
      <c r="H19941" s="4" t="str">
        <f>HYPERLINK("https://portal.gdc.cancer.gov/cases/b3b7d701-ec84-4018-a3ce-f59198b35767","TCGA-FY-A3NN-01A")</f>
        <v>TCGA-FY-A3NN-01A</v>
      </c>
      <c r="I19941" t="s">
        <v>333</v>
      </c>
      <c r="J19941" t="s">
        <v>584</v>
      </c>
      <c r="K19941" t="s">
        <v>33</v>
      </c>
      <c r="L19941" t="s">
        <v>335</v>
      </c>
      <c r="N19941" t="s">
        <v>29</v>
      </c>
    </row>
    <row r="19942" spans="1:14">
      <c r="A19942" s="4" t="str">
        <f t="shared" si="1370"/>
        <v>EXP00447</v>
      </c>
      <c r="B19942" s="3" t="s">
        <v>66</v>
      </c>
      <c r="C19942" s="4" t="str">
        <f t="shared" si="1371"/>
        <v>TCGA-THCA</v>
      </c>
      <c r="D19942" s="1" t="s">
        <v>493</v>
      </c>
      <c r="E19942" t="s">
        <v>590</v>
      </c>
      <c r="F19942" s="1">
        <v>2</v>
      </c>
      <c r="G19942" s="1" t="s">
        <v>32</v>
      </c>
      <c r="H19942" s="4" t="str">
        <f>HYPERLINK("https://portal.gdc.cancer.gov/cases/029da211-9b52-45ad-b0dc-2322da783c9c","TCGA-FY-A3NP-01A")</f>
        <v>TCGA-FY-A3NP-01A</v>
      </c>
      <c r="I19942" t="s">
        <v>333</v>
      </c>
      <c r="J19942" t="s">
        <v>584</v>
      </c>
      <c r="K19942" t="s">
        <v>33</v>
      </c>
      <c r="L19942" t="s">
        <v>335</v>
      </c>
      <c r="N19942" t="s">
        <v>29</v>
      </c>
    </row>
    <row r="19943" spans="1:14">
      <c r="A19943" s="4" t="str">
        <f t="shared" si="1370"/>
        <v>EXP00447</v>
      </c>
      <c r="B19943" s="3" t="s">
        <v>66</v>
      </c>
      <c r="C19943" s="4" t="str">
        <f t="shared" si="1371"/>
        <v>TCGA-THCA</v>
      </c>
      <c r="D19943" s="1" t="s">
        <v>493</v>
      </c>
      <c r="E19943" t="s">
        <v>590</v>
      </c>
      <c r="F19943" s="1">
        <v>2</v>
      </c>
      <c r="G19943" s="1" t="s">
        <v>32</v>
      </c>
      <c r="H19943" s="4" t="str">
        <f>HYPERLINK("https://portal.gdc.cancer.gov/cases/4d1aec67-c345-4721-8ee8-356b0dff009b","TCGA-FY-A3ON-01A")</f>
        <v>TCGA-FY-A3ON-01A</v>
      </c>
      <c r="I19943" t="s">
        <v>333</v>
      </c>
      <c r="J19943" t="s">
        <v>584</v>
      </c>
      <c r="K19943" t="s">
        <v>33</v>
      </c>
      <c r="L19943" t="s">
        <v>335</v>
      </c>
      <c r="N19943" t="s">
        <v>29</v>
      </c>
    </row>
    <row r="19944" spans="1:14">
      <c r="A19944" s="4" t="str">
        <f t="shared" si="1370"/>
        <v>EXP00447</v>
      </c>
      <c r="B19944" s="3" t="s">
        <v>66</v>
      </c>
      <c r="C19944" s="4" t="str">
        <f t="shared" si="1371"/>
        <v>TCGA-THCA</v>
      </c>
      <c r="D19944" s="1" t="s">
        <v>493</v>
      </c>
      <c r="E19944" t="s">
        <v>590</v>
      </c>
      <c r="F19944" s="1">
        <v>2</v>
      </c>
      <c r="G19944" s="1" t="s">
        <v>32</v>
      </c>
      <c r="H19944" s="4" t="str">
        <f>HYPERLINK("https://portal.gdc.cancer.gov/cases/905469d2-4c97-4293-a20c-1b1f0462a25d","TCGA-FY-A3R6-01A")</f>
        <v>TCGA-FY-A3R6-01A</v>
      </c>
      <c r="I19944" t="s">
        <v>333</v>
      </c>
      <c r="J19944" t="s">
        <v>584</v>
      </c>
      <c r="K19944" t="s">
        <v>33</v>
      </c>
      <c r="L19944" t="s">
        <v>335</v>
      </c>
      <c r="N19944" t="s">
        <v>29</v>
      </c>
    </row>
    <row r="19945" spans="1:14">
      <c r="A19945" s="4" t="str">
        <f t="shared" si="1370"/>
        <v>EXP00447</v>
      </c>
      <c r="B19945" s="3" t="s">
        <v>66</v>
      </c>
      <c r="C19945" s="4" t="str">
        <f t="shared" si="1371"/>
        <v>TCGA-THCA</v>
      </c>
      <c r="D19945" s="1" t="s">
        <v>493</v>
      </c>
      <c r="E19945" t="s">
        <v>590</v>
      </c>
      <c r="F19945" s="1">
        <v>2</v>
      </c>
      <c r="G19945" s="1" t="s">
        <v>32</v>
      </c>
      <c r="H19945" s="4" t="str">
        <f>HYPERLINK("https://portal.gdc.cancer.gov/cases/b983a678-b0ae-42c2-8f37-d6ecaf07413b","TCGA-FY-A3R7-01A")</f>
        <v>TCGA-FY-A3R7-01A</v>
      </c>
      <c r="I19945" t="s">
        <v>333</v>
      </c>
      <c r="J19945" t="s">
        <v>584</v>
      </c>
      <c r="K19945" t="s">
        <v>33</v>
      </c>
      <c r="L19945" t="s">
        <v>335</v>
      </c>
      <c r="N19945" t="s">
        <v>29</v>
      </c>
    </row>
    <row r="19946" spans="1:14">
      <c r="A19946" s="4" t="str">
        <f t="shared" si="1370"/>
        <v>EXP00447</v>
      </c>
      <c r="B19946" s="3" t="s">
        <v>66</v>
      </c>
      <c r="C19946" s="4" t="str">
        <f t="shared" si="1371"/>
        <v>TCGA-THCA</v>
      </c>
      <c r="D19946" s="1" t="s">
        <v>493</v>
      </c>
      <c r="E19946" t="s">
        <v>590</v>
      </c>
      <c r="F19946" s="1">
        <v>2</v>
      </c>
      <c r="G19946" s="1" t="s">
        <v>32</v>
      </c>
      <c r="H19946" s="4" t="str">
        <f>HYPERLINK("https://portal.gdc.cancer.gov/cases/c77976b6-35ea-4623-a92a-6d9440a978e6","TCGA-FY-A3R8-01A")</f>
        <v>TCGA-FY-A3R8-01A</v>
      </c>
      <c r="I19946" t="s">
        <v>333</v>
      </c>
      <c r="J19946" t="s">
        <v>584</v>
      </c>
      <c r="K19946" t="s">
        <v>33</v>
      </c>
      <c r="L19946" t="s">
        <v>335</v>
      </c>
      <c r="N19946" t="s">
        <v>29</v>
      </c>
    </row>
    <row r="19947" spans="1:14">
      <c r="A19947" s="4" t="str">
        <f t="shared" si="1370"/>
        <v>EXP00447</v>
      </c>
      <c r="B19947" s="3" t="s">
        <v>66</v>
      </c>
      <c r="C19947" s="4" t="str">
        <f t="shared" si="1371"/>
        <v>TCGA-THCA</v>
      </c>
      <c r="D19947" s="1" t="s">
        <v>493</v>
      </c>
      <c r="E19947" t="s">
        <v>590</v>
      </c>
      <c r="F19947" s="1">
        <v>2</v>
      </c>
      <c r="G19947" s="1" t="s">
        <v>32</v>
      </c>
      <c r="H19947" s="4" t="str">
        <f>HYPERLINK("https://portal.gdc.cancer.gov/cases/d92902ff-8023-411c-a7ca-1afcbb64937e","TCGA-FY-A3R9-01A")</f>
        <v>TCGA-FY-A3R9-01A</v>
      </c>
      <c r="I19947" t="s">
        <v>333</v>
      </c>
      <c r="J19947" t="s">
        <v>584</v>
      </c>
      <c r="K19947" t="s">
        <v>33</v>
      </c>
      <c r="L19947" t="s">
        <v>335</v>
      </c>
      <c r="N19947" t="s">
        <v>29</v>
      </c>
    </row>
    <row r="19948" spans="1:14">
      <c r="A19948" s="4" t="str">
        <f t="shared" si="1370"/>
        <v>EXP00447</v>
      </c>
      <c r="B19948" s="3" t="s">
        <v>66</v>
      </c>
      <c r="C19948" s="4" t="str">
        <f t="shared" si="1371"/>
        <v>TCGA-THCA</v>
      </c>
      <c r="D19948" s="1" t="s">
        <v>493</v>
      </c>
      <c r="E19948" t="s">
        <v>590</v>
      </c>
      <c r="F19948" s="1">
        <v>2</v>
      </c>
      <c r="G19948" s="1" t="s">
        <v>32</v>
      </c>
      <c r="H19948" s="4" t="str">
        <f>HYPERLINK("https://portal.gdc.cancer.gov/cases/58ff4366-20a3-40a2-a87a-551e17cdb5d3","TCGA-FY-A3RA-01A")</f>
        <v>TCGA-FY-A3RA-01A</v>
      </c>
      <c r="I19948" t="s">
        <v>333</v>
      </c>
      <c r="J19948" t="s">
        <v>584</v>
      </c>
      <c r="K19948" t="s">
        <v>33</v>
      </c>
      <c r="L19948" t="s">
        <v>335</v>
      </c>
      <c r="N19948" t="s">
        <v>29</v>
      </c>
    </row>
    <row r="19949" spans="1:14">
      <c r="A19949" s="4" t="str">
        <f t="shared" si="1370"/>
        <v>EXP00447</v>
      </c>
      <c r="B19949" s="3" t="s">
        <v>66</v>
      </c>
      <c r="C19949" s="4" t="str">
        <f t="shared" si="1371"/>
        <v>TCGA-THCA</v>
      </c>
      <c r="D19949" s="1" t="s">
        <v>493</v>
      </c>
      <c r="E19949" t="s">
        <v>590</v>
      </c>
      <c r="F19949" s="1">
        <v>2</v>
      </c>
      <c r="G19949" s="1" t="s">
        <v>32</v>
      </c>
      <c r="H19949" s="4" t="str">
        <f>HYPERLINK("https://portal.gdc.cancer.gov/cases/53ba15c0-780e-4153-a612-046f1b24b4b3","TCGA-FY-A3TY-01A")</f>
        <v>TCGA-FY-A3TY-01A</v>
      </c>
      <c r="I19949" t="s">
        <v>333</v>
      </c>
      <c r="J19949" t="s">
        <v>584</v>
      </c>
      <c r="K19949" t="s">
        <v>33</v>
      </c>
      <c r="L19949" t="s">
        <v>335</v>
      </c>
      <c r="N19949" t="s">
        <v>29</v>
      </c>
    </row>
    <row r="19950" spans="1:14">
      <c r="A19950" s="4" t="str">
        <f t="shared" si="1370"/>
        <v>EXP00447</v>
      </c>
      <c r="B19950" s="3" t="s">
        <v>66</v>
      </c>
      <c r="C19950" s="4" t="str">
        <f t="shared" si="1371"/>
        <v>TCGA-THCA</v>
      </c>
      <c r="D19950" s="1" t="s">
        <v>493</v>
      </c>
      <c r="E19950" t="s">
        <v>590</v>
      </c>
      <c r="F19950" s="1">
        <v>2</v>
      </c>
      <c r="G19950" s="1" t="s">
        <v>32</v>
      </c>
      <c r="H19950" s="4" t="str">
        <f>HYPERLINK("https://portal.gdc.cancer.gov/cases/7ef22138-ac76-4846-b3bb-ddf1efb96531","TCGA-FY-A3W9-01A")</f>
        <v>TCGA-FY-A3W9-01A</v>
      </c>
      <c r="I19950" t="s">
        <v>333</v>
      </c>
      <c r="J19950" t="s">
        <v>584</v>
      </c>
      <c r="K19950" t="s">
        <v>33</v>
      </c>
      <c r="L19950" t="s">
        <v>335</v>
      </c>
      <c r="N19950" t="s">
        <v>29</v>
      </c>
    </row>
    <row r="19951" spans="1:14">
      <c r="A19951" s="4" t="str">
        <f t="shared" si="1370"/>
        <v>EXP00447</v>
      </c>
      <c r="B19951" s="3" t="s">
        <v>66</v>
      </c>
      <c r="C19951" s="4" t="str">
        <f t="shared" si="1371"/>
        <v>TCGA-THCA</v>
      </c>
      <c r="D19951" s="1" t="s">
        <v>493</v>
      </c>
      <c r="E19951" t="s">
        <v>590</v>
      </c>
      <c r="F19951" s="1">
        <v>2</v>
      </c>
      <c r="G19951" s="1" t="s">
        <v>32</v>
      </c>
      <c r="H19951" s="4" t="str">
        <f>HYPERLINK("https://portal.gdc.cancer.gov/cases/59221e3a-2927-40bf-a38d-4a5843ea179b","TCGA-FY-A3WA-01A")</f>
        <v>TCGA-FY-A3WA-01A</v>
      </c>
      <c r="I19951" t="s">
        <v>333</v>
      </c>
      <c r="J19951" t="s">
        <v>584</v>
      </c>
      <c r="K19951" t="s">
        <v>33</v>
      </c>
      <c r="L19951" t="s">
        <v>335</v>
      </c>
      <c r="N19951" t="s">
        <v>29</v>
      </c>
    </row>
    <row r="19952" spans="1:14">
      <c r="A19952" s="4" t="str">
        <f t="shared" si="1370"/>
        <v>EXP00447</v>
      </c>
      <c r="B19952" s="3" t="s">
        <v>66</v>
      </c>
      <c r="C19952" s="4" t="str">
        <f t="shared" si="1371"/>
        <v>TCGA-THCA</v>
      </c>
      <c r="D19952" s="1" t="s">
        <v>493</v>
      </c>
      <c r="E19952" t="s">
        <v>590</v>
      </c>
      <c r="F19952" s="1">
        <v>2</v>
      </c>
      <c r="G19952" s="1" t="s">
        <v>32</v>
      </c>
      <c r="H19952" s="4" t="str">
        <f>HYPERLINK("https://portal.gdc.cancer.gov/cases/d2cc4d31-38fa-4232-895e-767260f607e9","TCGA-FY-A3YR-01A")</f>
        <v>TCGA-FY-A3YR-01A</v>
      </c>
      <c r="I19952" t="s">
        <v>333</v>
      </c>
      <c r="J19952" t="s">
        <v>584</v>
      </c>
      <c r="K19952" t="s">
        <v>33</v>
      </c>
      <c r="L19952" t="s">
        <v>335</v>
      </c>
      <c r="N19952" t="s">
        <v>29</v>
      </c>
    </row>
    <row r="19953" spans="1:14">
      <c r="A19953" s="4" t="str">
        <f t="shared" ref="A19953:A20005" si="1372">HYPERLINK("http://hcmdb.i-sanger.com/experiment/details/experiment_id/EXP00447","EXP00447")</f>
        <v>EXP00447</v>
      </c>
      <c r="B19953" s="3" t="s">
        <v>66</v>
      </c>
      <c r="C19953" s="4" t="str">
        <f t="shared" si="1371"/>
        <v>TCGA-THCA</v>
      </c>
      <c r="D19953" s="1" t="s">
        <v>493</v>
      </c>
      <c r="E19953" t="s">
        <v>590</v>
      </c>
      <c r="F19953" s="1">
        <v>2</v>
      </c>
      <c r="G19953" s="1" t="s">
        <v>32</v>
      </c>
      <c r="H19953" s="4" t="str">
        <f>HYPERLINK("https://portal.gdc.cancer.gov/cases/8a8e05aa-f13a-4142-a335-7aafbee7b664","TCGA-FY-A40K-01A")</f>
        <v>TCGA-FY-A40K-01A</v>
      </c>
      <c r="I19953" t="s">
        <v>333</v>
      </c>
      <c r="J19953" t="s">
        <v>584</v>
      </c>
      <c r="K19953" t="s">
        <v>33</v>
      </c>
      <c r="L19953" t="s">
        <v>335</v>
      </c>
      <c r="N19953" t="s">
        <v>29</v>
      </c>
    </row>
    <row r="19954" spans="1:14">
      <c r="A19954" s="4" t="str">
        <f t="shared" si="1372"/>
        <v>EXP00447</v>
      </c>
      <c r="B19954" s="3" t="s">
        <v>66</v>
      </c>
      <c r="C19954" s="4" t="str">
        <f t="shared" si="1371"/>
        <v>TCGA-THCA</v>
      </c>
      <c r="D19954" s="1" t="s">
        <v>493</v>
      </c>
      <c r="E19954" t="s">
        <v>590</v>
      </c>
      <c r="F19954" s="1">
        <v>2</v>
      </c>
      <c r="G19954" s="1" t="s">
        <v>32</v>
      </c>
      <c r="H19954" s="4" t="str">
        <f>HYPERLINK("https://portal.gdc.cancer.gov/cases/3fc062bc-1b0b-4c8f-b79c-770bcaa1ec6e","TCGA-FY-A40L-01A")</f>
        <v>TCGA-FY-A40L-01A</v>
      </c>
      <c r="I19954" t="s">
        <v>333</v>
      </c>
      <c r="J19954" t="s">
        <v>584</v>
      </c>
      <c r="K19954" t="s">
        <v>33</v>
      </c>
      <c r="L19954" t="s">
        <v>335</v>
      </c>
      <c r="N19954" t="s">
        <v>29</v>
      </c>
    </row>
    <row r="19955" spans="1:14">
      <c r="A19955" s="4" t="str">
        <f t="shared" si="1372"/>
        <v>EXP00447</v>
      </c>
      <c r="B19955" s="3" t="s">
        <v>66</v>
      </c>
      <c r="C19955" s="4" t="str">
        <f t="shared" si="1371"/>
        <v>TCGA-THCA</v>
      </c>
      <c r="D19955" s="1" t="s">
        <v>493</v>
      </c>
      <c r="E19955" t="s">
        <v>590</v>
      </c>
      <c r="F19955" s="1">
        <v>2</v>
      </c>
      <c r="G19955" s="1" t="s">
        <v>32</v>
      </c>
      <c r="H19955" s="4" t="str">
        <f>HYPERLINK("https://portal.gdc.cancer.gov/cases/744df1f5-a7d5-4675-92ce-6e4713f0d541","TCGA-FY-A40M-01A")</f>
        <v>TCGA-FY-A40M-01A</v>
      </c>
      <c r="I19955" t="s">
        <v>333</v>
      </c>
      <c r="J19955" t="s">
        <v>584</v>
      </c>
      <c r="K19955" t="s">
        <v>33</v>
      </c>
      <c r="L19955" t="s">
        <v>335</v>
      </c>
      <c r="N19955" t="s">
        <v>29</v>
      </c>
    </row>
    <row r="19956" spans="1:14">
      <c r="A19956" s="4" t="str">
        <f t="shared" si="1372"/>
        <v>EXP00447</v>
      </c>
      <c r="B19956" s="3" t="s">
        <v>66</v>
      </c>
      <c r="C19956" s="4" t="str">
        <f t="shared" si="1371"/>
        <v>TCGA-THCA</v>
      </c>
      <c r="D19956" s="1" t="s">
        <v>493</v>
      </c>
      <c r="E19956" t="s">
        <v>590</v>
      </c>
      <c r="F19956" s="1">
        <v>2</v>
      </c>
      <c r="G19956" s="1" t="s">
        <v>32</v>
      </c>
      <c r="H19956" s="4" t="str">
        <f>HYPERLINK("https://portal.gdc.cancer.gov/cases/44c2da7c-6975-4d09-b65c-4b30afd019bb","TCGA-FY-A40N-01A")</f>
        <v>TCGA-FY-A40N-01A</v>
      </c>
      <c r="I19956" t="s">
        <v>333</v>
      </c>
      <c r="J19956" t="s">
        <v>584</v>
      </c>
      <c r="K19956" t="s">
        <v>33</v>
      </c>
      <c r="L19956" t="s">
        <v>335</v>
      </c>
      <c r="N19956" t="s">
        <v>29</v>
      </c>
    </row>
    <row r="19957" spans="1:14">
      <c r="A19957" s="4" t="str">
        <f t="shared" si="1372"/>
        <v>EXP00447</v>
      </c>
      <c r="B19957" s="3" t="s">
        <v>66</v>
      </c>
      <c r="C19957" s="4" t="str">
        <f t="shared" ref="C19957:C20020" si="1373">HYPERLINK("https://portal.gdc.cancer.gov/projects/TCGA-THCA","TCGA-THCA")</f>
        <v>TCGA-THCA</v>
      </c>
      <c r="D19957" s="1" t="s">
        <v>493</v>
      </c>
      <c r="E19957" t="s">
        <v>590</v>
      </c>
      <c r="F19957" s="1">
        <v>2</v>
      </c>
      <c r="G19957" s="1" t="s">
        <v>32</v>
      </c>
      <c r="H19957" s="4" t="str">
        <f>HYPERLINK("https://portal.gdc.cancer.gov/cases/6b529fb3-0b1b-4d3b-9309-bfcb063dbb71","TCGA-FY-A4B0-01A")</f>
        <v>TCGA-FY-A4B0-01A</v>
      </c>
      <c r="I19957" t="s">
        <v>333</v>
      </c>
      <c r="J19957" t="s">
        <v>584</v>
      </c>
      <c r="K19957" t="s">
        <v>33</v>
      </c>
      <c r="L19957" t="s">
        <v>335</v>
      </c>
      <c r="N19957" t="s">
        <v>29</v>
      </c>
    </row>
    <row r="19958" spans="1:14">
      <c r="A19958" s="4" t="str">
        <f t="shared" si="1372"/>
        <v>EXP00447</v>
      </c>
      <c r="B19958" s="3" t="s">
        <v>66</v>
      </c>
      <c r="C19958" s="4" t="str">
        <f t="shared" si="1373"/>
        <v>TCGA-THCA</v>
      </c>
      <c r="D19958" s="1" t="s">
        <v>493</v>
      </c>
      <c r="E19958" t="s">
        <v>590</v>
      </c>
      <c r="F19958" s="1">
        <v>2</v>
      </c>
      <c r="G19958" s="1" t="s">
        <v>32</v>
      </c>
      <c r="H19958" s="4" t="str">
        <f>HYPERLINK("https://portal.gdc.cancer.gov/cases/00b62df6-1189-4e38-8601-70416e05550d","TCGA-FY-A4B3-01A")</f>
        <v>TCGA-FY-A4B3-01A</v>
      </c>
      <c r="I19958" t="s">
        <v>333</v>
      </c>
      <c r="J19958" t="s">
        <v>584</v>
      </c>
      <c r="K19958" t="s">
        <v>33</v>
      </c>
      <c r="L19958" t="s">
        <v>335</v>
      </c>
      <c r="N19958" t="s">
        <v>29</v>
      </c>
    </row>
    <row r="19959" spans="1:14">
      <c r="A19959" s="4" t="str">
        <f t="shared" si="1372"/>
        <v>EXP00447</v>
      </c>
      <c r="B19959" s="3" t="s">
        <v>66</v>
      </c>
      <c r="C19959" s="4" t="str">
        <f t="shared" si="1373"/>
        <v>TCGA-THCA</v>
      </c>
      <c r="D19959" s="1" t="s">
        <v>493</v>
      </c>
      <c r="E19959" t="s">
        <v>590</v>
      </c>
      <c r="F19959" s="1">
        <v>2</v>
      </c>
      <c r="G19959" s="1" t="s">
        <v>32</v>
      </c>
      <c r="H19959" s="4" t="str">
        <f>HYPERLINK("https://portal.gdc.cancer.gov/cases/5c118e15-1e48-42a6-8d29-179e6e71a26c","TCGA-FY-A4B4-01A")</f>
        <v>TCGA-FY-A4B4-01A</v>
      </c>
      <c r="I19959" t="s">
        <v>333</v>
      </c>
      <c r="J19959" t="s">
        <v>584</v>
      </c>
      <c r="K19959" t="s">
        <v>33</v>
      </c>
      <c r="L19959" t="s">
        <v>335</v>
      </c>
      <c r="N19959" t="s">
        <v>29</v>
      </c>
    </row>
    <row r="19960" spans="1:14">
      <c r="A19960" s="4" t="str">
        <f t="shared" si="1372"/>
        <v>EXP00447</v>
      </c>
      <c r="B19960" s="3" t="s">
        <v>66</v>
      </c>
      <c r="C19960" s="4" t="str">
        <f t="shared" si="1373"/>
        <v>TCGA-THCA</v>
      </c>
      <c r="D19960" s="1" t="s">
        <v>493</v>
      </c>
      <c r="E19960" t="s">
        <v>590</v>
      </c>
      <c r="F19960" s="1">
        <v>2</v>
      </c>
      <c r="G19960" s="1" t="s">
        <v>32</v>
      </c>
      <c r="H19960" s="4" t="str">
        <f>HYPERLINK("https://portal.gdc.cancer.gov/cases/812a2d18-c43b-4484-8a8d-234056a0e90b","TCGA-FY-A76V-01A")</f>
        <v>TCGA-FY-A76V-01A</v>
      </c>
      <c r="I19960" t="s">
        <v>333</v>
      </c>
      <c r="J19960" t="s">
        <v>584</v>
      </c>
      <c r="K19960" t="s">
        <v>33</v>
      </c>
      <c r="L19960" t="s">
        <v>335</v>
      </c>
      <c r="N19960" t="s">
        <v>29</v>
      </c>
    </row>
    <row r="19961" spans="1:14">
      <c r="A19961" s="4" t="str">
        <f t="shared" si="1372"/>
        <v>EXP00447</v>
      </c>
      <c r="B19961" s="3" t="s">
        <v>66</v>
      </c>
      <c r="C19961" s="4" t="str">
        <f t="shared" si="1373"/>
        <v>TCGA-THCA</v>
      </c>
      <c r="D19961" s="1" t="s">
        <v>493</v>
      </c>
      <c r="E19961" t="s">
        <v>590</v>
      </c>
      <c r="F19961" s="1">
        <v>2</v>
      </c>
      <c r="G19961" s="1" t="s">
        <v>32</v>
      </c>
      <c r="H19961" s="4" t="str">
        <f>HYPERLINK("https://portal.gdc.cancer.gov/cases/7deedeba-f05b-453c-9df1-eeb20b0ec72e","TCGA-GE-A2C6-01A")</f>
        <v>TCGA-GE-A2C6-01A</v>
      </c>
      <c r="I19961" t="s">
        <v>333</v>
      </c>
      <c r="J19961" t="s">
        <v>584</v>
      </c>
      <c r="K19961" t="s">
        <v>33</v>
      </c>
      <c r="L19961" t="s">
        <v>335</v>
      </c>
      <c r="N19961" t="s">
        <v>29</v>
      </c>
    </row>
    <row r="19962" spans="1:14">
      <c r="A19962" s="4" t="str">
        <f t="shared" si="1372"/>
        <v>EXP00447</v>
      </c>
      <c r="B19962" s="3" t="s">
        <v>66</v>
      </c>
      <c r="C19962" s="4" t="str">
        <f t="shared" si="1373"/>
        <v>TCGA-THCA</v>
      </c>
      <c r="D19962" s="1" t="s">
        <v>493</v>
      </c>
      <c r="E19962" t="s">
        <v>590</v>
      </c>
      <c r="F19962" s="1">
        <v>2</v>
      </c>
      <c r="G19962" s="1" t="s">
        <v>32</v>
      </c>
      <c r="H19962" s="4" t="str">
        <f>HYPERLINK("https://portal.gdc.cancer.gov/cases/e61fb24b-613a-4b6d-bb2b-00ccedbd3dbc","TCGA-H2-A26U-01A")</f>
        <v>TCGA-H2-A26U-01A</v>
      </c>
      <c r="I19962" t="s">
        <v>333</v>
      </c>
      <c r="J19962" t="s">
        <v>584</v>
      </c>
      <c r="K19962" t="s">
        <v>33</v>
      </c>
      <c r="L19962" t="s">
        <v>335</v>
      </c>
      <c r="N19962" t="s">
        <v>29</v>
      </c>
    </row>
    <row r="19963" spans="1:14">
      <c r="A19963" s="4" t="str">
        <f t="shared" si="1372"/>
        <v>EXP00447</v>
      </c>
      <c r="B19963" s="3" t="s">
        <v>66</v>
      </c>
      <c r="C19963" s="4" t="str">
        <f t="shared" si="1373"/>
        <v>TCGA-THCA</v>
      </c>
      <c r="D19963" s="1" t="s">
        <v>493</v>
      </c>
      <c r="E19963" t="s">
        <v>590</v>
      </c>
      <c r="F19963" s="1">
        <v>2</v>
      </c>
      <c r="G19963" s="1" t="s">
        <v>32</v>
      </c>
      <c r="H19963" s="4" t="str">
        <f>HYPERLINK("https://portal.gdc.cancer.gov/cases/25d8a79e-15fd-4c8a-a7f6-05d78973b757","TCGA-H2-A2K9-01A")</f>
        <v>TCGA-H2-A2K9-01A</v>
      </c>
      <c r="I19963" t="s">
        <v>333</v>
      </c>
      <c r="J19963" t="s">
        <v>584</v>
      </c>
      <c r="K19963" t="s">
        <v>33</v>
      </c>
      <c r="L19963" t="s">
        <v>335</v>
      </c>
      <c r="N19963" t="s">
        <v>29</v>
      </c>
    </row>
    <row r="19964" spans="1:14">
      <c r="A19964" s="4" t="str">
        <f t="shared" si="1372"/>
        <v>EXP00447</v>
      </c>
      <c r="B19964" s="3" t="s">
        <v>66</v>
      </c>
      <c r="C19964" s="4" t="str">
        <f t="shared" si="1373"/>
        <v>TCGA-THCA</v>
      </c>
      <c r="D19964" s="1" t="s">
        <v>493</v>
      </c>
      <c r="E19964" t="s">
        <v>590</v>
      </c>
      <c r="F19964" s="1">
        <v>2</v>
      </c>
      <c r="G19964" s="1" t="s">
        <v>32</v>
      </c>
      <c r="H19964" s="4" t="str">
        <f>HYPERLINK("https://portal.gdc.cancer.gov/cases/0314b145-2f3a-4a90-a580-375b5f0a63a4","TCGA-H2-A3RH-01A")</f>
        <v>TCGA-H2-A3RH-01A</v>
      </c>
      <c r="I19964" t="s">
        <v>333</v>
      </c>
      <c r="J19964" t="s">
        <v>584</v>
      </c>
      <c r="K19964" t="s">
        <v>33</v>
      </c>
      <c r="L19964" t="s">
        <v>335</v>
      </c>
      <c r="N19964" t="s">
        <v>29</v>
      </c>
    </row>
    <row r="19965" spans="1:14">
      <c r="A19965" s="4" t="str">
        <f t="shared" si="1372"/>
        <v>EXP00447</v>
      </c>
      <c r="B19965" s="3" t="s">
        <v>66</v>
      </c>
      <c r="C19965" s="4" t="str">
        <f t="shared" si="1373"/>
        <v>TCGA-THCA</v>
      </c>
      <c r="D19965" s="1" t="s">
        <v>493</v>
      </c>
      <c r="E19965" t="s">
        <v>590</v>
      </c>
      <c r="F19965" s="1">
        <v>2</v>
      </c>
      <c r="G19965" s="1" t="s">
        <v>32</v>
      </c>
      <c r="H19965" s="4" t="str">
        <f>HYPERLINK("https://portal.gdc.cancer.gov/cases/bf193c4f-fbac-41bc-b1af-19b6ce856f0f","TCGA-H2-A3RI-01A")</f>
        <v>TCGA-H2-A3RI-01A</v>
      </c>
      <c r="I19965" t="s">
        <v>333</v>
      </c>
      <c r="J19965" t="s">
        <v>584</v>
      </c>
      <c r="K19965" t="s">
        <v>33</v>
      </c>
      <c r="L19965" t="s">
        <v>335</v>
      </c>
      <c r="N19965" t="s">
        <v>29</v>
      </c>
    </row>
    <row r="19966" spans="1:14">
      <c r="A19966" s="4" t="str">
        <f t="shared" si="1372"/>
        <v>EXP00447</v>
      </c>
      <c r="B19966" s="3" t="s">
        <v>66</v>
      </c>
      <c r="C19966" s="4" t="str">
        <f t="shared" si="1373"/>
        <v>TCGA-THCA</v>
      </c>
      <c r="D19966" s="1" t="s">
        <v>493</v>
      </c>
      <c r="E19966" t="s">
        <v>590</v>
      </c>
      <c r="F19966" s="1">
        <v>2</v>
      </c>
      <c r="G19966" s="1" t="s">
        <v>32</v>
      </c>
      <c r="H19966" s="4" t="str">
        <f>HYPERLINK("https://portal.gdc.cancer.gov/cases/80aeb61d-21cf-4804-90ea-5d22eb06e299","TCGA-H2-A421-01A")</f>
        <v>TCGA-H2-A421-01A</v>
      </c>
      <c r="I19966" t="s">
        <v>333</v>
      </c>
      <c r="J19966" t="s">
        <v>584</v>
      </c>
      <c r="K19966" t="s">
        <v>33</v>
      </c>
      <c r="L19966" t="s">
        <v>335</v>
      </c>
      <c r="N19966" t="s">
        <v>29</v>
      </c>
    </row>
    <row r="19967" spans="1:14">
      <c r="A19967" s="4" t="str">
        <f t="shared" si="1372"/>
        <v>EXP00447</v>
      </c>
      <c r="B19967" s="3" t="s">
        <v>66</v>
      </c>
      <c r="C19967" s="4" t="str">
        <f t="shared" si="1373"/>
        <v>TCGA-THCA</v>
      </c>
      <c r="D19967" s="1" t="s">
        <v>493</v>
      </c>
      <c r="E19967" t="s">
        <v>590</v>
      </c>
      <c r="F19967" s="1">
        <v>2</v>
      </c>
      <c r="G19967" s="1" t="s">
        <v>32</v>
      </c>
      <c r="H19967" s="4" t="str">
        <f>HYPERLINK("https://portal.gdc.cancer.gov/cases/8ed1b900-a8a8-4164-b96b-f060f15d7075","TCGA-H2-A422-01A")</f>
        <v>TCGA-H2-A422-01A</v>
      </c>
      <c r="I19967" t="s">
        <v>333</v>
      </c>
      <c r="J19967" t="s">
        <v>584</v>
      </c>
      <c r="K19967" t="s">
        <v>33</v>
      </c>
      <c r="L19967" t="s">
        <v>335</v>
      </c>
      <c r="N19967" t="s">
        <v>29</v>
      </c>
    </row>
    <row r="19968" spans="1:14">
      <c r="A19968" s="4" t="str">
        <f t="shared" si="1372"/>
        <v>EXP00447</v>
      </c>
      <c r="B19968" s="3" t="s">
        <v>66</v>
      </c>
      <c r="C19968" s="4" t="str">
        <f t="shared" si="1373"/>
        <v>TCGA-THCA</v>
      </c>
      <c r="D19968" s="1" t="s">
        <v>493</v>
      </c>
      <c r="E19968" t="s">
        <v>590</v>
      </c>
      <c r="F19968" s="1">
        <v>2</v>
      </c>
      <c r="G19968" s="1" t="s">
        <v>32</v>
      </c>
      <c r="H19968" s="4" t="str">
        <f>HYPERLINK("https://portal.gdc.cancer.gov/cases/3a7c35e0-9ed1-4098-8585-52f5991b2534","TCGA-IM-A3EB-01A")</f>
        <v>TCGA-IM-A3EB-01A</v>
      </c>
      <c r="I19968" t="s">
        <v>333</v>
      </c>
      <c r="J19968" t="s">
        <v>584</v>
      </c>
      <c r="K19968" t="s">
        <v>33</v>
      </c>
      <c r="L19968" t="s">
        <v>335</v>
      </c>
      <c r="N19968" t="s">
        <v>29</v>
      </c>
    </row>
    <row r="19969" spans="1:14">
      <c r="A19969" s="4" t="str">
        <f t="shared" si="1372"/>
        <v>EXP00447</v>
      </c>
      <c r="B19969" s="3" t="s">
        <v>66</v>
      </c>
      <c r="C19969" s="4" t="str">
        <f t="shared" si="1373"/>
        <v>TCGA-THCA</v>
      </c>
      <c r="D19969" s="1" t="s">
        <v>493</v>
      </c>
      <c r="E19969" t="s">
        <v>590</v>
      </c>
      <c r="F19969" s="1">
        <v>2</v>
      </c>
      <c r="G19969" s="1" t="s">
        <v>32</v>
      </c>
      <c r="H19969" s="4" t="str">
        <f>HYPERLINK("https://portal.gdc.cancer.gov/cases/d2a8035c-a8d3-4038-8a9d-854f2208bc45","TCGA-IM-A3ED-01A")</f>
        <v>TCGA-IM-A3ED-01A</v>
      </c>
      <c r="I19969" t="s">
        <v>333</v>
      </c>
      <c r="J19969" t="s">
        <v>584</v>
      </c>
      <c r="K19969" t="s">
        <v>33</v>
      </c>
      <c r="L19969" t="s">
        <v>335</v>
      </c>
      <c r="N19969" t="s">
        <v>29</v>
      </c>
    </row>
    <row r="19970" spans="1:14">
      <c r="A19970" s="4" t="str">
        <f t="shared" si="1372"/>
        <v>EXP00447</v>
      </c>
      <c r="B19970" s="3" t="s">
        <v>66</v>
      </c>
      <c r="C19970" s="4" t="str">
        <f t="shared" si="1373"/>
        <v>TCGA-THCA</v>
      </c>
      <c r="D19970" s="1" t="s">
        <v>493</v>
      </c>
      <c r="E19970" t="s">
        <v>590</v>
      </c>
      <c r="F19970" s="1">
        <v>2</v>
      </c>
      <c r="G19970" s="1" t="s">
        <v>32</v>
      </c>
      <c r="H19970" s="4" t="str">
        <f>HYPERLINK("https://portal.gdc.cancer.gov/cases/8392edea-82b3-4610-87a0-f545f673e922","TCGA-IM-A3U2-01A")</f>
        <v>TCGA-IM-A3U2-01A</v>
      </c>
      <c r="I19970" t="s">
        <v>333</v>
      </c>
      <c r="J19970" t="s">
        <v>584</v>
      </c>
      <c r="K19970" t="s">
        <v>33</v>
      </c>
      <c r="L19970" t="s">
        <v>335</v>
      </c>
      <c r="N19970" t="s">
        <v>29</v>
      </c>
    </row>
    <row r="19971" spans="1:14">
      <c r="A19971" s="4" t="str">
        <f t="shared" si="1372"/>
        <v>EXP00447</v>
      </c>
      <c r="B19971" s="3" t="s">
        <v>66</v>
      </c>
      <c r="C19971" s="4" t="str">
        <f t="shared" si="1373"/>
        <v>TCGA-THCA</v>
      </c>
      <c r="D19971" s="1" t="s">
        <v>493</v>
      </c>
      <c r="E19971" t="s">
        <v>590</v>
      </c>
      <c r="F19971" s="1">
        <v>2</v>
      </c>
      <c r="G19971" s="1" t="s">
        <v>32</v>
      </c>
      <c r="H19971" s="4" t="str">
        <f>HYPERLINK("https://portal.gdc.cancer.gov/cases/dd1058c5-da32-4f60-9275-5e1a8049d9c5","TCGA-IM-A3U3-01A")</f>
        <v>TCGA-IM-A3U3-01A</v>
      </c>
      <c r="I19971" t="s">
        <v>333</v>
      </c>
      <c r="J19971" t="s">
        <v>584</v>
      </c>
      <c r="K19971" t="s">
        <v>33</v>
      </c>
      <c r="L19971" t="s">
        <v>335</v>
      </c>
      <c r="N19971" t="s">
        <v>29</v>
      </c>
    </row>
    <row r="19972" spans="1:14">
      <c r="A19972" s="4" t="str">
        <f t="shared" si="1372"/>
        <v>EXP00447</v>
      </c>
      <c r="B19972" s="3" t="s">
        <v>66</v>
      </c>
      <c r="C19972" s="4" t="str">
        <f t="shared" si="1373"/>
        <v>TCGA-THCA</v>
      </c>
      <c r="D19972" s="1" t="s">
        <v>493</v>
      </c>
      <c r="E19972" t="s">
        <v>590</v>
      </c>
      <c r="F19972" s="1">
        <v>2</v>
      </c>
      <c r="G19972" s="1" t="s">
        <v>32</v>
      </c>
      <c r="H19972" s="4" t="str">
        <f>HYPERLINK("https://portal.gdc.cancer.gov/cases/541406fa-4443-4094-a303-43913d96f016","TCGA-IM-A41Y-01A")</f>
        <v>TCGA-IM-A41Y-01A</v>
      </c>
      <c r="I19972" t="s">
        <v>333</v>
      </c>
      <c r="J19972" t="s">
        <v>584</v>
      </c>
      <c r="K19972" t="s">
        <v>33</v>
      </c>
      <c r="L19972" t="s">
        <v>335</v>
      </c>
      <c r="N19972" t="s">
        <v>29</v>
      </c>
    </row>
    <row r="19973" spans="1:14">
      <c r="A19973" s="4" t="str">
        <f t="shared" si="1372"/>
        <v>EXP00447</v>
      </c>
      <c r="B19973" s="3" t="s">
        <v>66</v>
      </c>
      <c r="C19973" s="4" t="str">
        <f t="shared" si="1373"/>
        <v>TCGA-THCA</v>
      </c>
      <c r="D19973" s="1" t="s">
        <v>493</v>
      </c>
      <c r="E19973" t="s">
        <v>590</v>
      </c>
      <c r="F19973" s="1">
        <v>2</v>
      </c>
      <c r="G19973" s="1" t="s">
        <v>32</v>
      </c>
      <c r="H19973" s="4" t="str">
        <f>HYPERLINK("https://portal.gdc.cancer.gov/cases/9348c35a-58ba-4db5-bc4a-e9fc8e07cdf3","TCGA-IM-A41Z-01A")</f>
        <v>TCGA-IM-A41Z-01A</v>
      </c>
      <c r="I19973" t="s">
        <v>333</v>
      </c>
      <c r="J19973" t="s">
        <v>584</v>
      </c>
      <c r="K19973" t="s">
        <v>33</v>
      </c>
      <c r="L19973" t="s">
        <v>335</v>
      </c>
      <c r="N19973" t="s">
        <v>29</v>
      </c>
    </row>
    <row r="19974" spans="1:14">
      <c r="A19974" s="4" t="str">
        <f t="shared" si="1372"/>
        <v>EXP00447</v>
      </c>
      <c r="B19974" s="3" t="s">
        <v>66</v>
      </c>
      <c r="C19974" s="4" t="str">
        <f t="shared" si="1373"/>
        <v>TCGA-THCA</v>
      </c>
      <c r="D19974" s="1" t="s">
        <v>493</v>
      </c>
      <c r="E19974" t="s">
        <v>590</v>
      </c>
      <c r="F19974" s="1">
        <v>2</v>
      </c>
      <c r="G19974" s="1" t="s">
        <v>32</v>
      </c>
      <c r="H19974" s="4" t="str">
        <f>HYPERLINK("https://portal.gdc.cancer.gov/cases/e28e35b1-eb58-45bb-b19a-958187227500","TCGA-IM-A420-01A")</f>
        <v>TCGA-IM-A420-01A</v>
      </c>
      <c r="I19974" t="s">
        <v>333</v>
      </c>
      <c r="J19974" t="s">
        <v>584</v>
      </c>
      <c r="K19974" t="s">
        <v>33</v>
      </c>
      <c r="L19974" t="s">
        <v>335</v>
      </c>
      <c r="N19974" t="s">
        <v>29</v>
      </c>
    </row>
    <row r="19975" spans="1:14">
      <c r="A19975" s="4" t="str">
        <f t="shared" si="1372"/>
        <v>EXP00447</v>
      </c>
      <c r="B19975" s="3" t="s">
        <v>66</v>
      </c>
      <c r="C19975" s="4" t="str">
        <f t="shared" si="1373"/>
        <v>TCGA-THCA</v>
      </c>
      <c r="D19975" s="1" t="s">
        <v>493</v>
      </c>
      <c r="E19975" t="s">
        <v>590</v>
      </c>
      <c r="F19975" s="1">
        <v>2</v>
      </c>
      <c r="G19975" s="1" t="s">
        <v>32</v>
      </c>
      <c r="H19975" s="4" t="str">
        <f>HYPERLINK("https://portal.gdc.cancer.gov/cases/38d03e42-db98-43bc-bb3d-2580cf55a681","TCGA-IM-A4EB-01A")</f>
        <v>TCGA-IM-A4EB-01A</v>
      </c>
      <c r="I19975" t="s">
        <v>333</v>
      </c>
      <c r="J19975" t="s">
        <v>584</v>
      </c>
      <c r="K19975" t="s">
        <v>33</v>
      </c>
      <c r="L19975" t="s">
        <v>335</v>
      </c>
      <c r="N19975" t="s">
        <v>29</v>
      </c>
    </row>
    <row r="19976" spans="1:14">
      <c r="A19976" s="4" t="str">
        <f t="shared" si="1372"/>
        <v>EXP00447</v>
      </c>
      <c r="B19976" s="3" t="s">
        <v>66</v>
      </c>
      <c r="C19976" s="4" t="str">
        <f t="shared" si="1373"/>
        <v>TCGA-THCA</v>
      </c>
      <c r="D19976" s="1" t="s">
        <v>493</v>
      </c>
      <c r="E19976" t="s">
        <v>590</v>
      </c>
      <c r="F19976" s="1">
        <v>2</v>
      </c>
      <c r="G19976" s="1" t="s">
        <v>32</v>
      </c>
      <c r="H19976" s="4" t="str">
        <f>HYPERLINK("https://portal.gdc.cancer.gov/cases/430ad51d-f68c-40b2-bfa2-9da68370b7fa","TCGA-J8-A3NZ-01A")</f>
        <v>TCGA-J8-A3NZ-01A</v>
      </c>
      <c r="I19976" t="s">
        <v>333</v>
      </c>
      <c r="J19976" t="s">
        <v>584</v>
      </c>
      <c r="K19976" t="s">
        <v>33</v>
      </c>
      <c r="L19976" t="s">
        <v>335</v>
      </c>
      <c r="N19976" t="s">
        <v>29</v>
      </c>
    </row>
    <row r="19977" spans="1:14">
      <c r="A19977" s="4" t="str">
        <f t="shared" si="1372"/>
        <v>EXP00447</v>
      </c>
      <c r="B19977" s="3" t="s">
        <v>66</v>
      </c>
      <c r="C19977" s="4" t="str">
        <f t="shared" si="1373"/>
        <v>TCGA-THCA</v>
      </c>
      <c r="D19977" s="1" t="s">
        <v>493</v>
      </c>
      <c r="E19977" t="s">
        <v>590</v>
      </c>
      <c r="F19977" s="1">
        <v>2</v>
      </c>
      <c r="G19977" s="1" t="s">
        <v>32</v>
      </c>
      <c r="H19977" s="4" t="str">
        <f>HYPERLINK("https://portal.gdc.cancer.gov/cases/5832c002-e5a4-45bc-b8f9-dbb841fd22f3","TCGA-J8-A3O0-01A")</f>
        <v>TCGA-J8-A3O0-01A</v>
      </c>
      <c r="I19977" t="s">
        <v>333</v>
      </c>
      <c r="J19977" t="s">
        <v>584</v>
      </c>
      <c r="K19977" t="s">
        <v>33</v>
      </c>
      <c r="L19977" t="s">
        <v>335</v>
      </c>
      <c r="N19977" t="s">
        <v>29</v>
      </c>
    </row>
    <row r="19978" spans="1:14">
      <c r="A19978" s="4" t="str">
        <f t="shared" si="1372"/>
        <v>EXP00447</v>
      </c>
      <c r="B19978" s="3" t="s">
        <v>66</v>
      </c>
      <c r="C19978" s="4" t="str">
        <f t="shared" si="1373"/>
        <v>TCGA-THCA</v>
      </c>
      <c r="D19978" s="1" t="s">
        <v>493</v>
      </c>
      <c r="E19978" t="s">
        <v>590</v>
      </c>
      <c r="F19978" s="1">
        <v>2</v>
      </c>
      <c r="G19978" s="1" t="s">
        <v>32</v>
      </c>
      <c r="H19978" s="4" t="str">
        <f>HYPERLINK("https://portal.gdc.cancer.gov/cases/fb14bd0d-b356-42a4-a0e9-2fcdada8f76b","TCGA-J8-A3O1-01A")</f>
        <v>TCGA-J8-A3O1-01A</v>
      </c>
      <c r="I19978" t="s">
        <v>333</v>
      </c>
      <c r="J19978" t="s">
        <v>584</v>
      </c>
      <c r="K19978" t="s">
        <v>33</v>
      </c>
      <c r="L19978" t="s">
        <v>335</v>
      </c>
      <c r="N19978" t="s">
        <v>29</v>
      </c>
    </row>
    <row r="19979" spans="1:14">
      <c r="A19979" s="4" t="str">
        <f t="shared" si="1372"/>
        <v>EXP00447</v>
      </c>
      <c r="B19979" s="3" t="s">
        <v>66</v>
      </c>
      <c r="C19979" s="4" t="str">
        <f t="shared" si="1373"/>
        <v>TCGA-THCA</v>
      </c>
      <c r="D19979" s="1" t="s">
        <v>493</v>
      </c>
      <c r="E19979" t="s">
        <v>590</v>
      </c>
      <c r="F19979" s="1">
        <v>2</v>
      </c>
      <c r="G19979" s="1" t="s">
        <v>32</v>
      </c>
      <c r="H19979" s="4" t="str">
        <f>HYPERLINK("https://portal.gdc.cancer.gov/cases/4e227a7a-b885-4e9b-a4c2-aad9e6c154e5","TCGA-J8-A3YD-01A")</f>
        <v>TCGA-J8-A3YD-01A</v>
      </c>
      <c r="I19979" t="s">
        <v>333</v>
      </c>
      <c r="J19979" t="s">
        <v>584</v>
      </c>
      <c r="K19979" t="s">
        <v>33</v>
      </c>
      <c r="L19979" t="s">
        <v>335</v>
      </c>
      <c r="N19979" t="s">
        <v>29</v>
      </c>
    </row>
    <row r="19980" spans="1:14">
      <c r="A19980" s="4" t="str">
        <f t="shared" si="1372"/>
        <v>EXP00447</v>
      </c>
      <c r="B19980" s="3" t="s">
        <v>66</v>
      </c>
      <c r="C19980" s="4" t="str">
        <f t="shared" si="1373"/>
        <v>TCGA-THCA</v>
      </c>
      <c r="D19980" s="1" t="s">
        <v>493</v>
      </c>
      <c r="E19980" t="s">
        <v>590</v>
      </c>
      <c r="F19980" s="1">
        <v>2</v>
      </c>
      <c r="G19980" s="1" t="s">
        <v>32</v>
      </c>
      <c r="H19980" s="4" t="str">
        <f>HYPERLINK("https://portal.gdc.cancer.gov/cases/c93c47f4-88f3-405a-85f4-ba9450b74522","TCGA-J8-A3YE-01A")</f>
        <v>TCGA-J8-A3YE-01A</v>
      </c>
      <c r="I19980" t="s">
        <v>333</v>
      </c>
      <c r="J19980" t="s">
        <v>584</v>
      </c>
      <c r="K19980" t="s">
        <v>33</v>
      </c>
      <c r="L19980" t="s">
        <v>335</v>
      </c>
      <c r="N19980" t="s">
        <v>29</v>
      </c>
    </row>
    <row r="19981" spans="1:14">
      <c r="A19981" s="4" t="str">
        <f t="shared" si="1372"/>
        <v>EXP00447</v>
      </c>
      <c r="B19981" s="3" t="s">
        <v>66</v>
      </c>
      <c r="C19981" s="4" t="str">
        <f t="shared" si="1373"/>
        <v>TCGA-THCA</v>
      </c>
      <c r="D19981" s="1" t="s">
        <v>493</v>
      </c>
      <c r="E19981" t="s">
        <v>590</v>
      </c>
      <c r="F19981" s="1">
        <v>2</v>
      </c>
      <c r="G19981" s="1" t="s">
        <v>32</v>
      </c>
      <c r="H19981" s="4" t="str">
        <f>HYPERLINK("https://portal.gdc.cancer.gov/cases/00d588e3-3db6-4cf3-9def-34d941e8cdb0","TCGA-J8-A3YF-01A")</f>
        <v>TCGA-J8-A3YF-01A</v>
      </c>
      <c r="I19981" t="s">
        <v>333</v>
      </c>
      <c r="J19981" t="s">
        <v>584</v>
      </c>
      <c r="K19981" t="s">
        <v>33</v>
      </c>
      <c r="L19981" t="s">
        <v>335</v>
      </c>
      <c r="N19981" t="s">
        <v>29</v>
      </c>
    </row>
    <row r="19982" spans="1:14">
      <c r="A19982" s="4" t="str">
        <f t="shared" si="1372"/>
        <v>EXP00447</v>
      </c>
      <c r="B19982" s="3" t="s">
        <v>66</v>
      </c>
      <c r="C19982" s="4" t="str">
        <f t="shared" si="1373"/>
        <v>TCGA-THCA</v>
      </c>
      <c r="D19982" s="1" t="s">
        <v>493</v>
      </c>
      <c r="E19982" t="s">
        <v>590</v>
      </c>
      <c r="F19982" s="1">
        <v>2</v>
      </c>
      <c r="G19982" s="1" t="s">
        <v>32</v>
      </c>
      <c r="H19982" s="4" t="str">
        <f>HYPERLINK("https://portal.gdc.cancer.gov/cases/9aa61ab5-f675-43dd-8a99-077164b41f30","TCGA-J8-A3YG-01A")</f>
        <v>TCGA-J8-A3YG-01A</v>
      </c>
      <c r="I19982" t="s">
        <v>333</v>
      </c>
      <c r="J19982" t="s">
        <v>584</v>
      </c>
      <c r="K19982" t="s">
        <v>33</v>
      </c>
      <c r="L19982" t="s">
        <v>335</v>
      </c>
      <c r="N19982" t="s">
        <v>29</v>
      </c>
    </row>
    <row r="19983" spans="1:14">
      <c r="A19983" s="4" t="str">
        <f t="shared" si="1372"/>
        <v>EXP00447</v>
      </c>
      <c r="B19983" s="3" t="s">
        <v>66</v>
      </c>
      <c r="C19983" s="4" t="str">
        <f t="shared" si="1373"/>
        <v>TCGA-THCA</v>
      </c>
      <c r="D19983" s="1" t="s">
        <v>493</v>
      </c>
      <c r="E19983" t="s">
        <v>590</v>
      </c>
      <c r="F19983" s="1">
        <v>2</v>
      </c>
      <c r="G19983" s="1" t="s">
        <v>32</v>
      </c>
      <c r="H19983" s="4" t="str">
        <f>HYPERLINK("https://portal.gdc.cancer.gov/cases/63c20d30-3bc9-4dca-8a8d-09fdea41f288","TCGA-J8-A42S-01A")</f>
        <v>TCGA-J8-A42S-01A</v>
      </c>
      <c r="I19983" t="s">
        <v>333</v>
      </c>
      <c r="J19983" t="s">
        <v>584</v>
      </c>
      <c r="K19983" t="s">
        <v>33</v>
      </c>
      <c r="L19983" t="s">
        <v>335</v>
      </c>
      <c r="N19983" t="s">
        <v>29</v>
      </c>
    </row>
    <row r="19984" spans="1:14">
      <c r="A19984" s="4" t="str">
        <f t="shared" si="1372"/>
        <v>EXP00447</v>
      </c>
      <c r="B19984" s="3" t="s">
        <v>66</v>
      </c>
      <c r="C19984" s="4" t="str">
        <f t="shared" si="1373"/>
        <v>TCGA-THCA</v>
      </c>
      <c r="D19984" s="1" t="s">
        <v>493</v>
      </c>
      <c r="E19984" t="s">
        <v>590</v>
      </c>
      <c r="F19984" s="1">
        <v>2</v>
      </c>
      <c r="G19984" s="1" t="s">
        <v>32</v>
      </c>
      <c r="H19984" s="4" t="str">
        <f>HYPERLINK("https://portal.gdc.cancer.gov/cases/2ae6a00c-bc6e-42fe-a0cb-40339d5fdc73","TCGA-J8-A4HY-01A")</f>
        <v>TCGA-J8-A4HY-01A</v>
      </c>
      <c r="I19984" t="s">
        <v>333</v>
      </c>
      <c r="J19984" t="s">
        <v>584</v>
      </c>
      <c r="K19984" t="s">
        <v>33</v>
      </c>
      <c r="L19984" t="s">
        <v>335</v>
      </c>
      <c r="N19984" t="s">
        <v>29</v>
      </c>
    </row>
    <row r="19985" spans="1:14">
      <c r="A19985" s="4" t="str">
        <f t="shared" si="1372"/>
        <v>EXP00447</v>
      </c>
      <c r="B19985" s="3" t="s">
        <v>66</v>
      </c>
      <c r="C19985" s="4" t="str">
        <f t="shared" si="1373"/>
        <v>TCGA-THCA</v>
      </c>
      <c r="D19985" s="1" t="s">
        <v>493</v>
      </c>
      <c r="E19985" t="s">
        <v>590</v>
      </c>
      <c r="F19985" s="1">
        <v>2</v>
      </c>
      <c r="G19985" s="1" t="s">
        <v>32</v>
      </c>
      <c r="H19985" s="4" t="str">
        <f>HYPERLINK("https://portal.gdc.cancer.gov/cases/8e274b77-c05e-4a8c-a106-c552df1f2d11","TCGA-KS-A41F-01A")</f>
        <v>TCGA-KS-A41F-01A</v>
      </c>
      <c r="I19985" t="s">
        <v>333</v>
      </c>
      <c r="J19985" t="s">
        <v>584</v>
      </c>
      <c r="K19985" t="s">
        <v>33</v>
      </c>
      <c r="L19985" t="s">
        <v>335</v>
      </c>
      <c r="N19985" t="s">
        <v>29</v>
      </c>
    </row>
    <row r="19986" spans="1:14">
      <c r="A19986" s="4" t="str">
        <f t="shared" si="1372"/>
        <v>EXP00447</v>
      </c>
      <c r="B19986" s="3" t="s">
        <v>66</v>
      </c>
      <c r="C19986" s="4" t="str">
        <f t="shared" si="1373"/>
        <v>TCGA-THCA</v>
      </c>
      <c r="D19986" s="1" t="s">
        <v>493</v>
      </c>
      <c r="E19986" t="s">
        <v>590</v>
      </c>
      <c r="F19986" s="1">
        <v>2</v>
      </c>
      <c r="G19986" s="1" t="s">
        <v>32</v>
      </c>
      <c r="H19986" s="4" t="str">
        <f>HYPERLINK("https://portal.gdc.cancer.gov/cases/754866ea-d5ca-451a-98e4-6e0c430d3652","TCGA-KS-A41I-01A")</f>
        <v>TCGA-KS-A41I-01A</v>
      </c>
      <c r="I19986" t="s">
        <v>333</v>
      </c>
      <c r="J19986" t="s">
        <v>584</v>
      </c>
      <c r="K19986" t="s">
        <v>33</v>
      </c>
      <c r="L19986" t="s">
        <v>335</v>
      </c>
      <c r="N19986" t="s">
        <v>29</v>
      </c>
    </row>
    <row r="19987" spans="1:14">
      <c r="A19987" s="4" t="str">
        <f t="shared" si="1372"/>
        <v>EXP00447</v>
      </c>
      <c r="B19987" s="3" t="s">
        <v>66</v>
      </c>
      <c r="C19987" s="4" t="str">
        <f t="shared" si="1373"/>
        <v>TCGA-THCA</v>
      </c>
      <c r="D19987" s="1" t="s">
        <v>493</v>
      </c>
      <c r="E19987" t="s">
        <v>590</v>
      </c>
      <c r="F19987" s="1">
        <v>2</v>
      </c>
      <c r="G19987" s="1" t="s">
        <v>32</v>
      </c>
      <c r="H19987" s="4" t="str">
        <f>HYPERLINK("https://portal.gdc.cancer.gov/cases/23ad7900-4e99-4abf-82ff-71edeaa8a51c","TCGA-KS-A41J-01A")</f>
        <v>TCGA-KS-A41J-01A</v>
      </c>
      <c r="I19987" t="s">
        <v>333</v>
      </c>
      <c r="J19987" t="s">
        <v>584</v>
      </c>
      <c r="K19987" t="s">
        <v>33</v>
      </c>
      <c r="L19987" t="s">
        <v>335</v>
      </c>
      <c r="N19987" t="s">
        <v>29</v>
      </c>
    </row>
    <row r="19988" spans="1:14">
      <c r="A19988" s="4" t="str">
        <f t="shared" si="1372"/>
        <v>EXP00447</v>
      </c>
      <c r="B19988" s="3" t="s">
        <v>66</v>
      </c>
      <c r="C19988" s="4" t="str">
        <f t="shared" si="1373"/>
        <v>TCGA-THCA</v>
      </c>
      <c r="D19988" s="1" t="s">
        <v>493</v>
      </c>
      <c r="E19988" t="s">
        <v>590</v>
      </c>
      <c r="F19988" s="1">
        <v>2</v>
      </c>
      <c r="G19988" s="1" t="s">
        <v>32</v>
      </c>
      <c r="H19988" s="4" t="str">
        <f>HYPERLINK("https://portal.gdc.cancer.gov/cases/4bd61e82-5168-4222-a8c8-5124ab8fdd44","TCGA-KS-A41L-01A")</f>
        <v>TCGA-KS-A41L-01A</v>
      </c>
      <c r="I19988" t="s">
        <v>333</v>
      </c>
      <c r="J19988" t="s">
        <v>584</v>
      </c>
      <c r="K19988" t="s">
        <v>33</v>
      </c>
      <c r="L19988" t="s">
        <v>335</v>
      </c>
      <c r="N19988" t="s">
        <v>29</v>
      </c>
    </row>
    <row r="19989" spans="1:14">
      <c r="A19989" s="4" t="str">
        <f t="shared" si="1372"/>
        <v>EXP00447</v>
      </c>
      <c r="B19989" s="3" t="s">
        <v>66</v>
      </c>
      <c r="C19989" s="4" t="str">
        <f t="shared" si="1373"/>
        <v>TCGA-THCA</v>
      </c>
      <c r="D19989" s="1" t="s">
        <v>493</v>
      </c>
      <c r="E19989" t="s">
        <v>590</v>
      </c>
      <c r="F19989" s="1">
        <v>2</v>
      </c>
      <c r="G19989" s="1" t="s">
        <v>32</v>
      </c>
      <c r="H19989" s="4" t="str">
        <f>HYPERLINK("https://portal.gdc.cancer.gov/cases/6ff5c8bd-9929-43ee-b53c-3c7c0b23f97b","TCGA-KS-A4I1-01A")</f>
        <v>TCGA-KS-A4I1-01A</v>
      </c>
      <c r="I19989" t="s">
        <v>333</v>
      </c>
      <c r="J19989" t="s">
        <v>584</v>
      </c>
      <c r="K19989" t="s">
        <v>33</v>
      </c>
      <c r="L19989" t="s">
        <v>335</v>
      </c>
      <c r="N19989" t="s">
        <v>29</v>
      </c>
    </row>
    <row r="19990" spans="1:14">
      <c r="A19990" s="4" t="str">
        <f t="shared" si="1372"/>
        <v>EXP00447</v>
      </c>
      <c r="B19990" s="3" t="s">
        <v>66</v>
      </c>
      <c r="C19990" s="4" t="str">
        <f t="shared" si="1373"/>
        <v>TCGA-THCA</v>
      </c>
      <c r="D19990" s="1" t="s">
        <v>493</v>
      </c>
      <c r="E19990" t="s">
        <v>590</v>
      </c>
      <c r="F19990" s="1">
        <v>2</v>
      </c>
      <c r="G19990" s="1" t="s">
        <v>32</v>
      </c>
      <c r="H19990" s="4" t="str">
        <f>HYPERLINK("https://portal.gdc.cancer.gov/cases/f9db9757-04d8-40bd-a58d-605f4255b0e6","TCGA-KS-A4I3-01A")</f>
        <v>TCGA-KS-A4I3-01A</v>
      </c>
      <c r="I19990" t="s">
        <v>333</v>
      </c>
      <c r="J19990" t="s">
        <v>584</v>
      </c>
      <c r="K19990" t="s">
        <v>33</v>
      </c>
      <c r="L19990" t="s">
        <v>335</v>
      </c>
      <c r="N19990" t="s">
        <v>29</v>
      </c>
    </row>
    <row r="19991" spans="1:14">
      <c r="A19991" s="4" t="str">
        <f t="shared" si="1372"/>
        <v>EXP00447</v>
      </c>
      <c r="B19991" s="3" t="s">
        <v>66</v>
      </c>
      <c r="C19991" s="4" t="str">
        <f t="shared" si="1373"/>
        <v>TCGA-THCA</v>
      </c>
      <c r="D19991" s="1" t="s">
        <v>493</v>
      </c>
      <c r="E19991" t="s">
        <v>590</v>
      </c>
      <c r="F19991" s="1">
        <v>2</v>
      </c>
      <c r="G19991" s="1" t="s">
        <v>32</v>
      </c>
      <c r="H19991" s="4" t="str">
        <f>HYPERLINK("https://portal.gdc.cancer.gov/cases/e94dfd42-4fe4-48e9-aa62-422ae071413f","TCGA-KS-A4I5-01A")</f>
        <v>TCGA-KS-A4I5-01A</v>
      </c>
      <c r="I19991" t="s">
        <v>333</v>
      </c>
      <c r="J19991" t="s">
        <v>584</v>
      </c>
      <c r="K19991" t="s">
        <v>33</v>
      </c>
      <c r="L19991" t="s">
        <v>335</v>
      </c>
      <c r="N19991" t="s">
        <v>29</v>
      </c>
    </row>
    <row r="19992" spans="1:14">
      <c r="A19992" s="4" t="str">
        <f t="shared" si="1372"/>
        <v>EXP00447</v>
      </c>
      <c r="B19992" s="3" t="s">
        <v>66</v>
      </c>
      <c r="C19992" s="4" t="str">
        <f t="shared" si="1373"/>
        <v>TCGA-THCA</v>
      </c>
      <c r="D19992" s="1" t="s">
        <v>493</v>
      </c>
      <c r="E19992" t="s">
        <v>590</v>
      </c>
      <c r="F19992" s="1">
        <v>2</v>
      </c>
      <c r="G19992" s="1" t="s">
        <v>32</v>
      </c>
      <c r="H19992" s="4" t="str">
        <f>HYPERLINK("https://portal.gdc.cancer.gov/cases/e0174496-d774-4417-81d1-cb16771760ad","TCGA-KS-A4I7-01A")</f>
        <v>TCGA-KS-A4I7-01A</v>
      </c>
      <c r="I19992" t="s">
        <v>333</v>
      </c>
      <c r="J19992" t="s">
        <v>584</v>
      </c>
      <c r="K19992" t="s">
        <v>33</v>
      </c>
      <c r="L19992" t="s">
        <v>335</v>
      </c>
      <c r="N19992" t="s">
        <v>29</v>
      </c>
    </row>
    <row r="19993" spans="1:14">
      <c r="A19993" s="4" t="str">
        <f t="shared" si="1372"/>
        <v>EXP00447</v>
      </c>
      <c r="B19993" s="3" t="s">
        <v>66</v>
      </c>
      <c r="C19993" s="4" t="str">
        <f t="shared" si="1373"/>
        <v>TCGA-THCA</v>
      </c>
      <c r="D19993" s="1" t="s">
        <v>493</v>
      </c>
      <c r="E19993" t="s">
        <v>590</v>
      </c>
      <c r="F19993" s="1">
        <v>2</v>
      </c>
      <c r="G19993" s="1" t="s">
        <v>32</v>
      </c>
      <c r="H19993" s="4" t="str">
        <f>HYPERLINK("https://portal.gdc.cancer.gov/cases/52bc133b-8a10-4c9b-adc3-22910a191e6b","TCGA-KS-A4I9-01A")</f>
        <v>TCGA-KS-A4I9-01A</v>
      </c>
      <c r="I19993" t="s">
        <v>333</v>
      </c>
      <c r="J19993" t="s">
        <v>584</v>
      </c>
      <c r="K19993" t="s">
        <v>33</v>
      </c>
      <c r="L19993" t="s">
        <v>335</v>
      </c>
      <c r="N19993" t="s">
        <v>29</v>
      </c>
    </row>
    <row r="19994" spans="1:14">
      <c r="A19994" s="4" t="str">
        <f t="shared" si="1372"/>
        <v>EXP00447</v>
      </c>
      <c r="B19994" s="3" t="s">
        <v>66</v>
      </c>
      <c r="C19994" s="4" t="str">
        <f t="shared" si="1373"/>
        <v>TCGA-THCA</v>
      </c>
      <c r="D19994" s="1" t="s">
        <v>493</v>
      </c>
      <c r="E19994" t="s">
        <v>590</v>
      </c>
      <c r="F19994" s="1">
        <v>2</v>
      </c>
      <c r="G19994" s="1" t="s">
        <v>32</v>
      </c>
      <c r="H19994" s="4" t="str">
        <f>HYPERLINK("https://portal.gdc.cancer.gov/cases/d3d9ccdd-4789-43b0-8e73-b2c42cb7d83d","TCGA-KS-A4IB-01A")</f>
        <v>TCGA-KS-A4IB-01A</v>
      </c>
      <c r="I19994" t="s">
        <v>333</v>
      </c>
      <c r="J19994" t="s">
        <v>584</v>
      </c>
      <c r="K19994" t="s">
        <v>33</v>
      </c>
      <c r="L19994" t="s">
        <v>335</v>
      </c>
      <c r="N19994" t="s">
        <v>29</v>
      </c>
    </row>
    <row r="19995" spans="1:14">
      <c r="A19995" s="4" t="str">
        <f t="shared" si="1372"/>
        <v>EXP00447</v>
      </c>
      <c r="B19995" s="3" t="s">
        <v>66</v>
      </c>
      <c r="C19995" s="4" t="str">
        <f t="shared" si="1373"/>
        <v>TCGA-THCA</v>
      </c>
      <c r="D19995" s="1" t="s">
        <v>493</v>
      </c>
      <c r="E19995" t="s">
        <v>590</v>
      </c>
      <c r="F19995" s="1">
        <v>2</v>
      </c>
      <c r="G19995" s="1" t="s">
        <v>32</v>
      </c>
      <c r="H19995" s="4" t="str">
        <f>HYPERLINK("https://portal.gdc.cancer.gov/cases/4d30606f-3ab6-4ef0-9991-8897cdb9960b","TCGA-KS-A4IC-01A")</f>
        <v>TCGA-KS-A4IC-01A</v>
      </c>
      <c r="I19995" t="s">
        <v>333</v>
      </c>
      <c r="J19995" t="s">
        <v>584</v>
      </c>
      <c r="K19995" t="s">
        <v>33</v>
      </c>
      <c r="L19995" t="s">
        <v>335</v>
      </c>
      <c r="N19995" t="s">
        <v>29</v>
      </c>
    </row>
    <row r="19996" spans="1:14">
      <c r="A19996" s="4" t="str">
        <f t="shared" si="1372"/>
        <v>EXP00447</v>
      </c>
      <c r="B19996" s="3" t="s">
        <v>66</v>
      </c>
      <c r="C19996" s="4" t="str">
        <f t="shared" si="1373"/>
        <v>TCGA-THCA</v>
      </c>
      <c r="D19996" s="1" t="s">
        <v>493</v>
      </c>
      <c r="E19996" t="s">
        <v>590</v>
      </c>
      <c r="F19996" s="1">
        <v>2</v>
      </c>
      <c r="G19996" s="1" t="s">
        <v>32</v>
      </c>
      <c r="H19996" s="4" t="str">
        <f>HYPERLINK("https://portal.gdc.cancer.gov/cases/899ed323-4fd1-4d8d-9c2f-c63d9b44e875","TCGA-KS-A4ID-01A")</f>
        <v>TCGA-KS-A4ID-01A</v>
      </c>
      <c r="I19996" t="s">
        <v>333</v>
      </c>
      <c r="J19996" t="s">
        <v>584</v>
      </c>
      <c r="K19996" t="s">
        <v>33</v>
      </c>
      <c r="L19996" t="s">
        <v>335</v>
      </c>
      <c r="N19996" t="s">
        <v>29</v>
      </c>
    </row>
    <row r="19997" spans="1:14">
      <c r="A19997" s="4" t="str">
        <f t="shared" si="1372"/>
        <v>EXP00447</v>
      </c>
      <c r="B19997" s="3" t="s">
        <v>66</v>
      </c>
      <c r="C19997" s="4" t="str">
        <f t="shared" si="1373"/>
        <v>TCGA-THCA</v>
      </c>
      <c r="D19997" s="1" t="s">
        <v>493</v>
      </c>
      <c r="E19997" t="s">
        <v>590</v>
      </c>
      <c r="F19997" s="1">
        <v>2</v>
      </c>
      <c r="G19997" s="1" t="s">
        <v>32</v>
      </c>
      <c r="H19997" s="4" t="str">
        <f>HYPERLINK("https://portal.gdc.cancer.gov/cases/9c6c44b3-a2ca-456e-a8d1-d375309c1751","TCGA-L6-A4EP-01A")</f>
        <v>TCGA-L6-A4EP-01A</v>
      </c>
      <c r="I19997" t="s">
        <v>333</v>
      </c>
      <c r="J19997" t="s">
        <v>584</v>
      </c>
      <c r="K19997" t="s">
        <v>33</v>
      </c>
      <c r="L19997" t="s">
        <v>335</v>
      </c>
      <c r="N19997" t="s">
        <v>29</v>
      </c>
    </row>
    <row r="19998" spans="1:14">
      <c r="A19998" s="4" t="str">
        <f t="shared" si="1372"/>
        <v>EXP00447</v>
      </c>
      <c r="B19998" s="3" t="s">
        <v>66</v>
      </c>
      <c r="C19998" s="4" t="str">
        <f t="shared" si="1373"/>
        <v>TCGA-THCA</v>
      </c>
      <c r="D19998" s="1" t="s">
        <v>493</v>
      </c>
      <c r="E19998" t="s">
        <v>590</v>
      </c>
      <c r="F19998" s="1">
        <v>2</v>
      </c>
      <c r="G19998" s="1" t="s">
        <v>32</v>
      </c>
      <c r="H19998" s="4" t="str">
        <f>HYPERLINK("https://portal.gdc.cancer.gov/cases/d684399e-46c4-4bad-92e9-3de17c9f9a5f","TCGA-L6-A4EQ-01A")</f>
        <v>TCGA-L6-A4EQ-01A</v>
      </c>
      <c r="I19998" t="s">
        <v>333</v>
      </c>
      <c r="J19998" t="s">
        <v>584</v>
      </c>
      <c r="K19998" t="s">
        <v>33</v>
      </c>
      <c r="L19998" t="s">
        <v>335</v>
      </c>
      <c r="N19998" t="s">
        <v>29</v>
      </c>
    </row>
    <row r="19999" spans="1:14">
      <c r="A19999" s="4" t="str">
        <f t="shared" si="1372"/>
        <v>EXP00447</v>
      </c>
      <c r="B19999" s="3" t="s">
        <v>66</v>
      </c>
      <c r="C19999" s="4" t="str">
        <f t="shared" si="1373"/>
        <v>TCGA-THCA</v>
      </c>
      <c r="D19999" s="1" t="s">
        <v>493</v>
      </c>
      <c r="E19999" t="s">
        <v>590</v>
      </c>
      <c r="F19999" s="1">
        <v>2</v>
      </c>
      <c r="G19999" s="1" t="s">
        <v>32</v>
      </c>
      <c r="H19999" s="4" t="str">
        <f>HYPERLINK("https://portal.gdc.cancer.gov/cases/e1ff7694-64e1-47ed-b0d8-34acfb4ffef1","TCGA-L6-A4ET-01A")</f>
        <v>TCGA-L6-A4ET-01A</v>
      </c>
      <c r="I19999" t="s">
        <v>333</v>
      </c>
      <c r="J19999" t="s">
        <v>584</v>
      </c>
      <c r="K19999" t="s">
        <v>33</v>
      </c>
      <c r="L19999" t="s">
        <v>335</v>
      </c>
      <c r="N19999" t="s">
        <v>29</v>
      </c>
    </row>
    <row r="20000" spans="1:14">
      <c r="A20000" s="4" t="str">
        <f t="shared" si="1372"/>
        <v>EXP00447</v>
      </c>
      <c r="B20000" s="3" t="s">
        <v>66</v>
      </c>
      <c r="C20000" s="4" t="str">
        <f t="shared" si="1373"/>
        <v>TCGA-THCA</v>
      </c>
      <c r="D20000" s="1" t="s">
        <v>493</v>
      </c>
      <c r="E20000" t="s">
        <v>590</v>
      </c>
      <c r="F20000" s="1">
        <v>2</v>
      </c>
      <c r="G20000" s="1" t="s">
        <v>32</v>
      </c>
      <c r="H20000" s="4" t="str">
        <f>HYPERLINK("https://portal.gdc.cancer.gov/cases/b555b7a4-6324-4d3e-9eed-b140af6c768a","TCGA-L6-A4EU-01A")</f>
        <v>TCGA-L6-A4EU-01A</v>
      </c>
      <c r="I20000" t="s">
        <v>333</v>
      </c>
      <c r="J20000" t="s">
        <v>584</v>
      </c>
      <c r="K20000" t="s">
        <v>33</v>
      </c>
      <c r="L20000" t="s">
        <v>335</v>
      </c>
      <c r="N20000" t="s">
        <v>29</v>
      </c>
    </row>
    <row r="20001" spans="1:14">
      <c r="A20001" s="4" t="str">
        <f t="shared" si="1372"/>
        <v>EXP00447</v>
      </c>
      <c r="B20001" s="3" t="s">
        <v>66</v>
      </c>
      <c r="C20001" s="4" t="str">
        <f t="shared" si="1373"/>
        <v>TCGA-THCA</v>
      </c>
      <c r="D20001" s="1" t="s">
        <v>493</v>
      </c>
      <c r="E20001" t="s">
        <v>590</v>
      </c>
      <c r="F20001" s="1">
        <v>2</v>
      </c>
      <c r="G20001" s="1" t="s">
        <v>32</v>
      </c>
      <c r="H20001" s="4" t="str">
        <f>HYPERLINK("https://portal.gdc.cancer.gov/cases/dd478399-d2ec-4ae4-a82a-b0258d24d088","TCGA-MK-A4N6-01A")</f>
        <v>TCGA-MK-A4N6-01A</v>
      </c>
      <c r="I20001" t="s">
        <v>333</v>
      </c>
      <c r="J20001" t="s">
        <v>584</v>
      </c>
      <c r="K20001" t="s">
        <v>33</v>
      </c>
      <c r="L20001" t="s">
        <v>335</v>
      </c>
      <c r="N20001" t="s">
        <v>29</v>
      </c>
    </row>
    <row r="20002" spans="1:14">
      <c r="A20002" s="4" t="str">
        <f t="shared" si="1372"/>
        <v>EXP00447</v>
      </c>
      <c r="B20002" s="3" t="s">
        <v>66</v>
      </c>
      <c r="C20002" s="4" t="str">
        <f t="shared" si="1373"/>
        <v>TCGA-THCA</v>
      </c>
      <c r="D20002" s="1" t="s">
        <v>493</v>
      </c>
      <c r="E20002" t="s">
        <v>590</v>
      </c>
      <c r="F20002" s="1">
        <v>2</v>
      </c>
      <c r="G20002" s="1" t="s">
        <v>32</v>
      </c>
      <c r="H20002" s="4" t="str">
        <f>HYPERLINK("https://portal.gdc.cancer.gov/cases/f0bc4f65-211b-4ae1-8e68-aaef3f3c6db8","TCGA-MK-A4N7-01A")</f>
        <v>TCGA-MK-A4N7-01A</v>
      </c>
      <c r="I20002" t="s">
        <v>333</v>
      </c>
      <c r="J20002" t="s">
        <v>584</v>
      </c>
      <c r="K20002" t="s">
        <v>33</v>
      </c>
      <c r="L20002" t="s">
        <v>335</v>
      </c>
      <c r="N20002" t="s">
        <v>29</v>
      </c>
    </row>
    <row r="20003" spans="1:14">
      <c r="A20003" s="4" t="str">
        <f t="shared" si="1372"/>
        <v>EXP00447</v>
      </c>
      <c r="B20003" s="3" t="s">
        <v>66</v>
      </c>
      <c r="C20003" s="4" t="str">
        <f t="shared" si="1373"/>
        <v>TCGA-THCA</v>
      </c>
      <c r="D20003" s="1" t="s">
        <v>493</v>
      </c>
      <c r="E20003" t="s">
        <v>590</v>
      </c>
      <c r="F20003" s="1">
        <v>2</v>
      </c>
      <c r="G20003" s="1" t="s">
        <v>32</v>
      </c>
      <c r="H20003" s="4" t="str">
        <f>HYPERLINK("https://portal.gdc.cancer.gov/cases/25184e51-1464-438a-80ff-cfc9a443cd36","TCGA-MK-A4N9-01A")</f>
        <v>TCGA-MK-A4N9-01A</v>
      </c>
      <c r="I20003" t="s">
        <v>333</v>
      </c>
      <c r="J20003" t="s">
        <v>584</v>
      </c>
      <c r="K20003" t="s">
        <v>33</v>
      </c>
      <c r="L20003" t="s">
        <v>335</v>
      </c>
      <c r="N20003" t="s">
        <v>29</v>
      </c>
    </row>
    <row r="20004" spans="1:14">
      <c r="A20004" s="4" t="str">
        <f t="shared" si="1372"/>
        <v>EXP00447</v>
      </c>
      <c r="B20004" s="3" t="s">
        <v>66</v>
      </c>
      <c r="C20004" s="4" t="str">
        <f t="shared" si="1373"/>
        <v>TCGA-THCA</v>
      </c>
      <c r="D20004" s="1" t="s">
        <v>493</v>
      </c>
      <c r="E20004" t="s">
        <v>590</v>
      </c>
      <c r="F20004" s="1">
        <v>2</v>
      </c>
      <c r="G20004" s="1" t="s">
        <v>32</v>
      </c>
      <c r="H20004" s="4" t="str">
        <f>HYPERLINK("https://portal.gdc.cancer.gov/cases/227dac7d-6bc3-4d8b-ac9c-ea4cab9a602c","TCGA-MK-A84Z-01A")</f>
        <v>TCGA-MK-A84Z-01A</v>
      </c>
      <c r="I20004" t="s">
        <v>333</v>
      </c>
      <c r="J20004" t="s">
        <v>584</v>
      </c>
      <c r="K20004" t="s">
        <v>33</v>
      </c>
      <c r="L20004" t="s">
        <v>335</v>
      </c>
      <c r="N20004" t="s">
        <v>29</v>
      </c>
    </row>
    <row r="20005" spans="1:14">
      <c r="A20005" s="4" t="str">
        <f t="shared" si="1372"/>
        <v>EXP00447</v>
      </c>
      <c r="B20005" s="3" t="s">
        <v>66</v>
      </c>
      <c r="C20005" s="4" t="str">
        <f t="shared" si="1373"/>
        <v>TCGA-THCA</v>
      </c>
      <c r="D20005" s="1" t="s">
        <v>493</v>
      </c>
      <c r="E20005" t="s">
        <v>590</v>
      </c>
      <c r="F20005" s="1">
        <v>2</v>
      </c>
      <c r="G20005" s="1" t="s">
        <v>32</v>
      </c>
      <c r="H20005" s="4" t="str">
        <f>HYPERLINK("https://portal.gdc.cancer.gov/cases/c35e4390-2809-4d88-86f3-208de05b338a","TCGA-QD-A8IV-01A")</f>
        <v>TCGA-QD-A8IV-01A</v>
      </c>
      <c r="I20005" t="s">
        <v>333</v>
      </c>
      <c r="J20005" t="s">
        <v>584</v>
      </c>
      <c r="K20005" t="s">
        <v>33</v>
      </c>
      <c r="L20005" t="s">
        <v>335</v>
      </c>
      <c r="N20005" t="s">
        <v>29</v>
      </c>
    </row>
    <row r="20006" spans="1:14">
      <c r="A20006" s="4" t="str">
        <f t="shared" ref="A20006:A20069" si="1374">HYPERLINK("http://hcmdb.i-sanger.com/experiment/details/experiment_id/EXP00448","EXP00448")</f>
        <v>EXP00448</v>
      </c>
      <c r="B20006" s="3" t="s">
        <v>66</v>
      </c>
      <c r="C20006" s="4" t="str">
        <f t="shared" si="1373"/>
        <v>TCGA-THCA</v>
      </c>
      <c r="D20006" s="1" t="s">
        <v>493</v>
      </c>
      <c r="E20006" t="s">
        <v>591</v>
      </c>
      <c r="F20006" s="1">
        <v>1</v>
      </c>
      <c r="G20006" s="1" t="s">
        <v>36</v>
      </c>
      <c r="H20006" s="4" t="str">
        <f>HYPERLINK("https://portal.gdc.cancer.gov/cases/524a39ee-8fa3-418e-98a2-a6a90e9c8064","TCGA-BJ-A28R-11A")</f>
        <v>TCGA-BJ-A28R-11A</v>
      </c>
      <c r="I20006" t="s">
        <v>333</v>
      </c>
      <c r="J20006" t="s">
        <v>584</v>
      </c>
      <c r="K20006" t="s">
        <v>33</v>
      </c>
      <c r="L20006" t="s">
        <v>335</v>
      </c>
      <c r="N20006" t="s">
        <v>37</v>
      </c>
    </row>
    <row r="20007" spans="1:14">
      <c r="A20007" s="4" t="str">
        <f t="shared" si="1374"/>
        <v>EXP00448</v>
      </c>
      <c r="B20007" s="3" t="s">
        <v>66</v>
      </c>
      <c r="C20007" s="4" t="str">
        <f t="shared" si="1373"/>
        <v>TCGA-THCA</v>
      </c>
      <c r="D20007" s="1" t="s">
        <v>493</v>
      </c>
      <c r="E20007" t="s">
        <v>591</v>
      </c>
      <c r="F20007" s="1">
        <v>1</v>
      </c>
      <c r="G20007" s="1" t="s">
        <v>36</v>
      </c>
      <c r="H20007" s="4" t="str">
        <f>HYPERLINK("https://portal.gdc.cancer.gov/cases/a6d37f61-beca-46ea-a59a-62257475ac77","TCGA-BJ-A28W-11A")</f>
        <v>TCGA-BJ-A28W-11A</v>
      </c>
      <c r="I20007" t="s">
        <v>333</v>
      </c>
      <c r="J20007" t="s">
        <v>584</v>
      </c>
      <c r="K20007" t="s">
        <v>33</v>
      </c>
      <c r="L20007" t="s">
        <v>335</v>
      </c>
      <c r="N20007" t="s">
        <v>37</v>
      </c>
    </row>
    <row r="20008" spans="1:14">
      <c r="A20008" s="4" t="str">
        <f t="shared" si="1374"/>
        <v>EXP00448</v>
      </c>
      <c r="B20008" s="3" t="s">
        <v>66</v>
      </c>
      <c r="C20008" s="4" t="str">
        <f t="shared" si="1373"/>
        <v>TCGA-THCA</v>
      </c>
      <c r="D20008" s="1" t="s">
        <v>493</v>
      </c>
      <c r="E20008" t="s">
        <v>591</v>
      </c>
      <c r="F20008" s="1">
        <v>1</v>
      </c>
      <c r="G20008" s="1" t="s">
        <v>36</v>
      </c>
      <c r="H20008" s="4" t="str">
        <f>HYPERLINK("https://portal.gdc.cancer.gov/cases/b30f5b13-8cc9-48a0-93ea-3d49ce8a7d0d","TCGA-BJ-A28X-11A")</f>
        <v>TCGA-BJ-A28X-11A</v>
      </c>
      <c r="I20008" t="s">
        <v>333</v>
      </c>
      <c r="J20008" t="s">
        <v>584</v>
      </c>
      <c r="K20008" t="s">
        <v>33</v>
      </c>
      <c r="L20008" t="s">
        <v>335</v>
      </c>
      <c r="N20008" t="s">
        <v>37</v>
      </c>
    </row>
    <row r="20009" spans="1:14">
      <c r="A20009" s="4" t="str">
        <f t="shared" si="1374"/>
        <v>EXP00448</v>
      </c>
      <c r="B20009" s="3" t="s">
        <v>66</v>
      </c>
      <c r="C20009" s="4" t="str">
        <f t="shared" si="1373"/>
        <v>TCGA-THCA</v>
      </c>
      <c r="D20009" s="1" t="s">
        <v>493</v>
      </c>
      <c r="E20009" t="s">
        <v>591</v>
      </c>
      <c r="F20009" s="1">
        <v>1</v>
      </c>
      <c r="G20009" s="1" t="s">
        <v>36</v>
      </c>
      <c r="H20009" s="4" t="str">
        <f>HYPERLINK("https://portal.gdc.cancer.gov/cases/3cd2d4bd-8256-42fa-8272-db379d598007","TCGA-BJ-A290-11A")</f>
        <v>TCGA-BJ-A290-11A</v>
      </c>
      <c r="I20009" t="s">
        <v>333</v>
      </c>
      <c r="J20009" t="s">
        <v>584</v>
      </c>
      <c r="K20009" t="s">
        <v>33</v>
      </c>
      <c r="L20009" t="s">
        <v>335</v>
      </c>
      <c r="N20009" t="s">
        <v>37</v>
      </c>
    </row>
    <row r="20010" spans="1:14">
      <c r="A20010" s="4" t="str">
        <f t="shared" si="1374"/>
        <v>EXP00448</v>
      </c>
      <c r="B20010" s="3" t="s">
        <v>66</v>
      </c>
      <c r="C20010" s="4" t="str">
        <f t="shared" si="1373"/>
        <v>TCGA-THCA</v>
      </c>
      <c r="D20010" s="1" t="s">
        <v>493</v>
      </c>
      <c r="E20010" t="s">
        <v>591</v>
      </c>
      <c r="F20010" s="1">
        <v>1</v>
      </c>
      <c r="G20010" s="1" t="s">
        <v>36</v>
      </c>
      <c r="H20010" s="4" t="str">
        <f>HYPERLINK("https://portal.gdc.cancer.gov/cases/cbab7a72-11f7-4dfe-80f8-1b1ef1cf0055","TCGA-BJ-A2N7-11A")</f>
        <v>TCGA-BJ-A2N7-11A</v>
      </c>
      <c r="I20010" t="s">
        <v>333</v>
      </c>
      <c r="J20010" t="s">
        <v>584</v>
      </c>
      <c r="K20010" t="s">
        <v>33</v>
      </c>
      <c r="L20010" t="s">
        <v>335</v>
      </c>
      <c r="N20010" t="s">
        <v>37</v>
      </c>
    </row>
    <row r="20011" spans="1:14">
      <c r="A20011" s="4" t="str">
        <f t="shared" si="1374"/>
        <v>EXP00448</v>
      </c>
      <c r="B20011" s="3" t="s">
        <v>66</v>
      </c>
      <c r="C20011" s="4" t="str">
        <f t="shared" si="1373"/>
        <v>TCGA-THCA</v>
      </c>
      <c r="D20011" s="1" t="s">
        <v>493</v>
      </c>
      <c r="E20011" t="s">
        <v>591</v>
      </c>
      <c r="F20011" s="1">
        <v>1</v>
      </c>
      <c r="G20011" s="1" t="s">
        <v>36</v>
      </c>
      <c r="H20011" s="4" t="str">
        <f>HYPERLINK("https://portal.gdc.cancer.gov/cases/729fc937-192a-4eb7-b357-b8f0d2da1f08","TCGA-BJ-A2N8-11A")</f>
        <v>TCGA-BJ-A2N8-11A</v>
      </c>
      <c r="I20011" t="s">
        <v>333</v>
      </c>
      <c r="J20011" t="s">
        <v>584</v>
      </c>
      <c r="K20011" t="s">
        <v>33</v>
      </c>
      <c r="L20011" t="s">
        <v>335</v>
      </c>
      <c r="N20011" t="s">
        <v>37</v>
      </c>
    </row>
    <row r="20012" spans="1:14">
      <c r="A20012" s="4" t="str">
        <f t="shared" si="1374"/>
        <v>EXP00448</v>
      </c>
      <c r="B20012" s="3" t="s">
        <v>66</v>
      </c>
      <c r="C20012" s="4" t="str">
        <f t="shared" si="1373"/>
        <v>TCGA-THCA</v>
      </c>
      <c r="D20012" s="1" t="s">
        <v>493</v>
      </c>
      <c r="E20012" t="s">
        <v>591</v>
      </c>
      <c r="F20012" s="1">
        <v>1</v>
      </c>
      <c r="G20012" s="1" t="s">
        <v>36</v>
      </c>
      <c r="H20012" s="4" t="str">
        <f>HYPERLINK("https://portal.gdc.cancer.gov/cases/1e63d4b3-1b49-4bb9-b64f-001273aae120","TCGA-BJ-A2N9-11A")</f>
        <v>TCGA-BJ-A2N9-11A</v>
      </c>
      <c r="I20012" t="s">
        <v>333</v>
      </c>
      <c r="J20012" t="s">
        <v>584</v>
      </c>
      <c r="K20012" t="s">
        <v>33</v>
      </c>
      <c r="L20012" t="s">
        <v>335</v>
      </c>
      <c r="N20012" t="s">
        <v>37</v>
      </c>
    </row>
    <row r="20013" spans="1:14">
      <c r="A20013" s="4" t="str">
        <f t="shared" si="1374"/>
        <v>EXP00448</v>
      </c>
      <c r="B20013" s="3" t="s">
        <v>66</v>
      </c>
      <c r="C20013" s="4" t="str">
        <f t="shared" si="1373"/>
        <v>TCGA-THCA</v>
      </c>
      <c r="D20013" s="1" t="s">
        <v>493</v>
      </c>
      <c r="E20013" t="s">
        <v>591</v>
      </c>
      <c r="F20013" s="1">
        <v>1</v>
      </c>
      <c r="G20013" s="1" t="s">
        <v>36</v>
      </c>
      <c r="H20013" s="4" t="str">
        <f>HYPERLINK("https://portal.gdc.cancer.gov/cases/f9d35f8e-ada4-4cc6-8227-28565ee531d2","TCGA-BJ-A2NA-11A")</f>
        <v>TCGA-BJ-A2NA-11A</v>
      </c>
      <c r="I20013" t="s">
        <v>333</v>
      </c>
      <c r="J20013" t="s">
        <v>584</v>
      </c>
      <c r="K20013" t="s">
        <v>33</v>
      </c>
      <c r="L20013" t="s">
        <v>335</v>
      </c>
      <c r="N20013" t="s">
        <v>37</v>
      </c>
    </row>
    <row r="20014" spans="1:14">
      <c r="A20014" s="4" t="str">
        <f t="shared" si="1374"/>
        <v>EXP00448</v>
      </c>
      <c r="B20014" s="3" t="s">
        <v>66</v>
      </c>
      <c r="C20014" s="4" t="str">
        <f t="shared" si="1373"/>
        <v>TCGA-THCA</v>
      </c>
      <c r="D20014" s="1" t="s">
        <v>493</v>
      </c>
      <c r="E20014" t="s">
        <v>591</v>
      </c>
      <c r="F20014" s="1">
        <v>1</v>
      </c>
      <c r="G20014" s="1" t="s">
        <v>36</v>
      </c>
      <c r="H20014" s="4" t="str">
        <f>HYPERLINK("https://portal.gdc.cancer.gov/cases/fd036ec5-3ffb-40b1-8002-943be0e2532e","TCGA-BJ-A3PR-11A")</f>
        <v>TCGA-BJ-A3PR-11A</v>
      </c>
      <c r="I20014" t="s">
        <v>333</v>
      </c>
      <c r="J20014" t="s">
        <v>584</v>
      </c>
      <c r="K20014" t="s">
        <v>33</v>
      </c>
      <c r="L20014" t="s">
        <v>335</v>
      </c>
      <c r="N20014" t="s">
        <v>37</v>
      </c>
    </row>
    <row r="20015" spans="1:14">
      <c r="A20015" s="4" t="str">
        <f t="shared" si="1374"/>
        <v>EXP00448</v>
      </c>
      <c r="B20015" s="3" t="s">
        <v>66</v>
      </c>
      <c r="C20015" s="4" t="str">
        <f t="shared" si="1373"/>
        <v>TCGA-THCA</v>
      </c>
      <c r="D20015" s="1" t="s">
        <v>493</v>
      </c>
      <c r="E20015" t="s">
        <v>591</v>
      </c>
      <c r="F20015" s="1">
        <v>1</v>
      </c>
      <c r="G20015" s="1" t="s">
        <v>36</v>
      </c>
      <c r="H20015" s="4" t="str">
        <f>HYPERLINK("https://portal.gdc.cancer.gov/cases/169f045f-1739-4b0b-9bdc-028aaca420f8","TCGA-DO-A1JZ-11A")</f>
        <v>TCGA-DO-A1JZ-11A</v>
      </c>
      <c r="I20015" t="s">
        <v>333</v>
      </c>
      <c r="J20015" t="s">
        <v>584</v>
      </c>
      <c r="K20015" t="s">
        <v>33</v>
      </c>
      <c r="L20015" t="s">
        <v>335</v>
      </c>
      <c r="N20015" t="s">
        <v>37</v>
      </c>
    </row>
    <row r="20016" spans="1:14">
      <c r="A20016" s="4" t="str">
        <f t="shared" si="1374"/>
        <v>EXP00448</v>
      </c>
      <c r="B20016" s="3" t="s">
        <v>66</v>
      </c>
      <c r="C20016" s="4" t="str">
        <f t="shared" si="1373"/>
        <v>TCGA-THCA</v>
      </c>
      <c r="D20016" s="1" t="s">
        <v>493</v>
      </c>
      <c r="E20016" t="s">
        <v>591</v>
      </c>
      <c r="F20016" s="1">
        <v>1</v>
      </c>
      <c r="G20016" s="1" t="s">
        <v>36</v>
      </c>
      <c r="H20016" s="4" t="str">
        <f>HYPERLINK("https://portal.gdc.cancer.gov/cases/f69ff5fb-7e0b-4b16-9fc9-498379b11562","TCGA-E8-A2JQ-11A")</f>
        <v>TCGA-E8-A2JQ-11A</v>
      </c>
      <c r="I20016" t="s">
        <v>333</v>
      </c>
      <c r="J20016" t="s">
        <v>584</v>
      </c>
      <c r="K20016" t="s">
        <v>33</v>
      </c>
      <c r="L20016" t="s">
        <v>335</v>
      </c>
      <c r="N20016" t="s">
        <v>37</v>
      </c>
    </row>
    <row r="20017" spans="1:14">
      <c r="A20017" s="4" t="str">
        <f t="shared" si="1374"/>
        <v>EXP00448</v>
      </c>
      <c r="B20017" s="3" t="s">
        <v>66</v>
      </c>
      <c r="C20017" s="4" t="str">
        <f t="shared" si="1373"/>
        <v>TCGA-THCA</v>
      </c>
      <c r="D20017" s="1" t="s">
        <v>493</v>
      </c>
      <c r="E20017" t="s">
        <v>591</v>
      </c>
      <c r="F20017" s="1">
        <v>1</v>
      </c>
      <c r="G20017" s="1" t="s">
        <v>36</v>
      </c>
      <c r="H20017" s="4" t="str">
        <f>HYPERLINK("https://portal.gdc.cancer.gov/cases/2fa2dd09-593a-4cde-97c7-61cdb8ba2bfe","TCGA-EL-A3GZ-11A")</f>
        <v>TCGA-EL-A3GZ-11A</v>
      </c>
      <c r="I20017" t="s">
        <v>333</v>
      </c>
      <c r="J20017" t="s">
        <v>584</v>
      </c>
      <c r="K20017" t="s">
        <v>33</v>
      </c>
      <c r="L20017" t="s">
        <v>335</v>
      </c>
      <c r="N20017" t="s">
        <v>37</v>
      </c>
    </row>
    <row r="20018" spans="1:14">
      <c r="A20018" s="4" t="str">
        <f t="shared" si="1374"/>
        <v>EXP00448</v>
      </c>
      <c r="B20018" s="3" t="s">
        <v>66</v>
      </c>
      <c r="C20018" s="4" t="str">
        <f t="shared" si="1373"/>
        <v>TCGA-THCA</v>
      </c>
      <c r="D20018" s="1" t="s">
        <v>493</v>
      </c>
      <c r="E20018" t="s">
        <v>591</v>
      </c>
      <c r="F20018" s="1">
        <v>1</v>
      </c>
      <c r="G20018" s="1" t="s">
        <v>36</v>
      </c>
      <c r="H20018" s="4" t="str">
        <f>HYPERLINK("https://portal.gdc.cancer.gov/cases/8d54a2ed-03f1-4a23-bdd2-f3395f5d3716","TCGA-EL-A3H1-11A")</f>
        <v>TCGA-EL-A3H1-11A</v>
      </c>
      <c r="I20018" t="s">
        <v>333</v>
      </c>
      <c r="J20018" t="s">
        <v>584</v>
      </c>
      <c r="K20018" t="s">
        <v>33</v>
      </c>
      <c r="L20018" t="s">
        <v>335</v>
      </c>
      <c r="N20018" t="s">
        <v>37</v>
      </c>
    </row>
    <row r="20019" spans="1:14">
      <c r="A20019" s="4" t="str">
        <f t="shared" si="1374"/>
        <v>EXP00448</v>
      </c>
      <c r="B20019" s="3" t="s">
        <v>66</v>
      </c>
      <c r="C20019" s="4" t="str">
        <f t="shared" si="1373"/>
        <v>TCGA-THCA</v>
      </c>
      <c r="D20019" s="1" t="s">
        <v>493</v>
      </c>
      <c r="E20019" t="s">
        <v>591</v>
      </c>
      <c r="F20019" s="1">
        <v>1</v>
      </c>
      <c r="G20019" s="1" t="s">
        <v>36</v>
      </c>
      <c r="H20019" s="4" t="str">
        <f>HYPERLINK("https://portal.gdc.cancer.gov/cases/77200abe-4a09-4a4a-bb45-60d9b96d4998","TCGA-EL-A3H2-11A")</f>
        <v>TCGA-EL-A3H2-11A</v>
      </c>
      <c r="I20019" t="s">
        <v>333</v>
      </c>
      <c r="J20019" t="s">
        <v>584</v>
      </c>
      <c r="K20019" t="s">
        <v>33</v>
      </c>
      <c r="L20019" t="s">
        <v>335</v>
      </c>
      <c r="N20019" t="s">
        <v>37</v>
      </c>
    </row>
    <row r="20020" spans="1:14">
      <c r="A20020" s="4" t="str">
        <f t="shared" si="1374"/>
        <v>EXP00448</v>
      </c>
      <c r="B20020" s="3" t="s">
        <v>66</v>
      </c>
      <c r="C20020" s="4" t="str">
        <f t="shared" si="1373"/>
        <v>TCGA-THCA</v>
      </c>
      <c r="D20020" s="1" t="s">
        <v>493</v>
      </c>
      <c r="E20020" t="s">
        <v>591</v>
      </c>
      <c r="F20020" s="1">
        <v>1</v>
      </c>
      <c r="G20020" s="1" t="s">
        <v>36</v>
      </c>
      <c r="H20020" s="4" t="str">
        <f>HYPERLINK("https://portal.gdc.cancer.gov/cases/faa51172-60ec-48d8-9224-36bfda1d27e0","TCGA-EL-A3H7-11A")</f>
        <v>TCGA-EL-A3H7-11A</v>
      </c>
      <c r="I20020" t="s">
        <v>333</v>
      </c>
      <c r="J20020" t="s">
        <v>584</v>
      </c>
      <c r="K20020" t="s">
        <v>33</v>
      </c>
      <c r="L20020" t="s">
        <v>335</v>
      </c>
      <c r="N20020" t="s">
        <v>37</v>
      </c>
    </row>
    <row r="20021" spans="1:14">
      <c r="A20021" s="4" t="str">
        <f t="shared" si="1374"/>
        <v>EXP00448</v>
      </c>
      <c r="B20021" s="3" t="s">
        <v>66</v>
      </c>
      <c r="C20021" s="4" t="str">
        <f t="shared" ref="C20021:C20084" si="1375">HYPERLINK("https://portal.gdc.cancer.gov/projects/TCGA-THCA","TCGA-THCA")</f>
        <v>TCGA-THCA</v>
      </c>
      <c r="D20021" s="1" t="s">
        <v>493</v>
      </c>
      <c r="E20021" t="s">
        <v>591</v>
      </c>
      <c r="F20021" s="1">
        <v>1</v>
      </c>
      <c r="G20021" s="1" t="s">
        <v>36</v>
      </c>
      <c r="H20021" s="4" t="str">
        <f>HYPERLINK("https://portal.gdc.cancer.gov/cases/ef3dd880-7be4-46a8-93c2-7cba1a9cd24d","TCGA-EL-A3MW-11A")</f>
        <v>TCGA-EL-A3MW-11A</v>
      </c>
      <c r="I20021" t="s">
        <v>333</v>
      </c>
      <c r="J20021" t="s">
        <v>584</v>
      </c>
      <c r="K20021" t="s">
        <v>33</v>
      </c>
      <c r="L20021" t="s">
        <v>335</v>
      </c>
      <c r="N20021" t="s">
        <v>37</v>
      </c>
    </row>
    <row r="20022" spans="1:14">
      <c r="A20022" s="4" t="str">
        <f t="shared" si="1374"/>
        <v>EXP00448</v>
      </c>
      <c r="B20022" s="3" t="s">
        <v>66</v>
      </c>
      <c r="C20022" s="4" t="str">
        <f t="shared" si="1375"/>
        <v>TCGA-THCA</v>
      </c>
      <c r="D20022" s="1" t="s">
        <v>493</v>
      </c>
      <c r="E20022" t="s">
        <v>591</v>
      </c>
      <c r="F20022" s="1">
        <v>1</v>
      </c>
      <c r="G20022" s="1" t="s">
        <v>36</v>
      </c>
      <c r="H20022" s="4" t="str">
        <f>HYPERLINK("https://portal.gdc.cancer.gov/cases/7746be87-7ad0-48a7-84fb-08a81b220bdb","TCGA-EL-A3MY-11A")</f>
        <v>TCGA-EL-A3MY-11A</v>
      </c>
      <c r="I20022" t="s">
        <v>333</v>
      </c>
      <c r="J20022" t="s">
        <v>584</v>
      </c>
      <c r="K20022" t="s">
        <v>33</v>
      </c>
      <c r="L20022" t="s">
        <v>335</v>
      </c>
      <c r="N20022" t="s">
        <v>37</v>
      </c>
    </row>
    <row r="20023" spans="1:14">
      <c r="A20023" s="4" t="str">
        <f t="shared" si="1374"/>
        <v>EXP00448</v>
      </c>
      <c r="B20023" s="3" t="s">
        <v>66</v>
      </c>
      <c r="C20023" s="4" t="str">
        <f t="shared" si="1375"/>
        <v>TCGA-THCA</v>
      </c>
      <c r="D20023" s="1" t="s">
        <v>493</v>
      </c>
      <c r="E20023" t="s">
        <v>591</v>
      </c>
      <c r="F20023" s="1">
        <v>1</v>
      </c>
      <c r="G20023" s="1" t="s">
        <v>36</v>
      </c>
      <c r="H20023" s="4" t="str">
        <f>HYPERLINK("https://portal.gdc.cancer.gov/cases/34d4cc10-b868-4e85-96a5-8680fc729e34","TCGA-EL-A3N2-11A")</f>
        <v>TCGA-EL-A3N2-11A</v>
      </c>
      <c r="I20023" t="s">
        <v>333</v>
      </c>
      <c r="J20023" t="s">
        <v>584</v>
      </c>
      <c r="K20023" t="s">
        <v>33</v>
      </c>
      <c r="L20023" t="s">
        <v>335</v>
      </c>
      <c r="N20023" t="s">
        <v>37</v>
      </c>
    </row>
    <row r="20024" spans="1:14">
      <c r="A20024" s="4" t="str">
        <f t="shared" si="1374"/>
        <v>EXP00448</v>
      </c>
      <c r="B20024" s="3" t="s">
        <v>66</v>
      </c>
      <c r="C20024" s="4" t="str">
        <f t="shared" si="1375"/>
        <v>TCGA-THCA</v>
      </c>
      <c r="D20024" s="1" t="s">
        <v>493</v>
      </c>
      <c r="E20024" t="s">
        <v>591</v>
      </c>
      <c r="F20024" s="1">
        <v>1</v>
      </c>
      <c r="G20024" s="1" t="s">
        <v>36</v>
      </c>
      <c r="H20024" s="4" t="str">
        <f>HYPERLINK("https://portal.gdc.cancer.gov/cases/00a02e62-e1ab-467a-91b3-5f526dd2251a","TCGA-EL-A3N3-11A")</f>
        <v>TCGA-EL-A3N3-11A</v>
      </c>
      <c r="I20024" t="s">
        <v>333</v>
      </c>
      <c r="J20024" t="s">
        <v>584</v>
      </c>
      <c r="K20024" t="s">
        <v>33</v>
      </c>
      <c r="L20024" t="s">
        <v>335</v>
      </c>
      <c r="N20024" t="s">
        <v>37</v>
      </c>
    </row>
    <row r="20025" spans="1:14">
      <c r="A20025" s="4" t="str">
        <f t="shared" si="1374"/>
        <v>EXP00448</v>
      </c>
      <c r="B20025" s="3" t="s">
        <v>66</v>
      </c>
      <c r="C20025" s="4" t="str">
        <f t="shared" si="1375"/>
        <v>TCGA-THCA</v>
      </c>
      <c r="D20025" s="1" t="s">
        <v>493</v>
      </c>
      <c r="E20025" t="s">
        <v>591</v>
      </c>
      <c r="F20025" s="1">
        <v>1</v>
      </c>
      <c r="G20025" s="1" t="s">
        <v>36</v>
      </c>
      <c r="H20025" s="4" t="str">
        <f>HYPERLINK("https://portal.gdc.cancer.gov/cases/861f94ce-45ff-4588-addb-e1ea48878c2e","TCGA-EL-A3T0-11A")</f>
        <v>TCGA-EL-A3T0-11A</v>
      </c>
      <c r="I20025" t="s">
        <v>333</v>
      </c>
      <c r="J20025" t="s">
        <v>584</v>
      </c>
      <c r="K20025" t="s">
        <v>33</v>
      </c>
      <c r="L20025" t="s">
        <v>335</v>
      </c>
      <c r="N20025" t="s">
        <v>37</v>
      </c>
    </row>
    <row r="20026" spans="1:14">
      <c r="A20026" s="4" t="str">
        <f t="shared" si="1374"/>
        <v>EXP00448</v>
      </c>
      <c r="B20026" s="3" t="s">
        <v>66</v>
      </c>
      <c r="C20026" s="4" t="str">
        <f t="shared" si="1375"/>
        <v>TCGA-THCA</v>
      </c>
      <c r="D20026" s="1" t="s">
        <v>493</v>
      </c>
      <c r="E20026" t="s">
        <v>591</v>
      </c>
      <c r="F20026" s="1">
        <v>1</v>
      </c>
      <c r="G20026" s="1" t="s">
        <v>36</v>
      </c>
      <c r="H20026" s="4" t="str">
        <f>HYPERLINK("https://portal.gdc.cancer.gov/cases/97d0e1bb-1459-4124-b25a-48195f2ad8b5","TCGA-EL-A3T1-11A")</f>
        <v>TCGA-EL-A3T1-11A</v>
      </c>
      <c r="I20026" t="s">
        <v>333</v>
      </c>
      <c r="J20026" t="s">
        <v>584</v>
      </c>
      <c r="K20026" t="s">
        <v>33</v>
      </c>
      <c r="L20026" t="s">
        <v>335</v>
      </c>
      <c r="N20026" t="s">
        <v>37</v>
      </c>
    </row>
    <row r="20027" spans="1:14">
      <c r="A20027" s="4" t="str">
        <f t="shared" si="1374"/>
        <v>EXP00448</v>
      </c>
      <c r="B20027" s="3" t="s">
        <v>66</v>
      </c>
      <c r="C20027" s="4" t="str">
        <f t="shared" si="1375"/>
        <v>TCGA-THCA</v>
      </c>
      <c r="D20027" s="1" t="s">
        <v>493</v>
      </c>
      <c r="E20027" t="s">
        <v>591</v>
      </c>
      <c r="F20027" s="1">
        <v>1</v>
      </c>
      <c r="G20027" s="1" t="s">
        <v>36</v>
      </c>
      <c r="H20027" s="4" t="str">
        <f>HYPERLINK("https://portal.gdc.cancer.gov/cases/8a476795-0e05-4da6-bbe1-ff7304da1b39","TCGA-EL-A3T2-11A")</f>
        <v>TCGA-EL-A3T2-11A</v>
      </c>
      <c r="I20027" t="s">
        <v>333</v>
      </c>
      <c r="J20027" t="s">
        <v>584</v>
      </c>
      <c r="K20027" t="s">
        <v>33</v>
      </c>
      <c r="L20027" t="s">
        <v>335</v>
      </c>
      <c r="N20027" t="s">
        <v>37</v>
      </c>
    </row>
    <row r="20028" spans="1:14">
      <c r="A20028" s="4" t="str">
        <f t="shared" si="1374"/>
        <v>EXP00448</v>
      </c>
      <c r="B20028" s="3" t="s">
        <v>66</v>
      </c>
      <c r="C20028" s="4" t="str">
        <f t="shared" si="1375"/>
        <v>TCGA-THCA</v>
      </c>
      <c r="D20028" s="1" t="s">
        <v>493</v>
      </c>
      <c r="E20028" t="s">
        <v>591</v>
      </c>
      <c r="F20028" s="1">
        <v>1</v>
      </c>
      <c r="G20028" s="1" t="s">
        <v>36</v>
      </c>
      <c r="H20028" s="4" t="str">
        <f>HYPERLINK("https://portal.gdc.cancer.gov/cases/6435ea21-7214-40c5-9ccb-a1f22685a728","TCGA-EL-A3T3-11A")</f>
        <v>TCGA-EL-A3T3-11A</v>
      </c>
      <c r="I20028" t="s">
        <v>333</v>
      </c>
      <c r="J20028" t="s">
        <v>584</v>
      </c>
      <c r="K20028" t="s">
        <v>33</v>
      </c>
      <c r="L20028" t="s">
        <v>335</v>
      </c>
      <c r="N20028" t="s">
        <v>37</v>
      </c>
    </row>
    <row r="20029" spans="1:14">
      <c r="A20029" s="4" t="str">
        <f t="shared" si="1374"/>
        <v>EXP00448</v>
      </c>
      <c r="B20029" s="3" t="s">
        <v>66</v>
      </c>
      <c r="C20029" s="4" t="str">
        <f t="shared" si="1375"/>
        <v>TCGA-THCA</v>
      </c>
      <c r="D20029" s="1" t="s">
        <v>493</v>
      </c>
      <c r="E20029" t="s">
        <v>591</v>
      </c>
      <c r="F20029" s="1">
        <v>1</v>
      </c>
      <c r="G20029" s="1" t="s">
        <v>36</v>
      </c>
      <c r="H20029" s="4" t="str">
        <f>HYPERLINK("https://portal.gdc.cancer.gov/cases/90507baa-b716-4bcf-a18e-9d8ae97d809a","TCGA-EL-A3T6-11A")</f>
        <v>TCGA-EL-A3T6-11A</v>
      </c>
      <c r="I20029" t="s">
        <v>333</v>
      </c>
      <c r="J20029" t="s">
        <v>584</v>
      </c>
      <c r="K20029" t="s">
        <v>33</v>
      </c>
      <c r="L20029" t="s">
        <v>335</v>
      </c>
      <c r="N20029" t="s">
        <v>37</v>
      </c>
    </row>
    <row r="20030" spans="1:14">
      <c r="A20030" s="4" t="str">
        <f t="shared" si="1374"/>
        <v>EXP00448</v>
      </c>
      <c r="B20030" s="3" t="s">
        <v>66</v>
      </c>
      <c r="C20030" s="4" t="str">
        <f t="shared" si="1375"/>
        <v>TCGA-THCA</v>
      </c>
      <c r="D20030" s="1" t="s">
        <v>493</v>
      </c>
      <c r="E20030" t="s">
        <v>591</v>
      </c>
      <c r="F20030" s="1">
        <v>1</v>
      </c>
      <c r="G20030" s="1" t="s">
        <v>36</v>
      </c>
      <c r="H20030" s="4" t="str">
        <f>HYPERLINK("https://portal.gdc.cancer.gov/cases/b1640709-8b2f-4cca-a2c0-55a1b4a1884b","TCGA-EL-A3T7-11A")</f>
        <v>TCGA-EL-A3T7-11A</v>
      </c>
      <c r="I20030" t="s">
        <v>333</v>
      </c>
      <c r="J20030" t="s">
        <v>584</v>
      </c>
      <c r="K20030" t="s">
        <v>33</v>
      </c>
      <c r="L20030" t="s">
        <v>335</v>
      </c>
      <c r="N20030" t="s">
        <v>37</v>
      </c>
    </row>
    <row r="20031" spans="1:14">
      <c r="A20031" s="4" t="str">
        <f t="shared" si="1374"/>
        <v>EXP00448</v>
      </c>
      <c r="B20031" s="3" t="s">
        <v>66</v>
      </c>
      <c r="C20031" s="4" t="str">
        <f t="shared" si="1375"/>
        <v>TCGA-THCA</v>
      </c>
      <c r="D20031" s="1" t="s">
        <v>493</v>
      </c>
      <c r="E20031" t="s">
        <v>591</v>
      </c>
      <c r="F20031" s="1">
        <v>1</v>
      </c>
      <c r="G20031" s="1" t="s">
        <v>36</v>
      </c>
      <c r="H20031" s="4" t="str">
        <f>HYPERLINK("https://portal.gdc.cancer.gov/cases/989e9202-c08e-4bbf-85b3-1e278a475cb7","TCGA-EL-A3T8-11A")</f>
        <v>TCGA-EL-A3T8-11A</v>
      </c>
      <c r="I20031" t="s">
        <v>333</v>
      </c>
      <c r="J20031" t="s">
        <v>584</v>
      </c>
      <c r="K20031" t="s">
        <v>33</v>
      </c>
      <c r="L20031" t="s">
        <v>335</v>
      </c>
      <c r="N20031" t="s">
        <v>37</v>
      </c>
    </row>
    <row r="20032" spans="1:14">
      <c r="A20032" s="4" t="str">
        <f t="shared" si="1374"/>
        <v>EXP00448</v>
      </c>
      <c r="B20032" s="3" t="s">
        <v>66</v>
      </c>
      <c r="C20032" s="4" t="str">
        <f t="shared" si="1375"/>
        <v>TCGA-THCA</v>
      </c>
      <c r="D20032" s="1" t="s">
        <v>493</v>
      </c>
      <c r="E20032" t="s">
        <v>591</v>
      </c>
      <c r="F20032" s="1">
        <v>1</v>
      </c>
      <c r="G20032" s="1" t="s">
        <v>36</v>
      </c>
      <c r="H20032" s="4" t="str">
        <f>HYPERLINK("https://portal.gdc.cancer.gov/cases/d4355111-3abb-40f0-bdb7-b9eaa39dc771","TCGA-EL-A3TA-11A")</f>
        <v>TCGA-EL-A3TA-11A</v>
      </c>
      <c r="I20032" t="s">
        <v>333</v>
      </c>
      <c r="J20032" t="s">
        <v>584</v>
      </c>
      <c r="K20032" t="s">
        <v>33</v>
      </c>
      <c r="L20032" t="s">
        <v>335</v>
      </c>
      <c r="N20032" t="s">
        <v>37</v>
      </c>
    </row>
    <row r="20033" spans="1:14">
      <c r="A20033" s="4" t="str">
        <f t="shared" si="1374"/>
        <v>EXP00448</v>
      </c>
      <c r="B20033" s="3" t="s">
        <v>66</v>
      </c>
      <c r="C20033" s="4" t="str">
        <f t="shared" si="1375"/>
        <v>TCGA-THCA</v>
      </c>
      <c r="D20033" s="1" t="s">
        <v>493</v>
      </c>
      <c r="E20033" t="s">
        <v>591</v>
      </c>
      <c r="F20033" s="1">
        <v>1</v>
      </c>
      <c r="G20033" s="1" t="s">
        <v>36</v>
      </c>
      <c r="H20033" s="4" t="str">
        <f>HYPERLINK("https://portal.gdc.cancer.gov/cases/a09d0be0-fd41-4b30-b488-9a9f2abef8e7","TCGA-EL-A3TB-11A")</f>
        <v>TCGA-EL-A3TB-11A</v>
      </c>
      <c r="I20033" t="s">
        <v>333</v>
      </c>
      <c r="J20033" t="s">
        <v>584</v>
      </c>
      <c r="K20033" t="s">
        <v>33</v>
      </c>
      <c r="L20033" t="s">
        <v>335</v>
      </c>
      <c r="N20033" t="s">
        <v>37</v>
      </c>
    </row>
    <row r="20034" spans="1:14">
      <c r="A20034" s="4" t="str">
        <f t="shared" si="1374"/>
        <v>EXP00448</v>
      </c>
      <c r="B20034" s="3" t="s">
        <v>66</v>
      </c>
      <c r="C20034" s="4" t="str">
        <f t="shared" si="1375"/>
        <v>TCGA-THCA</v>
      </c>
      <c r="D20034" s="1" t="s">
        <v>493</v>
      </c>
      <c r="E20034" t="s">
        <v>591</v>
      </c>
      <c r="F20034" s="1">
        <v>1</v>
      </c>
      <c r="G20034" s="1" t="s">
        <v>36</v>
      </c>
      <c r="H20034" s="4" t="str">
        <f>HYPERLINK("https://portal.gdc.cancer.gov/cases/286c69b0-75ba-48d6-a26b-26077f101bbb","TCGA-EL-A3ZG-11A")</f>
        <v>TCGA-EL-A3ZG-11A</v>
      </c>
      <c r="I20034" t="s">
        <v>333</v>
      </c>
      <c r="J20034" t="s">
        <v>584</v>
      </c>
      <c r="K20034" t="s">
        <v>33</v>
      </c>
      <c r="L20034" t="s">
        <v>335</v>
      </c>
      <c r="N20034" t="s">
        <v>37</v>
      </c>
    </row>
    <row r="20035" spans="1:14">
      <c r="A20035" s="4" t="str">
        <f t="shared" si="1374"/>
        <v>EXP00448</v>
      </c>
      <c r="B20035" s="3" t="s">
        <v>66</v>
      </c>
      <c r="C20035" s="4" t="str">
        <f t="shared" si="1375"/>
        <v>TCGA-THCA</v>
      </c>
      <c r="D20035" s="1" t="s">
        <v>493</v>
      </c>
      <c r="E20035" t="s">
        <v>591</v>
      </c>
      <c r="F20035" s="1">
        <v>1</v>
      </c>
      <c r="G20035" s="1" t="s">
        <v>36</v>
      </c>
      <c r="H20035" s="4" t="str">
        <f>HYPERLINK("https://portal.gdc.cancer.gov/cases/149b46a3-75de-44e1-ba73-bdc4ff379c7f","TCGA-EL-A3ZH-11A")</f>
        <v>TCGA-EL-A3ZH-11A</v>
      </c>
      <c r="I20035" t="s">
        <v>333</v>
      </c>
      <c r="J20035" t="s">
        <v>584</v>
      </c>
      <c r="K20035" t="s">
        <v>33</v>
      </c>
      <c r="L20035" t="s">
        <v>335</v>
      </c>
      <c r="N20035" t="s">
        <v>37</v>
      </c>
    </row>
    <row r="20036" spans="1:14">
      <c r="A20036" s="4" t="str">
        <f t="shared" si="1374"/>
        <v>EXP00448</v>
      </c>
      <c r="B20036" s="3" t="s">
        <v>66</v>
      </c>
      <c r="C20036" s="4" t="str">
        <f t="shared" si="1375"/>
        <v>TCGA-THCA</v>
      </c>
      <c r="D20036" s="1" t="s">
        <v>493</v>
      </c>
      <c r="E20036" t="s">
        <v>591</v>
      </c>
      <c r="F20036" s="1">
        <v>1</v>
      </c>
      <c r="G20036" s="1" t="s">
        <v>36</v>
      </c>
      <c r="H20036" s="4" t="str">
        <f>HYPERLINK("https://portal.gdc.cancer.gov/cases/3d8b7654-b403-4360-80dc-8273ca90c2dc","TCGA-EL-A3ZK-11A")</f>
        <v>TCGA-EL-A3ZK-11A</v>
      </c>
      <c r="I20036" t="s">
        <v>333</v>
      </c>
      <c r="J20036" t="s">
        <v>584</v>
      </c>
      <c r="K20036" t="s">
        <v>33</v>
      </c>
      <c r="L20036" t="s">
        <v>335</v>
      </c>
      <c r="N20036" t="s">
        <v>37</v>
      </c>
    </row>
    <row r="20037" spans="1:14">
      <c r="A20037" s="4" t="str">
        <f t="shared" si="1374"/>
        <v>EXP00448</v>
      </c>
      <c r="B20037" s="3" t="s">
        <v>66</v>
      </c>
      <c r="C20037" s="4" t="str">
        <f t="shared" si="1375"/>
        <v>TCGA-THCA</v>
      </c>
      <c r="D20037" s="1" t="s">
        <v>493</v>
      </c>
      <c r="E20037" t="s">
        <v>591</v>
      </c>
      <c r="F20037" s="1">
        <v>1</v>
      </c>
      <c r="G20037" s="1" t="s">
        <v>36</v>
      </c>
      <c r="H20037" s="4" t="str">
        <f>HYPERLINK("https://portal.gdc.cancer.gov/cases/e2475d48-628b-4095-b101-865d79a4b0ed","TCGA-EL-A3ZL-11A")</f>
        <v>TCGA-EL-A3ZL-11A</v>
      </c>
      <c r="I20037" t="s">
        <v>333</v>
      </c>
      <c r="J20037" t="s">
        <v>584</v>
      </c>
      <c r="K20037" t="s">
        <v>33</v>
      </c>
      <c r="L20037" t="s">
        <v>335</v>
      </c>
      <c r="N20037" t="s">
        <v>37</v>
      </c>
    </row>
    <row r="20038" spans="1:14">
      <c r="A20038" s="4" t="str">
        <f t="shared" si="1374"/>
        <v>EXP00448</v>
      </c>
      <c r="B20038" s="3" t="s">
        <v>66</v>
      </c>
      <c r="C20038" s="4" t="str">
        <f t="shared" si="1375"/>
        <v>TCGA-THCA</v>
      </c>
      <c r="D20038" s="1" t="s">
        <v>493</v>
      </c>
      <c r="E20038" t="s">
        <v>591</v>
      </c>
      <c r="F20038" s="1">
        <v>1</v>
      </c>
      <c r="G20038" s="1" t="s">
        <v>36</v>
      </c>
      <c r="H20038" s="4" t="str">
        <f>HYPERLINK("https://portal.gdc.cancer.gov/cases/04dc8ee3-ec93-4b56-a546-f96746f8122f","TCGA-EL-A3ZM-11A")</f>
        <v>TCGA-EL-A3ZM-11A</v>
      </c>
      <c r="I20038" t="s">
        <v>333</v>
      </c>
      <c r="J20038" t="s">
        <v>584</v>
      </c>
      <c r="K20038" t="s">
        <v>33</v>
      </c>
      <c r="L20038" t="s">
        <v>335</v>
      </c>
      <c r="N20038" t="s">
        <v>37</v>
      </c>
    </row>
    <row r="20039" spans="1:14">
      <c r="A20039" s="4" t="str">
        <f t="shared" si="1374"/>
        <v>EXP00448</v>
      </c>
      <c r="B20039" s="3" t="s">
        <v>66</v>
      </c>
      <c r="C20039" s="4" t="str">
        <f t="shared" si="1375"/>
        <v>TCGA-THCA</v>
      </c>
      <c r="D20039" s="1" t="s">
        <v>493</v>
      </c>
      <c r="E20039" t="s">
        <v>591</v>
      </c>
      <c r="F20039" s="1">
        <v>1</v>
      </c>
      <c r="G20039" s="1" t="s">
        <v>36</v>
      </c>
      <c r="H20039" s="4" t="str">
        <f>HYPERLINK("https://portal.gdc.cancer.gov/cases/3bfa52af-cb40-45d8-9bdc-591985aae7fb","TCGA-EL-A3ZO-11A")</f>
        <v>TCGA-EL-A3ZO-11A</v>
      </c>
      <c r="I20039" t="s">
        <v>333</v>
      </c>
      <c r="J20039" t="s">
        <v>584</v>
      </c>
      <c r="K20039" t="s">
        <v>33</v>
      </c>
      <c r="L20039" t="s">
        <v>335</v>
      </c>
      <c r="N20039" t="s">
        <v>37</v>
      </c>
    </row>
    <row r="20040" spans="1:14">
      <c r="A20040" s="4" t="str">
        <f t="shared" si="1374"/>
        <v>EXP00448</v>
      </c>
      <c r="B20040" s="3" t="s">
        <v>66</v>
      </c>
      <c r="C20040" s="4" t="str">
        <f t="shared" si="1375"/>
        <v>TCGA-THCA</v>
      </c>
      <c r="D20040" s="1" t="s">
        <v>493</v>
      </c>
      <c r="E20040" t="s">
        <v>591</v>
      </c>
      <c r="F20040" s="1">
        <v>1</v>
      </c>
      <c r="G20040" s="1" t="s">
        <v>36</v>
      </c>
      <c r="H20040" s="4" t="str">
        <f>HYPERLINK("https://portal.gdc.cancer.gov/cases/ea859a83-00c3-40b2-97c1-fb24ad027ea6","TCGA-EL-A3ZP-11A")</f>
        <v>TCGA-EL-A3ZP-11A</v>
      </c>
      <c r="I20040" t="s">
        <v>333</v>
      </c>
      <c r="J20040" t="s">
        <v>584</v>
      </c>
      <c r="K20040" t="s">
        <v>33</v>
      </c>
      <c r="L20040" t="s">
        <v>335</v>
      </c>
      <c r="N20040" t="s">
        <v>37</v>
      </c>
    </row>
    <row r="20041" spans="1:14">
      <c r="A20041" s="4" t="str">
        <f t="shared" si="1374"/>
        <v>EXP00448</v>
      </c>
      <c r="B20041" s="3" t="s">
        <v>66</v>
      </c>
      <c r="C20041" s="4" t="str">
        <f t="shared" si="1375"/>
        <v>TCGA-THCA</v>
      </c>
      <c r="D20041" s="1" t="s">
        <v>493</v>
      </c>
      <c r="E20041" t="s">
        <v>591</v>
      </c>
      <c r="F20041" s="1">
        <v>1</v>
      </c>
      <c r="G20041" s="1" t="s">
        <v>36</v>
      </c>
      <c r="H20041" s="4" t="str">
        <f>HYPERLINK("https://portal.gdc.cancer.gov/cases/315cbbe8-62c8-488b-92c5-e2046321efb7","TCGA-EL-A3ZQ-11A")</f>
        <v>TCGA-EL-A3ZQ-11A</v>
      </c>
      <c r="I20041" t="s">
        <v>333</v>
      </c>
      <c r="J20041" t="s">
        <v>584</v>
      </c>
      <c r="K20041" t="s">
        <v>33</v>
      </c>
      <c r="L20041" t="s">
        <v>335</v>
      </c>
      <c r="N20041" t="s">
        <v>37</v>
      </c>
    </row>
    <row r="20042" spans="1:14">
      <c r="A20042" s="4" t="str">
        <f t="shared" si="1374"/>
        <v>EXP00448</v>
      </c>
      <c r="B20042" s="3" t="s">
        <v>66</v>
      </c>
      <c r="C20042" s="4" t="str">
        <f t="shared" si="1375"/>
        <v>TCGA-THCA</v>
      </c>
      <c r="D20042" s="1" t="s">
        <v>493</v>
      </c>
      <c r="E20042" t="s">
        <v>591</v>
      </c>
      <c r="F20042" s="1">
        <v>1</v>
      </c>
      <c r="G20042" s="1" t="s">
        <v>36</v>
      </c>
      <c r="H20042" s="4" t="str">
        <f>HYPERLINK("https://portal.gdc.cancer.gov/cases/96b95a2c-fb4f-4cba-89e7-a7f0e90db146","TCGA-EL-A3ZR-11A")</f>
        <v>TCGA-EL-A3ZR-11A</v>
      </c>
      <c r="I20042" t="s">
        <v>333</v>
      </c>
      <c r="J20042" t="s">
        <v>584</v>
      </c>
      <c r="K20042" t="s">
        <v>33</v>
      </c>
      <c r="L20042" t="s">
        <v>335</v>
      </c>
      <c r="N20042" t="s">
        <v>37</v>
      </c>
    </row>
    <row r="20043" spans="1:14">
      <c r="A20043" s="4" t="str">
        <f t="shared" si="1374"/>
        <v>EXP00448</v>
      </c>
      <c r="B20043" s="3" t="s">
        <v>66</v>
      </c>
      <c r="C20043" s="4" t="str">
        <f t="shared" si="1375"/>
        <v>TCGA-THCA</v>
      </c>
      <c r="D20043" s="1" t="s">
        <v>493</v>
      </c>
      <c r="E20043" t="s">
        <v>591</v>
      </c>
      <c r="F20043" s="1">
        <v>1</v>
      </c>
      <c r="G20043" s="1" t="s">
        <v>36</v>
      </c>
      <c r="H20043" s="4" t="str">
        <f>HYPERLINK("https://portal.gdc.cancer.gov/cases/a253b21e-ba9b-4928-95d1-89b59c868794","TCGA-EL-A3ZS-11A")</f>
        <v>TCGA-EL-A3ZS-11A</v>
      </c>
      <c r="I20043" t="s">
        <v>333</v>
      </c>
      <c r="J20043" t="s">
        <v>584</v>
      </c>
      <c r="K20043" t="s">
        <v>33</v>
      </c>
      <c r="L20043" t="s">
        <v>335</v>
      </c>
      <c r="N20043" t="s">
        <v>37</v>
      </c>
    </row>
    <row r="20044" spans="1:14">
      <c r="A20044" s="4" t="str">
        <f t="shared" si="1374"/>
        <v>EXP00448</v>
      </c>
      <c r="B20044" s="3" t="s">
        <v>66</v>
      </c>
      <c r="C20044" s="4" t="str">
        <f t="shared" si="1375"/>
        <v>TCGA-THCA</v>
      </c>
      <c r="D20044" s="1" t="s">
        <v>493</v>
      </c>
      <c r="E20044" t="s">
        <v>591</v>
      </c>
      <c r="F20044" s="1">
        <v>1</v>
      </c>
      <c r="G20044" s="1" t="s">
        <v>36</v>
      </c>
      <c r="H20044" s="4" t="str">
        <f>HYPERLINK("https://portal.gdc.cancer.gov/cases/64de42bd-d134-4f44-82fa-d6614709bf01","TCGA-EL-A3ZT-11A")</f>
        <v>TCGA-EL-A3ZT-11A</v>
      </c>
      <c r="I20044" t="s">
        <v>333</v>
      </c>
      <c r="J20044" t="s">
        <v>584</v>
      </c>
      <c r="K20044" t="s">
        <v>33</v>
      </c>
      <c r="L20044" t="s">
        <v>335</v>
      </c>
      <c r="N20044" t="s">
        <v>37</v>
      </c>
    </row>
    <row r="20045" spans="1:14">
      <c r="A20045" s="4" t="str">
        <f t="shared" si="1374"/>
        <v>EXP00448</v>
      </c>
      <c r="B20045" s="3" t="s">
        <v>66</v>
      </c>
      <c r="C20045" s="4" t="str">
        <f t="shared" si="1375"/>
        <v>TCGA-THCA</v>
      </c>
      <c r="D20045" s="1" t="s">
        <v>493</v>
      </c>
      <c r="E20045" t="s">
        <v>591</v>
      </c>
      <c r="F20045" s="1">
        <v>1</v>
      </c>
      <c r="G20045" s="1" t="s">
        <v>36</v>
      </c>
      <c r="H20045" s="4" t="str">
        <f>HYPERLINK("https://portal.gdc.cancer.gov/cases/e92bdb0d-969a-4d98-ada8-5dfec68119b5","TCGA-EM-A1CS-11A")</f>
        <v>TCGA-EM-A1CS-11A</v>
      </c>
      <c r="I20045" t="s">
        <v>333</v>
      </c>
      <c r="J20045" t="s">
        <v>584</v>
      </c>
      <c r="K20045" t="s">
        <v>33</v>
      </c>
      <c r="L20045" t="s">
        <v>335</v>
      </c>
      <c r="N20045" t="s">
        <v>37</v>
      </c>
    </row>
    <row r="20046" spans="1:14">
      <c r="A20046" s="4" t="str">
        <f t="shared" si="1374"/>
        <v>EXP00448</v>
      </c>
      <c r="B20046" s="3" t="s">
        <v>66</v>
      </c>
      <c r="C20046" s="4" t="str">
        <f t="shared" si="1375"/>
        <v>TCGA-THCA</v>
      </c>
      <c r="D20046" s="1" t="s">
        <v>493</v>
      </c>
      <c r="E20046" t="s">
        <v>591</v>
      </c>
      <c r="F20046" s="1">
        <v>1</v>
      </c>
      <c r="G20046" s="1" t="s">
        <v>36</v>
      </c>
      <c r="H20046" s="4" t="str">
        <f>HYPERLINK("https://portal.gdc.cancer.gov/cases/290be61a-84ef-4bed-8e37-b432cba6c88e","TCGA-EM-A1CT-11A")</f>
        <v>TCGA-EM-A1CT-11A</v>
      </c>
      <c r="I20046" t="s">
        <v>333</v>
      </c>
      <c r="J20046" t="s">
        <v>584</v>
      </c>
      <c r="K20046" t="s">
        <v>33</v>
      </c>
      <c r="L20046" t="s">
        <v>335</v>
      </c>
      <c r="N20046" t="s">
        <v>37</v>
      </c>
    </row>
    <row r="20047" spans="1:14">
      <c r="A20047" s="4" t="str">
        <f t="shared" si="1374"/>
        <v>EXP00448</v>
      </c>
      <c r="B20047" s="3" t="s">
        <v>66</v>
      </c>
      <c r="C20047" s="4" t="str">
        <f t="shared" si="1375"/>
        <v>TCGA-THCA</v>
      </c>
      <c r="D20047" s="1" t="s">
        <v>493</v>
      </c>
      <c r="E20047" t="s">
        <v>591</v>
      </c>
      <c r="F20047" s="1">
        <v>1</v>
      </c>
      <c r="G20047" s="1" t="s">
        <v>36</v>
      </c>
      <c r="H20047" s="4" t="str">
        <f>HYPERLINK("https://portal.gdc.cancer.gov/cases/4e80f403-0e10-4725-854d-f023c12ee1e2","TCGA-EM-A1CU-11A")</f>
        <v>TCGA-EM-A1CU-11A</v>
      </c>
      <c r="I20047" t="s">
        <v>333</v>
      </c>
      <c r="J20047" t="s">
        <v>584</v>
      </c>
      <c r="K20047" t="s">
        <v>33</v>
      </c>
      <c r="L20047" t="s">
        <v>335</v>
      </c>
      <c r="N20047" t="s">
        <v>37</v>
      </c>
    </row>
    <row r="20048" spans="1:14">
      <c r="A20048" s="4" t="str">
        <f t="shared" si="1374"/>
        <v>EXP00448</v>
      </c>
      <c r="B20048" s="3" t="s">
        <v>66</v>
      </c>
      <c r="C20048" s="4" t="str">
        <f t="shared" si="1375"/>
        <v>TCGA-THCA</v>
      </c>
      <c r="D20048" s="1" t="s">
        <v>493</v>
      </c>
      <c r="E20048" t="s">
        <v>591</v>
      </c>
      <c r="F20048" s="1">
        <v>1</v>
      </c>
      <c r="G20048" s="1" t="s">
        <v>36</v>
      </c>
      <c r="H20048" s="4" t="str">
        <f>HYPERLINK("https://portal.gdc.cancer.gov/cases/762eddb5-1b47-4b79-b20a-1edfb07c0705","TCGA-EM-A1CV-11A")</f>
        <v>TCGA-EM-A1CV-11A</v>
      </c>
      <c r="I20048" t="s">
        <v>333</v>
      </c>
      <c r="J20048" t="s">
        <v>584</v>
      </c>
      <c r="K20048" t="s">
        <v>33</v>
      </c>
      <c r="L20048" t="s">
        <v>335</v>
      </c>
      <c r="N20048" t="s">
        <v>37</v>
      </c>
    </row>
    <row r="20049" spans="1:14">
      <c r="A20049" s="4" t="str">
        <f t="shared" si="1374"/>
        <v>EXP00448</v>
      </c>
      <c r="B20049" s="3" t="s">
        <v>66</v>
      </c>
      <c r="C20049" s="4" t="str">
        <f t="shared" si="1375"/>
        <v>TCGA-THCA</v>
      </c>
      <c r="D20049" s="1" t="s">
        <v>493</v>
      </c>
      <c r="E20049" t="s">
        <v>591</v>
      </c>
      <c r="F20049" s="1">
        <v>1</v>
      </c>
      <c r="G20049" s="1" t="s">
        <v>36</v>
      </c>
      <c r="H20049" s="4" t="str">
        <f>HYPERLINK("https://portal.gdc.cancer.gov/cases/22eb9f00-6869-4d8f-b657-dfd64f81e9e9","TCGA-EM-A1CW-11A")</f>
        <v>TCGA-EM-A1CW-11A</v>
      </c>
      <c r="I20049" t="s">
        <v>333</v>
      </c>
      <c r="J20049" t="s">
        <v>584</v>
      </c>
      <c r="K20049" t="s">
        <v>33</v>
      </c>
      <c r="L20049" t="s">
        <v>335</v>
      </c>
      <c r="N20049" t="s">
        <v>37</v>
      </c>
    </row>
    <row r="20050" spans="1:14">
      <c r="A20050" s="4" t="str">
        <f t="shared" si="1374"/>
        <v>EXP00448</v>
      </c>
      <c r="B20050" s="3" t="s">
        <v>66</v>
      </c>
      <c r="C20050" s="4" t="str">
        <f t="shared" si="1375"/>
        <v>TCGA-THCA</v>
      </c>
      <c r="D20050" s="1" t="s">
        <v>493</v>
      </c>
      <c r="E20050" t="s">
        <v>591</v>
      </c>
      <c r="F20050" s="1">
        <v>1</v>
      </c>
      <c r="G20050" s="1" t="s">
        <v>36</v>
      </c>
      <c r="H20050" s="4" t="str">
        <f>HYPERLINK("https://portal.gdc.cancer.gov/cases/0ad2a2b3-c1bb-4597-b28e-a6385f93d09c","TCGA-EM-A1YC-11A")</f>
        <v>TCGA-EM-A1YC-11A</v>
      </c>
      <c r="I20050" t="s">
        <v>333</v>
      </c>
      <c r="J20050" t="s">
        <v>584</v>
      </c>
      <c r="K20050" t="s">
        <v>33</v>
      </c>
      <c r="L20050" t="s">
        <v>335</v>
      </c>
      <c r="N20050" t="s">
        <v>37</v>
      </c>
    </row>
    <row r="20051" spans="1:14">
      <c r="A20051" s="4" t="str">
        <f t="shared" si="1374"/>
        <v>EXP00448</v>
      </c>
      <c r="B20051" s="3" t="s">
        <v>66</v>
      </c>
      <c r="C20051" s="4" t="str">
        <f t="shared" si="1375"/>
        <v>TCGA-THCA</v>
      </c>
      <c r="D20051" s="1" t="s">
        <v>493</v>
      </c>
      <c r="E20051" t="s">
        <v>591</v>
      </c>
      <c r="F20051" s="1">
        <v>1</v>
      </c>
      <c r="G20051" s="1" t="s">
        <v>36</v>
      </c>
      <c r="H20051" s="4" t="str">
        <f>HYPERLINK("https://portal.gdc.cancer.gov/cases/d5932dd7-b777-427f-8b55-3ec369fd76a3","TCGA-EM-A3ST-11A")</f>
        <v>TCGA-EM-A3ST-11A</v>
      </c>
      <c r="I20051" t="s">
        <v>333</v>
      </c>
      <c r="J20051" t="s">
        <v>584</v>
      </c>
      <c r="K20051" t="s">
        <v>33</v>
      </c>
      <c r="L20051" t="s">
        <v>335</v>
      </c>
      <c r="N20051" t="s">
        <v>37</v>
      </c>
    </row>
    <row r="20052" spans="1:14">
      <c r="A20052" s="4" t="str">
        <f t="shared" si="1374"/>
        <v>EXP00448</v>
      </c>
      <c r="B20052" s="3" t="s">
        <v>66</v>
      </c>
      <c r="C20052" s="4" t="str">
        <f t="shared" si="1375"/>
        <v>TCGA-THCA</v>
      </c>
      <c r="D20052" s="1" t="s">
        <v>493</v>
      </c>
      <c r="E20052" t="s">
        <v>591</v>
      </c>
      <c r="F20052" s="1">
        <v>1</v>
      </c>
      <c r="G20052" s="1" t="s">
        <v>36</v>
      </c>
      <c r="H20052" s="4" t="str">
        <f>HYPERLINK("https://portal.gdc.cancer.gov/cases/59681e8f-cf57-47b4-82e1-6be8ead9583e","TCGA-ET-A2MX-11C")</f>
        <v>TCGA-ET-A2MX-11C</v>
      </c>
      <c r="I20052" t="s">
        <v>333</v>
      </c>
      <c r="J20052" t="s">
        <v>584</v>
      </c>
      <c r="K20052" t="s">
        <v>33</v>
      </c>
      <c r="L20052" t="s">
        <v>335</v>
      </c>
      <c r="N20052" t="s">
        <v>37</v>
      </c>
    </row>
    <row r="20053" spans="1:14">
      <c r="A20053" s="4" t="str">
        <f t="shared" si="1374"/>
        <v>EXP00448</v>
      </c>
      <c r="B20053" s="3" t="s">
        <v>66</v>
      </c>
      <c r="C20053" s="4" t="str">
        <f t="shared" si="1375"/>
        <v>TCGA-THCA</v>
      </c>
      <c r="D20053" s="1" t="s">
        <v>493</v>
      </c>
      <c r="E20053" t="s">
        <v>591</v>
      </c>
      <c r="F20053" s="1">
        <v>1</v>
      </c>
      <c r="G20053" s="1" t="s">
        <v>36</v>
      </c>
      <c r="H20053" s="4" t="str">
        <f>HYPERLINK("https://portal.gdc.cancer.gov/cases/7d818f01-49a6-4ba8-9f1c-c77398adbdd0","TCGA-ET-A2N5-11B")</f>
        <v>TCGA-ET-A2N5-11B</v>
      </c>
      <c r="I20053" t="s">
        <v>333</v>
      </c>
      <c r="J20053" t="s">
        <v>584</v>
      </c>
      <c r="K20053" t="s">
        <v>33</v>
      </c>
      <c r="L20053" t="s">
        <v>335</v>
      </c>
      <c r="N20053" t="s">
        <v>37</v>
      </c>
    </row>
    <row r="20054" spans="1:14">
      <c r="A20054" s="4" t="str">
        <f t="shared" si="1374"/>
        <v>EXP00448</v>
      </c>
      <c r="B20054" s="3" t="s">
        <v>66</v>
      </c>
      <c r="C20054" s="4" t="str">
        <f t="shared" si="1375"/>
        <v>TCGA-THCA</v>
      </c>
      <c r="D20054" s="1" t="s">
        <v>493</v>
      </c>
      <c r="E20054" t="s">
        <v>591</v>
      </c>
      <c r="F20054" s="1">
        <v>1</v>
      </c>
      <c r="G20054" s="1" t="s">
        <v>36</v>
      </c>
      <c r="H20054" s="4" t="str">
        <f>HYPERLINK("https://portal.gdc.cancer.gov/cases/18a58e3e-f18e-45cf-86bc-1851abb9b3de","TCGA-ET-A3DP-11A")</f>
        <v>TCGA-ET-A3DP-11A</v>
      </c>
      <c r="I20054" t="s">
        <v>333</v>
      </c>
      <c r="J20054" t="s">
        <v>584</v>
      </c>
      <c r="K20054" t="s">
        <v>33</v>
      </c>
      <c r="L20054" t="s">
        <v>335</v>
      </c>
      <c r="N20054" t="s">
        <v>37</v>
      </c>
    </row>
    <row r="20055" spans="1:14">
      <c r="A20055" s="4" t="str">
        <f t="shared" si="1374"/>
        <v>EXP00448</v>
      </c>
      <c r="B20055" s="3" t="s">
        <v>66</v>
      </c>
      <c r="C20055" s="4" t="str">
        <f t="shared" si="1375"/>
        <v>TCGA-THCA</v>
      </c>
      <c r="D20055" s="1" t="s">
        <v>493</v>
      </c>
      <c r="E20055" t="s">
        <v>591</v>
      </c>
      <c r="F20055" s="1">
        <v>1</v>
      </c>
      <c r="G20055" s="1" t="s">
        <v>36</v>
      </c>
      <c r="H20055" s="4" t="str">
        <f>HYPERLINK("https://portal.gdc.cancer.gov/cases/424de829-9efd-4689-ac5d-24485a5d5ecf","TCGA-ET-A3DW-11A")</f>
        <v>TCGA-ET-A3DW-11A</v>
      </c>
      <c r="I20055" t="s">
        <v>333</v>
      </c>
      <c r="J20055" t="s">
        <v>584</v>
      </c>
      <c r="K20055" t="s">
        <v>33</v>
      </c>
      <c r="L20055" t="s">
        <v>335</v>
      </c>
      <c r="N20055" t="s">
        <v>37</v>
      </c>
    </row>
    <row r="20056" spans="1:14">
      <c r="A20056" s="4" t="str">
        <f t="shared" si="1374"/>
        <v>EXP00448</v>
      </c>
      <c r="B20056" s="3" t="s">
        <v>66</v>
      </c>
      <c r="C20056" s="4" t="str">
        <f t="shared" si="1375"/>
        <v>TCGA-THCA</v>
      </c>
      <c r="D20056" s="1" t="s">
        <v>493</v>
      </c>
      <c r="E20056" t="s">
        <v>591</v>
      </c>
      <c r="F20056" s="1">
        <v>1</v>
      </c>
      <c r="G20056" s="1" t="s">
        <v>36</v>
      </c>
      <c r="H20056" s="4" t="str">
        <f>HYPERLINK("https://portal.gdc.cancer.gov/cases/53ba15c0-780e-4153-a612-046f1b24b4b3","TCGA-FY-A3TY-11A")</f>
        <v>TCGA-FY-A3TY-11A</v>
      </c>
      <c r="I20056" t="s">
        <v>333</v>
      </c>
      <c r="J20056" t="s">
        <v>584</v>
      </c>
      <c r="K20056" t="s">
        <v>33</v>
      </c>
      <c r="L20056" t="s">
        <v>335</v>
      </c>
      <c r="N20056" t="s">
        <v>37</v>
      </c>
    </row>
    <row r="20057" spans="1:14">
      <c r="A20057" s="4" t="str">
        <f t="shared" si="1374"/>
        <v>EXP00448</v>
      </c>
      <c r="B20057" s="3" t="s">
        <v>66</v>
      </c>
      <c r="C20057" s="4" t="str">
        <f t="shared" si="1375"/>
        <v>TCGA-THCA</v>
      </c>
      <c r="D20057" s="1" t="s">
        <v>493</v>
      </c>
      <c r="E20057" t="s">
        <v>591</v>
      </c>
      <c r="F20057" s="1">
        <v>1</v>
      </c>
      <c r="G20057" s="1" t="s">
        <v>36</v>
      </c>
      <c r="H20057" s="4" t="str">
        <f>HYPERLINK("https://portal.gdc.cancer.gov/cases/7deedeba-f05b-453c-9df1-eeb20b0ec72e","TCGA-GE-A2C6-11A")</f>
        <v>TCGA-GE-A2C6-11A</v>
      </c>
      <c r="I20057" t="s">
        <v>333</v>
      </c>
      <c r="J20057" t="s">
        <v>584</v>
      </c>
      <c r="K20057" t="s">
        <v>33</v>
      </c>
      <c r="L20057" t="s">
        <v>335</v>
      </c>
      <c r="N20057" t="s">
        <v>37</v>
      </c>
    </row>
    <row r="20058" spans="1:14">
      <c r="A20058" s="4" t="str">
        <f t="shared" si="1374"/>
        <v>EXP00448</v>
      </c>
      <c r="B20058" s="3" t="s">
        <v>66</v>
      </c>
      <c r="C20058" s="4" t="str">
        <f t="shared" si="1375"/>
        <v>TCGA-THCA</v>
      </c>
      <c r="D20058" s="1" t="s">
        <v>493</v>
      </c>
      <c r="E20058" t="s">
        <v>591</v>
      </c>
      <c r="F20058" s="1">
        <v>1</v>
      </c>
      <c r="G20058" s="1" t="s">
        <v>36</v>
      </c>
      <c r="H20058" s="4" t="str">
        <f>HYPERLINK("https://portal.gdc.cancer.gov/cases/25d8a79e-15fd-4c8a-a7f6-05d78973b757","TCGA-H2-A2K9-11A")</f>
        <v>TCGA-H2-A2K9-11A</v>
      </c>
      <c r="I20058" t="s">
        <v>333</v>
      </c>
      <c r="J20058" t="s">
        <v>584</v>
      </c>
      <c r="K20058" t="s">
        <v>33</v>
      </c>
      <c r="L20058" t="s">
        <v>335</v>
      </c>
      <c r="N20058" t="s">
        <v>37</v>
      </c>
    </row>
    <row r="20059" spans="1:14">
      <c r="A20059" s="4" t="str">
        <f t="shared" si="1374"/>
        <v>EXP00448</v>
      </c>
      <c r="B20059" s="3" t="s">
        <v>66</v>
      </c>
      <c r="C20059" s="4" t="str">
        <f t="shared" si="1375"/>
        <v>TCGA-THCA</v>
      </c>
      <c r="D20059" s="1" t="s">
        <v>493</v>
      </c>
      <c r="E20059" t="s">
        <v>591</v>
      </c>
      <c r="F20059" s="1">
        <v>1</v>
      </c>
      <c r="G20059" s="1" t="s">
        <v>36</v>
      </c>
      <c r="H20059" s="4" t="str">
        <f>HYPERLINK("https://portal.gdc.cancer.gov/cases/754866ea-d5ca-451a-98e4-6e0c430d3652","TCGA-KS-A41I-11A")</f>
        <v>TCGA-KS-A41I-11A</v>
      </c>
      <c r="I20059" t="s">
        <v>333</v>
      </c>
      <c r="J20059" t="s">
        <v>584</v>
      </c>
      <c r="K20059" t="s">
        <v>33</v>
      </c>
      <c r="L20059" t="s">
        <v>335</v>
      </c>
      <c r="N20059" t="s">
        <v>37</v>
      </c>
    </row>
    <row r="20060" spans="1:14">
      <c r="A20060" s="4" t="str">
        <f t="shared" si="1374"/>
        <v>EXP00448</v>
      </c>
      <c r="B20060" s="3" t="s">
        <v>66</v>
      </c>
      <c r="C20060" s="4" t="str">
        <f t="shared" si="1375"/>
        <v>TCGA-THCA</v>
      </c>
      <c r="D20060" s="1" t="s">
        <v>493</v>
      </c>
      <c r="E20060" t="s">
        <v>591</v>
      </c>
      <c r="F20060" s="1">
        <v>1</v>
      </c>
      <c r="G20060" s="1" t="s">
        <v>36</v>
      </c>
      <c r="H20060" s="4" t="str">
        <f>HYPERLINK("https://portal.gdc.cancer.gov/cases/23ad7900-4e99-4abf-82ff-71edeaa8a51c","TCGA-KS-A41J-11A")</f>
        <v>TCGA-KS-A41J-11A</v>
      </c>
      <c r="I20060" t="s">
        <v>333</v>
      </c>
      <c r="J20060" t="s">
        <v>584</v>
      </c>
      <c r="K20060" t="s">
        <v>33</v>
      </c>
      <c r="L20060" t="s">
        <v>335</v>
      </c>
      <c r="N20060" t="s">
        <v>37</v>
      </c>
    </row>
    <row r="20061" spans="1:14">
      <c r="A20061" s="4" t="str">
        <f t="shared" si="1374"/>
        <v>EXP00448</v>
      </c>
      <c r="B20061" s="3" t="s">
        <v>66</v>
      </c>
      <c r="C20061" s="4" t="str">
        <f t="shared" si="1375"/>
        <v>TCGA-THCA</v>
      </c>
      <c r="D20061" s="1" t="s">
        <v>493</v>
      </c>
      <c r="E20061" t="s">
        <v>591</v>
      </c>
      <c r="F20061" s="1">
        <v>1</v>
      </c>
      <c r="G20061" s="1" t="s">
        <v>36</v>
      </c>
      <c r="H20061" s="4" t="str">
        <f>HYPERLINK("https://portal.gdc.cancer.gov/cases/4bd61e82-5168-4222-a8c8-5124ab8fdd44","TCGA-KS-A41L-11A")</f>
        <v>TCGA-KS-A41L-11A</v>
      </c>
      <c r="I20061" t="s">
        <v>333</v>
      </c>
      <c r="J20061" t="s">
        <v>584</v>
      </c>
      <c r="K20061" t="s">
        <v>33</v>
      </c>
      <c r="L20061" t="s">
        <v>335</v>
      </c>
      <c r="N20061" t="s">
        <v>37</v>
      </c>
    </row>
    <row r="20062" spans="1:14">
      <c r="A20062" s="4" t="str">
        <f t="shared" si="1374"/>
        <v>EXP00448</v>
      </c>
      <c r="B20062" s="3" t="s">
        <v>66</v>
      </c>
      <c r="C20062" s="4" t="str">
        <f t="shared" si="1375"/>
        <v>TCGA-THCA</v>
      </c>
      <c r="D20062" s="1" t="s">
        <v>493</v>
      </c>
      <c r="E20062" t="s">
        <v>591</v>
      </c>
      <c r="F20062" s="1">
        <v>2</v>
      </c>
      <c r="G20062" s="1" t="s">
        <v>28</v>
      </c>
      <c r="H20062" s="4" t="str">
        <f>HYPERLINK("https://portal.gdc.cancer.gov/cases/e1c8af06-9ea4-4062-9264-aa916e0025d1","TCGA-4C-A93U-01A")</f>
        <v>TCGA-4C-A93U-01A</v>
      </c>
      <c r="I20062" t="s">
        <v>333</v>
      </c>
      <c r="J20062" t="s">
        <v>584</v>
      </c>
      <c r="K20062" t="s">
        <v>33</v>
      </c>
      <c r="L20062" t="s">
        <v>335</v>
      </c>
      <c r="N20062" t="s">
        <v>29</v>
      </c>
    </row>
    <row r="20063" spans="1:14">
      <c r="A20063" s="4" t="str">
        <f t="shared" si="1374"/>
        <v>EXP00448</v>
      </c>
      <c r="B20063" s="3" t="s">
        <v>66</v>
      </c>
      <c r="C20063" s="4" t="str">
        <f t="shared" si="1375"/>
        <v>TCGA-THCA</v>
      </c>
      <c r="D20063" s="1" t="s">
        <v>493</v>
      </c>
      <c r="E20063" t="s">
        <v>591</v>
      </c>
      <c r="F20063" s="1">
        <v>2</v>
      </c>
      <c r="G20063" s="1" t="s">
        <v>28</v>
      </c>
      <c r="H20063" s="4" t="str">
        <f>HYPERLINK("https://portal.gdc.cancer.gov/cases/f3ee888e-5116-4313-a2f6-3b1dcc3e4bc1","TCGA-BJ-A0YZ-01A")</f>
        <v>TCGA-BJ-A0YZ-01A</v>
      </c>
      <c r="I20063" t="s">
        <v>333</v>
      </c>
      <c r="J20063" t="s">
        <v>584</v>
      </c>
      <c r="K20063" t="s">
        <v>33</v>
      </c>
      <c r="L20063" t="s">
        <v>335</v>
      </c>
      <c r="N20063" t="s">
        <v>29</v>
      </c>
    </row>
    <row r="20064" spans="1:14">
      <c r="A20064" s="4" t="str">
        <f t="shared" si="1374"/>
        <v>EXP00448</v>
      </c>
      <c r="B20064" s="3" t="s">
        <v>66</v>
      </c>
      <c r="C20064" s="4" t="str">
        <f t="shared" si="1375"/>
        <v>TCGA-THCA</v>
      </c>
      <c r="D20064" s="1" t="s">
        <v>493</v>
      </c>
      <c r="E20064" t="s">
        <v>591</v>
      </c>
      <c r="F20064" s="1">
        <v>2</v>
      </c>
      <c r="G20064" s="1" t="s">
        <v>28</v>
      </c>
      <c r="H20064" s="4" t="str">
        <f>HYPERLINK("https://portal.gdc.cancer.gov/cases/72d8dcc3-0709-4fd1-98d4-fb75e9340758","TCGA-BJ-A0Z0-01A")</f>
        <v>TCGA-BJ-A0Z0-01A</v>
      </c>
      <c r="I20064" t="s">
        <v>333</v>
      </c>
      <c r="J20064" t="s">
        <v>584</v>
      </c>
      <c r="K20064" t="s">
        <v>33</v>
      </c>
      <c r="L20064" t="s">
        <v>335</v>
      </c>
      <c r="N20064" t="s">
        <v>29</v>
      </c>
    </row>
    <row r="20065" spans="1:14">
      <c r="A20065" s="4" t="str">
        <f t="shared" si="1374"/>
        <v>EXP00448</v>
      </c>
      <c r="B20065" s="3" t="s">
        <v>66</v>
      </c>
      <c r="C20065" s="4" t="str">
        <f t="shared" si="1375"/>
        <v>TCGA-THCA</v>
      </c>
      <c r="D20065" s="1" t="s">
        <v>493</v>
      </c>
      <c r="E20065" t="s">
        <v>591</v>
      </c>
      <c r="F20065" s="1">
        <v>2</v>
      </c>
      <c r="G20065" s="1" t="s">
        <v>28</v>
      </c>
      <c r="H20065" s="4" t="str">
        <f>HYPERLINK("https://portal.gdc.cancer.gov/cases/f9ceffc0-d544-418d-b4a9-bd3c84e37026","TCGA-BJ-A0Z2-01A")</f>
        <v>TCGA-BJ-A0Z2-01A</v>
      </c>
      <c r="I20065" t="s">
        <v>333</v>
      </c>
      <c r="J20065" t="s">
        <v>584</v>
      </c>
      <c r="K20065" t="s">
        <v>33</v>
      </c>
      <c r="L20065" t="s">
        <v>335</v>
      </c>
      <c r="N20065" t="s">
        <v>29</v>
      </c>
    </row>
    <row r="20066" spans="1:14">
      <c r="A20066" s="4" t="str">
        <f t="shared" si="1374"/>
        <v>EXP00448</v>
      </c>
      <c r="B20066" s="3" t="s">
        <v>66</v>
      </c>
      <c r="C20066" s="4" t="str">
        <f t="shared" si="1375"/>
        <v>TCGA-THCA</v>
      </c>
      <c r="D20066" s="1" t="s">
        <v>493</v>
      </c>
      <c r="E20066" t="s">
        <v>591</v>
      </c>
      <c r="F20066" s="1">
        <v>2</v>
      </c>
      <c r="G20066" s="1" t="s">
        <v>28</v>
      </c>
      <c r="H20066" s="4" t="str">
        <f>HYPERLINK("https://portal.gdc.cancer.gov/cases/331cae6e-2868-4c58-9302-709a9ff7d025","TCGA-BJ-A0Z3-01A")</f>
        <v>TCGA-BJ-A0Z3-01A</v>
      </c>
      <c r="I20066" t="s">
        <v>333</v>
      </c>
      <c r="J20066" t="s">
        <v>584</v>
      </c>
      <c r="K20066" t="s">
        <v>33</v>
      </c>
      <c r="L20066" t="s">
        <v>335</v>
      </c>
      <c r="N20066" t="s">
        <v>29</v>
      </c>
    </row>
    <row r="20067" spans="1:14">
      <c r="A20067" s="4" t="str">
        <f t="shared" si="1374"/>
        <v>EXP00448</v>
      </c>
      <c r="B20067" s="3" t="s">
        <v>66</v>
      </c>
      <c r="C20067" s="4" t="str">
        <f t="shared" si="1375"/>
        <v>TCGA-THCA</v>
      </c>
      <c r="D20067" s="1" t="s">
        <v>493</v>
      </c>
      <c r="E20067" t="s">
        <v>591</v>
      </c>
      <c r="F20067" s="1">
        <v>2</v>
      </c>
      <c r="G20067" s="1" t="s">
        <v>28</v>
      </c>
      <c r="H20067" s="4" t="str">
        <f>HYPERLINK("https://portal.gdc.cancer.gov/cases/0fe3b19a-f5e4-497e-92da-32ff6c77b066","TCGA-BJ-A0Z5-01A")</f>
        <v>TCGA-BJ-A0Z5-01A</v>
      </c>
      <c r="I20067" t="s">
        <v>333</v>
      </c>
      <c r="J20067" t="s">
        <v>584</v>
      </c>
      <c r="K20067" t="s">
        <v>33</v>
      </c>
      <c r="L20067" t="s">
        <v>335</v>
      </c>
      <c r="N20067" t="s">
        <v>29</v>
      </c>
    </row>
    <row r="20068" spans="1:14">
      <c r="A20068" s="4" t="str">
        <f t="shared" si="1374"/>
        <v>EXP00448</v>
      </c>
      <c r="B20068" s="3" t="s">
        <v>66</v>
      </c>
      <c r="C20068" s="4" t="str">
        <f t="shared" si="1375"/>
        <v>TCGA-THCA</v>
      </c>
      <c r="D20068" s="1" t="s">
        <v>493</v>
      </c>
      <c r="E20068" t="s">
        <v>591</v>
      </c>
      <c r="F20068" s="1">
        <v>2</v>
      </c>
      <c r="G20068" s="1" t="s">
        <v>28</v>
      </c>
      <c r="H20068" s="4" t="str">
        <f>HYPERLINK("https://portal.gdc.cancer.gov/cases/86f9eca0-d1ea-4375-a6bc-055e44b3198a","TCGA-BJ-A0Z9-01A")</f>
        <v>TCGA-BJ-A0Z9-01A</v>
      </c>
      <c r="I20068" t="s">
        <v>333</v>
      </c>
      <c r="J20068" t="s">
        <v>584</v>
      </c>
      <c r="K20068" t="s">
        <v>33</v>
      </c>
      <c r="L20068" t="s">
        <v>335</v>
      </c>
      <c r="N20068" t="s">
        <v>29</v>
      </c>
    </row>
    <row r="20069" spans="1:14">
      <c r="A20069" s="4" t="str">
        <f t="shared" si="1374"/>
        <v>EXP00448</v>
      </c>
      <c r="B20069" s="3" t="s">
        <v>66</v>
      </c>
      <c r="C20069" s="4" t="str">
        <f t="shared" si="1375"/>
        <v>TCGA-THCA</v>
      </c>
      <c r="D20069" s="1" t="s">
        <v>493</v>
      </c>
      <c r="E20069" t="s">
        <v>591</v>
      </c>
      <c r="F20069" s="1">
        <v>2</v>
      </c>
      <c r="G20069" s="1" t="s">
        <v>28</v>
      </c>
      <c r="H20069" s="4" t="str">
        <f>HYPERLINK("https://portal.gdc.cancer.gov/cases/4c513413-263e-4c7b-b997-7b688c47b698","TCGA-BJ-A0ZA-01A")</f>
        <v>TCGA-BJ-A0ZA-01A</v>
      </c>
      <c r="I20069" t="s">
        <v>333</v>
      </c>
      <c r="J20069" t="s">
        <v>584</v>
      </c>
      <c r="K20069" t="s">
        <v>33</v>
      </c>
      <c r="L20069" t="s">
        <v>335</v>
      </c>
      <c r="N20069" t="s">
        <v>29</v>
      </c>
    </row>
    <row r="20070" spans="1:14">
      <c r="A20070" s="4" t="str">
        <f t="shared" ref="A20070:A20133" si="1376">HYPERLINK("http://hcmdb.i-sanger.com/experiment/details/experiment_id/EXP00448","EXP00448")</f>
        <v>EXP00448</v>
      </c>
      <c r="B20070" s="3" t="s">
        <v>66</v>
      </c>
      <c r="C20070" s="4" t="str">
        <f t="shared" si="1375"/>
        <v>TCGA-THCA</v>
      </c>
      <c r="D20070" s="1" t="s">
        <v>493</v>
      </c>
      <c r="E20070" t="s">
        <v>591</v>
      </c>
      <c r="F20070" s="1">
        <v>2</v>
      </c>
      <c r="G20070" s="1" t="s">
        <v>28</v>
      </c>
      <c r="H20070" s="4" t="str">
        <f>HYPERLINK("https://portal.gdc.cancer.gov/cases/dc4d8468-6f34-40cb-a826-8d582cd86fde","TCGA-BJ-A0ZB-01A")</f>
        <v>TCGA-BJ-A0ZB-01A</v>
      </c>
      <c r="I20070" t="s">
        <v>333</v>
      </c>
      <c r="J20070" t="s">
        <v>584</v>
      </c>
      <c r="K20070" t="s">
        <v>33</v>
      </c>
      <c r="L20070" t="s">
        <v>335</v>
      </c>
      <c r="N20070" t="s">
        <v>29</v>
      </c>
    </row>
    <row r="20071" spans="1:14">
      <c r="A20071" s="4" t="str">
        <f t="shared" si="1376"/>
        <v>EXP00448</v>
      </c>
      <c r="B20071" s="3" t="s">
        <v>66</v>
      </c>
      <c r="C20071" s="4" t="str">
        <f t="shared" si="1375"/>
        <v>TCGA-THCA</v>
      </c>
      <c r="D20071" s="1" t="s">
        <v>493</v>
      </c>
      <c r="E20071" t="s">
        <v>591</v>
      </c>
      <c r="F20071" s="1">
        <v>2</v>
      </c>
      <c r="G20071" s="1" t="s">
        <v>28</v>
      </c>
      <c r="H20071" s="4" t="str">
        <f>HYPERLINK("https://portal.gdc.cancer.gov/cases/6675c581-297d-44cd-b80f-ae7e53d48228","TCGA-BJ-A0ZC-01A")</f>
        <v>TCGA-BJ-A0ZC-01A</v>
      </c>
      <c r="I20071" t="s">
        <v>333</v>
      </c>
      <c r="J20071" t="s">
        <v>584</v>
      </c>
      <c r="K20071" t="s">
        <v>33</v>
      </c>
      <c r="L20071" t="s">
        <v>335</v>
      </c>
      <c r="N20071" t="s">
        <v>29</v>
      </c>
    </row>
    <row r="20072" spans="1:14">
      <c r="A20072" s="4" t="str">
        <f t="shared" si="1376"/>
        <v>EXP00448</v>
      </c>
      <c r="B20072" s="3" t="s">
        <v>66</v>
      </c>
      <c r="C20072" s="4" t="str">
        <f t="shared" si="1375"/>
        <v>TCGA-THCA</v>
      </c>
      <c r="D20072" s="1" t="s">
        <v>493</v>
      </c>
      <c r="E20072" t="s">
        <v>591</v>
      </c>
      <c r="F20072" s="1">
        <v>2</v>
      </c>
      <c r="G20072" s="1" t="s">
        <v>28</v>
      </c>
      <c r="H20072" s="4" t="str">
        <f>HYPERLINK("https://portal.gdc.cancer.gov/cases/ab8c9101-adeb-4c43-a8bb-b089ebd711f6","TCGA-BJ-A0ZE-01A")</f>
        <v>TCGA-BJ-A0ZE-01A</v>
      </c>
      <c r="I20072" t="s">
        <v>333</v>
      </c>
      <c r="J20072" t="s">
        <v>584</v>
      </c>
      <c r="K20072" t="s">
        <v>33</v>
      </c>
      <c r="L20072" t="s">
        <v>335</v>
      </c>
      <c r="N20072" t="s">
        <v>29</v>
      </c>
    </row>
    <row r="20073" spans="1:14">
      <c r="A20073" s="4" t="str">
        <f t="shared" si="1376"/>
        <v>EXP00448</v>
      </c>
      <c r="B20073" s="3" t="s">
        <v>66</v>
      </c>
      <c r="C20073" s="4" t="str">
        <f t="shared" si="1375"/>
        <v>TCGA-THCA</v>
      </c>
      <c r="D20073" s="1" t="s">
        <v>493</v>
      </c>
      <c r="E20073" t="s">
        <v>591</v>
      </c>
      <c r="F20073" s="1">
        <v>2</v>
      </c>
      <c r="G20073" s="1" t="s">
        <v>28</v>
      </c>
      <c r="H20073" s="4" t="str">
        <f>HYPERLINK("https://portal.gdc.cancer.gov/cases/8beee000-ecab-4a49-9c9d-bb8e677ae199","TCGA-BJ-A0ZF-01A")</f>
        <v>TCGA-BJ-A0ZF-01A</v>
      </c>
      <c r="I20073" t="s">
        <v>333</v>
      </c>
      <c r="J20073" t="s">
        <v>584</v>
      </c>
      <c r="K20073" t="s">
        <v>33</v>
      </c>
      <c r="L20073" t="s">
        <v>335</v>
      </c>
      <c r="N20073" t="s">
        <v>29</v>
      </c>
    </row>
    <row r="20074" spans="1:14">
      <c r="A20074" s="4" t="str">
        <f t="shared" si="1376"/>
        <v>EXP00448</v>
      </c>
      <c r="B20074" s="3" t="s">
        <v>66</v>
      </c>
      <c r="C20074" s="4" t="str">
        <f t="shared" si="1375"/>
        <v>TCGA-THCA</v>
      </c>
      <c r="D20074" s="1" t="s">
        <v>493</v>
      </c>
      <c r="E20074" t="s">
        <v>591</v>
      </c>
      <c r="F20074" s="1">
        <v>2</v>
      </c>
      <c r="G20074" s="1" t="s">
        <v>28</v>
      </c>
      <c r="H20074" s="4" t="str">
        <f>HYPERLINK("https://portal.gdc.cancer.gov/cases/a3810f36-d2b4-4a45-ad08-a4dbfb9d27aa","TCGA-BJ-A0ZG-01A")</f>
        <v>TCGA-BJ-A0ZG-01A</v>
      </c>
      <c r="I20074" t="s">
        <v>333</v>
      </c>
      <c r="J20074" t="s">
        <v>584</v>
      </c>
      <c r="K20074" t="s">
        <v>33</v>
      </c>
      <c r="L20074" t="s">
        <v>335</v>
      </c>
      <c r="N20074" t="s">
        <v>29</v>
      </c>
    </row>
    <row r="20075" spans="1:14">
      <c r="A20075" s="4" t="str">
        <f t="shared" si="1376"/>
        <v>EXP00448</v>
      </c>
      <c r="B20075" s="3" t="s">
        <v>66</v>
      </c>
      <c r="C20075" s="4" t="str">
        <f t="shared" si="1375"/>
        <v>TCGA-THCA</v>
      </c>
      <c r="D20075" s="1" t="s">
        <v>493</v>
      </c>
      <c r="E20075" t="s">
        <v>591</v>
      </c>
      <c r="F20075" s="1">
        <v>2</v>
      </c>
      <c r="G20075" s="1" t="s">
        <v>28</v>
      </c>
      <c r="H20075" s="4" t="str">
        <f>HYPERLINK("https://portal.gdc.cancer.gov/cases/866ca8ad-adc9-45d4-ad92-9f8f1a161ddf","TCGA-BJ-A0ZH-01A")</f>
        <v>TCGA-BJ-A0ZH-01A</v>
      </c>
      <c r="I20075" t="s">
        <v>333</v>
      </c>
      <c r="J20075" t="s">
        <v>584</v>
      </c>
      <c r="K20075" t="s">
        <v>33</v>
      </c>
      <c r="L20075" t="s">
        <v>335</v>
      </c>
      <c r="N20075" t="s">
        <v>29</v>
      </c>
    </row>
    <row r="20076" spans="1:14">
      <c r="A20076" s="4" t="str">
        <f t="shared" si="1376"/>
        <v>EXP00448</v>
      </c>
      <c r="B20076" s="3" t="s">
        <v>66</v>
      </c>
      <c r="C20076" s="4" t="str">
        <f t="shared" si="1375"/>
        <v>TCGA-THCA</v>
      </c>
      <c r="D20076" s="1" t="s">
        <v>493</v>
      </c>
      <c r="E20076" t="s">
        <v>591</v>
      </c>
      <c r="F20076" s="1">
        <v>2</v>
      </c>
      <c r="G20076" s="1" t="s">
        <v>28</v>
      </c>
      <c r="H20076" s="4" t="str">
        <f>HYPERLINK("https://portal.gdc.cancer.gov/cases/8877b479-b62a-4794-b71e-418de96dff23","TCGA-BJ-A0ZJ-01A")</f>
        <v>TCGA-BJ-A0ZJ-01A</v>
      </c>
      <c r="I20076" t="s">
        <v>333</v>
      </c>
      <c r="J20076" t="s">
        <v>584</v>
      </c>
      <c r="K20076" t="s">
        <v>33</v>
      </c>
      <c r="L20076" t="s">
        <v>335</v>
      </c>
      <c r="N20076" t="s">
        <v>29</v>
      </c>
    </row>
    <row r="20077" spans="1:14">
      <c r="A20077" s="4" t="str">
        <f t="shared" si="1376"/>
        <v>EXP00448</v>
      </c>
      <c r="B20077" s="3" t="s">
        <v>66</v>
      </c>
      <c r="C20077" s="4" t="str">
        <f t="shared" si="1375"/>
        <v>TCGA-THCA</v>
      </c>
      <c r="D20077" s="1" t="s">
        <v>493</v>
      </c>
      <c r="E20077" t="s">
        <v>591</v>
      </c>
      <c r="F20077" s="1">
        <v>2</v>
      </c>
      <c r="G20077" s="1" t="s">
        <v>28</v>
      </c>
      <c r="H20077" s="4" t="str">
        <f>HYPERLINK("https://portal.gdc.cancer.gov/cases/acb3b9db-16e9-40f5-87a9-9df9d4ceee54","TCGA-BJ-A18Y-01A")</f>
        <v>TCGA-BJ-A18Y-01A</v>
      </c>
      <c r="I20077" t="s">
        <v>333</v>
      </c>
      <c r="J20077" t="s">
        <v>584</v>
      </c>
      <c r="K20077" t="s">
        <v>33</v>
      </c>
      <c r="L20077" t="s">
        <v>335</v>
      </c>
      <c r="N20077" t="s">
        <v>29</v>
      </c>
    </row>
    <row r="20078" spans="1:14">
      <c r="A20078" s="4" t="str">
        <f t="shared" si="1376"/>
        <v>EXP00448</v>
      </c>
      <c r="B20078" s="3" t="s">
        <v>66</v>
      </c>
      <c r="C20078" s="4" t="str">
        <f t="shared" si="1375"/>
        <v>TCGA-THCA</v>
      </c>
      <c r="D20078" s="1" t="s">
        <v>493</v>
      </c>
      <c r="E20078" t="s">
        <v>591</v>
      </c>
      <c r="F20078" s="1">
        <v>2</v>
      </c>
      <c r="G20078" s="1" t="s">
        <v>28</v>
      </c>
      <c r="H20078" s="4" t="str">
        <f>HYPERLINK("https://portal.gdc.cancer.gov/cases/0d497faf-2c1c-4173-a5fe-770cca73323c","TCGA-BJ-A18Z-01A")</f>
        <v>TCGA-BJ-A18Z-01A</v>
      </c>
      <c r="I20078" t="s">
        <v>333</v>
      </c>
      <c r="J20078" t="s">
        <v>584</v>
      </c>
      <c r="K20078" t="s">
        <v>33</v>
      </c>
      <c r="L20078" t="s">
        <v>335</v>
      </c>
      <c r="N20078" t="s">
        <v>29</v>
      </c>
    </row>
    <row r="20079" spans="1:14">
      <c r="A20079" s="4" t="str">
        <f t="shared" si="1376"/>
        <v>EXP00448</v>
      </c>
      <c r="B20079" s="3" t="s">
        <v>66</v>
      </c>
      <c r="C20079" s="4" t="str">
        <f t="shared" si="1375"/>
        <v>TCGA-THCA</v>
      </c>
      <c r="D20079" s="1" t="s">
        <v>493</v>
      </c>
      <c r="E20079" t="s">
        <v>591</v>
      </c>
      <c r="F20079" s="1">
        <v>2</v>
      </c>
      <c r="G20079" s="1" t="s">
        <v>28</v>
      </c>
      <c r="H20079" s="4" t="str">
        <f>HYPERLINK("https://portal.gdc.cancer.gov/cases/04fff86a-b6f5-4900-9e37-c1f0b881b160","TCGA-BJ-A190-01A")</f>
        <v>TCGA-BJ-A190-01A</v>
      </c>
      <c r="I20079" t="s">
        <v>333</v>
      </c>
      <c r="J20079" t="s">
        <v>584</v>
      </c>
      <c r="K20079" t="s">
        <v>33</v>
      </c>
      <c r="L20079" t="s">
        <v>335</v>
      </c>
      <c r="N20079" t="s">
        <v>29</v>
      </c>
    </row>
    <row r="20080" spans="1:14">
      <c r="A20080" s="4" t="str">
        <f t="shared" si="1376"/>
        <v>EXP00448</v>
      </c>
      <c r="B20080" s="3" t="s">
        <v>66</v>
      </c>
      <c r="C20080" s="4" t="str">
        <f t="shared" si="1375"/>
        <v>TCGA-THCA</v>
      </c>
      <c r="D20080" s="1" t="s">
        <v>493</v>
      </c>
      <c r="E20080" t="s">
        <v>591</v>
      </c>
      <c r="F20080" s="1">
        <v>2</v>
      </c>
      <c r="G20080" s="1" t="s">
        <v>28</v>
      </c>
      <c r="H20080" s="4" t="str">
        <f>HYPERLINK("https://portal.gdc.cancer.gov/cases/2501ee46-8d38-448b-8765-e9c9706cbbe8","TCGA-BJ-A191-01A")</f>
        <v>TCGA-BJ-A191-01A</v>
      </c>
      <c r="I20080" t="s">
        <v>333</v>
      </c>
      <c r="J20080" t="s">
        <v>584</v>
      </c>
      <c r="K20080" t="s">
        <v>33</v>
      </c>
      <c r="L20080" t="s">
        <v>335</v>
      </c>
      <c r="N20080" t="s">
        <v>29</v>
      </c>
    </row>
    <row r="20081" spans="1:14">
      <c r="A20081" s="4" t="str">
        <f t="shared" si="1376"/>
        <v>EXP00448</v>
      </c>
      <c r="B20081" s="3" t="s">
        <v>66</v>
      </c>
      <c r="C20081" s="4" t="str">
        <f t="shared" si="1375"/>
        <v>TCGA-THCA</v>
      </c>
      <c r="D20081" s="1" t="s">
        <v>493</v>
      </c>
      <c r="E20081" t="s">
        <v>591</v>
      </c>
      <c r="F20081" s="1">
        <v>2</v>
      </c>
      <c r="G20081" s="1" t="s">
        <v>28</v>
      </c>
      <c r="H20081" s="4" t="str">
        <f>HYPERLINK("https://portal.gdc.cancer.gov/cases/b55375c3-9ef2-4d2f-9c29-224e746931c4","TCGA-BJ-A192-01A")</f>
        <v>TCGA-BJ-A192-01A</v>
      </c>
      <c r="I20081" t="s">
        <v>333</v>
      </c>
      <c r="J20081" t="s">
        <v>584</v>
      </c>
      <c r="K20081" t="s">
        <v>33</v>
      </c>
      <c r="L20081" t="s">
        <v>335</v>
      </c>
      <c r="N20081" t="s">
        <v>29</v>
      </c>
    </row>
    <row r="20082" spans="1:14">
      <c r="A20082" s="4" t="str">
        <f t="shared" si="1376"/>
        <v>EXP00448</v>
      </c>
      <c r="B20082" s="3" t="s">
        <v>66</v>
      </c>
      <c r="C20082" s="4" t="str">
        <f t="shared" si="1375"/>
        <v>TCGA-THCA</v>
      </c>
      <c r="D20082" s="1" t="s">
        <v>493</v>
      </c>
      <c r="E20082" t="s">
        <v>591</v>
      </c>
      <c r="F20082" s="1">
        <v>2</v>
      </c>
      <c r="G20082" s="1" t="s">
        <v>28</v>
      </c>
      <c r="H20082" s="4" t="str">
        <f>HYPERLINK("https://portal.gdc.cancer.gov/cases/524a39ee-8fa3-418e-98a2-a6a90e9c8064","TCGA-BJ-A28R-01A")</f>
        <v>TCGA-BJ-A28R-01A</v>
      </c>
      <c r="I20082" t="s">
        <v>333</v>
      </c>
      <c r="J20082" t="s">
        <v>584</v>
      </c>
      <c r="K20082" t="s">
        <v>33</v>
      </c>
      <c r="L20082" t="s">
        <v>335</v>
      </c>
      <c r="N20082" t="s">
        <v>29</v>
      </c>
    </row>
    <row r="20083" spans="1:14">
      <c r="A20083" s="4" t="str">
        <f t="shared" si="1376"/>
        <v>EXP00448</v>
      </c>
      <c r="B20083" s="3" t="s">
        <v>66</v>
      </c>
      <c r="C20083" s="4" t="str">
        <f t="shared" si="1375"/>
        <v>TCGA-THCA</v>
      </c>
      <c r="D20083" s="1" t="s">
        <v>493</v>
      </c>
      <c r="E20083" t="s">
        <v>591</v>
      </c>
      <c r="F20083" s="1">
        <v>2</v>
      </c>
      <c r="G20083" s="1" t="s">
        <v>28</v>
      </c>
      <c r="H20083" s="4" t="str">
        <f>HYPERLINK("https://portal.gdc.cancer.gov/cases/59e91fe5-c80f-4915-be0f-1a7cd3f31f3e","TCGA-BJ-A28S-01A")</f>
        <v>TCGA-BJ-A28S-01A</v>
      </c>
      <c r="I20083" t="s">
        <v>333</v>
      </c>
      <c r="J20083" t="s">
        <v>584</v>
      </c>
      <c r="K20083" t="s">
        <v>33</v>
      </c>
      <c r="L20083" t="s">
        <v>335</v>
      </c>
      <c r="N20083" t="s">
        <v>29</v>
      </c>
    </row>
    <row r="20084" spans="1:14">
      <c r="A20084" s="4" t="str">
        <f t="shared" si="1376"/>
        <v>EXP00448</v>
      </c>
      <c r="B20084" s="3" t="s">
        <v>66</v>
      </c>
      <c r="C20084" s="4" t="str">
        <f t="shared" si="1375"/>
        <v>TCGA-THCA</v>
      </c>
      <c r="D20084" s="1" t="s">
        <v>493</v>
      </c>
      <c r="E20084" t="s">
        <v>591</v>
      </c>
      <c r="F20084" s="1">
        <v>2</v>
      </c>
      <c r="G20084" s="1" t="s">
        <v>28</v>
      </c>
      <c r="H20084" s="4" t="str">
        <f>HYPERLINK("https://portal.gdc.cancer.gov/cases/a9d8f797-8a53-4be5-b957-0f1f6d080390","TCGA-BJ-A28T-01A")</f>
        <v>TCGA-BJ-A28T-01A</v>
      </c>
      <c r="I20084" t="s">
        <v>333</v>
      </c>
      <c r="J20084" t="s">
        <v>584</v>
      </c>
      <c r="K20084" t="s">
        <v>33</v>
      </c>
      <c r="L20084" t="s">
        <v>335</v>
      </c>
      <c r="N20084" t="s">
        <v>29</v>
      </c>
    </row>
    <row r="20085" spans="1:14">
      <c r="A20085" s="4" t="str">
        <f t="shared" si="1376"/>
        <v>EXP00448</v>
      </c>
      <c r="B20085" s="3" t="s">
        <v>66</v>
      </c>
      <c r="C20085" s="4" t="str">
        <f t="shared" ref="C20085:C20148" si="1377">HYPERLINK("https://portal.gdc.cancer.gov/projects/TCGA-THCA","TCGA-THCA")</f>
        <v>TCGA-THCA</v>
      </c>
      <c r="D20085" s="1" t="s">
        <v>493</v>
      </c>
      <c r="E20085" t="s">
        <v>591</v>
      </c>
      <c r="F20085" s="1">
        <v>2</v>
      </c>
      <c r="G20085" s="1" t="s">
        <v>28</v>
      </c>
      <c r="H20085" s="4" t="str">
        <f>HYPERLINK("https://portal.gdc.cancer.gov/cases/bed1fb3c-4459-460e-8190-29211857fa73","TCGA-BJ-A28V-01A")</f>
        <v>TCGA-BJ-A28V-01A</v>
      </c>
      <c r="I20085" t="s">
        <v>333</v>
      </c>
      <c r="J20085" t="s">
        <v>584</v>
      </c>
      <c r="K20085" t="s">
        <v>33</v>
      </c>
      <c r="L20085" t="s">
        <v>335</v>
      </c>
      <c r="N20085" t="s">
        <v>29</v>
      </c>
    </row>
    <row r="20086" spans="1:14">
      <c r="A20086" s="4" t="str">
        <f t="shared" si="1376"/>
        <v>EXP00448</v>
      </c>
      <c r="B20086" s="3" t="s">
        <v>66</v>
      </c>
      <c r="C20086" s="4" t="str">
        <f t="shared" si="1377"/>
        <v>TCGA-THCA</v>
      </c>
      <c r="D20086" s="1" t="s">
        <v>493</v>
      </c>
      <c r="E20086" t="s">
        <v>591</v>
      </c>
      <c r="F20086" s="1">
        <v>2</v>
      </c>
      <c r="G20086" s="1" t="s">
        <v>28</v>
      </c>
      <c r="H20086" s="4" t="str">
        <f>HYPERLINK("https://portal.gdc.cancer.gov/cases/a6d37f61-beca-46ea-a59a-62257475ac77","TCGA-BJ-A28W-01A")</f>
        <v>TCGA-BJ-A28W-01A</v>
      </c>
      <c r="I20086" t="s">
        <v>333</v>
      </c>
      <c r="J20086" t="s">
        <v>584</v>
      </c>
      <c r="K20086" t="s">
        <v>33</v>
      </c>
      <c r="L20086" t="s">
        <v>335</v>
      </c>
      <c r="N20086" t="s">
        <v>29</v>
      </c>
    </row>
    <row r="20087" spans="1:14">
      <c r="A20087" s="4" t="str">
        <f t="shared" si="1376"/>
        <v>EXP00448</v>
      </c>
      <c r="B20087" s="3" t="s">
        <v>66</v>
      </c>
      <c r="C20087" s="4" t="str">
        <f t="shared" si="1377"/>
        <v>TCGA-THCA</v>
      </c>
      <c r="D20087" s="1" t="s">
        <v>493</v>
      </c>
      <c r="E20087" t="s">
        <v>591</v>
      </c>
      <c r="F20087" s="1">
        <v>2</v>
      </c>
      <c r="G20087" s="1" t="s">
        <v>28</v>
      </c>
      <c r="H20087" s="4" t="str">
        <f>HYPERLINK("https://portal.gdc.cancer.gov/cases/b30f5b13-8cc9-48a0-93ea-3d49ce8a7d0d","TCGA-BJ-A28X-01A")</f>
        <v>TCGA-BJ-A28X-01A</v>
      </c>
      <c r="I20087" t="s">
        <v>333</v>
      </c>
      <c r="J20087" t="s">
        <v>584</v>
      </c>
      <c r="K20087" t="s">
        <v>33</v>
      </c>
      <c r="L20087" t="s">
        <v>335</v>
      </c>
      <c r="N20087" t="s">
        <v>29</v>
      </c>
    </row>
    <row r="20088" spans="1:14">
      <c r="A20088" s="4" t="str">
        <f t="shared" si="1376"/>
        <v>EXP00448</v>
      </c>
      <c r="B20088" s="3" t="s">
        <v>66</v>
      </c>
      <c r="C20088" s="4" t="str">
        <f t="shared" si="1377"/>
        <v>TCGA-THCA</v>
      </c>
      <c r="D20088" s="1" t="s">
        <v>493</v>
      </c>
      <c r="E20088" t="s">
        <v>591</v>
      </c>
      <c r="F20088" s="1">
        <v>2</v>
      </c>
      <c r="G20088" s="1" t="s">
        <v>28</v>
      </c>
      <c r="H20088" s="4" t="str">
        <f>HYPERLINK("https://portal.gdc.cancer.gov/cases/6ba76174-620e-4851-857a-d0adbfd6f3e6","TCGA-BJ-A28Z-01A")</f>
        <v>TCGA-BJ-A28Z-01A</v>
      </c>
      <c r="I20088" t="s">
        <v>333</v>
      </c>
      <c r="J20088" t="s">
        <v>584</v>
      </c>
      <c r="K20088" t="s">
        <v>33</v>
      </c>
      <c r="L20088" t="s">
        <v>335</v>
      </c>
      <c r="N20088" t="s">
        <v>29</v>
      </c>
    </row>
    <row r="20089" spans="1:14">
      <c r="A20089" s="4" t="str">
        <f t="shared" si="1376"/>
        <v>EXP00448</v>
      </c>
      <c r="B20089" s="3" t="s">
        <v>66</v>
      </c>
      <c r="C20089" s="4" t="str">
        <f t="shared" si="1377"/>
        <v>TCGA-THCA</v>
      </c>
      <c r="D20089" s="1" t="s">
        <v>493</v>
      </c>
      <c r="E20089" t="s">
        <v>591</v>
      </c>
      <c r="F20089" s="1">
        <v>2</v>
      </c>
      <c r="G20089" s="1" t="s">
        <v>28</v>
      </c>
      <c r="H20089" s="4" t="str">
        <f>HYPERLINK("https://portal.gdc.cancer.gov/cases/3cd2d4bd-8256-42fa-8272-db379d598007","TCGA-BJ-A290-01A")</f>
        <v>TCGA-BJ-A290-01A</v>
      </c>
      <c r="I20089" t="s">
        <v>333</v>
      </c>
      <c r="J20089" t="s">
        <v>584</v>
      </c>
      <c r="K20089" t="s">
        <v>33</v>
      </c>
      <c r="L20089" t="s">
        <v>335</v>
      </c>
      <c r="N20089" t="s">
        <v>29</v>
      </c>
    </row>
    <row r="20090" spans="1:14">
      <c r="A20090" s="4" t="str">
        <f t="shared" si="1376"/>
        <v>EXP00448</v>
      </c>
      <c r="B20090" s="3" t="s">
        <v>66</v>
      </c>
      <c r="C20090" s="4" t="str">
        <f t="shared" si="1377"/>
        <v>TCGA-THCA</v>
      </c>
      <c r="D20090" s="1" t="s">
        <v>493</v>
      </c>
      <c r="E20090" t="s">
        <v>591</v>
      </c>
      <c r="F20090" s="1">
        <v>2</v>
      </c>
      <c r="G20090" s="1" t="s">
        <v>28</v>
      </c>
      <c r="H20090" s="4" t="str">
        <f>HYPERLINK("https://portal.gdc.cancer.gov/cases/d4c68c1c-a3f3-4e0c-b555-d457378a1d24","TCGA-BJ-A291-01A")</f>
        <v>TCGA-BJ-A291-01A</v>
      </c>
      <c r="I20090" t="s">
        <v>333</v>
      </c>
      <c r="J20090" t="s">
        <v>584</v>
      </c>
      <c r="K20090" t="s">
        <v>33</v>
      </c>
      <c r="L20090" t="s">
        <v>335</v>
      </c>
      <c r="N20090" t="s">
        <v>29</v>
      </c>
    </row>
    <row r="20091" spans="1:14">
      <c r="A20091" s="4" t="str">
        <f t="shared" si="1376"/>
        <v>EXP00448</v>
      </c>
      <c r="B20091" s="3" t="s">
        <v>66</v>
      </c>
      <c r="C20091" s="4" t="str">
        <f t="shared" si="1377"/>
        <v>TCGA-THCA</v>
      </c>
      <c r="D20091" s="1" t="s">
        <v>493</v>
      </c>
      <c r="E20091" t="s">
        <v>591</v>
      </c>
      <c r="F20091" s="1">
        <v>2</v>
      </c>
      <c r="G20091" s="1" t="s">
        <v>28</v>
      </c>
      <c r="H20091" s="4" t="str">
        <f>HYPERLINK("https://portal.gdc.cancer.gov/cases/cbab7a72-11f7-4dfe-80f8-1b1ef1cf0055","TCGA-BJ-A2N7-01A")</f>
        <v>TCGA-BJ-A2N7-01A</v>
      </c>
      <c r="I20091" t="s">
        <v>333</v>
      </c>
      <c r="J20091" t="s">
        <v>584</v>
      </c>
      <c r="K20091" t="s">
        <v>33</v>
      </c>
      <c r="L20091" t="s">
        <v>335</v>
      </c>
      <c r="N20091" t="s">
        <v>29</v>
      </c>
    </row>
    <row r="20092" spans="1:14">
      <c r="A20092" s="4" t="str">
        <f t="shared" si="1376"/>
        <v>EXP00448</v>
      </c>
      <c r="B20092" s="3" t="s">
        <v>66</v>
      </c>
      <c r="C20092" s="4" t="str">
        <f t="shared" si="1377"/>
        <v>TCGA-THCA</v>
      </c>
      <c r="D20092" s="1" t="s">
        <v>493</v>
      </c>
      <c r="E20092" t="s">
        <v>591</v>
      </c>
      <c r="F20092" s="1">
        <v>2</v>
      </c>
      <c r="G20092" s="1" t="s">
        <v>28</v>
      </c>
      <c r="H20092" s="4" t="str">
        <f>HYPERLINK("https://portal.gdc.cancer.gov/cases/729fc937-192a-4eb7-b357-b8f0d2da1f08","TCGA-BJ-A2N8-01A")</f>
        <v>TCGA-BJ-A2N8-01A</v>
      </c>
      <c r="I20092" t="s">
        <v>333</v>
      </c>
      <c r="J20092" t="s">
        <v>584</v>
      </c>
      <c r="K20092" t="s">
        <v>33</v>
      </c>
      <c r="L20092" t="s">
        <v>335</v>
      </c>
      <c r="N20092" t="s">
        <v>29</v>
      </c>
    </row>
    <row r="20093" spans="1:14">
      <c r="A20093" s="4" t="str">
        <f t="shared" si="1376"/>
        <v>EXP00448</v>
      </c>
      <c r="B20093" s="3" t="s">
        <v>66</v>
      </c>
      <c r="C20093" s="4" t="str">
        <f t="shared" si="1377"/>
        <v>TCGA-THCA</v>
      </c>
      <c r="D20093" s="1" t="s">
        <v>493</v>
      </c>
      <c r="E20093" t="s">
        <v>591</v>
      </c>
      <c r="F20093" s="1">
        <v>2</v>
      </c>
      <c r="G20093" s="1" t="s">
        <v>28</v>
      </c>
      <c r="H20093" s="4" t="str">
        <f>HYPERLINK("https://portal.gdc.cancer.gov/cases/1e63d4b3-1b49-4bb9-b64f-001273aae120","TCGA-BJ-A2N9-01A")</f>
        <v>TCGA-BJ-A2N9-01A</v>
      </c>
      <c r="I20093" t="s">
        <v>333</v>
      </c>
      <c r="J20093" t="s">
        <v>584</v>
      </c>
      <c r="K20093" t="s">
        <v>33</v>
      </c>
      <c r="L20093" t="s">
        <v>335</v>
      </c>
      <c r="N20093" t="s">
        <v>29</v>
      </c>
    </row>
    <row r="20094" spans="1:14">
      <c r="A20094" s="4" t="str">
        <f t="shared" si="1376"/>
        <v>EXP00448</v>
      </c>
      <c r="B20094" s="3" t="s">
        <v>66</v>
      </c>
      <c r="C20094" s="4" t="str">
        <f t="shared" si="1377"/>
        <v>TCGA-THCA</v>
      </c>
      <c r="D20094" s="1" t="s">
        <v>493</v>
      </c>
      <c r="E20094" t="s">
        <v>591</v>
      </c>
      <c r="F20094" s="1">
        <v>2</v>
      </c>
      <c r="G20094" s="1" t="s">
        <v>28</v>
      </c>
      <c r="H20094" s="4" t="str">
        <f>HYPERLINK("https://portal.gdc.cancer.gov/cases/f9d35f8e-ada4-4cc6-8227-28565ee531d2","TCGA-BJ-A2NA-01A")</f>
        <v>TCGA-BJ-A2NA-01A</v>
      </c>
      <c r="I20094" t="s">
        <v>333</v>
      </c>
      <c r="J20094" t="s">
        <v>584</v>
      </c>
      <c r="K20094" t="s">
        <v>33</v>
      </c>
      <c r="L20094" t="s">
        <v>335</v>
      </c>
      <c r="N20094" t="s">
        <v>29</v>
      </c>
    </row>
    <row r="20095" spans="1:14">
      <c r="A20095" s="4" t="str">
        <f t="shared" si="1376"/>
        <v>EXP00448</v>
      </c>
      <c r="B20095" s="3" t="s">
        <v>66</v>
      </c>
      <c r="C20095" s="4" t="str">
        <f t="shared" si="1377"/>
        <v>TCGA-THCA</v>
      </c>
      <c r="D20095" s="1" t="s">
        <v>493</v>
      </c>
      <c r="E20095" t="s">
        <v>591</v>
      </c>
      <c r="F20095" s="1">
        <v>2</v>
      </c>
      <c r="G20095" s="1" t="s">
        <v>28</v>
      </c>
      <c r="H20095" s="4" t="str">
        <f>HYPERLINK("https://portal.gdc.cancer.gov/cases/e8d74dbb-410c-4f8f-8e1f-2b2dd7634160","TCGA-BJ-A2P4-01A")</f>
        <v>TCGA-BJ-A2P4-01A</v>
      </c>
      <c r="I20095" t="s">
        <v>333</v>
      </c>
      <c r="J20095" t="s">
        <v>584</v>
      </c>
      <c r="K20095" t="s">
        <v>33</v>
      </c>
      <c r="L20095" t="s">
        <v>335</v>
      </c>
      <c r="N20095" t="s">
        <v>29</v>
      </c>
    </row>
    <row r="20096" spans="1:14">
      <c r="A20096" s="4" t="str">
        <f t="shared" si="1376"/>
        <v>EXP00448</v>
      </c>
      <c r="B20096" s="3" t="s">
        <v>66</v>
      </c>
      <c r="C20096" s="4" t="str">
        <f t="shared" si="1377"/>
        <v>TCGA-THCA</v>
      </c>
      <c r="D20096" s="1" t="s">
        <v>493</v>
      </c>
      <c r="E20096" t="s">
        <v>591</v>
      </c>
      <c r="F20096" s="1">
        <v>2</v>
      </c>
      <c r="G20096" s="1" t="s">
        <v>28</v>
      </c>
      <c r="H20096" s="4" t="str">
        <f>HYPERLINK("https://portal.gdc.cancer.gov/cases/befa0ef5-d621-4866-904d-13341ea54aa1","TCGA-BJ-A3EZ-01A")</f>
        <v>TCGA-BJ-A3EZ-01A</v>
      </c>
      <c r="I20096" t="s">
        <v>333</v>
      </c>
      <c r="J20096" t="s">
        <v>584</v>
      </c>
      <c r="K20096" t="s">
        <v>33</v>
      </c>
      <c r="L20096" t="s">
        <v>335</v>
      </c>
      <c r="N20096" t="s">
        <v>29</v>
      </c>
    </row>
    <row r="20097" spans="1:14">
      <c r="A20097" s="4" t="str">
        <f t="shared" si="1376"/>
        <v>EXP00448</v>
      </c>
      <c r="B20097" s="3" t="s">
        <v>66</v>
      </c>
      <c r="C20097" s="4" t="str">
        <f t="shared" si="1377"/>
        <v>TCGA-THCA</v>
      </c>
      <c r="D20097" s="1" t="s">
        <v>493</v>
      </c>
      <c r="E20097" t="s">
        <v>591</v>
      </c>
      <c r="F20097" s="1">
        <v>2</v>
      </c>
      <c r="G20097" s="1" t="s">
        <v>28</v>
      </c>
      <c r="H20097" s="4" t="str">
        <f>HYPERLINK("https://portal.gdc.cancer.gov/cases/a6bdba04-f27d-4cef-bd82-872fb8390e46","TCGA-BJ-A3F0-01A")</f>
        <v>TCGA-BJ-A3F0-01A</v>
      </c>
      <c r="I20097" t="s">
        <v>333</v>
      </c>
      <c r="J20097" t="s">
        <v>584</v>
      </c>
      <c r="K20097" t="s">
        <v>33</v>
      </c>
      <c r="L20097" t="s">
        <v>335</v>
      </c>
      <c r="N20097" t="s">
        <v>29</v>
      </c>
    </row>
    <row r="20098" spans="1:14">
      <c r="A20098" s="4" t="str">
        <f t="shared" si="1376"/>
        <v>EXP00448</v>
      </c>
      <c r="B20098" s="3" t="s">
        <v>66</v>
      </c>
      <c r="C20098" s="4" t="str">
        <f t="shared" si="1377"/>
        <v>TCGA-THCA</v>
      </c>
      <c r="D20098" s="1" t="s">
        <v>493</v>
      </c>
      <c r="E20098" t="s">
        <v>591</v>
      </c>
      <c r="F20098" s="1">
        <v>2</v>
      </c>
      <c r="G20098" s="1" t="s">
        <v>28</v>
      </c>
      <c r="H20098" s="4" t="str">
        <f>HYPERLINK("https://portal.gdc.cancer.gov/cases/fd036ec5-3ffb-40b1-8002-943be0e2532e","TCGA-BJ-A3PR-01A")</f>
        <v>TCGA-BJ-A3PR-01A</v>
      </c>
      <c r="I20098" t="s">
        <v>333</v>
      </c>
      <c r="J20098" t="s">
        <v>584</v>
      </c>
      <c r="K20098" t="s">
        <v>33</v>
      </c>
      <c r="L20098" t="s">
        <v>335</v>
      </c>
      <c r="N20098" t="s">
        <v>29</v>
      </c>
    </row>
    <row r="20099" spans="1:14">
      <c r="A20099" s="4" t="str">
        <f t="shared" si="1376"/>
        <v>EXP00448</v>
      </c>
      <c r="B20099" s="3" t="s">
        <v>66</v>
      </c>
      <c r="C20099" s="4" t="str">
        <f t="shared" si="1377"/>
        <v>TCGA-THCA</v>
      </c>
      <c r="D20099" s="1" t="s">
        <v>493</v>
      </c>
      <c r="E20099" t="s">
        <v>591</v>
      </c>
      <c r="F20099" s="1">
        <v>2</v>
      </c>
      <c r="G20099" s="1" t="s">
        <v>28</v>
      </c>
      <c r="H20099" s="4" t="str">
        <f>HYPERLINK("https://portal.gdc.cancer.gov/cases/29c4319c-3ead-42b1-810d-418da8d515c4","TCGA-BJ-A3PT-01A")</f>
        <v>TCGA-BJ-A3PT-01A</v>
      </c>
      <c r="I20099" t="s">
        <v>333</v>
      </c>
      <c r="J20099" t="s">
        <v>584</v>
      </c>
      <c r="K20099" t="s">
        <v>33</v>
      </c>
      <c r="L20099" t="s">
        <v>335</v>
      </c>
      <c r="N20099" t="s">
        <v>29</v>
      </c>
    </row>
    <row r="20100" spans="1:14">
      <c r="A20100" s="4" t="str">
        <f t="shared" si="1376"/>
        <v>EXP00448</v>
      </c>
      <c r="B20100" s="3" t="s">
        <v>66</v>
      </c>
      <c r="C20100" s="4" t="str">
        <f t="shared" si="1377"/>
        <v>TCGA-THCA</v>
      </c>
      <c r="D20100" s="1" t="s">
        <v>493</v>
      </c>
      <c r="E20100" t="s">
        <v>591</v>
      </c>
      <c r="F20100" s="1">
        <v>2</v>
      </c>
      <c r="G20100" s="1" t="s">
        <v>28</v>
      </c>
      <c r="H20100" s="4" t="str">
        <f>HYPERLINK("https://portal.gdc.cancer.gov/cases/a1196d5f-8c7d-4d9d-9e46-c5c22a9c2fef","TCGA-BJ-A45C-01A")</f>
        <v>TCGA-BJ-A45C-01A</v>
      </c>
      <c r="I20100" t="s">
        <v>333</v>
      </c>
      <c r="J20100" t="s">
        <v>584</v>
      </c>
      <c r="K20100" t="s">
        <v>33</v>
      </c>
      <c r="L20100" t="s">
        <v>335</v>
      </c>
      <c r="N20100" t="s">
        <v>29</v>
      </c>
    </row>
    <row r="20101" spans="1:14">
      <c r="A20101" s="4" t="str">
        <f t="shared" si="1376"/>
        <v>EXP00448</v>
      </c>
      <c r="B20101" s="3" t="s">
        <v>66</v>
      </c>
      <c r="C20101" s="4" t="str">
        <f t="shared" si="1377"/>
        <v>TCGA-THCA</v>
      </c>
      <c r="D20101" s="1" t="s">
        <v>493</v>
      </c>
      <c r="E20101" t="s">
        <v>591</v>
      </c>
      <c r="F20101" s="1">
        <v>2</v>
      </c>
      <c r="G20101" s="1" t="s">
        <v>28</v>
      </c>
      <c r="H20101" s="4" t="str">
        <f>HYPERLINK("https://portal.gdc.cancer.gov/cases/e7cf1cca-384e-4a00-bb30-bed154ec15c0","TCGA-BJ-A45D-01A")</f>
        <v>TCGA-BJ-A45D-01A</v>
      </c>
      <c r="I20101" t="s">
        <v>333</v>
      </c>
      <c r="J20101" t="s">
        <v>584</v>
      </c>
      <c r="K20101" t="s">
        <v>33</v>
      </c>
      <c r="L20101" t="s">
        <v>335</v>
      </c>
      <c r="N20101" t="s">
        <v>29</v>
      </c>
    </row>
    <row r="20102" spans="1:14">
      <c r="A20102" s="4" t="str">
        <f t="shared" si="1376"/>
        <v>EXP00448</v>
      </c>
      <c r="B20102" s="3" t="s">
        <v>66</v>
      </c>
      <c r="C20102" s="4" t="str">
        <f t="shared" si="1377"/>
        <v>TCGA-THCA</v>
      </c>
      <c r="D20102" s="1" t="s">
        <v>493</v>
      </c>
      <c r="E20102" t="s">
        <v>591</v>
      </c>
      <c r="F20102" s="1">
        <v>2</v>
      </c>
      <c r="G20102" s="1" t="s">
        <v>28</v>
      </c>
      <c r="H20102" s="4" t="str">
        <f>HYPERLINK("https://portal.gdc.cancer.gov/cases/3b088cb4-6fd4-45ac-a708-dffd873546dc","TCGA-BJ-A45E-01A")</f>
        <v>TCGA-BJ-A45E-01A</v>
      </c>
      <c r="I20102" t="s">
        <v>333</v>
      </c>
      <c r="J20102" t="s">
        <v>584</v>
      </c>
      <c r="K20102" t="s">
        <v>33</v>
      </c>
      <c r="L20102" t="s">
        <v>335</v>
      </c>
      <c r="N20102" t="s">
        <v>29</v>
      </c>
    </row>
    <row r="20103" spans="1:14">
      <c r="A20103" s="4" t="str">
        <f t="shared" si="1376"/>
        <v>EXP00448</v>
      </c>
      <c r="B20103" s="3" t="s">
        <v>66</v>
      </c>
      <c r="C20103" s="4" t="str">
        <f t="shared" si="1377"/>
        <v>TCGA-THCA</v>
      </c>
      <c r="D20103" s="1" t="s">
        <v>493</v>
      </c>
      <c r="E20103" t="s">
        <v>591</v>
      </c>
      <c r="F20103" s="1">
        <v>2</v>
      </c>
      <c r="G20103" s="1" t="s">
        <v>28</v>
      </c>
      <c r="H20103" s="4" t="str">
        <f>HYPERLINK("https://portal.gdc.cancer.gov/cases/dd305533-e48c-4fed-9283-5082703c23ff","TCGA-BJ-A45F-01A")</f>
        <v>TCGA-BJ-A45F-01A</v>
      </c>
      <c r="I20103" t="s">
        <v>333</v>
      </c>
      <c r="J20103" t="s">
        <v>584</v>
      </c>
      <c r="K20103" t="s">
        <v>33</v>
      </c>
      <c r="L20103" t="s">
        <v>335</v>
      </c>
      <c r="N20103" t="s">
        <v>29</v>
      </c>
    </row>
    <row r="20104" spans="1:14">
      <c r="A20104" s="4" t="str">
        <f t="shared" si="1376"/>
        <v>EXP00448</v>
      </c>
      <c r="B20104" s="3" t="s">
        <v>66</v>
      </c>
      <c r="C20104" s="4" t="str">
        <f t="shared" si="1377"/>
        <v>TCGA-THCA</v>
      </c>
      <c r="D20104" s="1" t="s">
        <v>493</v>
      </c>
      <c r="E20104" t="s">
        <v>591</v>
      </c>
      <c r="F20104" s="1">
        <v>2</v>
      </c>
      <c r="G20104" s="1" t="s">
        <v>28</v>
      </c>
      <c r="H20104" s="4" t="str">
        <f>HYPERLINK("https://portal.gdc.cancer.gov/cases/b8cb385a-4e5f-4932-944d-04d6ea1bba5a","TCGA-BJ-A45G-01A")</f>
        <v>TCGA-BJ-A45G-01A</v>
      </c>
      <c r="I20104" t="s">
        <v>333</v>
      </c>
      <c r="J20104" t="s">
        <v>584</v>
      </c>
      <c r="K20104" t="s">
        <v>33</v>
      </c>
      <c r="L20104" t="s">
        <v>335</v>
      </c>
      <c r="N20104" t="s">
        <v>29</v>
      </c>
    </row>
    <row r="20105" spans="1:14">
      <c r="A20105" s="4" t="str">
        <f t="shared" si="1376"/>
        <v>EXP00448</v>
      </c>
      <c r="B20105" s="3" t="s">
        <v>66</v>
      </c>
      <c r="C20105" s="4" t="str">
        <f t="shared" si="1377"/>
        <v>TCGA-THCA</v>
      </c>
      <c r="D20105" s="1" t="s">
        <v>493</v>
      </c>
      <c r="E20105" t="s">
        <v>591</v>
      </c>
      <c r="F20105" s="1">
        <v>2</v>
      </c>
      <c r="G20105" s="1" t="s">
        <v>28</v>
      </c>
      <c r="H20105" s="4" t="str">
        <f>HYPERLINK("https://portal.gdc.cancer.gov/cases/778a8f53-53f6-4a03-8ce1-b0928539a444","TCGA-BJ-A45H-01A")</f>
        <v>TCGA-BJ-A45H-01A</v>
      </c>
      <c r="I20105" t="s">
        <v>333</v>
      </c>
      <c r="J20105" t="s">
        <v>584</v>
      </c>
      <c r="K20105" t="s">
        <v>33</v>
      </c>
      <c r="L20105" t="s">
        <v>335</v>
      </c>
      <c r="N20105" t="s">
        <v>29</v>
      </c>
    </row>
    <row r="20106" spans="1:14">
      <c r="A20106" s="4" t="str">
        <f t="shared" si="1376"/>
        <v>EXP00448</v>
      </c>
      <c r="B20106" s="3" t="s">
        <v>66</v>
      </c>
      <c r="C20106" s="4" t="str">
        <f t="shared" si="1377"/>
        <v>TCGA-THCA</v>
      </c>
      <c r="D20106" s="1" t="s">
        <v>493</v>
      </c>
      <c r="E20106" t="s">
        <v>591</v>
      </c>
      <c r="F20106" s="1">
        <v>2</v>
      </c>
      <c r="G20106" s="1" t="s">
        <v>28</v>
      </c>
      <c r="H20106" s="4" t="str">
        <f>HYPERLINK("https://portal.gdc.cancer.gov/cases/c5d08be7-b94c-423a-aea8-bbc635787c63","TCGA-BJ-A45I-01A")</f>
        <v>TCGA-BJ-A45I-01A</v>
      </c>
      <c r="I20106" t="s">
        <v>333</v>
      </c>
      <c r="J20106" t="s">
        <v>584</v>
      </c>
      <c r="K20106" t="s">
        <v>33</v>
      </c>
      <c r="L20106" t="s">
        <v>335</v>
      </c>
      <c r="N20106" t="s">
        <v>29</v>
      </c>
    </row>
    <row r="20107" spans="1:14">
      <c r="A20107" s="4" t="str">
        <f t="shared" si="1376"/>
        <v>EXP00448</v>
      </c>
      <c r="B20107" s="3" t="s">
        <v>66</v>
      </c>
      <c r="C20107" s="4" t="str">
        <f t="shared" si="1377"/>
        <v>TCGA-THCA</v>
      </c>
      <c r="D20107" s="1" t="s">
        <v>493</v>
      </c>
      <c r="E20107" t="s">
        <v>591</v>
      </c>
      <c r="F20107" s="1">
        <v>2</v>
      </c>
      <c r="G20107" s="1" t="s">
        <v>28</v>
      </c>
      <c r="H20107" s="4" t="str">
        <f>HYPERLINK("https://portal.gdc.cancer.gov/cases/6b85d76d-6098-47ea-9823-586238526cf1","TCGA-BJ-A45J-01A")</f>
        <v>TCGA-BJ-A45J-01A</v>
      </c>
      <c r="I20107" t="s">
        <v>333</v>
      </c>
      <c r="J20107" t="s">
        <v>584</v>
      </c>
      <c r="K20107" t="s">
        <v>33</v>
      </c>
      <c r="L20107" t="s">
        <v>335</v>
      </c>
      <c r="N20107" t="s">
        <v>29</v>
      </c>
    </row>
    <row r="20108" spans="1:14">
      <c r="A20108" s="4" t="str">
        <f t="shared" si="1376"/>
        <v>EXP00448</v>
      </c>
      <c r="B20108" s="3" t="s">
        <v>66</v>
      </c>
      <c r="C20108" s="4" t="str">
        <f t="shared" si="1377"/>
        <v>TCGA-THCA</v>
      </c>
      <c r="D20108" s="1" t="s">
        <v>493</v>
      </c>
      <c r="E20108" t="s">
        <v>591</v>
      </c>
      <c r="F20108" s="1">
        <v>2</v>
      </c>
      <c r="G20108" s="1" t="s">
        <v>28</v>
      </c>
      <c r="H20108" s="4" t="str">
        <f>HYPERLINK("https://portal.gdc.cancer.gov/cases/8cfb88f6-7b37-4f1e-882b-3a368b604167","TCGA-BJ-A45K-01A")</f>
        <v>TCGA-BJ-A45K-01A</v>
      </c>
      <c r="I20108" t="s">
        <v>333</v>
      </c>
      <c r="J20108" t="s">
        <v>584</v>
      </c>
      <c r="K20108" t="s">
        <v>33</v>
      </c>
      <c r="L20108" t="s">
        <v>335</v>
      </c>
      <c r="N20108" t="s">
        <v>29</v>
      </c>
    </row>
    <row r="20109" spans="1:14">
      <c r="A20109" s="4" t="str">
        <f t="shared" si="1376"/>
        <v>EXP00448</v>
      </c>
      <c r="B20109" s="3" t="s">
        <v>66</v>
      </c>
      <c r="C20109" s="4" t="str">
        <f t="shared" si="1377"/>
        <v>TCGA-THCA</v>
      </c>
      <c r="D20109" s="1" t="s">
        <v>493</v>
      </c>
      <c r="E20109" t="s">
        <v>591</v>
      </c>
      <c r="F20109" s="1">
        <v>2</v>
      </c>
      <c r="G20109" s="1" t="s">
        <v>28</v>
      </c>
      <c r="H20109" s="4" t="str">
        <f>HYPERLINK("https://portal.gdc.cancer.gov/cases/1009a500-2a37-4aee-b7c3-049b5ce961a4","TCGA-BJ-A4O8-01A")</f>
        <v>TCGA-BJ-A4O8-01A</v>
      </c>
      <c r="I20109" t="s">
        <v>333</v>
      </c>
      <c r="J20109" t="s">
        <v>584</v>
      </c>
      <c r="K20109" t="s">
        <v>33</v>
      </c>
      <c r="L20109" t="s">
        <v>335</v>
      </c>
      <c r="N20109" t="s">
        <v>29</v>
      </c>
    </row>
    <row r="20110" spans="1:14">
      <c r="A20110" s="4" t="str">
        <f t="shared" si="1376"/>
        <v>EXP00448</v>
      </c>
      <c r="B20110" s="3" t="s">
        <v>66</v>
      </c>
      <c r="C20110" s="4" t="str">
        <f t="shared" si="1377"/>
        <v>TCGA-THCA</v>
      </c>
      <c r="D20110" s="1" t="s">
        <v>493</v>
      </c>
      <c r="E20110" t="s">
        <v>591</v>
      </c>
      <c r="F20110" s="1">
        <v>2</v>
      </c>
      <c r="G20110" s="1" t="s">
        <v>28</v>
      </c>
      <c r="H20110" s="4" t="str">
        <f>HYPERLINK("https://portal.gdc.cancer.gov/cases/cc84500c-0196-450d-87a1-ca394cc227b5","TCGA-BJ-A4O9-01A")</f>
        <v>TCGA-BJ-A4O9-01A</v>
      </c>
      <c r="I20110" t="s">
        <v>333</v>
      </c>
      <c r="J20110" t="s">
        <v>584</v>
      </c>
      <c r="K20110" t="s">
        <v>33</v>
      </c>
      <c r="L20110" t="s">
        <v>335</v>
      </c>
      <c r="N20110" t="s">
        <v>29</v>
      </c>
    </row>
    <row r="20111" spans="1:14">
      <c r="A20111" s="4" t="str">
        <f t="shared" si="1376"/>
        <v>EXP00448</v>
      </c>
      <c r="B20111" s="3" t="s">
        <v>66</v>
      </c>
      <c r="C20111" s="4" t="str">
        <f t="shared" si="1377"/>
        <v>TCGA-THCA</v>
      </c>
      <c r="D20111" s="1" t="s">
        <v>493</v>
      </c>
      <c r="E20111" t="s">
        <v>591</v>
      </c>
      <c r="F20111" s="1">
        <v>2</v>
      </c>
      <c r="G20111" s="1" t="s">
        <v>28</v>
      </c>
      <c r="H20111" s="4" t="str">
        <f>HYPERLINK("https://portal.gdc.cancer.gov/cases/a1227ffa-2733-4a43-ba82-834755453870","TCGA-CE-A13K-01A")</f>
        <v>TCGA-CE-A13K-01A</v>
      </c>
      <c r="I20111" t="s">
        <v>333</v>
      </c>
      <c r="J20111" t="s">
        <v>584</v>
      </c>
      <c r="K20111" t="s">
        <v>33</v>
      </c>
      <c r="L20111" t="s">
        <v>335</v>
      </c>
      <c r="N20111" t="s">
        <v>29</v>
      </c>
    </row>
    <row r="20112" spans="1:14">
      <c r="A20112" s="4" t="str">
        <f t="shared" si="1376"/>
        <v>EXP00448</v>
      </c>
      <c r="B20112" s="3" t="s">
        <v>66</v>
      </c>
      <c r="C20112" s="4" t="str">
        <f t="shared" si="1377"/>
        <v>TCGA-THCA</v>
      </c>
      <c r="D20112" s="1" t="s">
        <v>493</v>
      </c>
      <c r="E20112" t="s">
        <v>591</v>
      </c>
      <c r="F20112" s="1">
        <v>2</v>
      </c>
      <c r="G20112" s="1" t="s">
        <v>28</v>
      </c>
      <c r="H20112" s="4" t="str">
        <f>HYPERLINK("https://portal.gdc.cancer.gov/cases/75a93f0e-cd41-43c6-a303-ff37e31395e9","TCGA-CE-A27D-01A")</f>
        <v>TCGA-CE-A27D-01A</v>
      </c>
      <c r="I20112" t="s">
        <v>333</v>
      </c>
      <c r="J20112" t="s">
        <v>584</v>
      </c>
      <c r="K20112" t="s">
        <v>33</v>
      </c>
      <c r="L20112" t="s">
        <v>335</v>
      </c>
      <c r="N20112" t="s">
        <v>29</v>
      </c>
    </row>
    <row r="20113" spans="1:14">
      <c r="A20113" s="4" t="str">
        <f t="shared" si="1376"/>
        <v>EXP00448</v>
      </c>
      <c r="B20113" s="3" t="s">
        <v>66</v>
      </c>
      <c r="C20113" s="4" t="str">
        <f t="shared" si="1377"/>
        <v>TCGA-THCA</v>
      </c>
      <c r="D20113" s="1" t="s">
        <v>493</v>
      </c>
      <c r="E20113" t="s">
        <v>591</v>
      </c>
      <c r="F20113" s="1">
        <v>2</v>
      </c>
      <c r="G20113" s="1" t="s">
        <v>28</v>
      </c>
      <c r="H20113" s="4" t="str">
        <f>HYPERLINK("https://portal.gdc.cancer.gov/cases/16505d78-90d9-47d0-9b86-c6ef91d23aac","TCGA-CE-A3MD-01A")</f>
        <v>TCGA-CE-A3MD-01A</v>
      </c>
      <c r="I20113" t="s">
        <v>333</v>
      </c>
      <c r="J20113" t="s">
        <v>584</v>
      </c>
      <c r="K20113" t="s">
        <v>33</v>
      </c>
      <c r="L20113" t="s">
        <v>335</v>
      </c>
      <c r="N20113" t="s">
        <v>29</v>
      </c>
    </row>
    <row r="20114" spans="1:14">
      <c r="A20114" s="4" t="str">
        <f t="shared" si="1376"/>
        <v>EXP00448</v>
      </c>
      <c r="B20114" s="3" t="s">
        <v>66</v>
      </c>
      <c r="C20114" s="4" t="str">
        <f t="shared" si="1377"/>
        <v>TCGA-THCA</v>
      </c>
      <c r="D20114" s="1" t="s">
        <v>493</v>
      </c>
      <c r="E20114" t="s">
        <v>591</v>
      </c>
      <c r="F20114" s="1">
        <v>2</v>
      </c>
      <c r="G20114" s="1" t="s">
        <v>28</v>
      </c>
      <c r="H20114" s="4" t="str">
        <f>HYPERLINK("https://portal.gdc.cancer.gov/cases/dec7a0a2-c26e-4a89-a4d5-74bd1409ff91","TCGA-CE-A3ME-01A")</f>
        <v>TCGA-CE-A3ME-01A</v>
      </c>
      <c r="I20114" t="s">
        <v>333</v>
      </c>
      <c r="J20114" t="s">
        <v>584</v>
      </c>
      <c r="K20114" t="s">
        <v>33</v>
      </c>
      <c r="L20114" t="s">
        <v>335</v>
      </c>
      <c r="N20114" t="s">
        <v>29</v>
      </c>
    </row>
    <row r="20115" spans="1:14">
      <c r="A20115" s="4" t="str">
        <f t="shared" si="1376"/>
        <v>EXP00448</v>
      </c>
      <c r="B20115" s="3" t="s">
        <v>66</v>
      </c>
      <c r="C20115" s="4" t="str">
        <f t="shared" si="1377"/>
        <v>TCGA-THCA</v>
      </c>
      <c r="D20115" s="1" t="s">
        <v>493</v>
      </c>
      <c r="E20115" t="s">
        <v>591</v>
      </c>
      <c r="F20115" s="1">
        <v>2</v>
      </c>
      <c r="G20115" s="1" t="s">
        <v>28</v>
      </c>
      <c r="H20115" s="4" t="str">
        <f>HYPERLINK("https://portal.gdc.cancer.gov/cases/2c9e8686-9757-4e05-8d0e-efeaa3045d66","TCGA-CE-A481-01A")</f>
        <v>TCGA-CE-A481-01A</v>
      </c>
      <c r="I20115" t="s">
        <v>333</v>
      </c>
      <c r="J20115" t="s">
        <v>584</v>
      </c>
      <c r="K20115" t="s">
        <v>33</v>
      </c>
      <c r="L20115" t="s">
        <v>335</v>
      </c>
      <c r="N20115" t="s">
        <v>29</v>
      </c>
    </row>
    <row r="20116" spans="1:14">
      <c r="A20116" s="4" t="str">
        <f t="shared" si="1376"/>
        <v>EXP00448</v>
      </c>
      <c r="B20116" s="3" t="s">
        <v>66</v>
      </c>
      <c r="C20116" s="4" t="str">
        <f t="shared" si="1377"/>
        <v>TCGA-THCA</v>
      </c>
      <c r="D20116" s="1" t="s">
        <v>493</v>
      </c>
      <c r="E20116" t="s">
        <v>591</v>
      </c>
      <c r="F20116" s="1">
        <v>2</v>
      </c>
      <c r="G20116" s="1" t="s">
        <v>28</v>
      </c>
      <c r="H20116" s="4" t="str">
        <f>HYPERLINK("https://portal.gdc.cancer.gov/cases/a5406575-c840-475a-ab1b-e1a159413fbd","TCGA-CE-A482-01A")</f>
        <v>TCGA-CE-A482-01A</v>
      </c>
      <c r="I20116" t="s">
        <v>333</v>
      </c>
      <c r="J20116" t="s">
        <v>584</v>
      </c>
      <c r="K20116" t="s">
        <v>33</v>
      </c>
      <c r="L20116" t="s">
        <v>335</v>
      </c>
      <c r="N20116" t="s">
        <v>29</v>
      </c>
    </row>
    <row r="20117" spans="1:14">
      <c r="A20117" s="4" t="str">
        <f t="shared" si="1376"/>
        <v>EXP00448</v>
      </c>
      <c r="B20117" s="3" t="s">
        <v>66</v>
      </c>
      <c r="C20117" s="4" t="str">
        <f t="shared" si="1377"/>
        <v>TCGA-THCA</v>
      </c>
      <c r="D20117" s="1" t="s">
        <v>493</v>
      </c>
      <c r="E20117" t="s">
        <v>591</v>
      </c>
      <c r="F20117" s="1">
        <v>2</v>
      </c>
      <c r="G20117" s="1" t="s">
        <v>28</v>
      </c>
      <c r="H20117" s="4" t="str">
        <f>HYPERLINK("https://portal.gdc.cancer.gov/cases/80da6e75-b7ad-47a6-9923-1e21a519a968","TCGA-CE-A483-01A")</f>
        <v>TCGA-CE-A483-01A</v>
      </c>
      <c r="I20117" t="s">
        <v>333</v>
      </c>
      <c r="J20117" t="s">
        <v>584</v>
      </c>
      <c r="K20117" t="s">
        <v>33</v>
      </c>
      <c r="L20117" t="s">
        <v>335</v>
      </c>
      <c r="N20117" t="s">
        <v>29</v>
      </c>
    </row>
    <row r="20118" spans="1:14">
      <c r="A20118" s="4" t="str">
        <f t="shared" si="1376"/>
        <v>EXP00448</v>
      </c>
      <c r="B20118" s="3" t="s">
        <v>66</v>
      </c>
      <c r="C20118" s="4" t="str">
        <f t="shared" si="1377"/>
        <v>TCGA-THCA</v>
      </c>
      <c r="D20118" s="1" t="s">
        <v>493</v>
      </c>
      <c r="E20118" t="s">
        <v>591</v>
      </c>
      <c r="F20118" s="1">
        <v>2</v>
      </c>
      <c r="G20118" s="1" t="s">
        <v>28</v>
      </c>
      <c r="H20118" s="4" t="str">
        <f>HYPERLINK("https://portal.gdc.cancer.gov/cases/e62a728d-390f-428a-bea1-fc8c9814fb11","TCGA-CE-A484-01A")</f>
        <v>TCGA-CE-A484-01A</v>
      </c>
      <c r="I20118" t="s">
        <v>333</v>
      </c>
      <c r="J20118" t="s">
        <v>584</v>
      </c>
      <c r="K20118" t="s">
        <v>33</v>
      </c>
      <c r="L20118" t="s">
        <v>335</v>
      </c>
      <c r="N20118" t="s">
        <v>29</v>
      </c>
    </row>
    <row r="20119" spans="1:14">
      <c r="A20119" s="4" t="str">
        <f t="shared" si="1376"/>
        <v>EXP00448</v>
      </c>
      <c r="B20119" s="3" t="s">
        <v>66</v>
      </c>
      <c r="C20119" s="4" t="str">
        <f t="shared" si="1377"/>
        <v>TCGA-THCA</v>
      </c>
      <c r="D20119" s="1" t="s">
        <v>493</v>
      </c>
      <c r="E20119" t="s">
        <v>591</v>
      </c>
      <c r="F20119" s="1">
        <v>2</v>
      </c>
      <c r="G20119" s="1" t="s">
        <v>28</v>
      </c>
      <c r="H20119" s="4" t="str">
        <f>HYPERLINK("https://portal.gdc.cancer.gov/cases/9b1dbd0d-be6d-4a88-881a-faf57ceba81c","TCGA-CE-A485-01A")</f>
        <v>TCGA-CE-A485-01A</v>
      </c>
      <c r="I20119" t="s">
        <v>333</v>
      </c>
      <c r="J20119" t="s">
        <v>584</v>
      </c>
      <c r="K20119" t="s">
        <v>33</v>
      </c>
      <c r="L20119" t="s">
        <v>335</v>
      </c>
      <c r="N20119" t="s">
        <v>29</v>
      </c>
    </row>
    <row r="20120" spans="1:14">
      <c r="A20120" s="4" t="str">
        <f t="shared" si="1376"/>
        <v>EXP00448</v>
      </c>
      <c r="B20120" s="3" t="s">
        <v>66</v>
      </c>
      <c r="C20120" s="4" t="str">
        <f t="shared" si="1377"/>
        <v>TCGA-THCA</v>
      </c>
      <c r="D20120" s="1" t="s">
        <v>493</v>
      </c>
      <c r="E20120" t="s">
        <v>591</v>
      </c>
      <c r="F20120" s="1">
        <v>2</v>
      </c>
      <c r="G20120" s="1" t="s">
        <v>28</v>
      </c>
      <c r="H20120" s="4" t="str">
        <f>HYPERLINK("https://portal.gdc.cancer.gov/cases/3e9fda23-676d-4e78-8948-0c9df3d10064","TCGA-DE-A0XZ-01A")</f>
        <v>TCGA-DE-A0XZ-01A</v>
      </c>
      <c r="I20120" t="s">
        <v>333</v>
      </c>
      <c r="J20120" t="s">
        <v>584</v>
      </c>
      <c r="K20120" t="s">
        <v>33</v>
      </c>
      <c r="L20120" t="s">
        <v>335</v>
      </c>
      <c r="N20120" t="s">
        <v>29</v>
      </c>
    </row>
    <row r="20121" spans="1:14">
      <c r="A20121" s="4" t="str">
        <f t="shared" si="1376"/>
        <v>EXP00448</v>
      </c>
      <c r="B20121" s="3" t="s">
        <v>66</v>
      </c>
      <c r="C20121" s="4" t="str">
        <f t="shared" si="1377"/>
        <v>TCGA-THCA</v>
      </c>
      <c r="D20121" s="1" t="s">
        <v>493</v>
      </c>
      <c r="E20121" t="s">
        <v>591</v>
      </c>
      <c r="F20121" s="1">
        <v>2</v>
      </c>
      <c r="G20121" s="1" t="s">
        <v>28</v>
      </c>
      <c r="H20121" s="4" t="str">
        <f>HYPERLINK("https://portal.gdc.cancer.gov/cases/6ad260ad-769a-4f3c-bd07-927adf6b2338","TCGA-DE-A0Y2-01A")</f>
        <v>TCGA-DE-A0Y2-01A</v>
      </c>
      <c r="I20121" t="s">
        <v>333</v>
      </c>
      <c r="J20121" t="s">
        <v>584</v>
      </c>
      <c r="K20121" t="s">
        <v>33</v>
      </c>
      <c r="L20121" t="s">
        <v>335</v>
      </c>
      <c r="N20121" t="s">
        <v>29</v>
      </c>
    </row>
    <row r="20122" spans="1:14">
      <c r="A20122" s="4" t="str">
        <f t="shared" si="1376"/>
        <v>EXP00448</v>
      </c>
      <c r="B20122" s="3" t="s">
        <v>66</v>
      </c>
      <c r="C20122" s="4" t="str">
        <f t="shared" si="1377"/>
        <v>TCGA-THCA</v>
      </c>
      <c r="D20122" s="1" t="s">
        <v>493</v>
      </c>
      <c r="E20122" t="s">
        <v>591</v>
      </c>
      <c r="F20122" s="1">
        <v>2</v>
      </c>
      <c r="G20122" s="1" t="s">
        <v>28</v>
      </c>
      <c r="H20122" s="4" t="str">
        <f>HYPERLINK("https://portal.gdc.cancer.gov/cases/c31b3adf-3fc6-4a72-83b0-bbc0f295b5e7","TCGA-DE-A0Y3-01B")</f>
        <v>TCGA-DE-A0Y3-01B</v>
      </c>
      <c r="I20122" t="s">
        <v>333</v>
      </c>
      <c r="J20122" t="s">
        <v>584</v>
      </c>
      <c r="K20122" t="s">
        <v>33</v>
      </c>
      <c r="L20122" t="s">
        <v>335</v>
      </c>
      <c r="N20122" t="s">
        <v>29</v>
      </c>
    </row>
    <row r="20123" spans="1:14">
      <c r="A20123" s="4" t="str">
        <f t="shared" si="1376"/>
        <v>EXP00448</v>
      </c>
      <c r="B20123" s="3" t="s">
        <v>66</v>
      </c>
      <c r="C20123" s="4" t="str">
        <f t="shared" si="1377"/>
        <v>TCGA-THCA</v>
      </c>
      <c r="D20123" s="1" t="s">
        <v>493</v>
      </c>
      <c r="E20123" t="s">
        <v>591</v>
      </c>
      <c r="F20123" s="1">
        <v>2</v>
      </c>
      <c r="G20123" s="1" t="s">
        <v>28</v>
      </c>
      <c r="H20123" s="4" t="str">
        <f>HYPERLINK("https://portal.gdc.cancer.gov/cases/77bb90f0-e923-4e28-bb88-4d6b420e0b5c","TCGA-DE-A2OL-01A")</f>
        <v>TCGA-DE-A2OL-01A</v>
      </c>
      <c r="I20123" t="s">
        <v>333</v>
      </c>
      <c r="J20123" t="s">
        <v>584</v>
      </c>
      <c r="K20123" t="s">
        <v>33</v>
      </c>
      <c r="L20123" t="s">
        <v>335</v>
      </c>
      <c r="N20123" t="s">
        <v>29</v>
      </c>
    </row>
    <row r="20124" spans="1:14">
      <c r="A20124" s="4" t="str">
        <f t="shared" si="1376"/>
        <v>EXP00448</v>
      </c>
      <c r="B20124" s="3" t="s">
        <v>66</v>
      </c>
      <c r="C20124" s="4" t="str">
        <f t="shared" si="1377"/>
        <v>TCGA-THCA</v>
      </c>
      <c r="D20124" s="1" t="s">
        <v>493</v>
      </c>
      <c r="E20124" t="s">
        <v>591</v>
      </c>
      <c r="F20124" s="1">
        <v>2</v>
      </c>
      <c r="G20124" s="1" t="s">
        <v>28</v>
      </c>
      <c r="H20124" s="4" t="str">
        <f>HYPERLINK("https://portal.gdc.cancer.gov/cases/085ffcdc-8600-42e2-852a-506465f716a2","TCGA-DE-A3KN-01A")</f>
        <v>TCGA-DE-A3KN-01A</v>
      </c>
      <c r="I20124" t="s">
        <v>333</v>
      </c>
      <c r="J20124" t="s">
        <v>584</v>
      </c>
      <c r="K20124" t="s">
        <v>33</v>
      </c>
      <c r="L20124" t="s">
        <v>335</v>
      </c>
      <c r="N20124" t="s">
        <v>29</v>
      </c>
    </row>
    <row r="20125" spans="1:14">
      <c r="A20125" s="4" t="str">
        <f t="shared" si="1376"/>
        <v>EXP00448</v>
      </c>
      <c r="B20125" s="3" t="s">
        <v>66</v>
      </c>
      <c r="C20125" s="4" t="str">
        <f t="shared" si="1377"/>
        <v>TCGA-THCA</v>
      </c>
      <c r="D20125" s="1" t="s">
        <v>493</v>
      </c>
      <c r="E20125" t="s">
        <v>591</v>
      </c>
      <c r="F20125" s="1">
        <v>2</v>
      </c>
      <c r="G20125" s="1" t="s">
        <v>28</v>
      </c>
      <c r="H20125" s="4" t="str">
        <f>HYPERLINK("https://portal.gdc.cancer.gov/cases/a4a217c1-66e8-4cc5-805a-1172ce5da721","TCGA-DE-A4M8-01A")</f>
        <v>TCGA-DE-A4M8-01A</v>
      </c>
      <c r="I20125" t="s">
        <v>333</v>
      </c>
      <c r="J20125" t="s">
        <v>584</v>
      </c>
      <c r="K20125" t="s">
        <v>33</v>
      </c>
      <c r="L20125" t="s">
        <v>335</v>
      </c>
      <c r="N20125" t="s">
        <v>29</v>
      </c>
    </row>
    <row r="20126" spans="1:14">
      <c r="A20126" s="4" t="str">
        <f t="shared" si="1376"/>
        <v>EXP00448</v>
      </c>
      <c r="B20126" s="3" t="s">
        <v>66</v>
      </c>
      <c r="C20126" s="4" t="str">
        <f t="shared" si="1377"/>
        <v>TCGA-THCA</v>
      </c>
      <c r="D20126" s="1" t="s">
        <v>493</v>
      </c>
      <c r="E20126" t="s">
        <v>591</v>
      </c>
      <c r="F20126" s="1">
        <v>2</v>
      </c>
      <c r="G20126" s="1" t="s">
        <v>28</v>
      </c>
      <c r="H20126" s="4" t="str">
        <f>HYPERLINK("https://portal.gdc.cancer.gov/cases/86657a3c-10cf-48b7-9fda-f2df5e2afad5","TCGA-DE-A4M9-01A")</f>
        <v>TCGA-DE-A4M9-01A</v>
      </c>
      <c r="I20126" t="s">
        <v>333</v>
      </c>
      <c r="J20126" t="s">
        <v>584</v>
      </c>
      <c r="K20126" t="s">
        <v>33</v>
      </c>
      <c r="L20126" t="s">
        <v>335</v>
      </c>
      <c r="N20126" t="s">
        <v>29</v>
      </c>
    </row>
    <row r="20127" spans="1:14">
      <c r="A20127" s="4" t="str">
        <f t="shared" si="1376"/>
        <v>EXP00448</v>
      </c>
      <c r="B20127" s="3" t="s">
        <v>66</v>
      </c>
      <c r="C20127" s="4" t="str">
        <f t="shared" si="1377"/>
        <v>TCGA-THCA</v>
      </c>
      <c r="D20127" s="1" t="s">
        <v>493</v>
      </c>
      <c r="E20127" t="s">
        <v>591</v>
      </c>
      <c r="F20127" s="1">
        <v>2</v>
      </c>
      <c r="G20127" s="1" t="s">
        <v>28</v>
      </c>
      <c r="H20127" s="4" t="str">
        <f>HYPERLINK("https://portal.gdc.cancer.gov/cases/89c72f0e-e724-4826-bb9c-d7524d1b1258","TCGA-DE-A4MA-01A")</f>
        <v>TCGA-DE-A4MA-01A</v>
      </c>
      <c r="I20127" t="s">
        <v>333</v>
      </c>
      <c r="J20127" t="s">
        <v>584</v>
      </c>
      <c r="K20127" t="s">
        <v>33</v>
      </c>
      <c r="L20127" t="s">
        <v>335</v>
      </c>
      <c r="N20127" t="s">
        <v>29</v>
      </c>
    </row>
    <row r="20128" spans="1:14">
      <c r="A20128" s="4" t="str">
        <f t="shared" si="1376"/>
        <v>EXP00448</v>
      </c>
      <c r="B20128" s="3" t="s">
        <v>66</v>
      </c>
      <c r="C20128" s="4" t="str">
        <f t="shared" si="1377"/>
        <v>TCGA-THCA</v>
      </c>
      <c r="D20128" s="1" t="s">
        <v>493</v>
      </c>
      <c r="E20128" t="s">
        <v>591</v>
      </c>
      <c r="F20128" s="1">
        <v>2</v>
      </c>
      <c r="G20128" s="1" t="s">
        <v>28</v>
      </c>
      <c r="H20128" s="4" t="str">
        <f>HYPERLINK("https://portal.gdc.cancer.gov/cases/4ec2bb20-2190-4c37-8aaa-4086fef1fbb6","TCGA-DE-A4MB-01A")</f>
        <v>TCGA-DE-A4MB-01A</v>
      </c>
      <c r="I20128" t="s">
        <v>333</v>
      </c>
      <c r="J20128" t="s">
        <v>584</v>
      </c>
      <c r="K20128" t="s">
        <v>33</v>
      </c>
      <c r="L20128" t="s">
        <v>335</v>
      </c>
      <c r="N20128" t="s">
        <v>29</v>
      </c>
    </row>
    <row r="20129" spans="1:14">
      <c r="A20129" s="4" t="str">
        <f t="shared" si="1376"/>
        <v>EXP00448</v>
      </c>
      <c r="B20129" s="3" t="s">
        <v>66</v>
      </c>
      <c r="C20129" s="4" t="str">
        <f t="shared" si="1377"/>
        <v>TCGA-THCA</v>
      </c>
      <c r="D20129" s="1" t="s">
        <v>493</v>
      </c>
      <c r="E20129" t="s">
        <v>591</v>
      </c>
      <c r="F20129" s="1">
        <v>2</v>
      </c>
      <c r="G20129" s="1" t="s">
        <v>28</v>
      </c>
      <c r="H20129" s="4" t="str">
        <f>HYPERLINK("https://portal.gdc.cancer.gov/cases/85def63a-39ab-4c83-ab8c-02c6f702f05d","TCGA-DE-A4MC-01A")</f>
        <v>TCGA-DE-A4MC-01A</v>
      </c>
      <c r="I20129" t="s">
        <v>333</v>
      </c>
      <c r="J20129" t="s">
        <v>584</v>
      </c>
      <c r="K20129" t="s">
        <v>33</v>
      </c>
      <c r="L20129" t="s">
        <v>335</v>
      </c>
      <c r="N20129" t="s">
        <v>29</v>
      </c>
    </row>
    <row r="20130" spans="1:14">
      <c r="A20130" s="4" t="str">
        <f t="shared" si="1376"/>
        <v>EXP00448</v>
      </c>
      <c r="B20130" s="3" t="s">
        <v>66</v>
      </c>
      <c r="C20130" s="4" t="str">
        <f t="shared" si="1377"/>
        <v>TCGA-THCA</v>
      </c>
      <c r="D20130" s="1" t="s">
        <v>493</v>
      </c>
      <c r="E20130" t="s">
        <v>591</v>
      </c>
      <c r="F20130" s="1">
        <v>2</v>
      </c>
      <c r="G20130" s="1" t="s">
        <v>28</v>
      </c>
      <c r="H20130" s="4" t="str">
        <f>HYPERLINK("https://portal.gdc.cancer.gov/cases/9efd27c7-9893-49fd-886e-e85057dd5d2e","TCGA-DE-A69J-01A")</f>
        <v>TCGA-DE-A69J-01A</v>
      </c>
      <c r="I20130" t="s">
        <v>333</v>
      </c>
      <c r="J20130" t="s">
        <v>584</v>
      </c>
      <c r="K20130" t="s">
        <v>33</v>
      </c>
      <c r="L20130" t="s">
        <v>335</v>
      </c>
      <c r="N20130" t="s">
        <v>29</v>
      </c>
    </row>
    <row r="20131" spans="1:14">
      <c r="A20131" s="4" t="str">
        <f t="shared" si="1376"/>
        <v>EXP00448</v>
      </c>
      <c r="B20131" s="3" t="s">
        <v>66</v>
      </c>
      <c r="C20131" s="4" t="str">
        <f t="shared" si="1377"/>
        <v>TCGA-THCA</v>
      </c>
      <c r="D20131" s="1" t="s">
        <v>493</v>
      </c>
      <c r="E20131" t="s">
        <v>591</v>
      </c>
      <c r="F20131" s="1">
        <v>2</v>
      </c>
      <c r="G20131" s="1" t="s">
        <v>28</v>
      </c>
      <c r="H20131" s="4" t="str">
        <f>HYPERLINK("https://portal.gdc.cancer.gov/cases/7f9fad75-ac3e-4580-b949-80eed07a3230","TCGA-DE-A69K-01A")</f>
        <v>TCGA-DE-A69K-01A</v>
      </c>
      <c r="I20131" t="s">
        <v>333</v>
      </c>
      <c r="J20131" t="s">
        <v>584</v>
      </c>
      <c r="K20131" t="s">
        <v>33</v>
      </c>
      <c r="L20131" t="s">
        <v>335</v>
      </c>
      <c r="N20131" t="s">
        <v>29</v>
      </c>
    </row>
    <row r="20132" spans="1:14">
      <c r="A20132" s="4" t="str">
        <f t="shared" si="1376"/>
        <v>EXP00448</v>
      </c>
      <c r="B20132" s="3" t="s">
        <v>66</v>
      </c>
      <c r="C20132" s="4" t="str">
        <f t="shared" si="1377"/>
        <v>TCGA-THCA</v>
      </c>
      <c r="D20132" s="1" t="s">
        <v>493</v>
      </c>
      <c r="E20132" t="s">
        <v>591</v>
      </c>
      <c r="F20132" s="1">
        <v>2</v>
      </c>
      <c r="G20132" s="1" t="s">
        <v>28</v>
      </c>
      <c r="H20132" s="4" t="str">
        <f>HYPERLINK("https://portal.gdc.cancer.gov/cases/2378935d-aebd-4f6f-b31b-53bc6bd59bf9","TCGA-DE-A7U5-01A")</f>
        <v>TCGA-DE-A7U5-01A</v>
      </c>
      <c r="I20132" t="s">
        <v>333</v>
      </c>
      <c r="J20132" t="s">
        <v>584</v>
      </c>
      <c r="K20132" t="s">
        <v>33</v>
      </c>
      <c r="L20132" t="s">
        <v>335</v>
      </c>
      <c r="N20132" t="s">
        <v>29</v>
      </c>
    </row>
    <row r="20133" spans="1:14">
      <c r="A20133" s="4" t="str">
        <f t="shared" si="1376"/>
        <v>EXP00448</v>
      </c>
      <c r="B20133" s="3" t="s">
        <v>66</v>
      </c>
      <c r="C20133" s="4" t="str">
        <f t="shared" si="1377"/>
        <v>TCGA-THCA</v>
      </c>
      <c r="D20133" s="1" t="s">
        <v>493</v>
      </c>
      <c r="E20133" t="s">
        <v>591</v>
      </c>
      <c r="F20133" s="1">
        <v>2</v>
      </c>
      <c r="G20133" s="1" t="s">
        <v>28</v>
      </c>
      <c r="H20133" s="4" t="str">
        <f>HYPERLINK("https://portal.gdc.cancer.gov/cases/c7a2f394-3e3f-4c90-9f1e-f2be3e5b0d6b","TCGA-DJ-A13L-01A")</f>
        <v>TCGA-DJ-A13L-01A</v>
      </c>
      <c r="I20133" t="s">
        <v>333</v>
      </c>
      <c r="J20133" t="s">
        <v>584</v>
      </c>
      <c r="K20133" t="s">
        <v>33</v>
      </c>
      <c r="L20133" t="s">
        <v>335</v>
      </c>
      <c r="N20133" t="s">
        <v>29</v>
      </c>
    </row>
    <row r="20134" spans="1:14">
      <c r="A20134" s="4" t="str">
        <f t="shared" ref="A20134:A20197" si="1378">HYPERLINK("http://hcmdb.i-sanger.com/experiment/details/experiment_id/EXP00448","EXP00448")</f>
        <v>EXP00448</v>
      </c>
      <c r="B20134" s="3" t="s">
        <v>66</v>
      </c>
      <c r="C20134" s="4" t="str">
        <f t="shared" si="1377"/>
        <v>TCGA-THCA</v>
      </c>
      <c r="D20134" s="1" t="s">
        <v>493</v>
      </c>
      <c r="E20134" t="s">
        <v>591</v>
      </c>
      <c r="F20134" s="1">
        <v>2</v>
      </c>
      <c r="G20134" s="1" t="s">
        <v>28</v>
      </c>
      <c r="H20134" s="4" t="str">
        <f>HYPERLINK("https://portal.gdc.cancer.gov/cases/ba9dec81-ffc0-453a-9621-94beba45fab1","TCGA-DJ-A13M-01A")</f>
        <v>TCGA-DJ-A13M-01A</v>
      </c>
      <c r="I20134" t="s">
        <v>333</v>
      </c>
      <c r="J20134" t="s">
        <v>584</v>
      </c>
      <c r="K20134" t="s">
        <v>33</v>
      </c>
      <c r="L20134" t="s">
        <v>335</v>
      </c>
      <c r="N20134" t="s">
        <v>29</v>
      </c>
    </row>
    <row r="20135" spans="1:14">
      <c r="A20135" s="4" t="str">
        <f t="shared" si="1378"/>
        <v>EXP00448</v>
      </c>
      <c r="B20135" s="3" t="s">
        <v>66</v>
      </c>
      <c r="C20135" s="4" t="str">
        <f t="shared" si="1377"/>
        <v>TCGA-THCA</v>
      </c>
      <c r="D20135" s="1" t="s">
        <v>493</v>
      </c>
      <c r="E20135" t="s">
        <v>591</v>
      </c>
      <c r="F20135" s="1">
        <v>2</v>
      </c>
      <c r="G20135" s="1" t="s">
        <v>28</v>
      </c>
      <c r="H20135" s="4" t="str">
        <f>HYPERLINK("https://portal.gdc.cancer.gov/cases/77d5b246-33ba-4a96-9d73-06aca797653e","TCGA-DJ-A13O-01A")</f>
        <v>TCGA-DJ-A13O-01A</v>
      </c>
      <c r="I20135" t="s">
        <v>333</v>
      </c>
      <c r="J20135" t="s">
        <v>584</v>
      </c>
      <c r="K20135" t="s">
        <v>33</v>
      </c>
      <c r="L20135" t="s">
        <v>335</v>
      </c>
      <c r="N20135" t="s">
        <v>29</v>
      </c>
    </row>
    <row r="20136" spans="1:14">
      <c r="A20136" s="4" t="str">
        <f t="shared" si="1378"/>
        <v>EXP00448</v>
      </c>
      <c r="B20136" s="3" t="s">
        <v>66</v>
      </c>
      <c r="C20136" s="4" t="str">
        <f t="shared" si="1377"/>
        <v>TCGA-THCA</v>
      </c>
      <c r="D20136" s="1" t="s">
        <v>493</v>
      </c>
      <c r="E20136" t="s">
        <v>591</v>
      </c>
      <c r="F20136" s="1">
        <v>2</v>
      </c>
      <c r="G20136" s="1" t="s">
        <v>28</v>
      </c>
      <c r="H20136" s="4" t="str">
        <f>HYPERLINK("https://portal.gdc.cancer.gov/cases/ca95a11c-b54c-409e-b9a0-da850945033d","TCGA-DJ-A13P-01A")</f>
        <v>TCGA-DJ-A13P-01A</v>
      </c>
      <c r="I20136" t="s">
        <v>333</v>
      </c>
      <c r="J20136" t="s">
        <v>584</v>
      </c>
      <c r="K20136" t="s">
        <v>33</v>
      </c>
      <c r="L20136" t="s">
        <v>335</v>
      </c>
      <c r="N20136" t="s">
        <v>29</v>
      </c>
    </row>
    <row r="20137" spans="1:14">
      <c r="A20137" s="4" t="str">
        <f t="shared" si="1378"/>
        <v>EXP00448</v>
      </c>
      <c r="B20137" s="3" t="s">
        <v>66</v>
      </c>
      <c r="C20137" s="4" t="str">
        <f t="shared" si="1377"/>
        <v>TCGA-THCA</v>
      </c>
      <c r="D20137" s="1" t="s">
        <v>493</v>
      </c>
      <c r="E20137" t="s">
        <v>591</v>
      </c>
      <c r="F20137" s="1">
        <v>2</v>
      </c>
      <c r="G20137" s="1" t="s">
        <v>28</v>
      </c>
      <c r="H20137" s="4" t="str">
        <f>HYPERLINK("https://portal.gdc.cancer.gov/cases/3e787a0e-b5d2-401e-b1e5-077376090b3a","TCGA-DJ-A13R-01A")</f>
        <v>TCGA-DJ-A13R-01A</v>
      </c>
      <c r="I20137" t="s">
        <v>333</v>
      </c>
      <c r="J20137" t="s">
        <v>584</v>
      </c>
      <c r="K20137" t="s">
        <v>33</v>
      </c>
      <c r="L20137" t="s">
        <v>335</v>
      </c>
      <c r="N20137" t="s">
        <v>29</v>
      </c>
    </row>
    <row r="20138" spans="1:14">
      <c r="A20138" s="4" t="str">
        <f t="shared" si="1378"/>
        <v>EXP00448</v>
      </c>
      <c r="B20138" s="3" t="s">
        <v>66</v>
      </c>
      <c r="C20138" s="4" t="str">
        <f t="shared" si="1377"/>
        <v>TCGA-THCA</v>
      </c>
      <c r="D20138" s="1" t="s">
        <v>493</v>
      </c>
      <c r="E20138" t="s">
        <v>591</v>
      </c>
      <c r="F20138" s="1">
        <v>2</v>
      </c>
      <c r="G20138" s="1" t="s">
        <v>28</v>
      </c>
      <c r="H20138" s="4" t="str">
        <f>HYPERLINK("https://portal.gdc.cancer.gov/cases/8aa99f35-c644-4f91-9eff-a5d3fae758b0","TCGA-DJ-A13S-01A")</f>
        <v>TCGA-DJ-A13S-01A</v>
      </c>
      <c r="I20138" t="s">
        <v>333</v>
      </c>
      <c r="J20138" t="s">
        <v>584</v>
      </c>
      <c r="K20138" t="s">
        <v>33</v>
      </c>
      <c r="L20138" t="s">
        <v>335</v>
      </c>
      <c r="N20138" t="s">
        <v>29</v>
      </c>
    </row>
    <row r="20139" spans="1:14">
      <c r="A20139" s="4" t="str">
        <f t="shared" si="1378"/>
        <v>EXP00448</v>
      </c>
      <c r="B20139" s="3" t="s">
        <v>66</v>
      </c>
      <c r="C20139" s="4" t="str">
        <f t="shared" si="1377"/>
        <v>TCGA-THCA</v>
      </c>
      <c r="D20139" s="1" t="s">
        <v>493</v>
      </c>
      <c r="E20139" t="s">
        <v>591</v>
      </c>
      <c r="F20139" s="1">
        <v>2</v>
      </c>
      <c r="G20139" s="1" t="s">
        <v>28</v>
      </c>
      <c r="H20139" s="4" t="str">
        <f>HYPERLINK("https://portal.gdc.cancer.gov/cases/0b170ed4-d919-466b-b765-47878b865aed","TCGA-DJ-A13T-01A")</f>
        <v>TCGA-DJ-A13T-01A</v>
      </c>
      <c r="I20139" t="s">
        <v>333</v>
      </c>
      <c r="J20139" t="s">
        <v>584</v>
      </c>
      <c r="K20139" t="s">
        <v>33</v>
      </c>
      <c r="L20139" t="s">
        <v>335</v>
      </c>
      <c r="N20139" t="s">
        <v>29</v>
      </c>
    </row>
    <row r="20140" spans="1:14">
      <c r="A20140" s="4" t="str">
        <f t="shared" si="1378"/>
        <v>EXP00448</v>
      </c>
      <c r="B20140" s="3" t="s">
        <v>66</v>
      </c>
      <c r="C20140" s="4" t="str">
        <f t="shared" si="1377"/>
        <v>TCGA-THCA</v>
      </c>
      <c r="D20140" s="1" t="s">
        <v>493</v>
      </c>
      <c r="E20140" t="s">
        <v>591</v>
      </c>
      <c r="F20140" s="1">
        <v>2</v>
      </c>
      <c r="G20140" s="1" t="s">
        <v>28</v>
      </c>
      <c r="H20140" s="4" t="str">
        <f>HYPERLINK("https://portal.gdc.cancer.gov/cases/8c5aef43-341e-4a37-84eb-fd730eb957c7","TCGA-DJ-A13U-01A")</f>
        <v>TCGA-DJ-A13U-01A</v>
      </c>
      <c r="I20140" t="s">
        <v>333</v>
      </c>
      <c r="J20140" t="s">
        <v>584</v>
      </c>
      <c r="K20140" t="s">
        <v>33</v>
      </c>
      <c r="L20140" t="s">
        <v>335</v>
      </c>
      <c r="N20140" t="s">
        <v>29</v>
      </c>
    </row>
    <row r="20141" spans="1:14">
      <c r="A20141" s="4" t="str">
        <f t="shared" si="1378"/>
        <v>EXP00448</v>
      </c>
      <c r="B20141" s="3" t="s">
        <v>66</v>
      </c>
      <c r="C20141" s="4" t="str">
        <f t="shared" si="1377"/>
        <v>TCGA-THCA</v>
      </c>
      <c r="D20141" s="1" t="s">
        <v>493</v>
      </c>
      <c r="E20141" t="s">
        <v>591</v>
      </c>
      <c r="F20141" s="1">
        <v>2</v>
      </c>
      <c r="G20141" s="1" t="s">
        <v>28</v>
      </c>
      <c r="H20141" s="4" t="str">
        <f>HYPERLINK("https://portal.gdc.cancer.gov/cases/3b48cc5e-3396-4dd5-893d-54b75b98b016","TCGA-DJ-A13W-01A")</f>
        <v>TCGA-DJ-A13W-01A</v>
      </c>
      <c r="I20141" t="s">
        <v>333</v>
      </c>
      <c r="J20141" t="s">
        <v>584</v>
      </c>
      <c r="K20141" t="s">
        <v>33</v>
      </c>
      <c r="L20141" t="s">
        <v>335</v>
      </c>
      <c r="N20141" t="s">
        <v>29</v>
      </c>
    </row>
    <row r="20142" spans="1:14">
      <c r="A20142" s="4" t="str">
        <f t="shared" si="1378"/>
        <v>EXP00448</v>
      </c>
      <c r="B20142" s="3" t="s">
        <v>66</v>
      </c>
      <c r="C20142" s="4" t="str">
        <f t="shared" si="1377"/>
        <v>TCGA-THCA</v>
      </c>
      <c r="D20142" s="1" t="s">
        <v>493</v>
      </c>
      <c r="E20142" t="s">
        <v>591</v>
      </c>
      <c r="F20142" s="1">
        <v>2</v>
      </c>
      <c r="G20142" s="1" t="s">
        <v>28</v>
      </c>
      <c r="H20142" s="4" t="str">
        <f>HYPERLINK("https://portal.gdc.cancer.gov/cases/3b3c99ab-5336-4433-b682-e1a590221611","TCGA-DJ-A13X-01A")</f>
        <v>TCGA-DJ-A13X-01A</v>
      </c>
      <c r="I20142" t="s">
        <v>333</v>
      </c>
      <c r="J20142" t="s">
        <v>584</v>
      </c>
      <c r="K20142" t="s">
        <v>33</v>
      </c>
      <c r="L20142" t="s">
        <v>335</v>
      </c>
      <c r="N20142" t="s">
        <v>29</v>
      </c>
    </row>
    <row r="20143" spans="1:14">
      <c r="A20143" s="4" t="str">
        <f t="shared" si="1378"/>
        <v>EXP00448</v>
      </c>
      <c r="B20143" s="3" t="s">
        <v>66</v>
      </c>
      <c r="C20143" s="4" t="str">
        <f t="shared" si="1377"/>
        <v>TCGA-THCA</v>
      </c>
      <c r="D20143" s="1" t="s">
        <v>493</v>
      </c>
      <c r="E20143" t="s">
        <v>591</v>
      </c>
      <c r="F20143" s="1">
        <v>2</v>
      </c>
      <c r="G20143" s="1" t="s">
        <v>28</v>
      </c>
      <c r="H20143" s="4" t="str">
        <f>HYPERLINK("https://portal.gdc.cancer.gov/cases/da201150-748e-4b74-bb35-10c995e26079","TCGA-DJ-A1QD-01A")</f>
        <v>TCGA-DJ-A1QD-01A</v>
      </c>
      <c r="I20143" t="s">
        <v>333</v>
      </c>
      <c r="J20143" t="s">
        <v>584</v>
      </c>
      <c r="K20143" t="s">
        <v>33</v>
      </c>
      <c r="L20143" t="s">
        <v>335</v>
      </c>
      <c r="N20143" t="s">
        <v>29</v>
      </c>
    </row>
    <row r="20144" spans="1:14">
      <c r="A20144" s="4" t="str">
        <f t="shared" si="1378"/>
        <v>EXP00448</v>
      </c>
      <c r="B20144" s="3" t="s">
        <v>66</v>
      </c>
      <c r="C20144" s="4" t="str">
        <f t="shared" si="1377"/>
        <v>TCGA-THCA</v>
      </c>
      <c r="D20144" s="1" t="s">
        <v>493</v>
      </c>
      <c r="E20144" t="s">
        <v>591</v>
      </c>
      <c r="F20144" s="1">
        <v>2</v>
      </c>
      <c r="G20144" s="1" t="s">
        <v>28</v>
      </c>
      <c r="H20144" s="4" t="str">
        <f>HYPERLINK("https://portal.gdc.cancer.gov/cases/dccba97d-4e81-42fb-93b3-90be68a034fb","TCGA-DJ-A1QE-01A")</f>
        <v>TCGA-DJ-A1QE-01A</v>
      </c>
      <c r="I20144" t="s">
        <v>333</v>
      </c>
      <c r="J20144" t="s">
        <v>584</v>
      </c>
      <c r="K20144" t="s">
        <v>33</v>
      </c>
      <c r="L20144" t="s">
        <v>335</v>
      </c>
      <c r="N20144" t="s">
        <v>29</v>
      </c>
    </row>
    <row r="20145" spans="1:14">
      <c r="A20145" s="4" t="str">
        <f t="shared" si="1378"/>
        <v>EXP00448</v>
      </c>
      <c r="B20145" s="3" t="s">
        <v>66</v>
      </c>
      <c r="C20145" s="4" t="str">
        <f t="shared" si="1377"/>
        <v>TCGA-THCA</v>
      </c>
      <c r="D20145" s="1" t="s">
        <v>493</v>
      </c>
      <c r="E20145" t="s">
        <v>591</v>
      </c>
      <c r="F20145" s="1">
        <v>2</v>
      </c>
      <c r="G20145" s="1" t="s">
        <v>28</v>
      </c>
      <c r="H20145" s="4" t="str">
        <f>HYPERLINK("https://portal.gdc.cancer.gov/cases/fca0c7d9-5e6f-4aa7-ba04-5df2eb8ba398","TCGA-DJ-A1QF-01A")</f>
        <v>TCGA-DJ-A1QF-01A</v>
      </c>
      <c r="I20145" t="s">
        <v>333</v>
      </c>
      <c r="J20145" t="s">
        <v>584</v>
      </c>
      <c r="K20145" t="s">
        <v>33</v>
      </c>
      <c r="L20145" t="s">
        <v>335</v>
      </c>
      <c r="N20145" t="s">
        <v>29</v>
      </c>
    </row>
    <row r="20146" spans="1:14">
      <c r="A20146" s="4" t="str">
        <f t="shared" si="1378"/>
        <v>EXP00448</v>
      </c>
      <c r="B20146" s="3" t="s">
        <v>66</v>
      </c>
      <c r="C20146" s="4" t="str">
        <f t="shared" si="1377"/>
        <v>TCGA-THCA</v>
      </c>
      <c r="D20146" s="1" t="s">
        <v>493</v>
      </c>
      <c r="E20146" t="s">
        <v>591</v>
      </c>
      <c r="F20146" s="1">
        <v>2</v>
      </c>
      <c r="G20146" s="1" t="s">
        <v>28</v>
      </c>
      <c r="H20146" s="4" t="str">
        <f>HYPERLINK("https://portal.gdc.cancer.gov/cases/cb29e795-7618-4882-a7e0-69d39787b80c","TCGA-DJ-A1QG-01A")</f>
        <v>TCGA-DJ-A1QG-01A</v>
      </c>
      <c r="I20146" t="s">
        <v>333</v>
      </c>
      <c r="J20146" t="s">
        <v>584</v>
      </c>
      <c r="K20146" t="s">
        <v>33</v>
      </c>
      <c r="L20146" t="s">
        <v>335</v>
      </c>
      <c r="N20146" t="s">
        <v>29</v>
      </c>
    </row>
    <row r="20147" spans="1:14">
      <c r="A20147" s="4" t="str">
        <f t="shared" si="1378"/>
        <v>EXP00448</v>
      </c>
      <c r="B20147" s="3" t="s">
        <v>66</v>
      </c>
      <c r="C20147" s="4" t="str">
        <f t="shared" si="1377"/>
        <v>TCGA-THCA</v>
      </c>
      <c r="D20147" s="1" t="s">
        <v>493</v>
      </c>
      <c r="E20147" t="s">
        <v>591</v>
      </c>
      <c r="F20147" s="1">
        <v>2</v>
      </c>
      <c r="G20147" s="1" t="s">
        <v>28</v>
      </c>
      <c r="H20147" s="4" t="str">
        <f>HYPERLINK("https://portal.gdc.cancer.gov/cases/f3c73dc9-6280-4619-a629-b575fdbdb0ca","TCGA-DJ-A1QH-01A")</f>
        <v>TCGA-DJ-A1QH-01A</v>
      </c>
      <c r="I20147" t="s">
        <v>333</v>
      </c>
      <c r="J20147" t="s">
        <v>584</v>
      </c>
      <c r="K20147" t="s">
        <v>33</v>
      </c>
      <c r="L20147" t="s">
        <v>335</v>
      </c>
      <c r="N20147" t="s">
        <v>29</v>
      </c>
    </row>
    <row r="20148" spans="1:14">
      <c r="A20148" s="4" t="str">
        <f t="shared" si="1378"/>
        <v>EXP00448</v>
      </c>
      <c r="B20148" s="3" t="s">
        <v>66</v>
      </c>
      <c r="C20148" s="4" t="str">
        <f t="shared" si="1377"/>
        <v>TCGA-THCA</v>
      </c>
      <c r="D20148" s="1" t="s">
        <v>493</v>
      </c>
      <c r="E20148" t="s">
        <v>591</v>
      </c>
      <c r="F20148" s="1">
        <v>2</v>
      </c>
      <c r="G20148" s="1" t="s">
        <v>28</v>
      </c>
      <c r="H20148" s="4" t="str">
        <f>HYPERLINK("https://portal.gdc.cancer.gov/cases/3b1e2bd6-3d32-40f7-9b32-0df32dfcbc72","TCGA-DJ-A1QI-01A")</f>
        <v>TCGA-DJ-A1QI-01A</v>
      </c>
      <c r="I20148" t="s">
        <v>333</v>
      </c>
      <c r="J20148" t="s">
        <v>584</v>
      </c>
      <c r="K20148" t="s">
        <v>33</v>
      </c>
      <c r="L20148" t="s">
        <v>335</v>
      </c>
      <c r="N20148" t="s">
        <v>29</v>
      </c>
    </row>
    <row r="20149" spans="1:14">
      <c r="A20149" s="4" t="str">
        <f t="shared" si="1378"/>
        <v>EXP00448</v>
      </c>
      <c r="B20149" s="3" t="s">
        <v>66</v>
      </c>
      <c r="C20149" s="4" t="str">
        <f t="shared" ref="C20149:C20212" si="1379">HYPERLINK("https://portal.gdc.cancer.gov/projects/TCGA-THCA","TCGA-THCA")</f>
        <v>TCGA-THCA</v>
      </c>
      <c r="D20149" s="1" t="s">
        <v>493</v>
      </c>
      <c r="E20149" t="s">
        <v>591</v>
      </c>
      <c r="F20149" s="1">
        <v>2</v>
      </c>
      <c r="G20149" s="1" t="s">
        <v>28</v>
      </c>
      <c r="H20149" s="4" t="str">
        <f>HYPERLINK("https://portal.gdc.cancer.gov/cases/e4b08e66-0772-4956-8670-e5c6553eecbe","TCGA-DJ-A1QL-01A")</f>
        <v>TCGA-DJ-A1QL-01A</v>
      </c>
      <c r="I20149" t="s">
        <v>333</v>
      </c>
      <c r="J20149" t="s">
        <v>584</v>
      </c>
      <c r="K20149" t="s">
        <v>33</v>
      </c>
      <c r="L20149" t="s">
        <v>335</v>
      </c>
      <c r="N20149" t="s">
        <v>29</v>
      </c>
    </row>
    <row r="20150" spans="1:14">
      <c r="A20150" s="4" t="str">
        <f t="shared" si="1378"/>
        <v>EXP00448</v>
      </c>
      <c r="B20150" s="3" t="s">
        <v>66</v>
      </c>
      <c r="C20150" s="4" t="str">
        <f t="shared" si="1379"/>
        <v>TCGA-THCA</v>
      </c>
      <c r="D20150" s="1" t="s">
        <v>493</v>
      </c>
      <c r="E20150" t="s">
        <v>591</v>
      </c>
      <c r="F20150" s="1">
        <v>2</v>
      </c>
      <c r="G20150" s="1" t="s">
        <v>28</v>
      </c>
      <c r="H20150" s="4" t="str">
        <f>HYPERLINK("https://portal.gdc.cancer.gov/cases/3597af5e-65ff-40a7-95fc-dacc26cbca14","TCGA-DJ-A1QM-01A")</f>
        <v>TCGA-DJ-A1QM-01A</v>
      </c>
      <c r="I20150" t="s">
        <v>333</v>
      </c>
      <c r="J20150" t="s">
        <v>584</v>
      </c>
      <c r="K20150" t="s">
        <v>33</v>
      </c>
      <c r="L20150" t="s">
        <v>335</v>
      </c>
      <c r="N20150" t="s">
        <v>29</v>
      </c>
    </row>
    <row r="20151" spans="1:14">
      <c r="A20151" s="4" t="str">
        <f t="shared" si="1378"/>
        <v>EXP00448</v>
      </c>
      <c r="B20151" s="3" t="s">
        <v>66</v>
      </c>
      <c r="C20151" s="4" t="str">
        <f t="shared" si="1379"/>
        <v>TCGA-THCA</v>
      </c>
      <c r="D20151" s="1" t="s">
        <v>493</v>
      </c>
      <c r="E20151" t="s">
        <v>591</v>
      </c>
      <c r="F20151" s="1">
        <v>2</v>
      </c>
      <c r="G20151" s="1" t="s">
        <v>28</v>
      </c>
      <c r="H20151" s="4" t="str">
        <f>HYPERLINK("https://portal.gdc.cancer.gov/cases/2012869d-c169-4cea-aa09-c892fb79bbaa","TCGA-DJ-A1QN-01A")</f>
        <v>TCGA-DJ-A1QN-01A</v>
      </c>
      <c r="I20151" t="s">
        <v>333</v>
      </c>
      <c r="J20151" t="s">
        <v>584</v>
      </c>
      <c r="K20151" t="s">
        <v>33</v>
      </c>
      <c r="L20151" t="s">
        <v>335</v>
      </c>
      <c r="N20151" t="s">
        <v>29</v>
      </c>
    </row>
    <row r="20152" spans="1:14">
      <c r="A20152" s="4" t="str">
        <f t="shared" si="1378"/>
        <v>EXP00448</v>
      </c>
      <c r="B20152" s="3" t="s">
        <v>66</v>
      </c>
      <c r="C20152" s="4" t="str">
        <f t="shared" si="1379"/>
        <v>TCGA-THCA</v>
      </c>
      <c r="D20152" s="1" t="s">
        <v>493</v>
      </c>
      <c r="E20152" t="s">
        <v>591</v>
      </c>
      <c r="F20152" s="1">
        <v>2</v>
      </c>
      <c r="G20152" s="1" t="s">
        <v>28</v>
      </c>
      <c r="H20152" s="4" t="str">
        <f>HYPERLINK("https://portal.gdc.cancer.gov/cases/f2ad720e-579f-4e2c-a3f0-17877ca91067","TCGA-DJ-A1QO-01A")</f>
        <v>TCGA-DJ-A1QO-01A</v>
      </c>
      <c r="I20152" t="s">
        <v>333</v>
      </c>
      <c r="J20152" t="s">
        <v>584</v>
      </c>
      <c r="K20152" t="s">
        <v>33</v>
      </c>
      <c r="L20152" t="s">
        <v>335</v>
      </c>
      <c r="N20152" t="s">
        <v>29</v>
      </c>
    </row>
    <row r="20153" spans="1:14">
      <c r="A20153" s="4" t="str">
        <f t="shared" si="1378"/>
        <v>EXP00448</v>
      </c>
      <c r="B20153" s="3" t="s">
        <v>66</v>
      </c>
      <c r="C20153" s="4" t="str">
        <f t="shared" si="1379"/>
        <v>TCGA-THCA</v>
      </c>
      <c r="D20153" s="1" t="s">
        <v>493</v>
      </c>
      <c r="E20153" t="s">
        <v>591</v>
      </c>
      <c r="F20153" s="1">
        <v>2</v>
      </c>
      <c r="G20153" s="1" t="s">
        <v>28</v>
      </c>
      <c r="H20153" s="4" t="str">
        <f>HYPERLINK("https://portal.gdc.cancer.gov/cases/99ef2fec-5a3c-4e42-8f78-7eaf9877e26d","TCGA-DJ-A1QQ-01A")</f>
        <v>TCGA-DJ-A1QQ-01A</v>
      </c>
      <c r="I20153" t="s">
        <v>333</v>
      </c>
      <c r="J20153" t="s">
        <v>584</v>
      </c>
      <c r="K20153" t="s">
        <v>33</v>
      </c>
      <c r="L20153" t="s">
        <v>335</v>
      </c>
      <c r="N20153" t="s">
        <v>29</v>
      </c>
    </row>
    <row r="20154" spans="1:14">
      <c r="A20154" s="4" t="str">
        <f t="shared" si="1378"/>
        <v>EXP00448</v>
      </c>
      <c r="B20154" s="3" t="s">
        <v>66</v>
      </c>
      <c r="C20154" s="4" t="str">
        <f t="shared" si="1379"/>
        <v>TCGA-THCA</v>
      </c>
      <c r="D20154" s="1" t="s">
        <v>493</v>
      </c>
      <c r="E20154" t="s">
        <v>591</v>
      </c>
      <c r="F20154" s="1">
        <v>2</v>
      </c>
      <c r="G20154" s="1" t="s">
        <v>28</v>
      </c>
      <c r="H20154" s="4" t="str">
        <f>HYPERLINK("https://portal.gdc.cancer.gov/cases/fb39f29a-5d1e-4f96-8adb-e18cc87fad2e","TCGA-DJ-A2PN-01A")</f>
        <v>TCGA-DJ-A2PN-01A</v>
      </c>
      <c r="I20154" t="s">
        <v>333</v>
      </c>
      <c r="J20154" t="s">
        <v>584</v>
      </c>
      <c r="K20154" t="s">
        <v>33</v>
      </c>
      <c r="L20154" t="s">
        <v>335</v>
      </c>
      <c r="N20154" t="s">
        <v>29</v>
      </c>
    </row>
    <row r="20155" spans="1:14">
      <c r="A20155" s="4" t="str">
        <f t="shared" si="1378"/>
        <v>EXP00448</v>
      </c>
      <c r="B20155" s="3" t="s">
        <v>66</v>
      </c>
      <c r="C20155" s="4" t="str">
        <f t="shared" si="1379"/>
        <v>TCGA-THCA</v>
      </c>
      <c r="D20155" s="1" t="s">
        <v>493</v>
      </c>
      <c r="E20155" t="s">
        <v>591</v>
      </c>
      <c r="F20155" s="1">
        <v>2</v>
      </c>
      <c r="G20155" s="1" t="s">
        <v>28</v>
      </c>
      <c r="H20155" s="4" t="str">
        <f>HYPERLINK("https://portal.gdc.cancer.gov/cases/d60f6620-575d-47fe-83e8-80a6ad838bed","TCGA-DJ-A2PO-01A")</f>
        <v>TCGA-DJ-A2PO-01A</v>
      </c>
      <c r="I20155" t="s">
        <v>333</v>
      </c>
      <c r="J20155" t="s">
        <v>584</v>
      </c>
      <c r="K20155" t="s">
        <v>33</v>
      </c>
      <c r="L20155" t="s">
        <v>335</v>
      </c>
      <c r="N20155" t="s">
        <v>29</v>
      </c>
    </row>
    <row r="20156" spans="1:14">
      <c r="A20156" s="4" t="str">
        <f t="shared" si="1378"/>
        <v>EXP00448</v>
      </c>
      <c r="B20156" s="3" t="s">
        <v>66</v>
      </c>
      <c r="C20156" s="4" t="str">
        <f t="shared" si="1379"/>
        <v>TCGA-THCA</v>
      </c>
      <c r="D20156" s="1" t="s">
        <v>493</v>
      </c>
      <c r="E20156" t="s">
        <v>591</v>
      </c>
      <c r="F20156" s="1">
        <v>2</v>
      </c>
      <c r="G20156" s="1" t="s">
        <v>28</v>
      </c>
      <c r="H20156" s="4" t="str">
        <f>HYPERLINK("https://portal.gdc.cancer.gov/cases/05350770-2b5b-4c58-84ce-0917665ccb90","TCGA-DJ-A2PP-01A")</f>
        <v>TCGA-DJ-A2PP-01A</v>
      </c>
      <c r="I20156" t="s">
        <v>333</v>
      </c>
      <c r="J20156" t="s">
        <v>584</v>
      </c>
      <c r="K20156" t="s">
        <v>33</v>
      </c>
      <c r="L20156" t="s">
        <v>335</v>
      </c>
      <c r="N20156" t="s">
        <v>29</v>
      </c>
    </row>
    <row r="20157" spans="1:14">
      <c r="A20157" s="4" t="str">
        <f t="shared" si="1378"/>
        <v>EXP00448</v>
      </c>
      <c r="B20157" s="3" t="s">
        <v>66</v>
      </c>
      <c r="C20157" s="4" t="str">
        <f t="shared" si="1379"/>
        <v>TCGA-THCA</v>
      </c>
      <c r="D20157" s="1" t="s">
        <v>493</v>
      </c>
      <c r="E20157" t="s">
        <v>591</v>
      </c>
      <c r="F20157" s="1">
        <v>2</v>
      </c>
      <c r="G20157" s="1" t="s">
        <v>28</v>
      </c>
      <c r="H20157" s="4" t="str">
        <f>HYPERLINK("https://portal.gdc.cancer.gov/cases/edb90376-0ef9-47dd-be6f-a6e8a0380a9c","TCGA-DJ-A2PQ-01A")</f>
        <v>TCGA-DJ-A2PQ-01A</v>
      </c>
      <c r="I20157" t="s">
        <v>333</v>
      </c>
      <c r="J20157" t="s">
        <v>584</v>
      </c>
      <c r="K20157" t="s">
        <v>33</v>
      </c>
      <c r="L20157" t="s">
        <v>335</v>
      </c>
      <c r="N20157" t="s">
        <v>29</v>
      </c>
    </row>
    <row r="20158" spans="1:14">
      <c r="A20158" s="4" t="str">
        <f t="shared" si="1378"/>
        <v>EXP00448</v>
      </c>
      <c r="B20158" s="3" t="s">
        <v>66</v>
      </c>
      <c r="C20158" s="4" t="str">
        <f t="shared" si="1379"/>
        <v>TCGA-THCA</v>
      </c>
      <c r="D20158" s="1" t="s">
        <v>493</v>
      </c>
      <c r="E20158" t="s">
        <v>591</v>
      </c>
      <c r="F20158" s="1">
        <v>2</v>
      </c>
      <c r="G20158" s="1" t="s">
        <v>28</v>
      </c>
      <c r="H20158" s="4" t="str">
        <f>HYPERLINK("https://portal.gdc.cancer.gov/cases/2ce580e9-4d75-464c-b403-c9f4626d7aa4","TCGA-DJ-A2PR-01A")</f>
        <v>TCGA-DJ-A2PR-01A</v>
      </c>
      <c r="I20158" t="s">
        <v>333</v>
      </c>
      <c r="J20158" t="s">
        <v>584</v>
      </c>
      <c r="K20158" t="s">
        <v>33</v>
      </c>
      <c r="L20158" t="s">
        <v>335</v>
      </c>
      <c r="N20158" t="s">
        <v>29</v>
      </c>
    </row>
    <row r="20159" spans="1:14">
      <c r="A20159" s="4" t="str">
        <f t="shared" si="1378"/>
        <v>EXP00448</v>
      </c>
      <c r="B20159" s="3" t="s">
        <v>66</v>
      </c>
      <c r="C20159" s="4" t="str">
        <f t="shared" si="1379"/>
        <v>TCGA-THCA</v>
      </c>
      <c r="D20159" s="1" t="s">
        <v>493</v>
      </c>
      <c r="E20159" t="s">
        <v>591</v>
      </c>
      <c r="F20159" s="1">
        <v>2</v>
      </c>
      <c r="G20159" s="1" t="s">
        <v>28</v>
      </c>
      <c r="H20159" s="4" t="str">
        <f>HYPERLINK("https://portal.gdc.cancer.gov/cases/9f31deb9-b9f4-439b-aea4-f87c71406c79","TCGA-DJ-A2PS-01A")</f>
        <v>TCGA-DJ-A2PS-01A</v>
      </c>
      <c r="I20159" t="s">
        <v>333</v>
      </c>
      <c r="J20159" t="s">
        <v>584</v>
      </c>
      <c r="K20159" t="s">
        <v>33</v>
      </c>
      <c r="L20159" t="s">
        <v>335</v>
      </c>
      <c r="N20159" t="s">
        <v>29</v>
      </c>
    </row>
    <row r="20160" spans="1:14">
      <c r="A20160" s="4" t="str">
        <f t="shared" si="1378"/>
        <v>EXP00448</v>
      </c>
      <c r="B20160" s="3" t="s">
        <v>66</v>
      </c>
      <c r="C20160" s="4" t="str">
        <f t="shared" si="1379"/>
        <v>TCGA-THCA</v>
      </c>
      <c r="D20160" s="1" t="s">
        <v>493</v>
      </c>
      <c r="E20160" t="s">
        <v>591</v>
      </c>
      <c r="F20160" s="1">
        <v>2</v>
      </c>
      <c r="G20160" s="1" t="s">
        <v>28</v>
      </c>
      <c r="H20160" s="4" t="str">
        <f>HYPERLINK("https://portal.gdc.cancer.gov/cases/39e68907-3ffb-4ca1-a955-db5fa2f0deb1","TCGA-DJ-A2PT-01A")</f>
        <v>TCGA-DJ-A2PT-01A</v>
      </c>
      <c r="I20160" t="s">
        <v>333</v>
      </c>
      <c r="J20160" t="s">
        <v>584</v>
      </c>
      <c r="K20160" t="s">
        <v>33</v>
      </c>
      <c r="L20160" t="s">
        <v>335</v>
      </c>
      <c r="N20160" t="s">
        <v>29</v>
      </c>
    </row>
    <row r="20161" spans="1:14">
      <c r="A20161" s="4" t="str">
        <f t="shared" si="1378"/>
        <v>EXP00448</v>
      </c>
      <c r="B20161" s="3" t="s">
        <v>66</v>
      </c>
      <c r="C20161" s="4" t="str">
        <f t="shared" si="1379"/>
        <v>TCGA-THCA</v>
      </c>
      <c r="D20161" s="1" t="s">
        <v>493</v>
      </c>
      <c r="E20161" t="s">
        <v>591</v>
      </c>
      <c r="F20161" s="1">
        <v>2</v>
      </c>
      <c r="G20161" s="1" t="s">
        <v>28</v>
      </c>
      <c r="H20161" s="4" t="str">
        <f>HYPERLINK("https://portal.gdc.cancer.gov/cases/13577a2b-ee68-45e5-96a8-b1fd71fc62da","TCGA-DJ-A2PU-01A")</f>
        <v>TCGA-DJ-A2PU-01A</v>
      </c>
      <c r="I20161" t="s">
        <v>333</v>
      </c>
      <c r="J20161" t="s">
        <v>584</v>
      </c>
      <c r="K20161" t="s">
        <v>33</v>
      </c>
      <c r="L20161" t="s">
        <v>335</v>
      </c>
      <c r="N20161" t="s">
        <v>29</v>
      </c>
    </row>
    <row r="20162" spans="1:14">
      <c r="A20162" s="4" t="str">
        <f t="shared" si="1378"/>
        <v>EXP00448</v>
      </c>
      <c r="B20162" s="3" t="s">
        <v>66</v>
      </c>
      <c r="C20162" s="4" t="str">
        <f t="shared" si="1379"/>
        <v>TCGA-THCA</v>
      </c>
      <c r="D20162" s="1" t="s">
        <v>493</v>
      </c>
      <c r="E20162" t="s">
        <v>591</v>
      </c>
      <c r="F20162" s="1">
        <v>2</v>
      </c>
      <c r="G20162" s="1" t="s">
        <v>28</v>
      </c>
      <c r="H20162" s="4" t="str">
        <f>HYPERLINK("https://portal.gdc.cancer.gov/cases/63076bda-61a1-4403-a270-4130b5d003ee","TCGA-DJ-A2PV-01A")</f>
        <v>TCGA-DJ-A2PV-01A</v>
      </c>
      <c r="I20162" t="s">
        <v>333</v>
      </c>
      <c r="J20162" t="s">
        <v>584</v>
      </c>
      <c r="K20162" t="s">
        <v>33</v>
      </c>
      <c r="L20162" t="s">
        <v>335</v>
      </c>
      <c r="N20162" t="s">
        <v>29</v>
      </c>
    </row>
    <row r="20163" spans="1:14">
      <c r="A20163" s="4" t="str">
        <f t="shared" si="1378"/>
        <v>EXP00448</v>
      </c>
      <c r="B20163" s="3" t="s">
        <v>66</v>
      </c>
      <c r="C20163" s="4" t="str">
        <f t="shared" si="1379"/>
        <v>TCGA-THCA</v>
      </c>
      <c r="D20163" s="1" t="s">
        <v>493</v>
      </c>
      <c r="E20163" t="s">
        <v>591</v>
      </c>
      <c r="F20163" s="1">
        <v>2</v>
      </c>
      <c r="G20163" s="1" t="s">
        <v>28</v>
      </c>
      <c r="H20163" s="4" t="str">
        <f>HYPERLINK("https://portal.gdc.cancer.gov/cases/d487536f-0521-4d42-9150-6a806ae00241","TCGA-DJ-A2PW-01A")</f>
        <v>TCGA-DJ-A2PW-01A</v>
      </c>
      <c r="I20163" t="s">
        <v>333</v>
      </c>
      <c r="J20163" t="s">
        <v>584</v>
      </c>
      <c r="K20163" t="s">
        <v>33</v>
      </c>
      <c r="L20163" t="s">
        <v>335</v>
      </c>
      <c r="N20163" t="s">
        <v>29</v>
      </c>
    </row>
    <row r="20164" spans="1:14">
      <c r="A20164" s="4" t="str">
        <f t="shared" si="1378"/>
        <v>EXP00448</v>
      </c>
      <c r="B20164" s="3" t="s">
        <v>66</v>
      </c>
      <c r="C20164" s="4" t="str">
        <f t="shared" si="1379"/>
        <v>TCGA-THCA</v>
      </c>
      <c r="D20164" s="1" t="s">
        <v>493</v>
      </c>
      <c r="E20164" t="s">
        <v>591</v>
      </c>
      <c r="F20164" s="1">
        <v>2</v>
      </c>
      <c r="G20164" s="1" t="s">
        <v>28</v>
      </c>
      <c r="H20164" s="4" t="str">
        <f>HYPERLINK("https://portal.gdc.cancer.gov/cases/a175a9a5-ab86-4c68-9814-c30cfcc52662","TCGA-DJ-A2PX-01A")</f>
        <v>TCGA-DJ-A2PX-01A</v>
      </c>
      <c r="I20164" t="s">
        <v>333</v>
      </c>
      <c r="J20164" t="s">
        <v>584</v>
      </c>
      <c r="K20164" t="s">
        <v>33</v>
      </c>
      <c r="L20164" t="s">
        <v>335</v>
      </c>
      <c r="N20164" t="s">
        <v>29</v>
      </c>
    </row>
    <row r="20165" spans="1:14">
      <c r="A20165" s="4" t="str">
        <f t="shared" si="1378"/>
        <v>EXP00448</v>
      </c>
      <c r="B20165" s="3" t="s">
        <v>66</v>
      </c>
      <c r="C20165" s="4" t="str">
        <f t="shared" si="1379"/>
        <v>TCGA-THCA</v>
      </c>
      <c r="D20165" s="1" t="s">
        <v>493</v>
      </c>
      <c r="E20165" t="s">
        <v>591</v>
      </c>
      <c r="F20165" s="1">
        <v>2</v>
      </c>
      <c r="G20165" s="1" t="s">
        <v>28</v>
      </c>
      <c r="H20165" s="4" t="str">
        <f>HYPERLINK("https://portal.gdc.cancer.gov/cases/fd25e4e6-f017-4c07-b109-d8a5eea8763c","TCGA-DJ-A2PY-01A")</f>
        <v>TCGA-DJ-A2PY-01A</v>
      </c>
      <c r="I20165" t="s">
        <v>333</v>
      </c>
      <c r="J20165" t="s">
        <v>584</v>
      </c>
      <c r="K20165" t="s">
        <v>33</v>
      </c>
      <c r="L20165" t="s">
        <v>335</v>
      </c>
      <c r="N20165" t="s">
        <v>29</v>
      </c>
    </row>
    <row r="20166" spans="1:14">
      <c r="A20166" s="4" t="str">
        <f t="shared" si="1378"/>
        <v>EXP00448</v>
      </c>
      <c r="B20166" s="3" t="s">
        <v>66</v>
      </c>
      <c r="C20166" s="4" t="str">
        <f t="shared" si="1379"/>
        <v>TCGA-THCA</v>
      </c>
      <c r="D20166" s="1" t="s">
        <v>493</v>
      </c>
      <c r="E20166" t="s">
        <v>591</v>
      </c>
      <c r="F20166" s="1">
        <v>2</v>
      </c>
      <c r="G20166" s="1" t="s">
        <v>28</v>
      </c>
      <c r="H20166" s="4" t="str">
        <f>HYPERLINK("https://portal.gdc.cancer.gov/cases/5dcbdfcf-8a4d-4da5-9049-f2b970fe8ca8","TCGA-DJ-A2PZ-01A")</f>
        <v>TCGA-DJ-A2PZ-01A</v>
      </c>
      <c r="I20166" t="s">
        <v>333</v>
      </c>
      <c r="J20166" t="s">
        <v>584</v>
      </c>
      <c r="K20166" t="s">
        <v>33</v>
      </c>
      <c r="L20166" t="s">
        <v>335</v>
      </c>
      <c r="N20166" t="s">
        <v>29</v>
      </c>
    </row>
    <row r="20167" spans="1:14">
      <c r="A20167" s="4" t="str">
        <f t="shared" si="1378"/>
        <v>EXP00448</v>
      </c>
      <c r="B20167" s="3" t="s">
        <v>66</v>
      </c>
      <c r="C20167" s="4" t="str">
        <f t="shared" si="1379"/>
        <v>TCGA-THCA</v>
      </c>
      <c r="D20167" s="1" t="s">
        <v>493</v>
      </c>
      <c r="E20167" t="s">
        <v>591</v>
      </c>
      <c r="F20167" s="1">
        <v>2</v>
      </c>
      <c r="G20167" s="1" t="s">
        <v>28</v>
      </c>
      <c r="H20167" s="4" t="str">
        <f>HYPERLINK("https://portal.gdc.cancer.gov/cases/8bea483b-ac43-4265-b2c4-0f031e539008","TCGA-DJ-A2Q0-01A")</f>
        <v>TCGA-DJ-A2Q0-01A</v>
      </c>
      <c r="I20167" t="s">
        <v>333</v>
      </c>
      <c r="J20167" t="s">
        <v>584</v>
      </c>
      <c r="K20167" t="s">
        <v>33</v>
      </c>
      <c r="L20167" t="s">
        <v>335</v>
      </c>
      <c r="N20167" t="s">
        <v>29</v>
      </c>
    </row>
    <row r="20168" spans="1:14">
      <c r="A20168" s="4" t="str">
        <f t="shared" si="1378"/>
        <v>EXP00448</v>
      </c>
      <c r="B20168" s="3" t="s">
        <v>66</v>
      </c>
      <c r="C20168" s="4" t="str">
        <f t="shared" si="1379"/>
        <v>TCGA-THCA</v>
      </c>
      <c r="D20168" s="1" t="s">
        <v>493</v>
      </c>
      <c r="E20168" t="s">
        <v>591</v>
      </c>
      <c r="F20168" s="1">
        <v>2</v>
      </c>
      <c r="G20168" s="1" t="s">
        <v>28</v>
      </c>
      <c r="H20168" s="4" t="str">
        <f>HYPERLINK("https://portal.gdc.cancer.gov/cases/e35b2928-8784-45d0-a71a-a2df161542fa","TCGA-DJ-A2Q1-01A")</f>
        <v>TCGA-DJ-A2Q1-01A</v>
      </c>
      <c r="I20168" t="s">
        <v>333</v>
      </c>
      <c r="J20168" t="s">
        <v>584</v>
      </c>
      <c r="K20168" t="s">
        <v>33</v>
      </c>
      <c r="L20168" t="s">
        <v>335</v>
      </c>
      <c r="N20168" t="s">
        <v>29</v>
      </c>
    </row>
    <row r="20169" spans="1:14">
      <c r="A20169" s="4" t="str">
        <f t="shared" si="1378"/>
        <v>EXP00448</v>
      </c>
      <c r="B20169" s="3" t="s">
        <v>66</v>
      </c>
      <c r="C20169" s="4" t="str">
        <f t="shared" si="1379"/>
        <v>TCGA-THCA</v>
      </c>
      <c r="D20169" s="1" t="s">
        <v>493</v>
      </c>
      <c r="E20169" t="s">
        <v>591</v>
      </c>
      <c r="F20169" s="1">
        <v>2</v>
      </c>
      <c r="G20169" s="1" t="s">
        <v>28</v>
      </c>
      <c r="H20169" s="4" t="str">
        <f>HYPERLINK("https://portal.gdc.cancer.gov/cases/a00da907-e527-45f9-9afb-2fad2c7b0940","TCGA-DJ-A2Q2-01A")</f>
        <v>TCGA-DJ-A2Q2-01A</v>
      </c>
      <c r="I20169" t="s">
        <v>333</v>
      </c>
      <c r="J20169" t="s">
        <v>584</v>
      </c>
      <c r="K20169" t="s">
        <v>33</v>
      </c>
      <c r="L20169" t="s">
        <v>335</v>
      </c>
      <c r="N20169" t="s">
        <v>29</v>
      </c>
    </row>
    <row r="20170" spans="1:14">
      <c r="A20170" s="4" t="str">
        <f t="shared" si="1378"/>
        <v>EXP00448</v>
      </c>
      <c r="B20170" s="3" t="s">
        <v>66</v>
      </c>
      <c r="C20170" s="4" t="str">
        <f t="shared" si="1379"/>
        <v>TCGA-THCA</v>
      </c>
      <c r="D20170" s="1" t="s">
        <v>493</v>
      </c>
      <c r="E20170" t="s">
        <v>591</v>
      </c>
      <c r="F20170" s="1">
        <v>2</v>
      </c>
      <c r="G20170" s="1" t="s">
        <v>28</v>
      </c>
      <c r="H20170" s="4" t="str">
        <f>HYPERLINK("https://portal.gdc.cancer.gov/cases/acba8d76-999a-4f6d-b3a4-8d7dd0f2bb52","TCGA-DJ-A2Q3-01A")</f>
        <v>TCGA-DJ-A2Q3-01A</v>
      </c>
      <c r="I20170" t="s">
        <v>333</v>
      </c>
      <c r="J20170" t="s">
        <v>584</v>
      </c>
      <c r="K20170" t="s">
        <v>33</v>
      </c>
      <c r="L20170" t="s">
        <v>335</v>
      </c>
      <c r="N20170" t="s">
        <v>29</v>
      </c>
    </row>
    <row r="20171" spans="1:14">
      <c r="A20171" s="4" t="str">
        <f t="shared" si="1378"/>
        <v>EXP00448</v>
      </c>
      <c r="B20171" s="3" t="s">
        <v>66</v>
      </c>
      <c r="C20171" s="4" t="str">
        <f t="shared" si="1379"/>
        <v>TCGA-THCA</v>
      </c>
      <c r="D20171" s="1" t="s">
        <v>493</v>
      </c>
      <c r="E20171" t="s">
        <v>591</v>
      </c>
      <c r="F20171" s="1">
        <v>2</v>
      </c>
      <c r="G20171" s="1" t="s">
        <v>28</v>
      </c>
      <c r="H20171" s="4" t="str">
        <f>HYPERLINK("https://portal.gdc.cancer.gov/cases/f00fd40a-1254-4300-baf9-88528c453a2e","TCGA-DJ-A2Q4-01A")</f>
        <v>TCGA-DJ-A2Q4-01A</v>
      </c>
      <c r="I20171" t="s">
        <v>333</v>
      </c>
      <c r="J20171" t="s">
        <v>584</v>
      </c>
      <c r="K20171" t="s">
        <v>33</v>
      </c>
      <c r="L20171" t="s">
        <v>335</v>
      </c>
      <c r="N20171" t="s">
        <v>29</v>
      </c>
    </row>
    <row r="20172" spans="1:14">
      <c r="A20172" s="4" t="str">
        <f t="shared" si="1378"/>
        <v>EXP00448</v>
      </c>
      <c r="B20172" s="3" t="s">
        <v>66</v>
      </c>
      <c r="C20172" s="4" t="str">
        <f t="shared" si="1379"/>
        <v>TCGA-THCA</v>
      </c>
      <c r="D20172" s="1" t="s">
        <v>493</v>
      </c>
      <c r="E20172" t="s">
        <v>591</v>
      </c>
      <c r="F20172" s="1">
        <v>2</v>
      </c>
      <c r="G20172" s="1" t="s">
        <v>28</v>
      </c>
      <c r="H20172" s="4" t="str">
        <f>HYPERLINK("https://portal.gdc.cancer.gov/cases/13c97cfb-eea2-4ae8-9209-c967d9642cef","TCGA-DJ-A2Q5-01A")</f>
        <v>TCGA-DJ-A2Q5-01A</v>
      </c>
      <c r="I20172" t="s">
        <v>333</v>
      </c>
      <c r="J20172" t="s">
        <v>584</v>
      </c>
      <c r="K20172" t="s">
        <v>33</v>
      </c>
      <c r="L20172" t="s">
        <v>335</v>
      </c>
      <c r="N20172" t="s">
        <v>29</v>
      </c>
    </row>
    <row r="20173" spans="1:14">
      <c r="A20173" s="4" t="str">
        <f t="shared" si="1378"/>
        <v>EXP00448</v>
      </c>
      <c r="B20173" s="3" t="s">
        <v>66</v>
      </c>
      <c r="C20173" s="4" t="str">
        <f t="shared" si="1379"/>
        <v>TCGA-THCA</v>
      </c>
      <c r="D20173" s="1" t="s">
        <v>493</v>
      </c>
      <c r="E20173" t="s">
        <v>591</v>
      </c>
      <c r="F20173" s="1">
        <v>2</v>
      </c>
      <c r="G20173" s="1" t="s">
        <v>28</v>
      </c>
      <c r="H20173" s="4" t="str">
        <f>HYPERLINK("https://portal.gdc.cancer.gov/cases/af546062-0960-41f0-9ed1-6acecbad99f3","TCGA-DJ-A2Q6-01A")</f>
        <v>TCGA-DJ-A2Q6-01A</v>
      </c>
      <c r="I20173" t="s">
        <v>333</v>
      </c>
      <c r="J20173" t="s">
        <v>584</v>
      </c>
      <c r="K20173" t="s">
        <v>33</v>
      </c>
      <c r="L20173" t="s">
        <v>335</v>
      </c>
      <c r="N20173" t="s">
        <v>29</v>
      </c>
    </row>
    <row r="20174" spans="1:14">
      <c r="A20174" s="4" t="str">
        <f t="shared" si="1378"/>
        <v>EXP00448</v>
      </c>
      <c r="B20174" s="3" t="s">
        <v>66</v>
      </c>
      <c r="C20174" s="4" t="str">
        <f t="shared" si="1379"/>
        <v>TCGA-THCA</v>
      </c>
      <c r="D20174" s="1" t="s">
        <v>493</v>
      </c>
      <c r="E20174" t="s">
        <v>591</v>
      </c>
      <c r="F20174" s="1">
        <v>2</v>
      </c>
      <c r="G20174" s="1" t="s">
        <v>28</v>
      </c>
      <c r="H20174" s="4" t="str">
        <f>HYPERLINK("https://portal.gdc.cancer.gov/cases/7a9b57c9-6f80-4aea-bf9c-76407c8084be","TCGA-DJ-A2Q7-01A")</f>
        <v>TCGA-DJ-A2Q7-01A</v>
      </c>
      <c r="I20174" t="s">
        <v>333</v>
      </c>
      <c r="J20174" t="s">
        <v>584</v>
      </c>
      <c r="K20174" t="s">
        <v>33</v>
      </c>
      <c r="L20174" t="s">
        <v>335</v>
      </c>
      <c r="N20174" t="s">
        <v>29</v>
      </c>
    </row>
    <row r="20175" spans="1:14">
      <c r="A20175" s="4" t="str">
        <f t="shared" si="1378"/>
        <v>EXP00448</v>
      </c>
      <c r="B20175" s="3" t="s">
        <v>66</v>
      </c>
      <c r="C20175" s="4" t="str">
        <f t="shared" si="1379"/>
        <v>TCGA-THCA</v>
      </c>
      <c r="D20175" s="1" t="s">
        <v>493</v>
      </c>
      <c r="E20175" t="s">
        <v>591</v>
      </c>
      <c r="F20175" s="1">
        <v>2</v>
      </c>
      <c r="G20175" s="1" t="s">
        <v>28</v>
      </c>
      <c r="H20175" s="4" t="str">
        <f>HYPERLINK("https://portal.gdc.cancer.gov/cases/061fab24-727a-4551-a205-89eeb9f530ea","TCGA-DJ-A2Q9-01A")</f>
        <v>TCGA-DJ-A2Q9-01A</v>
      </c>
      <c r="I20175" t="s">
        <v>333</v>
      </c>
      <c r="J20175" t="s">
        <v>584</v>
      </c>
      <c r="K20175" t="s">
        <v>33</v>
      </c>
      <c r="L20175" t="s">
        <v>335</v>
      </c>
      <c r="N20175" t="s">
        <v>29</v>
      </c>
    </row>
    <row r="20176" spans="1:14">
      <c r="A20176" s="4" t="str">
        <f t="shared" si="1378"/>
        <v>EXP00448</v>
      </c>
      <c r="B20176" s="3" t="s">
        <v>66</v>
      </c>
      <c r="C20176" s="4" t="str">
        <f t="shared" si="1379"/>
        <v>TCGA-THCA</v>
      </c>
      <c r="D20176" s="1" t="s">
        <v>493</v>
      </c>
      <c r="E20176" t="s">
        <v>591</v>
      </c>
      <c r="F20176" s="1">
        <v>2</v>
      </c>
      <c r="G20176" s="1" t="s">
        <v>28</v>
      </c>
      <c r="H20176" s="4" t="str">
        <f>HYPERLINK("https://portal.gdc.cancer.gov/cases/b07435d4-1341-4b41-9b11-d13a4f1ca0ad","TCGA-DJ-A2QA-01A")</f>
        <v>TCGA-DJ-A2QA-01A</v>
      </c>
      <c r="I20176" t="s">
        <v>333</v>
      </c>
      <c r="J20176" t="s">
        <v>584</v>
      </c>
      <c r="K20176" t="s">
        <v>33</v>
      </c>
      <c r="L20176" t="s">
        <v>335</v>
      </c>
      <c r="N20176" t="s">
        <v>29</v>
      </c>
    </row>
    <row r="20177" spans="1:14">
      <c r="A20177" s="4" t="str">
        <f t="shared" si="1378"/>
        <v>EXP00448</v>
      </c>
      <c r="B20177" s="3" t="s">
        <v>66</v>
      </c>
      <c r="C20177" s="4" t="str">
        <f t="shared" si="1379"/>
        <v>TCGA-THCA</v>
      </c>
      <c r="D20177" s="1" t="s">
        <v>493</v>
      </c>
      <c r="E20177" t="s">
        <v>591</v>
      </c>
      <c r="F20177" s="1">
        <v>2</v>
      </c>
      <c r="G20177" s="1" t="s">
        <v>28</v>
      </c>
      <c r="H20177" s="4" t="str">
        <f>HYPERLINK("https://portal.gdc.cancer.gov/cases/b597023c-ff84-44cc-bfcc-8bee64ca4cff","TCGA-DJ-A2QB-01A")</f>
        <v>TCGA-DJ-A2QB-01A</v>
      </c>
      <c r="I20177" t="s">
        <v>333</v>
      </c>
      <c r="J20177" t="s">
        <v>584</v>
      </c>
      <c r="K20177" t="s">
        <v>33</v>
      </c>
      <c r="L20177" t="s">
        <v>335</v>
      </c>
      <c r="N20177" t="s">
        <v>29</v>
      </c>
    </row>
    <row r="20178" spans="1:14">
      <c r="A20178" s="4" t="str">
        <f t="shared" si="1378"/>
        <v>EXP00448</v>
      </c>
      <c r="B20178" s="3" t="s">
        <v>66</v>
      </c>
      <c r="C20178" s="4" t="str">
        <f t="shared" si="1379"/>
        <v>TCGA-THCA</v>
      </c>
      <c r="D20178" s="1" t="s">
        <v>493</v>
      </c>
      <c r="E20178" t="s">
        <v>591</v>
      </c>
      <c r="F20178" s="1">
        <v>2</v>
      </c>
      <c r="G20178" s="1" t="s">
        <v>28</v>
      </c>
      <c r="H20178" s="4" t="str">
        <f>HYPERLINK("https://portal.gdc.cancer.gov/cases/1f094db9-f8cc-4066-adff-609682936172","TCGA-DJ-A2QC-01A")</f>
        <v>TCGA-DJ-A2QC-01A</v>
      </c>
      <c r="I20178" t="s">
        <v>333</v>
      </c>
      <c r="J20178" t="s">
        <v>584</v>
      </c>
      <c r="K20178" t="s">
        <v>33</v>
      </c>
      <c r="L20178" t="s">
        <v>335</v>
      </c>
      <c r="N20178" t="s">
        <v>29</v>
      </c>
    </row>
    <row r="20179" spans="1:14">
      <c r="A20179" s="4" t="str">
        <f t="shared" si="1378"/>
        <v>EXP00448</v>
      </c>
      <c r="B20179" s="3" t="s">
        <v>66</v>
      </c>
      <c r="C20179" s="4" t="str">
        <f t="shared" si="1379"/>
        <v>TCGA-THCA</v>
      </c>
      <c r="D20179" s="1" t="s">
        <v>493</v>
      </c>
      <c r="E20179" t="s">
        <v>591</v>
      </c>
      <c r="F20179" s="1">
        <v>2</v>
      </c>
      <c r="G20179" s="1" t="s">
        <v>28</v>
      </c>
      <c r="H20179" s="4" t="str">
        <f>HYPERLINK("https://portal.gdc.cancer.gov/cases/d61ca744-adc4-44d5-ad15-cc17399e8083","TCGA-DJ-A3UK-01A")</f>
        <v>TCGA-DJ-A3UK-01A</v>
      </c>
      <c r="I20179" t="s">
        <v>333</v>
      </c>
      <c r="J20179" t="s">
        <v>584</v>
      </c>
      <c r="K20179" t="s">
        <v>33</v>
      </c>
      <c r="L20179" t="s">
        <v>335</v>
      </c>
      <c r="N20179" t="s">
        <v>29</v>
      </c>
    </row>
    <row r="20180" spans="1:14">
      <c r="A20180" s="4" t="str">
        <f t="shared" si="1378"/>
        <v>EXP00448</v>
      </c>
      <c r="B20180" s="3" t="s">
        <v>66</v>
      </c>
      <c r="C20180" s="4" t="str">
        <f t="shared" si="1379"/>
        <v>TCGA-THCA</v>
      </c>
      <c r="D20180" s="1" t="s">
        <v>493</v>
      </c>
      <c r="E20180" t="s">
        <v>591</v>
      </c>
      <c r="F20180" s="1">
        <v>2</v>
      </c>
      <c r="G20180" s="1" t="s">
        <v>28</v>
      </c>
      <c r="H20180" s="4" t="str">
        <f>HYPERLINK("https://portal.gdc.cancer.gov/cases/d579370b-8aa7-4472-9e28-43c761be3eda","TCGA-DJ-A3UM-01A")</f>
        <v>TCGA-DJ-A3UM-01A</v>
      </c>
      <c r="I20180" t="s">
        <v>333</v>
      </c>
      <c r="J20180" t="s">
        <v>584</v>
      </c>
      <c r="K20180" t="s">
        <v>33</v>
      </c>
      <c r="L20180" t="s">
        <v>335</v>
      </c>
      <c r="N20180" t="s">
        <v>29</v>
      </c>
    </row>
    <row r="20181" spans="1:14">
      <c r="A20181" s="4" t="str">
        <f t="shared" si="1378"/>
        <v>EXP00448</v>
      </c>
      <c r="B20181" s="3" t="s">
        <v>66</v>
      </c>
      <c r="C20181" s="4" t="str">
        <f t="shared" si="1379"/>
        <v>TCGA-THCA</v>
      </c>
      <c r="D20181" s="1" t="s">
        <v>493</v>
      </c>
      <c r="E20181" t="s">
        <v>591</v>
      </c>
      <c r="F20181" s="1">
        <v>2</v>
      </c>
      <c r="G20181" s="1" t="s">
        <v>28</v>
      </c>
      <c r="H20181" s="4" t="str">
        <f>HYPERLINK("https://portal.gdc.cancer.gov/cases/69f621c8-de77-48c7-8939-4c887da9e6d8","TCGA-DJ-A3UN-01A")</f>
        <v>TCGA-DJ-A3UN-01A</v>
      </c>
      <c r="I20181" t="s">
        <v>333</v>
      </c>
      <c r="J20181" t="s">
        <v>584</v>
      </c>
      <c r="K20181" t="s">
        <v>33</v>
      </c>
      <c r="L20181" t="s">
        <v>335</v>
      </c>
      <c r="N20181" t="s">
        <v>29</v>
      </c>
    </row>
    <row r="20182" spans="1:14">
      <c r="A20182" s="4" t="str">
        <f t="shared" si="1378"/>
        <v>EXP00448</v>
      </c>
      <c r="B20182" s="3" t="s">
        <v>66</v>
      </c>
      <c r="C20182" s="4" t="str">
        <f t="shared" si="1379"/>
        <v>TCGA-THCA</v>
      </c>
      <c r="D20182" s="1" t="s">
        <v>493</v>
      </c>
      <c r="E20182" t="s">
        <v>591</v>
      </c>
      <c r="F20182" s="1">
        <v>2</v>
      </c>
      <c r="G20182" s="1" t="s">
        <v>28</v>
      </c>
      <c r="H20182" s="4" t="str">
        <f>HYPERLINK("https://portal.gdc.cancer.gov/cases/d78012b6-24f9-48f5-9409-9845d0be2b3c","TCGA-DJ-A3UO-01A")</f>
        <v>TCGA-DJ-A3UO-01A</v>
      </c>
      <c r="I20182" t="s">
        <v>333</v>
      </c>
      <c r="J20182" t="s">
        <v>584</v>
      </c>
      <c r="K20182" t="s">
        <v>33</v>
      </c>
      <c r="L20182" t="s">
        <v>335</v>
      </c>
      <c r="N20182" t="s">
        <v>29</v>
      </c>
    </row>
    <row r="20183" spans="1:14">
      <c r="A20183" s="4" t="str">
        <f t="shared" si="1378"/>
        <v>EXP00448</v>
      </c>
      <c r="B20183" s="3" t="s">
        <v>66</v>
      </c>
      <c r="C20183" s="4" t="str">
        <f t="shared" si="1379"/>
        <v>TCGA-THCA</v>
      </c>
      <c r="D20183" s="1" t="s">
        <v>493</v>
      </c>
      <c r="E20183" t="s">
        <v>591</v>
      </c>
      <c r="F20183" s="1">
        <v>2</v>
      </c>
      <c r="G20183" s="1" t="s">
        <v>28</v>
      </c>
      <c r="H20183" s="4" t="str">
        <f>HYPERLINK("https://portal.gdc.cancer.gov/cases/2610485e-f2b2-45f7-a578-99d6983d5f0e","TCGA-DJ-A3UP-01A")</f>
        <v>TCGA-DJ-A3UP-01A</v>
      </c>
      <c r="I20183" t="s">
        <v>333</v>
      </c>
      <c r="J20183" t="s">
        <v>584</v>
      </c>
      <c r="K20183" t="s">
        <v>33</v>
      </c>
      <c r="L20183" t="s">
        <v>335</v>
      </c>
      <c r="N20183" t="s">
        <v>29</v>
      </c>
    </row>
    <row r="20184" spans="1:14">
      <c r="A20184" s="4" t="str">
        <f t="shared" si="1378"/>
        <v>EXP00448</v>
      </c>
      <c r="B20184" s="3" t="s">
        <v>66</v>
      </c>
      <c r="C20184" s="4" t="str">
        <f t="shared" si="1379"/>
        <v>TCGA-THCA</v>
      </c>
      <c r="D20184" s="1" t="s">
        <v>493</v>
      </c>
      <c r="E20184" t="s">
        <v>591</v>
      </c>
      <c r="F20184" s="1">
        <v>2</v>
      </c>
      <c r="G20184" s="1" t="s">
        <v>28</v>
      </c>
      <c r="H20184" s="4" t="str">
        <f>HYPERLINK("https://portal.gdc.cancer.gov/cases/368689a0-f782-4826-9f08-cf0e0055162e","TCGA-DJ-A3UQ-01A")</f>
        <v>TCGA-DJ-A3UQ-01A</v>
      </c>
      <c r="I20184" t="s">
        <v>333</v>
      </c>
      <c r="J20184" t="s">
        <v>584</v>
      </c>
      <c r="K20184" t="s">
        <v>33</v>
      </c>
      <c r="L20184" t="s">
        <v>335</v>
      </c>
      <c r="N20184" t="s">
        <v>29</v>
      </c>
    </row>
    <row r="20185" spans="1:14">
      <c r="A20185" s="4" t="str">
        <f t="shared" si="1378"/>
        <v>EXP00448</v>
      </c>
      <c r="B20185" s="3" t="s">
        <v>66</v>
      </c>
      <c r="C20185" s="4" t="str">
        <f t="shared" si="1379"/>
        <v>TCGA-THCA</v>
      </c>
      <c r="D20185" s="1" t="s">
        <v>493</v>
      </c>
      <c r="E20185" t="s">
        <v>591</v>
      </c>
      <c r="F20185" s="1">
        <v>2</v>
      </c>
      <c r="G20185" s="1" t="s">
        <v>28</v>
      </c>
      <c r="H20185" s="4" t="str">
        <f>HYPERLINK("https://portal.gdc.cancer.gov/cases/c5fd200b-ce02-4d7d-a240-78f147e483be","TCGA-DJ-A3UR-01A")</f>
        <v>TCGA-DJ-A3UR-01A</v>
      </c>
      <c r="I20185" t="s">
        <v>333</v>
      </c>
      <c r="J20185" t="s">
        <v>584</v>
      </c>
      <c r="K20185" t="s">
        <v>33</v>
      </c>
      <c r="L20185" t="s">
        <v>335</v>
      </c>
      <c r="N20185" t="s">
        <v>29</v>
      </c>
    </row>
    <row r="20186" spans="1:14">
      <c r="A20186" s="4" t="str">
        <f t="shared" si="1378"/>
        <v>EXP00448</v>
      </c>
      <c r="B20186" s="3" t="s">
        <v>66</v>
      </c>
      <c r="C20186" s="4" t="str">
        <f t="shared" si="1379"/>
        <v>TCGA-THCA</v>
      </c>
      <c r="D20186" s="1" t="s">
        <v>493</v>
      </c>
      <c r="E20186" t="s">
        <v>591</v>
      </c>
      <c r="F20186" s="1">
        <v>2</v>
      </c>
      <c r="G20186" s="1" t="s">
        <v>28</v>
      </c>
      <c r="H20186" s="4" t="str">
        <f>HYPERLINK("https://portal.gdc.cancer.gov/cases/6ee95dc8-2bac-4691-afa2-8222e07506ad","TCGA-DJ-A3US-01A")</f>
        <v>TCGA-DJ-A3US-01A</v>
      </c>
      <c r="I20186" t="s">
        <v>333</v>
      </c>
      <c r="J20186" t="s">
        <v>584</v>
      </c>
      <c r="K20186" t="s">
        <v>33</v>
      </c>
      <c r="L20186" t="s">
        <v>335</v>
      </c>
      <c r="N20186" t="s">
        <v>29</v>
      </c>
    </row>
    <row r="20187" spans="1:14">
      <c r="A20187" s="4" t="str">
        <f t="shared" si="1378"/>
        <v>EXP00448</v>
      </c>
      <c r="B20187" s="3" t="s">
        <v>66</v>
      </c>
      <c r="C20187" s="4" t="str">
        <f t="shared" si="1379"/>
        <v>TCGA-THCA</v>
      </c>
      <c r="D20187" s="1" t="s">
        <v>493</v>
      </c>
      <c r="E20187" t="s">
        <v>591</v>
      </c>
      <c r="F20187" s="1">
        <v>2</v>
      </c>
      <c r="G20187" s="1" t="s">
        <v>28</v>
      </c>
      <c r="H20187" s="4" t="str">
        <f>HYPERLINK("https://portal.gdc.cancer.gov/cases/9d3f6163-f586-4974-babc-67b5163b706b","TCGA-DJ-A3UT-01A")</f>
        <v>TCGA-DJ-A3UT-01A</v>
      </c>
      <c r="I20187" t="s">
        <v>333</v>
      </c>
      <c r="J20187" t="s">
        <v>584</v>
      </c>
      <c r="K20187" t="s">
        <v>33</v>
      </c>
      <c r="L20187" t="s">
        <v>335</v>
      </c>
      <c r="N20187" t="s">
        <v>29</v>
      </c>
    </row>
    <row r="20188" spans="1:14">
      <c r="A20188" s="4" t="str">
        <f t="shared" si="1378"/>
        <v>EXP00448</v>
      </c>
      <c r="B20188" s="3" t="s">
        <v>66</v>
      </c>
      <c r="C20188" s="4" t="str">
        <f t="shared" si="1379"/>
        <v>TCGA-THCA</v>
      </c>
      <c r="D20188" s="1" t="s">
        <v>493</v>
      </c>
      <c r="E20188" t="s">
        <v>591</v>
      </c>
      <c r="F20188" s="1">
        <v>2</v>
      </c>
      <c r="G20188" s="1" t="s">
        <v>28</v>
      </c>
      <c r="H20188" s="4" t="str">
        <f>HYPERLINK("https://portal.gdc.cancer.gov/cases/45eefba8-9f7c-49e9-a3f5-d13cfa264ff6","TCGA-DJ-A3UU-01A")</f>
        <v>TCGA-DJ-A3UU-01A</v>
      </c>
      <c r="I20188" t="s">
        <v>333</v>
      </c>
      <c r="J20188" t="s">
        <v>584</v>
      </c>
      <c r="K20188" t="s">
        <v>33</v>
      </c>
      <c r="L20188" t="s">
        <v>335</v>
      </c>
      <c r="N20188" t="s">
        <v>29</v>
      </c>
    </row>
    <row r="20189" spans="1:14">
      <c r="A20189" s="4" t="str">
        <f t="shared" si="1378"/>
        <v>EXP00448</v>
      </c>
      <c r="B20189" s="3" t="s">
        <v>66</v>
      </c>
      <c r="C20189" s="4" t="str">
        <f t="shared" si="1379"/>
        <v>TCGA-THCA</v>
      </c>
      <c r="D20189" s="1" t="s">
        <v>493</v>
      </c>
      <c r="E20189" t="s">
        <v>591</v>
      </c>
      <c r="F20189" s="1">
        <v>2</v>
      </c>
      <c r="G20189" s="1" t="s">
        <v>28</v>
      </c>
      <c r="H20189" s="4" t="str">
        <f>HYPERLINK("https://portal.gdc.cancer.gov/cases/f2bbb5fa-9997-45de-88d4-8f1e94c18f0d","TCGA-DJ-A3UV-01A")</f>
        <v>TCGA-DJ-A3UV-01A</v>
      </c>
      <c r="I20189" t="s">
        <v>333</v>
      </c>
      <c r="J20189" t="s">
        <v>584</v>
      </c>
      <c r="K20189" t="s">
        <v>33</v>
      </c>
      <c r="L20189" t="s">
        <v>335</v>
      </c>
      <c r="N20189" t="s">
        <v>29</v>
      </c>
    </row>
    <row r="20190" spans="1:14">
      <c r="A20190" s="4" t="str">
        <f t="shared" si="1378"/>
        <v>EXP00448</v>
      </c>
      <c r="B20190" s="3" t="s">
        <v>66</v>
      </c>
      <c r="C20190" s="4" t="str">
        <f t="shared" si="1379"/>
        <v>TCGA-THCA</v>
      </c>
      <c r="D20190" s="1" t="s">
        <v>493</v>
      </c>
      <c r="E20190" t="s">
        <v>591</v>
      </c>
      <c r="F20190" s="1">
        <v>2</v>
      </c>
      <c r="G20190" s="1" t="s">
        <v>28</v>
      </c>
      <c r="H20190" s="4" t="str">
        <f>HYPERLINK("https://portal.gdc.cancer.gov/cases/5e085199-152a-40f5-a8f8-3a3a0f31c2e0","TCGA-DJ-A3UW-01A")</f>
        <v>TCGA-DJ-A3UW-01A</v>
      </c>
      <c r="I20190" t="s">
        <v>333</v>
      </c>
      <c r="J20190" t="s">
        <v>584</v>
      </c>
      <c r="K20190" t="s">
        <v>33</v>
      </c>
      <c r="L20190" t="s">
        <v>335</v>
      </c>
      <c r="N20190" t="s">
        <v>29</v>
      </c>
    </row>
    <row r="20191" spans="1:14">
      <c r="A20191" s="4" t="str">
        <f t="shared" si="1378"/>
        <v>EXP00448</v>
      </c>
      <c r="B20191" s="3" t="s">
        <v>66</v>
      </c>
      <c r="C20191" s="4" t="str">
        <f t="shared" si="1379"/>
        <v>TCGA-THCA</v>
      </c>
      <c r="D20191" s="1" t="s">
        <v>493</v>
      </c>
      <c r="E20191" t="s">
        <v>591</v>
      </c>
      <c r="F20191" s="1">
        <v>2</v>
      </c>
      <c r="G20191" s="1" t="s">
        <v>28</v>
      </c>
      <c r="H20191" s="4" t="str">
        <f>HYPERLINK("https://portal.gdc.cancer.gov/cases/a3765a2b-ff09-4dec-b990-65529345214e","TCGA-DJ-A3UX-01A")</f>
        <v>TCGA-DJ-A3UX-01A</v>
      </c>
      <c r="I20191" t="s">
        <v>333</v>
      </c>
      <c r="J20191" t="s">
        <v>584</v>
      </c>
      <c r="K20191" t="s">
        <v>33</v>
      </c>
      <c r="L20191" t="s">
        <v>335</v>
      </c>
      <c r="N20191" t="s">
        <v>29</v>
      </c>
    </row>
    <row r="20192" spans="1:14">
      <c r="A20192" s="4" t="str">
        <f t="shared" si="1378"/>
        <v>EXP00448</v>
      </c>
      <c r="B20192" s="3" t="s">
        <v>66</v>
      </c>
      <c r="C20192" s="4" t="str">
        <f t="shared" si="1379"/>
        <v>TCGA-THCA</v>
      </c>
      <c r="D20192" s="1" t="s">
        <v>493</v>
      </c>
      <c r="E20192" t="s">
        <v>591</v>
      </c>
      <c r="F20192" s="1">
        <v>2</v>
      </c>
      <c r="G20192" s="1" t="s">
        <v>28</v>
      </c>
      <c r="H20192" s="4" t="str">
        <f>HYPERLINK("https://portal.gdc.cancer.gov/cases/02a8e937-c747-4ba1-911c-0860e62b8f83","TCGA-DJ-A3UY-01A")</f>
        <v>TCGA-DJ-A3UY-01A</v>
      </c>
      <c r="I20192" t="s">
        <v>333</v>
      </c>
      <c r="J20192" t="s">
        <v>584</v>
      </c>
      <c r="K20192" t="s">
        <v>33</v>
      </c>
      <c r="L20192" t="s">
        <v>335</v>
      </c>
      <c r="N20192" t="s">
        <v>29</v>
      </c>
    </row>
    <row r="20193" spans="1:14">
      <c r="A20193" s="4" t="str">
        <f t="shared" si="1378"/>
        <v>EXP00448</v>
      </c>
      <c r="B20193" s="3" t="s">
        <v>66</v>
      </c>
      <c r="C20193" s="4" t="str">
        <f t="shared" si="1379"/>
        <v>TCGA-THCA</v>
      </c>
      <c r="D20193" s="1" t="s">
        <v>493</v>
      </c>
      <c r="E20193" t="s">
        <v>591</v>
      </c>
      <c r="F20193" s="1">
        <v>2</v>
      </c>
      <c r="G20193" s="1" t="s">
        <v>28</v>
      </c>
      <c r="H20193" s="4" t="str">
        <f>HYPERLINK("https://portal.gdc.cancer.gov/cases/ab0a98ae-98f1-425e-9418-550df6ac24cd","TCGA-DJ-A3UZ-01A")</f>
        <v>TCGA-DJ-A3UZ-01A</v>
      </c>
      <c r="I20193" t="s">
        <v>333</v>
      </c>
      <c r="J20193" t="s">
        <v>584</v>
      </c>
      <c r="K20193" t="s">
        <v>33</v>
      </c>
      <c r="L20193" t="s">
        <v>335</v>
      </c>
      <c r="N20193" t="s">
        <v>29</v>
      </c>
    </row>
    <row r="20194" spans="1:14">
      <c r="A20194" s="4" t="str">
        <f t="shared" si="1378"/>
        <v>EXP00448</v>
      </c>
      <c r="B20194" s="3" t="s">
        <v>66</v>
      </c>
      <c r="C20194" s="4" t="str">
        <f t="shared" si="1379"/>
        <v>TCGA-THCA</v>
      </c>
      <c r="D20194" s="1" t="s">
        <v>493</v>
      </c>
      <c r="E20194" t="s">
        <v>591</v>
      </c>
      <c r="F20194" s="1">
        <v>2</v>
      </c>
      <c r="G20194" s="1" t="s">
        <v>28</v>
      </c>
      <c r="H20194" s="4" t="str">
        <f>HYPERLINK("https://portal.gdc.cancer.gov/cases/b82e08e3-ae79-404a-a501-0d501df84b8b","TCGA-DJ-A3V0-01A")</f>
        <v>TCGA-DJ-A3V0-01A</v>
      </c>
      <c r="I20194" t="s">
        <v>333</v>
      </c>
      <c r="J20194" t="s">
        <v>584</v>
      </c>
      <c r="K20194" t="s">
        <v>33</v>
      </c>
      <c r="L20194" t="s">
        <v>335</v>
      </c>
      <c r="N20194" t="s">
        <v>29</v>
      </c>
    </row>
    <row r="20195" spans="1:14">
      <c r="A20195" s="4" t="str">
        <f t="shared" si="1378"/>
        <v>EXP00448</v>
      </c>
      <c r="B20195" s="3" t="s">
        <v>66</v>
      </c>
      <c r="C20195" s="4" t="str">
        <f t="shared" si="1379"/>
        <v>TCGA-THCA</v>
      </c>
      <c r="D20195" s="1" t="s">
        <v>493</v>
      </c>
      <c r="E20195" t="s">
        <v>591</v>
      </c>
      <c r="F20195" s="1">
        <v>2</v>
      </c>
      <c r="G20195" s="1" t="s">
        <v>28</v>
      </c>
      <c r="H20195" s="4" t="str">
        <f>HYPERLINK("https://portal.gdc.cancer.gov/cases/7b46ee87-e976-41bf-bdf1-9bff58f8314e","TCGA-DJ-A3V2-01A")</f>
        <v>TCGA-DJ-A3V2-01A</v>
      </c>
      <c r="I20195" t="s">
        <v>333</v>
      </c>
      <c r="J20195" t="s">
        <v>584</v>
      </c>
      <c r="K20195" t="s">
        <v>33</v>
      </c>
      <c r="L20195" t="s">
        <v>335</v>
      </c>
      <c r="N20195" t="s">
        <v>29</v>
      </c>
    </row>
    <row r="20196" spans="1:14">
      <c r="A20196" s="4" t="str">
        <f t="shared" si="1378"/>
        <v>EXP00448</v>
      </c>
      <c r="B20196" s="3" t="s">
        <v>66</v>
      </c>
      <c r="C20196" s="4" t="str">
        <f t="shared" si="1379"/>
        <v>TCGA-THCA</v>
      </c>
      <c r="D20196" s="1" t="s">
        <v>493</v>
      </c>
      <c r="E20196" t="s">
        <v>591</v>
      </c>
      <c r="F20196" s="1">
        <v>2</v>
      </c>
      <c r="G20196" s="1" t="s">
        <v>28</v>
      </c>
      <c r="H20196" s="4" t="str">
        <f>HYPERLINK("https://portal.gdc.cancer.gov/cases/6592a7db-cbc7-4afd-9fdb-5cc16c16eeca","TCGA-DJ-A3V3-01A")</f>
        <v>TCGA-DJ-A3V3-01A</v>
      </c>
      <c r="I20196" t="s">
        <v>333</v>
      </c>
      <c r="J20196" t="s">
        <v>584</v>
      </c>
      <c r="K20196" t="s">
        <v>33</v>
      </c>
      <c r="L20196" t="s">
        <v>335</v>
      </c>
      <c r="N20196" t="s">
        <v>29</v>
      </c>
    </row>
    <row r="20197" spans="1:14">
      <c r="A20197" s="4" t="str">
        <f t="shared" si="1378"/>
        <v>EXP00448</v>
      </c>
      <c r="B20197" s="3" t="s">
        <v>66</v>
      </c>
      <c r="C20197" s="4" t="str">
        <f t="shared" si="1379"/>
        <v>TCGA-THCA</v>
      </c>
      <c r="D20197" s="1" t="s">
        <v>493</v>
      </c>
      <c r="E20197" t="s">
        <v>591</v>
      </c>
      <c r="F20197" s="1">
        <v>2</v>
      </c>
      <c r="G20197" s="1" t="s">
        <v>28</v>
      </c>
      <c r="H20197" s="4" t="str">
        <f>HYPERLINK("https://portal.gdc.cancer.gov/cases/35277c30-010c-4d3f-9dfe-754bf72799d7","TCGA-DJ-A3V4-01A")</f>
        <v>TCGA-DJ-A3V4-01A</v>
      </c>
      <c r="I20197" t="s">
        <v>333</v>
      </c>
      <c r="J20197" t="s">
        <v>584</v>
      </c>
      <c r="K20197" t="s">
        <v>33</v>
      </c>
      <c r="L20197" t="s">
        <v>335</v>
      </c>
      <c r="N20197" t="s">
        <v>29</v>
      </c>
    </row>
    <row r="20198" spans="1:14">
      <c r="A20198" s="4" t="str">
        <f t="shared" ref="A20198:A20261" si="1380">HYPERLINK("http://hcmdb.i-sanger.com/experiment/details/experiment_id/EXP00448","EXP00448")</f>
        <v>EXP00448</v>
      </c>
      <c r="B20198" s="3" t="s">
        <v>66</v>
      </c>
      <c r="C20198" s="4" t="str">
        <f t="shared" si="1379"/>
        <v>TCGA-THCA</v>
      </c>
      <c r="D20198" s="1" t="s">
        <v>493</v>
      </c>
      <c r="E20198" t="s">
        <v>591</v>
      </c>
      <c r="F20198" s="1">
        <v>2</v>
      </c>
      <c r="G20198" s="1" t="s">
        <v>28</v>
      </c>
      <c r="H20198" s="4" t="str">
        <f>HYPERLINK("https://portal.gdc.cancer.gov/cases/7b82e2d2-47f9-41a1-9eca-40904c92039c","TCGA-DJ-A3V5-01A")</f>
        <v>TCGA-DJ-A3V5-01A</v>
      </c>
      <c r="I20198" t="s">
        <v>333</v>
      </c>
      <c r="J20198" t="s">
        <v>584</v>
      </c>
      <c r="K20198" t="s">
        <v>33</v>
      </c>
      <c r="L20198" t="s">
        <v>335</v>
      </c>
      <c r="N20198" t="s">
        <v>29</v>
      </c>
    </row>
    <row r="20199" spans="1:14">
      <c r="A20199" s="4" t="str">
        <f t="shared" si="1380"/>
        <v>EXP00448</v>
      </c>
      <c r="B20199" s="3" t="s">
        <v>66</v>
      </c>
      <c r="C20199" s="4" t="str">
        <f t="shared" si="1379"/>
        <v>TCGA-THCA</v>
      </c>
      <c r="D20199" s="1" t="s">
        <v>493</v>
      </c>
      <c r="E20199" t="s">
        <v>591</v>
      </c>
      <c r="F20199" s="1">
        <v>2</v>
      </c>
      <c r="G20199" s="1" t="s">
        <v>28</v>
      </c>
      <c r="H20199" s="4" t="str">
        <f>HYPERLINK("https://portal.gdc.cancer.gov/cases/76c4d298-6f17-4f11-a706-cd844a0e0914","TCGA-DJ-A3V6-01A")</f>
        <v>TCGA-DJ-A3V6-01A</v>
      </c>
      <c r="I20199" t="s">
        <v>333</v>
      </c>
      <c r="J20199" t="s">
        <v>584</v>
      </c>
      <c r="K20199" t="s">
        <v>33</v>
      </c>
      <c r="L20199" t="s">
        <v>335</v>
      </c>
      <c r="N20199" t="s">
        <v>29</v>
      </c>
    </row>
    <row r="20200" spans="1:14">
      <c r="A20200" s="4" t="str">
        <f t="shared" si="1380"/>
        <v>EXP00448</v>
      </c>
      <c r="B20200" s="3" t="s">
        <v>66</v>
      </c>
      <c r="C20200" s="4" t="str">
        <f t="shared" si="1379"/>
        <v>TCGA-THCA</v>
      </c>
      <c r="D20200" s="1" t="s">
        <v>493</v>
      </c>
      <c r="E20200" t="s">
        <v>591</v>
      </c>
      <c r="F20200" s="1">
        <v>2</v>
      </c>
      <c r="G20200" s="1" t="s">
        <v>28</v>
      </c>
      <c r="H20200" s="4" t="str">
        <f>HYPERLINK("https://portal.gdc.cancer.gov/cases/8e9c3621-bc43-40d0-bb2d-0c8b7ade37c2","TCGA-DJ-A3V7-01A")</f>
        <v>TCGA-DJ-A3V7-01A</v>
      </c>
      <c r="I20200" t="s">
        <v>333</v>
      </c>
      <c r="J20200" t="s">
        <v>584</v>
      </c>
      <c r="K20200" t="s">
        <v>33</v>
      </c>
      <c r="L20200" t="s">
        <v>335</v>
      </c>
      <c r="N20200" t="s">
        <v>29</v>
      </c>
    </row>
    <row r="20201" spans="1:14">
      <c r="A20201" s="4" t="str">
        <f t="shared" si="1380"/>
        <v>EXP00448</v>
      </c>
      <c r="B20201" s="3" t="s">
        <v>66</v>
      </c>
      <c r="C20201" s="4" t="str">
        <f t="shared" si="1379"/>
        <v>TCGA-THCA</v>
      </c>
      <c r="D20201" s="1" t="s">
        <v>493</v>
      </c>
      <c r="E20201" t="s">
        <v>591</v>
      </c>
      <c r="F20201" s="1">
        <v>2</v>
      </c>
      <c r="G20201" s="1" t="s">
        <v>28</v>
      </c>
      <c r="H20201" s="4" t="str">
        <f>HYPERLINK("https://portal.gdc.cancer.gov/cases/a3b49c90-fa9f-4189-a442-64ec1ad97a01","TCGA-DJ-A3V8-01A")</f>
        <v>TCGA-DJ-A3V8-01A</v>
      </c>
      <c r="I20201" t="s">
        <v>333</v>
      </c>
      <c r="J20201" t="s">
        <v>584</v>
      </c>
      <c r="K20201" t="s">
        <v>33</v>
      </c>
      <c r="L20201" t="s">
        <v>335</v>
      </c>
      <c r="N20201" t="s">
        <v>29</v>
      </c>
    </row>
    <row r="20202" spans="1:14">
      <c r="A20202" s="4" t="str">
        <f t="shared" si="1380"/>
        <v>EXP00448</v>
      </c>
      <c r="B20202" s="3" t="s">
        <v>66</v>
      </c>
      <c r="C20202" s="4" t="str">
        <f t="shared" si="1379"/>
        <v>TCGA-THCA</v>
      </c>
      <c r="D20202" s="1" t="s">
        <v>493</v>
      </c>
      <c r="E20202" t="s">
        <v>591</v>
      </c>
      <c r="F20202" s="1">
        <v>2</v>
      </c>
      <c r="G20202" s="1" t="s">
        <v>28</v>
      </c>
      <c r="H20202" s="4" t="str">
        <f>HYPERLINK("https://portal.gdc.cancer.gov/cases/2dcdf9a1-9437-4515-88c1-1c17d6b6418c","TCGA-DJ-A3V9-01A")</f>
        <v>TCGA-DJ-A3V9-01A</v>
      </c>
      <c r="I20202" t="s">
        <v>333</v>
      </c>
      <c r="J20202" t="s">
        <v>584</v>
      </c>
      <c r="K20202" t="s">
        <v>33</v>
      </c>
      <c r="L20202" t="s">
        <v>335</v>
      </c>
      <c r="N20202" t="s">
        <v>29</v>
      </c>
    </row>
    <row r="20203" spans="1:14">
      <c r="A20203" s="4" t="str">
        <f t="shared" si="1380"/>
        <v>EXP00448</v>
      </c>
      <c r="B20203" s="3" t="s">
        <v>66</v>
      </c>
      <c r="C20203" s="4" t="str">
        <f t="shared" si="1379"/>
        <v>TCGA-THCA</v>
      </c>
      <c r="D20203" s="1" t="s">
        <v>493</v>
      </c>
      <c r="E20203" t="s">
        <v>591</v>
      </c>
      <c r="F20203" s="1">
        <v>2</v>
      </c>
      <c r="G20203" s="1" t="s">
        <v>28</v>
      </c>
      <c r="H20203" s="4" t="str">
        <f>HYPERLINK("https://portal.gdc.cancer.gov/cases/28aef3ae-5375-4139-9b4e-5569eb394c88","TCGA-DJ-A3VA-01A")</f>
        <v>TCGA-DJ-A3VA-01A</v>
      </c>
      <c r="I20203" t="s">
        <v>333</v>
      </c>
      <c r="J20203" t="s">
        <v>584</v>
      </c>
      <c r="K20203" t="s">
        <v>33</v>
      </c>
      <c r="L20203" t="s">
        <v>335</v>
      </c>
      <c r="N20203" t="s">
        <v>29</v>
      </c>
    </row>
    <row r="20204" spans="1:14">
      <c r="A20204" s="4" t="str">
        <f t="shared" si="1380"/>
        <v>EXP00448</v>
      </c>
      <c r="B20204" s="3" t="s">
        <v>66</v>
      </c>
      <c r="C20204" s="4" t="str">
        <f t="shared" si="1379"/>
        <v>TCGA-THCA</v>
      </c>
      <c r="D20204" s="1" t="s">
        <v>493</v>
      </c>
      <c r="E20204" t="s">
        <v>591</v>
      </c>
      <c r="F20204" s="1">
        <v>2</v>
      </c>
      <c r="G20204" s="1" t="s">
        <v>28</v>
      </c>
      <c r="H20204" s="4" t="str">
        <f>HYPERLINK("https://portal.gdc.cancer.gov/cases/b305b716-5ae5-421b-b3c9-0824d37b08a8","TCGA-DJ-A3VB-01A")</f>
        <v>TCGA-DJ-A3VB-01A</v>
      </c>
      <c r="I20204" t="s">
        <v>333</v>
      </c>
      <c r="J20204" t="s">
        <v>584</v>
      </c>
      <c r="K20204" t="s">
        <v>33</v>
      </c>
      <c r="L20204" t="s">
        <v>335</v>
      </c>
      <c r="N20204" t="s">
        <v>29</v>
      </c>
    </row>
    <row r="20205" spans="1:14">
      <c r="A20205" s="4" t="str">
        <f t="shared" si="1380"/>
        <v>EXP00448</v>
      </c>
      <c r="B20205" s="3" t="s">
        <v>66</v>
      </c>
      <c r="C20205" s="4" t="str">
        <f t="shared" si="1379"/>
        <v>TCGA-THCA</v>
      </c>
      <c r="D20205" s="1" t="s">
        <v>493</v>
      </c>
      <c r="E20205" t="s">
        <v>591</v>
      </c>
      <c r="F20205" s="1">
        <v>2</v>
      </c>
      <c r="G20205" s="1" t="s">
        <v>28</v>
      </c>
      <c r="H20205" s="4" t="str">
        <f>HYPERLINK("https://portal.gdc.cancer.gov/cases/dc659941-8d12-4095-8d8a-1769878c363c","TCGA-DJ-A3VD-01A")</f>
        <v>TCGA-DJ-A3VD-01A</v>
      </c>
      <c r="I20205" t="s">
        <v>333</v>
      </c>
      <c r="J20205" t="s">
        <v>584</v>
      </c>
      <c r="K20205" t="s">
        <v>33</v>
      </c>
      <c r="L20205" t="s">
        <v>335</v>
      </c>
      <c r="N20205" t="s">
        <v>29</v>
      </c>
    </row>
    <row r="20206" spans="1:14">
      <c r="A20206" s="4" t="str">
        <f t="shared" si="1380"/>
        <v>EXP00448</v>
      </c>
      <c r="B20206" s="3" t="s">
        <v>66</v>
      </c>
      <c r="C20206" s="4" t="str">
        <f t="shared" si="1379"/>
        <v>TCGA-THCA</v>
      </c>
      <c r="D20206" s="1" t="s">
        <v>493</v>
      </c>
      <c r="E20206" t="s">
        <v>591</v>
      </c>
      <c r="F20206" s="1">
        <v>2</v>
      </c>
      <c r="G20206" s="1" t="s">
        <v>28</v>
      </c>
      <c r="H20206" s="4" t="str">
        <f>HYPERLINK("https://portal.gdc.cancer.gov/cases/e071c940-60fa-4c73-bb65-1ad670021854","TCGA-DJ-A3VE-01A")</f>
        <v>TCGA-DJ-A3VE-01A</v>
      </c>
      <c r="I20206" t="s">
        <v>333</v>
      </c>
      <c r="J20206" t="s">
        <v>584</v>
      </c>
      <c r="K20206" t="s">
        <v>33</v>
      </c>
      <c r="L20206" t="s">
        <v>335</v>
      </c>
      <c r="N20206" t="s">
        <v>29</v>
      </c>
    </row>
    <row r="20207" spans="1:14">
      <c r="A20207" s="4" t="str">
        <f t="shared" si="1380"/>
        <v>EXP00448</v>
      </c>
      <c r="B20207" s="3" t="s">
        <v>66</v>
      </c>
      <c r="C20207" s="4" t="str">
        <f t="shared" si="1379"/>
        <v>TCGA-THCA</v>
      </c>
      <c r="D20207" s="1" t="s">
        <v>493</v>
      </c>
      <c r="E20207" t="s">
        <v>591</v>
      </c>
      <c r="F20207" s="1">
        <v>2</v>
      </c>
      <c r="G20207" s="1" t="s">
        <v>28</v>
      </c>
      <c r="H20207" s="4" t="str">
        <f>HYPERLINK("https://portal.gdc.cancer.gov/cases/a7030d2b-2cc0-46be-9721-dc210954bee0","TCGA-DJ-A3VF-01A")</f>
        <v>TCGA-DJ-A3VF-01A</v>
      </c>
      <c r="I20207" t="s">
        <v>333</v>
      </c>
      <c r="J20207" t="s">
        <v>584</v>
      </c>
      <c r="K20207" t="s">
        <v>33</v>
      </c>
      <c r="L20207" t="s">
        <v>335</v>
      </c>
      <c r="N20207" t="s">
        <v>29</v>
      </c>
    </row>
    <row r="20208" spans="1:14">
      <c r="A20208" s="4" t="str">
        <f t="shared" si="1380"/>
        <v>EXP00448</v>
      </c>
      <c r="B20208" s="3" t="s">
        <v>66</v>
      </c>
      <c r="C20208" s="4" t="str">
        <f t="shared" si="1379"/>
        <v>TCGA-THCA</v>
      </c>
      <c r="D20208" s="1" t="s">
        <v>493</v>
      </c>
      <c r="E20208" t="s">
        <v>591</v>
      </c>
      <c r="F20208" s="1">
        <v>2</v>
      </c>
      <c r="G20208" s="1" t="s">
        <v>28</v>
      </c>
      <c r="H20208" s="4" t="str">
        <f>HYPERLINK("https://portal.gdc.cancer.gov/cases/c042a639-63c6-471b-a7c5-3fb4e12c4d12","TCGA-DJ-A3VG-01A")</f>
        <v>TCGA-DJ-A3VG-01A</v>
      </c>
      <c r="I20208" t="s">
        <v>333</v>
      </c>
      <c r="J20208" t="s">
        <v>584</v>
      </c>
      <c r="K20208" t="s">
        <v>33</v>
      </c>
      <c r="L20208" t="s">
        <v>335</v>
      </c>
      <c r="N20208" t="s">
        <v>29</v>
      </c>
    </row>
    <row r="20209" spans="1:14">
      <c r="A20209" s="4" t="str">
        <f t="shared" si="1380"/>
        <v>EXP00448</v>
      </c>
      <c r="B20209" s="3" t="s">
        <v>66</v>
      </c>
      <c r="C20209" s="4" t="str">
        <f t="shared" si="1379"/>
        <v>TCGA-THCA</v>
      </c>
      <c r="D20209" s="1" t="s">
        <v>493</v>
      </c>
      <c r="E20209" t="s">
        <v>591</v>
      </c>
      <c r="F20209" s="1">
        <v>2</v>
      </c>
      <c r="G20209" s="1" t="s">
        <v>28</v>
      </c>
      <c r="H20209" s="4" t="str">
        <f>HYPERLINK("https://portal.gdc.cancer.gov/cases/188013d3-cefe-4861-b115-c34db1cf3831","TCGA-DJ-A3VI-01A")</f>
        <v>TCGA-DJ-A3VI-01A</v>
      </c>
      <c r="I20209" t="s">
        <v>333</v>
      </c>
      <c r="J20209" t="s">
        <v>584</v>
      </c>
      <c r="K20209" t="s">
        <v>33</v>
      </c>
      <c r="L20209" t="s">
        <v>335</v>
      </c>
      <c r="N20209" t="s">
        <v>29</v>
      </c>
    </row>
    <row r="20210" spans="1:14">
      <c r="A20210" s="4" t="str">
        <f t="shared" si="1380"/>
        <v>EXP00448</v>
      </c>
      <c r="B20210" s="3" t="s">
        <v>66</v>
      </c>
      <c r="C20210" s="4" t="str">
        <f t="shared" si="1379"/>
        <v>TCGA-THCA</v>
      </c>
      <c r="D20210" s="1" t="s">
        <v>493</v>
      </c>
      <c r="E20210" t="s">
        <v>591</v>
      </c>
      <c r="F20210" s="1">
        <v>2</v>
      </c>
      <c r="G20210" s="1" t="s">
        <v>28</v>
      </c>
      <c r="H20210" s="4" t="str">
        <f>HYPERLINK("https://portal.gdc.cancer.gov/cases/e62adac4-803a-4d94-9ae0-7b1a49041799","TCGA-DJ-A3VJ-01A")</f>
        <v>TCGA-DJ-A3VJ-01A</v>
      </c>
      <c r="I20210" t="s">
        <v>333</v>
      </c>
      <c r="J20210" t="s">
        <v>584</v>
      </c>
      <c r="K20210" t="s">
        <v>33</v>
      </c>
      <c r="L20210" t="s">
        <v>335</v>
      </c>
      <c r="N20210" t="s">
        <v>29</v>
      </c>
    </row>
    <row r="20211" spans="1:14">
      <c r="A20211" s="4" t="str">
        <f t="shared" si="1380"/>
        <v>EXP00448</v>
      </c>
      <c r="B20211" s="3" t="s">
        <v>66</v>
      </c>
      <c r="C20211" s="4" t="str">
        <f t="shared" si="1379"/>
        <v>TCGA-THCA</v>
      </c>
      <c r="D20211" s="1" t="s">
        <v>493</v>
      </c>
      <c r="E20211" t="s">
        <v>591</v>
      </c>
      <c r="F20211" s="1">
        <v>2</v>
      </c>
      <c r="G20211" s="1" t="s">
        <v>28</v>
      </c>
      <c r="H20211" s="4" t="str">
        <f>HYPERLINK("https://portal.gdc.cancer.gov/cases/94443df0-7f16-4178-9e66-bee82f6ca33a","TCGA-DJ-A3VK-01A")</f>
        <v>TCGA-DJ-A3VK-01A</v>
      </c>
      <c r="I20211" t="s">
        <v>333</v>
      </c>
      <c r="J20211" t="s">
        <v>584</v>
      </c>
      <c r="K20211" t="s">
        <v>33</v>
      </c>
      <c r="L20211" t="s">
        <v>335</v>
      </c>
      <c r="N20211" t="s">
        <v>29</v>
      </c>
    </row>
    <row r="20212" spans="1:14">
      <c r="A20212" s="4" t="str">
        <f t="shared" si="1380"/>
        <v>EXP00448</v>
      </c>
      <c r="B20212" s="3" t="s">
        <v>66</v>
      </c>
      <c r="C20212" s="4" t="str">
        <f t="shared" si="1379"/>
        <v>TCGA-THCA</v>
      </c>
      <c r="D20212" s="1" t="s">
        <v>493</v>
      </c>
      <c r="E20212" t="s">
        <v>591</v>
      </c>
      <c r="F20212" s="1">
        <v>2</v>
      </c>
      <c r="G20212" s="1" t="s">
        <v>28</v>
      </c>
      <c r="H20212" s="4" t="str">
        <f>HYPERLINK("https://portal.gdc.cancer.gov/cases/cac8246a-a806-4945-898a-105cd88b2752","TCGA-DJ-A3VL-01A")</f>
        <v>TCGA-DJ-A3VL-01A</v>
      </c>
      <c r="I20212" t="s">
        <v>333</v>
      </c>
      <c r="J20212" t="s">
        <v>584</v>
      </c>
      <c r="K20212" t="s">
        <v>33</v>
      </c>
      <c r="L20212" t="s">
        <v>335</v>
      </c>
      <c r="N20212" t="s">
        <v>29</v>
      </c>
    </row>
    <row r="20213" spans="1:14">
      <c r="A20213" s="4" t="str">
        <f t="shared" si="1380"/>
        <v>EXP00448</v>
      </c>
      <c r="B20213" s="3" t="s">
        <v>66</v>
      </c>
      <c r="C20213" s="4" t="str">
        <f t="shared" ref="C20213:C20276" si="1381">HYPERLINK("https://portal.gdc.cancer.gov/projects/TCGA-THCA","TCGA-THCA")</f>
        <v>TCGA-THCA</v>
      </c>
      <c r="D20213" s="1" t="s">
        <v>493</v>
      </c>
      <c r="E20213" t="s">
        <v>591</v>
      </c>
      <c r="F20213" s="1">
        <v>2</v>
      </c>
      <c r="G20213" s="1" t="s">
        <v>28</v>
      </c>
      <c r="H20213" s="4" t="str">
        <f>HYPERLINK("https://portal.gdc.cancer.gov/cases/1ebd5834-56b8-498a-8f34-c0031fcfd856","TCGA-DJ-A3VM-01A")</f>
        <v>TCGA-DJ-A3VM-01A</v>
      </c>
      <c r="I20213" t="s">
        <v>333</v>
      </c>
      <c r="J20213" t="s">
        <v>584</v>
      </c>
      <c r="K20213" t="s">
        <v>33</v>
      </c>
      <c r="L20213" t="s">
        <v>335</v>
      </c>
      <c r="N20213" t="s">
        <v>29</v>
      </c>
    </row>
    <row r="20214" spans="1:14">
      <c r="A20214" s="4" t="str">
        <f t="shared" si="1380"/>
        <v>EXP00448</v>
      </c>
      <c r="B20214" s="3" t="s">
        <v>66</v>
      </c>
      <c r="C20214" s="4" t="str">
        <f t="shared" si="1381"/>
        <v>TCGA-THCA</v>
      </c>
      <c r="D20214" s="1" t="s">
        <v>493</v>
      </c>
      <c r="E20214" t="s">
        <v>591</v>
      </c>
      <c r="F20214" s="1">
        <v>2</v>
      </c>
      <c r="G20214" s="1" t="s">
        <v>28</v>
      </c>
      <c r="H20214" s="4" t="str">
        <f>HYPERLINK("https://portal.gdc.cancer.gov/cases/7851512b-5f44-43de-8b27-99b5e91a8119","TCGA-DJ-A4UL-01A")</f>
        <v>TCGA-DJ-A4UL-01A</v>
      </c>
      <c r="I20214" t="s">
        <v>333</v>
      </c>
      <c r="J20214" t="s">
        <v>584</v>
      </c>
      <c r="K20214" t="s">
        <v>33</v>
      </c>
      <c r="L20214" t="s">
        <v>335</v>
      </c>
      <c r="N20214" t="s">
        <v>29</v>
      </c>
    </row>
    <row r="20215" spans="1:14">
      <c r="A20215" s="4" t="str">
        <f t="shared" si="1380"/>
        <v>EXP00448</v>
      </c>
      <c r="B20215" s="3" t="s">
        <v>66</v>
      </c>
      <c r="C20215" s="4" t="str">
        <f t="shared" si="1381"/>
        <v>TCGA-THCA</v>
      </c>
      <c r="D20215" s="1" t="s">
        <v>493</v>
      </c>
      <c r="E20215" t="s">
        <v>591</v>
      </c>
      <c r="F20215" s="1">
        <v>2</v>
      </c>
      <c r="G20215" s="1" t="s">
        <v>28</v>
      </c>
      <c r="H20215" s="4" t="str">
        <f>HYPERLINK("https://portal.gdc.cancer.gov/cases/256976a4-41ab-445e-ae26-c594ba1fa324","TCGA-DJ-A4UP-01A")</f>
        <v>TCGA-DJ-A4UP-01A</v>
      </c>
      <c r="I20215" t="s">
        <v>333</v>
      </c>
      <c r="J20215" t="s">
        <v>584</v>
      </c>
      <c r="K20215" t="s">
        <v>33</v>
      </c>
      <c r="L20215" t="s">
        <v>335</v>
      </c>
      <c r="N20215" t="s">
        <v>29</v>
      </c>
    </row>
    <row r="20216" spans="1:14">
      <c r="A20216" s="4" t="str">
        <f t="shared" si="1380"/>
        <v>EXP00448</v>
      </c>
      <c r="B20216" s="3" t="s">
        <v>66</v>
      </c>
      <c r="C20216" s="4" t="str">
        <f t="shared" si="1381"/>
        <v>TCGA-THCA</v>
      </c>
      <c r="D20216" s="1" t="s">
        <v>493</v>
      </c>
      <c r="E20216" t="s">
        <v>591</v>
      </c>
      <c r="F20216" s="1">
        <v>2</v>
      </c>
      <c r="G20216" s="1" t="s">
        <v>28</v>
      </c>
      <c r="H20216" s="4" t="str">
        <f>HYPERLINK("https://portal.gdc.cancer.gov/cases/274225cf-a0f4-4635-848b-819f479001de","TCGA-DJ-A4UQ-01A")</f>
        <v>TCGA-DJ-A4UQ-01A</v>
      </c>
      <c r="I20216" t="s">
        <v>333</v>
      </c>
      <c r="J20216" t="s">
        <v>584</v>
      </c>
      <c r="K20216" t="s">
        <v>33</v>
      </c>
      <c r="L20216" t="s">
        <v>335</v>
      </c>
      <c r="N20216" t="s">
        <v>29</v>
      </c>
    </row>
    <row r="20217" spans="1:14">
      <c r="A20217" s="4" t="str">
        <f t="shared" si="1380"/>
        <v>EXP00448</v>
      </c>
      <c r="B20217" s="3" t="s">
        <v>66</v>
      </c>
      <c r="C20217" s="4" t="str">
        <f t="shared" si="1381"/>
        <v>TCGA-THCA</v>
      </c>
      <c r="D20217" s="1" t="s">
        <v>493</v>
      </c>
      <c r="E20217" t="s">
        <v>591</v>
      </c>
      <c r="F20217" s="1">
        <v>2</v>
      </c>
      <c r="G20217" s="1" t="s">
        <v>28</v>
      </c>
      <c r="H20217" s="4" t="str">
        <f>HYPERLINK("https://portal.gdc.cancer.gov/cases/c53c4bfe-d9d2-4882-a46b-fa487d95b8ba","TCGA-DJ-A4UR-01A")</f>
        <v>TCGA-DJ-A4UR-01A</v>
      </c>
      <c r="I20217" t="s">
        <v>333</v>
      </c>
      <c r="J20217" t="s">
        <v>584</v>
      </c>
      <c r="K20217" t="s">
        <v>33</v>
      </c>
      <c r="L20217" t="s">
        <v>335</v>
      </c>
      <c r="N20217" t="s">
        <v>29</v>
      </c>
    </row>
    <row r="20218" spans="1:14">
      <c r="A20218" s="4" t="str">
        <f t="shared" si="1380"/>
        <v>EXP00448</v>
      </c>
      <c r="B20218" s="3" t="s">
        <v>66</v>
      </c>
      <c r="C20218" s="4" t="str">
        <f t="shared" si="1381"/>
        <v>TCGA-THCA</v>
      </c>
      <c r="D20218" s="1" t="s">
        <v>493</v>
      </c>
      <c r="E20218" t="s">
        <v>591</v>
      </c>
      <c r="F20218" s="1">
        <v>2</v>
      </c>
      <c r="G20218" s="1" t="s">
        <v>28</v>
      </c>
      <c r="H20218" s="4" t="str">
        <f>HYPERLINK("https://portal.gdc.cancer.gov/cases/acb80b76-2394-4250-8687-60e40e16e83b","TCGA-DJ-A4UT-01A")</f>
        <v>TCGA-DJ-A4UT-01A</v>
      </c>
      <c r="I20218" t="s">
        <v>333</v>
      </c>
      <c r="J20218" t="s">
        <v>584</v>
      </c>
      <c r="K20218" t="s">
        <v>33</v>
      </c>
      <c r="L20218" t="s">
        <v>335</v>
      </c>
      <c r="N20218" t="s">
        <v>29</v>
      </c>
    </row>
    <row r="20219" spans="1:14">
      <c r="A20219" s="4" t="str">
        <f t="shared" si="1380"/>
        <v>EXP00448</v>
      </c>
      <c r="B20219" s="3" t="s">
        <v>66</v>
      </c>
      <c r="C20219" s="4" t="str">
        <f t="shared" si="1381"/>
        <v>TCGA-THCA</v>
      </c>
      <c r="D20219" s="1" t="s">
        <v>493</v>
      </c>
      <c r="E20219" t="s">
        <v>591</v>
      </c>
      <c r="F20219" s="1">
        <v>2</v>
      </c>
      <c r="G20219" s="1" t="s">
        <v>28</v>
      </c>
      <c r="H20219" s="4" t="str">
        <f>HYPERLINK("https://portal.gdc.cancer.gov/cases/97384352-0e80-42c2-8a8b-7bdbda2b58ee","TCGA-DJ-A4UW-01A")</f>
        <v>TCGA-DJ-A4UW-01A</v>
      </c>
      <c r="I20219" t="s">
        <v>333</v>
      </c>
      <c r="J20219" t="s">
        <v>584</v>
      </c>
      <c r="K20219" t="s">
        <v>33</v>
      </c>
      <c r="L20219" t="s">
        <v>335</v>
      </c>
      <c r="N20219" t="s">
        <v>29</v>
      </c>
    </row>
    <row r="20220" spans="1:14">
      <c r="A20220" s="4" t="str">
        <f t="shared" si="1380"/>
        <v>EXP00448</v>
      </c>
      <c r="B20220" s="3" t="s">
        <v>66</v>
      </c>
      <c r="C20220" s="4" t="str">
        <f t="shared" si="1381"/>
        <v>TCGA-THCA</v>
      </c>
      <c r="D20220" s="1" t="s">
        <v>493</v>
      </c>
      <c r="E20220" t="s">
        <v>591</v>
      </c>
      <c r="F20220" s="1">
        <v>2</v>
      </c>
      <c r="G20220" s="1" t="s">
        <v>28</v>
      </c>
      <c r="H20220" s="4" t="str">
        <f>HYPERLINK("https://portal.gdc.cancer.gov/cases/fffdb1d9-58d1-425c-ac12-1e1e5f443bf7","TCGA-DJ-A4V0-01A")</f>
        <v>TCGA-DJ-A4V0-01A</v>
      </c>
      <c r="I20220" t="s">
        <v>333</v>
      </c>
      <c r="J20220" t="s">
        <v>584</v>
      </c>
      <c r="K20220" t="s">
        <v>33</v>
      </c>
      <c r="L20220" t="s">
        <v>335</v>
      </c>
      <c r="N20220" t="s">
        <v>29</v>
      </c>
    </row>
    <row r="20221" spans="1:14">
      <c r="A20221" s="4" t="str">
        <f t="shared" si="1380"/>
        <v>EXP00448</v>
      </c>
      <c r="B20221" s="3" t="s">
        <v>66</v>
      </c>
      <c r="C20221" s="4" t="str">
        <f t="shared" si="1381"/>
        <v>TCGA-THCA</v>
      </c>
      <c r="D20221" s="1" t="s">
        <v>493</v>
      </c>
      <c r="E20221" t="s">
        <v>591</v>
      </c>
      <c r="F20221" s="1">
        <v>2</v>
      </c>
      <c r="G20221" s="1" t="s">
        <v>28</v>
      </c>
      <c r="H20221" s="4" t="str">
        <f>HYPERLINK("https://portal.gdc.cancer.gov/cases/da575651-8a69-4d08-aa0f-4a1891b0b44f","TCGA-DJ-A4V2-01A")</f>
        <v>TCGA-DJ-A4V2-01A</v>
      </c>
      <c r="I20221" t="s">
        <v>333</v>
      </c>
      <c r="J20221" t="s">
        <v>584</v>
      </c>
      <c r="K20221" t="s">
        <v>33</v>
      </c>
      <c r="L20221" t="s">
        <v>335</v>
      </c>
      <c r="N20221" t="s">
        <v>29</v>
      </c>
    </row>
    <row r="20222" spans="1:14">
      <c r="A20222" s="4" t="str">
        <f t="shared" si="1380"/>
        <v>EXP00448</v>
      </c>
      <c r="B20222" s="3" t="s">
        <v>66</v>
      </c>
      <c r="C20222" s="4" t="str">
        <f t="shared" si="1381"/>
        <v>TCGA-THCA</v>
      </c>
      <c r="D20222" s="1" t="s">
        <v>493</v>
      </c>
      <c r="E20222" t="s">
        <v>591</v>
      </c>
      <c r="F20222" s="1">
        <v>2</v>
      </c>
      <c r="G20222" s="1" t="s">
        <v>28</v>
      </c>
      <c r="H20222" s="4" t="str">
        <f>HYPERLINK("https://portal.gdc.cancer.gov/cases/b78c953f-f1bb-4295-85f1-23c4000ce9d3","TCGA-DJ-A4V4-01A")</f>
        <v>TCGA-DJ-A4V4-01A</v>
      </c>
      <c r="I20222" t="s">
        <v>333</v>
      </c>
      <c r="J20222" t="s">
        <v>584</v>
      </c>
      <c r="K20222" t="s">
        <v>33</v>
      </c>
      <c r="L20222" t="s">
        <v>335</v>
      </c>
      <c r="N20222" t="s">
        <v>29</v>
      </c>
    </row>
    <row r="20223" spans="1:14">
      <c r="A20223" s="4" t="str">
        <f t="shared" si="1380"/>
        <v>EXP00448</v>
      </c>
      <c r="B20223" s="3" t="s">
        <v>66</v>
      </c>
      <c r="C20223" s="4" t="str">
        <f t="shared" si="1381"/>
        <v>TCGA-THCA</v>
      </c>
      <c r="D20223" s="1" t="s">
        <v>493</v>
      </c>
      <c r="E20223" t="s">
        <v>591</v>
      </c>
      <c r="F20223" s="1">
        <v>2</v>
      </c>
      <c r="G20223" s="1" t="s">
        <v>28</v>
      </c>
      <c r="H20223" s="4" t="str">
        <f>HYPERLINK("https://portal.gdc.cancer.gov/cases/86d5865e-6a1c-467c-97c9-47460b77f5a4","TCGA-DJ-A4V5-01A")</f>
        <v>TCGA-DJ-A4V5-01A</v>
      </c>
      <c r="I20223" t="s">
        <v>333</v>
      </c>
      <c r="J20223" t="s">
        <v>584</v>
      </c>
      <c r="K20223" t="s">
        <v>33</v>
      </c>
      <c r="L20223" t="s">
        <v>335</v>
      </c>
      <c r="N20223" t="s">
        <v>29</v>
      </c>
    </row>
    <row r="20224" spans="1:14">
      <c r="A20224" s="4" t="str">
        <f t="shared" si="1380"/>
        <v>EXP00448</v>
      </c>
      <c r="B20224" s="3" t="s">
        <v>66</v>
      </c>
      <c r="C20224" s="4" t="str">
        <f t="shared" si="1381"/>
        <v>TCGA-THCA</v>
      </c>
      <c r="D20224" s="1" t="s">
        <v>493</v>
      </c>
      <c r="E20224" t="s">
        <v>591</v>
      </c>
      <c r="F20224" s="1">
        <v>2</v>
      </c>
      <c r="G20224" s="1" t="s">
        <v>28</v>
      </c>
      <c r="H20224" s="4" t="str">
        <f>HYPERLINK("https://portal.gdc.cancer.gov/cases/169f045f-1739-4b0b-9bdc-028aaca420f8","TCGA-DO-A1JZ-01A")</f>
        <v>TCGA-DO-A1JZ-01A</v>
      </c>
      <c r="I20224" t="s">
        <v>333</v>
      </c>
      <c r="J20224" t="s">
        <v>584</v>
      </c>
      <c r="K20224" t="s">
        <v>33</v>
      </c>
      <c r="L20224" t="s">
        <v>335</v>
      </c>
      <c r="N20224" t="s">
        <v>29</v>
      </c>
    </row>
    <row r="20225" spans="1:14">
      <c r="A20225" s="4" t="str">
        <f t="shared" si="1380"/>
        <v>EXP00448</v>
      </c>
      <c r="B20225" s="3" t="s">
        <v>66</v>
      </c>
      <c r="C20225" s="4" t="str">
        <f t="shared" si="1381"/>
        <v>TCGA-THCA</v>
      </c>
      <c r="D20225" s="1" t="s">
        <v>493</v>
      </c>
      <c r="E20225" t="s">
        <v>591</v>
      </c>
      <c r="F20225" s="1">
        <v>2</v>
      </c>
      <c r="G20225" s="1" t="s">
        <v>28</v>
      </c>
      <c r="H20225" s="4" t="str">
        <f>HYPERLINK("https://portal.gdc.cancer.gov/cases/b7a01148-5bab-4268-986a-a9cf7bca967f","TCGA-DO-A1K0-01A")</f>
        <v>TCGA-DO-A1K0-01A</v>
      </c>
      <c r="I20225" t="s">
        <v>333</v>
      </c>
      <c r="J20225" t="s">
        <v>584</v>
      </c>
      <c r="K20225" t="s">
        <v>33</v>
      </c>
      <c r="L20225" t="s">
        <v>335</v>
      </c>
      <c r="N20225" t="s">
        <v>29</v>
      </c>
    </row>
    <row r="20226" spans="1:14">
      <c r="A20226" s="4" t="str">
        <f t="shared" si="1380"/>
        <v>EXP00448</v>
      </c>
      <c r="B20226" s="3" t="s">
        <v>66</v>
      </c>
      <c r="C20226" s="4" t="str">
        <f t="shared" si="1381"/>
        <v>TCGA-THCA</v>
      </c>
      <c r="D20226" s="1" t="s">
        <v>493</v>
      </c>
      <c r="E20226" t="s">
        <v>591</v>
      </c>
      <c r="F20226" s="1">
        <v>2</v>
      </c>
      <c r="G20226" s="1" t="s">
        <v>28</v>
      </c>
      <c r="H20226" s="4" t="str">
        <f>HYPERLINK("https://portal.gdc.cancer.gov/cases/82dd133b-691b-4bbf-b948-6270869d9b69","TCGA-DO-A2HM-01B")</f>
        <v>TCGA-DO-A2HM-01B</v>
      </c>
      <c r="I20226" t="s">
        <v>333</v>
      </c>
      <c r="J20226" t="s">
        <v>584</v>
      </c>
      <c r="K20226" t="s">
        <v>33</v>
      </c>
      <c r="L20226" t="s">
        <v>335</v>
      </c>
      <c r="N20226" t="s">
        <v>29</v>
      </c>
    </row>
    <row r="20227" spans="1:14">
      <c r="A20227" s="4" t="str">
        <f t="shared" si="1380"/>
        <v>EXP00448</v>
      </c>
      <c r="B20227" s="3" t="s">
        <v>66</v>
      </c>
      <c r="C20227" s="4" t="str">
        <f t="shared" si="1381"/>
        <v>TCGA-THCA</v>
      </c>
      <c r="D20227" s="1" t="s">
        <v>493</v>
      </c>
      <c r="E20227" t="s">
        <v>591</v>
      </c>
      <c r="F20227" s="1">
        <v>2</v>
      </c>
      <c r="G20227" s="1" t="s">
        <v>28</v>
      </c>
      <c r="H20227" s="4" t="str">
        <f>HYPERLINK("https://portal.gdc.cancer.gov/cases/dffef9e8-5b69-43d9-a95b-0744daa38d1d","TCGA-E3-A3DY-01A")</f>
        <v>TCGA-E3-A3DY-01A</v>
      </c>
      <c r="I20227" t="s">
        <v>333</v>
      </c>
      <c r="J20227" t="s">
        <v>584</v>
      </c>
      <c r="K20227" t="s">
        <v>33</v>
      </c>
      <c r="L20227" t="s">
        <v>335</v>
      </c>
      <c r="N20227" t="s">
        <v>29</v>
      </c>
    </row>
    <row r="20228" spans="1:14">
      <c r="A20228" s="4" t="str">
        <f t="shared" si="1380"/>
        <v>EXP00448</v>
      </c>
      <c r="B20228" s="3" t="s">
        <v>66</v>
      </c>
      <c r="C20228" s="4" t="str">
        <f t="shared" si="1381"/>
        <v>TCGA-THCA</v>
      </c>
      <c r="D20228" s="1" t="s">
        <v>493</v>
      </c>
      <c r="E20228" t="s">
        <v>591</v>
      </c>
      <c r="F20228" s="1">
        <v>2</v>
      </c>
      <c r="G20228" s="1" t="s">
        <v>28</v>
      </c>
      <c r="H20228" s="4" t="str">
        <f>HYPERLINK("https://portal.gdc.cancer.gov/cases/59e47734-96de-4328-aca7-e9423dda9c52","TCGA-E3-A3DZ-01A")</f>
        <v>TCGA-E3-A3DZ-01A</v>
      </c>
      <c r="I20228" t="s">
        <v>333</v>
      </c>
      <c r="J20228" t="s">
        <v>584</v>
      </c>
      <c r="K20228" t="s">
        <v>33</v>
      </c>
      <c r="L20228" t="s">
        <v>335</v>
      </c>
      <c r="N20228" t="s">
        <v>29</v>
      </c>
    </row>
    <row r="20229" spans="1:14">
      <c r="A20229" s="4" t="str">
        <f t="shared" si="1380"/>
        <v>EXP00448</v>
      </c>
      <c r="B20229" s="3" t="s">
        <v>66</v>
      </c>
      <c r="C20229" s="4" t="str">
        <f t="shared" si="1381"/>
        <v>TCGA-THCA</v>
      </c>
      <c r="D20229" s="1" t="s">
        <v>493</v>
      </c>
      <c r="E20229" t="s">
        <v>591</v>
      </c>
      <c r="F20229" s="1">
        <v>2</v>
      </c>
      <c r="G20229" s="1" t="s">
        <v>28</v>
      </c>
      <c r="H20229" s="4" t="str">
        <f>HYPERLINK("https://portal.gdc.cancer.gov/cases/5be6c0d9-6ad7-482f-bd00-0432702df495","TCGA-E3-A3E0-01A")</f>
        <v>TCGA-E3-A3E0-01A</v>
      </c>
      <c r="I20229" t="s">
        <v>333</v>
      </c>
      <c r="J20229" t="s">
        <v>584</v>
      </c>
      <c r="K20229" t="s">
        <v>33</v>
      </c>
      <c r="L20229" t="s">
        <v>335</v>
      </c>
      <c r="N20229" t="s">
        <v>29</v>
      </c>
    </row>
    <row r="20230" spans="1:14">
      <c r="A20230" s="4" t="str">
        <f t="shared" si="1380"/>
        <v>EXP00448</v>
      </c>
      <c r="B20230" s="3" t="s">
        <v>66</v>
      </c>
      <c r="C20230" s="4" t="str">
        <f t="shared" si="1381"/>
        <v>TCGA-THCA</v>
      </c>
      <c r="D20230" s="1" t="s">
        <v>493</v>
      </c>
      <c r="E20230" t="s">
        <v>591</v>
      </c>
      <c r="F20230" s="1">
        <v>2</v>
      </c>
      <c r="G20230" s="1" t="s">
        <v>28</v>
      </c>
      <c r="H20230" s="4" t="str">
        <f>HYPERLINK("https://portal.gdc.cancer.gov/cases/884ad3b9-5350-4580-85f6-80ac05a6dcea","TCGA-E3-A3E1-01A")</f>
        <v>TCGA-E3-A3E1-01A</v>
      </c>
      <c r="I20230" t="s">
        <v>333</v>
      </c>
      <c r="J20230" t="s">
        <v>584</v>
      </c>
      <c r="K20230" t="s">
        <v>33</v>
      </c>
      <c r="L20230" t="s">
        <v>335</v>
      </c>
      <c r="N20230" t="s">
        <v>29</v>
      </c>
    </row>
    <row r="20231" spans="1:14">
      <c r="A20231" s="4" t="str">
        <f t="shared" si="1380"/>
        <v>EXP00448</v>
      </c>
      <c r="B20231" s="3" t="s">
        <v>66</v>
      </c>
      <c r="C20231" s="4" t="str">
        <f t="shared" si="1381"/>
        <v>TCGA-THCA</v>
      </c>
      <c r="D20231" s="1" t="s">
        <v>493</v>
      </c>
      <c r="E20231" t="s">
        <v>591</v>
      </c>
      <c r="F20231" s="1">
        <v>2</v>
      </c>
      <c r="G20231" s="1" t="s">
        <v>28</v>
      </c>
      <c r="H20231" s="4" t="str">
        <f>HYPERLINK("https://portal.gdc.cancer.gov/cases/efbdedaa-4b02-40ac-b93c-9670c018cf7f","TCGA-E3-A3E2-01A")</f>
        <v>TCGA-E3-A3E2-01A</v>
      </c>
      <c r="I20231" t="s">
        <v>333</v>
      </c>
      <c r="J20231" t="s">
        <v>584</v>
      </c>
      <c r="K20231" t="s">
        <v>33</v>
      </c>
      <c r="L20231" t="s">
        <v>335</v>
      </c>
      <c r="N20231" t="s">
        <v>29</v>
      </c>
    </row>
    <row r="20232" spans="1:14">
      <c r="A20232" s="4" t="str">
        <f t="shared" si="1380"/>
        <v>EXP00448</v>
      </c>
      <c r="B20232" s="3" t="s">
        <v>66</v>
      </c>
      <c r="C20232" s="4" t="str">
        <f t="shared" si="1381"/>
        <v>TCGA-THCA</v>
      </c>
      <c r="D20232" s="1" t="s">
        <v>493</v>
      </c>
      <c r="E20232" t="s">
        <v>591</v>
      </c>
      <c r="F20232" s="1">
        <v>2</v>
      </c>
      <c r="G20232" s="1" t="s">
        <v>28</v>
      </c>
      <c r="H20232" s="4" t="str">
        <f>HYPERLINK("https://portal.gdc.cancer.gov/cases/63e8c48e-f01b-4a7f-87e2-30607a2c8f6c","TCGA-E3-A3E3-01A")</f>
        <v>TCGA-E3-A3E3-01A</v>
      </c>
      <c r="I20232" t="s">
        <v>333</v>
      </c>
      <c r="J20232" t="s">
        <v>584</v>
      </c>
      <c r="K20232" t="s">
        <v>33</v>
      </c>
      <c r="L20232" t="s">
        <v>335</v>
      </c>
      <c r="N20232" t="s">
        <v>29</v>
      </c>
    </row>
    <row r="20233" spans="1:14">
      <c r="A20233" s="4" t="str">
        <f t="shared" si="1380"/>
        <v>EXP00448</v>
      </c>
      <c r="B20233" s="3" t="s">
        <v>66</v>
      </c>
      <c r="C20233" s="4" t="str">
        <f t="shared" si="1381"/>
        <v>TCGA-THCA</v>
      </c>
      <c r="D20233" s="1" t="s">
        <v>493</v>
      </c>
      <c r="E20233" t="s">
        <v>591</v>
      </c>
      <c r="F20233" s="1">
        <v>2</v>
      </c>
      <c r="G20233" s="1" t="s">
        <v>28</v>
      </c>
      <c r="H20233" s="4" t="str">
        <f>HYPERLINK("https://portal.gdc.cancer.gov/cases/90750006-fb25-4ccd-90df-9f300cd26a5b","TCGA-E3-A3E5-01A")</f>
        <v>TCGA-E3-A3E5-01A</v>
      </c>
      <c r="I20233" t="s">
        <v>333</v>
      </c>
      <c r="J20233" t="s">
        <v>584</v>
      </c>
      <c r="K20233" t="s">
        <v>33</v>
      </c>
      <c r="L20233" t="s">
        <v>335</v>
      </c>
      <c r="N20233" t="s">
        <v>29</v>
      </c>
    </row>
    <row r="20234" spans="1:14">
      <c r="A20234" s="4" t="str">
        <f t="shared" si="1380"/>
        <v>EXP00448</v>
      </c>
      <c r="B20234" s="3" t="s">
        <v>66</v>
      </c>
      <c r="C20234" s="4" t="str">
        <f t="shared" si="1381"/>
        <v>TCGA-THCA</v>
      </c>
      <c r="D20234" s="1" t="s">
        <v>493</v>
      </c>
      <c r="E20234" t="s">
        <v>591</v>
      </c>
      <c r="F20234" s="1">
        <v>2</v>
      </c>
      <c r="G20234" s="1" t="s">
        <v>28</v>
      </c>
      <c r="H20234" s="4" t="str">
        <f>HYPERLINK("https://portal.gdc.cancer.gov/cases/4d9de9a1-7df1-412e-9f16-15dd51b4c5f5","TCGA-E8-A242-01A")</f>
        <v>TCGA-E8-A242-01A</v>
      </c>
      <c r="I20234" t="s">
        <v>333</v>
      </c>
      <c r="J20234" t="s">
        <v>584</v>
      </c>
      <c r="K20234" t="s">
        <v>33</v>
      </c>
      <c r="L20234" t="s">
        <v>335</v>
      </c>
      <c r="N20234" t="s">
        <v>29</v>
      </c>
    </row>
    <row r="20235" spans="1:14">
      <c r="A20235" s="4" t="str">
        <f t="shared" si="1380"/>
        <v>EXP00448</v>
      </c>
      <c r="B20235" s="3" t="s">
        <v>66</v>
      </c>
      <c r="C20235" s="4" t="str">
        <f t="shared" si="1381"/>
        <v>TCGA-THCA</v>
      </c>
      <c r="D20235" s="1" t="s">
        <v>493</v>
      </c>
      <c r="E20235" t="s">
        <v>591</v>
      </c>
      <c r="F20235" s="1">
        <v>2</v>
      </c>
      <c r="G20235" s="1" t="s">
        <v>28</v>
      </c>
      <c r="H20235" s="4" t="str">
        <f>HYPERLINK("https://portal.gdc.cancer.gov/cases/980d1c65-b675-4568-9ce8-c0278686ae8d","TCGA-E8-A2EA-01A")</f>
        <v>TCGA-E8-A2EA-01A</v>
      </c>
      <c r="I20235" t="s">
        <v>333</v>
      </c>
      <c r="J20235" t="s">
        <v>584</v>
      </c>
      <c r="K20235" t="s">
        <v>33</v>
      </c>
      <c r="L20235" t="s">
        <v>335</v>
      </c>
      <c r="N20235" t="s">
        <v>29</v>
      </c>
    </row>
    <row r="20236" spans="1:14">
      <c r="A20236" s="4" t="str">
        <f t="shared" si="1380"/>
        <v>EXP00448</v>
      </c>
      <c r="B20236" s="3" t="s">
        <v>66</v>
      </c>
      <c r="C20236" s="4" t="str">
        <f t="shared" si="1381"/>
        <v>TCGA-THCA</v>
      </c>
      <c r="D20236" s="1" t="s">
        <v>493</v>
      </c>
      <c r="E20236" t="s">
        <v>591</v>
      </c>
      <c r="F20236" s="1">
        <v>2</v>
      </c>
      <c r="G20236" s="1" t="s">
        <v>28</v>
      </c>
      <c r="H20236" s="4" t="str">
        <f>HYPERLINK("https://portal.gdc.cancer.gov/cases/f69ff5fb-7e0b-4b16-9fc9-498379b11562","TCGA-E8-A2JQ-01A")</f>
        <v>TCGA-E8-A2JQ-01A</v>
      </c>
      <c r="I20236" t="s">
        <v>333</v>
      </c>
      <c r="J20236" t="s">
        <v>584</v>
      </c>
      <c r="K20236" t="s">
        <v>33</v>
      </c>
      <c r="L20236" t="s">
        <v>335</v>
      </c>
      <c r="N20236" t="s">
        <v>29</v>
      </c>
    </row>
    <row r="20237" spans="1:14">
      <c r="A20237" s="4" t="str">
        <f t="shared" si="1380"/>
        <v>EXP00448</v>
      </c>
      <c r="B20237" s="3" t="s">
        <v>66</v>
      </c>
      <c r="C20237" s="4" t="str">
        <f t="shared" si="1381"/>
        <v>TCGA-THCA</v>
      </c>
      <c r="D20237" s="1" t="s">
        <v>493</v>
      </c>
      <c r="E20237" t="s">
        <v>591</v>
      </c>
      <c r="F20237" s="1">
        <v>2</v>
      </c>
      <c r="G20237" s="1" t="s">
        <v>28</v>
      </c>
      <c r="H20237" s="4" t="str">
        <f>HYPERLINK("https://portal.gdc.cancer.gov/cases/f3665b89-957b-4d7b-b67f-39615c47d28b","TCGA-E8-A3X7-01A")</f>
        <v>TCGA-E8-A3X7-01A</v>
      </c>
      <c r="I20237" t="s">
        <v>333</v>
      </c>
      <c r="J20237" t="s">
        <v>584</v>
      </c>
      <c r="K20237" t="s">
        <v>33</v>
      </c>
      <c r="L20237" t="s">
        <v>335</v>
      </c>
      <c r="N20237" t="s">
        <v>29</v>
      </c>
    </row>
    <row r="20238" spans="1:14">
      <c r="A20238" s="4" t="str">
        <f t="shared" si="1380"/>
        <v>EXP00448</v>
      </c>
      <c r="B20238" s="3" t="s">
        <v>66</v>
      </c>
      <c r="C20238" s="4" t="str">
        <f t="shared" si="1381"/>
        <v>TCGA-THCA</v>
      </c>
      <c r="D20238" s="1" t="s">
        <v>493</v>
      </c>
      <c r="E20238" t="s">
        <v>591</v>
      </c>
      <c r="F20238" s="1">
        <v>2</v>
      </c>
      <c r="G20238" s="1" t="s">
        <v>28</v>
      </c>
      <c r="H20238" s="4" t="str">
        <f>HYPERLINK("https://portal.gdc.cancer.gov/cases/d5ea6520-e446-43d2-9883-441f70d80359","TCGA-E8-A413-01A")</f>
        <v>TCGA-E8-A413-01A</v>
      </c>
      <c r="I20238" t="s">
        <v>333</v>
      </c>
      <c r="J20238" t="s">
        <v>584</v>
      </c>
      <c r="K20238" t="s">
        <v>33</v>
      </c>
      <c r="L20238" t="s">
        <v>335</v>
      </c>
      <c r="N20238" t="s">
        <v>29</v>
      </c>
    </row>
    <row r="20239" spans="1:14">
      <c r="A20239" s="4" t="str">
        <f t="shared" si="1380"/>
        <v>EXP00448</v>
      </c>
      <c r="B20239" s="3" t="s">
        <v>66</v>
      </c>
      <c r="C20239" s="4" t="str">
        <f t="shared" si="1381"/>
        <v>TCGA-THCA</v>
      </c>
      <c r="D20239" s="1" t="s">
        <v>493</v>
      </c>
      <c r="E20239" t="s">
        <v>591</v>
      </c>
      <c r="F20239" s="1">
        <v>2</v>
      </c>
      <c r="G20239" s="1" t="s">
        <v>28</v>
      </c>
      <c r="H20239" s="4" t="str">
        <f>HYPERLINK("https://portal.gdc.cancer.gov/cases/23f47401-1bab-4395-970f-4e388aab2542","TCGA-E8-A414-01A")</f>
        <v>TCGA-E8-A414-01A</v>
      </c>
      <c r="I20239" t="s">
        <v>333</v>
      </c>
      <c r="J20239" t="s">
        <v>584</v>
      </c>
      <c r="K20239" t="s">
        <v>33</v>
      </c>
      <c r="L20239" t="s">
        <v>335</v>
      </c>
      <c r="N20239" t="s">
        <v>29</v>
      </c>
    </row>
    <row r="20240" spans="1:14">
      <c r="A20240" s="4" t="str">
        <f t="shared" si="1380"/>
        <v>EXP00448</v>
      </c>
      <c r="B20240" s="3" t="s">
        <v>66</v>
      </c>
      <c r="C20240" s="4" t="str">
        <f t="shared" si="1381"/>
        <v>TCGA-THCA</v>
      </c>
      <c r="D20240" s="1" t="s">
        <v>493</v>
      </c>
      <c r="E20240" t="s">
        <v>591</v>
      </c>
      <c r="F20240" s="1">
        <v>2</v>
      </c>
      <c r="G20240" s="1" t="s">
        <v>28</v>
      </c>
      <c r="H20240" s="4" t="str">
        <f>HYPERLINK("https://portal.gdc.cancer.gov/cases/c438c562-a2b6-4ceb-b91a-7e77eb2ec962","TCGA-E8-A415-01A")</f>
        <v>TCGA-E8-A415-01A</v>
      </c>
      <c r="I20240" t="s">
        <v>333</v>
      </c>
      <c r="J20240" t="s">
        <v>584</v>
      </c>
      <c r="K20240" t="s">
        <v>33</v>
      </c>
      <c r="L20240" t="s">
        <v>335</v>
      </c>
      <c r="N20240" t="s">
        <v>29</v>
      </c>
    </row>
    <row r="20241" spans="1:14">
      <c r="A20241" s="4" t="str">
        <f t="shared" si="1380"/>
        <v>EXP00448</v>
      </c>
      <c r="B20241" s="3" t="s">
        <v>66</v>
      </c>
      <c r="C20241" s="4" t="str">
        <f t="shared" si="1381"/>
        <v>TCGA-THCA</v>
      </c>
      <c r="D20241" s="1" t="s">
        <v>493</v>
      </c>
      <c r="E20241" t="s">
        <v>591</v>
      </c>
      <c r="F20241" s="1">
        <v>2</v>
      </c>
      <c r="G20241" s="1" t="s">
        <v>28</v>
      </c>
      <c r="H20241" s="4" t="str">
        <f>HYPERLINK("https://portal.gdc.cancer.gov/cases/86b82345-6f4d-44fd-a9db-6f107de62f53","TCGA-E8-A416-01A")</f>
        <v>TCGA-E8-A416-01A</v>
      </c>
      <c r="I20241" t="s">
        <v>333</v>
      </c>
      <c r="J20241" t="s">
        <v>584</v>
      </c>
      <c r="K20241" t="s">
        <v>33</v>
      </c>
      <c r="L20241" t="s">
        <v>335</v>
      </c>
      <c r="N20241" t="s">
        <v>29</v>
      </c>
    </row>
    <row r="20242" spans="1:14">
      <c r="A20242" s="4" t="str">
        <f t="shared" si="1380"/>
        <v>EXP00448</v>
      </c>
      <c r="B20242" s="3" t="s">
        <v>66</v>
      </c>
      <c r="C20242" s="4" t="str">
        <f t="shared" si="1381"/>
        <v>TCGA-THCA</v>
      </c>
      <c r="D20242" s="1" t="s">
        <v>493</v>
      </c>
      <c r="E20242" t="s">
        <v>591</v>
      </c>
      <c r="F20242" s="1">
        <v>2</v>
      </c>
      <c r="G20242" s="1" t="s">
        <v>28</v>
      </c>
      <c r="H20242" s="4" t="str">
        <f>HYPERLINK("https://portal.gdc.cancer.gov/cases/93691bae-f1bd-437e-ae72-b50736d1e29a","TCGA-E8-A417-01A")</f>
        <v>TCGA-E8-A417-01A</v>
      </c>
      <c r="I20242" t="s">
        <v>333</v>
      </c>
      <c r="J20242" t="s">
        <v>584</v>
      </c>
      <c r="K20242" t="s">
        <v>33</v>
      </c>
      <c r="L20242" t="s">
        <v>335</v>
      </c>
      <c r="N20242" t="s">
        <v>29</v>
      </c>
    </row>
    <row r="20243" spans="1:14">
      <c r="A20243" s="4" t="str">
        <f t="shared" si="1380"/>
        <v>EXP00448</v>
      </c>
      <c r="B20243" s="3" t="s">
        <v>66</v>
      </c>
      <c r="C20243" s="4" t="str">
        <f t="shared" si="1381"/>
        <v>TCGA-THCA</v>
      </c>
      <c r="D20243" s="1" t="s">
        <v>493</v>
      </c>
      <c r="E20243" t="s">
        <v>591</v>
      </c>
      <c r="F20243" s="1">
        <v>2</v>
      </c>
      <c r="G20243" s="1" t="s">
        <v>28</v>
      </c>
      <c r="H20243" s="4" t="str">
        <f>HYPERLINK("https://portal.gdc.cancer.gov/cases/ebbd54ad-7b97-4081-ad11-7f7f3ce74eef","TCGA-E8-A418-01A")</f>
        <v>TCGA-E8-A418-01A</v>
      </c>
      <c r="I20243" t="s">
        <v>333</v>
      </c>
      <c r="J20243" t="s">
        <v>584</v>
      </c>
      <c r="K20243" t="s">
        <v>33</v>
      </c>
      <c r="L20243" t="s">
        <v>335</v>
      </c>
      <c r="N20243" t="s">
        <v>29</v>
      </c>
    </row>
    <row r="20244" spans="1:14">
      <c r="A20244" s="4" t="str">
        <f t="shared" si="1380"/>
        <v>EXP00448</v>
      </c>
      <c r="B20244" s="3" t="s">
        <v>66</v>
      </c>
      <c r="C20244" s="4" t="str">
        <f t="shared" si="1381"/>
        <v>TCGA-THCA</v>
      </c>
      <c r="D20244" s="1" t="s">
        <v>493</v>
      </c>
      <c r="E20244" t="s">
        <v>591</v>
      </c>
      <c r="F20244" s="1">
        <v>2</v>
      </c>
      <c r="G20244" s="1" t="s">
        <v>28</v>
      </c>
      <c r="H20244" s="4" t="str">
        <f>HYPERLINK("https://portal.gdc.cancer.gov/cases/a2e2fac3-cca5-4e33-aa6c-1d9d3ac3aeec","TCGA-E8-A419-01A")</f>
        <v>TCGA-E8-A419-01A</v>
      </c>
      <c r="I20244" t="s">
        <v>333</v>
      </c>
      <c r="J20244" t="s">
        <v>584</v>
      </c>
      <c r="K20244" t="s">
        <v>33</v>
      </c>
      <c r="L20244" t="s">
        <v>335</v>
      </c>
      <c r="N20244" t="s">
        <v>29</v>
      </c>
    </row>
    <row r="20245" spans="1:14">
      <c r="A20245" s="4" t="str">
        <f t="shared" si="1380"/>
        <v>EXP00448</v>
      </c>
      <c r="B20245" s="3" t="s">
        <v>66</v>
      </c>
      <c r="C20245" s="4" t="str">
        <f t="shared" si="1381"/>
        <v>TCGA-THCA</v>
      </c>
      <c r="D20245" s="1" t="s">
        <v>493</v>
      </c>
      <c r="E20245" t="s">
        <v>591</v>
      </c>
      <c r="F20245" s="1">
        <v>2</v>
      </c>
      <c r="G20245" s="1" t="s">
        <v>28</v>
      </c>
      <c r="H20245" s="4" t="str">
        <f>HYPERLINK("https://portal.gdc.cancer.gov/cases/aa3ce865-4bc1-4cca-9ba8-35ff4c5e165e","TCGA-E8-A432-01A")</f>
        <v>TCGA-E8-A432-01A</v>
      </c>
      <c r="I20245" t="s">
        <v>333</v>
      </c>
      <c r="J20245" t="s">
        <v>584</v>
      </c>
      <c r="K20245" t="s">
        <v>33</v>
      </c>
      <c r="L20245" t="s">
        <v>335</v>
      </c>
      <c r="N20245" t="s">
        <v>29</v>
      </c>
    </row>
    <row r="20246" spans="1:14">
      <c r="A20246" s="4" t="str">
        <f t="shared" si="1380"/>
        <v>EXP00448</v>
      </c>
      <c r="B20246" s="3" t="s">
        <v>66</v>
      </c>
      <c r="C20246" s="4" t="str">
        <f t="shared" si="1381"/>
        <v>TCGA-THCA</v>
      </c>
      <c r="D20246" s="1" t="s">
        <v>493</v>
      </c>
      <c r="E20246" t="s">
        <v>591</v>
      </c>
      <c r="F20246" s="1">
        <v>2</v>
      </c>
      <c r="G20246" s="1" t="s">
        <v>28</v>
      </c>
      <c r="H20246" s="4" t="str">
        <f>HYPERLINK("https://portal.gdc.cancer.gov/cases/4be84ffe-4b12-4b71-90bb-9ea0ca6947f8","TCGA-E8-A433-01A")</f>
        <v>TCGA-E8-A433-01A</v>
      </c>
      <c r="I20246" t="s">
        <v>333</v>
      </c>
      <c r="J20246" t="s">
        <v>584</v>
      </c>
      <c r="K20246" t="s">
        <v>33</v>
      </c>
      <c r="L20246" t="s">
        <v>335</v>
      </c>
      <c r="N20246" t="s">
        <v>29</v>
      </c>
    </row>
    <row r="20247" spans="1:14">
      <c r="A20247" s="4" t="str">
        <f t="shared" si="1380"/>
        <v>EXP00448</v>
      </c>
      <c r="B20247" s="3" t="s">
        <v>66</v>
      </c>
      <c r="C20247" s="4" t="str">
        <f t="shared" si="1381"/>
        <v>TCGA-THCA</v>
      </c>
      <c r="D20247" s="1" t="s">
        <v>493</v>
      </c>
      <c r="E20247" t="s">
        <v>591</v>
      </c>
      <c r="F20247" s="1">
        <v>2</v>
      </c>
      <c r="G20247" s="1" t="s">
        <v>28</v>
      </c>
      <c r="H20247" s="4" t="str">
        <f>HYPERLINK("https://portal.gdc.cancer.gov/cases/efc46db7-f9df-494e-acca-357cb64c019a","TCGA-E8-A434-01A")</f>
        <v>TCGA-E8-A434-01A</v>
      </c>
      <c r="I20247" t="s">
        <v>333</v>
      </c>
      <c r="J20247" t="s">
        <v>584</v>
      </c>
      <c r="K20247" t="s">
        <v>33</v>
      </c>
      <c r="L20247" t="s">
        <v>335</v>
      </c>
      <c r="N20247" t="s">
        <v>29</v>
      </c>
    </row>
    <row r="20248" spans="1:14">
      <c r="A20248" s="4" t="str">
        <f t="shared" si="1380"/>
        <v>EXP00448</v>
      </c>
      <c r="B20248" s="3" t="s">
        <v>66</v>
      </c>
      <c r="C20248" s="4" t="str">
        <f t="shared" si="1381"/>
        <v>TCGA-THCA</v>
      </c>
      <c r="D20248" s="1" t="s">
        <v>493</v>
      </c>
      <c r="E20248" t="s">
        <v>591</v>
      </c>
      <c r="F20248" s="1">
        <v>2</v>
      </c>
      <c r="G20248" s="1" t="s">
        <v>28</v>
      </c>
      <c r="H20248" s="4" t="str">
        <f>HYPERLINK("https://portal.gdc.cancer.gov/cases/dff3c4f1-9009-4111-9fc2-3834f8f7dbdd","TCGA-E8-A436-01A")</f>
        <v>TCGA-E8-A436-01A</v>
      </c>
      <c r="I20248" t="s">
        <v>333</v>
      </c>
      <c r="J20248" t="s">
        <v>584</v>
      </c>
      <c r="K20248" t="s">
        <v>33</v>
      </c>
      <c r="L20248" t="s">
        <v>335</v>
      </c>
      <c r="N20248" t="s">
        <v>29</v>
      </c>
    </row>
    <row r="20249" spans="1:14">
      <c r="A20249" s="4" t="str">
        <f t="shared" si="1380"/>
        <v>EXP00448</v>
      </c>
      <c r="B20249" s="3" t="s">
        <v>66</v>
      </c>
      <c r="C20249" s="4" t="str">
        <f t="shared" si="1381"/>
        <v>TCGA-THCA</v>
      </c>
      <c r="D20249" s="1" t="s">
        <v>493</v>
      </c>
      <c r="E20249" t="s">
        <v>591</v>
      </c>
      <c r="F20249" s="1">
        <v>2</v>
      </c>
      <c r="G20249" s="1" t="s">
        <v>28</v>
      </c>
      <c r="H20249" s="4" t="str">
        <f>HYPERLINK("https://portal.gdc.cancer.gov/cases/1da4ab7d-4353-4565-a522-d2fecadd4a85","TCGA-E8-A437-01A")</f>
        <v>TCGA-E8-A437-01A</v>
      </c>
      <c r="I20249" t="s">
        <v>333</v>
      </c>
      <c r="J20249" t="s">
        <v>584</v>
      </c>
      <c r="K20249" t="s">
        <v>33</v>
      </c>
      <c r="L20249" t="s">
        <v>335</v>
      </c>
      <c r="N20249" t="s">
        <v>29</v>
      </c>
    </row>
    <row r="20250" spans="1:14">
      <c r="A20250" s="4" t="str">
        <f t="shared" si="1380"/>
        <v>EXP00448</v>
      </c>
      <c r="B20250" s="3" t="s">
        <v>66</v>
      </c>
      <c r="C20250" s="4" t="str">
        <f t="shared" si="1381"/>
        <v>TCGA-THCA</v>
      </c>
      <c r="D20250" s="1" t="s">
        <v>493</v>
      </c>
      <c r="E20250" t="s">
        <v>591</v>
      </c>
      <c r="F20250" s="1">
        <v>2</v>
      </c>
      <c r="G20250" s="1" t="s">
        <v>28</v>
      </c>
      <c r="H20250" s="4" t="str">
        <f>HYPERLINK("https://portal.gdc.cancer.gov/cases/f12fa57b-3427-45fe-994b-602f498b68da","TCGA-E8-A438-01A")</f>
        <v>TCGA-E8-A438-01A</v>
      </c>
      <c r="I20250" t="s">
        <v>333</v>
      </c>
      <c r="J20250" t="s">
        <v>584</v>
      </c>
      <c r="K20250" t="s">
        <v>33</v>
      </c>
      <c r="L20250" t="s">
        <v>335</v>
      </c>
      <c r="N20250" t="s">
        <v>29</v>
      </c>
    </row>
    <row r="20251" spans="1:14">
      <c r="A20251" s="4" t="str">
        <f t="shared" si="1380"/>
        <v>EXP00448</v>
      </c>
      <c r="B20251" s="3" t="s">
        <v>66</v>
      </c>
      <c r="C20251" s="4" t="str">
        <f t="shared" si="1381"/>
        <v>TCGA-THCA</v>
      </c>
      <c r="D20251" s="1" t="s">
        <v>493</v>
      </c>
      <c r="E20251" t="s">
        <v>591</v>
      </c>
      <c r="F20251" s="1">
        <v>2</v>
      </c>
      <c r="G20251" s="1" t="s">
        <v>28</v>
      </c>
      <c r="H20251" s="4" t="str">
        <f>HYPERLINK("https://portal.gdc.cancer.gov/cases/a552e8ab-9dec-44ea-9f02-7ca704ee8467","TCGA-E8-A44K-01A")</f>
        <v>TCGA-E8-A44K-01A</v>
      </c>
      <c r="I20251" t="s">
        <v>333</v>
      </c>
      <c r="J20251" t="s">
        <v>584</v>
      </c>
      <c r="K20251" t="s">
        <v>33</v>
      </c>
      <c r="L20251" t="s">
        <v>335</v>
      </c>
      <c r="N20251" t="s">
        <v>29</v>
      </c>
    </row>
    <row r="20252" spans="1:14">
      <c r="A20252" s="4" t="str">
        <f t="shared" si="1380"/>
        <v>EXP00448</v>
      </c>
      <c r="B20252" s="3" t="s">
        <v>66</v>
      </c>
      <c r="C20252" s="4" t="str">
        <f t="shared" si="1381"/>
        <v>TCGA-THCA</v>
      </c>
      <c r="D20252" s="1" t="s">
        <v>493</v>
      </c>
      <c r="E20252" t="s">
        <v>591</v>
      </c>
      <c r="F20252" s="1">
        <v>2</v>
      </c>
      <c r="G20252" s="1" t="s">
        <v>28</v>
      </c>
      <c r="H20252" s="4" t="str">
        <f>HYPERLINK("https://portal.gdc.cancer.gov/cases/2d633ced-ae85-462c-90e7-c1b109e084cf","TCGA-E8-A44M-01A")</f>
        <v>TCGA-E8-A44M-01A</v>
      </c>
      <c r="I20252" t="s">
        <v>333</v>
      </c>
      <c r="J20252" t="s">
        <v>584</v>
      </c>
      <c r="K20252" t="s">
        <v>33</v>
      </c>
      <c r="L20252" t="s">
        <v>335</v>
      </c>
      <c r="N20252" t="s">
        <v>29</v>
      </c>
    </row>
    <row r="20253" spans="1:14">
      <c r="A20253" s="4" t="str">
        <f t="shared" si="1380"/>
        <v>EXP00448</v>
      </c>
      <c r="B20253" s="3" t="s">
        <v>66</v>
      </c>
      <c r="C20253" s="4" t="str">
        <f t="shared" si="1381"/>
        <v>TCGA-THCA</v>
      </c>
      <c r="D20253" s="1" t="s">
        <v>493</v>
      </c>
      <c r="E20253" t="s">
        <v>591</v>
      </c>
      <c r="F20253" s="1">
        <v>2</v>
      </c>
      <c r="G20253" s="1" t="s">
        <v>28</v>
      </c>
      <c r="H20253" s="4" t="str">
        <f>HYPERLINK("https://portal.gdc.cancer.gov/cases/641ba101-135b-4395-9360-2058fabfed56","TCGA-EL-A3CL-01A")</f>
        <v>TCGA-EL-A3CL-01A</v>
      </c>
      <c r="I20253" t="s">
        <v>333</v>
      </c>
      <c r="J20253" t="s">
        <v>584</v>
      </c>
      <c r="K20253" t="s">
        <v>33</v>
      </c>
      <c r="L20253" t="s">
        <v>335</v>
      </c>
      <c r="N20253" t="s">
        <v>29</v>
      </c>
    </row>
    <row r="20254" spans="1:14">
      <c r="A20254" s="4" t="str">
        <f t="shared" si="1380"/>
        <v>EXP00448</v>
      </c>
      <c r="B20254" s="3" t="s">
        <v>66</v>
      </c>
      <c r="C20254" s="4" t="str">
        <f t="shared" si="1381"/>
        <v>TCGA-THCA</v>
      </c>
      <c r="D20254" s="1" t="s">
        <v>493</v>
      </c>
      <c r="E20254" t="s">
        <v>591</v>
      </c>
      <c r="F20254" s="1">
        <v>2</v>
      </c>
      <c r="G20254" s="1" t="s">
        <v>28</v>
      </c>
      <c r="H20254" s="4" t="str">
        <f>HYPERLINK("https://portal.gdc.cancer.gov/cases/229004af-14eb-442e-905e-61c842b3efa0","TCGA-EL-A3CM-01A")</f>
        <v>TCGA-EL-A3CM-01A</v>
      </c>
      <c r="I20254" t="s">
        <v>333</v>
      </c>
      <c r="J20254" t="s">
        <v>584</v>
      </c>
      <c r="K20254" t="s">
        <v>33</v>
      </c>
      <c r="L20254" t="s">
        <v>335</v>
      </c>
      <c r="N20254" t="s">
        <v>29</v>
      </c>
    </row>
    <row r="20255" spans="1:14">
      <c r="A20255" s="4" t="str">
        <f t="shared" si="1380"/>
        <v>EXP00448</v>
      </c>
      <c r="B20255" s="3" t="s">
        <v>66</v>
      </c>
      <c r="C20255" s="4" t="str">
        <f t="shared" si="1381"/>
        <v>TCGA-THCA</v>
      </c>
      <c r="D20255" s="1" t="s">
        <v>493</v>
      </c>
      <c r="E20255" t="s">
        <v>591</v>
      </c>
      <c r="F20255" s="1">
        <v>2</v>
      </c>
      <c r="G20255" s="1" t="s">
        <v>28</v>
      </c>
      <c r="H20255" s="4" t="str">
        <f>HYPERLINK("https://portal.gdc.cancer.gov/cases/471636d5-9eca-49df-872a-c2a2cac61838","TCGA-EL-A3CN-01A")</f>
        <v>TCGA-EL-A3CN-01A</v>
      </c>
      <c r="I20255" t="s">
        <v>333</v>
      </c>
      <c r="J20255" t="s">
        <v>584</v>
      </c>
      <c r="K20255" t="s">
        <v>33</v>
      </c>
      <c r="L20255" t="s">
        <v>335</v>
      </c>
      <c r="N20255" t="s">
        <v>29</v>
      </c>
    </row>
    <row r="20256" spans="1:14">
      <c r="A20256" s="4" t="str">
        <f t="shared" si="1380"/>
        <v>EXP00448</v>
      </c>
      <c r="B20256" s="3" t="s">
        <v>66</v>
      </c>
      <c r="C20256" s="4" t="str">
        <f t="shared" si="1381"/>
        <v>TCGA-THCA</v>
      </c>
      <c r="D20256" s="1" t="s">
        <v>493</v>
      </c>
      <c r="E20256" t="s">
        <v>591</v>
      </c>
      <c r="F20256" s="1">
        <v>2</v>
      </c>
      <c r="G20256" s="1" t="s">
        <v>28</v>
      </c>
      <c r="H20256" s="4" t="str">
        <f>HYPERLINK("https://portal.gdc.cancer.gov/cases/fd661b1b-fe0b-4ab0-ae82-76324e2f6a81","TCGA-EL-A3CO-01A")</f>
        <v>TCGA-EL-A3CO-01A</v>
      </c>
      <c r="I20256" t="s">
        <v>333</v>
      </c>
      <c r="J20256" t="s">
        <v>584</v>
      </c>
      <c r="K20256" t="s">
        <v>33</v>
      </c>
      <c r="L20256" t="s">
        <v>335</v>
      </c>
      <c r="N20256" t="s">
        <v>29</v>
      </c>
    </row>
    <row r="20257" spans="1:14">
      <c r="A20257" s="4" t="str">
        <f t="shared" si="1380"/>
        <v>EXP00448</v>
      </c>
      <c r="B20257" s="3" t="s">
        <v>66</v>
      </c>
      <c r="C20257" s="4" t="str">
        <f t="shared" si="1381"/>
        <v>TCGA-THCA</v>
      </c>
      <c r="D20257" s="1" t="s">
        <v>493</v>
      </c>
      <c r="E20257" t="s">
        <v>591</v>
      </c>
      <c r="F20257" s="1">
        <v>2</v>
      </c>
      <c r="G20257" s="1" t="s">
        <v>28</v>
      </c>
      <c r="H20257" s="4" t="str">
        <f>HYPERLINK("https://portal.gdc.cancer.gov/cases/3585ddab-fe5e-4a5a-92c7-3cbaff52af57","TCGA-EL-A3CP-01A")</f>
        <v>TCGA-EL-A3CP-01A</v>
      </c>
      <c r="I20257" t="s">
        <v>333</v>
      </c>
      <c r="J20257" t="s">
        <v>584</v>
      </c>
      <c r="K20257" t="s">
        <v>33</v>
      </c>
      <c r="L20257" t="s">
        <v>335</v>
      </c>
      <c r="N20257" t="s">
        <v>29</v>
      </c>
    </row>
    <row r="20258" spans="1:14">
      <c r="A20258" s="4" t="str">
        <f t="shared" si="1380"/>
        <v>EXP00448</v>
      </c>
      <c r="B20258" s="3" t="s">
        <v>66</v>
      </c>
      <c r="C20258" s="4" t="str">
        <f t="shared" si="1381"/>
        <v>TCGA-THCA</v>
      </c>
      <c r="D20258" s="1" t="s">
        <v>493</v>
      </c>
      <c r="E20258" t="s">
        <v>591</v>
      </c>
      <c r="F20258" s="1">
        <v>2</v>
      </c>
      <c r="G20258" s="1" t="s">
        <v>28</v>
      </c>
      <c r="H20258" s="4" t="str">
        <f>HYPERLINK("https://portal.gdc.cancer.gov/cases/258dccee-a3ce-4d4b-a60c-64f45ebfb7ad","TCGA-EL-A3CR-01A")</f>
        <v>TCGA-EL-A3CR-01A</v>
      </c>
      <c r="I20258" t="s">
        <v>333</v>
      </c>
      <c r="J20258" t="s">
        <v>584</v>
      </c>
      <c r="K20258" t="s">
        <v>33</v>
      </c>
      <c r="L20258" t="s">
        <v>335</v>
      </c>
      <c r="N20258" t="s">
        <v>29</v>
      </c>
    </row>
    <row r="20259" spans="1:14">
      <c r="A20259" s="4" t="str">
        <f t="shared" si="1380"/>
        <v>EXP00448</v>
      </c>
      <c r="B20259" s="3" t="s">
        <v>66</v>
      </c>
      <c r="C20259" s="4" t="str">
        <f t="shared" si="1381"/>
        <v>TCGA-THCA</v>
      </c>
      <c r="D20259" s="1" t="s">
        <v>493</v>
      </c>
      <c r="E20259" t="s">
        <v>591</v>
      </c>
      <c r="F20259" s="1">
        <v>2</v>
      </c>
      <c r="G20259" s="1" t="s">
        <v>28</v>
      </c>
      <c r="H20259" s="4" t="str">
        <f>HYPERLINK("https://portal.gdc.cancer.gov/cases/8b1987f7-75fd-4e24-be77-891bbd2d40a1","TCGA-EL-A3CS-01A")</f>
        <v>TCGA-EL-A3CS-01A</v>
      </c>
      <c r="I20259" t="s">
        <v>333</v>
      </c>
      <c r="J20259" t="s">
        <v>584</v>
      </c>
      <c r="K20259" t="s">
        <v>33</v>
      </c>
      <c r="L20259" t="s">
        <v>335</v>
      </c>
      <c r="N20259" t="s">
        <v>29</v>
      </c>
    </row>
    <row r="20260" spans="1:14">
      <c r="A20260" s="4" t="str">
        <f t="shared" si="1380"/>
        <v>EXP00448</v>
      </c>
      <c r="B20260" s="3" t="s">
        <v>66</v>
      </c>
      <c r="C20260" s="4" t="str">
        <f t="shared" si="1381"/>
        <v>TCGA-THCA</v>
      </c>
      <c r="D20260" s="1" t="s">
        <v>493</v>
      </c>
      <c r="E20260" t="s">
        <v>591</v>
      </c>
      <c r="F20260" s="1">
        <v>2</v>
      </c>
      <c r="G20260" s="1" t="s">
        <v>28</v>
      </c>
      <c r="H20260" s="4" t="str">
        <f>HYPERLINK("https://portal.gdc.cancer.gov/cases/4c0b29e6-8530-43d5-8e8a-efb754e83ecd","TCGA-EL-A3CT-01A")</f>
        <v>TCGA-EL-A3CT-01A</v>
      </c>
      <c r="I20260" t="s">
        <v>333</v>
      </c>
      <c r="J20260" t="s">
        <v>584</v>
      </c>
      <c r="K20260" t="s">
        <v>33</v>
      </c>
      <c r="L20260" t="s">
        <v>335</v>
      </c>
      <c r="N20260" t="s">
        <v>29</v>
      </c>
    </row>
    <row r="20261" spans="1:14">
      <c r="A20261" s="4" t="str">
        <f t="shared" si="1380"/>
        <v>EXP00448</v>
      </c>
      <c r="B20261" s="3" t="s">
        <v>66</v>
      </c>
      <c r="C20261" s="4" t="str">
        <f t="shared" si="1381"/>
        <v>TCGA-THCA</v>
      </c>
      <c r="D20261" s="1" t="s">
        <v>493</v>
      </c>
      <c r="E20261" t="s">
        <v>591</v>
      </c>
      <c r="F20261" s="1">
        <v>2</v>
      </c>
      <c r="G20261" s="1" t="s">
        <v>28</v>
      </c>
      <c r="H20261" s="4" t="str">
        <f>HYPERLINK("https://portal.gdc.cancer.gov/cases/745642a0-ddba-495b-bafc-da085552758a","TCGA-EL-A3CU-01A")</f>
        <v>TCGA-EL-A3CU-01A</v>
      </c>
      <c r="I20261" t="s">
        <v>333</v>
      </c>
      <c r="J20261" t="s">
        <v>584</v>
      </c>
      <c r="K20261" t="s">
        <v>33</v>
      </c>
      <c r="L20261" t="s">
        <v>335</v>
      </c>
      <c r="N20261" t="s">
        <v>29</v>
      </c>
    </row>
    <row r="20262" spans="1:14">
      <c r="A20262" s="4" t="str">
        <f t="shared" ref="A20262:A20325" si="1382">HYPERLINK("http://hcmdb.i-sanger.com/experiment/details/experiment_id/EXP00448","EXP00448")</f>
        <v>EXP00448</v>
      </c>
      <c r="B20262" s="3" t="s">
        <v>66</v>
      </c>
      <c r="C20262" s="4" t="str">
        <f t="shared" si="1381"/>
        <v>TCGA-THCA</v>
      </c>
      <c r="D20262" s="1" t="s">
        <v>493</v>
      </c>
      <c r="E20262" t="s">
        <v>591</v>
      </c>
      <c r="F20262" s="1">
        <v>2</v>
      </c>
      <c r="G20262" s="1" t="s">
        <v>28</v>
      </c>
      <c r="H20262" s="4" t="str">
        <f>HYPERLINK("https://portal.gdc.cancer.gov/cases/fb83f7d7-2182-4fb7-8e3e-8ad7f1feac72","TCGA-EL-A3CV-01A")</f>
        <v>TCGA-EL-A3CV-01A</v>
      </c>
      <c r="I20262" t="s">
        <v>333</v>
      </c>
      <c r="J20262" t="s">
        <v>584</v>
      </c>
      <c r="K20262" t="s">
        <v>33</v>
      </c>
      <c r="L20262" t="s">
        <v>335</v>
      </c>
      <c r="N20262" t="s">
        <v>29</v>
      </c>
    </row>
    <row r="20263" spans="1:14">
      <c r="A20263" s="4" t="str">
        <f t="shared" si="1382"/>
        <v>EXP00448</v>
      </c>
      <c r="B20263" s="3" t="s">
        <v>66</v>
      </c>
      <c r="C20263" s="4" t="str">
        <f t="shared" si="1381"/>
        <v>TCGA-THCA</v>
      </c>
      <c r="D20263" s="1" t="s">
        <v>493</v>
      </c>
      <c r="E20263" t="s">
        <v>591</v>
      </c>
      <c r="F20263" s="1">
        <v>2</v>
      </c>
      <c r="G20263" s="1" t="s">
        <v>28</v>
      </c>
      <c r="H20263" s="4" t="str">
        <f>HYPERLINK("https://portal.gdc.cancer.gov/cases/011ae7b8-5003-4fcd-9f20-906a723f2c66","TCGA-EL-A3CW-01A")</f>
        <v>TCGA-EL-A3CW-01A</v>
      </c>
      <c r="I20263" t="s">
        <v>333</v>
      </c>
      <c r="J20263" t="s">
        <v>584</v>
      </c>
      <c r="K20263" t="s">
        <v>33</v>
      </c>
      <c r="L20263" t="s">
        <v>335</v>
      </c>
      <c r="N20263" t="s">
        <v>29</v>
      </c>
    </row>
    <row r="20264" spans="1:14">
      <c r="A20264" s="4" t="str">
        <f t="shared" si="1382"/>
        <v>EXP00448</v>
      </c>
      <c r="B20264" s="3" t="s">
        <v>66</v>
      </c>
      <c r="C20264" s="4" t="str">
        <f t="shared" si="1381"/>
        <v>TCGA-THCA</v>
      </c>
      <c r="D20264" s="1" t="s">
        <v>493</v>
      </c>
      <c r="E20264" t="s">
        <v>591</v>
      </c>
      <c r="F20264" s="1">
        <v>2</v>
      </c>
      <c r="G20264" s="1" t="s">
        <v>28</v>
      </c>
      <c r="H20264" s="4" t="str">
        <f>HYPERLINK("https://portal.gdc.cancer.gov/cases/934a58af-0ffc-487e-9e95-fa7643b7d5cb","TCGA-EL-A3CX-01A")</f>
        <v>TCGA-EL-A3CX-01A</v>
      </c>
      <c r="I20264" t="s">
        <v>333</v>
      </c>
      <c r="J20264" t="s">
        <v>584</v>
      </c>
      <c r="K20264" t="s">
        <v>33</v>
      </c>
      <c r="L20264" t="s">
        <v>335</v>
      </c>
      <c r="N20264" t="s">
        <v>29</v>
      </c>
    </row>
    <row r="20265" spans="1:14">
      <c r="A20265" s="4" t="str">
        <f t="shared" si="1382"/>
        <v>EXP00448</v>
      </c>
      <c r="B20265" s="3" t="s">
        <v>66</v>
      </c>
      <c r="C20265" s="4" t="str">
        <f t="shared" si="1381"/>
        <v>TCGA-THCA</v>
      </c>
      <c r="D20265" s="1" t="s">
        <v>493</v>
      </c>
      <c r="E20265" t="s">
        <v>591</v>
      </c>
      <c r="F20265" s="1">
        <v>2</v>
      </c>
      <c r="G20265" s="1" t="s">
        <v>28</v>
      </c>
      <c r="H20265" s="4" t="str">
        <f>HYPERLINK("https://portal.gdc.cancer.gov/cases/ab17d69e-0078-4206-939e-e4784fdc9a96","TCGA-EL-A3CY-01A")</f>
        <v>TCGA-EL-A3CY-01A</v>
      </c>
      <c r="I20265" t="s">
        <v>333</v>
      </c>
      <c r="J20265" t="s">
        <v>584</v>
      </c>
      <c r="K20265" t="s">
        <v>33</v>
      </c>
      <c r="L20265" t="s">
        <v>335</v>
      </c>
      <c r="N20265" t="s">
        <v>29</v>
      </c>
    </row>
    <row r="20266" spans="1:14">
      <c r="A20266" s="4" t="str">
        <f t="shared" si="1382"/>
        <v>EXP00448</v>
      </c>
      <c r="B20266" s="3" t="s">
        <v>66</v>
      </c>
      <c r="C20266" s="4" t="str">
        <f t="shared" si="1381"/>
        <v>TCGA-THCA</v>
      </c>
      <c r="D20266" s="1" t="s">
        <v>493</v>
      </c>
      <c r="E20266" t="s">
        <v>591</v>
      </c>
      <c r="F20266" s="1">
        <v>2</v>
      </c>
      <c r="G20266" s="1" t="s">
        <v>28</v>
      </c>
      <c r="H20266" s="4" t="str">
        <f>HYPERLINK("https://portal.gdc.cancer.gov/cases/c951b786-7de3-4195-85b9-c4c19e95f546","TCGA-EL-A3CZ-01A")</f>
        <v>TCGA-EL-A3CZ-01A</v>
      </c>
      <c r="I20266" t="s">
        <v>333</v>
      </c>
      <c r="J20266" t="s">
        <v>584</v>
      </c>
      <c r="K20266" t="s">
        <v>33</v>
      </c>
      <c r="L20266" t="s">
        <v>335</v>
      </c>
      <c r="N20266" t="s">
        <v>29</v>
      </c>
    </row>
    <row r="20267" spans="1:14">
      <c r="A20267" s="4" t="str">
        <f t="shared" si="1382"/>
        <v>EXP00448</v>
      </c>
      <c r="B20267" s="3" t="s">
        <v>66</v>
      </c>
      <c r="C20267" s="4" t="str">
        <f t="shared" si="1381"/>
        <v>TCGA-THCA</v>
      </c>
      <c r="D20267" s="1" t="s">
        <v>493</v>
      </c>
      <c r="E20267" t="s">
        <v>591</v>
      </c>
      <c r="F20267" s="1">
        <v>2</v>
      </c>
      <c r="G20267" s="1" t="s">
        <v>28</v>
      </c>
      <c r="H20267" s="4" t="str">
        <f>HYPERLINK("https://portal.gdc.cancer.gov/cases/63986dd0-63ba-4ee5-aa25-8ff2cbb762d3","TCGA-EL-A3D0-01A")</f>
        <v>TCGA-EL-A3D0-01A</v>
      </c>
      <c r="I20267" t="s">
        <v>333</v>
      </c>
      <c r="J20267" t="s">
        <v>584</v>
      </c>
      <c r="K20267" t="s">
        <v>33</v>
      </c>
      <c r="L20267" t="s">
        <v>335</v>
      </c>
      <c r="N20267" t="s">
        <v>29</v>
      </c>
    </row>
    <row r="20268" spans="1:14">
      <c r="A20268" s="4" t="str">
        <f t="shared" si="1382"/>
        <v>EXP00448</v>
      </c>
      <c r="B20268" s="3" t="s">
        <v>66</v>
      </c>
      <c r="C20268" s="4" t="str">
        <f t="shared" si="1381"/>
        <v>TCGA-THCA</v>
      </c>
      <c r="D20268" s="1" t="s">
        <v>493</v>
      </c>
      <c r="E20268" t="s">
        <v>591</v>
      </c>
      <c r="F20268" s="1">
        <v>2</v>
      </c>
      <c r="G20268" s="1" t="s">
        <v>28</v>
      </c>
      <c r="H20268" s="4" t="str">
        <f>HYPERLINK("https://portal.gdc.cancer.gov/cases/bcd63672-8a22-4a30-9045-a43def5b4d6f","TCGA-EL-A3D1-01A")</f>
        <v>TCGA-EL-A3D1-01A</v>
      </c>
      <c r="I20268" t="s">
        <v>333</v>
      </c>
      <c r="J20268" t="s">
        <v>584</v>
      </c>
      <c r="K20268" t="s">
        <v>33</v>
      </c>
      <c r="L20268" t="s">
        <v>335</v>
      </c>
      <c r="N20268" t="s">
        <v>29</v>
      </c>
    </row>
    <row r="20269" spans="1:14">
      <c r="A20269" s="4" t="str">
        <f t="shared" si="1382"/>
        <v>EXP00448</v>
      </c>
      <c r="B20269" s="3" t="s">
        <v>66</v>
      </c>
      <c r="C20269" s="4" t="str">
        <f t="shared" si="1381"/>
        <v>TCGA-THCA</v>
      </c>
      <c r="D20269" s="1" t="s">
        <v>493</v>
      </c>
      <c r="E20269" t="s">
        <v>591</v>
      </c>
      <c r="F20269" s="1">
        <v>2</v>
      </c>
      <c r="G20269" s="1" t="s">
        <v>28</v>
      </c>
      <c r="H20269" s="4" t="str">
        <f>HYPERLINK("https://portal.gdc.cancer.gov/cases/5d0cc336-26f2-4cb0-aa9e-58491dda102f","TCGA-EL-A3D4-01A")</f>
        <v>TCGA-EL-A3D4-01A</v>
      </c>
      <c r="I20269" t="s">
        <v>333</v>
      </c>
      <c r="J20269" t="s">
        <v>584</v>
      </c>
      <c r="K20269" t="s">
        <v>33</v>
      </c>
      <c r="L20269" t="s">
        <v>335</v>
      </c>
      <c r="N20269" t="s">
        <v>29</v>
      </c>
    </row>
    <row r="20270" spans="1:14">
      <c r="A20270" s="4" t="str">
        <f t="shared" si="1382"/>
        <v>EXP00448</v>
      </c>
      <c r="B20270" s="3" t="s">
        <v>66</v>
      </c>
      <c r="C20270" s="4" t="str">
        <f t="shared" si="1381"/>
        <v>TCGA-THCA</v>
      </c>
      <c r="D20270" s="1" t="s">
        <v>493</v>
      </c>
      <c r="E20270" t="s">
        <v>591</v>
      </c>
      <c r="F20270" s="1">
        <v>2</v>
      </c>
      <c r="G20270" s="1" t="s">
        <v>28</v>
      </c>
      <c r="H20270" s="4" t="str">
        <f>HYPERLINK("https://portal.gdc.cancer.gov/cases/e9ccf355-e68a-489c-a914-31b766bd0aef","TCGA-EL-A3D5-01A")</f>
        <v>TCGA-EL-A3D5-01A</v>
      </c>
      <c r="I20270" t="s">
        <v>333</v>
      </c>
      <c r="J20270" t="s">
        <v>584</v>
      </c>
      <c r="K20270" t="s">
        <v>33</v>
      </c>
      <c r="L20270" t="s">
        <v>335</v>
      </c>
      <c r="N20270" t="s">
        <v>29</v>
      </c>
    </row>
    <row r="20271" spans="1:14">
      <c r="A20271" s="4" t="str">
        <f t="shared" si="1382"/>
        <v>EXP00448</v>
      </c>
      <c r="B20271" s="3" t="s">
        <v>66</v>
      </c>
      <c r="C20271" s="4" t="str">
        <f t="shared" si="1381"/>
        <v>TCGA-THCA</v>
      </c>
      <c r="D20271" s="1" t="s">
        <v>493</v>
      </c>
      <c r="E20271" t="s">
        <v>591</v>
      </c>
      <c r="F20271" s="1">
        <v>2</v>
      </c>
      <c r="G20271" s="1" t="s">
        <v>28</v>
      </c>
      <c r="H20271" s="4" t="str">
        <f>HYPERLINK("https://portal.gdc.cancer.gov/cases/2106f0cd-cb3c-4568-bdc5-197ee11f2337","TCGA-EL-A3D6-01A")</f>
        <v>TCGA-EL-A3D6-01A</v>
      </c>
      <c r="I20271" t="s">
        <v>333</v>
      </c>
      <c r="J20271" t="s">
        <v>584</v>
      </c>
      <c r="K20271" t="s">
        <v>33</v>
      </c>
      <c r="L20271" t="s">
        <v>335</v>
      </c>
      <c r="N20271" t="s">
        <v>29</v>
      </c>
    </row>
    <row r="20272" spans="1:14">
      <c r="A20272" s="4" t="str">
        <f t="shared" si="1382"/>
        <v>EXP00448</v>
      </c>
      <c r="B20272" s="3" t="s">
        <v>66</v>
      </c>
      <c r="C20272" s="4" t="str">
        <f t="shared" si="1381"/>
        <v>TCGA-THCA</v>
      </c>
      <c r="D20272" s="1" t="s">
        <v>493</v>
      </c>
      <c r="E20272" t="s">
        <v>591</v>
      </c>
      <c r="F20272" s="1">
        <v>2</v>
      </c>
      <c r="G20272" s="1" t="s">
        <v>28</v>
      </c>
      <c r="H20272" s="4" t="str">
        <f>HYPERLINK("https://portal.gdc.cancer.gov/cases/aa528913-cbbc-4e1d-b6d0-87f6a46bcbc9","TCGA-EL-A3GO-01A")</f>
        <v>TCGA-EL-A3GO-01A</v>
      </c>
      <c r="I20272" t="s">
        <v>333</v>
      </c>
      <c r="J20272" t="s">
        <v>584</v>
      </c>
      <c r="K20272" t="s">
        <v>33</v>
      </c>
      <c r="L20272" t="s">
        <v>335</v>
      </c>
      <c r="N20272" t="s">
        <v>29</v>
      </c>
    </row>
    <row r="20273" spans="1:14">
      <c r="A20273" s="4" t="str">
        <f t="shared" si="1382"/>
        <v>EXP00448</v>
      </c>
      <c r="B20273" s="3" t="s">
        <v>66</v>
      </c>
      <c r="C20273" s="4" t="str">
        <f t="shared" si="1381"/>
        <v>TCGA-THCA</v>
      </c>
      <c r="D20273" s="1" t="s">
        <v>493</v>
      </c>
      <c r="E20273" t="s">
        <v>591</v>
      </c>
      <c r="F20273" s="1">
        <v>2</v>
      </c>
      <c r="G20273" s="1" t="s">
        <v>28</v>
      </c>
      <c r="H20273" s="4" t="str">
        <f>HYPERLINK("https://portal.gdc.cancer.gov/cases/dd981e11-4b49-447e-8ebc-d9db4b55ce9b","TCGA-EL-A3GP-01A")</f>
        <v>TCGA-EL-A3GP-01A</v>
      </c>
      <c r="I20273" t="s">
        <v>333</v>
      </c>
      <c r="J20273" t="s">
        <v>584</v>
      </c>
      <c r="K20273" t="s">
        <v>33</v>
      </c>
      <c r="L20273" t="s">
        <v>335</v>
      </c>
      <c r="N20273" t="s">
        <v>29</v>
      </c>
    </row>
    <row r="20274" spans="1:14">
      <c r="A20274" s="4" t="str">
        <f t="shared" si="1382"/>
        <v>EXP00448</v>
      </c>
      <c r="B20274" s="3" t="s">
        <v>66</v>
      </c>
      <c r="C20274" s="4" t="str">
        <f t="shared" si="1381"/>
        <v>TCGA-THCA</v>
      </c>
      <c r="D20274" s="1" t="s">
        <v>493</v>
      </c>
      <c r="E20274" t="s">
        <v>591</v>
      </c>
      <c r="F20274" s="1">
        <v>2</v>
      </c>
      <c r="G20274" s="1" t="s">
        <v>28</v>
      </c>
      <c r="H20274" s="4" t="str">
        <f>HYPERLINK("https://portal.gdc.cancer.gov/cases/4e959d61-4f7f-4933-bada-d33a621d9c03","TCGA-EL-A3GQ-01A")</f>
        <v>TCGA-EL-A3GQ-01A</v>
      </c>
      <c r="I20274" t="s">
        <v>333</v>
      </c>
      <c r="J20274" t="s">
        <v>584</v>
      </c>
      <c r="K20274" t="s">
        <v>33</v>
      </c>
      <c r="L20274" t="s">
        <v>335</v>
      </c>
      <c r="N20274" t="s">
        <v>29</v>
      </c>
    </row>
    <row r="20275" spans="1:14">
      <c r="A20275" s="4" t="str">
        <f t="shared" si="1382"/>
        <v>EXP00448</v>
      </c>
      <c r="B20275" s="3" t="s">
        <v>66</v>
      </c>
      <c r="C20275" s="4" t="str">
        <f t="shared" si="1381"/>
        <v>TCGA-THCA</v>
      </c>
      <c r="D20275" s="1" t="s">
        <v>493</v>
      </c>
      <c r="E20275" t="s">
        <v>591</v>
      </c>
      <c r="F20275" s="1">
        <v>2</v>
      </c>
      <c r="G20275" s="1" t="s">
        <v>28</v>
      </c>
      <c r="H20275" s="4" t="str">
        <f>HYPERLINK("https://portal.gdc.cancer.gov/cases/b107b012-335a-4282-a7aa-273b740831f1","TCGA-EL-A3GR-01A")</f>
        <v>TCGA-EL-A3GR-01A</v>
      </c>
      <c r="I20275" t="s">
        <v>333</v>
      </c>
      <c r="J20275" t="s">
        <v>584</v>
      </c>
      <c r="K20275" t="s">
        <v>33</v>
      </c>
      <c r="L20275" t="s">
        <v>335</v>
      </c>
      <c r="N20275" t="s">
        <v>29</v>
      </c>
    </row>
    <row r="20276" spans="1:14">
      <c r="A20276" s="4" t="str">
        <f t="shared" si="1382"/>
        <v>EXP00448</v>
      </c>
      <c r="B20276" s="3" t="s">
        <v>66</v>
      </c>
      <c r="C20276" s="4" t="str">
        <f t="shared" si="1381"/>
        <v>TCGA-THCA</v>
      </c>
      <c r="D20276" s="1" t="s">
        <v>493</v>
      </c>
      <c r="E20276" t="s">
        <v>591</v>
      </c>
      <c r="F20276" s="1">
        <v>2</v>
      </c>
      <c r="G20276" s="1" t="s">
        <v>28</v>
      </c>
      <c r="H20276" s="4" t="str">
        <f>HYPERLINK("https://portal.gdc.cancer.gov/cases/24a968aa-8169-44cb-a8ac-72d7efa1fa7b","TCGA-EL-A3GS-01A")</f>
        <v>TCGA-EL-A3GS-01A</v>
      </c>
      <c r="I20276" t="s">
        <v>333</v>
      </c>
      <c r="J20276" t="s">
        <v>584</v>
      </c>
      <c r="K20276" t="s">
        <v>33</v>
      </c>
      <c r="L20276" t="s">
        <v>335</v>
      </c>
      <c r="N20276" t="s">
        <v>29</v>
      </c>
    </row>
    <row r="20277" spans="1:14">
      <c r="A20277" s="4" t="str">
        <f t="shared" si="1382"/>
        <v>EXP00448</v>
      </c>
      <c r="B20277" s="3" t="s">
        <v>66</v>
      </c>
      <c r="C20277" s="4" t="str">
        <f t="shared" ref="C20277:C20340" si="1383">HYPERLINK("https://portal.gdc.cancer.gov/projects/TCGA-THCA","TCGA-THCA")</f>
        <v>TCGA-THCA</v>
      </c>
      <c r="D20277" s="1" t="s">
        <v>493</v>
      </c>
      <c r="E20277" t="s">
        <v>591</v>
      </c>
      <c r="F20277" s="1">
        <v>2</v>
      </c>
      <c r="G20277" s="1" t="s">
        <v>28</v>
      </c>
      <c r="H20277" s="4" t="str">
        <f>HYPERLINK("https://portal.gdc.cancer.gov/cases/e95c7f24-89ab-4d56-aae6-d2268888c549","TCGA-EL-A3GV-01A")</f>
        <v>TCGA-EL-A3GV-01A</v>
      </c>
      <c r="I20277" t="s">
        <v>333</v>
      </c>
      <c r="J20277" t="s">
        <v>584</v>
      </c>
      <c r="K20277" t="s">
        <v>33</v>
      </c>
      <c r="L20277" t="s">
        <v>335</v>
      </c>
      <c r="N20277" t="s">
        <v>29</v>
      </c>
    </row>
    <row r="20278" spans="1:14">
      <c r="A20278" s="4" t="str">
        <f t="shared" si="1382"/>
        <v>EXP00448</v>
      </c>
      <c r="B20278" s="3" t="s">
        <v>66</v>
      </c>
      <c r="C20278" s="4" t="str">
        <f t="shared" si="1383"/>
        <v>TCGA-THCA</v>
      </c>
      <c r="D20278" s="1" t="s">
        <v>493</v>
      </c>
      <c r="E20278" t="s">
        <v>591</v>
      </c>
      <c r="F20278" s="1">
        <v>2</v>
      </c>
      <c r="G20278" s="1" t="s">
        <v>28</v>
      </c>
      <c r="H20278" s="4" t="str">
        <f>HYPERLINK("https://portal.gdc.cancer.gov/cases/ca65a38e-8b49-4b50-908a-478b95b95c02","TCGA-EL-A3GW-01A")</f>
        <v>TCGA-EL-A3GW-01A</v>
      </c>
      <c r="I20278" t="s">
        <v>333</v>
      </c>
      <c r="J20278" t="s">
        <v>584</v>
      </c>
      <c r="K20278" t="s">
        <v>33</v>
      </c>
      <c r="L20278" t="s">
        <v>335</v>
      </c>
      <c r="N20278" t="s">
        <v>29</v>
      </c>
    </row>
    <row r="20279" spans="1:14">
      <c r="A20279" s="4" t="str">
        <f t="shared" si="1382"/>
        <v>EXP00448</v>
      </c>
      <c r="B20279" s="3" t="s">
        <v>66</v>
      </c>
      <c r="C20279" s="4" t="str">
        <f t="shared" si="1383"/>
        <v>TCGA-THCA</v>
      </c>
      <c r="D20279" s="1" t="s">
        <v>493</v>
      </c>
      <c r="E20279" t="s">
        <v>591</v>
      </c>
      <c r="F20279" s="1">
        <v>2</v>
      </c>
      <c r="G20279" s="1" t="s">
        <v>28</v>
      </c>
      <c r="H20279" s="4" t="str">
        <f>HYPERLINK("https://portal.gdc.cancer.gov/cases/856893d6-0ed7-422b-ac19-1a5871088805","TCGA-EL-A3GX-01A")</f>
        <v>TCGA-EL-A3GX-01A</v>
      </c>
      <c r="I20279" t="s">
        <v>333</v>
      </c>
      <c r="J20279" t="s">
        <v>584</v>
      </c>
      <c r="K20279" t="s">
        <v>33</v>
      </c>
      <c r="L20279" t="s">
        <v>335</v>
      </c>
      <c r="N20279" t="s">
        <v>29</v>
      </c>
    </row>
    <row r="20280" spans="1:14">
      <c r="A20280" s="4" t="str">
        <f t="shared" si="1382"/>
        <v>EXP00448</v>
      </c>
      <c r="B20280" s="3" t="s">
        <v>66</v>
      </c>
      <c r="C20280" s="4" t="str">
        <f t="shared" si="1383"/>
        <v>TCGA-THCA</v>
      </c>
      <c r="D20280" s="1" t="s">
        <v>493</v>
      </c>
      <c r="E20280" t="s">
        <v>591</v>
      </c>
      <c r="F20280" s="1">
        <v>2</v>
      </c>
      <c r="G20280" s="1" t="s">
        <v>28</v>
      </c>
      <c r="H20280" s="4" t="str">
        <f>HYPERLINK("https://portal.gdc.cancer.gov/cases/154b4e7f-06f9-4813-beab-232227229f8b","TCGA-EL-A3GY-01A")</f>
        <v>TCGA-EL-A3GY-01A</v>
      </c>
      <c r="I20280" t="s">
        <v>333</v>
      </c>
      <c r="J20280" t="s">
        <v>584</v>
      </c>
      <c r="K20280" t="s">
        <v>33</v>
      </c>
      <c r="L20280" t="s">
        <v>335</v>
      </c>
      <c r="N20280" t="s">
        <v>29</v>
      </c>
    </row>
    <row r="20281" spans="1:14">
      <c r="A20281" s="4" t="str">
        <f t="shared" si="1382"/>
        <v>EXP00448</v>
      </c>
      <c r="B20281" s="3" t="s">
        <v>66</v>
      </c>
      <c r="C20281" s="4" t="str">
        <f t="shared" si="1383"/>
        <v>TCGA-THCA</v>
      </c>
      <c r="D20281" s="1" t="s">
        <v>493</v>
      </c>
      <c r="E20281" t="s">
        <v>591</v>
      </c>
      <c r="F20281" s="1">
        <v>2</v>
      </c>
      <c r="G20281" s="1" t="s">
        <v>28</v>
      </c>
      <c r="H20281" s="4" t="str">
        <f>HYPERLINK("https://portal.gdc.cancer.gov/cases/2fa2dd09-593a-4cde-97c7-61cdb8ba2bfe","TCGA-EL-A3GZ-01A")</f>
        <v>TCGA-EL-A3GZ-01A</v>
      </c>
      <c r="I20281" t="s">
        <v>333</v>
      </c>
      <c r="J20281" t="s">
        <v>584</v>
      </c>
      <c r="K20281" t="s">
        <v>33</v>
      </c>
      <c r="L20281" t="s">
        <v>335</v>
      </c>
      <c r="N20281" t="s">
        <v>29</v>
      </c>
    </row>
    <row r="20282" spans="1:14">
      <c r="A20282" s="4" t="str">
        <f t="shared" si="1382"/>
        <v>EXP00448</v>
      </c>
      <c r="B20282" s="3" t="s">
        <v>66</v>
      </c>
      <c r="C20282" s="4" t="str">
        <f t="shared" si="1383"/>
        <v>TCGA-THCA</v>
      </c>
      <c r="D20282" s="1" t="s">
        <v>493</v>
      </c>
      <c r="E20282" t="s">
        <v>591</v>
      </c>
      <c r="F20282" s="1">
        <v>2</v>
      </c>
      <c r="G20282" s="1" t="s">
        <v>28</v>
      </c>
      <c r="H20282" s="4" t="str">
        <f>HYPERLINK("https://portal.gdc.cancer.gov/cases/8d54a2ed-03f1-4a23-bdd2-f3395f5d3716","TCGA-EL-A3H1-01A")</f>
        <v>TCGA-EL-A3H1-01A</v>
      </c>
      <c r="I20282" t="s">
        <v>333</v>
      </c>
      <c r="J20282" t="s">
        <v>584</v>
      </c>
      <c r="K20282" t="s">
        <v>33</v>
      </c>
      <c r="L20282" t="s">
        <v>335</v>
      </c>
      <c r="N20282" t="s">
        <v>29</v>
      </c>
    </row>
    <row r="20283" spans="1:14">
      <c r="A20283" s="4" t="str">
        <f t="shared" si="1382"/>
        <v>EXP00448</v>
      </c>
      <c r="B20283" s="3" t="s">
        <v>66</v>
      </c>
      <c r="C20283" s="4" t="str">
        <f t="shared" si="1383"/>
        <v>TCGA-THCA</v>
      </c>
      <c r="D20283" s="1" t="s">
        <v>493</v>
      </c>
      <c r="E20283" t="s">
        <v>591</v>
      </c>
      <c r="F20283" s="1">
        <v>2</v>
      </c>
      <c r="G20283" s="1" t="s">
        <v>28</v>
      </c>
      <c r="H20283" s="4" t="str">
        <f>HYPERLINK("https://portal.gdc.cancer.gov/cases/77200abe-4a09-4a4a-bb45-60d9b96d4998","TCGA-EL-A3H2-01A")</f>
        <v>TCGA-EL-A3H2-01A</v>
      </c>
      <c r="I20283" t="s">
        <v>333</v>
      </c>
      <c r="J20283" t="s">
        <v>584</v>
      </c>
      <c r="K20283" t="s">
        <v>33</v>
      </c>
      <c r="L20283" t="s">
        <v>335</v>
      </c>
      <c r="N20283" t="s">
        <v>29</v>
      </c>
    </row>
    <row r="20284" spans="1:14">
      <c r="A20284" s="4" t="str">
        <f t="shared" si="1382"/>
        <v>EXP00448</v>
      </c>
      <c r="B20284" s="3" t="s">
        <v>66</v>
      </c>
      <c r="C20284" s="4" t="str">
        <f t="shared" si="1383"/>
        <v>TCGA-THCA</v>
      </c>
      <c r="D20284" s="1" t="s">
        <v>493</v>
      </c>
      <c r="E20284" t="s">
        <v>591</v>
      </c>
      <c r="F20284" s="1">
        <v>2</v>
      </c>
      <c r="G20284" s="1" t="s">
        <v>28</v>
      </c>
      <c r="H20284" s="4" t="str">
        <f>HYPERLINK("https://portal.gdc.cancer.gov/cases/39d45532-d2f4-49f1-b1c6-880ff0ebe0ed","TCGA-EL-A3H3-01A")</f>
        <v>TCGA-EL-A3H3-01A</v>
      </c>
      <c r="I20284" t="s">
        <v>333</v>
      </c>
      <c r="J20284" t="s">
        <v>584</v>
      </c>
      <c r="K20284" t="s">
        <v>33</v>
      </c>
      <c r="L20284" t="s">
        <v>335</v>
      </c>
      <c r="N20284" t="s">
        <v>29</v>
      </c>
    </row>
    <row r="20285" spans="1:14">
      <c r="A20285" s="4" t="str">
        <f t="shared" si="1382"/>
        <v>EXP00448</v>
      </c>
      <c r="B20285" s="3" t="s">
        <v>66</v>
      </c>
      <c r="C20285" s="4" t="str">
        <f t="shared" si="1383"/>
        <v>TCGA-THCA</v>
      </c>
      <c r="D20285" s="1" t="s">
        <v>493</v>
      </c>
      <c r="E20285" t="s">
        <v>591</v>
      </c>
      <c r="F20285" s="1">
        <v>2</v>
      </c>
      <c r="G20285" s="1" t="s">
        <v>28</v>
      </c>
      <c r="H20285" s="4" t="str">
        <f>HYPERLINK("https://portal.gdc.cancer.gov/cases/e069dcad-2fd1-464e-a5e9-fe36f05a0446","TCGA-EL-A3H4-01A")</f>
        <v>TCGA-EL-A3H4-01A</v>
      </c>
      <c r="I20285" t="s">
        <v>333</v>
      </c>
      <c r="J20285" t="s">
        <v>584</v>
      </c>
      <c r="K20285" t="s">
        <v>33</v>
      </c>
      <c r="L20285" t="s">
        <v>335</v>
      </c>
      <c r="N20285" t="s">
        <v>29</v>
      </c>
    </row>
    <row r="20286" spans="1:14">
      <c r="A20286" s="4" t="str">
        <f t="shared" si="1382"/>
        <v>EXP00448</v>
      </c>
      <c r="B20286" s="3" t="s">
        <v>66</v>
      </c>
      <c r="C20286" s="4" t="str">
        <f t="shared" si="1383"/>
        <v>TCGA-THCA</v>
      </c>
      <c r="D20286" s="1" t="s">
        <v>493</v>
      </c>
      <c r="E20286" t="s">
        <v>591</v>
      </c>
      <c r="F20286" s="1">
        <v>2</v>
      </c>
      <c r="G20286" s="1" t="s">
        <v>28</v>
      </c>
      <c r="H20286" s="4" t="str">
        <f>HYPERLINK("https://portal.gdc.cancer.gov/cases/40a9c1d3-6629-4e22-a783-12e0d48349d1","TCGA-EL-A3H5-01A")</f>
        <v>TCGA-EL-A3H5-01A</v>
      </c>
      <c r="I20286" t="s">
        <v>333</v>
      </c>
      <c r="J20286" t="s">
        <v>584</v>
      </c>
      <c r="K20286" t="s">
        <v>33</v>
      </c>
      <c r="L20286" t="s">
        <v>335</v>
      </c>
      <c r="N20286" t="s">
        <v>29</v>
      </c>
    </row>
    <row r="20287" spans="1:14">
      <c r="A20287" s="4" t="str">
        <f t="shared" si="1382"/>
        <v>EXP00448</v>
      </c>
      <c r="B20287" s="3" t="s">
        <v>66</v>
      </c>
      <c r="C20287" s="4" t="str">
        <f t="shared" si="1383"/>
        <v>TCGA-THCA</v>
      </c>
      <c r="D20287" s="1" t="s">
        <v>493</v>
      </c>
      <c r="E20287" t="s">
        <v>591</v>
      </c>
      <c r="F20287" s="1">
        <v>2</v>
      </c>
      <c r="G20287" s="1" t="s">
        <v>28</v>
      </c>
      <c r="H20287" s="4" t="str">
        <f>HYPERLINK("https://portal.gdc.cancer.gov/cases/faa51172-60ec-48d8-9224-36bfda1d27e0","TCGA-EL-A3H7-01A")</f>
        <v>TCGA-EL-A3H7-01A</v>
      </c>
      <c r="I20287" t="s">
        <v>333</v>
      </c>
      <c r="J20287" t="s">
        <v>584</v>
      </c>
      <c r="K20287" t="s">
        <v>33</v>
      </c>
      <c r="L20287" t="s">
        <v>335</v>
      </c>
      <c r="N20287" t="s">
        <v>29</v>
      </c>
    </row>
    <row r="20288" spans="1:14">
      <c r="A20288" s="4" t="str">
        <f t="shared" si="1382"/>
        <v>EXP00448</v>
      </c>
      <c r="B20288" s="3" t="s">
        <v>66</v>
      </c>
      <c r="C20288" s="4" t="str">
        <f t="shared" si="1383"/>
        <v>TCGA-THCA</v>
      </c>
      <c r="D20288" s="1" t="s">
        <v>493</v>
      </c>
      <c r="E20288" t="s">
        <v>591</v>
      </c>
      <c r="F20288" s="1">
        <v>2</v>
      </c>
      <c r="G20288" s="1" t="s">
        <v>28</v>
      </c>
      <c r="H20288" s="4" t="str">
        <f>HYPERLINK("https://portal.gdc.cancer.gov/cases/f9deeda6-8f81-441a-9c47-24c2eefd049a","TCGA-EL-A3H8-01A")</f>
        <v>TCGA-EL-A3H8-01A</v>
      </c>
      <c r="I20288" t="s">
        <v>333</v>
      </c>
      <c r="J20288" t="s">
        <v>584</v>
      </c>
      <c r="K20288" t="s">
        <v>33</v>
      </c>
      <c r="L20288" t="s">
        <v>335</v>
      </c>
      <c r="N20288" t="s">
        <v>29</v>
      </c>
    </row>
    <row r="20289" spans="1:14">
      <c r="A20289" s="4" t="str">
        <f t="shared" si="1382"/>
        <v>EXP00448</v>
      </c>
      <c r="B20289" s="3" t="s">
        <v>66</v>
      </c>
      <c r="C20289" s="4" t="str">
        <f t="shared" si="1383"/>
        <v>TCGA-THCA</v>
      </c>
      <c r="D20289" s="1" t="s">
        <v>493</v>
      </c>
      <c r="E20289" t="s">
        <v>591</v>
      </c>
      <c r="F20289" s="1">
        <v>2</v>
      </c>
      <c r="G20289" s="1" t="s">
        <v>28</v>
      </c>
      <c r="H20289" s="4" t="str">
        <f>HYPERLINK("https://portal.gdc.cancer.gov/cases/ef3dd880-7be4-46a8-93c2-7cba1a9cd24d","TCGA-EL-A3MW-01A")</f>
        <v>TCGA-EL-A3MW-01A</v>
      </c>
      <c r="I20289" t="s">
        <v>333</v>
      </c>
      <c r="J20289" t="s">
        <v>584</v>
      </c>
      <c r="K20289" t="s">
        <v>33</v>
      </c>
      <c r="L20289" t="s">
        <v>335</v>
      </c>
      <c r="N20289" t="s">
        <v>29</v>
      </c>
    </row>
    <row r="20290" spans="1:14">
      <c r="A20290" s="4" t="str">
        <f t="shared" si="1382"/>
        <v>EXP00448</v>
      </c>
      <c r="B20290" s="3" t="s">
        <v>66</v>
      </c>
      <c r="C20290" s="4" t="str">
        <f t="shared" si="1383"/>
        <v>TCGA-THCA</v>
      </c>
      <c r="D20290" s="1" t="s">
        <v>493</v>
      </c>
      <c r="E20290" t="s">
        <v>591</v>
      </c>
      <c r="F20290" s="1">
        <v>2</v>
      </c>
      <c r="G20290" s="1" t="s">
        <v>28</v>
      </c>
      <c r="H20290" s="4" t="str">
        <f>HYPERLINK("https://portal.gdc.cancer.gov/cases/7746be87-7ad0-48a7-84fb-08a81b220bdb","TCGA-EL-A3MY-01A")</f>
        <v>TCGA-EL-A3MY-01A</v>
      </c>
      <c r="I20290" t="s">
        <v>333</v>
      </c>
      <c r="J20290" t="s">
        <v>584</v>
      </c>
      <c r="K20290" t="s">
        <v>33</v>
      </c>
      <c r="L20290" t="s">
        <v>335</v>
      </c>
      <c r="N20290" t="s">
        <v>29</v>
      </c>
    </row>
    <row r="20291" spans="1:14">
      <c r="A20291" s="4" t="str">
        <f t="shared" si="1382"/>
        <v>EXP00448</v>
      </c>
      <c r="B20291" s="3" t="s">
        <v>66</v>
      </c>
      <c r="C20291" s="4" t="str">
        <f t="shared" si="1383"/>
        <v>TCGA-THCA</v>
      </c>
      <c r="D20291" s="1" t="s">
        <v>493</v>
      </c>
      <c r="E20291" t="s">
        <v>591</v>
      </c>
      <c r="F20291" s="1">
        <v>2</v>
      </c>
      <c r="G20291" s="1" t="s">
        <v>28</v>
      </c>
      <c r="H20291" s="4" t="str">
        <f>HYPERLINK("https://portal.gdc.cancer.gov/cases/f82f9ae8-e106-4c61-941c-3614d51b0f41","TCGA-EL-A3MZ-01A")</f>
        <v>TCGA-EL-A3MZ-01A</v>
      </c>
      <c r="I20291" t="s">
        <v>333</v>
      </c>
      <c r="J20291" t="s">
        <v>584</v>
      </c>
      <c r="K20291" t="s">
        <v>33</v>
      </c>
      <c r="L20291" t="s">
        <v>335</v>
      </c>
      <c r="N20291" t="s">
        <v>29</v>
      </c>
    </row>
    <row r="20292" spans="1:14">
      <c r="A20292" s="4" t="str">
        <f t="shared" si="1382"/>
        <v>EXP00448</v>
      </c>
      <c r="B20292" s="3" t="s">
        <v>66</v>
      </c>
      <c r="C20292" s="4" t="str">
        <f t="shared" si="1383"/>
        <v>TCGA-THCA</v>
      </c>
      <c r="D20292" s="1" t="s">
        <v>493</v>
      </c>
      <c r="E20292" t="s">
        <v>591</v>
      </c>
      <c r="F20292" s="1">
        <v>2</v>
      </c>
      <c r="G20292" s="1" t="s">
        <v>28</v>
      </c>
      <c r="H20292" s="4" t="str">
        <f>HYPERLINK("https://portal.gdc.cancer.gov/cases/34d4cc10-b868-4e85-96a5-8680fc729e34","TCGA-EL-A3N2-01A")</f>
        <v>TCGA-EL-A3N2-01A</v>
      </c>
      <c r="I20292" t="s">
        <v>333</v>
      </c>
      <c r="J20292" t="s">
        <v>584</v>
      </c>
      <c r="K20292" t="s">
        <v>33</v>
      </c>
      <c r="L20292" t="s">
        <v>335</v>
      </c>
      <c r="N20292" t="s">
        <v>29</v>
      </c>
    </row>
    <row r="20293" spans="1:14">
      <c r="A20293" s="4" t="str">
        <f t="shared" si="1382"/>
        <v>EXP00448</v>
      </c>
      <c r="B20293" s="3" t="s">
        <v>66</v>
      </c>
      <c r="C20293" s="4" t="str">
        <f t="shared" si="1383"/>
        <v>TCGA-THCA</v>
      </c>
      <c r="D20293" s="1" t="s">
        <v>493</v>
      </c>
      <c r="E20293" t="s">
        <v>591</v>
      </c>
      <c r="F20293" s="1">
        <v>2</v>
      </c>
      <c r="G20293" s="1" t="s">
        <v>28</v>
      </c>
      <c r="H20293" s="4" t="str">
        <f>HYPERLINK("https://portal.gdc.cancer.gov/cases/00a02e62-e1ab-467a-91b3-5f526dd2251a","TCGA-EL-A3N3-01A")</f>
        <v>TCGA-EL-A3N3-01A</v>
      </c>
      <c r="I20293" t="s">
        <v>333</v>
      </c>
      <c r="J20293" t="s">
        <v>584</v>
      </c>
      <c r="K20293" t="s">
        <v>33</v>
      </c>
      <c r="L20293" t="s">
        <v>335</v>
      </c>
      <c r="N20293" t="s">
        <v>29</v>
      </c>
    </row>
    <row r="20294" spans="1:14">
      <c r="A20294" s="4" t="str">
        <f t="shared" si="1382"/>
        <v>EXP00448</v>
      </c>
      <c r="B20294" s="3" t="s">
        <v>66</v>
      </c>
      <c r="C20294" s="4" t="str">
        <f t="shared" si="1383"/>
        <v>TCGA-THCA</v>
      </c>
      <c r="D20294" s="1" t="s">
        <v>493</v>
      </c>
      <c r="E20294" t="s">
        <v>591</v>
      </c>
      <c r="F20294" s="1">
        <v>2</v>
      </c>
      <c r="G20294" s="1" t="s">
        <v>28</v>
      </c>
      <c r="H20294" s="4" t="str">
        <f>HYPERLINK("https://portal.gdc.cancer.gov/cases/861f94ce-45ff-4588-addb-e1ea48878c2e","TCGA-EL-A3T0-01A")</f>
        <v>TCGA-EL-A3T0-01A</v>
      </c>
      <c r="I20294" t="s">
        <v>333</v>
      </c>
      <c r="J20294" t="s">
        <v>584</v>
      </c>
      <c r="K20294" t="s">
        <v>33</v>
      </c>
      <c r="L20294" t="s">
        <v>335</v>
      </c>
      <c r="N20294" t="s">
        <v>29</v>
      </c>
    </row>
    <row r="20295" spans="1:14">
      <c r="A20295" s="4" t="str">
        <f t="shared" si="1382"/>
        <v>EXP00448</v>
      </c>
      <c r="B20295" s="3" t="s">
        <v>66</v>
      </c>
      <c r="C20295" s="4" t="str">
        <f t="shared" si="1383"/>
        <v>TCGA-THCA</v>
      </c>
      <c r="D20295" s="1" t="s">
        <v>493</v>
      </c>
      <c r="E20295" t="s">
        <v>591</v>
      </c>
      <c r="F20295" s="1">
        <v>2</v>
      </c>
      <c r="G20295" s="1" t="s">
        <v>28</v>
      </c>
      <c r="H20295" s="4" t="str">
        <f>HYPERLINK("https://portal.gdc.cancer.gov/cases/97d0e1bb-1459-4124-b25a-48195f2ad8b5","TCGA-EL-A3T1-01A")</f>
        <v>TCGA-EL-A3T1-01A</v>
      </c>
      <c r="I20295" t="s">
        <v>333</v>
      </c>
      <c r="J20295" t="s">
        <v>584</v>
      </c>
      <c r="K20295" t="s">
        <v>33</v>
      </c>
      <c r="L20295" t="s">
        <v>335</v>
      </c>
      <c r="N20295" t="s">
        <v>29</v>
      </c>
    </row>
    <row r="20296" spans="1:14">
      <c r="A20296" s="4" t="str">
        <f t="shared" si="1382"/>
        <v>EXP00448</v>
      </c>
      <c r="B20296" s="3" t="s">
        <v>66</v>
      </c>
      <c r="C20296" s="4" t="str">
        <f t="shared" si="1383"/>
        <v>TCGA-THCA</v>
      </c>
      <c r="D20296" s="1" t="s">
        <v>493</v>
      </c>
      <c r="E20296" t="s">
        <v>591</v>
      </c>
      <c r="F20296" s="1">
        <v>2</v>
      </c>
      <c r="G20296" s="1" t="s">
        <v>28</v>
      </c>
      <c r="H20296" s="4" t="str">
        <f>HYPERLINK("https://portal.gdc.cancer.gov/cases/8a476795-0e05-4da6-bbe1-ff7304da1b39","TCGA-EL-A3T2-01A")</f>
        <v>TCGA-EL-A3T2-01A</v>
      </c>
      <c r="I20296" t="s">
        <v>333</v>
      </c>
      <c r="J20296" t="s">
        <v>584</v>
      </c>
      <c r="K20296" t="s">
        <v>33</v>
      </c>
      <c r="L20296" t="s">
        <v>335</v>
      </c>
      <c r="N20296" t="s">
        <v>29</v>
      </c>
    </row>
    <row r="20297" spans="1:14">
      <c r="A20297" s="4" t="str">
        <f t="shared" si="1382"/>
        <v>EXP00448</v>
      </c>
      <c r="B20297" s="3" t="s">
        <v>66</v>
      </c>
      <c r="C20297" s="4" t="str">
        <f t="shared" si="1383"/>
        <v>TCGA-THCA</v>
      </c>
      <c r="D20297" s="1" t="s">
        <v>493</v>
      </c>
      <c r="E20297" t="s">
        <v>591</v>
      </c>
      <c r="F20297" s="1">
        <v>2</v>
      </c>
      <c r="G20297" s="1" t="s">
        <v>28</v>
      </c>
      <c r="H20297" s="4" t="str">
        <f>HYPERLINK("https://portal.gdc.cancer.gov/cases/6435ea21-7214-40c5-9ccb-a1f22685a728","TCGA-EL-A3T3-01A")</f>
        <v>TCGA-EL-A3T3-01A</v>
      </c>
      <c r="I20297" t="s">
        <v>333</v>
      </c>
      <c r="J20297" t="s">
        <v>584</v>
      </c>
      <c r="K20297" t="s">
        <v>33</v>
      </c>
      <c r="L20297" t="s">
        <v>335</v>
      </c>
      <c r="N20297" t="s">
        <v>29</v>
      </c>
    </row>
    <row r="20298" spans="1:14">
      <c r="A20298" s="4" t="str">
        <f t="shared" si="1382"/>
        <v>EXP00448</v>
      </c>
      <c r="B20298" s="3" t="s">
        <v>66</v>
      </c>
      <c r="C20298" s="4" t="str">
        <f t="shared" si="1383"/>
        <v>TCGA-THCA</v>
      </c>
      <c r="D20298" s="1" t="s">
        <v>493</v>
      </c>
      <c r="E20298" t="s">
        <v>591</v>
      </c>
      <c r="F20298" s="1">
        <v>2</v>
      </c>
      <c r="G20298" s="1" t="s">
        <v>28</v>
      </c>
      <c r="H20298" s="4" t="str">
        <f>HYPERLINK("https://portal.gdc.cancer.gov/cases/90507baa-b716-4bcf-a18e-9d8ae97d809a","TCGA-EL-A3T6-01A")</f>
        <v>TCGA-EL-A3T6-01A</v>
      </c>
      <c r="I20298" t="s">
        <v>333</v>
      </c>
      <c r="J20298" t="s">
        <v>584</v>
      </c>
      <c r="K20298" t="s">
        <v>33</v>
      </c>
      <c r="L20298" t="s">
        <v>335</v>
      </c>
      <c r="N20298" t="s">
        <v>29</v>
      </c>
    </row>
    <row r="20299" spans="1:14">
      <c r="A20299" s="4" t="str">
        <f t="shared" si="1382"/>
        <v>EXP00448</v>
      </c>
      <c r="B20299" s="3" t="s">
        <v>66</v>
      </c>
      <c r="C20299" s="4" t="str">
        <f t="shared" si="1383"/>
        <v>TCGA-THCA</v>
      </c>
      <c r="D20299" s="1" t="s">
        <v>493</v>
      </c>
      <c r="E20299" t="s">
        <v>591</v>
      </c>
      <c r="F20299" s="1">
        <v>2</v>
      </c>
      <c r="G20299" s="1" t="s">
        <v>28</v>
      </c>
      <c r="H20299" s="4" t="str">
        <f>HYPERLINK("https://portal.gdc.cancer.gov/cases/b1640709-8b2f-4cca-a2c0-55a1b4a1884b","TCGA-EL-A3T7-01A")</f>
        <v>TCGA-EL-A3T7-01A</v>
      </c>
      <c r="I20299" t="s">
        <v>333</v>
      </c>
      <c r="J20299" t="s">
        <v>584</v>
      </c>
      <c r="K20299" t="s">
        <v>33</v>
      </c>
      <c r="L20299" t="s">
        <v>335</v>
      </c>
      <c r="N20299" t="s">
        <v>29</v>
      </c>
    </row>
    <row r="20300" spans="1:14">
      <c r="A20300" s="4" t="str">
        <f t="shared" si="1382"/>
        <v>EXP00448</v>
      </c>
      <c r="B20300" s="3" t="s">
        <v>66</v>
      </c>
      <c r="C20300" s="4" t="str">
        <f t="shared" si="1383"/>
        <v>TCGA-THCA</v>
      </c>
      <c r="D20300" s="1" t="s">
        <v>493</v>
      </c>
      <c r="E20300" t="s">
        <v>591</v>
      </c>
      <c r="F20300" s="1">
        <v>2</v>
      </c>
      <c r="G20300" s="1" t="s">
        <v>28</v>
      </c>
      <c r="H20300" s="4" t="str">
        <f>HYPERLINK("https://portal.gdc.cancer.gov/cases/989e9202-c08e-4bbf-85b3-1e278a475cb7","TCGA-EL-A3T8-01A")</f>
        <v>TCGA-EL-A3T8-01A</v>
      </c>
      <c r="I20300" t="s">
        <v>333</v>
      </c>
      <c r="J20300" t="s">
        <v>584</v>
      </c>
      <c r="K20300" t="s">
        <v>33</v>
      </c>
      <c r="L20300" t="s">
        <v>335</v>
      </c>
      <c r="N20300" t="s">
        <v>29</v>
      </c>
    </row>
    <row r="20301" spans="1:14">
      <c r="A20301" s="4" t="str">
        <f t="shared" si="1382"/>
        <v>EXP00448</v>
      </c>
      <c r="B20301" s="3" t="s">
        <v>66</v>
      </c>
      <c r="C20301" s="4" t="str">
        <f t="shared" si="1383"/>
        <v>TCGA-THCA</v>
      </c>
      <c r="D20301" s="1" t="s">
        <v>493</v>
      </c>
      <c r="E20301" t="s">
        <v>591</v>
      </c>
      <c r="F20301" s="1">
        <v>2</v>
      </c>
      <c r="G20301" s="1" t="s">
        <v>28</v>
      </c>
      <c r="H20301" s="4" t="str">
        <f>HYPERLINK("https://portal.gdc.cancer.gov/cases/8a233b01-2959-467f-8950-02be16309156","TCGA-EL-A3T9-01A")</f>
        <v>TCGA-EL-A3T9-01A</v>
      </c>
      <c r="I20301" t="s">
        <v>333</v>
      </c>
      <c r="J20301" t="s">
        <v>584</v>
      </c>
      <c r="K20301" t="s">
        <v>33</v>
      </c>
      <c r="L20301" t="s">
        <v>335</v>
      </c>
      <c r="N20301" t="s">
        <v>29</v>
      </c>
    </row>
    <row r="20302" spans="1:14">
      <c r="A20302" s="4" t="str">
        <f t="shared" si="1382"/>
        <v>EXP00448</v>
      </c>
      <c r="B20302" s="3" t="s">
        <v>66</v>
      </c>
      <c r="C20302" s="4" t="str">
        <f t="shared" si="1383"/>
        <v>TCGA-THCA</v>
      </c>
      <c r="D20302" s="1" t="s">
        <v>493</v>
      </c>
      <c r="E20302" t="s">
        <v>591</v>
      </c>
      <c r="F20302" s="1">
        <v>2</v>
      </c>
      <c r="G20302" s="1" t="s">
        <v>28</v>
      </c>
      <c r="H20302" s="4" t="str">
        <f>HYPERLINK("https://portal.gdc.cancer.gov/cases/d4355111-3abb-40f0-bdb7-b9eaa39dc771","TCGA-EL-A3TA-01A")</f>
        <v>TCGA-EL-A3TA-01A</v>
      </c>
      <c r="I20302" t="s">
        <v>333</v>
      </c>
      <c r="J20302" t="s">
        <v>584</v>
      </c>
      <c r="K20302" t="s">
        <v>33</v>
      </c>
      <c r="L20302" t="s">
        <v>335</v>
      </c>
      <c r="N20302" t="s">
        <v>29</v>
      </c>
    </row>
    <row r="20303" spans="1:14">
      <c r="A20303" s="4" t="str">
        <f t="shared" si="1382"/>
        <v>EXP00448</v>
      </c>
      <c r="B20303" s="3" t="s">
        <v>66</v>
      </c>
      <c r="C20303" s="4" t="str">
        <f t="shared" si="1383"/>
        <v>TCGA-THCA</v>
      </c>
      <c r="D20303" s="1" t="s">
        <v>493</v>
      </c>
      <c r="E20303" t="s">
        <v>591</v>
      </c>
      <c r="F20303" s="1">
        <v>2</v>
      </c>
      <c r="G20303" s="1" t="s">
        <v>28</v>
      </c>
      <c r="H20303" s="4" t="str">
        <f>HYPERLINK("https://portal.gdc.cancer.gov/cases/a09d0be0-fd41-4b30-b488-9a9f2abef8e7","TCGA-EL-A3TB-01A")</f>
        <v>TCGA-EL-A3TB-01A</v>
      </c>
      <c r="I20303" t="s">
        <v>333</v>
      </c>
      <c r="J20303" t="s">
        <v>584</v>
      </c>
      <c r="K20303" t="s">
        <v>33</v>
      </c>
      <c r="L20303" t="s">
        <v>335</v>
      </c>
      <c r="N20303" t="s">
        <v>29</v>
      </c>
    </row>
    <row r="20304" spans="1:14">
      <c r="A20304" s="4" t="str">
        <f t="shared" si="1382"/>
        <v>EXP00448</v>
      </c>
      <c r="B20304" s="3" t="s">
        <v>66</v>
      </c>
      <c r="C20304" s="4" t="str">
        <f t="shared" si="1383"/>
        <v>TCGA-THCA</v>
      </c>
      <c r="D20304" s="1" t="s">
        <v>493</v>
      </c>
      <c r="E20304" t="s">
        <v>591</v>
      </c>
      <c r="F20304" s="1">
        <v>2</v>
      </c>
      <c r="G20304" s="1" t="s">
        <v>28</v>
      </c>
      <c r="H20304" s="4" t="str">
        <f>HYPERLINK("https://portal.gdc.cancer.gov/cases/286c69b0-75ba-48d6-a26b-26077f101bbb","TCGA-EL-A3ZG-01A")</f>
        <v>TCGA-EL-A3ZG-01A</v>
      </c>
      <c r="I20304" t="s">
        <v>333</v>
      </c>
      <c r="J20304" t="s">
        <v>584</v>
      </c>
      <c r="K20304" t="s">
        <v>33</v>
      </c>
      <c r="L20304" t="s">
        <v>335</v>
      </c>
      <c r="N20304" t="s">
        <v>29</v>
      </c>
    </row>
    <row r="20305" spans="1:14">
      <c r="A20305" s="4" t="str">
        <f t="shared" si="1382"/>
        <v>EXP00448</v>
      </c>
      <c r="B20305" s="3" t="s">
        <v>66</v>
      </c>
      <c r="C20305" s="4" t="str">
        <f t="shared" si="1383"/>
        <v>TCGA-THCA</v>
      </c>
      <c r="D20305" s="1" t="s">
        <v>493</v>
      </c>
      <c r="E20305" t="s">
        <v>591</v>
      </c>
      <c r="F20305" s="1">
        <v>2</v>
      </c>
      <c r="G20305" s="1" t="s">
        <v>28</v>
      </c>
      <c r="H20305" s="4" t="str">
        <f>HYPERLINK("https://portal.gdc.cancer.gov/cases/149b46a3-75de-44e1-ba73-bdc4ff379c7f","TCGA-EL-A3ZH-01A")</f>
        <v>TCGA-EL-A3ZH-01A</v>
      </c>
      <c r="I20305" t="s">
        <v>333</v>
      </c>
      <c r="J20305" t="s">
        <v>584</v>
      </c>
      <c r="K20305" t="s">
        <v>33</v>
      </c>
      <c r="L20305" t="s">
        <v>335</v>
      </c>
      <c r="N20305" t="s">
        <v>29</v>
      </c>
    </row>
    <row r="20306" spans="1:14">
      <c r="A20306" s="4" t="str">
        <f t="shared" si="1382"/>
        <v>EXP00448</v>
      </c>
      <c r="B20306" s="3" t="s">
        <v>66</v>
      </c>
      <c r="C20306" s="4" t="str">
        <f t="shared" si="1383"/>
        <v>TCGA-THCA</v>
      </c>
      <c r="D20306" s="1" t="s">
        <v>493</v>
      </c>
      <c r="E20306" t="s">
        <v>591</v>
      </c>
      <c r="F20306" s="1">
        <v>2</v>
      </c>
      <c r="G20306" s="1" t="s">
        <v>28</v>
      </c>
      <c r="H20306" s="4" t="str">
        <f>HYPERLINK("https://portal.gdc.cancer.gov/cases/3d8b7654-b403-4360-80dc-8273ca90c2dc","TCGA-EL-A3ZK-01A")</f>
        <v>TCGA-EL-A3ZK-01A</v>
      </c>
      <c r="I20306" t="s">
        <v>333</v>
      </c>
      <c r="J20306" t="s">
        <v>584</v>
      </c>
      <c r="K20306" t="s">
        <v>33</v>
      </c>
      <c r="L20306" t="s">
        <v>335</v>
      </c>
      <c r="N20306" t="s">
        <v>29</v>
      </c>
    </row>
    <row r="20307" spans="1:14">
      <c r="A20307" s="4" t="str">
        <f t="shared" si="1382"/>
        <v>EXP00448</v>
      </c>
      <c r="B20307" s="3" t="s">
        <v>66</v>
      </c>
      <c r="C20307" s="4" t="str">
        <f t="shared" si="1383"/>
        <v>TCGA-THCA</v>
      </c>
      <c r="D20307" s="1" t="s">
        <v>493</v>
      </c>
      <c r="E20307" t="s">
        <v>591</v>
      </c>
      <c r="F20307" s="1">
        <v>2</v>
      </c>
      <c r="G20307" s="1" t="s">
        <v>28</v>
      </c>
      <c r="H20307" s="4" t="str">
        <f>HYPERLINK("https://portal.gdc.cancer.gov/cases/e2475d48-628b-4095-b101-865d79a4b0ed","TCGA-EL-A3ZL-01A")</f>
        <v>TCGA-EL-A3ZL-01A</v>
      </c>
      <c r="I20307" t="s">
        <v>333</v>
      </c>
      <c r="J20307" t="s">
        <v>584</v>
      </c>
      <c r="K20307" t="s">
        <v>33</v>
      </c>
      <c r="L20307" t="s">
        <v>335</v>
      </c>
      <c r="N20307" t="s">
        <v>29</v>
      </c>
    </row>
    <row r="20308" spans="1:14">
      <c r="A20308" s="4" t="str">
        <f t="shared" si="1382"/>
        <v>EXP00448</v>
      </c>
      <c r="B20308" s="3" t="s">
        <v>66</v>
      </c>
      <c r="C20308" s="4" t="str">
        <f t="shared" si="1383"/>
        <v>TCGA-THCA</v>
      </c>
      <c r="D20308" s="1" t="s">
        <v>493</v>
      </c>
      <c r="E20308" t="s">
        <v>591</v>
      </c>
      <c r="F20308" s="1">
        <v>2</v>
      </c>
      <c r="G20308" s="1" t="s">
        <v>28</v>
      </c>
      <c r="H20308" s="4" t="str">
        <f>HYPERLINK("https://portal.gdc.cancer.gov/cases/04dc8ee3-ec93-4b56-a546-f96746f8122f","TCGA-EL-A3ZM-01A")</f>
        <v>TCGA-EL-A3ZM-01A</v>
      </c>
      <c r="I20308" t="s">
        <v>333</v>
      </c>
      <c r="J20308" t="s">
        <v>584</v>
      </c>
      <c r="K20308" t="s">
        <v>33</v>
      </c>
      <c r="L20308" t="s">
        <v>335</v>
      </c>
      <c r="N20308" t="s">
        <v>29</v>
      </c>
    </row>
    <row r="20309" spans="1:14">
      <c r="A20309" s="4" t="str">
        <f t="shared" si="1382"/>
        <v>EXP00448</v>
      </c>
      <c r="B20309" s="3" t="s">
        <v>66</v>
      </c>
      <c r="C20309" s="4" t="str">
        <f t="shared" si="1383"/>
        <v>TCGA-THCA</v>
      </c>
      <c r="D20309" s="1" t="s">
        <v>493</v>
      </c>
      <c r="E20309" t="s">
        <v>591</v>
      </c>
      <c r="F20309" s="1">
        <v>2</v>
      </c>
      <c r="G20309" s="1" t="s">
        <v>28</v>
      </c>
      <c r="H20309" s="4" t="str">
        <f>HYPERLINK("https://portal.gdc.cancer.gov/cases/1f3915cb-718c-42ae-ab0a-ce62b8664995","TCGA-EL-A3ZN-01A")</f>
        <v>TCGA-EL-A3ZN-01A</v>
      </c>
      <c r="I20309" t="s">
        <v>333</v>
      </c>
      <c r="J20309" t="s">
        <v>584</v>
      </c>
      <c r="K20309" t="s">
        <v>33</v>
      </c>
      <c r="L20309" t="s">
        <v>335</v>
      </c>
      <c r="N20309" t="s">
        <v>29</v>
      </c>
    </row>
    <row r="20310" spans="1:14">
      <c r="A20310" s="4" t="str">
        <f t="shared" si="1382"/>
        <v>EXP00448</v>
      </c>
      <c r="B20310" s="3" t="s">
        <v>66</v>
      </c>
      <c r="C20310" s="4" t="str">
        <f t="shared" si="1383"/>
        <v>TCGA-THCA</v>
      </c>
      <c r="D20310" s="1" t="s">
        <v>493</v>
      </c>
      <c r="E20310" t="s">
        <v>591</v>
      </c>
      <c r="F20310" s="1">
        <v>2</v>
      </c>
      <c r="G20310" s="1" t="s">
        <v>28</v>
      </c>
      <c r="H20310" s="4" t="str">
        <f>HYPERLINK("https://portal.gdc.cancer.gov/cases/3bfa52af-cb40-45d8-9bdc-591985aae7fb","TCGA-EL-A3ZO-01A")</f>
        <v>TCGA-EL-A3ZO-01A</v>
      </c>
      <c r="I20310" t="s">
        <v>333</v>
      </c>
      <c r="J20310" t="s">
        <v>584</v>
      </c>
      <c r="K20310" t="s">
        <v>33</v>
      </c>
      <c r="L20310" t="s">
        <v>335</v>
      </c>
      <c r="N20310" t="s">
        <v>29</v>
      </c>
    </row>
    <row r="20311" spans="1:14">
      <c r="A20311" s="4" t="str">
        <f t="shared" si="1382"/>
        <v>EXP00448</v>
      </c>
      <c r="B20311" s="3" t="s">
        <v>66</v>
      </c>
      <c r="C20311" s="4" t="str">
        <f t="shared" si="1383"/>
        <v>TCGA-THCA</v>
      </c>
      <c r="D20311" s="1" t="s">
        <v>493</v>
      </c>
      <c r="E20311" t="s">
        <v>591</v>
      </c>
      <c r="F20311" s="1">
        <v>2</v>
      </c>
      <c r="G20311" s="1" t="s">
        <v>28</v>
      </c>
      <c r="H20311" s="4" t="str">
        <f>HYPERLINK("https://portal.gdc.cancer.gov/cases/ea859a83-00c3-40b2-97c1-fb24ad027ea6","TCGA-EL-A3ZP-01A")</f>
        <v>TCGA-EL-A3ZP-01A</v>
      </c>
      <c r="I20311" t="s">
        <v>333</v>
      </c>
      <c r="J20311" t="s">
        <v>584</v>
      </c>
      <c r="K20311" t="s">
        <v>33</v>
      </c>
      <c r="L20311" t="s">
        <v>335</v>
      </c>
      <c r="N20311" t="s">
        <v>29</v>
      </c>
    </row>
    <row r="20312" spans="1:14">
      <c r="A20312" s="4" t="str">
        <f t="shared" si="1382"/>
        <v>EXP00448</v>
      </c>
      <c r="B20312" s="3" t="s">
        <v>66</v>
      </c>
      <c r="C20312" s="4" t="str">
        <f t="shared" si="1383"/>
        <v>TCGA-THCA</v>
      </c>
      <c r="D20312" s="1" t="s">
        <v>493</v>
      </c>
      <c r="E20312" t="s">
        <v>591</v>
      </c>
      <c r="F20312" s="1">
        <v>2</v>
      </c>
      <c r="G20312" s="1" t="s">
        <v>28</v>
      </c>
      <c r="H20312" s="4" t="str">
        <f>HYPERLINK("https://portal.gdc.cancer.gov/cases/315cbbe8-62c8-488b-92c5-e2046321efb7","TCGA-EL-A3ZQ-01A")</f>
        <v>TCGA-EL-A3ZQ-01A</v>
      </c>
      <c r="I20312" t="s">
        <v>333</v>
      </c>
      <c r="J20312" t="s">
        <v>584</v>
      </c>
      <c r="K20312" t="s">
        <v>33</v>
      </c>
      <c r="L20312" t="s">
        <v>335</v>
      </c>
      <c r="N20312" t="s">
        <v>29</v>
      </c>
    </row>
    <row r="20313" spans="1:14">
      <c r="A20313" s="4" t="str">
        <f t="shared" si="1382"/>
        <v>EXP00448</v>
      </c>
      <c r="B20313" s="3" t="s">
        <v>66</v>
      </c>
      <c r="C20313" s="4" t="str">
        <f t="shared" si="1383"/>
        <v>TCGA-THCA</v>
      </c>
      <c r="D20313" s="1" t="s">
        <v>493</v>
      </c>
      <c r="E20313" t="s">
        <v>591</v>
      </c>
      <c r="F20313" s="1">
        <v>2</v>
      </c>
      <c r="G20313" s="1" t="s">
        <v>28</v>
      </c>
      <c r="H20313" s="4" t="str">
        <f>HYPERLINK("https://portal.gdc.cancer.gov/cases/96b95a2c-fb4f-4cba-89e7-a7f0e90db146","TCGA-EL-A3ZR-01A")</f>
        <v>TCGA-EL-A3ZR-01A</v>
      </c>
      <c r="I20313" t="s">
        <v>333</v>
      </c>
      <c r="J20313" t="s">
        <v>584</v>
      </c>
      <c r="K20313" t="s">
        <v>33</v>
      </c>
      <c r="L20313" t="s">
        <v>335</v>
      </c>
      <c r="N20313" t="s">
        <v>29</v>
      </c>
    </row>
    <row r="20314" spans="1:14">
      <c r="A20314" s="4" t="str">
        <f t="shared" si="1382"/>
        <v>EXP00448</v>
      </c>
      <c r="B20314" s="3" t="s">
        <v>66</v>
      </c>
      <c r="C20314" s="4" t="str">
        <f t="shared" si="1383"/>
        <v>TCGA-THCA</v>
      </c>
      <c r="D20314" s="1" t="s">
        <v>493</v>
      </c>
      <c r="E20314" t="s">
        <v>591</v>
      </c>
      <c r="F20314" s="1">
        <v>2</v>
      </c>
      <c r="G20314" s="1" t="s">
        <v>28</v>
      </c>
      <c r="H20314" s="4" t="str">
        <f>HYPERLINK("https://portal.gdc.cancer.gov/cases/a253b21e-ba9b-4928-95d1-89b59c868794","TCGA-EL-A3ZS-01A")</f>
        <v>TCGA-EL-A3ZS-01A</v>
      </c>
      <c r="I20314" t="s">
        <v>333</v>
      </c>
      <c r="J20314" t="s">
        <v>584</v>
      </c>
      <c r="K20314" t="s">
        <v>33</v>
      </c>
      <c r="L20314" t="s">
        <v>335</v>
      </c>
      <c r="N20314" t="s">
        <v>29</v>
      </c>
    </row>
    <row r="20315" spans="1:14">
      <c r="A20315" s="4" t="str">
        <f t="shared" si="1382"/>
        <v>EXP00448</v>
      </c>
      <c r="B20315" s="3" t="s">
        <v>66</v>
      </c>
      <c r="C20315" s="4" t="str">
        <f t="shared" si="1383"/>
        <v>TCGA-THCA</v>
      </c>
      <c r="D20315" s="1" t="s">
        <v>493</v>
      </c>
      <c r="E20315" t="s">
        <v>591</v>
      </c>
      <c r="F20315" s="1">
        <v>2</v>
      </c>
      <c r="G20315" s="1" t="s">
        <v>28</v>
      </c>
      <c r="H20315" s="4" t="str">
        <f>HYPERLINK("https://portal.gdc.cancer.gov/cases/64de42bd-d134-4f44-82fa-d6614709bf01","TCGA-EL-A3ZT-01A")</f>
        <v>TCGA-EL-A3ZT-01A</v>
      </c>
      <c r="I20315" t="s">
        <v>333</v>
      </c>
      <c r="J20315" t="s">
        <v>584</v>
      </c>
      <c r="K20315" t="s">
        <v>33</v>
      </c>
      <c r="L20315" t="s">
        <v>335</v>
      </c>
      <c r="N20315" t="s">
        <v>29</v>
      </c>
    </row>
    <row r="20316" spans="1:14">
      <c r="A20316" s="4" t="str">
        <f t="shared" si="1382"/>
        <v>EXP00448</v>
      </c>
      <c r="B20316" s="3" t="s">
        <v>66</v>
      </c>
      <c r="C20316" s="4" t="str">
        <f t="shared" si="1383"/>
        <v>TCGA-THCA</v>
      </c>
      <c r="D20316" s="1" t="s">
        <v>493</v>
      </c>
      <c r="E20316" t="s">
        <v>591</v>
      </c>
      <c r="F20316" s="1">
        <v>2</v>
      </c>
      <c r="G20316" s="1" t="s">
        <v>28</v>
      </c>
      <c r="H20316" s="4" t="str">
        <f>HYPERLINK("https://portal.gdc.cancer.gov/cases/6f77fc81-1bf4-47c8-b1d8-78bb17cb13f8","TCGA-EL-A4JV-01A")</f>
        <v>TCGA-EL-A4JV-01A</v>
      </c>
      <c r="I20316" t="s">
        <v>333</v>
      </c>
      <c r="J20316" t="s">
        <v>584</v>
      </c>
      <c r="K20316" t="s">
        <v>33</v>
      </c>
      <c r="L20316" t="s">
        <v>335</v>
      </c>
      <c r="N20316" t="s">
        <v>29</v>
      </c>
    </row>
    <row r="20317" spans="1:14">
      <c r="A20317" s="4" t="str">
        <f t="shared" si="1382"/>
        <v>EXP00448</v>
      </c>
      <c r="B20317" s="3" t="s">
        <v>66</v>
      </c>
      <c r="C20317" s="4" t="str">
        <f t="shared" si="1383"/>
        <v>TCGA-THCA</v>
      </c>
      <c r="D20317" s="1" t="s">
        <v>493</v>
      </c>
      <c r="E20317" t="s">
        <v>591</v>
      </c>
      <c r="F20317" s="1">
        <v>2</v>
      </c>
      <c r="G20317" s="1" t="s">
        <v>28</v>
      </c>
      <c r="H20317" s="4" t="str">
        <f>HYPERLINK("https://portal.gdc.cancer.gov/cases/4f340c8c-5912-4257-b57d-c096da254c26","TCGA-EL-A4JW-01A")</f>
        <v>TCGA-EL-A4JW-01A</v>
      </c>
      <c r="I20317" t="s">
        <v>333</v>
      </c>
      <c r="J20317" t="s">
        <v>584</v>
      </c>
      <c r="K20317" t="s">
        <v>33</v>
      </c>
      <c r="L20317" t="s">
        <v>335</v>
      </c>
      <c r="N20317" t="s">
        <v>29</v>
      </c>
    </row>
    <row r="20318" spans="1:14">
      <c r="A20318" s="4" t="str">
        <f t="shared" si="1382"/>
        <v>EXP00448</v>
      </c>
      <c r="B20318" s="3" t="s">
        <v>66</v>
      </c>
      <c r="C20318" s="4" t="str">
        <f t="shared" si="1383"/>
        <v>TCGA-THCA</v>
      </c>
      <c r="D20318" s="1" t="s">
        <v>493</v>
      </c>
      <c r="E20318" t="s">
        <v>591</v>
      </c>
      <c r="F20318" s="1">
        <v>2</v>
      </c>
      <c r="G20318" s="1" t="s">
        <v>28</v>
      </c>
      <c r="H20318" s="4" t="str">
        <f>HYPERLINK("https://portal.gdc.cancer.gov/cases/6a63961e-6ca4-45fa-93ee-65f7c392fcf0","TCGA-EL-A4JX-01A")</f>
        <v>TCGA-EL-A4JX-01A</v>
      </c>
      <c r="I20318" t="s">
        <v>333</v>
      </c>
      <c r="J20318" t="s">
        <v>584</v>
      </c>
      <c r="K20318" t="s">
        <v>33</v>
      </c>
      <c r="L20318" t="s">
        <v>335</v>
      </c>
      <c r="N20318" t="s">
        <v>29</v>
      </c>
    </row>
    <row r="20319" spans="1:14">
      <c r="A20319" s="4" t="str">
        <f t="shared" si="1382"/>
        <v>EXP00448</v>
      </c>
      <c r="B20319" s="3" t="s">
        <v>66</v>
      </c>
      <c r="C20319" s="4" t="str">
        <f t="shared" si="1383"/>
        <v>TCGA-THCA</v>
      </c>
      <c r="D20319" s="1" t="s">
        <v>493</v>
      </c>
      <c r="E20319" t="s">
        <v>591</v>
      </c>
      <c r="F20319" s="1">
        <v>2</v>
      </c>
      <c r="G20319" s="1" t="s">
        <v>28</v>
      </c>
      <c r="H20319" s="4" t="str">
        <f>HYPERLINK("https://portal.gdc.cancer.gov/cases/3d952b80-501e-41c6-a3af-0bd6014b81e4","TCGA-EL-A4JZ-01A")</f>
        <v>TCGA-EL-A4JZ-01A</v>
      </c>
      <c r="I20319" t="s">
        <v>333</v>
      </c>
      <c r="J20319" t="s">
        <v>584</v>
      </c>
      <c r="K20319" t="s">
        <v>33</v>
      </c>
      <c r="L20319" t="s">
        <v>335</v>
      </c>
      <c r="N20319" t="s">
        <v>29</v>
      </c>
    </row>
    <row r="20320" spans="1:14">
      <c r="A20320" s="4" t="str">
        <f t="shared" si="1382"/>
        <v>EXP00448</v>
      </c>
      <c r="B20320" s="3" t="s">
        <v>66</v>
      </c>
      <c r="C20320" s="4" t="str">
        <f t="shared" si="1383"/>
        <v>TCGA-THCA</v>
      </c>
      <c r="D20320" s="1" t="s">
        <v>493</v>
      </c>
      <c r="E20320" t="s">
        <v>591</v>
      </c>
      <c r="F20320" s="1">
        <v>2</v>
      </c>
      <c r="G20320" s="1" t="s">
        <v>28</v>
      </c>
      <c r="H20320" s="4" t="str">
        <f>HYPERLINK("https://portal.gdc.cancer.gov/cases/08293bf4-727d-45c2-abbf-1aec3ba1c8a4","TCGA-EL-A4K0-01A")</f>
        <v>TCGA-EL-A4K0-01A</v>
      </c>
      <c r="I20320" t="s">
        <v>333</v>
      </c>
      <c r="J20320" t="s">
        <v>584</v>
      </c>
      <c r="K20320" t="s">
        <v>33</v>
      </c>
      <c r="L20320" t="s">
        <v>335</v>
      </c>
      <c r="N20320" t="s">
        <v>29</v>
      </c>
    </row>
    <row r="20321" spans="1:14">
      <c r="A20321" s="4" t="str">
        <f t="shared" si="1382"/>
        <v>EXP00448</v>
      </c>
      <c r="B20321" s="3" t="s">
        <v>66</v>
      </c>
      <c r="C20321" s="4" t="str">
        <f t="shared" si="1383"/>
        <v>TCGA-THCA</v>
      </c>
      <c r="D20321" s="1" t="s">
        <v>493</v>
      </c>
      <c r="E20321" t="s">
        <v>591</v>
      </c>
      <c r="F20321" s="1">
        <v>2</v>
      </c>
      <c r="G20321" s="1" t="s">
        <v>28</v>
      </c>
      <c r="H20321" s="4" t="str">
        <f>HYPERLINK("https://portal.gdc.cancer.gov/cases/aa6e3437-ea1c-4bed-ab7d-8f3f89f8ceeb","TCGA-EL-A4K1-01A")</f>
        <v>TCGA-EL-A4K1-01A</v>
      </c>
      <c r="I20321" t="s">
        <v>333</v>
      </c>
      <c r="J20321" t="s">
        <v>584</v>
      </c>
      <c r="K20321" t="s">
        <v>33</v>
      </c>
      <c r="L20321" t="s">
        <v>335</v>
      </c>
      <c r="N20321" t="s">
        <v>29</v>
      </c>
    </row>
    <row r="20322" spans="1:14">
      <c r="A20322" s="4" t="str">
        <f t="shared" si="1382"/>
        <v>EXP00448</v>
      </c>
      <c r="B20322" s="3" t="s">
        <v>66</v>
      </c>
      <c r="C20322" s="4" t="str">
        <f t="shared" si="1383"/>
        <v>TCGA-THCA</v>
      </c>
      <c r="D20322" s="1" t="s">
        <v>493</v>
      </c>
      <c r="E20322" t="s">
        <v>591</v>
      </c>
      <c r="F20322" s="1">
        <v>2</v>
      </c>
      <c r="G20322" s="1" t="s">
        <v>28</v>
      </c>
      <c r="H20322" s="4" t="str">
        <f>HYPERLINK("https://portal.gdc.cancer.gov/cases/a3f87411-0a7b-4415-ba17-8edcc2639f6c","TCGA-EL-A4K2-01A")</f>
        <v>TCGA-EL-A4K2-01A</v>
      </c>
      <c r="I20322" t="s">
        <v>333</v>
      </c>
      <c r="J20322" t="s">
        <v>584</v>
      </c>
      <c r="K20322" t="s">
        <v>33</v>
      </c>
      <c r="L20322" t="s">
        <v>335</v>
      </c>
      <c r="N20322" t="s">
        <v>29</v>
      </c>
    </row>
    <row r="20323" spans="1:14">
      <c r="A20323" s="4" t="str">
        <f t="shared" si="1382"/>
        <v>EXP00448</v>
      </c>
      <c r="B20323" s="3" t="s">
        <v>66</v>
      </c>
      <c r="C20323" s="4" t="str">
        <f t="shared" si="1383"/>
        <v>TCGA-THCA</v>
      </c>
      <c r="D20323" s="1" t="s">
        <v>493</v>
      </c>
      <c r="E20323" t="s">
        <v>591</v>
      </c>
      <c r="F20323" s="1">
        <v>2</v>
      </c>
      <c r="G20323" s="1" t="s">
        <v>28</v>
      </c>
      <c r="H20323" s="4" t="str">
        <f>HYPERLINK("https://portal.gdc.cancer.gov/cases/29afb71c-c2ca-499e-b1c7-12758c9b03d6","TCGA-EL-A4K4-01A")</f>
        <v>TCGA-EL-A4K4-01A</v>
      </c>
      <c r="I20323" t="s">
        <v>333</v>
      </c>
      <c r="J20323" t="s">
        <v>584</v>
      </c>
      <c r="K20323" t="s">
        <v>33</v>
      </c>
      <c r="L20323" t="s">
        <v>335</v>
      </c>
      <c r="N20323" t="s">
        <v>29</v>
      </c>
    </row>
    <row r="20324" spans="1:14">
      <c r="A20324" s="4" t="str">
        <f t="shared" si="1382"/>
        <v>EXP00448</v>
      </c>
      <c r="B20324" s="3" t="s">
        <v>66</v>
      </c>
      <c r="C20324" s="4" t="str">
        <f t="shared" si="1383"/>
        <v>TCGA-THCA</v>
      </c>
      <c r="D20324" s="1" t="s">
        <v>493</v>
      </c>
      <c r="E20324" t="s">
        <v>591</v>
      </c>
      <c r="F20324" s="1">
        <v>2</v>
      </c>
      <c r="G20324" s="1" t="s">
        <v>28</v>
      </c>
      <c r="H20324" s="4" t="str">
        <f>HYPERLINK("https://portal.gdc.cancer.gov/cases/4fc8e011-4433-4537-b03f-457a3a70240f","TCGA-EL-A4K6-01A")</f>
        <v>TCGA-EL-A4K6-01A</v>
      </c>
      <c r="I20324" t="s">
        <v>333</v>
      </c>
      <c r="J20324" t="s">
        <v>584</v>
      </c>
      <c r="K20324" t="s">
        <v>33</v>
      </c>
      <c r="L20324" t="s">
        <v>335</v>
      </c>
      <c r="N20324" t="s">
        <v>29</v>
      </c>
    </row>
    <row r="20325" spans="1:14">
      <c r="A20325" s="4" t="str">
        <f t="shared" si="1382"/>
        <v>EXP00448</v>
      </c>
      <c r="B20325" s="3" t="s">
        <v>66</v>
      </c>
      <c r="C20325" s="4" t="str">
        <f t="shared" si="1383"/>
        <v>TCGA-THCA</v>
      </c>
      <c r="D20325" s="1" t="s">
        <v>493</v>
      </c>
      <c r="E20325" t="s">
        <v>591</v>
      </c>
      <c r="F20325" s="1">
        <v>2</v>
      </c>
      <c r="G20325" s="1" t="s">
        <v>28</v>
      </c>
      <c r="H20325" s="4" t="str">
        <f>HYPERLINK("https://portal.gdc.cancer.gov/cases/dc392a57-2028-4eca-8bf3-760ec99703ee","TCGA-EL-A4K7-01A")</f>
        <v>TCGA-EL-A4K7-01A</v>
      </c>
      <c r="I20325" t="s">
        <v>333</v>
      </c>
      <c r="J20325" t="s">
        <v>584</v>
      </c>
      <c r="K20325" t="s">
        <v>33</v>
      </c>
      <c r="L20325" t="s">
        <v>335</v>
      </c>
      <c r="N20325" t="s">
        <v>29</v>
      </c>
    </row>
    <row r="20326" spans="1:14">
      <c r="A20326" s="4" t="str">
        <f t="shared" ref="A20326:A20389" si="1384">HYPERLINK("http://hcmdb.i-sanger.com/experiment/details/experiment_id/EXP00448","EXP00448")</f>
        <v>EXP00448</v>
      </c>
      <c r="B20326" s="3" t="s">
        <v>66</v>
      </c>
      <c r="C20326" s="4" t="str">
        <f t="shared" si="1383"/>
        <v>TCGA-THCA</v>
      </c>
      <c r="D20326" s="1" t="s">
        <v>493</v>
      </c>
      <c r="E20326" t="s">
        <v>591</v>
      </c>
      <c r="F20326" s="1">
        <v>2</v>
      </c>
      <c r="G20326" s="1" t="s">
        <v>28</v>
      </c>
      <c r="H20326" s="4" t="str">
        <f>HYPERLINK("https://portal.gdc.cancer.gov/cases/89f4a6a5-bf9b-4a0e-bacf-8cd715c2ca93","TCGA-EL-A4K9-01A")</f>
        <v>TCGA-EL-A4K9-01A</v>
      </c>
      <c r="I20326" t="s">
        <v>333</v>
      </c>
      <c r="J20326" t="s">
        <v>584</v>
      </c>
      <c r="K20326" t="s">
        <v>33</v>
      </c>
      <c r="L20326" t="s">
        <v>335</v>
      </c>
      <c r="N20326" t="s">
        <v>29</v>
      </c>
    </row>
    <row r="20327" spans="1:14">
      <c r="A20327" s="4" t="str">
        <f t="shared" si="1384"/>
        <v>EXP00448</v>
      </c>
      <c r="B20327" s="3" t="s">
        <v>66</v>
      </c>
      <c r="C20327" s="4" t="str">
        <f t="shared" si="1383"/>
        <v>TCGA-THCA</v>
      </c>
      <c r="D20327" s="1" t="s">
        <v>493</v>
      </c>
      <c r="E20327" t="s">
        <v>591</v>
      </c>
      <c r="F20327" s="1">
        <v>2</v>
      </c>
      <c r="G20327" s="1" t="s">
        <v>28</v>
      </c>
      <c r="H20327" s="4" t="str">
        <f>HYPERLINK("https://portal.gdc.cancer.gov/cases/b4a60a32-2c1b-44fb-92f4-b30f985dc424","TCGA-EL-A4KD-01A")</f>
        <v>TCGA-EL-A4KD-01A</v>
      </c>
      <c r="I20327" t="s">
        <v>333</v>
      </c>
      <c r="J20327" t="s">
        <v>584</v>
      </c>
      <c r="K20327" t="s">
        <v>33</v>
      </c>
      <c r="L20327" t="s">
        <v>335</v>
      </c>
      <c r="N20327" t="s">
        <v>29</v>
      </c>
    </row>
    <row r="20328" spans="1:14">
      <c r="A20328" s="4" t="str">
        <f t="shared" si="1384"/>
        <v>EXP00448</v>
      </c>
      <c r="B20328" s="3" t="s">
        <v>66</v>
      </c>
      <c r="C20328" s="4" t="str">
        <f t="shared" si="1383"/>
        <v>TCGA-THCA</v>
      </c>
      <c r="D20328" s="1" t="s">
        <v>493</v>
      </c>
      <c r="E20328" t="s">
        <v>591</v>
      </c>
      <c r="F20328" s="1">
        <v>2</v>
      </c>
      <c r="G20328" s="1" t="s">
        <v>28</v>
      </c>
      <c r="H20328" s="4" t="str">
        <f>HYPERLINK("https://portal.gdc.cancer.gov/cases/dc5c1a76-30de-4b30-b397-3ad691c92a86","TCGA-EL-A4KG-01A")</f>
        <v>TCGA-EL-A4KG-01A</v>
      </c>
      <c r="I20328" t="s">
        <v>333</v>
      </c>
      <c r="J20328" t="s">
        <v>584</v>
      </c>
      <c r="K20328" t="s">
        <v>33</v>
      </c>
      <c r="L20328" t="s">
        <v>335</v>
      </c>
      <c r="N20328" t="s">
        <v>29</v>
      </c>
    </row>
    <row r="20329" spans="1:14">
      <c r="A20329" s="4" t="str">
        <f t="shared" si="1384"/>
        <v>EXP00448</v>
      </c>
      <c r="B20329" s="3" t="s">
        <v>66</v>
      </c>
      <c r="C20329" s="4" t="str">
        <f t="shared" si="1383"/>
        <v>TCGA-THCA</v>
      </c>
      <c r="D20329" s="1" t="s">
        <v>493</v>
      </c>
      <c r="E20329" t="s">
        <v>591</v>
      </c>
      <c r="F20329" s="1">
        <v>2</v>
      </c>
      <c r="G20329" s="1" t="s">
        <v>28</v>
      </c>
      <c r="H20329" s="4" t="str">
        <f>HYPERLINK("https://portal.gdc.cancer.gov/cases/64131b0b-9f36-44be-8bec-92c71ec36343","TCGA-EL-A4KH-01A")</f>
        <v>TCGA-EL-A4KH-01A</v>
      </c>
      <c r="I20329" t="s">
        <v>333</v>
      </c>
      <c r="J20329" t="s">
        <v>584</v>
      </c>
      <c r="K20329" t="s">
        <v>33</v>
      </c>
      <c r="L20329" t="s">
        <v>335</v>
      </c>
      <c r="N20329" t="s">
        <v>29</v>
      </c>
    </row>
    <row r="20330" spans="1:14">
      <c r="A20330" s="4" t="str">
        <f t="shared" si="1384"/>
        <v>EXP00448</v>
      </c>
      <c r="B20330" s="3" t="s">
        <v>66</v>
      </c>
      <c r="C20330" s="4" t="str">
        <f t="shared" si="1383"/>
        <v>TCGA-THCA</v>
      </c>
      <c r="D20330" s="1" t="s">
        <v>493</v>
      </c>
      <c r="E20330" t="s">
        <v>591</v>
      </c>
      <c r="F20330" s="1">
        <v>2</v>
      </c>
      <c r="G20330" s="1" t="s">
        <v>28</v>
      </c>
      <c r="H20330" s="4" t="str">
        <f>HYPERLINK("https://portal.gdc.cancer.gov/cases/1bacebf3-609e-4bb7-bb93-eb217b3a1b5c","TCGA-EL-A4KI-01A")</f>
        <v>TCGA-EL-A4KI-01A</v>
      </c>
      <c r="I20330" t="s">
        <v>333</v>
      </c>
      <c r="J20330" t="s">
        <v>584</v>
      </c>
      <c r="K20330" t="s">
        <v>33</v>
      </c>
      <c r="L20330" t="s">
        <v>335</v>
      </c>
      <c r="N20330" t="s">
        <v>29</v>
      </c>
    </row>
    <row r="20331" spans="1:14">
      <c r="A20331" s="4" t="str">
        <f t="shared" si="1384"/>
        <v>EXP00448</v>
      </c>
      <c r="B20331" s="3" t="s">
        <v>66</v>
      </c>
      <c r="C20331" s="4" t="str">
        <f t="shared" si="1383"/>
        <v>TCGA-THCA</v>
      </c>
      <c r="D20331" s="1" t="s">
        <v>493</v>
      </c>
      <c r="E20331" t="s">
        <v>591</v>
      </c>
      <c r="F20331" s="1">
        <v>2</v>
      </c>
      <c r="G20331" s="1" t="s">
        <v>28</v>
      </c>
      <c r="H20331" s="4" t="str">
        <f>HYPERLINK("https://portal.gdc.cancer.gov/cases/e92bdb0d-969a-4d98-ada8-5dfec68119b5","TCGA-EM-A1CS-01A")</f>
        <v>TCGA-EM-A1CS-01A</v>
      </c>
      <c r="I20331" t="s">
        <v>333</v>
      </c>
      <c r="J20331" t="s">
        <v>584</v>
      </c>
      <c r="K20331" t="s">
        <v>33</v>
      </c>
      <c r="L20331" t="s">
        <v>335</v>
      </c>
      <c r="N20331" t="s">
        <v>29</v>
      </c>
    </row>
    <row r="20332" spans="1:14">
      <c r="A20332" s="4" t="str">
        <f t="shared" si="1384"/>
        <v>EXP00448</v>
      </c>
      <c r="B20332" s="3" t="s">
        <v>66</v>
      </c>
      <c r="C20332" s="4" t="str">
        <f t="shared" si="1383"/>
        <v>TCGA-THCA</v>
      </c>
      <c r="D20332" s="1" t="s">
        <v>493</v>
      </c>
      <c r="E20332" t="s">
        <v>591</v>
      </c>
      <c r="F20332" s="1">
        <v>2</v>
      </c>
      <c r="G20332" s="1" t="s">
        <v>28</v>
      </c>
      <c r="H20332" s="4" t="str">
        <f>HYPERLINK("https://portal.gdc.cancer.gov/cases/290be61a-84ef-4bed-8e37-b432cba6c88e","TCGA-EM-A1CT-01A")</f>
        <v>TCGA-EM-A1CT-01A</v>
      </c>
      <c r="I20332" t="s">
        <v>333</v>
      </c>
      <c r="J20332" t="s">
        <v>584</v>
      </c>
      <c r="K20332" t="s">
        <v>33</v>
      </c>
      <c r="L20332" t="s">
        <v>335</v>
      </c>
      <c r="N20332" t="s">
        <v>29</v>
      </c>
    </row>
    <row r="20333" spans="1:14">
      <c r="A20333" s="4" t="str">
        <f t="shared" si="1384"/>
        <v>EXP00448</v>
      </c>
      <c r="B20333" s="3" t="s">
        <v>66</v>
      </c>
      <c r="C20333" s="4" t="str">
        <f t="shared" si="1383"/>
        <v>TCGA-THCA</v>
      </c>
      <c r="D20333" s="1" t="s">
        <v>493</v>
      </c>
      <c r="E20333" t="s">
        <v>591</v>
      </c>
      <c r="F20333" s="1">
        <v>2</v>
      </c>
      <c r="G20333" s="1" t="s">
        <v>28</v>
      </c>
      <c r="H20333" s="4" t="str">
        <f>HYPERLINK("https://portal.gdc.cancer.gov/cases/4e80f403-0e10-4725-854d-f023c12ee1e2","TCGA-EM-A1CU-01A")</f>
        <v>TCGA-EM-A1CU-01A</v>
      </c>
      <c r="I20333" t="s">
        <v>333</v>
      </c>
      <c r="J20333" t="s">
        <v>584</v>
      </c>
      <c r="K20333" t="s">
        <v>33</v>
      </c>
      <c r="L20333" t="s">
        <v>335</v>
      </c>
      <c r="N20333" t="s">
        <v>29</v>
      </c>
    </row>
    <row r="20334" spans="1:14">
      <c r="A20334" s="4" t="str">
        <f t="shared" si="1384"/>
        <v>EXP00448</v>
      </c>
      <c r="B20334" s="3" t="s">
        <v>66</v>
      </c>
      <c r="C20334" s="4" t="str">
        <f t="shared" si="1383"/>
        <v>TCGA-THCA</v>
      </c>
      <c r="D20334" s="1" t="s">
        <v>493</v>
      </c>
      <c r="E20334" t="s">
        <v>591</v>
      </c>
      <c r="F20334" s="1">
        <v>2</v>
      </c>
      <c r="G20334" s="1" t="s">
        <v>28</v>
      </c>
      <c r="H20334" s="4" t="str">
        <f>HYPERLINK("https://portal.gdc.cancer.gov/cases/762eddb5-1b47-4b79-b20a-1edfb07c0705","TCGA-EM-A1CV-01A")</f>
        <v>TCGA-EM-A1CV-01A</v>
      </c>
      <c r="I20334" t="s">
        <v>333</v>
      </c>
      <c r="J20334" t="s">
        <v>584</v>
      </c>
      <c r="K20334" t="s">
        <v>33</v>
      </c>
      <c r="L20334" t="s">
        <v>335</v>
      </c>
      <c r="N20334" t="s">
        <v>29</v>
      </c>
    </row>
    <row r="20335" spans="1:14">
      <c r="A20335" s="4" t="str">
        <f t="shared" si="1384"/>
        <v>EXP00448</v>
      </c>
      <c r="B20335" s="3" t="s">
        <v>66</v>
      </c>
      <c r="C20335" s="4" t="str">
        <f t="shared" si="1383"/>
        <v>TCGA-THCA</v>
      </c>
      <c r="D20335" s="1" t="s">
        <v>493</v>
      </c>
      <c r="E20335" t="s">
        <v>591</v>
      </c>
      <c r="F20335" s="1">
        <v>2</v>
      </c>
      <c r="G20335" s="1" t="s">
        <v>28</v>
      </c>
      <c r="H20335" s="4" t="str">
        <f>HYPERLINK("https://portal.gdc.cancer.gov/cases/22eb9f00-6869-4d8f-b657-dfd64f81e9e9","TCGA-EM-A1CW-01A")</f>
        <v>TCGA-EM-A1CW-01A</v>
      </c>
      <c r="I20335" t="s">
        <v>333</v>
      </c>
      <c r="J20335" t="s">
        <v>584</v>
      </c>
      <c r="K20335" t="s">
        <v>33</v>
      </c>
      <c r="L20335" t="s">
        <v>335</v>
      </c>
      <c r="N20335" t="s">
        <v>29</v>
      </c>
    </row>
    <row r="20336" spans="1:14">
      <c r="A20336" s="4" t="str">
        <f t="shared" si="1384"/>
        <v>EXP00448</v>
      </c>
      <c r="B20336" s="3" t="s">
        <v>66</v>
      </c>
      <c r="C20336" s="4" t="str">
        <f t="shared" si="1383"/>
        <v>TCGA-THCA</v>
      </c>
      <c r="D20336" s="1" t="s">
        <v>493</v>
      </c>
      <c r="E20336" t="s">
        <v>591</v>
      </c>
      <c r="F20336" s="1">
        <v>2</v>
      </c>
      <c r="G20336" s="1" t="s">
        <v>28</v>
      </c>
      <c r="H20336" s="4" t="str">
        <f>HYPERLINK("https://portal.gdc.cancer.gov/cases/567e4d90-5c5a-44f0-a462-90c831f3c096","TCGA-EM-A1YA-01A")</f>
        <v>TCGA-EM-A1YA-01A</v>
      </c>
      <c r="I20336" t="s">
        <v>333</v>
      </c>
      <c r="J20336" t="s">
        <v>584</v>
      </c>
      <c r="K20336" t="s">
        <v>33</v>
      </c>
      <c r="L20336" t="s">
        <v>335</v>
      </c>
      <c r="N20336" t="s">
        <v>29</v>
      </c>
    </row>
    <row r="20337" spans="1:14">
      <c r="A20337" s="4" t="str">
        <f t="shared" si="1384"/>
        <v>EXP00448</v>
      </c>
      <c r="B20337" s="3" t="s">
        <v>66</v>
      </c>
      <c r="C20337" s="4" t="str">
        <f t="shared" si="1383"/>
        <v>TCGA-THCA</v>
      </c>
      <c r="D20337" s="1" t="s">
        <v>493</v>
      </c>
      <c r="E20337" t="s">
        <v>591</v>
      </c>
      <c r="F20337" s="1">
        <v>2</v>
      </c>
      <c r="G20337" s="1" t="s">
        <v>28</v>
      </c>
      <c r="H20337" s="4" t="str">
        <f>HYPERLINK("https://portal.gdc.cancer.gov/cases/b43a4f92-7a13-4558-a97e-7b3feb2d70c9","TCGA-EM-A1YB-01A")</f>
        <v>TCGA-EM-A1YB-01A</v>
      </c>
      <c r="I20337" t="s">
        <v>333</v>
      </c>
      <c r="J20337" t="s">
        <v>584</v>
      </c>
      <c r="K20337" t="s">
        <v>33</v>
      </c>
      <c r="L20337" t="s">
        <v>335</v>
      </c>
      <c r="N20337" t="s">
        <v>29</v>
      </c>
    </row>
    <row r="20338" spans="1:14">
      <c r="A20338" s="4" t="str">
        <f t="shared" si="1384"/>
        <v>EXP00448</v>
      </c>
      <c r="B20338" s="3" t="s">
        <v>66</v>
      </c>
      <c r="C20338" s="4" t="str">
        <f t="shared" si="1383"/>
        <v>TCGA-THCA</v>
      </c>
      <c r="D20338" s="1" t="s">
        <v>493</v>
      </c>
      <c r="E20338" t="s">
        <v>591</v>
      </c>
      <c r="F20338" s="1">
        <v>2</v>
      </c>
      <c r="G20338" s="1" t="s">
        <v>28</v>
      </c>
      <c r="H20338" s="4" t="str">
        <f>HYPERLINK("https://portal.gdc.cancer.gov/cases/0ad2a2b3-c1bb-4597-b28e-a6385f93d09c","TCGA-EM-A1YC-01A")</f>
        <v>TCGA-EM-A1YC-01A</v>
      </c>
      <c r="I20338" t="s">
        <v>333</v>
      </c>
      <c r="J20338" t="s">
        <v>584</v>
      </c>
      <c r="K20338" t="s">
        <v>33</v>
      </c>
      <c r="L20338" t="s">
        <v>335</v>
      </c>
      <c r="N20338" t="s">
        <v>29</v>
      </c>
    </row>
    <row r="20339" spans="1:14">
      <c r="A20339" s="4" t="str">
        <f t="shared" si="1384"/>
        <v>EXP00448</v>
      </c>
      <c r="B20339" s="3" t="s">
        <v>66</v>
      </c>
      <c r="C20339" s="4" t="str">
        <f t="shared" si="1383"/>
        <v>TCGA-THCA</v>
      </c>
      <c r="D20339" s="1" t="s">
        <v>493</v>
      </c>
      <c r="E20339" t="s">
        <v>591</v>
      </c>
      <c r="F20339" s="1">
        <v>2</v>
      </c>
      <c r="G20339" s="1" t="s">
        <v>28</v>
      </c>
      <c r="H20339" s="4" t="str">
        <f>HYPERLINK("https://portal.gdc.cancer.gov/cases/8a3659a8-2a85-4bab-8bf3-55795922474c","TCGA-EM-A1YD-01A")</f>
        <v>TCGA-EM-A1YD-01A</v>
      </c>
      <c r="I20339" t="s">
        <v>333</v>
      </c>
      <c r="J20339" t="s">
        <v>584</v>
      </c>
      <c r="K20339" t="s">
        <v>33</v>
      </c>
      <c r="L20339" t="s">
        <v>335</v>
      </c>
      <c r="N20339" t="s">
        <v>29</v>
      </c>
    </row>
    <row r="20340" spans="1:14">
      <c r="A20340" s="4" t="str">
        <f t="shared" si="1384"/>
        <v>EXP00448</v>
      </c>
      <c r="B20340" s="3" t="s">
        <v>66</v>
      </c>
      <c r="C20340" s="4" t="str">
        <f t="shared" si="1383"/>
        <v>TCGA-THCA</v>
      </c>
      <c r="D20340" s="1" t="s">
        <v>493</v>
      </c>
      <c r="E20340" t="s">
        <v>591</v>
      </c>
      <c r="F20340" s="1">
        <v>2</v>
      </c>
      <c r="G20340" s="1" t="s">
        <v>28</v>
      </c>
      <c r="H20340" s="4" t="str">
        <f>HYPERLINK("https://portal.gdc.cancer.gov/cases/e632b443-cf6a-4592-96c6-c3493ec86fea","TCGA-EM-A1YE-01A")</f>
        <v>TCGA-EM-A1YE-01A</v>
      </c>
      <c r="I20340" t="s">
        <v>333</v>
      </c>
      <c r="J20340" t="s">
        <v>584</v>
      </c>
      <c r="K20340" t="s">
        <v>33</v>
      </c>
      <c r="L20340" t="s">
        <v>335</v>
      </c>
      <c r="N20340" t="s">
        <v>29</v>
      </c>
    </row>
    <row r="20341" spans="1:14">
      <c r="A20341" s="4" t="str">
        <f t="shared" si="1384"/>
        <v>EXP00448</v>
      </c>
      <c r="B20341" s="3" t="s">
        <v>66</v>
      </c>
      <c r="C20341" s="4" t="str">
        <f t="shared" ref="C20341:C20404" si="1385">HYPERLINK("https://portal.gdc.cancer.gov/projects/TCGA-THCA","TCGA-THCA")</f>
        <v>TCGA-THCA</v>
      </c>
      <c r="D20341" s="1" t="s">
        <v>493</v>
      </c>
      <c r="E20341" t="s">
        <v>591</v>
      </c>
      <c r="F20341" s="1">
        <v>2</v>
      </c>
      <c r="G20341" s="1" t="s">
        <v>28</v>
      </c>
      <c r="H20341" s="4" t="str">
        <f>HYPERLINK("https://portal.gdc.cancer.gov/cases/ef306507-f426-499e-8a1f-3401a522fb6b","TCGA-EM-A22I-01A")</f>
        <v>TCGA-EM-A22I-01A</v>
      </c>
      <c r="I20341" t="s">
        <v>333</v>
      </c>
      <c r="J20341" t="s">
        <v>584</v>
      </c>
      <c r="K20341" t="s">
        <v>33</v>
      </c>
      <c r="L20341" t="s">
        <v>335</v>
      </c>
      <c r="N20341" t="s">
        <v>29</v>
      </c>
    </row>
    <row r="20342" spans="1:14">
      <c r="A20342" s="4" t="str">
        <f t="shared" si="1384"/>
        <v>EXP00448</v>
      </c>
      <c r="B20342" s="3" t="s">
        <v>66</v>
      </c>
      <c r="C20342" s="4" t="str">
        <f t="shared" si="1385"/>
        <v>TCGA-THCA</v>
      </c>
      <c r="D20342" s="1" t="s">
        <v>493</v>
      </c>
      <c r="E20342" t="s">
        <v>591</v>
      </c>
      <c r="F20342" s="1">
        <v>2</v>
      </c>
      <c r="G20342" s="1" t="s">
        <v>28</v>
      </c>
      <c r="H20342" s="4" t="str">
        <f>HYPERLINK("https://portal.gdc.cancer.gov/cases/c53167d4-14da-40cc-b30a-35eb3967b8df","TCGA-EM-A22J-01A")</f>
        <v>TCGA-EM-A22J-01A</v>
      </c>
      <c r="I20342" t="s">
        <v>333</v>
      </c>
      <c r="J20342" t="s">
        <v>584</v>
      </c>
      <c r="K20342" t="s">
        <v>33</v>
      </c>
      <c r="L20342" t="s">
        <v>335</v>
      </c>
      <c r="N20342" t="s">
        <v>29</v>
      </c>
    </row>
    <row r="20343" spans="1:14">
      <c r="A20343" s="4" t="str">
        <f t="shared" si="1384"/>
        <v>EXP00448</v>
      </c>
      <c r="B20343" s="3" t="s">
        <v>66</v>
      </c>
      <c r="C20343" s="4" t="str">
        <f t="shared" si="1385"/>
        <v>TCGA-THCA</v>
      </c>
      <c r="D20343" s="1" t="s">
        <v>493</v>
      </c>
      <c r="E20343" t="s">
        <v>591</v>
      </c>
      <c r="F20343" s="1">
        <v>2</v>
      </c>
      <c r="G20343" s="1" t="s">
        <v>28</v>
      </c>
      <c r="H20343" s="4" t="str">
        <f>HYPERLINK("https://portal.gdc.cancer.gov/cases/de9315b3-b3df-45f0-adc2-69aa6b8ff717","TCGA-EM-A22K-01A")</f>
        <v>TCGA-EM-A22K-01A</v>
      </c>
      <c r="I20343" t="s">
        <v>333</v>
      </c>
      <c r="J20343" t="s">
        <v>584</v>
      </c>
      <c r="K20343" t="s">
        <v>33</v>
      </c>
      <c r="L20343" t="s">
        <v>335</v>
      </c>
      <c r="N20343" t="s">
        <v>29</v>
      </c>
    </row>
    <row r="20344" spans="1:14">
      <c r="A20344" s="4" t="str">
        <f t="shared" si="1384"/>
        <v>EXP00448</v>
      </c>
      <c r="B20344" s="3" t="s">
        <v>66</v>
      </c>
      <c r="C20344" s="4" t="str">
        <f t="shared" si="1385"/>
        <v>TCGA-THCA</v>
      </c>
      <c r="D20344" s="1" t="s">
        <v>493</v>
      </c>
      <c r="E20344" t="s">
        <v>591</v>
      </c>
      <c r="F20344" s="1">
        <v>2</v>
      </c>
      <c r="G20344" s="1" t="s">
        <v>28</v>
      </c>
      <c r="H20344" s="4" t="str">
        <f>HYPERLINK("https://portal.gdc.cancer.gov/cases/aabc7724-71c8-4c1b-a54b-22e88dde148f","TCGA-EM-A22L-01A")</f>
        <v>TCGA-EM-A22L-01A</v>
      </c>
      <c r="I20344" t="s">
        <v>333</v>
      </c>
      <c r="J20344" t="s">
        <v>584</v>
      </c>
      <c r="K20344" t="s">
        <v>33</v>
      </c>
      <c r="L20344" t="s">
        <v>335</v>
      </c>
      <c r="N20344" t="s">
        <v>29</v>
      </c>
    </row>
    <row r="20345" spans="1:14">
      <c r="A20345" s="4" t="str">
        <f t="shared" si="1384"/>
        <v>EXP00448</v>
      </c>
      <c r="B20345" s="3" t="s">
        <v>66</v>
      </c>
      <c r="C20345" s="4" t="str">
        <f t="shared" si="1385"/>
        <v>TCGA-THCA</v>
      </c>
      <c r="D20345" s="1" t="s">
        <v>493</v>
      </c>
      <c r="E20345" t="s">
        <v>591</v>
      </c>
      <c r="F20345" s="1">
        <v>2</v>
      </c>
      <c r="G20345" s="1" t="s">
        <v>28</v>
      </c>
      <c r="H20345" s="4" t="str">
        <f>HYPERLINK("https://portal.gdc.cancer.gov/cases/92e9f5e1-b597-451b-b6d5-fad9a77ba87a","TCGA-EM-A22M-01A")</f>
        <v>TCGA-EM-A22M-01A</v>
      </c>
      <c r="I20345" t="s">
        <v>333</v>
      </c>
      <c r="J20345" t="s">
        <v>584</v>
      </c>
      <c r="K20345" t="s">
        <v>33</v>
      </c>
      <c r="L20345" t="s">
        <v>335</v>
      </c>
      <c r="N20345" t="s">
        <v>29</v>
      </c>
    </row>
    <row r="20346" spans="1:14">
      <c r="A20346" s="4" t="str">
        <f t="shared" si="1384"/>
        <v>EXP00448</v>
      </c>
      <c r="B20346" s="3" t="s">
        <v>66</v>
      </c>
      <c r="C20346" s="4" t="str">
        <f t="shared" si="1385"/>
        <v>TCGA-THCA</v>
      </c>
      <c r="D20346" s="1" t="s">
        <v>493</v>
      </c>
      <c r="E20346" t="s">
        <v>591</v>
      </c>
      <c r="F20346" s="1">
        <v>2</v>
      </c>
      <c r="G20346" s="1" t="s">
        <v>28</v>
      </c>
      <c r="H20346" s="4" t="str">
        <f>HYPERLINK("https://portal.gdc.cancer.gov/cases/c63936dd-39fd-41fa-a9f6-18b18303ef05","TCGA-EM-A22N-01A")</f>
        <v>TCGA-EM-A22N-01A</v>
      </c>
      <c r="I20346" t="s">
        <v>333</v>
      </c>
      <c r="J20346" t="s">
        <v>584</v>
      </c>
      <c r="K20346" t="s">
        <v>33</v>
      </c>
      <c r="L20346" t="s">
        <v>335</v>
      </c>
      <c r="N20346" t="s">
        <v>29</v>
      </c>
    </row>
    <row r="20347" spans="1:14">
      <c r="A20347" s="4" t="str">
        <f t="shared" si="1384"/>
        <v>EXP00448</v>
      </c>
      <c r="B20347" s="3" t="s">
        <v>66</v>
      </c>
      <c r="C20347" s="4" t="str">
        <f t="shared" si="1385"/>
        <v>TCGA-THCA</v>
      </c>
      <c r="D20347" s="1" t="s">
        <v>493</v>
      </c>
      <c r="E20347" t="s">
        <v>591</v>
      </c>
      <c r="F20347" s="1">
        <v>2</v>
      </c>
      <c r="G20347" s="1" t="s">
        <v>28</v>
      </c>
      <c r="H20347" s="4" t="str">
        <f>HYPERLINK("https://portal.gdc.cancer.gov/cases/6abc861a-376d-446b-acee-fb0f03a82c09","TCGA-EM-A22O-01A")</f>
        <v>TCGA-EM-A22O-01A</v>
      </c>
      <c r="I20347" t="s">
        <v>333</v>
      </c>
      <c r="J20347" t="s">
        <v>584</v>
      </c>
      <c r="K20347" t="s">
        <v>33</v>
      </c>
      <c r="L20347" t="s">
        <v>335</v>
      </c>
      <c r="N20347" t="s">
        <v>29</v>
      </c>
    </row>
    <row r="20348" spans="1:14">
      <c r="A20348" s="4" t="str">
        <f t="shared" si="1384"/>
        <v>EXP00448</v>
      </c>
      <c r="B20348" s="3" t="s">
        <v>66</v>
      </c>
      <c r="C20348" s="4" t="str">
        <f t="shared" si="1385"/>
        <v>TCGA-THCA</v>
      </c>
      <c r="D20348" s="1" t="s">
        <v>493</v>
      </c>
      <c r="E20348" t="s">
        <v>591</v>
      </c>
      <c r="F20348" s="1">
        <v>2</v>
      </c>
      <c r="G20348" s="1" t="s">
        <v>28</v>
      </c>
      <c r="H20348" s="4" t="str">
        <f>HYPERLINK("https://portal.gdc.cancer.gov/cases/1a4164d9-4484-452d-9382-8cbf896a870e","TCGA-EM-A22P-01A")</f>
        <v>TCGA-EM-A22P-01A</v>
      </c>
      <c r="I20348" t="s">
        <v>333</v>
      </c>
      <c r="J20348" t="s">
        <v>584</v>
      </c>
      <c r="K20348" t="s">
        <v>33</v>
      </c>
      <c r="L20348" t="s">
        <v>335</v>
      </c>
      <c r="N20348" t="s">
        <v>29</v>
      </c>
    </row>
    <row r="20349" spans="1:14">
      <c r="A20349" s="4" t="str">
        <f t="shared" si="1384"/>
        <v>EXP00448</v>
      </c>
      <c r="B20349" s="3" t="s">
        <v>66</v>
      </c>
      <c r="C20349" s="4" t="str">
        <f t="shared" si="1385"/>
        <v>TCGA-THCA</v>
      </c>
      <c r="D20349" s="1" t="s">
        <v>493</v>
      </c>
      <c r="E20349" t="s">
        <v>591</v>
      </c>
      <c r="F20349" s="1">
        <v>2</v>
      </c>
      <c r="G20349" s="1" t="s">
        <v>28</v>
      </c>
      <c r="H20349" s="4" t="str">
        <f>HYPERLINK("https://portal.gdc.cancer.gov/cases/8492820d-b619-4a74-95d3-eb574067f3f3","TCGA-EM-A22Q-01A")</f>
        <v>TCGA-EM-A22Q-01A</v>
      </c>
      <c r="I20349" t="s">
        <v>333</v>
      </c>
      <c r="J20349" t="s">
        <v>584</v>
      </c>
      <c r="K20349" t="s">
        <v>33</v>
      </c>
      <c r="L20349" t="s">
        <v>335</v>
      </c>
      <c r="N20349" t="s">
        <v>29</v>
      </c>
    </row>
    <row r="20350" spans="1:14">
      <c r="A20350" s="4" t="str">
        <f t="shared" si="1384"/>
        <v>EXP00448</v>
      </c>
      <c r="B20350" s="3" t="s">
        <v>66</v>
      </c>
      <c r="C20350" s="4" t="str">
        <f t="shared" si="1385"/>
        <v>TCGA-THCA</v>
      </c>
      <c r="D20350" s="1" t="s">
        <v>493</v>
      </c>
      <c r="E20350" t="s">
        <v>591</v>
      </c>
      <c r="F20350" s="1">
        <v>2</v>
      </c>
      <c r="G20350" s="1" t="s">
        <v>28</v>
      </c>
      <c r="H20350" s="4" t="str">
        <f>HYPERLINK("https://portal.gdc.cancer.gov/cases/dc2bece1-1fcd-467a-8476-da171d56488c","TCGA-EM-A2CJ-01A")</f>
        <v>TCGA-EM-A2CJ-01A</v>
      </c>
      <c r="I20350" t="s">
        <v>333</v>
      </c>
      <c r="J20350" t="s">
        <v>584</v>
      </c>
      <c r="K20350" t="s">
        <v>33</v>
      </c>
      <c r="L20350" t="s">
        <v>335</v>
      </c>
      <c r="N20350" t="s">
        <v>29</v>
      </c>
    </row>
    <row r="20351" spans="1:14">
      <c r="A20351" s="4" t="str">
        <f t="shared" si="1384"/>
        <v>EXP00448</v>
      </c>
      <c r="B20351" s="3" t="s">
        <v>66</v>
      </c>
      <c r="C20351" s="4" t="str">
        <f t="shared" si="1385"/>
        <v>TCGA-THCA</v>
      </c>
      <c r="D20351" s="1" t="s">
        <v>493</v>
      </c>
      <c r="E20351" t="s">
        <v>591</v>
      </c>
      <c r="F20351" s="1">
        <v>2</v>
      </c>
      <c r="G20351" s="1" t="s">
        <v>28</v>
      </c>
      <c r="H20351" s="4" t="str">
        <f>HYPERLINK("https://portal.gdc.cancer.gov/cases/7802140a-e518-4ae6-9bd1-c26d80b14ab1","TCGA-EM-A2CK-01A")</f>
        <v>TCGA-EM-A2CK-01A</v>
      </c>
      <c r="I20351" t="s">
        <v>333</v>
      </c>
      <c r="J20351" t="s">
        <v>584</v>
      </c>
      <c r="K20351" t="s">
        <v>33</v>
      </c>
      <c r="L20351" t="s">
        <v>335</v>
      </c>
      <c r="N20351" t="s">
        <v>29</v>
      </c>
    </row>
    <row r="20352" spans="1:14">
      <c r="A20352" s="4" t="str">
        <f t="shared" si="1384"/>
        <v>EXP00448</v>
      </c>
      <c r="B20352" s="3" t="s">
        <v>66</v>
      </c>
      <c r="C20352" s="4" t="str">
        <f t="shared" si="1385"/>
        <v>TCGA-THCA</v>
      </c>
      <c r="D20352" s="1" t="s">
        <v>493</v>
      </c>
      <c r="E20352" t="s">
        <v>591</v>
      </c>
      <c r="F20352" s="1">
        <v>2</v>
      </c>
      <c r="G20352" s="1" t="s">
        <v>28</v>
      </c>
      <c r="H20352" s="4" t="str">
        <f>HYPERLINK("https://portal.gdc.cancer.gov/cases/286de8cd-7222-4f85-a370-79a7903edf45","TCGA-EM-A2CL-01A")</f>
        <v>TCGA-EM-A2CL-01A</v>
      </c>
      <c r="I20352" t="s">
        <v>333</v>
      </c>
      <c r="J20352" t="s">
        <v>584</v>
      </c>
      <c r="K20352" t="s">
        <v>33</v>
      </c>
      <c r="L20352" t="s">
        <v>335</v>
      </c>
      <c r="N20352" t="s">
        <v>29</v>
      </c>
    </row>
    <row r="20353" spans="1:14">
      <c r="A20353" s="4" t="str">
        <f t="shared" si="1384"/>
        <v>EXP00448</v>
      </c>
      <c r="B20353" s="3" t="s">
        <v>66</v>
      </c>
      <c r="C20353" s="4" t="str">
        <f t="shared" si="1385"/>
        <v>TCGA-THCA</v>
      </c>
      <c r="D20353" s="1" t="s">
        <v>493</v>
      </c>
      <c r="E20353" t="s">
        <v>591</v>
      </c>
      <c r="F20353" s="1">
        <v>2</v>
      </c>
      <c r="G20353" s="1" t="s">
        <v>28</v>
      </c>
      <c r="H20353" s="4" t="str">
        <f>HYPERLINK("https://portal.gdc.cancer.gov/cases/2acb6f29-06d3-48d4-8553-a9f5839afe22","TCGA-EM-A2CM-01A")</f>
        <v>TCGA-EM-A2CM-01A</v>
      </c>
      <c r="I20353" t="s">
        <v>333</v>
      </c>
      <c r="J20353" t="s">
        <v>584</v>
      </c>
      <c r="K20353" t="s">
        <v>33</v>
      </c>
      <c r="L20353" t="s">
        <v>335</v>
      </c>
      <c r="N20353" t="s">
        <v>29</v>
      </c>
    </row>
    <row r="20354" spans="1:14">
      <c r="A20354" s="4" t="str">
        <f t="shared" si="1384"/>
        <v>EXP00448</v>
      </c>
      <c r="B20354" s="3" t="s">
        <v>66</v>
      </c>
      <c r="C20354" s="4" t="str">
        <f t="shared" si="1385"/>
        <v>TCGA-THCA</v>
      </c>
      <c r="D20354" s="1" t="s">
        <v>493</v>
      </c>
      <c r="E20354" t="s">
        <v>591</v>
      </c>
      <c r="F20354" s="1">
        <v>2</v>
      </c>
      <c r="G20354" s="1" t="s">
        <v>28</v>
      </c>
      <c r="H20354" s="4" t="str">
        <f>HYPERLINK("https://portal.gdc.cancer.gov/cases/4aed5116-d27b-4911-b310-05c2248b861f","TCGA-EM-A2CN-01A")</f>
        <v>TCGA-EM-A2CN-01A</v>
      </c>
      <c r="I20354" t="s">
        <v>333</v>
      </c>
      <c r="J20354" t="s">
        <v>584</v>
      </c>
      <c r="K20354" t="s">
        <v>33</v>
      </c>
      <c r="L20354" t="s">
        <v>335</v>
      </c>
      <c r="N20354" t="s">
        <v>29</v>
      </c>
    </row>
    <row r="20355" spans="1:14">
      <c r="A20355" s="4" t="str">
        <f t="shared" si="1384"/>
        <v>EXP00448</v>
      </c>
      <c r="B20355" s="3" t="s">
        <v>66</v>
      </c>
      <c r="C20355" s="4" t="str">
        <f t="shared" si="1385"/>
        <v>TCGA-THCA</v>
      </c>
      <c r="D20355" s="1" t="s">
        <v>493</v>
      </c>
      <c r="E20355" t="s">
        <v>591</v>
      </c>
      <c r="F20355" s="1">
        <v>2</v>
      </c>
      <c r="G20355" s="1" t="s">
        <v>28</v>
      </c>
      <c r="H20355" s="4" t="str">
        <f>HYPERLINK("https://portal.gdc.cancer.gov/cases/04ae6b65-8514-47fa-b573-ec1e067ff116","TCGA-EM-A2CO-01A")</f>
        <v>TCGA-EM-A2CO-01A</v>
      </c>
      <c r="I20355" t="s">
        <v>333</v>
      </c>
      <c r="J20355" t="s">
        <v>584</v>
      </c>
      <c r="K20355" t="s">
        <v>33</v>
      </c>
      <c r="L20355" t="s">
        <v>335</v>
      </c>
      <c r="N20355" t="s">
        <v>29</v>
      </c>
    </row>
    <row r="20356" spans="1:14">
      <c r="A20356" s="4" t="str">
        <f t="shared" si="1384"/>
        <v>EXP00448</v>
      </c>
      <c r="B20356" s="3" t="s">
        <v>66</v>
      </c>
      <c r="C20356" s="4" t="str">
        <f t="shared" si="1385"/>
        <v>TCGA-THCA</v>
      </c>
      <c r="D20356" s="1" t="s">
        <v>493</v>
      </c>
      <c r="E20356" t="s">
        <v>591</v>
      </c>
      <c r="F20356" s="1">
        <v>2</v>
      </c>
      <c r="G20356" s="1" t="s">
        <v>28</v>
      </c>
      <c r="H20356" s="4" t="str">
        <f>HYPERLINK("https://portal.gdc.cancer.gov/cases/2f59f12d-ca0c-4ac6-9718-98a6d455af46","TCGA-EM-A2CP-01A")</f>
        <v>TCGA-EM-A2CP-01A</v>
      </c>
      <c r="I20356" t="s">
        <v>333</v>
      </c>
      <c r="J20356" t="s">
        <v>584</v>
      </c>
      <c r="K20356" t="s">
        <v>33</v>
      </c>
      <c r="L20356" t="s">
        <v>335</v>
      </c>
      <c r="N20356" t="s">
        <v>29</v>
      </c>
    </row>
    <row r="20357" spans="1:14">
      <c r="A20357" s="4" t="str">
        <f t="shared" si="1384"/>
        <v>EXP00448</v>
      </c>
      <c r="B20357" s="3" t="s">
        <v>66</v>
      </c>
      <c r="C20357" s="4" t="str">
        <f t="shared" si="1385"/>
        <v>TCGA-THCA</v>
      </c>
      <c r="D20357" s="1" t="s">
        <v>493</v>
      </c>
      <c r="E20357" t="s">
        <v>591</v>
      </c>
      <c r="F20357" s="1">
        <v>2</v>
      </c>
      <c r="G20357" s="1" t="s">
        <v>28</v>
      </c>
      <c r="H20357" s="4" t="str">
        <f>HYPERLINK("https://portal.gdc.cancer.gov/cases/7244b7db-8282-43aa-a4b4-ad6af972cf9b","TCGA-EM-A2CQ-01A")</f>
        <v>TCGA-EM-A2CQ-01A</v>
      </c>
      <c r="I20357" t="s">
        <v>333</v>
      </c>
      <c r="J20357" t="s">
        <v>584</v>
      </c>
      <c r="K20357" t="s">
        <v>33</v>
      </c>
      <c r="L20357" t="s">
        <v>335</v>
      </c>
      <c r="N20357" t="s">
        <v>29</v>
      </c>
    </row>
    <row r="20358" spans="1:14">
      <c r="A20358" s="4" t="str">
        <f t="shared" si="1384"/>
        <v>EXP00448</v>
      </c>
      <c r="B20358" s="3" t="s">
        <v>66</v>
      </c>
      <c r="C20358" s="4" t="str">
        <f t="shared" si="1385"/>
        <v>TCGA-THCA</v>
      </c>
      <c r="D20358" s="1" t="s">
        <v>493</v>
      </c>
      <c r="E20358" t="s">
        <v>591</v>
      </c>
      <c r="F20358" s="1">
        <v>2</v>
      </c>
      <c r="G20358" s="1" t="s">
        <v>28</v>
      </c>
      <c r="H20358" s="4" t="str">
        <f>HYPERLINK("https://portal.gdc.cancer.gov/cases/212b2002-1ebf-47dd-82f8-6c0b904cf909","TCGA-EM-A2CR-01A")</f>
        <v>TCGA-EM-A2CR-01A</v>
      </c>
      <c r="I20358" t="s">
        <v>333</v>
      </c>
      <c r="J20358" t="s">
        <v>584</v>
      </c>
      <c r="K20358" t="s">
        <v>33</v>
      </c>
      <c r="L20358" t="s">
        <v>335</v>
      </c>
      <c r="N20358" t="s">
        <v>29</v>
      </c>
    </row>
    <row r="20359" spans="1:14">
      <c r="A20359" s="4" t="str">
        <f t="shared" si="1384"/>
        <v>EXP00448</v>
      </c>
      <c r="B20359" s="3" t="s">
        <v>66</v>
      </c>
      <c r="C20359" s="4" t="str">
        <f t="shared" si="1385"/>
        <v>TCGA-THCA</v>
      </c>
      <c r="D20359" s="1" t="s">
        <v>493</v>
      </c>
      <c r="E20359" t="s">
        <v>591</v>
      </c>
      <c r="F20359" s="1">
        <v>2</v>
      </c>
      <c r="G20359" s="1" t="s">
        <v>28</v>
      </c>
      <c r="H20359" s="4" t="str">
        <f>HYPERLINK("https://portal.gdc.cancer.gov/cases/c8703a65-816b-4f6e-bb15-53dcb3288f66","TCGA-EM-A2CT-01A")</f>
        <v>TCGA-EM-A2CT-01A</v>
      </c>
      <c r="I20359" t="s">
        <v>333</v>
      </c>
      <c r="J20359" t="s">
        <v>584</v>
      </c>
      <c r="K20359" t="s">
        <v>33</v>
      </c>
      <c r="L20359" t="s">
        <v>335</v>
      </c>
      <c r="N20359" t="s">
        <v>29</v>
      </c>
    </row>
    <row r="20360" spans="1:14">
      <c r="A20360" s="4" t="str">
        <f t="shared" si="1384"/>
        <v>EXP00448</v>
      </c>
      <c r="B20360" s="3" t="s">
        <v>66</v>
      </c>
      <c r="C20360" s="4" t="str">
        <f t="shared" si="1385"/>
        <v>TCGA-THCA</v>
      </c>
      <c r="D20360" s="1" t="s">
        <v>493</v>
      </c>
      <c r="E20360" t="s">
        <v>591</v>
      </c>
      <c r="F20360" s="1">
        <v>2</v>
      </c>
      <c r="G20360" s="1" t="s">
        <v>28</v>
      </c>
      <c r="H20360" s="4" t="str">
        <f>HYPERLINK("https://portal.gdc.cancer.gov/cases/667eb7f6-1d36-49bb-9d7b-c9d167b64619","TCGA-EM-A2CU-01A")</f>
        <v>TCGA-EM-A2CU-01A</v>
      </c>
      <c r="I20360" t="s">
        <v>333</v>
      </c>
      <c r="J20360" t="s">
        <v>584</v>
      </c>
      <c r="K20360" t="s">
        <v>33</v>
      </c>
      <c r="L20360" t="s">
        <v>335</v>
      </c>
      <c r="N20360" t="s">
        <v>29</v>
      </c>
    </row>
    <row r="20361" spans="1:14">
      <c r="A20361" s="4" t="str">
        <f t="shared" si="1384"/>
        <v>EXP00448</v>
      </c>
      <c r="B20361" s="3" t="s">
        <v>66</v>
      </c>
      <c r="C20361" s="4" t="str">
        <f t="shared" si="1385"/>
        <v>TCGA-THCA</v>
      </c>
      <c r="D20361" s="1" t="s">
        <v>493</v>
      </c>
      <c r="E20361" t="s">
        <v>591</v>
      </c>
      <c r="F20361" s="1">
        <v>2</v>
      </c>
      <c r="G20361" s="1" t="s">
        <v>28</v>
      </c>
      <c r="H20361" s="4" t="str">
        <f>HYPERLINK("https://portal.gdc.cancer.gov/cases/55e03ffc-f006-4ec8-8e5d-a738ff091f8a","TCGA-EM-A2OV-01A")</f>
        <v>TCGA-EM-A2OV-01A</v>
      </c>
      <c r="I20361" t="s">
        <v>333</v>
      </c>
      <c r="J20361" t="s">
        <v>584</v>
      </c>
      <c r="K20361" t="s">
        <v>33</v>
      </c>
      <c r="L20361" t="s">
        <v>335</v>
      </c>
      <c r="N20361" t="s">
        <v>29</v>
      </c>
    </row>
    <row r="20362" spans="1:14">
      <c r="A20362" s="4" t="str">
        <f t="shared" si="1384"/>
        <v>EXP00448</v>
      </c>
      <c r="B20362" s="3" t="s">
        <v>66</v>
      </c>
      <c r="C20362" s="4" t="str">
        <f t="shared" si="1385"/>
        <v>TCGA-THCA</v>
      </c>
      <c r="D20362" s="1" t="s">
        <v>493</v>
      </c>
      <c r="E20362" t="s">
        <v>591</v>
      </c>
      <c r="F20362" s="1">
        <v>2</v>
      </c>
      <c r="G20362" s="1" t="s">
        <v>28</v>
      </c>
      <c r="H20362" s="4" t="str">
        <f>HYPERLINK("https://portal.gdc.cancer.gov/cases/a65ec434-9ae0-453f-b440-08bf25558fd1","TCGA-EM-A2OW-01A")</f>
        <v>TCGA-EM-A2OW-01A</v>
      </c>
      <c r="I20362" t="s">
        <v>333</v>
      </c>
      <c r="J20362" t="s">
        <v>584</v>
      </c>
      <c r="K20362" t="s">
        <v>33</v>
      </c>
      <c r="L20362" t="s">
        <v>335</v>
      </c>
      <c r="N20362" t="s">
        <v>29</v>
      </c>
    </row>
    <row r="20363" spans="1:14">
      <c r="A20363" s="4" t="str">
        <f t="shared" si="1384"/>
        <v>EXP00448</v>
      </c>
      <c r="B20363" s="3" t="s">
        <v>66</v>
      </c>
      <c r="C20363" s="4" t="str">
        <f t="shared" si="1385"/>
        <v>TCGA-THCA</v>
      </c>
      <c r="D20363" s="1" t="s">
        <v>493</v>
      </c>
      <c r="E20363" t="s">
        <v>591</v>
      </c>
      <c r="F20363" s="1">
        <v>2</v>
      </c>
      <c r="G20363" s="1" t="s">
        <v>28</v>
      </c>
      <c r="H20363" s="4" t="str">
        <f>HYPERLINK("https://portal.gdc.cancer.gov/cases/98a08015-9040-4e0b-bcfa-2c6db7d0f888","TCGA-EM-A2OX-01A")</f>
        <v>TCGA-EM-A2OX-01A</v>
      </c>
      <c r="I20363" t="s">
        <v>333</v>
      </c>
      <c r="J20363" t="s">
        <v>584</v>
      </c>
      <c r="K20363" t="s">
        <v>33</v>
      </c>
      <c r="L20363" t="s">
        <v>335</v>
      </c>
      <c r="N20363" t="s">
        <v>29</v>
      </c>
    </row>
    <row r="20364" spans="1:14">
      <c r="A20364" s="4" t="str">
        <f t="shared" si="1384"/>
        <v>EXP00448</v>
      </c>
      <c r="B20364" s="3" t="s">
        <v>66</v>
      </c>
      <c r="C20364" s="4" t="str">
        <f t="shared" si="1385"/>
        <v>TCGA-THCA</v>
      </c>
      <c r="D20364" s="1" t="s">
        <v>493</v>
      </c>
      <c r="E20364" t="s">
        <v>591</v>
      </c>
      <c r="F20364" s="1">
        <v>2</v>
      </c>
      <c r="G20364" s="1" t="s">
        <v>28</v>
      </c>
      <c r="H20364" s="4" t="str">
        <f>HYPERLINK("https://portal.gdc.cancer.gov/cases/d3e75fb4-fb7c-4ebf-9c75-2be9ffd9f52d","TCGA-EM-A2OY-01A")</f>
        <v>TCGA-EM-A2OY-01A</v>
      </c>
      <c r="I20364" t="s">
        <v>333</v>
      </c>
      <c r="J20364" t="s">
        <v>584</v>
      </c>
      <c r="K20364" t="s">
        <v>33</v>
      </c>
      <c r="L20364" t="s">
        <v>335</v>
      </c>
      <c r="N20364" t="s">
        <v>29</v>
      </c>
    </row>
    <row r="20365" spans="1:14">
      <c r="A20365" s="4" t="str">
        <f t="shared" si="1384"/>
        <v>EXP00448</v>
      </c>
      <c r="B20365" s="3" t="s">
        <v>66</v>
      </c>
      <c r="C20365" s="4" t="str">
        <f t="shared" si="1385"/>
        <v>TCGA-THCA</v>
      </c>
      <c r="D20365" s="1" t="s">
        <v>493</v>
      </c>
      <c r="E20365" t="s">
        <v>591</v>
      </c>
      <c r="F20365" s="1">
        <v>2</v>
      </c>
      <c r="G20365" s="1" t="s">
        <v>28</v>
      </c>
      <c r="H20365" s="4" t="str">
        <f>HYPERLINK("https://portal.gdc.cancer.gov/cases/1f6be7ca-76fd-4509-99a6-dfa59b0ac51f","TCGA-EM-A2OZ-01A")</f>
        <v>TCGA-EM-A2OZ-01A</v>
      </c>
      <c r="I20365" t="s">
        <v>333</v>
      </c>
      <c r="J20365" t="s">
        <v>584</v>
      </c>
      <c r="K20365" t="s">
        <v>33</v>
      </c>
      <c r="L20365" t="s">
        <v>335</v>
      </c>
      <c r="N20365" t="s">
        <v>29</v>
      </c>
    </row>
    <row r="20366" spans="1:14">
      <c r="A20366" s="4" t="str">
        <f t="shared" si="1384"/>
        <v>EXP00448</v>
      </c>
      <c r="B20366" s="3" t="s">
        <v>66</v>
      </c>
      <c r="C20366" s="4" t="str">
        <f t="shared" si="1385"/>
        <v>TCGA-THCA</v>
      </c>
      <c r="D20366" s="1" t="s">
        <v>493</v>
      </c>
      <c r="E20366" t="s">
        <v>591</v>
      </c>
      <c r="F20366" s="1">
        <v>2</v>
      </c>
      <c r="G20366" s="1" t="s">
        <v>28</v>
      </c>
      <c r="H20366" s="4" t="str">
        <f>HYPERLINK("https://portal.gdc.cancer.gov/cases/80420c04-709b-4ab2-a88c-1e22b3a09b9c","TCGA-EM-A2P0-01A")</f>
        <v>TCGA-EM-A2P0-01A</v>
      </c>
      <c r="I20366" t="s">
        <v>333</v>
      </c>
      <c r="J20366" t="s">
        <v>584</v>
      </c>
      <c r="K20366" t="s">
        <v>33</v>
      </c>
      <c r="L20366" t="s">
        <v>335</v>
      </c>
      <c r="N20366" t="s">
        <v>29</v>
      </c>
    </row>
    <row r="20367" spans="1:14">
      <c r="A20367" s="4" t="str">
        <f t="shared" si="1384"/>
        <v>EXP00448</v>
      </c>
      <c r="B20367" s="3" t="s">
        <v>66</v>
      </c>
      <c r="C20367" s="4" t="str">
        <f t="shared" si="1385"/>
        <v>TCGA-THCA</v>
      </c>
      <c r="D20367" s="1" t="s">
        <v>493</v>
      </c>
      <c r="E20367" t="s">
        <v>591</v>
      </c>
      <c r="F20367" s="1">
        <v>2</v>
      </c>
      <c r="G20367" s="1" t="s">
        <v>28</v>
      </c>
      <c r="H20367" s="4" t="str">
        <f>HYPERLINK("https://portal.gdc.cancer.gov/cases/b9e6a966-da7c-46f3-825f-8e19c06518c3","TCGA-EM-A2P2-01A")</f>
        <v>TCGA-EM-A2P2-01A</v>
      </c>
      <c r="I20367" t="s">
        <v>333</v>
      </c>
      <c r="J20367" t="s">
        <v>584</v>
      </c>
      <c r="K20367" t="s">
        <v>33</v>
      </c>
      <c r="L20367" t="s">
        <v>335</v>
      </c>
      <c r="N20367" t="s">
        <v>29</v>
      </c>
    </row>
    <row r="20368" spans="1:14">
      <c r="A20368" s="4" t="str">
        <f t="shared" si="1384"/>
        <v>EXP00448</v>
      </c>
      <c r="B20368" s="3" t="s">
        <v>66</v>
      </c>
      <c r="C20368" s="4" t="str">
        <f t="shared" si="1385"/>
        <v>TCGA-THCA</v>
      </c>
      <c r="D20368" s="1" t="s">
        <v>493</v>
      </c>
      <c r="E20368" t="s">
        <v>591</v>
      </c>
      <c r="F20368" s="1">
        <v>2</v>
      </c>
      <c r="G20368" s="1" t="s">
        <v>28</v>
      </c>
      <c r="H20368" s="4" t="str">
        <f>HYPERLINK("https://portal.gdc.cancer.gov/cases/c9dc11ad-d3f5-4cdf-9c26-7139580b59af","TCGA-EM-A2P3-01A")</f>
        <v>TCGA-EM-A2P3-01A</v>
      </c>
      <c r="I20368" t="s">
        <v>333</v>
      </c>
      <c r="J20368" t="s">
        <v>584</v>
      </c>
      <c r="K20368" t="s">
        <v>33</v>
      </c>
      <c r="L20368" t="s">
        <v>335</v>
      </c>
      <c r="N20368" t="s">
        <v>29</v>
      </c>
    </row>
    <row r="20369" spans="1:14">
      <c r="A20369" s="4" t="str">
        <f t="shared" si="1384"/>
        <v>EXP00448</v>
      </c>
      <c r="B20369" s="3" t="s">
        <v>66</v>
      </c>
      <c r="C20369" s="4" t="str">
        <f t="shared" si="1385"/>
        <v>TCGA-THCA</v>
      </c>
      <c r="D20369" s="1" t="s">
        <v>493</v>
      </c>
      <c r="E20369" t="s">
        <v>591</v>
      </c>
      <c r="F20369" s="1">
        <v>2</v>
      </c>
      <c r="G20369" s="1" t="s">
        <v>28</v>
      </c>
      <c r="H20369" s="4" t="str">
        <f>HYPERLINK("https://portal.gdc.cancer.gov/cases/6a87bbc4-6161-4fc6-b4df-518d7831f4d2","TCGA-EM-A3AI-01A")</f>
        <v>TCGA-EM-A3AI-01A</v>
      </c>
      <c r="I20369" t="s">
        <v>333</v>
      </c>
      <c r="J20369" t="s">
        <v>584</v>
      </c>
      <c r="K20369" t="s">
        <v>33</v>
      </c>
      <c r="L20369" t="s">
        <v>335</v>
      </c>
      <c r="N20369" t="s">
        <v>29</v>
      </c>
    </row>
    <row r="20370" spans="1:14">
      <c r="A20370" s="4" t="str">
        <f t="shared" si="1384"/>
        <v>EXP00448</v>
      </c>
      <c r="B20370" s="3" t="s">
        <v>66</v>
      </c>
      <c r="C20370" s="4" t="str">
        <f t="shared" si="1385"/>
        <v>TCGA-THCA</v>
      </c>
      <c r="D20370" s="1" t="s">
        <v>493</v>
      </c>
      <c r="E20370" t="s">
        <v>591</v>
      </c>
      <c r="F20370" s="1">
        <v>2</v>
      </c>
      <c r="G20370" s="1" t="s">
        <v>28</v>
      </c>
      <c r="H20370" s="4" t="str">
        <f>HYPERLINK("https://portal.gdc.cancer.gov/cases/d8d54c81-7ef5-4b0f-b35b-28fbf8c5198e","TCGA-EM-A3AJ-01A")</f>
        <v>TCGA-EM-A3AJ-01A</v>
      </c>
      <c r="I20370" t="s">
        <v>333</v>
      </c>
      <c r="J20370" t="s">
        <v>584</v>
      </c>
      <c r="K20370" t="s">
        <v>33</v>
      </c>
      <c r="L20370" t="s">
        <v>335</v>
      </c>
      <c r="N20370" t="s">
        <v>29</v>
      </c>
    </row>
    <row r="20371" spans="1:14">
      <c r="A20371" s="4" t="str">
        <f t="shared" si="1384"/>
        <v>EXP00448</v>
      </c>
      <c r="B20371" s="3" t="s">
        <v>66</v>
      </c>
      <c r="C20371" s="4" t="str">
        <f t="shared" si="1385"/>
        <v>TCGA-THCA</v>
      </c>
      <c r="D20371" s="1" t="s">
        <v>493</v>
      </c>
      <c r="E20371" t="s">
        <v>591</v>
      </c>
      <c r="F20371" s="1">
        <v>2</v>
      </c>
      <c r="G20371" s="1" t="s">
        <v>28</v>
      </c>
      <c r="H20371" s="4" t="str">
        <f>HYPERLINK("https://portal.gdc.cancer.gov/cases/47bde6dd-fa41-4d1b-8b20-2a5a5cdb2769","TCGA-EM-A3AK-01A")</f>
        <v>TCGA-EM-A3AK-01A</v>
      </c>
      <c r="I20371" t="s">
        <v>333</v>
      </c>
      <c r="J20371" t="s">
        <v>584</v>
      </c>
      <c r="K20371" t="s">
        <v>33</v>
      </c>
      <c r="L20371" t="s">
        <v>335</v>
      </c>
      <c r="N20371" t="s">
        <v>29</v>
      </c>
    </row>
    <row r="20372" spans="1:14">
      <c r="A20372" s="4" t="str">
        <f t="shared" si="1384"/>
        <v>EXP00448</v>
      </c>
      <c r="B20372" s="3" t="s">
        <v>66</v>
      </c>
      <c r="C20372" s="4" t="str">
        <f t="shared" si="1385"/>
        <v>TCGA-THCA</v>
      </c>
      <c r="D20372" s="1" t="s">
        <v>493</v>
      </c>
      <c r="E20372" t="s">
        <v>591</v>
      </c>
      <c r="F20372" s="1">
        <v>2</v>
      </c>
      <c r="G20372" s="1" t="s">
        <v>28</v>
      </c>
      <c r="H20372" s="4" t="str">
        <f>HYPERLINK("https://portal.gdc.cancer.gov/cases/0c50a2c2-1d4c-45ca-9127-f96d4db18daf","TCGA-EM-A3AL-01A")</f>
        <v>TCGA-EM-A3AL-01A</v>
      </c>
      <c r="I20372" t="s">
        <v>333</v>
      </c>
      <c r="J20372" t="s">
        <v>584</v>
      </c>
      <c r="K20372" t="s">
        <v>33</v>
      </c>
      <c r="L20372" t="s">
        <v>335</v>
      </c>
      <c r="N20372" t="s">
        <v>29</v>
      </c>
    </row>
    <row r="20373" spans="1:14">
      <c r="A20373" s="4" t="str">
        <f t="shared" si="1384"/>
        <v>EXP00448</v>
      </c>
      <c r="B20373" s="3" t="s">
        <v>66</v>
      </c>
      <c r="C20373" s="4" t="str">
        <f t="shared" si="1385"/>
        <v>TCGA-THCA</v>
      </c>
      <c r="D20373" s="1" t="s">
        <v>493</v>
      </c>
      <c r="E20373" t="s">
        <v>591</v>
      </c>
      <c r="F20373" s="1">
        <v>2</v>
      </c>
      <c r="G20373" s="1" t="s">
        <v>28</v>
      </c>
      <c r="H20373" s="4" t="str">
        <f>HYPERLINK("https://portal.gdc.cancer.gov/cases/6491d025-c061-4180-bfd4-d7c6e6e55f66","TCGA-EM-A3AN-01A")</f>
        <v>TCGA-EM-A3AN-01A</v>
      </c>
      <c r="I20373" t="s">
        <v>333</v>
      </c>
      <c r="J20373" t="s">
        <v>584</v>
      </c>
      <c r="K20373" t="s">
        <v>33</v>
      </c>
      <c r="L20373" t="s">
        <v>335</v>
      </c>
      <c r="N20373" t="s">
        <v>29</v>
      </c>
    </row>
    <row r="20374" spans="1:14">
      <c r="A20374" s="4" t="str">
        <f t="shared" si="1384"/>
        <v>EXP00448</v>
      </c>
      <c r="B20374" s="3" t="s">
        <v>66</v>
      </c>
      <c r="C20374" s="4" t="str">
        <f t="shared" si="1385"/>
        <v>TCGA-THCA</v>
      </c>
      <c r="D20374" s="1" t="s">
        <v>493</v>
      </c>
      <c r="E20374" t="s">
        <v>591</v>
      </c>
      <c r="F20374" s="1">
        <v>2</v>
      </c>
      <c r="G20374" s="1" t="s">
        <v>28</v>
      </c>
      <c r="H20374" s="4" t="str">
        <f>HYPERLINK("https://portal.gdc.cancer.gov/cases/19378727-e0a6-4898-b2d0-f12241616870","TCGA-EM-A3AO-01A")</f>
        <v>TCGA-EM-A3AO-01A</v>
      </c>
      <c r="I20374" t="s">
        <v>333</v>
      </c>
      <c r="J20374" t="s">
        <v>584</v>
      </c>
      <c r="K20374" t="s">
        <v>33</v>
      </c>
      <c r="L20374" t="s">
        <v>335</v>
      </c>
      <c r="N20374" t="s">
        <v>29</v>
      </c>
    </row>
    <row r="20375" spans="1:14">
      <c r="A20375" s="4" t="str">
        <f t="shared" si="1384"/>
        <v>EXP00448</v>
      </c>
      <c r="B20375" s="3" t="s">
        <v>66</v>
      </c>
      <c r="C20375" s="4" t="str">
        <f t="shared" si="1385"/>
        <v>TCGA-THCA</v>
      </c>
      <c r="D20375" s="1" t="s">
        <v>493</v>
      </c>
      <c r="E20375" t="s">
        <v>591</v>
      </c>
      <c r="F20375" s="1">
        <v>2</v>
      </c>
      <c r="G20375" s="1" t="s">
        <v>28</v>
      </c>
      <c r="H20375" s="4" t="str">
        <f>HYPERLINK("https://portal.gdc.cancer.gov/cases/105210cc-6fe3-4615-a582-475553e14272","TCGA-EM-A3AP-01A")</f>
        <v>TCGA-EM-A3AP-01A</v>
      </c>
      <c r="I20375" t="s">
        <v>333</v>
      </c>
      <c r="J20375" t="s">
        <v>584</v>
      </c>
      <c r="K20375" t="s">
        <v>33</v>
      </c>
      <c r="L20375" t="s">
        <v>335</v>
      </c>
      <c r="N20375" t="s">
        <v>29</v>
      </c>
    </row>
    <row r="20376" spans="1:14">
      <c r="A20376" s="4" t="str">
        <f t="shared" si="1384"/>
        <v>EXP00448</v>
      </c>
      <c r="B20376" s="3" t="s">
        <v>66</v>
      </c>
      <c r="C20376" s="4" t="str">
        <f t="shared" si="1385"/>
        <v>TCGA-THCA</v>
      </c>
      <c r="D20376" s="1" t="s">
        <v>493</v>
      </c>
      <c r="E20376" t="s">
        <v>591</v>
      </c>
      <c r="F20376" s="1">
        <v>2</v>
      </c>
      <c r="G20376" s="1" t="s">
        <v>28</v>
      </c>
      <c r="H20376" s="4" t="str">
        <f>HYPERLINK("https://portal.gdc.cancer.gov/cases/e8f56d0f-eee4-4def-a43a-dec91f4382a1","TCGA-EM-A3AQ-01A")</f>
        <v>TCGA-EM-A3AQ-01A</v>
      </c>
      <c r="I20376" t="s">
        <v>333</v>
      </c>
      <c r="J20376" t="s">
        <v>584</v>
      </c>
      <c r="K20376" t="s">
        <v>33</v>
      </c>
      <c r="L20376" t="s">
        <v>335</v>
      </c>
      <c r="N20376" t="s">
        <v>29</v>
      </c>
    </row>
    <row r="20377" spans="1:14">
      <c r="A20377" s="4" t="str">
        <f t="shared" si="1384"/>
        <v>EXP00448</v>
      </c>
      <c r="B20377" s="3" t="s">
        <v>66</v>
      </c>
      <c r="C20377" s="4" t="str">
        <f t="shared" si="1385"/>
        <v>TCGA-THCA</v>
      </c>
      <c r="D20377" s="1" t="s">
        <v>493</v>
      </c>
      <c r="E20377" t="s">
        <v>591</v>
      </c>
      <c r="F20377" s="1">
        <v>2</v>
      </c>
      <c r="G20377" s="1" t="s">
        <v>28</v>
      </c>
      <c r="H20377" s="4" t="str">
        <f>HYPERLINK("https://portal.gdc.cancer.gov/cases/707312fe-1d92-413e-a891-1ea3f496c343","TCGA-EM-A3AR-01A")</f>
        <v>TCGA-EM-A3AR-01A</v>
      </c>
      <c r="I20377" t="s">
        <v>333</v>
      </c>
      <c r="J20377" t="s">
        <v>584</v>
      </c>
      <c r="K20377" t="s">
        <v>33</v>
      </c>
      <c r="L20377" t="s">
        <v>335</v>
      </c>
      <c r="N20377" t="s">
        <v>29</v>
      </c>
    </row>
    <row r="20378" spans="1:14">
      <c r="A20378" s="4" t="str">
        <f t="shared" si="1384"/>
        <v>EXP00448</v>
      </c>
      <c r="B20378" s="3" t="s">
        <v>66</v>
      </c>
      <c r="C20378" s="4" t="str">
        <f t="shared" si="1385"/>
        <v>TCGA-THCA</v>
      </c>
      <c r="D20378" s="1" t="s">
        <v>493</v>
      </c>
      <c r="E20378" t="s">
        <v>591</v>
      </c>
      <c r="F20378" s="1">
        <v>2</v>
      </c>
      <c r="G20378" s="1" t="s">
        <v>28</v>
      </c>
      <c r="H20378" s="4" t="str">
        <f>HYPERLINK("https://portal.gdc.cancer.gov/cases/c9c00e4f-4092-400e-aebb-3d9961be0f0e","TCGA-EM-A3FJ-01A")</f>
        <v>TCGA-EM-A3FJ-01A</v>
      </c>
      <c r="I20378" t="s">
        <v>333</v>
      </c>
      <c r="J20378" t="s">
        <v>584</v>
      </c>
      <c r="K20378" t="s">
        <v>33</v>
      </c>
      <c r="L20378" t="s">
        <v>335</v>
      </c>
      <c r="N20378" t="s">
        <v>29</v>
      </c>
    </row>
    <row r="20379" spans="1:14">
      <c r="A20379" s="4" t="str">
        <f t="shared" si="1384"/>
        <v>EXP00448</v>
      </c>
      <c r="B20379" s="3" t="s">
        <v>66</v>
      </c>
      <c r="C20379" s="4" t="str">
        <f t="shared" si="1385"/>
        <v>TCGA-THCA</v>
      </c>
      <c r="D20379" s="1" t="s">
        <v>493</v>
      </c>
      <c r="E20379" t="s">
        <v>591</v>
      </c>
      <c r="F20379" s="1">
        <v>2</v>
      </c>
      <c r="G20379" s="1" t="s">
        <v>28</v>
      </c>
      <c r="H20379" s="4" t="str">
        <f>HYPERLINK("https://portal.gdc.cancer.gov/cases/0f9b78c8-ee9d-4e60-939c-bdbe040c212d","TCGA-EM-A3FK-01A")</f>
        <v>TCGA-EM-A3FK-01A</v>
      </c>
      <c r="I20379" t="s">
        <v>333</v>
      </c>
      <c r="J20379" t="s">
        <v>584</v>
      </c>
      <c r="K20379" t="s">
        <v>33</v>
      </c>
      <c r="L20379" t="s">
        <v>335</v>
      </c>
      <c r="N20379" t="s">
        <v>29</v>
      </c>
    </row>
    <row r="20380" spans="1:14">
      <c r="A20380" s="4" t="str">
        <f t="shared" si="1384"/>
        <v>EXP00448</v>
      </c>
      <c r="B20380" s="3" t="s">
        <v>66</v>
      </c>
      <c r="C20380" s="4" t="str">
        <f t="shared" si="1385"/>
        <v>TCGA-THCA</v>
      </c>
      <c r="D20380" s="1" t="s">
        <v>493</v>
      </c>
      <c r="E20380" t="s">
        <v>591</v>
      </c>
      <c r="F20380" s="1">
        <v>2</v>
      </c>
      <c r="G20380" s="1" t="s">
        <v>28</v>
      </c>
      <c r="H20380" s="4" t="str">
        <f>HYPERLINK("https://portal.gdc.cancer.gov/cases/cfdd2155-57a9-499c-92e1-fb82b577b050","TCGA-EM-A3FL-01A")</f>
        <v>TCGA-EM-A3FL-01A</v>
      </c>
      <c r="I20380" t="s">
        <v>333</v>
      </c>
      <c r="J20380" t="s">
        <v>584</v>
      </c>
      <c r="K20380" t="s">
        <v>33</v>
      </c>
      <c r="L20380" t="s">
        <v>335</v>
      </c>
      <c r="N20380" t="s">
        <v>29</v>
      </c>
    </row>
    <row r="20381" spans="1:14">
      <c r="A20381" s="4" t="str">
        <f t="shared" si="1384"/>
        <v>EXP00448</v>
      </c>
      <c r="B20381" s="3" t="s">
        <v>66</v>
      </c>
      <c r="C20381" s="4" t="str">
        <f t="shared" si="1385"/>
        <v>TCGA-THCA</v>
      </c>
      <c r="D20381" s="1" t="s">
        <v>493</v>
      </c>
      <c r="E20381" t="s">
        <v>591</v>
      </c>
      <c r="F20381" s="1">
        <v>2</v>
      </c>
      <c r="G20381" s="1" t="s">
        <v>28</v>
      </c>
      <c r="H20381" s="4" t="str">
        <f>HYPERLINK("https://portal.gdc.cancer.gov/cases/90473122-7221-491d-8fc2-0c72421d7861","TCGA-EM-A3FM-01A")</f>
        <v>TCGA-EM-A3FM-01A</v>
      </c>
      <c r="I20381" t="s">
        <v>333</v>
      </c>
      <c r="J20381" t="s">
        <v>584</v>
      </c>
      <c r="K20381" t="s">
        <v>33</v>
      </c>
      <c r="L20381" t="s">
        <v>335</v>
      </c>
      <c r="N20381" t="s">
        <v>29</v>
      </c>
    </row>
    <row r="20382" spans="1:14">
      <c r="A20382" s="4" t="str">
        <f t="shared" si="1384"/>
        <v>EXP00448</v>
      </c>
      <c r="B20382" s="3" t="s">
        <v>66</v>
      </c>
      <c r="C20382" s="4" t="str">
        <f t="shared" si="1385"/>
        <v>TCGA-THCA</v>
      </c>
      <c r="D20382" s="1" t="s">
        <v>493</v>
      </c>
      <c r="E20382" t="s">
        <v>591</v>
      </c>
      <c r="F20382" s="1">
        <v>2</v>
      </c>
      <c r="G20382" s="1" t="s">
        <v>28</v>
      </c>
      <c r="H20382" s="4" t="str">
        <f>HYPERLINK("https://portal.gdc.cancer.gov/cases/59cd0969-a798-4d19-95ed-a311f39d2f38","TCGA-EM-A3FN-01A")</f>
        <v>TCGA-EM-A3FN-01A</v>
      </c>
      <c r="I20382" t="s">
        <v>333</v>
      </c>
      <c r="J20382" t="s">
        <v>584</v>
      </c>
      <c r="K20382" t="s">
        <v>33</v>
      </c>
      <c r="L20382" t="s">
        <v>335</v>
      </c>
      <c r="N20382" t="s">
        <v>29</v>
      </c>
    </row>
    <row r="20383" spans="1:14">
      <c r="A20383" s="4" t="str">
        <f t="shared" si="1384"/>
        <v>EXP00448</v>
      </c>
      <c r="B20383" s="3" t="s">
        <v>66</v>
      </c>
      <c r="C20383" s="4" t="str">
        <f t="shared" si="1385"/>
        <v>TCGA-THCA</v>
      </c>
      <c r="D20383" s="1" t="s">
        <v>493</v>
      </c>
      <c r="E20383" t="s">
        <v>591</v>
      </c>
      <c r="F20383" s="1">
        <v>2</v>
      </c>
      <c r="G20383" s="1" t="s">
        <v>28</v>
      </c>
      <c r="H20383" s="4" t="str">
        <f>HYPERLINK("https://portal.gdc.cancer.gov/cases/b2e6933f-50e1-48e3-ae1f-173e1bc889ff","TCGA-EM-A3FO-01A")</f>
        <v>TCGA-EM-A3FO-01A</v>
      </c>
      <c r="I20383" t="s">
        <v>333</v>
      </c>
      <c r="J20383" t="s">
        <v>584</v>
      </c>
      <c r="K20383" t="s">
        <v>33</v>
      </c>
      <c r="L20383" t="s">
        <v>335</v>
      </c>
      <c r="N20383" t="s">
        <v>29</v>
      </c>
    </row>
    <row r="20384" spans="1:14">
      <c r="A20384" s="4" t="str">
        <f t="shared" si="1384"/>
        <v>EXP00448</v>
      </c>
      <c r="B20384" s="3" t="s">
        <v>66</v>
      </c>
      <c r="C20384" s="4" t="str">
        <f t="shared" si="1385"/>
        <v>TCGA-THCA</v>
      </c>
      <c r="D20384" s="1" t="s">
        <v>493</v>
      </c>
      <c r="E20384" t="s">
        <v>591</v>
      </c>
      <c r="F20384" s="1">
        <v>2</v>
      </c>
      <c r="G20384" s="1" t="s">
        <v>28</v>
      </c>
      <c r="H20384" s="4" t="str">
        <f>HYPERLINK("https://portal.gdc.cancer.gov/cases/c2291b36-7b7f-4c07-a164-6600d9e7929f","TCGA-EM-A3FP-01A")</f>
        <v>TCGA-EM-A3FP-01A</v>
      </c>
      <c r="I20384" t="s">
        <v>333</v>
      </c>
      <c r="J20384" t="s">
        <v>584</v>
      </c>
      <c r="K20384" t="s">
        <v>33</v>
      </c>
      <c r="L20384" t="s">
        <v>335</v>
      </c>
      <c r="N20384" t="s">
        <v>29</v>
      </c>
    </row>
    <row r="20385" spans="1:14">
      <c r="A20385" s="4" t="str">
        <f t="shared" si="1384"/>
        <v>EXP00448</v>
      </c>
      <c r="B20385" s="3" t="s">
        <v>66</v>
      </c>
      <c r="C20385" s="4" t="str">
        <f t="shared" si="1385"/>
        <v>TCGA-THCA</v>
      </c>
      <c r="D20385" s="1" t="s">
        <v>493</v>
      </c>
      <c r="E20385" t="s">
        <v>591</v>
      </c>
      <c r="F20385" s="1">
        <v>2</v>
      </c>
      <c r="G20385" s="1" t="s">
        <v>28</v>
      </c>
      <c r="H20385" s="4" t="str">
        <f>HYPERLINK("https://portal.gdc.cancer.gov/cases/2b84cfbc-7cf6-4cb1-a1e3-ba85dafb89f4","TCGA-EM-A3FR-01A")</f>
        <v>TCGA-EM-A3FR-01A</v>
      </c>
      <c r="I20385" t="s">
        <v>333</v>
      </c>
      <c r="J20385" t="s">
        <v>584</v>
      </c>
      <c r="K20385" t="s">
        <v>33</v>
      </c>
      <c r="L20385" t="s">
        <v>335</v>
      </c>
      <c r="N20385" t="s">
        <v>29</v>
      </c>
    </row>
    <row r="20386" spans="1:14">
      <c r="A20386" s="4" t="str">
        <f t="shared" si="1384"/>
        <v>EXP00448</v>
      </c>
      <c r="B20386" s="3" t="s">
        <v>66</v>
      </c>
      <c r="C20386" s="4" t="str">
        <f t="shared" si="1385"/>
        <v>TCGA-THCA</v>
      </c>
      <c r="D20386" s="1" t="s">
        <v>493</v>
      </c>
      <c r="E20386" t="s">
        <v>591</v>
      </c>
      <c r="F20386" s="1">
        <v>2</v>
      </c>
      <c r="G20386" s="1" t="s">
        <v>28</v>
      </c>
      <c r="H20386" s="4" t="str">
        <f>HYPERLINK("https://portal.gdc.cancer.gov/cases/2a398af1-aea5-4aae-ab00-a2dc152f965a","TCGA-EM-A3O3-01A")</f>
        <v>TCGA-EM-A3O3-01A</v>
      </c>
      <c r="I20386" t="s">
        <v>333</v>
      </c>
      <c r="J20386" t="s">
        <v>584</v>
      </c>
      <c r="K20386" t="s">
        <v>33</v>
      </c>
      <c r="L20386" t="s">
        <v>335</v>
      </c>
      <c r="N20386" t="s">
        <v>29</v>
      </c>
    </row>
    <row r="20387" spans="1:14">
      <c r="A20387" s="4" t="str">
        <f t="shared" si="1384"/>
        <v>EXP00448</v>
      </c>
      <c r="B20387" s="3" t="s">
        <v>66</v>
      </c>
      <c r="C20387" s="4" t="str">
        <f t="shared" si="1385"/>
        <v>TCGA-THCA</v>
      </c>
      <c r="D20387" s="1" t="s">
        <v>493</v>
      </c>
      <c r="E20387" t="s">
        <v>591</v>
      </c>
      <c r="F20387" s="1">
        <v>2</v>
      </c>
      <c r="G20387" s="1" t="s">
        <v>28</v>
      </c>
      <c r="H20387" s="4" t="str">
        <f>HYPERLINK("https://portal.gdc.cancer.gov/cases/398d5c2e-f877-4bbf-a10c-486b8523c9ce","TCGA-EM-A3O6-01A")</f>
        <v>TCGA-EM-A3O6-01A</v>
      </c>
      <c r="I20387" t="s">
        <v>333</v>
      </c>
      <c r="J20387" t="s">
        <v>584</v>
      </c>
      <c r="K20387" t="s">
        <v>33</v>
      </c>
      <c r="L20387" t="s">
        <v>335</v>
      </c>
      <c r="N20387" t="s">
        <v>29</v>
      </c>
    </row>
    <row r="20388" spans="1:14">
      <c r="A20388" s="4" t="str">
        <f t="shared" si="1384"/>
        <v>EXP00448</v>
      </c>
      <c r="B20388" s="3" t="s">
        <v>66</v>
      </c>
      <c r="C20388" s="4" t="str">
        <f t="shared" si="1385"/>
        <v>TCGA-THCA</v>
      </c>
      <c r="D20388" s="1" t="s">
        <v>493</v>
      </c>
      <c r="E20388" t="s">
        <v>591</v>
      </c>
      <c r="F20388" s="1">
        <v>2</v>
      </c>
      <c r="G20388" s="1" t="s">
        <v>28</v>
      </c>
      <c r="H20388" s="4" t="str">
        <f>HYPERLINK("https://portal.gdc.cancer.gov/cases/3a211d5a-085f-4902-86b6-50e4eb36b897","TCGA-EM-A3O7-01A")</f>
        <v>TCGA-EM-A3O7-01A</v>
      </c>
      <c r="I20388" t="s">
        <v>333</v>
      </c>
      <c r="J20388" t="s">
        <v>584</v>
      </c>
      <c r="K20388" t="s">
        <v>33</v>
      </c>
      <c r="L20388" t="s">
        <v>335</v>
      </c>
      <c r="N20388" t="s">
        <v>29</v>
      </c>
    </row>
    <row r="20389" spans="1:14">
      <c r="A20389" s="4" t="str">
        <f t="shared" si="1384"/>
        <v>EXP00448</v>
      </c>
      <c r="B20389" s="3" t="s">
        <v>66</v>
      </c>
      <c r="C20389" s="4" t="str">
        <f t="shared" si="1385"/>
        <v>TCGA-THCA</v>
      </c>
      <c r="D20389" s="1" t="s">
        <v>493</v>
      </c>
      <c r="E20389" t="s">
        <v>591</v>
      </c>
      <c r="F20389" s="1">
        <v>2</v>
      </c>
      <c r="G20389" s="1" t="s">
        <v>28</v>
      </c>
      <c r="H20389" s="4" t="str">
        <f>HYPERLINK("https://portal.gdc.cancer.gov/cases/97b5017c-2066-4472-ab3f-31cfe64a6762","TCGA-EM-A3O8-01A")</f>
        <v>TCGA-EM-A3O8-01A</v>
      </c>
      <c r="I20389" t="s">
        <v>333</v>
      </c>
      <c r="J20389" t="s">
        <v>584</v>
      </c>
      <c r="K20389" t="s">
        <v>33</v>
      </c>
      <c r="L20389" t="s">
        <v>335</v>
      </c>
      <c r="N20389" t="s">
        <v>29</v>
      </c>
    </row>
    <row r="20390" spans="1:14">
      <c r="A20390" s="4" t="str">
        <f t="shared" ref="A20390:A20453" si="1386">HYPERLINK("http://hcmdb.i-sanger.com/experiment/details/experiment_id/EXP00448","EXP00448")</f>
        <v>EXP00448</v>
      </c>
      <c r="B20390" s="3" t="s">
        <v>66</v>
      </c>
      <c r="C20390" s="4" t="str">
        <f t="shared" si="1385"/>
        <v>TCGA-THCA</v>
      </c>
      <c r="D20390" s="1" t="s">
        <v>493</v>
      </c>
      <c r="E20390" t="s">
        <v>591</v>
      </c>
      <c r="F20390" s="1">
        <v>2</v>
      </c>
      <c r="G20390" s="1" t="s">
        <v>28</v>
      </c>
      <c r="H20390" s="4" t="str">
        <f>HYPERLINK("https://portal.gdc.cancer.gov/cases/24cf6397-60ef-4635-81f0-78a67157aac0","TCGA-EM-A3OA-01A")</f>
        <v>TCGA-EM-A3OA-01A</v>
      </c>
      <c r="I20390" t="s">
        <v>333</v>
      </c>
      <c r="J20390" t="s">
        <v>584</v>
      </c>
      <c r="K20390" t="s">
        <v>33</v>
      </c>
      <c r="L20390" t="s">
        <v>335</v>
      </c>
      <c r="N20390" t="s">
        <v>29</v>
      </c>
    </row>
    <row r="20391" spans="1:14">
      <c r="A20391" s="4" t="str">
        <f t="shared" si="1386"/>
        <v>EXP00448</v>
      </c>
      <c r="B20391" s="3" t="s">
        <v>66</v>
      </c>
      <c r="C20391" s="4" t="str">
        <f t="shared" si="1385"/>
        <v>TCGA-THCA</v>
      </c>
      <c r="D20391" s="1" t="s">
        <v>493</v>
      </c>
      <c r="E20391" t="s">
        <v>591</v>
      </c>
      <c r="F20391" s="1">
        <v>2</v>
      </c>
      <c r="G20391" s="1" t="s">
        <v>28</v>
      </c>
      <c r="H20391" s="4" t="str">
        <f>HYPERLINK("https://portal.gdc.cancer.gov/cases/8cfc2589-b0ad-4fe6-8420-8f6fe0178bcc","TCGA-EM-A3OB-01A")</f>
        <v>TCGA-EM-A3OB-01A</v>
      </c>
      <c r="I20391" t="s">
        <v>333</v>
      </c>
      <c r="J20391" t="s">
        <v>584</v>
      </c>
      <c r="K20391" t="s">
        <v>33</v>
      </c>
      <c r="L20391" t="s">
        <v>335</v>
      </c>
      <c r="N20391" t="s">
        <v>29</v>
      </c>
    </row>
    <row r="20392" spans="1:14">
      <c r="A20392" s="4" t="str">
        <f t="shared" si="1386"/>
        <v>EXP00448</v>
      </c>
      <c r="B20392" s="3" t="s">
        <v>66</v>
      </c>
      <c r="C20392" s="4" t="str">
        <f t="shared" si="1385"/>
        <v>TCGA-THCA</v>
      </c>
      <c r="D20392" s="1" t="s">
        <v>493</v>
      </c>
      <c r="E20392" t="s">
        <v>591</v>
      </c>
      <c r="F20392" s="1">
        <v>2</v>
      </c>
      <c r="G20392" s="1" t="s">
        <v>28</v>
      </c>
      <c r="H20392" s="4" t="str">
        <f>HYPERLINK("https://portal.gdc.cancer.gov/cases/d5932dd7-b777-427f-8b55-3ec369fd76a3","TCGA-EM-A3ST-01A")</f>
        <v>TCGA-EM-A3ST-01A</v>
      </c>
      <c r="I20392" t="s">
        <v>333</v>
      </c>
      <c r="J20392" t="s">
        <v>584</v>
      </c>
      <c r="K20392" t="s">
        <v>33</v>
      </c>
      <c r="L20392" t="s">
        <v>335</v>
      </c>
      <c r="N20392" t="s">
        <v>29</v>
      </c>
    </row>
    <row r="20393" spans="1:14">
      <c r="A20393" s="4" t="str">
        <f t="shared" si="1386"/>
        <v>EXP00448</v>
      </c>
      <c r="B20393" s="3" t="s">
        <v>66</v>
      </c>
      <c r="C20393" s="4" t="str">
        <f t="shared" si="1385"/>
        <v>TCGA-THCA</v>
      </c>
      <c r="D20393" s="1" t="s">
        <v>493</v>
      </c>
      <c r="E20393" t="s">
        <v>591</v>
      </c>
      <c r="F20393" s="1">
        <v>2</v>
      </c>
      <c r="G20393" s="1" t="s">
        <v>28</v>
      </c>
      <c r="H20393" s="4" t="str">
        <f>HYPERLINK("https://portal.gdc.cancer.gov/cases/14591ce2-ed02-440d-8004-7ca0ad94d0a7","TCGA-EM-A3SX-01A")</f>
        <v>TCGA-EM-A3SX-01A</v>
      </c>
      <c r="I20393" t="s">
        <v>333</v>
      </c>
      <c r="J20393" t="s">
        <v>584</v>
      </c>
      <c r="K20393" t="s">
        <v>33</v>
      </c>
      <c r="L20393" t="s">
        <v>335</v>
      </c>
      <c r="N20393" t="s">
        <v>29</v>
      </c>
    </row>
    <row r="20394" spans="1:14">
      <c r="A20394" s="4" t="str">
        <f t="shared" si="1386"/>
        <v>EXP00448</v>
      </c>
      <c r="B20394" s="3" t="s">
        <v>66</v>
      </c>
      <c r="C20394" s="4" t="str">
        <f t="shared" si="1385"/>
        <v>TCGA-THCA</v>
      </c>
      <c r="D20394" s="1" t="s">
        <v>493</v>
      </c>
      <c r="E20394" t="s">
        <v>591</v>
      </c>
      <c r="F20394" s="1">
        <v>2</v>
      </c>
      <c r="G20394" s="1" t="s">
        <v>28</v>
      </c>
      <c r="H20394" s="4" t="str">
        <f>HYPERLINK("https://portal.gdc.cancer.gov/cases/95dcd0a2-2fcd-4952-9022-d8143ba61fac","TCGA-EM-A3SY-01A")</f>
        <v>TCGA-EM-A3SY-01A</v>
      </c>
      <c r="I20394" t="s">
        <v>333</v>
      </c>
      <c r="J20394" t="s">
        <v>584</v>
      </c>
      <c r="K20394" t="s">
        <v>33</v>
      </c>
      <c r="L20394" t="s">
        <v>335</v>
      </c>
      <c r="N20394" t="s">
        <v>29</v>
      </c>
    </row>
    <row r="20395" spans="1:14">
      <c r="A20395" s="4" t="str">
        <f t="shared" si="1386"/>
        <v>EXP00448</v>
      </c>
      <c r="B20395" s="3" t="s">
        <v>66</v>
      </c>
      <c r="C20395" s="4" t="str">
        <f t="shared" si="1385"/>
        <v>TCGA-THCA</v>
      </c>
      <c r="D20395" s="1" t="s">
        <v>493</v>
      </c>
      <c r="E20395" t="s">
        <v>591</v>
      </c>
      <c r="F20395" s="1">
        <v>2</v>
      </c>
      <c r="G20395" s="1" t="s">
        <v>28</v>
      </c>
      <c r="H20395" s="4" t="str">
        <f>HYPERLINK("https://portal.gdc.cancer.gov/cases/104b6629-aff4-411b-9704-547c47ada5a1","TCGA-EM-A3SZ-01A")</f>
        <v>TCGA-EM-A3SZ-01A</v>
      </c>
      <c r="I20395" t="s">
        <v>333</v>
      </c>
      <c r="J20395" t="s">
        <v>584</v>
      </c>
      <c r="K20395" t="s">
        <v>33</v>
      </c>
      <c r="L20395" t="s">
        <v>335</v>
      </c>
      <c r="N20395" t="s">
        <v>29</v>
      </c>
    </row>
    <row r="20396" spans="1:14">
      <c r="A20396" s="4" t="str">
        <f t="shared" si="1386"/>
        <v>EXP00448</v>
      </c>
      <c r="B20396" s="3" t="s">
        <v>66</v>
      </c>
      <c r="C20396" s="4" t="str">
        <f t="shared" si="1385"/>
        <v>TCGA-THCA</v>
      </c>
      <c r="D20396" s="1" t="s">
        <v>493</v>
      </c>
      <c r="E20396" t="s">
        <v>591</v>
      </c>
      <c r="F20396" s="1">
        <v>2</v>
      </c>
      <c r="G20396" s="1" t="s">
        <v>28</v>
      </c>
      <c r="H20396" s="4" t="str">
        <f>HYPERLINK("https://portal.gdc.cancer.gov/cases/b7bafe7f-295c-4598-9cc8-49d785bd2218","TCGA-EM-A4FF-01A")</f>
        <v>TCGA-EM-A4FF-01A</v>
      </c>
      <c r="I20396" t="s">
        <v>333</v>
      </c>
      <c r="J20396" t="s">
        <v>584</v>
      </c>
      <c r="K20396" t="s">
        <v>33</v>
      </c>
      <c r="L20396" t="s">
        <v>335</v>
      </c>
      <c r="N20396" t="s">
        <v>29</v>
      </c>
    </row>
    <row r="20397" spans="1:14">
      <c r="A20397" s="4" t="str">
        <f t="shared" si="1386"/>
        <v>EXP00448</v>
      </c>
      <c r="B20397" s="3" t="s">
        <v>66</v>
      </c>
      <c r="C20397" s="4" t="str">
        <f t="shared" si="1385"/>
        <v>TCGA-THCA</v>
      </c>
      <c r="D20397" s="1" t="s">
        <v>493</v>
      </c>
      <c r="E20397" t="s">
        <v>591</v>
      </c>
      <c r="F20397" s="1">
        <v>2</v>
      </c>
      <c r="G20397" s="1" t="s">
        <v>28</v>
      </c>
      <c r="H20397" s="4" t="str">
        <f>HYPERLINK("https://portal.gdc.cancer.gov/cases/4729410a-7240-4ed0-b478-78cc6c7a4810","TCGA-EM-A4FH-01A")</f>
        <v>TCGA-EM-A4FH-01A</v>
      </c>
      <c r="I20397" t="s">
        <v>333</v>
      </c>
      <c r="J20397" t="s">
        <v>584</v>
      </c>
      <c r="K20397" t="s">
        <v>33</v>
      </c>
      <c r="L20397" t="s">
        <v>335</v>
      </c>
      <c r="N20397" t="s">
        <v>29</v>
      </c>
    </row>
    <row r="20398" spans="1:14">
      <c r="A20398" s="4" t="str">
        <f t="shared" si="1386"/>
        <v>EXP00448</v>
      </c>
      <c r="B20398" s="3" t="s">
        <v>66</v>
      </c>
      <c r="C20398" s="4" t="str">
        <f t="shared" si="1385"/>
        <v>TCGA-THCA</v>
      </c>
      <c r="D20398" s="1" t="s">
        <v>493</v>
      </c>
      <c r="E20398" t="s">
        <v>591</v>
      </c>
      <c r="F20398" s="1">
        <v>2</v>
      </c>
      <c r="G20398" s="1" t="s">
        <v>28</v>
      </c>
      <c r="H20398" s="4" t="str">
        <f>HYPERLINK("https://portal.gdc.cancer.gov/cases/0dc361b5-e755-4131-8766-d2c1375336d8","TCGA-EM-A4FK-01A")</f>
        <v>TCGA-EM-A4FK-01A</v>
      </c>
      <c r="I20398" t="s">
        <v>333</v>
      </c>
      <c r="J20398" t="s">
        <v>584</v>
      </c>
      <c r="K20398" t="s">
        <v>33</v>
      </c>
      <c r="L20398" t="s">
        <v>335</v>
      </c>
      <c r="N20398" t="s">
        <v>29</v>
      </c>
    </row>
    <row r="20399" spans="1:14">
      <c r="A20399" s="4" t="str">
        <f t="shared" si="1386"/>
        <v>EXP00448</v>
      </c>
      <c r="B20399" s="3" t="s">
        <v>66</v>
      </c>
      <c r="C20399" s="4" t="str">
        <f t="shared" si="1385"/>
        <v>TCGA-THCA</v>
      </c>
      <c r="D20399" s="1" t="s">
        <v>493</v>
      </c>
      <c r="E20399" t="s">
        <v>591</v>
      </c>
      <c r="F20399" s="1">
        <v>2</v>
      </c>
      <c r="G20399" s="1" t="s">
        <v>28</v>
      </c>
      <c r="H20399" s="4" t="str">
        <f>HYPERLINK("https://portal.gdc.cancer.gov/cases/12f90efb-c45b-4372-8197-2dfd9ca247ea","TCGA-EM-A4FM-01A")</f>
        <v>TCGA-EM-A4FM-01A</v>
      </c>
      <c r="I20399" t="s">
        <v>333</v>
      </c>
      <c r="J20399" t="s">
        <v>584</v>
      </c>
      <c r="K20399" t="s">
        <v>33</v>
      </c>
      <c r="L20399" t="s">
        <v>335</v>
      </c>
      <c r="N20399" t="s">
        <v>29</v>
      </c>
    </row>
    <row r="20400" spans="1:14">
      <c r="A20400" s="4" t="str">
        <f t="shared" si="1386"/>
        <v>EXP00448</v>
      </c>
      <c r="B20400" s="3" t="s">
        <v>66</v>
      </c>
      <c r="C20400" s="4" t="str">
        <f t="shared" si="1385"/>
        <v>TCGA-THCA</v>
      </c>
      <c r="D20400" s="1" t="s">
        <v>493</v>
      </c>
      <c r="E20400" t="s">
        <v>591</v>
      </c>
      <c r="F20400" s="1">
        <v>2</v>
      </c>
      <c r="G20400" s="1" t="s">
        <v>28</v>
      </c>
      <c r="H20400" s="4" t="str">
        <f>HYPERLINK("https://portal.gdc.cancer.gov/cases/f854ce67-c586-4424-a674-2dd67ad0ed7f","TCGA-EM-A4FN-01A")</f>
        <v>TCGA-EM-A4FN-01A</v>
      </c>
      <c r="I20400" t="s">
        <v>333</v>
      </c>
      <c r="J20400" t="s">
        <v>584</v>
      </c>
      <c r="K20400" t="s">
        <v>33</v>
      </c>
      <c r="L20400" t="s">
        <v>335</v>
      </c>
      <c r="N20400" t="s">
        <v>29</v>
      </c>
    </row>
    <row r="20401" spans="1:14">
      <c r="A20401" s="4" t="str">
        <f t="shared" si="1386"/>
        <v>EXP00448</v>
      </c>
      <c r="B20401" s="3" t="s">
        <v>66</v>
      </c>
      <c r="C20401" s="4" t="str">
        <f t="shared" si="1385"/>
        <v>TCGA-THCA</v>
      </c>
      <c r="D20401" s="1" t="s">
        <v>493</v>
      </c>
      <c r="E20401" t="s">
        <v>591</v>
      </c>
      <c r="F20401" s="1">
        <v>2</v>
      </c>
      <c r="G20401" s="1" t="s">
        <v>28</v>
      </c>
      <c r="H20401" s="4" t="str">
        <f>HYPERLINK("https://portal.gdc.cancer.gov/cases/e0ab95ef-5c96-4d00-8950-04e26e3b4672","TCGA-EM-A4FO-01A")</f>
        <v>TCGA-EM-A4FO-01A</v>
      </c>
      <c r="I20401" t="s">
        <v>333</v>
      </c>
      <c r="J20401" t="s">
        <v>584</v>
      </c>
      <c r="K20401" t="s">
        <v>33</v>
      </c>
      <c r="L20401" t="s">
        <v>335</v>
      </c>
      <c r="N20401" t="s">
        <v>29</v>
      </c>
    </row>
    <row r="20402" spans="1:14">
      <c r="A20402" s="4" t="str">
        <f t="shared" si="1386"/>
        <v>EXP00448</v>
      </c>
      <c r="B20402" s="3" t="s">
        <v>66</v>
      </c>
      <c r="C20402" s="4" t="str">
        <f t="shared" si="1385"/>
        <v>TCGA-THCA</v>
      </c>
      <c r="D20402" s="1" t="s">
        <v>493</v>
      </c>
      <c r="E20402" t="s">
        <v>591</v>
      </c>
      <c r="F20402" s="1">
        <v>2</v>
      </c>
      <c r="G20402" s="1" t="s">
        <v>28</v>
      </c>
      <c r="H20402" s="4" t="str">
        <f>HYPERLINK("https://portal.gdc.cancer.gov/cases/511b5f28-709b-4e43-9efd-b2f425bba962","TCGA-EM-A4FQ-01A")</f>
        <v>TCGA-EM-A4FQ-01A</v>
      </c>
      <c r="I20402" t="s">
        <v>333</v>
      </c>
      <c r="J20402" t="s">
        <v>584</v>
      </c>
      <c r="K20402" t="s">
        <v>33</v>
      </c>
      <c r="L20402" t="s">
        <v>335</v>
      </c>
      <c r="N20402" t="s">
        <v>29</v>
      </c>
    </row>
    <row r="20403" spans="1:14">
      <c r="A20403" s="4" t="str">
        <f t="shared" si="1386"/>
        <v>EXP00448</v>
      </c>
      <c r="B20403" s="3" t="s">
        <v>66</v>
      </c>
      <c r="C20403" s="4" t="str">
        <f t="shared" si="1385"/>
        <v>TCGA-THCA</v>
      </c>
      <c r="D20403" s="1" t="s">
        <v>493</v>
      </c>
      <c r="E20403" t="s">
        <v>591</v>
      </c>
      <c r="F20403" s="1">
        <v>2</v>
      </c>
      <c r="G20403" s="1" t="s">
        <v>28</v>
      </c>
      <c r="H20403" s="4" t="str">
        <f>HYPERLINK("https://portal.gdc.cancer.gov/cases/8dd09d74-0be8-4c58-bf44-de4a2466d044","TCGA-EM-A4FR-01A")</f>
        <v>TCGA-EM-A4FR-01A</v>
      </c>
      <c r="I20403" t="s">
        <v>333</v>
      </c>
      <c r="J20403" t="s">
        <v>584</v>
      </c>
      <c r="K20403" t="s">
        <v>33</v>
      </c>
      <c r="L20403" t="s">
        <v>335</v>
      </c>
      <c r="N20403" t="s">
        <v>29</v>
      </c>
    </row>
    <row r="20404" spans="1:14">
      <c r="A20404" s="4" t="str">
        <f t="shared" si="1386"/>
        <v>EXP00448</v>
      </c>
      <c r="B20404" s="3" t="s">
        <v>66</v>
      </c>
      <c r="C20404" s="4" t="str">
        <f t="shared" si="1385"/>
        <v>TCGA-THCA</v>
      </c>
      <c r="D20404" s="1" t="s">
        <v>493</v>
      </c>
      <c r="E20404" t="s">
        <v>591</v>
      </c>
      <c r="F20404" s="1">
        <v>2</v>
      </c>
      <c r="G20404" s="1" t="s">
        <v>28</v>
      </c>
      <c r="H20404" s="4" t="str">
        <f>HYPERLINK("https://portal.gdc.cancer.gov/cases/50ec4170-29ea-4ee9-8ce7-67ec78d1dc76","TCGA-EM-A4FU-01A")</f>
        <v>TCGA-EM-A4FU-01A</v>
      </c>
      <c r="I20404" t="s">
        <v>333</v>
      </c>
      <c r="J20404" t="s">
        <v>584</v>
      </c>
      <c r="K20404" t="s">
        <v>33</v>
      </c>
      <c r="L20404" t="s">
        <v>335</v>
      </c>
      <c r="N20404" t="s">
        <v>29</v>
      </c>
    </row>
    <row r="20405" spans="1:14">
      <c r="A20405" s="4" t="str">
        <f t="shared" si="1386"/>
        <v>EXP00448</v>
      </c>
      <c r="B20405" s="3" t="s">
        <v>66</v>
      </c>
      <c r="C20405" s="4" t="str">
        <f t="shared" ref="C20405:C20468" si="1387">HYPERLINK("https://portal.gdc.cancer.gov/projects/TCGA-THCA","TCGA-THCA")</f>
        <v>TCGA-THCA</v>
      </c>
      <c r="D20405" s="1" t="s">
        <v>493</v>
      </c>
      <c r="E20405" t="s">
        <v>591</v>
      </c>
      <c r="F20405" s="1">
        <v>2</v>
      </c>
      <c r="G20405" s="1" t="s">
        <v>28</v>
      </c>
      <c r="H20405" s="4" t="str">
        <f>HYPERLINK("https://portal.gdc.cancer.gov/cases/646d1585-2d12-483c-8425-77d5451b2869","TCGA-EM-A4FV-01A")</f>
        <v>TCGA-EM-A4FV-01A</v>
      </c>
      <c r="I20405" t="s">
        <v>333</v>
      </c>
      <c r="J20405" t="s">
        <v>584</v>
      </c>
      <c r="K20405" t="s">
        <v>33</v>
      </c>
      <c r="L20405" t="s">
        <v>335</v>
      </c>
      <c r="N20405" t="s">
        <v>29</v>
      </c>
    </row>
    <row r="20406" spans="1:14">
      <c r="A20406" s="4" t="str">
        <f t="shared" si="1386"/>
        <v>EXP00448</v>
      </c>
      <c r="B20406" s="3" t="s">
        <v>66</v>
      </c>
      <c r="C20406" s="4" t="str">
        <f t="shared" si="1387"/>
        <v>TCGA-THCA</v>
      </c>
      <c r="D20406" s="1" t="s">
        <v>493</v>
      </c>
      <c r="E20406" t="s">
        <v>591</v>
      </c>
      <c r="F20406" s="1">
        <v>2</v>
      </c>
      <c r="G20406" s="1" t="s">
        <v>28</v>
      </c>
      <c r="H20406" s="4" t="str">
        <f>HYPERLINK("https://portal.gdc.cancer.gov/cases/ca625067-1c6d-45c7-b752-af40c8327ea5","TCGA-EM-A4G1-01A")</f>
        <v>TCGA-EM-A4G1-01A</v>
      </c>
      <c r="I20406" t="s">
        <v>333</v>
      </c>
      <c r="J20406" t="s">
        <v>584</v>
      </c>
      <c r="K20406" t="s">
        <v>33</v>
      </c>
      <c r="L20406" t="s">
        <v>335</v>
      </c>
      <c r="N20406" t="s">
        <v>29</v>
      </c>
    </row>
    <row r="20407" spans="1:14">
      <c r="A20407" s="4" t="str">
        <f t="shared" si="1386"/>
        <v>EXP00448</v>
      </c>
      <c r="B20407" s="3" t="s">
        <v>66</v>
      </c>
      <c r="C20407" s="4" t="str">
        <f t="shared" si="1387"/>
        <v>TCGA-THCA</v>
      </c>
      <c r="D20407" s="1" t="s">
        <v>493</v>
      </c>
      <c r="E20407" t="s">
        <v>591</v>
      </c>
      <c r="F20407" s="1">
        <v>2</v>
      </c>
      <c r="G20407" s="1" t="s">
        <v>28</v>
      </c>
      <c r="H20407" s="4" t="str">
        <f>HYPERLINK("https://portal.gdc.cancer.gov/cases/e23cd75a-06ad-4da0-b19b-b812b0f6c1b9","TCGA-ET-A25G-01A")</f>
        <v>TCGA-ET-A25G-01A</v>
      </c>
      <c r="I20407" t="s">
        <v>333</v>
      </c>
      <c r="J20407" t="s">
        <v>584</v>
      </c>
      <c r="K20407" t="s">
        <v>33</v>
      </c>
      <c r="L20407" t="s">
        <v>335</v>
      </c>
      <c r="N20407" t="s">
        <v>29</v>
      </c>
    </row>
    <row r="20408" spans="1:14">
      <c r="A20408" s="4" t="str">
        <f t="shared" si="1386"/>
        <v>EXP00448</v>
      </c>
      <c r="B20408" s="3" t="s">
        <v>66</v>
      </c>
      <c r="C20408" s="4" t="str">
        <f t="shared" si="1387"/>
        <v>TCGA-THCA</v>
      </c>
      <c r="D20408" s="1" t="s">
        <v>493</v>
      </c>
      <c r="E20408" t="s">
        <v>591</v>
      </c>
      <c r="F20408" s="1">
        <v>2</v>
      </c>
      <c r="G20408" s="1" t="s">
        <v>28</v>
      </c>
      <c r="H20408" s="4" t="str">
        <f>HYPERLINK("https://portal.gdc.cancer.gov/cases/1005ccb2-10ef-4e37-950e-ad72393db03c","TCGA-ET-A25I-01A")</f>
        <v>TCGA-ET-A25I-01A</v>
      </c>
      <c r="I20408" t="s">
        <v>333</v>
      </c>
      <c r="J20408" t="s">
        <v>584</v>
      </c>
      <c r="K20408" t="s">
        <v>33</v>
      </c>
      <c r="L20408" t="s">
        <v>335</v>
      </c>
      <c r="N20408" t="s">
        <v>29</v>
      </c>
    </row>
    <row r="20409" spans="1:14">
      <c r="A20409" s="4" t="str">
        <f t="shared" si="1386"/>
        <v>EXP00448</v>
      </c>
      <c r="B20409" s="3" t="s">
        <v>66</v>
      </c>
      <c r="C20409" s="4" t="str">
        <f t="shared" si="1387"/>
        <v>TCGA-THCA</v>
      </c>
      <c r="D20409" s="1" t="s">
        <v>493</v>
      </c>
      <c r="E20409" t="s">
        <v>591</v>
      </c>
      <c r="F20409" s="1">
        <v>2</v>
      </c>
      <c r="G20409" s="1" t="s">
        <v>28</v>
      </c>
      <c r="H20409" s="4" t="str">
        <f>HYPERLINK("https://portal.gdc.cancer.gov/cases/2f9ed09d-2626-4c23-ba47-1850d36f812a","TCGA-ET-A25K-01A")</f>
        <v>TCGA-ET-A25K-01A</v>
      </c>
      <c r="I20409" t="s">
        <v>333</v>
      </c>
      <c r="J20409" t="s">
        <v>584</v>
      </c>
      <c r="K20409" t="s">
        <v>33</v>
      </c>
      <c r="L20409" t="s">
        <v>335</v>
      </c>
      <c r="N20409" t="s">
        <v>29</v>
      </c>
    </row>
    <row r="20410" spans="1:14">
      <c r="A20410" s="4" t="str">
        <f t="shared" si="1386"/>
        <v>EXP00448</v>
      </c>
      <c r="B20410" s="3" t="s">
        <v>66</v>
      </c>
      <c r="C20410" s="4" t="str">
        <f t="shared" si="1387"/>
        <v>TCGA-THCA</v>
      </c>
      <c r="D20410" s="1" t="s">
        <v>493</v>
      </c>
      <c r="E20410" t="s">
        <v>591</v>
      </c>
      <c r="F20410" s="1">
        <v>2</v>
      </c>
      <c r="G20410" s="1" t="s">
        <v>28</v>
      </c>
      <c r="H20410" s="4" t="str">
        <f>HYPERLINK("https://portal.gdc.cancer.gov/cases/4481d84d-109e-44a0-bcb4-e6e61bdce796","TCGA-ET-A25L-01A")</f>
        <v>TCGA-ET-A25L-01A</v>
      </c>
      <c r="I20410" t="s">
        <v>333</v>
      </c>
      <c r="J20410" t="s">
        <v>584</v>
      </c>
      <c r="K20410" t="s">
        <v>33</v>
      </c>
      <c r="L20410" t="s">
        <v>335</v>
      </c>
      <c r="N20410" t="s">
        <v>29</v>
      </c>
    </row>
    <row r="20411" spans="1:14">
      <c r="A20411" s="4" t="str">
        <f t="shared" si="1386"/>
        <v>EXP00448</v>
      </c>
      <c r="B20411" s="3" t="s">
        <v>66</v>
      </c>
      <c r="C20411" s="4" t="str">
        <f t="shared" si="1387"/>
        <v>TCGA-THCA</v>
      </c>
      <c r="D20411" s="1" t="s">
        <v>493</v>
      </c>
      <c r="E20411" t="s">
        <v>591</v>
      </c>
      <c r="F20411" s="1">
        <v>2</v>
      </c>
      <c r="G20411" s="1" t="s">
        <v>28</v>
      </c>
      <c r="H20411" s="4" t="str">
        <f>HYPERLINK("https://portal.gdc.cancer.gov/cases/8023d4c9-b56d-417a-9a52-d45b59c756ed","TCGA-ET-A25M-01A")</f>
        <v>TCGA-ET-A25M-01A</v>
      </c>
      <c r="I20411" t="s">
        <v>333</v>
      </c>
      <c r="J20411" t="s">
        <v>584</v>
      </c>
      <c r="K20411" t="s">
        <v>33</v>
      </c>
      <c r="L20411" t="s">
        <v>335</v>
      </c>
      <c r="N20411" t="s">
        <v>29</v>
      </c>
    </row>
    <row r="20412" spans="1:14">
      <c r="A20412" s="4" t="str">
        <f t="shared" si="1386"/>
        <v>EXP00448</v>
      </c>
      <c r="B20412" s="3" t="s">
        <v>66</v>
      </c>
      <c r="C20412" s="4" t="str">
        <f t="shared" si="1387"/>
        <v>TCGA-THCA</v>
      </c>
      <c r="D20412" s="1" t="s">
        <v>493</v>
      </c>
      <c r="E20412" t="s">
        <v>591</v>
      </c>
      <c r="F20412" s="1">
        <v>2</v>
      </c>
      <c r="G20412" s="1" t="s">
        <v>28</v>
      </c>
      <c r="H20412" s="4" t="str">
        <f>HYPERLINK("https://portal.gdc.cancer.gov/cases/ebccfb5f-c0a8-4263-aaff-b5dd83585191","TCGA-ET-A25N-01A")</f>
        <v>TCGA-ET-A25N-01A</v>
      </c>
      <c r="I20412" t="s">
        <v>333</v>
      </c>
      <c r="J20412" t="s">
        <v>584</v>
      </c>
      <c r="K20412" t="s">
        <v>33</v>
      </c>
      <c r="L20412" t="s">
        <v>335</v>
      </c>
      <c r="N20412" t="s">
        <v>29</v>
      </c>
    </row>
    <row r="20413" spans="1:14">
      <c r="A20413" s="4" t="str">
        <f t="shared" si="1386"/>
        <v>EXP00448</v>
      </c>
      <c r="B20413" s="3" t="s">
        <v>66</v>
      </c>
      <c r="C20413" s="4" t="str">
        <f t="shared" si="1387"/>
        <v>TCGA-THCA</v>
      </c>
      <c r="D20413" s="1" t="s">
        <v>493</v>
      </c>
      <c r="E20413" t="s">
        <v>591</v>
      </c>
      <c r="F20413" s="1">
        <v>2</v>
      </c>
      <c r="G20413" s="1" t="s">
        <v>28</v>
      </c>
      <c r="H20413" s="4" t="str">
        <f>HYPERLINK("https://portal.gdc.cancer.gov/cases/c30eb9bd-d705-4464-9014-e0aa7cda53c7","TCGA-ET-A25O-01A")</f>
        <v>TCGA-ET-A25O-01A</v>
      </c>
      <c r="I20413" t="s">
        <v>333</v>
      </c>
      <c r="J20413" t="s">
        <v>584</v>
      </c>
      <c r="K20413" t="s">
        <v>33</v>
      </c>
      <c r="L20413" t="s">
        <v>335</v>
      </c>
      <c r="N20413" t="s">
        <v>29</v>
      </c>
    </row>
    <row r="20414" spans="1:14">
      <c r="A20414" s="4" t="str">
        <f t="shared" si="1386"/>
        <v>EXP00448</v>
      </c>
      <c r="B20414" s="3" t="s">
        <v>66</v>
      </c>
      <c r="C20414" s="4" t="str">
        <f t="shared" si="1387"/>
        <v>TCGA-THCA</v>
      </c>
      <c r="D20414" s="1" t="s">
        <v>493</v>
      </c>
      <c r="E20414" t="s">
        <v>591</v>
      </c>
      <c r="F20414" s="1">
        <v>2</v>
      </c>
      <c r="G20414" s="1" t="s">
        <v>28</v>
      </c>
      <c r="H20414" s="4" t="str">
        <f>HYPERLINK("https://portal.gdc.cancer.gov/cases/12ecc0e5-8cb8-406e-ac9f-4f8c22b64fc1","TCGA-ET-A25P-01A")</f>
        <v>TCGA-ET-A25P-01A</v>
      </c>
      <c r="I20414" t="s">
        <v>333</v>
      </c>
      <c r="J20414" t="s">
        <v>584</v>
      </c>
      <c r="K20414" t="s">
        <v>33</v>
      </c>
      <c r="L20414" t="s">
        <v>335</v>
      </c>
      <c r="N20414" t="s">
        <v>29</v>
      </c>
    </row>
    <row r="20415" spans="1:14">
      <c r="A20415" s="4" t="str">
        <f t="shared" si="1386"/>
        <v>EXP00448</v>
      </c>
      <c r="B20415" s="3" t="s">
        <v>66</v>
      </c>
      <c r="C20415" s="4" t="str">
        <f t="shared" si="1387"/>
        <v>TCGA-THCA</v>
      </c>
      <c r="D20415" s="1" t="s">
        <v>493</v>
      </c>
      <c r="E20415" t="s">
        <v>591</v>
      </c>
      <c r="F20415" s="1">
        <v>2</v>
      </c>
      <c r="G20415" s="1" t="s">
        <v>28</v>
      </c>
      <c r="H20415" s="4" t="str">
        <f>HYPERLINK("https://portal.gdc.cancer.gov/cases/097b9cf1-ec0c-487c-9ade-2bdab12eb4ca","TCGA-ET-A25R-01A")</f>
        <v>TCGA-ET-A25R-01A</v>
      </c>
      <c r="I20415" t="s">
        <v>333</v>
      </c>
      <c r="J20415" t="s">
        <v>584</v>
      </c>
      <c r="K20415" t="s">
        <v>33</v>
      </c>
      <c r="L20415" t="s">
        <v>335</v>
      </c>
      <c r="N20415" t="s">
        <v>29</v>
      </c>
    </row>
    <row r="20416" spans="1:14">
      <c r="A20416" s="4" t="str">
        <f t="shared" si="1386"/>
        <v>EXP00448</v>
      </c>
      <c r="B20416" s="3" t="s">
        <v>66</v>
      </c>
      <c r="C20416" s="4" t="str">
        <f t="shared" si="1387"/>
        <v>TCGA-THCA</v>
      </c>
      <c r="D20416" s="1" t="s">
        <v>493</v>
      </c>
      <c r="E20416" t="s">
        <v>591</v>
      </c>
      <c r="F20416" s="1">
        <v>2</v>
      </c>
      <c r="G20416" s="1" t="s">
        <v>28</v>
      </c>
      <c r="H20416" s="4" t="str">
        <f>HYPERLINK("https://portal.gdc.cancer.gov/cases/59681e8f-cf57-47b4-82e1-6be8ead9583e","TCGA-ET-A2MX-01A")</f>
        <v>TCGA-ET-A2MX-01A</v>
      </c>
      <c r="I20416" t="s">
        <v>333</v>
      </c>
      <c r="J20416" t="s">
        <v>584</v>
      </c>
      <c r="K20416" t="s">
        <v>33</v>
      </c>
      <c r="L20416" t="s">
        <v>335</v>
      </c>
      <c r="N20416" t="s">
        <v>29</v>
      </c>
    </row>
    <row r="20417" spans="1:14">
      <c r="A20417" s="4" t="str">
        <f t="shared" si="1386"/>
        <v>EXP00448</v>
      </c>
      <c r="B20417" s="3" t="s">
        <v>66</v>
      </c>
      <c r="C20417" s="4" t="str">
        <f t="shared" si="1387"/>
        <v>TCGA-THCA</v>
      </c>
      <c r="D20417" s="1" t="s">
        <v>493</v>
      </c>
      <c r="E20417" t="s">
        <v>591</v>
      </c>
      <c r="F20417" s="1">
        <v>2</v>
      </c>
      <c r="G20417" s="1" t="s">
        <v>28</v>
      </c>
      <c r="H20417" s="4" t="str">
        <f>HYPERLINK("https://portal.gdc.cancer.gov/cases/eb15422b-cafd-4af2-973e-8c997a911170","TCGA-ET-A2MY-01A")</f>
        <v>TCGA-ET-A2MY-01A</v>
      </c>
      <c r="I20417" t="s">
        <v>333</v>
      </c>
      <c r="J20417" t="s">
        <v>584</v>
      </c>
      <c r="K20417" t="s">
        <v>33</v>
      </c>
      <c r="L20417" t="s">
        <v>335</v>
      </c>
      <c r="N20417" t="s">
        <v>29</v>
      </c>
    </row>
    <row r="20418" spans="1:14">
      <c r="A20418" s="4" t="str">
        <f t="shared" si="1386"/>
        <v>EXP00448</v>
      </c>
      <c r="B20418" s="3" t="s">
        <v>66</v>
      </c>
      <c r="C20418" s="4" t="str">
        <f t="shared" si="1387"/>
        <v>TCGA-THCA</v>
      </c>
      <c r="D20418" s="1" t="s">
        <v>493</v>
      </c>
      <c r="E20418" t="s">
        <v>591</v>
      </c>
      <c r="F20418" s="1">
        <v>2</v>
      </c>
      <c r="G20418" s="1" t="s">
        <v>28</v>
      </c>
      <c r="H20418" s="4" t="str">
        <f>HYPERLINK("https://portal.gdc.cancer.gov/cases/4fa53eb7-1fdb-4fe5-b5ad-f3d8069b3eb8","TCGA-ET-A2MZ-01A")</f>
        <v>TCGA-ET-A2MZ-01A</v>
      </c>
      <c r="I20418" t="s">
        <v>333</v>
      </c>
      <c r="J20418" t="s">
        <v>584</v>
      </c>
      <c r="K20418" t="s">
        <v>33</v>
      </c>
      <c r="L20418" t="s">
        <v>335</v>
      </c>
      <c r="N20418" t="s">
        <v>29</v>
      </c>
    </row>
    <row r="20419" spans="1:14">
      <c r="A20419" s="4" t="str">
        <f t="shared" si="1386"/>
        <v>EXP00448</v>
      </c>
      <c r="B20419" s="3" t="s">
        <v>66</v>
      </c>
      <c r="C20419" s="4" t="str">
        <f t="shared" si="1387"/>
        <v>TCGA-THCA</v>
      </c>
      <c r="D20419" s="1" t="s">
        <v>493</v>
      </c>
      <c r="E20419" t="s">
        <v>591</v>
      </c>
      <c r="F20419" s="1">
        <v>2</v>
      </c>
      <c r="G20419" s="1" t="s">
        <v>28</v>
      </c>
      <c r="H20419" s="4" t="str">
        <f>HYPERLINK("https://portal.gdc.cancer.gov/cases/212aa9c4-610d-4286-9ca2-ae6c87b9bc0e","TCGA-ET-A2N0-01A")</f>
        <v>TCGA-ET-A2N0-01A</v>
      </c>
      <c r="I20419" t="s">
        <v>333</v>
      </c>
      <c r="J20419" t="s">
        <v>584</v>
      </c>
      <c r="K20419" t="s">
        <v>33</v>
      </c>
      <c r="L20419" t="s">
        <v>335</v>
      </c>
      <c r="N20419" t="s">
        <v>29</v>
      </c>
    </row>
    <row r="20420" spans="1:14">
      <c r="A20420" s="4" t="str">
        <f t="shared" si="1386"/>
        <v>EXP00448</v>
      </c>
      <c r="B20420" s="3" t="s">
        <v>66</v>
      </c>
      <c r="C20420" s="4" t="str">
        <f t="shared" si="1387"/>
        <v>TCGA-THCA</v>
      </c>
      <c r="D20420" s="1" t="s">
        <v>493</v>
      </c>
      <c r="E20420" t="s">
        <v>591</v>
      </c>
      <c r="F20420" s="1">
        <v>2</v>
      </c>
      <c r="G20420" s="1" t="s">
        <v>28</v>
      </c>
      <c r="H20420" s="4" t="str">
        <f>HYPERLINK("https://portal.gdc.cancer.gov/cases/9dcaa676-10ca-48cb-b245-7cc4bd1fe9bb","TCGA-ET-A2N3-01B")</f>
        <v>TCGA-ET-A2N3-01B</v>
      </c>
      <c r="I20420" t="s">
        <v>333</v>
      </c>
      <c r="J20420" t="s">
        <v>584</v>
      </c>
      <c r="K20420" t="s">
        <v>33</v>
      </c>
      <c r="L20420" t="s">
        <v>335</v>
      </c>
      <c r="N20420" t="s">
        <v>29</v>
      </c>
    </row>
    <row r="20421" spans="1:14">
      <c r="A20421" s="4" t="str">
        <f t="shared" si="1386"/>
        <v>EXP00448</v>
      </c>
      <c r="B20421" s="3" t="s">
        <v>66</v>
      </c>
      <c r="C20421" s="4" t="str">
        <f t="shared" si="1387"/>
        <v>TCGA-THCA</v>
      </c>
      <c r="D20421" s="1" t="s">
        <v>493</v>
      </c>
      <c r="E20421" t="s">
        <v>591</v>
      </c>
      <c r="F20421" s="1">
        <v>2</v>
      </c>
      <c r="G20421" s="1" t="s">
        <v>28</v>
      </c>
      <c r="H20421" s="4" t="str">
        <f>HYPERLINK("https://portal.gdc.cancer.gov/cases/3dcee02c-a3d2-4188-a072-4d36c8a7e8fd","TCGA-ET-A2N4-01A")</f>
        <v>TCGA-ET-A2N4-01A</v>
      </c>
      <c r="I20421" t="s">
        <v>333</v>
      </c>
      <c r="J20421" t="s">
        <v>584</v>
      </c>
      <c r="K20421" t="s">
        <v>33</v>
      </c>
      <c r="L20421" t="s">
        <v>335</v>
      </c>
      <c r="N20421" t="s">
        <v>29</v>
      </c>
    </row>
    <row r="20422" spans="1:14">
      <c r="A20422" s="4" t="str">
        <f t="shared" si="1386"/>
        <v>EXP00448</v>
      </c>
      <c r="B20422" s="3" t="s">
        <v>66</v>
      </c>
      <c r="C20422" s="4" t="str">
        <f t="shared" si="1387"/>
        <v>TCGA-THCA</v>
      </c>
      <c r="D20422" s="1" t="s">
        <v>493</v>
      </c>
      <c r="E20422" t="s">
        <v>591</v>
      </c>
      <c r="F20422" s="1">
        <v>2</v>
      </c>
      <c r="G20422" s="1" t="s">
        <v>28</v>
      </c>
      <c r="H20422" s="4" t="str">
        <f>HYPERLINK("https://portal.gdc.cancer.gov/cases/7d818f01-49a6-4ba8-9f1c-c77398adbdd0","TCGA-ET-A2N5-01A")</f>
        <v>TCGA-ET-A2N5-01A</v>
      </c>
      <c r="I20422" t="s">
        <v>333</v>
      </c>
      <c r="J20422" t="s">
        <v>584</v>
      </c>
      <c r="K20422" t="s">
        <v>33</v>
      </c>
      <c r="L20422" t="s">
        <v>335</v>
      </c>
      <c r="N20422" t="s">
        <v>29</v>
      </c>
    </row>
    <row r="20423" spans="1:14">
      <c r="A20423" s="4" t="str">
        <f t="shared" si="1386"/>
        <v>EXP00448</v>
      </c>
      <c r="B20423" s="3" t="s">
        <v>66</v>
      </c>
      <c r="C20423" s="4" t="str">
        <f t="shared" si="1387"/>
        <v>TCGA-THCA</v>
      </c>
      <c r="D20423" s="1" t="s">
        <v>493</v>
      </c>
      <c r="E20423" t="s">
        <v>591</v>
      </c>
      <c r="F20423" s="1">
        <v>2</v>
      </c>
      <c r="G20423" s="1" t="s">
        <v>28</v>
      </c>
      <c r="H20423" s="4" t="str">
        <f>HYPERLINK("https://portal.gdc.cancer.gov/cases/369a07a5-f835-4886-a204-d5584c67f253","TCGA-ET-A39I-01A")</f>
        <v>TCGA-ET-A39I-01A</v>
      </c>
      <c r="I20423" t="s">
        <v>333</v>
      </c>
      <c r="J20423" t="s">
        <v>584</v>
      </c>
      <c r="K20423" t="s">
        <v>33</v>
      </c>
      <c r="L20423" t="s">
        <v>335</v>
      </c>
      <c r="N20423" t="s">
        <v>29</v>
      </c>
    </row>
    <row r="20424" spans="1:14">
      <c r="A20424" s="4" t="str">
        <f t="shared" si="1386"/>
        <v>EXP00448</v>
      </c>
      <c r="B20424" s="3" t="s">
        <v>66</v>
      </c>
      <c r="C20424" s="4" t="str">
        <f t="shared" si="1387"/>
        <v>TCGA-THCA</v>
      </c>
      <c r="D20424" s="1" t="s">
        <v>493</v>
      </c>
      <c r="E20424" t="s">
        <v>591</v>
      </c>
      <c r="F20424" s="1">
        <v>2</v>
      </c>
      <c r="G20424" s="1" t="s">
        <v>28</v>
      </c>
      <c r="H20424" s="4" t="str">
        <f>HYPERLINK("https://portal.gdc.cancer.gov/cases/1757c89f-8795-4c3b-bbad-1e6f617f2472","TCGA-ET-A39J-01A")</f>
        <v>TCGA-ET-A39J-01A</v>
      </c>
      <c r="I20424" t="s">
        <v>333</v>
      </c>
      <c r="J20424" t="s">
        <v>584</v>
      </c>
      <c r="K20424" t="s">
        <v>33</v>
      </c>
      <c r="L20424" t="s">
        <v>335</v>
      </c>
      <c r="N20424" t="s">
        <v>29</v>
      </c>
    </row>
    <row r="20425" spans="1:14">
      <c r="A20425" s="4" t="str">
        <f t="shared" si="1386"/>
        <v>EXP00448</v>
      </c>
      <c r="B20425" s="3" t="s">
        <v>66</v>
      </c>
      <c r="C20425" s="4" t="str">
        <f t="shared" si="1387"/>
        <v>TCGA-THCA</v>
      </c>
      <c r="D20425" s="1" t="s">
        <v>493</v>
      </c>
      <c r="E20425" t="s">
        <v>591</v>
      </c>
      <c r="F20425" s="1">
        <v>2</v>
      </c>
      <c r="G20425" s="1" t="s">
        <v>28</v>
      </c>
      <c r="H20425" s="4" t="str">
        <f>HYPERLINK("https://portal.gdc.cancer.gov/cases/6e1c9ac8-eead-4db9-8f30-ef3591daf78b","TCGA-ET-A39K-01A")</f>
        <v>TCGA-ET-A39K-01A</v>
      </c>
      <c r="I20425" t="s">
        <v>333</v>
      </c>
      <c r="J20425" t="s">
        <v>584</v>
      </c>
      <c r="K20425" t="s">
        <v>33</v>
      </c>
      <c r="L20425" t="s">
        <v>335</v>
      </c>
      <c r="N20425" t="s">
        <v>29</v>
      </c>
    </row>
    <row r="20426" spans="1:14">
      <c r="A20426" s="4" t="str">
        <f t="shared" si="1386"/>
        <v>EXP00448</v>
      </c>
      <c r="B20426" s="3" t="s">
        <v>66</v>
      </c>
      <c r="C20426" s="4" t="str">
        <f t="shared" si="1387"/>
        <v>TCGA-THCA</v>
      </c>
      <c r="D20426" s="1" t="s">
        <v>493</v>
      </c>
      <c r="E20426" t="s">
        <v>591</v>
      </c>
      <c r="F20426" s="1">
        <v>2</v>
      </c>
      <c r="G20426" s="1" t="s">
        <v>28</v>
      </c>
      <c r="H20426" s="4" t="str">
        <f>HYPERLINK("https://portal.gdc.cancer.gov/cases/cd73c807-a74e-46a8-9855-92de33da9b0d","TCGA-ET-A39L-01A")</f>
        <v>TCGA-ET-A39L-01A</v>
      </c>
      <c r="I20426" t="s">
        <v>333</v>
      </c>
      <c r="J20426" t="s">
        <v>584</v>
      </c>
      <c r="K20426" t="s">
        <v>33</v>
      </c>
      <c r="L20426" t="s">
        <v>335</v>
      </c>
      <c r="N20426" t="s">
        <v>29</v>
      </c>
    </row>
    <row r="20427" spans="1:14">
      <c r="A20427" s="4" t="str">
        <f t="shared" si="1386"/>
        <v>EXP00448</v>
      </c>
      <c r="B20427" s="3" t="s">
        <v>66</v>
      </c>
      <c r="C20427" s="4" t="str">
        <f t="shared" si="1387"/>
        <v>TCGA-THCA</v>
      </c>
      <c r="D20427" s="1" t="s">
        <v>493</v>
      </c>
      <c r="E20427" t="s">
        <v>591</v>
      </c>
      <c r="F20427" s="1">
        <v>2</v>
      </c>
      <c r="G20427" s="1" t="s">
        <v>28</v>
      </c>
      <c r="H20427" s="4" t="str">
        <f>HYPERLINK("https://portal.gdc.cancer.gov/cases/e9949320-ad37-4542-98c1-b72df60b1668","TCGA-ET-A39M-01A")</f>
        <v>TCGA-ET-A39M-01A</v>
      </c>
      <c r="I20427" t="s">
        <v>333</v>
      </c>
      <c r="J20427" t="s">
        <v>584</v>
      </c>
      <c r="K20427" t="s">
        <v>33</v>
      </c>
      <c r="L20427" t="s">
        <v>335</v>
      </c>
      <c r="N20427" t="s">
        <v>29</v>
      </c>
    </row>
    <row r="20428" spans="1:14">
      <c r="A20428" s="4" t="str">
        <f t="shared" si="1386"/>
        <v>EXP00448</v>
      </c>
      <c r="B20428" s="3" t="s">
        <v>66</v>
      </c>
      <c r="C20428" s="4" t="str">
        <f t="shared" si="1387"/>
        <v>TCGA-THCA</v>
      </c>
      <c r="D20428" s="1" t="s">
        <v>493</v>
      </c>
      <c r="E20428" t="s">
        <v>591</v>
      </c>
      <c r="F20428" s="1">
        <v>2</v>
      </c>
      <c r="G20428" s="1" t="s">
        <v>28</v>
      </c>
      <c r="H20428" s="4" t="str">
        <f>HYPERLINK("https://portal.gdc.cancer.gov/cases/87858089-1bad-4e5d-80ed-04f846da9ca4","TCGA-ET-A39N-01A")</f>
        <v>TCGA-ET-A39N-01A</v>
      </c>
      <c r="I20428" t="s">
        <v>333</v>
      </c>
      <c r="J20428" t="s">
        <v>584</v>
      </c>
      <c r="K20428" t="s">
        <v>33</v>
      </c>
      <c r="L20428" t="s">
        <v>335</v>
      </c>
      <c r="N20428" t="s">
        <v>29</v>
      </c>
    </row>
    <row r="20429" spans="1:14">
      <c r="A20429" s="4" t="str">
        <f t="shared" si="1386"/>
        <v>EXP00448</v>
      </c>
      <c r="B20429" s="3" t="s">
        <v>66</v>
      </c>
      <c r="C20429" s="4" t="str">
        <f t="shared" si="1387"/>
        <v>TCGA-THCA</v>
      </c>
      <c r="D20429" s="1" t="s">
        <v>493</v>
      </c>
      <c r="E20429" t="s">
        <v>591</v>
      </c>
      <c r="F20429" s="1">
        <v>2</v>
      </c>
      <c r="G20429" s="1" t="s">
        <v>28</v>
      </c>
      <c r="H20429" s="4" t="str">
        <f>HYPERLINK("https://portal.gdc.cancer.gov/cases/d2512fd6-9042-4a62-8b49-d483cb84b89d","TCGA-ET-A39O-01A")</f>
        <v>TCGA-ET-A39O-01A</v>
      </c>
      <c r="I20429" t="s">
        <v>333</v>
      </c>
      <c r="J20429" t="s">
        <v>584</v>
      </c>
      <c r="K20429" t="s">
        <v>33</v>
      </c>
      <c r="L20429" t="s">
        <v>335</v>
      </c>
      <c r="N20429" t="s">
        <v>29</v>
      </c>
    </row>
    <row r="20430" spans="1:14">
      <c r="A20430" s="4" t="str">
        <f t="shared" si="1386"/>
        <v>EXP00448</v>
      </c>
      <c r="B20430" s="3" t="s">
        <v>66</v>
      </c>
      <c r="C20430" s="4" t="str">
        <f t="shared" si="1387"/>
        <v>TCGA-THCA</v>
      </c>
      <c r="D20430" s="1" t="s">
        <v>493</v>
      </c>
      <c r="E20430" t="s">
        <v>591</v>
      </c>
      <c r="F20430" s="1">
        <v>2</v>
      </c>
      <c r="G20430" s="1" t="s">
        <v>28</v>
      </c>
      <c r="H20430" s="4" t="str">
        <f>HYPERLINK("https://portal.gdc.cancer.gov/cases/44465a32-8ee9-4575-94b8-0200ba7c5bd4","TCGA-ET-A39P-01A")</f>
        <v>TCGA-ET-A39P-01A</v>
      </c>
      <c r="I20430" t="s">
        <v>333</v>
      </c>
      <c r="J20430" t="s">
        <v>584</v>
      </c>
      <c r="K20430" t="s">
        <v>33</v>
      </c>
      <c r="L20430" t="s">
        <v>335</v>
      </c>
      <c r="N20430" t="s">
        <v>29</v>
      </c>
    </row>
    <row r="20431" spans="1:14">
      <c r="A20431" s="4" t="str">
        <f t="shared" si="1386"/>
        <v>EXP00448</v>
      </c>
      <c r="B20431" s="3" t="s">
        <v>66</v>
      </c>
      <c r="C20431" s="4" t="str">
        <f t="shared" si="1387"/>
        <v>TCGA-THCA</v>
      </c>
      <c r="D20431" s="1" t="s">
        <v>493</v>
      </c>
      <c r="E20431" t="s">
        <v>591</v>
      </c>
      <c r="F20431" s="1">
        <v>2</v>
      </c>
      <c r="G20431" s="1" t="s">
        <v>28</v>
      </c>
      <c r="H20431" s="4" t="str">
        <f>HYPERLINK("https://portal.gdc.cancer.gov/cases/9a19f08b-386a-40b1-b694-78e8556a6caa","TCGA-ET-A39R-01A")</f>
        <v>TCGA-ET-A39R-01A</v>
      </c>
      <c r="I20431" t="s">
        <v>333</v>
      </c>
      <c r="J20431" t="s">
        <v>584</v>
      </c>
      <c r="K20431" t="s">
        <v>33</v>
      </c>
      <c r="L20431" t="s">
        <v>335</v>
      </c>
      <c r="N20431" t="s">
        <v>29</v>
      </c>
    </row>
    <row r="20432" spans="1:14">
      <c r="A20432" s="4" t="str">
        <f t="shared" si="1386"/>
        <v>EXP00448</v>
      </c>
      <c r="B20432" s="3" t="s">
        <v>66</v>
      </c>
      <c r="C20432" s="4" t="str">
        <f t="shared" si="1387"/>
        <v>TCGA-THCA</v>
      </c>
      <c r="D20432" s="1" t="s">
        <v>493</v>
      </c>
      <c r="E20432" t="s">
        <v>591</v>
      </c>
      <c r="F20432" s="1">
        <v>2</v>
      </c>
      <c r="G20432" s="1" t="s">
        <v>28</v>
      </c>
      <c r="H20432" s="4" t="str">
        <f>HYPERLINK("https://portal.gdc.cancer.gov/cases/dfe086e6-71a5-4131-9602-f20977bf7454","TCGA-ET-A39S-01A")</f>
        <v>TCGA-ET-A39S-01A</v>
      </c>
      <c r="I20432" t="s">
        <v>333</v>
      </c>
      <c r="J20432" t="s">
        <v>584</v>
      </c>
      <c r="K20432" t="s">
        <v>33</v>
      </c>
      <c r="L20432" t="s">
        <v>335</v>
      </c>
      <c r="N20432" t="s">
        <v>29</v>
      </c>
    </row>
    <row r="20433" spans="1:14">
      <c r="A20433" s="4" t="str">
        <f t="shared" si="1386"/>
        <v>EXP00448</v>
      </c>
      <c r="B20433" s="3" t="s">
        <v>66</v>
      </c>
      <c r="C20433" s="4" t="str">
        <f t="shared" si="1387"/>
        <v>TCGA-THCA</v>
      </c>
      <c r="D20433" s="1" t="s">
        <v>493</v>
      </c>
      <c r="E20433" t="s">
        <v>591</v>
      </c>
      <c r="F20433" s="1">
        <v>2</v>
      </c>
      <c r="G20433" s="1" t="s">
        <v>28</v>
      </c>
      <c r="H20433" s="4" t="str">
        <f>HYPERLINK("https://portal.gdc.cancer.gov/cases/7a45cbc2-9fbe-49f9-9d70-f8dc82829769","TCGA-ET-A39T-01A")</f>
        <v>TCGA-ET-A39T-01A</v>
      </c>
      <c r="I20433" t="s">
        <v>333</v>
      </c>
      <c r="J20433" t="s">
        <v>584</v>
      </c>
      <c r="K20433" t="s">
        <v>33</v>
      </c>
      <c r="L20433" t="s">
        <v>335</v>
      </c>
      <c r="N20433" t="s">
        <v>29</v>
      </c>
    </row>
    <row r="20434" spans="1:14">
      <c r="A20434" s="4" t="str">
        <f t="shared" si="1386"/>
        <v>EXP00448</v>
      </c>
      <c r="B20434" s="3" t="s">
        <v>66</v>
      </c>
      <c r="C20434" s="4" t="str">
        <f t="shared" si="1387"/>
        <v>TCGA-THCA</v>
      </c>
      <c r="D20434" s="1" t="s">
        <v>493</v>
      </c>
      <c r="E20434" t="s">
        <v>591</v>
      </c>
      <c r="F20434" s="1">
        <v>2</v>
      </c>
      <c r="G20434" s="1" t="s">
        <v>28</v>
      </c>
      <c r="H20434" s="4" t="str">
        <f>HYPERLINK("https://portal.gdc.cancer.gov/cases/3b5582e4-58af-4a01-b83d-6fe9704f2b43","TCGA-ET-A3BN-01A")</f>
        <v>TCGA-ET-A3BN-01A</v>
      </c>
      <c r="I20434" t="s">
        <v>333</v>
      </c>
      <c r="J20434" t="s">
        <v>584</v>
      </c>
      <c r="K20434" t="s">
        <v>33</v>
      </c>
      <c r="L20434" t="s">
        <v>335</v>
      </c>
      <c r="N20434" t="s">
        <v>29</v>
      </c>
    </row>
    <row r="20435" spans="1:14">
      <c r="A20435" s="4" t="str">
        <f t="shared" si="1386"/>
        <v>EXP00448</v>
      </c>
      <c r="B20435" s="3" t="s">
        <v>66</v>
      </c>
      <c r="C20435" s="4" t="str">
        <f t="shared" si="1387"/>
        <v>TCGA-THCA</v>
      </c>
      <c r="D20435" s="1" t="s">
        <v>493</v>
      </c>
      <c r="E20435" t="s">
        <v>591</v>
      </c>
      <c r="F20435" s="1">
        <v>2</v>
      </c>
      <c r="G20435" s="1" t="s">
        <v>28</v>
      </c>
      <c r="H20435" s="4" t="str">
        <f>HYPERLINK("https://portal.gdc.cancer.gov/cases/c115df9d-cec4-4d7a-87f0-36a5c1f1d51f","TCGA-ET-A3BO-01A")</f>
        <v>TCGA-ET-A3BO-01A</v>
      </c>
      <c r="I20435" t="s">
        <v>333</v>
      </c>
      <c r="J20435" t="s">
        <v>584</v>
      </c>
      <c r="K20435" t="s">
        <v>33</v>
      </c>
      <c r="L20435" t="s">
        <v>335</v>
      </c>
      <c r="N20435" t="s">
        <v>29</v>
      </c>
    </row>
    <row r="20436" spans="1:14">
      <c r="A20436" s="4" t="str">
        <f t="shared" si="1386"/>
        <v>EXP00448</v>
      </c>
      <c r="B20436" s="3" t="s">
        <v>66</v>
      </c>
      <c r="C20436" s="4" t="str">
        <f t="shared" si="1387"/>
        <v>TCGA-THCA</v>
      </c>
      <c r="D20436" s="1" t="s">
        <v>493</v>
      </c>
      <c r="E20436" t="s">
        <v>591</v>
      </c>
      <c r="F20436" s="1">
        <v>2</v>
      </c>
      <c r="G20436" s="1" t="s">
        <v>28</v>
      </c>
      <c r="H20436" s="4" t="str">
        <f>HYPERLINK("https://portal.gdc.cancer.gov/cases/9382942c-40dc-404a-ad8a-697612cdb575","TCGA-ET-A3BP-01A")</f>
        <v>TCGA-ET-A3BP-01A</v>
      </c>
      <c r="I20436" t="s">
        <v>333</v>
      </c>
      <c r="J20436" t="s">
        <v>584</v>
      </c>
      <c r="K20436" t="s">
        <v>33</v>
      </c>
      <c r="L20436" t="s">
        <v>335</v>
      </c>
      <c r="N20436" t="s">
        <v>29</v>
      </c>
    </row>
    <row r="20437" spans="1:14">
      <c r="A20437" s="4" t="str">
        <f t="shared" si="1386"/>
        <v>EXP00448</v>
      </c>
      <c r="B20437" s="3" t="s">
        <v>66</v>
      </c>
      <c r="C20437" s="4" t="str">
        <f t="shared" si="1387"/>
        <v>TCGA-THCA</v>
      </c>
      <c r="D20437" s="1" t="s">
        <v>493</v>
      </c>
      <c r="E20437" t="s">
        <v>591</v>
      </c>
      <c r="F20437" s="1">
        <v>2</v>
      </c>
      <c r="G20437" s="1" t="s">
        <v>28</v>
      </c>
      <c r="H20437" s="4" t="str">
        <f>HYPERLINK("https://portal.gdc.cancer.gov/cases/5a6b9340-acde-4d97-8836-20ae29732851","TCGA-ET-A3BQ-01B")</f>
        <v>TCGA-ET-A3BQ-01B</v>
      </c>
      <c r="I20437" t="s">
        <v>333</v>
      </c>
      <c r="J20437" t="s">
        <v>584</v>
      </c>
      <c r="K20437" t="s">
        <v>33</v>
      </c>
      <c r="L20437" t="s">
        <v>335</v>
      </c>
      <c r="N20437" t="s">
        <v>29</v>
      </c>
    </row>
    <row r="20438" spans="1:14">
      <c r="A20438" s="4" t="str">
        <f t="shared" si="1386"/>
        <v>EXP00448</v>
      </c>
      <c r="B20438" s="3" t="s">
        <v>66</v>
      </c>
      <c r="C20438" s="4" t="str">
        <f t="shared" si="1387"/>
        <v>TCGA-THCA</v>
      </c>
      <c r="D20438" s="1" t="s">
        <v>493</v>
      </c>
      <c r="E20438" t="s">
        <v>591</v>
      </c>
      <c r="F20438" s="1">
        <v>2</v>
      </c>
      <c r="G20438" s="1" t="s">
        <v>28</v>
      </c>
      <c r="H20438" s="4" t="str">
        <f>HYPERLINK("https://portal.gdc.cancer.gov/cases/c83fb5e6-8af3-47e4-ae48-cee92dff9db7","TCGA-ET-A3BS-01A")</f>
        <v>TCGA-ET-A3BS-01A</v>
      </c>
      <c r="I20438" t="s">
        <v>333</v>
      </c>
      <c r="J20438" t="s">
        <v>584</v>
      </c>
      <c r="K20438" t="s">
        <v>33</v>
      </c>
      <c r="L20438" t="s">
        <v>335</v>
      </c>
      <c r="N20438" t="s">
        <v>29</v>
      </c>
    </row>
    <row r="20439" spans="1:14">
      <c r="A20439" s="4" t="str">
        <f t="shared" si="1386"/>
        <v>EXP00448</v>
      </c>
      <c r="B20439" s="3" t="s">
        <v>66</v>
      </c>
      <c r="C20439" s="4" t="str">
        <f t="shared" si="1387"/>
        <v>TCGA-THCA</v>
      </c>
      <c r="D20439" s="1" t="s">
        <v>493</v>
      </c>
      <c r="E20439" t="s">
        <v>591</v>
      </c>
      <c r="F20439" s="1">
        <v>2</v>
      </c>
      <c r="G20439" s="1" t="s">
        <v>28</v>
      </c>
      <c r="H20439" s="4" t="str">
        <f>HYPERLINK("https://portal.gdc.cancer.gov/cases/d84312e8-999d-49ad-b0aa-e48e87efc462","TCGA-ET-A3BT-01A")</f>
        <v>TCGA-ET-A3BT-01A</v>
      </c>
      <c r="I20439" t="s">
        <v>333</v>
      </c>
      <c r="J20439" t="s">
        <v>584</v>
      </c>
      <c r="K20439" t="s">
        <v>33</v>
      </c>
      <c r="L20439" t="s">
        <v>335</v>
      </c>
      <c r="N20439" t="s">
        <v>29</v>
      </c>
    </row>
    <row r="20440" spans="1:14">
      <c r="A20440" s="4" t="str">
        <f t="shared" si="1386"/>
        <v>EXP00448</v>
      </c>
      <c r="B20440" s="3" t="s">
        <v>66</v>
      </c>
      <c r="C20440" s="4" t="str">
        <f t="shared" si="1387"/>
        <v>TCGA-THCA</v>
      </c>
      <c r="D20440" s="1" t="s">
        <v>493</v>
      </c>
      <c r="E20440" t="s">
        <v>591</v>
      </c>
      <c r="F20440" s="1">
        <v>2</v>
      </c>
      <c r="G20440" s="1" t="s">
        <v>28</v>
      </c>
      <c r="H20440" s="4" t="str">
        <f>HYPERLINK("https://portal.gdc.cancer.gov/cases/46239f1e-bd85-4d7a-a313-762666599a6d","TCGA-ET-A3BU-01A")</f>
        <v>TCGA-ET-A3BU-01A</v>
      </c>
      <c r="I20440" t="s">
        <v>333</v>
      </c>
      <c r="J20440" t="s">
        <v>584</v>
      </c>
      <c r="K20440" t="s">
        <v>33</v>
      </c>
      <c r="L20440" t="s">
        <v>335</v>
      </c>
      <c r="N20440" t="s">
        <v>29</v>
      </c>
    </row>
    <row r="20441" spans="1:14">
      <c r="A20441" s="4" t="str">
        <f t="shared" si="1386"/>
        <v>EXP00448</v>
      </c>
      <c r="B20441" s="3" t="s">
        <v>66</v>
      </c>
      <c r="C20441" s="4" t="str">
        <f t="shared" si="1387"/>
        <v>TCGA-THCA</v>
      </c>
      <c r="D20441" s="1" t="s">
        <v>493</v>
      </c>
      <c r="E20441" t="s">
        <v>591</v>
      </c>
      <c r="F20441" s="1">
        <v>2</v>
      </c>
      <c r="G20441" s="1" t="s">
        <v>28</v>
      </c>
      <c r="H20441" s="4" t="str">
        <f>HYPERLINK("https://portal.gdc.cancer.gov/cases/c14a0460-30b0-453b-ab81-da03ad4ad02e","TCGA-ET-A3BV-01A")</f>
        <v>TCGA-ET-A3BV-01A</v>
      </c>
      <c r="I20441" t="s">
        <v>333</v>
      </c>
      <c r="J20441" t="s">
        <v>584</v>
      </c>
      <c r="K20441" t="s">
        <v>33</v>
      </c>
      <c r="L20441" t="s">
        <v>335</v>
      </c>
      <c r="N20441" t="s">
        <v>29</v>
      </c>
    </row>
    <row r="20442" spans="1:14">
      <c r="A20442" s="4" t="str">
        <f t="shared" si="1386"/>
        <v>EXP00448</v>
      </c>
      <c r="B20442" s="3" t="s">
        <v>66</v>
      </c>
      <c r="C20442" s="4" t="str">
        <f t="shared" si="1387"/>
        <v>TCGA-THCA</v>
      </c>
      <c r="D20442" s="1" t="s">
        <v>493</v>
      </c>
      <c r="E20442" t="s">
        <v>591</v>
      </c>
      <c r="F20442" s="1">
        <v>2</v>
      </c>
      <c r="G20442" s="1" t="s">
        <v>28</v>
      </c>
      <c r="H20442" s="4" t="str">
        <f>HYPERLINK("https://portal.gdc.cancer.gov/cases/2cb43652-109b-4b59-9fcd-512903591f45","TCGA-ET-A3BW-01A")</f>
        <v>TCGA-ET-A3BW-01A</v>
      </c>
      <c r="I20442" t="s">
        <v>333</v>
      </c>
      <c r="J20442" t="s">
        <v>584</v>
      </c>
      <c r="K20442" t="s">
        <v>33</v>
      </c>
      <c r="L20442" t="s">
        <v>335</v>
      </c>
      <c r="N20442" t="s">
        <v>29</v>
      </c>
    </row>
    <row r="20443" spans="1:14">
      <c r="A20443" s="4" t="str">
        <f t="shared" si="1386"/>
        <v>EXP00448</v>
      </c>
      <c r="B20443" s="3" t="s">
        <v>66</v>
      </c>
      <c r="C20443" s="4" t="str">
        <f t="shared" si="1387"/>
        <v>TCGA-THCA</v>
      </c>
      <c r="D20443" s="1" t="s">
        <v>493</v>
      </c>
      <c r="E20443" t="s">
        <v>591</v>
      </c>
      <c r="F20443" s="1">
        <v>2</v>
      </c>
      <c r="G20443" s="1" t="s">
        <v>28</v>
      </c>
      <c r="H20443" s="4" t="str">
        <f>HYPERLINK("https://portal.gdc.cancer.gov/cases/8a02f305-6fd8-4908-bc19-06babf028b5b","TCGA-ET-A3BX-01A")</f>
        <v>TCGA-ET-A3BX-01A</v>
      </c>
      <c r="I20443" t="s">
        <v>333</v>
      </c>
      <c r="J20443" t="s">
        <v>584</v>
      </c>
      <c r="K20443" t="s">
        <v>33</v>
      </c>
      <c r="L20443" t="s">
        <v>335</v>
      </c>
      <c r="N20443" t="s">
        <v>29</v>
      </c>
    </row>
    <row r="20444" spans="1:14">
      <c r="A20444" s="4" t="str">
        <f t="shared" si="1386"/>
        <v>EXP00448</v>
      </c>
      <c r="B20444" s="3" t="s">
        <v>66</v>
      </c>
      <c r="C20444" s="4" t="str">
        <f t="shared" si="1387"/>
        <v>TCGA-THCA</v>
      </c>
      <c r="D20444" s="1" t="s">
        <v>493</v>
      </c>
      <c r="E20444" t="s">
        <v>591</v>
      </c>
      <c r="F20444" s="1">
        <v>2</v>
      </c>
      <c r="G20444" s="1" t="s">
        <v>28</v>
      </c>
      <c r="H20444" s="4" t="str">
        <f>HYPERLINK("https://portal.gdc.cancer.gov/cases/0cafefef-911b-46e8-9e6c-19a0e7d555aa","TCGA-ET-A3DO-01A")</f>
        <v>TCGA-ET-A3DO-01A</v>
      </c>
      <c r="I20444" t="s">
        <v>333</v>
      </c>
      <c r="J20444" t="s">
        <v>584</v>
      </c>
      <c r="K20444" t="s">
        <v>33</v>
      </c>
      <c r="L20444" t="s">
        <v>335</v>
      </c>
      <c r="N20444" t="s">
        <v>29</v>
      </c>
    </row>
    <row r="20445" spans="1:14">
      <c r="A20445" s="4" t="str">
        <f t="shared" si="1386"/>
        <v>EXP00448</v>
      </c>
      <c r="B20445" s="3" t="s">
        <v>66</v>
      </c>
      <c r="C20445" s="4" t="str">
        <f t="shared" si="1387"/>
        <v>TCGA-THCA</v>
      </c>
      <c r="D20445" s="1" t="s">
        <v>493</v>
      </c>
      <c r="E20445" t="s">
        <v>591</v>
      </c>
      <c r="F20445" s="1">
        <v>2</v>
      </c>
      <c r="G20445" s="1" t="s">
        <v>28</v>
      </c>
      <c r="H20445" s="4" t="str">
        <f>HYPERLINK("https://portal.gdc.cancer.gov/cases/18a58e3e-f18e-45cf-86bc-1851abb9b3de","TCGA-ET-A3DP-01A")</f>
        <v>TCGA-ET-A3DP-01A</v>
      </c>
      <c r="I20445" t="s">
        <v>333</v>
      </c>
      <c r="J20445" t="s">
        <v>584</v>
      </c>
      <c r="K20445" t="s">
        <v>33</v>
      </c>
      <c r="L20445" t="s">
        <v>335</v>
      </c>
      <c r="N20445" t="s">
        <v>29</v>
      </c>
    </row>
    <row r="20446" spans="1:14">
      <c r="A20446" s="4" t="str">
        <f t="shared" si="1386"/>
        <v>EXP00448</v>
      </c>
      <c r="B20446" s="3" t="s">
        <v>66</v>
      </c>
      <c r="C20446" s="4" t="str">
        <f t="shared" si="1387"/>
        <v>TCGA-THCA</v>
      </c>
      <c r="D20446" s="1" t="s">
        <v>493</v>
      </c>
      <c r="E20446" t="s">
        <v>591</v>
      </c>
      <c r="F20446" s="1">
        <v>2</v>
      </c>
      <c r="G20446" s="1" t="s">
        <v>28</v>
      </c>
      <c r="H20446" s="4" t="str">
        <f>HYPERLINK("https://portal.gdc.cancer.gov/cases/f9217c58-11ef-4c4b-99cf-0e134a718552","TCGA-ET-A3DQ-01A")</f>
        <v>TCGA-ET-A3DQ-01A</v>
      </c>
      <c r="I20446" t="s">
        <v>333</v>
      </c>
      <c r="J20446" t="s">
        <v>584</v>
      </c>
      <c r="K20446" t="s">
        <v>33</v>
      </c>
      <c r="L20446" t="s">
        <v>335</v>
      </c>
      <c r="N20446" t="s">
        <v>29</v>
      </c>
    </row>
    <row r="20447" spans="1:14">
      <c r="A20447" s="4" t="str">
        <f t="shared" si="1386"/>
        <v>EXP00448</v>
      </c>
      <c r="B20447" s="3" t="s">
        <v>66</v>
      </c>
      <c r="C20447" s="4" t="str">
        <f t="shared" si="1387"/>
        <v>TCGA-THCA</v>
      </c>
      <c r="D20447" s="1" t="s">
        <v>493</v>
      </c>
      <c r="E20447" t="s">
        <v>591</v>
      </c>
      <c r="F20447" s="1">
        <v>2</v>
      </c>
      <c r="G20447" s="1" t="s">
        <v>28</v>
      </c>
      <c r="H20447" s="4" t="str">
        <f>HYPERLINK("https://portal.gdc.cancer.gov/cases/a061976d-ba2c-4a18-a51e-952f198eb4d5","TCGA-ET-A3DR-01A")</f>
        <v>TCGA-ET-A3DR-01A</v>
      </c>
      <c r="I20447" t="s">
        <v>333</v>
      </c>
      <c r="J20447" t="s">
        <v>584</v>
      </c>
      <c r="K20447" t="s">
        <v>33</v>
      </c>
      <c r="L20447" t="s">
        <v>335</v>
      </c>
      <c r="N20447" t="s">
        <v>29</v>
      </c>
    </row>
    <row r="20448" spans="1:14">
      <c r="A20448" s="4" t="str">
        <f t="shared" si="1386"/>
        <v>EXP00448</v>
      </c>
      <c r="B20448" s="3" t="s">
        <v>66</v>
      </c>
      <c r="C20448" s="4" t="str">
        <f t="shared" si="1387"/>
        <v>TCGA-THCA</v>
      </c>
      <c r="D20448" s="1" t="s">
        <v>493</v>
      </c>
      <c r="E20448" t="s">
        <v>591</v>
      </c>
      <c r="F20448" s="1">
        <v>2</v>
      </c>
      <c r="G20448" s="1" t="s">
        <v>28</v>
      </c>
      <c r="H20448" s="4" t="str">
        <f>HYPERLINK("https://portal.gdc.cancer.gov/cases/5cdaa0c8-27b8-4552-9dcd-20d67b1eb70f","TCGA-ET-A3DS-01A")</f>
        <v>TCGA-ET-A3DS-01A</v>
      </c>
      <c r="I20448" t="s">
        <v>333</v>
      </c>
      <c r="J20448" t="s">
        <v>584</v>
      </c>
      <c r="K20448" t="s">
        <v>33</v>
      </c>
      <c r="L20448" t="s">
        <v>335</v>
      </c>
      <c r="N20448" t="s">
        <v>29</v>
      </c>
    </row>
    <row r="20449" spans="1:14">
      <c r="A20449" s="4" t="str">
        <f t="shared" si="1386"/>
        <v>EXP00448</v>
      </c>
      <c r="B20449" s="3" t="s">
        <v>66</v>
      </c>
      <c r="C20449" s="4" t="str">
        <f t="shared" si="1387"/>
        <v>TCGA-THCA</v>
      </c>
      <c r="D20449" s="1" t="s">
        <v>493</v>
      </c>
      <c r="E20449" t="s">
        <v>591</v>
      </c>
      <c r="F20449" s="1">
        <v>2</v>
      </c>
      <c r="G20449" s="1" t="s">
        <v>28</v>
      </c>
      <c r="H20449" s="4" t="str">
        <f>HYPERLINK("https://portal.gdc.cancer.gov/cases/c047e741-2b29-45df-a577-351bddc50eb8","TCGA-ET-A3DU-01A")</f>
        <v>TCGA-ET-A3DU-01A</v>
      </c>
      <c r="I20449" t="s">
        <v>333</v>
      </c>
      <c r="J20449" t="s">
        <v>584</v>
      </c>
      <c r="K20449" t="s">
        <v>33</v>
      </c>
      <c r="L20449" t="s">
        <v>335</v>
      </c>
      <c r="N20449" t="s">
        <v>29</v>
      </c>
    </row>
    <row r="20450" spans="1:14">
      <c r="A20450" s="4" t="str">
        <f t="shared" si="1386"/>
        <v>EXP00448</v>
      </c>
      <c r="B20450" s="3" t="s">
        <v>66</v>
      </c>
      <c r="C20450" s="4" t="str">
        <f t="shared" si="1387"/>
        <v>TCGA-THCA</v>
      </c>
      <c r="D20450" s="1" t="s">
        <v>493</v>
      </c>
      <c r="E20450" t="s">
        <v>591</v>
      </c>
      <c r="F20450" s="1">
        <v>2</v>
      </c>
      <c r="G20450" s="1" t="s">
        <v>28</v>
      </c>
      <c r="H20450" s="4" t="str">
        <f>HYPERLINK("https://portal.gdc.cancer.gov/cases/b46d88e9-8477-4900-8da9-5e7dbded0653","TCGA-ET-A3DV-01A")</f>
        <v>TCGA-ET-A3DV-01A</v>
      </c>
      <c r="I20450" t="s">
        <v>333</v>
      </c>
      <c r="J20450" t="s">
        <v>584</v>
      </c>
      <c r="K20450" t="s">
        <v>33</v>
      </c>
      <c r="L20450" t="s">
        <v>335</v>
      </c>
      <c r="N20450" t="s">
        <v>29</v>
      </c>
    </row>
    <row r="20451" spans="1:14">
      <c r="A20451" s="4" t="str">
        <f t="shared" si="1386"/>
        <v>EXP00448</v>
      </c>
      <c r="B20451" s="3" t="s">
        <v>66</v>
      </c>
      <c r="C20451" s="4" t="str">
        <f t="shared" si="1387"/>
        <v>TCGA-THCA</v>
      </c>
      <c r="D20451" s="1" t="s">
        <v>493</v>
      </c>
      <c r="E20451" t="s">
        <v>591</v>
      </c>
      <c r="F20451" s="1">
        <v>2</v>
      </c>
      <c r="G20451" s="1" t="s">
        <v>28</v>
      </c>
      <c r="H20451" s="4" t="str">
        <f>HYPERLINK("https://portal.gdc.cancer.gov/cases/424de829-9efd-4689-ac5d-24485a5d5ecf","TCGA-ET-A3DW-01A")</f>
        <v>TCGA-ET-A3DW-01A</v>
      </c>
      <c r="I20451" t="s">
        <v>333</v>
      </c>
      <c r="J20451" t="s">
        <v>584</v>
      </c>
      <c r="K20451" t="s">
        <v>33</v>
      </c>
      <c r="L20451" t="s">
        <v>335</v>
      </c>
      <c r="N20451" t="s">
        <v>29</v>
      </c>
    </row>
    <row r="20452" spans="1:14">
      <c r="A20452" s="4" t="str">
        <f t="shared" si="1386"/>
        <v>EXP00448</v>
      </c>
      <c r="B20452" s="3" t="s">
        <v>66</v>
      </c>
      <c r="C20452" s="4" t="str">
        <f t="shared" si="1387"/>
        <v>TCGA-THCA</v>
      </c>
      <c r="D20452" s="1" t="s">
        <v>493</v>
      </c>
      <c r="E20452" t="s">
        <v>591</v>
      </c>
      <c r="F20452" s="1">
        <v>2</v>
      </c>
      <c r="G20452" s="1" t="s">
        <v>28</v>
      </c>
      <c r="H20452" s="4" t="str">
        <f>HYPERLINK("https://portal.gdc.cancer.gov/cases/7b49f263-fa0d-4f1b-9c00-1ff7a8c9ac79","TCGA-ET-A40P-01A")</f>
        <v>TCGA-ET-A40P-01A</v>
      </c>
      <c r="I20452" t="s">
        <v>333</v>
      </c>
      <c r="J20452" t="s">
        <v>584</v>
      </c>
      <c r="K20452" t="s">
        <v>33</v>
      </c>
      <c r="L20452" t="s">
        <v>335</v>
      </c>
      <c r="N20452" t="s">
        <v>29</v>
      </c>
    </row>
    <row r="20453" spans="1:14">
      <c r="A20453" s="4" t="str">
        <f t="shared" si="1386"/>
        <v>EXP00448</v>
      </c>
      <c r="B20453" s="3" t="s">
        <v>66</v>
      </c>
      <c r="C20453" s="4" t="str">
        <f t="shared" si="1387"/>
        <v>TCGA-THCA</v>
      </c>
      <c r="D20453" s="1" t="s">
        <v>493</v>
      </c>
      <c r="E20453" t="s">
        <v>591</v>
      </c>
      <c r="F20453" s="1">
        <v>2</v>
      </c>
      <c r="G20453" s="1" t="s">
        <v>28</v>
      </c>
      <c r="H20453" s="4" t="str">
        <f>HYPERLINK("https://portal.gdc.cancer.gov/cases/2513ab46-646c-4750-ab42-de3940890553","TCGA-ET-A40R-01A")</f>
        <v>TCGA-ET-A40R-01A</v>
      </c>
      <c r="I20453" t="s">
        <v>333</v>
      </c>
      <c r="J20453" t="s">
        <v>584</v>
      </c>
      <c r="K20453" t="s">
        <v>33</v>
      </c>
      <c r="L20453" t="s">
        <v>335</v>
      </c>
      <c r="N20453" t="s">
        <v>29</v>
      </c>
    </row>
    <row r="20454" spans="1:14">
      <c r="A20454" s="4" t="str">
        <f t="shared" ref="A20454:A20517" si="1388">HYPERLINK("http://hcmdb.i-sanger.com/experiment/details/experiment_id/EXP00448","EXP00448")</f>
        <v>EXP00448</v>
      </c>
      <c r="B20454" s="3" t="s">
        <v>66</v>
      </c>
      <c r="C20454" s="4" t="str">
        <f t="shared" si="1387"/>
        <v>TCGA-THCA</v>
      </c>
      <c r="D20454" s="1" t="s">
        <v>493</v>
      </c>
      <c r="E20454" t="s">
        <v>591</v>
      </c>
      <c r="F20454" s="1">
        <v>2</v>
      </c>
      <c r="G20454" s="1" t="s">
        <v>28</v>
      </c>
      <c r="H20454" s="4" t="str">
        <f>HYPERLINK("https://portal.gdc.cancer.gov/cases/c8d62754-1601-40c0-98ef-e5bb94306b92","TCGA-ET-A40S-01A")</f>
        <v>TCGA-ET-A40S-01A</v>
      </c>
      <c r="I20454" t="s">
        <v>333</v>
      </c>
      <c r="J20454" t="s">
        <v>584</v>
      </c>
      <c r="K20454" t="s">
        <v>33</v>
      </c>
      <c r="L20454" t="s">
        <v>335</v>
      </c>
      <c r="N20454" t="s">
        <v>29</v>
      </c>
    </row>
    <row r="20455" spans="1:14">
      <c r="A20455" s="4" t="str">
        <f t="shared" si="1388"/>
        <v>EXP00448</v>
      </c>
      <c r="B20455" s="3" t="s">
        <v>66</v>
      </c>
      <c r="C20455" s="4" t="str">
        <f t="shared" si="1387"/>
        <v>TCGA-THCA</v>
      </c>
      <c r="D20455" s="1" t="s">
        <v>493</v>
      </c>
      <c r="E20455" t="s">
        <v>591</v>
      </c>
      <c r="F20455" s="1">
        <v>2</v>
      </c>
      <c r="G20455" s="1" t="s">
        <v>28</v>
      </c>
      <c r="H20455" s="4" t="str">
        <f>HYPERLINK("https://portal.gdc.cancer.gov/cases/2cae34a6-73a0-4a67-8dcc-051468c41389","TCGA-ET-A40T-01A")</f>
        <v>TCGA-ET-A40T-01A</v>
      </c>
      <c r="I20455" t="s">
        <v>333</v>
      </c>
      <c r="J20455" t="s">
        <v>584</v>
      </c>
      <c r="K20455" t="s">
        <v>33</v>
      </c>
      <c r="L20455" t="s">
        <v>335</v>
      </c>
      <c r="N20455" t="s">
        <v>29</v>
      </c>
    </row>
    <row r="20456" spans="1:14">
      <c r="A20456" s="4" t="str">
        <f t="shared" si="1388"/>
        <v>EXP00448</v>
      </c>
      <c r="B20456" s="3" t="s">
        <v>66</v>
      </c>
      <c r="C20456" s="4" t="str">
        <f t="shared" si="1387"/>
        <v>TCGA-THCA</v>
      </c>
      <c r="D20456" s="1" t="s">
        <v>493</v>
      </c>
      <c r="E20456" t="s">
        <v>591</v>
      </c>
      <c r="F20456" s="1">
        <v>2</v>
      </c>
      <c r="G20456" s="1" t="s">
        <v>28</v>
      </c>
      <c r="H20456" s="4" t="str">
        <f>HYPERLINK("https://portal.gdc.cancer.gov/cases/7629f864-a009-4aa9-bf7e-2d99e00d294e","TCGA-ET-A4KN-01A")</f>
        <v>TCGA-ET-A4KN-01A</v>
      </c>
      <c r="I20456" t="s">
        <v>333</v>
      </c>
      <c r="J20456" t="s">
        <v>584</v>
      </c>
      <c r="K20456" t="s">
        <v>33</v>
      </c>
      <c r="L20456" t="s">
        <v>335</v>
      </c>
      <c r="N20456" t="s">
        <v>29</v>
      </c>
    </row>
    <row r="20457" spans="1:14">
      <c r="A20457" s="4" t="str">
        <f t="shared" si="1388"/>
        <v>EXP00448</v>
      </c>
      <c r="B20457" s="3" t="s">
        <v>66</v>
      </c>
      <c r="C20457" s="4" t="str">
        <f t="shared" si="1387"/>
        <v>TCGA-THCA</v>
      </c>
      <c r="D20457" s="1" t="s">
        <v>493</v>
      </c>
      <c r="E20457" t="s">
        <v>591</v>
      </c>
      <c r="F20457" s="1">
        <v>2</v>
      </c>
      <c r="G20457" s="1" t="s">
        <v>28</v>
      </c>
      <c r="H20457" s="4" t="str">
        <f>HYPERLINK("https://portal.gdc.cancer.gov/cases/29963391-3926-4b7c-8066-185f0f2d5bfc","TCGA-ET-A4KQ-01A")</f>
        <v>TCGA-ET-A4KQ-01A</v>
      </c>
      <c r="I20457" t="s">
        <v>333</v>
      </c>
      <c r="J20457" t="s">
        <v>584</v>
      </c>
      <c r="K20457" t="s">
        <v>33</v>
      </c>
      <c r="L20457" t="s">
        <v>335</v>
      </c>
      <c r="N20457" t="s">
        <v>29</v>
      </c>
    </row>
    <row r="20458" spans="1:14">
      <c r="A20458" s="4" t="str">
        <f t="shared" si="1388"/>
        <v>EXP00448</v>
      </c>
      <c r="B20458" s="3" t="s">
        <v>66</v>
      </c>
      <c r="C20458" s="4" t="str">
        <f t="shared" si="1387"/>
        <v>TCGA-THCA</v>
      </c>
      <c r="D20458" s="1" t="s">
        <v>493</v>
      </c>
      <c r="E20458" t="s">
        <v>591</v>
      </c>
      <c r="F20458" s="1">
        <v>2</v>
      </c>
      <c r="G20458" s="1" t="s">
        <v>28</v>
      </c>
      <c r="H20458" s="4" t="str">
        <f>HYPERLINK("https://portal.gdc.cancer.gov/cases/78d14f86-896a-4f98-9274-b2e8e387add9","TCGA-FE-A22Z-01A")</f>
        <v>TCGA-FE-A22Z-01A</v>
      </c>
      <c r="I20458" t="s">
        <v>333</v>
      </c>
      <c r="J20458" t="s">
        <v>584</v>
      </c>
      <c r="K20458" t="s">
        <v>33</v>
      </c>
      <c r="L20458" t="s">
        <v>335</v>
      </c>
      <c r="N20458" t="s">
        <v>29</v>
      </c>
    </row>
    <row r="20459" spans="1:14">
      <c r="A20459" s="4" t="str">
        <f t="shared" si="1388"/>
        <v>EXP00448</v>
      </c>
      <c r="B20459" s="3" t="s">
        <v>66</v>
      </c>
      <c r="C20459" s="4" t="str">
        <f t="shared" si="1387"/>
        <v>TCGA-THCA</v>
      </c>
      <c r="D20459" s="1" t="s">
        <v>493</v>
      </c>
      <c r="E20459" t="s">
        <v>591</v>
      </c>
      <c r="F20459" s="1">
        <v>2</v>
      </c>
      <c r="G20459" s="1" t="s">
        <v>28</v>
      </c>
      <c r="H20459" s="4" t="str">
        <f>HYPERLINK("https://portal.gdc.cancer.gov/cases/b1d71782-2443-43f3-bd0e-8b7220515cb6","TCGA-FE-A230-01A")</f>
        <v>TCGA-FE-A230-01A</v>
      </c>
      <c r="I20459" t="s">
        <v>333</v>
      </c>
      <c r="J20459" t="s">
        <v>584</v>
      </c>
      <c r="K20459" t="s">
        <v>33</v>
      </c>
      <c r="L20459" t="s">
        <v>335</v>
      </c>
      <c r="N20459" t="s">
        <v>29</v>
      </c>
    </row>
    <row r="20460" spans="1:14">
      <c r="A20460" s="4" t="str">
        <f t="shared" si="1388"/>
        <v>EXP00448</v>
      </c>
      <c r="B20460" s="3" t="s">
        <v>66</v>
      </c>
      <c r="C20460" s="4" t="str">
        <f t="shared" si="1387"/>
        <v>TCGA-THCA</v>
      </c>
      <c r="D20460" s="1" t="s">
        <v>493</v>
      </c>
      <c r="E20460" t="s">
        <v>591</v>
      </c>
      <c r="F20460" s="1">
        <v>2</v>
      </c>
      <c r="G20460" s="1" t="s">
        <v>28</v>
      </c>
      <c r="H20460" s="4" t="str">
        <f>HYPERLINK("https://portal.gdc.cancer.gov/cases/7044dee0-fd6c-4e75-b731-dc60a386a1ab","TCGA-FE-A231-01A")</f>
        <v>TCGA-FE-A231-01A</v>
      </c>
      <c r="I20460" t="s">
        <v>333</v>
      </c>
      <c r="J20460" t="s">
        <v>584</v>
      </c>
      <c r="K20460" t="s">
        <v>33</v>
      </c>
      <c r="L20460" t="s">
        <v>335</v>
      </c>
      <c r="N20460" t="s">
        <v>29</v>
      </c>
    </row>
    <row r="20461" spans="1:14">
      <c r="A20461" s="4" t="str">
        <f t="shared" si="1388"/>
        <v>EXP00448</v>
      </c>
      <c r="B20461" s="3" t="s">
        <v>66</v>
      </c>
      <c r="C20461" s="4" t="str">
        <f t="shared" si="1387"/>
        <v>TCGA-THCA</v>
      </c>
      <c r="D20461" s="1" t="s">
        <v>493</v>
      </c>
      <c r="E20461" t="s">
        <v>591</v>
      </c>
      <c r="F20461" s="1">
        <v>2</v>
      </c>
      <c r="G20461" s="1" t="s">
        <v>28</v>
      </c>
      <c r="H20461" s="4" t="str">
        <f>HYPERLINK("https://portal.gdc.cancer.gov/cases/5eb0d577-223b-4409-89d1-5c5d196affc3","TCGA-FE-A232-01A")</f>
        <v>TCGA-FE-A232-01A</v>
      </c>
      <c r="I20461" t="s">
        <v>333</v>
      </c>
      <c r="J20461" t="s">
        <v>584</v>
      </c>
      <c r="K20461" t="s">
        <v>33</v>
      </c>
      <c r="L20461" t="s">
        <v>335</v>
      </c>
      <c r="N20461" t="s">
        <v>29</v>
      </c>
    </row>
    <row r="20462" spans="1:14">
      <c r="A20462" s="4" t="str">
        <f t="shared" si="1388"/>
        <v>EXP00448</v>
      </c>
      <c r="B20462" s="3" t="s">
        <v>66</v>
      </c>
      <c r="C20462" s="4" t="str">
        <f t="shared" si="1387"/>
        <v>TCGA-THCA</v>
      </c>
      <c r="D20462" s="1" t="s">
        <v>493</v>
      </c>
      <c r="E20462" t="s">
        <v>591</v>
      </c>
      <c r="F20462" s="1">
        <v>2</v>
      </c>
      <c r="G20462" s="1" t="s">
        <v>28</v>
      </c>
      <c r="H20462" s="4" t="str">
        <f>HYPERLINK("https://portal.gdc.cancer.gov/cases/e70feafd-1390-4f4c-a635-da65c1a7daeb","TCGA-FE-A233-01A")</f>
        <v>TCGA-FE-A233-01A</v>
      </c>
      <c r="I20462" t="s">
        <v>333</v>
      </c>
      <c r="J20462" t="s">
        <v>584</v>
      </c>
      <c r="K20462" t="s">
        <v>33</v>
      </c>
      <c r="L20462" t="s">
        <v>335</v>
      </c>
      <c r="N20462" t="s">
        <v>29</v>
      </c>
    </row>
    <row r="20463" spans="1:14">
      <c r="A20463" s="4" t="str">
        <f t="shared" si="1388"/>
        <v>EXP00448</v>
      </c>
      <c r="B20463" s="3" t="s">
        <v>66</v>
      </c>
      <c r="C20463" s="4" t="str">
        <f t="shared" si="1387"/>
        <v>TCGA-THCA</v>
      </c>
      <c r="D20463" s="1" t="s">
        <v>493</v>
      </c>
      <c r="E20463" t="s">
        <v>591</v>
      </c>
      <c r="F20463" s="1">
        <v>2</v>
      </c>
      <c r="G20463" s="1" t="s">
        <v>28</v>
      </c>
      <c r="H20463" s="4" t="str">
        <f>HYPERLINK("https://portal.gdc.cancer.gov/cases/e4c85bdd-7b7c-414f-9503-647d9b825915","TCGA-FE-A234-01A")</f>
        <v>TCGA-FE-A234-01A</v>
      </c>
      <c r="I20463" t="s">
        <v>333</v>
      </c>
      <c r="J20463" t="s">
        <v>584</v>
      </c>
      <c r="K20463" t="s">
        <v>33</v>
      </c>
      <c r="L20463" t="s">
        <v>335</v>
      </c>
      <c r="N20463" t="s">
        <v>29</v>
      </c>
    </row>
    <row r="20464" spans="1:14">
      <c r="A20464" s="4" t="str">
        <f t="shared" si="1388"/>
        <v>EXP00448</v>
      </c>
      <c r="B20464" s="3" t="s">
        <v>66</v>
      </c>
      <c r="C20464" s="4" t="str">
        <f t="shared" si="1387"/>
        <v>TCGA-THCA</v>
      </c>
      <c r="D20464" s="1" t="s">
        <v>493</v>
      </c>
      <c r="E20464" t="s">
        <v>591</v>
      </c>
      <c r="F20464" s="1">
        <v>2</v>
      </c>
      <c r="G20464" s="1" t="s">
        <v>28</v>
      </c>
      <c r="H20464" s="4" t="str">
        <f>HYPERLINK("https://portal.gdc.cancer.gov/cases/c781b49e-d08f-49e6-b774-7cfe4100e92d","TCGA-FE-A235-01A")</f>
        <v>TCGA-FE-A235-01A</v>
      </c>
      <c r="I20464" t="s">
        <v>333</v>
      </c>
      <c r="J20464" t="s">
        <v>584</v>
      </c>
      <c r="K20464" t="s">
        <v>33</v>
      </c>
      <c r="L20464" t="s">
        <v>335</v>
      </c>
      <c r="N20464" t="s">
        <v>29</v>
      </c>
    </row>
    <row r="20465" spans="1:14">
      <c r="A20465" s="4" t="str">
        <f t="shared" si="1388"/>
        <v>EXP00448</v>
      </c>
      <c r="B20465" s="3" t="s">
        <v>66</v>
      </c>
      <c r="C20465" s="4" t="str">
        <f t="shared" si="1387"/>
        <v>TCGA-THCA</v>
      </c>
      <c r="D20465" s="1" t="s">
        <v>493</v>
      </c>
      <c r="E20465" t="s">
        <v>591</v>
      </c>
      <c r="F20465" s="1">
        <v>2</v>
      </c>
      <c r="G20465" s="1" t="s">
        <v>28</v>
      </c>
      <c r="H20465" s="4" t="str">
        <f>HYPERLINK("https://portal.gdc.cancer.gov/cases/300720c8-68e5-4a3b-a873-3ad36ad0f953","TCGA-FE-A236-01A")</f>
        <v>TCGA-FE-A236-01A</v>
      </c>
      <c r="I20465" t="s">
        <v>333</v>
      </c>
      <c r="J20465" t="s">
        <v>584</v>
      </c>
      <c r="K20465" t="s">
        <v>33</v>
      </c>
      <c r="L20465" t="s">
        <v>335</v>
      </c>
      <c r="N20465" t="s">
        <v>29</v>
      </c>
    </row>
    <row r="20466" spans="1:14">
      <c r="A20466" s="4" t="str">
        <f t="shared" si="1388"/>
        <v>EXP00448</v>
      </c>
      <c r="B20466" s="3" t="s">
        <v>66</v>
      </c>
      <c r="C20466" s="4" t="str">
        <f t="shared" si="1387"/>
        <v>TCGA-THCA</v>
      </c>
      <c r="D20466" s="1" t="s">
        <v>493</v>
      </c>
      <c r="E20466" t="s">
        <v>591</v>
      </c>
      <c r="F20466" s="1">
        <v>2</v>
      </c>
      <c r="G20466" s="1" t="s">
        <v>28</v>
      </c>
      <c r="H20466" s="4" t="str">
        <f>HYPERLINK("https://portal.gdc.cancer.gov/cases/7d11b016-c564-4fb5-9b85-1b1a0188006f","TCGA-FE-A237-01A")</f>
        <v>TCGA-FE-A237-01A</v>
      </c>
      <c r="I20466" t="s">
        <v>333</v>
      </c>
      <c r="J20466" t="s">
        <v>584</v>
      </c>
      <c r="K20466" t="s">
        <v>33</v>
      </c>
      <c r="L20466" t="s">
        <v>335</v>
      </c>
      <c r="N20466" t="s">
        <v>29</v>
      </c>
    </row>
    <row r="20467" spans="1:14">
      <c r="A20467" s="4" t="str">
        <f t="shared" si="1388"/>
        <v>EXP00448</v>
      </c>
      <c r="B20467" s="3" t="s">
        <v>66</v>
      </c>
      <c r="C20467" s="4" t="str">
        <f t="shared" si="1387"/>
        <v>TCGA-THCA</v>
      </c>
      <c r="D20467" s="1" t="s">
        <v>493</v>
      </c>
      <c r="E20467" t="s">
        <v>591</v>
      </c>
      <c r="F20467" s="1">
        <v>2</v>
      </c>
      <c r="G20467" s="1" t="s">
        <v>28</v>
      </c>
      <c r="H20467" s="4" t="str">
        <f>HYPERLINK("https://portal.gdc.cancer.gov/cases/dffc4f7a-c67a-4ac5-a338-717dffde686d","TCGA-FE-A238-01A")</f>
        <v>TCGA-FE-A238-01A</v>
      </c>
      <c r="I20467" t="s">
        <v>333</v>
      </c>
      <c r="J20467" t="s">
        <v>584</v>
      </c>
      <c r="K20467" t="s">
        <v>33</v>
      </c>
      <c r="L20467" t="s">
        <v>335</v>
      </c>
      <c r="N20467" t="s">
        <v>29</v>
      </c>
    </row>
    <row r="20468" spans="1:14">
      <c r="A20468" s="4" t="str">
        <f t="shared" si="1388"/>
        <v>EXP00448</v>
      </c>
      <c r="B20468" s="3" t="s">
        <v>66</v>
      </c>
      <c r="C20468" s="4" t="str">
        <f t="shared" si="1387"/>
        <v>TCGA-THCA</v>
      </c>
      <c r="D20468" s="1" t="s">
        <v>493</v>
      </c>
      <c r="E20468" t="s">
        <v>591</v>
      </c>
      <c r="F20468" s="1">
        <v>2</v>
      </c>
      <c r="G20468" s="1" t="s">
        <v>28</v>
      </c>
      <c r="H20468" s="4" t="str">
        <f>HYPERLINK("https://portal.gdc.cancer.gov/cases/fc70a652-7925-4759-8e1f-05fd56829df4","TCGA-FE-A239-01A")</f>
        <v>TCGA-FE-A239-01A</v>
      </c>
      <c r="I20468" t="s">
        <v>333</v>
      </c>
      <c r="J20468" t="s">
        <v>584</v>
      </c>
      <c r="K20468" t="s">
        <v>33</v>
      </c>
      <c r="L20468" t="s">
        <v>335</v>
      </c>
      <c r="N20468" t="s">
        <v>29</v>
      </c>
    </row>
    <row r="20469" spans="1:14">
      <c r="A20469" s="4" t="str">
        <f t="shared" si="1388"/>
        <v>EXP00448</v>
      </c>
      <c r="B20469" s="3" t="s">
        <v>66</v>
      </c>
      <c r="C20469" s="4" t="str">
        <f t="shared" ref="C20469:C20532" si="1389">HYPERLINK("https://portal.gdc.cancer.gov/projects/TCGA-THCA","TCGA-THCA")</f>
        <v>TCGA-THCA</v>
      </c>
      <c r="D20469" s="1" t="s">
        <v>493</v>
      </c>
      <c r="E20469" t="s">
        <v>591</v>
      </c>
      <c r="F20469" s="1">
        <v>2</v>
      </c>
      <c r="G20469" s="1" t="s">
        <v>28</v>
      </c>
      <c r="H20469" s="4" t="str">
        <f>HYPERLINK("https://portal.gdc.cancer.gov/cases/fd8c4ff3-e759-495f-96e7-1f406bb70190","TCGA-FE-A23A-01A")</f>
        <v>TCGA-FE-A23A-01A</v>
      </c>
      <c r="I20469" t="s">
        <v>333</v>
      </c>
      <c r="J20469" t="s">
        <v>584</v>
      </c>
      <c r="K20469" t="s">
        <v>33</v>
      </c>
      <c r="L20469" t="s">
        <v>335</v>
      </c>
      <c r="N20469" t="s">
        <v>29</v>
      </c>
    </row>
    <row r="20470" spans="1:14">
      <c r="A20470" s="4" t="str">
        <f t="shared" si="1388"/>
        <v>EXP00448</v>
      </c>
      <c r="B20470" s="3" t="s">
        <v>66</v>
      </c>
      <c r="C20470" s="4" t="str">
        <f t="shared" si="1389"/>
        <v>TCGA-THCA</v>
      </c>
      <c r="D20470" s="1" t="s">
        <v>493</v>
      </c>
      <c r="E20470" t="s">
        <v>591</v>
      </c>
      <c r="F20470" s="1">
        <v>2</v>
      </c>
      <c r="G20470" s="1" t="s">
        <v>28</v>
      </c>
      <c r="H20470" s="4" t="str">
        <f>HYPERLINK("https://portal.gdc.cancer.gov/cases/10bdafbb-831d-48b5-b9a3-ad374fc50235","TCGA-FE-A3PA-01A")</f>
        <v>TCGA-FE-A3PA-01A</v>
      </c>
      <c r="I20470" t="s">
        <v>333</v>
      </c>
      <c r="J20470" t="s">
        <v>584</v>
      </c>
      <c r="K20470" t="s">
        <v>33</v>
      </c>
      <c r="L20470" t="s">
        <v>335</v>
      </c>
      <c r="N20470" t="s">
        <v>29</v>
      </c>
    </row>
    <row r="20471" spans="1:14">
      <c r="A20471" s="4" t="str">
        <f t="shared" si="1388"/>
        <v>EXP00448</v>
      </c>
      <c r="B20471" s="3" t="s">
        <v>66</v>
      </c>
      <c r="C20471" s="4" t="str">
        <f t="shared" si="1389"/>
        <v>TCGA-THCA</v>
      </c>
      <c r="D20471" s="1" t="s">
        <v>493</v>
      </c>
      <c r="E20471" t="s">
        <v>591</v>
      </c>
      <c r="F20471" s="1">
        <v>2</v>
      </c>
      <c r="G20471" s="1" t="s">
        <v>28</v>
      </c>
      <c r="H20471" s="4" t="str">
        <f>HYPERLINK("https://portal.gdc.cancer.gov/cases/05a8268a-6b33-429b-8638-8c9bb366ef28","TCGA-FE-A3PB-01A")</f>
        <v>TCGA-FE-A3PB-01A</v>
      </c>
      <c r="I20471" t="s">
        <v>333</v>
      </c>
      <c r="J20471" t="s">
        <v>584</v>
      </c>
      <c r="K20471" t="s">
        <v>33</v>
      </c>
      <c r="L20471" t="s">
        <v>335</v>
      </c>
      <c r="N20471" t="s">
        <v>29</v>
      </c>
    </row>
    <row r="20472" spans="1:14">
      <c r="A20472" s="4" t="str">
        <f t="shared" si="1388"/>
        <v>EXP00448</v>
      </c>
      <c r="B20472" s="3" t="s">
        <v>66</v>
      </c>
      <c r="C20472" s="4" t="str">
        <f t="shared" si="1389"/>
        <v>TCGA-THCA</v>
      </c>
      <c r="D20472" s="1" t="s">
        <v>493</v>
      </c>
      <c r="E20472" t="s">
        <v>591</v>
      </c>
      <c r="F20472" s="1">
        <v>2</v>
      </c>
      <c r="G20472" s="1" t="s">
        <v>28</v>
      </c>
      <c r="H20472" s="4" t="str">
        <f>HYPERLINK("https://portal.gdc.cancer.gov/cases/a86ac3b5-b5e9-4420-8de0-a358fcad85b6","TCGA-FE-A3PC-01A")</f>
        <v>TCGA-FE-A3PC-01A</v>
      </c>
      <c r="I20472" t="s">
        <v>333</v>
      </c>
      <c r="J20472" t="s">
        <v>584</v>
      </c>
      <c r="K20472" t="s">
        <v>33</v>
      </c>
      <c r="L20472" t="s">
        <v>335</v>
      </c>
      <c r="N20472" t="s">
        <v>29</v>
      </c>
    </row>
    <row r="20473" spans="1:14">
      <c r="A20473" s="4" t="str">
        <f t="shared" si="1388"/>
        <v>EXP00448</v>
      </c>
      <c r="B20473" s="3" t="s">
        <v>66</v>
      </c>
      <c r="C20473" s="4" t="str">
        <f t="shared" si="1389"/>
        <v>TCGA-THCA</v>
      </c>
      <c r="D20473" s="1" t="s">
        <v>493</v>
      </c>
      <c r="E20473" t="s">
        <v>591</v>
      </c>
      <c r="F20473" s="1">
        <v>2</v>
      </c>
      <c r="G20473" s="1" t="s">
        <v>28</v>
      </c>
      <c r="H20473" s="4" t="str">
        <f>HYPERLINK("https://portal.gdc.cancer.gov/cases/39d90499-8549-4da5-b391-c421f18facf1","TCGA-FE-A3PD-01A")</f>
        <v>TCGA-FE-A3PD-01A</v>
      </c>
      <c r="I20473" t="s">
        <v>333</v>
      </c>
      <c r="J20473" t="s">
        <v>584</v>
      </c>
      <c r="K20473" t="s">
        <v>33</v>
      </c>
      <c r="L20473" t="s">
        <v>335</v>
      </c>
      <c r="N20473" t="s">
        <v>29</v>
      </c>
    </row>
    <row r="20474" spans="1:14">
      <c r="A20474" s="4" t="str">
        <f t="shared" si="1388"/>
        <v>EXP00448</v>
      </c>
      <c r="B20474" s="3" t="s">
        <v>66</v>
      </c>
      <c r="C20474" s="4" t="str">
        <f t="shared" si="1389"/>
        <v>TCGA-THCA</v>
      </c>
      <c r="D20474" s="1" t="s">
        <v>493</v>
      </c>
      <c r="E20474" t="s">
        <v>591</v>
      </c>
      <c r="F20474" s="1">
        <v>2</v>
      </c>
      <c r="G20474" s="1" t="s">
        <v>28</v>
      </c>
      <c r="H20474" s="4" t="str">
        <f>HYPERLINK("https://portal.gdc.cancer.gov/cases/785803bb-42a8-4afb-b7b4-58c114894408","TCGA-FK-A3S3-01A")</f>
        <v>TCGA-FK-A3S3-01A</v>
      </c>
      <c r="I20474" t="s">
        <v>333</v>
      </c>
      <c r="J20474" t="s">
        <v>584</v>
      </c>
      <c r="K20474" t="s">
        <v>33</v>
      </c>
      <c r="L20474" t="s">
        <v>335</v>
      </c>
      <c r="N20474" t="s">
        <v>29</v>
      </c>
    </row>
    <row r="20475" spans="1:14">
      <c r="A20475" s="4" t="str">
        <f t="shared" si="1388"/>
        <v>EXP00448</v>
      </c>
      <c r="B20475" s="3" t="s">
        <v>66</v>
      </c>
      <c r="C20475" s="4" t="str">
        <f t="shared" si="1389"/>
        <v>TCGA-THCA</v>
      </c>
      <c r="D20475" s="1" t="s">
        <v>493</v>
      </c>
      <c r="E20475" t="s">
        <v>591</v>
      </c>
      <c r="F20475" s="1">
        <v>2</v>
      </c>
      <c r="G20475" s="1" t="s">
        <v>28</v>
      </c>
      <c r="H20475" s="4" t="str">
        <f>HYPERLINK("https://portal.gdc.cancer.gov/cases/8950691c-600f-4a90-adf6-42a8f129aa3e","TCGA-FK-A3SB-01A")</f>
        <v>TCGA-FK-A3SB-01A</v>
      </c>
      <c r="I20475" t="s">
        <v>333</v>
      </c>
      <c r="J20475" t="s">
        <v>584</v>
      </c>
      <c r="K20475" t="s">
        <v>33</v>
      </c>
      <c r="L20475" t="s">
        <v>335</v>
      </c>
      <c r="N20475" t="s">
        <v>29</v>
      </c>
    </row>
    <row r="20476" spans="1:14">
      <c r="A20476" s="4" t="str">
        <f t="shared" si="1388"/>
        <v>EXP00448</v>
      </c>
      <c r="B20476" s="3" t="s">
        <v>66</v>
      </c>
      <c r="C20476" s="4" t="str">
        <f t="shared" si="1389"/>
        <v>TCGA-THCA</v>
      </c>
      <c r="D20476" s="1" t="s">
        <v>493</v>
      </c>
      <c r="E20476" t="s">
        <v>591</v>
      </c>
      <c r="F20476" s="1">
        <v>2</v>
      </c>
      <c r="G20476" s="1" t="s">
        <v>28</v>
      </c>
      <c r="H20476" s="4" t="str">
        <f>HYPERLINK("https://portal.gdc.cancer.gov/cases/63b01b43-a68a-4046-89b0-736ba4d08504","TCGA-FK-A3SD-01A")</f>
        <v>TCGA-FK-A3SD-01A</v>
      </c>
      <c r="I20476" t="s">
        <v>333</v>
      </c>
      <c r="J20476" t="s">
        <v>584</v>
      </c>
      <c r="K20476" t="s">
        <v>33</v>
      </c>
      <c r="L20476" t="s">
        <v>335</v>
      </c>
      <c r="N20476" t="s">
        <v>29</v>
      </c>
    </row>
    <row r="20477" spans="1:14">
      <c r="A20477" s="4" t="str">
        <f t="shared" si="1388"/>
        <v>EXP00448</v>
      </c>
      <c r="B20477" s="3" t="s">
        <v>66</v>
      </c>
      <c r="C20477" s="4" t="str">
        <f t="shared" si="1389"/>
        <v>TCGA-THCA</v>
      </c>
      <c r="D20477" s="1" t="s">
        <v>493</v>
      </c>
      <c r="E20477" t="s">
        <v>591</v>
      </c>
      <c r="F20477" s="1">
        <v>2</v>
      </c>
      <c r="G20477" s="1" t="s">
        <v>28</v>
      </c>
      <c r="H20477" s="4" t="str">
        <f>HYPERLINK("https://portal.gdc.cancer.gov/cases/afb00cd4-e5da-4251-86fb-532c3f65324c","TCGA-FK-A3SE-01A")</f>
        <v>TCGA-FK-A3SE-01A</v>
      </c>
      <c r="I20477" t="s">
        <v>333</v>
      </c>
      <c r="J20477" t="s">
        <v>584</v>
      </c>
      <c r="K20477" t="s">
        <v>33</v>
      </c>
      <c r="L20477" t="s">
        <v>335</v>
      </c>
      <c r="N20477" t="s">
        <v>29</v>
      </c>
    </row>
    <row r="20478" spans="1:14">
      <c r="A20478" s="4" t="str">
        <f t="shared" si="1388"/>
        <v>EXP00448</v>
      </c>
      <c r="B20478" s="3" t="s">
        <v>66</v>
      </c>
      <c r="C20478" s="4" t="str">
        <f t="shared" si="1389"/>
        <v>TCGA-THCA</v>
      </c>
      <c r="D20478" s="1" t="s">
        <v>493</v>
      </c>
      <c r="E20478" t="s">
        <v>591</v>
      </c>
      <c r="F20478" s="1">
        <v>2</v>
      </c>
      <c r="G20478" s="1" t="s">
        <v>28</v>
      </c>
      <c r="H20478" s="4" t="str">
        <f>HYPERLINK("https://portal.gdc.cancer.gov/cases/8446bcba-0dcd-42eb-96a1-00f5470c9f65","TCGA-FK-A3SG-01A")</f>
        <v>TCGA-FK-A3SG-01A</v>
      </c>
      <c r="I20478" t="s">
        <v>333</v>
      </c>
      <c r="J20478" t="s">
        <v>584</v>
      </c>
      <c r="K20478" t="s">
        <v>33</v>
      </c>
      <c r="L20478" t="s">
        <v>335</v>
      </c>
      <c r="N20478" t="s">
        <v>29</v>
      </c>
    </row>
    <row r="20479" spans="1:14">
      <c r="A20479" s="4" t="str">
        <f t="shared" si="1388"/>
        <v>EXP00448</v>
      </c>
      <c r="B20479" s="3" t="s">
        <v>66</v>
      </c>
      <c r="C20479" s="4" t="str">
        <f t="shared" si="1389"/>
        <v>TCGA-THCA</v>
      </c>
      <c r="D20479" s="1" t="s">
        <v>493</v>
      </c>
      <c r="E20479" t="s">
        <v>591</v>
      </c>
      <c r="F20479" s="1">
        <v>2</v>
      </c>
      <c r="G20479" s="1" t="s">
        <v>28</v>
      </c>
      <c r="H20479" s="4" t="str">
        <f>HYPERLINK("https://portal.gdc.cancer.gov/cases/e48a8fa7-4e2b-44a0-95f5-e2925c60bad3","TCGA-FK-A3SH-01A")</f>
        <v>TCGA-FK-A3SH-01A</v>
      </c>
      <c r="I20479" t="s">
        <v>333</v>
      </c>
      <c r="J20479" t="s">
        <v>584</v>
      </c>
      <c r="K20479" t="s">
        <v>33</v>
      </c>
      <c r="L20479" t="s">
        <v>335</v>
      </c>
      <c r="N20479" t="s">
        <v>29</v>
      </c>
    </row>
    <row r="20480" spans="1:14">
      <c r="A20480" s="4" t="str">
        <f t="shared" si="1388"/>
        <v>EXP00448</v>
      </c>
      <c r="B20480" s="3" t="s">
        <v>66</v>
      </c>
      <c r="C20480" s="4" t="str">
        <f t="shared" si="1389"/>
        <v>TCGA-THCA</v>
      </c>
      <c r="D20480" s="1" t="s">
        <v>493</v>
      </c>
      <c r="E20480" t="s">
        <v>591</v>
      </c>
      <c r="F20480" s="1">
        <v>2</v>
      </c>
      <c r="G20480" s="1" t="s">
        <v>28</v>
      </c>
      <c r="H20480" s="4" t="str">
        <f>HYPERLINK("https://portal.gdc.cancer.gov/cases/7cec93da-42c9-495d-8110-9fb43763041b","TCGA-FK-A4UB-01A")</f>
        <v>TCGA-FK-A4UB-01A</v>
      </c>
      <c r="I20480" t="s">
        <v>333</v>
      </c>
      <c r="J20480" t="s">
        <v>584</v>
      </c>
      <c r="K20480" t="s">
        <v>33</v>
      </c>
      <c r="L20480" t="s">
        <v>335</v>
      </c>
      <c r="N20480" t="s">
        <v>29</v>
      </c>
    </row>
    <row r="20481" spans="1:14">
      <c r="A20481" s="4" t="str">
        <f t="shared" si="1388"/>
        <v>EXP00448</v>
      </c>
      <c r="B20481" s="3" t="s">
        <v>66</v>
      </c>
      <c r="C20481" s="4" t="str">
        <f t="shared" si="1389"/>
        <v>TCGA-THCA</v>
      </c>
      <c r="D20481" s="1" t="s">
        <v>493</v>
      </c>
      <c r="E20481" t="s">
        <v>591</v>
      </c>
      <c r="F20481" s="1">
        <v>2</v>
      </c>
      <c r="G20481" s="1" t="s">
        <v>28</v>
      </c>
      <c r="H20481" s="4" t="str">
        <f>HYPERLINK("https://portal.gdc.cancer.gov/cases/b0cb6ed7-3d9f-4d5e-8df5-edcc921c43b4","TCGA-FY-A2QD-01A")</f>
        <v>TCGA-FY-A2QD-01A</v>
      </c>
      <c r="I20481" t="s">
        <v>333</v>
      </c>
      <c r="J20481" t="s">
        <v>584</v>
      </c>
      <c r="K20481" t="s">
        <v>33</v>
      </c>
      <c r="L20481" t="s">
        <v>335</v>
      </c>
      <c r="N20481" t="s">
        <v>29</v>
      </c>
    </row>
    <row r="20482" spans="1:14">
      <c r="A20482" s="4" t="str">
        <f t="shared" si="1388"/>
        <v>EXP00448</v>
      </c>
      <c r="B20482" s="3" t="s">
        <v>66</v>
      </c>
      <c r="C20482" s="4" t="str">
        <f t="shared" si="1389"/>
        <v>TCGA-THCA</v>
      </c>
      <c r="D20482" s="1" t="s">
        <v>493</v>
      </c>
      <c r="E20482" t="s">
        <v>591</v>
      </c>
      <c r="F20482" s="1">
        <v>2</v>
      </c>
      <c r="G20482" s="1" t="s">
        <v>28</v>
      </c>
      <c r="H20482" s="4" t="str">
        <f>HYPERLINK("https://portal.gdc.cancer.gov/cases/c6f08366-f30d-45bd-b949-b59d2493995d","TCGA-FY-A3BL-01A")</f>
        <v>TCGA-FY-A3BL-01A</v>
      </c>
      <c r="I20482" t="s">
        <v>333</v>
      </c>
      <c r="J20482" t="s">
        <v>584</v>
      </c>
      <c r="K20482" t="s">
        <v>33</v>
      </c>
      <c r="L20482" t="s">
        <v>335</v>
      </c>
      <c r="N20482" t="s">
        <v>29</v>
      </c>
    </row>
    <row r="20483" spans="1:14">
      <c r="A20483" s="4" t="str">
        <f t="shared" si="1388"/>
        <v>EXP00448</v>
      </c>
      <c r="B20483" s="3" t="s">
        <v>66</v>
      </c>
      <c r="C20483" s="4" t="str">
        <f t="shared" si="1389"/>
        <v>TCGA-THCA</v>
      </c>
      <c r="D20483" s="1" t="s">
        <v>493</v>
      </c>
      <c r="E20483" t="s">
        <v>591</v>
      </c>
      <c r="F20483" s="1">
        <v>2</v>
      </c>
      <c r="G20483" s="1" t="s">
        <v>28</v>
      </c>
      <c r="H20483" s="4" t="str">
        <f>HYPERLINK("https://portal.gdc.cancer.gov/cases/cd1656d8-55a5-4248-b81d-fed9d5992cbe","TCGA-FY-A3I4-01A")</f>
        <v>TCGA-FY-A3I4-01A</v>
      </c>
      <c r="I20483" t="s">
        <v>333</v>
      </c>
      <c r="J20483" t="s">
        <v>584</v>
      </c>
      <c r="K20483" t="s">
        <v>33</v>
      </c>
      <c r="L20483" t="s">
        <v>335</v>
      </c>
      <c r="N20483" t="s">
        <v>29</v>
      </c>
    </row>
    <row r="20484" spans="1:14">
      <c r="A20484" s="4" t="str">
        <f t="shared" si="1388"/>
        <v>EXP00448</v>
      </c>
      <c r="B20484" s="3" t="s">
        <v>66</v>
      </c>
      <c r="C20484" s="4" t="str">
        <f t="shared" si="1389"/>
        <v>TCGA-THCA</v>
      </c>
      <c r="D20484" s="1" t="s">
        <v>493</v>
      </c>
      <c r="E20484" t="s">
        <v>591</v>
      </c>
      <c r="F20484" s="1">
        <v>2</v>
      </c>
      <c r="G20484" s="1" t="s">
        <v>28</v>
      </c>
      <c r="H20484" s="4" t="str">
        <f>HYPERLINK("https://portal.gdc.cancer.gov/cases/52203ff5-57b2-4d56-8935-2ff1eb61d7b8","TCGA-FY-A3I5-01B")</f>
        <v>TCGA-FY-A3I5-01B</v>
      </c>
      <c r="I20484" t="s">
        <v>333</v>
      </c>
      <c r="J20484" t="s">
        <v>584</v>
      </c>
      <c r="K20484" t="s">
        <v>33</v>
      </c>
      <c r="L20484" t="s">
        <v>335</v>
      </c>
      <c r="N20484" t="s">
        <v>29</v>
      </c>
    </row>
    <row r="20485" spans="1:14">
      <c r="A20485" s="4" t="str">
        <f t="shared" si="1388"/>
        <v>EXP00448</v>
      </c>
      <c r="B20485" s="3" t="s">
        <v>66</v>
      </c>
      <c r="C20485" s="4" t="str">
        <f t="shared" si="1389"/>
        <v>TCGA-THCA</v>
      </c>
      <c r="D20485" s="1" t="s">
        <v>493</v>
      </c>
      <c r="E20485" t="s">
        <v>591</v>
      </c>
      <c r="F20485" s="1">
        <v>2</v>
      </c>
      <c r="G20485" s="1" t="s">
        <v>28</v>
      </c>
      <c r="H20485" s="4" t="str">
        <f>HYPERLINK("https://portal.gdc.cancer.gov/cases/f7f6e9f4-1aa8-48a0-bea9-efaa9379f6f6","TCGA-FY-A3NM-01A")</f>
        <v>TCGA-FY-A3NM-01A</v>
      </c>
      <c r="I20485" t="s">
        <v>333</v>
      </c>
      <c r="J20485" t="s">
        <v>584</v>
      </c>
      <c r="K20485" t="s">
        <v>33</v>
      </c>
      <c r="L20485" t="s">
        <v>335</v>
      </c>
      <c r="N20485" t="s">
        <v>29</v>
      </c>
    </row>
    <row r="20486" spans="1:14">
      <c r="A20486" s="4" t="str">
        <f t="shared" si="1388"/>
        <v>EXP00448</v>
      </c>
      <c r="B20486" s="3" t="s">
        <v>66</v>
      </c>
      <c r="C20486" s="4" t="str">
        <f t="shared" si="1389"/>
        <v>TCGA-THCA</v>
      </c>
      <c r="D20486" s="1" t="s">
        <v>493</v>
      </c>
      <c r="E20486" t="s">
        <v>591</v>
      </c>
      <c r="F20486" s="1">
        <v>2</v>
      </c>
      <c r="G20486" s="1" t="s">
        <v>28</v>
      </c>
      <c r="H20486" s="4" t="str">
        <f>HYPERLINK("https://portal.gdc.cancer.gov/cases/b3b7d701-ec84-4018-a3ce-f59198b35767","TCGA-FY-A3NN-01A")</f>
        <v>TCGA-FY-A3NN-01A</v>
      </c>
      <c r="I20486" t="s">
        <v>333</v>
      </c>
      <c r="J20486" t="s">
        <v>584</v>
      </c>
      <c r="K20486" t="s">
        <v>33</v>
      </c>
      <c r="L20486" t="s">
        <v>335</v>
      </c>
      <c r="N20486" t="s">
        <v>29</v>
      </c>
    </row>
    <row r="20487" spans="1:14">
      <c r="A20487" s="4" t="str">
        <f t="shared" si="1388"/>
        <v>EXP00448</v>
      </c>
      <c r="B20487" s="3" t="s">
        <v>66</v>
      </c>
      <c r="C20487" s="4" t="str">
        <f t="shared" si="1389"/>
        <v>TCGA-THCA</v>
      </c>
      <c r="D20487" s="1" t="s">
        <v>493</v>
      </c>
      <c r="E20487" t="s">
        <v>591</v>
      </c>
      <c r="F20487" s="1">
        <v>2</v>
      </c>
      <c r="G20487" s="1" t="s">
        <v>28</v>
      </c>
      <c r="H20487" s="4" t="str">
        <f>HYPERLINK("https://portal.gdc.cancer.gov/cases/029da211-9b52-45ad-b0dc-2322da783c9c","TCGA-FY-A3NP-01A")</f>
        <v>TCGA-FY-A3NP-01A</v>
      </c>
      <c r="I20487" t="s">
        <v>333</v>
      </c>
      <c r="J20487" t="s">
        <v>584</v>
      </c>
      <c r="K20487" t="s">
        <v>33</v>
      </c>
      <c r="L20487" t="s">
        <v>335</v>
      </c>
      <c r="N20487" t="s">
        <v>29</v>
      </c>
    </row>
    <row r="20488" spans="1:14">
      <c r="A20488" s="4" t="str">
        <f t="shared" si="1388"/>
        <v>EXP00448</v>
      </c>
      <c r="B20488" s="3" t="s">
        <v>66</v>
      </c>
      <c r="C20488" s="4" t="str">
        <f t="shared" si="1389"/>
        <v>TCGA-THCA</v>
      </c>
      <c r="D20488" s="1" t="s">
        <v>493</v>
      </c>
      <c r="E20488" t="s">
        <v>591</v>
      </c>
      <c r="F20488" s="1">
        <v>2</v>
      </c>
      <c r="G20488" s="1" t="s">
        <v>28</v>
      </c>
      <c r="H20488" s="4" t="str">
        <f>HYPERLINK("https://portal.gdc.cancer.gov/cases/4d1aec67-c345-4721-8ee8-356b0dff009b","TCGA-FY-A3ON-01A")</f>
        <v>TCGA-FY-A3ON-01A</v>
      </c>
      <c r="I20488" t="s">
        <v>333</v>
      </c>
      <c r="J20488" t="s">
        <v>584</v>
      </c>
      <c r="K20488" t="s">
        <v>33</v>
      </c>
      <c r="L20488" t="s">
        <v>335</v>
      </c>
      <c r="N20488" t="s">
        <v>29</v>
      </c>
    </row>
    <row r="20489" spans="1:14">
      <c r="A20489" s="4" t="str">
        <f t="shared" si="1388"/>
        <v>EXP00448</v>
      </c>
      <c r="B20489" s="3" t="s">
        <v>66</v>
      </c>
      <c r="C20489" s="4" t="str">
        <f t="shared" si="1389"/>
        <v>TCGA-THCA</v>
      </c>
      <c r="D20489" s="1" t="s">
        <v>493</v>
      </c>
      <c r="E20489" t="s">
        <v>591</v>
      </c>
      <c r="F20489" s="1">
        <v>2</v>
      </c>
      <c r="G20489" s="1" t="s">
        <v>28</v>
      </c>
      <c r="H20489" s="4" t="str">
        <f>HYPERLINK("https://portal.gdc.cancer.gov/cases/905469d2-4c97-4293-a20c-1b1f0462a25d","TCGA-FY-A3R6-01A")</f>
        <v>TCGA-FY-A3R6-01A</v>
      </c>
      <c r="I20489" t="s">
        <v>333</v>
      </c>
      <c r="J20489" t="s">
        <v>584</v>
      </c>
      <c r="K20489" t="s">
        <v>33</v>
      </c>
      <c r="L20489" t="s">
        <v>335</v>
      </c>
      <c r="N20489" t="s">
        <v>29</v>
      </c>
    </row>
    <row r="20490" spans="1:14">
      <c r="A20490" s="4" t="str">
        <f t="shared" si="1388"/>
        <v>EXP00448</v>
      </c>
      <c r="B20490" s="3" t="s">
        <v>66</v>
      </c>
      <c r="C20490" s="4" t="str">
        <f t="shared" si="1389"/>
        <v>TCGA-THCA</v>
      </c>
      <c r="D20490" s="1" t="s">
        <v>493</v>
      </c>
      <c r="E20490" t="s">
        <v>591</v>
      </c>
      <c r="F20490" s="1">
        <v>2</v>
      </c>
      <c r="G20490" s="1" t="s">
        <v>28</v>
      </c>
      <c r="H20490" s="4" t="str">
        <f>HYPERLINK("https://portal.gdc.cancer.gov/cases/b983a678-b0ae-42c2-8f37-d6ecaf07413b","TCGA-FY-A3R7-01A")</f>
        <v>TCGA-FY-A3R7-01A</v>
      </c>
      <c r="I20490" t="s">
        <v>333</v>
      </c>
      <c r="J20490" t="s">
        <v>584</v>
      </c>
      <c r="K20490" t="s">
        <v>33</v>
      </c>
      <c r="L20490" t="s">
        <v>335</v>
      </c>
      <c r="N20490" t="s">
        <v>29</v>
      </c>
    </row>
    <row r="20491" spans="1:14">
      <c r="A20491" s="4" t="str">
        <f t="shared" si="1388"/>
        <v>EXP00448</v>
      </c>
      <c r="B20491" s="3" t="s">
        <v>66</v>
      </c>
      <c r="C20491" s="4" t="str">
        <f t="shared" si="1389"/>
        <v>TCGA-THCA</v>
      </c>
      <c r="D20491" s="1" t="s">
        <v>493</v>
      </c>
      <c r="E20491" t="s">
        <v>591</v>
      </c>
      <c r="F20491" s="1">
        <v>2</v>
      </c>
      <c r="G20491" s="1" t="s">
        <v>28</v>
      </c>
      <c r="H20491" s="4" t="str">
        <f>HYPERLINK("https://portal.gdc.cancer.gov/cases/c77976b6-35ea-4623-a92a-6d9440a978e6","TCGA-FY-A3R8-01A")</f>
        <v>TCGA-FY-A3R8-01A</v>
      </c>
      <c r="I20491" t="s">
        <v>333</v>
      </c>
      <c r="J20491" t="s">
        <v>584</v>
      </c>
      <c r="K20491" t="s">
        <v>33</v>
      </c>
      <c r="L20491" t="s">
        <v>335</v>
      </c>
      <c r="N20491" t="s">
        <v>29</v>
      </c>
    </row>
    <row r="20492" spans="1:14">
      <c r="A20492" s="4" t="str">
        <f t="shared" si="1388"/>
        <v>EXP00448</v>
      </c>
      <c r="B20492" s="3" t="s">
        <v>66</v>
      </c>
      <c r="C20492" s="4" t="str">
        <f t="shared" si="1389"/>
        <v>TCGA-THCA</v>
      </c>
      <c r="D20492" s="1" t="s">
        <v>493</v>
      </c>
      <c r="E20492" t="s">
        <v>591</v>
      </c>
      <c r="F20492" s="1">
        <v>2</v>
      </c>
      <c r="G20492" s="1" t="s">
        <v>28</v>
      </c>
      <c r="H20492" s="4" t="str">
        <f>HYPERLINK("https://portal.gdc.cancer.gov/cases/d92902ff-8023-411c-a7ca-1afcbb64937e","TCGA-FY-A3R9-01A")</f>
        <v>TCGA-FY-A3R9-01A</v>
      </c>
      <c r="I20492" t="s">
        <v>333</v>
      </c>
      <c r="J20492" t="s">
        <v>584</v>
      </c>
      <c r="K20492" t="s">
        <v>33</v>
      </c>
      <c r="L20492" t="s">
        <v>335</v>
      </c>
      <c r="N20492" t="s">
        <v>29</v>
      </c>
    </row>
    <row r="20493" spans="1:14">
      <c r="A20493" s="4" t="str">
        <f t="shared" si="1388"/>
        <v>EXP00448</v>
      </c>
      <c r="B20493" s="3" t="s">
        <v>66</v>
      </c>
      <c r="C20493" s="4" t="str">
        <f t="shared" si="1389"/>
        <v>TCGA-THCA</v>
      </c>
      <c r="D20493" s="1" t="s">
        <v>493</v>
      </c>
      <c r="E20493" t="s">
        <v>591</v>
      </c>
      <c r="F20493" s="1">
        <v>2</v>
      </c>
      <c r="G20493" s="1" t="s">
        <v>28</v>
      </c>
      <c r="H20493" s="4" t="str">
        <f>HYPERLINK("https://portal.gdc.cancer.gov/cases/58ff4366-20a3-40a2-a87a-551e17cdb5d3","TCGA-FY-A3RA-01A")</f>
        <v>TCGA-FY-A3RA-01A</v>
      </c>
      <c r="I20493" t="s">
        <v>333</v>
      </c>
      <c r="J20493" t="s">
        <v>584</v>
      </c>
      <c r="K20493" t="s">
        <v>33</v>
      </c>
      <c r="L20493" t="s">
        <v>335</v>
      </c>
      <c r="N20493" t="s">
        <v>29</v>
      </c>
    </row>
    <row r="20494" spans="1:14">
      <c r="A20494" s="4" t="str">
        <f t="shared" si="1388"/>
        <v>EXP00448</v>
      </c>
      <c r="B20494" s="3" t="s">
        <v>66</v>
      </c>
      <c r="C20494" s="4" t="str">
        <f t="shared" si="1389"/>
        <v>TCGA-THCA</v>
      </c>
      <c r="D20494" s="1" t="s">
        <v>493</v>
      </c>
      <c r="E20494" t="s">
        <v>591</v>
      </c>
      <c r="F20494" s="1">
        <v>2</v>
      </c>
      <c r="G20494" s="1" t="s">
        <v>28</v>
      </c>
      <c r="H20494" s="4" t="str">
        <f>HYPERLINK("https://portal.gdc.cancer.gov/cases/53ba15c0-780e-4153-a612-046f1b24b4b3","TCGA-FY-A3TY-01A")</f>
        <v>TCGA-FY-A3TY-01A</v>
      </c>
      <c r="I20494" t="s">
        <v>333</v>
      </c>
      <c r="J20494" t="s">
        <v>584</v>
      </c>
      <c r="K20494" t="s">
        <v>33</v>
      </c>
      <c r="L20494" t="s">
        <v>335</v>
      </c>
      <c r="N20494" t="s">
        <v>29</v>
      </c>
    </row>
    <row r="20495" spans="1:14">
      <c r="A20495" s="4" t="str">
        <f t="shared" si="1388"/>
        <v>EXP00448</v>
      </c>
      <c r="B20495" s="3" t="s">
        <v>66</v>
      </c>
      <c r="C20495" s="4" t="str">
        <f t="shared" si="1389"/>
        <v>TCGA-THCA</v>
      </c>
      <c r="D20495" s="1" t="s">
        <v>493</v>
      </c>
      <c r="E20495" t="s">
        <v>591</v>
      </c>
      <c r="F20495" s="1">
        <v>2</v>
      </c>
      <c r="G20495" s="1" t="s">
        <v>28</v>
      </c>
      <c r="H20495" s="4" t="str">
        <f>HYPERLINK("https://portal.gdc.cancer.gov/cases/7ef22138-ac76-4846-b3bb-ddf1efb96531","TCGA-FY-A3W9-01A")</f>
        <v>TCGA-FY-A3W9-01A</v>
      </c>
      <c r="I20495" t="s">
        <v>333</v>
      </c>
      <c r="J20495" t="s">
        <v>584</v>
      </c>
      <c r="K20495" t="s">
        <v>33</v>
      </c>
      <c r="L20495" t="s">
        <v>335</v>
      </c>
      <c r="N20495" t="s">
        <v>29</v>
      </c>
    </row>
    <row r="20496" spans="1:14">
      <c r="A20496" s="4" t="str">
        <f t="shared" si="1388"/>
        <v>EXP00448</v>
      </c>
      <c r="B20496" s="3" t="s">
        <v>66</v>
      </c>
      <c r="C20496" s="4" t="str">
        <f t="shared" si="1389"/>
        <v>TCGA-THCA</v>
      </c>
      <c r="D20496" s="1" t="s">
        <v>493</v>
      </c>
      <c r="E20496" t="s">
        <v>591</v>
      </c>
      <c r="F20496" s="1">
        <v>2</v>
      </c>
      <c r="G20496" s="1" t="s">
        <v>28</v>
      </c>
      <c r="H20496" s="4" t="str">
        <f>HYPERLINK("https://portal.gdc.cancer.gov/cases/59221e3a-2927-40bf-a38d-4a5843ea179b","TCGA-FY-A3WA-01A")</f>
        <v>TCGA-FY-A3WA-01A</v>
      </c>
      <c r="I20496" t="s">
        <v>333</v>
      </c>
      <c r="J20496" t="s">
        <v>584</v>
      </c>
      <c r="K20496" t="s">
        <v>33</v>
      </c>
      <c r="L20496" t="s">
        <v>335</v>
      </c>
      <c r="N20496" t="s">
        <v>29</v>
      </c>
    </row>
    <row r="20497" spans="1:14">
      <c r="A20497" s="4" t="str">
        <f t="shared" si="1388"/>
        <v>EXP00448</v>
      </c>
      <c r="B20497" s="3" t="s">
        <v>66</v>
      </c>
      <c r="C20497" s="4" t="str">
        <f t="shared" si="1389"/>
        <v>TCGA-THCA</v>
      </c>
      <c r="D20497" s="1" t="s">
        <v>493</v>
      </c>
      <c r="E20497" t="s">
        <v>591</v>
      </c>
      <c r="F20497" s="1">
        <v>2</v>
      </c>
      <c r="G20497" s="1" t="s">
        <v>28</v>
      </c>
      <c r="H20497" s="4" t="str">
        <f>HYPERLINK("https://portal.gdc.cancer.gov/cases/d2cc4d31-38fa-4232-895e-767260f607e9","TCGA-FY-A3YR-01A")</f>
        <v>TCGA-FY-A3YR-01A</v>
      </c>
      <c r="I20497" t="s">
        <v>333</v>
      </c>
      <c r="J20497" t="s">
        <v>584</v>
      </c>
      <c r="K20497" t="s">
        <v>33</v>
      </c>
      <c r="L20497" t="s">
        <v>335</v>
      </c>
      <c r="N20497" t="s">
        <v>29</v>
      </c>
    </row>
    <row r="20498" spans="1:14">
      <c r="A20498" s="4" t="str">
        <f t="shared" si="1388"/>
        <v>EXP00448</v>
      </c>
      <c r="B20498" s="3" t="s">
        <v>66</v>
      </c>
      <c r="C20498" s="4" t="str">
        <f t="shared" si="1389"/>
        <v>TCGA-THCA</v>
      </c>
      <c r="D20498" s="1" t="s">
        <v>493</v>
      </c>
      <c r="E20498" t="s">
        <v>591</v>
      </c>
      <c r="F20498" s="1">
        <v>2</v>
      </c>
      <c r="G20498" s="1" t="s">
        <v>28</v>
      </c>
      <c r="H20498" s="4" t="str">
        <f>HYPERLINK("https://portal.gdc.cancer.gov/cases/8a8e05aa-f13a-4142-a335-7aafbee7b664","TCGA-FY-A40K-01A")</f>
        <v>TCGA-FY-A40K-01A</v>
      </c>
      <c r="I20498" t="s">
        <v>333</v>
      </c>
      <c r="J20498" t="s">
        <v>584</v>
      </c>
      <c r="K20498" t="s">
        <v>33</v>
      </c>
      <c r="L20498" t="s">
        <v>335</v>
      </c>
      <c r="N20498" t="s">
        <v>29</v>
      </c>
    </row>
    <row r="20499" spans="1:14">
      <c r="A20499" s="4" t="str">
        <f t="shared" si="1388"/>
        <v>EXP00448</v>
      </c>
      <c r="B20499" s="3" t="s">
        <v>66</v>
      </c>
      <c r="C20499" s="4" t="str">
        <f t="shared" si="1389"/>
        <v>TCGA-THCA</v>
      </c>
      <c r="D20499" s="1" t="s">
        <v>493</v>
      </c>
      <c r="E20499" t="s">
        <v>591</v>
      </c>
      <c r="F20499" s="1">
        <v>2</v>
      </c>
      <c r="G20499" s="1" t="s">
        <v>28</v>
      </c>
      <c r="H20499" s="4" t="str">
        <f>HYPERLINK("https://portal.gdc.cancer.gov/cases/3fc062bc-1b0b-4c8f-b79c-770bcaa1ec6e","TCGA-FY-A40L-01A")</f>
        <v>TCGA-FY-A40L-01A</v>
      </c>
      <c r="I20499" t="s">
        <v>333</v>
      </c>
      <c r="J20499" t="s">
        <v>584</v>
      </c>
      <c r="K20499" t="s">
        <v>33</v>
      </c>
      <c r="L20499" t="s">
        <v>335</v>
      </c>
      <c r="N20499" t="s">
        <v>29</v>
      </c>
    </row>
    <row r="20500" spans="1:14">
      <c r="A20500" s="4" t="str">
        <f t="shared" si="1388"/>
        <v>EXP00448</v>
      </c>
      <c r="B20500" s="3" t="s">
        <v>66</v>
      </c>
      <c r="C20500" s="4" t="str">
        <f t="shared" si="1389"/>
        <v>TCGA-THCA</v>
      </c>
      <c r="D20500" s="1" t="s">
        <v>493</v>
      </c>
      <c r="E20500" t="s">
        <v>591</v>
      </c>
      <c r="F20500" s="1">
        <v>2</v>
      </c>
      <c r="G20500" s="1" t="s">
        <v>28</v>
      </c>
      <c r="H20500" s="4" t="str">
        <f>HYPERLINK("https://portal.gdc.cancer.gov/cases/744df1f5-a7d5-4675-92ce-6e4713f0d541","TCGA-FY-A40M-01A")</f>
        <v>TCGA-FY-A40M-01A</v>
      </c>
      <c r="I20500" t="s">
        <v>333</v>
      </c>
      <c r="J20500" t="s">
        <v>584</v>
      </c>
      <c r="K20500" t="s">
        <v>33</v>
      </c>
      <c r="L20500" t="s">
        <v>335</v>
      </c>
      <c r="N20500" t="s">
        <v>29</v>
      </c>
    </row>
    <row r="20501" spans="1:14">
      <c r="A20501" s="4" t="str">
        <f t="shared" si="1388"/>
        <v>EXP00448</v>
      </c>
      <c r="B20501" s="3" t="s">
        <v>66</v>
      </c>
      <c r="C20501" s="4" t="str">
        <f t="shared" si="1389"/>
        <v>TCGA-THCA</v>
      </c>
      <c r="D20501" s="1" t="s">
        <v>493</v>
      </c>
      <c r="E20501" t="s">
        <v>591</v>
      </c>
      <c r="F20501" s="1">
        <v>2</v>
      </c>
      <c r="G20501" s="1" t="s">
        <v>28</v>
      </c>
      <c r="H20501" s="4" t="str">
        <f>HYPERLINK("https://portal.gdc.cancer.gov/cases/44c2da7c-6975-4d09-b65c-4b30afd019bb","TCGA-FY-A40N-01A")</f>
        <v>TCGA-FY-A40N-01A</v>
      </c>
      <c r="I20501" t="s">
        <v>333</v>
      </c>
      <c r="J20501" t="s">
        <v>584</v>
      </c>
      <c r="K20501" t="s">
        <v>33</v>
      </c>
      <c r="L20501" t="s">
        <v>335</v>
      </c>
      <c r="N20501" t="s">
        <v>29</v>
      </c>
    </row>
    <row r="20502" spans="1:14">
      <c r="A20502" s="4" t="str">
        <f t="shared" si="1388"/>
        <v>EXP00448</v>
      </c>
      <c r="B20502" s="3" t="s">
        <v>66</v>
      </c>
      <c r="C20502" s="4" t="str">
        <f t="shared" si="1389"/>
        <v>TCGA-THCA</v>
      </c>
      <c r="D20502" s="1" t="s">
        <v>493</v>
      </c>
      <c r="E20502" t="s">
        <v>591</v>
      </c>
      <c r="F20502" s="1">
        <v>2</v>
      </c>
      <c r="G20502" s="1" t="s">
        <v>28</v>
      </c>
      <c r="H20502" s="4" t="str">
        <f>HYPERLINK("https://portal.gdc.cancer.gov/cases/6b529fb3-0b1b-4d3b-9309-bfcb063dbb71","TCGA-FY-A4B0-01A")</f>
        <v>TCGA-FY-A4B0-01A</v>
      </c>
      <c r="I20502" t="s">
        <v>333</v>
      </c>
      <c r="J20502" t="s">
        <v>584</v>
      </c>
      <c r="K20502" t="s">
        <v>33</v>
      </c>
      <c r="L20502" t="s">
        <v>335</v>
      </c>
      <c r="N20502" t="s">
        <v>29</v>
      </c>
    </row>
    <row r="20503" spans="1:14">
      <c r="A20503" s="4" t="str">
        <f t="shared" si="1388"/>
        <v>EXP00448</v>
      </c>
      <c r="B20503" s="3" t="s">
        <v>66</v>
      </c>
      <c r="C20503" s="4" t="str">
        <f t="shared" si="1389"/>
        <v>TCGA-THCA</v>
      </c>
      <c r="D20503" s="1" t="s">
        <v>493</v>
      </c>
      <c r="E20503" t="s">
        <v>591</v>
      </c>
      <c r="F20503" s="1">
        <v>2</v>
      </c>
      <c r="G20503" s="1" t="s">
        <v>28</v>
      </c>
      <c r="H20503" s="4" t="str">
        <f>HYPERLINK("https://portal.gdc.cancer.gov/cases/00b62df6-1189-4e38-8601-70416e05550d","TCGA-FY-A4B3-01A")</f>
        <v>TCGA-FY-A4B3-01A</v>
      </c>
      <c r="I20503" t="s">
        <v>333</v>
      </c>
      <c r="J20503" t="s">
        <v>584</v>
      </c>
      <c r="K20503" t="s">
        <v>33</v>
      </c>
      <c r="L20503" t="s">
        <v>335</v>
      </c>
      <c r="N20503" t="s">
        <v>29</v>
      </c>
    </row>
    <row r="20504" spans="1:14">
      <c r="A20504" s="4" t="str">
        <f t="shared" si="1388"/>
        <v>EXP00448</v>
      </c>
      <c r="B20504" s="3" t="s">
        <v>66</v>
      </c>
      <c r="C20504" s="4" t="str">
        <f t="shared" si="1389"/>
        <v>TCGA-THCA</v>
      </c>
      <c r="D20504" s="1" t="s">
        <v>493</v>
      </c>
      <c r="E20504" t="s">
        <v>591</v>
      </c>
      <c r="F20504" s="1">
        <v>2</v>
      </c>
      <c r="G20504" s="1" t="s">
        <v>28</v>
      </c>
      <c r="H20504" s="4" t="str">
        <f>HYPERLINK("https://portal.gdc.cancer.gov/cases/5c118e15-1e48-42a6-8d29-179e6e71a26c","TCGA-FY-A4B4-01A")</f>
        <v>TCGA-FY-A4B4-01A</v>
      </c>
      <c r="I20504" t="s">
        <v>333</v>
      </c>
      <c r="J20504" t="s">
        <v>584</v>
      </c>
      <c r="K20504" t="s">
        <v>33</v>
      </c>
      <c r="L20504" t="s">
        <v>335</v>
      </c>
      <c r="N20504" t="s">
        <v>29</v>
      </c>
    </row>
    <row r="20505" spans="1:14">
      <c r="A20505" s="4" t="str">
        <f t="shared" si="1388"/>
        <v>EXP00448</v>
      </c>
      <c r="B20505" s="3" t="s">
        <v>66</v>
      </c>
      <c r="C20505" s="4" t="str">
        <f t="shared" si="1389"/>
        <v>TCGA-THCA</v>
      </c>
      <c r="D20505" s="1" t="s">
        <v>493</v>
      </c>
      <c r="E20505" t="s">
        <v>591</v>
      </c>
      <c r="F20505" s="1">
        <v>2</v>
      </c>
      <c r="G20505" s="1" t="s">
        <v>28</v>
      </c>
      <c r="H20505" s="4" t="str">
        <f>HYPERLINK("https://portal.gdc.cancer.gov/cases/812a2d18-c43b-4484-8a8d-234056a0e90b","TCGA-FY-A76V-01A")</f>
        <v>TCGA-FY-A76V-01A</v>
      </c>
      <c r="I20505" t="s">
        <v>333</v>
      </c>
      <c r="J20505" t="s">
        <v>584</v>
      </c>
      <c r="K20505" t="s">
        <v>33</v>
      </c>
      <c r="L20505" t="s">
        <v>335</v>
      </c>
      <c r="N20505" t="s">
        <v>29</v>
      </c>
    </row>
    <row r="20506" spans="1:14">
      <c r="A20506" s="4" t="str">
        <f t="shared" si="1388"/>
        <v>EXP00448</v>
      </c>
      <c r="B20506" s="3" t="s">
        <v>66</v>
      </c>
      <c r="C20506" s="4" t="str">
        <f t="shared" si="1389"/>
        <v>TCGA-THCA</v>
      </c>
      <c r="D20506" s="1" t="s">
        <v>493</v>
      </c>
      <c r="E20506" t="s">
        <v>591</v>
      </c>
      <c r="F20506" s="1">
        <v>2</v>
      </c>
      <c r="G20506" s="1" t="s">
        <v>28</v>
      </c>
      <c r="H20506" s="4" t="str">
        <f>HYPERLINK("https://portal.gdc.cancer.gov/cases/7deedeba-f05b-453c-9df1-eeb20b0ec72e","TCGA-GE-A2C6-01A")</f>
        <v>TCGA-GE-A2C6-01A</v>
      </c>
      <c r="I20506" t="s">
        <v>333</v>
      </c>
      <c r="J20506" t="s">
        <v>584</v>
      </c>
      <c r="K20506" t="s">
        <v>33</v>
      </c>
      <c r="L20506" t="s">
        <v>335</v>
      </c>
      <c r="N20506" t="s">
        <v>29</v>
      </c>
    </row>
    <row r="20507" spans="1:14">
      <c r="A20507" s="4" t="str">
        <f t="shared" si="1388"/>
        <v>EXP00448</v>
      </c>
      <c r="B20507" s="3" t="s">
        <v>66</v>
      </c>
      <c r="C20507" s="4" t="str">
        <f t="shared" si="1389"/>
        <v>TCGA-THCA</v>
      </c>
      <c r="D20507" s="1" t="s">
        <v>493</v>
      </c>
      <c r="E20507" t="s">
        <v>591</v>
      </c>
      <c r="F20507" s="1">
        <v>2</v>
      </c>
      <c r="G20507" s="1" t="s">
        <v>28</v>
      </c>
      <c r="H20507" s="4" t="str">
        <f>HYPERLINK("https://portal.gdc.cancer.gov/cases/e61fb24b-613a-4b6d-bb2b-00ccedbd3dbc","TCGA-H2-A26U-01A")</f>
        <v>TCGA-H2-A26U-01A</v>
      </c>
      <c r="I20507" t="s">
        <v>333</v>
      </c>
      <c r="J20507" t="s">
        <v>584</v>
      </c>
      <c r="K20507" t="s">
        <v>33</v>
      </c>
      <c r="L20507" t="s">
        <v>335</v>
      </c>
      <c r="N20507" t="s">
        <v>29</v>
      </c>
    </row>
    <row r="20508" spans="1:14">
      <c r="A20508" s="4" t="str">
        <f t="shared" si="1388"/>
        <v>EXP00448</v>
      </c>
      <c r="B20508" s="3" t="s">
        <v>66</v>
      </c>
      <c r="C20508" s="4" t="str">
        <f t="shared" si="1389"/>
        <v>TCGA-THCA</v>
      </c>
      <c r="D20508" s="1" t="s">
        <v>493</v>
      </c>
      <c r="E20508" t="s">
        <v>591</v>
      </c>
      <c r="F20508" s="1">
        <v>2</v>
      </c>
      <c r="G20508" s="1" t="s">
        <v>28</v>
      </c>
      <c r="H20508" s="4" t="str">
        <f>HYPERLINK("https://portal.gdc.cancer.gov/cases/25d8a79e-15fd-4c8a-a7f6-05d78973b757","TCGA-H2-A2K9-01A")</f>
        <v>TCGA-H2-A2K9-01A</v>
      </c>
      <c r="I20508" t="s">
        <v>333</v>
      </c>
      <c r="J20508" t="s">
        <v>584</v>
      </c>
      <c r="K20508" t="s">
        <v>33</v>
      </c>
      <c r="L20508" t="s">
        <v>335</v>
      </c>
      <c r="N20508" t="s">
        <v>29</v>
      </c>
    </row>
    <row r="20509" spans="1:14">
      <c r="A20509" s="4" t="str">
        <f t="shared" si="1388"/>
        <v>EXP00448</v>
      </c>
      <c r="B20509" s="3" t="s">
        <v>66</v>
      </c>
      <c r="C20509" s="4" t="str">
        <f t="shared" si="1389"/>
        <v>TCGA-THCA</v>
      </c>
      <c r="D20509" s="1" t="s">
        <v>493</v>
      </c>
      <c r="E20509" t="s">
        <v>591</v>
      </c>
      <c r="F20509" s="1">
        <v>2</v>
      </c>
      <c r="G20509" s="1" t="s">
        <v>28</v>
      </c>
      <c r="H20509" s="4" t="str">
        <f>HYPERLINK("https://portal.gdc.cancer.gov/cases/0314b145-2f3a-4a90-a580-375b5f0a63a4","TCGA-H2-A3RH-01A")</f>
        <v>TCGA-H2-A3RH-01A</v>
      </c>
      <c r="I20509" t="s">
        <v>333</v>
      </c>
      <c r="J20509" t="s">
        <v>584</v>
      </c>
      <c r="K20509" t="s">
        <v>33</v>
      </c>
      <c r="L20509" t="s">
        <v>335</v>
      </c>
      <c r="N20509" t="s">
        <v>29</v>
      </c>
    </row>
    <row r="20510" spans="1:14">
      <c r="A20510" s="4" t="str">
        <f t="shared" si="1388"/>
        <v>EXP00448</v>
      </c>
      <c r="B20510" s="3" t="s">
        <v>66</v>
      </c>
      <c r="C20510" s="4" t="str">
        <f t="shared" si="1389"/>
        <v>TCGA-THCA</v>
      </c>
      <c r="D20510" s="1" t="s">
        <v>493</v>
      </c>
      <c r="E20510" t="s">
        <v>591</v>
      </c>
      <c r="F20510" s="1">
        <v>2</v>
      </c>
      <c r="G20510" s="1" t="s">
        <v>28</v>
      </c>
      <c r="H20510" s="4" t="str">
        <f>HYPERLINK("https://portal.gdc.cancer.gov/cases/bf193c4f-fbac-41bc-b1af-19b6ce856f0f","TCGA-H2-A3RI-01A")</f>
        <v>TCGA-H2-A3RI-01A</v>
      </c>
      <c r="I20510" t="s">
        <v>333</v>
      </c>
      <c r="J20510" t="s">
        <v>584</v>
      </c>
      <c r="K20510" t="s">
        <v>33</v>
      </c>
      <c r="L20510" t="s">
        <v>335</v>
      </c>
      <c r="N20510" t="s">
        <v>29</v>
      </c>
    </row>
    <row r="20511" spans="1:14">
      <c r="A20511" s="4" t="str">
        <f t="shared" si="1388"/>
        <v>EXP00448</v>
      </c>
      <c r="B20511" s="3" t="s">
        <v>66</v>
      </c>
      <c r="C20511" s="4" t="str">
        <f t="shared" si="1389"/>
        <v>TCGA-THCA</v>
      </c>
      <c r="D20511" s="1" t="s">
        <v>493</v>
      </c>
      <c r="E20511" t="s">
        <v>591</v>
      </c>
      <c r="F20511" s="1">
        <v>2</v>
      </c>
      <c r="G20511" s="1" t="s">
        <v>28</v>
      </c>
      <c r="H20511" s="4" t="str">
        <f>HYPERLINK("https://portal.gdc.cancer.gov/cases/80aeb61d-21cf-4804-90ea-5d22eb06e299","TCGA-H2-A421-01A")</f>
        <v>TCGA-H2-A421-01A</v>
      </c>
      <c r="I20511" t="s">
        <v>333</v>
      </c>
      <c r="J20511" t="s">
        <v>584</v>
      </c>
      <c r="K20511" t="s">
        <v>33</v>
      </c>
      <c r="L20511" t="s">
        <v>335</v>
      </c>
      <c r="N20511" t="s">
        <v>29</v>
      </c>
    </row>
    <row r="20512" spans="1:14">
      <c r="A20512" s="4" t="str">
        <f t="shared" si="1388"/>
        <v>EXP00448</v>
      </c>
      <c r="B20512" s="3" t="s">
        <v>66</v>
      </c>
      <c r="C20512" s="4" t="str">
        <f t="shared" si="1389"/>
        <v>TCGA-THCA</v>
      </c>
      <c r="D20512" s="1" t="s">
        <v>493</v>
      </c>
      <c r="E20512" t="s">
        <v>591</v>
      </c>
      <c r="F20512" s="1">
        <v>2</v>
      </c>
      <c r="G20512" s="1" t="s">
        <v>28</v>
      </c>
      <c r="H20512" s="4" t="str">
        <f>HYPERLINK("https://portal.gdc.cancer.gov/cases/8ed1b900-a8a8-4164-b96b-f060f15d7075","TCGA-H2-A422-01A")</f>
        <v>TCGA-H2-A422-01A</v>
      </c>
      <c r="I20512" t="s">
        <v>333</v>
      </c>
      <c r="J20512" t="s">
        <v>584</v>
      </c>
      <c r="K20512" t="s">
        <v>33</v>
      </c>
      <c r="L20512" t="s">
        <v>335</v>
      </c>
      <c r="N20512" t="s">
        <v>29</v>
      </c>
    </row>
    <row r="20513" spans="1:14">
      <c r="A20513" s="4" t="str">
        <f t="shared" si="1388"/>
        <v>EXP00448</v>
      </c>
      <c r="B20513" s="3" t="s">
        <v>66</v>
      </c>
      <c r="C20513" s="4" t="str">
        <f t="shared" si="1389"/>
        <v>TCGA-THCA</v>
      </c>
      <c r="D20513" s="1" t="s">
        <v>493</v>
      </c>
      <c r="E20513" t="s">
        <v>591</v>
      </c>
      <c r="F20513" s="1">
        <v>2</v>
      </c>
      <c r="G20513" s="1" t="s">
        <v>28</v>
      </c>
      <c r="H20513" s="4" t="str">
        <f>HYPERLINK("https://portal.gdc.cancer.gov/cases/3a7c35e0-9ed1-4098-8585-52f5991b2534","TCGA-IM-A3EB-01A")</f>
        <v>TCGA-IM-A3EB-01A</v>
      </c>
      <c r="I20513" t="s">
        <v>333</v>
      </c>
      <c r="J20513" t="s">
        <v>584</v>
      </c>
      <c r="K20513" t="s">
        <v>33</v>
      </c>
      <c r="L20513" t="s">
        <v>335</v>
      </c>
      <c r="N20513" t="s">
        <v>29</v>
      </c>
    </row>
    <row r="20514" spans="1:14">
      <c r="A20514" s="4" t="str">
        <f t="shared" si="1388"/>
        <v>EXP00448</v>
      </c>
      <c r="B20514" s="3" t="s">
        <v>66</v>
      </c>
      <c r="C20514" s="4" t="str">
        <f t="shared" si="1389"/>
        <v>TCGA-THCA</v>
      </c>
      <c r="D20514" s="1" t="s">
        <v>493</v>
      </c>
      <c r="E20514" t="s">
        <v>591</v>
      </c>
      <c r="F20514" s="1">
        <v>2</v>
      </c>
      <c r="G20514" s="1" t="s">
        <v>28</v>
      </c>
      <c r="H20514" s="4" t="str">
        <f>HYPERLINK("https://portal.gdc.cancer.gov/cases/d2a8035c-a8d3-4038-8a9d-854f2208bc45","TCGA-IM-A3ED-01A")</f>
        <v>TCGA-IM-A3ED-01A</v>
      </c>
      <c r="I20514" t="s">
        <v>333</v>
      </c>
      <c r="J20514" t="s">
        <v>584</v>
      </c>
      <c r="K20514" t="s">
        <v>33</v>
      </c>
      <c r="L20514" t="s">
        <v>335</v>
      </c>
      <c r="N20514" t="s">
        <v>29</v>
      </c>
    </row>
    <row r="20515" spans="1:14">
      <c r="A20515" s="4" t="str">
        <f t="shared" si="1388"/>
        <v>EXP00448</v>
      </c>
      <c r="B20515" s="3" t="s">
        <v>66</v>
      </c>
      <c r="C20515" s="4" t="str">
        <f t="shared" si="1389"/>
        <v>TCGA-THCA</v>
      </c>
      <c r="D20515" s="1" t="s">
        <v>493</v>
      </c>
      <c r="E20515" t="s">
        <v>591</v>
      </c>
      <c r="F20515" s="1">
        <v>2</v>
      </c>
      <c r="G20515" s="1" t="s">
        <v>28</v>
      </c>
      <c r="H20515" s="4" t="str">
        <f>HYPERLINK("https://portal.gdc.cancer.gov/cases/8392edea-82b3-4610-87a0-f545f673e922","TCGA-IM-A3U2-01A")</f>
        <v>TCGA-IM-A3U2-01A</v>
      </c>
      <c r="I20515" t="s">
        <v>333</v>
      </c>
      <c r="J20515" t="s">
        <v>584</v>
      </c>
      <c r="K20515" t="s">
        <v>33</v>
      </c>
      <c r="L20515" t="s">
        <v>335</v>
      </c>
      <c r="N20515" t="s">
        <v>29</v>
      </c>
    </row>
    <row r="20516" spans="1:14">
      <c r="A20516" s="4" t="str">
        <f t="shared" si="1388"/>
        <v>EXP00448</v>
      </c>
      <c r="B20516" s="3" t="s">
        <v>66</v>
      </c>
      <c r="C20516" s="4" t="str">
        <f t="shared" si="1389"/>
        <v>TCGA-THCA</v>
      </c>
      <c r="D20516" s="1" t="s">
        <v>493</v>
      </c>
      <c r="E20516" t="s">
        <v>591</v>
      </c>
      <c r="F20516" s="1">
        <v>2</v>
      </c>
      <c r="G20516" s="1" t="s">
        <v>28</v>
      </c>
      <c r="H20516" s="4" t="str">
        <f>HYPERLINK("https://portal.gdc.cancer.gov/cases/dd1058c5-da32-4f60-9275-5e1a8049d9c5","TCGA-IM-A3U3-01A")</f>
        <v>TCGA-IM-A3U3-01A</v>
      </c>
      <c r="I20516" t="s">
        <v>333</v>
      </c>
      <c r="J20516" t="s">
        <v>584</v>
      </c>
      <c r="K20516" t="s">
        <v>33</v>
      </c>
      <c r="L20516" t="s">
        <v>335</v>
      </c>
      <c r="N20516" t="s">
        <v>29</v>
      </c>
    </row>
    <row r="20517" spans="1:14">
      <c r="A20517" s="4" t="str">
        <f t="shared" si="1388"/>
        <v>EXP00448</v>
      </c>
      <c r="B20517" s="3" t="s">
        <v>66</v>
      </c>
      <c r="C20517" s="4" t="str">
        <f t="shared" si="1389"/>
        <v>TCGA-THCA</v>
      </c>
      <c r="D20517" s="1" t="s">
        <v>493</v>
      </c>
      <c r="E20517" t="s">
        <v>591</v>
      </c>
      <c r="F20517" s="1">
        <v>2</v>
      </c>
      <c r="G20517" s="1" t="s">
        <v>28</v>
      </c>
      <c r="H20517" s="4" t="str">
        <f>HYPERLINK("https://portal.gdc.cancer.gov/cases/541406fa-4443-4094-a303-43913d96f016","TCGA-IM-A41Y-01A")</f>
        <v>TCGA-IM-A41Y-01A</v>
      </c>
      <c r="I20517" t="s">
        <v>333</v>
      </c>
      <c r="J20517" t="s">
        <v>584</v>
      </c>
      <c r="K20517" t="s">
        <v>33</v>
      </c>
      <c r="L20517" t="s">
        <v>335</v>
      </c>
      <c r="N20517" t="s">
        <v>29</v>
      </c>
    </row>
    <row r="20518" spans="1:14">
      <c r="A20518" s="4" t="str">
        <f t="shared" ref="A20518:A20550" si="1390">HYPERLINK("http://hcmdb.i-sanger.com/experiment/details/experiment_id/EXP00448","EXP00448")</f>
        <v>EXP00448</v>
      </c>
      <c r="B20518" s="3" t="s">
        <v>66</v>
      </c>
      <c r="C20518" s="4" t="str">
        <f t="shared" si="1389"/>
        <v>TCGA-THCA</v>
      </c>
      <c r="D20518" s="1" t="s">
        <v>493</v>
      </c>
      <c r="E20518" t="s">
        <v>591</v>
      </c>
      <c r="F20518" s="1">
        <v>2</v>
      </c>
      <c r="G20518" s="1" t="s">
        <v>28</v>
      </c>
      <c r="H20518" s="4" t="str">
        <f>HYPERLINK("https://portal.gdc.cancer.gov/cases/9348c35a-58ba-4db5-bc4a-e9fc8e07cdf3","TCGA-IM-A41Z-01A")</f>
        <v>TCGA-IM-A41Z-01A</v>
      </c>
      <c r="I20518" t="s">
        <v>333</v>
      </c>
      <c r="J20518" t="s">
        <v>584</v>
      </c>
      <c r="K20518" t="s">
        <v>33</v>
      </c>
      <c r="L20518" t="s">
        <v>335</v>
      </c>
      <c r="N20518" t="s">
        <v>29</v>
      </c>
    </row>
    <row r="20519" spans="1:14">
      <c r="A20519" s="4" t="str">
        <f t="shared" si="1390"/>
        <v>EXP00448</v>
      </c>
      <c r="B20519" s="3" t="s">
        <v>66</v>
      </c>
      <c r="C20519" s="4" t="str">
        <f t="shared" si="1389"/>
        <v>TCGA-THCA</v>
      </c>
      <c r="D20519" s="1" t="s">
        <v>493</v>
      </c>
      <c r="E20519" t="s">
        <v>591</v>
      </c>
      <c r="F20519" s="1">
        <v>2</v>
      </c>
      <c r="G20519" s="1" t="s">
        <v>28</v>
      </c>
      <c r="H20519" s="4" t="str">
        <f>HYPERLINK("https://portal.gdc.cancer.gov/cases/e28e35b1-eb58-45bb-b19a-958187227500","TCGA-IM-A420-01A")</f>
        <v>TCGA-IM-A420-01A</v>
      </c>
      <c r="I20519" t="s">
        <v>333</v>
      </c>
      <c r="J20519" t="s">
        <v>584</v>
      </c>
      <c r="K20519" t="s">
        <v>33</v>
      </c>
      <c r="L20519" t="s">
        <v>335</v>
      </c>
      <c r="N20519" t="s">
        <v>29</v>
      </c>
    </row>
    <row r="20520" spans="1:14">
      <c r="A20520" s="4" t="str">
        <f t="shared" si="1390"/>
        <v>EXP00448</v>
      </c>
      <c r="B20520" s="3" t="s">
        <v>66</v>
      </c>
      <c r="C20520" s="4" t="str">
        <f t="shared" si="1389"/>
        <v>TCGA-THCA</v>
      </c>
      <c r="D20520" s="1" t="s">
        <v>493</v>
      </c>
      <c r="E20520" t="s">
        <v>591</v>
      </c>
      <c r="F20520" s="1">
        <v>2</v>
      </c>
      <c r="G20520" s="1" t="s">
        <v>28</v>
      </c>
      <c r="H20520" s="4" t="str">
        <f>HYPERLINK("https://portal.gdc.cancer.gov/cases/38d03e42-db98-43bc-bb3d-2580cf55a681","TCGA-IM-A4EB-01A")</f>
        <v>TCGA-IM-A4EB-01A</v>
      </c>
      <c r="I20520" t="s">
        <v>333</v>
      </c>
      <c r="J20520" t="s">
        <v>584</v>
      </c>
      <c r="K20520" t="s">
        <v>33</v>
      </c>
      <c r="L20520" t="s">
        <v>335</v>
      </c>
      <c r="N20520" t="s">
        <v>29</v>
      </c>
    </row>
    <row r="20521" spans="1:14">
      <c r="A20521" s="4" t="str">
        <f t="shared" si="1390"/>
        <v>EXP00448</v>
      </c>
      <c r="B20521" s="3" t="s">
        <v>66</v>
      </c>
      <c r="C20521" s="4" t="str">
        <f t="shared" si="1389"/>
        <v>TCGA-THCA</v>
      </c>
      <c r="D20521" s="1" t="s">
        <v>493</v>
      </c>
      <c r="E20521" t="s">
        <v>591</v>
      </c>
      <c r="F20521" s="1">
        <v>2</v>
      </c>
      <c r="G20521" s="1" t="s">
        <v>28</v>
      </c>
      <c r="H20521" s="4" t="str">
        <f>HYPERLINK("https://portal.gdc.cancer.gov/cases/430ad51d-f68c-40b2-bfa2-9da68370b7fa","TCGA-J8-A3NZ-01A")</f>
        <v>TCGA-J8-A3NZ-01A</v>
      </c>
      <c r="I20521" t="s">
        <v>333</v>
      </c>
      <c r="J20521" t="s">
        <v>584</v>
      </c>
      <c r="K20521" t="s">
        <v>33</v>
      </c>
      <c r="L20521" t="s">
        <v>335</v>
      </c>
      <c r="N20521" t="s">
        <v>29</v>
      </c>
    </row>
    <row r="20522" spans="1:14">
      <c r="A20522" s="4" t="str">
        <f t="shared" si="1390"/>
        <v>EXP00448</v>
      </c>
      <c r="B20522" s="3" t="s">
        <v>66</v>
      </c>
      <c r="C20522" s="4" t="str">
        <f t="shared" si="1389"/>
        <v>TCGA-THCA</v>
      </c>
      <c r="D20522" s="1" t="s">
        <v>493</v>
      </c>
      <c r="E20522" t="s">
        <v>591</v>
      </c>
      <c r="F20522" s="1">
        <v>2</v>
      </c>
      <c r="G20522" s="1" t="s">
        <v>28</v>
      </c>
      <c r="H20522" s="4" t="str">
        <f>HYPERLINK("https://portal.gdc.cancer.gov/cases/5832c002-e5a4-45bc-b8f9-dbb841fd22f3","TCGA-J8-A3O0-01A")</f>
        <v>TCGA-J8-A3O0-01A</v>
      </c>
      <c r="I20522" t="s">
        <v>333</v>
      </c>
      <c r="J20522" t="s">
        <v>584</v>
      </c>
      <c r="K20522" t="s">
        <v>33</v>
      </c>
      <c r="L20522" t="s">
        <v>335</v>
      </c>
      <c r="N20522" t="s">
        <v>29</v>
      </c>
    </row>
    <row r="20523" spans="1:14">
      <c r="A20523" s="4" t="str">
        <f t="shared" si="1390"/>
        <v>EXP00448</v>
      </c>
      <c r="B20523" s="3" t="s">
        <v>66</v>
      </c>
      <c r="C20523" s="4" t="str">
        <f t="shared" si="1389"/>
        <v>TCGA-THCA</v>
      </c>
      <c r="D20523" s="1" t="s">
        <v>493</v>
      </c>
      <c r="E20523" t="s">
        <v>591</v>
      </c>
      <c r="F20523" s="1">
        <v>2</v>
      </c>
      <c r="G20523" s="1" t="s">
        <v>28</v>
      </c>
      <c r="H20523" s="4" t="str">
        <f>HYPERLINK("https://portal.gdc.cancer.gov/cases/fb14bd0d-b356-42a4-a0e9-2fcdada8f76b","TCGA-J8-A3O1-01A")</f>
        <v>TCGA-J8-A3O1-01A</v>
      </c>
      <c r="I20523" t="s">
        <v>333</v>
      </c>
      <c r="J20523" t="s">
        <v>584</v>
      </c>
      <c r="K20523" t="s">
        <v>33</v>
      </c>
      <c r="L20523" t="s">
        <v>335</v>
      </c>
      <c r="N20523" t="s">
        <v>29</v>
      </c>
    </row>
    <row r="20524" spans="1:14">
      <c r="A20524" s="4" t="str">
        <f t="shared" si="1390"/>
        <v>EXP00448</v>
      </c>
      <c r="B20524" s="3" t="s">
        <v>66</v>
      </c>
      <c r="C20524" s="4" t="str">
        <f t="shared" si="1389"/>
        <v>TCGA-THCA</v>
      </c>
      <c r="D20524" s="1" t="s">
        <v>493</v>
      </c>
      <c r="E20524" t="s">
        <v>591</v>
      </c>
      <c r="F20524" s="1">
        <v>2</v>
      </c>
      <c r="G20524" s="1" t="s">
        <v>28</v>
      </c>
      <c r="H20524" s="4" t="str">
        <f>HYPERLINK("https://portal.gdc.cancer.gov/cases/4e227a7a-b885-4e9b-a4c2-aad9e6c154e5","TCGA-J8-A3YD-01A")</f>
        <v>TCGA-J8-A3YD-01A</v>
      </c>
      <c r="I20524" t="s">
        <v>333</v>
      </c>
      <c r="J20524" t="s">
        <v>584</v>
      </c>
      <c r="K20524" t="s">
        <v>33</v>
      </c>
      <c r="L20524" t="s">
        <v>335</v>
      </c>
      <c r="N20524" t="s">
        <v>29</v>
      </c>
    </row>
    <row r="20525" spans="1:14">
      <c r="A20525" s="4" t="str">
        <f t="shared" si="1390"/>
        <v>EXP00448</v>
      </c>
      <c r="B20525" s="3" t="s">
        <v>66</v>
      </c>
      <c r="C20525" s="4" t="str">
        <f t="shared" si="1389"/>
        <v>TCGA-THCA</v>
      </c>
      <c r="D20525" s="1" t="s">
        <v>493</v>
      </c>
      <c r="E20525" t="s">
        <v>591</v>
      </c>
      <c r="F20525" s="1">
        <v>2</v>
      </c>
      <c r="G20525" s="1" t="s">
        <v>28</v>
      </c>
      <c r="H20525" s="4" t="str">
        <f>HYPERLINK("https://portal.gdc.cancer.gov/cases/c93c47f4-88f3-405a-85f4-ba9450b74522","TCGA-J8-A3YE-01A")</f>
        <v>TCGA-J8-A3YE-01A</v>
      </c>
      <c r="I20525" t="s">
        <v>333</v>
      </c>
      <c r="J20525" t="s">
        <v>584</v>
      </c>
      <c r="K20525" t="s">
        <v>33</v>
      </c>
      <c r="L20525" t="s">
        <v>335</v>
      </c>
      <c r="N20525" t="s">
        <v>29</v>
      </c>
    </row>
    <row r="20526" spans="1:14">
      <c r="A20526" s="4" t="str">
        <f t="shared" si="1390"/>
        <v>EXP00448</v>
      </c>
      <c r="B20526" s="3" t="s">
        <v>66</v>
      </c>
      <c r="C20526" s="4" t="str">
        <f t="shared" si="1389"/>
        <v>TCGA-THCA</v>
      </c>
      <c r="D20526" s="1" t="s">
        <v>493</v>
      </c>
      <c r="E20526" t="s">
        <v>591</v>
      </c>
      <c r="F20526" s="1">
        <v>2</v>
      </c>
      <c r="G20526" s="1" t="s">
        <v>28</v>
      </c>
      <c r="H20526" s="4" t="str">
        <f>HYPERLINK("https://portal.gdc.cancer.gov/cases/00d588e3-3db6-4cf3-9def-34d941e8cdb0","TCGA-J8-A3YF-01A")</f>
        <v>TCGA-J8-A3YF-01A</v>
      </c>
      <c r="I20526" t="s">
        <v>333</v>
      </c>
      <c r="J20526" t="s">
        <v>584</v>
      </c>
      <c r="K20526" t="s">
        <v>33</v>
      </c>
      <c r="L20526" t="s">
        <v>335</v>
      </c>
      <c r="N20526" t="s">
        <v>29</v>
      </c>
    </row>
    <row r="20527" spans="1:14">
      <c r="A20527" s="4" t="str">
        <f t="shared" si="1390"/>
        <v>EXP00448</v>
      </c>
      <c r="B20527" s="3" t="s">
        <v>66</v>
      </c>
      <c r="C20527" s="4" t="str">
        <f t="shared" si="1389"/>
        <v>TCGA-THCA</v>
      </c>
      <c r="D20527" s="1" t="s">
        <v>493</v>
      </c>
      <c r="E20527" t="s">
        <v>591</v>
      </c>
      <c r="F20527" s="1">
        <v>2</v>
      </c>
      <c r="G20527" s="1" t="s">
        <v>28</v>
      </c>
      <c r="H20527" s="4" t="str">
        <f>HYPERLINK("https://portal.gdc.cancer.gov/cases/9aa61ab5-f675-43dd-8a99-077164b41f30","TCGA-J8-A3YG-01A")</f>
        <v>TCGA-J8-A3YG-01A</v>
      </c>
      <c r="I20527" t="s">
        <v>333</v>
      </c>
      <c r="J20527" t="s">
        <v>584</v>
      </c>
      <c r="K20527" t="s">
        <v>33</v>
      </c>
      <c r="L20527" t="s">
        <v>335</v>
      </c>
      <c r="N20527" t="s">
        <v>29</v>
      </c>
    </row>
    <row r="20528" spans="1:14">
      <c r="A20528" s="4" t="str">
        <f t="shared" si="1390"/>
        <v>EXP00448</v>
      </c>
      <c r="B20528" s="3" t="s">
        <v>66</v>
      </c>
      <c r="C20528" s="4" t="str">
        <f t="shared" si="1389"/>
        <v>TCGA-THCA</v>
      </c>
      <c r="D20528" s="1" t="s">
        <v>493</v>
      </c>
      <c r="E20528" t="s">
        <v>591</v>
      </c>
      <c r="F20528" s="1">
        <v>2</v>
      </c>
      <c r="G20528" s="1" t="s">
        <v>28</v>
      </c>
      <c r="H20528" s="4" t="str">
        <f>HYPERLINK("https://portal.gdc.cancer.gov/cases/63c20d30-3bc9-4dca-8a8d-09fdea41f288","TCGA-J8-A42S-01A")</f>
        <v>TCGA-J8-A42S-01A</v>
      </c>
      <c r="I20528" t="s">
        <v>333</v>
      </c>
      <c r="J20528" t="s">
        <v>584</v>
      </c>
      <c r="K20528" t="s">
        <v>33</v>
      </c>
      <c r="L20528" t="s">
        <v>335</v>
      </c>
      <c r="N20528" t="s">
        <v>29</v>
      </c>
    </row>
    <row r="20529" spans="1:14">
      <c r="A20529" s="4" t="str">
        <f t="shared" si="1390"/>
        <v>EXP00448</v>
      </c>
      <c r="B20529" s="3" t="s">
        <v>66</v>
      </c>
      <c r="C20529" s="4" t="str">
        <f t="shared" si="1389"/>
        <v>TCGA-THCA</v>
      </c>
      <c r="D20529" s="1" t="s">
        <v>493</v>
      </c>
      <c r="E20529" t="s">
        <v>591</v>
      </c>
      <c r="F20529" s="1">
        <v>2</v>
      </c>
      <c r="G20529" s="1" t="s">
        <v>28</v>
      </c>
      <c r="H20529" s="4" t="str">
        <f>HYPERLINK("https://portal.gdc.cancer.gov/cases/2ae6a00c-bc6e-42fe-a0cb-40339d5fdc73","TCGA-J8-A4HY-01A")</f>
        <v>TCGA-J8-A4HY-01A</v>
      </c>
      <c r="I20529" t="s">
        <v>333</v>
      </c>
      <c r="J20529" t="s">
        <v>584</v>
      </c>
      <c r="K20529" t="s">
        <v>33</v>
      </c>
      <c r="L20529" t="s">
        <v>335</v>
      </c>
      <c r="N20529" t="s">
        <v>29</v>
      </c>
    </row>
    <row r="20530" spans="1:14">
      <c r="A20530" s="4" t="str">
        <f t="shared" si="1390"/>
        <v>EXP00448</v>
      </c>
      <c r="B20530" s="3" t="s">
        <v>66</v>
      </c>
      <c r="C20530" s="4" t="str">
        <f t="shared" si="1389"/>
        <v>TCGA-THCA</v>
      </c>
      <c r="D20530" s="1" t="s">
        <v>493</v>
      </c>
      <c r="E20530" t="s">
        <v>591</v>
      </c>
      <c r="F20530" s="1">
        <v>2</v>
      </c>
      <c r="G20530" s="1" t="s">
        <v>28</v>
      </c>
      <c r="H20530" s="4" t="str">
        <f>HYPERLINK("https://portal.gdc.cancer.gov/cases/8e274b77-c05e-4a8c-a106-c552df1f2d11","TCGA-KS-A41F-01A")</f>
        <v>TCGA-KS-A41F-01A</v>
      </c>
      <c r="I20530" t="s">
        <v>333</v>
      </c>
      <c r="J20530" t="s">
        <v>584</v>
      </c>
      <c r="K20530" t="s">
        <v>33</v>
      </c>
      <c r="L20530" t="s">
        <v>335</v>
      </c>
      <c r="N20530" t="s">
        <v>29</v>
      </c>
    </row>
    <row r="20531" spans="1:14">
      <c r="A20531" s="4" t="str">
        <f t="shared" si="1390"/>
        <v>EXP00448</v>
      </c>
      <c r="B20531" s="3" t="s">
        <v>66</v>
      </c>
      <c r="C20531" s="4" t="str">
        <f t="shared" si="1389"/>
        <v>TCGA-THCA</v>
      </c>
      <c r="D20531" s="1" t="s">
        <v>493</v>
      </c>
      <c r="E20531" t="s">
        <v>591</v>
      </c>
      <c r="F20531" s="1">
        <v>2</v>
      </c>
      <c r="G20531" s="1" t="s">
        <v>28</v>
      </c>
      <c r="H20531" s="4" t="str">
        <f>HYPERLINK("https://portal.gdc.cancer.gov/cases/754866ea-d5ca-451a-98e4-6e0c430d3652","TCGA-KS-A41I-01A")</f>
        <v>TCGA-KS-A41I-01A</v>
      </c>
      <c r="I20531" t="s">
        <v>333</v>
      </c>
      <c r="J20531" t="s">
        <v>584</v>
      </c>
      <c r="K20531" t="s">
        <v>33</v>
      </c>
      <c r="L20531" t="s">
        <v>335</v>
      </c>
      <c r="N20531" t="s">
        <v>29</v>
      </c>
    </row>
    <row r="20532" spans="1:14">
      <c r="A20532" s="4" t="str">
        <f t="shared" si="1390"/>
        <v>EXP00448</v>
      </c>
      <c r="B20532" s="3" t="s">
        <v>66</v>
      </c>
      <c r="C20532" s="4" t="str">
        <f t="shared" si="1389"/>
        <v>TCGA-THCA</v>
      </c>
      <c r="D20532" s="1" t="s">
        <v>493</v>
      </c>
      <c r="E20532" t="s">
        <v>591</v>
      </c>
      <c r="F20532" s="1">
        <v>2</v>
      </c>
      <c r="G20532" s="1" t="s">
        <v>28</v>
      </c>
      <c r="H20532" s="4" t="str">
        <f>HYPERLINK("https://portal.gdc.cancer.gov/cases/23ad7900-4e99-4abf-82ff-71edeaa8a51c","TCGA-KS-A41J-01A")</f>
        <v>TCGA-KS-A41J-01A</v>
      </c>
      <c r="I20532" t="s">
        <v>333</v>
      </c>
      <c r="J20532" t="s">
        <v>584</v>
      </c>
      <c r="K20532" t="s">
        <v>33</v>
      </c>
      <c r="L20532" t="s">
        <v>335</v>
      </c>
      <c r="N20532" t="s">
        <v>29</v>
      </c>
    </row>
    <row r="20533" spans="1:14">
      <c r="A20533" s="4" t="str">
        <f t="shared" si="1390"/>
        <v>EXP00448</v>
      </c>
      <c r="B20533" s="3" t="s">
        <v>66</v>
      </c>
      <c r="C20533" s="4" t="str">
        <f t="shared" ref="C20533:C20550" si="1391">HYPERLINK("https://portal.gdc.cancer.gov/projects/TCGA-THCA","TCGA-THCA")</f>
        <v>TCGA-THCA</v>
      </c>
      <c r="D20533" s="1" t="s">
        <v>493</v>
      </c>
      <c r="E20533" t="s">
        <v>591</v>
      </c>
      <c r="F20533" s="1">
        <v>2</v>
      </c>
      <c r="G20533" s="1" t="s">
        <v>28</v>
      </c>
      <c r="H20533" s="4" t="str">
        <f>HYPERLINK("https://portal.gdc.cancer.gov/cases/4bd61e82-5168-4222-a8c8-5124ab8fdd44","TCGA-KS-A41L-01A")</f>
        <v>TCGA-KS-A41L-01A</v>
      </c>
      <c r="I20533" t="s">
        <v>333</v>
      </c>
      <c r="J20533" t="s">
        <v>584</v>
      </c>
      <c r="K20533" t="s">
        <v>33</v>
      </c>
      <c r="L20533" t="s">
        <v>335</v>
      </c>
      <c r="N20533" t="s">
        <v>29</v>
      </c>
    </row>
    <row r="20534" spans="1:14">
      <c r="A20534" s="4" t="str">
        <f t="shared" si="1390"/>
        <v>EXP00448</v>
      </c>
      <c r="B20534" s="3" t="s">
        <v>66</v>
      </c>
      <c r="C20534" s="4" t="str">
        <f t="shared" si="1391"/>
        <v>TCGA-THCA</v>
      </c>
      <c r="D20534" s="1" t="s">
        <v>493</v>
      </c>
      <c r="E20534" t="s">
        <v>591</v>
      </c>
      <c r="F20534" s="1">
        <v>2</v>
      </c>
      <c r="G20534" s="1" t="s">
        <v>28</v>
      </c>
      <c r="H20534" s="4" t="str">
        <f>HYPERLINK("https://portal.gdc.cancer.gov/cases/6ff5c8bd-9929-43ee-b53c-3c7c0b23f97b","TCGA-KS-A4I1-01A")</f>
        <v>TCGA-KS-A4I1-01A</v>
      </c>
      <c r="I20534" t="s">
        <v>333</v>
      </c>
      <c r="J20534" t="s">
        <v>584</v>
      </c>
      <c r="K20534" t="s">
        <v>33</v>
      </c>
      <c r="L20534" t="s">
        <v>335</v>
      </c>
      <c r="N20534" t="s">
        <v>29</v>
      </c>
    </row>
    <row r="20535" spans="1:14">
      <c r="A20535" s="4" t="str">
        <f t="shared" si="1390"/>
        <v>EXP00448</v>
      </c>
      <c r="B20535" s="3" t="s">
        <v>66</v>
      </c>
      <c r="C20535" s="4" t="str">
        <f t="shared" si="1391"/>
        <v>TCGA-THCA</v>
      </c>
      <c r="D20535" s="1" t="s">
        <v>493</v>
      </c>
      <c r="E20535" t="s">
        <v>591</v>
      </c>
      <c r="F20535" s="1">
        <v>2</v>
      </c>
      <c r="G20535" s="1" t="s">
        <v>28</v>
      </c>
      <c r="H20535" s="4" t="str">
        <f>HYPERLINK("https://portal.gdc.cancer.gov/cases/f9db9757-04d8-40bd-a58d-605f4255b0e6","TCGA-KS-A4I3-01A")</f>
        <v>TCGA-KS-A4I3-01A</v>
      </c>
      <c r="I20535" t="s">
        <v>333</v>
      </c>
      <c r="J20535" t="s">
        <v>584</v>
      </c>
      <c r="K20535" t="s">
        <v>33</v>
      </c>
      <c r="L20535" t="s">
        <v>335</v>
      </c>
      <c r="N20535" t="s">
        <v>29</v>
      </c>
    </row>
    <row r="20536" spans="1:14">
      <c r="A20536" s="4" t="str">
        <f t="shared" si="1390"/>
        <v>EXP00448</v>
      </c>
      <c r="B20536" s="3" t="s">
        <v>66</v>
      </c>
      <c r="C20536" s="4" t="str">
        <f t="shared" si="1391"/>
        <v>TCGA-THCA</v>
      </c>
      <c r="D20536" s="1" t="s">
        <v>493</v>
      </c>
      <c r="E20536" t="s">
        <v>591</v>
      </c>
      <c r="F20536" s="1">
        <v>2</v>
      </c>
      <c r="G20536" s="1" t="s">
        <v>28</v>
      </c>
      <c r="H20536" s="4" t="str">
        <f>HYPERLINK("https://portal.gdc.cancer.gov/cases/e94dfd42-4fe4-48e9-aa62-422ae071413f","TCGA-KS-A4I5-01A")</f>
        <v>TCGA-KS-A4I5-01A</v>
      </c>
      <c r="I20536" t="s">
        <v>333</v>
      </c>
      <c r="J20536" t="s">
        <v>584</v>
      </c>
      <c r="K20536" t="s">
        <v>33</v>
      </c>
      <c r="L20536" t="s">
        <v>335</v>
      </c>
      <c r="N20536" t="s">
        <v>29</v>
      </c>
    </row>
    <row r="20537" spans="1:14">
      <c r="A20537" s="4" t="str">
        <f t="shared" si="1390"/>
        <v>EXP00448</v>
      </c>
      <c r="B20537" s="3" t="s">
        <v>66</v>
      </c>
      <c r="C20537" s="4" t="str">
        <f t="shared" si="1391"/>
        <v>TCGA-THCA</v>
      </c>
      <c r="D20537" s="1" t="s">
        <v>493</v>
      </c>
      <c r="E20537" t="s">
        <v>591</v>
      </c>
      <c r="F20537" s="1">
        <v>2</v>
      </c>
      <c r="G20537" s="1" t="s">
        <v>28</v>
      </c>
      <c r="H20537" s="4" t="str">
        <f>HYPERLINK("https://portal.gdc.cancer.gov/cases/e0174496-d774-4417-81d1-cb16771760ad","TCGA-KS-A4I7-01A")</f>
        <v>TCGA-KS-A4I7-01A</v>
      </c>
      <c r="I20537" t="s">
        <v>333</v>
      </c>
      <c r="J20537" t="s">
        <v>584</v>
      </c>
      <c r="K20537" t="s">
        <v>33</v>
      </c>
      <c r="L20537" t="s">
        <v>335</v>
      </c>
      <c r="N20537" t="s">
        <v>29</v>
      </c>
    </row>
    <row r="20538" spans="1:14">
      <c r="A20538" s="4" t="str">
        <f t="shared" si="1390"/>
        <v>EXP00448</v>
      </c>
      <c r="B20538" s="3" t="s">
        <v>66</v>
      </c>
      <c r="C20538" s="4" t="str">
        <f t="shared" si="1391"/>
        <v>TCGA-THCA</v>
      </c>
      <c r="D20538" s="1" t="s">
        <v>493</v>
      </c>
      <c r="E20538" t="s">
        <v>591</v>
      </c>
      <c r="F20538" s="1">
        <v>2</v>
      </c>
      <c r="G20538" s="1" t="s">
        <v>28</v>
      </c>
      <c r="H20538" s="4" t="str">
        <f>HYPERLINK("https://portal.gdc.cancer.gov/cases/52bc133b-8a10-4c9b-adc3-22910a191e6b","TCGA-KS-A4I9-01A")</f>
        <v>TCGA-KS-A4I9-01A</v>
      </c>
      <c r="I20538" t="s">
        <v>333</v>
      </c>
      <c r="J20538" t="s">
        <v>584</v>
      </c>
      <c r="K20538" t="s">
        <v>33</v>
      </c>
      <c r="L20538" t="s">
        <v>335</v>
      </c>
      <c r="N20538" t="s">
        <v>29</v>
      </c>
    </row>
    <row r="20539" spans="1:14">
      <c r="A20539" s="4" t="str">
        <f t="shared" si="1390"/>
        <v>EXP00448</v>
      </c>
      <c r="B20539" s="3" t="s">
        <v>66</v>
      </c>
      <c r="C20539" s="4" t="str">
        <f t="shared" si="1391"/>
        <v>TCGA-THCA</v>
      </c>
      <c r="D20539" s="1" t="s">
        <v>493</v>
      </c>
      <c r="E20539" t="s">
        <v>591</v>
      </c>
      <c r="F20539" s="1">
        <v>2</v>
      </c>
      <c r="G20539" s="1" t="s">
        <v>28</v>
      </c>
      <c r="H20539" s="4" t="str">
        <f>HYPERLINK("https://portal.gdc.cancer.gov/cases/d3d9ccdd-4789-43b0-8e73-b2c42cb7d83d","TCGA-KS-A4IB-01A")</f>
        <v>TCGA-KS-A4IB-01A</v>
      </c>
      <c r="I20539" t="s">
        <v>333</v>
      </c>
      <c r="J20539" t="s">
        <v>584</v>
      </c>
      <c r="K20539" t="s">
        <v>33</v>
      </c>
      <c r="L20539" t="s">
        <v>335</v>
      </c>
      <c r="N20539" t="s">
        <v>29</v>
      </c>
    </row>
    <row r="20540" spans="1:14">
      <c r="A20540" s="4" t="str">
        <f t="shared" si="1390"/>
        <v>EXP00448</v>
      </c>
      <c r="B20540" s="3" t="s">
        <v>66</v>
      </c>
      <c r="C20540" s="4" t="str">
        <f t="shared" si="1391"/>
        <v>TCGA-THCA</v>
      </c>
      <c r="D20540" s="1" t="s">
        <v>493</v>
      </c>
      <c r="E20540" t="s">
        <v>591</v>
      </c>
      <c r="F20540" s="1">
        <v>2</v>
      </c>
      <c r="G20540" s="1" t="s">
        <v>28</v>
      </c>
      <c r="H20540" s="4" t="str">
        <f>HYPERLINK("https://portal.gdc.cancer.gov/cases/4d30606f-3ab6-4ef0-9991-8897cdb9960b","TCGA-KS-A4IC-01A")</f>
        <v>TCGA-KS-A4IC-01A</v>
      </c>
      <c r="I20540" t="s">
        <v>333</v>
      </c>
      <c r="J20540" t="s">
        <v>584</v>
      </c>
      <c r="K20540" t="s">
        <v>33</v>
      </c>
      <c r="L20540" t="s">
        <v>335</v>
      </c>
      <c r="N20540" t="s">
        <v>29</v>
      </c>
    </row>
    <row r="20541" spans="1:14">
      <c r="A20541" s="4" t="str">
        <f t="shared" si="1390"/>
        <v>EXP00448</v>
      </c>
      <c r="B20541" s="3" t="s">
        <v>66</v>
      </c>
      <c r="C20541" s="4" t="str">
        <f t="shared" si="1391"/>
        <v>TCGA-THCA</v>
      </c>
      <c r="D20541" s="1" t="s">
        <v>493</v>
      </c>
      <c r="E20541" t="s">
        <v>591</v>
      </c>
      <c r="F20541" s="1">
        <v>2</v>
      </c>
      <c r="G20541" s="1" t="s">
        <v>28</v>
      </c>
      <c r="H20541" s="4" t="str">
        <f>HYPERLINK("https://portal.gdc.cancer.gov/cases/899ed323-4fd1-4d8d-9c2f-c63d9b44e875","TCGA-KS-A4ID-01A")</f>
        <v>TCGA-KS-A4ID-01A</v>
      </c>
      <c r="I20541" t="s">
        <v>333</v>
      </c>
      <c r="J20541" t="s">
        <v>584</v>
      </c>
      <c r="K20541" t="s">
        <v>33</v>
      </c>
      <c r="L20541" t="s">
        <v>335</v>
      </c>
      <c r="N20541" t="s">
        <v>29</v>
      </c>
    </row>
    <row r="20542" spans="1:14">
      <c r="A20542" s="4" t="str">
        <f t="shared" si="1390"/>
        <v>EXP00448</v>
      </c>
      <c r="B20542" s="3" t="s">
        <v>66</v>
      </c>
      <c r="C20542" s="4" t="str">
        <f t="shared" si="1391"/>
        <v>TCGA-THCA</v>
      </c>
      <c r="D20542" s="1" t="s">
        <v>493</v>
      </c>
      <c r="E20542" t="s">
        <v>591</v>
      </c>
      <c r="F20542" s="1">
        <v>2</v>
      </c>
      <c r="G20542" s="1" t="s">
        <v>28</v>
      </c>
      <c r="H20542" s="4" t="str">
        <f>HYPERLINK("https://portal.gdc.cancer.gov/cases/9c6c44b3-a2ca-456e-a8d1-d375309c1751","TCGA-L6-A4EP-01A")</f>
        <v>TCGA-L6-A4EP-01A</v>
      </c>
      <c r="I20542" t="s">
        <v>333</v>
      </c>
      <c r="J20542" t="s">
        <v>584</v>
      </c>
      <c r="K20542" t="s">
        <v>33</v>
      </c>
      <c r="L20542" t="s">
        <v>335</v>
      </c>
      <c r="N20542" t="s">
        <v>29</v>
      </c>
    </row>
    <row r="20543" spans="1:14">
      <c r="A20543" s="4" t="str">
        <f t="shared" si="1390"/>
        <v>EXP00448</v>
      </c>
      <c r="B20543" s="3" t="s">
        <v>66</v>
      </c>
      <c r="C20543" s="4" t="str">
        <f t="shared" si="1391"/>
        <v>TCGA-THCA</v>
      </c>
      <c r="D20543" s="1" t="s">
        <v>493</v>
      </c>
      <c r="E20543" t="s">
        <v>591</v>
      </c>
      <c r="F20543" s="1">
        <v>2</v>
      </c>
      <c r="G20543" s="1" t="s">
        <v>28</v>
      </c>
      <c r="H20543" s="4" t="str">
        <f>HYPERLINK("https://portal.gdc.cancer.gov/cases/d684399e-46c4-4bad-92e9-3de17c9f9a5f","TCGA-L6-A4EQ-01A")</f>
        <v>TCGA-L6-A4EQ-01A</v>
      </c>
      <c r="I20543" t="s">
        <v>333</v>
      </c>
      <c r="J20543" t="s">
        <v>584</v>
      </c>
      <c r="K20543" t="s">
        <v>33</v>
      </c>
      <c r="L20543" t="s">
        <v>335</v>
      </c>
      <c r="N20543" t="s">
        <v>29</v>
      </c>
    </row>
    <row r="20544" spans="1:14">
      <c r="A20544" s="4" t="str">
        <f t="shared" si="1390"/>
        <v>EXP00448</v>
      </c>
      <c r="B20544" s="3" t="s">
        <v>66</v>
      </c>
      <c r="C20544" s="4" t="str">
        <f t="shared" si="1391"/>
        <v>TCGA-THCA</v>
      </c>
      <c r="D20544" s="1" t="s">
        <v>493</v>
      </c>
      <c r="E20544" t="s">
        <v>591</v>
      </c>
      <c r="F20544" s="1">
        <v>2</v>
      </c>
      <c r="G20544" s="1" t="s">
        <v>28</v>
      </c>
      <c r="H20544" s="4" t="str">
        <f>HYPERLINK("https://portal.gdc.cancer.gov/cases/e1ff7694-64e1-47ed-b0d8-34acfb4ffef1","TCGA-L6-A4ET-01A")</f>
        <v>TCGA-L6-A4ET-01A</v>
      </c>
      <c r="I20544" t="s">
        <v>333</v>
      </c>
      <c r="J20544" t="s">
        <v>584</v>
      </c>
      <c r="K20544" t="s">
        <v>33</v>
      </c>
      <c r="L20544" t="s">
        <v>335</v>
      </c>
      <c r="N20544" t="s">
        <v>29</v>
      </c>
    </row>
    <row r="20545" spans="1:14">
      <c r="A20545" s="4" t="str">
        <f t="shared" si="1390"/>
        <v>EXP00448</v>
      </c>
      <c r="B20545" s="3" t="s">
        <v>66</v>
      </c>
      <c r="C20545" s="4" t="str">
        <f t="shared" si="1391"/>
        <v>TCGA-THCA</v>
      </c>
      <c r="D20545" s="1" t="s">
        <v>493</v>
      </c>
      <c r="E20545" t="s">
        <v>591</v>
      </c>
      <c r="F20545" s="1">
        <v>2</v>
      </c>
      <c r="G20545" s="1" t="s">
        <v>28</v>
      </c>
      <c r="H20545" s="4" t="str">
        <f>HYPERLINK("https://portal.gdc.cancer.gov/cases/b555b7a4-6324-4d3e-9eed-b140af6c768a","TCGA-L6-A4EU-01A")</f>
        <v>TCGA-L6-A4EU-01A</v>
      </c>
      <c r="I20545" t="s">
        <v>333</v>
      </c>
      <c r="J20545" t="s">
        <v>584</v>
      </c>
      <c r="K20545" t="s">
        <v>33</v>
      </c>
      <c r="L20545" t="s">
        <v>335</v>
      </c>
      <c r="N20545" t="s">
        <v>29</v>
      </c>
    </row>
    <row r="20546" spans="1:14">
      <c r="A20546" s="4" t="str">
        <f t="shared" si="1390"/>
        <v>EXP00448</v>
      </c>
      <c r="B20546" s="3" t="s">
        <v>66</v>
      </c>
      <c r="C20546" s="4" t="str">
        <f t="shared" si="1391"/>
        <v>TCGA-THCA</v>
      </c>
      <c r="D20546" s="1" t="s">
        <v>493</v>
      </c>
      <c r="E20546" t="s">
        <v>591</v>
      </c>
      <c r="F20546" s="1">
        <v>2</v>
      </c>
      <c r="G20546" s="1" t="s">
        <v>28</v>
      </c>
      <c r="H20546" s="4" t="str">
        <f>HYPERLINK("https://portal.gdc.cancer.gov/cases/dd478399-d2ec-4ae4-a82a-b0258d24d088","TCGA-MK-A4N6-01A")</f>
        <v>TCGA-MK-A4N6-01A</v>
      </c>
      <c r="I20546" t="s">
        <v>333</v>
      </c>
      <c r="J20546" t="s">
        <v>584</v>
      </c>
      <c r="K20546" t="s">
        <v>33</v>
      </c>
      <c r="L20546" t="s">
        <v>335</v>
      </c>
      <c r="N20546" t="s">
        <v>29</v>
      </c>
    </row>
    <row r="20547" spans="1:14">
      <c r="A20547" s="4" t="str">
        <f t="shared" si="1390"/>
        <v>EXP00448</v>
      </c>
      <c r="B20547" s="3" t="s">
        <v>66</v>
      </c>
      <c r="C20547" s="4" t="str">
        <f t="shared" si="1391"/>
        <v>TCGA-THCA</v>
      </c>
      <c r="D20547" s="1" t="s">
        <v>493</v>
      </c>
      <c r="E20547" t="s">
        <v>591</v>
      </c>
      <c r="F20547" s="1">
        <v>2</v>
      </c>
      <c r="G20547" s="1" t="s">
        <v>28</v>
      </c>
      <c r="H20547" s="4" t="str">
        <f>HYPERLINK("https://portal.gdc.cancer.gov/cases/f0bc4f65-211b-4ae1-8e68-aaef3f3c6db8","TCGA-MK-A4N7-01A")</f>
        <v>TCGA-MK-A4N7-01A</v>
      </c>
      <c r="I20547" t="s">
        <v>333</v>
      </c>
      <c r="J20547" t="s">
        <v>584</v>
      </c>
      <c r="K20547" t="s">
        <v>33</v>
      </c>
      <c r="L20547" t="s">
        <v>335</v>
      </c>
      <c r="N20547" t="s">
        <v>29</v>
      </c>
    </row>
    <row r="20548" spans="1:14">
      <c r="A20548" s="4" t="str">
        <f t="shared" si="1390"/>
        <v>EXP00448</v>
      </c>
      <c r="B20548" s="3" t="s">
        <v>66</v>
      </c>
      <c r="C20548" s="4" t="str">
        <f t="shared" si="1391"/>
        <v>TCGA-THCA</v>
      </c>
      <c r="D20548" s="1" t="s">
        <v>493</v>
      </c>
      <c r="E20548" t="s">
        <v>591</v>
      </c>
      <c r="F20548" s="1">
        <v>2</v>
      </c>
      <c r="G20548" s="1" t="s">
        <v>28</v>
      </c>
      <c r="H20548" s="4" t="str">
        <f>HYPERLINK("https://portal.gdc.cancer.gov/cases/25184e51-1464-438a-80ff-cfc9a443cd36","TCGA-MK-A4N9-01A")</f>
        <v>TCGA-MK-A4N9-01A</v>
      </c>
      <c r="I20548" t="s">
        <v>333</v>
      </c>
      <c r="J20548" t="s">
        <v>584</v>
      </c>
      <c r="K20548" t="s">
        <v>33</v>
      </c>
      <c r="L20548" t="s">
        <v>335</v>
      </c>
      <c r="N20548" t="s">
        <v>29</v>
      </c>
    </row>
    <row r="20549" spans="1:14">
      <c r="A20549" s="4" t="str">
        <f t="shared" si="1390"/>
        <v>EXP00448</v>
      </c>
      <c r="B20549" s="3" t="s">
        <v>66</v>
      </c>
      <c r="C20549" s="4" t="str">
        <f t="shared" si="1391"/>
        <v>TCGA-THCA</v>
      </c>
      <c r="D20549" s="1" t="s">
        <v>493</v>
      </c>
      <c r="E20549" t="s">
        <v>591</v>
      </c>
      <c r="F20549" s="1">
        <v>2</v>
      </c>
      <c r="G20549" s="1" t="s">
        <v>28</v>
      </c>
      <c r="H20549" s="4" t="str">
        <f>HYPERLINK("https://portal.gdc.cancer.gov/cases/227dac7d-6bc3-4d8b-ac9c-ea4cab9a602c","TCGA-MK-A84Z-01A")</f>
        <v>TCGA-MK-A84Z-01A</v>
      </c>
      <c r="I20549" t="s">
        <v>333</v>
      </c>
      <c r="J20549" t="s">
        <v>584</v>
      </c>
      <c r="K20549" t="s">
        <v>33</v>
      </c>
      <c r="L20549" t="s">
        <v>335</v>
      </c>
      <c r="N20549" t="s">
        <v>29</v>
      </c>
    </row>
    <row r="20550" spans="1:14">
      <c r="A20550" s="4" t="str">
        <f t="shared" si="1390"/>
        <v>EXP00448</v>
      </c>
      <c r="B20550" s="3" t="s">
        <v>66</v>
      </c>
      <c r="C20550" s="4" t="str">
        <f t="shared" si="1391"/>
        <v>TCGA-THCA</v>
      </c>
      <c r="D20550" s="1" t="s">
        <v>493</v>
      </c>
      <c r="E20550" t="s">
        <v>591</v>
      </c>
      <c r="F20550" s="1">
        <v>2</v>
      </c>
      <c r="G20550" s="1" t="s">
        <v>28</v>
      </c>
      <c r="H20550" s="4" t="str">
        <f>HYPERLINK("https://portal.gdc.cancer.gov/cases/c35e4390-2809-4d88-86f3-208de05b338a","TCGA-QD-A8IV-01A")</f>
        <v>TCGA-QD-A8IV-01A</v>
      </c>
      <c r="I20550" t="s">
        <v>333</v>
      </c>
      <c r="J20550" t="s">
        <v>584</v>
      </c>
      <c r="K20550" t="s">
        <v>33</v>
      </c>
      <c r="L20550" t="s">
        <v>335</v>
      </c>
      <c r="N20550" t="s">
        <v>29</v>
      </c>
    </row>
    <row r="20551" spans="1:14">
      <c r="A20551" s="4" t="str">
        <f t="shared" ref="A20551:A20582" si="1392">HYPERLINK("http://hcmdb.i-sanger.com/experiment/details/experiment_id/EXP00449","EXP00449")</f>
        <v>EXP00449</v>
      </c>
      <c r="B20551" s="3" t="s">
        <v>66</v>
      </c>
      <c r="C20551" s="4" t="str">
        <f t="shared" ref="C20551:C20614" si="1393">HYPERLINK("https://portal.gdc.cancer.gov/projects/TCGA-THYM","TCGA-THYM")</f>
        <v>TCGA-THYM</v>
      </c>
      <c r="D20551" s="1" t="s">
        <v>493</v>
      </c>
      <c r="E20551" t="s">
        <v>592</v>
      </c>
      <c r="F20551" s="1">
        <v>1</v>
      </c>
      <c r="G20551" s="1" t="s">
        <v>31</v>
      </c>
      <c r="H20551" s="4" t="str">
        <f>HYPERLINK("https://portal.gdc.cancer.gov/cases/acaaed1a-2667-4c56-919b-daf5574371bb","TCGA-3G-AB0T-01A")</f>
        <v>TCGA-3G-AB0T-01A</v>
      </c>
      <c r="I20551" t="s">
        <v>593</v>
      </c>
      <c r="J20551" t="s">
        <v>18</v>
      </c>
      <c r="K20551" t="s">
        <v>19</v>
      </c>
      <c r="L20551" t="s">
        <v>594</v>
      </c>
      <c r="M20551" t="s">
        <v>595</v>
      </c>
      <c r="N20551" t="s">
        <v>29</v>
      </c>
    </row>
    <row r="20552" spans="1:14">
      <c r="A20552" s="4" t="str">
        <f t="shared" si="1392"/>
        <v>EXP00449</v>
      </c>
      <c r="B20552" s="3" t="s">
        <v>66</v>
      </c>
      <c r="C20552" s="4" t="str">
        <f t="shared" si="1393"/>
        <v>TCGA-THYM</v>
      </c>
      <c r="D20552" s="1" t="s">
        <v>493</v>
      </c>
      <c r="E20552" t="s">
        <v>592</v>
      </c>
      <c r="F20552" s="1">
        <v>1</v>
      </c>
      <c r="G20552" s="1" t="s">
        <v>31</v>
      </c>
      <c r="H20552" s="4" t="str">
        <f>HYPERLINK("https://portal.gdc.cancer.gov/cases/2b794eae-814c-4b5c-b276-be9096b94f94","TCGA-ZB-A966-01A")</f>
        <v>TCGA-ZB-A966-01A</v>
      </c>
      <c r="I20552" t="s">
        <v>593</v>
      </c>
      <c r="J20552" t="s">
        <v>18</v>
      </c>
      <c r="K20552" t="s">
        <v>19</v>
      </c>
      <c r="L20552" t="s">
        <v>594</v>
      </c>
      <c r="M20552" t="s">
        <v>596</v>
      </c>
      <c r="N20552" t="s">
        <v>29</v>
      </c>
    </row>
    <row r="20553" spans="1:14">
      <c r="A20553" s="4" t="str">
        <f t="shared" si="1392"/>
        <v>EXP00449</v>
      </c>
      <c r="B20553" s="3" t="s">
        <v>66</v>
      </c>
      <c r="C20553" s="4" t="str">
        <f t="shared" si="1393"/>
        <v>TCGA-THYM</v>
      </c>
      <c r="D20553" s="1" t="s">
        <v>493</v>
      </c>
      <c r="E20553" t="s">
        <v>592</v>
      </c>
      <c r="F20553" s="1">
        <v>2</v>
      </c>
      <c r="G20553" s="1" t="s">
        <v>32</v>
      </c>
      <c r="H20553" s="4" t="str">
        <f>HYPERLINK("https://portal.gdc.cancer.gov/cases/3f19d238-1b55-4530-a9e2-8fda644d45a6","TCGA-3G-AB0O-01A")</f>
        <v>TCGA-3G-AB0O-01A</v>
      </c>
      <c r="I20553" t="s">
        <v>593</v>
      </c>
      <c r="J20553" t="s">
        <v>18</v>
      </c>
      <c r="K20553" t="s">
        <v>33</v>
      </c>
      <c r="L20553" t="s">
        <v>594</v>
      </c>
      <c r="N20553" t="s">
        <v>29</v>
      </c>
    </row>
    <row r="20554" spans="1:14">
      <c r="A20554" s="4" t="str">
        <f t="shared" si="1392"/>
        <v>EXP00449</v>
      </c>
      <c r="B20554" s="3" t="s">
        <v>66</v>
      </c>
      <c r="C20554" s="4" t="str">
        <f t="shared" si="1393"/>
        <v>TCGA-THYM</v>
      </c>
      <c r="D20554" s="1" t="s">
        <v>493</v>
      </c>
      <c r="E20554" t="s">
        <v>592</v>
      </c>
      <c r="F20554" s="1">
        <v>2</v>
      </c>
      <c r="G20554" s="1" t="s">
        <v>32</v>
      </c>
      <c r="H20554" s="4" t="str">
        <f>HYPERLINK("https://portal.gdc.cancer.gov/cases/67ff3aa1-9d52-4dc8-8501-ecd0d37a8735","TCGA-3G-AB0Q-01A")</f>
        <v>TCGA-3G-AB0Q-01A</v>
      </c>
      <c r="I20554" t="s">
        <v>593</v>
      </c>
      <c r="J20554" t="s">
        <v>18</v>
      </c>
      <c r="K20554" t="s">
        <v>33</v>
      </c>
      <c r="L20554" t="s">
        <v>594</v>
      </c>
      <c r="N20554" t="s">
        <v>29</v>
      </c>
    </row>
    <row r="20555" spans="1:14">
      <c r="A20555" s="4" t="str">
        <f t="shared" si="1392"/>
        <v>EXP00449</v>
      </c>
      <c r="B20555" s="3" t="s">
        <v>66</v>
      </c>
      <c r="C20555" s="4" t="str">
        <f t="shared" si="1393"/>
        <v>TCGA-THYM</v>
      </c>
      <c r="D20555" s="1" t="s">
        <v>493</v>
      </c>
      <c r="E20555" t="s">
        <v>592</v>
      </c>
      <c r="F20555" s="1">
        <v>2</v>
      </c>
      <c r="G20555" s="1" t="s">
        <v>32</v>
      </c>
      <c r="H20555" s="4" t="str">
        <f>HYPERLINK("https://portal.gdc.cancer.gov/cases/6e98a600-252d-442f-9372-ddc7c5338ae7","TCGA-3G-AB14-01A")</f>
        <v>TCGA-3G-AB14-01A</v>
      </c>
      <c r="I20555" t="s">
        <v>593</v>
      </c>
      <c r="J20555" t="s">
        <v>18</v>
      </c>
      <c r="K20555" t="s">
        <v>33</v>
      </c>
      <c r="L20555" t="s">
        <v>594</v>
      </c>
      <c r="N20555" t="s">
        <v>29</v>
      </c>
    </row>
    <row r="20556" spans="1:14">
      <c r="A20556" s="4" t="str">
        <f t="shared" si="1392"/>
        <v>EXP00449</v>
      </c>
      <c r="B20556" s="3" t="s">
        <v>66</v>
      </c>
      <c r="C20556" s="4" t="str">
        <f t="shared" si="1393"/>
        <v>TCGA-THYM</v>
      </c>
      <c r="D20556" s="1" t="s">
        <v>493</v>
      </c>
      <c r="E20556" t="s">
        <v>592</v>
      </c>
      <c r="F20556" s="1">
        <v>2</v>
      </c>
      <c r="G20556" s="1" t="s">
        <v>32</v>
      </c>
      <c r="H20556" s="4" t="str">
        <f>HYPERLINK("https://portal.gdc.cancer.gov/cases/81fdc97f-8bad-4286-9d36-9a887c6b59a1","TCGA-3G-AB19-01A")</f>
        <v>TCGA-3G-AB19-01A</v>
      </c>
      <c r="I20556" t="s">
        <v>593</v>
      </c>
      <c r="J20556" t="s">
        <v>18</v>
      </c>
      <c r="K20556" t="s">
        <v>33</v>
      </c>
      <c r="L20556" t="s">
        <v>594</v>
      </c>
      <c r="N20556" t="s">
        <v>29</v>
      </c>
    </row>
    <row r="20557" spans="1:14">
      <c r="A20557" s="4" t="str">
        <f t="shared" si="1392"/>
        <v>EXP00449</v>
      </c>
      <c r="B20557" s="3" t="s">
        <v>66</v>
      </c>
      <c r="C20557" s="4" t="str">
        <f t="shared" si="1393"/>
        <v>TCGA-THYM</v>
      </c>
      <c r="D20557" s="1" t="s">
        <v>493</v>
      </c>
      <c r="E20557" t="s">
        <v>592</v>
      </c>
      <c r="F20557" s="1">
        <v>2</v>
      </c>
      <c r="G20557" s="1" t="s">
        <v>32</v>
      </c>
      <c r="H20557" s="4" t="str">
        <f>HYPERLINK("https://portal.gdc.cancer.gov/cases/fbc5debd-f117-4ade-81b0-45d49fdd50a1","TCGA-3Q-A9WF-01A")</f>
        <v>TCGA-3Q-A9WF-01A</v>
      </c>
      <c r="I20557" t="s">
        <v>593</v>
      </c>
      <c r="J20557" t="s">
        <v>18</v>
      </c>
      <c r="K20557" t="s">
        <v>33</v>
      </c>
      <c r="L20557" t="s">
        <v>594</v>
      </c>
      <c r="N20557" t="s">
        <v>29</v>
      </c>
    </row>
    <row r="20558" spans="1:14">
      <c r="A20558" s="4" t="str">
        <f t="shared" si="1392"/>
        <v>EXP00449</v>
      </c>
      <c r="B20558" s="3" t="s">
        <v>66</v>
      </c>
      <c r="C20558" s="4" t="str">
        <f t="shared" si="1393"/>
        <v>TCGA-THYM</v>
      </c>
      <c r="D20558" s="1" t="s">
        <v>493</v>
      </c>
      <c r="E20558" t="s">
        <v>592</v>
      </c>
      <c r="F20558" s="1">
        <v>2</v>
      </c>
      <c r="G20558" s="1" t="s">
        <v>32</v>
      </c>
      <c r="H20558" s="4" t="str">
        <f>HYPERLINK("https://portal.gdc.cancer.gov/cases/440421ad-5f1f-4345-86a2-fc25cb7cd453","TCGA-3S-A8YW-01A")</f>
        <v>TCGA-3S-A8YW-01A</v>
      </c>
      <c r="I20558" t="s">
        <v>593</v>
      </c>
      <c r="J20558" t="s">
        <v>18</v>
      </c>
      <c r="K20558" t="s">
        <v>33</v>
      </c>
      <c r="L20558" t="s">
        <v>594</v>
      </c>
      <c r="N20558" t="s">
        <v>29</v>
      </c>
    </row>
    <row r="20559" spans="1:14">
      <c r="A20559" s="4" t="str">
        <f t="shared" si="1392"/>
        <v>EXP00449</v>
      </c>
      <c r="B20559" s="3" t="s">
        <v>66</v>
      </c>
      <c r="C20559" s="4" t="str">
        <f t="shared" si="1393"/>
        <v>TCGA-THYM</v>
      </c>
      <c r="D20559" s="1" t="s">
        <v>493</v>
      </c>
      <c r="E20559" t="s">
        <v>592</v>
      </c>
      <c r="F20559" s="1">
        <v>2</v>
      </c>
      <c r="G20559" s="1" t="s">
        <v>32</v>
      </c>
      <c r="H20559" s="4" t="str">
        <f>HYPERLINK("https://portal.gdc.cancer.gov/cases/4fc4cba2-7212-4755-b53d-111878b2ff90","TCGA-3S-AAYX-01A")</f>
        <v>TCGA-3S-AAYX-01A</v>
      </c>
      <c r="I20559" t="s">
        <v>593</v>
      </c>
      <c r="J20559" t="s">
        <v>18</v>
      </c>
      <c r="K20559" t="s">
        <v>33</v>
      </c>
      <c r="L20559" t="s">
        <v>594</v>
      </c>
      <c r="N20559" t="s">
        <v>29</v>
      </c>
    </row>
    <row r="20560" spans="1:14">
      <c r="A20560" s="4" t="str">
        <f t="shared" si="1392"/>
        <v>EXP00449</v>
      </c>
      <c r="B20560" s="3" t="s">
        <v>66</v>
      </c>
      <c r="C20560" s="4" t="str">
        <f t="shared" si="1393"/>
        <v>TCGA-THYM</v>
      </c>
      <c r="D20560" s="1" t="s">
        <v>493</v>
      </c>
      <c r="E20560" t="s">
        <v>592</v>
      </c>
      <c r="F20560" s="1">
        <v>2</v>
      </c>
      <c r="G20560" s="1" t="s">
        <v>32</v>
      </c>
      <c r="H20560" s="4" t="str">
        <f>HYPERLINK("https://portal.gdc.cancer.gov/cases/eddb3067-a0e5-461f-a8b8-95081ec67de0","TCGA-3T-AA9L-01A")</f>
        <v>TCGA-3T-AA9L-01A</v>
      </c>
      <c r="I20560" t="s">
        <v>593</v>
      </c>
      <c r="J20560" t="s">
        <v>18</v>
      </c>
      <c r="K20560" t="s">
        <v>33</v>
      </c>
      <c r="L20560" t="s">
        <v>594</v>
      </c>
      <c r="N20560" t="s">
        <v>29</v>
      </c>
    </row>
    <row r="20561" spans="1:14">
      <c r="A20561" s="4" t="str">
        <f t="shared" si="1392"/>
        <v>EXP00449</v>
      </c>
      <c r="B20561" s="3" t="s">
        <v>66</v>
      </c>
      <c r="C20561" s="4" t="str">
        <f t="shared" si="1393"/>
        <v>TCGA-THYM</v>
      </c>
      <c r="D20561" s="1" t="s">
        <v>493</v>
      </c>
      <c r="E20561" t="s">
        <v>592</v>
      </c>
      <c r="F20561" s="1">
        <v>2</v>
      </c>
      <c r="G20561" s="1" t="s">
        <v>32</v>
      </c>
      <c r="H20561" s="4" t="str">
        <f>HYPERLINK("https://portal.gdc.cancer.gov/cases/eeaa0fa3-408c-4e0f-a18a-095514173ff1","TCGA-4V-A9QI-01A")</f>
        <v>TCGA-4V-A9QI-01A</v>
      </c>
      <c r="I20561" t="s">
        <v>593</v>
      </c>
      <c r="J20561" t="s">
        <v>18</v>
      </c>
      <c r="K20561" t="s">
        <v>33</v>
      </c>
      <c r="L20561" t="s">
        <v>594</v>
      </c>
      <c r="N20561" t="s">
        <v>29</v>
      </c>
    </row>
    <row r="20562" spans="1:14">
      <c r="A20562" s="4" t="str">
        <f t="shared" si="1392"/>
        <v>EXP00449</v>
      </c>
      <c r="B20562" s="3" t="s">
        <v>66</v>
      </c>
      <c r="C20562" s="4" t="str">
        <f t="shared" si="1393"/>
        <v>TCGA-THYM</v>
      </c>
      <c r="D20562" s="1" t="s">
        <v>493</v>
      </c>
      <c r="E20562" t="s">
        <v>592</v>
      </c>
      <c r="F20562" s="1">
        <v>2</v>
      </c>
      <c r="G20562" s="1" t="s">
        <v>32</v>
      </c>
      <c r="H20562" s="4" t="str">
        <f>HYPERLINK("https://portal.gdc.cancer.gov/cases/50612721-2e12-4dc3-8e1e-87624cf9333b","TCGA-4V-A9QJ-01A")</f>
        <v>TCGA-4V-A9QJ-01A</v>
      </c>
      <c r="I20562" t="s">
        <v>593</v>
      </c>
      <c r="J20562" t="s">
        <v>18</v>
      </c>
      <c r="K20562" t="s">
        <v>33</v>
      </c>
      <c r="L20562" t="s">
        <v>594</v>
      </c>
      <c r="N20562" t="s">
        <v>29</v>
      </c>
    </row>
    <row r="20563" spans="1:14">
      <c r="A20563" s="4" t="str">
        <f t="shared" si="1392"/>
        <v>EXP00449</v>
      </c>
      <c r="B20563" s="3" t="s">
        <v>66</v>
      </c>
      <c r="C20563" s="4" t="str">
        <f t="shared" si="1393"/>
        <v>TCGA-THYM</v>
      </c>
      <c r="D20563" s="1" t="s">
        <v>493</v>
      </c>
      <c r="E20563" t="s">
        <v>592</v>
      </c>
      <c r="F20563" s="1">
        <v>2</v>
      </c>
      <c r="G20563" s="1" t="s">
        <v>32</v>
      </c>
      <c r="H20563" s="4" t="str">
        <f>HYPERLINK("https://portal.gdc.cancer.gov/cases/f4ee567b-ea34-4bd0-96c9-398e2045d5fd","TCGA-4V-A9QL-01A")</f>
        <v>TCGA-4V-A9QL-01A</v>
      </c>
      <c r="I20563" t="s">
        <v>593</v>
      </c>
      <c r="J20563" t="s">
        <v>18</v>
      </c>
      <c r="K20563" t="s">
        <v>33</v>
      </c>
      <c r="L20563" t="s">
        <v>594</v>
      </c>
      <c r="N20563" t="s">
        <v>29</v>
      </c>
    </row>
    <row r="20564" spans="1:14">
      <c r="A20564" s="4" t="str">
        <f t="shared" si="1392"/>
        <v>EXP00449</v>
      </c>
      <c r="B20564" s="3" t="s">
        <v>66</v>
      </c>
      <c r="C20564" s="4" t="str">
        <f t="shared" si="1393"/>
        <v>TCGA-THYM</v>
      </c>
      <c r="D20564" s="1" t="s">
        <v>493</v>
      </c>
      <c r="E20564" t="s">
        <v>592</v>
      </c>
      <c r="F20564" s="1">
        <v>2</v>
      </c>
      <c r="G20564" s="1" t="s">
        <v>32</v>
      </c>
      <c r="H20564" s="4" t="str">
        <f>HYPERLINK("https://portal.gdc.cancer.gov/cases/0be4fa90-0122-4b26-b35f-7b1a4a16e63b","TCGA-4V-A9QM-01A")</f>
        <v>TCGA-4V-A9QM-01A</v>
      </c>
      <c r="I20564" t="s">
        <v>593</v>
      </c>
      <c r="J20564" t="s">
        <v>18</v>
      </c>
      <c r="K20564" t="s">
        <v>33</v>
      </c>
      <c r="L20564" t="s">
        <v>594</v>
      </c>
      <c r="N20564" t="s">
        <v>29</v>
      </c>
    </row>
    <row r="20565" spans="1:14">
      <c r="A20565" s="4" t="str">
        <f t="shared" si="1392"/>
        <v>EXP00449</v>
      </c>
      <c r="B20565" s="3" t="s">
        <v>66</v>
      </c>
      <c r="C20565" s="4" t="str">
        <f t="shared" si="1393"/>
        <v>TCGA-THYM</v>
      </c>
      <c r="D20565" s="1" t="s">
        <v>493</v>
      </c>
      <c r="E20565" t="s">
        <v>592</v>
      </c>
      <c r="F20565" s="1">
        <v>2</v>
      </c>
      <c r="G20565" s="1" t="s">
        <v>32</v>
      </c>
      <c r="H20565" s="4" t="str">
        <f>HYPERLINK("https://portal.gdc.cancer.gov/cases/51abe033-5fb4-49b5-89ef-c44d0bb1ab00","TCGA-4V-A9QN-01A")</f>
        <v>TCGA-4V-A9QN-01A</v>
      </c>
      <c r="I20565" t="s">
        <v>593</v>
      </c>
      <c r="J20565" t="s">
        <v>18</v>
      </c>
      <c r="K20565" t="s">
        <v>33</v>
      </c>
      <c r="L20565" t="s">
        <v>594</v>
      </c>
      <c r="N20565" t="s">
        <v>29</v>
      </c>
    </row>
    <row r="20566" spans="1:14">
      <c r="A20566" s="4" t="str">
        <f t="shared" si="1392"/>
        <v>EXP00449</v>
      </c>
      <c r="B20566" s="3" t="s">
        <v>66</v>
      </c>
      <c r="C20566" s="4" t="str">
        <f t="shared" si="1393"/>
        <v>TCGA-THYM</v>
      </c>
      <c r="D20566" s="1" t="s">
        <v>493</v>
      </c>
      <c r="E20566" t="s">
        <v>592</v>
      </c>
      <c r="F20566" s="1">
        <v>2</v>
      </c>
      <c r="G20566" s="1" t="s">
        <v>32</v>
      </c>
      <c r="H20566" s="4" t="str">
        <f>HYPERLINK("https://portal.gdc.cancer.gov/cases/85d1afdf-6164-49e1-b599-71512c5acd99","TCGA-4V-A9QR-01A")</f>
        <v>TCGA-4V-A9QR-01A</v>
      </c>
      <c r="I20566" t="s">
        <v>593</v>
      </c>
      <c r="J20566" t="s">
        <v>18</v>
      </c>
      <c r="K20566" t="s">
        <v>33</v>
      </c>
      <c r="L20566" t="s">
        <v>594</v>
      </c>
      <c r="N20566" t="s">
        <v>29</v>
      </c>
    </row>
    <row r="20567" spans="1:14">
      <c r="A20567" s="4" t="str">
        <f t="shared" si="1392"/>
        <v>EXP00449</v>
      </c>
      <c r="B20567" s="3" t="s">
        <v>66</v>
      </c>
      <c r="C20567" s="4" t="str">
        <f t="shared" si="1393"/>
        <v>TCGA-THYM</v>
      </c>
      <c r="D20567" s="1" t="s">
        <v>493</v>
      </c>
      <c r="E20567" t="s">
        <v>592</v>
      </c>
      <c r="F20567" s="1">
        <v>2</v>
      </c>
      <c r="G20567" s="1" t="s">
        <v>32</v>
      </c>
      <c r="H20567" s="4" t="str">
        <f>HYPERLINK("https://portal.gdc.cancer.gov/cases/88c0af76-b1ba-478f-a42b-8a50c0568d5e","TCGA-4V-A9QS-01A")</f>
        <v>TCGA-4V-A9QS-01A</v>
      </c>
      <c r="I20567" t="s">
        <v>593</v>
      </c>
      <c r="J20567" t="s">
        <v>18</v>
      </c>
      <c r="K20567" t="s">
        <v>33</v>
      </c>
      <c r="L20567" t="s">
        <v>594</v>
      </c>
      <c r="N20567" t="s">
        <v>29</v>
      </c>
    </row>
    <row r="20568" spans="1:14">
      <c r="A20568" s="4" t="str">
        <f t="shared" si="1392"/>
        <v>EXP00449</v>
      </c>
      <c r="B20568" s="3" t="s">
        <v>66</v>
      </c>
      <c r="C20568" s="4" t="str">
        <f t="shared" si="1393"/>
        <v>TCGA-THYM</v>
      </c>
      <c r="D20568" s="1" t="s">
        <v>493</v>
      </c>
      <c r="E20568" t="s">
        <v>592</v>
      </c>
      <c r="F20568" s="1">
        <v>2</v>
      </c>
      <c r="G20568" s="1" t="s">
        <v>32</v>
      </c>
      <c r="H20568" s="4" t="str">
        <f>HYPERLINK("https://portal.gdc.cancer.gov/cases/3f691bf4-9558-4454-889e-cfa7d0de96cc","TCGA-4V-A9QT-01A")</f>
        <v>TCGA-4V-A9QT-01A</v>
      </c>
      <c r="I20568" t="s">
        <v>593</v>
      </c>
      <c r="J20568" t="s">
        <v>18</v>
      </c>
      <c r="K20568" t="s">
        <v>33</v>
      </c>
      <c r="L20568" t="s">
        <v>594</v>
      </c>
      <c r="N20568" t="s">
        <v>29</v>
      </c>
    </row>
    <row r="20569" spans="1:14">
      <c r="A20569" s="4" t="str">
        <f t="shared" si="1392"/>
        <v>EXP00449</v>
      </c>
      <c r="B20569" s="3" t="s">
        <v>66</v>
      </c>
      <c r="C20569" s="4" t="str">
        <f t="shared" si="1393"/>
        <v>TCGA-THYM</v>
      </c>
      <c r="D20569" s="1" t="s">
        <v>493</v>
      </c>
      <c r="E20569" t="s">
        <v>592</v>
      </c>
      <c r="F20569" s="1">
        <v>2</v>
      </c>
      <c r="G20569" s="1" t="s">
        <v>32</v>
      </c>
      <c r="H20569" s="4" t="str">
        <f>HYPERLINK("https://portal.gdc.cancer.gov/cases/add338c1-8b31-4378-9a44-19bf646c972b","TCGA-4V-A9QU-01A")</f>
        <v>TCGA-4V-A9QU-01A</v>
      </c>
      <c r="I20569" t="s">
        <v>593</v>
      </c>
      <c r="J20569" t="s">
        <v>18</v>
      </c>
      <c r="K20569" t="s">
        <v>33</v>
      </c>
      <c r="L20569" t="s">
        <v>594</v>
      </c>
      <c r="N20569" t="s">
        <v>29</v>
      </c>
    </row>
    <row r="20570" spans="1:14">
      <c r="A20570" s="4" t="str">
        <f t="shared" si="1392"/>
        <v>EXP00449</v>
      </c>
      <c r="B20570" s="3" t="s">
        <v>66</v>
      </c>
      <c r="C20570" s="4" t="str">
        <f t="shared" si="1393"/>
        <v>TCGA-THYM</v>
      </c>
      <c r="D20570" s="1" t="s">
        <v>493</v>
      </c>
      <c r="E20570" t="s">
        <v>592</v>
      </c>
      <c r="F20570" s="1">
        <v>2</v>
      </c>
      <c r="G20570" s="1" t="s">
        <v>32</v>
      </c>
      <c r="H20570" s="4" t="str">
        <f>HYPERLINK("https://portal.gdc.cancer.gov/cases/d8e19e8a-7442-4b6b-8f4a-d02dca5c9894","TCGA-4V-A9QW-01A")</f>
        <v>TCGA-4V-A9QW-01A</v>
      </c>
      <c r="I20570" t="s">
        <v>593</v>
      </c>
      <c r="J20570" t="s">
        <v>18</v>
      </c>
      <c r="K20570" t="s">
        <v>33</v>
      </c>
      <c r="L20570" t="s">
        <v>594</v>
      </c>
      <c r="N20570" t="s">
        <v>29</v>
      </c>
    </row>
    <row r="20571" spans="1:14">
      <c r="A20571" s="4" t="str">
        <f t="shared" si="1392"/>
        <v>EXP00449</v>
      </c>
      <c r="B20571" s="3" t="s">
        <v>66</v>
      </c>
      <c r="C20571" s="4" t="str">
        <f t="shared" si="1393"/>
        <v>TCGA-THYM</v>
      </c>
      <c r="D20571" s="1" t="s">
        <v>493</v>
      </c>
      <c r="E20571" t="s">
        <v>592</v>
      </c>
      <c r="F20571" s="1">
        <v>2</v>
      </c>
      <c r="G20571" s="1" t="s">
        <v>32</v>
      </c>
      <c r="H20571" s="4" t="str">
        <f>HYPERLINK("https://portal.gdc.cancer.gov/cases/0050d8be-1db6-4c17-8bef-3ae2eaaa63ce","TCGA-4V-A9QX-01A")</f>
        <v>TCGA-4V-A9QX-01A</v>
      </c>
      <c r="I20571" t="s">
        <v>593</v>
      </c>
      <c r="J20571" t="s">
        <v>18</v>
      </c>
      <c r="K20571" t="s">
        <v>33</v>
      </c>
      <c r="L20571" t="s">
        <v>594</v>
      </c>
      <c r="N20571" t="s">
        <v>29</v>
      </c>
    </row>
    <row r="20572" spans="1:14">
      <c r="A20572" s="4" t="str">
        <f t="shared" si="1392"/>
        <v>EXP00449</v>
      </c>
      <c r="B20572" s="3" t="s">
        <v>66</v>
      </c>
      <c r="C20572" s="4" t="str">
        <f t="shared" si="1393"/>
        <v>TCGA-THYM</v>
      </c>
      <c r="D20572" s="1" t="s">
        <v>493</v>
      </c>
      <c r="E20572" t="s">
        <v>592</v>
      </c>
      <c r="F20572" s="1">
        <v>2</v>
      </c>
      <c r="G20572" s="1" t="s">
        <v>32</v>
      </c>
      <c r="H20572" s="4" t="str">
        <f>HYPERLINK("https://portal.gdc.cancer.gov/cases/d542aa45-86cf-462e-abbe-76a3354e707e","TCGA-4X-A9F9-01A")</f>
        <v>TCGA-4X-A9F9-01A</v>
      </c>
      <c r="I20572" t="s">
        <v>593</v>
      </c>
      <c r="J20572" t="s">
        <v>18</v>
      </c>
      <c r="K20572" t="s">
        <v>33</v>
      </c>
      <c r="L20572" t="s">
        <v>594</v>
      </c>
      <c r="N20572" t="s">
        <v>29</v>
      </c>
    </row>
    <row r="20573" spans="1:14">
      <c r="A20573" s="4" t="str">
        <f t="shared" si="1392"/>
        <v>EXP00449</v>
      </c>
      <c r="B20573" s="3" t="s">
        <v>66</v>
      </c>
      <c r="C20573" s="4" t="str">
        <f t="shared" si="1393"/>
        <v>TCGA-THYM</v>
      </c>
      <c r="D20573" s="1" t="s">
        <v>493</v>
      </c>
      <c r="E20573" t="s">
        <v>592</v>
      </c>
      <c r="F20573" s="1">
        <v>2</v>
      </c>
      <c r="G20573" s="1" t="s">
        <v>32</v>
      </c>
      <c r="H20573" s="4" t="str">
        <f>HYPERLINK("https://portal.gdc.cancer.gov/cases/96e5c81e-8edb-4e6c-84fc-f127142f2835","TCGA-4X-A9FA-01A")</f>
        <v>TCGA-4X-A9FA-01A</v>
      </c>
      <c r="I20573" t="s">
        <v>593</v>
      </c>
      <c r="J20573" t="s">
        <v>18</v>
      </c>
      <c r="K20573" t="s">
        <v>33</v>
      </c>
      <c r="L20573" t="s">
        <v>594</v>
      </c>
      <c r="N20573" t="s">
        <v>29</v>
      </c>
    </row>
    <row r="20574" spans="1:14">
      <c r="A20574" s="4" t="str">
        <f t="shared" si="1392"/>
        <v>EXP00449</v>
      </c>
      <c r="B20574" s="3" t="s">
        <v>66</v>
      </c>
      <c r="C20574" s="4" t="str">
        <f t="shared" si="1393"/>
        <v>TCGA-THYM</v>
      </c>
      <c r="D20574" s="1" t="s">
        <v>493</v>
      </c>
      <c r="E20574" t="s">
        <v>592</v>
      </c>
      <c r="F20574" s="1">
        <v>2</v>
      </c>
      <c r="G20574" s="1" t="s">
        <v>32</v>
      </c>
      <c r="H20574" s="4" t="str">
        <f>HYPERLINK("https://portal.gdc.cancer.gov/cases/2c2e169e-9f93-41a7-bfc4-ade18bb5d7ae","TCGA-4X-A9FB-01A")</f>
        <v>TCGA-4X-A9FB-01A</v>
      </c>
      <c r="I20574" t="s">
        <v>593</v>
      </c>
      <c r="J20574" t="s">
        <v>18</v>
      </c>
      <c r="K20574" t="s">
        <v>33</v>
      </c>
      <c r="L20574" t="s">
        <v>594</v>
      </c>
      <c r="N20574" t="s">
        <v>29</v>
      </c>
    </row>
    <row r="20575" spans="1:14">
      <c r="A20575" s="4" t="str">
        <f t="shared" si="1392"/>
        <v>EXP00449</v>
      </c>
      <c r="B20575" s="3" t="s">
        <v>66</v>
      </c>
      <c r="C20575" s="4" t="str">
        <f t="shared" si="1393"/>
        <v>TCGA-THYM</v>
      </c>
      <c r="D20575" s="1" t="s">
        <v>493</v>
      </c>
      <c r="E20575" t="s">
        <v>592</v>
      </c>
      <c r="F20575" s="1">
        <v>2</v>
      </c>
      <c r="G20575" s="1" t="s">
        <v>32</v>
      </c>
      <c r="H20575" s="4" t="str">
        <f>HYPERLINK("https://portal.gdc.cancer.gov/cases/e687f26d-f092-4116-9f9f-a2a2b9fc9b0d","TCGA-4X-A9FC-01A")</f>
        <v>TCGA-4X-A9FC-01A</v>
      </c>
      <c r="I20575" t="s">
        <v>593</v>
      </c>
      <c r="J20575" t="s">
        <v>18</v>
      </c>
      <c r="K20575" t="s">
        <v>33</v>
      </c>
      <c r="L20575" t="s">
        <v>594</v>
      </c>
      <c r="N20575" t="s">
        <v>29</v>
      </c>
    </row>
    <row r="20576" spans="1:14">
      <c r="A20576" s="4" t="str">
        <f t="shared" si="1392"/>
        <v>EXP00449</v>
      </c>
      <c r="B20576" s="3" t="s">
        <v>66</v>
      </c>
      <c r="C20576" s="4" t="str">
        <f t="shared" si="1393"/>
        <v>TCGA-THYM</v>
      </c>
      <c r="D20576" s="1" t="s">
        <v>493</v>
      </c>
      <c r="E20576" t="s">
        <v>592</v>
      </c>
      <c r="F20576" s="1">
        <v>2</v>
      </c>
      <c r="G20576" s="1" t="s">
        <v>32</v>
      </c>
      <c r="H20576" s="4" t="str">
        <f>HYPERLINK("https://portal.gdc.cancer.gov/cases/0a312064-878f-4b69-8bb7-e7f14e6cd7fe","TCGA-4X-A9FD-01A")</f>
        <v>TCGA-4X-A9FD-01A</v>
      </c>
      <c r="I20576" t="s">
        <v>593</v>
      </c>
      <c r="J20576" t="s">
        <v>18</v>
      </c>
      <c r="K20576" t="s">
        <v>33</v>
      </c>
      <c r="L20576" t="s">
        <v>594</v>
      </c>
      <c r="N20576" t="s">
        <v>29</v>
      </c>
    </row>
    <row r="20577" spans="1:14">
      <c r="A20577" s="4" t="str">
        <f t="shared" si="1392"/>
        <v>EXP00449</v>
      </c>
      <c r="B20577" s="3" t="s">
        <v>66</v>
      </c>
      <c r="C20577" s="4" t="str">
        <f t="shared" si="1393"/>
        <v>TCGA-THYM</v>
      </c>
      <c r="D20577" s="1" t="s">
        <v>493</v>
      </c>
      <c r="E20577" t="s">
        <v>592</v>
      </c>
      <c r="F20577" s="1">
        <v>2</v>
      </c>
      <c r="G20577" s="1" t="s">
        <v>32</v>
      </c>
      <c r="H20577" s="4" t="str">
        <f>HYPERLINK("https://portal.gdc.cancer.gov/cases/5f539ac1-c4c8-46cc-98d7-8951a6ed680a","TCGA-5G-A9ZZ-01A")</f>
        <v>TCGA-5G-A9ZZ-01A</v>
      </c>
      <c r="I20577" t="s">
        <v>593</v>
      </c>
      <c r="J20577" t="s">
        <v>18</v>
      </c>
      <c r="K20577" t="s">
        <v>33</v>
      </c>
      <c r="L20577" t="s">
        <v>594</v>
      </c>
      <c r="N20577" t="s">
        <v>29</v>
      </c>
    </row>
    <row r="20578" spans="1:14">
      <c r="A20578" s="4" t="str">
        <f t="shared" si="1392"/>
        <v>EXP00449</v>
      </c>
      <c r="B20578" s="3" t="s">
        <v>66</v>
      </c>
      <c r="C20578" s="4" t="str">
        <f t="shared" si="1393"/>
        <v>TCGA-THYM</v>
      </c>
      <c r="D20578" s="1" t="s">
        <v>493</v>
      </c>
      <c r="E20578" t="s">
        <v>592</v>
      </c>
      <c r="F20578" s="1">
        <v>2</v>
      </c>
      <c r="G20578" s="1" t="s">
        <v>32</v>
      </c>
      <c r="H20578" s="4" t="str">
        <f>HYPERLINK("https://portal.gdc.cancer.gov/cases/abdbdba3-807e-4192-88a6-41dd6d9309ab","TCGA-5K-AAAP-01A")</f>
        <v>TCGA-5K-AAAP-01A</v>
      </c>
      <c r="I20578" t="s">
        <v>593</v>
      </c>
      <c r="J20578" t="s">
        <v>18</v>
      </c>
      <c r="K20578" t="s">
        <v>33</v>
      </c>
      <c r="L20578" t="s">
        <v>594</v>
      </c>
      <c r="N20578" t="s">
        <v>29</v>
      </c>
    </row>
    <row r="20579" spans="1:14">
      <c r="A20579" s="4" t="str">
        <f t="shared" si="1392"/>
        <v>EXP00449</v>
      </c>
      <c r="B20579" s="3" t="s">
        <v>66</v>
      </c>
      <c r="C20579" s="4" t="str">
        <f t="shared" si="1393"/>
        <v>TCGA-THYM</v>
      </c>
      <c r="D20579" s="1" t="s">
        <v>493</v>
      </c>
      <c r="E20579" t="s">
        <v>592</v>
      </c>
      <c r="F20579" s="1">
        <v>2</v>
      </c>
      <c r="G20579" s="1" t="s">
        <v>32</v>
      </c>
      <c r="H20579" s="4" t="str">
        <f>HYPERLINK("https://portal.gdc.cancer.gov/cases/f6051ac0-3d70-4cbb-8c1c-99c9efeacb0f","TCGA-5U-AB0D-01A")</f>
        <v>TCGA-5U-AB0D-01A</v>
      </c>
      <c r="I20579" t="s">
        <v>593</v>
      </c>
      <c r="J20579" t="s">
        <v>18</v>
      </c>
      <c r="K20579" t="s">
        <v>33</v>
      </c>
      <c r="L20579" t="s">
        <v>594</v>
      </c>
      <c r="N20579" t="s">
        <v>29</v>
      </c>
    </row>
    <row r="20580" spans="1:14">
      <c r="A20580" s="4" t="str">
        <f t="shared" si="1392"/>
        <v>EXP00449</v>
      </c>
      <c r="B20580" s="3" t="s">
        <v>66</v>
      </c>
      <c r="C20580" s="4" t="str">
        <f t="shared" si="1393"/>
        <v>TCGA-THYM</v>
      </c>
      <c r="D20580" s="1" t="s">
        <v>493</v>
      </c>
      <c r="E20580" t="s">
        <v>592</v>
      </c>
      <c r="F20580" s="1">
        <v>2</v>
      </c>
      <c r="G20580" s="1" t="s">
        <v>32</v>
      </c>
      <c r="H20580" s="4" t="str">
        <f>HYPERLINK("https://portal.gdc.cancer.gov/cases/056386db-d338-4fc8-8bb1-249be72fd6cb","TCGA-5U-AB0E-01A")</f>
        <v>TCGA-5U-AB0E-01A</v>
      </c>
      <c r="I20580" t="s">
        <v>593</v>
      </c>
      <c r="J20580" t="s">
        <v>18</v>
      </c>
      <c r="K20580" t="s">
        <v>33</v>
      </c>
      <c r="L20580" t="s">
        <v>594</v>
      </c>
      <c r="N20580" t="s">
        <v>29</v>
      </c>
    </row>
    <row r="20581" spans="1:14">
      <c r="A20581" s="4" t="str">
        <f t="shared" si="1392"/>
        <v>EXP00449</v>
      </c>
      <c r="B20581" s="3" t="s">
        <v>66</v>
      </c>
      <c r="C20581" s="4" t="str">
        <f t="shared" si="1393"/>
        <v>TCGA-THYM</v>
      </c>
      <c r="D20581" s="1" t="s">
        <v>493</v>
      </c>
      <c r="E20581" t="s">
        <v>592</v>
      </c>
      <c r="F20581" s="1">
        <v>2</v>
      </c>
      <c r="G20581" s="1" t="s">
        <v>32</v>
      </c>
      <c r="H20581" s="4" t="str">
        <f>HYPERLINK("https://portal.gdc.cancer.gov/cases/bb9bb553-f304-4d14-a655-5c3bf4720a9b","TCGA-5U-AB0F-01A")</f>
        <v>TCGA-5U-AB0F-01A</v>
      </c>
      <c r="I20581" t="s">
        <v>593</v>
      </c>
      <c r="J20581" t="s">
        <v>18</v>
      </c>
      <c r="K20581" t="s">
        <v>33</v>
      </c>
      <c r="L20581" t="s">
        <v>594</v>
      </c>
      <c r="N20581" t="s">
        <v>29</v>
      </c>
    </row>
    <row r="20582" spans="1:14">
      <c r="A20582" s="4" t="str">
        <f t="shared" si="1392"/>
        <v>EXP00449</v>
      </c>
      <c r="B20582" s="3" t="s">
        <v>66</v>
      </c>
      <c r="C20582" s="4" t="str">
        <f t="shared" si="1393"/>
        <v>TCGA-THYM</v>
      </c>
      <c r="D20582" s="1" t="s">
        <v>493</v>
      </c>
      <c r="E20582" t="s">
        <v>592</v>
      </c>
      <c r="F20582" s="1">
        <v>2</v>
      </c>
      <c r="G20582" s="1" t="s">
        <v>32</v>
      </c>
      <c r="H20582" s="4" t="str">
        <f>HYPERLINK("https://portal.gdc.cancer.gov/cases/bfe41ba3-2bcf-4760-ae65-cd417e22393f","TCGA-5V-A9RR-01A")</f>
        <v>TCGA-5V-A9RR-01A</v>
      </c>
      <c r="I20582" t="s">
        <v>593</v>
      </c>
      <c r="J20582" t="s">
        <v>18</v>
      </c>
      <c r="K20582" t="s">
        <v>33</v>
      </c>
      <c r="L20582" t="s">
        <v>594</v>
      </c>
      <c r="N20582" t="s">
        <v>29</v>
      </c>
    </row>
    <row r="20583" spans="1:14">
      <c r="A20583" s="4" t="str">
        <f t="shared" ref="A20583:A20614" si="1394">HYPERLINK("http://hcmdb.i-sanger.com/experiment/details/experiment_id/EXP00449","EXP00449")</f>
        <v>EXP00449</v>
      </c>
      <c r="B20583" s="3" t="s">
        <v>66</v>
      </c>
      <c r="C20583" s="4" t="str">
        <f t="shared" si="1393"/>
        <v>TCGA-THYM</v>
      </c>
      <c r="D20583" s="1" t="s">
        <v>493</v>
      </c>
      <c r="E20583" t="s">
        <v>592</v>
      </c>
      <c r="F20583" s="1">
        <v>2</v>
      </c>
      <c r="G20583" s="1" t="s">
        <v>32</v>
      </c>
      <c r="H20583" s="4" t="str">
        <f>HYPERLINK("https://portal.gdc.cancer.gov/cases/66c564ba-b42d-4be9-9e5f-bf93984569eb","TCGA-X7-A8D6-01A")</f>
        <v>TCGA-X7-A8D6-01A</v>
      </c>
      <c r="I20583" t="s">
        <v>593</v>
      </c>
      <c r="J20583" t="s">
        <v>18</v>
      </c>
      <c r="K20583" t="s">
        <v>33</v>
      </c>
      <c r="L20583" t="s">
        <v>594</v>
      </c>
      <c r="N20583" t="s">
        <v>29</v>
      </c>
    </row>
    <row r="20584" spans="1:14">
      <c r="A20584" s="4" t="str">
        <f t="shared" si="1394"/>
        <v>EXP00449</v>
      </c>
      <c r="B20584" s="3" t="s">
        <v>66</v>
      </c>
      <c r="C20584" s="4" t="str">
        <f t="shared" si="1393"/>
        <v>TCGA-THYM</v>
      </c>
      <c r="D20584" s="1" t="s">
        <v>493</v>
      </c>
      <c r="E20584" t="s">
        <v>592</v>
      </c>
      <c r="F20584" s="1">
        <v>2</v>
      </c>
      <c r="G20584" s="1" t="s">
        <v>32</v>
      </c>
      <c r="H20584" s="4" t="str">
        <f>HYPERLINK("https://portal.gdc.cancer.gov/cases/8cc1e08d-75b6-48da-90df-e6af23cb4c35","TCGA-X7-A8D7-01A")</f>
        <v>TCGA-X7-A8D7-01A</v>
      </c>
      <c r="I20584" t="s">
        <v>593</v>
      </c>
      <c r="J20584" t="s">
        <v>18</v>
      </c>
      <c r="K20584" t="s">
        <v>33</v>
      </c>
      <c r="L20584" t="s">
        <v>594</v>
      </c>
      <c r="N20584" t="s">
        <v>29</v>
      </c>
    </row>
    <row r="20585" spans="1:14">
      <c r="A20585" s="4" t="str">
        <f t="shared" si="1394"/>
        <v>EXP00449</v>
      </c>
      <c r="B20585" s="3" t="s">
        <v>66</v>
      </c>
      <c r="C20585" s="4" t="str">
        <f t="shared" si="1393"/>
        <v>TCGA-THYM</v>
      </c>
      <c r="D20585" s="1" t="s">
        <v>493</v>
      </c>
      <c r="E20585" t="s">
        <v>592</v>
      </c>
      <c r="F20585" s="1">
        <v>2</v>
      </c>
      <c r="G20585" s="1" t="s">
        <v>32</v>
      </c>
      <c r="H20585" s="4" t="str">
        <f>HYPERLINK("https://portal.gdc.cancer.gov/cases/9291a2cb-98e6-43b9-8cbf-889e6da9bffa","TCGA-X7-A8D8-01A")</f>
        <v>TCGA-X7-A8D8-01A</v>
      </c>
      <c r="I20585" t="s">
        <v>593</v>
      </c>
      <c r="J20585" t="s">
        <v>18</v>
      </c>
      <c r="K20585" t="s">
        <v>33</v>
      </c>
      <c r="L20585" t="s">
        <v>594</v>
      </c>
      <c r="N20585" t="s">
        <v>29</v>
      </c>
    </row>
    <row r="20586" spans="1:14">
      <c r="A20586" s="4" t="str">
        <f t="shared" si="1394"/>
        <v>EXP00449</v>
      </c>
      <c r="B20586" s="3" t="s">
        <v>66</v>
      </c>
      <c r="C20586" s="4" t="str">
        <f t="shared" si="1393"/>
        <v>TCGA-THYM</v>
      </c>
      <c r="D20586" s="1" t="s">
        <v>493</v>
      </c>
      <c r="E20586" t="s">
        <v>592</v>
      </c>
      <c r="F20586" s="1">
        <v>2</v>
      </c>
      <c r="G20586" s="1" t="s">
        <v>32</v>
      </c>
      <c r="H20586" s="4" t="str">
        <f>HYPERLINK("https://portal.gdc.cancer.gov/cases/82505b35-d771-4fb4-8ec4-54a2e5a8ad79","TCGA-X7-A8D9-01A")</f>
        <v>TCGA-X7-A8D9-01A</v>
      </c>
      <c r="I20586" t="s">
        <v>593</v>
      </c>
      <c r="J20586" t="s">
        <v>18</v>
      </c>
      <c r="K20586" t="s">
        <v>33</v>
      </c>
      <c r="L20586" t="s">
        <v>594</v>
      </c>
      <c r="N20586" t="s">
        <v>29</v>
      </c>
    </row>
    <row r="20587" spans="1:14">
      <c r="A20587" s="4" t="str">
        <f t="shared" si="1394"/>
        <v>EXP00449</v>
      </c>
      <c r="B20587" s="3" t="s">
        <v>66</v>
      </c>
      <c r="C20587" s="4" t="str">
        <f t="shared" si="1393"/>
        <v>TCGA-THYM</v>
      </c>
      <c r="D20587" s="1" t="s">
        <v>493</v>
      </c>
      <c r="E20587" t="s">
        <v>592</v>
      </c>
      <c r="F20587" s="1">
        <v>2</v>
      </c>
      <c r="G20587" s="1" t="s">
        <v>32</v>
      </c>
      <c r="H20587" s="4" t="str">
        <f>HYPERLINK("https://portal.gdc.cancer.gov/cases/4165391b-6122-4e87-ba91-ce935e0b3cf4","TCGA-X7-A8DB-01A")</f>
        <v>TCGA-X7-A8DB-01A</v>
      </c>
      <c r="I20587" t="s">
        <v>593</v>
      </c>
      <c r="J20587" t="s">
        <v>18</v>
      </c>
      <c r="K20587" t="s">
        <v>33</v>
      </c>
      <c r="L20587" t="s">
        <v>594</v>
      </c>
      <c r="N20587" t="s">
        <v>29</v>
      </c>
    </row>
    <row r="20588" spans="1:14">
      <c r="A20588" s="4" t="str">
        <f t="shared" si="1394"/>
        <v>EXP00449</v>
      </c>
      <c r="B20588" s="3" t="s">
        <v>66</v>
      </c>
      <c r="C20588" s="4" t="str">
        <f t="shared" si="1393"/>
        <v>TCGA-THYM</v>
      </c>
      <c r="D20588" s="1" t="s">
        <v>493</v>
      </c>
      <c r="E20588" t="s">
        <v>592</v>
      </c>
      <c r="F20588" s="1">
        <v>2</v>
      </c>
      <c r="G20588" s="1" t="s">
        <v>32</v>
      </c>
      <c r="H20588" s="4" t="str">
        <f>HYPERLINK("https://portal.gdc.cancer.gov/cases/b9d753e0-6caf-4569-88d1-af4b76b255a9","TCGA-X7-A8DD-01A")</f>
        <v>TCGA-X7-A8DD-01A</v>
      </c>
      <c r="I20588" t="s">
        <v>593</v>
      </c>
      <c r="J20588" t="s">
        <v>18</v>
      </c>
      <c r="K20588" t="s">
        <v>33</v>
      </c>
      <c r="L20588" t="s">
        <v>594</v>
      </c>
      <c r="N20588" t="s">
        <v>29</v>
      </c>
    </row>
    <row r="20589" spans="1:14">
      <c r="A20589" s="4" t="str">
        <f t="shared" si="1394"/>
        <v>EXP00449</v>
      </c>
      <c r="B20589" s="3" t="s">
        <v>66</v>
      </c>
      <c r="C20589" s="4" t="str">
        <f t="shared" si="1393"/>
        <v>TCGA-THYM</v>
      </c>
      <c r="D20589" s="1" t="s">
        <v>493</v>
      </c>
      <c r="E20589" t="s">
        <v>592</v>
      </c>
      <c r="F20589" s="1">
        <v>2</v>
      </c>
      <c r="G20589" s="1" t="s">
        <v>32</v>
      </c>
      <c r="H20589" s="4" t="str">
        <f>HYPERLINK("https://portal.gdc.cancer.gov/cases/15a2baae-d15e-4349-9358-74356a2d2ad0","TCGA-X7-A8DE-01A")</f>
        <v>TCGA-X7-A8DE-01A</v>
      </c>
      <c r="I20589" t="s">
        <v>593</v>
      </c>
      <c r="J20589" t="s">
        <v>18</v>
      </c>
      <c r="K20589" t="s">
        <v>33</v>
      </c>
      <c r="L20589" t="s">
        <v>594</v>
      </c>
      <c r="N20589" t="s">
        <v>29</v>
      </c>
    </row>
    <row r="20590" spans="1:14">
      <c r="A20590" s="4" t="str">
        <f t="shared" si="1394"/>
        <v>EXP00449</v>
      </c>
      <c r="B20590" s="3" t="s">
        <v>66</v>
      </c>
      <c r="C20590" s="4" t="str">
        <f t="shared" si="1393"/>
        <v>TCGA-THYM</v>
      </c>
      <c r="D20590" s="1" t="s">
        <v>493</v>
      </c>
      <c r="E20590" t="s">
        <v>592</v>
      </c>
      <c r="F20590" s="1">
        <v>2</v>
      </c>
      <c r="G20590" s="1" t="s">
        <v>32</v>
      </c>
      <c r="H20590" s="4" t="str">
        <f>HYPERLINK("https://portal.gdc.cancer.gov/cases/71020ee6-3b76-4e31-b3ce-7e54ce706134","TCGA-X7-A8DF-01A")</f>
        <v>TCGA-X7-A8DF-01A</v>
      </c>
      <c r="I20590" t="s">
        <v>593</v>
      </c>
      <c r="J20590" t="s">
        <v>18</v>
      </c>
      <c r="K20590" t="s">
        <v>33</v>
      </c>
      <c r="L20590" t="s">
        <v>594</v>
      </c>
      <c r="N20590" t="s">
        <v>29</v>
      </c>
    </row>
    <row r="20591" spans="1:14">
      <c r="A20591" s="4" t="str">
        <f t="shared" si="1394"/>
        <v>EXP00449</v>
      </c>
      <c r="B20591" s="3" t="s">
        <v>66</v>
      </c>
      <c r="C20591" s="4" t="str">
        <f t="shared" si="1393"/>
        <v>TCGA-THYM</v>
      </c>
      <c r="D20591" s="1" t="s">
        <v>493</v>
      </c>
      <c r="E20591" t="s">
        <v>592</v>
      </c>
      <c r="F20591" s="1">
        <v>2</v>
      </c>
      <c r="G20591" s="1" t="s">
        <v>32</v>
      </c>
      <c r="H20591" s="4" t="str">
        <f>HYPERLINK("https://portal.gdc.cancer.gov/cases/a653b0bb-aacf-4b11-bb11-42e043e49bf6","TCGA-X7-A8DG-01A")</f>
        <v>TCGA-X7-A8DG-01A</v>
      </c>
      <c r="I20591" t="s">
        <v>593</v>
      </c>
      <c r="J20591" t="s">
        <v>18</v>
      </c>
      <c r="K20591" t="s">
        <v>33</v>
      </c>
      <c r="L20591" t="s">
        <v>594</v>
      </c>
      <c r="N20591" t="s">
        <v>29</v>
      </c>
    </row>
    <row r="20592" spans="1:14">
      <c r="A20592" s="4" t="str">
        <f t="shared" si="1394"/>
        <v>EXP00449</v>
      </c>
      <c r="B20592" s="3" t="s">
        <v>66</v>
      </c>
      <c r="C20592" s="4" t="str">
        <f t="shared" si="1393"/>
        <v>TCGA-THYM</v>
      </c>
      <c r="D20592" s="1" t="s">
        <v>493</v>
      </c>
      <c r="E20592" t="s">
        <v>592</v>
      </c>
      <c r="F20592" s="1">
        <v>2</v>
      </c>
      <c r="G20592" s="1" t="s">
        <v>32</v>
      </c>
      <c r="H20592" s="4" t="str">
        <f>HYPERLINK("https://portal.gdc.cancer.gov/cases/d2385e2f-82e3-4ac3-bde2-0bf2daa46860","TCGA-X7-A8DJ-01A")</f>
        <v>TCGA-X7-A8DJ-01A</v>
      </c>
      <c r="I20592" t="s">
        <v>593</v>
      </c>
      <c r="J20592" t="s">
        <v>18</v>
      </c>
      <c r="K20592" t="s">
        <v>33</v>
      </c>
      <c r="L20592" t="s">
        <v>594</v>
      </c>
      <c r="N20592" t="s">
        <v>29</v>
      </c>
    </row>
    <row r="20593" spans="1:14">
      <c r="A20593" s="4" t="str">
        <f t="shared" si="1394"/>
        <v>EXP00449</v>
      </c>
      <c r="B20593" s="3" t="s">
        <v>66</v>
      </c>
      <c r="C20593" s="4" t="str">
        <f t="shared" si="1393"/>
        <v>TCGA-THYM</v>
      </c>
      <c r="D20593" s="1" t="s">
        <v>493</v>
      </c>
      <c r="E20593" t="s">
        <v>592</v>
      </c>
      <c r="F20593" s="1">
        <v>2</v>
      </c>
      <c r="G20593" s="1" t="s">
        <v>32</v>
      </c>
      <c r="H20593" s="4" t="str">
        <f>HYPERLINK("https://portal.gdc.cancer.gov/cases/262b4693-961b-4006-be4e-e6f38a1cce4a","TCGA-X7-A8M0-01A")</f>
        <v>TCGA-X7-A8M0-01A</v>
      </c>
      <c r="I20593" t="s">
        <v>593</v>
      </c>
      <c r="J20593" t="s">
        <v>18</v>
      </c>
      <c r="K20593" t="s">
        <v>33</v>
      </c>
      <c r="L20593" t="s">
        <v>594</v>
      </c>
      <c r="N20593" t="s">
        <v>29</v>
      </c>
    </row>
    <row r="20594" spans="1:14">
      <c r="A20594" s="4" t="str">
        <f t="shared" si="1394"/>
        <v>EXP00449</v>
      </c>
      <c r="B20594" s="3" t="s">
        <v>66</v>
      </c>
      <c r="C20594" s="4" t="str">
        <f t="shared" si="1393"/>
        <v>TCGA-THYM</v>
      </c>
      <c r="D20594" s="1" t="s">
        <v>493</v>
      </c>
      <c r="E20594" t="s">
        <v>592</v>
      </c>
      <c r="F20594" s="1">
        <v>2</v>
      </c>
      <c r="G20594" s="1" t="s">
        <v>32</v>
      </c>
      <c r="H20594" s="4" t="str">
        <f>HYPERLINK("https://portal.gdc.cancer.gov/cases/18c3debb-08ea-4ca1-ade4-d577bcee4fa2","TCGA-X7-A8M1-01A")</f>
        <v>TCGA-X7-A8M1-01A</v>
      </c>
      <c r="I20594" t="s">
        <v>593</v>
      </c>
      <c r="J20594" t="s">
        <v>18</v>
      </c>
      <c r="K20594" t="s">
        <v>33</v>
      </c>
      <c r="L20594" t="s">
        <v>594</v>
      </c>
      <c r="N20594" t="s">
        <v>29</v>
      </c>
    </row>
    <row r="20595" spans="1:14">
      <c r="A20595" s="4" t="str">
        <f t="shared" si="1394"/>
        <v>EXP00449</v>
      </c>
      <c r="B20595" s="3" t="s">
        <v>66</v>
      </c>
      <c r="C20595" s="4" t="str">
        <f t="shared" si="1393"/>
        <v>TCGA-THYM</v>
      </c>
      <c r="D20595" s="1" t="s">
        <v>493</v>
      </c>
      <c r="E20595" t="s">
        <v>592</v>
      </c>
      <c r="F20595" s="1">
        <v>2</v>
      </c>
      <c r="G20595" s="1" t="s">
        <v>32</v>
      </c>
      <c r="H20595" s="4" t="str">
        <f>HYPERLINK("https://portal.gdc.cancer.gov/cases/1248516e-7552-4a33-a1ab-2884d551ef32","TCGA-X7-A8M3-01A")</f>
        <v>TCGA-X7-A8M3-01A</v>
      </c>
      <c r="I20595" t="s">
        <v>593</v>
      </c>
      <c r="J20595" t="s">
        <v>18</v>
      </c>
      <c r="K20595" t="s">
        <v>33</v>
      </c>
      <c r="L20595" t="s">
        <v>594</v>
      </c>
      <c r="N20595" t="s">
        <v>29</v>
      </c>
    </row>
    <row r="20596" spans="1:14">
      <c r="A20596" s="4" t="str">
        <f t="shared" si="1394"/>
        <v>EXP00449</v>
      </c>
      <c r="B20596" s="3" t="s">
        <v>66</v>
      </c>
      <c r="C20596" s="4" t="str">
        <f t="shared" si="1393"/>
        <v>TCGA-THYM</v>
      </c>
      <c r="D20596" s="1" t="s">
        <v>493</v>
      </c>
      <c r="E20596" t="s">
        <v>592</v>
      </c>
      <c r="F20596" s="1">
        <v>2</v>
      </c>
      <c r="G20596" s="1" t="s">
        <v>32</v>
      </c>
      <c r="H20596" s="4" t="str">
        <f>HYPERLINK("https://portal.gdc.cancer.gov/cases/23cc4cd3-87dc-4342-9072-be3695e393fa","TCGA-X7-A8M4-01A")</f>
        <v>TCGA-X7-A8M4-01A</v>
      </c>
      <c r="I20596" t="s">
        <v>593</v>
      </c>
      <c r="J20596" t="s">
        <v>18</v>
      </c>
      <c r="K20596" t="s">
        <v>33</v>
      </c>
      <c r="L20596" t="s">
        <v>594</v>
      </c>
      <c r="N20596" t="s">
        <v>29</v>
      </c>
    </row>
    <row r="20597" spans="1:14">
      <c r="A20597" s="4" t="str">
        <f t="shared" si="1394"/>
        <v>EXP00449</v>
      </c>
      <c r="B20597" s="3" t="s">
        <v>66</v>
      </c>
      <c r="C20597" s="4" t="str">
        <f t="shared" si="1393"/>
        <v>TCGA-THYM</v>
      </c>
      <c r="D20597" s="1" t="s">
        <v>493</v>
      </c>
      <c r="E20597" t="s">
        <v>592</v>
      </c>
      <c r="F20597" s="1">
        <v>2</v>
      </c>
      <c r="G20597" s="1" t="s">
        <v>32</v>
      </c>
      <c r="H20597" s="4" t="str">
        <f>HYPERLINK("https://portal.gdc.cancer.gov/cases/0477055e-a57e-4bdb-89ab-2999881bdd6c","TCGA-X7-A8M5-01A")</f>
        <v>TCGA-X7-A8M5-01A</v>
      </c>
      <c r="I20597" t="s">
        <v>593</v>
      </c>
      <c r="J20597" t="s">
        <v>18</v>
      </c>
      <c r="K20597" t="s">
        <v>33</v>
      </c>
      <c r="L20597" t="s">
        <v>594</v>
      </c>
      <c r="N20597" t="s">
        <v>29</v>
      </c>
    </row>
    <row r="20598" spans="1:14">
      <c r="A20598" s="4" t="str">
        <f t="shared" si="1394"/>
        <v>EXP00449</v>
      </c>
      <c r="B20598" s="3" t="s">
        <v>66</v>
      </c>
      <c r="C20598" s="4" t="str">
        <f t="shared" si="1393"/>
        <v>TCGA-THYM</v>
      </c>
      <c r="D20598" s="1" t="s">
        <v>493</v>
      </c>
      <c r="E20598" t="s">
        <v>592</v>
      </c>
      <c r="F20598" s="1">
        <v>2</v>
      </c>
      <c r="G20598" s="1" t="s">
        <v>32</v>
      </c>
      <c r="H20598" s="4" t="str">
        <f>HYPERLINK("https://portal.gdc.cancer.gov/cases/a6885883-f1a2-48dd-8d72-0038319069a1","TCGA-X7-A8M6-01A")</f>
        <v>TCGA-X7-A8M6-01A</v>
      </c>
      <c r="I20598" t="s">
        <v>593</v>
      </c>
      <c r="J20598" t="s">
        <v>18</v>
      </c>
      <c r="K20598" t="s">
        <v>33</v>
      </c>
      <c r="L20598" t="s">
        <v>594</v>
      </c>
      <c r="N20598" t="s">
        <v>29</v>
      </c>
    </row>
    <row r="20599" spans="1:14">
      <c r="A20599" s="4" t="str">
        <f t="shared" si="1394"/>
        <v>EXP00449</v>
      </c>
      <c r="B20599" s="3" t="s">
        <v>66</v>
      </c>
      <c r="C20599" s="4" t="str">
        <f t="shared" si="1393"/>
        <v>TCGA-THYM</v>
      </c>
      <c r="D20599" s="1" t="s">
        <v>493</v>
      </c>
      <c r="E20599" t="s">
        <v>592</v>
      </c>
      <c r="F20599" s="1">
        <v>2</v>
      </c>
      <c r="G20599" s="1" t="s">
        <v>32</v>
      </c>
      <c r="H20599" s="4" t="str">
        <f>HYPERLINK("https://portal.gdc.cancer.gov/cases/56c4f5e8-4e89-4ba0-984d-e17f11a401f5","TCGA-X7-A8M7-01A")</f>
        <v>TCGA-X7-A8M7-01A</v>
      </c>
      <c r="I20599" t="s">
        <v>593</v>
      </c>
      <c r="J20599" t="s">
        <v>18</v>
      </c>
      <c r="K20599" t="s">
        <v>33</v>
      </c>
      <c r="L20599" t="s">
        <v>594</v>
      </c>
      <c r="N20599" t="s">
        <v>29</v>
      </c>
    </row>
    <row r="20600" spans="1:14">
      <c r="A20600" s="4" t="str">
        <f t="shared" si="1394"/>
        <v>EXP00449</v>
      </c>
      <c r="B20600" s="3" t="s">
        <v>66</v>
      </c>
      <c r="C20600" s="4" t="str">
        <f t="shared" si="1393"/>
        <v>TCGA-THYM</v>
      </c>
      <c r="D20600" s="1" t="s">
        <v>493</v>
      </c>
      <c r="E20600" t="s">
        <v>592</v>
      </c>
      <c r="F20600" s="1">
        <v>2</v>
      </c>
      <c r="G20600" s="1" t="s">
        <v>32</v>
      </c>
      <c r="H20600" s="4" t="str">
        <f>HYPERLINK("https://portal.gdc.cancer.gov/cases/b1fa64a6-f86b-43b6-a488-54fe6fe85e9c","TCGA-X7-A8M8-01A")</f>
        <v>TCGA-X7-A8M8-01A</v>
      </c>
      <c r="I20600" t="s">
        <v>593</v>
      </c>
      <c r="J20600" t="s">
        <v>18</v>
      </c>
      <c r="K20600" t="s">
        <v>33</v>
      </c>
      <c r="L20600" t="s">
        <v>594</v>
      </c>
      <c r="N20600" t="s">
        <v>29</v>
      </c>
    </row>
    <row r="20601" spans="1:14">
      <c r="A20601" s="4" t="str">
        <f t="shared" si="1394"/>
        <v>EXP00449</v>
      </c>
      <c r="B20601" s="3" t="s">
        <v>66</v>
      </c>
      <c r="C20601" s="4" t="str">
        <f t="shared" si="1393"/>
        <v>TCGA-THYM</v>
      </c>
      <c r="D20601" s="1" t="s">
        <v>493</v>
      </c>
      <c r="E20601" t="s">
        <v>592</v>
      </c>
      <c r="F20601" s="1">
        <v>2</v>
      </c>
      <c r="G20601" s="1" t="s">
        <v>32</v>
      </c>
      <c r="H20601" s="4" t="str">
        <f>HYPERLINK("https://portal.gdc.cancer.gov/cases/9bbd057c-5a3b-4e04-8df7-c2f0c1823084","TCGA-XH-A853-01A")</f>
        <v>TCGA-XH-A853-01A</v>
      </c>
      <c r="I20601" t="s">
        <v>593</v>
      </c>
      <c r="J20601" t="s">
        <v>18</v>
      </c>
      <c r="K20601" t="s">
        <v>33</v>
      </c>
      <c r="L20601" t="s">
        <v>594</v>
      </c>
      <c r="N20601" t="s">
        <v>29</v>
      </c>
    </row>
    <row r="20602" spans="1:14">
      <c r="A20602" s="4" t="str">
        <f t="shared" si="1394"/>
        <v>EXP00449</v>
      </c>
      <c r="B20602" s="3" t="s">
        <v>66</v>
      </c>
      <c r="C20602" s="4" t="str">
        <f t="shared" si="1393"/>
        <v>TCGA-THYM</v>
      </c>
      <c r="D20602" s="1" t="s">
        <v>493</v>
      </c>
      <c r="E20602" t="s">
        <v>592</v>
      </c>
      <c r="F20602" s="1">
        <v>2</v>
      </c>
      <c r="G20602" s="1" t="s">
        <v>32</v>
      </c>
      <c r="H20602" s="4" t="str">
        <f>HYPERLINK("https://portal.gdc.cancer.gov/cases/3afa9201-61ad-4958-925f-b93912d2841a","TCGA-XM-A8R8-01A")</f>
        <v>TCGA-XM-A8R8-01A</v>
      </c>
      <c r="I20602" t="s">
        <v>593</v>
      </c>
      <c r="J20602" t="s">
        <v>18</v>
      </c>
      <c r="K20602" t="s">
        <v>33</v>
      </c>
      <c r="L20602" t="s">
        <v>594</v>
      </c>
      <c r="N20602" t="s">
        <v>29</v>
      </c>
    </row>
    <row r="20603" spans="1:14">
      <c r="A20603" s="4" t="str">
        <f t="shared" si="1394"/>
        <v>EXP00449</v>
      </c>
      <c r="B20603" s="3" t="s">
        <v>66</v>
      </c>
      <c r="C20603" s="4" t="str">
        <f t="shared" si="1393"/>
        <v>TCGA-THYM</v>
      </c>
      <c r="D20603" s="1" t="s">
        <v>493</v>
      </c>
      <c r="E20603" t="s">
        <v>592</v>
      </c>
      <c r="F20603" s="1">
        <v>2</v>
      </c>
      <c r="G20603" s="1" t="s">
        <v>32</v>
      </c>
      <c r="H20603" s="4" t="str">
        <f>HYPERLINK("https://portal.gdc.cancer.gov/cases/49d8939c-7c23-4a6c-b71a-0c39c262c346","TCGA-XM-A8R9-01A")</f>
        <v>TCGA-XM-A8R9-01A</v>
      </c>
      <c r="I20603" t="s">
        <v>593</v>
      </c>
      <c r="J20603" t="s">
        <v>18</v>
      </c>
      <c r="K20603" t="s">
        <v>33</v>
      </c>
      <c r="L20603" t="s">
        <v>594</v>
      </c>
      <c r="N20603" t="s">
        <v>29</v>
      </c>
    </row>
    <row r="20604" spans="1:14">
      <c r="A20604" s="4" t="str">
        <f t="shared" si="1394"/>
        <v>EXP00449</v>
      </c>
      <c r="B20604" s="3" t="s">
        <v>66</v>
      </c>
      <c r="C20604" s="4" t="str">
        <f t="shared" si="1393"/>
        <v>TCGA-THYM</v>
      </c>
      <c r="D20604" s="1" t="s">
        <v>493</v>
      </c>
      <c r="E20604" t="s">
        <v>592</v>
      </c>
      <c r="F20604" s="1">
        <v>2</v>
      </c>
      <c r="G20604" s="1" t="s">
        <v>32</v>
      </c>
      <c r="H20604" s="4" t="str">
        <f>HYPERLINK("https://portal.gdc.cancer.gov/cases/335535a1-e3d4-41a1-bbdb-1d5afd5acfd3","TCGA-XM-A8RB-01A")</f>
        <v>TCGA-XM-A8RB-01A</v>
      </c>
      <c r="I20604" t="s">
        <v>593</v>
      </c>
      <c r="J20604" t="s">
        <v>18</v>
      </c>
      <c r="K20604" t="s">
        <v>33</v>
      </c>
      <c r="L20604" t="s">
        <v>594</v>
      </c>
      <c r="N20604" t="s">
        <v>29</v>
      </c>
    </row>
    <row r="20605" spans="1:14">
      <c r="A20605" s="4" t="str">
        <f t="shared" si="1394"/>
        <v>EXP00449</v>
      </c>
      <c r="B20605" s="3" t="s">
        <v>66</v>
      </c>
      <c r="C20605" s="4" t="str">
        <f t="shared" si="1393"/>
        <v>TCGA-THYM</v>
      </c>
      <c r="D20605" s="1" t="s">
        <v>493</v>
      </c>
      <c r="E20605" t="s">
        <v>592</v>
      </c>
      <c r="F20605" s="1">
        <v>2</v>
      </c>
      <c r="G20605" s="1" t="s">
        <v>32</v>
      </c>
      <c r="H20605" s="4" t="str">
        <f>HYPERLINK("https://portal.gdc.cancer.gov/cases/b8348adb-17dd-4849-bd4f-c2e7e15db1f4","TCGA-XM-A8RC-01A")</f>
        <v>TCGA-XM-A8RC-01A</v>
      </c>
      <c r="I20605" t="s">
        <v>593</v>
      </c>
      <c r="J20605" t="s">
        <v>18</v>
      </c>
      <c r="K20605" t="s">
        <v>33</v>
      </c>
      <c r="L20605" t="s">
        <v>594</v>
      </c>
      <c r="N20605" t="s">
        <v>29</v>
      </c>
    </row>
    <row r="20606" spans="1:14">
      <c r="A20606" s="4" t="str">
        <f t="shared" si="1394"/>
        <v>EXP00449</v>
      </c>
      <c r="B20606" s="3" t="s">
        <v>66</v>
      </c>
      <c r="C20606" s="4" t="str">
        <f t="shared" si="1393"/>
        <v>TCGA-THYM</v>
      </c>
      <c r="D20606" s="1" t="s">
        <v>493</v>
      </c>
      <c r="E20606" t="s">
        <v>592</v>
      </c>
      <c r="F20606" s="1">
        <v>2</v>
      </c>
      <c r="G20606" s="1" t="s">
        <v>32</v>
      </c>
      <c r="H20606" s="4" t="str">
        <f>HYPERLINK("https://portal.gdc.cancer.gov/cases/68d2ab61-50fc-41e8-b3ee-75c70f0f4369","TCGA-XM-A8RD-01A")</f>
        <v>TCGA-XM-A8RD-01A</v>
      </c>
      <c r="I20606" t="s">
        <v>593</v>
      </c>
      <c r="J20606" t="s">
        <v>18</v>
      </c>
      <c r="K20606" t="s">
        <v>33</v>
      </c>
      <c r="L20606" t="s">
        <v>594</v>
      </c>
      <c r="N20606" t="s">
        <v>29</v>
      </c>
    </row>
    <row r="20607" spans="1:14">
      <c r="A20607" s="4" t="str">
        <f t="shared" si="1394"/>
        <v>EXP00449</v>
      </c>
      <c r="B20607" s="3" t="s">
        <v>66</v>
      </c>
      <c r="C20607" s="4" t="str">
        <f t="shared" si="1393"/>
        <v>TCGA-THYM</v>
      </c>
      <c r="D20607" s="1" t="s">
        <v>493</v>
      </c>
      <c r="E20607" t="s">
        <v>592</v>
      </c>
      <c r="F20607" s="1">
        <v>2</v>
      </c>
      <c r="G20607" s="1" t="s">
        <v>32</v>
      </c>
      <c r="H20607" s="4" t="str">
        <f>HYPERLINK("https://portal.gdc.cancer.gov/cases/a4f4c331-97a3-48c4-aa3e-27304c1eb611","TCGA-XM-A8RE-01A")</f>
        <v>TCGA-XM-A8RE-01A</v>
      </c>
      <c r="I20607" t="s">
        <v>593</v>
      </c>
      <c r="J20607" t="s">
        <v>18</v>
      </c>
      <c r="K20607" t="s">
        <v>33</v>
      </c>
      <c r="L20607" t="s">
        <v>594</v>
      </c>
      <c r="N20607" t="s">
        <v>29</v>
      </c>
    </row>
    <row r="20608" spans="1:14">
      <c r="A20608" s="4" t="str">
        <f t="shared" si="1394"/>
        <v>EXP00449</v>
      </c>
      <c r="B20608" s="3" t="s">
        <v>66</v>
      </c>
      <c r="C20608" s="4" t="str">
        <f t="shared" si="1393"/>
        <v>TCGA-THYM</v>
      </c>
      <c r="D20608" s="1" t="s">
        <v>493</v>
      </c>
      <c r="E20608" t="s">
        <v>592</v>
      </c>
      <c r="F20608" s="1">
        <v>2</v>
      </c>
      <c r="G20608" s="1" t="s">
        <v>32</v>
      </c>
      <c r="H20608" s="4" t="str">
        <f>HYPERLINK("https://portal.gdc.cancer.gov/cases/aea15ea1-38c2-4d0e-824d-e3495271b05d","TCGA-XM-A8RF-01A")</f>
        <v>TCGA-XM-A8RF-01A</v>
      </c>
      <c r="I20608" t="s">
        <v>593</v>
      </c>
      <c r="J20608" t="s">
        <v>18</v>
      </c>
      <c r="K20608" t="s">
        <v>33</v>
      </c>
      <c r="L20608" t="s">
        <v>594</v>
      </c>
      <c r="N20608" t="s">
        <v>29</v>
      </c>
    </row>
    <row r="20609" spans="1:14">
      <c r="A20609" s="4" t="str">
        <f t="shared" si="1394"/>
        <v>EXP00449</v>
      </c>
      <c r="B20609" s="3" t="s">
        <v>66</v>
      </c>
      <c r="C20609" s="4" t="str">
        <f t="shared" si="1393"/>
        <v>TCGA-THYM</v>
      </c>
      <c r="D20609" s="1" t="s">
        <v>493</v>
      </c>
      <c r="E20609" t="s">
        <v>592</v>
      </c>
      <c r="F20609" s="1">
        <v>2</v>
      </c>
      <c r="G20609" s="1" t="s">
        <v>32</v>
      </c>
      <c r="H20609" s="4" t="str">
        <f>HYPERLINK("https://portal.gdc.cancer.gov/cases/fc9b7bf7-e649-4163-ad5a-b741785d3b79","TCGA-XM-A8RG-01A")</f>
        <v>TCGA-XM-A8RG-01A</v>
      </c>
      <c r="I20609" t="s">
        <v>593</v>
      </c>
      <c r="J20609" t="s">
        <v>18</v>
      </c>
      <c r="K20609" t="s">
        <v>33</v>
      </c>
      <c r="L20609" t="s">
        <v>594</v>
      </c>
      <c r="N20609" t="s">
        <v>29</v>
      </c>
    </row>
    <row r="20610" spans="1:14">
      <c r="A20610" s="4" t="str">
        <f t="shared" si="1394"/>
        <v>EXP00449</v>
      </c>
      <c r="B20610" s="3" t="s">
        <v>66</v>
      </c>
      <c r="C20610" s="4" t="str">
        <f t="shared" si="1393"/>
        <v>TCGA-THYM</v>
      </c>
      <c r="D20610" s="1" t="s">
        <v>493</v>
      </c>
      <c r="E20610" t="s">
        <v>592</v>
      </c>
      <c r="F20610" s="1">
        <v>2</v>
      </c>
      <c r="G20610" s="1" t="s">
        <v>32</v>
      </c>
      <c r="H20610" s="4" t="str">
        <f>HYPERLINK("https://portal.gdc.cancer.gov/cases/154c7698-c0fe-40da-b0fc-47b6385fcee1","TCGA-XM-A8RH-01A")</f>
        <v>TCGA-XM-A8RH-01A</v>
      </c>
      <c r="I20610" t="s">
        <v>593</v>
      </c>
      <c r="J20610" t="s">
        <v>18</v>
      </c>
      <c r="K20610" t="s">
        <v>33</v>
      </c>
      <c r="L20610" t="s">
        <v>594</v>
      </c>
      <c r="N20610" t="s">
        <v>29</v>
      </c>
    </row>
    <row r="20611" spans="1:14">
      <c r="A20611" s="4" t="str">
        <f t="shared" si="1394"/>
        <v>EXP00449</v>
      </c>
      <c r="B20611" s="3" t="s">
        <v>66</v>
      </c>
      <c r="C20611" s="4" t="str">
        <f t="shared" si="1393"/>
        <v>TCGA-THYM</v>
      </c>
      <c r="D20611" s="1" t="s">
        <v>493</v>
      </c>
      <c r="E20611" t="s">
        <v>592</v>
      </c>
      <c r="F20611" s="1">
        <v>2</v>
      </c>
      <c r="G20611" s="1" t="s">
        <v>32</v>
      </c>
      <c r="H20611" s="4" t="str">
        <f>HYPERLINK("https://portal.gdc.cancer.gov/cases/7fc85735-1bf2-4414-973c-e18f030e5ac0","TCGA-XM-A8RI-01A")</f>
        <v>TCGA-XM-A8RI-01A</v>
      </c>
      <c r="I20611" t="s">
        <v>593</v>
      </c>
      <c r="J20611" t="s">
        <v>18</v>
      </c>
      <c r="K20611" t="s">
        <v>33</v>
      </c>
      <c r="L20611" t="s">
        <v>594</v>
      </c>
      <c r="N20611" t="s">
        <v>29</v>
      </c>
    </row>
    <row r="20612" spans="1:14">
      <c r="A20612" s="4" t="str">
        <f t="shared" si="1394"/>
        <v>EXP00449</v>
      </c>
      <c r="B20612" s="3" t="s">
        <v>66</v>
      </c>
      <c r="C20612" s="4" t="str">
        <f t="shared" si="1393"/>
        <v>TCGA-THYM</v>
      </c>
      <c r="D20612" s="1" t="s">
        <v>493</v>
      </c>
      <c r="E20612" t="s">
        <v>592</v>
      </c>
      <c r="F20612" s="1">
        <v>2</v>
      </c>
      <c r="G20612" s="1" t="s">
        <v>32</v>
      </c>
      <c r="H20612" s="4" t="str">
        <f>HYPERLINK("https://portal.gdc.cancer.gov/cases/dd240b82-b1d6-4c0f-aa3e-6fcfe1364ec1","TCGA-XM-A8RL-01A")</f>
        <v>TCGA-XM-A8RL-01A</v>
      </c>
      <c r="I20612" t="s">
        <v>593</v>
      </c>
      <c r="J20612" t="s">
        <v>18</v>
      </c>
      <c r="K20612" t="s">
        <v>33</v>
      </c>
      <c r="L20612" t="s">
        <v>594</v>
      </c>
      <c r="N20612" t="s">
        <v>29</v>
      </c>
    </row>
    <row r="20613" spans="1:14">
      <c r="A20613" s="4" t="str">
        <f t="shared" si="1394"/>
        <v>EXP00449</v>
      </c>
      <c r="B20613" s="3" t="s">
        <v>66</v>
      </c>
      <c r="C20613" s="4" t="str">
        <f t="shared" si="1393"/>
        <v>TCGA-THYM</v>
      </c>
      <c r="D20613" s="1" t="s">
        <v>493</v>
      </c>
      <c r="E20613" t="s">
        <v>592</v>
      </c>
      <c r="F20613" s="1">
        <v>2</v>
      </c>
      <c r="G20613" s="1" t="s">
        <v>32</v>
      </c>
      <c r="H20613" s="4" t="str">
        <f>HYPERLINK("https://portal.gdc.cancer.gov/cases/9084a558-11ea-448c-9f9d-0f90a94a29af","TCGA-XM-AAZ1-01A")</f>
        <v>TCGA-XM-AAZ1-01A</v>
      </c>
      <c r="I20613" t="s">
        <v>593</v>
      </c>
      <c r="J20613" t="s">
        <v>18</v>
      </c>
      <c r="K20613" t="s">
        <v>33</v>
      </c>
      <c r="L20613" t="s">
        <v>594</v>
      </c>
      <c r="N20613" t="s">
        <v>29</v>
      </c>
    </row>
    <row r="20614" spans="1:14">
      <c r="A20614" s="4" t="str">
        <f t="shared" si="1394"/>
        <v>EXP00449</v>
      </c>
      <c r="B20614" s="3" t="s">
        <v>66</v>
      </c>
      <c r="C20614" s="4" t="str">
        <f t="shared" si="1393"/>
        <v>TCGA-THYM</v>
      </c>
      <c r="D20614" s="1" t="s">
        <v>493</v>
      </c>
      <c r="E20614" t="s">
        <v>592</v>
      </c>
      <c r="F20614" s="1">
        <v>2</v>
      </c>
      <c r="G20614" s="1" t="s">
        <v>32</v>
      </c>
      <c r="H20614" s="4" t="str">
        <f>HYPERLINK("https://portal.gdc.cancer.gov/cases/17e2bf75-4ce6-4cd7-94a1-434c5aa36549","TCGA-XM-AAZ2-01A")</f>
        <v>TCGA-XM-AAZ2-01A</v>
      </c>
      <c r="I20614" t="s">
        <v>593</v>
      </c>
      <c r="J20614" t="s">
        <v>18</v>
      </c>
      <c r="K20614" t="s">
        <v>33</v>
      </c>
      <c r="L20614" t="s">
        <v>594</v>
      </c>
      <c r="N20614" t="s">
        <v>29</v>
      </c>
    </row>
    <row r="20615" spans="1:14">
      <c r="A20615" s="4" t="str">
        <f t="shared" ref="A20615:A20646" si="1395">HYPERLINK("http://hcmdb.i-sanger.com/experiment/details/experiment_id/EXP00449","EXP00449")</f>
        <v>EXP00449</v>
      </c>
      <c r="B20615" s="3" t="s">
        <v>66</v>
      </c>
      <c r="C20615" s="4" t="str">
        <f t="shared" ref="C20615:C20678" si="1396">HYPERLINK("https://portal.gdc.cancer.gov/projects/TCGA-THYM","TCGA-THYM")</f>
        <v>TCGA-THYM</v>
      </c>
      <c r="D20615" s="1" t="s">
        <v>493</v>
      </c>
      <c r="E20615" t="s">
        <v>592</v>
      </c>
      <c r="F20615" s="1">
        <v>2</v>
      </c>
      <c r="G20615" s="1" t="s">
        <v>32</v>
      </c>
      <c r="H20615" s="4" t="str">
        <f>HYPERLINK("https://portal.gdc.cancer.gov/cases/2fdb7682-1dce-40bf-8180-d3a5a084ecb1","TCGA-XM-AAZ3-01A")</f>
        <v>TCGA-XM-AAZ3-01A</v>
      </c>
      <c r="I20615" t="s">
        <v>593</v>
      </c>
      <c r="J20615" t="s">
        <v>18</v>
      </c>
      <c r="K20615" t="s">
        <v>33</v>
      </c>
      <c r="L20615" t="s">
        <v>594</v>
      </c>
      <c r="N20615" t="s">
        <v>29</v>
      </c>
    </row>
    <row r="20616" spans="1:14">
      <c r="A20616" s="4" t="str">
        <f t="shared" si="1395"/>
        <v>EXP00449</v>
      </c>
      <c r="B20616" s="3" t="s">
        <v>66</v>
      </c>
      <c r="C20616" s="4" t="str">
        <f t="shared" si="1396"/>
        <v>TCGA-THYM</v>
      </c>
      <c r="D20616" s="1" t="s">
        <v>493</v>
      </c>
      <c r="E20616" t="s">
        <v>592</v>
      </c>
      <c r="F20616" s="1">
        <v>2</v>
      </c>
      <c r="G20616" s="1" t="s">
        <v>32</v>
      </c>
      <c r="H20616" s="4" t="str">
        <f>HYPERLINK("https://portal.gdc.cancer.gov/cases/b1774c5c-7a6f-4bf6-8539-15a35f1457e6","TCGA-XU-A92O-01A")</f>
        <v>TCGA-XU-A92O-01A</v>
      </c>
      <c r="I20616" t="s">
        <v>593</v>
      </c>
      <c r="J20616" t="s">
        <v>18</v>
      </c>
      <c r="K20616" t="s">
        <v>33</v>
      </c>
      <c r="L20616" t="s">
        <v>594</v>
      </c>
      <c r="N20616" t="s">
        <v>29</v>
      </c>
    </row>
    <row r="20617" spans="1:14">
      <c r="A20617" s="4" t="str">
        <f t="shared" si="1395"/>
        <v>EXP00449</v>
      </c>
      <c r="B20617" s="3" t="s">
        <v>66</v>
      </c>
      <c r="C20617" s="4" t="str">
        <f t="shared" si="1396"/>
        <v>TCGA-THYM</v>
      </c>
      <c r="D20617" s="1" t="s">
        <v>493</v>
      </c>
      <c r="E20617" t="s">
        <v>592</v>
      </c>
      <c r="F20617" s="1">
        <v>2</v>
      </c>
      <c r="G20617" s="1" t="s">
        <v>32</v>
      </c>
      <c r="H20617" s="4" t="str">
        <f>HYPERLINK("https://portal.gdc.cancer.gov/cases/b7e1a4f5-9173-41c2-8079-c5ce59c8d190","TCGA-XU-A92Q-01A")</f>
        <v>TCGA-XU-A92Q-01A</v>
      </c>
      <c r="I20617" t="s">
        <v>593</v>
      </c>
      <c r="J20617" t="s">
        <v>18</v>
      </c>
      <c r="K20617" t="s">
        <v>33</v>
      </c>
      <c r="L20617" t="s">
        <v>594</v>
      </c>
      <c r="N20617" t="s">
        <v>29</v>
      </c>
    </row>
    <row r="20618" spans="1:14">
      <c r="A20618" s="4" t="str">
        <f t="shared" si="1395"/>
        <v>EXP00449</v>
      </c>
      <c r="B20618" s="3" t="s">
        <v>66</v>
      </c>
      <c r="C20618" s="4" t="str">
        <f t="shared" si="1396"/>
        <v>TCGA-THYM</v>
      </c>
      <c r="D20618" s="1" t="s">
        <v>493</v>
      </c>
      <c r="E20618" t="s">
        <v>592</v>
      </c>
      <c r="F20618" s="1">
        <v>2</v>
      </c>
      <c r="G20618" s="1" t="s">
        <v>32</v>
      </c>
      <c r="H20618" s="4" t="str">
        <f>HYPERLINK("https://portal.gdc.cancer.gov/cases/e464f16e-151c-4754-a8ff-e35b31d4c76f","TCGA-XU-A92T-01A")</f>
        <v>TCGA-XU-A92T-01A</v>
      </c>
      <c r="I20618" t="s">
        <v>593</v>
      </c>
      <c r="J20618" t="s">
        <v>18</v>
      </c>
      <c r="K20618" t="s">
        <v>33</v>
      </c>
      <c r="L20618" t="s">
        <v>594</v>
      </c>
      <c r="N20618" t="s">
        <v>29</v>
      </c>
    </row>
    <row r="20619" spans="1:14">
      <c r="A20619" s="4" t="str">
        <f t="shared" si="1395"/>
        <v>EXP00449</v>
      </c>
      <c r="B20619" s="3" t="s">
        <v>66</v>
      </c>
      <c r="C20619" s="4" t="str">
        <f t="shared" si="1396"/>
        <v>TCGA-THYM</v>
      </c>
      <c r="D20619" s="1" t="s">
        <v>493</v>
      </c>
      <c r="E20619" t="s">
        <v>592</v>
      </c>
      <c r="F20619" s="1">
        <v>2</v>
      </c>
      <c r="G20619" s="1" t="s">
        <v>32</v>
      </c>
      <c r="H20619" s="4" t="str">
        <f>HYPERLINK("https://portal.gdc.cancer.gov/cases/fac44b50-aa8c-498e-88af-4eb5c2f5f67a","TCGA-XU-A92U-01A")</f>
        <v>TCGA-XU-A92U-01A</v>
      </c>
      <c r="I20619" t="s">
        <v>593</v>
      </c>
      <c r="J20619" t="s">
        <v>18</v>
      </c>
      <c r="K20619" t="s">
        <v>33</v>
      </c>
      <c r="L20619" t="s">
        <v>594</v>
      </c>
      <c r="N20619" t="s">
        <v>29</v>
      </c>
    </row>
    <row r="20620" spans="1:14">
      <c r="A20620" s="4" t="str">
        <f t="shared" si="1395"/>
        <v>EXP00449</v>
      </c>
      <c r="B20620" s="3" t="s">
        <v>66</v>
      </c>
      <c r="C20620" s="4" t="str">
        <f t="shared" si="1396"/>
        <v>TCGA-THYM</v>
      </c>
      <c r="D20620" s="1" t="s">
        <v>493</v>
      </c>
      <c r="E20620" t="s">
        <v>592</v>
      </c>
      <c r="F20620" s="1">
        <v>2</v>
      </c>
      <c r="G20620" s="1" t="s">
        <v>32</v>
      </c>
      <c r="H20620" s="4" t="str">
        <f>HYPERLINK("https://portal.gdc.cancer.gov/cases/55536b55-0e84-49a2-b5df-b88431965b3e","TCGA-XU-A92V-01A")</f>
        <v>TCGA-XU-A92V-01A</v>
      </c>
      <c r="I20620" t="s">
        <v>593</v>
      </c>
      <c r="J20620" t="s">
        <v>18</v>
      </c>
      <c r="K20620" t="s">
        <v>33</v>
      </c>
      <c r="L20620" t="s">
        <v>594</v>
      </c>
      <c r="N20620" t="s">
        <v>29</v>
      </c>
    </row>
    <row r="20621" spans="1:14">
      <c r="A20621" s="4" t="str">
        <f t="shared" si="1395"/>
        <v>EXP00449</v>
      </c>
      <c r="B20621" s="3" t="s">
        <v>66</v>
      </c>
      <c r="C20621" s="4" t="str">
        <f t="shared" si="1396"/>
        <v>TCGA-THYM</v>
      </c>
      <c r="D20621" s="1" t="s">
        <v>493</v>
      </c>
      <c r="E20621" t="s">
        <v>592</v>
      </c>
      <c r="F20621" s="1">
        <v>2</v>
      </c>
      <c r="G20621" s="1" t="s">
        <v>32</v>
      </c>
      <c r="H20621" s="4" t="str">
        <f>HYPERLINK("https://portal.gdc.cancer.gov/cases/c1f7e0cd-24b0-4c45-8e60-1ff669a692ab","TCGA-XU-A92W-01A")</f>
        <v>TCGA-XU-A92W-01A</v>
      </c>
      <c r="I20621" t="s">
        <v>593</v>
      </c>
      <c r="J20621" t="s">
        <v>18</v>
      </c>
      <c r="K20621" t="s">
        <v>33</v>
      </c>
      <c r="L20621" t="s">
        <v>594</v>
      </c>
      <c r="N20621" t="s">
        <v>29</v>
      </c>
    </row>
    <row r="20622" spans="1:14">
      <c r="A20622" s="4" t="str">
        <f t="shared" si="1395"/>
        <v>EXP00449</v>
      </c>
      <c r="B20622" s="3" t="s">
        <v>66</v>
      </c>
      <c r="C20622" s="4" t="str">
        <f t="shared" si="1396"/>
        <v>TCGA-THYM</v>
      </c>
      <c r="D20622" s="1" t="s">
        <v>493</v>
      </c>
      <c r="E20622" t="s">
        <v>592</v>
      </c>
      <c r="F20622" s="1">
        <v>2</v>
      </c>
      <c r="G20622" s="1" t="s">
        <v>32</v>
      </c>
      <c r="H20622" s="4" t="str">
        <f>HYPERLINK("https://portal.gdc.cancer.gov/cases/d04d927b-bb66-435f-bb8f-dd71145c5eec","TCGA-XU-A92X-01A")</f>
        <v>TCGA-XU-A92X-01A</v>
      </c>
      <c r="I20622" t="s">
        <v>593</v>
      </c>
      <c r="J20622" t="s">
        <v>18</v>
      </c>
      <c r="K20622" t="s">
        <v>33</v>
      </c>
      <c r="L20622" t="s">
        <v>594</v>
      </c>
      <c r="N20622" t="s">
        <v>29</v>
      </c>
    </row>
    <row r="20623" spans="1:14">
      <c r="A20623" s="4" t="str">
        <f t="shared" si="1395"/>
        <v>EXP00449</v>
      </c>
      <c r="B20623" s="3" t="s">
        <v>66</v>
      </c>
      <c r="C20623" s="4" t="str">
        <f t="shared" si="1396"/>
        <v>TCGA-THYM</v>
      </c>
      <c r="D20623" s="1" t="s">
        <v>493</v>
      </c>
      <c r="E20623" t="s">
        <v>592</v>
      </c>
      <c r="F20623" s="1">
        <v>2</v>
      </c>
      <c r="G20623" s="1" t="s">
        <v>32</v>
      </c>
      <c r="H20623" s="4" t="str">
        <f>HYPERLINK("https://portal.gdc.cancer.gov/cases/fd15ff57-f121-40ea-a3b9-b66cbf34c1e0","TCGA-XU-A92Y-01A")</f>
        <v>TCGA-XU-A92Y-01A</v>
      </c>
      <c r="I20623" t="s">
        <v>593</v>
      </c>
      <c r="J20623" t="s">
        <v>18</v>
      </c>
      <c r="K20623" t="s">
        <v>33</v>
      </c>
      <c r="L20623" t="s">
        <v>594</v>
      </c>
      <c r="N20623" t="s">
        <v>29</v>
      </c>
    </row>
    <row r="20624" spans="1:14">
      <c r="A20624" s="4" t="str">
        <f t="shared" si="1395"/>
        <v>EXP00449</v>
      </c>
      <c r="B20624" s="3" t="s">
        <v>66</v>
      </c>
      <c r="C20624" s="4" t="str">
        <f t="shared" si="1396"/>
        <v>TCGA-THYM</v>
      </c>
      <c r="D20624" s="1" t="s">
        <v>493</v>
      </c>
      <c r="E20624" t="s">
        <v>592</v>
      </c>
      <c r="F20624" s="1">
        <v>2</v>
      </c>
      <c r="G20624" s="1" t="s">
        <v>32</v>
      </c>
      <c r="H20624" s="4" t="str">
        <f>HYPERLINK("https://portal.gdc.cancer.gov/cases/9cabde13-0cbb-4502-9dc1-4c9bd8a68313","TCGA-XU-A92Z-01A")</f>
        <v>TCGA-XU-A92Z-01A</v>
      </c>
      <c r="I20624" t="s">
        <v>593</v>
      </c>
      <c r="J20624" t="s">
        <v>18</v>
      </c>
      <c r="K20624" t="s">
        <v>33</v>
      </c>
      <c r="L20624" t="s">
        <v>594</v>
      </c>
      <c r="N20624" t="s">
        <v>29</v>
      </c>
    </row>
    <row r="20625" spans="1:14">
      <c r="A20625" s="4" t="str">
        <f t="shared" si="1395"/>
        <v>EXP00449</v>
      </c>
      <c r="B20625" s="3" t="s">
        <v>66</v>
      </c>
      <c r="C20625" s="4" t="str">
        <f t="shared" si="1396"/>
        <v>TCGA-THYM</v>
      </c>
      <c r="D20625" s="1" t="s">
        <v>493</v>
      </c>
      <c r="E20625" t="s">
        <v>592</v>
      </c>
      <c r="F20625" s="1">
        <v>2</v>
      </c>
      <c r="G20625" s="1" t="s">
        <v>32</v>
      </c>
      <c r="H20625" s="4" t="str">
        <f>HYPERLINK("https://portal.gdc.cancer.gov/cases/2a654463-1d68-4c82-9549-4526aad41870","TCGA-XU-A930-01A")</f>
        <v>TCGA-XU-A930-01A</v>
      </c>
      <c r="I20625" t="s">
        <v>593</v>
      </c>
      <c r="J20625" t="s">
        <v>18</v>
      </c>
      <c r="K20625" t="s">
        <v>33</v>
      </c>
      <c r="L20625" t="s">
        <v>594</v>
      </c>
      <c r="N20625" t="s">
        <v>29</v>
      </c>
    </row>
    <row r="20626" spans="1:14">
      <c r="A20626" s="4" t="str">
        <f t="shared" si="1395"/>
        <v>EXP00449</v>
      </c>
      <c r="B20626" s="3" t="s">
        <v>66</v>
      </c>
      <c r="C20626" s="4" t="str">
        <f t="shared" si="1396"/>
        <v>TCGA-THYM</v>
      </c>
      <c r="D20626" s="1" t="s">
        <v>493</v>
      </c>
      <c r="E20626" t="s">
        <v>592</v>
      </c>
      <c r="F20626" s="1">
        <v>2</v>
      </c>
      <c r="G20626" s="1" t="s">
        <v>32</v>
      </c>
      <c r="H20626" s="4" t="str">
        <f>HYPERLINK("https://portal.gdc.cancer.gov/cases/5f18924a-bcd6-4462-9c99-e634bddaf18e","TCGA-XU-A931-01A")</f>
        <v>TCGA-XU-A931-01A</v>
      </c>
      <c r="I20626" t="s">
        <v>593</v>
      </c>
      <c r="J20626" t="s">
        <v>18</v>
      </c>
      <c r="K20626" t="s">
        <v>33</v>
      </c>
      <c r="L20626" t="s">
        <v>594</v>
      </c>
      <c r="N20626" t="s">
        <v>29</v>
      </c>
    </row>
    <row r="20627" spans="1:14">
      <c r="A20627" s="4" t="str">
        <f t="shared" si="1395"/>
        <v>EXP00449</v>
      </c>
      <c r="B20627" s="3" t="s">
        <v>66</v>
      </c>
      <c r="C20627" s="4" t="str">
        <f t="shared" si="1396"/>
        <v>TCGA-THYM</v>
      </c>
      <c r="D20627" s="1" t="s">
        <v>493</v>
      </c>
      <c r="E20627" t="s">
        <v>592</v>
      </c>
      <c r="F20627" s="1">
        <v>2</v>
      </c>
      <c r="G20627" s="1" t="s">
        <v>32</v>
      </c>
      <c r="H20627" s="4" t="str">
        <f>HYPERLINK("https://portal.gdc.cancer.gov/cases/4d6f70aa-ef52-4f98-a929-5d511601abed","TCGA-XU-A932-01A")</f>
        <v>TCGA-XU-A932-01A</v>
      </c>
      <c r="I20627" t="s">
        <v>593</v>
      </c>
      <c r="J20627" t="s">
        <v>18</v>
      </c>
      <c r="K20627" t="s">
        <v>33</v>
      </c>
      <c r="L20627" t="s">
        <v>594</v>
      </c>
      <c r="N20627" t="s">
        <v>29</v>
      </c>
    </row>
    <row r="20628" spans="1:14">
      <c r="A20628" s="4" t="str">
        <f t="shared" si="1395"/>
        <v>EXP00449</v>
      </c>
      <c r="B20628" s="3" t="s">
        <v>66</v>
      </c>
      <c r="C20628" s="4" t="str">
        <f t="shared" si="1396"/>
        <v>TCGA-THYM</v>
      </c>
      <c r="D20628" s="1" t="s">
        <v>493</v>
      </c>
      <c r="E20628" t="s">
        <v>592</v>
      </c>
      <c r="F20628" s="1">
        <v>2</v>
      </c>
      <c r="G20628" s="1" t="s">
        <v>32</v>
      </c>
      <c r="H20628" s="4" t="str">
        <f>HYPERLINK("https://portal.gdc.cancer.gov/cases/ff0e9d4a-2b62-4a15-b71a-2887d8747ae6","TCGA-XU-A933-01A")</f>
        <v>TCGA-XU-A933-01A</v>
      </c>
      <c r="I20628" t="s">
        <v>593</v>
      </c>
      <c r="J20628" t="s">
        <v>18</v>
      </c>
      <c r="K20628" t="s">
        <v>33</v>
      </c>
      <c r="L20628" t="s">
        <v>594</v>
      </c>
      <c r="N20628" t="s">
        <v>29</v>
      </c>
    </row>
    <row r="20629" spans="1:14">
      <c r="A20629" s="4" t="str">
        <f t="shared" si="1395"/>
        <v>EXP00449</v>
      </c>
      <c r="B20629" s="3" t="s">
        <v>66</v>
      </c>
      <c r="C20629" s="4" t="str">
        <f t="shared" si="1396"/>
        <v>TCGA-THYM</v>
      </c>
      <c r="D20629" s="1" t="s">
        <v>493</v>
      </c>
      <c r="E20629" t="s">
        <v>592</v>
      </c>
      <c r="F20629" s="1">
        <v>2</v>
      </c>
      <c r="G20629" s="1" t="s">
        <v>32</v>
      </c>
      <c r="H20629" s="4" t="str">
        <f>HYPERLINK("https://portal.gdc.cancer.gov/cases/29e038ba-b042-473e-a526-96d41b2830e1","TCGA-XU-A936-01A")</f>
        <v>TCGA-XU-A936-01A</v>
      </c>
      <c r="I20629" t="s">
        <v>593</v>
      </c>
      <c r="J20629" t="s">
        <v>18</v>
      </c>
      <c r="K20629" t="s">
        <v>33</v>
      </c>
      <c r="L20629" t="s">
        <v>594</v>
      </c>
      <c r="N20629" t="s">
        <v>29</v>
      </c>
    </row>
    <row r="20630" spans="1:14">
      <c r="A20630" s="4" t="str">
        <f t="shared" si="1395"/>
        <v>EXP00449</v>
      </c>
      <c r="B20630" s="3" t="s">
        <v>66</v>
      </c>
      <c r="C20630" s="4" t="str">
        <f t="shared" si="1396"/>
        <v>TCGA-THYM</v>
      </c>
      <c r="D20630" s="1" t="s">
        <v>493</v>
      </c>
      <c r="E20630" t="s">
        <v>592</v>
      </c>
      <c r="F20630" s="1">
        <v>2</v>
      </c>
      <c r="G20630" s="1" t="s">
        <v>32</v>
      </c>
      <c r="H20630" s="4" t="str">
        <f>HYPERLINK("https://portal.gdc.cancer.gov/cases/80606b1c-e8c8-4c3d-8475-3d846a84ca98","TCGA-XU-AAXV-01A")</f>
        <v>TCGA-XU-AAXV-01A</v>
      </c>
      <c r="I20630" t="s">
        <v>593</v>
      </c>
      <c r="J20630" t="s">
        <v>18</v>
      </c>
      <c r="K20630" t="s">
        <v>33</v>
      </c>
      <c r="L20630" t="s">
        <v>594</v>
      </c>
      <c r="N20630" t="s">
        <v>29</v>
      </c>
    </row>
    <row r="20631" spans="1:14">
      <c r="A20631" s="4" t="str">
        <f t="shared" si="1395"/>
        <v>EXP00449</v>
      </c>
      <c r="B20631" s="3" t="s">
        <v>66</v>
      </c>
      <c r="C20631" s="4" t="str">
        <f t="shared" si="1396"/>
        <v>TCGA-THYM</v>
      </c>
      <c r="D20631" s="1" t="s">
        <v>493</v>
      </c>
      <c r="E20631" t="s">
        <v>592</v>
      </c>
      <c r="F20631" s="1">
        <v>2</v>
      </c>
      <c r="G20631" s="1" t="s">
        <v>32</v>
      </c>
      <c r="H20631" s="4" t="str">
        <f>HYPERLINK("https://portal.gdc.cancer.gov/cases/4db60b44-21b5-433c-9689-f6aa79b819b8","TCGA-XU-AAXW-01A")</f>
        <v>TCGA-XU-AAXW-01A</v>
      </c>
      <c r="I20631" t="s">
        <v>593</v>
      </c>
      <c r="J20631" t="s">
        <v>18</v>
      </c>
      <c r="K20631" t="s">
        <v>33</v>
      </c>
      <c r="L20631" t="s">
        <v>594</v>
      </c>
      <c r="N20631" t="s">
        <v>29</v>
      </c>
    </row>
    <row r="20632" spans="1:14">
      <c r="A20632" s="4" t="str">
        <f t="shared" si="1395"/>
        <v>EXP00449</v>
      </c>
      <c r="B20632" s="3" t="s">
        <v>66</v>
      </c>
      <c r="C20632" s="4" t="str">
        <f t="shared" si="1396"/>
        <v>TCGA-THYM</v>
      </c>
      <c r="D20632" s="1" t="s">
        <v>493</v>
      </c>
      <c r="E20632" t="s">
        <v>592</v>
      </c>
      <c r="F20632" s="1">
        <v>2</v>
      </c>
      <c r="G20632" s="1" t="s">
        <v>32</v>
      </c>
      <c r="H20632" s="4" t="str">
        <f>HYPERLINK("https://portal.gdc.cancer.gov/cases/5b7b3e7c-3230-4675-8fdf-3e5119b02ce1","TCGA-XU-AAXX-01A")</f>
        <v>TCGA-XU-AAXX-01A</v>
      </c>
      <c r="I20632" t="s">
        <v>593</v>
      </c>
      <c r="J20632" t="s">
        <v>18</v>
      </c>
      <c r="K20632" t="s">
        <v>33</v>
      </c>
      <c r="L20632" t="s">
        <v>594</v>
      </c>
      <c r="N20632" t="s">
        <v>29</v>
      </c>
    </row>
    <row r="20633" spans="1:14">
      <c r="A20633" s="4" t="str">
        <f t="shared" si="1395"/>
        <v>EXP00449</v>
      </c>
      <c r="B20633" s="3" t="s">
        <v>66</v>
      </c>
      <c r="C20633" s="4" t="str">
        <f t="shared" si="1396"/>
        <v>TCGA-THYM</v>
      </c>
      <c r="D20633" s="1" t="s">
        <v>493</v>
      </c>
      <c r="E20633" t="s">
        <v>592</v>
      </c>
      <c r="F20633" s="1">
        <v>2</v>
      </c>
      <c r="G20633" s="1" t="s">
        <v>32</v>
      </c>
      <c r="H20633" s="4" t="str">
        <f>HYPERLINK("https://portal.gdc.cancer.gov/cases/7933b320-ae8c-4d3d-9468-8abb135e93d5","TCGA-XU-AAXY-01A")</f>
        <v>TCGA-XU-AAXY-01A</v>
      </c>
      <c r="I20633" t="s">
        <v>593</v>
      </c>
      <c r="J20633" t="s">
        <v>18</v>
      </c>
      <c r="K20633" t="s">
        <v>33</v>
      </c>
      <c r="L20633" t="s">
        <v>594</v>
      </c>
      <c r="N20633" t="s">
        <v>29</v>
      </c>
    </row>
    <row r="20634" spans="1:14">
      <c r="A20634" s="4" t="str">
        <f t="shared" si="1395"/>
        <v>EXP00449</v>
      </c>
      <c r="B20634" s="3" t="s">
        <v>66</v>
      </c>
      <c r="C20634" s="4" t="str">
        <f t="shared" si="1396"/>
        <v>TCGA-THYM</v>
      </c>
      <c r="D20634" s="1" t="s">
        <v>493</v>
      </c>
      <c r="E20634" t="s">
        <v>592</v>
      </c>
      <c r="F20634" s="1">
        <v>2</v>
      </c>
      <c r="G20634" s="1" t="s">
        <v>32</v>
      </c>
      <c r="H20634" s="4" t="str">
        <f>HYPERLINK("https://portal.gdc.cancer.gov/cases/57000a6a-b132-4c02-807f-5505ad3e1fdd","TCGA-XU-AAXZ-01A")</f>
        <v>TCGA-XU-AAXZ-01A</v>
      </c>
      <c r="I20634" t="s">
        <v>593</v>
      </c>
      <c r="J20634" t="s">
        <v>18</v>
      </c>
      <c r="K20634" t="s">
        <v>33</v>
      </c>
      <c r="L20634" t="s">
        <v>594</v>
      </c>
      <c r="N20634" t="s">
        <v>29</v>
      </c>
    </row>
    <row r="20635" spans="1:14">
      <c r="A20635" s="4" t="str">
        <f t="shared" si="1395"/>
        <v>EXP00449</v>
      </c>
      <c r="B20635" s="3" t="s">
        <v>66</v>
      </c>
      <c r="C20635" s="4" t="str">
        <f t="shared" si="1396"/>
        <v>TCGA-THYM</v>
      </c>
      <c r="D20635" s="1" t="s">
        <v>493</v>
      </c>
      <c r="E20635" t="s">
        <v>592</v>
      </c>
      <c r="F20635" s="1">
        <v>2</v>
      </c>
      <c r="G20635" s="1" t="s">
        <v>32</v>
      </c>
      <c r="H20635" s="4" t="str">
        <f>HYPERLINK("https://portal.gdc.cancer.gov/cases/748fc94f-d496-46b1-a5f4-42aa53de0f31","TCGA-XU-AAY0-01A")</f>
        <v>TCGA-XU-AAY0-01A</v>
      </c>
      <c r="I20635" t="s">
        <v>593</v>
      </c>
      <c r="J20635" t="s">
        <v>18</v>
      </c>
      <c r="K20635" t="s">
        <v>33</v>
      </c>
      <c r="L20635" t="s">
        <v>594</v>
      </c>
      <c r="N20635" t="s">
        <v>29</v>
      </c>
    </row>
    <row r="20636" spans="1:14">
      <c r="A20636" s="4" t="str">
        <f t="shared" si="1395"/>
        <v>EXP00449</v>
      </c>
      <c r="B20636" s="3" t="s">
        <v>66</v>
      </c>
      <c r="C20636" s="4" t="str">
        <f t="shared" si="1396"/>
        <v>TCGA-THYM</v>
      </c>
      <c r="D20636" s="1" t="s">
        <v>493</v>
      </c>
      <c r="E20636" t="s">
        <v>592</v>
      </c>
      <c r="F20636" s="1">
        <v>2</v>
      </c>
      <c r="G20636" s="1" t="s">
        <v>32</v>
      </c>
      <c r="H20636" s="4" t="str">
        <f>HYPERLINK("https://portal.gdc.cancer.gov/cases/09f8acfc-4d80-4005-9f40-7485309997f5","TCGA-XU-AAY1-01A")</f>
        <v>TCGA-XU-AAY1-01A</v>
      </c>
      <c r="I20636" t="s">
        <v>593</v>
      </c>
      <c r="J20636" t="s">
        <v>18</v>
      </c>
      <c r="K20636" t="s">
        <v>33</v>
      </c>
      <c r="L20636" t="s">
        <v>594</v>
      </c>
      <c r="N20636" t="s">
        <v>29</v>
      </c>
    </row>
    <row r="20637" spans="1:14">
      <c r="A20637" s="4" t="str">
        <f t="shared" si="1395"/>
        <v>EXP00449</v>
      </c>
      <c r="B20637" s="3" t="s">
        <v>66</v>
      </c>
      <c r="C20637" s="4" t="str">
        <f t="shared" si="1396"/>
        <v>TCGA-THYM</v>
      </c>
      <c r="D20637" s="1" t="s">
        <v>493</v>
      </c>
      <c r="E20637" t="s">
        <v>592</v>
      </c>
      <c r="F20637" s="1">
        <v>2</v>
      </c>
      <c r="G20637" s="1" t="s">
        <v>32</v>
      </c>
      <c r="H20637" s="4" t="str">
        <f>HYPERLINK("https://portal.gdc.cancer.gov/cases/d3bf7bb0-086b-4aab-8048-abc0d91948ad","TCGA-YT-A95D-01A")</f>
        <v>TCGA-YT-A95D-01A</v>
      </c>
      <c r="I20637" t="s">
        <v>593</v>
      </c>
      <c r="J20637" t="s">
        <v>18</v>
      </c>
      <c r="K20637" t="s">
        <v>33</v>
      </c>
      <c r="L20637" t="s">
        <v>594</v>
      </c>
      <c r="N20637" t="s">
        <v>29</v>
      </c>
    </row>
    <row r="20638" spans="1:14">
      <c r="A20638" s="4" t="str">
        <f t="shared" si="1395"/>
        <v>EXP00449</v>
      </c>
      <c r="B20638" s="3" t="s">
        <v>66</v>
      </c>
      <c r="C20638" s="4" t="str">
        <f t="shared" si="1396"/>
        <v>TCGA-THYM</v>
      </c>
      <c r="D20638" s="1" t="s">
        <v>493</v>
      </c>
      <c r="E20638" t="s">
        <v>592</v>
      </c>
      <c r="F20638" s="1">
        <v>2</v>
      </c>
      <c r="G20638" s="1" t="s">
        <v>32</v>
      </c>
      <c r="H20638" s="4" t="str">
        <f>HYPERLINK("https://portal.gdc.cancer.gov/cases/d3189c8e-ffe0-41ff-9c7b-64da4c83b991","TCGA-YT-A95E-01A")</f>
        <v>TCGA-YT-A95E-01A</v>
      </c>
      <c r="I20638" t="s">
        <v>593</v>
      </c>
      <c r="J20638" t="s">
        <v>18</v>
      </c>
      <c r="K20638" t="s">
        <v>33</v>
      </c>
      <c r="L20638" t="s">
        <v>594</v>
      </c>
      <c r="N20638" t="s">
        <v>29</v>
      </c>
    </row>
    <row r="20639" spans="1:14">
      <c r="A20639" s="4" t="str">
        <f t="shared" si="1395"/>
        <v>EXP00449</v>
      </c>
      <c r="B20639" s="3" t="s">
        <v>66</v>
      </c>
      <c r="C20639" s="4" t="str">
        <f t="shared" si="1396"/>
        <v>TCGA-THYM</v>
      </c>
      <c r="D20639" s="1" t="s">
        <v>493</v>
      </c>
      <c r="E20639" t="s">
        <v>592</v>
      </c>
      <c r="F20639" s="1">
        <v>2</v>
      </c>
      <c r="G20639" s="1" t="s">
        <v>32</v>
      </c>
      <c r="H20639" s="4" t="str">
        <f>HYPERLINK("https://portal.gdc.cancer.gov/cases/756dd9bf-bf40-4ad2-a78e-9430c2c8ea6e","TCGA-YT-A95F-01A")</f>
        <v>TCGA-YT-A95F-01A</v>
      </c>
      <c r="I20639" t="s">
        <v>593</v>
      </c>
      <c r="J20639" t="s">
        <v>18</v>
      </c>
      <c r="K20639" t="s">
        <v>33</v>
      </c>
      <c r="L20639" t="s">
        <v>594</v>
      </c>
      <c r="N20639" t="s">
        <v>29</v>
      </c>
    </row>
    <row r="20640" spans="1:14">
      <c r="A20640" s="4" t="str">
        <f t="shared" si="1395"/>
        <v>EXP00449</v>
      </c>
      <c r="B20640" s="3" t="s">
        <v>66</v>
      </c>
      <c r="C20640" s="4" t="str">
        <f t="shared" si="1396"/>
        <v>TCGA-THYM</v>
      </c>
      <c r="D20640" s="1" t="s">
        <v>493</v>
      </c>
      <c r="E20640" t="s">
        <v>592</v>
      </c>
      <c r="F20640" s="1">
        <v>2</v>
      </c>
      <c r="G20640" s="1" t="s">
        <v>32</v>
      </c>
      <c r="H20640" s="4" t="str">
        <f>HYPERLINK("https://portal.gdc.cancer.gov/cases/7459bec0-1b54-4fd7-90db-8375168e6b1a","TCGA-YT-A95G-01A")</f>
        <v>TCGA-YT-A95G-01A</v>
      </c>
      <c r="I20640" t="s">
        <v>593</v>
      </c>
      <c r="J20640" t="s">
        <v>18</v>
      </c>
      <c r="K20640" t="s">
        <v>33</v>
      </c>
      <c r="L20640" t="s">
        <v>594</v>
      </c>
      <c r="N20640" t="s">
        <v>29</v>
      </c>
    </row>
    <row r="20641" spans="1:14">
      <c r="A20641" s="4" t="str">
        <f t="shared" si="1395"/>
        <v>EXP00449</v>
      </c>
      <c r="B20641" s="3" t="s">
        <v>66</v>
      </c>
      <c r="C20641" s="4" t="str">
        <f t="shared" si="1396"/>
        <v>TCGA-THYM</v>
      </c>
      <c r="D20641" s="1" t="s">
        <v>493</v>
      </c>
      <c r="E20641" t="s">
        <v>592</v>
      </c>
      <c r="F20641" s="1">
        <v>2</v>
      </c>
      <c r="G20641" s="1" t="s">
        <v>32</v>
      </c>
      <c r="H20641" s="4" t="str">
        <f>HYPERLINK("https://portal.gdc.cancer.gov/cases/4c0cf497-abea-4ea5-a207-e26f85f3bd18","TCGA-YT-A95H-01A")</f>
        <v>TCGA-YT-A95H-01A</v>
      </c>
      <c r="I20641" t="s">
        <v>593</v>
      </c>
      <c r="J20641" t="s">
        <v>18</v>
      </c>
      <c r="K20641" t="s">
        <v>33</v>
      </c>
      <c r="L20641" t="s">
        <v>594</v>
      </c>
      <c r="N20641" t="s">
        <v>29</v>
      </c>
    </row>
    <row r="20642" spans="1:14">
      <c r="A20642" s="4" t="str">
        <f t="shared" si="1395"/>
        <v>EXP00449</v>
      </c>
      <c r="B20642" s="3" t="s">
        <v>66</v>
      </c>
      <c r="C20642" s="4" t="str">
        <f t="shared" si="1396"/>
        <v>TCGA-THYM</v>
      </c>
      <c r="D20642" s="1" t="s">
        <v>493</v>
      </c>
      <c r="E20642" t="s">
        <v>592</v>
      </c>
      <c r="F20642" s="1">
        <v>2</v>
      </c>
      <c r="G20642" s="1" t="s">
        <v>32</v>
      </c>
      <c r="H20642" s="4" t="str">
        <f>HYPERLINK("https://portal.gdc.cancer.gov/cases/e0df61c1-c93a-419a-b99c-1e97e0cabed1","TCGA-ZB-A961-01A")</f>
        <v>TCGA-ZB-A961-01A</v>
      </c>
      <c r="I20642" t="s">
        <v>593</v>
      </c>
      <c r="J20642" t="s">
        <v>18</v>
      </c>
      <c r="K20642" t="s">
        <v>33</v>
      </c>
      <c r="L20642" t="s">
        <v>594</v>
      </c>
      <c r="N20642" t="s">
        <v>29</v>
      </c>
    </row>
    <row r="20643" spans="1:14">
      <c r="A20643" s="4" t="str">
        <f t="shared" si="1395"/>
        <v>EXP00449</v>
      </c>
      <c r="B20643" s="3" t="s">
        <v>66</v>
      </c>
      <c r="C20643" s="4" t="str">
        <f t="shared" si="1396"/>
        <v>TCGA-THYM</v>
      </c>
      <c r="D20643" s="1" t="s">
        <v>493</v>
      </c>
      <c r="E20643" t="s">
        <v>592</v>
      </c>
      <c r="F20643" s="1">
        <v>2</v>
      </c>
      <c r="G20643" s="1" t="s">
        <v>32</v>
      </c>
      <c r="H20643" s="4" t="str">
        <f>HYPERLINK("https://portal.gdc.cancer.gov/cases/d6b1516a-8271-4071-8c56-d4538de63892","TCGA-ZB-A963-01A")</f>
        <v>TCGA-ZB-A963-01A</v>
      </c>
      <c r="I20643" t="s">
        <v>593</v>
      </c>
      <c r="J20643" t="s">
        <v>18</v>
      </c>
      <c r="K20643" t="s">
        <v>33</v>
      </c>
      <c r="L20643" t="s">
        <v>594</v>
      </c>
      <c r="N20643" t="s">
        <v>29</v>
      </c>
    </row>
    <row r="20644" spans="1:14">
      <c r="A20644" s="4" t="str">
        <f t="shared" si="1395"/>
        <v>EXP00449</v>
      </c>
      <c r="B20644" s="3" t="s">
        <v>66</v>
      </c>
      <c r="C20644" s="4" t="str">
        <f t="shared" si="1396"/>
        <v>TCGA-THYM</v>
      </c>
      <c r="D20644" s="1" t="s">
        <v>493</v>
      </c>
      <c r="E20644" t="s">
        <v>592</v>
      </c>
      <c r="F20644" s="1">
        <v>2</v>
      </c>
      <c r="G20644" s="1" t="s">
        <v>32</v>
      </c>
      <c r="H20644" s="4" t="str">
        <f>HYPERLINK("https://portal.gdc.cancer.gov/cases/38668ba7-213e-4f2c-85d1-c0e2a8ed0ea1","TCGA-ZB-A964-01A")</f>
        <v>TCGA-ZB-A964-01A</v>
      </c>
      <c r="I20644" t="s">
        <v>593</v>
      </c>
      <c r="J20644" t="s">
        <v>18</v>
      </c>
      <c r="K20644" t="s">
        <v>33</v>
      </c>
      <c r="L20644" t="s">
        <v>594</v>
      </c>
      <c r="N20644" t="s">
        <v>29</v>
      </c>
    </row>
    <row r="20645" spans="1:14">
      <c r="A20645" s="4" t="str">
        <f t="shared" si="1395"/>
        <v>EXP00449</v>
      </c>
      <c r="B20645" s="3" t="s">
        <v>66</v>
      </c>
      <c r="C20645" s="4" t="str">
        <f t="shared" si="1396"/>
        <v>TCGA-THYM</v>
      </c>
      <c r="D20645" s="1" t="s">
        <v>493</v>
      </c>
      <c r="E20645" t="s">
        <v>592</v>
      </c>
      <c r="F20645" s="1">
        <v>2</v>
      </c>
      <c r="G20645" s="1" t="s">
        <v>32</v>
      </c>
      <c r="H20645" s="4" t="str">
        <f>HYPERLINK("https://portal.gdc.cancer.gov/cases/51feca45-114e-4817-99d6-1c9842cd679a","TCGA-ZB-A965-01A")</f>
        <v>TCGA-ZB-A965-01A</v>
      </c>
      <c r="I20645" t="s">
        <v>593</v>
      </c>
      <c r="J20645" t="s">
        <v>18</v>
      </c>
      <c r="K20645" t="s">
        <v>33</v>
      </c>
      <c r="L20645" t="s">
        <v>594</v>
      </c>
      <c r="N20645" t="s">
        <v>29</v>
      </c>
    </row>
    <row r="20646" spans="1:14">
      <c r="A20646" s="4" t="str">
        <f t="shared" si="1395"/>
        <v>EXP00449</v>
      </c>
      <c r="B20646" s="3" t="s">
        <v>66</v>
      </c>
      <c r="C20646" s="4" t="str">
        <f t="shared" si="1396"/>
        <v>TCGA-THYM</v>
      </c>
      <c r="D20646" s="1" t="s">
        <v>493</v>
      </c>
      <c r="E20646" t="s">
        <v>592</v>
      </c>
      <c r="F20646" s="1">
        <v>2</v>
      </c>
      <c r="G20646" s="1" t="s">
        <v>32</v>
      </c>
      <c r="H20646" s="4" t="str">
        <f>HYPERLINK("https://portal.gdc.cancer.gov/cases/ce6eee0d-6f27-4516-95a4-b1b604de9776","TCGA-ZB-A969-01A")</f>
        <v>TCGA-ZB-A969-01A</v>
      </c>
      <c r="I20646" t="s">
        <v>593</v>
      </c>
      <c r="J20646" t="s">
        <v>18</v>
      </c>
      <c r="K20646" t="s">
        <v>33</v>
      </c>
      <c r="L20646" t="s">
        <v>594</v>
      </c>
      <c r="N20646" t="s">
        <v>29</v>
      </c>
    </row>
    <row r="20647" spans="1:14">
      <c r="A20647" s="4" t="str">
        <f t="shared" ref="A20647:A20669" si="1397">HYPERLINK("http://hcmdb.i-sanger.com/experiment/details/experiment_id/EXP00449","EXP00449")</f>
        <v>EXP00449</v>
      </c>
      <c r="B20647" s="3" t="s">
        <v>66</v>
      </c>
      <c r="C20647" s="4" t="str">
        <f t="shared" si="1396"/>
        <v>TCGA-THYM</v>
      </c>
      <c r="D20647" s="1" t="s">
        <v>493</v>
      </c>
      <c r="E20647" t="s">
        <v>592</v>
      </c>
      <c r="F20647" s="1">
        <v>2</v>
      </c>
      <c r="G20647" s="1" t="s">
        <v>32</v>
      </c>
      <c r="H20647" s="4" t="str">
        <f>HYPERLINK("https://portal.gdc.cancer.gov/cases/faa4ad8d-97c1-41b3-bb5f-534e8f6d6aef","TCGA-ZB-A96A-01A")</f>
        <v>TCGA-ZB-A96A-01A</v>
      </c>
      <c r="I20647" t="s">
        <v>593</v>
      </c>
      <c r="J20647" t="s">
        <v>18</v>
      </c>
      <c r="K20647" t="s">
        <v>33</v>
      </c>
      <c r="L20647" t="s">
        <v>594</v>
      </c>
      <c r="N20647" t="s">
        <v>29</v>
      </c>
    </row>
    <row r="20648" spans="1:14">
      <c r="A20648" s="4" t="str">
        <f t="shared" si="1397"/>
        <v>EXP00449</v>
      </c>
      <c r="B20648" s="3" t="s">
        <v>66</v>
      </c>
      <c r="C20648" s="4" t="str">
        <f t="shared" si="1396"/>
        <v>TCGA-THYM</v>
      </c>
      <c r="D20648" s="1" t="s">
        <v>493</v>
      </c>
      <c r="E20648" t="s">
        <v>592</v>
      </c>
      <c r="F20648" s="1">
        <v>2</v>
      </c>
      <c r="G20648" s="1" t="s">
        <v>32</v>
      </c>
      <c r="H20648" s="4" t="str">
        <f>HYPERLINK("https://portal.gdc.cancer.gov/cases/5324c178-1b4b-42f8-ac9e-17c5f349a289","TCGA-ZB-A96B-01A")</f>
        <v>TCGA-ZB-A96B-01A</v>
      </c>
      <c r="I20648" t="s">
        <v>593</v>
      </c>
      <c r="J20648" t="s">
        <v>18</v>
      </c>
      <c r="K20648" t="s">
        <v>33</v>
      </c>
      <c r="L20648" t="s">
        <v>594</v>
      </c>
      <c r="N20648" t="s">
        <v>29</v>
      </c>
    </row>
    <row r="20649" spans="1:14">
      <c r="A20649" s="4" t="str">
        <f t="shared" si="1397"/>
        <v>EXP00449</v>
      </c>
      <c r="B20649" s="3" t="s">
        <v>66</v>
      </c>
      <c r="C20649" s="4" t="str">
        <f t="shared" si="1396"/>
        <v>TCGA-THYM</v>
      </c>
      <c r="D20649" s="1" t="s">
        <v>493</v>
      </c>
      <c r="E20649" t="s">
        <v>592</v>
      </c>
      <c r="F20649" s="1">
        <v>2</v>
      </c>
      <c r="G20649" s="1" t="s">
        <v>32</v>
      </c>
      <c r="H20649" s="4" t="str">
        <f>HYPERLINK("https://portal.gdc.cancer.gov/cases/9b116a89-ba1a-4b7f-bcc6-2dcd950269ec","TCGA-ZB-A96C-01A")</f>
        <v>TCGA-ZB-A96C-01A</v>
      </c>
      <c r="I20649" t="s">
        <v>593</v>
      </c>
      <c r="J20649" t="s">
        <v>18</v>
      </c>
      <c r="K20649" t="s">
        <v>33</v>
      </c>
      <c r="L20649" t="s">
        <v>594</v>
      </c>
      <c r="N20649" t="s">
        <v>29</v>
      </c>
    </row>
    <row r="20650" spans="1:14">
      <c r="A20650" s="4" t="str">
        <f t="shared" si="1397"/>
        <v>EXP00449</v>
      </c>
      <c r="B20650" s="3" t="s">
        <v>66</v>
      </c>
      <c r="C20650" s="4" t="str">
        <f t="shared" si="1396"/>
        <v>TCGA-THYM</v>
      </c>
      <c r="D20650" s="1" t="s">
        <v>493</v>
      </c>
      <c r="E20650" t="s">
        <v>592</v>
      </c>
      <c r="F20650" s="1">
        <v>2</v>
      </c>
      <c r="G20650" s="1" t="s">
        <v>32</v>
      </c>
      <c r="H20650" s="4" t="str">
        <f>HYPERLINK("https://portal.gdc.cancer.gov/cases/afc984dc-588c-4277-88aa-5d82dd8bd40c","TCGA-ZB-A96D-01A")</f>
        <v>TCGA-ZB-A96D-01A</v>
      </c>
      <c r="I20650" t="s">
        <v>593</v>
      </c>
      <c r="J20650" t="s">
        <v>18</v>
      </c>
      <c r="K20650" t="s">
        <v>33</v>
      </c>
      <c r="L20650" t="s">
        <v>594</v>
      </c>
      <c r="N20650" t="s">
        <v>29</v>
      </c>
    </row>
    <row r="20651" spans="1:14">
      <c r="A20651" s="4" t="str">
        <f t="shared" si="1397"/>
        <v>EXP00449</v>
      </c>
      <c r="B20651" s="3" t="s">
        <v>66</v>
      </c>
      <c r="C20651" s="4" t="str">
        <f t="shared" si="1396"/>
        <v>TCGA-THYM</v>
      </c>
      <c r="D20651" s="1" t="s">
        <v>493</v>
      </c>
      <c r="E20651" t="s">
        <v>592</v>
      </c>
      <c r="F20651" s="1">
        <v>2</v>
      </c>
      <c r="G20651" s="1" t="s">
        <v>32</v>
      </c>
      <c r="H20651" s="4" t="str">
        <f>HYPERLINK("https://portal.gdc.cancer.gov/cases/628ecfe9-9e29-4b51-a11e-96d4e9181d86","TCGA-ZB-A96E-01A")</f>
        <v>TCGA-ZB-A96E-01A</v>
      </c>
      <c r="I20651" t="s">
        <v>593</v>
      </c>
      <c r="J20651" t="s">
        <v>18</v>
      </c>
      <c r="K20651" t="s">
        <v>33</v>
      </c>
      <c r="L20651" t="s">
        <v>594</v>
      </c>
      <c r="N20651" t="s">
        <v>29</v>
      </c>
    </row>
    <row r="20652" spans="1:14">
      <c r="A20652" s="4" t="str">
        <f t="shared" si="1397"/>
        <v>EXP00449</v>
      </c>
      <c r="B20652" s="3" t="s">
        <v>66</v>
      </c>
      <c r="C20652" s="4" t="str">
        <f t="shared" si="1396"/>
        <v>TCGA-THYM</v>
      </c>
      <c r="D20652" s="1" t="s">
        <v>493</v>
      </c>
      <c r="E20652" t="s">
        <v>592</v>
      </c>
      <c r="F20652" s="1">
        <v>2</v>
      </c>
      <c r="G20652" s="1" t="s">
        <v>32</v>
      </c>
      <c r="H20652" s="4" t="str">
        <f>HYPERLINK("https://portal.gdc.cancer.gov/cases/173b805f-3088-43f6-a159-95fff3581fd5","TCGA-ZB-A96F-01A")</f>
        <v>TCGA-ZB-A96F-01A</v>
      </c>
      <c r="I20652" t="s">
        <v>593</v>
      </c>
      <c r="J20652" t="s">
        <v>18</v>
      </c>
      <c r="K20652" t="s">
        <v>33</v>
      </c>
      <c r="L20652" t="s">
        <v>594</v>
      </c>
      <c r="N20652" t="s">
        <v>29</v>
      </c>
    </row>
    <row r="20653" spans="1:14">
      <c r="A20653" s="4" t="str">
        <f t="shared" si="1397"/>
        <v>EXP00449</v>
      </c>
      <c r="B20653" s="3" t="s">
        <v>66</v>
      </c>
      <c r="C20653" s="4" t="str">
        <f t="shared" si="1396"/>
        <v>TCGA-THYM</v>
      </c>
      <c r="D20653" s="1" t="s">
        <v>493</v>
      </c>
      <c r="E20653" t="s">
        <v>592</v>
      </c>
      <c r="F20653" s="1">
        <v>2</v>
      </c>
      <c r="G20653" s="1" t="s">
        <v>32</v>
      </c>
      <c r="H20653" s="4" t="str">
        <f>HYPERLINK("https://portal.gdc.cancer.gov/cases/91f67f4e-b8b1-4455-83a6-4d96d04e8ca9","TCGA-ZB-A96G-01A")</f>
        <v>TCGA-ZB-A96G-01A</v>
      </c>
      <c r="I20653" t="s">
        <v>593</v>
      </c>
      <c r="J20653" t="s">
        <v>18</v>
      </c>
      <c r="K20653" t="s">
        <v>33</v>
      </c>
      <c r="L20653" t="s">
        <v>594</v>
      </c>
      <c r="N20653" t="s">
        <v>29</v>
      </c>
    </row>
    <row r="20654" spans="1:14">
      <c r="A20654" s="4" t="str">
        <f t="shared" si="1397"/>
        <v>EXP00449</v>
      </c>
      <c r="B20654" s="3" t="s">
        <v>66</v>
      </c>
      <c r="C20654" s="4" t="str">
        <f t="shared" si="1396"/>
        <v>TCGA-THYM</v>
      </c>
      <c r="D20654" s="1" t="s">
        <v>493</v>
      </c>
      <c r="E20654" t="s">
        <v>592</v>
      </c>
      <c r="F20654" s="1">
        <v>2</v>
      </c>
      <c r="G20654" s="1" t="s">
        <v>32</v>
      </c>
      <c r="H20654" s="4" t="str">
        <f>HYPERLINK("https://portal.gdc.cancer.gov/cases/bab3ce0b-d318-4791-aa17-d815ea23b62d","TCGA-ZB-A96H-01A")</f>
        <v>TCGA-ZB-A96H-01A</v>
      </c>
      <c r="I20654" t="s">
        <v>593</v>
      </c>
      <c r="J20654" t="s">
        <v>18</v>
      </c>
      <c r="K20654" t="s">
        <v>33</v>
      </c>
      <c r="L20654" t="s">
        <v>594</v>
      </c>
      <c r="N20654" t="s">
        <v>29</v>
      </c>
    </row>
    <row r="20655" spans="1:14">
      <c r="A20655" s="4" t="str">
        <f t="shared" si="1397"/>
        <v>EXP00449</v>
      </c>
      <c r="B20655" s="3" t="s">
        <v>66</v>
      </c>
      <c r="C20655" s="4" t="str">
        <f t="shared" si="1396"/>
        <v>TCGA-THYM</v>
      </c>
      <c r="D20655" s="1" t="s">
        <v>493</v>
      </c>
      <c r="E20655" t="s">
        <v>592</v>
      </c>
      <c r="F20655" s="1">
        <v>2</v>
      </c>
      <c r="G20655" s="1" t="s">
        <v>32</v>
      </c>
      <c r="H20655" s="4" t="str">
        <f>HYPERLINK("https://portal.gdc.cancer.gov/cases/8889f7a6-3f3d-417b-bf3e-9a2155c4786c","TCGA-ZB-A96I-01A")</f>
        <v>TCGA-ZB-A96I-01A</v>
      </c>
      <c r="I20655" t="s">
        <v>593</v>
      </c>
      <c r="J20655" t="s">
        <v>18</v>
      </c>
      <c r="K20655" t="s">
        <v>33</v>
      </c>
      <c r="L20655" t="s">
        <v>594</v>
      </c>
      <c r="N20655" t="s">
        <v>29</v>
      </c>
    </row>
    <row r="20656" spans="1:14">
      <c r="A20656" s="4" t="str">
        <f t="shared" si="1397"/>
        <v>EXP00449</v>
      </c>
      <c r="B20656" s="3" t="s">
        <v>66</v>
      </c>
      <c r="C20656" s="4" t="str">
        <f t="shared" si="1396"/>
        <v>TCGA-THYM</v>
      </c>
      <c r="D20656" s="1" t="s">
        <v>493</v>
      </c>
      <c r="E20656" t="s">
        <v>592</v>
      </c>
      <c r="F20656" s="1">
        <v>2</v>
      </c>
      <c r="G20656" s="1" t="s">
        <v>32</v>
      </c>
      <c r="H20656" s="4" t="str">
        <f>HYPERLINK("https://portal.gdc.cancer.gov/cases/9627ff18-f5ee-4b34-a823-35ebe3c00a3f","TCGA-ZB-A96K-01A")</f>
        <v>TCGA-ZB-A96K-01A</v>
      </c>
      <c r="I20656" t="s">
        <v>593</v>
      </c>
      <c r="J20656" t="s">
        <v>18</v>
      </c>
      <c r="K20656" t="s">
        <v>33</v>
      </c>
      <c r="L20656" t="s">
        <v>594</v>
      </c>
      <c r="N20656" t="s">
        <v>29</v>
      </c>
    </row>
    <row r="20657" spans="1:14">
      <c r="A20657" s="4" t="str">
        <f t="shared" si="1397"/>
        <v>EXP00449</v>
      </c>
      <c r="B20657" s="3" t="s">
        <v>66</v>
      </c>
      <c r="C20657" s="4" t="str">
        <f t="shared" si="1396"/>
        <v>TCGA-THYM</v>
      </c>
      <c r="D20657" s="1" t="s">
        <v>493</v>
      </c>
      <c r="E20657" t="s">
        <v>592</v>
      </c>
      <c r="F20657" s="1">
        <v>2</v>
      </c>
      <c r="G20657" s="1" t="s">
        <v>32</v>
      </c>
      <c r="H20657" s="4" t="str">
        <f>HYPERLINK("https://portal.gdc.cancer.gov/cases/cffd89d3-0d36-4b30-a676-e9d66e2c764b","TCGA-ZB-A96L-01A")</f>
        <v>TCGA-ZB-A96L-01A</v>
      </c>
      <c r="I20657" t="s">
        <v>593</v>
      </c>
      <c r="J20657" t="s">
        <v>18</v>
      </c>
      <c r="K20657" t="s">
        <v>33</v>
      </c>
      <c r="L20657" t="s">
        <v>594</v>
      </c>
      <c r="N20657" t="s">
        <v>29</v>
      </c>
    </row>
    <row r="20658" spans="1:14">
      <c r="A20658" s="4" t="str">
        <f t="shared" si="1397"/>
        <v>EXP00449</v>
      </c>
      <c r="B20658" s="3" t="s">
        <v>66</v>
      </c>
      <c r="C20658" s="4" t="str">
        <f t="shared" si="1396"/>
        <v>TCGA-THYM</v>
      </c>
      <c r="D20658" s="1" t="s">
        <v>493</v>
      </c>
      <c r="E20658" t="s">
        <v>592</v>
      </c>
      <c r="F20658" s="1">
        <v>2</v>
      </c>
      <c r="G20658" s="1" t="s">
        <v>32</v>
      </c>
      <c r="H20658" s="4" t="str">
        <f>HYPERLINK("https://portal.gdc.cancer.gov/cases/3eab80e6-21bc-45dd-a7b5-411a5dad4e9a","TCGA-ZB-A96M-01A")</f>
        <v>TCGA-ZB-A96M-01A</v>
      </c>
      <c r="I20658" t="s">
        <v>593</v>
      </c>
      <c r="J20658" t="s">
        <v>18</v>
      </c>
      <c r="K20658" t="s">
        <v>33</v>
      </c>
      <c r="L20658" t="s">
        <v>594</v>
      </c>
      <c r="N20658" t="s">
        <v>29</v>
      </c>
    </row>
    <row r="20659" spans="1:14">
      <c r="A20659" s="4" t="str">
        <f t="shared" si="1397"/>
        <v>EXP00449</v>
      </c>
      <c r="B20659" s="3" t="s">
        <v>66</v>
      </c>
      <c r="C20659" s="4" t="str">
        <f t="shared" si="1396"/>
        <v>TCGA-THYM</v>
      </c>
      <c r="D20659" s="1" t="s">
        <v>493</v>
      </c>
      <c r="E20659" t="s">
        <v>592</v>
      </c>
      <c r="F20659" s="1">
        <v>2</v>
      </c>
      <c r="G20659" s="1" t="s">
        <v>32</v>
      </c>
      <c r="H20659" s="4" t="str">
        <f>HYPERLINK("https://portal.gdc.cancer.gov/cases/acfba23a-06eb-4ff1-be60-0452a13a4978","TCGA-ZB-A96O-01A")</f>
        <v>TCGA-ZB-A96O-01A</v>
      </c>
      <c r="I20659" t="s">
        <v>593</v>
      </c>
      <c r="J20659" t="s">
        <v>18</v>
      </c>
      <c r="K20659" t="s">
        <v>33</v>
      </c>
      <c r="L20659" t="s">
        <v>594</v>
      </c>
      <c r="N20659" t="s">
        <v>29</v>
      </c>
    </row>
    <row r="20660" spans="1:14">
      <c r="A20660" s="4" t="str">
        <f t="shared" si="1397"/>
        <v>EXP00449</v>
      </c>
      <c r="B20660" s="3" t="s">
        <v>66</v>
      </c>
      <c r="C20660" s="4" t="str">
        <f t="shared" si="1396"/>
        <v>TCGA-THYM</v>
      </c>
      <c r="D20660" s="1" t="s">
        <v>493</v>
      </c>
      <c r="E20660" t="s">
        <v>592</v>
      </c>
      <c r="F20660" s="1">
        <v>2</v>
      </c>
      <c r="G20660" s="1" t="s">
        <v>32</v>
      </c>
      <c r="H20660" s="4" t="str">
        <f>HYPERLINK("https://portal.gdc.cancer.gov/cases/b2cab6ab-3b4a-408c-a331-9353dbc4fc0d","TCGA-ZB-A96P-01A")</f>
        <v>TCGA-ZB-A96P-01A</v>
      </c>
      <c r="I20660" t="s">
        <v>593</v>
      </c>
      <c r="J20660" t="s">
        <v>18</v>
      </c>
      <c r="K20660" t="s">
        <v>33</v>
      </c>
      <c r="L20660" t="s">
        <v>594</v>
      </c>
      <c r="N20660" t="s">
        <v>29</v>
      </c>
    </row>
    <row r="20661" spans="1:14">
      <c r="A20661" s="4" t="str">
        <f t="shared" si="1397"/>
        <v>EXP00449</v>
      </c>
      <c r="B20661" s="3" t="s">
        <v>66</v>
      </c>
      <c r="C20661" s="4" t="str">
        <f t="shared" si="1396"/>
        <v>TCGA-THYM</v>
      </c>
      <c r="D20661" s="1" t="s">
        <v>493</v>
      </c>
      <c r="E20661" t="s">
        <v>592</v>
      </c>
      <c r="F20661" s="1">
        <v>2</v>
      </c>
      <c r="G20661" s="1" t="s">
        <v>32</v>
      </c>
      <c r="H20661" s="4" t="str">
        <f>HYPERLINK("https://portal.gdc.cancer.gov/cases/b39f3099-62b0-41c1-85a2-61989cee0b60","TCGA-ZB-A96Q-01A")</f>
        <v>TCGA-ZB-A96Q-01A</v>
      </c>
      <c r="I20661" t="s">
        <v>593</v>
      </c>
      <c r="J20661" t="s">
        <v>18</v>
      </c>
      <c r="K20661" t="s">
        <v>33</v>
      </c>
      <c r="L20661" t="s">
        <v>594</v>
      </c>
      <c r="N20661" t="s">
        <v>29</v>
      </c>
    </row>
    <row r="20662" spans="1:14">
      <c r="A20662" s="4" t="str">
        <f t="shared" si="1397"/>
        <v>EXP00449</v>
      </c>
      <c r="B20662" s="3" t="s">
        <v>66</v>
      </c>
      <c r="C20662" s="4" t="str">
        <f t="shared" si="1396"/>
        <v>TCGA-THYM</v>
      </c>
      <c r="D20662" s="1" t="s">
        <v>493</v>
      </c>
      <c r="E20662" t="s">
        <v>592</v>
      </c>
      <c r="F20662" s="1">
        <v>2</v>
      </c>
      <c r="G20662" s="1" t="s">
        <v>32</v>
      </c>
      <c r="H20662" s="4" t="str">
        <f>HYPERLINK("https://portal.gdc.cancer.gov/cases/7aef4dcf-0a4b-4848-beab-377394456bee","TCGA-ZB-A96R-01A")</f>
        <v>TCGA-ZB-A96R-01A</v>
      </c>
      <c r="I20662" t="s">
        <v>593</v>
      </c>
      <c r="J20662" t="s">
        <v>18</v>
      </c>
      <c r="K20662" t="s">
        <v>33</v>
      </c>
      <c r="L20662" t="s">
        <v>594</v>
      </c>
      <c r="N20662" t="s">
        <v>29</v>
      </c>
    </row>
    <row r="20663" spans="1:14">
      <c r="A20663" s="4" t="str">
        <f t="shared" si="1397"/>
        <v>EXP00449</v>
      </c>
      <c r="B20663" s="3" t="s">
        <v>66</v>
      </c>
      <c r="C20663" s="4" t="str">
        <f t="shared" si="1396"/>
        <v>TCGA-THYM</v>
      </c>
      <c r="D20663" s="1" t="s">
        <v>493</v>
      </c>
      <c r="E20663" t="s">
        <v>592</v>
      </c>
      <c r="F20663" s="1">
        <v>2</v>
      </c>
      <c r="G20663" s="1" t="s">
        <v>32</v>
      </c>
      <c r="H20663" s="4" t="str">
        <f>HYPERLINK("https://portal.gdc.cancer.gov/cases/50072717-861c-4b60-b595-d8ea23bb1c67","TCGA-ZB-A96V-01A")</f>
        <v>TCGA-ZB-A96V-01A</v>
      </c>
      <c r="I20663" t="s">
        <v>593</v>
      </c>
      <c r="J20663" t="s">
        <v>18</v>
      </c>
      <c r="K20663" t="s">
        <v>33</v>
      </c>
      <c r="L20663" t="s">
        <v>594</v>
      </c>
      <c r="N20663" t="s">
        <v>29</v>
      </c>
    </row>
    <row r="20664" spans="1:14">
      <c r="A20664" s="4" t="str">
        <f t="shared" si="1397"/>
        <v>EXP00449</v>
      </c>
      <c r="B20664" s="3" t="s">
        <v>66</v>
      </c>
      <c r="C20664" s="4" t="str">
        <f t="shared" si="1396"/>
        <v>TCGA-THYM</v>
      </c>
      <c r="D20664" s="1" t="s">
        <v>493</v>
      </c>
      <c r="E20664" t="s">
        <v>592</v>
      </c>
      <c r="F20664" s="1">
        <v>2</v>
      </c>
      <c r="G20664" s="1" t="s">
        <v>32</v>
      </c>
      <c r="H20664" s="4" t="str">
        <f>HYPERLINK("https://portal.gdc.cancer.gov/cases/bd06627d-1e86-4212-b53b-082686abee7e","TCGA-ZC-AAA7-01A")</f>
        <v>TCGA-ZC-AAA7-01A</v>
      </c>
      <c r="I20664" t="s">
        <v>593</v>
      </c>
      <c r="J20664" t="s">
        <v>18</v>
      </c>
      <c r="K20664" t="s">
        <v>33</v>
      </c>
      <c r="L20664" t="s">
        <v>594</v>
      </c>
      <c r="N20664" t="s">
        <v>29</v>
      </c>
    </row>
    <row r="20665" spans="1:14">
      <c r="A20665" s="4" t="str">
        <f t="shared" si="1397"/>
        <v>EXP00449</v>
      </c>
      <c r="B20665" s="3" t="s">
        <v>66</v>
      </c>
      <c r="C20665" s="4" t="str">
        <f t="shared" si="1396"/>
        <v>TCGA-THYM</v>
      </c>
      <c r="D20665" s="1" t="s">
        <v>493</v>
      </c>
      <c r="E20665" t="s">
        <v>592</v>
      </c>
      <c r="F20665" s="1">
        <v>2</v>
      </c>
      <c r="G20665" s="1" t="s">
        <v>32</v>
      </c>
      <c r="H20665" s="4" t="str">
        <f>HYPERLINK("https://portal.gdc.cancer.gov/cases/67ff20ba-1b56-45ae-9310-19dd74401e67","TCGA-ZC-AAAA-01A")</f>
        <v>TCGA-ZC-AAAA-01A</v>
      </c>
      <c r="I20665" t="s">
        <v>593</v>
      </c>
      <c r="J20665" t="s">
        <v>18</v>
      </c>
      <c r="K20665" t="s">
        <v>33</v>
      </c>
      <c r="L20665" t="s">
        <v>594</v>
      </c>
      <c r="N20665" t="s">
        <v>29</v>
      </c>
    </row>
    <row r="20666" spans="1:14">
      <c r="A20666" s="4" t="str">
        <f t="shared" si="1397"/>
        <v>EXP00449</v>
      </c>
      <c r="B20666" s="3" t="s">
        <v>66</v>
      </c>
      <c r="C20666" s="4" t="str">
        <f t="shared" si="1396"/>
        <v>TCGA-THYM</v>
      </c>
      <c r="D20666" s="1" t="s">
        <v>493</v>
      </c>
      <c r="E20666" t="s">
        <v>592</v>
      </c>
      <c r="F20666" s="1">
        <v>2</v>
      </c>
      <c r="G20666" s="1" t="s">
        <v>32</v>
      </c>
      <c r="H20666" s="4" t="str">
        <f>HYPERLINK("https://portal.gdc.cancer.gov/cases/cd458290-f27b-479c-9b78-0af23e7f63d9","TCGA-ZC-AAAF-01A")</f>
        <v>TCGA-ZC-AAAF-01A</v>
      </c>
      <c r="I20666" t="s">
        <v>593</v>
      </c>
      <c r="J20666" t="s">
        <v>18</v>
      </c>
      <c r="K20666" t="s">
        <v>33</v>
      </c>
      <c r="L20666" t="s">
        <v>594</v>
      </c>
      <c r="N20666" t="s">
        <v>29</v>
      </c>
    </row>
    <row r="20667" spans="1:14">
      <c r="A20667" s="4" t="str">
        <f t="shared" si="1397"/>
        <v>EXP00449</v>
      </c>
      <c r="B20667" s="3" t="s">
        <v>66</v>
      </c>
      <c r="C20667" s="4" t="str">
        <f t="shared" si="1396"/>
        <v>TCGA-THYM</v>
      </c>
      <c r="D20667" s="1" t="s">
        <v>493</v>
      </c>
      <c r="E20667" t="s">
        <v>592</v>
      </c>
      <c r="F20667" s="1">
        <v>2</v>
      </c>
      <c r="G20667" s="1" t="s">
        <v>32</v>
      </c>
      <c r="H20667" s="4" t="str">
        <f>HYPERLINK("https://portal.gdc.cancer.gov/cases/3cc2d49b-a3a6-4f55-a355-68cbe84f4056","TCGA-ZC-AAAH-01A")</f>
        <v>TCGA-ZC-AAAH-01A</v>
      </c>
      <c r="I20667" t="s">
        <v>593</v>
      </c>
      <c r="J20667" t="s">
        <v>18</v>
      </c>
      <c r="K20667" t="s">
        <v>33</v>
      </c>
      <c r="L20667" t="s">
        <v>594</v>
      </c>
      <c r="N20667" t="s">
        <v>29</v>
      </c>
    </row>
    <row r="20668" spans="1:14">
      <c r="A20668" s="4" t="str">
        <f t="shared" si="1397"/>
        <v>EXP00449</v>
      </c>
      <c r="B20668" s="3" t="s">
        <v>66</v>
      </c>
      <c r="C20668" s="4" t="str">
        <f t="shared" si="1396"/>
        <v>TCGA-THYM</v>
      </c>
      <c r="D20668" s="1" t="s">
        <v>493</v>
      </c>
      <c r="E20668" t="s">
        <v>592</v>
      </c>
      <c r="F20668" s="1">
        <v>2</v>
      </c>
      <c r="G20668" s="1" t="s">
        <v>32</v>
      </c>
      <c r="H20668" s="4" t="str">
        <f>HYPERLINK("https://portal.gdc.cancer.gov/cases/4a2f3f77-7eea-4bb1-92bd-2d595e23ab88","TCGA-ZL-A9V6-01A")</f>
        <v>TCGA-ZL-A9V6-01A</v>
      </c>
      <c r="I20668" t="s">
        <v>593</v>
      </c>
      <c r="J20668" t="s">
        <v>18</v>
      </c>
      <c r="K20668" t="s">
        <v>33</v>
      </c>
      <c r="L20668" t="s">
        <v>594</v>
      </c>
      <c r="N20668" t="s">
        <v>29</v>
      </c>
    </row>
    <row r="20669" spans="1:14">
      <c r="A20669" s="4" t="str">
        <f t="shared" si="1397"/>
        <v>EXP00449</v>
      </c>
      <c r="B20669" s="3" t="s">
        <v>66</v>
      </c>
      <c r="C20669" s="4" t="str">
        <f t="shared" si="1396"/>
        <v>TCGA-THYM</v>
      </c>
      <c r="D20669" s="1" t="s">
        <v>493</v>
      </c>
      <c r="E20669" t="s">
        <v>592</v>
      </c>
      <c r="F20669" s="1">
        <v>2</v>
      </c>
      <c r="G20669" s="1" t="s">
        <v>32</v>
      </c>
      <c r="H20669" s="4" t="str">
        <f>HYPERLINK("https://portal.gdc.cancer.gov/cases/d9816402-1073-4b19-ba16-1c7e7c00fbb3","TCGA-ZT-A8OM-01A")</f>
        <v>TCGA-ZT-A8OM-01A</v>
      </c>
      <c r="I20669" t="s">
        <v>593</v>
      </c>
      <c r="J20669" t="s">
        <v>18</v>
      </c>
      <c r="K20669" t="s">
        <v>33</v>
      </c>
      <c r="L20669" t="s">
        <v>594</v>
      </c>
      <c r="N20669" t="s">
        <v>29</v>
      </c>
    </row>
    <row r="20670" spans="1:14">
      <c r="A20670" s="4" t="str">
        <f t="shared" ref="A20670:A20701" si="1398">HYPERLINK("http://hcmdb.i-sanger.com/experiment/details/experiment_id/EXP00450","EXP00450")</f>
        <v>EXP00450</v>
      </c>
      <c r="B20670" s="3" t="s">
        <v>66</v>
      </c>
      <c r="C20670" s="4" t="str">
        <f t="shared" si="1396"/>
        <v>TCGA-THYM</v>
      </c>
      <c r="D20670" s="1" t="s">
        <v>493</v>
      </c>
      <c r="E20670" t="s">
        <v>597</v>
      </c>
      <c r="F20670" s="1">
        <v>1</v>
      </c>
      <c r="G20670" s="1" t="s">
        <v>36</v>
      </c>
      <c r="H20670" s="4" t="str">
        <f>HYPERLINK("https://portal.gdc.cancer.gov/cases/66c564ba-b42d-4be9-9e5f-bf93984569eb","TCGA-X7-A8D6-11A")</f>
        <v>TCGA-X7-A8D6-11A</v>
      </c>
      <c r="I20670" t="s">
        <v>593</v>
      </c>
      <c r="J20670" t="s">
        <v>18</v>
      </c>
      <c r="K20670" t="s">
        <v>33</v>
      </c>
      <c r="L20670" t="s">
        <v>594</v>
      </c>
      <c r="N20670" t="s">
        <v>37</v>
      </c>
    </row>
    <row r="20671" spans="1:14">
      <c r="A20671" s="4" t="str">
        <f t="shared" si="1398"/>
        <v>EXP00450</v>
      </c>
      <c r="B20671" s="3" t="s">
        <v>66</v>
      </c>
      <c r="C20671" s="4" t="str">
        <f t="shared" si="1396"/>
        <v>TCGA-THYM</v>
      </c>
      <c r="D20671" s="1" t="s">
        <v>493</v>
      </c>
      <c r="E20671" t="s">
        <v>597</v>
      </c>
      <c r="F20671" s="1">
        <v>1</v>
      </c>
      <c r="G20671" s="1" t="s">
        <v>36</v>
      </c>
      <c r="H20671" s="4" t="str">
        <f>HYPERLINK("https://portal.gdc.cancer.gov/cases/8cc1e08d-75b6-48da-90df-e6af23cb4c35","TCGA-X7-A8D7-11A")</f>
        <v>TCGA-X7-A8D7-11A</v>
      </c>
      <c r="I20671" t="s">
        <v>593</v>
      </c>
      <c r="J20671" t="s">
        <v>18</v>
      </c>
      <c r="K20671" t="s">
        <v>33</v>
      </c>
      <c r="L20671" t="s">
        <v>594</v>
      </c>
      <c r="N20671" t="s">
        <v>37</v>
      </c>
    </row>
    <row r="20672" spans="1:14">
      <c r="A20672" s="4" t="str">
        <f t="shared" si="1398"/>
        <v>EXP00450</v>
      </c>
      <c r="B20672" s="3" t="s">
        <v>66</v>
      </c>
      <c r="C20672" s="4" t="str">
        <f t="shared" si="1396"/>
        <v>TCGA-THYM</v>
      </c>
      <c r="D20672" s="1" t="s">
        <v>493</v>
      </c>
      <c r="E20672" t="s">
        <v>597</v>
      </c>
      <c r="F20672" s="1">
        <v>2</v>
      </c>
      <c r="G20672" s="1" t="s">
        <v>28</v>
      </c>
      <c r="H20672" s="4" t="str">
        <f>HYPERLINK("https://portal.gdc.cancer.gov/cases/3f19d238-1b55-4530-a9e2-8fda644d45a6","TCGA-3G-AB0O-01A")</f>
        <v>TCGA-3G-AB0O-01A</v>
      </c>
      <c r="I20672" t="s">
        <v>593</v>
      </c>
      <c r="J20672" t="s">
        <v>18</v>
      </c>
      <c r="K20672" t="s">
        <v>33</v>
      </c>
      <c r="L20672" t="s">
        <v>594</v>
      </c>
      <c r="N20672" t="s">
        <v>29</v>
      </c>
    </row>
    <row r="20673" spans="1:14">
      <c r="A20673" s="4" t="str">
        <f t="shared" si="1398"/>
        <v>EXP00450</v>
      </c>
      <c r="B20673" s="3" t="s">
        <v>66</v>
      </c>
      <c r="C20673" s="4" t="str">
        <f t="shared" si="1396"/>
        <v>TCGA-THYM</v>
      </c>
      <c r="D20673" s="1" t="s">
        <v>493</v>
      </c>
      <c r="E20673" t="s">
        <v>597</v>
      </c>
      <c r="F20673" s="1">
        <v>2</v>
      </c>
      <c r="G20673" s="1" t="s">
        <v>28</v>
      </c>
      <c r="H20673" s="4" t="str">
        <f>HYPERLINK("https://portal.gdc.cancer.gov/cases/67ff3aa1-9d52-4dc8-8501-ecd0d37a8735","TCGA-3G-AB0Q-01A")</f>
        <v>TCGA-3G-AB0Q-01A</v>
      </c>
      <c r="I20673" t="s">
        <v>593</v>
      </c>
      <c r="J20673" t="s">
        <v>18</v>
      </c>
      <c r="K20673" t="s">
        <v>33</v>
      </c>
      <c r="L20673" t="s">
        <v>594</v>
      </c>
      <c r="N20673" t="s">
        <v>29</v>
      </c>
    </row>
    <row r="20674" spans="1:14">
      <c r="A20674" s="4" t="str">
        <f t="shared" si="1398"/>
        <v>EXP00450</v>
      </c>
      <c r="B20674" s="3" t="s">
        <v>66</v>
      </c>
      <c r="C20674" s="4" t="str">
        <f t="shared" si="1396"/>
        <v>TCGA-THYM</v>
      </c>
      <c r="D20674" s="1" t="s">
        <v>493</v>
      </c>
      <c r="E20674" t="s">
        <v>597</v>
      </c>
      <c r="F20674" s="1">
        <v>2</v>
      </c>
      <c r="G20674" s="1" t="s">
        <v>28</v>
      </c>
      <c r="H20674" s="4" t="str">
        <f>HYPERLINK("https://portal.gdc.cancer.gov/cases/6e98a600-252d-442f-9372-ddc7c5338ae7","TCGA-3G-AB14-01A")</f>
        <v>TCGA-3G-AB14-01A</v>
      </c>
      <c r="I20674" t="s">
        <v>593</v>
      </c>
      <c r="J20674" t="s">
        <v>18</v>
      </c>
      <c r="K20674" t="s">
        <v>33</v>
      </c>
      <c r="L20674" t="s">
        <v>594</v>
      </c>
      <c r="N20674" t="s">
        <v>29</v>
      </c>
    </row>
    <row r="20675" spans="1:14">
      <c r="A20675" s="4" t="str">
        <f t="shared" si="1398"/>
        <v>EXP00450</v>
      </c>
      <c r="B20675" s="3" t="s">
        <v>66</v>
      </c>
      <c r="C20675" s="4" t="str">
        <f t="shared" si="1396"/>
        <v>TCGA-THYM</v>
      </c>
      <c r="D20675" s="1" t="s">
        <v>493</v>
      </c>
      <c r="E20675" t="s">
        <v>597</v>
      </c>
      <c r="F20675" s="1">
        <v>2</v>
      </c>
      <c r="G20675" s="1" t="s">
        <v>28</v>
      </c>
      <c r="H20675" s="4" t="str">
        <f>HYPERLINK("https://portal.gdc.cancer.gov/cases/81fdc97f-8bad-4286-9d36-9a887c6b59a1","TCGA-3G-AB19-01A")</f>
        <v>TCGA-3G-AB19-01A</v>
      </c>
      <c r="I20675" t="s">
        <v>593</v>
      </c>
      <c r="J20675" t="s">
        <v>18</v>
      </c>
      <c r="K20675" t="s">
        <v>33</v>
      </c>
      <c r="L20675" t="s">
        <v>594</v>
      </c>
      <c r="N20675" t="s">
        <v>29</v>
      </c>
    </row>
    <row r="20676" spans="1:14">
      <c r="A20676" s="4" t="str">
        <f t="shared" si="1398"/>
        <v>EXP00450</v>
      </c>
      <c r="B20676" s="3" t="s">
        <v>66</v>
      </c>
      <c r="C20676" s="4" t="str">
        <f t="shared" si="1396"/>
        <v>TCGA-THYM</v>
      </c>
      <c r="D20676" s="1" t="s">
        <v>493</v>
      </c>
      <c r="E20676" t="s">
        <v>597</v>
      </c>
      <c r="F20676" s="1">
        <v>2</v>
      </c>
      <c r="G20676" s="1" t="s">
        <v>28</v>
      </c>
      <c r="H20676" s="4" t="str">
        <f>HYPERLINK("https://portal.gdc.cancer.gov/cases/fbc5debd-f117-4ade-81b0-45d49fdd50a1","TCGA-3Q-A9WF-01A")</f>
        <v>TCGA-3Q-A9WF-01A</v>
      </c>
      <c r="I20676" t="s">
        <v>593</v>
      </c>
      <c r="J20676" t="s">
        <v>18</v>
      </c>
      <c r="K20676" t="s">
        <v>33</v>
      </c>
      <c r="L20676" t="s">
        <v>594</v>
      </c>
      <c r="N20676" t="s">
        <v>29</v>
      </c>
    </row>
    <row r="20677" spans="1:14">
      <c r="A20677" s="4" t="str">
        <f t="shared" si="1398"/>
        <v>EXP00450</v>
      </c>
      <c r="B20677" s="3" t="s">
        <v>66</v>
      </c>
      <c r="C20677" s="4" t="str">
        <f t="shared" si="1396"/>
        <v>TCGA-THYM</v>
      </c>
      <c r="D20677" s="1" t="s">
        <v>493</v>
      </c>
      <c r="E20677" t="s">
        <v>597</v>
      </c>
      <c r="F20677" s="1">
        <v>2</v>
      </c>
      <c r="G20677" s="1" t="s">
        <v>28</v>
      </c>
      <c r="H20677" s="4" t="str">
        <f>HYPERLINK("https://portal.gdc.cancer.gov/cases/440421ad-5f1f-4345-86a2-fc25cb7cd453","TCGA-3S-A8YW-01A")</f>
        <v>TCGA-3S-A8YW-01A</v>
      </c>
      <c r="I20677" t="s">
        <v>593</v>
      </c>
      <c r="J20677" t="s">
        <v>18</v>
      </c>
      <c r="K20677" t="s">
        <v>33</v>
      </c>
      <c r="L20677" t="s">
        <v>594</v>
      </c>
      <c r="N20677" t="s">
        <v>29</v>
      </c>
    </row>
    <row r="20678" spans="1:14">
      <c r="A20678" s="4" t="str">
        <f t="shared" si="1398"/>
        <v>EXP00450</v>
      </c>
      <c r="B20678" s="3" t="s">
        <v>66</v>
      </c>
      <c r="C20678" s="4" t="str">
        <f t="shared" si="1396"/>
        <v>TCGA-THYM</v>
      </c>
      <c r="D20678" s="1" t="s">
        <v>493</v>
      </c>
      <c r="E20678" t="s">
        <v>597</v>
      </c>
      <c r="F20678" s="1">
        <v>2</v>
      </c>
      <c r="G20678" s="1" t="s">
        <v>28</v>
      </c>
      <c r="H20678" s="4" t="str">
        <f>HYPERLINK("https://portal.gdc.cancer.gov/cases/4fc4cba2-7212-4755-b53d-111878b2ff90","TCGA-3S-AAYX-01A")</f>
        <v>TCGA-3S-AAYX-01A</v>
      </c>
      <c r="I20678" t="s">
        <v>593</v>
      </c>
      <c r="J20678" t="s">
        <v>18</v>
      </c>
      <c r="K20678" t="s">
        <v>33</v>
      </c>
      <c r="L20678" t="s">
        <v>594</v>
      </c>
      <c r="N20678" t="s">
        <v>29</v>
      </c>
    </row>
    <row r="20679" spans="1:14">
      <c r="A20679" s="4" t="str">
        <f t="shared" si="1398"/>
        <v>EXP00450</v>
      </c>
      <c r="B20679" s="3" t="s">
        <v>66</v>
      </c>
      <c r="C20679" s="4" t="str">
        <f t="shared" ref="C20679:C20742" si="1399">HYPERLINK("https://portal.gdc.cancer.gov/projects/TCGA-THYM","TCGA-THYM")</f>
        <v>TCGA-THYM</v>
      </c>
      <c r="D20679" s="1" t="s">
        <v>493</v>
      </c>
      <c r="E20679" t="s">
        <v>597</v>
      </c>
      <c r="F20679" s="1">
        <v>2</v>
      </c>
      <c r="G20679" s="1" t="s">
        <v>28</v>
      </c>
      <c r="H20679" s="4" t="str">
        <f>HYPERLINK("https://portal.gdc.cancer.gov/cases/eddb3067-a0e5-461f-a8b8-95081ec67de0","TCGA-3T-AA9L-01A")</f>
        <v>TCGA-3T-AA9L-01A</v>
      </c>
      <c r="I20679" t="s">
        <v>593</v>
      </c>
      <c r="J20679" t="s">
        <v>18</v>
      </c>
      <c r="K20679" t="s">
        <v>33</v>
      </c>
      <c r="L20679" t="s">
        <v>594</v>
      </c>
      <c r="N20679" t="s">
        <v>29</v>
      </c>
    </row>
    <row r="20680" spans="1:14">
      <c r="A20680" s="4" t="str">
        <f t="shared" si="1398"/>
        <v>EXP00450</v>
      </c>
      <c r="B20680" s="3" t="s">
        <v>66</v>
      </c>
      <c r="C20680" s="4" t="str">
        <f t="shared" si="1399"/>
        <v>TCGA-THYM</v>
      </c>
      <c r="D20680" s="1" t="s">
        <v>493</v>
      </c>
      <c r="E20680" t="s">
        <v>597</v>
      </c>
      <c r="F20680" s="1">
        <v>2</v>
      </c>
      <c r="G20680" s="1" t="s">
        <v>28</v>
      </c>
      <c r="H20680" s="4" t="str">
        <f>HYPERLINK("https://portal.gdc.cancer.gov/cases/eeaa0fa3-408c-4e0f-a18a-095514173ff1","TCGA-4V-A9QI-01A")</f>
        <v>TCGA-4V-A9QI-01A</v>
      </c>
      <c r="I20680" t="s">
        <v>593</v>
      </c>
      <c r="J20680" t="s">
        <v>18</v>
      </c>
      <c r="K20680" t="s">
        <v>33</v>
      </c>
      <c r="L20680" t="s">
        <v>594</v>
      </c>
      <c r="N20680" t="s">
        <v>29</v>
      </c>
    </row>
    <row r="20681" spans="1:14">
      <c r="A20681" s="4" t="str">
        <f t="shared" si="1398"/>
        <v>EXP00450</v>
      </c>
      <c r="B20681" s="3" t="s">
        <v>66</v>
      </c>
      <c r="C20681" s="4" t="str">
        <f t="shared" si="1399"/>
        <v>TCGA-THYM</v>
      </c>
      <c r="D20681" s="1" t="s">
        <v>493</v>
      </c>
      <c r="E20681" t="s">
        <v>597</v>
      </c>
      <c r="F20681" s="1">
        <v>2</v>
      </c>
      <c r="G20681" s="1" t="s">
        <v>28</v>
      </c>
      <c r="H20681" s="4" t="str">
        <f>HYPERLINK("https://portal.gdc.cancer.gov/cases/50612721-2e12-4dc3-8e1e-87624cf9333b","TCGA-4V-A9QJ-01A")</f>
        <v>TCGA-4V-A9QJ-01A</v>
      </c>
      <c r="I20681" t="s">
        <v>593</v>
      </c>
      <c r="J20681" t="s">
        <v>18</v>
      </c>
      <c r="K20681" t="s">
        <v>33</v>
      </c>
      <c r="L20681" t="s">
        <v>594</v>
      </c>
      <c r="N20681" t="s">
        <v>29</v>
      </c>
    </row>
    <row r="20682" spans="1:14">
      <c r="A20682" s="4" t="str">
        <f t="shared" si="1398"/>
        <v>EXP00450</v>
      </c>
      <c r="B20682" s="3" t="s">
        <v>66</v>
      </c>
      <c r="C20682" s="4" t="str">
        <f t="shared" si="1399"/>
        <v>TCGA-THYM</v>
      </c>
      <c r="D20682" s="1" t="s">
        <v>493</v>
      </c>
      <c r="E20682" t="s">
        <v>597</v>
      </c>
      <c r="F20682" s="1">
        <v>2</v>
      </c>
      <c r="G20682" s="1" t="s">
        <v>28</v>
      </c>
      <c r="H20682" s="4" t="str">
        <f>HYPERLINK("https://portal.gdc.cancer.gov/cases/f4ee567b-ea34-4bd0-96c9-398e2045d5fd","TCGA-4V-A9QL-01A")</f>
        <v>TCGA-4V-A9QL-01A</v>
      </c>
      <c r="I20682" t="s">
        <v>593</v>
      </c>
      <c r="J20682" t="s">
        <v>18</v>
      </c>
      <c r="K20682" t="s">
        <v>33</v>
      </c>
      <c r="L20682" t="s">
        <v>594</v>
      </c>
      <c r="N20682" t="s">
        <v>29</v>
      </c>
    </row>
    <row r="20683" spans="1:14">
      <c r="A20683" s="4" t="str">
        <f t="shared" si="1398"/>
        <v>EXP00450</v>
      </c>
      <c r="B20683" s="3" t="s">
        <v>66</v>
      </c>
      <c r="C20683" s="4" t="str">
        <f t="shared" si="1399"/>
        <v>TCGA-THYM</v>
      </c>
      <c r="D20683" s="1" t="s">
        <v>493</v>
      </c>
      <c r="E20683" t="s">
        <v>597</v>
      </c>
      <c r="F20683" s="1">
        <v>2</v>
      </c>
      <c r="G20683" s="1" t="s">
        <v>28</v>
      </c>
      <c r="H20683" s="4" t="str">
        <f>HYPERLINK("https://portal.gdc.cancer.gov/cases/0be4fa90-0122-4b26-b35f-7b1a4a16e63b","TCGA-4V-A9QM-01A")</f>
        <v>TCGA-4V-A9QM-01A</v>
      </c>
      <c r="I20683" t="s">
        <v>593</v>
      </c>
      <c r="J20683" t="s">
        <v>18</v>
      </c>
      <c r="K20683" t="s">
        <v>33</v>
      </c>
      <c r="L20683" t="s">
        <v>594</v>
      </c>
      <c r="N20683" t="s">
        <v>29</v>
      </c>
    </row>
    <row r="20684" spans="1:14">
      <c r="A20684" s="4" t="str">
        <f t="shared" si="1398"/>
        <v>EXP00450</v>
      </c>
      <c r="B20684" s="3" t="s">
        <v>66</v>
      </c>
      <c r="C20684" s="4" t="str">
        <f t="shared" si="1399"/>
        <v>TCGA-THYM</v>
      </c>
      <c r="D20684" s="1" t="s">
        <v>493</v>
      </c>
      <c r="E20684" t="s">
        <v>597</v>
      </c>
      <c r="F20684" s="1">
        <v>2</v>
      </c>
      <c r="G20684" s="1" t="s">
        <v>28</v>
      </c>
      <c r="H20684" s="4" t="str">
        <f>HYPERLINK("https://portal.gdc.cancer.gov/cases/51abe033-5fb4-49b5-89ef-c44d0bb1ab00","TCGA-4V-A9QN-01A")</f>
        <v>TCGA-4V-A9QN-01A</v>
      </c>
      <c r="I20684" t="s">
        <v>593</v>
      </c>
      <c r="J20684" t="s">
        <v>18</v>
      </c>
      <c r="K20684" t="s">
        <v>33</v>
      </c>
      <c r="L20684" t="s">
        <v>594</v>
      </c>
      <c r="N20684" t="s">
        <v>29</v>
      </c>
    </row>
    <row r="20685" spans="1:14">
      <c r="A20685" s="4" t="str">
        <f t="shared" si="1398"/>
        <v>EXP00450</v>
      </c>
      <c r="B20685" s="3" t="s">
        <v>66</v>
      </c>
      <c r="C20685" s="4" t="str">
        <f t="shared" si="1399"/>
        <v>TCGA-THYM</v>
      </c>
      <c r="D20685" s="1" t="s">
        <v>493</v>
      </c>
      <c r="E20685" t="s">
        <v>597</v>
      </c>
      <c r="F20685" s="1">
        <v>2</v>
      </c>
      <c r="G20685" s="1" t="s">
        <v>28</v>
      </c>
      <c r="H20685" s="4" t="str">
        <f>HYPERLINK("https://portal.gdc.cancer.gov/cases/85d1afdf-6164-49e1-b599-71512c5acd99","TCGA-4V-A9QR-01A")</f>
        <v>TCGA-4V-A9QR-01A</v>
      </c>
      <c r="I20685" t="s">
        <v>593</v>
      </c>
      <c r="J20685" t="s">
        <v>18</v>
      </c>
      <c r="K20685" t="s">
        <v>33</v>
      </c>
      <c r="L20685" t="s">
        <v>594</v>
      </c>
      <c r="N20685" t="s">
        <v>29</v>
      </c>
    </row>
    <row r="20686" spans="1:14">
      <c r="A20686" s="4" t="str">
        <f t="shared" si="1398"/>
        <v>EXP00450</v>
      </c>
      <c r="B20686" s="3" t="s">
        <v>66</v>
      </c>
      <c r="C20686" s="4" t="str">
        <f t="shared" si="1399"/>
        <v>TCGA-THYM</v>
      </c>
      <c r="D20686" s="1" t="s">
        <v>493</v>
      </c>
      <c r="E20686" t="s">
        <v>597</v>
      </c>
      <c r="F20686" s="1">
        <v>2</v>
      </c>
      <c r="G20686" s="1" t="s">
        <v>28</v>
      </c>
      <c r="H20686" s="4" t="str">
        <f>HYPERLINK("https://portal.gdc.cancer.gov/cases/88c0af76-b1ba-478f-a42b-8a50c0568d5e","TCGA-4V-A9QS-01A")</f>
        <v>TCGA-4V-A9QS-01A</v>
      </c>
      <c r="I20686" t="s">
        <v>593</v>
      </c>
      <c r="J20686" t="s">
        <v>18</v>
      </c>
      <c r="K20686" t="s">
        <v>33</v>
      </c>
      <c r="L20686" t="s">
        <v>594</v>
      </c>
      <c r="N20686" t="s">
        <v>29</v>
      </c>
    </row>
    <row r="20687" spans="1:14">
      <c r="A20687" s="4" t="str">
        <f t="shared" si="1398"/>
        <v>EXP00450</v>
      </c>
      <c r="B20687" s="3" t="s">
        <v>66</v>
      </c>
      <c r="C20687" s="4" t="str">
        <f t="shared" si="1399"/>
        <v>TCGA-THYM</v>
      </c>
      <c r="D20687" s="1" t="s">
        <v>493</v>
      </c>
      <c r="E20687" t="s">
        <v>597</v>
      </c>
      <c r="F20687" s="1">
        <v>2</v>
      </c>
      <c r="G20687" s="1" t="s">
        <v>28</v>
      </c>
      <c r="H20687" s="4" t="str">
        <f>HYPERLINK("https://portal.gdc.cancer.gov/cases/3f691bf4-9558-4454-889e-cfa7d0de96cc","TCGA-4V-A9QT-01A")</f>
        <v>TCGA-4V-A9QT-01A</v>
      </c>
      <c r="I20687" t="s">
        <v>593</v>
      </c>
      <c r="J20687" t="s">
        <v>18</v>
      </c>
      <c r="K20687" t="s">
        <v>33</v>
      </c>
      <c r="L20687" t="s">
        <v>594</v>
      </c>
      <c r="N20687" t="s">
        <v>29</v>
      </c>
    </row>
    <row r="20688" spans="1:14">
      <c r="A20688" s="4" t="str">
        <f t="shared" si="1398"/>
        <v>EXP00450</v>
      </c>
      <c r="B20688" s="3" t="s">
        <v>66</v>
      </c>
      <c r="C20688" s="4" t="str">
        <f t="shared" si="1399"/>
        <v>TCGA-THYM</v>
      </c>
      <c r="D20688" s="1" t="s">
        <v>493</v>
      </c>
      <c r="E20688" t="s">
        <v>597</v>
      </c>
      <c r="F20688" s="1">
        <v>2</v>
      </c>
      <c r="G20688" s="1" t="s">
        <v>28</v>
      </c>
      <c r="H20688" s="4" t="str">
        <f>HYPERLINK("https://portal.gdc.cancer.gov/cases/add338c1-8b31-4378-9a44-19bf646c972b","TCGA-4V-A9QU-01A")</f>
        <v>TCGA-4V-A9QU-01A</v>
      </c>
      <c r="I20688" t="s">
        <v>593</v>
      </c>
      <c r="J20688" t="s">
        <v>18</v>
      </c>
      <c r="K20688" t="s">
        <v>33</v>
      </c>
      <c r="L20688" t="s">
        <v>594</v>
      </c>
      <c r="N20688" t="s">
        <v>29</v>
      </c>
    </row>
    <row r="20689" spans="1:14">
      <c r="A20689" s="4" t="str">
        <f t="shared" si="1398"/>
        <v>EXP00450</v>
      </c>
      <c r="B20689" s="3" t="s">
        <v>66</v>
      </c>
      <c r="C20689" s="4" t="str">
        <f t="shared" si="1399"/>
        <v>TCGA-THYM</v>
      </c>
      <c r="D20689" s="1" t="s">
        <v>493</v>
      </c>
      <c r="E20689" t="s">
        <v>597</v>
      </c>
      <c r="F20689" s="1">
        <v>2</v>
      </c>
      <c r="G20689" s="1" t="s">
        <v>28</v>
      </c>
      <c r="H20689" s="4" t="str">
        <f>HYPERLINK("https://portal.gdc.cancer.gov/cases/d8e19e8a-7442-4b6b-8f4a-d02dca5c9894","TCGA-4V-A9QW-01A")</f>
        <v>TCGA-4V-A9QW-01A</v>
      </c>
      <c r="I20689" t="s">
        <v>593</v>
      </c>
      <c r="J20689" t="s">
        <v>18</v>
      </c>
      <c r="K20689" t="s">
        <v>33</v>
      </c>
      <c r="L20689" t="s">
        <v>594</v>
      </c>
      <c r="N20689" t="s">
        <v>29</v>
      </c>
    </row>
    <row r="20690" spans="1:14">
      <c r="A20690" s="4" t="str">
        <f t="shared" si="1398"/>
        <v>EXP00450</v>
      </c>
      <c r="B20690" s="3" t="s">
        <v>66</v>
      </c>
      <c r="C20690" s="4" t="str">
        <f t="shared" si="1399"/>
        <v>TCGA-THYM</v>
      </c>
      <c r="D20690" s="1" t="s">
        <v>493</v>
      </c>
      <c r="E20690" t="s">
        <v>597</v>
      </c>
      <c r="F20690" s="1">
        <v>2</v>
      </c>
      <c r="G20690" s="1" t="s">
        <v>28</v>
      </c>
      <c r="H20690" s="4" t="str">
        <f>HYPERLINK("https://portal.gdc.cancer.gov/cases/0050d8be-1db6-4c17-8bef-3ae2eaaa63ce","TCGA-4V-A9QX-01A")</f>
        <v>TCGA-4V-A9QX-01A</v>
      </c>
      <c r="I20690" t="s">
        <v>593</v>
      </c>
      <c r="J20690" t="s">
        <v>18</v>
      </c>
      <c r="K20690" t="s">
        <v>33</v>
      </c>
      <c r="L20690" t="s">
        <v>594</v>
      </c>
      <c r="N20690" t="s">
        <v>29</v>
      </c>
    </row>
    <row r="20691" spans="1:14">
      <c r="A20691" s="4" t="str">
        <f t="shared" si="1398"/>
        <v>EXP00450</v>
      </c>
      <c r="B20691" s="3" t="s">
        <v>66</v>
      </c>
      <c r="C20691" s="4" t="str">
        <f t="shared" si="1399"/>
        <v>TCGA-THYM</v>
      </c>
      <c r="D20691" s="1" t="s">
        <v>493</v>
      </c>
      <c r="E20691" t="s">
        <v>597</v>
      </c>
      <c r="F20691" s="1">
        <v>2</v>
      </c>
      <c r="G20691" s="1" t="s">
        <v>28</v>
      </c>
      <c r="H20691" s="4" t="str">
        <f>HYPERLINK("https://portal.gdc.cancer.gov/cases/d542aa45-86cf-462e-abbe-76a3354e707e","TCGA-4X-A9F9-01A")</f>
        <v>TCGA-4X-A9F9-01A</v>
      </c>
      <c r="I20691" t="s">
        <v>593</v>
      </c>
      <c r="J20691" t="s">
        <v>18</v>
      </c>
      <c r="K20691" t="s">
        <v>33</v>
      </c>
      <c r="L20691" t="s">
        <v>594</v>
      </c>
      <c r="N20691" t="s">
        <v>29</v>
      </c>
    </row>
    <row r="20692" spans="1:14">
      <c r="A20692" s="4" t="str">
        <f t="shared" si="1398"/>
        <v>EXP00450</v>
      </c>
      <c r="B20692" s="3" t="s">
        <v>66</v>
      </c>
      <c r="C20692" s="4" t="str">
        <f t="shared" si="1399"/>
        <v>TCGA-THYM</v>
      </c>
      <c r="D20692" s="1" t="s">
        <v>493</v>
      </c>
      <c r="E20692" t="s">
        <v>597</v>
      </c>
      <c r="F20692" s="1">
        <v>2</v>
      </c>
      <c r="G20692" s="1" t="s">
        <v>28</v>
      </c>
      <c r="H20692" s="4" t="str">
        <f>HYPERLINK("https://portal.gdc.cancer.gov/cases/96e5c81e-8edb-4e6c-84fc-f127142f2835","TCGA-4X-A9FA-01A")</f>
        <v>TCGA-4X-A9FA-01A</v>
      </c>
      <c r="I20692" t="s">
        <v>593</v>
      </c>
      <c r="J20692" t="s">
        <v>18</v>
      </c>
      <c r="K20692" t="s">
        <v>33</v>
      </c>
      <c r="L20692" t="s">
        <v>594</v>
      </c>
      <c r="N20692" t="s">
        <v>29</v>
      </c>
    </row>
    <row r="20693" spans="1:14">
      <c r="A20693" s="4" t="str">
        <f t="shared" si="1398"/>
        <v>EXP00450</v>
      </c>
      <c r="B20693" s="3" t="s">
        <v>66</v>
      </c>
      <c r="C20693" s="4" t="str">
        <f t="shared" si="1399"/>
        <v>TCGA-THYM</v>
      </c>
      <c r="D20693" s="1" t="s">
        <v>493</v>
      </c>
      <c r="E20693" t="s">
        <v>597</v>
      </c>
      <c r="F20693" s="1">
        <v>2</v>
      </c>
      <c r="G20693" s="1" t="s">
        <v>28</v>
      </c>
      <c r="H20693" s="4" t="str">
        <f>HYPERLINK("https://portal.gdc.cancer.gov/cases/2c2e169e-9f93-41a7-bfc4-ade18bb5d7ae","TCGA-4X-A9FB-01A")</f>
        <v>TCGA-4X-A9FB-01A</v>
      </c>
      <c r="I20693" t="s">
        <v>593</v>
      </c>
      <c r="J20693" t="s">
        <v>18</v>
      </c>
      <c r="K20693" t="s">
        <v>33</v>
      </c>
      <c r="L20693" t="s">
        <v>594</v>
      </c>
      <c r="N20693" t="s">
        <v>29</v>
      </c>
    </row>
    <row r="20694" spans="1:14">
      <c r="A20694" s="4" t="str">
        <f t="shared" si="1398"/>
        <v>EXP00450</v>
      </c>
      <c r="B20694" s="3" t="s">
        <v>66</v>
      </c>
      <c r="C20694" s="4" t="str">
        <f t="shared" si="1399"/>
        <v>TCGA-THYM</v>
      </c>
      <c r="D20694" s="1" t="s">
        <v>493</v>
      </c>
      <c r="E20694" t="s">
        <v>597</v>
      </c>
      <c r="F20694" s="1">
        <v>2</v>
      </c>
      <c r="G20694" s="1" t="s">
        <v>28</v>
      </c>
      <c r="H20694" s="4" t="str">
        <f>HYPERLINK("https://portal.gdc.cancer.gov/cases/e687f26d-f092-4116-9f9f-a2a2b9fc9b0d","TCGA-4X-A9FC-01A")</f>
        <v>TCGA-4X-A9FC-01A</v>
      </c>
      <c r="I20694" t="s">
        <v>593</v>
      </c>
      <c r="J20694" t="s">
        <v>18</v>
      </c>
      <c r="K20694" t="s">
        <v>33</v>
      </c>
      <c r="L20694" t="s">
        <v>594</v>
      </c>
      <c r="N20694" t="s">
        <v>29</v>
      </c>
    </row>
    <row r="20695" spans="1:14">
      <c r="A20695" s="4" t="str">
        <f t="shared" si="1398"/>
        <v>EXP00450</v>
      </c>
      <c r="B20695" s="3" t="s">
        <v>66</v>
      </c>
      <c r="C20695" s="4" t="str">
        <f t="shared" si="1399"/>
        <v>TCGA-THYM</v>
      </c>
      <c r="D20695" s="1" t="s">
        <v>493</v>
      </c>
      <c r="E20695" t="s">
        <v>597</v>
      </c>
      <c r="F20695" s="1">
        <v>2</v>
      </c>
      <c r="G20695" s="1" t="s">
        <v>28</v>
      </c>
      <c r="H20695" s="4" t="str">
        <f>HYPERLINK("https://portal.gdc.cancer.gov/cases/0a312064-878f-4b69-8bb7-e7f14e6cd7fe","TCGA-4X-A9FD-01A")</f>
        <v>TCGA-4X-A9FD-01A</v>
      </c>
      <c r="I20695" t="s">
        <v>593</v>
      </c>
      <c r="J20695" t="s">
        <v>18</v>
      </c>
      <c r="K20695" t="s">
        <v>33</v>
      </c>
      <c r="L20695" t="s">
        <v>594</v>
      </c>
      <c r="N20695" t="s">
        <v>29</v>
      </c>
    </row>
    <row r="20696" spans="1:14">
      <c r="A20696" s="4" t="str">
        <f t="shared" si="1398"/>
        <v>EXP00450</v>
      </c>
      <c r="B20696" s="3" t="s">
        <v>66</v>
      </c>
      <c r="C20696" s="4" t="str">
        <f t="shared" si="1399"/>
        <v>TCGA-THYM</v>
      </c>
      <c r="D20696" s="1" t="s">
        <v>493</v>
      </c>
      <c r="E20696" t="s">
        <v>597</v>
      </c>
      <c r="F20696" s="1">
        <v>2</v>
      </c>
      <c r="G20696" s="1" t="s">
        <v>28</v>
      </c>
      <c r="H20696" s="4" t="str">
        <f>HYPERLINK("https://portal.gdc.cancer.gov/cases/5f539ac1-c4c8-46cc-98d7-8951a6ed680a","TCGA-5G-A9ZZ-01A")</f>
        <v>TCGA-5G-A9ZZ-01A</v>
      </c>
      <c r="I20696" t="s">
        <v>593</v>
      </c>
      <c r="J20696" t="s">
        <v>18</v>
      </c>
      <c r="K20696" t="s">
        <v>33</v>
      </c>
      <c r="L20696" t="s">
        <v>594</v>
      </c>
      <c r="N20696" t="s">
        <v>29</v>
      </c>
    </row>
    <row r="20697" spans="1:14">
      <c r="A20697" s="4" t="str">
        <f t="shared" si="1398"/>
        <v>EXP00450</v>
      </c>
      <c r="B20697" s="3" t="s">
        <v>66</v>
      </c>
      <c r="C20697" s="4" t="str">
        <f t="shared" si="1399"/>
        <v>TCGA-THYM</v>
      </c>
      <c r="D20697" s="1" t="s">
        <v>493</v>
      </c>
      <c r="E20697" t="s">
        <v>597</v>
      </c>
      <c r="F20697" s="1">
        <v>2</v>
      </c>
      <c r="G20697" s="1" t="s">
        <v>28</v>
      </c>
      <c r="H20697" s="4" t="str">
        <f>HYPERLINK("https://portal.gdc.cancer.gov/cases/abdbdba3-807e-4192-88a6-41dd6d9309ab","TCGA-5K-AAAP-01A")</f>
        <v>TCGA-5K-AAAP-01A</v>
      </c>
      <c r="I20697" t="s">
        <v>593</v>
      </c>
      <c r="J20697" t="s">
        <v>18</v>
      </c>
      <c r="K20697" t="s">
        <v>33</v>
      </c>
      <c r="L20697" t="s">
        <v>594</v>
      </c>
      <c r="N20697" t="s">
        <v>29</v>
      </c>
    </row>
    <row r="20698" spans="1:14">
      <c r="A20698" s="4" t="str">
        <f t="shared" si="1398"/>
        <v>EXP00450</v>
      </c>
      <c r="B20698" s="3" t="s">
        <v>66</v>
      </c>
      <c r="C20698" s="4" t="str">
        <f t="shared" si="1399"/>
        <v>TCGA-THYM</v>
      </c>
      <c r="D20698" s="1" t="s">
        <v>493</v>
      </c>
      <c r="E20698" t="s">
        <v>597</v>
      </c>
      <c r="F20698" s="1">
        <v>2</v>
      </c>
      <c r="G20698" s="1" t="s">
        <v>28</v>
      </c>
      <c r="H20698" s="4" t="str">
        <f>HYPERLINK("https://portal.gdc.cancer.gov/cases/f6051ac0-3d70-4cbb-8c1c-99c9efeacb0f","TCGA-5U-AB0D-01A")</f>
        <v>TCGA-5U-AB0D-01A</v>
      </c>
      <c r="I20698" t="s">
        <v>593</v>
      </c>
      <c r="J20698" t="s">
        <v>18</v>
      </c>
      <c r="K20698" t="s">
        <v>33</v>
      </c>
      <c r="L20698" t="s">
        <v>594</v>
      </c>
      <c r="N20698" t="s">
        <v>29</v>
      </c>
    </row>
    <row r="20699" spans="1:14">
      <c r="A20699" s="4" t="str">
        <f t="shared" si="1398"/>
        <v>EXP00450</v>
      </c>
      <c r="B20699" s="3" t="s">
        <v>66</v>
      </c>
      <c r="C20699" s="4" t="str">
        <f t="shared" si="1399"/>
        <v>TCGA-THYM</v>
      </c>
      <c r="D20699" s="1" t="s">
        <v>493</v>
      </c>
      <c r="E20699" t="s">
        <v>597</v>
      </c>
      <c r="F20699" s="1">
        <v>2</v>
      </c>
      <c r="G20699" s="1" t="s">
        <v>28</v>
      </c>
      <c r="H20699" s="4" t="str">
        <f>HYPERLINK("https://portal.gdc.cancer.gov/cases/056386db-d338-4fc8-8bb1-249be72fd6cb","TCGA-5U-AB0E-01A")</f>
        <v>TCGA-5U-AB0E-01A</v>
      </c>
      <c r="I20699" t="s">
        <v>593</v>
      </c>
      <c r="J20699" t="s">
        <v>18</v>
      </c>
      <c r="K20699" t="s">
        <v>33</v>
      </c>
      <c r="L20699" t="s">
        <v>594</v>
      </c>
      <c r="N20699" t="s">
        <v>29</v>
      </c>
    </row>
    <row r="20700" spans="1:14">
      <c r="A20700" s="4" t="str">
        <f t="shared" si="1398"/>
        <v>EXP00450</v>
      </c>
      <c r="B20700" s="3" t="s">
        <v>66</v>
      </c>
      <c r="C20700" s="4" t="str">
        <f t="shared" si="1399"/>
        <v>TCGA-THYM</v>
      </c>
      <c r="D20700" s="1" t="s">
        <v>493</v>
      </c>
      <c r="E20700" t="s">
        <v>597</v>
      </c>
      <c r="F20700" s="1">
        <v>2</v>
      </c>
      <c r="G20700" s="1" t="s">
        <v>28</v>
      </c>
      <c r="H20700" s="4" t="str">
        <f>HYPERLINK("https://portal.gdc.cancer.gov/cases/bb9bb553-f304-4d14-a655-5c3bf4720a9b","TCGA-5U-AB0F-01A")</f>
        <v>TCGA-5U-AB0F-01A</v>
      </c>
      <c r="I20700" t="s">
        <v>593</v>
      </c>
      <c r="J20700" t="s">
        <v>18</v>
      </c>
      <c r="K20700" t="s">
        <v>33</v>
      </c>
      <c r="L20700" t="s">
        <v>594</v>
      </c>
      <c r="N20700" t="s">
        <v>29</v>
      </c>
    </row>
    <row r="20701" spans="1:14">
      <c r="A20701" s="4" t="str">
        <f t="shared" si="1398"/>
        <v>EXP00450</v>
      </c>
      <c r="B20701" s="3" t="s">
        <v>66</v>
      </c>
      <c r="C20701" s="4" t="str">
        <f t="shared" si="1399"/>
        <v>TCGA-THYM</v>
      </c>
      <c r="D20701" s="1" t="s">
        <v>493</v>
      </c>
      <c r="E20701" t="s">
        <v>597</v>
      </c>
      <c r="F20701" s="1">
        <v>2</v>
      </c>
      <c r="G20701" s="1" t="s">
        <v>28</v>
      </c>
      <c r="H20701" s="4" t="str">
        <f>HYPERLINK("https://portal.gdc.cancer.gov/cases/bfe41ba3-2bcf-4760-ae65-cd417e22393f","TCGA-5V-A9RR-01A")</f>
        <v>TCGA-5V-A9RR-01A</v>
      </c>
      <c r="I20701" t="s">
        <v>593</v>
      </c>
      <c r="J20701" t="s">
        <v>18</v>
      </c>
      <c r="K20701" t="s">
        <v>33</v>
      </c>
      <c r="L20701" t="s">
        <v>594</v>
      </c>
      <c r="N20701" t="s">
        <v>29</v>
      </c>
    </row>
    <row r="20702" spans="1:14">
      <c r="A20702" s="4" t="str">
        <f t="shared" ref="A20702:A20733" si="1400">HYPERLINK("http://hcmdb.i-sanger.com/experiment/details/experiment_id/EXP00450","EXP00450")</f>
        <v>EXP00450</v>
      </c>
      <c r="B20702" s="3" t="s">
        <v>66</v>
      </c>
      <c r="C20702" s="4" t="str">
        <f t="shared" si="1399"/>
        <v>TCGA-THYM</v>
      </c>
      <c r="D20702" s="1" t="s">
        <v>493</v>
      </c>
      <c r="E20702" t="s">
        <v>597</v>
      </c>
      <c r="F20702" s="1">
        <v>2</v>
      </c>
      <c r="G20702" s="1" t="s">
        <v>28</v>
      </c>
      <c r="H20702" s="4" t="str">
        <f>HYPERLINK("https://portal.gdc.cancer.gov/cases/66c564ba-b42d-4be9-9e5f-bf93984569eb","TCGA-X7-A8D6-01A")</f>
        <v>TCGA-X7-A8D6-01A</v>
      </c>
      <c r="I20702" t="s">
        <v>593</v>
      </c>
      <c r="J20702" t="s">
        <v>18</v>
      </c>
      <c r="K20702" t="s">
        <v>33</v>
      </c>
      <c r="L20702" t="s">
        <v>594</v>
      </c>
      <c r="N20702" t="s">
        <v>29</v>
      </c>
    </row>
    <row r="20703" spans="1:14">
      <c r="A20703" s="4" t="str">
        <f t="shared" si="1400"/>
        <v>EXP00450</v>
      </c>
      <c r="B20703" s="3" t="s">
        <v>66</v>
      </c>
      <c r="C20703" s="4" t="str">
        <f t="shared" si="1399"/>
        <v>TCGA-THYM</v>
      </c>
      <c r="D20703" s="1" t="s">
        <v>493</v>
      </c>
      <c r="E20703" t="s">
        <v>597</v>
      </c>
      <c r="F20703" s="1">
        <v>2</v>
      </c>
      <c r="G20703" s="1" t="s">
        <v>28</v>
      </c>
      <c r="H20703" s="4" t="str">
        <f>HYPERLINK("https://portal.gdc.cancer.gov/cases/8cc1e08d-75b6-48da-90df-e6af23cb4c35","TCGA-X7-A8D7-01A")</f>
        <v>TCGA-X7-A8D7-01A</v>
      </c>
      <c r="I20703" t="s">
        <v>593</v>
      </c>
      <c r="J20703" t="s">
        <v>18</v>
      </c>
      <c r="K20703" t="s">
        <v>33</v>
      </c>
      <c r="L20703" t="s">
        <v>594</v>
      </c>
      <c r="N20703" t="s">
        <v>29</v>
      </c>
    </row>
    <row r="20704" spans="1:14">
      <c r="A20704" s="4" t="str">
        <f t="shared" si="1400"/>
        <v>EXP00450</v>
      </c>
      <c r="B20704" s="3" t="s">
        <v>66</v>
      </c>
      <c r="C20704" s="4" t="str">
        <f t="shared" si="1399"/>
        <v>TCGA-THYM</v>
      </c>
      <c r="D20704" s="1" t="s">
        <v>493</v>
      </c>
      <c r="E20704" t="s">
        <v>597</v>
      </c>
      <c r="F20704" s="1">
        <v>2</v>
      </c>
      <c r="G20704" s="1" t="s">
        <v>28</v>
      </c>
      <c r="H20704" s="4" t="str">
        <f>HYPERLINK("https://portal.gdc.cancer.gov/cases/9291a2cb-98e6-43b9-8cbf-889e6da9bffa","TCGA-X7-A8D8-01A")</f>
        <v>TCGA-X7-A8D8-01A</v>
      </c>
      <c r="I20704" t="s">
        <v>593</v>
      </c>
      <c r="J20704" t="s">
        <v>18</v>
      </c>
      <c r="K20704" t="s">
        <v>33</v>
      </c>
      <c r="L20704" t="s">
        <v>594</v>
      </c>
      <c r="N20704" t="s">
        <v>29</v>
      </c>
    </row>
    <row r="20705" spans="1:14">
      <c r="A20705" s="4" t="str">
        <f t="shared" si="1400"/>
        <v>EXP00450</v>
      </c>
      <c r="B20705" s="3" t="s">
        <v>66</v>
      </c>
      <c r="C20705" s="4" t="str">
        <f t="shared" si="1399"/>
        <v>TCGA-THYM</v>
      </c>
      <c r="D20705" s="1" t="s">
        <v>493</v>
      </c>
      <c r="E20705" t="s">
        <v>597</v>
      </c>
      <c r="F20705" s="1">
        <v>2</v>
      </c>
      <c r="G20705" s="1" t="s">
        <v>28</v>
      </c>
      <c r="H20705" s="4" t="str">
        <f>HYPERLINK("https://portal.gdc.cancer.gov/cases/82505b35-d771-4fb4-8ec4-54a2e5a8ad79","TCGA-X7-A8D9-01A")</f>
        <v>TCGA-X7-A8D9-01A</v>
      </c>
      <c r="I20705" t="s">
        <v>593</v>
      </c>
      <c r="J20705" t="s">
        <v>18</v>
      </c>
      <c r="K20705" t="s">
        <v>33</v>
      </c>
      <c r="L20705" t="s">
        <v>594</v>
      </c>
      <c r="N20705" t="s">
        <v>29</v>
      </c>
    </row>
    <row r="20706" spans="1:14">
      <c r="A20706" s="4" t="str">
        <f t="shared" si="1400"/>
        <v>EXP00450</v>
      </c>
      <c r="B20706" s="3" t="s">
        <v>66</v>
      </c>
      <c r="C20706" s="4" t="str">
        <f t="shared" si="1399"/>
        <v>TCGA-THYM</v>
      </c>
      <c r="D20706" s="1" t="s">
        <v>493</v>
      </c>
      <c r="E20706" t="s">
        <v>597</v>
      </c>
      <c r="F20706" s="1">
        <v>2</v>
      </c>
      <c r="G20706" s="1" t="s">
        <v>28</v>
      </c>
      <c r="H20706" s="4" t="str">
        <f>HYPERLINK("https://portal.gdc.cancer.gov/cases/4165391b-6122-4e87-ba91-ce935e0b3cf4","TCGA-X7-A8DB-01A")</f>
        <v>TCGA-X7-A8DB-01A</v>
      </c>
      <c r="I20706" t="s">
        <v>593</v>
      </c>
      <c r="J20706" t="s">
        <v>18</v>
      </c>
      <c r="K20706" t="s">
        <v>33</v>
      </c>
      <c r="L20706" t="s">
        <v>594</v>
      </c>
      <c r="N20706" t="s">
        <v>29</v>
      </c>
    </row>
    <row r="20707" spans="1:14">
      <c r="A20707" s="4" t="str">
        <f t="shared" si="1400"/>
        <v>EXP00450</v>
      </c>
      <c r="B20707" s="3" t="s">
        <v>66</v>
      </c>
      <c r="C20707" s="4" t="str">
        <f t="shared" si="1399"/>
        <v>TCGA-THYM</v>
      </c>
      <c r="D20707" s="1" t="s">
        <v>493</v>
      </c>
      <c r="E20707" t="s">
        <v>597</v>
      </c>
      <c r="F20707" s="1">
        <v>2</v>
      </c>
      <c r="G20707" s="1" t="s">
        <v>28</v>
      </c>
      <c r="H20707" s="4" t="str">
        <f>HYPERLINK("https://portal.gdc.cancer.gov/cases/b9d753e0-6caf-4569-88d1-af4b76b255a9","TCGA-X7-A8DD-01A")</f>
        <v>TCGA-X7-A8DD-01A</v>
      </c>
      <c r="I20707" t="s">
        <v>593</v>
      </c>
      <c r="J20707" t="s">
        <v>18</v>
      </c>
      <c r="K20707" t="s">
        <v>33</v>
      </c>
      <c r="L20707" t="s">
        <v>594</v>
      </c>
      <c r="N20707" t="s">
        <v>29</v>
      </c>
    </row>
    <row r="20708" spans="1:14">
      <c r="A20708" s="4" t="str">
        <f t="shared" si="1400"/>
        <v>EXP00450</v>
      </c>
      <c r="B20708" s="3" t="s">
        <v>66</v>
      </c>
      <c r="C20708" s="4" t="str">
        <f t="shared" si="1399"/>
        <v>TCGA-THYM</v>
      </c>
      <c r="D20708" s="1" t="s">
        <v>493</v>
      </c>
      <c r="E20708" t="s">
        <v>597</v>
      </c>
      <c r="F20708" s="1">
        <v>2</v>
      </c>
      <c r="G20708" s="1" t="s">
        <v>28</v>
      </c>
      <c r="H20708" s="4" t="str">
        <f>HYPERLINK("https://portal.gdc.cancer.gov/cases/15a2baae-d15e-4349-9358-74356a2d2ad0","TCGA-X7-A8DE-01A")</f>
        <v>TCGA-X7-A8DE-01A</v>
      </c>
      <c r="I20708" t="s">
        <v>593</v>
      </c>
      <c r="J20708" t="s">
        <v>18</v>
      </c>
      <c r="K20708" t="s">
        <v>33</v>
      </c>
      <c r="L20708" t="s">
        <v>594</v>
      </c>
      <c r="N20708" t="s">
        <v>29</v>
      </c>
    </row>
    <row r="20709" spans="1:14">
      <c r="A20709" s="4" t="str">
        <f t="shared" si="1400"/>
        <v>EXP00450</v>
      </c>
      <c r="B20709" s="3" t="s">
        <v>66</v>
      </c>
      <c r="C20709" s="4" t="str">
        <f t="shared" si="1399"/>
        <v>TCGA-THYM</v>
      </c>
      <c r="D20709" s="1" t="s">
        <v>493</v>
      </c>
      <c r="E20709" t="s">
        <v>597</v>
      </c>
      <c r="F20709" s="1">
        <v>2</v>
      </c>
      <c r="G20709" s="1" t="s">
        <v>28</v>
      </c>
      <c r="H20709" s="4" t="str">
        <f>HYPERLINK("https://portal.gdc.cancer.gov/cases/71020ee6-3b76-4e31-b3ce-7e54ce706134","TCGA-X7-A8DF-01A")</f>
        <v>TCGA-X7-A8DF-01A</v>
      </c>
      <c r="I20709" t="s">
        <v>593</v>
      </c>
      <c r="J20709" t="s">
        <v>18</v>
      </c>
      <c r="K20709" t="s">
        <v>33</v>
      </c>
      <c r="L20709" t="s">
        <v>594</v>
      </c>
      <c r="N20709" t="s">
        <v>29</v>
      </c>
    </row>
    <row r="20710" spans="1:14">
      <c r="A20710" s="4" t="str">
        <f t="shared" si="1400"/>
        <v>EXP00450</v>
      </c>
      <c r="B20710" s="3" t="s">
        <v>66</v>
      </c>
      <c r="C20710" s="4" t="str">
        <f t="shared" si="1399"/>
        <v>TCGA-THYM</v>
      </c>
      <c r="D20710" s="1" t="s">
        <v>493</v>
      </c>
      <c r="E20710" t="s">
        <v>597</v>
      </c>
      <c r="F20710" s="1">
        <v>2</v>
      </c>
      <c r="G20710" s="1" t="s">
        <v>28</v>
      </c>
      <c r="H20710" s="4" t="str">
        <f>HYPERLINK("https://portal.gdc.cancer.gov/cases/a653b0bb-aacf-4b11-bb11-42e043e49bf6","TCGA-X7-A8DG-01A")</f>
        <v>TCGA-X7-A8DG-01A</v>
      </c>
      <c r="I20710" t="s">
        <v>593</v>
      </c>
      <c r="J20710" t="s">
        <v>18</v>
      </c>
      <c r="K20710" t="s">
        <v>33</v>
      </c>
      <c r="L20710" t="s">
        <v>594</v>
      </c>
      <c r="N20710" t="s">
        <v>29</v>
      </c>
    </row>
    <row r="20711" spans="1:14">
      <c r="A20711" s="4" t="str">
        <f t="shared" si="1400"/>
        <v>EXP00450</v>
      </c>
      <c r="B20711" s="3" t="s">
        <v>66</v>
      </c>
      <c r="C20711" s="4" t="str">
        <f t="shared" si="1399"/>
        <v>TCGA-THYM</v>
      </c>
      <c r="D20711" s="1" t="s">
        <v>493</v>
      </c>
      <c r="E20711" t="s">
        <v>597</v>
      </c>
      <c r="F20711" s="1">
        <v>2</v>
      </c>
      <c r="G20711" s="1" t="s">
        <v>28</v>
      </c>
      <c r="H20711" s="4" t="str">
        <f>HYPERLINK("https://portal.gdc.cancer.gov/cases/d2385e2f-82e3-4ac3-bde2-0bf2daa46860","TCGA-X7-A8DJ-01A")</f>
        <v>TCGA-X7-A8DJ-01A</v>
      </c>
      <c r="I20711" t="s">
        <v>593</v>
      </c>
      <c r="J20711" t="s">
        <v>18</v>
      </c>
      <c r="K20711" t="s">
        <v>33</v>
      </c>
      <c r="L20711" t="s">
        <v>594</v>
      </c>
      <c r="N20711" t="s">
        <v>29</v>
      </c>
    </row>
    <row r="20712" spans="1:14">
      <c r="A20712" s="4" t="str">
        <f t="shared" si="1400"/>
        <v>EXP00450</v>
      </c>
      <c r="B20712" s="3" t="s">
        <v>66</v>
      </c>
      <c r="C20712" s="4" t="str">
        <f t="shared" si="1399"/>
        <v>TCGA-THYM</v>
      </c>
      <c r="D20712" s="1" t="s">
        <v>493</v>
      </c>
      <c r="E20712" t="s">
        <v>597</v>
      </c>
      <c r="F20712" s="1">
        <v>2</v>
      </c>
      <c r="G20712" s="1" t="s">
        <v>28</v>
      </c>
      <c r="H20712" s="4" t="str">
        <f>HYPERLINK("https://portal.gdc.cancer.gov/cases/262b4693-961b-4006-be4e-e6f38a1cce4a","TCGA-X7-A8M0-01A")</f>
        <v>TCGA-X7-A8M0-01A</v>
      </c>
      <c r="I20712" t="s">
        <v>593</v>
      </c>
      <c r="J20712" t="s">
        <v>18</v>
      </c>
      <c r="K20712" t="s">
        <v>33</v>
      </c>
      <c r="L20712" t="s">
        <v>594</v>
      </c>
      <c r="N20712" t="s">
        <v>29</v>
      </c>
    </row>
    <row r="20713" spans="1:14">
      <c r="A20713" s="4" t="str">
        <f t="shared" si="1400"/>
        <v>EXP00450</v>
      </c>
      <c r="B20713" s="3" t="s">
        <v>66</v>
      </c>
      <c r="C20713" s="4" t="str">
        <f t="shared" si="1399"/>
        <v>TCGA-THYM</v>
      </c>
      <c r="D20713" s="1" t="s">
        <v>493</v>
      </c>
      <c r="E20713" t="s">
        <v>597</v>
      </c>
      <c r="F20713" s="1">
        <v>2</v>
      </c>
      <c r="G20713" s="1" t="s">
        <v>28</v>
      </c>
      <c r="H20713" s="4" t="str">
        <f>HYPERLINK("https://portal.gdc.cancer.gov/cases/18c3debb-08ea-4ca1-ade4-d577bcee4fa2","TCGA-X7-A8M1-01A")</f>
        <v>TCGA-X7-A8M1-01A</v>
      </c>
      <c r="I20713" t="s">
        <v>593</v>
      </c>
      <c r="J20713" t="s">
        <v>18</v>
      </c>
      <c r="K20713" t="s">
        <v>33</v>
      </c>
      <c r="L20713" t="s">
        <v>594</v>
      </c>
      <c r="N20713" t="s">
        <v>29</v>
      </c>
    </row>
    <row r="20714" spans="1:14">
      <c r="A20714" s="4" t="str">
        <f t="shared" si="1400"/>
        <v>EXP00450</v>
      </c>
      <c r="B20714" s="3" t="s">
        <v>66</v>
      </c>
      <c r="C20714" s="4" t="str">
        <f t="shared" si="1399"/>
        <v>TCGA-THYM</v>
      </c>
      <c r="D20714" s="1" t="s">
        <v>493</v>
      </c>
      <c r="E20714" t="s">
        <v>597</v>
      </c>
      <c r="F20714" s="1">
        <v>2</v>
      </c>
      <c r="G20714" s="1" t="s">
        <v>28</v>
      </c>
      <c r="H20714" s="4" t="str">
        <f>HYPERLINK("https://portal.gdc.cancer.gov/cases/1248516e-7552-4a33-a1ab-2884d551ef32","TCGA-X7-A8M3-01A")</f>
        <v>TCGA-X7-A8M3-01A</v>
      </c>
      <c r="I20714" t="s">
        <v>593</v>
      </c>
      <c r="J20714" t="s">
        <v>18</v>
      </c>
      <c r="K20714" t="s">
        <v>33</v>
      </c>
      <c r="L20714" t="s">
        <v>594</v>
      </c>
      <c r="N20714" t="s">
        <v>29</v>
      </c>
    </row>
    <row r="20715" spans="1:14">
      <c r="A20715" s="4" t="str">
        <f t="shared" si="1400"/>
        <v>EXP00450</v>
      </c>
      <c r="B20715" s="3" t="s">
        <v>66</v>
      </c>
      <c r="C20715" s="4" t="str">
        <f t="shared" si="1399"/>
        <v>TCGA-THYM</v>
      </c>
      <c r="D20715" s="1" t="s">
        <v>493</v>
      </c>
      <c r="E20715" t="s">
        <v>597</v>
      </c>
      <c r="F20715" s="1">
        <v>2</v>
      </c>
      <c r="G20715" s="1" t="s">
        <v>28</v>
      </c>
      <c r="H20715" s="4" t="str">
        <f>HYPERLINK("https://portal.gdc.cancer.gov/cases/23cc4cd3-87dc-4342-9072-be3695e393fa","TCGA-X7-A8M4-01A")</f>
        <v>TCGA-X7-A8M4-01A</v>
      </c>
      <c r="I20715" t="s">
        <v>593</v>
      </c>
      <c r="J20715" t="s">
        <v>18</v>
      </c>
      <c r="K20715" t="s">
        <v>33</v>
      </c>
      <c r="L20715" t="s">
        <v>594</v>
      </c>
      <c r="N20715" t="s">
        <v>29</v>
      </c>
    </row>
    <row r="20716" spans="1:14">
      <c r="A20716" s="4" t="str">
        <f t="shared" si="1400"/>
        <v>EXP00450</v>
      </c>
      <c r="B20716" s="3" t="s">
        <v>66</v>
      </c>
      <c r="C20716" s="4" t="str">
        <f t="shared" si="1399"/>
        <v>TCGA-THYM</v>
      </c>
      <c r="D20716" s="1" t="s">
        <v>493</v>
      </c>
      <c r="E20716" t="s">
        <v>597</v>
      </c>
      <c r="F20716" s="1">
        <v>2</v>
      </c>
      <c r="G20716" s="1" t="s">
        <v>28</v>
      </c>
      <c r="H20716" s="4" t="str">
        <f>HYPERLINK("https://portal.gdc.cancer.gov/cases/0477055e-a57e-4bdb-89ab-2999881bdd6c","TCGA-X7-A8M5-01A")</f>
        <v>TCGA-X7-A8M5-01A</v>
      </c>
      <c r="I20716" t="s">
        <v>593</v>
      </c>
      <c r="J20716" t="s">
        <v>18</v>
      </c>
      <c r="K20716" t="s">
        <v>33</v>
      </c>
      <c r="L20716" t="s">
        <v>594</v>
      </c>
      <c r="N20716" t="s">
        <v>29</v>
      </c>
    </row>
    <row r="20717" spans="1:14">
      <c r="A20717" s="4" t="str">
        <f t="shared" si="1400"/>
        <v>EXP00450</v>
      </c>
      <c r="B20717" s="3" t="s">
        <v>66</v>
      </c>
      <c r="C20717" s="4" t="str">
        <f t="shared" si="1399"/>
        <v>TCGA-THYM</v>
      </c>
      <c r="D20717" s="1" t="s">
        <v>493</v>
      </c>
      <c r="E20717" t="s">
        <v>597</v>
      </c>
      <c r="F20717" s="1">
        <v>2</v>
      </c>
      <c r="G20717" s="1" t="s">
        <v>28</v>
      </c>
      <c r="H20717" s="4" t="str">
        <f>HYPERLINK("https://portal.gdc.cancer.gov/cases/a6885883-f1a2-48dd-8d72-0038319069a1","TCGA-X7-A8M6-01A")</f>
        <v>TCGA-X7-A8M6-01A</v>
      </c>
      <c r="I20717" t="s">
        <v>593</v>
      </c>
      <c r="J20717" t="s">
        <v>18</v>
      </c>
      <c r="K20717" t="s">
        <v>33</v>
      </c>
      <c r="L20717" t="s">
        <v>594</v>
      </c>
      <c r="N20717" t="s">
        <v>29</v>
      </c>
    </row>
    <row r="20718" spans="1:14">
      <c r="A20718" s="4" t="str">
        <f t="shared" si="1400"/>
        <v>EXP00450</v>
      </c>
      <c r="B20718" s="3" t="s">
        <v>66</v>
      </c>
      <c r="C20718" s="4" t="str">
        <f t="shared" si="1399"/>
        <v>TCGA-THYM</v>
      </c>
      <c r="D20718" s="1" t="s">
        <v>493</v>
      </c>
      <c r="E20718" t="s">
        <v>597</v>
      </c>
      <c r="F20718" s="1">
        <v>2</v>
      </c>
      <c r="G20718" s="1" t="s">
        <v>28</v>
      </c>
      <c r="H20718" s="4" t="str">
        <f>HYPERLINK("https://portal.gdc.cancer.gov/cases/56c4f5e8-4e89-4ba0-984d-e17f11a401f5","TCGA-X7-A8M7-01A")</f>
        <v>TCGA-X7-A8M7-01A</v>
      </c>
      <c r="I20718" t="s">
        <v>593</v>
      </c>
      <c r="J20718" t="s">
        <v>18</v>
      </c>
      <c r="K20718" t="s">
        <v>33</v>
      </c>
      <c r="L20718" t="s">
        <v>594</v>
      </c>
      <c r="N20718" t="s">
        <v>29</v>
      </c>
    </row>
    <row r="20719" spans="1:14">
      <c r="A20719" s="4" t="str">
        <f t="shared" si="1400"/>
        <v>EXP00450</v>
      </c>
      <c r="B20719" s="3" t="s">
        <v>66</v>
      </c>
      <c r="C20719" s="4" t="str">
        <f t="shared" si="1399"/>
        <v>TCGA-THYM</v>
      </c>
      <c r="D20719" s="1" t="s">
        <v>493</v>
      </c>
      <c r="E20719" t="s">
        <v>597</v>
      </c>
      <c r="F20719" s="1">
        <v>2</v>
      </c>
      <c r="G20719" s="1" t="s">
        <v>28</v>
      </c>
      <c r="H20719" s="4" t="str">
        <f>HYPERLINK("https://portal.gdc.cancer.gov/cases/b1fa64a6-f86b-43b6-a488-54fe6fe85e9c","TCGA-X7-A8M8-01A")</f>
        <v>TCGA-X7-A8M8-01A</v>
      </c>
      <c r="I20719" t="s">
        <v>593</v>
      </c>
      <c r="J20719" t="s">
        <v>18</v>
      </c>
      <c r="K20719" t="s">
        <v>33</v>
      </c>
      <c r="L20719" t="s">
        <v>594</v>
      </c>
      <c r="N20719" t="s">
        <v>29</v>
      </c>
    </row>
    <row r="20720" spans="1:14">
      <c r="A20720" s="4" t="str">
        <f t="shared" si="1400"/>
        <v>EXP00450</v>
      </c>
      <c r="B20720" s="3" t="s">
        <v>66</v>
      </c>
      <c r="C20720" s="4" t="str">
        <f t="shared" si="1399"/>
        <v>TCGA-THYM</v>
      </c>
      <c r="D20720" s="1" t="s">
        <v>493</v>
      </c>
      <c r="E20720" t="s">
        <v>597</v>
      </c>
      <c r="F20720" s="1">
        <v>2</v>
      </c>
      <c r="G20720" s="1" t="s">
        <v>28</v>
      </c>
      <c r="H20720" s="4" t="str">
        <f>HYPERLINK("https://portal.gdc.cancer.gov/cases/9bbd057c-5a3b-4e04-8df7-c2f0c1823084","TCGA-XH-A853-01A")</f>
        <v>TCGA-XH-A853-01A</v>
      </c>
      <c r="I20720" t="s">
        <v>593</v>
      </c>
      <c r="J20720" t="s">
        <v>18</v>
      </c>
      <c r="K20720" t="s">
        <v>33</v>
      </c>
      <c r="L20720" t="s">
        <v>594</v>
      </c>
      <c r="N20720" t="s">
        <v>29</v>
      </c>
    </row>
    <row r="20721" spans="1:14">
      <c r="A20721" s="4" t="str">
        <f t="shared" si="1400"/>
        <v>EXP00450</v>
      </c>
      <c r="B20721" s="3" t="s">
        <v>66</v>
      </c>
      <c r="C20721" s="4" t="str">
        <f t="shared" si="1399"/>
        <v>TCGA-THYM</v>
      </c>
      <c r="D20721" s="1" t="s">
        <v>493</v>
      </c>
      <c r="E20721" t="s">
        <v>597</v>
      </c>
      <c r="F20721" s="1">
        <v>2</v>
      </c>
      <c r="G20721" s="1" t="s">
        <v>28</v>
      </c>
      <c r="H20721" s="4" t="str">
        <f>HYPERLINK("https://portal.gdc.cancer.gov/cases/3afa9201-61ad-4958-925f-b93912d2841a","TCGA-XM-A8R8-01A")</f>
        <v>TCGA-XM-A8R8-01A</v>
      </c>
      <c r="I20721" t="s">
        <v>593</v>
      </c>
      <c r="J20721" t="s">
        <v>18</v>
      </c>
      <c r="K20721" t="s">
        <v>33</v>
      </c>
      <c r="L20721" t="s">
        <v>594</v>
      </c>
      <c r="N20721" t="s">
        <v>29</v>
      </c>
    </row>
    <row r="20722" spans="1:14">
      <c r="A20722" s="4" t="str">
        <f t="shared" si="1400"/>
        <v>EXP00450</v>
      </c>
      <c r="B20722" s="3" t="s">
        <v>66</v>
      </c>
      <c r="C20722" s="4" t="str">
        <f t="shared" si="1399"/>
        <v>TCGA-THYM</v>
      </c>
      <c r="D20722" s="1" t="s">
        <v>493</v>
      </c>
      <c r="E20722" t="s">
        <v>597</v>
      </c>
      <c r="F20722" s="1">
        <v>2</v>
      </c>
      <c r="G20722" s="1" t="s">
        <v>28</v>
      </c>
      <c r="H20722" s="4" t="str">
        <f>HYPERLINK("https://portal.gdc.cancer.gov/cases/49d8939c-7c23-4a6c-b71a-0c39c262c346","TCGA-XM-A8R9-01A")</f>
        <v>TCGA-XM-A8R9-01A</v>
      </c>
      <c r="I20722" t="s">
        <v>593</v>
      </c>
      <c r="J20722" t="s">
        <v>18</v>
      </c>
      <c r="K20722" t="s">
        <v>33</v>
      </c>
      <c r="L20722" t="s">
        <v>594</v>
      </c>
      <c r="N20722" t="s">
        <v>29</v>
      </c>
    </row>
    <row r="20723" spans="1:14">
      <c r="A20723" s="4" t="str">
        <f t="shared" si="1400"/>
        <v>EXP00450</v>
      </c>
      <c r="B20723" s="3" t="s">
        <v>66</v>
      </c>
      <c r="C20723" s="4" t="str">
        <f t="shared" si="1399"/>
        <v>TCGA-THYM</v>
      </c>
      <c r="D20723" s="1" t="s">
        <v>493</v>
      </c>
      <c r="E20723" t="s">
        <v>597</v>
      </c>
      <c r="F20723" s="1">
        <v>2</v>
      </c>
      <c r="G20723" s="1" t="s">
        <v>28</v>
      </c>
      <c r="H20723" s="4" t="str">
        <f>HYPERLINK("https://portal.gdc.cancer.gov/cases/335535a1-e3d4-41a1-bbdb-1d5afd5acfd3","TCGA-XM-A8RB-01A")</f>
        <v>TCGA-XM-A8RB-01A</v>
      </c>
      <c r="I20723" t="s">
        <v>593</v>
      </c>
      <c r="J20723" t="s">
        <v>18</v>
      </c>
      <c r="K20723" t="s">
        <v>33</v>
      </c>
      <c r="L20723" t="s">
        <v>594</v>
      </c>
      <c r="N20723" t="s">
        <v>29</v>
      </c>
    </row>
    <row r="20724" spans="1:14">
      <c r="A20724" s="4" t="str">
        <f t="shared" si="1400"/>
        <v>EXP00450</v>
      </c>
      <c r="B20724" s="3" t="s">
        <v>66</v>
      </c>
      <c r="C20724" s="4" t="str">
        <f t="shared" si="1399"/>
        <v>TCGA-THYM</v>
      </c>
      <c r="D20724" s="1" t="s">
        <v>493</v>
      </c>
      <c r="E20724" t="s">
        <v>597</v>
      </c>
      <c r="F20724" s="1">
        <v>2</v>
      </c>
      <c r="G20724" s="1" t="s">
        <v>28</v>
      </c>
      <c r="H20724" s="4" t="str">
        <f>HYPERLINK("https://portal.gdc.cancer.gov/cases/b8348adb-17dd-4849-bd4f-c2e7e15db1f4","TCGA-XM-A8RC-01A")</f>
        <v>TCGA-XM-A8RC-01A</v>
      </c>
      <c r="I20724" t="s">
        <v>593</v>
      </c>
      <c r="J20724" t="s">
        <v>18</v>
      </c>
      <c r="K20724" t="s">
        <v>33</v>
      </c>
      <c r="L20724" t="s">
        <v>594</v>
      </c>
      <c r="N20724" t="s">
        <v>29</v>
      </c>
    </row>
    <row r="20725" spans="1:14">
      <c r="A20725" s="4" t="str">
        <f t="shared" si="1400"/>
        <v>EXP00450</v>
      </c>
      <c r="B20725" s="3" t="s">
        <v>66</v>
      </c>
      <c r="C20725" s="4" t="str">
        <f t="shared" si="1399"/>
        <v>TCGA-THYM</v>
      </c>
      <c r="D20725" s="1" t="s">
        <v>493</v>
      </c>
      <c r="E20725" t="s">
        <v>597</v>
      </c>
      <c r="F20725" s="1">
        <v>2</v>
      </c>
      <c r="G20725" s="1" t="s">
        <v>28</v>
      </c>
      <c r="H20725" s="4" t="str">
        <f>HYPERLINK("https://portal.gdc.cancer.gov/cases/68d2ab61-50fc-41e8-b3ee-75c70f0f4369","TCGA-XM-A8RD-01A")</f>
        <v>TCGA-XM-A8RD-01A</v>
      </c>
      <c r="I20725" t="s">
        <v>593</v>
      </c>
      <c r="J20725" t="s">
        <v>18</v>
      </c>
      <c r="K20725" t="s">
        <v>33</v>
      </c>
      <c r="L20725" t="s">
        <v>594</v>
      </c>
      <c r="N20725" t="s">
        <v>29</v>
      </c>
    </row>
    <row r="20726" spans="1:14">
      <c r="A20726" s="4" t="str">
        <f t="shared" si="1400"/>
        <v>EXP00450</v>
      </c>
      <c r="B20726" s="3" t="s">
        <v>66</v>
      </c>
      <c r="C20726" s="4" t="str">
        <f t="shared" si="1399"/>
        <v>TCGA-THYM</v>
      </c>
      <c r="D20726" s="1" t="s">
        <v>493</v>
      </c>
      <c r="E20726" t="s">
        <v>597</v>
      </c>
      <c r="F20726" s="1">
        <v>2</v>
      </c>
      <c r="G20726" s="1" t="s">
        <v>28</v>
      </c>
      <c r="H20726" s="4" t="str">
        <f>HYPERLINK("https://portal.gdc.cancer.gov/cases/a4f4c331-97a3-48c4-aa3e-27304c1eb611","TCGA-XM-A8RE-01A")</f>
        <v>TCGA-XM-A8RE-01A</v>
      </c>
      <c r="I20726" t="s">
        <v>593</v>
      </c>
      <c r="J20726" t="s">
        <v>18</v>
      </c>
      <c r="K20726" t="s">
        <v>33</v>
      </c>
      <c r="L20726" t="s">
        <v>594</v>
      </c>
      <c r="N20726" t="s">
        <v>29</v>
      </c>
    </row>
    <row r="20727" spans="1:14">
      <c r="A20727" s="4" t="str">
        <f t="shared" si="1400"/>
        <v>EXP00450</v>
      </c>
      <c r="B20727" s="3" t="s">
        <v>66</v>
      </c>
      <c r="C20727" s="4" t="str">
        <f t="shared" si="1399"/>
        <v>TCGA-THYM</v>
      </c>
      <c r="D20727" s="1" t="s">
        <v>493</v>
      </c>
      <c r="E20727" t="s">
        <v>597</v>
      </c>
      <c r="F20727" s="1">
        <v>2</v>
      </c>
      <c r="G20727" s="1" t="s">
        <v>28</v>
      </c>
      <c r="H20727" s="4" t="str">
        <f>HYPERLINK("https://portal.gdc.cancer.gov/cases/aea15ea1-38c2-4d0e-824d-e3495271b05d","TCGA-XM-A8RF-01A")</f>
        <v>TCGA-XM-A8RF-01A</v>
      </c>
      <c r="I20727" t="s">
        <v>593</v>
      </c>
      <c r="J20727" t="s">
        <v>18</v>
      </c>
      <c r="K20727" t="s">
        <v>33</v>
      </c>
      <c r="L20727" t="s">
        <v>594</v>
      </c>
      <c r="N20727" t="s">
        <v>29</v>
      </c>
    </row>
    <row r="20728" spans="1:14">
      <c r="A20728" s="4" t="str">
        <f t="shared" si="1400"/>
        <v>EXP00450</v>
      </c>
      <c r="B20728" s="3" t="s">
        <v>66</v>
      </c>
      <c r="C20728" s="4" t="str">
        <f t="shared" si="1399"/>
        <v>TCGA-THYM</v>
      </c>
      <c r="D20728" s="1" t="s">
        <v>493</v>
      </c>
      <c r="E20728" t="s">
        <v>597</v>
      </c>
      <c r="F20728" s="1">
        <v>2</v>
      </c>
      <c r="G20728" s="1" t="s">
        <v>28</v>
      </c>
      <c r="H20728" s="4" t="str">
        <f>HYPERLINK("https://portal.gdc.cancer.gov/cases/fc9b7bf7-e649-4163-ad5a-b741785d3b79","TCGA-XM-A8RG-01A")</f>
        <v>TCGA-XM-A8RG-01A</v>
      </c>
      <c r="I20728" t="s">
        <v>593</v>
      </c>
      <c r="J20728" t="s">
        <v>18</v>
      </c>
      <c r="K20728" t="s">
        <v>33</v>
      </c>
      <c r="L20728" t="s">
        <v>594</v>
      </c>
      <c r="N20728" t="s">
        <v>29</v>
      </c>
    </row>
    <row r="20729" spans="1:14">
      <c r="A20729" s="4" t="str">
        <f t="shared" si="1400"/>
        <v>EXP00450</v>
      </c>
      <c r="B20729" s="3" t="s">
        <v>66</v>
      </c>
      <c r="C20729" s="4" t="str">
        <f t="shared" si="1399"/>
        <v>TCGA-THYM</v>
      </c>
      <c r="D20729" s="1" t="s">
        <v>493</v>
      </c>
      <c r="E20729" t="s">
        <v>597</v>
      </c>
      <c r="F20729" s="1">
        <v>2</v>
      </c>
      <c r="G20729" s="1" t="s">
        <v>28</v>
      </c>
      <c r="H20729" s="4" t="str">
        <f>HYPERLINK("https://portal.gdc.cancer.gov/cases/154c7698-c0fe-40da-b0fc-47b6385fcee1","TCGA-XM-A8RH-01A")</f>
        <v>TCGA-XM-A8RH-01A</v>
      </c>
      <c r="I20729" t="s">
        <v>593</v>
      </c>
      <c r="J20729" t="s">
        <v>18</v>
      </c>
      <c r="K20729" t="s">
        <v>33</v>
      </c>
      <c r="L20729" t="s">
        <v>594</v>
      </c>
      <c r="N20729" t="s">
        <v>29</v>
      </c>
    </row>
    <row r="20730" spans="1:14">
      <c r="A20730" s="4" t="str">
        <f t="shared" si="1400"/>
        <v>EXP00450</v>
      </c>
      <c r="B20730" s="3" t="s">
        <v>66</v>
      </c>
      <c r="C20730" s="4" t="str">
        <f t="shared" si="1399"/>
        <v>TCGA-THYM</v>
      </c>
      <c r="D20730" s="1" t="s">
        <v>493</v>
      </c>
      <c r="E20730" t="s">
        <v>597</v>
      </c>
      <c r="F20730" s="1">
        <v>2</v>
      </c>
      <c r="G20730" s="1" t="s">
        <v>28</v>
      </c>
      <c r="H20730" s="4" t="str">
        <f>HYPERLINK("https://portal.gdc.cancer.gov/cases/7fc85735-1bf2-4414-973c-e18f030e5ac0","TCGA-XM-A8RI-01A")</f>
        <v>TCGA-XM-A8RI-01A</v>
      </c>
      <c r="I20730" t="s">
        <v>593</v>
      </c>
      <c r="J20730" t="s">
        <v>18</v>
      </c>
      <c r="K20730" t="s">
        <v>33</v>
      </c>
      <c r="L20730" t="s">
        <v>594</v>
      </c>
      <c r="N20730" t="s">
        <v>29</v>
      </c>
    </row>
    <row r="20731" spans="1:14">
      <c r="A20731" s="4" t="str">
        <f t="shared" si="1400"/>
        <v>EXP00450</v>
      </c>
      <c r="B20731" s="3" t="s">
        <v>66</v>
      </c>
      <c r="C20731" s="4" t="str">
        <f t="shared" si="1399"/>
        <v>TCGA-THYM</v>
      </c>
      <c r="D20731" s="1" t="s">
        <v>493</v>
      </c>
      <c r="E20731" t="s">
        <v>597</v>
      </c>
      <c r="F20731" s="1">
        <v>2</v>
      </c>
      <c r="G20731" s="1" t="s">
        <v>28</v>
      </c>
      <c r="H20731" s="4" t="str">
        <f>HYPERLINK("https://portal.gdc.cancer.gov/cases/dd240b82-b1d6-4c0f-aa3e-6fcfe1364ec1","TCGA-XM-A8RL-01A")</f>
        <v>TCGA-XM-A8RL-01A</v>
      </c>
      <c r="I20731" t="s">
        <v>593</v>
      </c>
      <c r="J20731" t="s">
        <v>18</v>
      </c>
      <c r="K20731" t="s">
        <v>33</v>
      </c>
      <c r="L20731" t="s">
        <v>594</v>
      </c>
      <c r="N20731" t="s">
        <v>29</v>
      </c>
    </row>
    <row r="20732" spans="1:14">
      <c r="A20732" s="4" t="str">
        <f t="shared" si="1400"/>
        <v>EXP00450</v>
      </c>
      <c r="B20732" s="3" t="s">
        <v>66</v>
      </c>
      <c r="C20732" s="4" t="str">
        <f t="shared" si="1399"/>
        <v>TCGA-THYM</v>
      </c>
      <c r="D20732" s="1" t="s">
        <v>493</v>
      </c>
      <c r="E20732" t="s">
        <v>597</v>
      </c>
      <c r="F20732" s="1">
        <v>2</v>
      </c>
      <c r="G20732" s="1" t="s">
        <v>28</v>
      </c>
      <c r="H20732" s="4" t="str">
        <f>HYPERLINK("https://portal.gdc.cancer.gov/cases/9084a558-11ea-448c-9f9d-0f90a94a29af","TCGA-XM-AAZ1-01A")</f>
        <v>TCGA-XM-AAZ1-01A</v>
      </c>
      <c r="I20732" t="s">
        <v>593</v>
      </c>
      <c r="J20732" t="s">
        <v>18</v>
      </c>
      <c r="K20732" t="s">
        <v>33</v>
      </c>
      <c r="L20732" t="s">
        <v>594</v>
      </c>
      <c r="N20732" t="s">
        <v>29</v>
      </c>
    </row>
    <row r="20733" spans="1:14">
      <c r="A20733" s="4" t="str">
        <f t="shared" si="1400"/>
        <v>EXP00450</v>
      </c>
      <c r="B20733" s="3" t="s">
        <v>66</v>
      </c>
      <c r="C20733" s="4" t="str">
        <f t="shared" si="1399"/>
        <v>TCGA-THYM</v>
      </c>
      <c r="D20733" s="1" t="s">
        <v>493</v>
      </c>
      <c r="E20733" t="s">
        <v>597</v>
      </c>
      <c r="F20733" s="1">
        <v>2</v>
      </c>
      <c r="G20733" s="1" t="s">
        <v>28</v>
      </c>
      <c r="H20733" s="4" t="str">
        <f>HYPERLINK("https://portal.gdc.cancer.gov/cases/17e2bf75-4ce6-4cd7-94a1-434c5aa36549","TCGA-XM-AAZ2-01A")</f>
        <v>TCGA-XM-AAZ2-01A</v>
      </c>
      <c r="I20733" t="s">
        <v>593</v>
      </c>
      <c r="J20733" t="s">
        <v>18</v>
      </c>
      <c r="K20733" t="s">
        <v>33</v>
      </c>
      <c r="L20733" t="s">
        <v>594</v>
      </c>
      <c r="N20733" t="s">
        <v>29</v>
      </c>
    </row>
    <row r="20734" spans="1:14">
      <c r="A20734" s="4" t="str">
        <f t="shared" ref="A20734:A20765" si="1401">HYPERLINK("http://hcmdb.i-sanger.com/experiment/details/experiment_id/EXP00450","EXP00450")</f>
        <v>EXP00450</v>
      </c>
      <c r="B20734" s="3" t="s">
        <v>66</v>
      </c>
      <c r="C20734" s="4" t="str">
        <f t="shared" si="1399"/>
        <v>TCGA-THYM</v>
      </c>
      <c r="D20734" s="1" t="s">
        <v>493</v>
      </c>
      <c r="E20734" t="s">
        <v>597</v>
      </c>
      <c r="F20734" s="1">
        <v>2</v>
      </c>
      <c r="G20734" s="1" t="s">
        <v>28</v>
      </c>
      <c r="H20734" s="4" t="str">
        <f>HYPERLINK("https://portal.gdc.cancer.gov/cases/2fdb7682-1dce-40bf-8180-d3a5a084ecb1","TCGA-XM-AAZ3-01A")</f>
        <v>TCGA-XM-AAZ3-01A</v>
      </c>
      <c r="I20734" t="s">
        <v>593</v>
      </c>
      <c r="J20734" t="s">
        <v>18</v>
      </c>
      <c r="K20734" t="s">
        <v>33</v>
      </c>
      <c r="L20734" t="s">
        <v>594</v>
      </c>
      <c r="N20734" t="s">
        <v>29</v>
      </c>
    </row>
    <row r="20735" spans="1:14">
      <c r="A20735" s="4" t="str">
        <f t="shared" si="1401"/>
        <v>EXP00450</v>
      </c>
      <c r="B20735" s="3" t="s">
        <v>66</v>
      </c>
      <c r="C20735" s="4" t="str">
        <f t="shared" si="1399"/>
        <v>TCGA-THYM</v>
      </c>
      <c r="D20735" s="1" t="s">
        <v>493</v>
      </c>
      <c r="E20735" t="s">
        <v>597</v>
      </c>
      <c r="F20735" s="1">
        <v>2</v>
      </c>
      <c r="G20735" s="1" t="s">
        <v>28</v>
      </c>
      <c r="H20735" s="4" t="str">
        <f>HYPERLINK("https://portal.gdc.cancer.gov/cases/b1774c5c-7a6f-4bf6-8539-15a35f1457e6","TCGA-XU-A92O-01A")</f>
        <v>TCGA-XU-A92O-01A</v>
      </c>
      <c r="I20735" t="s">
        <v>593</v>
      </c>
      <c r="J20735" t="s">
        <v>18</v>
      </c>
      <c r="K20735" t="s">
        <v>33</v>
      </c>
      <c r="L20735" t="s">
        <v>594</v>
      </c>
      <c r="N20735" t="s">
        <v>29</v>
      </c>
    </row>
    <row r="20736" spans="1:14">
      <c r="A20736" s="4" t="str">
        <f t="shared" si="1401"/>
        <v>EXP00450</v>
      </c>
      <c r="B20736" s="3" t="s">
        <v>66</v>
      </c>
      <c r="C20736" s="4" t="str">
        <f t="shared" si="1399"/>
        <v>TCGA-THYM</v>
      </c>
      <c r="D20736" s="1" t="s">
        <v>493</v>
      </c>
      <c r="E20736" t="s">
        <v>597</v>
      </c>
      <c r="F20736" s="1">
        <v>2</v>
      </c>
      <c r="G20736" s="1" t="s">
        <v>28</v>
      </c>
      <c r="H20736" s="4" t="str">
        <f>HYPERLINK("https://portal.gdc.cancer.gov/cases/b7e1a4f5-9173-41c2-8079-c5ce59c8d190","TCGA-XU-A92Q-01A")</f>
        <v>TCGA-XU-A92Q-01A</v>
      </c>
      <c r="I20736" t="s">
        <v>593</v>
      </c>
      <c r="J20736" t="s">
        <v>18</v>
      </c>
      <c r="K20736" t="s">
        <v>33</v>
      </c>
      <c r="L20736" t="s">
        <v>594</v>
      </c>
      <c r="N20736" t="s">
        <v>29</v>
      </c>
    </row>
    <row r="20737" spans="1:14">
      <c r="A20737" s="4" t="str">
        <f t="shared" si="1401"/>
        <v>EXP00450</v>
      </c>
      <c r="B20737" s="3" t="s">
        <v>66</v>
      </c>
      <c r="C20737" s="4" t="str">
        <f t="shared" si="1399"/>
        <v>TCGA-THYM</v>
      </c>
      <c r="D20737" s="1" t="s">
        <v>493</v>
      </c>
      <c r="E20737" t="s">
        <v>597</v>
      </c>
      <c r="F20737" s="1">
        <v>2</v>
      </c>
      <c r="G20737" s="1" t="s">
        <v>28</v>
      </c>
      <c r="H20737" s="4" t="str">
        <f>HYPERLINK("https://portal.gdc.cancer.gov/cases/e464f16e-151c-4754-a8ff-e35b31d4c76f","TCGA-XU-A92T-01A")</f>
        <v>TCGA-XU-A92T-01A</v>
      </c>
      <c r="I20737" t="s">
        <v>593</v>
      </c>
      <c r="J20737" t="s">
        <v>18</v>
      </c>
      <c r="K20737" t="s">
        <v>33</v>
      </c>
      <c r="L20737" t="s">
        <v>594</v>
      </c>
      <c r="N20737" t="s">
        <v>29</v>
      </c>
    </row>
    <row r="20738" spans="1:14">
      <c r="A20738" s="4" t="str">
        <f t="shared" si="1401"/>
        <v>EXP00450</v>
      </c>
      <c r="B20738" s="3" t="s">
        <v>66</v>
      </c>
      <c r="C20738" s="4" t="str">
        <f t="shared" si="1399"/>
        <v>TCGA-THYM</v>
      </c>
      <c r="D20738" s="1" t="s">
        <v>493</v>
      </c>
      <c r="E20738" t="s">
        <v>597</v>
      </c>
      <c r="F20738" s="1">
        <v>2</v>
      </c>
      <c r="G20738" s="1" t="s">
        <v>28</v>
      </c>
      <c r="H20738" s="4" t="str">
        <f>HYPERLINK("https://portal.gdc.cancer.gov/cases/fac44b50-aa8c-498e-88af-4eb5c2f5f67a","TCGA-XU-A92U-01A")</f>
        <v>TCGA-XU-A92U-01A</v>
      </c>
      <c r="I20738" t="s">
        <v>593</v>
      </c>
      <c r="J20738" t="s">
        <v>18</v>
      </c>
      <c r="K20738" t="s">
        <v>33</v>
      </c>
      <c r="L20738" t="s">
        <v>594</v>
      </c>
      <c r="N20738" t="s">
        <v>29</v>
      </c>
    </row>
    <row r="20739" spans="1:14">
      <c r="A20739" s="4" t="str">
        <f t="shared" si="1401"/>
        <v>EXP00450</v>
      </c>
      <c r="B20739" s="3" t="s">
        <v>66</v>
      </c>
      <c r="C20739" s="4" t="str">
        <f t="shared" si="1399"/>
        <v>TCGA-THYM</v>
      </c>
      <c r="D20739" s="1" t="s">
        <v>493</v>
      </c>
      <c r="E20739" t="s">
        <v>597</v>
      </c>
      <c r="F20739" s="1">
        <v>2</v>
      </c>
      <c r="G20739" s="1" t="s">
        <v>28</v>
      </c>
      <c r="H20739" s="4" t="str">
        <f>HYPERLINK("https://portal.gdc.cancer.gov/cases/55536b55-0e84-49a2-b5df-b88431965b3e","TCGA-XU-A92V-01A")</f>
        <v>TCGA-XU-A92V-01A</v>
      </c>
      <c r="I20739" t="s">
        <v>593</v>
      </c>
      <c r="J20739" t="s">
        <v>18</v>
      </c>
      <c r="K20739" t="s">
        <v>33</v>
      </c>
      <c r="L20739" t="s">
        <v>594</v>
      </c>
      <c r="N20739" t="s">
        <v>29</v>
      </c>
    </row>
    <row r="20740" spans="1:14">
      <c r="A20740" s="4" t="str">
        <f t="shared" si="1401"/>
        <v>EXP00450</v>
      </c>
      <c r="B20740" s="3" t="s">
        <v>66</v>
      </c>
      <c r="C20740" s="4" t="str">
        <f t="shared" si="1399"/>
        <v>TCGA-THYM</v>
      </c>
      <c r="D20740" s="1" t="s">
        <v>493</v>
      </c>
      <c r="E20740" t="s">
        <v>597</v>
      </c>
      <c r="F20740" s="1">
        <v>2</v>
      </c>
      <c r="G20740" s="1" t="s">
        <v>28</v>
      </c>
      <c r="H20740" s="4" t="str">
        <f>HYPERLINK("https://portal.gdc.cancer.gov/cases/c1f7e0cd-24b0-4c45-8e60-1ff669a692ab","TCGA-XU-A92W-01A")</f>
        <v>TCGA-XU-A92W-01A</v>
      </c>
      <c r="I20740" t="s">
        <v>593</v>
      </c>
      <c r="J20740" t="s">
        <v>18</v>
      </c>
      <c r="K20740" t="s">
        <v>33</v>
      </c>
      <c r="L20740" t="s">
        <v>594</v>
      </c>
      <c r="N20740" t="s">
        <v>29</v>
      </c>
    </row>
    <row r="20741" spans="1:14">
      <c r="A20741" s="4" t="str">
        <f t="shared" si="1401"/>
        <v>EXP00450</v>
      </c>
      <c r="B20741" s="3" t="s">
        <v>66</v>
      </c>
      <c r="C20741" s="4" t="str">
        <f t="shared" si="1399"/>
        <v>TCGA-THYM</v>
      </c>
      <c r="D20741" s="1" t="s">
        <v>493</v>
      </c>
      <c r="E20741" t="s">
        <v>597</v>
      </c>
      <c r="F20741" s="1">
        <v>2</v>
      </c>
      <c r="G20741" s="1" t="s">
        <v>28</v>
      </c>
      <c r="H20741" s="4" t="str">
        <f>HYPERLINK("https://portal.gdc.cancer.gov/cases/d04d927b-bb66-435f-bb8f-dd71145c5eec","TCGA-XU-A92X-01A")</f>
        <v>TCGA-XU-A92X-01A</v>
      </c>
      <c r="I20741" t="s">
        <v>593</v>
      </c>
      <c r="J20741" t="s">
        <v>18</v>
      </c>
      <c r="K20741" t="s">
        <v>33</v>
      </c>
      <c r="L20741" t="s">
        <v>594</v>
      </c>
      <c r="N20741" t="s">
        <v>29</v>
      </c>
    </row>
    <row r="20742" spans="1:14">
      <c r="A20742" s="4" t="str">
        <f t="shared" si="1401"/>
        <v>EXP00450</v>
      </c>
      <c r="B20742" s="3" t="s">
        <v>66</v>
      </c>
      <c r="C20742" s="4" t="str">
        <f t="shared" si="1399"/>
        <v>TCGA-THYM</v>
      </c>
      <c r="D20742" s="1" t="s">
        <v>493</v>
      </c>
      <c r="E20742" t="s">
        <v>597</v>
      </c>
      <c r="F20742" s="1">
        <v>2</v>
      </c>
      <c r="G20742" s="1" t="s">
        <v>28</v>
      </c>
      <c r="H20742" s="4" t="str">
        <f>HYPERLINK("https://portal.gdc.cancer.gov/cases/fd15ff57-f121-40ea-a3b9-b66cbf34c1e0","TCGA-XU-A92Y-01A")</f>
        <v>TCGA-XU-A92Y-01A</v>
      </c>
      <c r="I20742" t="s">
        <v>593</v>
      </c>
      <c r="J20742" t="s">
        <v>18</v>
      </c>
      <c r="K20742" t="s">
        <v>33</v>
      </c>
      <c r="L20742" t="s">
        <v>594</v>
      </c>
      <c r="N20742" t="s">
        <v>29</v>
      </c>
    </row>
    <row r="20743" spans="1:14">
      <c r="A20743" s="4" t="str">
        <f t="shared" si="1401"/>
        <v>EXP00450</v>
      </c>
      <c r="B20743" s="3" t="s">
        <v>66</v>
      </c>
      <c r="C20743" s="4" t="str">
        <f t="shared" ref="C20743:C20788" si="1402">HYPERLINK("https://portal.gdc.cancer.gov/projects/TCGA-THYM","TCGA-THYM")</f>
        <v>TCGA-THYM</v>
      </c>
      <c r="D20743" s="1" t="s">
        <v>493</v>
      </c>
      <c r="E20743" t="s">
        <v>597</v>
      </c>
      <c r="F20743" s="1">
        <v>2</v>
      </c>
      <c r="G20743" s="1" t="s">
        <v>28</v>
      </c>
      <c r="H20743" s="4" t="str">
        <f>HYPERLINK("https://portal.gdc.cancer.gov/cases/9cabde13-0cbb-4502-9dc1-4c9bd8a68313","TCGA-XU-A92Z-01A")</f>
        <v>TCGA-XU-A92Z-01A</v>
      </c>
      <c r="I20743" t="s">
        <v>593</v>
      </c>
      <c r="J20743" t="s">
        <v>18</v>
      </c>
      <c r="K20743" t="s">
        <v>33</v>
      </c>
      <c r="L20743" t="s">
        <v>594</v>
      </c>
      <c r="N20743" t="s">
        <v>29</v>
      </c>
    </row>
    <row r="20744" spans="1:14">
      <c r="A20744" s="4" t="str">
        <f t="shared" si="1401"/>
        <v>EXP00450</v>
      </c>
      <c r="B20744" s="3" t="s">
        <v>66</v>
      </c>
      <c r="C20744" s="4" t="str">
        <f t="shared" si="1402"/>
        <v>TCGA-THYM</v>
      </c>
      <c r="D20744" s="1" t="s">
        <v>493</v>
      </c>
      <c r="E20744" t="s">
        <v>597</v>
      </c>
      <c r="F20744" s="1">
        <v>2</v>
      </c>
      <c r="G20744" s="1" t="s">
        <v>28</v>
      </c>
      <c r="H20744" s="4" t="str">
        <f>HYPERLINK("https://portal.gdc.cancer.gov/cases/2a654463-1d68-4c82-9549-4526aad41870","TCGA-XU-A930-01A")</f>
        <v>TCGA-XU-A930-01A</v>
      </c>
      <c r="I20744" t="s">
        <v>593</v>
      </c>
      <c r="J20744" t="s">
        <v>18</v>
      </c>
      <c r="K20744" t="s">
        <v>33</v>
      </c>
      <c r="L20744" t="s">
        <v>594</v>
      </c>
      <c r="N20744" t="s">
        <v>29</v>
      </c>
    </row>
    <row r="20745" spans="1:14">
      <c r="A20745" s="4" t="str">
        <f t="shared" si="1401"/>
        <v>EXP00450</v>
      </c>
      <c r="B20745" s="3" t="s">
        <v>66</v>
      </c>
      <c r="C20745" s="4" t="str">
        <f t="shared" si="1402"/>
        <v>TCGA-THYM</v>
      </c>
      <c r="D20745" s="1" t="s">
        <v>493</v>
      </c>
      <c r="E20745" t="s">
        <v>597</v>
      </c>
      <c r="F20745" s="1">
        <v>2</v>
      </c>
      <c r="G20745" s="1" t="s">
        <v>28</v>
      </c>
      <c r="H20745" s="4" t="str">
        <f>HYPERLINK("https://portal.gdc.cancer.gov/cases/5f18924a-bcd6-4462-9c99-e634bddaf18e","TCGA-XU-A931-01A")</f>
        <v>TCGA-XU-A931-01A</v>
      </c>
      <c r="I20745" t="s">
        <v>593</v>
      </c>
      <c r="J20745" t="s">
        <v>18</v>
      </c>
      <c r="K20745" t="s">
        <v>33</v>
      </c>
      <c r="L20745" t="s">
        <v>594</v>
      </c>
      <c r="N20745" t="s">
        <v>29</v>
      </c>
    </row>
    <row r="20746" spans="1:14">
      <c r="A20746" s="4" t="str">
        <f t="shared" si="1401"/>
        <v>EXP00450</v>
      </c>
      <c r="B20746" s="3" t="s">
        <v>66</v>
      </c>
      <c r="C20746" s="4" t="str">
        <f t="shared" si="1402"/>
        <v>TCGA-THYM</v>
      </c>
      <c r="D20746" s="1" t="s">
        <v>493</v>
      </c>
      <c r="E20746" t="s">
        <v>597</v>
      </c>
      <c r="F20746" s="1">
        <v>2</v>
      </c>
      <c r="G20746" s="1" t="s">
        <v>28</v>
      </c>
      <c r="H20746" s="4" t="str">
        <f>HYPERLINK("https://portal.gdc.cancer.gov/cases/4d6f70aa-ef52-4f98-a929-5d511601abed","TCGA-XU-A932-01A")</f>
        <v>TCGA-XU-A932-01A</v>
      </c>
      <c r="I20746" t="s">
        <v>593</v>
      </c>
      <c r="J20746" t="s">
        <v>18</v>
      </c>
      <c r="K20746" t="s">
        <v>33</v>
      </c>
      <c r="L20746" t="s">
        <v>594</v>
      </c>
      <c r="N20746" t="s">
        <v>29</v>
      </c>
    </row>
    <row r="20747" spans="1:14">
      <c r="A20747" s="4" t="str">
        <f t="shared" si="1401"/>
        <v>EXP00450</v>
      </c>
      <c r="B20747" s="3" t="s">
        <v>66</v>
      </c>
      <c r="C20747" s="4" t="str">
        <f t="shared" si="1402"/>
        <v>TCGA-THYM</v>
      </c>
      <c r="D20747" s="1" t="s">
        <v>493</v>
      </c>
      <c r="E20747" t="s">
        <v>597</v>
      </c>
      <c r="F20747" s="1">
        <v>2</v>
      </c>
      <c r="G20747" s="1" t="s">
        <v>28</v>
      </c>
      <c r="H20747" s="4" t="str">
        <f>HYPERLINK("https://portal.gdc.cancer.gov/cases/ff0e9d4a-2b62-4a15-b71a-2887d8747ae6","TCGA-XU-A933-01A")</f>
        <v>TCGA-XU-A933-01A</v>
      </c>
      <c r="I20747" t="s">
        <v>593</v>
      </c>
      <c r="J20747" t="s">
        <v>18</v>
      </c>
      <c r="K20747" t="s">
        <v>33</v>
      </c>
      <c r="L20747" t="s">
        <v>594</v>
      </c>
      <c r="N20747" t="s">
        <v>29</v>
      </c>
    </row>
    <row r="20748" spans="1:14">
      <c r="A20748" s="4" t="str">
        <f t="shared" si="1401"/>
        <v>EXP00450</v>
      </c>
      <c r="B20748" s="3" t="s">
        <v>66</v>
      </c>
      <c r="C20748" s="4" t="str">
        <f t="shared" si="1402"/>
        <v>TCGA-THYM</v>
      </c>
      <c r="D20748" s="1" t="s">
        <v>493</v>
      </c>
      <c r="E20748" t="s">
        <v>597</v>
      </c>
      <c r="F20748" s="1">
        <v>2</v>
      </c>
      <c r="G20748" s="1" t="s">
        <v>28</v>
      </c>
      <c r="H20748" s="4" t="str">
        <f>HYPERLINK("https://portal.gdc.cancer.gov/cases/29e038ba-b042-473e-a526-96d41b2830e1","TCGA-XU-A936-01A")</f>
        <v>TCGA-XU-A936-01A</v>
      </c>
      <c r="I20748" t="s">
        <v>593</v>
      </c>
      <c r="J20748" t="s">
        <v>18</v>
      </c>
      <c r="K20748" t="s">
        <v>33</v>
      </c>
      <c r="L20748" t="s">
        <v>594</v>
      </c>
      <c r="N20748" t="s">
        <v>29</v>
      </c>
    </row>
    <row r="20749" spans="1:14">
      <c r="A20749" s="4" t="str">
        <f t="shared" si="1401"/>
        <v>EXP00450</v>
      </c>
      <c r="B20749" s="3" t="s">
        <v>66</v>
      </c>
      <c r="C20749" s="4" t="str">
        <f t="shared" si="1402"/>
        <v>TCGA-THYM</v>
      </c>
      <c r="D20749" s="1" t="s">
        <v>493</v>
      </c>
      <c r="E20749" t="s">
        <v>597</v>
      </c>
      <c r="F20749" s="1">
        <v>2</v>
      </c>
      <c r="G20749" s="1" t="s">
        <v>28</v>
      </c>
      <c r="H20749" s="4" t="str">
        <f>HYPERLINK("https://portal.gdc.cancer.gov/cases/80606b1c-e8c8-4c3d-8475-3d846a84ca98","TCGA-XU-AAXV-01A")</f>
        <v>TCGA-XU-AAXV-01A</v>
      </c>
      <c r="I20749" t="s">
        <v>593</v>
      </c>
      <c r="J20749" t="s">
        <v>18</v>
      </c>
      <c r="K20749" t="s">
        <v>33</v>
      </c>
      <c r="L20749" t="s">
        <v>594</v>
      </c>
      <c r="N20749" t="s">
        <v>29</v>
      </c>
    </row>
    <row r="20750" spans="1:14">
      <c r="A20750" s="4" t="str">
        <f t="shared" si="1401"/>
        <v>EXP00450</v>
      </c>
      <c r="B20750" s="3" t="s">
        <v>66</v>
      </c>
      <c r="C20750" s="4" t="str">
        <f t="shared" si="1402"/>
        <v>TCGA-THYM</v>
      </c>
      <c r="D20750" s="1" t="s">
        <v>493</v>
      </c>
      <c r="E20750" t="s">
        <v>597</v>
      </c>
      <c r="F20750" s="1">
        <v>2</v>
      </c>
      <c r="G20750" s="1" t="s">
        <v>28</v>
      </c>
      <c r="H20750" s="4" t="str">
        <f>HYPERLINK("https://portal.gdc.cancer.gov/cases/4db60b44-21b5-433c-9689-f6aa79b819b8","TCGA-XU-AAXW-01A")</f>
        <v>TCGA-XU-AAXW-01A</v>
      </c>
      <c r="I20750" t="s">
        <v>593</v>
      </c>
      <c r="J20750" t="s">
        <v>18</v>
      </c>
      <c r="K20750" t="s">
        <v>33</v>
      </c>
      <c r="L20750" t="s">
        <v>594</v>
      </c>
      <c r="N20750" t="s">
        <v>29</v>
      </c>
    </row>
    <row r="20751" spans="1:14">
      <c r="A20751" s="4" t="str">
        <f t="shared" si="1401"/>
        <v>EXP00450</v>
      </c>
      <c r="B20751" s="3" t="s">
        <v>66</v>
      </c>
      <c r="C20751" s="4" t="str">
        <f t="shared" si="1402"/>
        <v>TCGA-THYM</v>
      </c>
      <c r="D20751" s="1" t="s">
        <v>493</v>
      </c>
      <c r="E20751" t="s">
        <v>597</v>
      </c>
      <c r="F20751" s="1">
        <v>2</v>
      </c>
      <c r="G20751" s="1" t="s">
        <v>28</v>
      </c>
      <c r="H20751" s="4" t="str">
        <f>HYPERLINK("https://portal.gdc.cancer.gov/cases/5b7b3e7c-3230-4675-8fdf-3e5119b02ce1","TCGA-XU-AAXX-01A")</f>
        <v>TCGA-XU-AAXX-01A</v>
      </c>
      <c r="I20751" t="s">
        <v>593</v>
      </c>
      <c r="J20751" t="s">
        <v>18</v>
      </c>
      <c r="K20751" t="s">
        <v>33</v>
      </c>
      <c r="L20751" t="s">
        <v>594</v>
      </c>
      <c r="N20751" t="s">
        <v>29</v>
      </c>
    </row>
    <row r="20752" spans="1:14">
      <c r="A20752" s="4" t="str">
        <f t="shared" si="1401"/>
        <v>EXP00450</v>
      </c>
      <c r="B20752" s="3" t="s">
        <v>66</v>
      </c>
      <c r="C20752" s="4" t="str">
        <f t="shared" si="1402"/>
        <v>TCGA-THYM</v>
      </c>
      <c r="D20752" s="1" t="s">
        <v>493</v>
      </c>
      <c r="E20752" t="s">
        <v>597</v>
      </c>
      <c r="F20752" s="1">
        <v>2</v>
      </c>
      <c r="G20752" s="1" t="s">
        <v>28</v>
      </c>
      <c r="H20752" s="4" t="str">
        <f>HYPERLINK("https://portal.gdc.cancer.gov/cases/7933b320-ae8c-4d3d-9468-8abb135e93d5","TCGA-XU-AAXY-01A")</f>
        <v>TCGA-XU-AAXY-01A</v>
      </c>
      <c r="I20752" t="s">
        <v>593</v>
      </c>
      <c r="J20752" t="s">
        <v>18</v>
      </c>
      <c r="K20752" t="s">
        <v>33</v>
      </c>
      <c r="L20752" t="s">
        <v>594</v>
      </c>
      <c r="N20752" t="s">
        <v>29</v>
      </c>
    </row>
    <row r="20753" spans="1:14">
      <c r="A20753" s="4" t="str">
        <f t="shared" si="1401"/>
        <v>EXP00450</v>
      </c>
      <c r="B20753" s="3" t="s">
        <v>66</v>
      </c>
      <c r="C20753" s="4" t="str">
        <f t="shared" si="1402"/>
        <v>TCGA-THYM</v>
      </c>
      <c r="D20753" s="1" t="s">
        <v>493</v>
      </c>
      <c r="E20753" t="s">
        <v>597</v>
      </c>
      <c r="F20753" s="1">
        <v>2</v>
      </c>
      <c r="G20753" s="1" t="s">
        <v>28</v>
      </c>
      <c r="H20753" s="4" t="str">
        <f>HYPERLINK("https://portal.gdc.cancer.gov/cases/57000a6a-b132-4c02-807f-5505ad3e1fdd","TCGA-XU-AAXZ-01A")</f>
        <v>TCGA-XU-AAXZ-01A</v>
      </c>
      <c r="I20753" t="s">
        <v>593</v>
      </c>
      <c r="J20753" t="s">
        <v>18</v>
      </c>
      <c r="K20753" t="s">
        <v>33</v>
      </c>
      <c r="L20753" t="s">
        <v>594</v>
      </c>
      <c r="N20753" t="s">
        <v>29</v>
      </c>
    </row>
    <row r="20754" spans="1:14">
      <c r="A20754" s="4" t="str">
        <f t="shared" si="1401"/>
        <v>EXP00450</v>
      </c>
      <c r="B20754" s="3" t="s">
        <v>66</v>
      </c>
      <c r="C20754" s="4" t="str">
        <f t="shared" si="1402"/>
        <v>TCGA-THYM</v>
      </c>
      <c r="D20754" s="1" t="s">
        <v>493</v>
      </c>
      <c r="E20754" t="s">
        <v>597</v>
      </c>
      <c r="F20754" s="1">
        <v>2</v>
      </c>
      <c r="G20754" s="1" t="s">
        <v>28</v>
      </c>
      <c r="H20754" s="4" t="str">
        <f>HYPERLINK("https://portal.gdc.cancer.gov/cases/748fc94f-d496-46b1-a5f4-42aa53de0f31","TCGA-XU-AAY0-01A")</f>
        <v>TCGA-XU-AAY0-01A</v>
      </c>
      <c r="I20754" t="s">
        <v>593</v>
      </c>
      <c r="J20754" t="s">
        <v>18</v>
      </c>
      <c r="K20754" t="s">
        <v>33</v>
      </c>
      <c r="L20754" t="s">
        <v>594</v>
      </c>
      <c r="N20754" t="s">
        <v>29</v>
      </c>
    </row>
    <row r="20755" spans="1:14">
      <c r="A20755" s="4" t="str">
        <f t="shared" si="1401"/>
        <v>EXP00450</v>
      </c>
      <c r="B20755" s="3" t="s">
        <v>66</v>
      </c>
      <c r="C20755" s="4" t="str">
        <f t="shared" si="1402"/>
        <v>TCGA-THYM</v>
      </c>
      <c r="D20755" s="1" t="s">
        <v>493</v>
      </c>
      <c r="E20755" t="s">
        <v>597</v>
      </c>
      <c r="F20755" s="1">
        <v>2</v>
      </c>
      <c r="G20755" s="1" t="s">
        <v>28</v>
      </c>
      <c r="H20755" s="4" t="str">
        <f>HYPERLINK("https://portal.gdc.cancer.gov/cases/09f8acfc-4d80-4005-9f40-7485309997f5","TCGA-XU-AAY1-01A")</f>
        <v>TCGA-XU-AAY1-01A</v>
      </c>
      <c r="I20755" t="s">
        <v>593</v>
      </c>
      <c r="J20755" t="s">
        <v>18</v>
      </c>
      <c r="K20755" t="s">
        <v>33</v>
      </c>
      <c r="L20755" t="s">
        <v>594</v>
      </c>
      <c r="N20755" t="s">
        <v>29</v>
      </c>
    </row>
    <row r="20756" spans="1:14">
      <c r="A20756" s="4" t="str">
        <f t="shared" si="1401"/>
        <v>EXP00450</v>
      </c>
      <c r="B20756" s="3" t="s">
        <v>66</v>
      </c>
      <c r="C20756" s="4" t="str">
        <f t="shared" si="1402"/>
        <v>TCGA-THYM</v>
      </c>
      <c r="D20756" s="1" t="s">
        <v>493</v>
      </c>
      <c r="E20756" t="s">
        <v>597</v>
      </c>
      <c r="F20756" s="1">
        <v>2</v>
      </c>
      <c r="G20756" s="1" t="s">
        <v>28</v>
      </c>
      <c r="H20756" s="4" t="str">
        <f>HYPERLINK("https://portal.gdc.cancer.gov/cases/d3bf7bb0-086b-4aab-8048-abc0d91948ad","TCGA-YT-A95D-01A")</f>
        <v>TCGA-YT-A95D-01A</v>
      </c>
      <c r="I20756" t="s">
        <v>593</v>
      </c>
      <c r="J20756" t="s">
        <v>18</v>
      </c>
      <c r="K20756" t="s">
        <v>33</v>
      </c>
      <c r="L20756" t="s">
        <v>594</v>
      </c>
      <c r="N20756" t="s">
        <v>29</v>
      </c>
    </row>
    <row r="20757" spans="1:14">
      <c r="A20757" s="4" t="str">
        <f t="shared" si="1401"/>
        <v>EXP00450</v>
      </c>
      <c r="B20757" s="3" t="s">
        <v>66</v>
      </c>
      <c r="C20757" s="4" t="str">
        <f t="shared" si="1402"/>
        <v>TCGA-THYM</v>
      </c>
      <c r="D20757" s="1" t="s">
        <v>493</v>
      </c>
      <c r="E20757" t="s">
        <v>597</v>
      </c>
      <c r="F20757" s="1">
        <v>2</v>
      </c>
      <c r="G20757" s="1" t="s">
        <v>28</v>
      </c>
      <c r="H20757" s="4" t="str">
        <f>HYPERLINK("https://portal.gdc.cancer.gov/cases/d3189c8e-ffe0-41ff-9c7b-64da4c83b991","TCGA-YT-A95E-01A")</f>
        <v>TCGA-YT-A95E-01A</v>
      </c>
      <c r="I20757" t="s">
        <v>593</v>
      </c>
      <c r="J20757" t="s">
        <v>18</v>
      </c>
      <c r="K20757" t="s">
        <v>33</v>
      </c>
      <c r="L20757" t="s">
        <v>594</v>
      </c>
      <c r="N20757" t="s">
        <v>29</v>
      </c>
    </row>
    <row r="20758" spans="1:14">
      <c r="A20758" s="4" t="str">
        <f t="shared" si="1401"/>
        <v>EXP00450</v>
      </c>
      <c r="B20758" s="3" t="s">
        <v>66</v>
      </c>
      <c r="C20758" s="4" t="str">
        <f t="shared" si="1402"/>
        <v>TCGA-THYM</v>
      </c>
      <c r="D20758" s="1" t="s">
        <v>493</v>
      </c>
      <c r="E20758" t="s">
        <v>597</v>
      </c>
      <c r="F20758" s="1">
        <v>2</v>
      </c>
      <c r="G20758" s="1" t="s">
        <v>28</v>
      </c>
      <c r="H20758" s="4" t="str">
        <f>HYPERLINK("https://portal.gdc.cancer.gov/cases/756dd9bf-bf40-4ad2-a78e-9430c2c8ea6e","TCGA-YT-A95F-01A")</f>
        <v>TCGA-YT-A95F-01A</v>
      </c>
      <c r="I20758" t="s">
        <v>593</v>
      </c>
      <c r="J20758" t="s">
        <v>18</v>
      </c>
      <c r="K20758" t="s">
        <v>33</v>
      </c>
      <c r="L20758" t="s">
        <v>594</v>
      </c>
      <c r="N20758" t="s">
        <v>29</v>
      </c>
    </row>
    <row r="20759" spans="1:14">
      <c r="A20759" s="4" t="str">
        <f t="shared" si="1401"/>
        <v>EXP00450</v>
      </c>
      <c r="B20759" s="3" t="s">
        <v>66</v>
      </c>
      <c r="C20759" s="4" t="str">
        <f t="shared" si="1402"/>
        <v>TCGA-THYM</v>
      </c>
      <c r="D20759" s="1" t="s">
        <v>493</v>
      </c>
      <c r="E20759" t="s">
        <v>597</v>
      </c>
      <c r="F20759" s="1">
        <v>2</v>
      </c>
      <c r="G20759" s="1" t="s">
        <v>28</v>
      </c>
      <c r="H20759" s="4" t="str">
        <f>HYPERLINK("https://portal.gdc.cancer.gov/cases/7459bec0-1b54-4fd7-90db-8375168e6b1a","TCGA-YT-A95G-01A")</f>
        <v>TCGA-YT-A95G-01A</v>
      </c>
      <c r="I20759" t="s">
        <v>593</v>
      </c>
      <c r="J20759" t="s">
        <v>18</v>
      </c>
      <c r="K20759" t="s">
        <v>33</v>
      </c>
      <c r="L20759" t="s">
        <v>594</v>
      </c>
      <c r="N20759" t="s">
        <v>29</v>
      </c>
    </row>
    <row r="20760" spans="1:14">
      <c r="A20760" s="4" t="str">
        <f t="shared" si="1401"/>
        <v>EXP00450</v>
      </c>
      <c r="B20760" s="3" t="s">
        <v>66</v>
      </c>
      <c r="C20760" s="4" t="str">
        <f t="shared" si="1402"/>
        <v>TCGA-THYM</v>
      </c>
      <c r="D20760" s="1" t="s">
        <v>493</v>
      </c>
      <c r="E20760" t="s">
        <v>597</v>
      </c>
      <c r="F20760" s="1">
        <v>2</v>
      </c>
      <c r="G20760" s="1" t="s">
        <v>28</v>
      </c>
      <c r="H20760" s="4" t="str">
        <f>HYPERLINK("https://portal.gdc.cancer.gov/cases/4c0cf497-abea-4ea5-a207-e26f85f3bd18","TCGA-YT-A95H-01A")</f>
        <v>TCGA-YT-A95H-01A</v>
      </c>
      <c r="I20760" t="s">
        <v>593</v>
      </c>
      <c r="J20760" t="s">
        <v>18</v>
      </c>
      <c r="K20760" t="s">
        <v>33</v>
      </c>
      <c r="L20760" t="s">
        <v>594</v>
      </c>
      <c r="N20760" t="s">
        <v>29</v>
      </c>
    </row>
    <row r="20761" spans="1:14">
      <c r="A20761" s="4" t="str">
        <f t="shared" si="1401"/>
        <v>EXP00450</v>
      </c>
      <c r="B20761" s="3" t="s">
        <v>66</v>
      </c>
      <c r="C20761" s="4" t="str">
        <f t="shared" si="1402"/>
        <v>TCGA-THYM</v>
      </c>
      <c r="D20761" s="1" t="s">
        <v>493</v>
      </c>
      <c r="E20761" t="s">
        <v>597</v>
      </c>
      <c r="F20761" s="1">
        <v>2</v>
      </c>
      <c r="G20761" s="1" t="s">
        <v>28</v>
      </c>
      <c r="H20761" s="4" t="str">
        <f>HYPERLINK("https://portal.gdc.cancer.gov/cases/e0df61c1-c93a-419a-b99c-1e97e0cabed1","TCGA-ZB-A961-01A")</f>
        <v>TCGA-ZB-A961-01A</v>
      </c>
      <c r="I20761" t="s">
        <v>593</v>
      </c>
      <c r="J20761" t="s">
        <v>18</v>
      </c>
      <c r="K20761" t="s">
        <v>33</v>
      </c>
      <c r="L20761" t="s">
        <v>594</v>
      </c>
      <c r="N20761" t="s">
        <v>29</v>
      </c>
    </row>
    <row r="20762" spans="1:14">
      <c r="A20762" s="4" t="str">
        <f t="shared" si="1401"/>
        <v>EXP00450</v>
      </c>
      <c r="B20762" s="3" t="s">
        <v>66</v>
      </c>
      <c r="C20762" s="4" t="str">
        <f t="shared" si="1402"/>
        <v>TCGA-THYM</v>
      </c>
      <c r="D20762" s="1" t="s">
        <v>493</v>
      </c>
      <c r="E20762" t="s">
        <v>597</v>
      </c>
      <c r="F20762" s="1">
        <v>2</v>
      </c>
      <c r="G20762" s="1" t="s">
        <v>28</v>
      </c>
      <c r="H20762" s="4" t="str">
        <f>HYPERLINK("https://portal.gdc.cancer.gov/cases/d6b1516a-8271-4071-8c56-d4538de63892","TCGA-ZB-A963-01A")</f>
        <v>TCGA-ZB-A963-01A</v>
      </c>
      <c r="I20762" t="s">
        <v>593</v>
      </c>
      <c r="J20762" t="s">
        <v>18</v>
      </c>
      <c r="K20762" t="s">
        <v>33</v>
      </c>
      <c r="L20762" t="s">
        <v>594</v>
      </c>
      <c r="N20762" t="s">
        <v>29</v>
      </c>
    </row>
    <row r="20763" spans="1:14">
      <c r="A20763" s="4" t="str">
        <f t="shared" si="1401"/>
        <v>EXP00450</v>
      </c>
      <c r="B20763" s="3" t="s">
        <v>66</v>
      </c>
      <c r="C20763" s="4" t="str">
        <f t="shared" si="1402"/>
        <v>TCGA-THYM</v>
      </c>
      <c r="D20763" s="1" t="s">
        <v>493</v>
      </c>
      <c r="E20763" t="s">
        <v>597</v>
      </c>
      <c r="F20763" s="1">
        <v>2</v>
      </c>
      <c r="G20763" s="1" t="s">
        <v>28</v>
      </c>
      <c r="H20763" s="4" t="str">
        <f>HYPERLINK("https://portal.gdc.cancer.gov/cases/38668ba7-213e-4f2c-85d1-c0e2a8ed0ea1","TCGA-ZB-A964-01A")</f>
        <v>TCGA-ZB-A964-01A</v>
      </c>
      <c r="I20763" t="s">
        <v>593</v>
      </c>
      <c r="J20763" t="s">
        <v>18</v>
      </c>
      <c r="K20763" t="s">
        <v>33</v>
      </c>
      <c r="L20763" t="s">
        <v>594</v>
      </c>
      <c r="N20763" t="s">
        <v>29</v>
      </c>
    </row>
    <row r="20764" spans="1:14">
      <c r="A20764" s="4" t="str">
        <f t="shared" si="1401"/>
        <v>EXP00450</v>
      </c>
      <c r="B20764" s="3" t="s">
        <v>66</v>
      </c>
      <c r="C20764" s="4" t="str">
        <f t="shared" si="1402"/>
        <v>TCGA-THYM</v>
      </c>
      <c r="D20764" s="1" t="s">
        <v>493</v>
      </c>
      <c r="E20764" t="s">
        <v>597</v>
      </c>
      <c r="F20764" s="1">
        <v>2</v>
      </c>
      <c r="G20764" s="1" t="s">
        <v>28</v>
      </c>
      <c r="H20764" s="4" t="str">
        <f>HYPERLINK("https://portal.gdc.cancer.gov/cases/51feca45-114e-4817-99d6-1c9842cd679a","TCGA-ZB-A965-01A")</f>
        <v>TCGA-ZB-A965-01A</v>
      </c>
      <c r="I20764" t="s">
        <v>593</v>
      </c>
      <c r="J20764" t="s">
        <v>18</v>
      </c>
      <c r="K20764" t="s">
        <v>33</v>
      </c>
      <c r="L20764" t="s">
        <v>594</v>
      </c>
      <c r="N20764" t="s">
        <v>29</v>
      </c>
    </row>
    <row r="20765" spans="1:14">
      <c r="A20765" s="4" t="str">
        <f t="shared" si="1401"/>
        <v>EXP00450</v>
      </c>
      <c r="B20765" s="3" t="s">
        <v>66</v>
      </c>
      <c r="C20765" s="4" t="str">
        <f t="shared" si="1402"/>
        <v>TCGA-THYM</v>
      </c>
      <c r="D20765" s="1" t="s">
        <v>493</v>
      </c>
      <c r="E20765" t="s">
        <v>597</v>
      </c>
      <c r="F20765" s="1">
        <v>2</v>
      </c>
      <c r="G20765" s="1" t="s">
        <v>28</v>
      </c>
      <c r="H20765" s="4" t="str">
        <f>HYPERLINK("https://portal.gdc.cancer.gov/cases/ce6eee0d-6f27-4516-95a4-b1b604de9776","TCGA-ZB-A969-01A")</f>
        <v>TCGA-ZB-A969-01A</v>
      </c>
      <c r="I20765" t="s">
        <v>593</v>
      </c>
      <c r="J20765" t="s">
        <v>18</v>
      </c>
      <c r="K20765" t="s">
        <v>33</v>
      </c>
      <c r="L20765" t="s">
        <v>594</v>
      </c>
      <c r="N20765" t="s">
        <v>29</v>
      </c>
    </row>
    <row r="20766" spans="1:14">
      <c r="A20766" s="4" t="str">
        <f t="shared" ref="A20766:A20788" si="1403">HYPERLINK("http://hcmdb.i-sanger.com/experiment/details/experiment_id/EXP00450","EXP00450")</f>
        <v>EXP00450</v>
      </c>
      <c r="B20766" s="3" t="s">
        <v>66</v>
      </c>
      <c r="C20766" s="4" t="str">
        <f t="shared" si="1402"/>
        <v>TCGA-THYM</v>
      </c>
      <c r="D20766" s="1" t="s">
        <v>493</v>
      </c>
      <c r="E20766" t="s">
        <v>597</v>
      </c>
      <c r="F20766" s="1">
        <v>2</v>
      </c>
      <c r="G20766" s="1" t="s">
        <v>28</v>
      </c>
      <c r="H20766" s="4" t="str">
        <f>HYPERLINK("https://portal.gdc.cancer.gov/cases/faa4ad8d-97c1-41b3-bb5f-534e8f6d6aef","TCGA-ZB-A96A-01A")</f>
        <v>TCGA-ZB-A96A-01A</v>
      </c>
      <c r="I20766" t="s">
        <v>593</v>
      </c>
      <c r="J20766" t="s">
        <v>18</v>
      </c>
      <c r="K20766" t="s">
        <v>33</v>
      </c>
      <c r="L20766" t="s">
        <v>594</v>
      </c>
      <c r="N20766" t="s">
        <v>29</v>
      </c>
    </row>
    <row r="20767" spans="1:14">
      <c r="A20767" s="4" t="str">
        <f t="shared" si="1403"/>
        <v>EXP00450</v>
      </c>
      <c r="B20767" s="3" t="s">
        <v>66</v>
      </c>
      <c r="C20767" s="4" t="str">
        <f t="shared" si="1402"/>
        <v>TCGA-THYM</v>
      </c>
      <c r="D20767" s="1" t="s">
        <v>493</v>
      </c>
      <c r="E20767" t="s">
        <v>597</v>
      </c>
      <c r="F20767" s="1">
        <v>2</v>
      </c>
      <c r="G20767" s="1" t="s">
        <v>28</v>
      </c>
      <c r="H20767" s="4" t="str">
        <f>HYPERLINK("https://portal.gdc.cancer.gov/cases/5324c178-1b4b-42f8-ac9e-17c5f349a289","TCGA-ZB-A96B-01A")</f>
        <v>TCGA-ZB-A96B-01A</v>
      </c>
      <c r="I20767" t="s">
        <v>593</v>
      </c>
      <c r="J20767" t="s">
        <v>18</v>
      </c>
      <c r="K20767" t="s">
        <v>33</v>
      </c>
      <c r="L20767" t="s">
        <v>594</v>
      </c>
      <c r="N20767" t="s">
        <v>29</v>
      </c>
    </row>
    <row r="20768" spans="1:14">
      <c r="A20768" s="4" t="str">
        <f t="shared" si="1403"/>
        <v>EXP00450</v>
      </c>
      <c r="B20768" s="3" t="s">
        <v>66</v>
      </c>
      <c r="C20768" s="4" t="str">
        <f t="shared" si="1402"/>
        <v>TCGA-THYM</v>
      </c>
      <c r="D20768" s="1" t="s">
        <v>493</v>
      </c>
      <c r="E20768" t="s">
        <v>597</v>
      </c>
      <c r="F20768" s="1">
        <v>2</v>
      </c>
      <c r="G20768" s="1" t="s">
        <v>28</v>
      </c>
      <c r="H20768" s="4" t="str">
        <f>HYPERLINK("https://portal.gdc.cancer.gov/cases/9b116a89-ba1a-4b7f-bcc6-2dcd950269ec","TCGA-ZB-A96C-01A")</f>
        <v>TCGA-ZB-A96C-01A</v>
      </c>
      <c r="I20768" t="s">
        <v>593</v>
      </c>
      <c r="J20768" t="s">
        <v>18</v>
      </c>
      <c r="K20768" t="s">
        <v>33</v>
      </c>
      <c r="L20768" t="s">
        <v>594</v>
      </c>
      <c r="N20768" t="s">
        <v>29</v>
      </c>
    </row>
    <row r="20769" spans="1:14">
      <c r="A20769" s="4" t="str">
        <f t="shared" si="1403"/>
        <v>EXP00450</v>
      </c>
      <c r="B20769" s="3" t="s">
        <v>66</v>
      </c>
      <c r="C20769" s="4" t="str">
        <f t="shared" si="1402"/>
        <v>TCGA-THYM</v>
      </c>
      <c r="D20769" s="1" t="s">
        <v>493</v>
      </c>
      <c r="E20769" t="s">
        <v>597</v>
      </c>
      <c r="F20769" s="1">
        <v>2</v>
      </c>
      <c r="G20769" s="1" t="s">
        <v>28</v>
      </c>
      <c r="H20769" s="4" t="str">
        <f>HYPERLINK("https://portal.gdc.cancer.gov/cases/afc984dc-588c-4277-88aa-5d82dd8bd40c","TCGA-ZB-A96D-01A")</f>
        <v>TCGA-ZB-A96D-01A</v>
      </c>
      <c r="I20769" t="s">
        <v>593</v>
      </c>
      <c r="J20769" t="s">
        <v>18</v>
      </c>
      <c r="K20769" t="s">
        <v>33</v>
      </c>
      <c r="L20769" t="s">
        <v>594</v>
      </c>
      <c r="N20769" t="s">
        <v>29</v>
      </c>
    </row>
    <row r="20770" spans="1:14">
      <c r="A20770" s="4" t="str">
        <f t="shared" si="1403"/>
        <v>EXP00450</v>
      </c>
      <c r="B20770" s="3" t="s">
        <v>66</v>
      </c>
      <c r="C20770" s="4" t="str">
        <f t="shared" si="1402"/>
        <v>TCGA-THYM</v>
      </c>
      <c r="D20770" s="1" t="s">
        <v>493</v>
      </c>
      <c r="E20770" t="s">
        <v>597</v>
      </c>
      <c r="F20770" s="1">
        <v>2</v>
      </c>
      <c r="G20770" s="1" t="s">
        <v>28</v>
      </c>
      <c r="H20770" s="4" t="str">
        <f>HYPERLINK("https://portal.gdc.cancer.gov/cases/628ecfe9-9e29-4b51-a11e-96d4e9181d86","TCGA-ZB-A96E-01A")</f>
        <v>TCGA-ZB-A96E-01A</v>
      </c>
      <c r="I20770" t="s">
        <v>593</v>
      </c>
      <c r="J20770" t="s">
        <v>18</v>
      </c>
      <c r="K20770" t="s">
        <v>33</v>
      </c>
      <c r="L20770" t="s">
        <v>594</v>
      </c>
      <c r="N20770" t="s">
        <v>29</v>
      </c>
    </row>
    <row r="20771" spans="1:14">
      <c r="A20771" s="4" t="str">
        <f t="shared" si="1403"/>
        <v>EXP00450</v>
      </c>
      <c r="B20771" s="3" t="s">
        <v>66</v>
      </c>
      <c r="C20771" s="4" t="str">
        <f t="shared" si="1402"/>
        <v>TCGA-THYM</v>
      </c>
      <c r="D20771" s="1" t="s">
        <v>493</v>
      </c>
      <c r="E20771" t="s">
        <v>597</v>
      </c>
      <c r="F20771" s="1">
        <v>2</v>
      </c>
      <c r="G20771" s="1" t="s">
        <v>28</v>
      </c>
      <c r="H20771" s="4" t="str">
        <f>HYPERLINK("https://portal.gdc.cancer.gov/cases/173b805f-3088-43f6-a159-95fff3581fd5","TCGA-ZB-A96F-01A")</f>
        <v>TCGA-ZB-A96F-01A</v>
      </c>
      <c r="I20771" t="s">
        <v>593</v>
      </c>
      <c r="J20771" t="s">
        <v>18</v>
      </c>
      <c r="K20771" t="s">
        <v>33</v>
      </c>
      <c r="L20771" t="s">
        <v>594</v>
      </c>
      <c r="N20771" t="s">
        <v>29</v>
      </c>
    </row>
    <row r="20772" spans="1:14">
      <c r="A20772" s="4" t="str">
        <f t="shared" si="1403"/>
        <v>EXP00450</v>
      </c>
      <c r="B20772" s="3" t="s">
        <v>66</v>
      </c>
      <c r="C20772" s="4" t="str">
        <f t="shared" si="1402"/>
        <v>TCGA-THYM</v>
      </c>
      <c r="D20772" s="1" t="s">
        <v>493</v>
      </c>
      <c r="E20772" t="s">
        <v>597</v>
      </c>
      <c r="F20772" s="1">
        <v>2</v>
      </c>
      <c r="G20772" s="1" t="s">
        <v>28</v>
      </c>
      <c r="H20772" s="4" t="str">
        <f>HYPERLINK("https://portal.gdc.cancer.gov/cases/91f67f4e-b8b1-4455-83a6-4d96d04e8ca9","TCGA-ZB-A96G-01A")</f>
        <v>TCGA-ZB-A96G-01A</v>
      </c>
      <c r="I20772" t="s">
        <v>593</v>
      </c>
      <c r="J20772" t="s">
        <v>18</v>
      </c>
      <c r="K20772" t="s">
        <v>33</v>
      </c>
      <c r="L20772" t="s">
        <v>594</v>
      </c>
      <c r="N20772" t="s">
        <v>29</v>
      </c>
    </row>
    <row r="20773" spans="1:14">
      <c r="A20773" s="4" t="str">
        <f t="shared" si="1403"/>
        <v>EXP00450</v>
      </c>
      <c r="B20773" s="3" t="s">
        <v>66</v>
      </c>
      <c r="C20773" s="4" t="str">
        <f t="shared" si="1402"/>
        <v>TCGA-THYM</v>
      </c>
      <c r="D20773" s="1" t="s">
        <v>493</v>
      </c>
      <c r="E20773" t="s">
        <v>597</v>
      </c>
      <c r="F20773" s="1">
        <v>2</v>
      </c>
      <c r="G20773" s="1" t="s">
        <v>28</v>
      </c>
      <c r="H20773" s="4" t="str">
        <f>HYPERLINK("https://portal.gdc.cancer.gov/cases/bab3ce0b-d318-4791-aa17-d815ea23b62d","TCGA-ZB-A96H-01A")</f>
        <v>TCGA-ZB-A96H-01A</v>
      </c>
      <c r="I20773" t="s">
        <v>593</v>
      </c>
      <c r="J20773" t="s">
        <v>18</v>
      </c>
      <c r="K20773" t="s">
        <v>33</v>
      </c>
      <c r="L20773" t="s">
        <v>594</v>
      </c>
      <c r="N20773" t="s">
        <v>29</v>
      </c>
    </row>
    <row r="20774" spans="1:14">
      <c r="A20774" s="4" t="str">
        <f t="shared" si="1403"/>
        <v>EXP00450</v>
      </c>
      <c r="B20774" s="3" t="s">
        <v>66</v>
      </c>
      <c r="C20774" s="4" t="str">
        <f t="shared" si="1402"/>
        <v>TCGA-THYM</v>
      </c>
      <c r="D20774" s="1" t="s">
        <v>493</v>
      </c>
      <c r="E20774" t="s">
        <v>597</v>
      </c>
      <c r="F20774" s="1">
        <v>2</v>
      </c>
      <c r="G20774" s="1" t="s">
        <v>28</v>
      </c>
      <c r="H20774" s="4" t="str">
        <f>HYPERLINK("https://portal.gdc.cancer.gov/cases/8889f7a6-3f3d-417b-bf3e-9a2155c4786c","TCGA-ZB-A96I-01A")</f>
        <v>TCGA-ZB-A96I-01A</v>
      </c>
      <c r="I20774" t="s">
        <v>593</v>
      </c>
      <c r="J20774" t="s">
        <v>18</v>
      </c>
      <c r="K20774" t="s">
        <v>33</v>
      </c>
      <c r="L20774" t="s">
        <v>594</v>
      </c>
      <c r="N20774" t="s">
        <v>29</v>
      </c>
    </row>
    <row r="20775" spans="1:14">
      <c r="A20775" s="4" t="str">
        <f t="shared" si="1403"/>
        <v>EXP00450</v>
      </c>
      <c r="B20775" s="3" t="s">
        <v>66</v>
      </c>
      <c r="C20775" s="4" t="str">
        <f t="shared" si="1402"/>
        <v>TCGA-THYM</v>
      </c>
      <c r="D20775" s="1" t="s">
        <v>493</v>
      </c>
      <c r="E20775" t="s">
        <v>597</v>
      </c>
      <c r="F20775" s="1">
        <v>2</v>
      </c>
      <c r="G20775" s="1" t="s">
        <v>28</v>
      </c>
      <c r="H20775" s="4" t="str">
        <f>HYPERLINK("https://portal.gdc.cancer.gov/cases/9627ff18-f5ee-4b34-a823-35ebe3c00a3f","TCGA-ZB-A96K-01A")</f>
        <v>TCGA-ZB-A96K-01A</v>
      </c>
      <c r="I20775" t="s">
        <v>593</v>
      </c>
      <c r="J20775" t="s">
        <v>18</v>
      </c>
      <c r="K20775" t="s">
        <v>33</v>
      </c>
      <c r="L20775" t="s">
        <v>594</v>
      </c>
      <c r="N20775" t="s">
        <v>29</v>
      </c>
    </row>
    <row r="20776" spans="1:14">
      <c r="A20776" s="4" t="str">
        <f t="shared" si="1403"/>
        <v>EXP00450</v>
      </c>
      <c r="B20776" s="3" t="s">
        <v>66</v>
      </c>
      <c r="C20776" s="4" t="str">
        <f t="shared" si="1402"/>
        <v>TCGA-THYM</v>
      </c>
      <c r="D20776" s="1" t="s">
        <v>493</v>
      </c>
      <c r="E20776" t="s">
        <v>597</v>
      </c>
      <c r="F20776" s="1">
        <v>2</v>
      </c>
      <c r="G20776" s="1" t="s">
        <v>28</v>
      </c>
      <c r="H20776" s="4" t="str">
        <f>HYPERLINK("https://portal.gdc.cancer.gov/cases/cffd89d3-0d36-4b30-a676-e9d66e2c764b","TCGA-ZB-A96L-01A")</f>
        <v>TCGA-ZB-A96L-01A</v>
      </c>
      <c r="I20776" t="s">
        <v>593</v>
      </c>
      <c r="J20776" t="s">
        <v>18</v>
      </c>
      <c r="K20776" t="s">
        <v>33</v>
      </c>
      <c r="L20776" t="s">
        <v>594</v>
      </c>
      <c r="N20776" t="s">
        <v>29</v>
      </c>
    </row>
    <row r="20777" spans="1:14">
      <c r="A20777" s="4" t="str">
        <f t="shared" si="1403"/>
        <v>EXP00450</v>
      </c>
      <c r="B20777" s="3" t="s">
        <v>66</v>
      </c>
      <c r="C20777" s="4" t="str">
        <f t="shared" si="1402"/>
        <v>TCGA-THYM</v>
      </c>
      <c r="D20777" s="1" t="s">
        <v>493</v>
      </c>
      <c r="E20777" t="s">
        <v>597</v>
      </c>
      <c r="F20777" s="1">
        <v>2</v>
      </c>
      <c r="G20777" s="1" t="s">
        <v>28</v>
      </c>
      <c r="H20777" s="4" t="str">
        <f>HYPERLINK("https://portal.gdc.cancer.gov/cases/3eab80e6-21bc-45dd-a7b5-411a5dad4e9a","TCGA-ZB-A96M-01A")</f>
        <v>TCGA-ZB-A96M-01A</v>
      </c>
      <c r="I20777" t="s">
        <v>593</v>
      </c>
      <c r="J20777" t="s">
        <v>18</v>
      </c>
      <c r="K20777" t="s">
        <v>33</v>
      </c>
      <c r="L20777" t="s">
        <v>594</v>
      </c>
      <c r="N20777" t="s">
        <v>29</v>
      </c>
    </row>
    <row r="20778" spans="1:14">
      <c r="A20778" s="4" t="str">
        <f t="shared" si="1403"/>
        <v>EXP00450</v>
      </c>
      <c r="B20778" s="3" t="s">
        <v>66</v>
      </c>
      <c r="C20778" s="4" t="str">
        <f t="shared" si="1402"/>
        <v>TCGA-THYM</v>
      </c>
      <c r="D20778" s="1" t="s">
        <v>493</v>
      </c>
      <c r="E20778" t="s">
        <v>597</v>
      </c>
      <c r="F20778" s="1">
        <v>2</v>
      </c>
      <c r="G20778" s="1" t="s">
        <v>28</v>
      </c>
      <c r="H20778" s="4" t="str">
        <f>HYPERLINK("https://portal.gdc.cancer.gov/cases/acfba23a-06eb-4ff1-be60-0452a13a4978","TCGA-ZB-A96O-01A")</f>
        <v>TCGA-ZB-A96O-01A</v>
      </c>
      <c r="I20778" t="s">
        <v>593</v>
      </c>
      <c r="J20778" t="s">
        <v>18</v>
      </c>
      <c r="K20778" t="s">
        <v>33</v>
      </c>
      <c r="L20778" t="s">
        <v>594</v>
      </c>
      <c r="N20778" t="s">
        <v>29</v>
      </c>
    </row>
    <row r="20779" spans="1:14">
      <c r="A20779" s="4" t="str">
        <f t="shared" si="1403"/>
        <v>EXP00450</v>
      </c>
      <c r="B20779" s="3" t="s">
        <v>66</v>
      </c>
      <c r="C20779" s="4" t="str">
        <f t="shared" si="1402"/>
        <v>TCGA-THYM</v>
      </c>
      <c r="D20779" s="1" t="s">
        <v>493</v>
      </c>
      <c r="E20779" t="s">
        <v>597</v>
      </c>
      <c r="F20779" s="1">
        <v>2</v>
      </c>
      <c r="G20779" s="1" t="s">
        <v>28</v>
      </c>
      <c r="H20779" s="4" t="str">
        <f>HYPERLINK("https://portal.gdc.cancer.gov/cases/b2cab6ab-3b4a-408c-a331-9353dbc4fc0d","TCGA-ZB-A96P-01A")</f>
        <v>TCGA-ZB-A96P-01A</v>
      </c>
      <c r="I20779" t="s">
        <v>593</v>
      </c>
      <c r="J20779" t="s">
        <v>18</v>
      </c>
      <c r="K20779" t="s">
        <v>33</v>
      </c>
      <c r="L20779" t="s">
        <v>594</v>
      </c>
      <c r="N20779" t="s">
        <v>29</v>
      </c>
    </row>
    <row r="20780" spans="1:14">
      <c r="A20780" s="4" t="str">
        <f t="shared" si="1403"/>
        <v>EXP00450</v>
      </c>
      <c r="B20780" s="3" t="s">
        <v>66</v>
      </c>
      <c r="C20780" s="4" t="str">
        <f t="shared" si="1402"/>
        <v>TCGA-THYM</v>
      </c>
      <c r="D20780" s="1" t="s">
        <v>493</v>
      </c>
      <c r="E20780" t="s">
        <v>597</v>
      </c>
      <c r="F20780" s="1">
        <v>2</v>
      </c>
      <c r="G20780" s="1" t="s">
        <v>28</v>
      </c>
      <c r="H20780" s="4" t="str">
        <f>HYPERLINK("https://portal.gdc.cancer.gov/cases/b39f3099-62b0-41c1-85a2-61989cee0b60","TCGA-ZB-A96Q-01A")</f>
        <v>TCGA-ZB-A96Q-01A</v>
      </c>
      <c r="I20780" t="s">
        <v>593</v>
      </c>
      <c r="J20780" t="s">
        <v>18</v>
      </c>
      <c r="K20780" t="s">
        <v>33</v>
      </c>
      <c r="L20780" t="s">
        <v>594</v>
      </c>
      <c r="N20780" t="s">
        <v>29</v>
      </c>
    </row>
    <row r="20781" spans="1:14">
      <c r="A20781" s="4" t="str">
        <f t="shared" si="1403"/>
        <v>EXP00450</v>
      </c>
      <c r="B20781" s="3" t="s">
        <v>66</v>
      </c>
      <c r="C20781" s="4" t="str">
        <f t="shared" si="1402"/>
        <v>TCGA-THYM</v>
      </c>
      <c r="D20781" s="1" t="s">
        <v>493</v>
      </c>
      <c r="E20781" t="s">
        <v>597</v>
      </c>
      <c r="F20781" s="1">
        <v>2</v>
      </c>
      <c r="G20781" s="1" t="s">
        <v>28</v>
      </c>
      <c r="H20781" s="4" t="str">
        <f>HYPERLINK("https://portal.gdc.cancer.gov/cases/7aef4dcf-0a4b-4848-beab-377394456bee","TCGA-ZB-A96R-01A")</f>
        <v>TCGA-ZB-A96R-01A</v>
      </c>
      <c r="I20781" t="s">
        <v>593</v>
      </c>
      <c r="J20781" t="s">
        <v>18</v>
      </c>
      <c r="K20781" t="s">
        <v>33</v>
      </c>
      <c r="L20781" t="s">
        <v>594</v>
      </c>
      <c r="N20781" t="s">
        <v>29</v>
      </c>
    </row>
    <row r="20782" spans="1:14">
      <c r="A20782" s="4" t="str">
        <f t="shared" si="1403"/>
        <v>EXP00450</v>
      </c>
      <c r="B20782" s="3" t="s">
        <v>66</v>
      </c>
      <c r="C20782" s="4" t="str">
        <f t="shared" si="1402"/>
        <v>TCGA-THYM</v>
      </c>
      <c r="D20782" s="1" t="s">
        <v>493</v>
      </c>
      <c r="E20782" t="s">
        <v>597</v>
      </c>
      <c r="F20782" s="1">
        <v>2</v>
      </c>
      <c r="G20782" s="1" t="s">
        <v>28</v>
      </c>
      <c r="H20782" s="4" t="str">
        <f>HYPERLINK("https://portal.gdc.cancer.gov/cases/50072717-861c-4b60-b595-d8ea23bb1c67","TCGA-ZB-A96V-01A")</f>
        <v>TCGA-ZB-A96V-01A</v>
      </c>
      <c r="I20782" t="s">
        <v>593</v>
      </c>
      <c r="J20782" t="s">
        <v>18</v>
      </c>
      <c r="K20782" t="s">
        <v>33</v>
      </c>
      <c r="L20782" t="s">
        <v>594</v>
      </c>
      <c r="N20782" t="s">
        <v>29</v>
      </c>
    </row>
    <row r="20783" spans="1:14">
      <c r="A20783" s="4" t="str">
        <f t="shared" si="1403"/>
        <v>EXP00450</v>
      </c>
      <c r="B20783" s="3" t="s">
        <v>66</v>
      </c>
      <c r="C20783" s="4" t="str">
        <f t="shared" si="1402"/>
        <v>TCGA-THYM</v>
      </c>
      <c r="D20783" s="1" t="s">
        <v>493</v>
      </c>
      <c r="E20783" t="s">
        <v>597</v>
      </c>
      <c r="F20783" s="1">
        <v>2</v>
      </c>
      <c r="G20783" s="1" t="s">
        <v>28</v>
      </c>
      <c r="H20783" s="4" t="str">
        <f>HYPERLINK("https://portal.gdc.cancer.gov/cases/bd06627d-1e86-4212-b53b-082686abee7e","TCGA-ZC-AAA7-01A")</f>
        <v>TCGA-ZC-AAA7-01A</v>
      </c>
      <c r="I20783" t="s">
        <v>593</v>
      </c>
      <c r="J20783" t="s">
        <v>18</v>
      </c>
      <c r="K20783" t="s">
        <v>33</v>
      </c>
      <c r="L20783" t="s">
        <v>594</v>
      </c>
      <c r="N20783" t="s">
        <v>29</v>
      </c>
    </row>
    <row r="20784" spans="1:14">
      <c r="A20784" s="4" t="str">
        <f t="shared" si="1403"/>
        <v>EXP00450</v>
      </c>
      <c r="B20784" s="3" t="s">
        <v>66</v>
      </c>
      <c r="C20784" s="4" t="str">
        <f t="shared" si="1402"/>
        <v>TCGA-THYM</v>
      </c>
      <c r="D20784" s="1" t="s">
        <v>493</v>
      </c>
      <c r="E20784" t="s">
        <v>597</v>
      </c>
      <c r="F20784" s="1">
        <v>2</v>
      </c>
      <c r="G20784" s="1" t="s">
        <v>28</v>
      </c>
      <c r="H20784" s="4" t="str">
        <f>HYPERLINK("https://portal.gdc.cancer.gov/cases/67ff20ba-1b56-45ae-9310-19dd74401e67","TCGA-ZC-AAAA-01A")</f>
        <v>TCGA-ZC-AAAA-01A</v>
      </c>
      <c r="I20784" t="s">
        <v>593</v>
      </c>
      <c r="J20784" t="s">
        <v>18</v>
      </c>
      <c r="K20784" t="s">
        <v>33</v>
      </c>
      <c r="L20784" t="s">
        <v>594</v>
      </c>
      <c r="N20784" t="s">
        <v>29</v>
      </c>
    </row>
    <row r="20785" spans="1:14">
      <c r="A20785" s="4" t="str">
        <f t="shared" si="1403"/>
        <v>EXP00450</v>
      </c>
      <c r="B20785" s="3" t="s">
        <v>66</v>
      </c>
      <c r="C20785" s="4" t="str">
        <f t="shared" si="1402"/>
        <v>TCGA-THYM</v>
      </c>
      <c r="D20785" s="1" t="s">
        <v>493</v>
      </c>
      <c r="E20785" t="s">
        <v>597</v>
      </c>
      <c r="F20785" s="1">
        <v>2</v>
      </c>
      <c r="G20785" s="1" t="s">
        <v>28</v>
      </c>
      <c r="H20785" s="4" t="str">
        <f>HYPERLINK("https://portal.gdc.cancer.gov/cases/cd458290-f27b-479c-9b78-0af23e7f63d9","TCGA-ZC-AAAF-01A")</f>
        <v>TCGA-ZC-AAAF-01A</v>
      </c>
      <c r="I20785" t="s">
        <v>593</v>
      </c>
      <c r="J20785" t="s">
        <v>18</v>
      </c>
      <c r="K20785" t="s">
        <v>33</v>
      </c>
      <c r="L20785" t="s">
        <v>594</v>
      </c>
      <c r="N20785" t="s">
        <v>29</v>
      </c>
    </row>
    <row r="20786" spans="1:14">
      <c r="A20786" s="4" t="str">
        <f t="shared" si="1403"/>
        <v>EXP00450</v>
      </c>
      <c r="B20786" s="3" t="s">
        <v>66</v>
      </c>
      <c r="C20786" s="4" t="str">
        <f t="shared" si="1402"/>
        <v>TCGA-THYM</v>
      </c>
      <c r="D20786" s="1" t="s">
        <v>493</v>
      </c>
      <c r="E20786" t="s">
        <v>597</v>
      </c>
      <c r="F20786" s="1">
        <v>2</v>
      </c>
      <c r="G20786" s="1" t="s">
        <v>28</v>
      </c>
      <c r="H20786" s="4" t="str">
        <f>HYPERLINK("https://portal.gdc.cancer.gov/cases/3cc2d49b-a3a6-4f55-a355-68cbe84f4056","TCGA-ZC-AAAH-01A")</f>
        <v>TCGA-ZC-AAAH-01A</v>
      </c>
      <c r="I20786" t="s">
        <v>593</v>
      </c>
      <c r="J20786" t="s">
        <v>18</v>
      </c>
      <c r="K20786" t="s">
        <v>33</v>
      </c>
      <c r="L20786" t="s">
        <v>594</v>
      </c>
      <c r="N20786" t="s">
        <v>29</v>
      </c>
    </row>
    <row r="20787" spans="1:14">
      <c r="A20787" s="4" t="str">
        <f t="shared" si="1403"/>
        <v>EXP00450</v>
      </c>
      <c r="B20787" s="3" t="s">
        <v>66</v>
      </c>
      <c r="C20787" s="4" t="str">
        <f t="shared" si="1402"/>
        <v>TCGA-THYM</v>
      </c>
      <c r="D20787" s="1" t="s">
        <v>493</v>
      </c>
      <c r="E20787" t="s">
        <v>597</v>
      </c>
      <c r="F20787" s="1">
        <v>2</v>
      </c>
      <c r="G20787" s="1" t="s">
        <v>28</v>
      </c>
      <c r="H20787" s="4" t="str">
        <f>HYPERLINK("https://portal.gdc.cancer.gov/cases/4a2f3f77-7eea-4bb1-92bd-2d595e23ab88","TCGA-ZL-A9V6-01A")</f>
        <v>TCGA-ZL-A9V6-01A</v>
      </c>
      <c r="I20787" t="s">
        <v>593</v>
      </c>
      <c r="J20787" t="s">
        <v>18</v>
      </c>
      <c r="K20787" t="s">
        <v>33</v>
      </c>
      <c r="L20787" t="s">
        <v>594</v>
      </c>
      <c r="N20787" t="s">
        <v>29</v>
      </c>
    </row>
    <row r="20788" spans="1:14">
      <c r="A20788" s="4" t="str">
        <f t="shared" si="1403"/>
        <v>EXP00450</v>
      </c>
      <c r="B20788" s="3" t="s">
        <v>66</v>
      </c>
      <c r="C20788" s="4" t="str">
        <f t="shared" si="1402"/>
        <v>TCGA-THYM</v>
      </c>
      <c r="D20788" s="1" t="s">
        <v>493</v>
      </c>
      <c r="E20788" t="s">
        <v>597</v>
      </c>
      <c r="F20788" s="1">
        <v>2</v>
      </c>
      <c r="G20788" s="1" t="s">
        <v>28</v>
      </c>
      <c r="H20788" s="4" t="str">
        <f>HYPERLINK("https://portal.gdc.cancer.gov/cases/d9816402-1073-4b19-ba16-1c7e7c00fbb3","TCGA-ZT-A8OM-01A")</f>
        <v>TCGA-ZT-A8OM-01A</v>
      </c>
      <c r="I20788" t="s">
        <v>593</v>
      </c>
      <c r="J20788" t="s">
        <v>18</v>
      </c>
      <c r="K20788" t="s">
        <v>33</v>
      </c>
      <c r="L20788" t="s">
        <v>594</v>
      </c>
      <c r="N20788" t="s">
        <v>29</v>
      </c>
    </row>
    <row r="20789" spans="1:14">
      <c r="A20789" s="4" t="str">
        <f t="shared" ref="A20789:A20852" si="1404">HYPERLINK("http://hcmdb.i-sanger.com/experiment/details/experiment_id/EXP00451","EXP00451")</f>
        <v>EXP00451</v>
      </c>
      <c r="B20789" s="3" t="s">
        <v>66</v>
      </c>
      <c r="C20789" s="4" t="str">
        <f t="shared" ref="C20789:C20852" si="1405">HYPERLINK("https://portal.gdc.cancer.gov/projects/TCGA-UCEC","TCGA-UCEC")</f>
        <v>TCGA-UCEC</v>
      </c>
      <c r="D20789" s="1" t="s">
        <v>493</v>
      </c>
      <c r="E20789" t="s">
        <v>598</v>
      </c>
      <c r="F20789" s="1">
        <v>1</v>
      </c>
      <c r="G20789" s="1" t="s">
        <v>31</v>
      </c>
      <c r="H20789" s="4" t="str">
        <f>HYPERLINK("https://portal.gdc.cancer.gov/cases/0264c9c2-6b6a-485c-98f5-aed4f52ed0ca","TCGA-KP-A3W3-01A")</f>
        <v>TCGA-KP-A3W3-01A</v>
      </c>
      <c r="I20789" t="s">
        <v>444</v>
      </c>
      <c r="J20789" t="s">
        <v>599</v>
      </c>
      <c r="K20789" t="s">
        <v>19</v>
      </c>
      <c r="L20789" t="s">
        <v>600</v>
      </c>
      <c r="M20789" t="s">
        <v>521</v>
      </c>
      <c r="N20789" t="s">
        <v>29</v>
      </c>
    </row>
    <row r="20790" spans="1:14">
      <c r="A20790" s="4" t="str">
        <f t="shared" si="1404"/>
        <v>EXP00451</v>
      </c>
      <c r="B20790" s="3" t="s">
        <v>66</v>
      </c>
      <c r="C20790" s="4" t="str">
        <f t="shared" si="1405"/>
        <v>TCGA-UCEC</v>
      </c>
      <c r="D20790" s="1" t="s">
        <v>493</v>
      </c>
      <c r="E20790" t="s">
        <v>598</v>
      </c>
      <c r="F20790" s="1">
        <v>1</v>
      </c>
      <c r="G20790" s="1" t="s">
        <v>31</v>
      </c>
      <c r="H20790" s="4" t="str">
        <f>HYPERLINK("https://portal.gdc.cancer.gov/cases/62df1bd8-23a8-4e52-a483-6895b2f02494","TCGA-KP-A3W4-01A")</f>
        <v>TCGA-KP-A3W4-01A</v>
      </c>
      <c r="I20790" t="s">
        <v>444</v>
      </c>
      <c r="J20790" t="s">
        <v>599</v>
      </c>
      <c r="K20790" t="s">
        <v>19</v>
      </c>
      <c r="L20790" t="s">
        <v>600</v>
      </c>
      <c r="M20790" t="s">
        <v>521</v>
      </c>
      <c r="N20790" t="s">
        <v>29</v>
      </c>
    </row>
    <row r="20791" spans="1:14">
      <c r="A20791" s="4" t="str">
        <f t="shared" si="1404"/>
        <v>EXP00451</v>
      </c>
      <c r="B20791" s="3" t="s">
        <v>66</v>
      </c>
      <c r="C20791" s="4" t="str">
        <f t="shared" si="1405"/>
        <v>TCGA-UCEC</v>
      </c>
      <c r="D20791" s="1" t="s">
        <v>493</v>
      </c>
      <c r="E20791" t="s">
        <v>598</v>
      </c>
      <c r="F20791" s="1">
        <v>2</v>
      </c>
      <c r="G20791" s="1" t="s">
        <v>32</v>
      </c>
      <c r="H20791" s="4" t="str">
        <f>HYPERLINK("https://portal.gdc.cancer.gov/cases/9583c10b-b21a-4863-98fa-61e735e64ea5","TCGA-2E-A9G8-01A")</f>
        <v>TCGA-2E-A9G8-01A</v>
      </c>
      <c r="I20791" t="s">
        <v>444</v>
      </c>
      <c r="J20791" t="s">
        <v>599</v>
      </c>
      <c r="K20791" t="s">
        <v>33</v>
      </c>
      <c r="L20791" t="s">
        <v>600</v>
      </c>
      <c r="N20791" t="s">
        <v>29</v>
      </c>
    </row>
    <row r="20792" spans="1:14">
      <c r="A20792" s="4" t="str">
        <f t="shared" si="1404"/>
        <v>EXP00451</v>
      </c>
      <c r="B20792" s="3" t="s">
        <v>66</v>
      </c>
      <c r="C20792" s="4" t="str">
        <f t="shared" si="1405"/>
        <v>TCGA-UCEC</v>
      </c>
      <c r="D20792" s="1" t="s">
        <v>493</v>
      </c>
      <c r="E20792" t="s">
        <v>598</v>
      </c>
      <c r="F20792" s="1">
        <v>2</v>
      </c>
      <c r="G20792" s="1" t="s">
        <v>32</v>
      </c>
      <c r="H20792" s="4" t="str">
        <f>HYPERLINK("https://portal.gdc.cancer.gov/cases/b43de98d-4bb1-41a1-91f2-ce4e7ea4d0ca","TCGA-4E-A92E-01A")</f>
        <v>TCGA-4E-A92E-01A</v>
      </c>
      <c r="I20792" t="s">
        <v>444</v>
      </c>
      <c r="J20792" t="s">
        <v>599</v>
      </c>
      <c r="K20792" t="s">
        <v>33</v>
      </c>
      <c r="L20792" t="s">
        <v>600</v>
      </c>
      <c r="N20792" t="s">
        <v>29</v>
      </c>
    </row>
    <row r="20793" spans="1:14">
      <c r="A20793" s="4" t="str">
        <f t="shared" si="1404"/>
        <v>EXP00451</v>
      </c>
      <c r="B20793" s="3" t="s">
        <v>66</v>
      </c>
      <c r="C20793" s="4" t="str">
        <f t="shared" si="1405"/>
        <v>TCGA-UCEC</v>
      </c>
      <c r="D20793" s="1" t="s">
        <v>493</v>
      </c>
      <c r="E20793" t="s">
        <v>598</v>
      </c>
      <c r="F20793" s="1">
        <v>2</v>
      </c>
      <c r="G20793" s="1" t="s">
        <v>32</v>
      </c>
      <c r="H20793" s="4" t="str">
        <f>HYPERLINK("https://portal.gdc.cancer.gov/cases/16ac4341-cf8f-45e2-b90b-2d12d5f74a59","TCGA-5B-A90C-01A")</f>
        <v>TCGA-5B-A90C-01A</v>
      </c>
      <c r="I20793" t="s">
        <v>444</v>
      </c>
      <c r="J20793" t="s">
        <v>599</v>
      </c>
      <c r="K20793" t="s">
        <v>33</v>
      </c>
      <c r="L20793" t="s">
        <v>600</v>
      </c>
      <c r="N20793" t="s">
        <v>29</v>
      </c>
    </row>
    <row r="20794" spans="1:14">
      <c r="A20794" s="4" t="str">
        <f t="shared" si="1404"/>
        <v>EXP00451</v>
      </c>
      <c r="B20794" s="3" t="s">
        <v>66</v>
      </c>
      <c r="C20794" s="4" t="str">
        <f t="shared" si="1405"/>
        <v>TCGA-UCEC</v>
      </c>
      <c r="D20794" s="1" t="s">
        <v>493</v>
      </c>
      <c r="E20794" t="s">
        <v>598</v>
      </c>
      <c r="F20794" s="1">
        <v>2</v>
      </c>
      <c r="G20794" s="1" t="s">
        <v>32</v>
      </c>
      <c r="H20794" s="4" t="str">
        <f>HYPERLINK("https://portal.gdc.cancer.gov/cases/8751429b-4a11-451e-b978-dc9e9db0eb36","TCGA-5S-A9Q8-01A")</f>
        <v>TCGA-5S-A9Q8-01A</v>
      </c>
      <c r="I20794" t="s">
        <v>444</v>
      </c>
      <c r="J20794" t="s">
        <v>599</v>
      </c>
      <c r="K20794" t="s">
        <v>33</v>
      </c>
      <c r="L20794" t="s">
        <v>600</v>
      </c>
      <c r="N20794" t="s">
        <v>29</v>
      </c>
    </row>
    <row r="20795" spans="1:14">
      <c r="A20795" s="4" t="str">
        <f t="shared" si="1404"/>
        <v>EXP00451</v>
      </c>
      <c r="B20795" s="3" t="s">
        <v>66</v>
      </c>
      <c r="C20795" s="4" t="str">
        <f t="shared" si="1405"/>
        <v>TCGA-UCEC</v>
      </c>
      <c r="D20795" s="1" t="s">
        <v>493</v>
      </c>
      <c r="E20795" t="s">
        <v>598</v>
      </c>
      <c r="F20795" s="1">
        <v>2</v>
      </c>
      <c r="G20795" s="1" t="s">
        <v>32</v>
      </c>
      <c r="H20795" s="4" t="str">
        <f>HYPERLINK("https://portal.gdc.cancer.gov/cases/53707bb3-426a-43cb-830f-3eeed930295f","TCGA-A5-A0G1-01A")</f>
        <v>TCGA-A5-A0G1-01A</v>
      </c>
      <c r="I20795" t="s">
        <v>444</v>
      </c>
      <c r="J20795" t="s">
        <v>599</v>
      </c>
      <c r="K20795" t="s">
        <v>33</v>
      </c>
      <c r="L20795" t="s">
        <v>600</v>
      </c>
      <c r="N20795" t="s">
        <v>29</v>
      </c>
    </row>
    <row r="20796" spans="1:14">
      <c r="A20796" s="4" t="str">
        <f t="shared" si="1404"/>
        <v>EXP00451</v>
      </c>
      <c r="B20796" s="3" t="s">
        <v>66</v>
      </c>
      <c r="C20796" s="4" t="str">
        <f t="shared" si="1405"/>
        <v>TCGA-UCEC</v>
      </c>
      <c r="D20796" s="1" t="s">
        <v>493</v>
      </c>
      <c r="E20796" t="s">
        <v>598</v>
      </c>
      <c r="F20796" s="1">
        <v>2</v>
      </c>
      <c r="G20796" s="1" t="s">
        <v>32</v>
      </c>
      <c r="H20796" s="4" t="str">
        <f>HYPERLINK("https://portal.gdc.cancer.gov/cases/4abbd258-0f0c-4428-901d-625d47ad363a","TCGA-A5-A0G2-01A")</f>
        <v>TCGA-A5-A0G2-01A</v>
      </c>
      <c r="I20796" t="s">
        <v>444</v>
      </c>
      <c r="J20796" t="s">
        <v>599</v>
      </c>
      <c r="K20796" t="s">
        <v>33</v>
      </c>
      <c r="L20796" t="s">
        <v>600</v>
      </c>
      <c r="N20796" t="s">
        <v>29</v>
      </c>
    </row>
    <row r="20797" spans="1:14">
      <c r="A20797" s="4" t="str">
        <f t="shared" si="1404"/>
        <v>EXP00451</v>
      </c>
      <c r="B20797" s="3" t="s">
        <v>66</v>
      </c>
      <c r="C20797" s="4" t="str">
        <f t="shared" si="1405"/>
        <v>TCGA-UCEC</v>
      </c>
      <c r="D20797" s="1" t="s">
        <v>493</v>
      </c>
      <c r="E20797" t="s">
        <v>598</v>
      </c>
      <c r="F20797" s="1">
        <v>2</v>
      </c>
      <c r="G20797" s="1" t="s">
        <v>32</v>
      </c>
      <c r="H20797" s="4" t="str">
        <f>HYPERLINK("https://portal.gdc.cancer.gov/cases/8432401d-799f-4f2f-b536-e79e1e8be064","TCGA-A5-A0G3-01A")</f>
        <v>TCGA-A5-A0G3-01A</v>
      </c>
      <c r="I20797" t="s">
        <v>444</v>
      </c>
      <c r="J20797" t="s">
        <v>599</v>
      </c>
      <c r="K20797" t="s">
        <v>33</v>
      </c>
      <c r="L20797" t="s">
        <v>600</v>
      </c>
      <c r="N20797" t="s">
        <v>29</v>
      </c>
    </row>
    <row r="20798" spans="1:14">
      <c r="A20798" s="4" t="str">
        <f t="shared" si="1404"/>
        <v>EXP00451</v>
      </c>
      <c r="B20798" s="3" t="s">
        <v>66</v>
      </c>
      <c r="C20798" s="4" t="str">
        <f t="shared" si="1405"/>
        <v>TCGA-UCEC</v>
      </c>
      <c r="D20798" s="1" t="s">
        <v>493</v>
      </c>
      <c r="E20798" t="s">
        <v>598</v>
      </c>
      <c r="F20798" s="1">
        <v>2</v>
      </c>
      <c r="G20798" s="1" t="s">
        <v>32</v>
      </c>
      <c r="H20798" s="4" t="str">
        <f>HYPERLINK("https://portal.gdc.cancer.gov/cases/4806d9a6-e65d-4a82-b422-1b287980a0c6","TCGA-A5-A0G5-01A")</f>
        <v>TCGA-A5-A0G5-01A</v>
      </c>
      <c r="I20798" t="s">
        <v>444</v>
      </c>
      <c r="J20798" t="s">
        <v>599</v>
      </c>
      <c r="K20798" t="s">
        <v>33</v>
      </c>
      <c r="L20798" t="s">
        <v>600</v>
      </c>
      <c r="N20798" t="s">
        <v>29</v>
      </c>
    </row>
    <row r="20799" spans="1:14">
      <c r="A20799" s="4" t="str">
        <f t="shared" si="1404"/>
        <v>EXP00451</v>
      </c>
      <c r="B20799" s="3" t="s">
        <v>66</v>
      </c>
      <c r="C20799" s="4" t="str">
        <f t="shared" si="1405"/>
        <v>TCGA-UCEC</v>
      </c>
      <c r="D20799" s="1" t="s">
        <v>493</v>
      </c>
      <c r="E20799" t="s">
        <v>598</v>
      </c>
      <c r="F20799" s="1">
        <v>2</v>
      </c>
      <c r="G20799" s="1" t="s">
        <v>32</v>
      </c>
      <c r="H20799" s="4" t="str">
        <f>HYPERLINK("https://portal.gdc.cancer.gov/cases/45d58088-d3f4-4eb0-b75c-bcb98c0981dc","TCGA-A5-A0G9-01A")</f>
        <v>TCGA-A5-A0G9-01A</v>
      </c>
      <c r="I20799" t="s">
        <v>444</v>
      </c>
      <c r="J20799" t="s">
        <v>599</v>
      </c>
      <c r="K20799" t="s">
        <v>33</v>
      </c>
      <c r="L20799" t="s">
        <v>600</v>
      </c>
      <c r="N20799" t="s">
        <v>29</v>
      </c>
    </row>
    <row r="20800" spans="1:14">
      <c r="A20800" s="4" t="str">
        <f t="shared" si="1404"/>
        <v>EXP00451</v>
      </c>
      <c r="B20800" s="3" t="s">
        <v>66</v>
      </c>
      <c r="C20800" s="4" t="str">
        <f t="shared" si="1405"/>
        <v>TCGA-UCEC</v>
      </c>
      <c r="D20800" s="1" t="s">
        <v>493</v>
      </c>
      <c r="E20800" t="s">
        <v>598</v>
      </c>
      <c r="F20800" s="1">
        <v>2</v>
      </c>
      <c r="G20800" s="1" t="s">
        <v>32</v>
      </c>
      <c r="H20800" s="4" t="str">
        <f>HYPERLINK("https://portal.gdc.cancer.gov/cases/71fed998-8fac-4e6b-b38a-22c83e05e958","TCGA-A5-A0GA-01A")</f>
        <v>TCGA-A5-A0GA-01A</v>
      </c>
      <c r="I20800" t="s">
        <v>444</v>
      </c>
      <c r="J20800" t="s">
        <v>599</v>
      </c>
      <c r="K20800" t="s">
        <v>33</v>
      </c>
      <c r="L20800" t="s">
        <v>600</v>
      </c>
      <c r="N20800" t="s">
        <v>29</v>
      </c>
    </row>
    <row r="20801" spans="1:14">
      <c r="A20801" s="4" t="str">
        <f t="shared" si="1404"/>
        <v>EXP00451</v>
      </c>
      <c r="B20801" s="3" t="s">
        <v>66</v>
      </c>
      <c r="C20801" s="4" t="str">
        <f t="shared" si="1405"/>
        <v>TCGA-UCEC</v>
      </c>
      <c r="D20801" s="1" t="s">
        <v>493</v>
      </c>
      <c r="E20801" t="s">
        <v>598</v>
      </c>
      <c r="F20801" s="1">
        <v>2</v>
      </c>
      <c r="G20801" s="1" t="s">
        <v>32</v>
      </c>
      <c r="H20801" s="4" t="str">
        <f>HYPERLINK("https://portal.gdc.cancer.gov/cases/2f4458b6-3caf-4e33-890e-a04722badd1b","TCGA-A5-A0GB-01A")</f>
        <v>TCGA-A5-A0GB-01A</v>
      </c>
      <c r="I20801" t="s">
        <v>444</v>
      </c>
      <c r="J20801" t="s">
        <v>599</v>
      </c>
      <c r="K20801" t="s">
        <v>33</v>
      </c>
      <c r="L20801" t="s">
        <v>600</v>
      </c>
      <c r="N20801" t="s">
        <v>29</v>
      </c>
    </row>
    <row r="20802" spans="1:14">
      <c r="A20802" s="4" t="str">
        <f t="shared" si="1404"/>
        <v>EXP00451</v>
      </c>
      <c r="B20802" s="3" t="s">
        <v>66</v>
      </c>
      <c r="C20802" s="4" t="str">
        <f t="shared" si="1405"/>
        <v>TCGA-UCEC</v>
      </c>
      <c r="D20802" s="1" t="s">
        <v>493</v>
      </c>
      <c r="E20802" t="s">
        <v>598</v>
      </c>
      <c r="F20802" s="1">
        <v>2</v>
      </c>
      <c r="G20802" s="1" t="s">
        <v>32</v>
      </c>
      <c r="H20802" s="4" t="str">
        <f>HYPERLINK("https://portal.gdc.cancer.gov/cases/1486a031-b74d-4976-8b0b-4569e6978f49","TCGA-A5-A0GD-01A")</f>
        <v>TCGA-A5-A0GD-01A</v>
      </c>
      <c r="I20802" t="s">
        <v>444</v>
      </c>
      <c r="J20802" t="s">
        <v>599</v>
      </c>
      <c r="K20802" t="s">
        <v>33</v>
      </c>
      <c r="L20802" t="s">
        <v>600</v>
      </c>
      <c r="N20802" t="s">
        <v>29</v>
      </c>
    </row>
    <row r="20803" spans="1:14">
      <c r="A20803" s="4" t="str">
        <f t="shared" si="1404"/>
        <v>EXP00451</v>
      </c>
      <c r="B20803" s="3" t="s">
        <v>66</v>
      </c>
      <c r="C20803" s="4" t="str">
        <f t="shared" si="1405"/>
        <v>TCGA-UCEC</v>
      </c>
      <c r="D20803" s="1" t="s">
        <v>493</v>
      </c>
      <c r="E20803" t="s">
        <v>598</v>
      </c>
      <c r="F20803" s="1">
        <v>2</v>
      </c>
      <c r="G20803" s="1" t="s">
        <v>32</v>
      </c>
      <c r="H20803" s="4" t="str">
        <f>HYPERLINK("https://portal.gdc.cancer.gov/cases/a587e62e-430e-4f1b-82b7-6fbe856fdaf1","TCGA-A5-A0GE-01A")</f>
        <v>TCGA-A5-A0GE-01A</v>
      </c>
      <c r="I20803" t="s">
        <v>444</v>
      </c>
      <c r="J20803" t="s">
        <v>599</v>
      </c>
      <c r="K20803" t="s">
        <v>33</v>
      </c>
      <c r="L20803" t="s">
        <v>600</v>
      </c>
      <c r="N20803" t="s">
        <v>29</v>
      </c>
    </row>
    <row r="20804" spans="1:14">
      <c r="A20804" s="4" t="str">
        <f t="shared" si="1404"/>
        <v>EXP00451</v>
      </c>
      <c r="B20804" s="3" t="s">
        <v>66</v>
      </c>
      <c r="C20804" s="4" t="str">
        <f t="shared" si="1405"/>
        <v>TCGA-UCEC</v>
      </c>
      <c r="D20804" s="1" t="s">
        <v>493</v>
      </c>
      <c r="E20804" t="s">
        <v>598</v>
      </c>
      <c r="F20804" s="1">
        <v>2</v>
      </c>
      <c r="G20804" s="1" t="s">
        <v>32</v>
      </c>
      <c r="H20804" s="4" t="str">
        <f>HYPERLINK("https://portal.gdc.cancer.gov/cases/a8614c49-c7f1-4de9-bd2f-4764b094d604","TCGA-A5-A0GG-01A")</f>
        <v>TCGA-A5-A0GG-01A</v>
      </c>
      <c r="I20804" t="s">
        <v>444</v>
      </c>
      <c r="J20804" t="s">
        <v>599</v>
      </c>
      <c r="K20804" t="s">
        <v>33</v>
      </c>
      <c r="L20804" t="s">
        <v>600</v>
      </c>
      <c r="N20804" t="s">
        <v>29</v>
      </c>
    </row>
    <row r="20805" spans="1:14">
      <c r="A20805" s="4" t="str">
        <f t="shared" si="1404"/>
        <v>EXP00451</v>
      </c>
      <c r="B20805" s="3" t="s">
        <v>66</v>
      </c>
      <c r="C20805" s="4" t="str">
        <f t="shared" si="1405"/>
        <v>TCGA-UCEC</v>
      </c>
      <c r="D20805" s="1" t="s">
        <v>493</v>
      </c>
      <c r="E20805" t="s">
        <v>598</v>
      </c>
      <c r="F20805" s="1">
        <v>2</v>
      </c>
      <c r="G20805" s="1" t="s">
        <v>32</v>
      </c>
      <c r="H20805" s="4" t="str">
        <f>HYPERLINK("https://portal.gdc.cancer.gov/cases/32e33897-29c8-48f2-b833-98f37204e0e7","TCGA-A5-A0GH-01A")</f>
        <v>TCGA-A5-A0GH-01A</v>
      </c>
      <c r="I20805" t="s">
        <v>444</v>
      </c>
      <c r="J20805" t="s">
        <v>599</v>
      </c>
      <c r="K20805" t="s">
        <v>33</v>
      </c>
      <c r="L20805" t="s">
        <v>600</v>
      </c>
      <c r="N20805" t="s">
        <v>29</v>
      </c>
    </row>
    <row r="20806" spans="1:14">
      <c r="A20806" s="4" t="str">
        <f t="shared" si="1404"/>
        <v>EXP00451</v>
      </c>
      <c r="B20806" s="3" t="s">
        <v>66</v>
      </c>
      <c r="C20806" s="4" t="str">
        <f t="shared" si="1405"/>
        <v>TCGA-UCEC</v>
      </c>
      <c r="D20806" s="1" t="s">
        <v>493</v>
      </c>
      <c r="E20806" t="s">
        <v>598</v>
      </c>
      <c r="F20806" s="1">
        <v>2</v>
      </c>
      <c r="G20806" s="1" t="s">
        <v>32</v>
      </c>
      <c r="H20806" s="4" t="str">
        <f>HYPERLINK("https://portal.gdc.cancer.gov/cases/3b21b47e-a15c-4b10-9702-62a14afdfb8c","TCGA-A5-A0GI-01A")</f>
        <v>TCGA-A5-A0GI-01A</v>
      </c>
      <c r="I20806" t="s">
        <v>444</v>
      </c>
      <c r="J20806" t="s">
        <v>599</v>
      </c>
      <c r="K20806" t="s">
        <v>33</v>
      </c>
      <c r="L20806" t="s">
        <v>600</v>
      </c>
      <c r="N20806" t="s">
        <v>29</v>
      </c>
    </row>
    <row r="20807" spans="1:14">
      <c r="A20807" s="4" t="str">
        <f t="shared" si="1404"/>
        <v>EXP00451</v>
      </c>
      <c r="B20807" s="3" t="s">
        <v>66</v>
      </c>
      <c r="C20807" s="4" t="str">
        <f t="shared" si="1405"/>
        <v>TCGA-UCEC</v>
      </c>
      <c r="D20807" s="1" t="s">
        <v>493</v>
      </c>
      <c r="E20807" t="s">
        <v>598</v>
      </c>
      <c r="F20807" s="1">
        <v>2</v>
      </c>
      <c r="G20807" s="1" t="s">
        <v>32</v>
      </c>
      <c r="H20807" s="4" t="str">
        <f>HYPERLINK("https://portal.gdc.cancer.gov/cases/94817e78-78f5-4556-9394-610df65605e2","TCGA-A5-A0GJ-01A")</f>
        <v>TCGA-A5-A0GJ-01A</v>
      </c>
      <c r="I20807" t="s">
        <v>444</v>
      </c>
      <c r="J20807" t="s">
        <v>599</v>
      </c>
      <c r="K20807" t="s">
        <v>33</v>
      </c>
      <c r="L20807" t="s">
        <v>600</v>
      </c>
      <c r="N20807" t="s">
        <v>29</v>
      </c>
    </row>
    <row r="20808" spans="1:14">
      <c r="A20808" s="4" t="str">
        <f t="shared" si="1404"/>
        <v>EXP00451</v>
      </c>
      <c r="B20808" s="3" t="s">
        <v>66</v>
      </c>
      <c r="C20808" s="4" t="str">
        <f t="shared" si="1405"/>
        <v>TCGA-UCEC</v>
      </c>
      <c r="D20808" s="1" t="s">
        <v>493</v>
      </c>
      <c r="E20808" t="s">
        <v>598</v>
      </c>
      <c r="F20808" s="1">
        <v>2</v>
      </c>
      <c r="G20808" s="1" t="s">
        <v>32</v>
      </c>
      <c r="H20808" s="4" t="str">
        <f>HYPERLINK("https://portal.gdc.cancer.gov/cases/976bb47a-d999-4e24-ad08-452fea73c846","TCGA-A5-A0GM-01A")</f>
        <v>TCGA-A5-A0GM-01A</v>
      </c>
      <c r="I20808" t="s">
        <v>444</v>
      </c>
      <c r="J20808" t="s">
        <v>599</v>
      </c>
      <c r="K20808" t="s">
        <v>33</v>
      </c>
      <c r="L20808" t="s">
        <v>600</v>
      </c>
      <c r="N20808" t="s">
        <v>29</v>
      </c>
    </row>
    <row r="20809" spans="1:14">
      <c r="A20809" s="4" t="str">
        <f t="shared" si="1404"/>
        <v>EXP00451</v>
      </c>
      <c r="B20809" s="3" t="s">
        <v>66</v>
      </c>
      <c r="C20809" s="4" t="str">
        <f t="shared" si="1405"/>
        <v>TCGA-UCEC</v>
      </c>
      <c r="D20809" s="1" t="s">
        <v>493</v>
      </c>
      <c r="E20809" t="s">
        <v>598</v>
      </c>
      <c r="F20809" s="1">
        <v>2</v>
      </c>
      <c r="G20809" s="1" t="s">
        <v>32</v>
      </c>
      <c r="H20809" s="4" t="str">
        <f>HYPERLINK("https://portal.gdc.cancer.gov/cases/a2a2dbda-d10c-49c4-86a8-61baf6160cda","TCGA-A5-A0GN-01A")</f>
        <v>TCGA-A5-A0GN-01A</v>
      </c>
      <c r="I20809" t="s">
        <v>444</v>
      </c>
      <c r="J20809" t="s">
        <v>599</v>
      </c>
      <c r="K20809" t="s">
        <v>33</v>
      </c>
      <c r="L20809" t="s">
        <v>600</v>
      </c>
      <c r="N20809" t="s">
        <v>29</v>
      </c>
    </row>
    <row r="20810" spans="1:14">
      <c r="A20810" s="4" t="str">
        <f t="shared" si="1404"/>
        <v>EXP00451</v>
      </c>
      <c r="B20810" s="3" t="s">
        <v>66</v>
      </c>
      <c r="C20810" s="4" t="str">
        <f t="shared" si="1405"/>
        <v>TCGA-UCEC</v>
      </c>
      <c r="D20810" s="1" t="s">
        <v>493</v>
      </c>
      <c r="E20810" t="s">
        <v>598</v>
      </c>
      <c r="F20810" s="1">
        <v>2</v>
      </c>
      <c r="G20810" s="1" t="s">
        <v>32</v>
      </c>
      <c r="H20810" s="4" t="str">
        <f>HYPERLINK("https://portal.gdc.cancer.gov/cases/0547cdfa-c488-4da0-9bb5-4cc63a637179","TCGA-A5-A0GP-01A")</f>
        <v>TCGA-A5-A0GP-01A</v>
      </c>
      <c r="I20810" t="s">
        <v>444</v>
      </c>
      <c r="J20810" t="s">
        <v>599</v>
      </c>
      <c r="K20810" t="s">
        <v>33</v>
      </c>
      <c r="L20810" t="s">
        <v>600</v>
      </c>
      <c r="N20810" t="s">
        <v>29</v>
      </c>
    </row>
    <row r="20811" spans="1:14">
      <c r="A20811" s="4" t="str">
        <f t="shared" si="1404"/>
        <v>EXP00451</v>
      </c>
      <c r="B20811" s="3" t="s">
        <v>66</v>
      </c>
      <c r="C20811" s="4" t="str">
        <f t="shared" si="1405"/>
        <v>TCGA-UCEC</v>
      </c>
      <c r="D20811" s="1" t="s">
        <v>493</v>
      </c>
      <c r="E20811" t="s">
        <v>598</v>
      </c>
      <c r="F20811" s="1">
        <v>2</v>
      </c>
      <c r="G20811" s="1" t="s">
        <v>32</v>
      </c>
      <c r="H20811" s="4" t="str">
        <f>HYPERLINK("https://portal.gdc.cancer.gov/cases/c8d672ed-9910-4f80-b222-38c833f55850","TCGA-A5-A0GQ-01A")</f>
        <v>TCGA-A5-A0GQ-01A</v>
      </c>
      <c r="I20811" t="s">
        <v>444</v>
      </c>
      <c r="J20811" t="s">
        <v>599</v>
      </c>
      <c r="K20811" t="s">
        <v>33</v>
      </c>
      <c r="L20811" t="s">
        <v>600</v>
      </c>
      <c r="N20811" t="s">
        <v>29</v>
      </c>
    </row>
    <row r="20812" spans="1:14">
      <c r="A20812" s="4" t="str">
        <f t="shared" si="1404"/>
        <v>EXP00451</v>
      </c>
      <c r="B20812" s="3" t="s">
        <v>66</v>
      </c>
      <c r="C20812" s="4" t="str">
        <f t="shared" si="1405"/>
        <v>TCGA-UCEC</v>
      </c>
      <c r="D20812" s="1" t="s">
        <v>493</v>
      </c>
      <c r="E20812" t="s">
        <v>598</v>
      </c>
      <c r="F20812" s="1">
        <v>2</v>
      </c>
      <c r="G20812" s="1" t="s">
        <v>32</v>
      </c>
      <c r="H20812" s="4" t="str">
        <f>HYPERLINK("https://portal.gdc.cancer.gov/cases/82c51af5-4ba2-48fe-b5e2-a0f1c9d68f34","TCGA-A5-A0GR-01A")</f>
        <v>TCGA-A5-A0GR-01A</v>
      </c>
      <c r="I20812" t="s">
        <v>444</v>
      </c>
      <c r="J20812" t="s">
        <v>599</v>
      </c>
      <c r="K20812" t="s">
        <v>33</v>
      </c>
      <c r="L20812" t="s">
        <v>600</v>
      </c>
      <c r="N20812" t="s">
        <v>29</v>
      </c>
    </row>
    <row r="20813" spans="1:14">
      <c r="A20813" s="4" t="str">
        <f t="shared" si="1404"/>
        <v>EXP00451</v>
      </c>
      <c r="B20813" s="3" t="s">
        <v>66</v>
      </c>
      <c r="C20813" s="4" t="str">
        <f t="shared" si="1405"/>
        <v>TCGA-UCEC</v>
      </c>
      <c r="D20813" s="1" t="s">
        <v>493</v>
      </c>
      <c r="E20813" t="s">
        <v>598</v>
      </c>
      <c r="F20813" s="1">
        <v>2</v>
      </c>
      <c r="G20813" s="1" t="s">
        <v>32</v>
      </c>
      <c r="H20813" s="4" t="str">
        <f>HYPERLINK("https://portal.gdc.cancer.gov/cases/adc22472-e31d-419f-aeae-cb01b9423343","TCGA-A5-A0GU-01A")</f>
        <v>TCGA-A5-A0GU-01A</v>
      </c>
      <c r="I20813" t="s">
        <v>444</v>
      </c>
      <c r="J20813" t="s">
        <v>599</v>
      </c>
      <c r="K20813" t="s">
        <v>33</v>
      </c>
      <c r="L20813" t="s">
        <v>600</v>
      </c>
      <c r="N20813" t="s">
        <v>29</v>
      </c>
    </row>
    <row r="20814" spans="1:14">
      <c r="A20814" s="4" t="str">
        <f t="shared" si="1404"/>
        <v>EXP00451</v>
      </c>
      <c r="B20814" s="3" t="s">
        <v>66</v>
      </c>
      <c r="C20814" s="4" t="str">
        <f t="shared" si="1405"/>
        <v>TCGA-UCEC</v>
      </c>
      <c r="D20814" s="1" t="s">
        <v>493</v>
      </c>
      <c r="E20814" t="s">
        <v>598</v>
      </c>
      <c r="F20814" s="1">
        <v>2</v>
      </c>
      <c r="G20814" s="1" t="s">
        <v>32</v>
      </c>
      <c r="H20814" s="4" t="str">
        <f>HYPERLINK("https://portal.gdc.cancer.gov/cases/5e3b981e-73fe-4cc9-8c89-b420e8e2f426","TCGA-A5-A0GV-01A")</f>
        <v>TCGA-A5-A0GV-01A</v>
      </c>
      <c r="I20814" t="s">
        <v>444</v>
      </c>
      <c r="J20814" t="s">
        <v>599</v>
      </c>
      <c r="K20814" t="s">
        <v>33</v>
      </c>
      <c r="L20814" t="s">
        <v>600</v>
      </c>
      <c r="N20814" t="s">
        <v>29</v>
      </c>
    </row>
    <row r="20815" spans="1:14">
      <c r="A20815" s="4" t="str">
        <f t="shared" si="1404"/>
        <v>EXP00451</v>
      </c>
      <c r="B20815" s="3" t="s">
        <v>66</v>
      </c>
      <c r="C20815" s="4" t="str">
        <f t="shared" si="1405"/>
        <v>TCGA-UCEC</v>
      </c>
      <c r="D20815" s="1" t="s">
        <v>493</v>
      </c>
      <c r="E20815" t="s">
        <v>598</v>
      </c>
      <c r="F20815" s="1">
        <v>2</v>
      </c>
      <c r="G20815" s="1" t="s">
        <v>32</v>
      </c>
      <c r="H20815" s="4" t="str">
        <f>HYPERLINK("https://portal.gdc.cancer.gov/cases/5b6b9d0f-787c-4ae9-afd4-de7ce6c57a42","TCGA-A5-A0GW-01A")</f>
        <v>TCGA-A5-A0GW-01A</v>
      </c>
      <c r="I20815" t="s">
        <v>444</v>
      </c>
      <c r="J20815" t="s">
        <v>599</v>
      </c>
      <c r="K20815" t="s">
        <v>33</v>
      </c>
      <c r="L20815" t="s">
        <v>600</v>
      </c>
      <c r="N20815" t="s">
        <v>29</v>
      </c>
    </row>
    <row r="20816" spans="1:14">
      <c r="A20816" s="4" t="str">
        <f t="shared" si="1404"/>
        <v>EXP00451</v>
      </c>
      <c r="B20816" s="3" t="s">
        <v>66</v>
      </c>
      <c r="C20816" s="4" t="str">
        <f t="shared" si="1405"/>
        <v>TCGA-UCEC</v>
      </c>
      <c r="D20816" s="1" t="s">
        <v>493</v>
      </c>
      <c r="E20816" t="s">
        <v>598</v>
      </c>
      <c r="F20816" s="1">
        <v>2</v>
      </c>
      <c r="G20816" s="1" t="s">
        <v>32</v>
      </c>
      <c r="H20816" s="4" t="str">
        <f>HYPERLINK("https://portal.gdc.cancer.gov/cases/553f0ccd-4e6f-4ae2-9b39-97529eb3d826","TCGA-A5-A0GX-01A")</f>
        <v>TCGA-A5-A0GX-01A</v>
      </c>
      <c r="I20816" t="s">
        <v>444</v>
      </c>
      <c r="J20816" t="s">
        <v>599</v>
      </c>
      <c r="K20816" t="s">
        <v>33</v>
      </c>
      <c r="L20816" t="s">
        <v>600</v>
      </c>
      <c r="N20816" t="s">
        <v>29</v>
      </c>
    </row>
    <row r="20817" spans="1:14">
      <c r="A20817" s="4" t="str">
        <f t="shared" si="1404"/>
        <v>EXP00451</v>
      </c>
      <c r="B20817" s="3" t="s">
        <v>66</v>
      </c>
      <c r="C20817" s="4" t="str">
        <f t="shared" si="1405"/>
        <v>TCGA-UCEC</v>
      </c>
      <c r="D20817" s="1" t="s">
        <v>493</v>
      </c>
      <c r="E20817" t="s">
        <v>598</v>
      </c>
      <c r="F20817" s="1">
        <v>2</v>
      </c>
      <c r="G20817" s="1" t="s">
        <v>32</v>
      </c>
      <c r="H20817" s="4" t="str">
        <f>HYPERLINK("https://portal.gdc.cancer.gov/cases/39609d3c-f5d3-4bc4-b356-1403c6dd1cb5","TCGA-A5-A0R6-01A")</f>
        <v>TCGA-A5-A0R6-01A</v>
      </c>
      <c r="I20817" t="s">
        <v>444</v>
      </c>
      <c r="J20817" t="s">
        <v>599</v>
      </c>
      <c r="K20817" t="s">
        <v>33</v>
      </c>
      <c r="L20817" t="s">
        <v>600</v>
      </c>
      <c r="N20817" t="s">
        <v>29</v>
      </c>
    </row>
    <row r="20818" spans="1:14">
      <c r="A20818" s="4" t="str">
        <f t="shared" si="1404"/>
        <v>EXP00451</v>
      </c>
      <c r="B20818" s="3" t="s">
        <v>66</v>
      </c>
      <c r="C20818" s="4" t="str">
        <f t="shared" si="1405"/>
        <v>TCGA-UCEC</v>
      </c>
      <c r="D20818" s="1" t="s">
        <v>493</v>
      </c>
      <c r="E20818" t="s">
        <v>598</v>
      </c>
      <c r="F20818" s="1">
        <v>2</v>
      </c>
      <c r="G20818" s="1" t="s">
        <v>32</v>
      </c>
      <c r="H20818" s="4" t="str">
        <f>HYPERLINK("https://portal.gdc.cancer.gov/cases/02b25675-094d-4098-96da-51d121380fec","TCGA-A5-A0R7-01A")</f>
        <v>TCGA-A5-A0R7-01A</v>
      </c>
      <c r="I20818" t="s">
        <v>444</v>
      </c>
      <c r="J20818" t="s">
        <v>599</v>
      </c>
      <c r="K20818" t="s">
        <v>33</v>
      </c>
      <c r="L20818" t="s">
        <v>600</v>
      </c>
      <c r="N20818" t="s">
        <v>29</v>
      </c>
    </row>
    <row r="20819" spans="1:14">
      <c r="A20819" s="4" t="str">
        <f t="shared" si="1404"/>
        <v>EXP00451</v>
      </c>
      <c r="B20819" s="3" t="s">
        <v>66</v>
      </c>
      <c r="C20819" s="4" t="str">
        <f t="shared" si="1405"/>
        <v>TCGA-UCEC</v>
      </c>
      <c r="D20819" s="1" t="s">
        <v>493</v>
      </c>
      <c r="E20819" t="s">
        <v>598</v>
      </c>
      <c r="F20819" s="1">
        <v>2</v>
      </c>
      <c r="G20819" s="1" t="s">
        <v>32</v>
      </c>
      <c r="H20819" s="4" t="str">
        <f>HYPERLINK("https://portal.gdc.cancer.gov/cases/06d16b6b-9ca6-4cec-a785-f27aa4323cec","TCGA-A5-A0R8-01A")</f>
        <v>TCGA-A5-A0R8-01A</v>
      </c>
      <c r="I20819" t="s">
        <v>444</v>
      </c>
      <c r="J20819" t="s">
        <v>599</v>
      </c>
      <c r="K20819" t="s">
        <v>33</v>
      </c>
      <c r="L20819" t="s">
        <v>600</v>
      </c>
      <c r="N20819" t="s">
        <v>29</v>
      </c>
    </row>
    <row r="20820" spans="1:14">
      <c r="A20820" s="4" t="str">
        <f t="shared" si="1404"/>
        <v>EXP00451</v>
      </c>
      <c r="B20820" s="3" t="s">
        <v>66</v>
      </c>
      <c r="C20820" s="4" t="str">
        <f t="shared" si="1405"/>
        <v>TCGA-UCEC</v>
      </c>
      <c r="D20820" s="1" t="s">
        <v>493</v>
      </c>
      <c r="E20820" t="s">
        <v>598</v>
      </c>
      <c r="F20820" s="1">
        <v>2</v>
      </c>
      <c r="G20820" s="1" t="s">
        <v>32</v>
      </c>
      <c r="H20820" s="4" t="str">
        <f>HYPERLINK("https://portal.gdc.cancer.gov/cases/284174fd-1320-4617-9e99-75bd75df9bf3","TCGA-A5-A0R9-01A")</f>
        <v>TCGA-A5-A0R9-01A</v>
      </c>
      <c r="I20820" t="s">
        <v>444</v>
      </c>
      <c r="J20820" t="s">
        <v>599</v>
      </c>
      <c r="K20820" t="s">
        <v>33</v>
      </c>
      <c r="L20820" t="s">
        <v>600</v>
      </c>
      <c r="N20820" t="s">
        <v>29</v>
      </c>
    </row>
    <row r="20821" spans="1:14">
      <c r="A20821" s="4" t="str">
        <f t="shared" si="1404"/>
        <v>EXP00451</v>
      </c>
      <c r="B20821" s="3" t="s">
        <v>66</v>
      </c>
      <c r="C20821" s="4" t="str">
        <f t="shared" si="1405"/>
        <v>TCGA-UCEC</v>
      </c>
      <c r="D20821" s="1" t="s">
        <v>493</v>
      </c>
      <c r="E20821" t="s">
        <v>598</v>
      </c>
      <c r="F20821" s="1">
        <v>2</v>
      </c>
      <c r="G20821" s="1" t="s">
        <v>32</v>
      </c>
      <c r="H20821" s="4" t="str">
        <f>HYPERLINK("https://portal.gdc.cancer.gov/cases/afd710b8-d172-4ac4-9973-e969db1ed231","TCGA-A5-A0RA-01A")</f>
        <v>TCGA-A5-A0RA-01A</v>
      </c>
      <c r="I20821" t="s">
        <v>444</v>
      </c>
      <c r="J20821" t="s">
        <v>599</v>
      </c>
      <c r="K20821" t="s">
        <v>33</v>
      </c>
      <c r="L20821" t="s">
        <v>600</v>
      </c>
      <c r="N20821" t="s">
        <v>29</v>
      </c>
    </row>
    <row r="20822" spans="1:14">
      <c r="A20822" s="4" t="str">
        <f t="shared" si="1404"/>
        <v>EXP00451</v>
      </c>
      <c r="B20822" s="3" t="s">
        <v>66</v>
      </c>
      <c r="C20822" s="4" t="str">
        <f t="shared" si="1405"/>
        <v>TCGA-UCEC</v>
      </c>
      <c r="D20822" s="1" t="s">
        <v>493</v>
      </c>
      <c r="E20822" t="s">
        <v>598</v>
      </c>
      <c r="F20822" s="1">
        <v>2</v>
      </c>
      <c r="G20822" s="1" t="s">
        <v>32</v>
      </c>
      <c r="H20822" s="4" t="str">
        <f>HYPERLINK("https://portal.gdc.cancer.gov/cases/0648f046-2206-4b97-9b6e-419c2e325b6d","TCGA-A5-A0VO-01A")</f>
        <v>TCGA-A5-A0VO-01A</v>
      </c>
      <c r="I20822" t="s">
        <v>444</v>
      </c>
      <c r="J20822" t="s">
        <v>599</v>
      </c>
      <c r="K20822" t="s">
        <v>33</v>
      </c>
      <c r="L20822" t="s">
        <v>600</v>
      </c>
      <c r="N20822" t="s">
        <v>29</v>
      </c>
    </row>
    <row r="20823" spans="1:14">
      <c r="A20823" s="4" t="str">
        <f t="shared" si="1404"/>
        <v>EXP00451</v>
      </c>
      <c r="B20823" s="3" t="s">
        <v>66</v>
      </c>
      <c r="C20823" s="4" t="str">
        <f t="shared" si="1405"/>
        <v>TCGA-UCEC</v>
      </c>
      <c r="D20823" s="1" t="s">
        <v>493</v>
      </c>
      <c r="E20823" t="s">
        <v>598</v>
      </c>
      <c r="F20823" s="1">
        <v>2</v>
      </c>
      <c r="G20823" s="1" t="s">
        <v>32</v>
      </c>
      <c r="H20823" s="4" t="str">
        <f>HYPERLINK("https://portal.gdc.cancer.gov/cases/2db0fb62-64ce-457c-9e22-dd05ef59f684","TCGA-A5-A0VP-01A")</f>
        <v>TCGA-A5-A0VP-01A</v>
      </c>
      <c r="I20823" t="s">
        <v>444</v>
      </c>
      <c r="J20823" t="s">
        <v>599</v>
      </c>
      <c r="K20823" t="s">
        <v>33</v>
      </c>
      <c r="L20823" t="s">
        <v>600</v>
      </c>
      <c r="N20823" t="s">
        <v>29</v>
      </c>
    </row>
    <row r="20824" spans="1:14">
      <c r="A20824" s="4" t="str">
        <f t="shared" si="1404"/>
        <v>EXP00451</v>
      </c>
      <c r="B20824" s="3" t="s">
        <v>66</v>
      </c>
      <c r="C20824" s="4" t="str">
        <f t="shared" si="1405"/>
        <v>TCGA-UCEC</v>
      </c>
      <c r="D20824" s="1" t="s">
        <v>493</v>
      </c>
      <c r="E20824" t="s">
        <v>598</v>
      </c>
      <c r="F20824" s="1">
        <v>2</v>
      </c>
      <c r="G20824" s="1" t="s">
        <v>32</v>
      </c>
      <c r="H20824" s="4" t="str">
        <f>HYPERLINK("https://portal.gdc.cancer.gov/cases/23489245-48d7-4f19-8a42-e23b1181412b","TCGA-A5-A0VQ-01A")</f>
        <v>TCGA-A5-A0VQ-01A</v>
      </c>
      <c r="I20824" t="s">
        <v>444</v>
      </c>
      <c r="J20824" t="s">
        <v>599</v>
      </c>
      <c r="K20824" t="s">
        <v>33</v>
      </c>
      <c r="L20824" t="s">
        <v>600</v>
      </c>
      <c r="N20824" t="s">
        <v>29</v>
      </c>
    </row>
    <row r="20825" spans="1:14">
      <c r="A20825" s="4" t="str">
        <f t="shared" si="1404"/>
        <v>EXP00451</v>
      </c>
      <c r="B20825" s="3" t="s">
        <v>66</v>
      </c>
      <c r="C20825" s="4" t="str">
        <f t="shared" si="1405"/>
        <v>TCGA-UCEC</v>
      </c>
      <c r="D20825" s="1" t="s">
        <v>493</v>
      </c>
      <c r="E20825" t="s">
        <v>598</v>
      </c>
      <c r="F20825" s="1">
        <v>2</v>
      </c>
      <c r="G20825" s="1" t="s">
        <v>32</v>
      </c>
      <c r="H20825" s="4" t="str">
        <f>HYPERLINK("https://portal.gdc.cancer.gov/cases/286c112d-7b73-40a1-b23c-99911388fdef","TCGA-A5-A1OF-01A")</f>
        <v>TCGA-A5-A1OF-01A</v>
      </c>
      <c r="I20825" t="s">
        <v>444</v>
      </c>
      <c r="J20825" t="s">
        <v>599</v>
      </c>
      <c r="K20825" t="s">
        <v>33</v>
      </c>
      <c r="L20825" t="s">
        <v>600</v>
      </c>
      <c r="N20825" t="s">
        <v>29</v>
      </c>
    </row>
    <row r="20826" spans="1:14">
      <c r="A20826" s="4" t="str">
        <f t="shared" si="1404"/>
        <v>EXP00451</v>
      </c>
      <c r="B20826" s="3" t="s">
        <v>66</v>
      </c>
      <c r="C20826" s="4" t="str">
        <f t="shared" si="1405"/>
        <v>TCGA-UCEC</v>
      </c>
      <c r="D20826" s="1" t="s">
        <v>493</v>
      </c>
      <c r="E20826" t="s">
        <v>598</v>
      </c>
      <c r="F20826" s="1">
        <v>2</v>
      </c>
      <c r="G20826" s="1" t="s">
        <v>32</v>
      </c>
      <c r="H20826" s="4" t="str">
        <f>HYPERLINK("https://portal.gdc.cancer.gov/cases/5c3f826c-b447-457d-a90e-715bad3c7118","TCGA-A5-A1OG-01A")</f>
        <v>TCGA-A5-A1OG-01A</v>
      </c>
      <c r="I20826" t="s">
        <v>444</v>
      </c>
      <c r="J20826" t="s">
        <v>599</v>
      </c>
      <c r="K20826" t="s">
        <v>33</v>
      </c>
      <c r="L20826" t="s">
        <v>600</v>
      </c>
      <c r="N20826" t="s">
        <v>29</v>
      </c>
    </row>
    <row r="20827" spans="1:14">
      <c r="A20827" s="4" t="str">
        <f t="shared" si="1404"/>
        <v>EXP00451</v>
      </c>
      <c r="B20827" s="3" t="s">
        <v>66</v>
      </c>
      <c r="C20827" s="4" t="str">
        <f t="shared" si="1405"/>
        <v>TCGA-UCEC</v>
      </c>
      <c r="D20827" s="1" t="s">
        <v>493</v>
      </c>
      <c r="E20827" t="s">
        <v>598</v>
      </c>
      <c r="F20827" s="1">
        <v>2</v>
      </c>
      <c r="G20827" s="1" t="s">
        <v>32</v>
      </c>
      <c r="H20827" s="4" t="str">
        <f>HYPERLINK("https://portal.gdc.cancer.gov/cases/9bce44a2-dcee-4d1a-a522-c2bcb9a8e025","TCGA-A5-A1OH-01A")</f>
        <v>TCGA-A5-A1OH-01A</v>
      </c>
      <c r="I20827" t="s">
        <v>444</v>
      </c>
      <c r="J20827" t="s">
        <v>599</v>
      </c>
      <c r="K20827" t="s">
        <v>33</v>
      </c>
      <c r="L20827" t="s">
        <v>600</v>
      </c>
      <c r="N20827" t="s">
        <v>29</v>
      </c>
    </row>
    <row r="20828" spans="1:14">
      <c r="A20828" s="4" t="str">
        <f t="shared" si="1404"/>
        <v>EXP00451</v>
      </c>
      <c r="B20828" s="3" t="s">
        <v>66</v>
      </c>
      <c r="C20828" s="4" t="str">
        <f t="shared" si="1405"/>
        <v>TCGA-UCEC</v>
      </c>
      <c r="D20828" s="1" t="s">
        <v>493</v>
      </c>
      <c r="E20828" t="s">
        <v>598</v>
      </c>
      <c r="F20828" s="1">
        <v>2</v>
      </c>
      <c r="G20828" s="1" t="s">
        <v>32</v>
      </c>
      <c r="H20828" s="4" t="str">
        <f>HYPERLINK("https://portal.gdc.cancer.gov/cases/0f361166-2b7d-4ef5-9f8f-ee2488548a0b","TCGA-A5-A1OJ-01A")</f>
        <v>TCGA-A5-A1OJ-01A</v>
      </c>
      <c r="I20828" t="s">
        <v>444</v>
      </c>
      <c r="J20828" t="s">
        <v>599</v>
      </c>
      <c r="K20828" t="s">
        <v>33</v>
      </c>
      <c r="L20828" t="s">
        <v>600</v>
      </c>
      <c r="N20828" t="s">
        <v>29</v>
      </c>
    </row>
    <row r="20829" spans="1:14">
      <c r="A20829" s="4" t="str">
        <f t="shared" si="1404"/>
        <v>EXP00451</v>
      </c>
      <c r="B20829" s="3" t="s">
        <v>66</v>
      </c>
      <c r="C20829" s="4" t="str">
        <f t="shared" si="1405"/>
        <v>TCGA-UCEC</v>
      </c>
      <c r="D20829" s="1" t="s">
        <v>493</v>
      </c>
      <c r="E20829" t="s">
        <v>598</v>
      </c>
      <c r="F20829" s="1">
        <v>2</v>
      </c>
      <c r="G20829" s="1" t="s">
        <v>32</v>
      </c>
      <c r="H20829" s="4" t="str">
        <f>HYPERLINK("https://portal.gdc.cancer.gov/cases/2fe46394-cfc5-44bb-81a9-e438a0126f5b","TCGA-A5-A1OK-01A")</f>
        <v>TCGA-A5-A1OK-01A</v>
      </c>
      <c r="I20829" t="s">
        <v>444</v>
      </c>
      <c r="J20829" t="s">
        <v>599</v>
      </c>
      <c r="K20829" t="s">
        <v>33</v>
      </c>
      <c r="L20829" t="s">
        <v>600</v>
      </c>
      <c r="N20829" t="s">
        <v>29</v>
      </c>
    </row>
    <row r="20830" spans="1:14">
      <c r="A20830" s="4" t="str">
        <f t="shared" si="1404"/>
        <v>EXP00451</v>
      </c>
      <c r="B20830" s="3" t="s">
        <v>66</v>
      </c>
      <c r="C20830" s="4" t="str">
        <f t="shared" si="1405"/>
        <v>TCGA-UCEC</v>
      </c>
      <c r="D20830" s="1" t="s">
        <v>493</v>
      </c>
      <c r="E20830" t="s">
        <v>598</v>
      </c>
      <c r="F20830" s="1">
        <v>2</v>
      </c>
      <c r="G20830" s="1" t="s">
        <v>32</v>
      </c>
      <c r="H20830" s="4" t="str">
        <f>HYPERLINK("https://portal.gdc.cancer.gov/cases/840ff11f-f991-4e1b-861b-98d236d573d3","TCGA-A5-A2K2-01A")</f>
        <v>TCGA-A5-A2K2-01A</v>
      </c>
      <c r="I20830" t="s">
        <v>444</v>
      </c>
      <c r="J20830" t="s">
        <v>599</v>
      </c>
      <c r="K20830" t="s">
        <v>33</v>
      </c>
      <c r="L20830" t="s">
        <v>600</v>
      </c>
      <c r="N20830" t="s">
        <v>29</v>
      </c>
    </row>
    <row r="20831" spans="1:14">
      <c r="A20831" s="4" t="str">
        <f t="shared" si="1404"/>
        <v>EXP00451</v>
      </c>
      <c r="B20831" s="3" t="s">
        <v>66</v>
      </c>
      <c r="C20831" s="4" t="str">
        <f t="shared" si="1405"/>
        <v>TCGA-UCEC</v>
      </c>
      <c r="D20831" s="1" t="s">
        <v>493</v>
      </c>
      <c r="E20831" t="s">
        <v>598</v>
      </c>
      <c r="F20831" s="1">
        <v>2</v>
      </c>
      <c r="G20831" s="1" t="s">
        <v>32</v>
      </c>
      <c r="H20831" s="4" t="str">
        <f>HYPERLINK("https://portal.gdc.cancer.gov/cases/c3096984-bd11-44a0-8ee0-47f07ad04d81","TCGA-A5-A2K3-01A")</f>
        <v>TCGA-A5-A2K3-01A</v>
      </c>
      <c r="I20831" t="s">
        <v>444</v>
      </c>
      <c r="J20831" t="s">
        <v>599</v>
      </c>
      <c r="K20831" t="s">
        <v>33</v>
      </c>
      <c r="L20831" t="s">
        <v>600</v>
      </c>
      <c r="N20831" t="s">
        <v>29</v>
      </c>
    </row>
    <row r="20832" spans="1:14">
      <c r="A20832" s="4" t="str">
        <f t="shared" si="1404"/>
        <v>EXP00451</v>
      </c>
      <c r="B20832" s="3" t="s">
        <v>66</v>
      </c>
      <c r="C20832" s="4" t="str">
        <f t="shared" si="1405"/>
        <v>TCGA-UCEC</v>
      </c>
      <c r="D20832" s="1" t="s">
        <v>493</v>
      </c>
      <c r="E20832" t="s">
        <v>598</v>
      </c>
      <c r="F20832" s="1">
        <v>2</v>
      </c>
      <c r="G20832" s="1" t="s">
        <v>32</v>
      </c>
      <c r="H20832" s="4" t="str">
        <f>HYPERLINK("https://portal.gdc.cancer.gov/cases/c4f8f33f-a07c-4dfb-be24-c52d577bd640","TCGA-A5-A2K4-01A")</f>
        <v>TCGA-A5-A2K4-01A</v>
      </c>
      <c r="I20832" t="s">
        <v>444</v>
      </c>
      <c r="J20832" t="s">
        <v>599</v>
      </c>
      <c r="K20832" t="s">
        <v>33</v>
      </c>
      <c r="L20832" t="s">
        <v>600</v>
      </c>
      <c r="N20832" t="s">
        <v>29</v>
      </c>
    </row>
    <row r="20833" spans="1:14">
      <c r="A20833" s="4" t="str">
        <f t="shared" si="1404"/>
        <v>EXP00451</v>
      </c>
      <c r="B20833" s="3" t="s">
        <v>66</v>
      </c>
      <c r="C20833" s="4" t="str">
        <f t="shared" si="1405"/>
        <v>TCGA-UCEC</v>
      </c>
      <c r="D20833" s="1" t="s">
        <v>493</v>
      </c>
      <c r="E20833" t="s">
        <v>598</v>
      </c>
      <c r="F20833" s="1">
        <v>2</v>
      </c>
      <c r="G20833" s="1" t="s">
        <v>32</v>
      </c>
      <c r="H20833" s="4" t="str">
        <f>HYPERLINK("https://portal.gdc.cancer.gov/cases/cf77afe9-3785-45d4-ba2a-61c9cb706225","TCGA-A5-A2K5-01A")</f>
        <v>TCGA-A5-A2K5-01A</v>
      </c>
      <c r="I20833" t="s">
        <v>444</v>
      </c>
      <c r="J20833" t="s">
        <v>599</v>
      </c>
      <c r="K20833" t="s">
        <v>33</v>
      </c>
      <c r="L20833" t="s">
        <v>600</v>
      </c>
      <c r="N20833" t="s">
        <v>29</v>
      </c>
    </row>
    <row r="20834" spans="1:14">
      <c r="A20834" s="4" t="str">
        <f t="shared" si="1404"/>
        <v>EXP00451</v>
      </c>
      <c r="B20834" s="3" t="s">
        <v>66</v>
      </c>
      <c r="C20834" s="4" t="str">
        <f t="shared" si="1405"/>
        <v>TCGA-UCEC</v>
      </c>
      <c r="D20834" s="1" t="s">
        <v>493</v>
      </c>
      <c r="E20834" t="s">
        <v>598</v>
      </c>
      <c r="F20834" s="1">
        <v>2</v>
      </c>
      <c r="G20834" s="1" t="s">
        <v>32</v>
      </c>
      <c r="H20834" s="4" t="str">
        <f>HYPERLINK("https://portal.gdc.cancer.gov/cases/f42868c0-ff59-438b-90a7-489aea678de9","TCGA-A5-A2K7-01A")</f>
        <v>TCGA-A5-A2K7-01A</v>
      </c>
      <c r="I20834" t="s">
        <v>444</v>
      </c>
      <c r="J20834" t="s">
        <v>599</v>
      </c>
      <c r="K20834" t="s">
        <v>33</v>
      </c>
      <c r="L20834" t="s">
        <v>600</v>
      </c>
      <c r="N20834" t="s">
        <v>29</v>
      </c>
    </row>
    <row r="20835" spans="1:14">
      <c r="A20835" s="4" t="str">
        <f t="shared" si="1404"/>
        <v>EXP00451</v>
      </c>
      <c r="B20835" s="3" t="s">
        <v>66</v>
      </c>
      <c r="C20835" s="4" t="str">
        <f t="shared" si="1405"/>
        <v>TCGA-UCEC</v>
      </c>
      <c r="D20835" s="1" t="s">
        <v>493</v>
      </c>
      <c r="E20835" t="s">
        <v>598</v>
      </c>
      <c r="F20835" s="1">
        <v>2</v>
      </c>
      <c r="G20835" s="1" t="s">
        <v>32</v>
      </c>
      <c r="H20835" s="4" t="str">
        <f>HYPERLINK("https://portal.gdc.cancer.gov/cases/2a2bc155-ca7c-48b2-bb77-ccfd6313710a","TCGA-A5-A3LO-01A")</f>
        <v>TCGA-A5-A3LO-01A</v>
      </c>
      <c r="I20835" t="s">
        <v>444</v>
      </c>
      <c r="J20835" t="s">
        <v>599</v>
      </c>
      <c r="K20835" t="s">
        <v>33</v>
      </c>
      <c r="L20835" t="s">
        <v>600</v>
      </c>
      <c r="N20835" t="s">
        <v>29</v>
      </c>
    </row>
    <row r="20836" spans="1:14">
      <c r="A20836" s="4" t="str">
        <f t="shared" si="1404"/>
        <v>EXP00451</v>
      </c>
      <c r="B20836" s="3" t="s">
        <v>66</v>
      </c>
      <c r="C20836" s="4" t="str">
        <f t="shared" si="1405"/>
        <v>TCGA-UCEC</v>
      </c>
      <c r="D20836" s="1" t="s">
        <v>493</v>
      </c>
      <c r="E20836" t="s">
        <v>598</v>
      </c>
      <c r="F20836" s="1">
        <v>2</v>
      </c>
      <c r="G20836" s="1" t="s">
        <v>32</v>
      </c>
      <c r="H20836" s="4" t="str">
        <f>HYPERLINK("https://portal.gdc.cancer.gov/cases/9becf65d-01f2-4e84-a256-106002e22526","TCGA-A5-A3LP-01A")</f>
        <v>TCGA-A5-A3LP-01A</v>
      </c>
      <c r="I20836" t="s">
        <v>444</v>
      </c>
      <c r="J20836" t="s">
        <v>599</v>
      </c>
      <c r="K20836" t="s">
        <v>33</v>
      </c>
      <c r="L20836" t="s">
        <v>600</v>
      </c>
      <c r="N20836" t="s">
        <v>29</v>
      </c>
    </row>
    <row r="20837" spans="1:14">
      <c r="A20837" s="4" t="str">
        <f t="shared" si="1404"/>
        <v>EXP00451</v>
      </c>
      <c r="B20837" s="3" t="s">
        <v>66</v>
      </c>
      <c r="C20837" s="4" t="str">
        <f t="shared" si="1405"/>
        <v>TCGA-UCEC</v>
      </c>
      <c r="D20837" s="1" t="s">
        <v>493</v>
      </c>
      <c r="E20837" t="s">
        <v>598</v>
      </c>
      <c r="F20837" s="1">
        <v>2</v>
      </c>
      <c r="G20837" s="1" t="s">
        <v>32</v>
      </c>
      <c r="H20837" s="4" t="str">
        <f>HYPERLINK("https://portal.gdc.cancer.gov/cases/a3e728ce-0874-4f4b-a83d-8c679f4bd938","TCGA-A5-A7WJ-01A")</f>
        <v>TCGA-A5-A7WJ-01A</v>
      </c>
      <c r="I20837" t="s">
        <v>444</v>
      </c>
      <c r="J20837" t="s">
        <v>599</v>
      </c>
      <c r="K20837" t="s">
        <v>33</v>
      </c>
      <c r="L20837" t="s">
        <v>600</v>
      </c>
      <c r="N20837" t="s">
        <v>29</v>
      </c>
    </row>
    <row r="20838" spans="1:14">
      <c r="A20838" s="4" t="str">
        <f t="shared" si="1404"/>
        <v>EXP00451</v>
      </c>
      <c r="B20838" s="3" t="s">
        <v>66</v>
      </c>
      <c r="C20838" s="4" t="str">
        <f t="shared" si="1405"/>
        <v>TCGA-UCEC</v>
      </c>
      <c r="D20838" s="1" t="s">
        <v>493</v>
      </c>
      <c r="E20838" t="s">
        <v>598</v>
      </c>
      <c r="F20838" s="1">
        <v>2</v>
      </c>
      <c r="G20838" s="1" t="s">
        <v>32</v>
      </c>
      <c r="H20838" s="4" t="str">
        <f>HYPERLINK("https://portal.gdc.cancer.gov/cases/ded408ee-053a-43ed-9bcf-1d15cd203051","TCGA-A5-A7WK-01A")</f>
        <v>TCGA-A5-A7WK-01A</v>
      </c>
      <c r="I20838" t="s">
        <v>444</v>
      </c>
      <c r="J20838" t="s">
        <v>599</v>
      </c>
      <c r="K20838" t="s">
        <v>33</v>
      </c>
      <c r="L20838" t="s">
        <v>600</v>
      </c>
      <c r="N20838" t="s">
        <v>29</v>
      </c>
    </row>
    <row r="20839" spans="1:14">
      <c r="A20839" s="4" t="str">
        <f t="shared" si="1404"/>
        <v>EXP00451</v>
      </c>
      <c r="B20839" s="3" t="s">
        <v>66</v>
      </c>
      <c r="C20839" s="4" t="str">
        <f t="shared" si="1405"/>
        <v>TCGA-UCEC</v>
      </c>
      <c r="D20839" s="1" t="s">
        <v>493</v>
      </c>
      <c r="E20839" t="s">
        <v>598</v>
      </c>
      <c r="F20839" s="1">
        <v>2</v>
      </c>
      <c r="G20839" s="1" t="s">
        <v>32</v>
      </c>
      <c r="H20839" s="4" t="str">
        <f>HYPERLINK("https://portal.gdc.cancer.gov/cases/8a67ed86-156f-4b45-b460-000fe33da26b","TCGA-A5-AB3J-01A")</f>
        <v>TCGA-A5-AB3J-01A</v>
      </c>
      <c r="I20839" t="s">
        <v>444</v>
      </c>
      <c r="J20839" t="s">
        <v>599</v>
      </c>
      <c r="K20839" t="s">
        <v>33</v>
      </c>
      <c r="L20839" t="s">
        <v>600</v>
      </c>
      <c r="N20839" t="s">
        <v>29</v>
      </c>
    </row>
    <row r="20840" spans="1:14">
      <c r="A20840" s="4" t="str">
        <f t="shared" si="1404"/>
        <v>EXP00451</v>
      </c>
      <c r="B20840" s="3" t="s">
        <v>66</v>
      </c>
      <c r="C20840" s="4" t="str">
        <f t="shared" si="1405"/>
        <v>TCGA-UCEC</v>
      </c>
      <c r="D20840" s="1" t="s">
        <v>493</v>
      </c>
      <c r="E20840" t="s">
        <v>598</v>
      </c>
      <c r="F20840" s="1">
        <v>2</v>
      </c>
      <c r="G20840" s="1" t="s">
        <v>32</v>
      </c>
      <c r="H20840" s="4" t="str">
        <f>HYPERLINK("https://portal.gdc.cancer.gov/cases/d39df936-4bc6-404d-9e1d-f6416cc5a34c","TCGA-AJ-A23M-01A")</f>
        <v>TCGA-AJ-A23M-01A</v>
      </c>
      <c r="I20840" t="s">
        <v>444</v>
      </c>
      <c r="J20840" t="s">
        <v>599</v>
      </c>
      <c r="K20840" t="s">
        <v>33</v>
      </c>
      <c r="L20840" t="s">
        <v>600</v>
      </c>
      <c r="N20840" t="s">
        <v>29</v>
      </c>
    </row>
    <row r="20841" spans="1:14">
      <c r="A20841" s="4" t="str">
        <f t="shared" si="1404"/>
        <v>EXP00451</v>
      </c>
      <c r="B20841" s="3" t="s">
        <v>66</v>
      </c>
      <c r="C20841" s="4" t="str">
        <f t="shared" si="1405"/>
        <v>TCGA-UCEC</v>
      </c>
      <c r="D20841" s="1" t="s">
        <v>493</v>
      </c>
      <c r="E20841" t="s">
        <v>598</v>
      </c>
      <c r="F20841" s="1">
        <v>2</v>
      </c>
      <c r="G20841" s="1" t="s">
        <v>32</v>
      </c>
      <c r="H20841" s="4" t="str">
        <f>HYPERLINK("https://portal.gdc.cancer.gov/cases/5d39e9a2-1073-4db2-b02e-db05d59563a7","TCGA-AJ-A23N-01A")</f>
        <v>TCGA-AJ-A23N-01A</v>
      </c>
      <c r="I20841" t="s">
        <v>444</v>
      </c>
      <c r="J20841" t="s">
        <v>599</v>
      </c>
      <c r="K20841" t="s">
        <v>33</v>
      </c>
      <c r="L20841" t="s">
        <v>600</v>
      </c>
      <c r="N20841" t="s">
        <v>29</v>
      </c>
    </row>
    <row r="20842" spans="1:14">
      <c r="A20842" s="4" t="str">
        <f t="shared" si="1404"/>
        <v>EXP00451</v>
      </c>
      <c r="B20842" s="3" t="s">
        <v>66</v>
      </c>
      <c r="C20842" s="4" t="str">
        <f t="shared" si="1405"/>
        <v>TCGA-UCEC</v>
      </c>
      <c r="D20842" s="1" t="s">
        <v>493</v>
      </c>
      <c r="E20842" t="s">
        <v>598</v>
      </c>
      <c r="F20842" s="1">
        <v>2</v>
      </c>
      <c r="G20842" s="1" t="s">
        <v>32</v>
      </c>
      <c r="H20842" s="4" t="str">
        <f>HYPERLINK("https://portal.gdc.cancer.gov/cases/70b4b353-10d4-49d0-bcc1-855616d8c8cc","TCGA-AJ-A23O-01A")</f>
        <v>TCGA-AJ-A23O-01A</v>
      </c>
      <c r="I20842" t="s">
        <v>444</v>
      </c>
      <c r="J20842" t="s">
        <v>599</v>
      </c>
      <c r="K20842" t="s">
        <v>33</v>
      </c>
      <c r="L20842" t="s">
        <v>600</v>
      </c>
      <c r="N20842" t="s">
        <v>29</v>
      </c>
    </row>
    <row r="20843" spans="1:14">
      <c r="A20843" s="4" t="str">
        <f t="shared" si="1404"/>
        <v>EXP00451</v>
      </c>
      <c r="B20843" s="3" t="s">
        <v>66</v>
      </c>
      <c r="C20843" s="4" t="str">
        <f t="shared" si="1405"/>
        <v>TCGA-UCEC</v>
      </c>
      <c r="D20843" s="1" t="s">
        <v>493</v>
      </c>
      <c r="E20843" t="s">
        <v>598</v>
      </c>
      <c r="F20843" s="1">
        <v>2</v>
      </c>
      <c r="G20843" s="1" t="s">
        <v>32</v>
      </c>
      <c r="H20843" s="4" t="str">
        <f>HYPERLINK("https://portal.gdc.cancer.gov/cases/de5abe44-6d9d-4797-a57a-5adfd71383f0","TCGA-AJ-A2QK-01A")</f>
        <v>TCGA-AJ-A2QK-01A</v>
      </c>
      <c r="I20843" t="s">
        <v>444</v>
      </c>
      <c r="J20843" t="s">
        <v>599</v>
      </c>
      <c r="K20843" t="s">
        <v>33</v>
      </c>
      <c r="L20843" t="s">
        <v>600</v>
      </c>
      <c r="N20843" t="s">
        <v>29</v>
      </c>
    </row>
    <row r="20844" spans="1:14">
      <c r="A20844" s="4" t="str">
        <f t="shared" si="1404"/>
        <v>EXP00451</v>
      </c>
      <c r="B20844" s="3" t="s">
        <v>66</v>
      </c>
      <c r="C20844" s="4" t="str">
        <f t="shared" si="1405"/>
        <v>TCGA-UCEC</v>
      </c>
      <c r="D20844" s="1" t="s">
        <v>493</v>
      </c>
      <c r="E20844" t="s">
        <v>598</v>
      </c>
      <c r="F20844" s="1">
        <v>2</v>
      </c>
      <c r="G20844" s="1" t="s">
        <v>32</v>
      </c>
      <c r="H20844" s="4" t="str">
        <f>HYPERLINK("https://portal.gdc.cancer.gov/cases/9002fc6c-26de-4b8f-8985-a4814cd3daf7","TCGA-AJ-A2QL-01A")</f>
        <v>TCGA-AJ-A2QL-01A</v>
      </c>
      <c r="I20844" t="s">
        <v>444</v>
      </c>
      <c r="J20844" t="s">
        <v>599</v>
      </c>
      <c r="K20844" t="s">
        <v>33</v>
      </c>
      <c r="L20844" t="s">
        <v>600</v>
      </c>
      <c r="N20844" t="s">
        <v>29</v>
      </c>
    </row>
    <row r="20845" spans="1:14">
      <c r="A20845" s="4" t="str">
        <f t="shared" si="1404"/>
        <v>EXP00451</v>
      </c>
      <c r="B20845" s="3" t="s">
        <v>66</v>
      </c>
      <c r="C20845" s="4" t="str">
        <f t="shared" si="1405"/>
        <v>TCGA-UCEC</v>
      </c>
      <c r="D20845" s="1" t="s">
        <v>493</v>
      </c>
      <c r="E20845" t="s">
        <v>598</v>
      </c>
      <c r="F20845" s="1">
        <v>2</v>
      </c>
      <c r="G20845" s="1" t="s">
        <v>32</v>
      </c>
      <c r="H20845" s="4" t="str">
        <f>HYPERLINK("https://portal.gdc.cancer.gov/cases/d9f4a2c1-ac6d-48c6-95fe-ffbc2fa08268","TCGA-AJ-A2QM-01A")</f>
        <v>TCGA-AJ-A2QM-01A</v>
      </c>
      <c r="I20845" t="s">
        <v>444</v>
      </c>
      <c r="J20845" t="s">
        <v>599</v>
      </c>
      <c r="K20845" t="s">
        <v>33</v>
      </c>
      <c r="L20845" t="s">
        <v>600</v>
      </c>
      <c r="N20845" t="s">
        <v>29</v>
      </c>
    </row>
    <row r="20846" spans="1:14">
      <c r="A20846" s="4" t="str">
        <f t="shared" si="1404"/>
        <v>EXP00451</v>
      </c>
      <c r="B20846" s="3" t="s">
        <v>66</v>
      </c>
      <c r="C20846" s="4" t="str">
        <f t="shared" si="1405"/>
        <v>TCGA-UCEC</v>
      </c>
      <c r="D20846" s="1" t="s">
        <v>493</v>
      </c>
      <c r="E20846" t="s">
        <v>598</v>
      </c>
      <c r="F20846" s="1">
        <v>2</v>
      </c>
      <c r="G20846" s="1" t="s">
        <v>32</v>
      </c>
      <c r="H20846" s="4" t="str">
        <f>HYPERLINK("https://portal.gdc.cancer.gov/cases/e00f6dc5-bc8b-472d-bac3-c7823364f01e","TCGA-AJ-A2QN-01A")</f>
        <v>TCGA-AJ-A2QN-01A</v>
      </c>
      <c r="I20846" t="s">
        <v>444</v>
      </c>
      <c r="J20846" t="s">
        <v>599</v>
      </c>
      <c r="K20846" t="s">
        <v>33</v>
      </c>
      <c r="L20846" t="s">
        <v>600</v>
      </c>
      <c r="N20846" t="s">
        <v>29</v>
      </c>
    </row>
    <row r="20847" spans="1:14">
      <c r="A20847" s="4" t="str">
        <f t="shared" si="1404"/>
        <v>EXP00451</v>
      </c>
      <c r="B20847" s="3" t="s">
        <v>66</v>
      </c>
      <c r="C20847" s="4" t="str">
        <f t="shared" si="1405"/>
        <v>TCGA-UCEC</v>
      </c>
      <c r="D20847" s="1" t="s">
        <v>493</v>
      </c>
      <c r="E20847" t="s">
        <v>598</v>
      </c>
      <c r="F20847" s="1">
        <v>2</v>
      </c>
      <c r="G20847" s="1" t="s">
        <v>32</v>
      </c>
      <c r="H20847" s="4" t="str">
        <f>HYPERLINK("https://portal.gdc.cancer.gov/cases/dcf1beb9-bce4-4f4c-98dd-1226d8e0c125","TCGA-AJ-A2QO-01A")</f>
        <v>TCGA-AJ-A2QO-01A</v>
      </c>
      <c r="I20847" t="s">
        <v>444</v>
      </c>
      <c r="J20847" t="s">
        <v>599</v>
      </c>
      <c r="K20847" t="s">
        <v>33</v>
      </c>
      <c r="L20847" t="s">
        <v>600</v>
      </c>
      <c r="N20847" t="s">
        <v>29</v>
      </c>
    </row>
    <row r="20848" spans="1:14">
      <c r="A20848" s="4" t="str">
        <f t="shared" si="1404"/>
        <v>EXP00451</v>
      </c>
      <c r="B20848" s="3" t="s">
        <v>66</v>
      </c>
      <c r="C20848" s="4" t="str">
        <f t="shared" si="1405"/>
        <v>TCGA-UCEC</v>
      </c>
      <c r="D20848" s="1" t="s">
        <v>493</v>
      </c>
      <c r="E20848" t="s">
        <v>598</v>
      </c>
      <c r="F20848" s="1">
        <v>2</v>
      </c>
      <c r="G20848" s="1" t="s">
        <v>32</v>
      </c>
      <c r="H20848" s="4" t="str">
        <f>HYPERLINK("https://portal.gdc.cancer.gov/cases/ab68cd1b-5075-4b30-a829-d6d0f95871cb","TCGA-AJ-A3BD-01A")</f>
        <v>TCGA-AJ-A3BD-01A</v>
      </c>
      <c r="I20848" t="s">
        <v>444</v>
      </c>
      <c r="J20848" t="s">
        <v>599</v>
      </c>
      <c r="K20848" t="s">
        <v>33</v>
      </c>
      <c r="L20848" t="s">
        <v>600</v>
      </c>
      <c r="N20848" t="s">
        <v>29</v>
      </c>
    </row>
    <row r="20849" spans="1:14">
      <c r="A20849" s="4" t="str">
        <f t="shared" si="1404"/>
        <v>EXP00451</v>
      </c>
      <c r="B20849" s="3" t="s">
        <v>66</v>
      </c>
      <c r="C20849" s="4" t="str">
        <f t="shared" si="1405"/>
        <v>TCGA-UCEC</v>
      </c>
      <c r="D20849" s="1" t="s">
        <v>493</v>
      </c>
      <c r="E20849" t="s">
        <v>598</v>
      </c>
      <c r="F20849" s="1">
        <v>2</v>
      </c>
      <c r="G20849" s="1" t="s">
        <v>32</v>
      </c>
      <c r="H20849" s="4" t="str">
        <f>HYPERLINK("https://portal.gdc.cancer.gov/cases/40287cdc-19dd-4370-a6a0-f324960e1148","TCGA-AJ-A3BF-01A")</f>
        <v>TCGA-AJ-A3BF-01A</v>
      </c>
      <c r="I20849" t="s">
        <v>444</v>
      </c>
      <c r="J20849" t="s">
        <v>599</v>
      </c>
      <c r="K20849" t="s">
        <v>33</v>
      </c>
      <c r="L20849" t="s">
        <v>600</v>
      </c>
      <c r="N20849" t="s">
        <v>29</v>
      </c>
    </row>
    <row r="20850" spans="1:14">
      <c r="A20850" s="4" t="str">
        <f t="shared" si="1404"/>
        <v>EXP00451</v>
      </c>
      <c r="B20850" s="3" t="s">
        <v>66</v>
      </c>
      <c r="C20850" s="4" t="str">
        <f t="shared" si="1405"/>
        <v>TCGA-UCEC</v>
      </c>
      <c r="D20850" s="1" t="s">
        <v>493</v>
      </c>
      <c r="E20850" t="s">
        <v>598</v>
      </c>
      <c r="F20850" s="1">
        <v>2</v>
      </c>
      <c r="G20850" s="1" t="s">
        <v>32</v>
      </c>
      <c r="H20850" s="4" t="str">
        <f>HYPERLINK("https://portal.gdc.cancer.gov/cases/77ed36ad-222f-4693-8668-0ecf9073d6e8","TCGA-AJ-A3BG-01A")</f>
        <v>TCGA-AJ-A3BG-01A</v>
      </c>
      <c r="I20850" t="s">
        <v>444</v>
      </c>
      <c r="J20850" t="s">
        <v>599</v>
      </c>
      <c r="K20850" t="s">
        <v>33</v>
      </c>
      <c r="L20850" t="s">
        <v>600</v>
      </c>
      <c r="N20850" t="s">
        <v>29</v>
      </c>
    </row>
    <row r="20851" spans="1:14">
      <c r="A20851" s="4" t="str">
        <f t="shared" si="1404"/>
        <v>EXP00451</v>
      </c>
      <c r="B20851" s="3" t="s">
        <v>66</v>
      </c>
      <c r="C20851" s="4" t="str">
        <f t="shared" si="1405"/>
        <v>TCGA-UCEC</v>
      </c>
      <c r="D20851" s="1" t="s">
        <v>493</v>
      </c>
      <c r="E20851" t="s">
        <v>598</v>
      </c>
      <c r="F20851" s="1">
        <v>2</v>
      </c>
      <c r="G20851" s="1" t="s">
        <v>32</v>
      </c>
      <c r="H20851" s="4" t="str">
        <f>HYPERLINK("https://portal.gdc.cancer.gov/cases/a7d07151-5fc8-4c2a-a1cd-e7c7a2a9a7a7","TCGA-AJ-A3BH-01A")</f>
        <v>TCGA-AJ-A3BH-01A</v>
      </c>
      <c r="I20851" t="s">
        <v>444</v>
      </c>
      <c r="J20851" t="s">
        <v>599</v>
      </c>
      <c r="K20851" t="s">
        <v>33</v>
      </c>
      <c r="L20851" t="s">
        <v>600</v>
      </c>
      <c r="N20851" t="s">
        <v>29</v>
      </c>
    </row>
    <row r="20852" spans="1:14">
      <c r="A20852" s="4" t="str">
        <f t="shared" si="1404"/>
        <v>EXP00451</v>
      </c>
      <c r="B20852" s="3" t="s">
        <v>66</v>
      </c>
      <c r="C20852" s="4" t="str">
        <f t="shared" si="1405"/>
        <v>TCGA-UCEC</v>
      </c>
      <c r="D20852" s="1" t="s">
        <v>493</v>
      </c>
      <c r="E20852" t="s">
        <v>598</v>
      </c>
      <c r="F20852" s="1">
        <v>2</v>
      </c>
      <c r="G20852" s="1" t="s">
        <v>32</v>
      </c>
      <c r="H20852" s="4" t="str">
        <f>HYPERLINK("https://portal.gdc.cancer.gov/cases/525fb4fc-2167-4506-b4fa-fb896bf64cd0","TCGA-AJ-A3BI-01A")</f>
        <v>TCGA-AJ-A3BI-01A</v>
      </c>
      <c r="I20852" t="s">
        <v>444</v>
      </c>
      <c r="J20852" t="s">
        <v>599</v>
      </c>
      <c r="K20852" t="s">
        <v>33</v>
      </c>
      <c r="L20852" t="s">
        <v>600</v>
      </c>
      <c r="N20852" t="s">
        <v>29</v>
      </c>
    </row>
    <row r="20853" spans="1:14">
      <c r="A20853" s="4" t="str">
        <f t="shared" ref="A20853:A20916" si="1406">HYPERLINK("http://hcmdb.i-sanger.com/experiment/details/experiment_id/EXP00451","EXP00451")</f>
        <v>EXP00451</v>
      </c>
      <c r="B20853" s="3" t="s">
        <v>66</v>
      </c>
      <c r="C20853" s="4" t="str">
        <f t="shared" ref="C20853:C20916" si="1407">HYPERLINK("https://portal.gdc.cancer.gov/projects/TCGA-UCEC","TCGA-UCEC")</f>
        <v>TCGA-UCEC</v>
      </c>
      <c r="D20853" s="1" t="s">
        <v>493</v>
      </c>
      <c r="E20853" t="s">
        <v>598</v>
      </c>
      <c r="F20853" s="1">
        <v>2</v>
      </c>
      <c r="G20853" s="1" t="s">
        <v>32</v>
      </c>
      <c r="H20853" s="4" t="str">
        <f>HYPERLINK("https://portal.gdc.cancer.gov/cases/503e6c30-1b62-4f85-bcb4-e34c009894ab","TCGA-AJ-A3BK-01A")</f>
        <v>TCGA-AJ-A3BK-01A</v>
      </c>
      <c r="I20853" t="s">
        <v>444</v>
      </c>
      <c r="J20853" t="s">
        <v>599</v>
      </c>
      <c r="K20853" t="s">
        <v>33</v>
      </c>
      <c r="L20853" t="s">
        <v>600</v>
      </c>
      <c r="N20853" t="s">
        <v>29</v>
      </c>
    </row>
    <row r="20854" spans="1:14">
      <c r="A20854" s="4" t="str">
        <f t="shared" si="1406"/>
        <v>EXP00451</v>
      </c>
      <c r="B20854" s="3" t="s">
        <v>66</v>
      </c>
      <c r="C20854" s="4" t="str">
        <f t="shared" si="1407"/>
        <v>TCGA-UCEC</v>
      </c>
      <c r="D20854" s="1" t="s">
        <v>493</v>
      </c>
      <c r="E20854" t="s">
        <v>598</v>
      </c>
      <c r="F20854" s="1">
        <v>2</v>
      </c>
      <c r="G20854" s="1" t="s">
        <v>32</v>
      </c>
      <c r="H20854" s="4" t="str">
        <f>HYPERLINK("https://portal.gdc.cancer.gov/cases/672de064-3378-4004-a3ea-f79885e10d78","TCGA-AJ-A3EJ-01A")</f>
        <v>TCGA-AJ-A3EJ-01A</v>
      </c>
      <c r="I20854" t="s">
        <v>444</v>
      </c>
      <c r="J20854" t="s">
        <v>599</v>
      </c>
      <c r="K20854" t="s">
        <v>33</v>
      </c>
      <c r="L20854" t="s">
        <v>600</v>
      </c>
      <c r="N20854" t="s">
        <v>29</v>
      </c>
    </row>
    <row r="20855" spans="1:14">
      <c r="A20855" s="4" t="str">
        <f t="shared" si="1406"/>
        <v>EXP00451</v>
      </c>
      <c r="B20855" s="3" t="s">
        <v>66</v>
      </c>
      <c r="C20855" s="4" t="str">
        <f t="shared" si="1407"/>
        <v>TCGA-UCEC</v>
      </c>
      <c r="D20855" s="1" t="s">
        <v>493</v>
      </c>
      <c r="E20855" t="s">
        <v>598</v>
      </c>
      <c r="F20855" s="1">
        <v>2</v>
      </c>
      <c r="G20855" s="1" t="s">
        <v>32</v>
      </c>
      <c r="H20855" s="4" t="str">
        <f>HYPERLINK("https://portal.gdc.cancer.gov/cases/14db56ef-ec5e-4775-a229-5d83e58e027c","TCGA-AJ-A3EK-01A")</f>
        <v>TCGA-AJ-A3EK-01A</v>
      </c>
      <c r="I20855" t="s">
        <v>444</v>
      </c>
      <c r="J20855" t="s">
        <v>599</v>
      </c>
      <c r="K20855" t="s">
        <v>33</v>
      </c>
      <c r="L20855" t="s">
        <v>600</v>
      </c>
      <c r="N20855" t="s">
        <v>29</v>
      </c>
    </row>
    <row r="20856" spans="1:14">
      <c r="A20856" s="4" t="str">
        <f t="shared" si="1406"/>
        <v>EXP00451</v>
      </c>
      <c r="B20856" s="3" t="s">
        <v>66</v>
      </c>
      <c r="C20856" s="4" t="str">
        <f t="shared" si="1407"/>
        <v>TCGA-UCEC</v>
      </c>
      <c r="D20856" s="1" t="s">
        <v>493</v>
      </c>
      <c r="E20856" t="s">
        <v>598</v>
      </c>
      <c r="F20856" s="1">
        <v>2</v>
      </c>
      <c r="G20856" s="1" t="s">
        <v>32</v>
      </c>
      <c r="H20856" s="4" t="str">
        <f>HYPERLINK("https://portal.gdc.cancer.gov/cases/23e1d96e-6175-4145-8267-8f0a88f54c4d","TCGA-AJ-A3EL-01A")</f>
        <v>TCGA-AJ-A3EL-01A</v>
      </c>
      <c r="I20856" t="s">
        <v>444</v>
      </c>
      <c r="J20856" t="s">
        <v>599</v>
      </c>
      <c r="K20856" t="s">
        <v>33</v>
      </c>
      <c r="L20856" t="s">
        <v>600</v>
      </c>
      <c r="N20856" t="s">
        <v>29</v>
      </c>
    </row>
    <row r="20857" spans="1:14">
      <c r="A20857" s="4" t="str">
        <f t="shared" si="1406"/>
        <v>EXP00451</v>
      </c>
      <c r="B20857" s="3" t="s">
        <v>66</v>
      </c>
      <c r="C20857" s="4" t="str">
        <f t="shared" si="1407"/>
        <v>TCGA-UCEC</v>
      </c>
      <c r="D20857" s="1" t="s">
        <v>493</v>
      </c>
      <c r="E20857" t="s">
        <v>598</v>
      </c>
      <c r="F20857" s="1">
        <v>2</v>
      </c>
      <c r="G20857" s="1" t="s">
        <v>32</v>
      </c>
      <c r="H20857" s="4" t="str">
        <f>HYPERLINK("https://portal.gdc.cancer.gov/cases/c856e031-bbd0-431f-b44f-b3ad9b39af7b","TCGA-AJ-A3EM-01A")</f>
        <v>TCGA-AJ-A3EM-01A</v>
      </c>
      <c r="I20857" t="s">
        <v>444</v>
      </c>
      <c r="J20857" t="s">
        <v>599</v>
      </c>
      <c r="K20857" t="s">
        <v>33</v>
      </c>
      <c r="L20857" t="s">
        <v>600</v>
      </c>
      <c r="N20857" t="s">
        <v>29</v>
      </c>
    </row>
    <row r="20858" spans="1:14">
      <c r="A20858" s="4" t="str">
        <f t="shared" si="1406"/>
        <v>EXP00451</v>
      </c>
      <c r="B20858" s="3" t="s">
        <v>66</v>
      </c>
      <c r="C20858" s="4" t="str">
        <f t="shared" si="1407"/>
        <v>TCGA-UCEC</v>
      </c>
      <c r="D20858" s="1" t="s">
        <v>493</v>
      </c>
      <c r="E20858" t="s">
        <v>598</v>
      </c>
      <c r="F20858" s="1">
        <v>2</v>
      </c>
      <c r="G20858" s="1" t="s">
        <v>32</v>
      </c>
      <c r="H20858" s="4" t="str">
        <f>HYPERLINK("https://portal.gdc.cancer.gov/cases/e5d64754-15e8-494e-b7f7-25cf2819fe4c","TCGA-AJ-A3I9-01A")</f>
        <v>TCGA-AJ-A3I9-01A</v>
      </c>
      <c r="I20858" t="s">
        <v>444</v>
      </c>
      <c r="J20858" t="s">
        <v>599</v>
      </c>
      <c r="K20858" t="s">
        <v>33</v>
      </c>
      <c r="L20858" t="s">
        <v>600</v>
      </c>
      <c r="N20858" t="s">
        <v>29</v>
      </c>
    </row>
    <row r="20859" spans="1:14">
      <c r="A20859" s="4" t="str">
        <f t="shared" si="1406"/>
        <v>EXP00451</v>
      </c>
      <c r="B20859" s="3" t="s">
        <v>66</v>
      </c>
      <c r="C20859" s="4" t="str">
        <f t="shared" si="1407"/>
        <v>TCGA-UCEC</v>
      </c>
      <c r="D20859" s="1" t="s">
        <v>493</v>
      </c>
      <c r="E20859" t="s">
        <v>598</v>
      </c>
      <c r="F20859" s="1">
        <v>2</v>
      </c>
      <c r="G20859" s="1" t="s">
        <v>32</v>
      </c>
      <c r="H20859" s="4" t="str">
        <f>HYPERLINK("https://portal.gdc.cancer.gov/cases/8a0a58a0-5c12-4366-af43-4fd25f8ff454","TCGA-AJ-A3IA-01A")</f>
        <v>TCGA-AJ-A3IA-01A</v>
      </c>
      <c r="I20859" t="s">
        <v>444</v>
      </c>
      <c r="J20859" t="s">
        <v>599</v>
      </c>
      <c r="K20859" t="s">
        <v>33</v>
      </c>
      <c r="L20859" t="s">
        <v>600</v>
      </c>
      <c r="N20859" t="s">
        <v>29</v>
      </c>
    </row>
    <row r="20860" spans="1:14">
      <c r="A20860" s="4" t="str">
        <f t="shared" si="1406"/>
        <v>EXP00451</v>
      </c>
      <c r="B20860" s="3" t="s">
        <v>66</v>
      </c>
      <c r="C20860" s="4" t="str">
        <f t="shared" si="1407"/>
        <v>TCGA-UCEC</v>
      </c>
      <c r="D20860" s="1" t="s">
        <v>493</v>
      </c>
      <c r="E20860" t="s">
        <v>598</v>
      </c>
      <c r="F20860" s="1">
        <v>2</v>
      </c>
      <c r="G20860" s="1" t="s">
        <v>32</v>
      </c>
      <c r="H20860" s="4" t="str">
        <f>HYPERLINK("https://portal.gdc.cancer.gov/cases/c8fb94dd-c535-48f4-9419-aac2bf47bbb4","TCGA-AJ-A3NC-01A")</f>
        <v>TCGA-AJ-A3NC-01A</v>
      </c>
      <c r="I20860" t="s">
        <v>444</v>
      </c>
      <c r="J20860" t="s">
        <v>599</v>
      </c>
      <c r="K20860" t="s">
        <v>33</v>
      </c>
      <c r="L20860" t="s">
        <v>600</v>
      </c>
      <c r="N20860" t="s">
        <v>29</v>
      </c>
    </row>
    <row r="20861" spans="1:14">
      <c r="A20861" s="4" t="str">
        <f t="shared" si="1406"/>
        <v>EXP00451</v>
      </c>
      <c r="B20861" s="3" t="s">
        <v>66</v>
      </c>
      <c r="C20861" s="4" t="str">
        <f t="shared" si="1407"/>
        <v>TCGA-UCEC</v>
      </c>
      <c r="D20861" s="1" t="s">
        <v>493</v>
      </c>
      <c r="E20861" t="s">
        <v>598</v>
      </c>
      <c r="F20861" s="1">
        <v>2</v>
      </c>
      <c r="G20861" s="1" t="s">
        <v>32</v>
      </c>
      <c r="H20861" s="4" t="str">
        <f>HYPERLINK("https://portal.gdc.cancer.gov/cases/1dcf33e9-4c9b-4b2b-914e-15e6be5dcd07","TCGA-AJ-A3NE-01A")</f>
        <v>TCGA-AJ-A3NE-01A</v>
      </c>
      <c r="I20861" t="s">
        <v>444</v>
      </c>
      <c r="J20861" t="s">
        <v>599</v>
      </c>
      <c r="K20861" t="s">
        <v>33</v>
      </c>
      <c r="L20861" t="s">
        <v>600</v>
      </c>
      <c r="N20861" t="s">
        <v>29</v>
      </c>
    </row>
    <row r="20862" spans="1:14">
      <c r="A20862" s="4" t="str">
        <f t="shared" si="1406"/>
        <v>EXP00451</v>
      </c>
      <c r="B20862" s="3" t="s">
        <v>66</v>
      </c>
      <c r="C20862" s="4" t="str">
        <f t="shared" si="1407"/>
        <v>TCGA-UCEC</v>
      </c>
      <c r="D20862" s="1" t="s">
        <v>493</v>
      </c>
      <c r="E20862" t="s">
        <v>598</v>
      </c>
      <c r="F20862" s="1">
        <v>2</v>
      </c>
      <c r="G20862" s="1" t="s">
        <v>32</v>
      </c>
      <c r="H20862" s="4" t="str">
        <f>HYPERLINK("https://portal.gdc.cancer.gov/cases/9fcbef9e-2cca-4033-b574-daab2a42198b","TCGA-AJ-A3NF-01A")</f>
        <v>TCGA-AJ-A3NF-01A</v>
      </c>
      <c r="I20862" t="s">
        <v>444</v>
      </c>
      <c r="J20862" t="s">
        <v>599</v>
      </c>
      <c r="K20862" t="s">
        <v>33</v>
      </c>
      <c r="L20862" t="s">
        <v>600</v>
      </c>
      <c r="N20862" t="s">
        <v>29</v>
      </c>
    </row>
    <row r="20863" spans="1:14">
      <c r="A20863" s="4" t="str">
        <f t="shared" si="1406"/>
        <v>EXP00451</v>
      </c>
      <c r="B20863" s="3" t="s">
        <v>66</v>
      </c>
      <c r="C20863" s="4" t="str">
        <f t="shared" si="1407"/>
        <v>TCGA-UCEC</v>
      </c>
      <c r="D20863" s="1" t="s">
        <v>493</v>
      </c>
      <c r="E20863" t="s">
        <v>598</v>
      </c>
      <c r="F20863" s="1">
        <v>2</v>
      </c>
      <c r="G20863" s="1" t="s">
        <v>32</v>
      </c>
      <c r="H20863" s="4" t="str">
        <f>HYPERLINK("https://portal.gdc.cancer.gov/cases/1addcd66-79ab-4976-9679-37f0f31ba1df","TCGA-AJ-A3NG-01A")</f>
        <v>TCGA-AJ-A3NG-01A</v>
      </c>
      <c r="I20863" t="s">
        <v>444</v>
      </c>
      <c r="J20863" t="s">
        <v>599</v>
      </c>
      <c r="K20863" t="s">
        <v>33</v>
      </c>
      <c r="L20863" t="s">
        <v>600</v>
      </c>
      <c r="N20863" t="s">
        <v>29</v>
      </c>
    </row>
    <row r="20864" spans="1:14">
      <c r="A20864" s="4" t="str">
        <f t="shared" si="1406"/>
        <v>EXP00451</v>
      </c>
      <c r="B20864" s="3" t="s">
        <v>66</v>
      </c>
      <c r="C20864" s="4" t="str">
        <f t="shared" si="1407"/>
        <v>TCGA-UCEC</v>
      </c>
      <c r="D20864" s="1" t="s">
        <v>493</v>
      </c>
      <c r="E20864" t="s">
        <v>598</v>
      </c>
      <c r="F20864" s="1">
        <v>2</v>
      </c>
      <c r="G20864" s="1" t="s">
        <v>32</v>
      </c>
      <c r="H20864" s="4" t="str">
        <f>HYPERLINK("https://portal.gdc.cancer.gov/cases/7186180a-688a-4fcc-9a67-166eff032e4b","TCGA-AJ-A3NH-01A")</f>
        <v>TCGA-AJ-A3NH-01A</v>
      </c>
      <c r="I20864" t="s">
        <v>444</v>
      </c>
      <c r="J20864" t="s">
        <v>599</v>
      </c>
      <c r="K20864" t="s">
        <v>33</v>
      </c>
      <c r="L20864" t="s">
        <v>600</v>
      </c>
      <c r="N20864" t="s">
        <v>29</v>
      </c>
    </row>
    <row r="20865" spans="1:14">
      <c r="A20865" s="4" t="str">
        <f t="shared" si="1406"/>
        <v>EXP00451</v>
      </c>
      <c r="B20865" s="3" t="s">
        <v>66</v>
      </c>
      <c r="C20865" s="4" t="str">
        <f t="shared" si="1407"/>
        <v>TCGA-UCEC</v>
      </c>
      <c r="D20865" s="1" t="s">
        <v>493</v>
      </c>
      <c r="E20865" t="s">
        <v>598</v>
      </c>
      <c r="F20865" s="1">
        <v>2</v>
      </c>
      <c r="G20865" s="1" t="s">
        <v>32</v>
      </c>
      <c r="H20865" s="4" t="str">
        <f>HYPERLINK("https://portal.gdc.cancer.gov/cases/76f98002-e8df-4dfa-926e-8bb2d5114966","TCGA-AJ-A3OJ-01A")</f>
        <v>TCGA-AJ-A3OJ-01A</v>
      </c>
      <c r="I20865" t="s">
        <v>444</v>
      </c>
      <c r="J20865" t="s">
        <v>599</v>
      </c>
      <c r="K20865" t="s">
        <v>33</v>
      </c>
      <c r="L20865" t="s">
        <v>600</v>
      </c>
      <c r="N20865" t="s">
        <v>29</v>
      </c>
    </row>
    <row r="20866" spans="1:14">
      <c r="A20866" s="4" t="str">
        <f t="shared" si="1406"/>
        <v>EXP00451</v>
      </c>
      <c r="B20866" s="3" t="s">
        <v>66</v>
      </c>
      <c r="C20866" s="4" t="str">
        <f t="shared" si="1407"/>
        <v>TCGA-UCEC</v>
      </c>
      <c r="D20866" s="1" t="s">
        <v>493</v>
      </c>
      <c r="E20866" t="s">
        <v>598</v>
      </c>
      <c r="F20866" s="1">
        <v>2</v>
      </c>
      <c r="G20866" s="1" t="s">
        <v>32</v>
      </c>
      <c r="H20866" s="4" t="str">
        <f>HYPERLINK("https://portal.gdc.cancer.gov/cases/12df24c6-1229-4777-ad90-7dd66259b65f","TCGA-AJ-A3OK-01A")</f>
        <v>TCGA-AJ-A3OK-01A</v>
      </c>
      <c r="I20866" t="s">
        <v>444</v>
      </c>
      <c r="J20866" t="s">
        <v>599</v>
      </c>
      <c r="K20866" t="s">
        <v>33</v>
      </c>
      <c r="L20866" t="s">
        <v>600</v>
      </c>
      <c r="N20866" t="s">
        <v>29</v>
      </c>
    </row>
    <row r="20867" spans="1:14">
      <c r="A20867" s="4" t="str">
        <f t="shared" si="1406"/>
        <v>EXP00451</v>
      </c>
      <c r="B20867" s="3" t="s">
        <v>66</v>
      </c>
      <c r="C20867" s="4" t="str">
        <f t="shared" si="1407"/>
        <v>TCGA-UCEC</v>
      </c>
      <c r="D20867" s="1" t="s">
        <v>493</v>
      </c>
      <c r="E20867" t="s">
        <v>598</v>
      </c>
      <c r="F20867" s="1">
        <v>2</v>
      </c>
      <c r="G20867" s="1" t="s">
        <v>32</v>
      </c>
      <c r="H20867" s="4" t="str">
        <f>HYPERLINK("https://portal.gdc.cancer.gov/cases/7f91a0c5-d639-48ea-b3f7-b6f385e047ed","TCGA-AJ-A3OL-01A")</f>
        <v>TCGA-AJ-A3OL-01A</v>
      </c>
      <c r="I20867" t="s">
        <v>444</v>
      </c>
      <c r="J20867" t="s">
        <v>599</v>
      </c>
      <c r="K20867" t="s">
        <v>33</v>
      </c>
      <c r="L20867" t="s">
        <v>600</v>
      </c>
      <c r="N20867" t="s">
        <v>29</v>
      </c>
    </row>
    <row r="20868" spans="1:14">
      <c r="A20868" s="4" t="str">
        <f t="shared" si="1406"/>
        <v>EXP00451</v>
      </c>
      <c r="B20868" s="3" t="s">
        <v>66</v>
      </c>
      <c r="C20868" s="4" t="str">
        <f t="shared" si="1407"/>
        <v>TCGA-UCEC</v>
      </c>
      <c r="D20868" s="1" t="s">
        <v>493</v>
      </c>
      <c r="E20868" t="s">
        <v>598</v>
      </c>
      <c r="F20868" s="1">
        <v>2</v>
      </c>
      <c r="G20868" s="1" t="s">
        <v>32</v>
      </c>
      <c r="H20868" s="4" t="str">
        <f>HYPERLINK("https://portal.gdc.cancer.gov/cases/69fc74bc-e961-40e2-9169-d7b51658eb10","TCGA-AJ-A3QS-01A")</f>
        <v>TCGA-AJ-A3QS-01A</v>
      </c>
      <c r="I20868" t="s">
        <v>444</v>
      </c>
      <c r="J20868" t="s">
        <v>599</v>
      </c>
      <c r="K20868" t="s">
        <v>33</v>
      </c>
      <c r="L20868" t="s">
        <v>600</v>
      </c>
      <c r="N20868" t="s">
        <v>29</v>
      </c>
    </row>
    <row r="20869" spans="1:14">
      <c r="A20869" s="4" t="str">
        <f t="shared" si="1406"/>
        <v>EXP00451</v>
      </c>
      <c r="B20869" s="3" t="s">
        <v>66</v>
      </c>
      <c r="C20869" s="4" t="str">
        <f t="shared" si="1407"/>
        <v>TCGA-UCEC</v>
      </c>
      <c r="D20869" s="1" t="s">
        <v>493</v>
      </c>
      <c r="E20869" t="s">
        <v>598</v>
      </c>
      <c r="F20869" s="1">
        <v>2</v>
      </c>
      <c r="G20869" s="1" t="s">
        <v>32</v>
      </c>
      <c r="H20869" s="4" t="str">
        <f>HYPERLINK("https://portal.gdc.cancer.gov/cases/9ee944ef-4293-4228-b750-cc34ab388eb3","TCGA-AJ-A3TW-01A")</f>
        <v>TCGA-AJ-A3TW-01A</v>
      </c>
      <c r="I20869" t="s">
        <v>444</v>
      </c>
      <c r="J20869" t="s">
        <v>599</v>
      </c>
      <c r="K20869" t="s">
        <v>33</v>
      </c>
      <c r="L20869" t="s">
        <v>600</v>
      </c>
      <c r="N20869" t="s">
        <v>29</v>
      </c>
    </row>
    <row r="20870" spans="1:14">
      <c r="A20870" s="4" t="str">
        <f t="shared" si="1406"/>
        <v>EXP00451</v>
      </c>
      <c r="B20870" s="3" t="s">
        <v>66</v>
      </c>
      <c r="C20870" s="4" t="str">
        <f t="shared" si="1407"/>
        <v>TCGA-UCEC</v>
      </c>
      <c r="D20870" s="1" t="s">
        <v>493</v>
      </c>
      <c r="E20870" t="s">
        <v>598</v>
      </c>
      <c r="F20870" s="1">
        <v>2</v>
      </c>
      <c r="G20870" s="1" t="s">
        <v>32</v>
      </c>
      <c r="H20870" s="4" t="str">
        <f>HYPERLINK("https://portal.gdc.cancer.gov/cases/c7b3ac87-5260-4042-895a-279cd8cda620","TCGA-AJ-A5DV-01A")</f>
        <v>TCGA-AJ-A5DV-01A</v>
      </c>
      <c r="I20870" t="s">
        <v>444</v>
      </c>
      <c r="J20870" t="s">
        <v>599</v>
      </c>
      <c r="K20870" t="s">
        <v>33</v>
      </c>
      <c r="L20870" t="s">
        <v>600</v>
      </c>
      <c r="N20870" t="s">
        <v>29</v>
      </c>
    </row>
    <row r="20871" spans="1:14">
      <c r="A20871" s="4" t="str">
        <f t="shared" si="1406"/>
        <v>EXP00451</v>
      </c>
      <c r="B20871" s="3" t="s">
        <v>66</v>
      </c>
      <c r="C20871" s="4" t="str">
        <f t="shared" si="1407"/>
        <v>TCGA-UCEC</v>
      </c>
      <c r="D20871" s="1" t="s">
        <v>493</v>
      </c>
      <c r="E20871" t="s">
        <v>598</v>
      </c>
      <c r="F20871" s="1">
        <v>2</v>
      </c>
      <c r="G20871" s="1" t="s">
        <v>32</v>
      </c>
      <c r="H20871" s="4" t="str">
        <f>HYPERLINK("https://portal.gdc.cancer.gov/cases/c0b684d1-b96c-4420-9285-172402b7b123","TCGA-AJ-A5DW-01A")</f>
        <v>TCGA-AJ-A5DW-01A</v>
      </c>
      <c r="I20871" t="s">
        <v>444</v>
      </c>
      <c r="J20871" t="s">
        <v>599</v>
      </c>
      <c r="K20871" t="s">
        <v>33</v>
      </c>
      <c r="L20871" t="s">
        <v>600</v>
      </c>
      <c r="N20871" t="s">
        <v>29</v>
      </c>
    </row>
    <row r="20872" spans="1:14">
      <c r="A20872" s="4" t="str">
        <f t="shared" si="1406"/>
        <v>EXP00451</v>
      </c>
      <c r="B20872" s="3" t="s">
        <v>66</v>
      </c>
      <c r="C20872" s="4" t="str">
        <f t="shared" si="1407"/>
        <v>TCGA-UCEC</v>
      </c>
      <c r="D20872" s="1" t="s">
        <v>493</v>
      </c>
      <c r="E20872" t="s">
        <v>598</v>
      </c>
      <c r="F20872" s="1">
        <v>2</v>
      </c>
      <c r="G20872" s="1" t="s">
        <v>32</v>
      </c>
      <c r="H20872" s="4" t="str">
        <f>HYPERLINK("https://portal.gdc.cancer.gov/cases/6c2232b2-80ce-4156-a0b4-ffa411b0963e","TCGA-AJ-A8CT-01A")</f>
        <v>TCGA-AJ-A8CT-01A</v>
      </c>
      <c r="I20872" t="s">
        <v>444</v>
      </c>
      <c r="J20872" t="s">
        <v>599</v>
      </c>
      <c r="K20872" t="s">
        <v>33</v>
      </c>
      <c r="L20872" t="s">
        <v>600</v>
      </c>
      <c r="N20872" t="s">
        <v>29</v>
      </c>
    </row>
    <row r="20873" spans="1:14">
      <c r="A20873" s="4" t="str">
        <f t="shared" si="1406"/>
        <v>EXP00451</v>
      </c>
      <c r="B20873" s="3" t="s">
        <v>66</v>
      </c>
      <c r="C20873" s="4" t="str">
        <f t="shared" si="1407"/>
        <v>TCGA-UCEC</v>
      </c>
      <c r="D20873" s="1" t="s">
        <v>493</v>
      </c>
      <c r="E20873" t="s">
        <v>598</v>
      </c>
      <c r="F20873" s="1">
        <v>2</v>
      </c>
      <c r="G20873" s="1" t="s">
        <v>32</v>
      </c>
      <c r="H20873" s="4" t="str">
        <f>HYPERLINK("https://portal.gdc.cancer.gov/cases/4557d1fb-9786-4780-bd33-02e9da04b7e3","TCGA-AJ-A8CV-01A")</f>
        <v>TCGA-AJ-A8CV-01A</v>
      </c>
      <c r="I20873" t="s">
        <v>444</v>
      </c>
      <c r="J20873" t="s">
        <v>599</v>
      </c>
      <c r="K20873" t="s">
        <v>33</v>
      </c>
      <c r="L20873" t="s">
        <v>600</v>
      </c>
      <c r="N20873" t="s">
        <v>29</v>
      </c>
    </row>
    <row r="20874" spans="1:14">
      <c r="A20874" s="4" t="str">
        <f t="shared" si="1406"/>
        <v>EXP00451</v>
      </c>
      <c r="B20874" s="3" t="s">
        <v>66</v>
      </c>
      <c r="C20874" s="4" t="str">
        <f t="shared" si="1407"/>
        <v>TCGA-UCEC</v>
      </c>
      <c r="D20874" s="1" t="s">
        <v>493</v>
      </c>
      <c r="E20874" t="s">
        <v>598</v>
      </c>
      <c r="F20874" s="1">
        <v>2</v>
      </c>
      <c r="G20874" s="1" t="s">
        <v>32</v>
      </c>
      <c r="H20874" s="4" t="str">
        <f>HYPERLINK("https://portal.gdc.cancer.gov/cases/43e08773-767e-4b81-94e4-8848565c23e9","TCGA-AJ-A8CW-01A")</f>
        <v>TCGA-AJ-A8CW-01A</v>
      </c>
      <c r="I20874" t="s">
        <v>444</v>
      </c>
      <c r="J20874" t="s">
        <v>599</v>
      </c>
      <c r="K20874" t="s">
        <v>33</v>
      </c>
      <c r="L20874" t="s">
        <v>600</v>
      </c>
      <c r="N20874" t="s">
        <v>29</v>
      </c>
    </row>
    <row r="20875" spans="1:14">
      <c r="A20875" s="4" t="str">
        <f t="shared" si="1406"/>
        <v>EXP00451</v>
      </c>
      <c r="B20875" s="3" t="s">
        <v>66</v>
      </c>
      <c r="C20875" s="4" t="str">
        <f t="shared" si="1407"/>
        <v>TCGA-UCEC</v>
      </c>
      <c r="D20875" s="1" t="s">
        <v>493</v>
      </c>
      <c r="E20875" t="s">
        <v>598</v>
      </c>
      <c r="F20875" s="1">
        <v>2</v>
      </c>
      <c r="G20875" s="1" t="s">
        <v>32</v>
      </c>
      <c r="H20875" s="4" t="str">
        <f>HYPERLINK("https://portal.gdc.cancer.gov/cases/b045f24b-f822-4df9-9ffa-47308edcec8c","TCGA-AP-A051-01A")</f>
        <v>TCGA-AP-A051-01A</v>
      </c>
      <c r="I20875" t="s">
        <v>444</v>
      </c>
      <c r="J20875" t="s">
        <v>599</v>
      </c>
      <c r="K20875" t="s">
        <v>33</v>
      </c>
      <c r="L20875" t="s">
        <v>600</v>
      </c>
      <c r="N20875" t="s">
        <v>29</v>
      </c>
    </row>
    <row r="20876" spans="1:14">
      <c r="A20876" s="4" t="str">
        <f t="shared" si="1406"/>
        <v>EXP00451</v>
      </c>
      <c r="B20876" s="3" t="s">
        <v>66</v>
      </c>
      <c r="C20876" s="4" t="str">
        <f t="shared" si="1407"/>
        <v>TCGA-UCEC</v>
      </c>
      <c r="D20876" s="1" t="s">
        <v>493</v>
      </c>
      <c r="E20876" t="s">
        <v>598</v>
      </c>
      <c r="F20876" s="1">
        <v>2</v>
      </c>
      <c r="G20876" s="1" t="s">
        <v>32</v>
      </c>
      <c r="H20876" s="4" t="str">
        <f>HYPERLINK("https://portal.gdc.cancer.gov/cases/af37d8f0-fea0-47f6-be0a-2fb55a5da5c4","TCGA-AP-A053-01A")</f>
        <v>TCGA-AP-A053-01A</v>
      </c>
      <c r="I20876" t="s">
        <v>444</v>
      </c>
      <c r="J20876" t="s">
        <v>599</v>
      </c>
      <c r="K20876" t="s">
        <v>33</v>
      </c>
      <c r="L20876" t="s">
        <v>600</v>
      </c>
      <c r="N20876" t="s">
        <v>29</v>
      </c>
    </row>
    <row r="20877" spans="1:14">
      <c r="A20877" s="4" t="str">
        <f t="shared" si="1406"/>
        <v>EXP00451</v>
      </c>
      <c r="B20877" s="3" t="s">
        <v>66</v>
      </c>
      <c r="C20877" s="4" t="str">
        <f t="shared" si="1407"/>
        <v>TCGA-UCEC</v>
      </c>
      <c r="D20877" s="1" t="s">
        <v>493</v>
      </c>
      <c r="E20877" t="s">
        <v>598</v>
      </c>
      <c r="F20877" s="1">
        <v>2</v>
      </c>
      <c r="G20877" s="1" t="s">
        <v>32</v>
      </c>
      <c r="H20877" s="4" t="str">
        <f>HYPERLINK("https://portal.gdc.cancer.gov/cases/d77e4dbc-b239-4742-8cb7-efd427010d13","TCGA-AP-A054-01A")</f>
        <v>TCGA-AP-A054-01A</v>
      </c>
      <c r="I20877" t="s">
        <v>444</v>
      </c>
      <c r="J20877" t="s">
        <v>599</v>
      </c>
      <c r="K20877" t="s">
        <v>33</v>
      </c>
      <c r="L20877" t="s">
        <v>600</v>
      </c>
      <c r="N20877" t="s">
        <v>29</v>
      </c>
    </row>
    <row r="20878" spans="1:14">
      <c r="A20878" s="4" t="str">
        <f t="shared" si="1406"/>
        <v>EXP00451</v>
      </c>
      <c r="B20878" s="3" t="s">
        <v>66</v>
      </c>
      <c r="C20878" s="4" t="str">
        <f t="shared" si="1407"/>
        <v>TCGA-UCEC</v>
      </c>
      <c r="D20878" s="1" t="s">
        <v>493</v>
      </c>
      <c r="E20878" t="s">
        <v>598</v>
      </c>
      <c r="F20878" s="1">
        <v>2</v>
      </c>
      <c r="G20878" s="1" t="s">
        <v>32</v>
      </c>
      <c r="H20878" s="4" t="str">
        <f>HYPERLINK("https://portal.gdc.cancer.gov/cases/4549bff6-6886-4102-a1de-02691b664c52","TCGA-AP-A059-01A")</f>
        <v>TCGA-AP-A059-01A</v>
      </c>
      <c r="I20878" t="s">
        <v>444</v>
      </c>
      <c r="J20878" t="s">
        <v>599</v>
      </c>
      <c r="K20878" t="s">
        <v>33</v>
      </c>
      <c r="L20878" t="s">
        <v>600</v>
      </c>
      <c r="N20878" t="s">
        <v>29</v>
      </c>
    </row>
    <row r="20879" spans="1:14">
      <c r="A20879" s="4" t="str">
        <f t="shared" si="1406"/>
        <v>EXP00451</v>
      </c>
      <c r="B20879" s="3" t="s">
        <v>66</v>
      </c>
      <c r="C20879" s="4" t="str">
        <f t="shared" si="1407"/>
        <v>TCGA-UCEC</v>
      </c>
      <c r="D20879" s="1" t="s">
        <v>493</v>
      </c>
      <c r="E20879" t="s">
        <v>598</v>
      </c>
      <c r="F20879" s="1">
        <v>2</v>
      </c>
      <c r="G20879" s="1" t="s">
        <v>32</v>
      </c>
      <c r="H20879" s="4" t="str">
        <f>HYPERLINK("https://portal.gdc.cancer.gov/cases/49431740-7ed1-4c67-8d66-730629825895","TCGA-AP-A05O-01A")</f>
        <v>TCGA-AP-A05O-01A</v>
      </c>
      <c r="I20879" t="s">
        <v>444</v>
      </c>
      <c r="J20879" t="s">
        <v>599</v>
      </c>
      <c r="K20879" t="s">
        <v>33</v>
      </c>
      <c r="L20879" t="s">
        <v>600</v>
      </c>
      <c r="N20879" t="s">
        <v>29</v>
      </c>
    </row>
    <row r="20880" spans="1:14">
      <c r="A20880" s="4" t="str">
        <f t="shared" si="1406"/>
        <v>EXP00451</v>
      </c>
      <c r="B20880" s="3" t="s">
        <v>66</v>
      </c>
      <c r="C20880" s="4" t="str">
        <f t="shared" si="1407"/>
        <v>TCGA-UCEC</v>
      </c>
      <c r="D20880" s="1" t="s">
        <v>493</v>
      </c>
      <c r="E20880" t="s">
        <v>598</v>
      </c>
      <c r="F20880" s="1">
        <v>2</v>
      </c>
      <c r="G20880" s="1" t="s">
        <v>32</v>
      </c>
      <c r="H20880" s="4" t="str">
        <f>HYPERLINK("https://portal.gdc.cancer.gov/cases/3cb83517-78a4-47b8-8b1e-57e765dbdd2e","TCGA-AP-A05P-01A")</f>
        <v>TCGA-AP-A05P-01A</v>
      </c>
      <c r="I20880" t="s">
        <v>444</v>
      </c>
      <c r="J20880" t="s">
        <v>599</v>
      </c>
      <c r="K20880" t="s">
        <v>33</v>
      </c>
      <c r="L20880" t="s">
        <v>600</v>
      </c>
      <c r="N20880" t="s">
        <v>29</v>
      </c>
    </row>
    <row r="20881" spans="1:14">
      <c r="A20881" s="4" t="str">
        <f t="shared" si="1406"/>
        <v>EXP00451</v>
      </c>
      <c r="B20881" s="3" t="s">
        <v>66</v>
      </c>
      <c r="C20881" s="4" t="str">
        <f t="shared" si="1407"/>
        <v>TCGA-UCEC</v>
      </c>
      <c r="D20881" s="1" t="s">
        <v>493</v>
      </c>
      <c r="E20881" t="s">
        <v>598</v>
      </c>
      <c r="F20881" s="1">
        <v>2</v>
      </c>
      <c r="G20881" s="1" t="s">
        <v>32</v>
      </c>
      <c r="H20881" s="4" t="str">
        <f>HYPERLINK("https://portal.gdc.cancer.gov/cases/9aa8c2b4-db32-4899-bf0c-d578cb175e90","TCGA-AP-A0L8-01A")</f>
        <v>TCGA-AP-A0L8-01A</v>
      </c>
      <c r="I20881" t="s">
        <v>444</v>
      </c>
      <c r="J20881" t="s">
        <v>599</v>
      </c>
      <c r="K20881" t="s">
        <v>33</v>
      </c>
      <c r="L20881" t="s">
        <v>600</v>
      </c>
      <c r="N20881" t="s">
        <v>29</v>
      </c>
    </row>
    <row r="20882" spans="1:14">
      <c r="A20882" s="4" t="str">
        <f t="shared" si="1406"/>
        <v>EXP00451</v>
      </c>
      <c r="B20882" s="3" t="s">
        <v>66</v>
      </c>
      <c r="C20882" s="4" t="str">
        <f t="shared" si="1407"/>
        <v>TCGA-UCEC</v>
      </c>
      <c r="D20882" s="1" t="s">
        <v>493</v>
      </c>
      <c r="E20882" t="s">
        <v>598</v>
      </c>
      <c r="F20882" s="1">
        <v>2</v>
      </c>
      <c r="G20882" s="1" t="s">
        <v>32</v>
      </c>
      <c r="H20882" s="4" t="str">
        <f>HYPERLINK("https://portal.gdc.cancer.gov/cases/7b9947d5-e86b-4006-8890-ea5209584a88","TCGA-AP-A0L9-01A")</f>
        <v>TCGA-AP-A0L9-01A</v>
      </c>
      <c r="I20882" t="s">
        <v>444</v>
      </c>
      <c r="J20882" t="s">
        <v>599</v>
      </c>
      <c r="K20882" t="s">
        <v>33</v>
      </c>
      <c r="L20882" t="s">
        <v>600</v>
      </c>
      <c r="N20882" t="s">
        <v>29</v>
      </c>
    </row>
    <row r="20883" spans="1:14">
      <c r="A20883" s="4" t="str">
        <f t="shared" si="1406"/>
        <v>EXP00451</v>
      </c>
      <c r="B20883" s="3" t="s">
        <v>66</v>
      </c>
      <c r="C20883" s="4" t="str">
        <f t="shared" si="1407"/>
        <v>TCGA-UCEC</v>
      </c>
      <c r="D20883" s="1" t="s">
        <v>493</v>
      </c>
      <c r="E20883" t="s">
        <v>598</v>
      </c>
      <c r="F20883" s="1">
        <v>2</v>
      </c>
      <c r="G20883" s="1" t="s">
        <v>32</v>
      </c>
      <c r="H20883" s="4" t="str">
        <f>HYPERLINK("https://portal.gdc.cancer.gov/cases/1200c8b7-a058-4c01-bbe2-04ec09a65245","TCGA-AP-A0LD-01A")</f>
        <v>TCGA-AP-A0LD-01A</v>
      </c>
      <c r="I20883" t="s">
        <v>444</v>
      </c>
      <c r="J20883" t="s">
        <v>599</v>
      </c>
      <c r="K20883" t="s">
        <v>33</v>
      </c>
      <c r="L20883" t="s">
        <v>600</v>
      </c>
      <c r="N20883" t="s">
        <v>29</v>
      </c>
    </row>
    <row r="20884" spans="1:14">
      <c r="A20884" s="4" t="str">
        <f t="shared" si="1406"/>
        <v>EXP00451</v>
      </c>
      <c r="B20884" s="3" t="s">
        <v>66</v>
      </c>
      <c r="C20884" s="4" t="str">
        <f t="shared" si="1407"/>
        <v>TCGA-UCEC</v>
      </c>
      <c r="D20884" s="1" t="s">
        <v>493</v>
      </c>
      <c r="E20884" t="s">
        <v>598</v>
      </c>
      <c r="F20884" s="1">
        <v>2</v>
      </c>
      <c r="G20884" s="1" t="s">
        <v>32</v>
      </c>
      <c r="H20884" s="4" t="str">
        <f>HYPERLINK("https://portal.gdc.cancer.gov/cases/dcff8659-ecca-4798-80a3-dd6e7642ba2b","TCGA-AP-A0LE-01A")</f>
        <v>TCGA-AP-A0LE-01A</v>
      </c>
      <c r="I20884" t="s">
        <v>444</v>
      </c>
      <c r="J20884" t="s">
        <v>599</v>
      </c>
      <c r="K20884" t="s">
        <v>33</v>
      </c>
      <c r="L20884" t="s">
        <v>600</v>
      </c>
      <c r="N20884" t="s">
        <v>29</v>
      </c>
    </row>
    <row r="20885" spans="1:14">
      <c r="A20885" s="4" t="str">
        <f t="shared" si="1406"/>
        <v>EXP00451</v>
      </c>
      <c r="B20885" s="3" t="s">
        <v>66</v>
      </c>
      <c r="C20885" s="4" t="str">
        <f t="shared" si="1407"/>
        <v>TCGA-UCEC</v>
      </c>
      <c r="D20885" s="1" t="s">
        <v>493</v>
      </c>
      <c r="E20885" t="s">
        <v>598</v>
      </c>
      <c r="F20885" s="1">
        <v>2</v>
      </c>
      <c r="G20885" s="1" t="s">
        <v>32</v>
      </c>
      <c r="H20885" s="4" t="str">
        <f>HYPERLINK("https://portal.gdc.cancer.gov/cases/748e38b1-2ead-4a0a-8881-d640617b856b","TCGA-AP-A0LF-01A")</f>
        <v>TCGA-AP-A0LF-01A</v>
      </c>
      <c r="I20885" t="s">
        <v>444</v>
      </c>
      <c r="J20885" t="s">
        <v>599</v>
      </c>
      <c r="K20885" t="s">
        <v>33</v>
      </c>
      <c r="L20885" t="s">
        <v>600</v>
      </c>
      <c r="N20885" t="s">
        <v>29</v>
      </c>
    </row>
    <row r="20886" spans="1:14">
      <c r="A20886" s="4" t="str">
        <f t="shared" si="1406"/>
        <v>EXP00451</v>
      </c>
      <c r="B20886" s="3" t="s">
        <v>66</v>
      </c>
      <c r="C20886" s="4" t="str">
        <f t="shared" si="1407"/>
        <v>TCGA-UCEC</v>
      </c>
      <c r="D20886" s="1" t="s">
        <v>493</v>
      </c>
      <c r="E20886" t="s">
        <v>598</v>
      </c>
      <c r="F20886" s="1">
        <v>2</v>
      </c>
      <c r="G20886" s="1" t="s">
        <v>32</v>
      </c>
      <c r="H20886" s="4" t="str">
        <f>HYPERLINK("https://portal.gdc.cancer.gov/cases/cca5717d-226d-4390-a99b-c7aed6d9d70e","TCGA-AP-A0LG-01A")</f>
        <v>TCGA-AP-A0LG-01A</v>
      </c>
      <c r="I20886" t="s">
        <v>444</v>
      </c>
      <c r="J20886" t="s">
        <v>599</v>
      </c>
      <c r="K20886" t="s">
        <v>33</v>
      </c>
      <c r="L20886" t="s">
        <v>600</v>
      </c>
      <c r="N20886" t="s">
        <v>29</v>
      </c>
    </row>
    <row r="20887" spans="1:14">
      <c r="A20887" s="4" t="str">
        <f t="shared" si="1406"/>
        <v>EXP00451</v>
      </c>
      <c r="B20887" s="3" t="s">
        <v>66</v>
      </c>
      <c r="C20887" s="4" t="str">
        <f t="shared" si="1407"/>
        <v>TCGA-UCEC</v>
      </c>
      <c r="D20887" s="1" t="s">
        <v>493</v>
      </c>
      <c r="E20887" t="s">
        <v>598</v>
      </c>
      <c r="F20887" s="1">
        <v>2</v>
      </c>
      <c r="G20887" s="1" t="s">
        <v>32</v>
      </c>
      <c r="H20887" s="4" t="str">
        <f>HYPERLINK("https://portal.gdc.cancer.gov/cases/7dce4215-01f6-43e9-9378-9e22c26c23a2","TCGA-AP-A0LH-01A")</f>
        <v>TCGA-AP-A0LH-01A</v>
      </c>
      <c r="I20887" t="s">
        <v>444</v>
      </c>
      <c r="J20887" t="s">
        <v>599</v>
      </c>
      <c r="K20887" t="s">
        <v>33</v>
      </c>
      <c r="L20887" t="s">
        <v>600</v>
      </c>
      <c r="N20887" t="s">
        <v>29</v>
      </c>
    </row>
    <row r="20888" spans="1:14">
      <c r="A20888" s="4" t="str">
        <f t="shared" si="1406"/>
        <v>EXP00451</v>
      </c>
      <c r="B20888" s="3" t="s">
        <v>66</v>
      </c>
      <c r="C20888" s="4" t="str">
        <f t="shared" si="1407"/>
        <v>TCGA-UCEC</v>
      </c>
      <c r="D20888" s="1" t="s">
        <v>493</v>
      </c>
      <c r="E20888" t="s">
        <v>598</v>
      </c>
      <c r="F20888" s="1">
        <v>2</v>
      </c>
      <c r="G20888" s="1" t="s">
        <v>32</v>
      </c>
      <c r="H20888" s="4" t="str">
        <f>HYPERLINK("https://portal.gdc.cancer.gov/cases/e1e8dc66-467c-48a5-be56-3db4f665b9f1","TCGA-AP-A0LI-01A")</f>
        <v>TCGA-AP-A0LI-01A</v>
      </c>
      <c r="I20888" t="s">
        <v>444</v>
      </c>
      <c r="J20888" t="s">
        <v>599</v>
      </c>
      <c r="K20888" t="s">
        <v>33</v>
      </c>
      <c r="L20888" t="s">
        <v>600</v>
      </c>
      <c r="N20888" t="s">
        <v>29</v>
      </c>
    </row>
    <row r="20889" spans="1:14">
      <c r="A20889" s="4" t="str">
        <f t="shared" si="1406"/>
        <v>EXP00451</v>
      </c>
      <c r="B20889" s="3" t="s">
        <v>66</v>
      </c>
      <c r="C20889" s="4" t="str">
        <f t="shared" si="1407"/>
        <v>TCGA-UCEC</v>
      </c>
      <c r="D20889" s="1" t="s">
        <v>493</v>
      </c>
      <c r="E20889" t="s">
        <v>598</v>
      </c>
      <c r="F20889" s="1">
        <v>2</v>
      </c>
      <c r="G20889" s="1" t="s">
        <v>32</v>
      </c>
      <c r="H20889" s="4" t="str">
        <f>HYPERLINK("https://portal.gdc.cancer.gov/cases/b4a520ae-f259-48c8-823e-c10b9b8a133a","TCGA-AP-A0LJ-01A")</f>
        <v>TCGA-AP-A0LJ-01A</v>
      </c>
      <c r="I20889" t="s">
        <v>444</v>
      </c>
      <c r="J20889" t="s">
        <v>599</v>
      </c>
      <c r="K20889" t="s">
        <v>33</v>
      </c>
      <c r="L20889" t="s">
        <v>600</v>
      </c>
      <c r="N20889" t="s">
        <v>29</v>
      </c>
    </row>
    <row r="20890" spans="1:14">
      <c r="A20890" s="4" t="str">
        <f t="shared" si="1406"/>
        <v>EXP00451</v>
      </c>
      <c r="B20890" s="3" t="s">
        <v>66</v>
      </c>
      <c r="C20890" s="4" t="str">
        <f t="shared" si="1407"/>
        <v>TCGA-UCEC</v>
      </c>
      <c r="D20890" s="1" t="s">
        <v>493</v>
      </c>
      <c r="E20890" t="s">
        <v>598</v>
      </c>
      <c r="F20890" s="1">
        <v>2</v>
      </c>
      <c r="G20890" s="1" t="s">
        <v>32</v>
      </c>
      <c r="H20890" s="4" t="str">
        <f>HYPERLINK("https://portal.gdc.cancer.gov/cases/d17668c4-5d66-4e16-8b70-b54616581aae","TCGA-AP-A0LL-01A")</f>
        <v>TCGA-AP-A0LL-01A</v>
      </c>
      <c r="I20890" t="s">
        <v>444</v>
      </c>
      <c r="J20890" t="s">
        <v>599</v>
      </c>
      <c r="K20890" t="s">
        <v>33</v>
      </c>
      <c r="L20890" t="s">
        <v>600</v>
      </c>
      <c r="N20890" t="s">
        <v>29</v>
      </c>
    </row>
    <row r="20891" spans="1:14">
      <c r="A20891" s="4" t="str">
        <f t="shared" si="1406"/>
        <v>EXP00451</v>
      </c>
      <c r="B20891" s="3" t="s">
        <v>66</v>
      </c>
      <c r="C20891" s="4" t="str">
        <f t="shared" si="1407"/>
        <v>TCGA-UCEC</v>
      </c>
      <c r="D20891" s="1" t="s">
        <v>493</v>
      </c>
      <c r="E20891" t="s">
        <v>598</v>
      </c>
      <c r="F20891" s="1">
        <v>2</v>
      </c>
      <c r="G20891" s="1" t="s">
        <v>32</v>
      </c>
      <c r="H20891" s="4" t="str">
        <f>HYPERLINK("https://portal.gdc.cancer.gov/cases/43e228ae-c890-444f-afbd-49385562e33a","TCGA-AP-A0LM-01A")</f>
        <v>TCGA-AP-A0LM-01A</v>
      </c>
      <c r="I20891" t="s">
        <v>444</v>
      </c>
      <c r="J20891" t="s">
        <v>599</v>
      </c>
      <c r="K20891" t="s">
        <v>33</v>
      </c>
      <c r="L20891" t="s">
        <v>600</v>
      </c>
      <c r="N20891" t="s">
        <v>29</v>
      </c>
    </row>
    <row r="20892" spans="1:14">
      <c r="A20892" s="4" t="str">
        <f t="shared" si="1406"/>
        <v>EXP00451</v>
      </c>
      <c r="B20892" s="3" t="s">
        <v>66</v>
      </c>
      <c r="C20892" s="4" t="str">
        <f t="shared" si="1407"/>
        <v>TCGA-UCEC</v>
      </c>
      <c r="D20892" s="1" t="s">
        <v>493</v>
      </c>
      <c r="E20892" t="s">
        <v>598</v>
      </c>
      <c r="F20892" s="1">
        <v>2</v>
      </c>
      <c r="G20892" s="1" t="s">
        <v>32</v>
      </c>
      <c r="H20892" s="4" t="str">
        <f>HYPERLINK("https://portal.gdc.cancer.gov/cases/60fcf50a-8598-475d-8dd0-6b3044661233","TCGA-AP-A0LN-01A")</f>
        <v>TCGA-AP-A0LN-01A</v>
      </c>
      <c r="I20892" t="s">
        <v>444</v>
      </c>
      <c r="J20892" t="s">
        <v>599</v>
      </c>
      <c r="K20892" t="s">
        <v>33</v>
      </c>
      <c r="L20892" t="s">
        <v>600</v>
      </c>
      <c r="N20892" t="s">
        <v>29</v>
      </c>
    </row>
    <row r="20893" spans="1:14">
      <c r="A20893" s="4" t="str">
        <f t="shared" si="1406"/>
        <v>EXP00451</v>
      </c>
      <c r="B20893" s="3" t="s">
        <v>66</v>
      </c>
      <c r="C20893" s="4" t="str">
        <f t="shared" si="1407"/>
        <v>TCGA-UCEC</v>
      </c>
      <c r="D20893" s="1" t="s">
        <v>493</v>
      </c>
      <c r="E20893" t="s">
        <v>598</v>
      </c>
      <c r="F20893" s="1">
        <v>2</v>
      </c>
      <c r="G20893" s="1" t="s">
        <v>32</v>
      </c>
      <c r="H20893" s="4" t="str">
        <f>HYPERLINK("https://portal.gdc.cancer.gov/cases/a081da6f-51f3-4555-a6b8-736f8c6cda39","TCGA-AP-A0LO-01A")</f>
        <v>TCGA-AP-A0LO-01A</v>
      </c>
      <c r="I20893" t="s">
        <v>444</v>
      </c>
      <c r="J20893" t="s">
        <v>599</v>
      </c>
      <c r="K20893" t="s">
        <v>33</v>
      </c>
      <c r="L20893" t="s">
        <v>600</v>
      </c>
      <c r="N20893" t="s">
        <v>29</v>
      </c>
    </row>
    <row r="20894" spans="1:14">
      <c r="A20894" s="4" t="str">
        <f t="shared" si="1406"/>
        <v>EXP00451</v>
      </c>
      <c r="B20894" s="3" t="s">
        <v>66</v>
      </c>
      <c r="C20894" s="4" t="str">
        <f t="shared" si="1407"/>
        <v>TCGA-UCEC</v>
      </c>
      <c r="D20894" s="1" t="s">
        <v>493</v>
      </c>
      <c r="E20894" t="s">
        <v>598</v>
      </c>
      <c r="F20894" s="1">
        <v>2</v>
      </c>
      <c r="G20894" s="1" t="s">
        <v>32</v>
      </c>
      <c r="H20894" s="4" t="str">
        <f>HYPERLINK("https://portal.gdc.cancer.gov/cases/efae3940-d3cc-4988-bdb4-fa05d977aff5","TCGA-AP-A0LP-01A")</f>
        <v>TCGA-AP-A0LP-01A</v>
      </c>
      <c r="I20894" t="s">
        <v>444</v>
      </c>
      <c r="J20894" t="s">
        <v>599</v>
      </c>
      <c r="K20894" t="s">
        <v>33</v>
      </c>
      <c r="L20894" t="s">
        <v>600</v>
      </c>
      <c r="N20894" t="s">
        <v>29</v>
      </c>
    </row>
    <row r="20895" spans="1:14">
      <c r="A20895" s="4" t="str">
        <f t="shared" si="1406"/>
        <v>EXP00451</v>
      </c>
      <c r="B20895" s="3" t="s">
        <v>66</v>
      </c>
      <c r="C20895" s="4" t="str">
        <f t="shared" si="1407"/>
        <v>TCGA-UCEC</v>
      </c>
      <c r="D20895" s="1" t="s">
        <v>493</v>
      </c>
      <c r="E20895" t="s">
        <v>598</v>
      </c>
      <c r="F20895" s="1">
        <v>2</v>
      </c>
      <c r="G20895" s="1" t="s">
        <v>32</v>
      </c>
      <c r="H20895" s="4" t="str">
        <f>HYPERLINK("https://portal.gdc.cancer.gov/cases/c5a797d3-82ae-49dc-b2fe-0da64da271a2","TCGA-AP-A0LS-01A")</f>
        <v>TCGA-AP-A0LS-01A</v>
      </c>
      <c r="I20895" t="s">
        <v>444</v>
      </c>
      <c r="J20895" t="s">
        <v>599</v>
      </c>
      <c r="K20895" t="s">
        <v>33</v>
      </c>
      <c r="L20895" t="s">
        <v>600</v>
      </c>
      <c r="N20895" t="s">
        <v>29</v>
      </c>
    </row>
    <row r="20896" spans="1:14">
      <c r="A20896" s="4" t="str">
        <f t="shared" si="1406"/>
        <v>EXP00451</v>
      </c>
      <c r="B20896" s="3" t="s">
        <v>66</v>
      </c>
      <c r="C20896" s="4" t="str">
        <f t="shared" si="1407"/>
        <v>TCGA-UCEC</v>
      </c>
      <c r="D20896" s="1" t="s">
        <v>493</v>
      </c>
      <c r="E20896" t="s">
        <v>598</v>
      </c>
      <c r="F20896" s="1">
        <v>2</v>
      </c>
      <c r="G20896" s="1" t="s">
        <v>32</v>
      </c>
      <c r="H20896" s="4" t="str">
        <f>HYPERLINK("https://portal.gdc.cancer.gov/cases/43714e9a-e9c4-4206-af92-1d00d2a8ae35","TCGA-AP-A0LT-01A")</f>
        <v>TCGA-AP-A0LT-01A</v>
      </c>
      <c r="I20896" t="s">
        <v>444</v>
      </c>
      <c r="J20896" t="s">
        <v>599</v>
      </c>
      <c r="K20896" t="s">
        <v>33</v>
      </c>
      <c r="L20896" t="s">
        <v>600</v>
      </c>
      <c r="N20896" t="s">
        <v>29</v>
      </c>
    </row>
    <row r="20897" spans="1:14">
      <c r="A20897" s="4" t="str">
        <f t="shared" si="1406"/>
        <v>EXP00451</v>
      </c>
      <c r="B20897" s="3" t="s">
        <v>66</v>
      </c>
      <c r="C20897" s="4" t="str">
        <f t="shared" si="1407"/>
        <v>TCGA-UCEC</v>
      </c>
      <c r="D20897" s="1" t="s">
        <v>493</v>
      </c>
      <c r="E20897" t="s">
        <v>598</v>
      </c>
      <c r="F20897" s="1">
        <v>2</v>
      </c>
      <c r="G20897" s="1" t="s">
        <v>32</v>
      </c>
      <c r="H20897" s="4" t="str">
        <f>HYPERLINK("https://portal.gdc.cancer.gov/cases/5dfdfcfc-72cc-4e33-aa3f-0d744eb94330","TCGA-AP-A0LV-01A")</f>
        <v>TCGA-AP-A0LV-01A</v>
      </c>
      <c r="I20897" t="s">
        <v>444</v>
      </c>
      <c r="J20897" t="s">
        <v>599</v>
      </c>
      <c r="K20897" t="s">
        <v>33</v>
      </c>
      <c r="L20897" t="s">
        <v>600</v>
      </c>
      <c r="N20897" t="s">
        <v>29</v>
      </c>
    </row>
    <row r="20898" spans="1:14">
      <c r="A20898" s="4" t="str">
        <f t="shared" si="1406"/>
        <v>EXP00451</v>
      </c>
      <c r="B20898" s="3" t="s">
        <v>66</v>
      </c>
      <c r="C20898" s="4" t="str">
        <f t="shared" si="1407"/>
        <v>TCGA-UCEC</v>
      </c>
      <c r="D20898" s="1" t="s">
        <v>493</v>
      </c>
      <c r="E20898" t="s">
        <v>598</v>
      </c>
      <c r="F20898" s="1">
        <v>2</v>
      </c>
      <c r="G20898" s="1" t="s">
        <v>32</v>
      </c>
      <c r="H20898" s="4" t="str">
        <f>HYPERLINK("https://portal.gdc.cancer.gov/cases/07d1aef3-31c7-4c44-a078-16a9eb096d58","TCGA-AP-A1DH-01A")</f>
        <v>TCGA-AP-A1DH-01A</v>
      </c>
      <c r="I20898" t="s">
        <v>444</v>
      </c>
      <c r="J20898" t="s">
        <v>599</v>
      </c>
      <c r="K20898" t="s">
        <v>33</v>
      </c>
      <c r="L20898" t="s">
        <v>600</v>
      </c>
      <c r="N20898" t="s">
        <v>29</v>
      </c>
    </row>
    <row r="20899" spans="1:14">
      <c r="A20899" s="4" t="str">
        <f t="shared" si="1406"/>
        <v>EXP00451</v>
      </c>
      <c r="B20899" s="3" t="s">
        <v>66</v>
      </c>
      <c r="C20899" s="4" t="str">
        <f t="shared" si="1407"/>
        <v>TCGA-UCEC</v>
      </c>
      <c r="D20899" s="1" t="s">
        <v>493</v>
      </c>
      <c r="E20899" t="s">
        <v>598</v>
      </c>
      <c r="F20899" s="1">
        <v>2</v>
      </c>
      <c r="G20899" s="1" t="s">
        <v>32</v>
      </c>
      <c r="H20899" s="4" t="str">
        <f>HYPERLINK("https://portal.gdc.cancer.gov/cases/51de7e94-e2fa-420b-9aa2-3637d17fc6ea","TCGA-AP-A1DK-01A")</f>
        <v>TCGA-AP-A1DK-01A</v>
      </c>
      <c r="I20899" t="s">
        <v>444</v>
      </c>
      <c r="J20899" t="s">
        <v>599</v>
      </c>
      <c r="K20899" t="s">
        <v>33</v>
      </c>
      <c r="L20899" t="s">
        <v>600</v>
      </c>
      <c r="N20899" t="s">
        <v>29</v>
      </c>
    </row>
    <row r="20900" spans="1:14">
      <c r="A20900" s="4" t="str">
        <f t="shared" si="1406"/>
        <v>EXP00451</v>
      </c>
      <c r="B20900" s="3" t="s">
        <v>66</v>
      </c>
      <c r="C20900" s="4" t="str">
        <f t="shared" si="1407"/>
        <v>TCGA-UCEC</v>
      </c>
      <c r="D20900" s="1" t="s">
        <v>493</v>
      </c>
      <c r="E20900" t="s">
        <v>598</v>
      </c>
      <c r="F20900" s="1">
        <v>2</v>
      </c>
      <c r="G20900" s="1" t="s">
        <v>32</v>
      </c>
      <c r="H20900" s="4" t="str">
        <f>HYPERLINK("https://portal.gdc.cancer.gov/cases/ca7f9d8b-2abc-4606-bf95-4c42791b38bd","TCGA-AP-A1DM-01A")</f>
        <v>TCGA-AP-A1DM-01A</v>
      </c>
      <c r="I20900" t="s">
        <v>444</v>
      </c>
      <c r="J20900" t="s">
        <v>599</v>
      </c>
      <c r="K20900" t="s">
        <v>33</v>
      </c>
      <c r="L20900" t="s">
        <v>600</v>
      </c>
      <c r="N20900" t="s">
        <v>29</v>
      </c>
    </row>
    <row r="20901" spans="1:14">
      <c r="A20901" s="4" t="str">
        <f t="shared" si="1406"/>
        <v>EXP00451</v>
      </c>
      <c r="B20901" s="3" t="s">
        <v>66</v>
      </c>
      <c r="C20901" s="4" t="str">
        <f t="shared" si="1407"/>
        <v>TCGA-UCEC</v>
      </c>
      <c r="D20901" s="1" t="s">
        <v>493</v>
      </c>
      <c r="E20901" t="s">
        <v>598</v>
      </c>
      <c r="F20901" s="1">
        <v>2</v>
      </c>
      <c r="G20901" s="1" t="s">
        <v>32</v>
      </c>
      <c r="H20901" s="4" t="str">
        <f>HYPERLINK("https://portal.gdc.cancer.gov/cases/3348a7aa-f5c3-4fba-9968-68da5cedfd7e","TCGA-AP-A1DO-01A")</f>
        <v>TCGA-AP-A1DO-01A</v>
      </c>
      <c r="I20901" t="s">
        <v>444</v>
      </c>
      <c r="J20901" t="s">
        <v>599</v>
      </c>
      <c r="K20901" t="s">
        <v>33</v>
      </c>
      <c r="L20901" t="s">
        <v>600</v>
      </c>
      <c r="N20901" t="s">
        <v>29</v>
      </c>
    </row>
    <row r="20902" spans="1:14">
      <c r="A20902" s="4" t="str">
        <f t="shared" si="1406"/>
        <v>EXP00451</v>
      </c>
      <c r="B20902" s="3" t="s">
        <v>66</v>
      </c>
      <c r="C20902" s="4" t="str">
        <f t="shared" si="1407"/>
        <v>TCGA-UCEC</v>
      </c>
      <c r="D20902" s="1" t="s">
        <v>493</v>
      </c>
      <c r="E20902" t="s">
        <v>598</v>
      </c>
      <c r="F20902" s="1">
        <v>2</v>
      </c>
      <c r="G20902" s="1" t="s">
        <v>32</v>
      </c>
      <c r="H20902" s="4" t="str">
        <f>HYPERLINK("https://portal.gdc.cancer.gov/cases/a93c47a9-65b5-4785-af4f-a2078db4514e","TCGA-AP-A1DP-01A")</f>
        <v>TCGA-AP-A1DP-01A</v>
      </c>
      <c r="I20902" t="s">
        <v>444</v>
      </c>
      <c r="J20902" t="s">
        <v>599</v>
      </c>
      <c r="K20902" t="s">
        <v>33</v>
      </c>
      <c r="L20902" t="s">
        <v>600</v>
      </c>
      <c r="N20902" t="s">
        <v>29</v>
      </c>
    </row>
    <row r="20903" spans="1:14">
      <c r="A20903" s="4" t="str">
        <f t="shared" si="1406"/>
        <v>EXP00451</v>
      </c>
      <c r="B20903" s="3" t="s">
        <v>66</v>
      </c>
      <c r="C20903" s="4" t="str">
        <f t="shared" si="1407"/>
        <v>TCGA-UCEC</v>
      </c>
      <c r="D20903" s="1" t="s">
        <v>493</v>
      </c>
      <c r="E20903" t="s">
        <v>598</v>
      </c>
      <c r="F20903" s="1">
        <v>2</v>
      </c>
      <c r="G20903" s="1" t="s">
        <v>32</v>
      </c>
      <c r="H20903" s="4" t="str">
        <f>HYPERLINK("https://portal.gdc.cancer.gov/cases/ad0806a5-df9e-48ea-bc8b-d4a3c9ea7ea0","TCGA-AP-A1DQ-01A")</f>
        <v>TCGA-AP-A1DQ-01A</v>
      </c>
      <c r="I20903" t="s">
        <v>444</v>
      </c>
      <c r="J20903" t="s">
        <v>599</v>
      </c>
      <c r="K20903" t="s">
        <v>33</v>
      </c>
      <c r="L20903" t="s">
        <v>600</v>
      </c>
      <c r="N20903" t="s">
        <v>29</v>
      </c>
    </row>
    <row r="20904" spans="1:14">
      <c r="A20904" s="4" t="str">
        <f t="shared" si="1406"/>
        <v>EXP00451</v>
      </c>
      <c r="B20904" s="3" t="s">
        <v>66</v>
      </c>
      <c r="C20904" s="4" t="str">
        <f t="shared" si="1407"/>
        <v>TCGA-UCEC</v>
      </c>
      <c r="D20904" s="1" t="s">
        <v>493</v>
      </c>
      <c r="E20904" t="s">
        <v>598</v>
      </c>
      <c r="F20904" s="1">
        <v>2</v>
      </c>
      <c r="G20904" s="1" t="s">
        <v>32</v>
      </c>
      <c r="H20904" s="4" t="str">
        <f>HYPERLINK("https://portal.gdc.cancer.gov/cases/0f064588-2d7e-439a-90a6-dfa17bb8af15","TCGA-AP-A1DR-01A")</f>
        <v>TCGA-AP-A1DR-01A</v>
      </c>
      <c r="I20904" t="s">
        <v>444</v>
      </c>
      <c r="J20904" t="s">
        <v>599</v>
      </c>
      <c r="K20904" t="s">
        <v>33</v>
      </c>
      <c r="L20904" t="s">
        <v>600</v>
      </c>
      <c r="N20904" t="s">
        <v>29</v>
      </c>
    </row>
    <row r="20905" spans="1:14">
      <c r="A20905" s="4" t="str">
        <f t="shared" si="1406"/>
        <v>EXP00451</v>
      </c>
      <c r="B20905" s="3" t="s">
        <v>66</v>
      </c>
      <c r="C20905" s="4" t="str">
        <f t="shared" si="1407"/>
        <v>TCGA-UCEC</v>
      </c>
      <c r="D20905" s="1" t="s">
        <v>493</v>
      </c>
      <c r="E20905" t="s">
        <v>598</v>
      </c>
      <c r="F20905" s="1">
        <v>2</v>
      </c>
      <c r="G20905" s="1" t="s">
        <v>32</v>
      </c>
      <c r="H20905" s="4" t="str">
        <f>HYPERLINK("https://portal.gdc.cancer.gov/cases/1b685c46-57b3-4052-b5b9-1f704809bf04","TCGA-AP-A1DV-01A")</f>
        <v>TCGA-AP-A1DV-01A</v>
      </c>
      <c r="I20905" t="s">
        <v>444</v>
      </c>
      <c r="J20905" t="s">
        <v>599</v>
      </c>
      <c r="K20905" t="s">
        <v>33</v>
      </c>
      <c r="L20905" t="s">
        <v>600</v>
      </c>
      <c r="N20905" t="s">
        <v>29</v>
      </c>
    </row>
    <row r="20906" spans="1:14">
      <c r="A20906" s="4" t="str">
        <f t="shared" si="1406"/>
        <v>EXP00451</v>
      </c>
      <c r="B20906" s="3" t="s">
        <v>66</v>
      </c>
      <c r="C20906" s="4" t="str">
        <f t="shared" si="1407"/>
        <v>TCGA-UCEC</v>
      </c>
      <c r="D20906" s="1" t="s">
        <v>493</v>
      </c>
      <c r="E20906" t="s">
        <v>598</v>
      </c>
      <c r="F20906" s="1">
        <v>2</v>
      </c>
      <c r="G20906" s="1" t="s">
        <v>32</v>
      </c>
      <c r="H20906" s="4" t="str">
        <f>HYPERLINK("https://portal.gdc.cancer.gov/cases/84b96f93-6273-4101-a259-9602000ae491","TCGA-AP-A1E0-01A")</f>
        <v>TCGA-AP-A1E0-01A</v>
      </c>
      <c r="I20906" t="s">
        <v>444</v>
      </c>
      <c r="J20906" t="s">
        <v>599</v>
      </c>
      <c r="K20906" t="s">
        <v>33</v>
      </c>
      <c r="L20906" t="s">
        <v>600</v>
      </c>
      <c r="N20906" t="s">
        <v>29</v>
      </c>
    </row>
    <row r="20907" spans="1:14">
      <c r="A20907" s="4" t="str">
        <f t="shared" si="1406"/>
        <v>EXP00451</v>
      </c>
      <c r="B20907" s="3" t="s">
        <v>66</v>
      </c>
      <c r="C20907" s="4" t="str">
        <f t="shared" si="1407"/>
        <v>TCGA-UCEC</v>
      </c>
      <c r="D20907" s="1" t="s">
        <v>493</v>
      </c>
      <c r="E20907" t="s">
        <v>598</v>
      </c>
      <c r="F20907" s="1">
        <v>2</v>
      </c>
      <c r="G20907" s="1" t="s">
        <v>32</v>
      </c>
      <c r="H20907" s="4" t="str">
        <f>HYPERLINK("https://portal.gdc.cancer.gov/cases/2b85b84f-e680-4b5c-93ea-3c71567227e8","TCGA-AP-A1E1-01A")</f>
        <v>TCGA-AP-A1E1-01A</v>
      </c>
      <c r="I20907" t="s">
        <v>444</v>
      </c>
      <c r="J20907" t="s">
        <v>599</v>
      </c>
      <c r="K20907" t="s">
        <v>33</v>
      </c>
      <c r="L20907" t="s">
        <v>600</v>
      </c>
      <c r="N20907" t="s">
        <v>29</v>
      </c>
    </row>
    <row r="20908" spans="1:14">
      <c r="A20908" s="4" t="str">
        <f t="shared" si="1406"/>
        <v>EXP00451</v>
      </c>
      <c r="B20908" s="3" t="s">
        <v>66</v>
      </c>
      <c r="C20908" s="4" t="str">
        <f t="shared" si="1407"/>
        <v>TCGA-UCEC</v>
      </c>
      <c r="D20908" s="1" t="s">
        <v>493</v>
      </c>
      <c r="E20908" t="s">
        <v>598</v>
      </c>
      <c r="F20908" s="1">
        <v>2</v>
      </c>
      <c r="G20908" s="1" t="s">
        <v>32</v>
      </c>
      <c r="H20908" s="4" t="str">
        <f>HYPERLINK("https://portal.gdc.cancer.gov/cases/44ac7093-a733-4c55-a964-0ba9ec141d2d","TCGA-AP-A1E3-01A")</f>
        <v>TCGA-AP-A1E3-01A</v>
      </c>
      <c r="I20908" t="s">
        <v>444</v>
      </c>
      <c r="J20908" t="s">
        <v>599</v>
      </c>
      <c r="K20908" t="s">
        <v>33</v>
      </c>
      <c r="L20908" t="s">
        <v>600</v>
      </c>
      <c r="N20908" t="s">
        <v>29</v>
      </c>
    </row>
    <row r="20909" spans="1:14">
      <c r="A20909" s="4" t="str">
        <f t="shared" si="1406"/>
        <v>EXP00451</v>
      </c>
      <c r="B20909" s="3" t="s">
        <v>66</v>
      </c>
      <c r="C20909" s="4" t="str">
        <f t="shared" si="1407"/>
        <v>TCGA-UCEC</v>
      </c>
      <c r="D20909" s="1" t="s">
        <v>493</v>
      </c>
      <c r="E20909" t="s">
        <v>598</v>
      </c>
      <c r="F20909" s="1">
        <v>2</v>
      </c>
      <c r="G20909" s="1" t="s">
        <v>32</v>
      </c>
      <c r="H20909" s="4" t="str">
        <f>HYPERLINK("https://portal.gdc.cancer.gov/cases/0b2eb188-dd23-4dbf-91bb-02e3c81a69bc","TCGA-AP-A1E4-01A")</f>
        <v>TCGA-AP-A1E4-01A</v>
      </c>
      <c r="I20909" t="s">
        <v>444</v>
      </c>
      <c r="J20909" t="s">
        <v>599</v>
      </c>
      <c r="K20909" t="s">
        <v>33</v>
      </c>
      <c r="L20909" t="s">
        <v>600</v>
      </c>
      <c r="N20909" t="s">
        <v>29</v>
      </c>
    </row>
    <row r="20910" spans="1:14">
      <c r="A20910" s="4" t="str">
        <f t="shared" si="1406"/>
        <v>EXP00451</v>
      </c>
      <c r="B20910" s="3" t="s">
        <v>66</v>
      </c>
      <c r="C20910" s="4" t="str">
        <f t="shared" si="1407"/>
        <v>TCGA-UCEC</v>
      </c>
      <c r="D20910" s="1" t="s">
        <v>493</v>
      </c>
      <c r="E20910" t="s">
        <v>598</v>
      </c>
      <c r="F20910" s="1">
        <v>2</v>
      </c>
      <c r="G20910" s="1" t="s">
        <v>32</v>
      </c>
      <c r="H20910" s="4" t="str">
        <f>HYPERLINK("https://portal.gdc.cancer.gov/cases/211b2c52-1ad8-4d33-af0b-69ec1a56c821","TCGA-AP-A3K1-01A")</f>
        <v>TCGA-AP-A3K1-01A</v>
      </c>
      <c r="I20910" t="s">
        <v>444</v>
      </c>
      <c r="J20910" t="s">
        <v>599</v>
      </c>
      <c r="K20910" t="s">
        <v>33</v>
      </c>
      <c r="L20910" t="s">
        <v>600</v>
      </c>
      <c r="N20910" t="s">
        <v>29</v>
      </c>
    </row>
    <row r="20911" spans="1:14">
      <c r="A20911" s="4" t="str">
        <f t="shared" si="1406"/>
        <v>EXP00451</v>
      </c>
      <c r="B20911" s="3" t="s">
        <v>66</v>
      </c>
      <c r="C20911" s="4" t="str">
        <f t="shared" si="1407"/>
        <v>TCGA-UCEC</v>
      </c>
      <c r="D20911" s="1" t="s">
        <v>493</v>
      </c>
      <c r="E20911" t="s">
        <v>598</v>
      </c>
      <c r="F20911" s="1">
        <v>2</v>
      </c>
      <c r="G20911" s="1" t="s">
        <v>32</v>
      </c>
      <c r="H20911" s="4" t="str">
        <f>HYPERLINK("https://portal.gdc.cancer.gov/cases/a633d316-59a4-45ae-8bf8-135cfbd27656","TCGA-AP-A5FX-01A")</f>
        <v>TCGA-AP-A5FX-01A</v>
      </c>
      <c r="I20911" t="s">
        <v>444</v>
      </c>
      <c r="J20911" t="s">
        <v>599</v>
      </c>
      <c r="K20911" t="s">
        <v>33</v>
      </c>
      <c r="L20911" t="s">
        <v>600</v>
      </c>
      <c r="N20911" t="s">
        <v>29</v>
      </c>
    </row>
    <row r="20912" spans="1:14">
      <c r="A20912" s="4" t="str">
        <f t="shared" si="1406"/>
        <v>EXP00451</v>
      </c>
      <c r="B20912" s="3" t="s">
        <v>66</v>
      </c>
      <c r="C20912" s="4" t="str">
        <f t="shared" si="1407"/>
        <v>TCGA-UCEC</v>
      </c>
      <c r="D20912" s="1" t="s">
        <v>493</v>
      </c>
      <c r="E20912" t="s">
        <v>598</v>
      </c>
      <c r="F20912" s="1">
        <v>2</v>
      </c>
      <c r="G20912" s="1" t="s">
        <v>32</v>
      </c>
      <c r="H20912" s="4" t="str">
        <f>HYPERLINK("https://portal.gdc.cancer.gov/cases/4cb4dd07-0ce5-4de7-a0bd-546183949efe","TCGA-AW-A1PO-01A")</f>
        <v>TCGA-AW-A1PO-01A</v>
      </c>
      <c r="I20912" t="s">
        <v>444</v>
      </c>
      <c r="J20912" t="s">
        <v>599</v>
      </c>
      <c r="K20912" t="s">
        <v>33</v>
      </c>
      <c r="L20912" t="s">
        <v>600</v>
      </c>
      <c r="N20912" t="s">
        <v>29</v>
      </c>
    </row>
    <row r="20913" spans="1:14">
      <c r="A20913" s="4" t="str">
        <f t="shared" si="1406"/>
        <v>EXP00451</v>
      </c>
      <c r="B20913" s="3" t="s">
        <v>66</v>
      </c>
      <c r="C20913" s="4" t="str">
        <f t="shared" si="1407"/>
        <v>TCGA-UCEC</v>
      </c>
      <c r="D20913" s="1" t="s">
        <v>493</v>
      </c>
      <c r="E20913" t="s">
        <v>598</v>
      </c>
      <c r="F20913" s="1">
        <v>2</v>
      </c>
      <c r="G20913" s="1" t="s">
        <v>32</v>
      </c>
      <c r="H20913" s="4" t="str">
        <f>HYPERLINK("https://portal.gdc.cancer.gov/cases/3a4a6aff-4720-41fc-a114-85f38610ebb1","TCGA-AX-A05S-01A")</f>
        <v>TCGA-AX-A05S-01A</v>
      </c>
      <c r="I20913" t="s">
        <v>444</v>
      </c>
      <c r="J20913" t="s">
        <v>599</v>
      </c>
      <c r="K20913" t="s">
        <v>33</v>
      </c>
      <c r="L20913" t="s">
        <v>600</v>
      </c>
      <c r="N20913" t="s">
        <v>29</v>
      </c>
    </row>
    <row r="20914" spans="1:14">
      <c r="A20914" s="4" t="str">
        <f t="shared" si="1406"/>
        <v>EXP00451</v>
      </c>
      <c r="B20914" s="3" t="s">
        <v>66</v>
      </c>
      <c r="C20914" s="4" t="str">
        <f t="shared" si="1407"/>
        <v>TCGA-UCEC</v>
      </c>
      <c r="D20914" s="1" t="s">
        <v>493</v>
      </c>
      <c r="E20914" t="s">
        <v>598</v>
      </c>
      <c r="F20914" s="1">
        <v>2</v>
      </c>
      <c r="G20914" s="1" t="s">
        <v>32</v>
      </c>
      <c r="H20914" s="4" t="str">
        <f>HYPERLINK("https://portal.gdc.cancer.gov/cases/0119eab6-00e7-4346-aa52-cbbeeba3621d","TCGA-AX-A05T-01A")</f>
        <v>TCGA-AX-A05T-01A</v>
      </c>
      <c r="I20914" t="s">
        <v>444</v>
      </c>
      <c r="J20914" t="s">
        <v>599</v>
      </c>
      <c r="K20914" t="s">
        <v>33</v>
      </c>
      <c r="L20914" t="s">
        <v>600</v>
      </c>
      <c r="N20914" t="s">
        <v>29</v>
      </c>
    </row>
    <row r="20915" spans="1:14">
      <c r="A20915" s="4" t="str">
        <f t="shared" si="1406"/>
        <v>EXP00451</v>
      </c>
      <c r="B20915" s="3" t="s">
        <v>66</v>
      </c>
      <c r="C20915" s="4" t="str">
        <f t="shared" si="1407"/>
        <v>TCGA-UCEC</v>
      </c>
      <c r="D20915" s="1" t="s">
        <v>493</v>
      </c>
      <c r="E20915" t="s">
        <v>598</v>
      </c>
      <c r="F20915" s="1">
        <v>2</v>
      </c>
      <c r="G20915" s="1" t="s">
        <v>32</v>
      </c>
      <c r="H20915" s="4" t="str">
        <f>HYPERLINK("https://portal.gdc.cancer.gov/cases/e56c6abc-b36c-4667-a347-0a541ce4791d","TCGA-AX-A05U-01A")</f>
        <v>TCGA-AX-A05U-01A</v>
      </c>
      <c r="I20915" t="s">
        <v>444</v>
      </c>
      <c r="J20915" t="s">
        <v>599</v>
      </c>
      <c r="K20915" t="s">
        <v>33</v>
      </c>
      <c r="L20915" t="s">
        <v>600</v>
      </c>
      <c r="N20915" t="s">
        <v>29</v>
      </c>
    </row>
    <row r="20916" spans="1:14">
      <c r="A20916" s="4" t="str">
        <f t="shared" si="1406"/>
        <v>EXP00451</v>
      </c>
      <c r="B20916" s="3" t="s">
        <v>66</v>
      </c>
      <c r="C20916" s="4" t="str">
        <f t="shared" si="1407"/>
        <v>TCGA-UCEC</v>
      </c>
      <c r="D20916" s="1" t="s">
        <v>493</v>
      </c>
      <c r="E20916" t="s">
        <v>598</v>
      </c>
      <c r="F20916" s="1">
        <v>2</v>
      </c>
      <c r="G20916" s="1" t="s">
        <v>32</v>
      </c>
      <c r="H20916" s="4" t="str">
        <f>HYPERLINK("https://portal.gdc.cancer.gov/cases/87e44856-eb9a-475f-96b1-047b7f77b0da","TCGA-AX-A05W-01A")</f>
        <v>TCGA-AX-A05W-01A</v>
      </c>
      <c r="I20916" t="s">
        <v>444</v>
      </c>
      <c r="J20916" t="s">
        <v>599</v>
      </c>
      <c r="K20916" t="s">
        <v>33</v>
      </c>
      <c r="L20916" t="s">
        <v>600</v>
      </c>
      <c r="N20916" t="s">
        <v>29</v>
      </c>
    </row>
    <row r="20917" spans="1:14">
      <c r="A20917" s="4" t="str">
        <f t="shared" ref="A20917:A20980" si="1408">HYPERLINK("http://hcmdb.i-sanger.com/experiment/details/experiment_id/EXP00451","EXP00451")</f>
        <v>EXP00451</v>
      </c>
      <c r="B20917" s="3" t="s">
        <v>66</v>
      </c>
      <c r="C20917" s="4" t="str">
        <f t="shared" ref="C20917:C20980" si="1409">HYPERLINK("https://portal.gdc.cancer.gov/projects/TCGA-UCEC","TCGA-UCEC")</f>
        <v>TCGA-UCEC</v>
      </c>
      <c r="D20917" s="1" t="s">
        <v>493</v>
      </c>
      <c r="E20917" t="s">
        <v>598</v>
      </c>
      <c r="F20917" s="1">
        <v>2</v>
      </c>
      <c r="G20917" s="1" t="s">
        <v>32</v>
      </c>
      <c r="H20917" s="4" t="str">
        <f>HYPERLINK("https://portal.gdc.cancer.gov/cases/cbe0bd4a-02b7-43e7-b08e-2b0f13560eaf","TCGA-AX-A05Y-01A")</f>
        <v>TCGA-AX-A05Y-01A</v>
      </c>
      <c r="I20917" t="s">
        <v>444</v>
      </c>
      <c r="J20917" t="s">
        <v>599</v>
      </c>
      <c r="K20917" t="s">
        <v>33</v>
      </c>
      <c r="L20917" t="s">
        <v>600</v>
      </c>
      <c r="N20917" t="s">
        <v>29</v>
      </c>
    </row>
    <row r="20918" spans="1:14">
      <c r="A20918" s="4" t="str">
        <f t="shared" si="1408"/>
        <v>EXP00451</v>
      </c>
      <c r="B20918" s="3" t="s">
        <v>66</v>
      </c>
      <c r="C20918" s="4" t="str">
        <f t="shared" si="1409"/>
        <v>TCGA-UCEC</v>
      </c>
      <c r="D20918" s="1" t="s">
        <v>493</v>
      </c>
      <c r="E20918" t="s">
        <v>598</v>
      </c>
      <c r="F20918" s="1">
        <v>2</v>
      </c>
      <c r="G20918" s="1" t="s">
        <v>32</v>
      </c>
      <c r="H20918" s="4" t="str">
        <f>HYPERLINK("https://portal.gdc.cancer.gov/cases/bf632368-8ce7-4b4b-8842-d1b1801e62ef","TCGA-AX-A05Z-01A")</f>
        <v>TCGA-AX-A05Z-01A</v>
      </c>
      <c r="I20918" t="s">
        <v>444</v>
      </c>
      <c r="J20918" t="s">
        <v>599</v>
      </c>
      <c r="K20918" t="s">
        <v>33</v>
      </c>
      <c r="L20918" t="s">
        <v>600</v>
      </c>
      <c r="N20918" t="s">
        <v>29</v>
      </c>
    </row>
    <row r="20919" spans="1:14">
      <c r="A20919" s="4" t="str">
        <f t="shared" si="1408"/>
        <v>EXP00451</v>
      </c>
      <c r="B20919" s="3" t="s">
        <v>66</v>
      </c>
      <c r="C20919" s="4" t="str">
        <f t="shared" si="1409"/>
        <v>TCGA-UCEC</v>
      </c>
      <c r="D20919" s="1" t="s">
        <v>493</v>
      </c>
      <c r="E20919" t="s">
        <v>598</v>
      </c>
      <c r="F20919" s="1">
        <v>2</v>
      </c>
      <c r="G20919" s="1" t="s">
        <v>32</v>
      </c>
      <c r="H20919" s="4" t="str">
        <f>HYPERLINK("https://portal.gdc.cancer.gov/cases/d1b615f4-50c9-497b-8a69-8de78aa17e09","TCGA-AX-A060-01A")</f>
        <v>TCGA-AX-A060-01A</v>
      </c>
      <c r="I20919" t="s">
        <v>444</v>
      </c>
      <c r="J20919" t="s">
        <v>599</v>
      </c>
      <c r="K20919" t="s">
        <v>33</v>
      </c>
      <c r="L20919" t="s">
        <v>600</v>
      </c>
      <c r="N20919" t="s">
        <v>29</v>
      </c>
    </row>
    <row r="20920" spans="1:14">
      <c r="A20920" s="4" t="str">
        <f t="shared" si="1408"/>
        <v>EXP00451</v>
      </c>
      <c r="B20920" s="3" t="s">
        <v>66</v>
      </c>
      <c r="C20920" s="4" t="str">
        <f t="shared" si="1409"/>
        <v>TCGA-UCEC</v>
      </c>
      <c r="D20920" s="1" t="s">
        <v>493</v>
      </c>
      <c r="E20920" t="s">
        <v>598</v>
      </c>
      <c r="F20920" s="1">
        <v>2</v>
      </c>
      <c r="G20920" s="1" t="s">
        <v>32</v>
      </c>
      <c r="H20920" s="4" t="str">
        <f>HYPERLINK("https://portal.gdc.cancer.gov/cases/4af65655-a3bd-4252-9b2f-2b2c4394f95c","TCGA-AX-A062-01A")</f>
        <v>TCGA-AX-A062-01A</v>
      </c>
      <c r="I20920" t="s">
        <v>444</v>
      </c>
      <c r="J20920" t="s">
        <v>599</v>
      </c>
      <c r="K20920" t="s">
        <v>33</v>
      </c>
      <c r="L20920" t="s">
        <v>600</v>
      </c>
      <c r="N20920" t="s">
        <v>29</v>
      </c>
    </row>
    <row r="20921" spans="1:14">
      <c r="A20921" s="4" t="str">
        <f t="shared" si="1408"/>
        <v>EXP00451</v>
      </c>
      <c r="B20921" s="3" t="s">
        <v>66</v>
      </c>
      <c r="C20921" s="4" t="str">
        <f t="shared" si="1409"/>
        <v>TCGA-UCEC</v>
      </c>
      <c r="D20921" s="1" t="s">
        <v>493</v>
      </c>
      <c r="E20921" t="s">
        <v>598</v>
      </c>
      <c r="F20921" s="1">
        <v>2</v>
      </c>
      <c r="G20921" s="1" t="s">
        <v>32</v>
      </c>
      <c r="H20921" s="4" t="str">
        <f>HYPERLINK("https://portal.gdc.cancer.gov/cases/e8909bdf-460c-4291-8e9b-7be12f343eae","TCGA-AX-A063-01A")</f>
        <v>TCGA-AX-A063-01A</v>
      </c>
      <c r="I20921" t="s">
        <v>444</v>
      </c>
      <c r="J20921" t="s">
        <v>599</v>
      </c>
      <c r="K20921" t="s">
        <v>33</v>
      </c>
      <c r="L20921" t="s">
        <v>600</v>
      </c>
      <c r="N20921" t="s">
        <v>29</v>
      </c>
    </row>
    <row r="20922" spans="1:14">
      <c r="A20922" s="4" t="str">
        <f t="shared" si="1408"/>
        <v>EXP00451</v>
      </c>
      <c r="B20922" s="3" t="s">
        <v>66</v>
      </c>
      <c r="C20922" s="4" t="str">
        <f t="shared" si="1409"/>
        <v>TCGA-UCEC</v>
      </c>
      <c r="D20922" s="1" t="s">
        <v>493</v>
      </c>
      <c r="E20922" t="s">
        <v>598</v>
      </c>
      <c r="F20922" s="1">
        <v>2</v>
      </c>
      <c r="G20922" s="1" t="s">
        <v>32</v>
      </c>
      <c r="H20922" s="4" t="str">
        <f>HYPERLINK("https://portal.gdc.cancer.gov/cases/633e6994-3e8b-4c0b-9b79-06cf4ab6f9bc","TCGA-AX-A064-01A")</f>
        <v>TCGA-AX-A064-01A</v>
      </c>
      <c r="I20922" t="s">
        <v>444</v>
      </c>
      <c r="J20922" t="s">
        <v>599</v>
      </c>
      <c r="K20922" t="s">
        <v>33</v>
      </c>
      <c r="L20922" t="s">
        <v>600</v>
      </c>
      <c r="N20922" t="s">
        <v>29</v>
      </c>
    </row>
    <row r="20923" spans="1:14">
      <c r="A20923" s="4" t="str">
        <f t="shared" si="1408"/>
        <v>EXP00451</v>
      </c>
      <c r="B20923" s="3" t="s">
        <v>66</v>
      </c>
      <c r="C20923" s="4" t="str">
        <f t="shared" si="1409"/>
        <v>TCGA-UCEC</v>
      </c>
      <c r="D20923" s="1" t="s">
        <v>493</v>
      </c>
      <c r="E20923" t="s">
        <v>598</v>
      </c>
      <c r="F20923" s="1">
        <v>2</v>
      </c>
      <c r="G20923" s="1" t="s">
        <v>32</v>
      </c>
      <c r="H20923" s="4" t="str">
        <f>HYPERLINK("https://portal.gdc.cancer.gov/cases/95e6d327-9ab7-45de-9527-f5634b3995c3","TCGA-AX-A06B-01A")</f>
        <v>TCGA-AX-A06B-01A</v>
      </c>
      <c r="I20923" t="s">
        <v>444</v>
      </c>
      <c r="J20923" t="s">
        <v>599</v>
      </c>
      <c r="K20923" t="s">
        <v>33</v>
      </c>
      <c r="L20923" t="s">
        <v>600</v>
      </c>
      <c r="N20923" t="s">
        <v>29</v>
      </c>
    </row>
    <row r="20924" spans="1:14">
      <c r="A20924" s="4" t="str">
        <f t="shared" si="1408"/>
        <v>EXP00451</v>
      </c>
      <c r="B20924" s="3" t="s">
        <v>66</v>
      </c>
      <c r="C20924" s="4" t="str">
        <f t="shared" si="1409"/>
        <v>TCGA-UCEC</v>
      </c>
      <c r="D20924" s="1" t="s">
        <v>493</v>
      </c>
      <c r="E20924" t="s">
        <v>598</v>
      </c>
      <c r="F20924" s="1">
        <v>2</v>
      </c>
      <c r="G20924" s="1" t="s">
        <v>32</v>
      </c>
      <c r="H20924" s="4" t="str">
        <f>HYPERLINK("https://portal.gdc.cancer.gov/cases/905291b0-f077-48f7-9c14-5cfa9d8a3e6e","TCGA-AX-A06D-01A")</f>
        <v>TCGA-AX-A06D-01A</v>
      </c>
      <c r="I20924" t="s">
        <v>444</v>
      </c>
      <c r="J20924" t="s">
        <v>599</v>
      </c>
      <c r="K20924" t="s">
        <v>33</v>
      </c>
      <c r="L20924" t="s">
        <v>600</v>
      </c>
      <c r="N20924" t="s">
        <v>29</v>
      </c>
    </row>
    <row r="20925" spans="1:14">
      <c r="A20925" s="4" t="str">
        <f t="shared" si="1408"/>
        <v>EXP00451</v>
      </c>
      <c r="B20925" s="3" t="s">
        <v>66</v>
      </c>
      <c r="C20925" s="4" t="str">
        <f t="shared" si="1409"/>
        <v>TCGA-UCEC</v>
      </c>
      <c r="D20925" s="1" t="s">
        <v>493</v>
      </c>
      <c r="E20925" t="s">
        <v>598</v>
      </c>
      <c r="F20925" s="1">
        <v>2</v>
      </c>
      <c r="G20925" s="1" t="s">
        <v>32</v>
      </c>
      <c r="H20925" s="4" t="str">
        <f>HYPERLINK("https://portal.gdc.cancer.gov/cases/f17e446a-c145-45be-8335-a856acb0b9b8","TCGA-AX-A06F-01A")</f>
        <v>TCGA-AX-A06F-01A</v>
      </c>
      <c r="I20925" t="s">
        <v>444</v>
      </c>
      <c r="J20925" t="s">
        <v>599</v>
      </c>
      <c r="K20925" t="s">
        <v>33</v>
      </c>
      <c r="L20925" t="s">
        <v>600</v>
      </c>
      <c r="N20925" t="s">
        <v>29</v>
      </c>
    </row>
    <row r="20926" spans="1:14">
      <c r="A20926" s="4" t="str">
        <f t="shared" si="1408"/>
        <v>EXP00451</v>
      </c>
      <c r="B20926" s="3" t="s">
        <v>66</v>
      </c>
      <c r="C20926" s="4" t="str">
        <f t="shared" si="1409"/>
        <v>TCGA-UCEC</v>
      </c>
      <c r="D20926" s="1" t="s">
        <v>493</v>
      </c>
      <c r="E20926" t="s">
        <v>598</v>
      </c>
      <c r="F20926" s="1">
        <v>2</v>
      </c>
      <c r="G20926" s="1" t="s">
        <v>32</v>
      </c>
      <c r="H20926" s="4" t="str">
        <f>HYPERLINK("https://portal.gdc.cancer.gov/cases/e5d74e47-b63f-410a-8b7a-c9aacc9aa337","TCGA-AX-A06H-01A")</f>
        <v>TCGA-AX-A06H-01A</v>
      </c>
      <c r="I20926" t="s">
        <v>444</v>
      </c>
      <c r="J20926" t="s">
        <v>599</v>
      </c>
      <c r="K20926" t="s">
        <v>33</v>
      </c>
      <c r="L20926" t="s">
        <v>600</v>
      </c>
      <c r="N20926" t="s">
        <v>29</v>
      </c>
    </row>
    <row r="20927" spans="1:14">
      <c r="A20927" s="4" t="str">
        <f t="shared" si="1408"/>
        <v>EXP00451</v>
      </c>
      <c r="B20927" s="3" t="s">
        <v>66</v>
      </c>
      <c r="C20927" s="4" t="str">
        <f t="shared" si="1409"/>
        <v>TCGA-UCEC</v>
      </c>
      <c r="D20927" s="1" t="s">
        <v>493</v>
      </c>
      <c r="E20927" t="s">
        <v>598</v>
      </c>
      <c r="F20927" s="1">
        <v>2</v>
      </c>
      <c r="G20927" s="1" t="s">
        <v>32</v>
      </c>
      <c r="H20927" s="4" t="str">
        <f>HYPERLINK("https://portal.gdc.cancer.gov/cases/b6819b52-6f01-4011-9bd3-a1a00397e0c9","TCGA-AX-A06J-01A")</f>
        <v>TCGA-AX-A06J-01A</v>
      </c>
      <c r="I20927" t="s">
        <v>444</v>
      </c>
      <c r="J20927" t="s">
        <v>599</v>
      </c>
      <c r="K20927" t="s">
        <v>33</v>
      </c>
      <c r="L20927" t="s">
        <v>600</v>
      </c>
      <c r="N20927" t="s">
        <v>29</v>
      </c>
    </row>
    <row r="20928" spans="1:14">
      <c r="A20928" s="4" t="str">
        <f t="shared" si="1408"/>
        <v>EXP00451</v>
      </c>
      <c r="B20928" s="3" t="s">
        <v>66</v>
      </c>
      <c r="C20928" s="4" t="str">
        <f t="shared" si="1409"/>
        <v>TCGA-UCEC</v>
      </c>
      <c r="D20928" s="1" t="s">
        <v>493</v>
      </c>
      <c r="E20928" t="s">
        <v>598</v>
      </c>
      <c r="F20928" s="1">
        <v>2</v>
      </c>
      <c r="G20928" s="1" t="s">
        <v>32</v>
      </c>
      <c r="H20928" s="4" t="str">
        <f>HYPERLINK("https://portal.gdc.cancer.gov/cases/f4a7f2ff-be76-48d3-9f59-9223db33680e","TCGA-AX-A06L-01A")</f>
        <v>TCGA-AX-A06L-01A</v>
      </c>
      <c r="I20928" t="s">
        <v>444</v>
      </c>
      <c r="J20928" t="s">
        <v>599</v>
      </c>
      <c r="K20928" t="s">
        <v>33</v>
      </c>
      <c r="L20928" t="s">
        <v>600</v>
      </c>
      <c r="N20928" t="s">
        <v>29</v>
      </c>
    </row>
    <row r="20929" spans="1:14">
      <c r="A20929" s="4" t="str">
        <f t="shared" si="1408"/>
        <v>EXP00451</v>
      </c>
      <c r="B20929" s="3" t="s">
        <v>66</v>
      </c>
      <c r="C20929" s="4" t="str">
        <f t="shared" si="1409"/>
        <v>TCGA-UCEC</v>
      </c>
      <c r="D20929" s="1" t="s">
        <v>493</v>
      </c>
      <c r="E20929" t="s">
        <v>598</v>
      </c>
      <c r="F20929" s="1">
        <v>2</v>
      </c>
      <c r="G20929" s="1" t="s">
        <v>32</v>
      </c>
      <c r="H20929" s="4" t="str">
        <f>HYPERLINK("https://portal.gdc.cancer.gov/cases/2e5cf721-90b1-4470-b430-f055a1297c7f","TCGA-AX-A0IS-01A")</f>
        <v>TCGA-AX-A0IS-01A</v>
      </c>
      <c r="I20929" t="s">
        <v>444</v>
      </c>
      <c r="J20929" t="s">
        <v>599</v>
      </c>
      <c r="K20929" t="s">
        <v>33</v>
      </c>
      <c r="L20929" t="s">
        <v>600</v>
      </c>
      <c r="N20929" t="s">
        <v>29</v>
      </c>
    </row>
    <row r="20930" spans="1:14">
      <c r="A20930" s="4" t="str">
        <f t="shared" si="1408"/>
        <v>EXP00451</v>
      </c>
      <c r="B20930" s="3" t="s">
        <v>66</v>
      </c>
      <c r="C20930" s="4" t="str">
        <f t="shared" si="1409"/>
        <v>TCGA-UCEC</v>
      </c>
      <c r="D20930" s="1" t="s">
        <v>493</v>
      </c>
      <c r="E20930" t="s">
        <v>598</v>
      </c>
      <c r="F20930" s="1">
        <v>2</v>
      </c>
      <c r="G20930" s="1" t="s">
        <v>32</v>
      </c>
      <c r="H20930" s="4" t="str">
        <f>HYPERLINK("https://portal.gdc.cancer.gov/cases/7e64ea6c-a3db-48eb-91be-131361510a92","TCGA-AX-A0IU-01A")</f>
        <v>TCGA-AX-A0IU-01A</v>
      </c>
      <c r="I20930" t="s">
        <v>444</v>
      </c>
      <c r="J20930" t="s">
        <v>599</v>
      </c>
      <c r="K20930" t="s">
        <v>33</v>
      </c>
      <c r="L20930" t="s">
        <v>600</v>
      </c>
      <c r="N20930" t="s">
        <v>29</v>
      </c>
    </row>
    <row r="20931" spans="1:14">
      <c r="A20931" s="4" t="str">
        <f t="shared" si="1408"/>
        <v>EXP00451</v>
      </c>
      <c r="B20931" s="3" t="s">
        <v>66</v>
      </c>
      <c r="C20931" s="4" t="str">
        <f t="shared" si="1409"/>
        <v>TCGA-UCEC</v>
      </c>
      <c r="D20931" s="1" t="s">
        <v>493</v>
      </c>
      <c r="E20931" t="s">
        <v>598</v>
      </c>
      <c r="F20931" s="1">
        <v>2</v>
      </c>
      <c r="G20931" s="1" t="s">
        <v>32</v>
      </c>
      <c r="H20931" s="4" t="str">
        <f>HYPERLINK("https://portal.gdc.cancer.gov/cases/db21fccf-40cb-4235-a34d-336a03b8c8f4","TCGA-AX-A0IW-01A")</f>
        <v>TCGA-AX-A0IW-01A</v>
      </c>
      <c r="I20931" t="s">
        <v>444</v>
      </c>
      <c r="J20931" t="s">
        <v>599</v>
      </c>
      <c r="K20931" t="s">
        <v>33</v>
      </c>
      <c r="L20931" t="s">
        <v>600</v>
      </c>
      <c r="N20931" t="s">
        <v>29</v>
      </c>
    </row>
    <row r="20932" spans="1:14">
      <c r="A20932" s="4" t="str">
        <f t="shared" si="1408"/>
        <v>EXP00451</v>
      </c>
      <c r="B20932" s="3" t="s">
        <v>66</v>
      </c>
      <c r="C20932" s="4" t="str">
        <f t="shared" si="1409"/>
        <v>TCGA-UCEC</v>
      </c>
      <c r="D20932" s="1" t="s">
        <v>493</v>
      </c>
      <c r="E20932" t="s">
        <v>598</v>
      </c>
      <c r="F20932" s="1">
        <v>2</v>
      </c>
      <c r="G20932" s="1" t="s">
        <v>32</v>
      </c>
      <c r="H20932" s="4" t="str">
        <f>HYPERLINK("https://portal.gdc.cancer.gov/cases/11285dc5-8742-477a-8692-af1b6e2c1434","TCGA-AX-A0IZ-01A")</f>
        <v>TCGA-AX-A0IZ-01A</v>
      </c>
      <c r="I20932" t="s">
        <v>444</v>
      </c>
      <c r="J20932" t="s">
        <v>599</v>
      </c>
      <c r="K20932" t="s">
        <v>33</v>
      </c>
      <c r="L20932" t="s">
        <v>600</v>
      </c>
      <c r="N20932" t="s">
        <v>29</v>
      </c>
    </row>
    <row r="20933" spans="1:14">
      <c r="A20933" s="4" t="str">
        <f t="shared" si="1408"/>
        <v>EXP00451</v>
      </c>
      <c r="B20933" s="3" t="s">
        <v>66</v>
      </c>
      <c r="C20933" s="4" t="str">
        <f t="shared" si="1409"/>
        <v>TCGA-UCEC</v>
      </c>
      <c r="D20933" s="1" t="s">
        <v>493</v>
      </c>
      <c r="E20933" t="s">
        <v>598</v>
      </c>
      <c r="F20933" s="1">
        <v>2</v>
      </c>
      <c r="G20933" s="1" t="s">
        <v>32</v>
      </c>
      <c r="H20933" s="4" t="str">
        <f>HYPERLINK("https://portal.gdc.cancer.gov/cases/1c7b41fc-daa7-4a6e-b553-aff73e8ebac6","TCGA-AX-A0J0-01A")</f>
        <v>TCGA-AX-A0J0-01A</v>
      </c>
      <c r="I20933" t="s">
        <v>444</v>
      </c>
      <c r="J20933" t="s">
        <v>599</v>
      </c>
      <c r="K20933" t="s">
        <v>33</v>
      </c>
      <c r="L20933" t="s">
        <v>600</v>
      </c>
      <c r="N20933" t="s">
        <v>29</v>
      </c>
    </row>
    <row r="20934" spans="1:14">
      <c r="A20934" s="4" t="str">
        <f t="shared" si="1408"/>
        <v>EXP00451</v>
      </c>
      <c r="B20934" s="3" t="s">
        <v>66</v>
      </c>
      <c r="C20934" s="4" t="str">
        <f t="shared" si="1409"/>
        <v>TCGA-UCEC</v>
      </c>
      <c r="D20934" s="1" t="s">
        <v>493</v>
      </c>
      <c r="E20934" t="s">
        <v>598</v>
      </c>
      <c r="F20934" s="1">
        <v>2</v>
      </c>
      <c r="G20934" s="1" t="s">
        <v>32</v>
      </c>
      <c r="H20934" s="4" t="str">
        <f>HYPERLINK("https://portal.gdc.cancer.gov/cases/ec7a9d74-8b3f-4747-8926-1739a016ab2b","TCGA-AX-A0J1-01A")</f>
        <v>TCGA-AX-A0J1-01A</v>
      </c>
      <c r="I20934" t="s">
        <v>444</v>
      </c>
      <c r="J20934" t="s">
        <v>599</v>
      </c>
      <c r="K20934" t="s">
        <v>33</v>
      </c>
      <c r="L20934" t="s">
        <v>600</v>
      </c>
      <c r="N20934" t="s">
        <v>29</v>
      </c>
    </row>
    <row r="20935" spans="1:14">
      <c r="A20935" s="4" t="str">
        <f t="shared" si="1408"/>
        <v>EXP00451</v>
      </c>
      <c r="B20935" s="3" t="s">
        <v>66</v>
      </c>
      <c r="C20935" s="4" t="str">
        <f t="shared" si="1409"/>
        <v>TCGA-UCEC</v>
      </c>
      <c r="D20935" s="1" t="s">
        <v>493</v>
      </c>
      <c r="E20935" t="s">
        <v>598</v>
      </c>
      <c r="F20935" s="1">
        <v>2</v>
      </c>
      <c r="G20935" s="1" t="s">
        <v>32</v>
      </c>
      <c r="H20935" s="4" t="str">
        <f>HYPERLINK("https://portal.gdc.cancer.gov/cases/40ce24c6-b331-4be2-baf9-2fa7dc855f9b","TCGA-AX-A1C4-01A")</f>
        <v>TCGA-AX-A1C4-01A</v>
      </c>
      <c r="I20935" t="s">
        <v>444</v>
      </c>
      <c r="J20935" t="s">
        <v>599</v>
      </c>
      <c r="K20935" t="s">
        <v>33</v>
      </c>
      <c r="L20935" t="s">
        <v>600</v>
      </c>
      <c r="N20935" t="s">
        <v>29</v>
      </c>
    </row>
    <row r="20936" spans="1:14">
      <c r="A20936" s="4" t="str">
        <f t="shared" si="1408"/>
        <v>EXP00451</v>
      </c>
      <c r="B20936" s="3" t="s">
        <v>66</v>
      </c>
      <c r="C20936" s="4" t="str">
        <f t="shared" si="1409"/>
        <v>TCGA-UCEC</v>
      </c>
      <c r="D20936" s="1" t="s">
        <v>493</v>
      </c>
      <c r="E20936" t="s">
        <v>598</v>
      </c>
      <c r="F20936" s="1">
        <v>2</v>
      </c>
      <c r="G20936" s="1" t="s">
        <v>32</v>
      </c>
      <c r="H20936" s="4" t="str">
        <f>HYPERLINK("https://portal.gdc.cancer.gov/cases/caebdce0-f954-471a-ac63-5daaa2e76d97","TCGA-AX-A1C5-01A")</f>
        <v>TCGA-AX-A1C5-01A</v>
      </c>
      <c r="I20936" t="s">
        <v>444</v>
      </c>
      <c r="J20936" t="s">
        <v>599</v>
      </c>
      <c r="K20936" t="s">
        <v>33</v>
      </c>
      <c r="L20936" t="s">
        <v>600</v>
      </c>
      <c r="N20936" t="s">
        <v>29</v>
      </c>
    </row>
    <row r="20937" spans="1:14">
      <c r="A20937" s="4" t="str">
        <f t="shared" si="1408"/>
        <v>EXP00451</v>
      </c>
      <c r="B20937" s="3" t="s">
        <v>66</v>
      </c>
      <c r="C20937" s="4" t="str">
        <f t="shared" si="1409"/>
        <v>TCGA-UCEC</v>
      </c>
      <c r="D20937" s="1" t="s">
        <v>493</v>
      </c>
      <c r="E20937" t="s">
        <v>598</v>
      </c>
      <c r="F20937" s="1">
        <v>2</v>
      </c>
      <c r="G20937" s="1" t="s">
        <v>32</v>
      </c>
      <c r="H20937" s="4" t="str">
        <f>HYPERLINK("https://portal.gdc.cancer.gov/cases/755d7ab7-4563-408a-9135-f852048af975","TCGA-AX-A1C7-01A")</f>
        <v>TCGA-AX-A1C7-01A</v>
      </c>
      <c r="I20937" t="s">
        <v>444</v>
      </c>
      <c r="J20937" t="s">
        <v>599</v>
      </c>
      <c r="K20937" t="s">
        <v>33</v>
      </c>
      <c r="L20937" t="s">
        <v>600</v>
      </c>
      <c r="N20937" t="s">
        <v>29</v>
      </c>
    </row>
    <row r="20938" spans="1:14">
      <c r="A20938" s="4" t="str">
        <f t="shared" si="1408"/>
        <v>EXP00451</v>
      </c>
      <c r="B20938" s="3" t="s">
        <v>66</v>
      </c>
      <c r="C20938" s="4" t="str">
        <f t="shared" si="1409"/>
        <v>TCGA-UCEC</v>
      </c>
      <c r="D20938" s="1" t="s">
        <v>493</v>
      </c>
      <c r="E20938" t="s">
        <v>598</v>
      </c>
      <c r="F20938" s="1">
        <v>2</v>
      </c>
      <c r="G20938" s="1" t="s">
        <v>32</v>
      </c>
      <c r="H20938" s="4" t="str">
        <f>HYPERLINK("https://portal.gdc.cancer.gov/cases/bad34c92-1e64-4187-a0b4-061105fd13ba","TCGA-AX-A1C8-01A")</f>
        <v>TCGA-AX-A1C8-01A</v>
      </c>
      <c r="I20938" t="s">
        <v>444</v>
      </c>
      <c r="J20938" t="s">
        <v>599</v>
      </c>
      <c r="K20938" t="s">
        <v>33</v>
      </c>
      <c r="L20938" t="s">
        <v>600</v>
      </c>
      <c r="N20938" t="s">
        <v>29</v>
      </c>
    </row>
    <row r="20939" spans="1:14">
      <c r="A20939" s="4" t="str">
        <f t="shared" si="1408"/>
        <v>EXP00451</v>
      </c>
      <c r="B20939" s="3" t="s">
        <v>66</v>
      </c>
      <c r="C20939" s="4" t="str">
        <f t="shared" si="1409"/>
        <v>TCGA-UCEC</v>
      </c>
      <c r="D20939" s="1" t="s">
        <v>493</v>
      </c>
      <c r="E20939" t="s">
        <v>598</v>
      </c>
      <c r="F20939" s="1">
        <v>2</v>
      </c>
      <c r="G20939" s="1" t="s">
        <v>32</v>
      </c>
      <c r="H20939" s="4" t="str">
        <f>HYPERLINK("https://portal.gdc.cancer.gov/cases/2714af93-e200-4b4a-9df8-7d837b37489f","TCGA-AX-A1C9-01A")</f>
        <v>TCGA-AX-A1C9-01A</v>
      </c>
      <c r="I20939" t="s">
        <v>444</v>
      </c>
      <c r="J20939" t="s">
        <v>599</v>
      </c>
      <c r="K20939" t="s">
        <v>33</v>
      </c>
      <c r="L20939" t="s">
        <v>600</v>
      </c>
      <c r="N20939" t="s">
        <v>29</v>
      </c>
    </row>
    <row r="20940" spans="1:14">
      <c r="A20940" s="4" t="str">
        <f t="shared" si="1408"/>
        <v>EXP00451</v>
      </c>
      <c r="B20940" s="3" t="s">
        <v>66</v>
      </c>
      <c r="C20940" s="4" t="str">
        <f t="shared" si="1409"/>
        <v>TCGA-UCEC</v>
      </c>
      <c r="D20940" s="1" t="s">
        <v>493</v>
      </c>
      <c r="E20940" t="s">
        <v>598</v>
      </c>
      <c r="F20940" s="1">
        <v>2</v>
      </c>
      <c r="G20940" s="1" t="s">
        <v>32</v>
      </c>
      <c r="H20940" s="4" t="str">
        <f>HYPERLINK("https://portal.gdc.cancer.gov/cases/3ede5dff-8cf5-43e8-bf4b-e8ad75bf68ee","TCGA-AX-A1CA-01A")</f>
        <v>TCGA-AX-A1CA-01A</v>
      </c>
      <c r="I20940" t="s">
        <v>444</v>
      </c>
      <c r="J20940" t="s">
        <v>599</v>
      </c>
      <c r="K20940" t="s">
        <v>33</v>
      </c>
      <c r="L20940" t="s">
        <v>600</v>
      </c>
      <c r="N20940" t="s">
        <v>29</v>
      </c>
    </row>
    <row r="20941" spans="1:14">
      <c r="A20941" s="4" t="str">
        <f t="shared" si="1408"/>
        <v>EXP00451</v>
      </c>
      <c r="B20941" s="3" t="s">
        <v>66</v>
      </c>
      <c r="C20941" s="4" t="str">
        <f t="shared" si="1409"/>
        <v>TCGA-UCEC</v>
      </c>
      <c r="D20941" s="1" t="s">
        <v>493</v>
      </c>
      <c r="E20941" t="s">
        <v>598</v>
      </c>
      <c r="F20941" s="1">
        <v>2</v>
      </c>
      <c r="G20941" s="1" t="s">
        <v>32</v>
      </c>
      <c r="H20941" s="4" t="str">
        <f>HYPERLINK("https://portal.gdc.cancer.gov/cases/bc02493a-0296-4329-939a-bf91a4d0c16a","TCGA-AX-A1CC-01A")</f>
        <v>TCGA-AX-A1CC-01A</v>
      </c>
      <c r="I20941" t="s">
        <v>444</v>
      </c>
      <c r="J20941" t="s">
        <v>599</v>
      </c>
      <c r="K20941" t="s">
        <v>33</v>
      </c>
      <c r="L20941" t="s">
        <v>600</v>
      </c>
      <c r="N20941" t="s">
        <v>29</v>
      </c>
    </row>
    <row r="20942" spans="1:14">
      <c r="A20942" s="4" t="str">
        <f t="shared" si="1408"/>
        <v>EXP00451</v>
      </c>
      <c r="B20942" s="3" t="s">
        <v>66</v>
      </c>
      <c r="C20942" s="4" t="str">
        <f t="shared" si="1409"/>
        <v>TCGA-UCEC</v>
      </c>
      <c r="D20942" s="1" t="s">
        <v>493</v>
      </c>
      <c r="E20942" t="s">
        <v>598</v>
      </c>
      <c r="F20942" s="1">
        <v>2</v>
      </c>
      <c r="G20942" s="1" t="s">
        <v>32</v>
      </c>
      <c r="H20942" s="4" t="str">
        <f>HYPERLINK("https://portal.gdc.cancer.gov/cases/4db38349-28d2-4af5-a12f-3d861937b0e0","TCGA-AX-A1CE-01A")</f>
        <v>TCGA-AX-A1CE-01A</v>
      </c>
      <c r="I20942" t="s">
        <v>444</v>
      </c>
      <c r="J20942" t="s">
        <v>599</v>
      </c>
      <c r="K20942" t="s">
        <v>33</v>
      </c>
      <c r="L20942" t="s">
        <v>600</v>
      </c>
      <c r="N20942" t="s">
        <v>29</v>
      </c>
    </row>
    <row r="20943" spans="1:14">
      <c r="A20943" s="4" t="str">
        <f t="shared" si="1408"/>
        <v>EXP00451</v>
      </c>
      <c r="B20943" s="3" t="s">
        <v>66</v>
      </c>
      <c r="C20943" s="4" t="str">
        <f t="shared" si="1409"/>
        <v>TCGA-UCEC</v>
      </c>
      <c r="D20943" s="1" t="s">
        <v>493</v>
      </c>
      <c r="E20943" t="s">
        <v>598</v>
      </c>
      <c r="F20943" s="1">
        <v>2</v>
      </c>
      <c r="G20943" s="1" t="s">
        <v>32</v>
      </c>
      <c r="H20943" s="4" t="str">
        <f>HYPERLINK("https://portal.gdc.cancer.gov/cases/20dcf91a-0529-4e96-99a2-362a41fbe4a4","TCGA-AX-A1CF-01A")</f>
        <v>TCGA-AX-A1CF-01A</v>
      </c>
      <c r="I20943" t="s">
        <v>444</v>
      </c>
      <c r="J20943" t="s">
        <v>599</v>
      </c>
      <c r="K20943" t="s">
        <v>33</v>
      </c>
      <c r="L20943" t="s">
        <v>600</v>
      </c>
      <c r="N20943" t="s">
        <v>29</v>
      </c>
    </row>
    <row r="20944" spans="1:14">
      <c r="A20944" s="4" t="str">
        <f t="shared" si="1408"/>
        <v>EXP00451</v>
      </c>
      <c r="B20944" s="3" t="s">
        <v>66</v>
      </c>
      <c r="C20944" s="4" t="str">
        <f t="shared" si="1409"/>
        <v>TCGA-UCEC</v>
      </c>
      <c r="D20944" s="1" t="s">
        <v>493</v>
      </c>
      <c r="E20944" t="s">
        <v>598</v>
      </c>
      <c r="F20944" s="1">
        <v>2</v>
      </c>
      <c r="G20944" s="1" t="s">
        <v>32</v>
      </c>
      <c r="H20944" s="4" t="str">
        <f>HYPERLINK("https://portal.gdc.cancer.gov/cases/fba80122-d8b2-4d8d-a032-9767e8160f9f","TCGA-AX-A1CI-01A")</f>
        <v>TCGA-AX-A1CI-01A</v>
      </c>
      <c r="I20944" t="s">
        <v>444</v>
      </c>
      <c r="J20944" t="s">
        <v>599</v>
      </c>
      <c r="K20944" t="s">
        <v>33</v>
      </c>
      <c r="L20944" t="s">
        <v>600</v>
      </c>
      <c r="N20944" t="s">
        <v>29</v>
      </c>
    </row>
    <row r="20945" spans="1:14">
      <c r="A20945" s="4" t="str">
        <f t="shared" si="1408"/>
        <v>EXP00451</v>
      </c>
      <c r="B20945" s="3" t="s">
        <v>66</v>
      </c>
      <c r="C20945" s="4" t="str">
        <f t="shared" si="1409"/>
        <v>TCGA-UCEC</v>
      </c>
      <c r="D20945" s="1" t="s">
        <v>493</v>
      </c>
      <c r="E20945" t="s">
        <v>598</v>
      </c>
      <c r="F20945" s="1">
        <v>2</v>
      </c>
      <c r="G20945" s="1" t="s">
        <v>32</v>
      </c>
      <c r="H20945" s="4" t="str">
        <f>HYPERLINK("https://portal.gdc.cancer.gov/cases/abaf757b-f79f-40bd-96e3-e2c0f63061f0","TCGA-AX-A1CJ-01A")</f>
        <v>TCGA-AX-A1CJ-01A</v>
      </c>
      <c r="I20945" t="s">
        <v>444</v>
      </c>
      <c r="J20945" t="s">
        <v>599</v>
      </c>
      <c r="K20945" t="s">
        <v>33</v>
      </c>
      <c r="L20945" t="s">
        <v>600</v>
      </c>
      <c r="N20945" t="s">
        <v>29</v>
      </c>
    </row>
    <row r="20946" spans="1:14">
      <c r="A20946" s="4" t="str">
        <f t="shared" si="1408"/>
        <v>EXP00451</v>
      </c>
      <c r="B20946" s="3" t="s">
        <v>66</v>
      </c>
      <c r="C20946" s="4" t="str">
        <f t="shared" si="1409"/>
        <v>TCGA-UCEC</v>
      </c>
      <c r="D20946" s="1" t="s">
        <v>493</v>
      </c>
      <c r="E20946" t="s">
        <v>598</v>
      </c>
      <c r="F20946" s="1">
        <v>2</v>
      </c>
      <c r="G20946" s="1" t="s">
        <v>32</v>
      </c>
      <c r="H20946" s="4" t="str">
        <f>HYPERLINK("https://portal.gdc.cancer.gov/cases/45effb44-0b5f-4081-a202-d85969c72f2b","TCGA-AX-A1CK-01A")</f>
        <v>TCGA-AX-A1CK-01A</v>
      </c>
      <c r="I20946" t="s">
        <v>444</v>
      </c>
      <c r="J20946" t="s">
        <v>599</v>
      </c>
      <c r="K20946" t="s">
        <v>33</v>
      </c>
      <c r="L20946" t="s">
        <v>600</v>
      </c>
      <c r="N20946" t="s">
        <v>29</v>
      </c>
    </row>
    <row r="20947" spans="1:14">
      <c r="A20947" s="4" t="str">
        <f t="shared" si="1408"/>
        <v>EXP00451</v>
      </c>
      <c r="B20947" s="3" t="s">
        <v>66</v>
      </c>
      <c r="C20947" s="4" t="str">
        <f t="shared" si="1409"/>
        <v>TCGA-UCEC</v>
      </c>
      <c r="D20947" s="1" t="s">
        <v>493</v>
      </c>
      <c r="E20947" t="s">
        <v>598</v>
      </c>
      <c r="F20947" s="1">
        <v>2</v>
      </c>
      <c r="G20947" s="1" t="s">
        <v>32</v>
      </c>
      <c r="H20947" s="4" t="str">
        <f>HYPERLINK("https://portal.gdc.cancer.gov/cases/d70b3c6e-04da-4abc-a832-a461e4cfcc94","TCGA-AX-A1CN-01A")</f>
        <v>TCGA-AX-A1CN-01A</v>
      </c>
      <c r="I20947" t="s">
        <v>444</v>
      </c>
      <c r="J20947" t="s">
        <v>599</v>
      </c>
      <c r="K20947" t="s">
        <v>33</v>
      </c>
      <c r="L20947" t="s">
        <v>600</v>
      </c>
      <c r="N20947" t="s">
        <v>29</v>
      </c>
    </row>
    <row r="20948" spans="1:14">
      <c r="A20948" s="4" t="str">
        <f t="shared" si="1408"/>
        <v>EXP00451</v>
      </c>
      <c r="B20948" s="3" t="s">
        <v>66</v>
      </c>
      <c r="C20948" s="4" t="str">
        <f t="shared" si="1409"/>
        <v>TCGA-UCEC</v>
      </c>
      <c r="D20948" s="1" t="s">
        <v>493</v>
      </c>
      <c r="E20948" t="s">
        <v>598</v>
      </c>
      <c r="F20948" s="1">
        <v>2</v>
      </c>
      <c r="G20948" s="1" t="s">
        <v>32</v>
      </c>
      <c r="H20948" s="4" t="str">
        <f>HYPERLINK("https://portal.gdc.cancer.gov/cases/e297551c-a662-4677-b00d-0d9be232adca","TCGA-AX-A1CP-01A")</f>
        <v>TCGA-AX-A1CP-01A</v>
      </c>
      <c r="I20948" t="s">
        <v>444</v>
      </c>
      <c r="J20948" t="s">
        <v>599</v>
      </c>
      <c r="K20948" t="s">
        <v>33</v>
      </c>
      <c r="L20948" t="s">
        <v>600</v>
      </c>
      <c r="N20948" t="s">
        <v>29</v>
      </c>
    </row>
    <row r="20949" spans="1:14">
      <c r="A20949" s="4" t="str">
        <f t="shared" si="1408"/>
        <v>EXP00451</v>
      </c>
      <c r="B20949" s="3" t="s">
        <v>66</v>
      </c>
      <c r="C20949" s="4" t="str">
        <f t="shared" si="1409"/>
        <v>TCGA-UCEC</v>
      </c>
      <c r="D20949" s="1" t="s">
        <v>493</v>
      </c>
      <c r="E20949" t="s">
        <v>598</v>
      </c>
      <c r="F20949" s="1">
        <v>2</v>
      </c>
      <c r="G20949" s="1" t="s">
        <v>32</v>
      </c>
      <c r="H20949" s="4" t="str">
        <f>HYPERLINK("https://portal.gdc.cancer.gov/cases/3abaa1b6-7513-40e0-b79c-b968e788e932","TCGA-AX-A1CR-01A")</f>
        <v>TCGA-AX-A1CR-01A</v>
      </c>
      <c r="I20949" t="s">
        <v>444</v>
      </c>
      <c r="J20949" t="s">
        <v>599</v>
      </c>
      <c r="K20949" t="s">
        <v>33</v>
      </c>
      <c r="L20949" t="s">
        <v>600</v>
      </c>
      <c r="N20949" t="s">
        <v>29</v>
      </c>
    </row>
    <row r="20950" spans="1:14">
      <c r="A20950" s="4" t="str">
        <f t="shared" si="1408"/>
        <v>EXP00451</v>
      </c>
      <c r="B20950" s="3" t="s">
        <v>66</v>
      </c>
      <c r="C20950" s="4" t="str">
        <f t="shared" si="1409"/>
        <v>TCGA-UCEC</v>
      </c>
      <c r="D20950" s="1" t="s">
        <v>493</v>
      </c>
      <c r="E20950" t="s">
        <v>598</v>
      </c>
      <c r="F20950" s="1">
        <v>2</v>
      </c>
      <c r="G20950" s="1" t="s">
        <v>32</v>
      </c>
      <c r="H20950" s="4" t="str">
        <f>HYPERLINK("https://portal.gdc.cancer.gov/cases/e4510c66-a60b-4b09-a4e8-74ec5b26a3a5","TCGA-AX-A2H2-01A")</f>
        <v>TCGA-AX-A2H2-01A</v>
      </c>
      <c r="I20950" t="s">
        <v>444</v>
      </c>
      <c r="J20950" t="s">
        <v>599</v>
      </c>
      <c r="K20950" t="s">
        <v>33</v>
      </c>
      <c r="L20950" t="s">
        <v>600</v>
      </c>
      <c r="N20950" t="s">
        <v>29</v>
      </c>
    </row>
    <row r="20951" spans="1:14">
      <c r="A20951" s="4" t="str">
        <f t="shared" si="1408"/>
        <v>EXP00451</v>
      </c>
      <c r="B20951" s="3" t="s">
        <v>66</v>
      </c>
      <c r="C20951" s="4" t="str">
        <f t="shared" si="1409"/>
        <v>TCGA-UCEC</v>
      </c>
      <c r="D20951" s="1" t="s">
        <v>493</v>
      </c>
      <c r="E20951" t="s">
        <v>598</v>
      </c>
      <c r="F20951" s="1">
        <v>2</v>
      </c>
      <c r="G20951" s="1" t="s">
        <v>32</v>
      </c>
      <c r="H20951" s="4" t="str">
        <f>HYPERLINK("https://portal.gdc.cancer.gov/cases/afa79b18-2ac6-4179-9c8c-5fa4d1d09a7e","TCGA-AX-A2H4-01A")</f>
        <v>TCGA-AX-A2H4-01A</v>
      </c>
      <c r="I20951" t="s">
        <v>444</v>
      </c>
      <c r="J20951" t="s">
        <v>599</v>
      </c>
      <c r="K20951" t="s">
        <v>33</v>
      </c>
      <c r="L20951" t="s">
        <v>600</v>
      </c>
      <c r="N20951" t="s">
        <v>29</v>
      </c>
    </row>
    <row r="20952" spans="1:14">
      <c r="A20952" s="4" t="str">
        <f t="shared" si="1408"/>
        <v>EXP00451</v>
      </c>
      <c r="B20952" s="3" t="s">
        <v>66</v>
      </c>
      <c r="C20952" s="4" t="str">
        <f t="shared" si="1409"/>
        <v>TCGA-UCEC</v>
      </c>
      <c r="D20952" s="1" t="s">
        <v>493</v>
      </c>
      <c r="E20952" t="s">
        <v>598</v>
      </c>
      <c r="F20952" s="1">
        <v>2</v>
      </c>
      <c r="G20952" s="1" t="s">
        <v>32</v>
      </c>
      <c r="H20952" s="4" t="str">
        <f>HYPERLINK("https://portal.gdc.cancer.gov/cases/c88e3901-f3ee-436a-ba80-143c8eab7d69","TCGA-AX-A2H5-01A")</f>
        <v>TCGA-AX-A2H5-01A</v>
      </c>
      <c r="I20952" t="s">
        <v>444</v>
      </c>
      <c r="J20952" t="s">
        <v>599</v>
      </c>
      <c r="K20952" t="s">
        <v>33</v>
      </c>
      <c r="L20952" t="s">
        <v>600</v>
      </c>
      <c r="N20952" t="s">
        <v>29</v>
      </c>
    </row>
    <row r="20953" spans="1:14">
      <c r="A20953" s="4" t="str">
        <f t="shared" si="1408"/>
        <v>EXP00451</v>
      </c>
      <c r="B20953" s="3" t="s">
        <v>66</v>
      </c>
      <c r="C20953" s="4" t="str">
        <f t="shared" si="1409"/>
        <v>TCGA-UCEC</v>
      </c>
      <c r="D20953" s="1" t="s">
        <v>493</v>
      </c>
      <c r="E20953" t="s">
        <v>598</v>
      </c>
      <c r="F20953" s="1">
        <v>2</v>
      </c>
      <c r="G20953" s="1" t="s">
        <v>32</v>
      </c>
      <c r="H20953" s="4" t="str">
        <f>HYPERLINK("https://portal.gdc.cancer.gov/cases/a1780432-860e-4bff-9b66-a1e25c0076fe","TCGA-AX-A2H7-01A")</f>
        <v>TCGA-AX-A2H7-01A</v>
      </c>
      <c r="I20953" t="s">
        <v>444</v>
      </c>
      <c r="J20953" t="s">
        <v>599</v>
      </c>
      <c r="K20953" t="s">
        <v>33</v>
      </c>
      <c r="L20953" t="s">
        <v>600</v>
      </c>
      <c r="N20953" t="s">
        <v>29</v>
      </c>
    </row>
    <row r="20954" spans="1:14">
      <c r="A20954" s="4" t="str">
        <f t="shared" si="1408"/>
        <v>EXP00451</v>
      </c>
      <c r="B20954" s="3" t="s">
        <v>66</v>
      </c>
      <c r="C20954" s="4" t="str">
        <f t="shared" si="1409"/>
        <v>TCGA-UCEC</v>
      </c>
      <c r="D20954" s="1" t="s">
        <v>493</v>
      </c>
      <c r="E20954" t="s">
        <v>598</v>
      </c>
      <c r="F20954" s="1">
        <v>2</v>
      </c>
      <c r="G20954" s="1" t="s">
        <v>32</v>
      </c>
      <c r="H20954" s="4" t="str">
        <f>HYPERLINK("https://portal.gdc.cancer.gov/cases/da0474b3-48ab-4398-ae4b-f15e27e99b2d","TCGA-AX-A2H8-01A")</f>
        <v>TCGA-AX-A2H8-01A</v>
      </c>
      <c r="I20954" t="s">
        <v>444</v>
      </c>
      <c r="J20954" t="s">
        <v>599</v>
      </c>
      <c r="K20954" t="s">
        <v>33</v>
      </c>
      <c r="L20954" t="s">
        <v>600</v>
      </c>
      <c r="N20954" t="s">
        <v>29</v>
      </c>
    </row>
    <row r="20955" spans="1:14">
      <c r="A20955" s="4" t="str">
        <f t="shared" si="1408"/>
        <v>EXP00451</v>
      </c>
      <c r="B20955" s="3" t="s">
        <v>66</v>
      </c>
      <c r="C20955" s="4" t="str">
        <f t="shared" si="1409"/>
        <v>TCGA-UCEC</v>
      </c>
      <c r="D20955" s="1" t="s">
        <v>493</v>
      </c>
      <c r="E20955" t="s">
        <v>598</v>
      </c>
      <c r="F20955" s="1">
        <v>2</v>
      </c>
      <c r="G20955" s="1" t="s">
        <v>32</v>
      </c>
      <c r="H20955" s="4" t="str">
        <f>HYPERLINK("https://portal.gdc.cancer.gov/cases/9d84dff8-6c19-4881-93c6-56c98a3049b5","TCGA-AX-A2HA-01A")</f>
        <v>TCGA-AX-A2HA-01A</v>
      </c>
      <c r="I20955" t="s">
        <v>444</v>
      </c>
      <c r="J20955" t="s">
        <v>599</v>
      </c>
      <c r="K20955" t="s">
        <v>33</v>
      </c>
      <c r="L20955" t="s">
        <v>600</v>
      </c>
      <c r="N20955" t="s">
        <v>29</v>
      </c>
    </row>
    <row r="20956" spans="1:14">
      <c r="A20956" s="4" t="str">
        <f t="shared" si="1408"/>
        <v>EXP00451</v>
      </c>
      <c r="B20956" s="3" t="s">
        <v>66</v>
      </c>
      <c r="C20956" s="4" t="str">
        <f t="shared" si="1409"/>
        <v>TCGA-UCEC</v>
      </c>
      <c r="D20956" s="1" t="s">
        <v>493</v>
      </c>
      <c r="E20956" t="s">
        <v>598</v>
      </c>
      <c r="F20956" s="1">
        <v>2</v>
      </c>
      <c r="G20956" s="1" t="s">
        <v>32</v>
      </c>
      <c r="H20956" s="4" t="str">
        <f>HYPERLINK("https://portal.gdc.cancer.gov/cases/53e8e07e-18f9-4c9b-9783-a5b67ceddcf7","TCGA-AX-A2HC-01A")</f>
        <v>TCGA-AX-A2HC-01A</v>
      </c>
      <c r="I20956" t="s">
        <v>444</v>
      </c>
      <c r="J20956" t="s">
        <v>599</v>
      </c>
      <c r="K20956" t="s">
        <v>33</v>
      </c>
      <c r="L20956" t="s">
        <v>600</v>
      </c>
      <c r="N20956" t="s">
        <v>29</v>
      </c>
    </row>
    <row r="20957" spans="1:14">
      <c r="A20957" s="4" t="str">
        <f t="shared" si="1408"/>
        <v>EXP00451</v>
      </c>
      <c r="B20957" s="3" t="s">
        <v>66</v>
      </c>
      <c r="C20957" s="4" t="str">
        <f t="shared" si="1409"/>
        <v>TCGA-UCEC</v>
      </c>
      <c r="D20957" s="1" t="s">
        <v>493</v>
      </c>
      <c r="E20957" t="s">
        <v>598</v>
      </c>
      <c r="F20957" s="1">
        <v>2</v>
      </c>
      <c r="G20957" s="1" t="s">
        <v>32</v>
      </c>
      <c r="H20957" s="4" t="str">
        <f>HYPERLINK("https://portal.gdc.cancer.gov/cases/a8def1a0-a136-47f4-9ad9-60ebcf9b726b","TCGA-AX-A2HD-01A")</f>
        <v>TCGA-AX-A2HD-01A</v>
      </c>
      <c r="I20957" t="s">
        <v>444</v>
      </c>
      <c r="J20957" t="s">
        <v>599</v>
      </c>
      <c r="K20957" t="s">
        <v>33</v>
      </c>
      <c r="L20957" t="s">
        <v>600</v>
      </c>
      <c r="N20957" t="s">
        <v>29</v>
      </c>
    </row>
    <row r="20958" spans="1:14">
      <c r="A20958" s="4" t="str">
        <f t="shared" si="1408"/>
        <v>EXP00451</v>
      </c>
      <c r="B20958" s="3" t="s">
        <v>66</v>
      </c>
      <c r="C20958" s="4" t="str">
        <f t="shared" si="1409"/>
        <v>TCGA-UCEC</v>
      </c>
      <c r="D20958" s="1" t="s">
        <v>493</v>
      </c>
      <c r="E20958" t="s">
        <v>598</v>
      </c>
      <c r="F20958" s="1">
        <v>2</v>
      </c>
      <c r="G20958" s="1" t="s">
        <v>32</v>
      </c>
      <c r="H20958" s="4" t="str">
        <f>HYPERLINK("https://portal.gdc.cancer.gov/cases/7a077812-f6ee-4820-a084-1a52c7ef062c","TCGA-AX-A2HF-01A")</f>
        <v>TCGA-AX-A2HF-01A</v>
      </c>
      <c r="I20958" t="s">
        <v>444</v>
      </c>
      <c r="J20958" t="s">
        <v>599</v>
      </c>
      <c r="K20958" t="s">
        <v>33</v>
      </c>
      <c r="L20958" t="s">
        <v>600</v>
      </c>
      <c r="N20958" t="s">
        <v>29</v>
      </c>
    </row>
    <row r="20959" spans="1:14">
      <c r="A20959" s="4" t="str">
        <f t="shared" si="1408"/>
        <v>EXP00451</v>
      </c>
      <c r="B20959" s="3" t="s">
        <v>66</v>
      </c>
      <c r="C20959" s="4" t="str">
        <f t="shared" si="1409"/>
        <v>TCGA-UCEC</v>
      </c>
      <c r="D20959" s="1" t="s">
        <v>493</v>
      </c>
      <c r="E20959" t="s">
        <v>598</v>
      </c>
      <c r="F20959" s="1">
        <v>2</v>
      </c>
      <c r="G20959" s="1" t="s">
        <v>32</v>
      </c>
      <c r="H20959" s="4" t="str">
        <f>HYPERLINK("https://portal.gdc.cancer.gov/cases/7a2cf5ce-8317-4fff-946e-b9937afab815","TCGA-AX-A2HG-01A")</f>
        <v>TCGA-AX-A2HG-01A</v>
      </c>
      <c r="I20959" t="s">
        <v>444</v>
      </c>
      <c r="J20959" t="s">
        <v>599</v>
      </c>
      <c r="K20959" t="s">
        <v>33</v>
      </c>
      <c r="L20959" t="s">
        <v>600</v>
      </c>
      <c r="N20959" t="s">
        <v>29</v>
      </c>
    </row>
    <row r="20960" spans="1:14">
      <c r="A20960" s="4" t="str">
        <f t="shared" si="1408"/>
        <v>EXP00451</v>
      </c>
      <c r="B20960" s="3" t="s">
        <v>66</v>
      </c>
      <c r="C20960" s="4" t="str">
        <f t="shared" si="1409"/>
        <v>TCGA-UCEC</v>
      </c>
      <c r="D20960" s="1" t="s">
        <v>493</v>
      </c>
      <c r="E20960" t="s">
        <v>598</v>
      </c>
      <c r="F20960" s="1">
        <v>2</v>
      </c>
      <c r="G20960" s="1" t="s">
        <v>32</v>
      </c>
      <c r="H20960" s="4" t="str">
        <f>HYPERLINK("https://portal.gdc.cancer.gov/cases/52fef8a9-6860-48bd-b992-a56ccad1243c","TCGA-AX-A2HH-01A")</f>
        <v>TCGA-AX-A2HH-01A</v>
      </c>
      <c r="I20960" t="s">
        <v>444</v>
      </c>
      <c r="J20960" t="s">
        <v>599</v>
      </c>
      <c r="K20960" t="s">
        <v>33</v>
      </c>
      <c r="L20960" t="s">
        <v>600</v>
      </c>
      <c r="N20960" t="s">
        <v>29</v>
      </c>
    </row>
    <row r="20961" spans="1:14">
      <c r="A20961" s="4" t="str">
        <f t="shared" si="1408"/>
        <v>EXP00451</v>
      </c>
      <c r="B20961" s="3" t="s">
        <v>66</v>
      </c>
      <c r="C20961" s="4" t="str">
        <f t="shared" si="1409"/>
        <v>TCGA-UCEC</v>
      </c>
      <c r="D20961" s="1" t="s">
        <v>493</v>
      </c>
      <c r="E20961" t="s">
        <v>598</v>
      </c>
      <c r="F20961" s="1">
        <v>2</v>
      </c>
      <c r="G20961" s="1" t="s">
        <v>32</v>
      </c>
      <c r="H20961" s="4" t="str">
        <f>HYPERLINK("https://portal.gdc.cancer.gov/cases/32398808-c46a-41bf-a0a8-e08723b40ea2","TCGA-AX-A2HJ-01A")</f>
        <v>TCGA-AX-A2HJ-01A</v>
      </c>
      <c r="I20961" t="s">
        <v>444</v>
      </c>
      <c r="J20961" t="s">
        <v>599</v>
      </c>
      <c r="K20961" t="s">
        <v>33</v>
      </c>
      <c r="L20961" t="s">
        <v>600</v>
      </c>
      <c r="N20961" t="s">
        <v>29</v>
      </c>
    </row>
    <row r="20962" spans="1:14">
      <c r="A20962" s="4" t="str">
        <f t="shared" si="1408"/>
        <v>EXP00451</v>
      </c>
      <c r="B20962" s="3" t="s">
        <v>66</v>
      </c>
      <c r="C20962" s="4" t="str">
        <f t="shared" si="1409"/>
        <v>TCGA-UCEC</v>
      </c>
      <c r="D20962" s="1" t="s">
        <v>493</v>
      </c>
      <c r="E20962" t="s">
        <v>598</v>
      </c>
      <c r="F20962" s="1">
        <v>2</v>
      </c>
      <c r="G20962" s="1" t="s">
        <v>32</v>
      </c>
      <c r="H20962" s="4" t="str">
        <f>HYPERLINK("https://portal.gdc.cancer.gov/cases/6fa99ae9-1d72-455e-938e-0ec0d240f5a3","TCGA-AX-A2HK-01A")</f>
        <v>TCGA-AX-A2HK-01A</v>
      </c>
      <c r="I20962" t="s">
        <v>444</v>
      </c>
      <c r="J20962" t="s">
        <v>599</v>
      </c>
      <c r="K20962" t="s">
        <v>33</v>
      </c>
      <c r="L20962" t="s">
        <v>600</v>
      </c>
      <c r="N20962" t="s">
        <v>29</v>
      </c>
    </row>
    <row r="20963" spans="1:14">
      <c r="A20963" s="4" t="str">
        <f t="shared" si="1408"/>
        <v>EXP00451</v>
      </c>
      <c r="B20963" s="3" t="s">
        <v>66</v>
      </c>
      <c r="C20963" s="4" t="str">
        <f t="shared" si="1409"/>
        <v>TCGA-UCEC</v>
      </c>
      <c r="D20963" s="1" t="s">
        <v>493</v>
      </c>
      <c r="E20963" t="s">
        <v>598</v>
      </c>
      <c r="F20963" s="1">
        <v>2</v>
      </c>
      <c r="G20963" s="1" t="s">
        <v>32</v>
      </c>
      <c r="H20963" s="4" t="str">
        <f>HYPERLINK("https://portal.gdc.cancer.gov/cases/fe79ebe1-cd0a-4ce2-a86d-637c28354ed9","TCGA-AX-A2IN-01A")</f>
        <v>TCGA-AX-A2IN-01A</v>
      </c>
      <c r="I20963" t="s">
        <v>444</v>
      </c>
      <c r="J20963" t="s">
        <v>599</v>
      </c>
      <c r="K20963" t="s">
        <v>33</v>
      </c>
      <c r="L20963" t="s">
        <v>600</v>
      </c>
      <c r="N20963" t="s">
        <v>29</v>
      </c>
    </row>
    <row r="20964" spans="1:14">
      <c r="A20964" s="4" t="str">
        <f t="shared" si="1408"/>
        <v>EXP00451</v>
      </c>
      <c r="B20964" s="3" t="s">
        <v>66</v>
      </c>
      <c r="C20964" s="4" t="str">
        <f t="shared" si="1409"/>
        <v>TCGA-UCEC</v>
      </c>
      <c r="D20964" s="1" t="s">
        <v>493</v>
      </c>
      <c r="E20964" t="s">
        <v>598</v>
      </c>
      <c r="F20964" s="1">
        <v>2</v>
      </c>
      <c r="G20964" s="1" t="s">
        <v>32</v>
      </c>
      <c r="H20964" s="4" t="str">
        <f>HYPERLINK("https://portal.gdc.cancer.gov/cases/8a235d4d-5ee1-4d6b-839e-e71cadcd8c39","TCGA-AX-A2IO-01A")</f>
        <v>TCGA-AX-A2IO-01A</v>
      </c>
      <c r="I20964" t="s">
        <v>444</v>
      </c>
      <c r="J20964" t="s">
        <v>599</v>
      </c>
      <c r="K20964" t="s">
        <v>33</v>
      </c>
      <c r="L20964" t="s">
        <v>600</v>
      </c>
      <c r="N20964" t="s">
        <v>29</v>
      </c>
    </row>
    <row r="20965" spans="1:14">
      <c r="A20965" s="4" t="str">
        <f t="shared" si="1408"/>
        <v>EXP00451</v>
      </c>
      <c r="B20965" s="3" t="s">
        <v>66</v>
      </c>
      <c r="C20965" s="4" t="str">
        <f t="shared" si="1409"/>
        <v>TCGA-UCEC</v>
      </c>
      <c r="D20965" s="1" t="s">
        <v>493</v>
      </c>
      <c r="E20965" t="s">
        <v>598</v>
      </c>
      <c r="F20965" s="1">
        <v>2</v>
      </c>
      <c r="G20965" s="1" t="s">
        <v>32</v>
      </c>
      <c r="H20965" s="4" t="str">
        <f>HYPERLINK("https://portal.gdc.cancer.gov/cases/8c6b9b54-58eb-4d5f-b8a9-8007163db457","TCGA-AX-A3FS-01A")</f>
        <v>TCGA-AX-A3FS-01A</v>
      </c>
      <c r="I20965" t="s">
        <v>444</v>
      </c>
      <c r="J20965" t="s">
        <v>599</v>
      </c>
      <c r="K20965" t="s">
        <v>33</v>
      </c>
      <c r="L20965" t="s">
        <v>600</v>
      </c>
      <c r="N20965" t="s">
        <v>29</v>
      </c>
    </row>
    <row r="20966" spans="1:14">
      <c r="A20966" s="4" t="str">
        <f t="shared" si="1408"/>
        <v>EXP00451</v>
      </c>
      <c r="B20966" s="3" t="s">
        <v>66</v>
      </c>
      <c r="C20966" s="4" t="str">
        <f t="shared" si="1409"/>
        <v>TCGA-UCEC</v>
      </c>
      <c r="D20966" s="1" t="s">
        <v>493</v>
      </c>
      <c r="E20966" t="s">
        <v>598</v>
      </c>
      <c r="F20966" s="1">
        <v>2</v>
      </c>
      <c r="G20966" s="1" t="s">
        <v>32</v>
      </c>
      <c r="H20966" s="4" t="str">
        <f>HYPERLINK("https://portal.gdc.cancer.gov/cases/8b4cf993-1e16-4009-a37f-a629528b7d7e","TCGA-AX-A3FT-01A")</f>
        <v>TCGA-AX-A3FT-01A</v>
      </c>
      <c r="I20966" t="s">
        <v>444</v>
      </c>
      <c r="J20966" t="s">
        <v>599</v>
      </c>
      <c r="K20966" t="s">
        <v>33</v>
      </c>
      <c r="L20966" t="s">
        <v>600</v>
      </c>
      <c r="N20966" t="s">
        <v>29</v>
      </c>
    </row>
    <row r="20967" spans="1:14">
      <c r="A20967" s="4" t="str">
        <f t="shared" si="1408"/>
        <v>EXP00451</v>
      </c>
      <c r="B20967" s="3" t="s">
        <v>66</v>
      </c>
      <c r="C20967" s="4" t="str">
        <f t="shared" si="1409"/>
        <v>TCGA-UCEC</v>
      </c>
      <c r="D20967" s="1" t="s">
        <v>493</v>
      </c>
      <c r="E20967" t="s">
        <v>598</v>
      </c>
      <c r="F20967" s="1">
        <v>2</v>
      </c>
      <c r="G20967" s="1" t="s">
        <v>32</v>
      </c>
      <c r="H20967" s="4" t="str">
        <f>HYPERLINK("https://portal.gdc.cancer.gov/cases/a033fbea-7cd0-4e65-94c4-b54f2f80b895","TCGA-AX-A3FV-01A")</f>
        <v>TCGA-AX-A3FV-01A</v>
      </c>
      <c r="I20967" t="s">
        <v>444</v>
      </c>
      <c r="J20967" t="s">
        <v>599</v>
      </c>
      <c r="K20967" t="s">
        <v>33</v>
      </c>
      <c r="L20967" t="s">
        <v>600</v>
      </c>
      <c r="N20967" t="s">
        <v>29</v>
      </c>
    </row>
    <row r="20968" spans="1:14">
      <c r="A20968" s="4" t="str">
        <f t="shared" si="1408"/>
        <v>EXP00451</v>
      </c>
      <c r="B20968" s="3" t="s">
        <v>66</v>
      </c>
      <c r="C20968" s="4" t="str">
        <f t="shared" si="1409"/>
        <v>TCGA-UCEC</v>
      </c>
      <c r="D20968" s="1" t="s">
        <v>493</v>
      </c>
      <c r="E20968" t="s">
        <v>598</v>
      </c>
      <c r="F20968" s="1">
        <v>2</v>
      </c>
      <c r="G20968" s="1" t="s">
        <v>32</v>
      </c>
      <c r="H20968" s="4" t="str">
        <f>HYPERLINK("https://portal.gdc.cancer.gov/cases/3052065a-b8b1-48d3-971d-9d605292249c","TCGA-AX-A3FW-01A")</f>
        <v>TCGA-AX-A3FW-01A</v>
      </c>
      <c r="I20968" t="s">
        <v>444</v>
      </c>
      <c r="J20968" t="s">
        <v>599</v>
      </c>
      <c r="K20968" t="s">
        <v>33</v>
      </c>
      <c r="L20968" t="s">
        <v>600</v>
      </c>
      <c r="N20968" t="s">
        <v>29</v>
      </c>
    </row>
    <row r="20969" spans="1:14">
      <c r="A20969" s="4" t="str">
        <f t="shared" si="1408"/>
        <v>EXP00451</v>
      </c>
      <c r="B20969" s="3" t="s">
        <v>66</v>
      </c>
      <c r="C20969" s="4" t="str">
        <f t="shared" si="1409"/>
        <v>TCGA-UCEC</v>
      </c>
      <c r="D20969" s="1" t="s">
        <v>493</v>
      </c>
      <c r="E20969" t="s">
        <v>598</v>
      </c>
      <c r="F20969" s="1">
        <v>2</v>
      </c>
      <c r="G20969" s="1" t="s">
        <v>32</v>
      </c>
      <c r="H20969" s="4" t="str">
        <f>HYPERLINK("https://portal.gdc.cancer.gov/cases/6f45a2e9-1ca5-438c-b06f-1cd8eb845465","TCGA-AX-A3FX-01A")</f>
        <v>TCGA-AX-A3FX-01A</v>
      </c>
      <c r="I20969" t="s">
        <v>444</v>
      </c>
      <c r="J20969" t="s">
        <v>599</v>
      </c>
      <c r="K20969" t="s">
        <v>33</v>
      </c>
      <c r="L20969" t="s">
        <v>600</v>
      </c>
      <c r="N20969" t="s">
        <v>29</v>
      </c>
    </row>
    <row r="20970" spans="1:14">
      <c r="A20970" s="4" t="str">
        <f t="shared" si="1408"/>
        <v>EXP00451</v>
      </c>
      <c r="B20970" s="3" t="s">
        <v>66</v>
      </c>
      <c r="C20970" s="4" t="str">
        <f t="shared" si="1409"/>
        <v>TCGA-UCEC</v>
      </c>
      <c r="D20970" s="1" t="s">
        <v>493</v>
      </c>
      <c r="E20970" t="s">
        <v>598</v>
      </c>
      <c r="F20970" s="1">
        <v>2</v>
      </c>
      <c r="G20970" s="1" t="s">
        <v>32</v>
      </c>
      <c r="H20970" s="4" t="str">
        <f>HYPERLINK("https://portal.gdc.cancer.gov/cases/5262d82d-fc43-41f4-9b23-c9ac6f237ff0","TCGA-AX-A3FZ-01A")</f>
        <v>TCGA-AX-A3FZ-01A</v>
      </c>
      <c r="I20970" t="s">
        <v>444</v>
      </c>
      <c r="J20970" t="s">
        <v>599</v>
      </c>
      <c r="K20970" t="s">
        <v>33</v>
      </c>
      <c r="L20970" t="s">
        <v>600</v>
      </c>
      <c r="N20970" t="s">
        <v>29</v>
      </c>
    </row>
    <row r="20971" spans="1:14">
      <c r="A20971" s="4" t="str">
        <f t="shared" si="1408"/>
        <v>EXP00451</v>
      </c>
      <c r="B20971" s="3" t="s">
        <v>66</v>
      </c>
      <c r="C20971" s="4" t="str">
        <f t="shared" si="1409"/>
        <v>TCGA-UCEC</v>
      </c>
      <c r="D20971" s="1" t="s">
        <v>493</v>
      </c>
      <c r="E20971" t="s">
        <v>598</v>
      </c>
      <c r="F20971" s="1">
        <v>2</v>
      </c>
      <c r="G20971" s="1" t="s">
        <v>32</v>
      </c>
      <c r="H20971" s="4" t="str">
        <f>HYPERLINK("https://portal.gdc.cancer.gov/cases/9cc1b44a-ac26-408d-b12b-084e982ccadf","TCGA-AX-A3G1-01A")</f>
        <v>TCGA-AX-A3G1-01A</v>
      </c>
      <c r="I20971" t="s">
        <v>444</v>
      </c>
      <c r="J20971" t="s">
        <v>599</v>
      </c>
      <c r="K20971" t="s">
        <v>33</v>
      </c>
      <c r="L20971" t="s">
        <v>600</v>
      </c>
      <c r="N20971" t="s">
        <v>29</v>
      </c>
    </row>
    <row r="20972" spans="1:14">
      <c r="A20972" s="4" t="str">
        <f t="shared" si="1408"/>
        <v>EXP00451</v>
      </c>
      <c r="B20972" s="3" t="s">
        <v>66</v>
      </c>
      <c r="C20972" s="4" t="str">
        <f t="shared" si="1409"/>
        <v>TCGA-UCEC</v>
      </c>
      <c r="D20972" s="1" t="s">
        <v>493</v>
      </c>
      <c r="E20972" t="s">
        <v>598</v>
      </c>
      <c r="F20972" s="1">
        <v>2</v>
      </c>
      <c r="G20972" s="1" t="s">
        <v>32</v>
      </c>
      <c r="H20972" s="4" t="str">
        <f>HYPERLINK("https://portal.gdc.cancer.gov/cases/16745dfb-8b28-4f5d-9ef1-2aa31ccb7293","TCGA-AX-A3G3-01A")</f>
        <v>TCGA-AX-A3G3-01A</v>
      </c>
      <c r="I20972" t="s">
        <v>444</v>
      </c>
      <c r="J20972" t="s">
        <v>599</v>
      </c>
      <c r="K20972" t="s">
        <v>33</v>
      </c>
      <c r="L20972" t="s">
        <v>600</v>
      </c>
      <c r="N20972" t="s">
        <v>29</v>
      </c>
    </row>
    <row r="20973" spans="1:14">
      <c r="A20973" s="4" t="str">
        <f t="shared" si="1408"/>
        <v>EXP00451</v>
      </c>
      <c r="B20973" s="3" t="s">
        <v>66</v>
      </c>
      <c r="C20973" s="4" t="str">
        <f t="shared" si="1409"/>
        <v>TCGA-UCEC</v>
      </c>
      <c r="D20973" s="1" t="s">
        <v>493</v>
      </c>
      <c r="E20973" t="s">
        <v>598</v>
      </c>
      <c r="F20973" s="1">
        <v>2</v>
      </c>
      <c r="G20973" s="1" t="s">
        <v>32</v>
      </c>
      <c r="H20973" s="4" t="str">
        <f>HYPERLINK("https://portal.gdc.cancer.gov/cases/83f2cd11-0dd7-47a6-b4b3-8212faac94bb","TCGA-AX-A3G4-01A")</f>
        <v>TCGA-AX-A3G4-01A</v>
      </c>
      <c r="I20973" t="s">
        <v>444</v>
      </c>
      <c r="J20973" t="s">
        <v>599</v>
      </c>
      <c r="K20973" t="s">
        <v>33</v>
      </c>
      <c r="L20973" t="s">
        <v>600</v>
      </c>
      <c r="N20973" t="s">
        <v>29</v>
      </c>
    </row>
    <row r="20974" spans="1:14">
      <c r="A20974" s="4" t="str">
        <f t="shared" si="1408"/>
        <v>EXP00451</v>
      </c>
      <c r="B20974" s="3" t="s">
        <v>66</v>
      </c>
      <c r="C20974" s="4" t="str">
        <f t="shared" si="1409"/>
        <v>TCGA-UCEC</v>
      </c>
      <c r="D20974" s="1" t="s">
        <v>493</v>
      </c>
      <c r="E20974" t="s">
        <v>598</v>
      </c>
      <c r="F20974" s="1">
        <v>2</v>
      </c>
      <c r="G20974" s="1" t="s">
        <v>32</v>
      </c>
      <c r="H20974" s="4" t="str">
        <f>HYPERLINK("https://portal.gdc.cancer.gov/cases/e31db89c-15ac-45a4-9788-afb339b0f3bc","TCGA-AX-A3G6-01A")</f>
        <v>TCGA-AX-A3G6-01A</v>
      </c>
      <c r="I20974" t="s">
        <v>444</v>
      </c>
      <c r="J20974" t="s">
        <v>599</v>
      </c>
      <c r="K20974" t="s">
        <v>33</v>
      </c>
      <c r="L20974" t="s">
        <v>600</v>
      </c>
      <c r="N20974" t="s">
        <v>29</v>
      </c>
    </row>
    <row r="20975" spans="1:14">
      <c r="A20975" s="4" t="str">
        <f t="shared" si="1408"/>
        <v>EXP00451</v>
      </c>
      <c r="B20975" s="3" t="s">
        <v>66</v>
      </c>
      <c r="C20975" s="4" t="str">
        <f t="shared" si="1409"/>
        <v>TCGA-UCEC</v>
      </c>
      <c r="D20975" s="1" t="s">
        <v>493</v>
      </c>
      <c r="E20975" t="s">
        <v>598</v>
      </c>
      <c r="F20975" s="1">
        <v>2</v>
      </c>
      <c r="G20975" s="1" t="s">
        <v>32</v>
      </c>
      <c r="H20975" s="4" t="str">
        <f>HYPERLINK("https://portal.gdc.cancer.gov/cases/71ed7d6d-8c44-4d37-a04a-7a78df21e514","TCGA-AX-A3G7-01A")</f>
        <v>TCGA-AX-A3G7-01A</v>
      </c>
      <c r="I20975" t="s">
        <v>444</v>
      </c>
      <c r="J20975" t="s">
        <v>599</v>
      </c>
      <c r="K20975" t="s">
        <v>33</v>
      </c>
      <c r="L20975" t="s">
        <v>600</v>
      </c>
      <c r="N20975" t="s">
        <v>29</v>
      </c>
    </row>
    <row r="20976" spans="1:14">
      <c r="A20976" s="4" t="str">
        <f t="shared" si="1408"/>
        <v>EXP00451</v>
      </c>
      <c r="B20976" s="3" t="s">
        <v>66</v>
      </c>
      <c r="C20976" s="4" t="str">
        <f t="shared" si="1409"/>
        <v>TCGA-UCEC</v>
      </c>
      <c r="D20976" s="1" t="s">
        <v>493</v>
      </c>
      <c r="E20976" t="s">
        <v>598</v>
      </c>
      <c r="F20976" s="1">
        <v>2</v>
      </c>
      <c r="G20976" s="1" t="s">
        <v>32</v>
      </c>
      <c r="H20976" s="4" t="str">
        <f>HYPERLINK("https://portal.gdc.cancer.gov/cases/6d3fdb58-fdc0-4937-ad38-3a455225ea51","TCGA-AX-A3G8-01A")</f>
        <v>TCGA-AX-A3G8-01A</v>
      </c>
      <c r="I20976" t="s">
        <v>444</v>
      </c>
      <c r="J20976" t="s">
        <v>599</v>
      </c>
      <c r="K20976" t="s">
        <v>33</v>
      </c>
      <c r="L20976" t="s">
        <v>600</v>
      </c>
      <c r="N20976" t="s">
        <v>29</v>
      </c>
    </row>
    <row r="20977" spans="1:14">
      <c r="A20977" s="4" t="str">
        <f t="shared" si="1408"/>
        <v>EXP00451</v>
      </c>
      <c r="B20977" s="3" t="s">
        <v>66</v>
      </c>
      <c r="C20977" s="4" t="str">
        <f t="shared" si="1409"/>
        <v>TCGA-UCEC</v>
      </c>
      <c r="D20977" s="1" t="s">
        <v>493</v>
      </c>
      <c r="E20977" t="s">
        <v>598</v>
      </c>
      <c r="F20977" s="1">
        <v>2</v>
      </c>
      <c r="G20977" s="1" t="s">
        <v>32</v>
      </c>
      <c r="H20977" s="4" t="str">
        <f>HYPERLINK("https://portal.gdc.cancer.gov/cases/f7527b5e-5330-49ea-82ce-f6f2cdccbadc","TCGA-AX-A3G9-01A")</f>
        <v>TCGA-AX-A3G9-01A</v>
      </c>
      <c r="I20977" t="s">
        <v>444</v>
      </c>
      <c r="J20977" t="s">
        <v>599</v>
      </c>
      <c r="K20977" t="s">
        <v>33</v>
      </c>
      <c r="L20977" t="s">
        <v>600</v>
      </c>
      <c r="N20977" t="s">
        <v>29</v>
      </c>
    </row>
    <row r="20978" spans="1:14">
      <c r="A20978" s="4" t="str">
        <f t="shared" si="1408"/>
        <v>EXP00451</v>
      </c>
      <c r="B20978" s="3" t="s">
        <v>66</v>
      </c>
      <c r="C20978" s="4" t="str">
        <f t="shared" si="1409"/>
        <v>TCGA-UCEC</v>
      </c>
      <c r="D20978" s="1" t="s">
        <v>493</v>
      </c>
      <c r="E20978" t="s">
        <v>598</v>
      </c>
      <c r="F20978" s="1">
        <v>2</v>
      </c>
      <c r="G20978" s="1" t="s">
        <v>32</v>
      </c>
      <c r="H20978" s="4" t="str">
        <f>HYPERLINK("https://portal.gdc.cancer.gov/cases/aa3ad7c0-37cf-4337-945e-cefeee801bbb","TCGA-AX-A3GB-01A")</f>
        <v>TCGA-AX-A3GB-01A</v>
      </c>
      <c r="I20978" t="s">
        <v>444</v>
      </c>
      <c r="J20978" t="s">
        <v>599</v>
      </c>
      <c r="K20978" t="s">
        <v>33</v>
      </c>
      <c r="L20978" t="s">
        <v>600</v>
      </c>
      <c r="N20978" t="s">
        <v>29</v>
      </c>
    </row>
    <row r="20979" spans="1:14">
      <c r="A20979" s="4" t="str">
        <f t="shared" si="1408"/>
        <v>EXP00451</v>
      </c>
      <c r="B20979" s="3" t="s">
        <v>66</v>
      </c>
      <c r="C20979" s="4" t="str">
        <f t="shared" si="1409"/>
        <v>TCGA-UCEC</v>
      </c>
      <c r="D20979" s="1" t="s">
        <v>493</v>
      </c>
      <c r="E20979" t="s">
        <v>598</v>
      </c>
      <c r="F20979" s="1">
        <v>2</v>
      </c>
      <c r="G20979" s="1" t="s">
        <v>32</v>
      </c>
      <c r="H20979" s="4" t="str">
        <f>HYPERLINK("https://portal.gdc.cancer.gov/cases/e4787c7b-40e7-483c-98c0-38da03e26b56","TCGA-AX-A3GI-01A")</f>
        <v>TCGA-AX-A3GI-01A</v>
      </c>
      <c r="I20979" t="s">
        <v>444</v>
      </c>
      <c r="J20979" t="s">
        <v>599</v>
      </c>
      <c r="K20979" t="s">
        <v>33</v>
      </c>
      <c r="L20979" t="s">
        <v>600</v>
      </c>
      <c r="N20979" t="s">
        <v>29</v>
      </c>
    </row>
    <row r="20980" spans="1:14">
      <c r="A20980" s="4" t="str">
        <f t="shared" si="1408"/>
        <v>EXP00451</v>
      </c>
      <c r="B20980" s="3" t="s">
        <v>66</v>
      </c>
      <c r="C20980" s="4" t="str">
        <f t="shared" si="1409"/>
        <v>TCGA-UCEC</v>
      </c>
      <c r="D20980" s="1" t="s">
        <v>493</v>
      </c>
      <c r="E20980" t="s">
        <v>598</v>
      </c>
      <c r="F20980" s="1">
        <v>2</v>
      </c>
      <c r="G20980" s="1" t="s">
        <v>32</v>
      </c>
      <c r="H20980" s="4" t="str">
        <f>HYPERLINK("https://portal.gdc.cancer.gov/cases/b60f22ac-a659-4f33-b01d-820e86a9a5c9","TCGA-B5-A0JN-01A")</f>
        <v>TCGA-B5-A0JN-01A</v>
      </c>
      <c r="I20980" t="s">
        <v>444</v>
      </c>
      <c r="J20980" t="s">
        <v>599</v>
      </c>
      <c r="K20980" t="s">
        <v>33</v>
      </c>
      <c r="L20980" t="s">
        <v>600</v>
      </c>
      <c r="N20980" t="s">
        <v>29</v>
      </c>
    </row>
    <row r="20981" spans="1:14">
      <c r="A20981" s="4" t="str">
        <f t="shared" ref="A20981:A21044" si="1410">HYPERLINK("http://hcmdb.i-sanger.com/experiment/details/experiment_id/EXP00451","EXP00451")</f>
        <v>EXP00451</v>
      </c>
      <c r="B20981" s="3" t="s">
        <v>66</v>
      </c>
      <c r="C20981" s="4" t="str">
        <f t="shared" ref="C20981:C21044" si="1411">HYPERLINK("https://portal.gdc.cancer.gov/projects/TCGA-UCEC","TCGA-UCEC")</f>
        <v>TCGA-UCEC</v>
      </c>
      <c r="D20981" s="1" t="s">
        <v>493</v>
      </c>
      <c r="E20981" t="s">
        <v>598</v>
      </c>
      <c r="F20981" s="1">
        <v>2</v>
      </c>
      <c r="G20981" s="1" t="s">
        <v>32</v>
      </c>
      <c r="H20981" s="4" t="str">
        <f>HYPERLINK("https://portal.gdc.cancer.gov/cases/a766d113-bc3f-4448-a4e5-f391fb0c0e22","TCGA-B5-A0JR-01A")</f>
        <v>TCGA-B5-A0JR-01A</v>
      </c>
      <c r="I20981" t="s">
        <v>444</v>
      </c>
      <c r="J20981" t="s">
        <v>599</v>
      </c>
      <c r="K20981" t="s">
        <v>33</v>
      </c>
      <c r="L20981" t="s">
        <v>600</v>
      </c>
      <c r="N20981" t="s">
        <v>29</v>
      </c>
    </row>
    <row r="20982" spans="1:14">
      <c r="A20982" s="4" t="str">
        <f t="shared" si="1410"/>
        <v>EXP00451</v>
      </c>
      <c r="B20982" s="3" t="s">
        <v>66</v>
      </c>
      <c r="C20982" s="4" t="str">
        <f t="shared" si="1411"/>
        <v>TCGA-UCEC</v>
      </c>
      <c r="D20982" s="1" t="s">
        <v>493</v>
      </c>
      <c r="E20982" t="s">
        <v>598</v>
      </c>
      <c r="F20982" s="1">
        <v>2</v>
      </c>
      <c r="G20982" s="1" t="s">
        <v>32</v>
      </c>
      <c r="H20982" s="4" t="str">
        <f>HYPERLINK("https://portal.gdc.cancer.gov/cases/0da7bbd4-ed8d-474b-b494-cb93c5fa811e","TCGA-B5-A0JS-01A")</f>
        <v>TCGA-B5-A0JS-01A</v>
      </c>
      <c r="I20982" t="s">
        <v>444</v>
      </c>
      <c r="J20982" t="s">
        <v>599</v>
      </c>
      <c r="K20982" t="s">
        <v>33</v>
      </c>
      <c r="L20982" t="s">
        <v>600</v>
      </c>
      <c r="N20982" t="s">
        <v>29</v>
      </c>
    </row>
    <row r="20983" spans="1:14">
      <c r="A20983" s="4" t="str">
        <f t="shared" si="1410"/>
        <v>EXP00451</v>
      </c>
      <c r="B20983" s="3" t="s">
        <v>66</v>
      </c>
      <c r="C20983" s="4" t="str">
        <f t="shared" si="1411"/>
        <v>TCGA-UCEC</v>
      </c>
      <c r="D20983" s="1" t="s">
        <v>493</v>
      </c>
      <c r="E20983" t="s">
        <v>598</v>
      </c>
      <c r="F20983" s="1">
        <v>2</v>
      </c>
      <c r="G20983" s="1" t="s">
        <v>32</v>
      </c>
      <c r="H20983" s="4" t="str">
        <f>HYPERLINK("https://portal.gdc.cancer.gov/cases/d5f2bae1-7cd1-49bf-ae41-12d2aa44408e","TCGA-B5-A0JT-01A")</f>
        <v>TCGA-B5-A0JT-01A</v>
      </c>
      <c r="I20983" t="s">
        <v>444</v>
      </c>
      <c r="J20983" t="s">
        <v>599</v>
      </c>
      <c r="K20983" t="s">
        <v>33</v>
      </c>
      <c r="L20983" t="s">
        <v>600</v>
      </c>
      <c r="N20983" t="s">
        <v>29</v>
      </c>
    </row>
    <row r="20984" spans="1:14">
      <c r="A20984" s="4" t="str">
        <f t="shared" si="1410"/>
        <v>EXP00451</v>
      </c>
      <c r="B20984" s="3" t="s">
        <v>66</v>
      </c>
      <c r="C20984" s="4" t="str">
        <f t="shared" si="1411"/>
        <v>TCGA-UCEC</v>
      </c>
      <c r="D20984" s="1" t="s">
        <v>493</v>
      </c>
      <c r="E20984" t="s">
        <v>598</v>
      </c>
      <c r="F20984" s="1">
        <v>2</v>
      </c>
      <c r="G20984" s="1" t="s">
        <v>32</v>
      </c>
      <c r="H20984" s="4" t="str">
        <f>HYPERLINK("https://portal.gdc.cancer.gov/cases/65ef7168-69c6-4910-a141-d7558d0027c9","TCGA-B5-A0JU-01B")</f>
        <v>TCGA-B5-A0JU-01B</v>
      </c>
      <c r="I20984" t="s">
        <v>444</v>
      </c>
      <c r="J20984" t="s">
        <v>599</v>
      </c>
      <c r="K20984" t="s">
        <v>33</v>
      </c>
      <c r="L20984" t="s">
        <v>600</v>
      </c>
      <c r="N20984" t="s">
        <v>29</v>
      </c>
    </row>
    <row r="20985" spans="1:14">
      <c r="A20985" s="4" t="str">
        <f t="shared" si="1410"/>
        <v>EXP00451</v>
      </c>
      <c r="B20985" s="3" t="s">
        <v>66</v>
      </c>
      <c r="C20985" s="4" t="str">
        <f t="shared" si="1411"/>
        <v>TCGA-UCEC</v>
      </c>
      <c r="D20985" s="1" t="s">
        <v>493</v>
      </c>
      <c r="E20985" t="s">
        <v>598</v>
      </c>
      <c r="F20985" s="1">
        <v>2</v>
      </c>
      <c r="G20985" s="1" t="s">
        <v>32</v>
      </c>
      <c r="H20985" s="4" t="str">
        <f>HYPERLINK("https://portal.gdc.cancer.gov/cases/233e947a-d5e2-48e5-a8ce-5da1abb20681","TCGA-B5-A0JV-01A")</f>
        <v>TCGA-B5-A0JV-01A</v>
      </c>
      <c r="I20985" t="s">
        <v>444</v>
      </c>
      <c r="J20985" t="s">
        <v>599</v>
      </c>
      <c r="K20985" t="s">
        <v>33</v>
      </c>
      <c r="L20985" t="s">
        <v>600</v>
      </c>
      <c r="N20985" t="s">
        <v>29</v>
      </c>
    </row>
    <row r="20986" spans="1:14">
      <c r="A20986" s="4" t="str">
        <f t="shared" si="1410"/>
        <v>EXP00451</v>
      </c>
      <c r="B20986" s="3" t="s">
        <v>66</v>
      </c>
      <c r="C20986" s="4" t="str">
        <f t="shared" si="1411"/>
        <v>TCGA-UCEC</v>
      </c>
      <c r="D20986" s="1" t="s">
        <v>493</v>
      </c>
      <c r="E20986" t="s">
        <v>598</v>
      </c>
      <c r="F20986" s="1">
        <v>2</v>
      </c>
      <c r="G20986" s="1" t="s">
        <v>32</v>
      </c>
      <c r="H20986" s="4" t="str">
        <f>HYPERLINK("https://portal.gdc.cancer.gov/cases/586d7b3f-67a8-4a22-862f-cf50de3c1598","TCGA-B5-A0JX-01A")</f>
        <v>TCGA-B5-A0JX-01A</v>
      </c>
      <c r="I20986" t="s">
        <v>444</v>
      </c>
      <c r="J20986" t="s">
        <v>599</v>
      </c>
      <c r="K20986" t="s">
        <v>33</v>
      </c>
      <c r="L20986" t="s">
        <v>600</v>
      </c>
      <c r="N20986" t="s">
        <v>29</v>
      </c>
    </row>
    <row r="20987" spans="1:14">
      <c r="A20987" s="4" t="str">
        <f t="shared" si="1410"/>
        <v>EXP00451</v>
      </c>
      <c r="B20987" s="3" t="s">
        <v>66</v>
      </c>
      <c r="C20987" s="4" t="str">
        <f t="shared" si="1411"/>
        <v>TCGA-UCEC</v>
      </c>
      <c r="D20987" s="1" t="s">
        <v>493</v>
      </c>
      <c r="E20987" t="s">
        <v>598</v>
      </c>
      <c r="F20987" s="1">
        <v>2</v>
      </c>
      <c r="G20987" s="1" t="s">
        <v>32</v>
      </c>
      <c r="H20987" s="4" t="str">
        <f>HYPERLINK("https://portal.gdc.cancer.gov/cases/61935424-44d0-4211-81c1-c925e436eac5","TCGA-B5-A0JY-01A")</f>
        <v>TCGA-B5-A0JY-01A</v>
      </c>
      <c r="I20987" t="s">
        <v>444</v>
      </c>
      <c r="J20987" t="s">
        <v>599</v>
      </c>
      <c r="K20987" t="s">
        <v>33</v>
      </c>
      <c r="L20987" t="s">
        <v>600</v>
      </c>
      <c r="N20987" t="s">
        <v>29</v>
      </c>
    </row>
    <row r="20988" spans="1:14">
      <c r="A20988" s="4" t="str">
        <f t="shared" si="1410"/>
        <v>EXP00451</v>
      </c>
      <c r="B20988" s="3" t="s">
        <v>66</v>
      </c>
      <c r="C20988" s="4" t="str">
        <f t="shared" si="1411"/>
        <v>TCGA-UCEC</v>
      </c>
      <c r="D20988" s="1" t="s">
        <v>493</v>
      </c>
      <c r="E20988" t="s">
        <v>598</v>
      </c>
      <c r="F20988" s="1">
        <v>2</v>
      </c>
      <c r="G20988" s="1" t="s">
        <v>32</v>
      </c>
      <c r="H20988" s="4" t="str">
        <f>HYPERLINK("https://portal.gdc.cancer.gov/cases/d129ebb4-db21-4342-8d9b-318a67aefa56","TCGA-B5-A0JZ-01A")</f>
        <v>TCGA-B5-A0JZ-01A</v>
      </c>
      <c r="I20988" t="s">
        <v>444</v>
      </c>
      <c r="J20988" t="s">
        <v>599</v>
      </c>
      <c r="K20988" t="s">
        <v>33</v>
      </c>
      <c r="L20988" t="s">
        <v>600</v>
      </c>
      <c r="N20988" t="s">
        <v>29</v>
      </c>
    </row>
    <row r="20989" spans="1:14">
      <c r="A20989" s="4" t="str">
        <f t="shared" si="1410"/>
        <v>EXP00451</v>
      </c>
      <c r="B20989" s="3" t="s">
        <v>66</v>
      </c>
      <c r="C20989" s="4" t="str">
        <f t="shared" si="1411"/>
        <v>TCGA-UCEC</v>
      </c>
      <c r="D20989" s="1" t="s">
        <v>493</v>
      </c>
      <c r="E20989" t="s">
        <v>598</v>
      </c>
      <c r="F20989" s="1">
        <v>2</v>
      </c>
      <c r="G20989" s="1" t="s">
        <v>32</v>
      </c>
      <c r="H20989" s="4" t="str">
        <f>HYPERLINK("https://portal.gdc.cancer.gov/cases/29c8f468-5ac1-4d6c-8376-e36e6d246926","TCGA-B5-A0K0-01A")</f>
        <v>TCGA-B5-A0K0-01A</v>
      </c>
      <c r="I20989" t="s">
        <v>444</v>
      </c>
      <c r="J20989" t="s">
        <v>599</v>
      </c>
      <c r="K20989" t="s">
        <v>33</v>
      </c>
      <c r="L20989" t="s">
        <v>600</v>
      </c>
      <c r="N20989" t="s">
        <v>29</v>
      </c>
    </row>
    <row r="20990" spans="1:14">
      <c r="A20990" s="4" t="str">
        <f t="shared" si="1410"/>
        <v>EXP00451</v>
      </c>
      <c r="B20990" s="3" t="s">
        <v>66</v>
      </c>
      <c r="C20990" s="4" t="str">
        <f t="shared" si="1411"/>
        <v>TCGA-UCEC</v>
      </c>
      <c r="D20990" s="1" t="s">
        <v>493</v>
      </c>
      <c r="E20990" t="s">
        <v>598</v>
      </c>
      <c r="F20990" s="1">
        <v>2</v>
      </c>
      <c r="G20990" s="1" t="s">
        <v>32</v>
      </c>
      <c r="H20990" s="4" t="str">
        <f>HYPERLINK("https://portal.gdc.cancer.gov/cases/40a3ed98-3892-449c-b07e-7b7612bd997e","TCGA-B5-A0K1-01A")</f>
        <v>TCGA-B5-A0K1-01A</v>
      </c>
      <c r="I20990" t="s">
        <v>444</v>
      </c>
      <c r="J20990" t="s">
        <v>599</v>
      </c>
      <c r="K20990" t="s">
        <v>33</v>
      </c>
      <c r="L20990" t="s">
        <v>600</v>
      </c>
      <c r="N20990" t="s">
        <v>29</v>
      </c>
    </row>
    <row r="20991" spans="1:14">
      <c r="A20991" s="4" t="str">
        <f t="shared" si="1410"/>
        <v>EXP00451</v>
      </c>
      <c r="B20991" s="3" t="s">
        <v>66</v>
      </c>
      <c r="C20991" s="4" t="str">
        <f t="shared" si="1411"/>
        <v>TCGA-UCEC</v>
      </c>
      <c r="D20991" s="1" t="s">
        <v>493</v>
      </c>
      <c r="E20991" t="s">
        <v>598</v>
      </c>
      <c r="F20991" s="1">
        <v>2</v>
      </c>
      <c r="G20991" s="1" t="s">
        <v>32</v>
      </c>
      <c r="H20991" s="4" t="str">
        <f>HYPERLINK("https://portal.gdc.cancer.gov/cases/a8079ea5-c37b-4f77-aca0-b043bf420675","TCGA-B5-A0K2-01A")</f>
        <v>TCGA-B5-A0K2-01A</v>
      </c>
      <c r="I20991" t="s">
        <v>444</v>
      </c>
      <c r="J20991" t="s">
        <v>599</v>
      </c>
      <c r="K20991" t="s">
        <v>33</v>
      </c>
      <c r="L20991" t="s">
        <v>600</v>
      </c>
      <c r="N20991" t="s">
        <v>29</v>
      </c>
    </row>
    <row r="20992" spans="1:14">
      <c r="A20992" s="4" t="str">
        <f t="shared" si="1410"/>
        <v>EXP00451</v>
      </c>
      <c r="B20992" s="3" t="s">
        <v>66</v>
      </c>
      <c r="C20992" s="4" t="str">
        <f t="shared" si="1411"/>
        <v>TCGA-UCEC</v>
      </c>
      <c r="D20992" s="1" t="s">
        <v>493</v>
      </c>
      <c r="E20992" t="s">
        <v>598</v>
      </c>
      <c r="F20992" s="1">
        <v>2</v>
      </c>
      <c r="G20992" s="1" t="s">
        <v>32</v>
      </c>
      <c r="H20992" s="4" t="str">
        <f>HYPERLINK("https://portal.gdc.cancer.gov/cases/79ecc142-8f6e-4260-a7ce-c8e2a6212c35","TCGA-B5-A0K3-01A")</f>
        <v>TCGA-B5-A0K3-01A</v>
      </c>
      <c r="I20992" t="s">
        <v>444</v>
      </c>
      <c r="J20992" t="s">
        <v>599</v>
      </c>
      <c r="K20992" t="s">
        <v>33</v>
      </c>
      <c r="L20992" t="s">
        <v>600</v>
      </c>
      <c r="N20992" t="s">
        <v>29</v>
      </c>
    </row>
    <row r="20993" spans="1:14">
      <c r="A20993" s="4" t="str">
        <f t="shared" si="1410"/>
        <v>EXP00451</v>
      </c>
      <c r="B20993" s="3" t="s">
        <v>66</v>
      </c>
      <c r="C20993" s="4" t="str">
        <f t="shared" si="1411"/>
        <v>TCGA-UCEC</v>
      </c>
      <c r="D20993" s="1" t="s">
        <v>493</v>
      </c>
      <c r="E20993" t="s">
        <v>598</v>
      </c>
      <c r="F20993" s="1">
        <v>2</v>
      </c>
      <c r="G20993" s="1" t="s">
        <v>32</v>
      </c>
      <c r="H20993" s="4" t="str">
        <f>HYPERLINK("https://portal.gdc.cancer.gov/cases/a8f38e37-978b-4435-b676-e8d4c34da909","TCGA-B5-A0K4-01A")</f>
        <v>TCGA-B5-A0K4-01A</v>
      </c>
      <c r="I20993" t="s">
        <v>444</v>
      </c>
      <c r="J20993" t="s">
        <v>599</v>
      </c>
      <c r="K20993" t="s">
        <v>33</v>
      </c>
      <c r="L20993" t="s">
        <v>600</v>
      </c>
      <c r="N20993" t="s">
        <v>29</v>
      </c>
    </row>
    <row r="20994" spans="1:14">
      <c r="A20994" s="4" t="str">
        <f t="shared" si="1410"/>
        <v>EXP00451</v>
      </c>
      <c r="B20994" s="3" t="s">
        <v>66</v>
      </c>
      <c r="C20994" s="4" t="str">
        <f t="shared" si="1411"/>
        <v>TCGA-UCEC</v>
      </c>
      <c r="D20994" s="1" t="s">
        <v>493</v>
      </c>
      <c r="E20994" t="s">
        <v>598</v>
      </c>
      <c r="F20994" s="1">
        <v>2</v>
      </c>
      <c r="G20994" s="1" t="s">
        <v>32</v>
      </c>
      <c r="H20994" s="4" t="str">
        <f>HYPERLINK("https://portal.gdc.cancer.gov/cases/5cba9441-6812-49c0-a0f6-7928ed4e5b81","TCGA-B5-A0K6-01A")</f>
        <v>TCGA-B5-A0K6-01A</v>
      </c>
      <c r="I20994" t="s">
        <v>444</v>
      </c>
      <c r="J20994" t="s">
        <v>599</v>
      </c>
      <c r="K20994" t="s">
        <v>33</v>
      </c>
      <c r="L20994" t="s">
        <v>600</v>
      </c>
      <c r="N20994" t="s">
        <v>29</v>
      </c>
    </row>
    <row r="20995" spans="1:14">
      <c r="A20995" s="4" t="str">
        <f t="shared" si="1410"/>
        <v>EXP00451</v>
      </c>
      <c r="B20995" s="3" t="s">
        <v>66</v>
      </c>
      <c r="C20995" s="4" t="str">
        <f t="shared" si="1411"/>
        <v>TCGA-UCEC</v>
      </c>
      <c r="D20995" s="1" t="s">
        <v>493</v>
      </c>
      <c r="E20995" t="s">
        <v>598</v>
      </c>
      <c r="F20995" s="1">
        <v>2</v>
      </c>
      <c r="G20995" s="1" t="s">
        <v>32</v>
      </c>
      <c r="H20995" s="4" t="str">
        <f>HYPERLINK("https://portal.gdc.cancer.gov/cases/2f0640bc-598c-4714-9e9b-7e0f2ca4567f","TCGA-B5-A0K7-01A")</f>
        <v>TCGA-B5-A0K7-01A</v>
      </c>
      <c r="I20995" t="s">
        <v>444</v>
      </c>
      <c r="J20995" t="s">
        <v>599</v>
      </c>
      <c r="K20995" t="s">
        <v>33</v>
      </c>
      <c r="L20995" t="s">
        <v>600</v>
      </c>
      <c r="N20995" t="s">
        <v>29</v>
      </c>
    </row>
    <row r="20996" spans="1:14">
      <c r="A20996" s="4" t="str">
        <f t="shared" si="1410"/>
        <v>EXP00451</v>
      </c>
      <c r="B20996" s="3" t="s">
        <v>66</v>
      </c>
      <c r="C20996" s="4" t="str">
        <f t="shared" si="1411"/>
        <v>TCGA-UCEC</v>
      </c>
      <c r="D20996" s="1" t="s">
        <v>493</v>
      </c>
      <c r="E20996" t="s">
        <v>598</v>
      </c>
      <c r="F20996" s="1">
        <v>2</v>
      </c>
      <c r="G20996" s="1" t="s">
        <v>32</v>
      </c>
      <c r="H20996" s="4" t="str">
        <f>HYPERLINK("https://portal.gdc.cancer.gov/cases/24118b8f-59fe-482a-aed3-7b1bde1571b7","TCGA-B5-A0K8-01A")</f>
        <v>TCGA-B5-A0K8-01A</v>
      </c>
      <c r="I20996" t="s">
        <v>444</v>
      </c>
      <c r="J20996" t="s">
        <v>599</v>
      </c>
      <c r="K20996" t="s">
        <v>33</v>
      </c>
      <c r="L20996" t="s">
        <v>600</v>
      </c>
      <c r="N20996" t="s">
        <v>29</v>
      </c>
    </row>
    <row r="20997" spans="1:14">
      <c r="A20997" s="4" t="str">
        <f t="shared" si="1410"/>
        <v>EXP00451</v>
      </c>
      <c r="B20997" s="3" t="s">
        <v>66</v>
      </c>
      <c r="C20997" s="4" t="str">
        <f t="shared" si="1411"/>
        <v>TCGA-UCEC</v>
      </c>
      <c r="D20997" s="1" t="s">
        <v>493</v>
      </c>
      <c r="E20997" t="s">
        <v>598</v>
      </c>
      <c r="F20997" s="1">
        <v>2</v>
      </c>
      <c r="G20997" s="1" t="s">
        <v>32</v>
      </c>
      <c r="H20997" s="4" t="str">
        <f>HYPERLINK("https://portal.gdc.cancer.gov/cases/4485cc98-5d58-4eb4-8325-7d1a617b6461","TCGA-B5-A0K9-01A")</f>
        <v>TCGA-B5-A0K9-01A</v>
      </c>
      <c r="I20997" t="s">
        <v>444</v>
      </c>
      <c r="J20997" t="s">
        <v>599</v>
      </c>
      <c r="K20997" t="s">
        <v>33</v>
      </c>
      <c r="L20997" t="s">
        <v>600</v>
      </c>
      <c r="N20997" t="s">
        <v>29</v>
      </c>
    </row>
    <row r="20998" spans="1:14">
      <c r="A20998" s="4" t="str">
        <f t="shared" si="1410"/>
        <v>EXP00451</v>
      </c>
      <c r="B20998" s="3" t="s">
        <v>66</v>
      </c>
      <c r="C20998" s="4" t="str">
        <f t="shared" si="1411"/>
        <v>TCGA-UCEC</v>
      </c>
      <c r="D20998" s="1" t="s">
        <v>493</v>
      </c>
      <c r="E20998" t="s">
        <v>598</v>
      </c>
      <c r="F20998" s="1">
        <v>2</v>
      </c>
      <c r="G20998" s="1" t="s">
        <v>32</v>
      </c>
      <c r="H20998" s="4" t="str">
        <f>HYPERLINK("https://portal.gdc.cancer.gov/cases/e604f5d4-f2c0-4404-9073-b8dbc8396778","TCGA-B5-A0KB-01B")</f>
        <v>TCGA-B5-A0KB-01B</v>
      </c>
      <c r="I20998" t="s">
        <v>444</v>
      </c>
      <c r="J20998" t="s">
        <v>599</v>
      </c>
      <c r="K20998" t="s">
        <v>33</v>
      </c>
      <c r="L20998" t="s">
        <v>600</v>
      </c>
      <c r="N20998" t="s">
        <v>29</v>
      </c>
    </row>
    <row r="20999" spans="1:14">
      <c r="A20999" s="4" t="str">
        <f t="shared" si="1410"/>
        <v>EXP00451</v>
      </c>
      <c r="B20999" s="3" t="s">
        <v>66</v>
      </c>
      <c r="C20999" s="4" t="str">
        <f t="shared" si="1411"/>
        <v>TCGA-UCEC</v>
      </c>
      <c r="D20999" s="1" t="s">
        <v>493</v>
      </c>
      <c r="E20999" t="s">
        <v>598</v>
      </c>
      <c r="F20999" s="1">
        <v>2</v>
      </c>
      <c r="G20999" s="1" t="s">
        <v>32</v>
      </c>
      <c r="H20999" s="4" t="str">
        <f>HYPERLINK("https://portal.gdc.cancer.gov/cases/38a3ea92-8965-4bda-9dbd-144832975cdd","TCGA-B5-A11E-01A")</f>
        <v>TCGA-B5-A11E-01A</v>
      </c>
      <c r="I20999" t="s">
        <v>444</v>
      </c>
      <c r="J20999" t="s">
        <v>599</v>
      </c>
      <c r="K20999" t="s">
        <v>33</v>
      </c>
      <c r="L20999" t="s">
        <v>600</v>
      </c>
      <c r="N20999" t="s">
        <v>29</v>
      </c>
    </row>
    <row r="21000" spans="1:14">
      <c r="A21000" s="4" t="str">
        <f t="shared" si="1410"/>
        <v>EXP00451</v>
      </c>
      <c r="B21000" s="3" t="s">
        <v>66</v>
      </c>
      <c r="C21000" s="4" t="str">
        <f t="shared" si="1411"/>
        <v>TCGA-UCEC</v>
      </c>
      <c r="D21000" s="1" t="s">
        <v>493</v>
      </c>
      <c r="E21000" t="s">
        <v>598</v>
      </c>
      <c r="F21000" s="1">
        <v>2</v>
      </c>
      <c r="G21000" s="1" t="s">
        <v>32</v>
      </c>
      <c r="H21000" s="4" t="str">
        <f>HYPERLINK("https://portal.gdc.cancer.gov/cases/3ea53b15-37f0-446e-a130-6bb2dee56865","TCGA-B5-A11F-01A")</f>
        <v>TCGA-B5-A11F-01A</v>
      </c>
      <c r="I21000" t="s">
        <v>444</v>
      </c>
      <c r="J21000" t="s">
        <v>599</v>
      </c>
      <c r="K21000" t="s">
        <v>33</v>
      </c>
      <c r="L21000" t="s">
        <v>600</v>
      </c>
      <c r="N21000" t="s">
        <v>29</v>
      </c>
    </row>
    <row r="21001" spans="1:14">
      <c r="A21001" s="4" t="str">
        <f t="shared" si="1410"/>
        <v>EXP00451</v>
      </c>
      <c r="B21001" s="3" t="s">
        <v>66</v>
      </c>
      <c r="C21001" s="4" t="str">
        <f t="shared" si="1411"/>
        <v>TCGA-UCEC</v>
      </c>
      <c r="D21001" s="1" t="s">
        <v>493</v>
      </c>
      <c r="E21001" t="s">
        <v>598</v>
      </c>
      <c r="F21001" s="1">
        <v>2</v>
      </c>
      <c r="G21001" s="1" t="s">
        <v>32</v>
      </c>
      <c r="H21001" s="4" t="str">
        <f>HYPERLINK("https://portal.gdc.cancer.gov/cases/d2aa7d70-a25f-4a9e-9d52-37e372461824","TCGA-B5-A11G-01A")</f>
        <v>TCGA-B5-A11G-01A</v>
      </c>
      <c r="I21001" t="s">
        <v>444</v>
      </c>
      <c r="J21001" t="s">
        <v>599</v>
      </c>
      <c r="K21001" t="s">
        <v>33</v>
      </c>
      <c r="L21001" t="s">
        <v>600</v>
      </c>
      <c r="N21001" t="s">
        <v>29</v>
      </c>
    </row>
    <row r="21002" spans="1:14">
      <c r="A21002" s="4" t="str">
        <f t="shared" si="1410"/>
        <v>EXP00451</v>
      </c>
      <c r="B21002" s="3" t="s">
        <v>66</v>
      </c>
      <c r="C21002" s="4" t="str">
        <f t="shared" si="1411"/>
        <v>TCGA-UCEC</v>
      </c>
      <c r="D21002" s="1" t="s">
        <v>493</v>
      </c>
      <c r="E21002" t="s">
        <v>598</v>
      </c>
      <c r="F21002" s="1">
        <v>2</v>
      </c>
      <c r="G21002" s="1" t="s">
        <v>32</v>
      </c>
      <c r="H21002" s="4" t="str">
        <f>HYPERLINK("https://portal.gdc.cancer.gov/cases/dee43082-4aa7-4650-981c-a779e9fe7b55","TCGA-B5-A11H-01A")</f>
        <v>TCGA-B5-A11H-01A</v>
      </c>
      <c r="I21002" t="s">
        <v>444</v>
      </c>
      <c r="J21002" t="s">
        <v>599</v>
      </c>
      <c r="K21002" t="s">
        <v>33</v>
      </c>
      <c r="L21002" t="s">
        <v>600</v>
      </c>
      <c r="N21002" t="s">
        <v>29</v>
      </c>
    </row>
    <row r="21003" spans="1:14">
      <c r="A21003" s="4" t="str">
        <f t="shared" si="1410"/>
        <v>EXP00451</v>
      </c>
      <c r="B21003" s="3" t="s">
        <v>66</v>
      </c>
      <c r="C21003" s="4" t="str">
        <f t="shared" si="1411"/>
        <v>TCGA-UCEC</v>
      </c>
      <c r="D21003" s="1" t="s">
        <v>493</v>
      </c>
      <c r="E21003" t="s">
        <v>598</v>
      </c>
      <c r="F21003" s="1">
        <v>2</v>
      </c>
      <c r="G21003" s="1" t="s">
        <v>32</v>
      </c>
      <c r="H21003" s="4" t="str">
        <f>HYPERLINK("https://portal.gdc.cancer.gov/cases/f6d136c7-c250-4361-9fed-50f513959a40","TCGA-B5-A11I-01A")</f>
        <v>TCGA-B5-A11I-01A</v>
      </c>
      <c r="I21003" t="s">
        <v>444</v>
      </c>
      <c r="J21003" t="s">
        <v>599</v>
      </c>
      <c r="K21003" t="s">
        <v>33</v>
      </c>
      <c r="L21003" t="s">
        <v>600</v>
      </c>
      <c r="N21003" t="s">
        <v>29</v>
      </c>
    </row>
    <row r="21004" spans="1:14">
      <c r="A21004" s="4" t="str">
        <f t="shared" si="1410"/>
        <v>EXP00451</v>
      </c>
      <c r="B21004" s="3" t="s">
        <v>66</v>
      </c>
      <c r="C21004" s="4" t="str">
        <f t="shared" si="1411"/>
        <v>TCGA-UCEC</v>
      </c>
      <c r="D21004" s="1" t="s">
        <v>493</v>
      </c>
      <c r="E21004" t="s">
        <v>598</v>
      </c>
      <c r="F21004" s="1">
        <v>2</v>
      </c>
      <c r="G21004" s="1" t="s">
        <v>32</v>
      </c>
      <c r="H21004" s="4" t="str">
        <f>HYPERLINK("https://portal.gdc.cancer.gov/cases/027b2a29-2fad-4ca8-a7cd-eb913d0205f8","TCGA-B5-A11J-01A")</f>
        <v>TCGA-B5-A11J-01A</v>
      </c>
      <c r="I21004" t="s">
        <v>444</v>
      </c>
      <c r="J21004" t="s">
        <v>599</v>
      </c>
      <c r="K21004" t="s">
        <v>33</v>
      </c>
      <c r="L21004" t="s">
        <v>600</v>
      </c>
      <c r="N21004" t="s">
        <v>29</v>
      </c>
    </row>
    <row r="21005" spans="1:14">
      <c r="A21005" s="4" t="str">
        <f t="shared" si="1410"/>
        <v>EXP00451</v>
      </c>
      <c r="B21005" s="3" t="s">
        <v>66</v>
      </c>
      <c r="C21005" s="4" t="str">
        <f t="shared" si="1411"/>
        <v>TCGA-UCEC</v>
      </c>
      <c r="D21005" s="1" t="s">
        <v>493</v>
      </c>
      <c r="E21005" t="s">
        <v>598</v>
      </c>
      <c r="F21005" s="1">
        <v>2</v>
      </c>
      <c r="G21005" s="1" t="s">
        <v>32</v>
      </c>
      <c r="H21005" s="4" t="str">
        <f>HYPERLINK("https://portal.gdc.cancer.gov/cases/07b24a23-3d9f-4591-800f-8738cc232f9a","TCGA-B5-A11L-01B")</f>
        <v>TCGA-B5-A11L-01B</v>
      </c>
      <c r="I21005" t="s">
        <v>444</v>
      </c>
      <c r="J21005" t="s">
        <v>599</v>
      </c>
      <c r="K21005" t="s">
        <v>33</v>
      </c>
      <c r="L21005" t="s">
        <v>600</v>
      </c>
      <c r="N21005" t="s">
        <v>29</v>
      </c>
    </row>
    <row r="21006" spans="1:14">
      <c r="A21006" s="4" t="str">
        <f t="shared" si="1410"/>
        <v>EXP00451</v>
      </c>
      <c r="B21006" s="3" t="s">
        <v>66</v>
      </c>
      <c r="C21006" s="4" t="str">
        <f t="shared" si="1411"/>
        <v>TCGA-UCEC</v>
      </c>
      <c r="D21006" s="1" t="s">
        <v>493</v>
      </c>
      <c r="E21006" t="s">
        <v>598</v>
      </c>
      <c r="F21006" s="1">
        <v>2</v>
      </c>
      <c r="G21006" s="1" t="s">
        <v>32</v>
      </c>
      <c r="H21006" s="4" t="str">
        <f>HYPERLINK("https://portal.gdc.cancer.gov/cases/fd370e9d-2719-45e0-b8f1-048ed1ee602f","TCGA-B5-A11M-01A")</f>
        <v>TCGA-B5-A11M-01A</v>
      </c>
      <c r="I21006" t="s">
        <v>444</v>
      </c>
      <c r="J21006" t="s">
        <v>599</v>
      </c>
      <c r="K21006" t="s">
        <v>33</v>
      </c>
      <c r="L21006" t="s">
        <v>600</v>
      </c>
      <c r="N21006" t="s">
        <v>29</v>
      </c>
    </row>
    <row r="21007" spans="1:14">
      <c r="A21007" s="4" t="str">
        <f t="shared" si="1410"/>
        <v>EXP00451</v>
      </c>
      <c r="B21007" s="3" t="s">
        <v>66</v>
      </c>
      <c r="C21007" s="4" t="str">
        <f t="shared" si="1411"/>
        <v>TCGA-UCEC</v>
      </c>
      <c r="D21007" s="1" t="s">
        <v>493</v>
      </c>
      <c r="E21007" t="s">
        <v>598</v>
      </c>
      <c r="F21007" s="1">
        <v>2</v>
      </c>
      <c r="G21007" s="1" t="s">
        <v>32</v>
      </c>
      <c r="H21007" s="4" t="str">
        <f>HYPERLINK("https://portal.gdc.cancer.gov/cases/ca594f56-9c68-4b7e-84b2-669f1004e3a4","TCGA-B5-A11N-01A")</f>
        <v>TCGA-B5-A11N-01A</v>
      </c>
      <c r="I21007" t="s">
        <v>444</v>
      </c>
      <c r="J21007" t="s">
        <v>599</v>
      </c>
      <c r="K21007" t="s">
        <v>33</v>
      </c>
      <c r="L21007" t="s">
        <v>600</v>
      </c>
      <c r="N21007" t="s">
        <v>29</v>
      </c>
    </row>
    <row r="21008" spans="1:14">
      <c r="A21008" s="4" t="str">
        <f t="shared" si="1410"/>
        <v>EXP00451</v>
      </c>
      <c r="B21008" s="3" t="s">
        <v>66</v>
      </c>
      <c r="C21008" s="4" t="str">
        <f t="shared" si="1411"/>
        <v>TCGA-UCEC</v>
      </c>
      <c r="D21008" s="1" t="s">
        <v>493</v>
      </c>
      <c r="E21008" t="s">
        <v>598</v>
      </c>
      <c r="F21008" s="1">
        <v>2</v>
      </c>
      <c r="G21008" s="1" t="s">
        <v>32</v>
      </c>
      <c r="H21008" s="4" t="str">
        <f>HYPERLINK("https://portal.gdc.cancer.gov/cases/a59a79fd-433d-44dc-9601-4c63d599ab28","TCGA-B5-A11O-01A")</f>
        <v>TCGA-B5-A11O-01A</v>
      </c>
      <c r="I21008" t="s">
        <v>444</v>
      </c>
      <c r="J21008" t="s">
        <v>599</v>
      </c>
      <c r="K21008" t="s">
        <v>33</v>
      </c>
      <c r="L21008" t="s">
        <v>600</v>
      </c>
      <c r="N21008" t="s">
        <v>29</v>
      </c>
    </row>
    <row r="21009" spans="1:14">
      <c r="A21009" s="4" t="str">
        <f t="shared" si="1410"/>
        <v>EXP00451</v>
      </c>
      <c r="B21009" s="3" t="s">
        <v>66</v>
      </c>
      <c r="C21009" s="4" t="str">
        <f t="shared" si="1411"/>
        <v>TCGA-UCEC</v>
      </c>
      <c r="D21009" s="1" t="s">
        <v>493</v>
      </c>
      <c r="E21009" t="s">
        <v>598</v>
      </c>
      <c r="F21009" s="1">
        <v>2</v>
      </c>
      <c r="G21009" s="1" t="s">
        <v>32</v>
      </c>
      <c r="H21009" s="4" t="str">
        <f>HYPERLINK("https://portal.gdc.cancer.gov/cases/d1c65e6a-098e-4c10-9183-c303ba66015a","TCGA-B5-A11P-01B")</f>
        <v>TCGA-B5-A11P-01B</v>
      </c>
      <c r="I21009" t="s">
        <v>444</v>
      </c>
      <c r="J21009" t="s">
        <v>599</v>
      </c>
      <c r="K21009" t="s">
        <v>33</v>
      </c>
      <c r="L21009" t="s">
        <v>600</v>
      </c>
      <c r="N21009" t="s">
        <v>29</v>
      </c>
    </row>
    <row r="21010" spans="1:14">
      <c r="A21010" s="4" t="str">
        <f t="shared" si="1410"/>
        <v>EXP00451</v>
      </c>
      <c r="B21010" s="3" t="s">
        <v>66</v>
      </c>
      <c r="C21010" s="4" t="str">
        <f t="shared" si="1411"/>
        <v>TCGA-UCEC</v>
      </c>
      <c r="D21010" s="1" t="s">
        <v>493</v>
      </c>
      <c r="E21010" t="s">
        <v>598</v>
      </c>
      <c r="F21010" s="1">
        <v>2</v>
      </c>
      <c r="G21010" s="1" t="s">
        <v>32</v>
      </c>
      <c r="H21010" s="4" t="str">
        <f>HYPERLINK("https://portal.gdc.cancer.gov/cases/af852215-5a4b-44b4-8e8e-b887dcb3cf8c","TCGA-B5-A11Q-01A")</f>
        <v>TCGA-B5-A11Q-01A</v>
      </c>
      <c r="I21010" t="s">
        <v>444</v>
      </c>
      <c r="J21010" t="s">
        <v>599</v>
      </c>
      <c r="K21010" t="s">
        <v>33</v>
      </c>
      <c r="L21010" t="s">
        <v>600</v>
      </c>
      <c r="N21010" t="s">
        <v>29</v>
      </c>
    </row>
    <row r="21011" spans="1:14">
      <c r="A21011" s="4" t="str">
        <f t="shared" si="1410"/>
        <v>EXP00451</v>
      </c>
      <c r="B21011" s="3" t="s">
        <v>66</v>
      </c>
      <c r="C21011" s="4" t="str">
        <f t="shared" si="1411"/>
        <v>TCGA-UCEC</v>
      </c>
      <c r="D21011" s="1" t="s">
        <v>493</v>
      </c>
      <c r="E21011" t="s">
        <v>598</v>
      </c>
      <c r="F21011" s="1">
        <v>2</v>
      </c>
      <c r="G21011" s="1" t="s">
        <v>32</v>
      </c>
      <c r="H21011" s="4" t="str">
        <f>HYPERLINK("https://portal.gdc.cancer.gov/cases/f04befed-6c81-4676-8715-b8c6a33cb9d1","TCGA-B5-A11R-01A")</f>
        <v>TCGA-B5-A11R-01A</v>
      </c>
      <c r="I21011" t="s">
        <v>444</v>
      </c>
      <c r="J21011" t="s">
        <v>599</v>
      </c>
      <c r="K21011" t="s">
        <v>33</v>
      </c>
      <c r="L21011" t="s">
        <v>600</v>
      </c>
      <c r="N21011" t="s">
        <v>29</v>
      </c>
    </row>
    <row r="21012" spans="1:14">
      <c r="A21012" s="4" t="str">
        <f t="shared" si="1410"/>
        <v>EXP00451</v>
      </c>
      <c r="B21012" s="3" t="s">
        <v>66</v>
      </c>
      <c r="C21012" s="4" t="str">
        <f t="shared" si="1411"/>
        <v>TCGA-UCEC</v>
      </c>
      <c r="D21012" s="1" t="s">
        <v>493</v>
      </c>
      <c r="E21012" t="s">
        <v>598</v>
      </c>
      <c r="F21012" s="1">
        <v>2</v>
      </c>
      <c r="G21012" s="1" t="s">
        <v>32</v>
      </c>
      <c r="H21012" s="4" t="str">
        <f>HYPERLINK("https://portal.gdc.cancer.gov/cases/cfd096ac-4d0f-4b89-8822-00656bc7f516","TCGA-B5-A11S-01A")</f>
        <v>TCGA-B5-A11S-01A</v>
      </c>
      <c r="I21012" t="s">
        <v>444</v>
      </c>
      <c r="J21012" t="s">
        <v>599</v>
      </c>
      <c r="K21012" t="s">
        <v>33</v>
      </c>
      <c r="L21012" t="s">
        <v>600</v>
      </c>
      <c r="N21012" t="s">
        <v>29</v>
      </c>
    </row>
    <row r="21013" spans="1:14">
      <c r="A21013" s="4" t="str">
        <f t="shared" si="1410"/>
        <v>EXP00451</v>
      </c>
      <c r="B21013" s="3" t="s">
        <v>66</v>
      </c>
      <c r="C21013" s="4" t="str">
        <f t="shared" si="1411"/>
        <v>TCGA-UCEC</v>
      </c>
      <c r="D21013" s="1" t="s">
        <v>493</v>
      </c>
      <c r="E21013" t="s">
        <v>598</v>
      </c>
      <c r="F21013" s="1">
        <v>2</v>
      </c>
      <c r="G21013" s="1" t="s">
        <v>32</v>
      </c>
      <c r="H21013" s="4" t="str">
        <f>HYPERLINK("https://portal.gdc.cancer.gov/cases/0b672aa4-fc13-476f-b61e-5f2c3a615c23","TCGA-B5-A11U-01A")</f>
        <v>TCGA-B5-A11U-01A</v>
      </c>
      <c r="I21013" t="s">
        <v>444</v>
      </c>
      <c r="J21013" t="s">
        <v>599</v>
      </c>
      <c r="K21013" t="s">
        <v>33</v>
      </c>
      <c r="L21013" t="s">
        <v>600</v>
      </c>
      <c r="N21013" t="s">
        <v>29</v>
      </c>
    </row>
    <row r="21014" spans="1:14">
      <c r="A21014" s="4" t="str">
        <f t="shared" si="1410"/>
        <v>EXP00451</v>
      </c>
      <c r="B21014" s="3" t="s">
        <v>66</v>
      </c>
      <c r="C21014" s="4" t="str">
        <f t="shared" si="1411"/>
        <v>TCGA-UCEC</v>
      </c>
      <c r="D21014" s="1" t="s">
        <v>493</v>
      </c>
      <c r="E21014" t="s">
        <v>598</v>
      </c>
      <c r="F21014" s="1">
        <v>2</v>
      </c>
      <c r="G21014" s="1" t="s">
        <v>32</v>
      </c>
      <c r="H21014" s="4" t="str">
        <f>HYPERLINK("https://portal.gdc.cancer.gov/cases/d3c83c5e-acb1-4cb0-8f56-96341822582f","TCGA-B5-A11V-01A")</f>
        <v>TCGA-B5-A11V-01A</v>
      </c>
      <c r="I21014" t="s">
        <v>444</v>
      </c>
      <c r="J21014" t="s">
        <v>599</v>
      </c>
      <c r="K21014" t="s">
        <v>33</v>
      </c>
      <c r="L21014" t="s">
        <v>600</v>
      </c>
      <c r="N21014" t="s">
        <v>29</v>
      </c>
    </row>
    <row r="21015" spans="1:14">
      <c r="A21015" s="4" t="str">
        <f t="shared" si="1410"/>
        <v>EXP00451</v>
      </c>
      <c r="B21015" s="3" t="s">
        <v>66</v>
      </c>
      <c r="C21015" s="4" t="str">
        <f t="shared" si="1411"/>
        <v>TCGA-UCEC</v>
      </c>
      <c r="D21015" s="1" t="s">
        <v>493</v>
      </c>
      <c r="E21015" t="s">
        <v>598</v>
      </c>
      <c r="F21015" s="1">
        <v>2</v>
      </c>
      <c r="G21015" s="1" t="s">
        <v>32</v>
      </c>
      <c r="H21015" s="4" t="str">
        <f>HYPERLINK("https://portal.gdc.cancer.gov/cases/f5bd3902-ff7f-4233-8f74-beef3676af9a","TCGA-B5-A11W-01A")</f>
        <v>TCGA-B5-A11W-01A</v>
      </c>
      <c r="I21015" t="s">
        <v>444</v>
      </c>
      <c r="J21015" t="s">
        <v>599</v>
      </c>
      <c r="K21015" t="s">
        <v>33</v>
      </c>
      <c r="L21015" t="s">
        <v>600</v>
      </c>
      <c r="N21015" t="s">
        <v>29</v>
      </c>
    </row>
    <row r="21016" spans="1:14">
      <c r="A21016" s="4" t="str">
        <f t="shared" si="1410"/>
        <v>EXP00451</v>
      </c>
      <c r="B21016" s="3" t="s">
        <v>66</v>
      </c>
      <c r="C21016" s="4" t="str">
        <f t="shared" si="1411"/>
        <v>TCGA-UCEC</v>
      </c>
      <c r="D21016" s="1" t="s">
        <v>493</v>
      </c>
      <c r="E21016" t="s">
        <v>598</v>
      </c>
      <c r="F21016" s="1">
        <v>2</v>
      </c>
      <c r="G21016" s="1" t="s">
        <v>32</v>
      </c>
      <c r="H21016" s="4" t="str">
        <f>HYPERLINK("https://portal.gdc.cancer.gov/cases/f70a64a8-3faa-468a-a6f3-4815eb01e5a3","TCGA-B5-A11X-01A")</f>
        <v>TCGA-B5-A11X-01A</v>
      </c>
      <c r="I21016" t="s">
        <v>444</v>
      </c>
      <c r="J21016" t="s">
        <v>599</v>
      </c>
      <c r="K21016" t="s">
        <v>33</v>
      </c>
      <c r="L21016" t="s">
        <v>600</v>
      </c>
      <c r="N21016" t="s">
        <v>29</v>
      </c>
    </row>
    <row r="21017" spans="1:14">
      <c r="A21017" s="4" t="str">
        <f t="shared" si="1410"/>
        <v>EXP00451</v>
      </c>
      <c r="B21017" s="3" t="s">
        <v>66</v>
      </c>
      <c r="C21017" s="4" t="str">
        <f t="shared" si="1411"/>
        <v>TCGA-UCEC</v>
      </c>
      <c r="D21017" s="1" t="s">
        <v>493</v>
      </c>
      <c r="E21017" t="s">
        <v>598</v>
      </c>
      <c r="F21017" s="1">
        <v>2</v>
      </c>
      <c r="G21017" s="1" t="s">
        <v>32</v>
      </c>
      <c r="H21017" s="4" t="str">
        <f>HYPERLINK("https://portal.gdc.cancer.gov/cases/c0db966b-1024-4ee3-899a-f12e3c71a42c","TCGA-B5-A11Y-01A")</f>
        <v>TCGA-B5-A11Y-01A</v>
      </c>
      <c r="I21017" t="s">
        <v>444</v>
      </c>
      <c r="J21017" t="s">
        <v>599</v>
      </c>
      <c r="K21017" t="s">
        <v>33</v>
      </c>
      <c r="L21017" t="s">
        <v>600</v>
      </c>
      <c r="N21017" t="s">
        <v>29</v>
      </c>
    </row>
    <row r="21018" spans="1:14">
      <c r="A21018" s="4" t="str">
        <f t="shared" si="1410"/>
        <v>EXP00451</v>
      </c>
      <c r="B21018" s="3" t="s">
        <v>66</v>
      </c>
      <c r="C21018" s="4" t="str">
        <f t="shared" si="1411"/>
        <v>TCGA-UCEC</v>
      </c>
      <c r="D21018" s="1" t="s">
        <v>493</v>
      </c>
      <c r="E21018" t="s">
        <v>598</v>
      </c>
      <c r="F21018" s="1">
        <v>2</v>
      </c>
      <c r="G21018" s="1" t="s">
        <v>32</v>
      </c>
      <c r="H21018" s="4" t="str">
        <f>HYPERLINK("https://portal.gdc.cancer.gov/cases/cc141997-edab-4aae-a056-0c079eaa7362","TCGA-B5-A11Z-01A")</f>
        <v>TCGA-B5-A11Z-01A</v>
      </c>
      <c r="I21018" t="s">
        <v>444</v>
      </c>
      <c r="J21018" t="s">
        <v>599</v>
      </c>
      <c r="K21018" t="s">
        <v>33</v>
      </c>
      <c r="L21018" t="s">
        <v>600</v>
      </c>
      <c r="N21018" t="s">
        <v>29</v>
      </c>
    </row>
    <row r="21019" spans="1:14">
      <c r="A21019" s="4" t="str">
        <f t="shared" si="1410"/>
        <v>EXP00451</v>
      </c>
      <c r="B21019" s="3" t="s">
        <v>66</v>
      </c>
      <c r="C21019" s="4" t="str">
        <f t="shared" si="1411"/>
        <v>TCGA-UCEC</v>
      </c>
      <c r="D21019" s="1" t="s">
        <v>493</v>
      </c>
      <c r="E21019" t="s">
        <v>598</v>
      </c>
      <c r="F21019" s="1">
        <v>2</v>
      </c>
      <c r="G21019" s="1" t="s">
        <v>32</v>
      </c>
      <c r="H21019" s="4" t="str">
        <f>HYPERLINK("https://portal.gdc.cancer.gov/cases/19511f9e-7b0e-4a06-998d-c1837d37c6ec","TCGA-B5-A121-01A")</f>
        <v>TCGA-B5-A121-01A</v>
      </c>
      <c r="I21019" t="s">
        <v>444</v>
      </c>
      <c r="J21019" t="s">
        <v>599</v>
      </c>
      <c r="K21019" t="s">
        <v>33</v>
      </c>
      <c r="L21019" t="s">
        <v>600</v>
      </c>
      <c r="N21019" t="s">
        <v>29</v>
      </c>
    </row>
    <row r="21020" spans="1:14">
      <c r="A21020" s="4" t="str">
        <f t="shared" si="1410"/>
        <v>EXP00451</v>
      </c>
      <c r="B21020" s="3" t="s">
        <v>66</v>
      </c>
      <c r="C21020" s="4" t="str">
        <f t="shared" si="1411"/>
        <v>TCGA-UCEC</v>
      </c>
      <c r="D21020" s="1" t="s">
        <v>493</v>
      </c>
      <c r="E21020" t="s">
        <v>598</v>
      </c>
      <c r="F21020" s="1">
        <v>2</v>
      </c>
      <c r="G21020" s="1" t="s">
        <v>32</v>
      </c>
      <c r="H21020" s="4" t="str">
        <f>HYPERLINK("https://portal.gdc.cancer.gov/cases/02af18ee-ab8e-4ac3-b22e-dec80c201058","TCGA-B5-A1MR-01A")</f>
        <v>TCGA-B5-A1MR-01A</v>
      </c>
      <c r="I21020" t="s">
        <v>444</v>
      </c>
      <c r="J21020" t="s">
        <v>599</v>
      </c>
      <c r="K21020" t="s">
        <v>33</v>
      </c>
      <c r="L21020" t="s">
        <v>600</v>
      </c>
      <c r="N21020" t="s">
        <v>29</v>
      </c>
    </row>
    <row r="21021" spans="1:14">
      <c r="A21021" s="4" t="str">
        <f t="shared" si="1410"/>
        <v>EXP00451</v>
      </c>
      <c r="B21021" s="3" t="s">
        <v>66</v>
      </c>
      <c r="C21021" s="4" t="str">
        <f t="shared" si="1411"/>
        <v>TCGA-UCEC</v>
      </c>
      <c r="D21021" s="1" t="s">
        <v>493</v>
      </c>
      <c r="E21021" t="s">
        <v>598</v>
      </c>
      <c r="F21021" s="1">
        <v>2</v>
      </c>
      <c r="G21021" s="1" t="s">
        <v>32</v>
      </c>
      <c r="H21021" s="4" t="str">
        <f>HYPERLINK("https://portal.gdc.cancer.gov/cases/b2aa0220-6387-4eea-b6d4-a4fa0f15b2d9","TCGA-B5-A1MS-01B")</f>
        <v>TCGA-B5-A1MS-01B</v>
      </c>
      <c r="I21021" t="s">
        <v>444</v>
      </c>
      <c r="J21021" t="s">
        <v>599</v>
      </c>
      <c r="K21021" t="s">
        <v>33</v>
      </c>
      <c r="L21021" t="s">
        <v>600</v>
      </c>
      <c r="N21021" t="s">
        <v>29</v>
      </c>
    </row>
    <row r="21022" spans="1:14">
      <c r="A21022" s="4" t="str">
        <f t="shared" si="1410"/>
        <v>EXP00451</v>
      </c>
      <c r="B21022" s="3" t="s">
        <v>66</v>
      </c>
      <c r="C21022" s="4" t="str">
        <f t="shared" si="1411"/>
        <v>TCGA-UCEC</v>
      </c>
      <c r="D21022" s="1" t="s">
        <v>493</v>
      </c>
      <c r="E21022" t="s">
        <v>598</v>
      </c>
      <c r="F21022" s="1">
        <v>2</v>
      </c>
      <c r="G21022" s="1" t="s">
        <v>32</v>
      </c>
      <c r="H21022" s="4" t="str">
        <f>HYPERLINK("https://portal.gdc.cancer.gov/cases/f5261330-596e-4632-a5a3-8d3a2aa5de38","TCGA-B5-A1MU-01A")</f>
        <v>TCGA-B5-A1MU-01A</v>
      </c>
      <c r="I21022" t="s">
        <v>444</v>
      </c>
      <c r="J21022" t="s">
        <v>599</v>
      </c>
      <c r="K21022" t="s">
        <v>33</v>
      </c>
      <c r="L21022" t="s">
        <v>600</v>
      </c>
      <c r="N21022" t="s">
        <v>29</v>
      </c>
    </row>
    <row r="21023" spans="1:14">
      <c r="A21023" s="4" t="str">
        <f t="shared" si="1410"/>
        <v>EXP00451</v>
      </c>
      <c r="B21023" s="3" t="s">
        <v>66</v>
      </c>
      <c r="C21023" s="4" t="str">
        <f t="shared" si="1411"/>
        <v>TCGA-UCEC</v>
      </c>
      <c r="D21023" s="1" t="s">
        <v>493</v>
      </c>
      <c r="E21023" t="s">
        <v>598</v>
      </c>
      <c r="F21023" s="1">
        <v>2</v>
      </c>
      <c r="G21023" s="1" t="s">
        <v>32</v>
      </c>
      <c r="H21023" s="4" t="str">
        <f>HYPERLINK("https://portal.gdc.cancer.gov/cases/0f36c3a2-0ba5-4c43-a3f0-78d125e5d0ac","TCGA-B5-A1MV-01A")</f>
        <v>TCGA-B5-A1MV-01A</v>
      </c>
      <c r="I21023" t="s">
        <v>444</v>
      </c>
      <c r="J21023" t="s">
        <v>599</v>
      </c>
      <c r="K21023" t="s">
        <v>33</v>
      </c>
      <c r="L21023" t="s">
        <v>600</v>
      </c>
      <c r="N21023" t="s">
        <v>29</v>
      </c>
    </row>
    <row r="21024" spans="1:14">
      <c r="A21024" s="4" t="str">
        <f t="shared" si="1410"/>
        <v>EXP00451</v>
      </c>
      <c r="B21024" s="3" t="s">
        <v>66</v>
      </c>
      <c r="C21024" s="4" t="str">
        <f t="shared" si="1411"/>
        <v>TCGA-UCEC</v>
      </c>
      <c r="D21024" s="1" t="s">
        <v>493</v>
      </c>
      <c r="E21024" t="s">
        <v>598</v>
      </c>
      <c r="F21024" s="1">
        <v>2</v>
      </c>
      <c r="G21024" s="1" t="s">
        <v>32</v>
      </c>
      <c r="H21024" s="4" t="str">
        <f>HYPERLINK("https://portal.gdc.cancer.gov/cases/e2b48d0d-57ca-400b-8598-55ef132e350e","TCGA-B5-A1MW-01A")</f>
        <v>TCGA-B5-A1MW-01A</v>
      </c>
      <c r="I21024" t="s">
        <v>444</v>
      </c>
      <c r="J21024" t="s">
        <v>599</v>
      </c>
      <c r="K21024" t="s">
        <v>33</v>
      </c>
      <c r="L21024" t="s">
        <v>600</v>
      </c>
      <c r="N21024" t="s">
        <v>29</v>
      </c>
    </row>
    <row r="21025" spans="1:14">
      <c r="A21025" s="4" t="str">
        <f t="shared" si="1410"/>
        <v>EXP00451</v>
      </c>
      <c r="B21025" s="3" t="s">
        <v>66</v>
      </c>
      <c r="C21025" s="4" t="str">
        <f t="shared" si="1411"/>
        <v>TCGA-UCEC</v>
      </c>
      <c r="D21025" s="1" t="s">
        <v>493</v>
      </c>
      <c r="E21025" t="s">
        <v>598</v>
      </c>
      <c r="F21025" s="1">
        <v>2</v>
      </c>
      <c r="G21025" s="1" t="s">
        <v>32</v>
      </c>
      <c r="H21025" s="4" t="str">
        <f>HYPERLINK("https://portal.gdc.cancer.gov/cases/37bac6ba-be93-42cc-892b-efd0bdb850bd","TCGA-B5-A1MX-01A")</f>
        <v>TCGA-B5-A1MX-01A</v>
      </c>
      <c r="I21025" t="s">
        <v>444</v>
      </c>
      <c r="J21025" t="s">
        <v>599</v>
      </c>
      <c r="K21025" t="s">
        <v>33</v>
      </c>
      <c r="L21025" t="s">
        <v>600</v>
      </c>
      <c r="N21025" t="s">
        <v>29</v>
      </c>
    </row>
    <row r="21026" spans="1:14">
      <c r="A21026" s="4" t="str">
        <f t="shared" si="1410"/>
        <v>EXP00451</v>
      </c>
      <c r="B21026" s="3" t="s">
        <v>66</v>
      </c>
      <c r="C21026" s="4" t="str">
        <f t="shared" si="1411"/>
        <v>TCGA-UCEC</v>
      </c>
      <c r="D21026" s="1" t="s">
        <v>493</v>
      </c>
      <c r="E21026" t="s">
        <v>598</v>
      </c>
      <c r="F21026" s="1">
        <v>2</v>
      </c>
      <c r="G21026" s="1" t="s">
        <v>32</v>
      </c>
      <c r="H21026" s="4" t="str">
        <f>HYPERLINK("https://portal.gdc.cancer.gov/cases/5d2f1a0f-a01b-48c2-b749-1ca710aa2bb4","TCGA-B5-A1MY-01A")</f>
        <v>TCGA-B5-A1MY-01A</v>
      </c>
      <c r="I21026" t="s">
        <v>444</v>
      </c>
      <c r="J21026" t="s">
        <v>599</v>
      </c>
      <c r="K21026" t="s">
        <v>33</v>
      </c>
      <c r="L21026" t="s">
        <v>600</v>
      </c>
      <c r="N21026" t="s">
        <v>29</v>
      </c>
    </row>
    <row r="21027" spans="1:14">
      <c r="A21027" s="4" t="str">
        <f t="shared" si="1410"/>
        <v>EXP00451</v>
      </c>
      <c r="B21027" s="3" t="s">
        <v>66</v>
      </c>
      <c r="C21027" s="4" t="str">
        <f t="shared" si="1411"/>
        <v>TCGA-UCEC</v>
      </c>
      <c r="D21027" s="1" t="s">
        <v>493</v>
      </c>
      <c r="E21027" t="s">
        <v>598</v>
      </c>
      <c r="F21027" s="1">
        <v>2</v>
      </c>
      <c r="G21027" s="1" t="s">
        <v>32</v>
      </c>
      <c r="H21027" s="4" t="str">
        <f>HYPERLINK("https://portal.gdc.cancer.gov/cases/838fcc2b-48b4-49dd-b8fc-ff27bbd16b17","TCGA-B5-A1MZ-01A")</f>
        <v>TCGA-B5-A1MZ-01A</v>
      </c>
      <c r="I21027" t="s">
        <v>444</v>
      </c>
      <c r="J21027" t="s">
        <v>599</v>
      </c>
      <c r="K21027" t="s">
        <v>33</v>
      </c>
      <c r="L21027" t="s">
        <v>600</v>
      </c>
      <c r="N21027" t="s">
        <v>29</v>
      </c>
    </row>
    <row r="21028" spans="1:14">
      <c r="A21028" s="4" t="str">
        <f t="shared" si="1410"/>
        <v>EXP00451</v>
      </c>
      <c r="B21028" s="3" t="s">
        <v>66</v>
      </c>
      <c r="C21028" s="4" t="str">
        <f t="shared" si="1411"/>
        <v>TCGA-UCEC</v>
      </c>
      <c r="D21028" s="1" t="s">
        <v>493</v>
      </c>
      <c r="E21028" t="s">
        <v>598</v>
      </c>
      <c r="F21028" s="1">
        <v>2</v>
      </c>
      <c r="G21028" s="1" t="s">
        <v>32</v>
      </c>
      <c r="H21028" s="4" t="str">
        <f>HYPERLINK("https://portal.gdc.cancer.gov/cases/d79e692c-5053-4484-a180-01a094c5ff45","TCGA-B5-A1N2-01A")</f>
        <v>TCGA-B5-A1N2-01A</v>
      </c>
      <c r="I21028" t="s">
        <v>444</v>
      </c>
      <c r="J21028" t="s">
        <v>599</v>
      </c>
      <c r="K21028" t="s">
        <v>33</v>
      </c>
      <c r="L21028" t="s">
        <v>600</v>
      </c>
      <c r="N21028" t="s">
        <v>29</v>
      </c>
    </row>
    <row r="21029" spans="1:14">
      <c r="A21029" s="4" t="str">
        <f t="shared" si="1410"/>
        <v>EXP00451</v>
      </c>
      <c r="B21029" s="3" t="s">
        <v>66</v>
      </c>
      <c r="C21029" s="4" t="str">
        <f t="shared" si="1411"/>
        <v>TCGA-UCEC</v>
      </c>
      <c r="D21029" s="1" t="s">
        <v>493</v>
      </c>
      <c r="E21029" t="s">
        <v>598</v>
      </c>
      <c r="F21029" s="1">
        <v>2</v>
      </c>
      <c r="G21029" s="1" t="s">
        <v>32</v>
      </c>
      <c r="H21029" s="4" t="str">
        <f>HYPERLINK("https://portal.gdc.cancer.gov/cases/21941181-8ed5-4211-867d-516ad09fbe06","TCGA-B5-A3F9-01A")</f>
        <v>TCGA-B5-A3F9-01A</v>
      </c>
      <c r="I21029" t="s">
        <v>444</v>
      </c>
      <c r="J21029" t="s">
        <v>599</v>
      </c>
      <c r="K21029" t="s">
        <v>33</v>
      </c>
      <c r="L21029" t="s">
        <v>600</v>
      </c>
      <c r="N21029" t="s">
        <v>29</v>
      </c>
    </row>
    <row r="21030" spans="1:14">
      <c r="A21030" s="4" t="str">
        <f t="shared" si="1410"/>
        <v>EXP00451</v>
      </c>
      <c r="B21030" s="3" t="s">
        <v>66</v>
      </c>
      <c r="C21030" s="4" t="str">
        <f t="shared" si="1411"/>
        <v>TCGA-UCEC</v>
      </c>
      <c r="D21030" s="1" t="s">
        <v>493</v>
      </c>
      <c r="E21030" t="s">
        <v>598</v>
      </c>
      <c r="F21030" s="1">
        <v>2</v>
      </c>
      <c r="G21030" s="1" t="s">
        <v>32</v>
      </c>
      <c r="H21030" s="4" t="str">
        <f>HYPERLINK("https://portal.gdc.cancer.gov/cases/ac9ec63a-c3b6-4d0c-b1a9-7c72dbad456c","TCGA-B5-A3FA-01A")</f>
        <v>TCGA-B5-A3FA-01A</v>
      </c>
      <c r="I21030" t="s">
        <v>444</v>
      </c>
      <c r="J21030" t="s">
        <v>599</v>
      </c>
      <c r="K21030" t="s">
        <v>33</v>
      </c>
      <c r="L21030" t="s">
        <v>600</v>
      </c>
      <c r="N21030" t="s">
        <v>29</v>
      </c>
    </row>
    <row r="21031" spans="1:14">
      <c r="A21031" s="4" t="str">
        <f t="shared" si="1410"/>
        <v>EXP00451</v>
      </c>
      <c r="B21031" s="3" t="s">
        <v>66</v>
      </c>
      <c r="C21031" s="4" t="str">
        <f t="shared" si="1411"/>
        <v>TCGA-UCEC</v>
      </c>
      <c r="D21031" s="1" t="s">
        <v>493</v>
      </c>
      <c r="E21031" t="s">
        <v>598</v>
      </c>
      <c r="F21031" s="1">
        <v>2</v>
      </c>
      <c r="G21031" s="1" t="s">
        <v>32</v>
      </c>
      <c r="H21031" s="4" t="str">
        <f>HYPERLINK("https://portal.gdc.cancer.gov/cases/0c1946a8-ee54-4b9b-8054-9a7bece74d33","TCGA-B5-A3FB-01A")</f>
        <v>TCGA-B5-A3FB-01A</v>
      </c>
      <c r="I21031" t="s">
        <v>444</v>
      </c>
      <c r="J21031" t="s">
        <v>599</v>
      </c>
      <c r="K21031" t="s">
        <v>33</v>
      </c>
      <c r="L21031" t="s">
        <v>600</v>
      </c>
      <c r="N21031" t="s">
        <v>29</v>
      </c>
    </row>
    <row r="21032" spans="1:14">
      <c r="A21032" s="4" t="str">
        <f t="shared" si="1410"/>
        <v>EXP00451</v>
      </c>
      <c r="B21032" s="3" t="s">
        <v>66</v>
      </c>
      <c r="C21032" s="4" t="str">
        <f t="shared" si="1411"/>
        <v>TCGA-UCEC</v>
      </c>
      <c r="D21032" s="1" t="s">
        <v>493</v>
      </c>
      <c r="E21032" t="s">
        <v>598</v>
      </c>
      <c r="F21032" s="1">
        <v>2</v>
      </c>
      <c r="G21032" s="1" t="s">
        <v>32</v>
      </c>
      <c r="H21032" s="4" t="str">
        <f>HYPERLINK("https://portal.gdc.cancer.gov/cases/ec2040a3-788b-4f2c-a093-c5c4b3dc4b6c","TCGA-B5-A3FC-01A")</f>
        <v>TCGA-B5-A3FC-01A</v>
      </c>
      <c r="I21032" t="s">
        <v>444</v>
      </c>
      <c r="J21032" t="s">
        <v>599</v>
      </c>
      <c r="K21032" t="s">
        <v>33</v>
      </c>
      <c r="L21032" t="s">
        <v>600</v>
      </c>
      <c r="N21032" t="s">
        <v>29</v>
      </c>
    </row>
    <row r="21033" spans="1:14">
      <c r="A21033" s="4" t="str">
        <f t="shared" si="1410"/>
        <v>EXP00451</v>
      </c>
      <c r="B21033" s="3" t="s">
        <v>66</v>
      </c>
      <c r="C21033" s="4" t="str">
        <f t="shared" si="1411"/>
        <v>TCGA-UCEC</v>
      </c>
      <c r="D21033" s="1" t="s">
        <v>493</v>
      </c>
      <c r="E21033" t="s">
        <v>598</v>
      </c>
      <c r="F21033" s="1">
        <v>2</v>
      </c>
      <c r="G21033" s="1" t="s">
        <v>32</v>
      </c>
      <c r="H21033" s="4" t="str">
        <f>HYPERLINK("https://portal.gdc.cancer.gov/cases/eeb327b4-b705-4161-ba94-647f0e14f5b4","TCGA-B5-A3FD-01A")</f>
        <v>TCGA-B5-A3FD-01A</v>
      </c>
      <c r="I21033" t="s">
        <v>444</v>
      </c>
      <c r="J21033" t="s">
        <v>599</v>
      </c>
      <c r="K21033" t="s">
        <v>33</v>
      </c>
      <c r="L21033" t="s">
        <v>600</v>
      </c>
      <c r="N21033" t="s">
        <v>29</v>
      </c>
    </row>
    <row r="21034" spans="1:14">
      <c r="A21034" s="4" t="str">
        <f t="shared" si="1410"/>
        <v>EXP00451</v>
      </c>
      <c r="B21034" s="3" t="s">
        <v>66</v>
      </c>
      <c r="C21034" s="4" t="str">
        <f t="shared" si="1411"/>
        <v>TCGA-UCEC</v>
      </c>
      <c r="D21034" s="1" t="s">
        <v>493</v>
      </c>
      <c r="E21034" t="s">
        <v>598</v>
      </c>
      <c r="F21034" s="1">
        <v>2</v>
      </c>
      <c r="G21034" s="1" t="s">
        <v>32</v>
      </c>
      <c r="H21034" s="4" t="str">
        <f>HYPERLINK("https://portal.gdc.cancer.gov/cases/139e2c5a-cc0c-43a2-b30e-b8ac17c0b5f2","TCGA-B5-A3FH-01A")</f>
        <v>TCGA-B5-A3FH-01A</v>
      </c>
      <c r="I21034" t="s">
        <v>444</v>
      </c>
      <c r="J21034" t="s">
        <v>599</v>
      </c>
      <c r="K21034" t="s">
        <v>33</v>
      </c>
      <c r="L21034" t="s">
        <v>600</v>
      </c>
      <c r="N21034" t="s">
        <v>29</v>
      </c>
    </row>
    <row r="21035" spans="1:14">
      <c r="A21035" s="4" t="str">
        <f t="shared" si="1410"/>
        <v>EXP00451</v>
      </c>
      <c r="B21035" s="3" t="s">
        <v>66</v>
      </c>
      <c r="C21035" s="4" t="str">
        <f t="shared" si="1411"/>
        <v>TCGA-UCEC</v>
      </c>
      <c r="D21035" s="1" t="s">
        <v>493</v>
      </c>
      <c r="E21035" t="s">
        <v>598</v>
      </c>
      <c r="F21035" s="1">
        <v>2</v>
      </c>
      <c r="G21035" s="1" t="s">
        <v>32</v>
      </c>
      <c r="H21035" s="4" t="str">
        <f>HYPERLINK("https://portal.gdc.cancer.gov/cases/3789ae3f-286b-42f0-a805-320ad69ea1df","TCGA-B5-A3S1-01A")</f>
        <v>TCGA-B5-A3S1-01A</v>
      </c>
      <c r="I21035" t="s">
        <v>444</v>
      </c>
      <c r="J21035" t="s">
        <v>599</v>
      </c>
      <c r="K21035" t="s">
        <v>33</v>
      </c>
      <c r="L21035" t="s">
        <v>600</v>
      </c>
      <c r="N21035" t="s">
        <v>29</v>
      </c>
    </row>
    <row r="21036" spans="1:14">
      <c r="A21036" s="4" t="str">
        <f t="shared" si="1410"/>
        <v>EXP00451</v>
      </c>
      <c r="B21036" s="3" t="s">
        <v>66</v>
      </c>
      <c r="C21036" s="4" t="str">
        <f t="shared" si="1411"/>
        <v>TCGA-UCEC</v>
      </c>
      <c r="D21036" s="1" t="s">
        <v>493</v>
      </c>
      <c r="E21036" t="s">
        <v>598</v>
      </c>
      <c r="F21036" s="1">
        <v>2</v>
      </c>
      <c r="G21036" s="1" t="s">
        <v>32</v>
      </c>
      <c r="H21036" s="4" t="str">
        <f>HYPERLINK("https://portal.gdc.cancer.gov/cases/ae8a4958-5407-4c01-93c3-8090862533ae","TCGA-B5-A5OC-01A")</f>
        <v>TCGA-B5-A5OC-01A</v>
      </c>
      <c r="I21036" t="s">
        <v>444</v>
      </c>
      <c r="J21036" t="s">
        <v>599</v>
      </c>
      <c r="K21036" t="s">
        <v>33</v>
      </c>
      <c r="L21036" t="s">
        <v>600</v>
      </c>
      <c r="N21036" t="s">
        <v>29</v>
      </c>
    </row>
    <row r="21037" spans="1:14">
      <c r="A21037" s="4" t="str">
        <f t="shared" si="1410"/>
        <v>EXP00451</v>
      </c>
      <c r="B21037" s="3" t="s">
        <v>66</v>
      </c>
      <c r="C21037" s="4" t="str">
        <f t="shared" si="1411"/>
        <v>TCGA-UCEC</v>
      </c>
      <c r="D21037" s="1" t="s">
        <v>493</v>
      </c>
      <c r="E21037" t="s">
        <v>598</v>
      </c>
      <c r="F21037" s="1">
        <v>2</v>
      </c>
      <c r="G21037" s="1" t="s">
        <v>32</v>
      </c>
      <c r="H21037" s="4" t="str">
        <f>HYPERLINK("https://portal.gdc.cancer.gov/cases/3e240dc0-80b7-41ea-81b3-33ece2753c2b","TCGA-B5-A5OD-01A")</f>
        <v>TCGA-B5-A5OD-01A</v>
      </c>
      <c r="I21037" t="s">
        <v>444</v>
      </c>
      <c r="J21037" t="s">
        <v>599</v>
      </c>
      <c r="K21037" t="s">
        <v>33</v>
      </c>
      <c r="L21037" t="s">
        <v>600</v>
      </c>
      <c r="N21037" t="s">
        <v>29</v>
      </c>
    </row>
    <row r="21038" spans="1:14">
      <c r="A21038" s="4" t="str">
        <f t="shared" si="1410"/>
        <v>EXP00451</v>
      </c>
      <c r="B21038" s="3" t="s">
        <v>66</v>
      </c>
      <c r="C21038" s="4" t="str">
        <f t="shared" si="1411"/>
        <v>TCGA-UCEC</v>
      </c>
      <c r="D21038" s="1" t="s">
        <v>493</v>
      </c>
      <c r="E21038" t="s">
        <v>598</v>
      </c>
      <c r="F21038" s="1">
        <v>2</v>
      </c>
      <c r="G21038" s="1" t="s">
        <v>32</v>
      </c>
      <c r="H21038" s="4" t="str">
        <f>HYPERLINK("https://portal.gdc.cancer.gov/cases/d5ee39e8-a1d2-4244-9c38-07d7c5c1baba","TCGA-B5-A5OE-01A")</f>
        <v>TCGA-B5-A5OE-01A</v>
      </c>
      <c r="I21038" t="s">
        <v>444</v>
      </c>
      <c r="J21038" t="s">
        <v>599</v>
      </c>
      <c r="K21038" t="s">
        <v>33</v>
      </c>
      <c r="L21038" t="s">
        <v>600</v>
      </c>
      <c r="N21038" t="s">
        <v>29</v>
      </c>
    </row>
    <row r="21039" spans="1:14">
      <c r="A21039" s="4" t="str">
        <f t="shared" si="1410"/>
        <v>EXP00451</v>
      </c>
      <c r="B21039" s="3" t="s">
        <v>66</v>
      </c>
      <c r="C21039" s="4" t="str">
        <f t="shared" si="1411"/>
        <v>TCGA-UCEC</v>
      </c>
      <c r="D21039" s="1" t="s">
        <v>493</v>
      </c>
      <c r="E21039" t="s">
        <v>598</v>
      </c>
      <c r="F21039" s="1">
        <v>2</v>
      </c>
      <c r="G21039" s="1" t="s">
        <v>32</v>
      </c>
      <c r="H21039" s="4" t="str">
        <f>HYPERLINK("https://portal.gdc.cancer.gov/cases/68181bc9-aa8b-44ec-8601-564b30ea0561","TCGA-BG-A0LW-01A")</f>
        <v>TCGA-BG-A0LW-01A</v>
      </c>
      <c r="I21039" t="s">
        <v>444</v>
      </c>
      <c r="J21039" t="s">
        <v>599</v>
      </c>
      <c r="K21039" t="s">
        <v>33</v>
      </c>
      <c r="L21039" t="s">
        <v>600</v>
      </c>
      <c r="N21039" t="s">
        <v>29</v>
      </c>
    </row>
    <row r="21040" spans="1:14">
      <c r="A21040" s="4" t="str">
        <f t="shared" si="1410"/>
        <v>EXP00451</v>
      </c>
      <c r="B21040" s="3" t="s">
        <v>66</v>
      </c>
      <c r="C21040" s="4" t="str">
        <f t="shared" si="1411"/>
        <v>TCGA-UCEC</v>
      </c>
      <c r="D21040" s="1" t="s">
        <v>493</v>
      </c>
      <c r="E21040" t="s">
        <v>598</v>
      </c>
      <c r="F21040" s="1">
        <v>2</v>
      </c>
      <c r="G21040" s="1" t="s">
        <v>32</v>
      </c>
      <c r="H21040" s="4" t="str">
        <f>HYPERLINK("https://portal.gdc.cancer.gov/cases/ac1d3946-fe6c-4bd8-b02c-638799cb0f67","TCGA-BG-A0LX-01A")</f>
        <v>TCGA-BG-A0LX-01A</v>
      </c>
      <c r="I21040" t="s">
        <v>444</v>
      </c>
      <c r="J21040" t="s">
        <v>599</v>
      </c>
      <c r="K21040" t="s">
        <v>33</v>
      </c>
      <c r="L21040" t="s">
        <v>600</v>
      </c>
      <c r="N21040" t="s">
        <v>29</v>
      </c>
    </row>
    <row r="21041" spans="1:14">
      <c r="A21041" s="4" t="str">
        <f t="shared" si="1410"/>
        <v>EXP00451</v>
      </c>
      <c r="B21041" s="3" t="s">
        <v>66</v>
      </c>
      <c r="C21041" s="4" t="str">
        <f t="shared" si="1411"/>
        <v>TCGA-UCEC</v>
      </c>
      <c r="D21041" s="1" t="s">
        <v>493</v>
      </c>
      <c r="E21041" t="s">
        <v>598</v>
      </c>
      <c r="F21041" s="1">
        <v>2</v>
      </c>
      <c r="G21041" s="1" t="s">
        <v>32</v>
      </c>
      <c r="H21041" s="4" t="str">
        <f>HYPERLINK("https://portal.gdc.cancer.gov/cases/8bf0b156-6eb4-45e8-9cbb-0979efbea898","TCGA-BG-A0M0-01A")</f>
        <v>TCGA-BG-A0M0-01A</v>
      </c>
      <c r="I21041" t="s">
        <v>444</v>
      </c>
      <c r="J21041" t="s">
        <v>599</v>
      </c>
      <c r="K21041" t="s">
        <v>33</v>
      </c>
      <c r="L21041" t="s">
        <v>600</v>
      </c>
      <c r="N21041" t="s">
        <v>29</v>
      </c>
    </row>
    <row r="21042" spans="1:14">
      <c r="A21042" s="4" t="str">
        <f t="shared" si="1410"/>
        <v>EXP00451</v>
      </c>
      <c r="B21042" s="3" t="s">
        <v>66</v>
      </c>
      <c r="C21042" s="4" t="str">
        <f t="shared" si="1411"/>
        <v>TCGA-UCEC</v>
      </c>
      <c r="D21042" s="1" t="s">
        <v>493</v>
      </c>
      <c r="E21042" t="s">
        <v>598</v>
      </c>
      <c r="F21042" s="1">
        <v>2</v>
      </c>
      <c r="G21042" s="1" t="s">
        <v>32</v>
      </c>
      <c r="H21042" s="4" t="str">
        <f>HYPERLINK("https://portal.gdc.cancer.gov/cases/9731e0b3-c62d-43cb-8ae7-8f973d69ab19","TCGA-BG-A0M2-01A")</f>
        <v>TCGA-BG-A0M2-01A</v>
      </c>
      <c r="I21042" t="s">
        <v>444</v>
      </c>
      <c r="J21042" t="s">
        <v>599</v>
      </c>
      <c r="K21042" t="s">
        <v>33</v>
      </c>
      <c r="L21042" t="s">
        <v>600</v>
      </c>
      <c r="N21042" t="s">
        <v>29</v>
      </c>
    </row>
    <row r="21043" spans="1:14">
      <c r="A21043" s="4" t="str">
        <f t="shared" si="1410"/>
        <v>EXP00451</v>
      </c>
      <c r="B21043" s="3" t="s">
        <v>66</v>
      </c>
      <c r="C21043" s="4" t="str">
        <f t="shared" si="1411"/>
        <v>TCGA-UCEC</v>
      </c>
      <c r="D21043" s="1" t="s">
        <v>493</v>
      </c>
      <c r="E21043" t="s">
        <v>598</v>
      </c>
      <c r="F21043" s="1">
        <v>2</v>
      </c>
      <c r="G21043" s="1" t="s">
        <v>32</v>
      </c>
      <c r="H21043" s="4" t="str">
        <f>HYPERLINK("https://portal.gdc.cancer.gov/cases/8bdd4e0e-5bec-43f2-b9fa-d6e94a72fe05","TCGA-BG-A0M3-01A")</f>
        <v>TCGA-BG-A0M3-01A</v>
      </c>
      <c r="I21043" t="s">
        <v>444</v>
      </c>
      <c r="J21043" t="s">
        <v>599</v>
      </c>
      <c r="K21043" t="s">
        <v>33</v>
      </c>
      <c r="L21043" t="s">
        <v>600</v>
      </c>
      <c r="N21043" t="s">
        <v>29</v>
      </c>
    </row>
    <row r="21044" spans="1:14">
      <c r="A21044" s="4" t="str">
        <f t="shared" si="1410"/>
        <v>EXP00451</v>
      </c>
      <c r="B21044" s="3" t="s">
        <v>66</v>
      </c>
      <c r="C21044" s="4" t="str">
        <f t="shared" si="1411"/>
        <v>TCGA-UCEC</v>
      </c>
      <c r="D21044" s="1" t="s">
        <v>493</v>
      </c>
      <c r="E21044" t="s">
        <v>598</v>
      </c>
      <c r="F21044" s="1">
        <v>2</v>
      </c>
      <c r="G21044" s="1" t="s">
        <v>32</v>
      </c>
      <c r="H21044" s="4" t="str">
        <f>HYPERLINK("https://portal.gdc.cancer.gov/cases/73e5310d-ba8c-4cbc-aa4f-e06206f898f4","TCGA-BG-A0M4-01A")</f>
        <v>TCGA-BG-A0M4-01A</v>
      </c>
      <c r="I21044" t="s">
        <v>444</v>
      </c>
      <c r="J21044" t="s">
        <v>599</v>
      </c>
      <c r="K21044" t="s">
        <v>33</v>
      </c>
      <c r="L21044" t="s">
        <v>600</v>
      </c>
      <c r="N21044" t="s">
        <v>29</v>
      </c>
    </row>
    <row r="21045" spans="1:14">
      <c r="A21045" s="4" t="str">
        <f t="shared" ref="A21045:A21108" si="1412">HYPERLINK("http://hcmdb.i-sanger.com/experiment/details/experiment_id/EXP00451","EXP00451")</f>
        <v>EXP00451</v>
      </c>
      <c r="B21045" s="3" t="s">
        <v>66</v>
      </c>
      <c r="C21045" s="4" t="str">
        <f t="shared" ref="C21045:C21108" si="1413">HYPERLINK("https://portal.gdc.cancer.gov/projects/TCGA-UCEC","TCGA-UCEC")</f>
        <v>TCGA-UCEC</v>
      </c>
      <c r="D21045" s="1" t="s">
        <v>493</v>
      </c>
      <c r="E21045" t="s">
        <v>598</v>
      </c>
      <c r="F21045" s="1">
        <v>2</v>
      </c>
      <c r="G21045" s="1" t="s">
        <v>32</v>
      </c>
      <c r="H21045" s="4" t="str">
        <f>HYPERLINK("https://portal.gdc.cancer.gov/cases/002724fa-7051-49fa-9c58-4bcb7eba4ac6","TCGA-BG-A0M6-01A")</f>
        <v>TCGA-BG-A0M6-01A</v>
      </c>
      <c r="I21045" t="s">
        <v>444</v>
      </c>
      <c r="J21045" t="s">
        <v>599</v>
      </c>
      <c r="K21045" t="s">
        <v>33</v>
      </c>
      <c r="L21045" t="s">
        <v>600</v>
      </c>
      <c r="N21045" t="s">
        <v>29</v>
      </c>
    </row>
    <row r="21046" spans="1:14">
      <c r="A21046" s="4" t="str">
        <f t="shared" si="1412"/>
        <v>EXP00451</v>
      </c>
      <c r="B21046" s="3" t="s">
        <v>66</v>
      </c>
      <c r="C21046" s="4" t="str">
        <f t="shared" si="1413"/>
        <v>TCGA-UCEC</v>
      </c>
      <c r="D21046" s="1" t="s">
        <v>493</v>
      </c>
      <c r="E21046" t="s">
        <v>598</v>
      </c>
      <c r="F21046" s="1">
        <v>2</v>
      </c>
      <c r="G21046" s="1" t="s">
        <v>32</v>
      </c>
      <c r="H21046" s="4" t="str">
        <f>HYPERLINK("https://portal.gdc.cancer.gov/cases/1d9c2113-ddcb-4440-89c3-cd21cee6d401","TCGA-BG-A0M7-01A")</f>
        <v>TCGA-BG-A0M7-01A</v>
      </c>
      <c r="I21046" t="s">
        <v>444</v>
      </c>
      <c r="J21046" t="s">
        <v>599</v>
      </c>
      <c r="K21046" t="s">
        <v>33</v>
      </c>
      <c r="L21046" t="s">
        <v>600</v>
      </c>
      <c r="N21046" t="s">
        <v>29</v>
      </c>
    </row>
    <row r="21047" spans="1:14">
      <c r="A21047" s="4" t="str">
        <f t="shared" si="1412"/>
        <v>EXP00451</v>
      </c>
      <c r="B21047" s="3" t="s">
        <v>66</v>
      </c>
      <c r="C21047" s="4" t="str">
        <f t="shared" si="1413"/>
        <v>TCGA-UCEC</v>
      </c>
      <c r="D21047" s="1" t="s">
        <v>493</v>
      </c>
      <c r="E21047" t="s">
        <v>598</v>
      </c>
      <c r="F21047" s="1">
        <v>2</v>
      </c>
      <c r="G21047" s="1" t="s">
        <v>32</v>
      </c>
      <c r="H21047" s="4" t="str">
        <f>HYPERLINK("https://portal.gdc.cancer.gov/cases/e055db71-f3da-43d3-a9b2-2f65dfb23d3e","TCGA-BG-A0M8-01A")</f>
        <v>TCGA-BG-A0M8-01A</v>
      </c>
      <c r="I21047" t="s">
        <v>444</v>
      </c>
      <c r="J21047" t="s">
        <v>599</v>
      </c>
      <c r="K21047" t="s">
        <v>33</v>
      </c>
      <c r="L21047" t="s">
        <v>600</v>
      </c>
      <c r="N21047" t="s">
        <v>29</v>
      </c>
    </row>
    <row r="21048" spans="1:14">
      <c r="A21048" s="4" t="str">
        <f t="shared" si="1412"/>
        <v>EXP00451</v>
      </c>
      <c r="B21048" s="3" t="s">
        <v>66</v>
      </c>
      <c r="C21048" s="4" t="str">
        <f t="shared" si="1413"/>
        <v>TCGA-UCEC</v>
      </c>
      <c r="D21048" s="1" t="s">
        <v>493</v>
      </c>
      <c r="E21048" t="s">
        <v>598</v>
      </c>
      <c r="F21048" s="1">
        <v>2</v>
      </c>
      <c r="G21048" s="1" t="s">
        <v>32</v>
      </c>
      <c r="H21048" s="4" t="str">
        <f>HYPERLINK("https://portal.gdc.cancer.gov/cases/4fd1cb59-6c50-4355-9d37-a341e1f4fad9","TCGA-BG-A0M9-01A")</f>
        <v>TCGA-BG-A0M9-01A</v>
      </c>
      <c r="I21048" t="s">
        <v>444</v>
      </c>
      <c r="J21048" t="s">
        <v>599</v>
      </c>
      <c r="K21048" t="s">
        <v>33</v>
      </c>
      <c r="L21048" t="s">
        <v>600</v>
      </c>
      <c r="N21048" t="s">
        <v>29</v>
      </c>
    </row>
    <row r="21049" spans="1:14">
      <c r="A21049" s="4" t="str">
        <f t="shared" si="1412"/>
        <v>EXP00451</v>
      </c>
      <c r="B21049" s="3" t="s">
        <v>66</v>
      </c>
      <c r="C21049" s="4" t="str">
        <f t="shared" si="1413"/>
        <v>TCGA-UCEC</v>
      </c>
      <c r="D21049" s="1" t="s">
        <v>493</v>
      </c>
      <c r="E21049" t="s">
        <v>598</v>
      </c>
      <c r="F21049" s="1">
        <v>2</v>
      </c>
      <c r="G21049" s="1" t="s">
        <v>32</v>
      </c>
      <c r="H21049" s="4" t="str">
        <f>HYPERLINK("https://portal.gdc.cancer.gov/cases/f85bc60b-ab07-4b24-820b-6860b198e910","TCGA-BG-A0MA-01A")</f>
        <v>TCGA-BG-A0MA-01A</v>
      </c>
      <c r="I21049" t="s">
        <v>444</v>
      </c>
      <c r="J21049" t="s">
        <v>599</v>
      </c>
      <c r="K21049" t="s">
        <v>33</v>
      </c>
      <c r="L21049" t="s">
        <v>600</v>
      </c>
      <c r="N21049" t="s">
        <v>29</v>
      </c>
    </row>
    <row r="21050" spans="1:14">
      <c r="A21050" s="4" t="str">
        <f t="shared" si="1412"/>
        <v>EXP00451</v>
      </c>
      <c r="B21050" s="3" t="s">
        <v>66</v>
      </c>
      <c r="C21050" s="4" t="str">
        <f t="shared" si="1413"/>
        <v>TCGA-UCEC</v>
      </c>
      <c r="D21050" s="1" t="s">
        <v>493</v>
      </c>
      <c r="E21050" t="s">
        <v>598</v>
      </c>
      <c r="F21050" s="1">
        <v>2</v>
      </c>
      <c r="G21050" s="1" t="s">
        <v>32</v>
      </c>
      <c r="H21050" s="4" t="str">
        <f>HYPERLINK("https://portal.gdc.cancer.gov/cases/884fd57d-bd8e-40e7-82f6-0ba1c71101a9","TCGA-BG-A0MC-01A")</f>
        <v>TCGA-BG-A0MC-01A</v>
      </c>
      <c r="I21050" t="s">
        <v>444</v>
      </c>
      <c r="J21050" t="s">
        <v>599</v>
      </c>
      <c r="K21050" t="s">
        <v>33</v>
      </c>
      <c r="L21050" t="s">
        <v>600</v>
      </c>
      <c r="N21050" t="s">
        <v>29</v>
      </c>
    </row>
    <row r="21051" spans="1:14">
      <c r="A21051" s="4" t="str">
        <f t="shared" si="1412"/>
        <v>EXP00451</v>
      </c>
      <c r="B21051" s="3" t="s">
        <v>66</v>
      </c>
      <c r="C21051" s="4" t="str">
        <f t="shared" si="1413"/>
        <v>TCGA-UCEC</v>
      </c>
      <c r="D21051" s="1" t="s">
        <v>493</v>
      </c>
      <c r="E21051" t="s">
        <v>598</v>
      </c>
      <c r="F21051" s="1">
        <v>2</v>
      </c>
      <c r="G21051" s="1" t="s">
        <v>32</v>
      </c>
      <c r="H21051" s="4" t="str">
        <f>HYPERLINK("https://portal.gdc.cancer.gov/cases/9cde90c8-2be0-4328-a032-ff1dc19e66fd","TCGA-BG-A0MG-01A")</f>
        <v>TCGA-BG-A0MG-01A</v>
      </c>
      <c r="I21051" t="s">
        <v>444</v>
      </c>
      <c r="J21051" t="s">
        <v>599</v>
      </c>
      <c r="K21051" t="s">
        <v>33</v>
      </c>
      <c r="L21051" t="s">
        <v>600</v>
      </c>
      <c r="N21051" t="s">
        <v>29</v>
      </c>
    </row>
    <row r="21052" spans="1:14">
      <c r="A21052" s="4" t="str">
        <f t="shared" si="1412"/>
        <v>EXP00451</v>
      </c>
      <c r="B21052" s="3" t="s">
        <v>66</v>
      </c>
      <c r="C21052" s="4" t="str">
        <f t="shared" si="1413"/>
        <v>TCGA-UCEC</v>
      </c>
      <c r="D21052" s="1" t="s">
        <v>493</v>
      </c>
      <c r="E21052" t="s">
        <v>598</v>
      </c>
      <c r="F21052" s="1">
        <v>2</v>
      </c>
      <c r="G21052" s="1" t="s">
        <v>32</v>
      </c>
      <c r="H21052" s="4" t="str">
        <f>HYPERLINK("https://portal.gdc.cancer.gov/cases/bfac45a6-fa01-4edb-9807-6898ea82e80e","TCGA-BG-A0MH-01A")</f>
        <v>TCGA-BG-A0MH-01A</v>
      </c>
      <c r="I21052" t="s">
        <v>444</v>
      </c>
      <c r="J21052" t="s">
        <v>599</v>
      </c>
      <c r="K21052" t="s">
        <v>33</v>
      </c>
      <c r="L21052" t="s">
        <v>600</v>
      </c>
      <c r="N21052" t="s">
        <v>29</v>
      </c>
    </row>
    <row r="21053" spans="1:14">
      <c r="A21053" s="4" t="str">
        <f t="shared" si="1412"/>
        <v>EXP00451</v>
      </c>
      <c r="B21053" s="3" t="s">
        <v>66</v>
      </c>
      <c r="C21053" s="4" t="str">
        <f t="shared" si="1413"/>
        <v>TCGA-UCEC</v>
      </c>
      <c r="D21053" s="1" t="s">
        <v>493</v>
      </c>
      <c r="E21053" t="s">
        <v>598</v>
      </c>
      <c r="F21053" s="1">
        <v>2</v>
      </c>
      <c r="G21053" s="1" t="s">
        <v>32</v>
      </c>
      <c r="H21053" s="4" t="str">
        <f>HYPERLINK("https://portal.gdc.cancer.gov/cases/b8588e0f-aad6-4ded-845e-3cff67a48d8f","TCGA-BG-A0MI-01A")</f>
        <v>TCGA-BG-A0MI-01A</v>
      </c>
      <c r="I21053" t="s">
        <v>444</v>
      </c>
      <c r="J21053" t="s">
        <v>599</v>
      </c>
      <c r="K21053" t="s">
        <v>33</v>
      </c>
      <c r="L21053" t="s">
        <v>600</v>
      </c>
      <c r="N21053" t="s">
        <v>29</v>
      </c>
    </row>
    <row r="21054" spans="1:14">
      <c r="A21054" s="4" t="str">
        <f t="shared" si="1412"/>
        <v>EXP00451</v>
      </c>
      <c r="B21054" s="3" t="s">
        <v>66</v>
      </c>
      <c r="C21054" s="4" t="str">
        <f t="shared" si="1413"/>
        <v>TCGA-UCEC</v>
      </c>
      <c r="D21054" s="1" t="s">
        <v>493</v>
      </c>
      <c r="E21054" t="s">
        <v>598</v>
      </c>
      <c r="F21054" s="1">
        <v>2</v>
      </c>
      <c r="G21054" s="1" t="s">
        <v>32</v>
      </c>
      <c r="H21054" s="4" t="str">
        <f>HYPERLINK("https://portal.gdc.cancer.gov/cases/1f9b1b71-8753-4cd5-a585-708bea8ff1fa","TCGA-BG-A0MK-01A")</f>
        <v>TCGA-BG-A0MK-01A</v>
      </c>
      <c r="I21054" t="s">
        <v>444</v>
      </c>
      <c r="J21054" t="s">
        <v>599</v>
      </c>
      <c r="K21054" t="s">
        <v>33</v>
      </c>
      <c r="L21054" t="s">
        <v>600</v>
      </c>
      <c r="N21054" t="s">
        <v>29</v>
      </c>
    </row>
    <row r="21055" spans="1:14">
      <c r="A21055" s="4" t="str">
        <f t="shared" si="1412"/>
        <v>EXP00451</v>
      </c>
      <c r="B21055" s="3" t="s">
        <v>66</v>
      </c>
      <c r="C21055" s="4" t="str">
        <f t="shared" si="1413"/>
        <v>TCGA-UCEC</v>
      </c>
      <c r="D21055" s="1" t="s">
        <v>493</v>
      </c>
      <c r="E21055" t="s">
        <v>598</v>
      </c>
      <c r="F21055" s="1">
        <v>2</v>
      </c>
      <c r="G21055" s="1" t="s">
        <v>32</v>
      </c>
      <c r="H21055" s="4" t="str">
        <f>HYPERLINK("https://portal.gdc.cancer.gov/cases/734ef97f-807c-480e-8df9-feaf041032d2","TCGA-BG-A0MO-01A")</f>
        <v>TCGA-BG-A0MO-01A</v>
      </c>
      <c r="I21055" t="s">
        <v>444</v>
      </c>
      <c r="J21055" t="s">
        <v>599</v>
      </c>
      <c r="K21055" t="s">
        <v>33</v>
      </c>
      <c r="L21055" t="s">
        <v>600</v>
      </c>
      <c r="N21055" t="s">
        <v>29</v>
      </c>
    </row>
    <row r="21056" spans="1:14">
      <c r="A21056" s="4" t="str">
        <f t="shared" si="1412"/>
        <v>EXP00451</v>
      </c>
      <c r="B21056" s="3" t="s">
        <v>66</v>
      </c>
      <c r="C21056" s="4" t="str">
        <f t="shared" si="1413"/>
        <v>TCGA-UCEC</v>
      </c>
      <c r="D21056" s="1" t="s">
        <v>493</v>
      </c>
      <c r="E21056" t="s">
        <v>598</v>
      </c>
      <c r="F21056" s="1">
        <v>2</v>
      </c>
      <c r="G21056" s="1" t="s">
        <v>32</v>
      </c>
      <c r="H21056" s="4" t="str">
        <f>HYPERLINK("https://portal.gdc.cancer.gov/cases/12d36a1d-9922-4311-bbda-71f32ac2c03b","TCGA-BG-A0MQ-01A")</f>
        <v>TCGA-BG-A0MQ-01A</v>
      </c>
      <c r="I21056" t="s">
        <v>444</v>
      </c>
      <c r="J21056" t="s">
        <v>599</v>
      </c>
      <c r="K21056" t="s">
        <v>33</v>
      </c>
      <c r="L21056" t="s">
        <v>600</v>
      </c>
      <c r="N21056" t="s">
        <v>29</v>
      </c>
    </row>
    <row r="21057" spans="1:14">
      <c r="A21057" s="4" t="str">
        <f t="shared" si="1412"/>
        <v>EXP00451</v>
      </c>
      <c r="B21057" s="3" t="s">
        <v>66</v>
      </c>
      <c r="C21057" s="4" t="str">
        <f t="shared" si="1413"/>
        <v>TCGA-UCEC</v>
      </c>
      <c r="D21057" s="1" t="s">
        <v>493</v>
      </c>
      <c r="E21057" t="s">
        <v>598</v>
      </c>
      <c r="F21057" s="1">
        <v>2</v>
      </c>
      <c r="G21057" s="1" t="s">
        <v>32</v>
      </c>
      <c r="H21057" s="4" t="str">
        <f>HYPERLINK("https://portal.gdc.cancer.gov/cases/a798a8cc-4e72-4a8c-9e20-74a14deafd12","TCGA-BG-A0MS-01A")</f>
        <v>TCGA-BG-A0MS-01A</v>
      </c>
      <c r="I21057" t="s">
        <v>444</v>
      </c>
      <c r="J21057" t="s">
        <v>599</v>
      </c>
      <c r="K21057" t="s">
        <v>33</v>
      </c>
      <c r="L21057" t="s">
        <v>600</v>
      </c>
      <c r="N21057" t="s">
        <v>29</v>
      </c>
    </row>
    <row r="21058" spans="1:14">
      <c r="A21058" s="4" t="str">
        <f t="shared" si="1412"/>
        <v>EXP00451</v>
      </c>
      <c r="B21058" s="3" t="s">
        <v>66</v>
      </c>
      <c r="C21058" s="4" t="str">
        <f t="shared" si="1413"/>
        <v>TCGA-UCEC</v>
      </c>
      <c r="D21058" s="1" t="s">
        <v>493</v>
      </c>
      <c r="E21058" t="s">
        <v>598</v>
      </c>
      <c r="F21058" s="1">
        <v>2</v>
      </c>
      <c r="G21058" s="1" t="s">
        <v>32</v>
      </c>
      <c r="H21058" s="4" t="str">
        <f>HYPERLINK("https://portal.gdc.cancer.gov/cases/082e32c5-7f82-466a-b52d-a3293a8f8e57","TCGA-BG-A0MT-01A")</f>
        <v>TCGA-BG-A0MT-01A</v>
      </c>
      <c r="I21058" t="s">
        <v>444</v>
      </c>
      <c r="J21058" t="s">
        <v>599</v>
      </c>
      <c r="K21058" t="s">
        <v>33</v>
      </c>
      <c r="L21058" t="s">
        <v>600</v>
      </c>
      <c r="N21058" t="s">
        <v>29</v>
      </c>
    </row>
    <row r="21059" spans="1:14">
      <c r="A21059" s="4" t="str">
        <f t="shared" si="1412"/>
        <v>EXP00451</v>
      </c>
      <c r="B21059" s="3" t="s">
        <v>66</v>
      </c>
      <c r="C21059" s="4" t="str">
        <f t="shared" si="1413"/>
        <v>TCGA-UCEC</v>
      </c>
      <c r="D21059" s="1" t="s">
        <v>493</v>
      </c>
      <c r="E21059" t="s">
        <v>598</v>
      </c>
      <c r="F21059" s="1">
        <v>2</v>
      </c>
      <c r="G21059" s="1" t="s">
        <v>32</v>
      </c>
      <c r="H21059" s="4" t="str">
        <f>HYPERLINK("https://portal.gdc.cancer.gov/cases/a7329910-b1c7-4a18-b28e-8fad79121339","TCGA-BG-A0MU-01A")</f>
        <v>TCGA-BG-A0MU-01A</v>
      </c>
      <c r="I21059" t="s">
        <v>444</v>
      </c>
      <c r="J21059" t="s">
        <v>599</v>
      </c>
      <c r="K21059" t="s">
        <v>33</v>
      </c>
      <c r="L21059" t="s">
        <v>600</v>
      </c>
      <c r="N21059" t="s">
        <v>29</v>
      </c>
    </row>
    <row r="21060" spans="1:14">
      <c r="A21060" s="4" t="str">
        <f t="shared" si="1412"/>
        <v>EXP00451</v>
      </c>
      <c r="B21060" s="3" t="s">
        <v>66</v>
      </c>
      <c r="C21060" s="4" t="str">
        <f t="shared" si="1413"/>
        <v>TCGA-UCEC</v>
      </c>
      <c r="D21060" s="1" t="s">
        <v>493</v>
      </c>
      <c r="E21060" t="s">
        <v>598</v>
      </c>
      <c r="F21060" s="1">
        <v>2</v>
      </c>
      <c r="G21060" s="1" t="s">
        <v>32</v>
      </c>
      <c r="H21060" s="4" t="str">
        <f>HYPERLINK("https://portal.gdc.cancer.gov/cases/f299ad43-bb16-46ce-9617-48cc6c6f29e7","TCGA-BG-A0RY-01A")</f>
        <v>TCGA-BG-A0RY-01A</v>
      </c>
      <c r="I21060" t="s">
        <v>444</v>
      </c>
      <c r="J21060" t="s">
        <v>599</v>
      </c>
      <c r="K21060" t="s">
        <v>33</v>
      </c>
      <c r="L21060" t="s">
        <v>600</v>
      </c>
      <c r="N21060" t="s">
        <v>29</v>
      </c>
    </row>
    <row r="21061" spans="1:14">
      <c r="A21061" s="4" t="str">
        <f t="shared" si="1412"/>
        <v>EXP00451</v>
      </c>
      <c r="B21061" s="3" t="s">
        <v>66</v>
      </c>
      <c r="C21061" s="4" t="str">
        <f t="shared" si="1413"/>
        <v>TCGA-UCEC</v>
      </c>
      <c r="D21061" s="1" t="s">
        <v>493</v>
      </c>
      <c r="E21061" t="s">
        <v>598</v>
      </c>
      <c r="F21061" s="1">
        <v>2</v>
      </c>
      <c r="G21061" s="1" t="s">
        <v>32</v>
      </c>
      <c r="H21061" s="4" t="str">
        <f>HYPERLINK("https://portal.gdc.cancer.gov/cases/cc058b8c-df40-4f9e-88e3-3d1131b22b41","TCGA-BG-A0VT-01A")</f>
        <v>TCGA-BG-A0VT-01A</v>
      </c>
      <c r="I21061" t="s">
        <v>444</v>
      </c>
      <c r="J21061" t="s">
        <v>599</v>
      </c>
      <c r="K21061" t="s">
        <v>33</v>
      </c>
      <c r="L21061" t="s">
        <v>600</v>
      </c>
      <c r="N21061" t="s">
        <v>29</v>
      </c>
    </row>
    <row r="21062" spans="1:14">
      <c r="A21062" s="4" t="str">
        <f t="shared" si="1412"/>
        <v>EXP00451</v>
      </c>
      <c r="B21062" s="3" t="s">
        <v>66</v>
      </c>
      <c r="C21062" s="4" t="str">
        <f t="shared" si="1413"/>
        <v>TCGA-UCEC</v>
      </c>
      <c r="D21062" s="1" t="s">
        <v>493</v>
      </c>
      <c r="E21062" t="s">
        <v>598</v>
      </c>
      <c r="F21062" s="1">
        <v>2</v>
      </c>
      <c r="G21062" s="1" t="s">
        <v>32</v>
      </c>
      <c r="H21062" s="4" t="str">
        <f>HYPERLINK("https://portal.gdc.cancer.gov/cases/6164588a-d03a-46fc-82fb-a32cbaa54cac","TCGA-BG-A0VV-01A")</f>
        <v>TCGA-BG-A0VV-01A</v>
      </c>
      <c r="I21062" t="s">
        <v>444</v>
      </c>
      <c r="J21062" t="s">
        <v>599</v>
      </c>
      <c r="K21062" t="s">
        <v>33</v>
      </c>
      <c r="L21062" t="s">
        <v>600</v>
      </c>
      <c r="N21062" t="s">
        <v>29</v>
      </c>
    </row>
    <row r="21063" spans="1:14">
      <c r="A21063" s="4" t="str">
        <f t="shared" si="1412"/>
        <v>EXP00451</v>
      </c>
      <c r="B21063" s="3" t="s">
        <v>66</v>
      </c>
      <c r="C21063" s="4" t="str">
        <f t="shared" si="1413"/>
        <v>TCGA-UCEC</v>
      </c>
      <c r="D21063" s="1" t="s">
        <v>493</v>
      </c>
      <c r="E21063" t="s">
        <v>598</v>
      </c>
      <c r="F21063" s="1">
        <v>2</v>
      </c>
      <c r="G21063" s="1" t="s">
        <v>32</v>
      </c>
      <c r="H21063" s="4" t="str">
        <f>HYPERLINK("https://portal.gdc.cancer.gov/cases/62d71839-4fba-42e9-9929-8d937f0fe287","TCGA-BG-A0VW-01A")</f>
        <v>TCGA-BG-A0VW-01A</v>
      </c>
      <c r="I21063" t="s">
        <v>444</v>
      </c>
      <c r="J21063" t="s">
        <v>599</v>
      </c>
      <c r="K21063" t="s">
        <v>33</v>
      </c>
      <c r="L21063" t="s">
        <v>600</v>
      </c>
      <c r="N21063" t="s">
        <v>29</v>
      </c>
    </row>
    <row r="21064" spans="1:14">
      <c r="A21064" s="4" t="str">
        <f t="shared" si="1412"/>
        <v>EXP00451</v>
      </c>
      <c r="B21064" s="3" t="s">
        <v>66</v>
      </c>
      <c r="C21064" s="4" t="str">
        <f t="shared" si="1413"/>
        <v>TCGA-UCEC</v>
      </c>
      <c r="D21064" s="1" t="s">
        <v>493</v>
      </c>
      <c r="E21064" t="s">
        <v>598</v>
      </c>
      <c r="F21064" s="1">
        <v>2</v>
      </c>
      <c r="G21064" s="1" t="s">
        <v>32</v>
      </c>
      <c r="H21064" s="4" t="str">
        <f>HYPERLINK("https://portal.gdc.cancer.gov/cases/6c2a0f37-49cd-4fd0-b126-58b35f9121df","TCGA-BG-A0VX-01A")</f>
        <v>TCGA-BG-A0VX-01A</v>
      </c>
      <c r="I21064" t="s">
        <v>444</v>
      </c>
      <c r="J21064" t="s">
        <v>599</v>
      </c>
      <c r="K21064" t="s">
        <v>33</v>
      </c>
      <c r="L21064" t="s">
        <v>600</v>
      </c>
      <c r="N21064" t="s">
        <v>29</v>
      </c>
    </row>
    <row r="21065" spans="1:14">
      <c r="A21065" s="4" t="str">
        <f t="shared" si="1412"/>
        <v>EXP00451</v>
      </c>
      <c r="B21065" s="3" t="s">
        <v>66</v>
      </c>
      <c r="C21065" s="4" t="str">
        <f t="shared" si="1413"/>
        <v>TCGA-UCEC</v>
      </c>
      <c r="D21065" s="1" t="s">
        <v>493</v>
      </c>
      <c r="E21065" t="s">
        <v>598</v>
      </c>
      <c r="F21065" s="1">
        <v>2</v>
      </c>
      <c r="G21065" s="1" t="s">
        <v>32</v>
      </c>
      <c r="H21065" s="4" t="str">
        <f>HYPERLINK("https://portal.gdc.cancer.gov/cases/edee2bf5-284c-4d77-823a-d037fe4c4b9e","TCGA-BG-A0VZ-01A")</f>
        <v>TCGA-BG-A0VZ-01A</v>
      </c>
      <c r="I21065" t="s">
        <v>444</v>
      </c>
      <c r="J21065" t="s">
        <v>599</v>
      </c>
      <c r="K21065" t="s">
        <v>33</v>
      </c>
      <c r="L21065" t="s">
        <v>600</v>
      </c>
      <c r="N21065" t="s">
        <v>29</v>
      </c>
    </row>
    <row r="21066" spans="1:14">
      <c r="A21066" s="4" t="str">
        <f t="shared" si="1412"/>
        <v>EXP00451</v>
      </c>
      <c r="B21066" s="3" t="s">
        <v>66</v>
      </c>
      <c r="C21066" s="4" t="str">
        <f t="shared" si="1413"/>
        <v>TCGA-UCEC</v>
      </c>
      <c r="D21066" s="1" t="s">
        <v>493</v>
      </c>
      <c r="E21066" t="s">
        <v>598</v>
      </c>
      <c r="F21066" s="1">
        <v>2</v>
      </c>
      <c r="G21066" s="1" t="s">
        <v>32</v>
      </c>
      <c r="H21066" s="4" t="str">
        <f>HYPERLINK("https://portal.gdc.cancer.gov/cases/2d750c67-24a2-4b12-b4f2-dbd65f2f27f0","TCGA-BG-A0W1-01A")</f>
        <v>TCGA-BG-A0W1-01A</v>
      </c>
      <c r="I21066" t="s">
        <v>444</v>
      </c>
      <c r="J21066" t="s">
        <v>599</v>
      </c>
      <c r="K21066" t="s">
        <v>33</v>
      </c>
      <c r="L21066" t="s">
        <v>600</v>
      </c>
      <c r="N21066" t="s">
        <v>29</v>
      </c>
    </row>
    <row r="21067" spans="1:14">
      <c r="A21067" s="4" t="str">
        <f t="shared" si="1412"/>
        <v>EXP00451</v>
      </c>
      <c r="B21067" s="3" t="s">
        <v>66</v>
      </c>
      <c r="C21067" s="4" t="str">
        <f t="shared" si="1413"/>
        <v>TCGA-UCEC</v>
      </c>
      <c r="D21067" s="1" t="s">
        <v>493</v>
      </c>
      <c r="E21067" t="s">
        <v>598</v>
      </c>
      <c r="F21067" s="1">
        <v>2</v>
      </c>
      <c r="G21067" s="1" t="s">
        <v>32</v>
      </c>
      <c r="H21067" s="4" t="str">
        <f>HYPERLINK("https://portal.gdc.cancer.gov/cases/f47df5f9-7c60-4b1a-b574-7036245af341","TCGA-BG-A0W2-01A")</f>
        <v>TCGA-BG-A0W2-01A</v>
      </c>
      <c r="I21067" t="s">
        <v>444</v>
      </c>
      <c r="J21067" t="s">
        <v>599</v>
      </c>
      <c r="K21067" t="s">
        <v>33</v>
      </c>
      <c r="L21067" t="s">
        <v>600</v>
      </c>
      <c r="N21067" t="s">
        <v>29</v>
      </c>
    </row>
    <row r="21068" spans="1:14">
      <c r="A21068" s="4" t="str">
        <f t="shared" si="1412"/>
        <v>EXP00451</v>
      </c>
      <c r="B21068" s="3" t="s">
        <v>66</v>
      </c>
      <c r="C21068" s="4" t="str">
        <f t="shared" si="1413"/>
        <v>TCGA-UCEC</v>
      </c>
      <c r="D21068" s="1" t="s">
        <v>493</v>
      </c>
      <c r="E21068" t="s">
        <v>598</v>
      </c>
      <c r="F21068" s="1">
        <v>2</v>
      </c>
      <c r="G21068" s="1" t="s">
        <v>32</v>
      </c>
      <c r="H21068" s="4" t="str">
        <f>HYPERLINK("https://portal.gdc.cancer.gov/cases/957ac10a-7365-47b1-bbed-47e5d42fbfdf","TCGA-BG-A0YU-01A")</f>
        <v>TCGA-BG-A0YU-01A</v>
      </c>
      <c r="I21068" t="s">
        <v>444</v>
      </c>
      <c r="J21068" t="s">
        <v>599</v>
      </c>
      <c r="K21068" t="s">
        <v>33</v>
      </c>
      <c r="L21068" t="s">
        <v>600</v>
      </c>
      <c r="N21068" t="s">
        <v>29</v>
      </c>
    </row>
    <row r="21069" spans="1:14">
      <c r="A21069" s="4" t="str">
        <f t="shared" si="1412"/>
        <v>EXP00451</v>
      </c>
      <c r="B21069" s="3" t="s">
        <v>66</v>
      </c>
      <c r="C21069" s="4" t="str">
        <f t="shared" si="1413"/>
        <v>TCGA-UCEC</v>
      </c>
      <c r="D21069" s="1" t="s">
        <v>493</v>
      </c>
      <c r="E21069" t="s">
        <v>598</v>
      </c>
      <c r="F21069" s="1">
        <v>2</v>
      </c>
      <c r="G21069" s="1" t="s">
        <v>32</v>
      </c>
      <c r="H21069" s="4" t="str">
        <f>HYPERLINK("https://portal.gdc.cancer.gov/cases/d8e57746-37a1-482a-a3d3-a11bd00cdc11","TCGA-BG-A0YV-01A")</f>
        <v>TCGA-BG-A0YV-01A</v>
      </c>
      <c r="I21069" t="s">
        <v>444</v>
      </c>
      <c r="J21069" t="s">
        <v>599</v>
      </c>
      <c r="K21069" t="s">
        <v>33</v>
      </c>
      <c r="L21069" t="s">
        <v>600</v>
      </c>
      <c r="N21069" t="s">
        <v>29</v>
      </c>
    </row>
    <row r="21070" spans="1:14">
      <c r="A21070" s="4" t="str">
        <f t="shared" si="1412"/>
        <v>EXP00451</v>
      </c>
      <c r="B21070" s="3" t="s">
        <v>66</v>
      </c>
      <c r="C21070" s="4" t="str">
        <f t="shared" si="1413"/>
        <v>TCGA-UCEC</v>
      </c>
      <c r="D21070" s="1" t="s">
        <v>493</v>
      </c>
      <c r="E21070" t="s">
        <v>598</v>
      </c>
      <c r="F21070" s="1">
        <v>2</v>
      </c>
      <c r="G21070" s="1" t="s">
        <v>32</v>
      </c>
      <c r="H21070" s="4" t="str">
        <f>HYPERLINK("https://portal.gdc.cancer.gov/cases/fe4db898-3a9f-4dff-adcb-7b8c30137350","TCGA-BG-A186-01A")</f>
        <v>TCGA-BG-A186-01A</v>
      </c>
      <c r="I21070" t="s">
        <v>444</v>
      </c>
      <c r="J21070" t="s">
        <v>599</v>
      </c>
      <c r="K21070" t="s">
        <v>33</v>
      </c>
      <c r="L21070" t="s">
        <v>600</v>
      </c>
      <c r="N21070" t="s">
        <v>29</v>
      </c>
    </row>
    <row r="21071" spans="1:14">
      <c r="A21071" s="4" t="str">
        <f t="shared" si="1412"/>
        <v>EXP00451</v>
      </c>
      <c r="B21071" s="3" t="s">
        <v>66</v>
      </c>
      <c r="C21071" s="4" t="str">
        <f t="shared" si="1413"/>
        <v>TCGA-UCEC</v>
      </c>
      <c r="D21071" s="1" t="s">
        <v>493</v>
      </c>
      <c r="E21071" t="s">
        <v>598</v>
      </c>
      <c r="F21071" s="1">
        <v>2</v>
      </c>
      <c r="G21071" s="1" t="s">
        <v>32</v>
      </c>
      <c r="H21071" s="4" t="str">
        <f>HYPERLINK("https://portal.gdc.cancer.gov/cases/0f59bb0a-135c-4793-b1a7-5ad5172ed82d","TCGA-BG-A187-01A")</f>
        <v>TCGA-BG-A187-01A</v>
      </c>
      <c r="I21071" t="s">
        <v>444</v>
      </c>
      <c r="J21071" t="s">
        <v>599</v>
      </c>
      <c r="K21071" t="s">
        <v>33</v>
      </c>
      <c r="L21071" t="s">
        <v>600</v>
      </c>
      <c r="N21071" t="s">
        <v>29</v>
      </c>
    </row>
    <row r="21072" spans="1:14">
      <c r="A21072" s="4" t="str">
        <f t="shared" si="1412"/>
        <v>EXP00451</v>
      </c>
      <c r="B21072" s="3" t="s">
        <v>66</v>
      </c>
      <c r="C21072" s="4" t="str">
        <f t="shared" si="1413"/>
        <v>TCGA-UCEC</v>
      </c>
      <c r="D21072" s="1" t="s">
        <v>493</v>
      </c>
      <c r="E21072" t="s">
        <v>598</v>
      </c>
      <c r="F21072" s="1">
        <v>2</v>
      </c>
      <c r="G21072" s="1" t="s">
        <v>32</v>
      </c>
      <c r="H21072" s="4" t="str">
        <f>HYPERLINK("https://portal.gdc.cancer.gov/cases/feb3e930-3638-44b4-ac0f-a5dcb01fed76","TCGA-BG-A18A-01A")</f>
        <v>TCGA-BG-A18A-01A</v>
      </c>
      <c r="I21072" t="s">
        <v>444</v>
      </c>
      <c r="J21072" t="s">
        <v>599</v>
      </c>
      <c r="K21072" t="s">
        <v>33</v>
      </c>
      <c r="L21072" t="s">
        <v>600</v>
      </c>
      <c r="N21072" t="s">
        <v>29</v>
      </c>
    </row>
    <row r="21073" spans="1:14">
      <c r="A21073" s="4" t="str">
        <f t="shared" si="1412"/>
        <v>EXP00451</v>
      </c>
      <c r="B21073" s="3" t="s">
        <v>66</v>
      </c>
      <c r="C21073" s="4" t="str">
        <f t="shared" si="1413"/>
        <v>TCGA-UCEC</v>
      </c>
      <c r="D21073" s="1" t="s">
        <v>493</v>
      </c>
      <c r="E21073" t="s">
        <v>598</v>
      </c>
      <c r="F21073" s="1">
        <v>2</v>
      </c>
      <c r="G21073" s="1" t="s">
        <v>32</v>
      </c>
      <c r="H21073" s="4" t="str">
        <f>HYPERLINK("https://portal.gdc.cancer.gov/cases/62ae3bb1-8102-4693-aee6-4d8d0d2bc515","TCGA-BG-A18B-01A")</f>
        <v>TCGA-BG-A18B-01A</v>
      </c>
      <c r="I21073" t="s">
        <v>444</v>
      </c>
      <c r="J21073" t="s">
        <v>599</v>
      </c>
      <c r="K21073" t="s">
        <v>33</v>
      </c>
      <c r="L21073" t="s">
        <v>600</v>
      </c>
      <c r="N21073" t="s">
        <v>29</v>
      </c>
    </row>
    <row r="21074" spans="1:14">
      <c r="A21074" s="4" t="str">
        <f t="shared" si="1412"/>
        <v>EXP00451</v>
      </c>
      <c r="B21074" s="3" t="s">
        <v>66</v>
      </c>
      <c r="C21074" s="4" t="str">
        <f t="shared" si="1413"/>
        <v>TCGA-UCEC</v>
      </c>
      <c r="D21074" s="1" t="s">
        <v>493</v>
      </c>
      <c r="E21074" t="s">
        <v>598</v>
      </c>
      <c r="F21074" s="1">
        <v>2</v>
      </c>
      <c r="G21074" s="1" t="s">
        <v>32</v>
      </c>
      <c r="H21074" s="4" t="str">
        <f>HYPERLINK("https://portal.gdc.cancer.gov/cases/66e305ca-8a16-44f0-b837-85e529b7ad55","TCGA-BG-A18C-01A")</f>
        <v>TCGA-BG-A18C-01A</v>
      </c>
      <c r="I21074" t="s">
        <v>444</v>
      </c>
      <c r="J21074" t="s">
        <v>599</v>
      </c>
      <c r="K21074" t="s">
        <v>33</v>
      </c>
      <c r="L21074" t="s">
        <v>600</v>
      </c>
      <c r="N21074" t="s">
        <v>29</v>
      </c>
    </row>
    <row r="21075" spans="1:14">
      <c r="A21075" s="4" t="str">
        <f t="shared" si="1412"/>
        <v>EXP00451</v>
      </c>
      <c r="B21075" s="3" t="s">
        <v>66</v>
      </c>
      <c r="C21075" s="4" t="str">
        <f t="shared" si="1413"/>
        <v>TCGA-UCEC</v>
      </c>
      <c r="D21075" s="1" t="s">
        <v>493</v>
      </c>
      <c r="E21075" t="s">
        <v>598</v>
      </c>
      <c r="F21075" s="1">
        <v>2</v>
      </c>
      <c r="G21075" s="1" t="s">
        <v>32</v>
      </c>
      <c r="H21075" s="4" t="str">
        <f>HYPERLINK("https://portal.gdc.cancer.gov/cases/e7e667be-9b31-4870-9c38-740098f37213","TCGA-BG-A221-01A")</f>
        <v>TCGA-BG-A221-01A</v>
      </c>
      <c r="I21075" t="s">
        <v>444</v>
      </c>
      <c r="J21075" t="s">
        <v>599</v>
      </c>
      <c r="K21075" t="s">
        <v>33</v>
      </c>
      <c r="L21075" t="s">
        <v>600</v>
      </c>
      <c r="N21075" t="s">
        <v>29</v>
      </c>
    </row>
    <row r="21076" spans="1:14">
      <c r="A21076" s="4" t="str">
        <f t="shared" si="1412"/>
        <v>EXP00451</v>
      </c>
      <c r="B21076" s="3" t="s">
        <v>66</v>
      </c>
      <c r="C21076" s="4" t="str">
        <f t="shared" si="1413"/>
        <v>TCGA-UCEC</v>
      </c>
      <c r="D21076" s="1" t="s">
        <v>493</v>
      </c>
      <c r="E21076" t="s">
        <v>598</v>
      </c>
      <c r="F21076" s="1">
        <v>2</v>
      </c>
      <c r="G21076" s="1" t="s">
        <v>32</v>
      </c>
      <c r="H21076" s="4" t="str">
        <f>HYPERLINK("https://portal.gdc.cancer.gov/cases/397b2672-d014-4b57-88dd-17e66ff8be4d","TCGA-BG-A222-01A")</f>
        <v>TCGA-BG-A222-01A</v>
      </c>
      <c r="I21076" t="s">
        <v>444</v>
      </c>
      <c r="J21076" t="s">
        <v>599</v>
      </c>
      <c r="K21076" t="s">
        <v>33</v>
      </c>
      <c r="L21076" t="s">
        <v>600</v>
      </c>
      <c r="N21076" t="s">
        <v>29</v>
      </c>
    </row>
    <row r="21077" spans="1:14">
      <c r="A21077" s="4" t="str">
        <f t="shared" si="1412"/>
        <v>EXP00451</v>
      </c>
      <c r="B21077" s="3" t="s">
        <v>66</v>
      </c>
      <c r="C21077" s="4" t="str">
        <f t="shared" si="1413"/>
        <v>TCGA-UCEC</v>
      </c>
      <c r="D21077" s="1" t="s">
        <v>493</v>
      </c>
      <c r="E21077" t="s">
        <v>598</v>
      </c>
      <c r="F21077" s="1">
        <v>2</v>
      </c>
      <c r="G21077" s="1" t="s">
        <v>32</v>
      </c>
      <c r="H21077" s="4" t="str">
        <f>HYPERLINK("https://portal.gdc.cancer.gov/cases/49adc60f-211b-4547-84f6-094257767409","TCGA-BG-A2AD-01A")</f>
        <v>TCGA-BG-A2AD-01A</v>
      </c>
      <c r="I21077" t="s">
        <v>444</v>
      </c>
      <c r="J21077" t="s">
        <v>599</v>
      </c>
      <c r="K21077" t="s">
        <v>33</v>
      </c>
      <c r="L21077" t="s">
        <v>600</v>
      </c>
      <c r="N21077" t="s">
        <v>29</v>
      </c>
    </row>
    <row r="21078" spans="1:14">
      <c r="A21078" s="4" t="str">
        <f t="shared" si="1412"/>
        <v>EXP00451</v>
      </c>
      <c r="B21078" s="3" t="s">
        <v>66</v>
      </c>
      <c r="C21078" s="4" t="str">
        <f t="shared" si="1413"/>
        <v>TCGA-UCEC</v>
      </c>
      <c r="D21078" s="1" t="s">
        <v>493</v>
      </c>
      <c r="E21078" t="s">
        <v>598</v>
      </c>
      <c r="F21078" s="1">
        <v>2</v>
      </c>
      <c r="G21078" s="1" t="s">
        <v>32</v>
      </c>
      <c r="H21078" s="4" t="str">
        <f>HYPERLINK("https://portal.gdc.cancer.gov/cases/f384eb3f-92ab-4327-87eb-45b5f72a1580","TCGA-BG-A2AE-01A")</f>
        <v>TCGA-BG-A2AE-01A</v>
      </c>
      <c r="I21078" t="s">
        <v>444</v>
      </c>
      <c r="J21078" t="s">
        <v>599</v>
      </c>
      <c r="K21078" t="s">
        <v>33</v>
      </c>
      <c r="L21078" t="s">
        <v>600</v>
      </c>
      <c r="N21078" t="s">
        <v>29</v>
      </c>
    </row>
    <row r="21079" spans="1:14">
      <c r="A21079" s="4" t="str">
        <f t="shared" si="1412"/>
        <v>EXP00451</v>
      </c>
      <c r="B21079" s="3" t="s">
        <v>66</v>
      </c>
      <c r="C21079" s="4" t="str">
        <f t="shared" si="1413"/>
        <v>TCGA-UCEC</v>
      </c>
      <c r="D21079" s="1" t="s">
        <v>493</v>
      </c>
      <c r="E21079" t="s">
        <v>598</v>
      </c>
      <c r="F21079" s="1">
        <v>2</v>
      </c>
      <c r="G21079" s="1" t="s">
        <v>32</v>
      </c>
      <c r="H21079" s="4" t="str">
        <f>HYPERLINK("https://portal.gdc.cancer.gov/cases/214a09bb-ce52-4055-b036-065e8cb7ac7d","TCGA-BG-A2L7-01A")</f>
        <v>TCGA-BG-A2L7-01A</v>
      </c>
      <c r="I21079" t="s">
        <v>444</v>
      </c>
      <c r="J21079" t="s">
        <v>599</v>
      </c>
      <c r="K21079" t="s">
        <v>33</v>
      </c>
      <c r="L21079" t="s">
        <v>600</v>
      </c>
      <c r="N21079" t="s">
        <v>29</v>
      </c>
    </row>
    <row r="21080" spans="1:14">
      <c r="A21080" s="4" t="str">
        <f t="shared" si="1412"/>
        <v>EXP00451</v>
      </c>
      <c r="B21080" s="3" t="s">
        <v>66</v>
      </c>
      <c r="C21080" s="4" t="str">
        <f t="shared" si="1413"/>
        <v>TCGA-UCEC</v>
      </c>
      <c r="D21080" s="1" t="s">
        <v>493</v>
      </c>
      <c r="E21080" t="s">
        <v>598</v>
      </c>
      <c r="F21080" s="1">
        <v>2</v>
      </c>
      <c r="G21080" s="1" t="s">
        <v>32</v>
      </c>
      <c r="H21080" s="4" t="str">
        <f>HYPERLINK("https://portal.gdc.cancer.gov/cases/a31554af-d77a-4862-8aed-4581fb2bd877","TCGA-BG-A3EW-01A")</f>
        <v>TCGA-BG-A3EW-01A</v>
      </c>
      <c r="I21080" t="s">
        <v>444</v>
      </c>
      <c r="J21080" t="s">
        <v>599</v>
      </c>
      <c r="K21080" t="s">
        <v>33</v>
      </c>
      <c r="L21080" t="s">
        <v>600</v>
      </c>
      <c r="N21080" t="s">
        <v>29</v>
      </c>
    </row>
    <row r="21081" spans="1:14">
      <c r="A21081" s="4" t="str">
        <f t="shared" si="1412"/>
        <v>EXP00451</v>
      </c>
      <c r="B21081" s="3" t="s">
        <v>66</v>
      </c>
      <c r="C21081" s="4" t="str">
        <f t="shared" si="1413"/>
        <v>TCGA-UCEC</v>
      </c>
      <c r="D21081" s="1" t="s">
        <v>493</v>
      </c>
      <c r="E21081" t="s">
        <v>598</v>
      </c>
      <c r="F21081" s="1">
        <v>2</v>
      </c>
      <c r="G21081" s="1" t="s">
        <v>32</v>
      </c>
      <c r="H21081" s="4" t="str">
        <f>HYPERLINK("https://portal.gdc.cancer.gov/cases/9f92080f-f6e0-42db-a02b-b3069664f6d0","TCGA-BG-A3PP-01A")</f>
        <v>TCGA-BG-A3PP-01A</v>
      </c>
      <c r="I21081" t="s">
        <v>444</v>
      </c>
      <c r="J21081" t="s">
        <v>599</v>
      </c>
      <c r="K21081" t="s">
        <v>33</v>
      </c>
      <c r="L21081" t="s">
        <v>600</v>
      </c>
      <c r="N21081" t="s">
        <v>29</v>
      </c>
    </row>
    <row r="21082" spans="1:14">
      <c r="A21082" s="4" t="str">
        <f t="shared" si="1412"/>
        <v>EXP00451</v>
      </c>
      <c r="B21082" s="3" t="s">
        <v>66</v>
      </c>
      <c r="C21082" s="4" t="str">
        <f t="shared" si="1413"/>
        <v>TCGA-UCEC</v>
      </c>
      <c r="D21082" s="1" t="s">
        <v>493</v>
      </c>
      <c r="E21082" t="s">
        <v>598</v>
      </c>
      <c r="F21082" s="1">
        <v>2</v>
      </c>
      <c r="G21082" s="1" t="s">
        <v>32</v>
      </c>
      <c r="H21082" s="4" t="str">
        <f>HYPERLINK("https://portal.gdc.cancer.gov/cases/92a2cae3-b8ee-4ebb-ac5c-01e58749448f","TCGA-BK-A0C9-01A")</f>
        <v>TCGA-BK-A0C9-01A</v>
      </c>
      <c r="I21082" t="s">
        <v>444</v>
      </c>
      <c r="J21082" t="s">
        <v>599</v>
      </c>
      <c r="K21082" t="s">
        <v>33</v>
      </c>
      <c r="L21082" t="s">
        <v>600</v>
      </c>
      <c r="N21082" t="s">
        <v>29</v>
      </c>
    </row>
    <row r="21083" spans="1:14">
      <c r="A21083" s="4" t="str">
        <f t="shared" si="1412"/>
        <v>EXP00451</v>
      </c>
      <c r="B21083" s="3" t="s">
        <v>66</v>
      </c>
      <c r="C21083" s="4" t="str">
        <f t="shared" si="1413"/>
        <v>TCGA-UCEC</v>
      </c>
      <c r="D21083" s="1" t="s">
        <v>493</v>
      </c>
      <c r="E21083" t="s">
        <v>598</v>
      </c>
      <c r="F21083" s="1">
        <v>2</v>
      </c>
      <c r="G21083" s="1" t="s">
        <v>32</v>
      </c>
      <c r="H21083" s="4" t="str">
        <f>HYPERLINK("https://portal.gdc.cancer.gov/cases/51bd85e2-2c60-4654-bfcb-83dccef8964b","TCGA-BK-A0CA-01A")</f>
        <v>TCGA-BK-A0CA-01A</v>
      </c>
      <c r="I21083" t="s">
        <v>444</v>
      </c>
      <c r="J21083" t="s">
        <v>599</v>
      </c>
      <c r="K21083" t="s">
        <v>33</v>
      </c>
      <c r="L21083" t="s">
        <v>600</v>
      </c>
      <c r="N21083" t="s">
        <v>29</v>
      </c>
    </row>
    <row r="21084" spans="1:14">
      <c r="A21084" s="4" t="str">
        <f t="shared" si="1412"/>
        <v>EXP00451</v>
      </c>
      <c r="B21084" s="3" t="s">
        <v>66</v>
      </c>
      <c r="C21084" s="4" t="str">
        <f t="shared" si="1413"/>
        <v>TCGA-UCEC</v>
      </c>
      <c r="D21084" s="1" t="s">
        <v>493</v>
      </c>
      <c r="E21084" t="s">
        <v>598</v>
      </c>
      <c r="F21084" s="1">
        <v>2</v>
      </c>
      <c r="G21084" s="1" t="s">
        <v>32</v>
      </c>
      <c r="H21084" s="4" t="str">
        <f>HYPERLINK("https://portal.gdc.cancer.gov/cases/51bd85e2-2c60-4654-bfcb-83dccef8964b","TCGA-BK-A0CA-01B")</f>
        <v>TCGA-BK-A0CA-01B</v>
      </c>
      <c r="I21084" t="s">
        <v>444</v>
      </c>
      <c r="J21084" t="s">
        <v>599</v>
      </c>
      <c r="K21084" t="s">
        <v>33</v>
      </c>
      <c r="L21084" t="s">
        <v>600</v>
      </c>
      <c r="N21084" t="s">
        <v>29</v>
      </c>
    </row>
    <row r="21085" spans="1:14">
      <c r="A21085" s="4" t="str">
        <f t="shared" si="1412"/>
        <v>EXP00451</v>
      </c>
      <c r="B21085" s="3" t="s">
        <v>66</v>
      </c>
      <c r="C21085" s="4" t="str">
        <f t="shared" si="1413"/>
        <v>TCGA-UCEC</v>
      </c>
      <c r="D21085" s="1" t="s">
        <v>493</v>
      </c>
      <c r="E21085" t="s">
        <v>598</v>
      </c>
      <c r="F21085" s="1">
        <v>2</v>
      </c>
      <c r="G21085" s="1" t="s">
        <v>32</v>
      </c>
      <c r="H21085" s="4" t="str">
        <f>HYPERLINK("https://portal.gdc.cancer.gov/cases/2b865f8c-539f-4cb2-8f08-41709e9511e5","TCGA-BK-A0CC-01A")</f>
        <v>TCGA-BK-A0CC-01A</v>
      </c>
      <c r="I21085" t="s">
        <v>444</v>
      </c>
      <c r="J21085" t="s">
        <v>599</v>
      </c>
      <c r="K21085" t="s">
        <v>33</v>
      </c>
      <c r="L21085" t="s">
        <v>600</v>
      </c>
      <c r="N21085" t="s">
        <v>29</v>
      </c>
    </row>
    <row r="21086" spans="1:14">
      <c r="A21086" s="4" t="str">
        <f t="shared" si="1412"/>
        <v>EXP00451</v>
      </c>
      <c r="B21086" s="3" t="s">
        <v>66</v>
      </c>
      <c r="C21086" s="4" t="str">
        <f t="shared" si="1413"/>
        <v>TCGA-UCEC</v>
      </c>
      <c r="D21086" s="1" t="s">
        <v>493</v>
      </c>
      <c r="E21086" t="s">
        <v>598</v>
      </c>
      <c r="F21086" s="1">
        <v>2</v>
      </c>
      <c r="G21086" s="1" t="s">
        <v>32</v>
      </c>
      <c r="H21086" s="4" t="str">
        <f>HYPERLINK("https://portal.gdc.cancer.gov/cases/2b865f8c-539f-4cb2-8f08-41709e9511e5","TCGA-BK-A0CC-01B")</f>
        <v>TCGA-BK-A0CC-01B</v>
      </c>
      <c r="I21086" t="s">
        <v>444</v>
      </c>
      <c r="J21086" t="s">
        <v>599</v>
      </c>
      <c r="K21086" t="s">
        <v>33</v>
      </c>
      <c r="L21086" t="s">
        <v>600</v>
      </c>
      <c r="N21086" t="s">
        <v>29</v>
      </c>
    </row>
    <row r="21087" spans="1:14">
      <c r="A21087" s="4" t="str">
        <f t="shared" si="1412"/>
        <v>EXP00451</v>
      </c>
      <c r="B21087" s="3" t="s">
        <v>66</v>
      </c>
      <c r="C21087" s="4" t="str">
        <f t="shared" si="1413"/>
        <v>TCGA-UCEC</v>
      </c>
      <c r="D21087" s="1" t="s">
        <v>493</v>
      </c>
      <c r="E21087" t="s">
        <v>598</v>
      </c>
      <c r="F21087" s="1">
        <v>2</v>
      </c>
      <c r="G21087" s="1" t="s">
        <v>32</v>
      </c>
      <c r="H21087" s="4" t="str">
        <f>HYPERLINK("https://portal.gdc.cancer.gov/cases/8d9e4917-334b-4c76-aee1-1e22be772db0","TCGA-BK-A139-01A")</f>
        <v>TCGA-BK-A139-01A</v>
      </c>
      <c r="I21087" t="s">
        <v>444</v>
      </c>
      <c r="J21087" t="s">
        <v>599</v>
      </c>
      <c r="K21087" t="s">
        <v>33</v>
      </c>
      <c r="L21087" t="s">
        <v>600</v>
      </c>
      <c r="N21087" t="s">
        <v>29</v>
      </c>
    </row>
    <row r="21088" spans="1:14">
      <c r="A21088" s="4" t="str">
        <f t="shared" si="1412"/>
        <v>EXP00451</v>
      </c>
      <c r="B21088" s="3" t="s">
        <v>66</v>
      </c>
      <c r="C21088" s="4" t="str">
        <f t="shared" si="1413"/>
        <v>TCGA-UCEC</v>
      </c>
      <c r="D21088" s="1" t="s">
        <v>493</v>
      </c>
      <c r="E21088" t="s">
        <v>598</v>
      </c>
      <c r="F21088" s="1">
        <v>2</v>
      </c>
      <c r="G21088" s="1" t="s">
        <v>32</v>
      </c>
      <c r="H21088" s="4" t="str">
        <f>HYPERLINK("https://portal.gdc.cancer.gov/cases/e71b3ce1-41e0-4cfc-9570-367b8c2124c1","TCGA-BK-A13B-01A")</f>
        <v>TCGA-BK-A13B-01A</v>
      </c>
      <c r="I21088" t="s">
        <v>444</v>
      </c>
      <c r="J21088" t="s">
        <v>599</v>
      </c>
      <c r="K21088" t="s">
        <v>33</v>
      </c>
      <c r="L21088" t="s">
        <v>600</v>
      </c>
      <c r="N21088" t="s">
        <v>29</v>
      </c>
    </row>
    <row r="21089" spans="1:14">
      <c r="A21089" s="4" t="str">
        <f t="shared" si="1412"/>
        <v>EXP00451</v>
      </c>
      <c r="B21089" s="3" t="s">
        <v>66</v>
      </c>
      <c r="C21089" s="4" t="str">
        <f t="shared" si="1413"/>
        <v>TCGA-UCEC</v>
      </c>
      <c r="D21089" s="1" t="s">
        <v>493</v>
      </c>
      <c r="E21089" t="s">
        <v>598</v>
      </c>
      <c r="F21089" s="1">
        <v>2</v>
      </c>
      <c r="G21089" s="1" t="s">
        <v>32</v>
      </c>
      <c r="H21089" s="4" t="str">
        <f>HYPERLINK("https://portal.gdc.cancer.gov/cases/ce73d0aa-bb3d-4aa3-8ed3-e9912cf25d38","TCGA-BK-A13C-01A")</f>
        <v>TCGA-BK-A13C-01A</v>
      </c>
      <c r="I21089" t="s">
        <v>444</v>
      </c>
      <c r="J21089" t="s">
        <v>599</v>
      </c>
      <c r="K21089" t="s">
        <v>33</v>
      </c>
      <c r="L21089" t="s">
        <v>600</v>
      </c>
      <c r="N21089" t="s">
        <v>29</v>
      </c>
    </row>
    <row r="21090" spans="1:14">
      <c r="A21090" s="4" t="str">
        <f t="shared" si="1412"/>
        <v>EXP00451</v>
      </c>
      <c r="B21090" s="3" t="s">
        <v>66</v>
      </c>
      <c r="C21090" s="4" t="str">
        <f t="shared" si="1413"/>
        <v>TCGA-UCEC</v>
      </c>
      <c r="D21090" s="1" t="s">
        <v>493</v>
      </c>
      <c r="E21090" t="s">
        <v>598</v>
      </c>
      <c r="F21090" s="1">
        <v>2</v>
      </c>
      <c r="G21090" s="1" t="s">
        <v>32</v>
      </c>
      <c r="H21090" s="4" t="str">
        <f>HYPERLINK("https://portal.gdc.cancer.gov/cases/ab7adf74-6e87-4117-9742-54e323348e06","TCGA-BK-A26L-01A")</f>
        <v>TCGA-BK-A26L-01A</v>
      </c>
      <c r="I21090" t="s">
        <v>444</v>
      </c>
      <c r="J21090" t="s">
        <v>599</v>
      </c>
      <c r="K21090" t="s">
        <v>33</v>
      </c>
      <c r="L21090" t="s">
        <v>600</v>
      </c>
      <c r="N21090" t="s">
        <v>29</v>
      </c>
    </row>
    <row r="21091" spans="1:14">
      <c r="A21091" s="4" t="str">
        <f t="shared" si="1412"/>
        <v>EXP00451</v>
      </c>
      <c r="B21091" s="3" t="s">
        <v>66</v>
      </c>
      <c r="C21091" s="4" t="str">
        <f t="shared" si="1413"/>
        <v>TCGA-UCEC</v>
      </c>
      <c r="D21091" s="1" t="s">
        <v>493</v>
      </c>
      <c r="E21091" t="s">
        <v>598</v>
      </c>
      <c r="F21091" s="1">
        <v>2</v>
      </c>
      <c r="G21091" s="1" t="s">
        <v>32</v>
      </c>
      <c r="H21091" s="4" t="str">
        <f>HYPERLINK("https://portal.gdc.cancer.gov/cases/ab7adf74-6e87-4117-9742-54e323348e06","TCGA-BK-A26L-01C")</f>
        <v>TCGA-BK-A26L-01C</v>
      </c>
      <c r="I21091" t="s">
        <v>444</v>
      </c>
      <c r="J21091" t="s">
        <v>599</v>
      </c>
      <c r="K21091" t="s">
        <v>33</v>
      </c>
      <c r="L21091" t="s">
        <v>600</v>
      </c>
      <c r="N21091" t="s">
        <v>29</v>
      </c>
    </row>
    <row r="21092" spans="1:14">
      <c r="A21092" s="4" t="str">
        <f t="shared" si="1412"/>
        <v>EXP00451</v>
      </c>
      <c r="B21092" s="3" t="s">
        <v>66</v>
      </c>
      <c r="C21092" s="4" t="str">
        <f t="shared" si="1413"/>
        <v>TCGA-UCEC</v>
      </c>
      <c r="D21092" s="1" t="s">
        <v>493</v>
      </c>
      <c r="E21092" t="s">
        <v>598</v>
      </c>
      <c r="F21092" s="1">
        <v>2</v>
      </c>
      <c r="G21092" s="1" t="s">
        <v>32</v>
      </c>
      <c r="H21092" s="4" t="str">
        <f>HYPERLINK("https://portal.gdc.cancer.gov/cases/1c4d225e-e065-4e26-9413-78f54a7e0cf5","TCGA-BK-A4ZD-01A")</f>
        <v>TCGA-BK-A4ZD-01A</v>
      </c>
      <c r="I21092" t="s">
        <v>444</v>
      </c>
      <c r="J21092" t="s">
        <v>599</v>
      </c>
      <c r="K21092" t="s">
        <v>33</v>
      </c>
      <c r="L21092" t="s">
        <v>600</v>
      </c>
      <c r="N21092" t="s">
        <v>29</v>
      </c>
    </row>
    <row r="21093" spans="1:14">
      <c r="A21093" s="4" t="str">
        <f t="shared" si="1412"/>
        <v>EXP00451</v>
      </c>
      <c r="B21093" s="3" t="s">
        <v>66</v>
      </c>
      <c r="C21093" s="4" t="str">
        <f t="shared" si="1413"/>
        <v>TCGA-UCEC</v>
      </c>
      <c r="D21093" s="1" t="s">
        <v>493</v>
      </c>
      <c r="E21093" t="s">
        <v>598</v>
      </c>
      <c r="F21093" s="1">
        <v>2</v>
      </c>
      <c r="G21093" s="1" t="s">
        <v>32</v>
      </c>
      <c r="H21093" s="4" t="str">
        <f>HYPERLINK("https://portal.gdc.cancer.gov/cases/2d166dc0-8890-4b00-ab73-9e2dbb6c530d","TCGA-BK-A56F-01A")</f>
        <v>TCGA-BK-A56F-01A</v>
      </c>
      <c r="I21093" t="s">
        <v>444</v>
      </c>
      <c r="J21093" t="s">
        <v>599</v>
      </c>
      <c r="K21093" t="s">
        <v>33</v>
      </c>
      <c r="L21093" t="s">
        <v>600</v>
      </c>
      <c r="N21093" t="s">
        <v>29</v>
      </c>
    </row>
    <row r="21094" spans="1:14">
      <c r="A21094" s="4" t="str">
        <f t="shared" si="1412"/>
        <v>EXP00451</v>
      </c>
      <c r="B21094" s="3" t="s">
        <v>66</v>
      </c>
      <c r="C21094" s="4" t="str">
        <f t="shared" si="1413"/>
        <v>TCGA-UCEC</v>
      </c>
      <c r="D21094" s="1" t="s">
        <v>493</v>
      </c>
      <c r="E21094" t="s">
        <v>598</v>
      </c>
      <c r="F21094" s="1">
        <v>2</v>
      </c>
      <c r="G21094" s="1" t="s">
        <v>32</v>
      </c>
      <c r="H21094" s="4" t="str">
        <f>HYPERLINK("https://portal.gdc.cancer.gov/cases/119b1761-a5b4-42b6-9971-ece11fb0e0f6","TCGA-BK-A6W3-01A")</f>
        <v>TCGA-BK-A6W3-01A</v>
      </c>
      <c r="I21094" t="s">
        <v>444</v>
      </c>
      <c r="J21094" t="s">
        <v>599</v>
      </c>
      <c r="K21094" t="s">
        <v>33</v>
      </c>
      <c r="L21094" t="s">
        <v>600</v>
      </c>
      <c r="N21094" t="s">
        <v>29</v>
      </c>
    </row>
    <row r="21095" spans="1:14">
      <c r="A21095" s="4" t="str">
        <f t="shared" si="1412"/>
        <v>EXP00451</v>
      </c>
      <c r="B21095" s="3" t="s">
        <v>66</v>
      </c>
      <c r="C21095" s="4" t="str">
        <f t="shared" si="1413"/>
        <v>TCGA-UCEC</v>
      </c>
      <c r="D21095" s="1" t="s">
        <v>493</v>
      </c>
      <c r="E21095" t="s">
        <v>598</v>
      </c>
      <c r="F21095" s="1">
        <v>2</v>
      </c>
      <c r="G21095" s="1" t="s">
        <v>32</v>
      </c>
      <c r="H21095" s="4" t="str">
        <f>HYPERLINK("https://portal.gdc.cancer.gov/cases/8e7792b3-2b6c-47ac-acbe-3da7462a8321","TCGA-BK-A6W4-01A")</f>
        <v>TCGA-BK-A6W4-01A</v>
      </c>
      <c r="I21095" t="s">
        <v>444</v>
      </c>
      <c r="J21095" t="s">
        <v>599</v>
      </c>
      <c r="K21095" t="s">
        <v>33</v>
      </c>
      <c r="L21095" t="s">
        <v>600</v>
      </c>
      <c r="N21095" t="s">
        <v>29</v>
      </c>
    </row>
    <row r="21096" spans="1:14">
      <c r="A21096" s="4" t="str">
        <f t="shared" si="1412"/>
        <v>EXP00451</v>
      </c>
      <c r="B21096" s="3" t="s">
        <v>66</v>
      </c>
      <c r="C21096" s="4" t="str">
        <f t="shared" si="1413"/>
        <v>TCGA-UCEC</v>
      </c>
      <c r="D21096" s="1" t="s">
        <v>493</v>
      </c>
      <c r="E21096" t="s">
        <v>598</v>
      </c>
      <c r="F21096" s="1">
        <v>2</v>
      </c>
      <c r="G21096" s="1" t="s">
        <v>32</v>
      </c>
      <c r="H21096" s="4" t="str">
        <f>HYPERLINK("https://portal.gdc.cancer.gov/cases/4eb95566-0e73-4260-853e-f7df650667a0","TCGA-BS-A0T9-01A")</f>
        <v>TCGA-BS-A0T9-01A</v>
      </c>
      <c r="I21096" t="s">
        <v>444</v>
      </c>
      <c r="J21096" t="s">
        <v>599</v>
      </c>
      <c r="K21096" t="s">
        <v>33</v>
      </c>
      <c r="L21096" t="s">
        <v>600</v>
      </c>
      <c r="N21096" t="s">
        <v>29</v>
      </c>
    </row>
    <row r="21097" spans="1:14">
      <c r="A21097" s="4" t="str">
        <f t="shared" si="1412"/>
        <v>EXP00451</v>
      </c>
      <c r="B21097" s="3" t="s">
        <v>66</v>
      </c>
      <c r="C21097" s="4" t="str">
        <f t="shared" si="1413"/>
        <v>TCGA-UCEC</v>
      </c>
      <c r="D21097" s="1" t="s">
        <v>493</v>
      </c>
      <c r="E21097" t="s">
        <v>598</v>
      </c>
      <c r="F21097" s="1">
        <v>2</v>
      </c>
      <c r="G21097" s="1" t="s">
        <v>32</v>
      </c>
      <c r="H21097" s="4" t="str">
        <f>HYPERLINK("https://portal.gdc.cancer.gov/cases/ad3d8420-f562-4cbe-ac82-c968bd4f782d","TCGA-BS-A0TA-01A")</f>
        <v>TCGA-BS-A0TA-01A</v>
      </c>
      <c r="I21097" t="s">
        <v>444</v>
      </c>
      <c r="J21097" t="s">
        <v>599</v>
      </c>
      <c r="K21097" t="s">
        <v>33</v>
      </c>
      <c r="L21097" t="s">
        <v>600</v>
      </c>
      <c r="N21097" t="s">
        <v>29</v>
      </c>
    </row>
    <row r="21098" spans="1:14">
      <c r="A21098" s="4" t="str">
        <f t="shared" si="1412"/>
        <v>EXP00451</v>
      </c>
      <c r="B21098" s="3" t="s">
        <v>66</v>
      </c>
      <c r="C21098" s="4" t="str">
        <f t="shared" si="1413"/>
        <v>TCGA-UCEC</v>
      </c>
      <c r="D21098" s="1" t="s">
        <v>493</v>
      </c>
      <c r="E21098" t="s">
        <v>598</v>
      </c>
      <c r="F21098" s="1">
        <v>2</v>
      </c>
      <c r="G21098" s="1" t="s">
        <v>32</v>
      </c>
      <c r="H21098" s="4" t="str">
        <f>HYPERLINK("https://portal.gdc.cancer.gov/cases/7b7d2d2b-abe6-4f32-add0-3715096995d1","TCGA-BS-A0TC-01A")</f>
        <v>TCGA-BS-A0TC-01A</v>
      </c>
      <c r="I21098" t="s">
        <v>444</v>
      </c>
      <c r="J21098" t="s">
        <v>599</v>
      </c>
      <c r="K21098" t="s">
        <v>33</v>
      </c>
      <c r="L21098" t="s">
        <v>600</v>
      </c>
      <c r="N21098" t="s">
        <v>29</v>
      </c>
    </row>
    <row r="21099" spans="1:14">
      <c r="A21099" s="4" t="str">
        <f t="shared" si="1412"/>
        <v>EXP00451</v>
      </c>
      <c r="B21099" s="3" t="s">
        <v>66</v>
      </c>
      <c r="C21099" s="4" t="str">
        <f t="shared" si="1413"/>
        <v>TCGA-UCEC</v>
      </c>
      <c r="D21099" s="1" t="s">
        <v>493</v>
      </c>
      <c r="E21099" t="s">
        <v>598</v>
      </c>
      <c r="F21099" s="1">
        <v>2</v>
      </c>
      <c r="G21099" s="1" t="s">
        <v>32</v>
      </c>
      <c r="H21099" s="4" t="str">
        <f>HYPERLINK("https://portal.gdc.cancer.gov/cases/ffaa98a0-2b69-46dc-aee5-c5c3f2abbc38","TCGA-BS-A0TD-01A")</f>
        <v>TCGA-BS-A0TD-01A</v>
      </c>
      <c r="I21099" t="s">
        <v>444</v>
      </c>
      <c r="J21099" t="s">
        <v>599</v>
      </c>
      <c r="K21099" t="s">
        <v>33</v>
      </c>
      <c r="L21099" t="s">
        <v>600</v>
      </c>
      <c r="N21099" t="s">
        <v>29</v>
      </c>
    </row>
    <row r="21100" spans="1:14">
      <c r="A21100" s="4" t="str">
        <f t="shared" si="1412"/>
        <v>EXP00451</v>
      </c>
      <c r="B21100" s="3" t="s">
        <v>66</v>
      </c>
      <c r="C21100" s="4" t="str">
        <f t="shared" si="1413"/>
        <v>TCGA-UCEC</v>
      </c>
      <c r="D21100" s="1" t="s">
        <v>493</v>
      </c>
      <c r="E21100" t="s">
        <v>598</v>
      </c>
      <c r="F21100" s="1">
        <v>2</v>
      </c>
      <c r="G21100" s="1" t="s">
        <v>32</v>
      </c>
      <c r="H21100" s="4" t="str">
        <f>HYPERLINK("https://portal.gdc.cancer.gov/cases/09066fbf-6a1d-46c9-a4c5-c53340c3d1ba","TCGA-BS-A0TE-01A")</f>
        <v>TCGA-BS-A0TE-01A</v>
      </c>
      <c r="I21100" t="s">
        <v>444</v>
      </c>
      <c r="J21100" t="s">
        <v>599</v>
      </c>
      <c r="K21100" t="s">
        <v>33</v>
      </c>
      <c r="L21100" t="s">
        <v>600</v>
      </c>
      <c r="N21100" t="s">
        <v>29</v>
      </c>
    </row>
    <row r="21101" spans="1:14">
      <c r="A21101" s="4" t="str">
        <f t="shared" si="1412"/>
        <v>EXP00451</v>
      </c>
      <c r="B21101" s="3" t="s">
        <v>66</v>
      </c>
      <c r="C21101" s="4" t="str">
        <f t="shared" si="1413"/>
        <v>TCGA-UCEC</v>
      </c>
      <c r="D21101" s="1" t="s">
        <v>493</v>
      </c>
      <c r="E21101" t="s">
        <v>598</v>
      </c>
      <c r="F21101" s="1">
        <v>2</v>
      </c>
      <c r="G21101" s="1" t="s">
        <v>32</v>
      </c>
      <c r="H21101" s="4" t="str">
        <f>HYPERLINK("https://portal.gdc.cancer.gov/cases/13f31bcb-befd-4ed2-adc0-dc9e9ce52b75","TCGA-BS-A0TG-01A")</f>
        <v>TCGA-BS-A0TG-01A</v>
      </c>
      <c r="I21101" t="s">
        <v>444</v>
      </c>
      <c r="J21101" t="s">
        <v>599</v>
      </c>
      <c r="K21101" t="s">
        <v>33</v>
      </c>
      <c r="L21101" t="s">
        <v>600</v>
      </c>
      <c r="N21101" t="s">
        <v>29</v>
      </c>
    </row>
    <row r="21102" spans="1:14">
      <c r="A21102" s="4" t="str">
        <f t="shared" si="1412"/>
        <v>EXP00451</v>
      </c>
      <c r="B21102" s="3" t="s">
        <v>66</v>
      </c>
      <c r="C21102" s="4" t="str">
        <f t="shared" si="1413"/>
        <v>TCGA-UCEC</v>
      </c>
      <c r="D21102" s="1" t="s">
        <v>493</v>
      </c>
      <c r="E21102" t="s">
        <v>598</v>
      </c>
      <c r="F21102" s="1">
        <v>2</v>
      </c>
      <c r="G21102" s="1" t="s">
        <v>32</v>
      </c>
      <c r="H21102" s="4" t="str">
        <f>HYPERLINK("https://portal.gdc.cancer.gov/cases/df857bc6-fd6a-4713-bef9-6ee1301e5fb1","TCGA-BS-A0TI-01A")</f>
        <v>TCGA-BS-A0TI-01A</v>
      </c>
      <c r="I21102" t="s">
        <v>444</v>
      </c>
      <c r="J21102" t="s">
        <v>599</v>
      </c>
      <c r="K21102" t="s">
        <v>33</v>
      </c>
      <c r="L21102" t="s">
        <v>600</v>
      </c>
      <c r="N21102" t="s">
        <v>29</v>
      </c>
    </row>
    <row r="21103" spans="1:14">
      <c r="A21103" s="4" t="str">
        <f t="shared" si="1412"/>
        <v>EXP00451</v>
      </c>
      <c r="B21103" s="3" t="s">
        <v>66</v>
      </c>
      <c r="C21103" s="4" t="str">
        <f t="shared" si="1413"/>
        <v>TCGA-UCEC</v>
      </c>
      <c r="D21103" s="1" t="s">
        <v>493</v>
      </c>
      <c r="E21103" t="s">
        <v>598</v>
      </c>
      <c r="F21103" s="1">
        <v>2</v>
      </c>
      <c r="G21103" s="1" t="s">
        <v>32</v>
      </c>
      <c r="H21103" s="4" t="str">
        <f>HYPERLINK("https://portal.gdc.cancer.gov/cases/f74da4c6-4291-46d2-abd4-7d7f6ef03b00","TCGA-BS-A0TJ-01A")</f>
        <v>TCGA-BS-A0TJ-01A</v>
      </c>
      <c r="I21103" t="s">
        <v>444</v>
      </c>
      <c r="J21103" t="s">
        <v>599</v>
      </c>
      <c r="K21103" t="s">
        <v>33</v>
      </c>
      <c r="L21103" t="s">
        <v>600</v>
      </c>
      <c r="N21103" t="s">
        <v>29</v>
      </c>
    </row>
    <row r="21104" spans="1:14">
      <c r="A21104" s="4" t="str">
        <f t="shared" si="1412"/>
        <v>EXP00451</v>
      </c>
      <c r="B21104" s="3" t="s">
        <v>66</v>
      </c>
      <c r="C21104" s="4" t="str">
        <f t="shared" si="1413"/>
        <v>TCGA-UCEC</v>
      </c>
      <c r="D21104" s="1" t="s">
        <v>493</v>
      </c>
      <c r="E21104" t="s">
        <v>598</v>
      </c>
      <c r="F21104" s="1">
        <v>2</v>
      </c>
      <c r="G21104" s="1" t="s">
        <v>32</v>
      </c>
      <c r="H21104" s="4" t="str">
        <f>HYPERLINK("https://portal.gdc.cancer.gov/cases/c306d7e8-5486-41d3-84dd-9311ce3e2069","TCGA-BS-A0U5-01A")</f>
        <v>TCGA-BS-A0U5-01A</v>
      </c>
      <c r="I21104" t="s">
        <v>444</v>
      </c>
      <c r="J21104" t="s">
        <v>599</v>
      </c>
      <c r="K21104" t="s">
        <v>33</v>
      </c>
      <c r="L21104" t="s">
        <v>600</v>
      </c>
      <c r="N21104" t="s">
        <v>29</v>
      </c>
    </row>
    <row r="21105" spans="1:14">
      <c r="A21105" s="4" t="str">
        <f t="shared" si="1412"/>
        <v>EXP00451</v>
      </c>
      <c r="B21105" s="3" t="s">
        <v>66</v>
      </c>
      <c r="C21105" s="4" t="str">
        <f t="shared" si="1413"/>
        <v>TCGA-UCEC</v>
      </c>
      <c r="D21105" s="1" t="s">
        <v>493</v>
      </c>
      <c r="E21105" t="s">
        <v>598</v>
      </c>
      <c r="F21105" s="1">
        <v>2</v>
      </c>
      <c r="G21105" s="1" t="s">
        <v>32</v>
      </c>
      <c r="H21105" s="4" t="str">
        <f>HYPERLINK("https://portal.gdc.cancer.gov/cases/282ddc43-922d-4f1f-80c7-6ba2de23b7bc","TCGA-BS-A0U7-01A")</f>
        <v>TCGA-BS-A0U7-01A</v>
      </c>
      <c r="I21105" t="s">
        <v>444</v>
      </c>
      <c r="J21105" t="s">
        <v>599</v>
      </c>
      <c r="K21105" t="s">
        <v>33</v>
      </c>
      <c r="L21105" t="s">
        <v>600</v>
      </c>
      <c r="N21105" t="s">
        <v>29</v>
      </c>
    </row>
    <row r="21106" spans="1:14">
      <c r="A21106" s="4" t="str">
        <f t="shared" si="1412"/>
        <v>EXP00451</v>
      </c>
      <c r="B21106" s="3" t="s">
        <v>66</v>
      </c>
      <c r="C21106" s="4" t="str">
        <f t="shared" si="1413"/>
        <v>TCGA-UCEC</v>
      </c>
      <c r="D21106" s="1" t="s">
        <v>493</v>
      </c>
      <c r="E21106" t="s">
        <v>598</v>
      </c>
      <c r="F21106" s="1">
        <v>2</v>
      </c>
      <c r="G21106" s="1" t="s">
        <v>32</v>
      </c>
      <c r="H21106" s="4" t="str">
        <f>HYPERLINK("https://portal.gdc.cancer.gov/cases/fb7475df-30cc-4316-b9ac-37cbeeb6ba2b","TCGA-BS-A0U8-01A")</f>
        <v>TCGA-BS-A0U8-01A</v>
      </c>
      <c r="I21106" t="s">
        <v>444</v>
      </c>
      <c r="J21106" t="s">
        <v>599</v>
      </c>
      <c r="K21106" t="s">
        <v>33</v>
      </c>
      <c r="L21106" t="s">
        <v>600</v>
      </c>
      <c r="N21106" t="s">
        <v>29</v>
      </c>
    </row>
    <row r="21107" spans="1:14">
      <c r="A21107" s="4" t="str">
        <f t="shared" si="1412"/>
        <v>EXP00451</v>
      </c>
      <c r="B21107" s="3" t="s">
        <v>66</v>
      </c>
      <c r="C21107" s="4" t="str">
        <f t="shared" si="1413"/>
        <v>TCGA-UCEC</v>
      </c>
      <c r="D21107" s="1" t="s">
        <v>493</v>
      </c>
      <c r="E21107" t="s">
        <v>598</v>
      </c>
      <c r="F21107" s="1">
        <v>2</v>
      </c>
      <c r="G21107" s="1" t="s">
        <v>32</v>
      </c>
      <c r="H21107" s="4" t="str">
        <f>HYPERLINK("https://portal.gdc.cancer.gov/cases/5ffa2ec6-2d94-4b09-8fb9-3591cf38fa4f","TCGA-BS-A0U9-01B")</f>
        <v>TCGA-BS-A0U9-01B</v>
      </c>
      <c r="I21107" t="s">
        <v>444</v>
      </c>
      <c r="J21107" t="s">
        <v>599</v>
      </c>
      <c r="K21107" t="s">
        <v>33</v>
      </c>
      <c r="L21107" t="s">
        <v>600</v>
      </c>
      <c r="N21107" t="s">
        <v>29</v>
      </c>
    </row>
    <row r="21108" spans="1:14">
      <c r="A21108" s="4" t="str">
        <f t="shared" si="1412"/>
        <v>EXP00451</v>
      </c>
      <c r="B21108" s="3" t="s">
        <v>66</v>
      </c>
      <c r="C21108" s="4" t="str">
        <f t="shared" si="1413"/>
        <v>TCGA-UCEC</v>
      </c>
      <c r="D21108" s="1" t="s">
        <v>493</v>
      </c>
      <c r="E21108" t="s">
        <v>598</v>
      </c>
      <c r="F21108" s="1">
        <v>2</v>
      </c>
      <c r="G21108" s="1" t="s">
        <v>32</v>
      </c>
      <c r="H21108" s="4" t="str">
        <f>HYPERLINK("https://portal.gdc.cancer.gov/cases/a1a0177d-e670-4f2f-a99d-6f668a2f9e8a","TCGA-BS-A0UA-01A")</f>
        <v>TCGA-BS-A0UA-01A</v>
      </c>
      <c r="I21108" t="s">
        <v>444</v>
      </c>
      <c r="J21108" t="s">
        <v>599</v>
      </c>
      <c r="K21108" t="s">
        <v>33</v>
      </c>
      <c r="L21108" t="s">
        <v>600</v>
      </c>
      <c r="N21108" t="s">
        <v>29</v>
      </c>
    </row>
    <row r="21109" spans="1:14">
      <c r="A21109" s="4" t="str">
        <f t="shared" ref="A21109:A21172" si="1414">HYPERLINK("http://hcmdb.i-sanger.com/experiment/details/experiment_id/EXP00451","EXP00451")</f>
        <v>EXP00451</v>
      </c>
      <c r="B21109" s="3" t="s">
        <v>66</v>
      </c>
      <c r="C21109" s="4" t="str">
        <f t="shared" ref="C21109:C21172" si="1415">HYPERLINK("https://portal.gdc.cancer.gov/projects/TCGA-UCEC","TCGA-UCEC")</f>
        <v>TCGA-UCEC</v>
      </c>
      <c r="D21109" s="1" t="s">
        <v>493</v>
      </c>
      <c r="E21109" t="s">
        <v>598</v>
      </c>
      <c r="F21109" s="1">
        <v>2</v>
      </c>
      <c r="G21109" s="1" t="s">
        <v>32</v>
      </c>
      <c r="H21109" s="4" t="str">
        <f>HYPERLINK("https://portal.gdc.cancer.gov/cases/f77d7256-2ccf-42a7-9b30-332ac24ca812","TCGA-BS-A0UF-01A")</f>
        <v>TCGA-BS-A0UF-01A</v>
      </c>
      <c r="I21109" t="s">
        <v>444</v>
      </c>
      <c r="J21109" t="s">
        <v>599</v>
      </c>
      <c r="K21109" t="s">
        <v>33</v>
      </c>
      <c r="L21109" t="s">
        <v>600</v>
      </c>
      <c r="N21109" t="s">
        <v>29</v>
      </c>
    </row>
    <row r="21110" spans="1:14">
      <c r="A21110" s="4" t="str">
        <f t="shared" si="1414"/>
        <v>EXP00451</v>
      </c>
      <c r="B21110" s="3" t="s">
        <v>66</v>
      </c>
      <c r="C21110" s="4" t="str">
        <f t="shared" si="1415"/>
        <v>TCGA-UCEC</v>
      </c>
      <c r="D21110" s="1" t="s">
        <v>493</v>
      </c>
      <c r="E21110" t="s">
        <v>598</v>
      </c>
      <c r="F21110" s="1">
        <v>2</v>
      </c>
      <c r="G21110" s="1" t="s">
        <v>32</v>
      </c>
      <c r="H21110" s="4" t="str">
        <f>HYPERLINK("https://portal.gdc.cancer.gov/cases/ff82548a-f1bb-4daa-a8f7-b3831b5843ad","TCGA-BS-A0UJ-01A")</f>
        <v>TCGA-BS-A0UJ-01A</v>
      </c>
      <c r="I21110" t="s">
        <v>444</v>
      </c>
      <c r="J21110" t="s">
        <v>599</v>
      </c>
      <c r="K21110" t="s">
        <v>33</v>
      </c>
      <c r="L21110" t="s">
        <v>600</v>
      </c>
      <c r="N21110" t="s">
        <v>29</v>
      </c>
    </row>
    <row r="21111" spans="1:14">
      <c r="A21111" s="4" t="str">
        <f t="shared" si="1414"/>
        <v>EXP00451</v>
      </c>
      <c r="B21111" s="3" t="s">
        <v>66</v>
      </c>
      <c r="C21111" s="4" t="str">
        <f t="shared" si="1415"/>
        <v>TCGA-UCEC</v>
      </c>
      <c r="D21111" s="1" t="s">
        <v>493</v>
      </c>
      <c r="E21111" t="s">
        <v>598</v>
      </c>
      <c r="F21111" s="1">
        <v>2</v>
      </c>
      <c r="G21111" s="1" t="s">
        <v>32</v>
      </c>
      <c r="H21111" s="4" t="str">
        <f>HYPERLINK("https://portal.gdc.cancer.gov/cases/5428c4b2-37c2-4f8c-a474-39fe1aacb26b","TCGA-BS-A0UL-01A")</f>
        <v>TCGA-BS-A0UL-01A</v>
      </c>
      <c r="I21111" t="s">
        <v>444</v>
      </c>
      <c r="J21111" t="s">
        <v>599</v>
      </c>
      <c r="K21111" t="s">
        <v>33</v>
      </c>
      <c r="L21111" t="s">
        <v>600</v>
      </c>
      <c r="N21111" t="s">
        <v>29</v>
      </c>
    </row>
    <row r="21112" spans="1:14">
      <c r="A21112" s="4" t="str">
        <f t="shared" si="1414"/>
        <v>EXP00451</v>
      </c>
      <c r="B21112" s="3" t="s">
        <v>66</v>
      </c>
      <c r="C21112" s="4" t="str">
        <f t="shared" si="1415"/>
        <v>TCGA-UCEC</v>
      </c>
      <c r="D21112" s="1" t="s">
        <v>493</v>
      </c>
      <c r="E21112" t="s">
        <v>598</v>
      </c>
      <c r="F21112" s="1">
        <v>2</v>
      </c>
      <c r="G21112" s="1" t="s">
        <v>32</v>
      </c>
      <c r="H21112" s="4" t="str">
        <f>HYPERLINK("https://portal.gdc.cancer.gov/cases/a7c565fc-c711-4b63-9549-4cd74d1f57c2","TCGA-BS-A0UM-01A")</f>
        <v>TCGA-BS-A0UM-01A</v>
      </c>
      <c r="I21112" t="s">
        <v>444</v>
      </c>
      <c r="J21112" t="s">
        <v>599</v>
      </c>
      <c r="K21112" t="s">
        <v>33</v>
      </c>
      <c r="L21112" t="s">
        <v>600</v>
      </c>
      <c r="N21112" t="s">
        <v>29</v>
      </c>
    </row>
    <row r="21113" spans="1:14">
      <c r="A21113" s="4" t="str">
        <f t="shared" si="1414"/>
        <v>EXP00451</v>
      </c>
      <c r="B21113" s="3" t="s">
        <v>66</v>
      </c>
      <c r="C21113" s="4" t="str">
        <f t="shared" si="1415"/>
        <v>TCGA-UCEC</v>
      </c>
      <c r="D21113" s="1" t="s">
        <v>493</v>
      </c>
      <c r="E21113" t="s">
        <v>598</v>
      </c>
      <c r="F21113" s="1">
        <v>2</v>
      </c>
      <c r="G21113" s="1" t="s">
        <v>32</v>
      </c>
      <c r="H21113" s="4" t="str">
        <f>HYPERLINK("https://portal.gdc.cancer.gov/cases/e2b1d0de-5221-44a1-8fad-9708a3cada14","TCGA-BS-A0UT-01A")</f>
        <v>TCGA-BS-A0UT-01A</v>
      </c>
      <c r="I21113" t="s">
        <v>444</v>
      </c>
      <c r="J21113" t="s">
        <v>599</v>
      </c>
      <c r="K21113" t="s">
        <v>33</v>
      </c>
      <c r="L21113" t="s">
        <v>600</v>
      </c>
      <c r="N21113" t="s">
        <v>29</v>
      </c>
    </row>
    <row r="21114" spans="1:14">
      <c r="A21114" s="4" t="str">
        <f t="shared" si="1414"/>
        <v>EXP00451</v>
      </c>
      <c r="B21114" s="3" t="s">
        <v>66</v>
      </c>
      <c r="C21114" s="4" t="str">
        <f t="shared" si="1415"/>
        <v>TCGA-UCEC</v>
      </c>
      <c r="D21114" s="1" t="s">
        <v>493</v>
      </c>
      <c r="E21114" t="s">
        <v>598</v>
      </c>
      <c r="F21114" s="1">
        <v>2</v>
      </c>
      <c r="G21114" s="1" t="s">
        <v>32</v>
      </c>
      <c r="H21114" s="4" t="str">
        <f>HYPERLINK("https://portal.gdc.cancer.gov/cases/b19425ab-a82f-4c2a-bf58-d1bd30511d74","TCGA-BS-A0UV-01A")</f>
        <v>TCGA-BS-A0UV-01A</v>
      </c>
      <c r="I21114" t="s">
        <v>444</v>
      </c>
      <c r="J21114" t="s">
        <v>599</v>
      </c>
      <c r="K21114" t="s">
        <v>33</v>
      </c>
      <c r="L21114" t="s">
        <v>600</v>
      </c>
      <c r="N21114" t="s">
        <v>29</v>
      </c>
    </row>
    <row r="21115" spans="1:14">
      <c r="A21115" s="4" t="str">
        <f t="shared" si="1414"/>
        <v>EXP00451</v>
      </c>
      <c r="B21115" s="3" t="s">
        <v>66</v>
      </c>
      <c r="C21115" s="4" t="str">
        <f t="shared" si="1415"/>
        <v>TCGA-UCEC</v>
      </c>
      <c r="D21115" s="1" t="s">
        <v>493</v>
      </c>
      <c r="E21115" t="s">
        <v>598</v>
      </c>
      <c r="F21115" s="1">
        <v>2</v>
      </c>
      <c r="G21115" s="1" t="s">
        <v>32</v>
      </c>
      <c r="H21115" s="4" t="str">
        <f>HYPERLINK("https://portal.gdc.cancer.gov/cases/e3f515f8-a940-40d1-86b0-baed0f410f2c","TCGA-BS-A0V4-01A")</f>
        <v>TCGA-BS-A0V4-01A</v>
      </c>
      <c r="I21115" t="s">
        <v>444</v>
      </c>
      <c r="J21115" t="s">
        <v>599</v>
      </c>
      <c r="K21115" t="s">
        <v>33</v>
      </c>
      <c r="L21115" t="s">
        <v>600</v>
      </c>
      <c r="N21115" t="s">
        <v>29</v>
      </c>
    </row>
    <row r="21116" spans="1:14">
      <c r="A21116" s="4" t="str">
        <f t="shared" si="1414"/>
        <v>EXP00451</v>
      </c>
      <c r="B21116" s="3" t="s">
        <v>66</v>
      </c>
      <c r="C21116" s="4" t="str">
        <f t="shared" si="1415"/>
        <v>TCGA-UCEC</v>
      </c>
      <c r="D21116" s="1" t="s">
        <v>493</v>
      </c>
      <c r="E21116" t="s">
        <v>598</v>
      </c>
      <c r="F21116" s="1">
        <v>2</v>
      </c>
      <c r="G21116" s="1" t="s">
        <v>32</v>
      </c>
      <c r="H21116" s="4" t="str">
        <f>HYPERLINK("https://portal.gdc.cancer.gov/cases/a9b6cd65-f042-4073-9000-4143a2c55373","TCGA-BS-A0V6-01A")</f>
        <v>TCGA-BS-A0V6-01A</v>
      </c>
      <c r="I21116" t="s">
        <v>444</v>
      </c>
      <c r="J21116" t="s">
        <v>599</v>
      </c>
      <c r="K21116" t="s">
        <v>33</v>
      </c>
      <c r="L21116" t="s">
        <v>600</v>
      </c>
      <c r="N21116" t="s">
        <v>29</v>
      </c>
    </row>
    <row r="21117" spans="1:14">
      <c r="A21117" s="4" t="str">
        <f t="shared" si="1414"/>
        <v>EXP00451</v>
      </c>
      <c r="B21117" s="3" t="s">
        <v>66</v>
      </c>
      <c r="C21117" s="4" t="str">
        <f t="shared" si="1415"/>
        <v>TCGA-UCEC</v>
      </c>
      <c r="D21117" s="1" t="s">
        <v>493</v>
      </c>
      <c r="E21117" t="s">
        <v>598</v>
      </c>
      <c r="F21117" s="1">
        <v>2</v>
      </c>
      <c r="G21117" s="1" t="s">
        <v>32</v>
      </c>
      <c r="H21117" s="4" t="str">
        <f>HYPERLINK("https://portal.gdc.cancer.gov/cases/ca858743-1f06-40e3-accf-395d08375b63","TCGA-BS-A0V7-01A")</f>
        <v>TCGA-BS-A0V7-01A</v>
      </c>
      <c r="I21117" t="s">
        <v>444</v>
      </c>
      <c r="J21117" t="s">
        <v>599</v>
      </c>
      <c r="K21117" t="s">
        <v>33</v>
      </c>
      <c r="L21117" t="s">
        <v>600</v>
      </c>
      <c r="N21117" t="s">
        <v>29</v>
      </c>
    </row>
    <row r="21118" spans="1:14">
      <c r="A21118" s="4" t="str">
        <f t="shared" si="1414"/>
        <v>EXP00451</v>
      </c>
      <c r="B21118" s="3" t="s">
        <v>66</v>
      </c>
      <c r="C21118" s="4" t="str">
        <f t="shared" si="1415"/>
        <v>TCGA-UCEC</v>
      </c>
      <c r="D21118" s="1" t="s">
        <v>493</v>
      </c>
      <c r="E21118" t="s">
        <v>598</v>
      </c>
      <c r="F21118" s="1">
        <v>2</v>
      </c>
      <c r="G21118" s="1" t="s">
        <v>32</v>
      </c>
      <c r="H21118" s="4" t="str">
        <f>HYPERLINK("https://portal.gdc.cancer.gov/cases/2b76cc9c-c379-43e4-9c3f-56197a3353be","TCGA-BS-A0V8-01A")</f>
        <v>TCGA-BS-A0V8-01A</v>
      </c>
      <c r="I21118" t="s">
        <v>444</v>
      </c>
      <c r="J21118" t="s">
        <v>599</v>
      </c>
      <c r="K21118" t="s">
        <v>33</v>
      </c>
      <c r="L21118" t="s">
        <v>600</v>
      </c>
      <c r="N21118" t="s">
        <v>29</v>
      </c>
    </row>
    <row r="21119" spans="1:14">
      <c r="A21119" s="4" t="str">
        <f t="shared" si="1414"/>
        <v>EXP00451</v>
      </c>
      <c r="B21119" s="3" t="s">
        <v>66</v>
      </c>
      <c r="C21119" s="4" t="str">
        <f t="shared" si="1415"/>
        <v>TCGA-UCEC</v>
      </c>
      <c r="D21119" s="1" t="s">
        <v>493</v>
      </c>
      <c r="E21119" t="s">
        <v>598</v>
      </c>
      <c r="F21119" s="1">
        <v>2</v>
      </c>
      <c r="G21119" s="1" t="s">
        <v>32</v>
      </c>
      <c r="H21119" s="4" t="str">
        <f>HYPERLINK("https://portal.gdc.cancer.gov/cases/3405c549-7da5-48ee-ba48-177a67bbcc5d","TCGA-BS-A0VI-01A")</f>
        <v>TCGA-BS-A0VI-01A</v>
      </c>
      <c r="I21119" t="s">
        <v>444</v>
      </c>
      <c r="J21119" t="s">
        <v>599</v>
      </c>
      <c r="K21119" t="s">
        <v>33</v>
      </c>
      <c r="L21119" t="s">
        <v>600</v>
      </c>
      <c r="N21119" t="s">
        <v>29</v>
      </c>
    </row>
    <row r="21120" spans="1:14">
      <c r="A21120" s="4" t="str">
        <f t="shared" si="1414"/>
        <v>EXP00451</v>
      </c>
      <c r="B21120" s="3" t="s">
        <v>66</v>
      </c>
      <c r="C21120" s="4" t="str">
        <f t="shared" si="1415"/>
        <v>TCGA-UCEC</v>
      </c>
      <c r="D21120" s="1" t="s">
        <v>493</v>
      </c>
      <c r="E21120" t="s">
        <v>598</v>
      </c>
      <c r="F21120" s="1">
        <v>2</v>
      </c>
      <c r="G21120" s="1" t="s">
        <v>32</v>
      </c>
      <c r="H21120" s="4" t="str">
        <f>HYPERLINK("https://portal.gdc.cancer.gov/cases/e095a927-d985-4fbd-8093-46c1c6ace4de","TCGA-BS-A0WQ-01A")</f>
        <v>TCGA-BS-A0WQ-01A</v>
      </c>
      <c r="I21120" t="s">
        <v>444</v>
      </c>
      <c r="J21120" t="s">
        <v>599</v>
      </c>
      <c r="K21120" t="s">
        <v>33</v>
      </c>
      <c r="L21120" t="s">
        <v>600</v>
      </c>
      <c r="N21120" t="s">
        <v>29</v>
      </c>
    </row>
    <row r="21121" spans="1:14">
      <c r="A21121" s="4" t="str">
        <f t="shared" si="1414"/>
        <v>EXP00451</v>
      </c>
      <c r="B21121" s="3" t="s">
        <v>66</v>
      </c>
      <c r="C21121" s="4" t="str">
        <f t="shared" si="1415"/>
        <v>TCGA-UCEC</v>
      </c>
      <c r="D21121" s="1" t="s">
        <v>493</v>
      </c>
      <c r="E21121" t="s">
        <v>598</v>
      </c>
      <c r="F21121" s="1">
        <v>2</v>
      </c>
      <c r="G21121" s="1" t="s">
        <v>32</v>
      </c>
      <c r="H21121" s="4" t="str">
        <f>HYPERLINK("https://portal.gdc.cancer.gov/cases/916ccf0d-02ef-4ccb-824b-6b4294095a08","TCGA-D1-A0ZN-01A")</f>
        <v>TCGA-D1-A0ZN-01A</v>
      </c>
      <c r="I21121" t="s">
        <v>444</v>
      </c>
      <c r="J21121" t="s">
        <v>599</v>
      </c>
      <c r="K21121" t="s">
        <v>33</v>
      </c>
      <c r="L21121" t="s">
        <v>600</v>
      </c>
      <c r="N21121" t="s">
        <v>29</v>
      </c>
    </row>
    <row r="21122" spans="1:14">
      <c r="A21122" s="4" t="str">
        <f t="shared" si="1414"/>
        <v>EXP00451</v>
      </c>
      <c r="B21122" s="3" t="s">
        <v>66</v>
      </c>
      <c r="C21122" s="4" t="str">
        <f t="shared" si="1415"/>
        <v>TCGA-UCEC</v>
      </c>
      <c r="D21122" s="1" t="s">
        <v>493</v>
      </c>
      <c r="E21122" t="s">
        <v>598</v>
      </c>
      <c r="F21122" s="1">
        <v>2</v>
      </c>
      <c r="G21122" s="1" t="s">
        <v>32</v>
      </c>
      <c r="H21122" s="4" t="str">
        <f>HYPERLINK("https://portal.gdc.cancer.gov/cases/b3d635b3-d7ac-4cf8-a318-0a9dd0073e89","TCGA-D1-A0ZO-01A")</f>
        <v>TCGA-D1-A0ZO-01A</v>
      </c>
      <c r="I21122" t="s">
        <v>444</v>
      </c>
      <c r="J21122" t="s">
        <v>599</v>
      </c>
      <c r="K21122" t="s">
        <v>33</v>
      </c>
      <c r="L21122" t="s">
        <v>600</v>
      </c>
      <c r="N21122" t="s">
        <v>29</v>
      </c>
    </row>
    <row r="21123" spans="1:14">
      <c r="A21123" s="4" t="str">
        <f t="shared" si="1414"/>
        <v>EXP00451</v>
      </c>
      <c r="B21123" s="3" t="s">
        <v>66</v>
      </c>
      <c r="C21123" s="4" t="str">
        <f t="shared" si="1415"/>
        <v>TCGA-UCEC</v>
      </c>
      <c r="D21123" s="1" t="s">
        <v>493</v>
      </c>
      <c r="E21123" t="s">
        <v>598</v>
      </c>
      <c r="F21123" s="1">
        <v>2</v>
      </c>
      <c r="G21123" s="1" t="s">
        <v>32</v>
      </c>
      <c r="H21123" s="4" t="str">
        <f>HYPERLINK("https://portal.gdc.cancer.gov/cases/ac216bb5-15e4-4462-955e-8a522380690e","TCGA-D1-A0ZP-01A")</f>
        <v>TCGA-D1-A0ZP-01A</v>
      </c>
      <c r="I21123" t="s">
        <v>444</v>
      </c>
      <c r="J21123" t="s">
        <v>599</v>
      </c>
      <c r="K21123" t="s">
        <v>33</v>
      </c>
      <c r="L21123" t="s">
        <v>600</v>
      </c>
      <c r="N21123" t="s">
        <v>29</v>
      </c>
    </row>
    <row r="21124" spans="1:14">
      <c r="A21124" s="4" t="str">
        <f t="shared" si="1414"/>
        <v>EXP00451</v>
      </c>
      <c r="B21124" s="3" t="s">
        <v>66</v>
      </c>
      <c r="C21124" s="4" t="str">
        <f t="shared" si="1415"/>
        <v>TCGA-UCEC</v>
      </c>
      <c r="D21124" s="1" t="s">
        <v>493</v>
      </c>
      <c r="E21124" t="s">
        <v>598</v>
      </c>
      <c r="F21124" s="1">
        <v>2</v>
      </c>
      <c r="G21124" s="1" t="s">
        <v>32</v>
      </c>
      <c r="H21124" s="4" t="str">
        <f>HYPERLINK("https://portal.gdc.cancer.gov/cases/38243a33-073a-479b-8cf6-c8847aeb5a48","TCGA-D1-A0ZQ-01A")</f>
        <v>TCGA-D1-A0ZQ-01A</v>
      </c>
      <c r="I21124" t="s">
        <v>444</v>
      </c>
      <c r="J21124" t="s">
        <v>599</v>
      </c>
      <c r="K21124" t="s">
        <v>33</v>
      </c>
      <c r="L21124" t="s">
        <v>600</v>
      </c>
      <c r="N21124" t="s">
        <v>29</v>
      </c>
    </row>
    <row r="21125" spans="1:14">
      <c r="A21125" s="4" t="str">
        <f t="shared" si="1414"/>
        <v>EXP00451</v>
      </c>
      <c r="B21125" s="3" t="s">
        <v>66</v>
      </c>
      <c r="C21125" s="4" t="str">
        <f t="shared" si="1415"/>
        <v>TCGA-UCEC</v>
      </c>
      <c r="D21125" s="1" t="s">
        <v>493</v>
      </c>
      <c r="E21125" t="s">
        <v>598</v>
      </c>
      <c r="F21125" s="1">
        <v>2</v>
      </c>
      <c r="G21125" s="1" t="s">
        <v>32</v>
      </c>
      <c r="H21125" s="4" t="str">
        <f>HYPERLINK("https://portal.gdc.cancer.gov/cases/0ce940f2-9eb1-4757-8f8f-147a4f3a1e67","TCGA-D1-A0ZR-01A")</f>
        <v>TCGA-D1-A0ZR-01A</v>
      </c>
      <c r="I21125" t="s">
        <v>444</v>
      </c>
      <c r="J21125" t="s">
        <v>599</v>
      </c>
      <c r="K21125" t="s">
        <v>33</v>
      </c>
      <c r="L21125" t="s">
        <v>600</v>
      </c>
      <c r="N21125" t="s">
        <v>29</v>
      </c>
    </row>
    <row r="21126" spans="1:14">
      <c r="A21126" s="4" t="str">
        <f t="shared" si="1414"/>
        <v>EXP00451</v>
      </c>
      <c r="B21126" s="3" t="s">
        <v>66</v>
      </c>
      <c r="C21126" s="4" t="str">
        <f t="shared" si="1415"/>
        <v>TCGA-UCEC</v>
      </c>
      <c r="D21126" s="1" t="s">
        <v>493</v>
      </c>
      <c r="E21126" t="s">
        <v>598</v>
      </c>
      <c r="F21126" s="1">
        <v>2</v>
      </c>
      <c r="G21126" s="1" t="s">
        <v>32</v>
      </c>
      <c r="H21126" s="4" t="str">
        <f>HYPERLINK("https://portal.gdc.cancer.gov/cases/80105773-372e-4552-a10b-5df188b15b16","TCGA-D1-A0ZS-01A")</f>
        <v>TCGA-D1-A0ZS-01A</v>
      </c>
      <c r="I21126" t="s">
        <v>444</v>
      </c>
      <c r="J21126" t="s">
        <v>599</v>
      </c>
      <c r="K21126" t="s">
        <v>33</v>
      </c>
      <c r="L21126" t="s">
        <v>600</v>
      </c>
      <c r="N21126" t="s">
        <v>29</v>
      </c>
    </row>
    <row r="21127" spans="1:14">
      <c r="A21127" s="4" t="str">
        <f t="shared" si="1414"/>
        <v>EXP00451</v>
      </c>
      <c r="B21127" s="3" t="s">
        <v>66</v>
      </c>
      <c r="C21127" s="4" t="str">
        <f t="shared" si="1415"/>
        <v>TCGA-UCEC</v>
      </c>
      <c r="D21127" s="1" t="s">
        <v>493</v>
      </c>
      <c r="E21127" t="s">
        <v>598</v>
      </c>
      <c r="F21127" s="1">
        <v>2</v>
      </c>
      <c r="G21127" s="1" t="s">
        <v>32</v>
      </c>
      <c r="H21127" s="4" t="str">
        <f>HYPERLINK("https://portal.gdc.cancer.gov/cases/d74bc72e-8103-4aed-8958-5f40953d48eb","TCGA-D1-A0ZU-01A")</f>
        <v>TCGA-D1-A0ZU-01A</v>
      </c>
      <c r="I21127" t="s">
        <v>444</v>
      </c>
      <c r="J21127" t="s">
        <v>599</v>
      </c>
      <c r="K21127" t="s">
        <v>33</v>
      </c>
      <c r="L21127" t="s">
        <v>600</v>
      </c>
      <c r="N21127" t="s">
        <v>29</v>
      </c>
    </row>
    <row r="21128" spans="1:14">
      <c r="A21128" s="4" t="str">
        <f t="shared" si="1414"/>
        <v>EXP00451</v>
      </c>
      <c r="B21128" s="3" t="s">
        <v>66</v>
      </c>
      <c r="C21128" s="4" t="str">
        <f t="shared" si="1415"/>
        <v>TCGA-UCEC</v>
      </c>
      <c r="D21128" s="1" t="s">
        <v>493</v>
      </c>
      <c r="E21128" t="s">
        <v>598</v>
      </c>
      <c r="F21128" s="1">
        <v>2</v>
      </c>
      <c r="G21128" s="1" t="s">
        <v>32</v>
      </c>
      <c r="H21128" s="4" t="str">
        <f>HYPERLINK("https://portal.gdc.cancer.gov/cases/0c01c673-e396-47b2-9562-4144d7705ebf","TCGA-D1-A0ZV-01A")</f>
        <v>TCGA-D1-A0ZV-01A</v>
      </c>
      <c r="I21128" t="s">
        <v>444</v>
      </c>
      <c r="J21128" t="s">
        <v>599</v>
      </c>
      <c r="K21128" t="s">
        <v>33</v>
      </c>
      <c r="L21128" t="s">
        <v>600</v>
      </c>
      <c r="N21128" t="s">
        <v>29</v>
      </c>
    </row>
    <row r="21129" spans="1:14">
      <c r="A21129" s="4" t="str">
        <f t="shared" si="1414"/>
        <v>EXP00451</v>
      </c>
      <c r="B21129" s="3" t="s">
        <v>66</v>
      </c>
      <c r="C21129" s="4" t="str">
        <f t="shared" si="1415"/>
        <v>TCGA-UCEC</v>
      </c>
      <c r="D21129" s="1" t="s">
        <v>493</v>
      </c>
      <c r="E21129" t="s">
        <v>598</v>
      </c>
      <c r="F21129" s="1">
        <v>2</v>
      </c>
      <c r="G21129" s="1" t="s">
        <v>32</v>
      </c>
      <c r="H21129" s="4" t="str">
        <f>HYPERLINK("https://portal.gdc.cancer.gov/cases/4d3af3af-24f4-415a-9677-20b0f366a102","TCGA-D1-A0ZZ-01A")</f>
        <v>TCGA-D1-A0ZZ-01A</v>
      </c>
      <c r="I21129" t="s">
        <v>444</v>
      </c>
      <c r="J21129" t="s">
        <v>599</v>
      </c>
      <c r="K21129" t="s">
        <v>33</v>
      </c>
      <c r="L21129" t="s">
        <v>600</v>
      </c>
      <c r="N21129" t="s">
        <v>29</v>
      </c>
    </row>
    <row r="21130" spans="1:14">
      <c r="A21130" s="4" t="str">
        <f t="shared" si="1414"/>
        <v>EXP00451</v>
      </c>
      <c r="B21130" s="3" t="s">
        <v>66</v>
      </c>
      <c r="C21130" s="4" t="str">
        <f t="shared" si="1415"/>
        <v>TCGA-UCEC</v>
      </c>
      <c r="D21130" s="1" t="s">
        <v>493</v>
      </c>
      <c r="E21130" t="s">
        <v>598</v>
      </c>
      <c r="F21130" s="1">
        <v>2</v>
      </c>
      <c r="G21130" s="1" t="s">
        <v>32</v>
      </c>
      <c r="H21130" s="4" t="str">
        <f>HYPERLINK("https://portal.gdc.cancer.gov/cases/9da5ecd0-a287-4e67-84b6-af9077a98009","TCGA-D1-A101-01A")</f>
        <v>TCGA-D1-A101-01A</v>
      </c>
      <c r="I21130" t="s">
        <v>444</v>
      </c>
      <c r="J21130" t="s">
        <v>599</v>
      </c>
      <c r="K21130" t="s">
        <v>33</v>
      </c>
      <c r="L21130" t="s">
        <v>600</v>
      </c>
      <c r="N21130" t="s">
        <v>29</v>
      </c>
    </row>
    <row r="21131" spans="1:14">
      <c r="A21131" s="4" t="str">
        <f t="shared" si="1414"/>
        <v>EXP00451</v>
      </c>
      <c r="B21131" s="3" t="s">
        <v>66</v>
      </c>
      <c r="C21131" s="4" t="str">
        <f t="shared" si="1415"/>
        <v>TCGA-UCEC</v>
      </c>
      <c r="D21131" s="1" t="s">
        <v>493</v>
      </c>
      <c r="E21131" t="s">
        <v>598</v>
      </c>
      <c r="F21131" s="1">
        <v>2</v>
      </c>
      <c r="G21131" s="1" t="s">
        <v>32</v>
      </c>
      <c r="H21131" s="4" t="str">
        <f>HYPERLINK("https://portal.gdc.cancer.gov/cases/f9cf4125-0db3-4b66-b51b-bc2f0240c9ef","TCGA-D1-A102-01A")</f>
        <v>TCGA-D1-A102-01A</v>
      </c>
      <c r="I21131" t="s">
        <v>444</v>
      </c>
      <c r="J21131" t="s">
        <v>599</v>
      </c>
      <c r="K21131" t="s">
        <v>33</v>
      </c>
      <c r="L21131" t="s">
        <v>600</v>
      </c>
      <c r="N21131" t="s">
        <v>29</v>
      </c>
    </row>
    <row r="21132" spans="1:14">
      <c r="A21132" s="4" t="str">
        <f t="shared" si="1414"/>
        <v>EXP00451</v>
      </c>
      <c r="B21132" s="3" t="s">
        <v>66</v>
      </c>
      <c r="C21132" s="4" t="str">
        <f t="shared" si="1415"/>
        <v>TCGA-UCEC</v>
      </c>
      <c r="D21132" s="1" t="s">
        <v>493</v>
      </c>
      <c r="E21132" t="s">
        <v>598</v>
      </c>
      <c r="F21132" s="1">
        <v>2</v>
      </c>
      <c r="G21132" s="1" t="s">
        <v>32</v>
      </c>
      <c r="H21132" s="4" t="str">
        <f>HYPERLINK("https://portal.gdc.cancer.gov/cases/7427f9e8-1140-45fd-9613-78b72b13a7ba","TCGA-D1-A103-01A")</f>
        <v>TCGA-D1-A103-01A</v>
      </c>
      <c r="I21132" t="s">
        <v>444</v>
      </c>
      <c r="J21132" t="s">
        <v>599</v>
      </c>
      <c r="K21132" t="s">
        <v>33</v>
      </c>
      <c r="L21132" t="s">
        <v>600</v>
      </c>
      <c r="N21132" t="s">
        <v>29</v>
      </c>
    </row>
    <row r="21133" spans="1:14">
      <c r="A21133" s="4" t="str">
        <f t="shared" si="1414"/>
        <v>EXP00451</v>
      </c>
      <c r="B21133" s="3" t="s">
        <v>66</v>
      </c>
      <c r="C21133" s="4" t="str">
        <f t="shared" si="1415"/>
        <v>TCGA-UCEC</v>
      </c>
      <c r="D21133" s="1" t="s">
        <v>493</v>
      </c>
      <c r="E21133" t="s">
        <v>598</v>
      </c>
      <c r="F21133" s="1">
        <v>2</v>
      </c>
      <c r="G21133" s="1" t="s">
        <v>32</v>
      </c>
      <c r="H21133" s="4" t="str">
        <f>HYPERLINK("https://portal.gdc.cancer.gov/cases/f7010b87-a559-4501-99f9-0fcca1e986e1","TCGA-D1-A15V-01A")</f>
        <v>TCGA-D1-A15V-01A</v>
      </c>
      <c r="I21133" t="s">
        <v>444</v>
      </c>
      <c r="J21133" t="s">
        <v>599</v>
      </c>
      <c r="K21133" t="s">
        <v>33</v>
      </c>
      <c r="L21133" t="s">
        <v>600</v>
      </c>
      <c r="N21133" t="s">
        <v>29</v>
      </c>
    </row>
    <row r="21134" spans="1:14">
      <c r="A21134" s="4" t="str">
        <f t="shared" si="1414"/>
        <v>EXP00451</v>
      </c>
      <c r="B21134" s="3" t="s">
        <v>66</v>
      </c>
      <c r="C21134" s="4" t="str">
        <f t="shared" si="1415"/>
        <v>TCGA-UCEC</v>
      </c>
      <c r="D21134" s="1" t="s">
        <v>493</v>
      </c>
      <c r="E21134" t="s">
        <v>598</v>
      </c>
      <c r="F21134" s="1">
        <v>2</v>
      </c>
      <c r="G21134" s="1" t="s">
        <v>32</v>
      </c>
      <c r="H21134" s="4" t="str">
        <f>HYPERLINK("https://portal.gdc.cancer.gov/cases/d6562acf-6d82-4f08-a779-82cdc5df16f9","TCGA-D1-A15W-01A")</f>
        <v>TCGA-D1-A15W-01A</v>
      </c>
      <c r="I21134" t="s">
        <v>444</v>
      </c>
      <c r="J21134" t="s">
        <v>599</v>
      </c>
      <c r="K21134" t="s">
        <v>33</v>
      </c>
      <c r="L21134" t="s">
        <v>600</v>
      </c>
      <c r="N21134" t="s">
        <v>29</v>
      </c>
    </row>
    <row r="21135" spans="1:14">
      <c r="A21135" s="4" t="str">
        <f t="shared" si="1414"/>
        <v>EXP00451</v>
      </c>
      <c r="B21135" s="3" t="s">
        <v>66</v>
      </c>
      <c r="C21135" s="4" t="str">
        <f t="shared" si="1415"/>
        <v>TCGA-UCEC</v>
      </c>
      <c r="D21135" s="1" t="s">
        <v>493</v>
      </c>
      <c r="E21135" t="s">
        <v>598</v>
      </c>
      <c r="F21135" s="1">
        <v>2</v>
      </c>
      <c r="G21135" s="1" t="s">
        <v>32</v>
      </c>
      <c r="H21135" s="4" t="str">
        <f>HYPERLINK("https://portal.gdc.cancer.gov/cases/14c03068-8930-472a-9fd1-49c9fd4db47d","TCGA-D1-A15X-01A")</f>
        <v>TCGA-D1-A15X-01A</v>
      </c>
      <c r="I21135" t="s">
        <v>444</v>
      </c>
      <c r="J21135" t="s">
        <v>599</v>
      </c>
      <c r="K21135" t="s">
        <v>33</v>
      </c>
      <c r="L21135" t="s">
        <v>600</v>
      </c>
      <c r="N21135" t="s">
        <v>29</v>
      </c>
    </row>
    <row r="21136" spans="1:14">
      <c r="A21136" s="4" t="str">
        <f t="shared" si="1414"/>
        <v>EXP00451</v>
      </c>
      <c r="B21136" s="3" t="s">
        <v>66</v>
      </c>
      <c r="C21136" s="4" t="str">
        <f t="shared" si="1415"/>
        <v>TCGA-UCEC</v>
      </c>
      <c r="D21136" s="1" t="s">
        <v>493</v>
      </c>
      <c r="E21136" t="s">
        <v>598</v>
      </c>
      <c r="F21136" s="1">
        <v>2</v>
      </c>
      <c r="G21136" s="1" t="s">
        <v>32</v>
      </c>
      <c r="H21136" s="4" t="str">
        <f>HYPERLINK("https://portal.gdc.cancer.gov/cases/c5df9142-27f6-4d97-933e-c79ea9199362","TCGA-D1-A15Z-01A")</f>
        <v>TCGA-D1-A15Z-01A</v>
      </c>
      <c r="I21136" t="s">
        <v>444</v>
      </c>
      <c r="J21136" t="s">
        <v>599</v>
      </c>
      <c r="K21136" t="s">
        <v>33</v>
      </c>
      <c r="L21136" t="s">
        <v>600</v>
      </c>
      <c r="N21136" t="s">
        <v>29</v>
      </c>
    </row>
    <row r="21137" spans="1:14">
      <c r="A21137" s="4" t="str">
        <f t="shared" si="1414"/>
        <v>EXP00451</v>
      </c>
      <c r="B21137" s="3" t="s">
        <v>66</v>
      </c>
      <c r="C21137" s="4" t="str">
        <f t="shared" si="1415"/>
        <v>TCGA-UCEC</v>
      </c>
      <c r="D21137" s="1" t="s">
        <v>493</v>
      </c>
      <c r="E21137" t="s">
        <v>598</v>
      </c>
      <c r="F21137" s="1">
        <v>2</v>
      </c>
      <c r="G21137" s="1" t="s">
        <v>32</v>
      </c>
      <c r="H21137" s="4" t="str">
        <f>HYPERLINK("https://portal.gdc.cancer.gov/cases/170bbbac-940f-4e1b-b0b8-60fa36d0fa23","TCGA-D1-A160-01A")</f>
        <v>TCGA-D1-A160-01A</v>
      </c>
      <c r="I21137" t="s">
        <v>444</v>
      </c>
      <c r="J21137" t="s">
        <v>599</v>
      </c>
      <c r="K21137" t="s">
        <v>33</v>
      </c>
      <c r="L21137" t="s">
        <v>600</v>
      </c>
      <c r="N21137" t="s">
        <v>29</v>
      </c>
    </row>
    <row r="21138" spans="1:14">
      <c r="A21138" s="4" t="str">
        <f t="shared" si="1414"/>
        <v>EXP00451</v>
      </c>
      <c r="B21138" s="3" t="s">
        <v>66</v>
      </c>
      <c r="C21138" s="4" t="str">
        <f t="shared" si="1415"/>
        <v>TCGA-UCEC</v>
      </c>
      <c r="D21138" s="1" t="s">
        <v>493</v>
      </c>
      <c r="E21138" t="s">
        <v>598</v>
      </c>
      <c r="F21138" s="1">
        <v>2</v>
      </c>
      <c r="G21138" s="1" t="s">
        <v>32</v>
      </c>
      <c r="H21138" s="4" t="str">
        <f>HYPERLINK("https://portal.gdc.cancer.gov/cases/0305db4a-62ee-4ecb-bede-032981298732","TCGA-D1-A161-01A")</f>
        <v>TCGA-D1-A161-01A</v>
      </c>
      <c r="I21138" t="s">
        <v>444</v>
      </c>
      <c r="J21138" t="s">
        <v>599</v>
      </c>
      <c r="K21138" t="s">
        <v>33</v>
      </c>
      <c r="L21138" t="s">
        <v>600</v>
      </c>
      <c r="N21138" t="s">
        <v>29</v>
      </c>
    </row>
    <row r="21139" spans="1:14">
      <c r="A21139" s="4" t="str">
        <f t="shared" si="1414"/>
        <v>EXP00451</v>
      </c>
      <c r="B21139" s="3" t="s">
        <v>66</v>
      </c>
      <c r="C21139" s="4" t="str">
        <f t="shared" si="1415"/>
        <v>TCGA-UCEC</v>
      </c>
      <c r="D21139" s="1" t="s">
        <v>493</v>
      </c>
      <c r="E21139" t="s">
        <v>598</v>
      </c>
      <c r="F21139" s="1">
        <v>2</v>
      </c>
      <c r="G21139" s="1" t="s">
        <v>32</v>
      </c>
      <c r="H21139" s="4" t="str">
        <f>HYPERLINK("https://portal.gdc.cancer.gov/cases/3f96b142-77b6-40a1-8e16-6581b964583b","TCGA-D1-A162-01A")</f>
        <v>TCGA-D1-A162-01A</v>
      </c>
      <c r="I21139" t="s">
        <v>444</v>
      </c>
      <c r="J21139" t="s">
        <v>599</v>
      </c>
      <c r="K21139" t="s">
        <v>33</v>
      </c>
      <c r="L21139" t="s">
        <v>600</v>
      </c>
      <c r="N21139" t="s">
        <v>29</v>
      </c>
    </row>
    <row r="21140" spans="1:14">
      <c r="A21140" s="4" t="str">
        <f t="shared" si="1414"/>
        <v>EXP00451</v>
      </c>
      <c r="B21140" s="3" t="s">
        <v>66</v>
      </c>
      <c r="C21140" s="4" t="str">
        <f t="shared" si="1415"/>
        <v>TCGA-UCEC</v>
      </c>
      <c r="D21140" s="1" t="s">
        <v>493</v>
      </c>
      <c r="E21140" t="s">
        <v>598</v>
      </c>
      <c r="F21140" s="1">
        <v>2</v>
      </c>
      <c r="G21140" s="1" t="s">
        <v>32</v>
      </c>
      <c r="H21140" s="4" t="str">
        <f>HYPERLINK("https://portal.gdc.cancer.gov/cases/a438dce7-6592-4ea6-a401-57f5a8fe8ba6","TCGA-D1-A163-01A")</f>
        <v>TCGA-D1-A163-01A</v>
      </c>
      <c r="I21140" t="s">
        <v>444</v>
      </c>
      <c r="J21140" t="s">
        <v>599</v>
      </c>
      <c r="K21140" t="s">
        <v>33</v>
      </c>
      <c r="L21140" t="s">
        <v>600</v>
      </c>
      <c r="N21140" t="s">
        <v>29</v>
      </c>
    </row>
    <row r="21141" spans="1:14">
      <c r="A21141" s="4" t="str">
        <f t="shared" si="1414"/>
        <v>EXP00451</v>
      </c>
      <c r="B21141" s="3" t="s">
        <v>66</v>
      </c>
      <c r="C21141" s="4" t="str">
        <f t="shared" si="1415"/>
        <v>TCGA-UCEC</v>
      </c>
      <c r="D21141" s="1" t="s">
        <v>493</v>
      </c>
      <c r="E21141" t="s">
        <v>598</v>
      </c>
      <c r="F21141" s="1">
        <v>2</v>
      </c>
      <c r="G21141" s="1" t="s">
        <v>32</v>
      </c>
      <c r="H21141" s="4" t="str">
        <f>HYPERLINK("https://portal.gdc.cancer.gov/cases/9bc2f33f-3067-4000-bc8a-1c5bb671d101","TCGA-D1-A165-01A")</f>
        <v>TCGA-D1-A165-01A</v>
      </c>
      <c r="I21141" t="s">
        <v>444</v>
      </c>
      <c r="J21141" t="s">
        <v>599</v>
      </c>
      <c r="K21141" t="s">
        <v>33</v>
      </c>
      <c r="L21141" t="s">
        <v>600</v>
      </c>
      <c r="N21141" t="s">
        <v>29</v>
      </c>
    </row>
    <row r="21142" spans="1:14">
      <c r="A21142" s="4" t="str">
        <f t="shared" si="1414"/>
        <v>EXP00451</v>
      </c>
      <c r="B21142" s="3" t="s">
        <v>66</v>
      </c>
      <c r="C21142" s="4" t="str">
        <f t="shared" si="1415"/>
        <v>TCGA-UCEC</v>
      </c>
      <c r="D21142" s="1" t="s">
        <v>493</v>
      </c>
      <c r="E21142" t="s">
        <v>598</v>
      </c>
      <c r="F21142" s="1">
        <v>2</v>
      </c>
      <c r="G21142" s="1" t="s">
        <v>32</v>
      </c>
      <c r="H21142" s="4" t="str">
        <f>HYPERLINK("https://portal.gdc.cancer.gov/cases/3d215e20-9eea-47e0-849e-cff1fee5634d","TCGA-D1-A167-01A")</f>
        <v>TCGA-D1-A167-01A</v>
      </c>
      <c r="I21142" t="s">
        <v>444</v>
      </c>
      <c r="J21142" t="s">
        <v>599</v>
      </c>
      <c r="K21142" t="s">
        <v>33</v>
      </c>
      <c r="L21142" t="s">
        <v>600</v>
      </c>
      <c r="N21142" t="s">
        <v>29</v>
      </c>
    </row>
    <row r="21143" spans="1:14">
      <c r="A21143" s="4" t="str">
        <f t="shared" si="1414"/>
        <v>EXP00451</v>
      </c>
      <c r="B21143" s="3" t="s">
        <v>66</v>
      </c>
      <c r="C21143" s="4" t="str">
        <f t="shared" si="1415"/>
        <v>TCGA-UCEC</v>
      </c>
      <c r="D21143" s="1" t="s">
        <v>493</v>
      </c>
      <c r="E21143" t="s">
        <v>598</v>
      </c>
      <c r="F21143" s="1">
        <v>2</v>
      </c>
      <c r="G21143" s="1" t="s">
        <v>32</v>
      </c>
      <c r="H21143" s="4" t="str">
        <f>HYPERLINK("https://portal.gdc.cancer.gov/cases/41893e97-7e90-4b03-b738-260f288ade4c","TCGA-D1-A168-01A")</f>
        <v>TCGA-D1-A168-01A</v>
      </c>
      <c r="I21143" t="s">
        <v>444</v>
      </c>
      <c r="J21143" t="s">
        <v>599</v>
      </c>
      <c r="K21143" t="s">
        <v>33</v>
      </c>
      <c r="L21143" t="s">
        <v>600</v>
      </c>
      <c r="N21143" t="s">
        <v>29</v>
      </c>
    </row>
    <row r="21144" spans="1:14">
      <c r="A21144" s="4" t="str">
        <f t="shared" si="1414"/>
        <v>EXP00451</v>
      </c>
      <c r="B21144" s="3" t="s">
        <v>66</v>
      </c>
      <c r="C21144" s="4" t="str">
        <f t="shared" si="1415"/>
        <v>TCGA-UCEC</v>
      </c>
      <c r="D21144" s="1" t="s">
        <v>493</v>
      </c>
      <c r="E21144" t="s">
        <v>598</v>
      </c>
      <c r="F21144" s="1">
        <v>2</v>
      </c>
      <c r="G21144" s="1" t="s">
        <v>32</v>
      </c>
      <c r="H21144" s="4" t="str">
        <f>HYPERLINK("https://portal.gdc.cancer.gov/cases/9a599f57-0e8d-4e1f-a181-791f5fdeadb7","TCGA-D1-A169-01A")</f>
        <v>TCGA-D1-A169-01A</v>
      </c>
      <c r="I21144" t="s">
        <v>444</v>
      </c>
      <c r="J21144" t="s">
        <v>599</v>
      </c>
      <c r="K21144" t="s">
        <v>33</v>
      </c>
      <c r="L21144" t="s">
        <v>600</v>
      </c>
      <c r="N21144" t="s">
        <v>29</v>
      </c>
    </row>
    <row r="21145" spans="1:14">
      <c r="A21145" s="4" t="str">
        <f t="shared" si="1414"/>
        <v>EXP00451</v>
      </c>
      <c r="B21145" s="3" t="s">
        <v>66</v>
      </c>
      <c r="C21145" s="4" t="str">
        <f t="shared" si="1415"/>
        <v>TCGA-UCEC</v>
      </c>
      <c r="D21145" s="1" t="s">
        <v>493</v>
      </c>
      <c r="E21145" t="s">
        <v>598</v>
      </c>
      <c r="F21145" s="1">
        <v>2</v>
      </c>
      <c r="G21145" s="1" t="s">
        <v>32</v>
      </c>
      <c r="H21145" s="4" t="str">
        <f>HYPERLINK("https://portal.gdc.cancer.gov/cases/bca1057a-1e96-404d-8a37-5a8dc1944ee7","TCGA-D1-A16B-01A")</f>
        <v>TCGA-D1-A16B-01A</v>
      </c>
      <c r="I21145" t="s">
        <v>444</v>
      </c>
      <c r="J21145" t="s">
        <v>599</v>
      </c>
      <c r="K21145" t="s">
        <v>33</v>
      </c>
      <c r="L21145" t="s">
        <v>600</v>
      </c>
      <c r="N21145" t="s">
        <v>29</v>
      </c>
    </row>
    <row r="21146" spans="1:14">
      <c r="A21146" s="4" t="str">
        <f t="shared" si="1414"/>
        <v>EXP00451</v>
      </c>
      <c r="B21146" s="3" t="s">
        <v>66</v>
      </c>
      <c r="C21146" s="4" t="str">
        <f t="shared" si="1415"/>
        <v>TCGA-UCEC</v>
      </c>
      <c r="D21146" s="1" t="s">
        <v>493</v>
      </c>
      <c r="E21146" t="s">
        <v>598</v>
      </c>
      <c r="F21146" s="1">
        <v>2</v>
      </c>
      <c r="G21146" s="1" t="s">
        <v>32</v>
      </c>
      <c r="H21146" s="4" t="str">
        <f>HYPERLINK("https://portal.gdc.cancer.gov/cases/5693302a-4548-4c0b-8725-0cb7c67bc4f8","TCGA-D1-A16D-01A")</f>
        <v>TCGA-D1-A16D-01A</v>
      </c>
      <c r="I21146" t="s">
        <v>444</v>
      </c>
      <c r="J21146" t="s">
        <v>599</v>
      </c>
      <c r="K21146" t="s">
        <v>33</v>
      </c>
      <c r="L21146" t="s">
        <v>600</v>
      </c>
      <c r="N21146" t="s">
        <v>29</v>
      </c>
    </row>
    <row r="21147" spans="1:14">
      <c r="A21147" s="4" t="str">
        <f t="shared" si="1414"/>
        <v>EXP00451</v>
      </c>
      <c r="B21147" s="3" t="s">
        <v>66</v>
      </c>
      <c r="C21147" s="4" t="str">
        <f t="shared" si="1415"/>
        <v>TCGA-UCEC</v>
      </c>
      <c r="D21147" s="1" t="s">
        <v>493</v>
      </c>
      <c r="E21147" t="s">
        <v>598</v>
      </c>
      <c r="F21147" s="1">
        <v>2</v>
      </c>
      <c r="G21147" s="1" t="s">
        <v>32</v>
      </c>
      <c r="H21147" s="4" t="str">
        <f>HYPERLINK("https://portal.gdc.cancer.gov/cases/e70465f6-1922-4eb7-b646-8b01ad3ce77b","TCGA-D1-A16E-01A")</f>
        <v>TCGA-D1-A16E-01A</v>
      </c>
      <c r="I21147" t="s">
        <v>444</v>
      </c>
      <c r="J21147" t="s">
        <v>599</v>
      </c>
      <c r="K21147" t="s">
        <v>33</v>
      </c>
      <c r="L21147" t="s">
        <v>600</v>
      </c>
      <c r="N21147" t="s">
        <v>29</v>
      </c>
    </row>
    <row r="21148" spans="1:14">
      <c r="A21148" s="4" t="str">
        <f t="shared" si="1414"/>
        <v>EXP00451</v>
      </c>
      <c r="B21148" s="3" t="s">
        <v>66</v>
      </c>
      <c r="C21148" s="4" t="str">
        <f t="shared" si="1415"/>
        <v>TCGA-UCEC</v>
      </c>
      <c r="D21148" s="1" t="s">
        <v>493</v>
      </c>
      <c r="E21148" t="s">
        <v>598</v>
      </c>
      <c r="F21148" s="1">
        <v>2</v>
      </c>
      <c r="G21148" s="1" t="s">
        <v>32</v>
      </c>
      <c r="H21148" s="4" t="str">
        <f>HYPERLINK("https://portal.gdc.cancer.gov/cases/60c65e5e-57a4-4f15-8b95-30bd2dbd9010","TCGA-D1-A16F-01A")</f>
        <v>TCGA-D1-A16F-01A</v>
      </c>
      <c r="I21148" t="s">
        <v>444</v>
      </c>
      <c r="J21148" t="s">
        <v>599</v>
      </c>
      <c r="K21148" t="s">
        <v>33</v>
      </c>
      <c r="L21148" t="s">
        <v>600</v>
      </c>
      <c r="N21148" t="s">
        <v>29</v>
      </c>
    </row>
    <row r="21149" spans="1:14">
      <c r="A21149" s="4" t="str">
        <f t="shared" si="1414"/>
        <v>EXP00451</v>
      </c>
      <c r="B21149" s="3" t="s">
        <v>66</v>
      </c>
      <c r="C21149" s="4" t="str">
        <f t="shared" si="1415"/>
        <v>TCGA-UCEC</v>
      </c>
      <c r="D21149" s="1" t="s">
        <v>493</v>
      </c>
      <c r="E21149" t="s">
        <v>598</v>
      </c>
      <c r="F21149" s="1">
        <v>2</v>
      </c>
      <c r="G21149" s="1" t="s">
        <v>32</v>
      </c>
      <c r="H21149" s="4" t="str">
        <f>HYPERLINK("https://portal.gdc.cancer.gov/cases/16e69011-c295-479f-b521-86e66fba498d","TCGA-D1-A16G-01A")</f>
        <v>TCGA-D1-A16G-01A</v>
      </c>
      <c r="I21149" t="s">
        <v>444</v>
      </c>
      <c r="J21149" t="s">
        <v>599</v>
      </c>
      <c r="K21149" t="s">
        <v>33</v>
      </c>
      <c r="L21149" t="s">
        <v>600</v>
      </c>
      <c r="N21149" t="s">
        <v>29</v>
      </c>
    </row>
    <row r="21150" spans="1:14">
      <c r="A21150" s="4" t="str">
        <f t="shared" si="1414"/>
        <v>EXP00451</v>
      </c>
      <c r="B21150" s="3" t="s">
        <v>66</v>
      </c>
      <c r="C21150" s="4" t="str">
        <f t="shared" si="1415"/>
        <v>TCGA-UCEC</v>
      </c>
      <c r="D21150" s="1" t="s">
        <v>493</v>
      </c>
      <c r="E21150" t="s">
        <v>598</v>
      </c>
      <c r="F21150" s="1">
        <v>2</v>
      </c>
      <c r="G21150" s="1" t="s">
        <v>32</v>
      </c>
      <c r="H21150" s="4" t="str">
        <f>HYPERLINK("https://portal.gdc.cancer.gov/cases/548ec160-4183-459f-8393-f4b4672a3251","TCGA-D1-A16I-01A")</f>
        <v>TCGA-D1-A16I-01A</v>
      </c>
      <c r="I21150" t="s">
        <v>444</v>
      </c>
      <c r="J21150" t="s">
        <v>599</v>
      </c>
      <c r="K21150" t="s">
        <v>33</v>
      </c>
      <c r="L21150" t="s">
        <v>600</v>
      </c>
      <c r="N21150" t="s">
        <v>29</v>
      </c>
    </row>
    <row r="21151" spans="1:14">
      <c r="A21151" s="4" t="str">
        <f t="shared" si="1414"/>
        <v>EXP00451</v>
      </c>
      <c r="B21151" s="3" t="s">
        <v>66</v>
      </c>
      <c r="C21151" s="4" t="str">
        <f t="shared" si="1415"/>
        <v>TCGA-UCEC</v>
      </c>
      <c r="D21151" s="1" t="s">
        <v>493</v>
      </c>
      <c r="E21151" t="s">
        <v>598</v>
      </c>
      <c r="F21151" s="1">
        <v>2</v>
      </c>
      <c r="G21151" s="1" t="s">
        <v>32</v>
      </c>
      <c r="H21151" s="4" t="str">
        <f>HYPERLINK("https://portal.gdc.cancer.gov/cases/4db4d048-016a-4186-a519-bfbad237762f","TCGA-D1-A16J-01A")</f>
        <v>TCGA-D1-A16J-01A</v>
      </c>
      <c r="I21151" t="s">
        <v>444</v>
      </c>
      <c r="J21151" t="s">
        <v>599</v>
      </c>
      <c r="K21151" t="s">
        <v>33</v>
      </c>
      <c r="L21151" t="s">
        <v>600</v>
      </c>
      <c r="N21151" t="s">
        <v>29</v>
      </c>
    </row>
    <row r="21152" spans="1:14">
      <c r="A21152" s="4" t="str">
        <f t="shared" si="1414"/>
        <v>EXP00451</v>
      </c>
      <c r="B21152" s="3" t="s">
        <v>66</v>
      </c>
      <c r="C21152" s="4" t="str">
        <f t="shared" si="1415"/>
        <v>TCGA-UCEC</v>
      </c>
      <c r="D21152" s="1" t="s">
        <v>493</v>
      </c>
      <c r="E21152" t="s">
        <v>598</v>
      </c>
      <c r="F21152" s="1">
        <v>2</v>
      </c>
      <c r="G21152" s="1" t="s">
        <v>32</v>
      </c>
      <c r="H21152" s="4" t="str">
        <f>HYPERLINK("https://portal.gdc.cancer.gov/cases/dbbbddae-d711-40f5-bd10-863735885b1f","TCGA-D1-A16N-01A")</f>
        <v>TCGA-D1-A16N-01A</v>
      </c>
      <c r="I21152" t="s">
        <v>444</v>
      </c>
      <c r="J21152" t="s">
        <v>599</v>
      </c>
      <c r="K21152" t="s">
        <v>33</v>
      </c>
      <c r="L21152" t="s">
        <v>600</v>
      </c>
      <c r="N21152" t="s">
        <v>29</v>
      </c>
    </row>
    <row r="21153" spans="1:14">
      <c r="A21153" s="4" t="str">
        <f t="shared" si="1414"/>
        <v>EXP00451</v>
      </c>
      <c r="B21153" s="3" t="s">
        <v>66</v>
      </c>
      <c r="C21153" s="4" t="str">
        <f t="shared" si="1415"/>
        <v>TCGA-UCEC</v>
      </c>
      <c r="D21153" s="1" t="s">
        <v>493</v>
      </c>
      <c r="E21153" t="s">
        <v>598</v>
      </c>
      <c r="F21153" s="1">
        <v>2</v>
      </c>
      <c r="G21153" s="1" t="s">
        <v>32</v>
      </c>
      <c r="H21153" s="4" t="str">
        <f>HYPERLINK("https://portal.gdc.cancer.gov/cases/8f508b78-cdc6-4a3d-b86e-520746d78653","TCGA-D1-A16O-01A")</f>
        <v>TCGA-D1-A16O-01A</v>
      </c>
      <c r="I21153" t="s">
        <v>444</v>
      </c>
      <c r="J21153" t="s">
        <v>599</v>
      </c>
      <c r="K21153" t="s">
        <v>33</v>
      </c>
      <c r="L21153" t="s">
        <v>600</v>
      </c>
      <c r="N21153" t="s">
        <v>29</v>
      </c>
    </row>
    <row r="21154" spans="1:14">
      <c r="A21154" s="4" t="str">
        <f t="shared" si="1414"/>
        <v>EXP00451</v>
      </c>
      <c r="B21154" s="3" t="s">
        <v>66</v>
      </c>
      <c r="C21154" s="4" t="str">
        <f t="shared" si="1415"/>
        <v>TCGA-UCEC</v>
      </c>
      <c r="D21154" s="1" t="s">
        <v>493</v>
      </c>
      <c r="E21154" t="s">
        <v>598</v>
      </c>
      <c r="F21154" s="1">
        <v>2</v>
      </c>
      <c r="G21154" s="1" t="s">
        <v>32</v>
      </c>
      <c r="H21154" s="4" t="str">
        <f>HYPERLINK("https://portal.gdc.cancer.gov/cases/7f4f3aed-69af-421e-817b-b258dcc0bac5","TCGA-D1-A16Q-01A")</f>
        <v>TCGA-D1-A16Q-01A</v>
      </c>
      <c r="I21154" t="s">
        <v>444</v>
      </c>
      <c r="J21154" t="s">
        <v>599</v>
      </c>
      <c r="K21154" t="s">
        <v>33</v>
      </c>
      <c r="L21154" t="s">
        <v>600</v>
      </c>
      <c r="N21154" t="s">
        <v>29</v>
      </c>
    </row>
    <row r="21155" spans="1:14">
      <c r="A21155" s="4" t="str">
        <f t="shared" si="1414"/>
        <v>EXP00451</v>
      </c>
      <c r="B21155" s="3" t="s">
        <v>66</v>
      </c>
      <c r="C21155" s="4" t="str">
        <f t="shared" si="1415"/>
        <v>TCGA-UCEC</v>
      </c>
      <c r="D21155" s="1" t="s">
        <v>493</v>
      </c>
      <c r="E21155" t="s">
        <v>598</v>
      </c>
      <c r="F21155" s="1">
        <v>2</v>
      </c>
      <c r="G21155" s="1" t="s">
        <v>32</v>
      </c>
      <c r="H21155" s="4" t="str">
        <f>HYPERLINK("https://portal.gdc.cancer.gov/cases/40f43483-b504-4ea7-ad24-40682b10caac","TCGA-D1-A16R-01A")</f>
        <v>TCGA-D1-A16R-01A</v>
      </c>
      <c r="I21155" t="s">
        <v>444</v>
      </c>
      <c r="J21155" t="s">
        <v>599</v>
      </c>
      <c r="K21155" t="s">
        <v>33</v>
      </c>
      <c r="L21155" t="s">
        <v>600</v>
      </c>
      <c r="N21155" t="s">
        <v>29</v>
      </c>
    </row>
    <row r="21156" spans="1:14">
      <c r="A21156" s="4" t="str">
        <f t="shared" si="1414"/>
        <v>EXP00451</v>
      </c>
      <c r="B21156" s="3" t="s">
        <v>66</v>
      </c>
      <c r="C21156" s="4" t="str">
        <f t="shared" si="1415"/>
        <v>TCGA-UCEC</v>
      </c>
      <c r="D21156" s="1" t="s">
        <v>493</v>
      </c>
      <c r="E21156" t="s">
        <v>598</v>
      </c>
      <c r="F21156" s="1">
        <v>2</v>
      </c>
      <c r="G21156" s="1" t="s">
        <v>32</v>
      </c>
      <c r="H21156" s="4" t="str">
        <f>HYPERLINK("https://portal.gdc.cancer.gov/cases/0b670df6-c487-4ed6-9b48-ef4b01a1aec3","TCGA-D1-A16S-01A")</f>
        <v>TCGA-D1-A16S-01A</v>
      </c>
      <c r="I21156" t="s">
        <v>444</v>
      </c>
      <c r="J21156" t="s">
        <v>599</v>
      </c>
      <c r="K21156" t="s">
        <v>33</v>
      </c>
      <c r="L21156" t="s">
        <v>600</v>
      </c>
      <c r="N21156" t="s">
        <v>29</v>
      </c>
    </row>
    <row r="21157" spans="1:14">
      <c r="A21157" s="4" t="str">
        <f t="shared" si="1414"/>
        <v>EXP00451</v>
      </c>
      <c r="B21157" s="3" t="s">
        <v>66</v>
      </c>
      <c r="C21157" s="4" t="str">
        <f t="shared" si="1415"/>
        <v>TCGA-UCEC</v>
      </c>
      <c r="D21157" s="1" t="s">
        <v>493</v>
      </c>
      <c r="E21157" t="s">
        <v>598</v>
      </c>
      <c r="F21157" s="1">
        <v>2</v>
      </c>
      <c r="G21157" s="1" t="s">
        <v>32</v>
      </c>
      <c r="H21157" s="4" t="str">
        <f>HYPERLINK("https://portal.gdc.cancer.gov/cases/8b19c8ac-68e6-4dc8-aec9-1556e62ca20f","TCGA-D1-A16V-01A")</f>
        <v>TCGA-D1-A16V-01A</v>
      </c>
      <c r="I21157" t="s">
        <v>444</v>
      </c>
      <c r="J21157" t="s">
        <v>599</v>
      </c>
      <c r="K21157" t="s">
        <v>33</v>
      </c>
      <c r="L21157" t="s">
        <v>600</v>
      </c>
      <c r="N21157" t="s">
        <v>29</v>
      </c>
    </row>
    <row r="21158" spans="1:14">
      <c r="A21158" s="4" t="str">
        <f t="shared" si="1414"/>
        <v>EXP00451</v>
      </c>
      <c r="B21158" s="3" t="s">
        <v>66</v>
      </c>
      <c r="C21158" s="4" t="str">
        <f t="shared" si="1415"/>
        <v>TCGA-UCEC</v>
      </c>
      <c r="D21158" s="1" t="s">
        <v>493</v>
      </c>
      <c r="E21158" t="s">
        <v>598</v>
      </c>
      <c r="F21158" s="1">
        <v>2</v>
      </c>
      <c r="G21158" s="1" t="s">
        <v>32</v>
      </c>
      <c r="H21158" s="4" t="str">
        <f>HYPERLINK("https://portal.gdc.cancer.gov/cases/22618073-4ef0-4c3a-97b9-90ba1caa1d72","TCGA-D1-A16X-01A")</f>
        <v>TCGA-D1-A16X-01A</v>
      </c>
      <c r="I21158" t="s">
        <v>444</v>
      </c>
      <c r="J21158" t="s">
        <v>599</v>
      </c>
      <c r="K21158" t="s">
        <v>33</v>
      </c>
      <c r="L21158" t="s">
        <v>600</v>
      </c>
      <c r="N21158" t="s">
        <v>29</v>
      </c>
    </row>
    <row r="21159" spans="1:14">
      <c r="A21159" s="4" t="str">
        <f t="shared" si="1414"/>
        <v>EXP00451</v>
      </c>
      <c r="B21159" s="3" t="s">
        <v>66</v>
      </c>
      <c r="C21159" s="4" t="str">
        <f t="shared" si="1415"/>
        <v>TCGA-UCEC</v>
      </c>
      <c r="D21159" s="1" t="s">
        <v>493</v>
      </c>
      <c r="E21159" t="s">
        <v>598</v>
      </c>
      <c r="F21159" s="1">
        <v>2</v>
      </c>
      <c r="G21159" s="1" t="s">
        <v>32</v>
      </c>
      <c r="H21159" s="4" t="str">
        <f>HYPERLINK("https://portal.gdc.cancer.gov/cases/0e9c36fd-2d5d-48da-8364-f8c5edc3d873","TCGA-D1-A16Y-01A")</f>
        <v>TCGA-D1-A16Y-01A</v>
      </c>
      <c r="I21159" t="s">
        <v>444</v>
      </c>
      <c r="J21159" t="s">
        <v>599</v>
      </c>
      <c r="K21159" t="s">
        <v>33</v>
      </c>
      <c r="L21159" t="s">
        <v>600</v>
      </c>
      <c r="N21159" t="s">
        <v>29</v>
      </c>
    </row>
    <row r="21160" spans="1:14">
      <c r="A21160" s="4" t="str">
        <f t="shared" si="1414"/>
        <v>EXP00451</v>
      </c>
      <c r="B21160" s="3" t="s">
        <v>66</v>
      </c>
      <c r="C21160" s="4" t="str">
        <f t="shared" si="1415"/>
        <v>TCGA-UCEC</v>
      </c>
      <c r="D21160" s="1" t="s">
        <v>493</v>
      </c>
      <c r="E21160" t="s">
        <v>598</v>
      </c>
      <c r="F21160" s="1">
        <v>2</v>
      </c>
      <c r="G21160" s="1" t="s">
        <v>32</v>
      </c>
      <c r="H21160" s="4" t="str">
        <f>HYPERLINK("https://portal.gdc.cancer.gov/cases/fc7315b0-9f48-4206-b197-2268c0518eb4","TCGA-D1-A174-01A")</f>
        <v>TCGA-D1-A174-01A</v>
      </c>
      <c r="I21160" t="s">
        <v>444</v>
      </c>
      <c r="J21160" t="s">
        <v>599</v>
      </c>
      <c r="K21160" t="s">
        <v>33</v>
      </c>
      <c r="L21160" t="s">
        <v>600</v>
      </c>
      <c r="N21160" t="s">
        <v>29</v>
      </c>
    </row>
    <row r="21161" spans="1:14">
      <c r="A21161" s="4" t="str">
        <f t="shared" si="1414"/>
        <v>EXP00451</v>
      </c>
      <c r="B21161" s="3" t="s">
        <v>66</v>
      </c>
      <c r="C21161" s="4" t="str">
        <f t="shared" si="1415"/>
        <v>TCGA-UCEC</v>
      </c>
      <c r="D21161" s="1" t="s">
        <v>493</v>
      </c>
      <c r="E21161" t="s">
        <v>598</v>
      </c>
      <c r="F21161" s="1">
        <v>2</v>
      </c>
      <c r="G21161" s="1" t="s">
        <v>32</v>
      </c>
      <c r="H21161" s="4" t="str">
        <f>HYPERLINK("https://portal.gdc.cancer.gov/cases/f0b3ab10-43f8-48a8-b460-66ceaaf637db","TCGA-D1-A175-01A")</f>
        <v>TCGA-D1-A175-01A</v>
      </c>
      <c r="I21161" t="s">
        <v>444</v>
      </c>
      <c r="J21161" t="s">
        <v>599</v>
      </c>
      <c r="K21161" t="s">
        <v>33</v>
      </c>
      <c r="L21161" t="s">
        <v>600</v>
      </c>
      <c r="N21161" t="s">
        <v>29</v>
      </c>
    </row>
    <row r="21162" spans="1:14">
      <c r="A21162" s="4" t="str">
        <f t="shared" si="1414"/>
        <v>EXP00451</v>
      </c>
      <c r="B21162" s="3" t="s">
        <v>66</v>
      </c>
      <c r="C21162" s="4" t="str">
        <f t="shared" si="1415"/>
        <v>TCGA-UCEC</v>
      </c>
      <c r="D21162" s="1" t="s">
        <v>493</v>
      </c>
      <c r="E21162" t="s">
        <v>598</v>
      </c>
      <c r="F21162" s="1">
        <v>2</v>
      </c>
      <c r="G21162" s="1" t="s">
        <v>32</v>
      </c>
      <c r="H21162" s="4" t="str">
        <f>HYPERLINK("https://portal.gdc.cancer.gov/cases/6d061ca9-ba7e-4b82-ab3c-34e33f244a54","TCGA-D1-A176-01A")</f>
        <v>TCGA-D1-A176-01A</v>
      </c>
      <c r="I21162" t="s">
        <v>444</v>
      </c>
      <c r="J21162" t="s">
        <v>599</v>
      </c>
      <c r="K21162" t="s">
        <v>33</v>
      </c>
      <c r="L21162" t="s">
        <v>600</v>
      </c>
      <c r="N21162" t="s">
        <v>29</v>
      </c>
    </row>
    <row r="21163" spans="1:14">
      <c r="A21163" s="4" t="str">
        <f t="shared" si="1414"/>
        <v>EXP00451</v>
      </c>
      <c r="B21163" s="3" t="s">
        <v>66</v>
      </c>
      <c r="C21163" s="4" t="str">
        <f t="shared" si="1415"/>
        <v>TCGA-UCEC</v>
      </c>
      <c r="D21163" s="1" t="s">
        <v>493</v>
      </c>
      <c r="E21163" t="s">
        <v>598</v>
      </c>
      <c r="F21163" s="1">
        <v>2</v>
      </c>
      <c r="G21163" s="1" t="s">
        <v>32</v>
      </c>
      <c r="H21163" s="4" t="str">
        <f>HYPERLINK("https://portal.gdc.cancer.gov/cases/e8c58d8b-51d7-4599-af79-469ee6f269db","TCGA-D1-A177-01A")</f>
        <v>TCGA-D1-A177-01A</v>
      </c>
      <c r="I21163" t="s">
        <v>444</v>
      </c>
      <c r="J21163" t="s">
        <v>599</v>
      </c>
      <c r="K21163" t="s">
        <v>33</v>
      </c>
      <c r="L21163" t="s">
        <v>600</v>
      </c>
      <c r="N21163" t="s">
        <v>29</v>
      </c>
    </row>
    <row r="21164" spans="1:14">
      <c r="A21164" s="4" t="str">
        <f t="shared" si="1414"/>
        <v>EXP00451</v>
      </c>
      <c r="B21164" s="3" t="s">
        <v>66</v>
      </c>
      <c r="C21164" s="4" t="str">
        <f t="shared" si="1415"/>
        <v>TCGA-UCEC</v>
      </c>
      <c r="D21164" s="1" t="s">
        <v>493</v>
      </c>
      <c r="E21164" t="s">
        <v>598</v>
      </c>
      <c r="F21164" s="1">
        <v>2</v>
      </c>
      <c r="G21164" s="1" t="s">
        <v>32</v>
      </c>
      <c r="H21164" s="4" t="str">
        <f>HYPERLINK("https://portal.gdc.cancer.gov/cases/37d5c1d9-3ff5-44fe-afdc-ff430a0f3510","TCGA-D1-A179-01A")</f>
        <v>TCGA-D1-A179-01A</v>
      </c>
      <c r="I21164" t="s">
        <v>444</v>
      </c>
      <c r="J21164" t="s">
        <v>599</v>
      </c>
      <c r="K21164" t="s">
        <v>33</v>
      </c>
      <c r="L21164" t="s">
        <v>600</v>
      </c>
      <c r="N21164" t="s">
        <v>29</v>
      </c>
    </row>
    <row r="21165" spans="1:14">
      <c r="A21165" s="4" t="str">
        <f t="shared" si="1414"/>
        <v>EXP00451</v>
      </c>
      <c r="B21165" s="3" t="s">
        <v>66</v>
      </c>
      <c r="C21165" s="4" t="str">
        <f t="shared" si="1415"/>
        <v>TCGA-UCEC</v>
      </c>
      <c r="D21165" s="1" t="s">
        <v>493</v>
      </c>
      <c r="E21165" t="s">
        <v>598</v>
      </c>
      <c r="F21165" s="1">
        <v>2</v>
      </c>
      <c r="G21165" s="1" t="s">
        <v>32</v>
      </c>
      <c r="H21165" s="4" t="str">
        <f>HYPERLINK("https://portal.gdc.cancer.gov/cases/c68dd983-b199-4f53-ac0c-b2d8dd6a7931","TCGA-D1-A17A-01A")</f>
        <v>TCGA-D1-A17A-01A</v>
      </c>
      <c r="I21165" t="s">
        <v>444</v>
      </c>
      <c r="J21165" t="s">
        <v>599</v>
      </c>
      <c r="K21165" t="s">
        <v>33</v>
      </c>
      <c r="L21165" t="s">
        <v>600</v>
      </c>
      <c r="N21165" t="s">
        <v>29</v>
      </c>
    </row>
    <row r="21166" spans="1:14">
      <c r="A21166" s="4" t="str">
        <f t="shared" si="1414"/>
        <v>EXP00451</v>
      </c>
      <c r="B21166" s="3" t="s">
        <v>66</v>
      </c>
      <c r="C21166" s="4" t="str">
        <f t="shared" si="1415"/>
        <v>TCGA-UCEC</v>
      </c>
      <c r="D21166" s="1" t="s">
        <v>493</v>
      </c>
      <c r="E21166" t="s">
        <v>598</v>
      </c>
      <c r="F21166" s="1">
        <v>2</v>
      </c>
      <c r="G21166" s="1" t="s">
        <v>32</v>
      </c>
      <c r="H21166" s="4" t="str">
        <f>HYPERLINK("https://portal.gdc.cancer.gov/cases/e55dd65a-c75e-4a3c-bb24-8b3af4d65321","TCGA-D1-A17B-01A")</f>
        <v>TCGA-D1-A17B-01A</v>
      </c>
      <c r="I21166" t="s">
        <v>444</v>
      </c>
      <c r="J21166" t="s">
        <v>599</v>
      </c>
      <c r="K21166" t="s">
        <v>33</v>
      </c>
      <c r="L21166" t="s">
        <v>600</v>
      </c>
      <c r="N21166" t="s">
        <v>29</v>
      </c>
    </row>
    <row r="21167" spans="1:14">
      <c r="A21167" s="4" t="str">
        <f t="shared" si="1414"/>
        <v>EXP00451</v>
      </c>
      <c r="B21167" s="3" t="s">
        <v>66</v>
      </c>
      <c r="C21167" s="4" t="str">
        <f t="shared" si="1415"/>
        <v>TCGA-UCEC</v>
      </c>
      <c r="D21167" s="1" t="s">
        <v>493</v>
      </c>
      <c r="E21167" t="s">
        <v>598</v>
      </c>
      <c r="F21167" s="1">
        <v>2</v>
      </c>
      <c r="G21167" s="1" t="s">
        <v>32</v>
      </c>
      <c r="H21167" s="4" t="str">
        <f>HYPERLINK("https://portal.gdc.cancer.gov/cases/6f4f0cdd-8387-45d0-a9e8-efce6260159d","TCGA-D1-A17C-01A")</f>
        <v>TCGA-D1-A17C-01A</v>
      </c>
      <c r="I21167" t="s">
        <v>444</v>
      </c>
      <c r="J21167" t="s">
        <v>599</v>
      </c>
      <c r="K21167" t="s">
        <v>33</v>
      </c>
      <c r="L21167" t="s">
        <v>600</v>
      </c>
      <c r="N21167" t="s">
        <v>29</v>
      </c>
    </row>
    <row r="21168" spans="1:14">
      <c r="A21168" s="4" t="str">
        <f t="shared" si="1414"/>
        <v>EXP00451</v>
      </c>
      <c r="B21168" s="3" t="s">
        <v>66</v>
      </c>
      <c r="C21168" s="4" t="str">
        <f t="shared" si="1415"/>
        <v>TCGA-UCEC</v>
      </c>
      <c r="D21168" s="1" t="s">
        <v>493</v>
      </c>
      <c r="E21168" t="s">
        <v>598</v>
      </c>
      <c r="F21168" s="1">
        <v>2</v>
      </c>
      <c r="G21168" s="1" t="s">
        <v>32</v>
      </c>
      <c r="H21168" s="4" t="str">
        <f>HYPERLINK("https://portal.gdc.cancer.gov/cases/7ddeddd1-b2ad-425f-94a2-9c476b959f2a","TCGA-D1-A17D-01A")</f>
        <v>TCGA-D1-A17D-01A</v>
      </c>
      <c r="I21168" t="s">
        <v>444</v>
      </c>
      <c r="J21168" t="s">
        <v>599</v>
      </c>
      <c r="K21168" t="s">
        <v>33</v>
      </c>
      <c r="L21168" t="s">
        <v>600</v>
      </c>
      <c r="N21168" t="s">
        <v>29</v>
      </c>
    </row>
    <row r="21169" spans="1:14">
      <c r="A21169" s="4" t="str">
        <f t="shared" si="1414"/>
        <v>EXP00451</v>
      </c>
      <c r="B21169" s="3" t="s">
        <v>66</v>
      </c>
      <c r="C21169" s="4" t="str">
        <f t="shared" si="1415"/>
        <v>TCGA-UCEC</v>
      </c>
      <c r="D21169" s="1" t="s">
        <v>493</v>
      </c>
      <c r="E21169" t="s">
        <v>598</v>
      </c>
      <c r="F21169" s="1">
        <v>2</v>
      </c>
      <c r="G21169" s="1" t="s">
        <v>32</v>
      </c>
      <c r="H21169" s="4" t="str">
        <f>HYPERLINK("https://portal.gdc.cancer.gov/cases/129a49d4-edb8-4a1d-aabb-51b9ad5a8dd1","TCGA-D1-A17F-01A")</f>
        <v>TCGA-D1-A17F-01A</v>
      </c>
      <c r="I21169" t="s">
        <v>444</v>
      </c>
      <c r="J21169" t="s">
        <v>599</v>
      </c>
      <c r="K21169" t="s">
        <v>33</v>
      </c>
      <c r="L21169" t="s">
        <v>600</v>
      </c>
      <c r="N21169" t="s">
        <v>29</v>
      </c>
    </row>
    <row r="21170" spans="1:14">
      <c r="A21170" s="4" t="str">
        <f t="shared" si="1414"/>
        <v>EXP00451</v>
      </c>
      <c r="B21170" s="3" t="s">
        <v>66</v>
      </c>
      <c r="C21170" s="4" t="str">
        <f t="shared" si="1415"/>
        <v>TCGA-UCEC</v>
      </c>
      <c r="D21170" s="1" t="s">
        <v>493</v>
      </c>
      <c r="E21170" t="s">
        <v>598</v>
      </c>
      <c r="F21170" s="1">
        <v>2</v>
      </c>
      <c r="G21170" s="1" t="s">
        <v>32</v>
      </c>
      <c r="H21170" s="4" t="str">
        <f>HYPERLINK("https://portal.gdc.cancer.gov/cases/6c526c42-2fb2-4dfa-8a3d-5651dd600ac7","TCGA-D1-A17H-01A")</f>
        <v>TCGA-D1-A17H-01A</v>
      </c>
      <c r="I21170" t="s">
        <v>444</v>
      </c>
      <c r="J21170" t="s">
        <v>599</v>
      </c>
      <c r="K21170" t="s">
        <v>33</v>
      </c>
      <c r="L21170" t="s">
        <v>600</v>
      </c>
      <c r="N21170" t="s">
        <v>29</v>
      </c>
    </row>
    <row r="21171" spans="1:14">
      <c r="A21171" s="4" t="str">
        <f t="shared" si="1414"/>
        <v>EXP00451</v>
      </c>
      <c r="B21171" s="3" t="s">
        <v>66</v>
      </c>
      <c r="C21171" s="4" t="str">
        <f t="shared" si="1415"/>
        <v>TCGA-UCEC</v>
      </c>
      <c r="D21171" s="1" t="s">
        <v>493</v>
      </c>
      <c r="E21171" t="s">
        <v>598</v>
      </c>
      <c r="F21171" s="1">
        <v>2</v>
      </c>
      <c r="G21171" s="1" t="s">
        <v>32</v>
      </c>
      <c r="H21171" s="4" t="str">
        <f>HYPERLINK("https://portal.gdc.cancer.gov/cases/5c22c8d6-5805-455c-8e1c-e6b8006738e4","TCGA-D1-A17K-01A")</f>
        <v>TCGA-D1-A17K-01A</v>
      </c>
      <c r="I21171" t="s">
        <v>444</v>
      </c>
      <c r="J21171" t="s">
        <v>599</v>
      </c>
      <c r="K21171" t="s">
        <v>33</v>
      </c>
      <c r="L21171" t="s">
        <v>600</v>
      </c>
      <c r="N21171" t="s">
        <v>29</v>
      </c>
    </row>
    <row r="21172" spans="1:14">
      <c r="A21172" s="4" t="str">
        <f t="shared" si="1414"/>
        <v>EXP00451</v>
      </c>
      <c r="B21172" s="3" t="s">
        <v>66</v>
      </c>
      <c r="C21172" s="4" t="str">
        <f t="shared" si="1415"/>
        <v>TCGA-UCEC</v>
      </c>
      <c r="D21172" s="1" t="s">
        <v>493</v>
      </c>
      <c r="E21172" t="s">
        <v>598</v>
      </c>
      <c r="F21172" s="1">
        <v>2</v>
      </c>
      <c r="G21172" s="1" t="s">
        <v>32</v>
      </c>
      <c r="H21172" s="4" t="str">
        <f>HYPERLINK("https://portal.gdc.cancer.gov/cases/67ccb182-3021-4621-bffb-6565574dbc58","TCGA-D1-A17L-01A")</f>
        <v>TCGA-D1-A17L-01A</v>
      </c>
      <c r="I21172" t="s">
        <v>444</v>
      </c>
      <c r="J21172" t="s">
        <v>599</v>
      </c>
      <c r="K21172" t="s">
        <v>33</v>
      </c>
      <c r="L21172" t="s">
        <v>600</v>
      </c>
      <c r="N21172" t="s">
        <v>29</v>
      </c>
    </row>
    <row r="21173" spans="1:14">
      <c r="A21173" s="4" t="str">
        <f t="shared" ref="A21173:A21236" si="1416">HYPERLINK("http://hcmdb.i-sanger.com/experiment/details/experiment_id/EXP00451","EXP00451")</f>
        <v>EXP00451</v>
      </c>
      <c r="B21173" s="3" t="s">
        <v>66</v>
      </c>
      <c r="C21173" s="4" t="str">
        <f t="shared" ref="C21173:C21236" si="1417">HYPERLINK("https://portal.gdc.cancer.gov/projects/TCGA-UCEC","TCGA-UCEC")</f>
        <v>TCGA-UCEC</v>
      </c>
      <c r="D21173" s="1" t="s">
        <v>493</v>
      </c>
      <c r="E21173" t="s">
        <v>598</v>
      </c>
      <c r="F21173" s="1">
        <v>2</v>
      </c>
      <c r="G21173" s="1" t="s">
        <v>32</v>
      </c>
      <c r="H21173" s="4" t="str">
        <f>HYPERLINK("https://portal.gdc.cancer.gov/cases/02b2cd50-221f-437c-a1ce-6da1467ec809","TCGA-D1-A17M-01A")</f>
        <v>TCGA-D1-A17M-01A</v>
      </c>
      <c r="I21173" t="s">
        <v>444</v>
      </c>
      <c r="J21173" t="s">
        <v>599</v>
      </c>
      <c r="K21173" t="s">
        <v>33</v>
      </c>
      <c r="L21173" t="s">
        <v>600</v>
      </c>
      <c r="N21173" t="s">
        <v>29</v>
      </c>
    </row>
    <row r="21174" spans="1:14">
      <c r="A21174" s="4" t="str">
        <f t="shared" si="1416"/>
        <v>EXP00451</v>
      </c>
      <c r="B21174" s="3" t="s">
        <v>66</v>
      </c>
      <c r="C21174" s="4" t="str">
        <f t="shared" si="1417"/>
        <v>TCGA-UCEC</v>
      </c>
      <c r="D21174" s="1" t="s">
        <v>493</v>
      </c>
      <c r="E21174" t="s">
        <v>598</v>
      </c>
      <c r="F21174" s="1">
        <v>2</v>
      </c>
      <c r="G21174" s="1" t="s">
        <v>32</v>
      </c>
      <c r="H21174" s="4" t="str">
        <f>HYPERLINK("https://portal.gdc.cancer.gov/cases/001e0309-9c50-42b0-9e38-347883ee2cd3","TCGA-D1-A17N-01A")</f>
        <v>TCGA-D1-A17N-01A</v>
      </c>
      <c r="I21174" t="s">
        <v>444</v>
      </c>
      <c r="J21174" t="s">
        <v>599</v>
      </c>
      <c r="K21174" t="s">
        <v>33</v>
      </c>
      <c r="L21174" t="s">
        <v>600</v>
      </c>
      <c r="N21174" t="s">
        <v>29</v>
      </c>
    </row>
    <row r="21175" spans="1:14">
      <c r="A21175" s="4" t="str">
        <f t="shared" si="1416"/>
        <v>EXP00451</v>
      </c>
      <c r="B21175" s="3" t="s">
        <v>66</v>
      </c>
      <c r="C21175" s="4" t="str">
        <f t="shared" si="1417"/>
        <v>TCGA-UCEC</v>
      </c>
      <c r="D21175" s="1" t="s">
        <v>493</v>
      </c>
      <c r="E21175" t="s">
        <v>598</v>
      </c>
      <c r="F21175" s="1">
        <v>2</v>
      </c>
      <c r="G21175" s="1" t="s">
        <v>32</v>
      </c>
      <c r="H21175" s="4" t="str">
        <f>HYPERLINK("https://portal.gdc.cancer.gov/cases/ca8dbbfd-8928-4e25-94c6-b875de631bbd","TCGA-D1-A17Q-01A")</f>
        <v>TCGA-D1-A17Q-01A</v>
      </c>
      <c r="I21175" t="s">
        <v>444</v>
      </c>
      <c r="J21175" t="s">
        <v>599</v>
      </c>
      <c r="K21175" t="s">
        <v>33</v>
      </c>
      <c r="L21175" t="s">
        <v>600</v>
      </c>
      <c r="N21175" t="s">
        <v>29</v>
      </c>
    </row>
    <row r="21176" spans="1:14">
      <c r="A21176" s="4" t="str">
        <f t="shared" si="1416"/>
        <v>EXP00451</v>
      </c>
      <c r="B21176" s="3" t="s">
        <v>66</v>
      </c>
      <c r="C21176" s="4" t="str">
        <f t="shared" si="1417"/>
        <v>TCGA-UCEC</v>
      </c>
      <c r="D21176" s="1" t="s">
        <v>493</v>
      </c>
      <c r="E21176" t="s">
        <v>598</v>
      </c>
      <c r="F21176" s="1">
        <v>2</v>
      </c>
      <c r="G21176" s="1" t="s">
        <v>32</v>
      </c>
      <c r="H21176" s="4" t="str">
        <f>HYPERLINK("https://portal.gdc.cancer.gov/cases/73a0dd38-115d-48fb-b683-04aa5d612f2a","TCGA-D1-A17R-01A")</f>
        <v>TCGA-D1-A17R-01A</v>
      </c>
      <c r="I21176" t="s">
        <v>444</v>
      </c>
      <c r="J21176" t="s">
        <v>599</v>
      </c>
      <c r="K21176" t="s">
        <v>33</v>
      </c>
      <c r="L21176" t="s">
        <v>600</v>
      </c>
      <c r="N21176" t="s">
        <v>29</v>
      </c>
    </row>
    <row r="21177" spans="1:14">
      <c r="A21177" s="4" t="str">
        <f t="shared" si="1416"/>
        <v>EXP00451</v>
      </c>
      <c r="B21177" s="3" t="s">
        <v>66</v>
      </c>
      <c r="C21177" s="4" t="str">
        <f t="shared" si="1417"/>
        <v>TCGA-UCEC</v>
      </c>
      <c r="D21177" s="1" t="s">
        <v>493</v>
      </c>
      <c r="E21177" t="s">
        <v>598</v>
      </c>
      <c r="F21177" s="1">
        <v>2</v>
      </c>
      <c r="G21177" s="1" t="s">
        <v>32</v>
      </c>
      <c r="H21177" s="4" t="str">
        <f>HYPERLINK("https://portal.gdc.cancer.gov/cases/24434832-46fc-485a-9ff4-2aa95c3d3936","TCGA-D1-A17S-01A")</f>
        <v>TCGA-D1-A17S-01A</v>
      </c>
      <c r="I21177" t="s">
        <v>444</v>
      </c>
      <c r="J21177" t="s">
        <v>599</v>
      </c>
      <c r="K21177" t="s">
        <v>33</v>
      </c>
      <c r="L21177" t="s">
        <v>600</v>
      </c>
      <c r="N21177" t="s">
        <v>29</v>
      </c>
    </row>
    <row r="21178" spans="1:14">
      <c r="A21178" s="4" t="str">
        <f t="shared" si="1416"/>
        <v>EXP00451</v>
      </c>
      <c r="B21178" s="3" t="s">
        <v>66</v>
      </c>
      <c r="C21178" s="4" t="str">
        <f t="shared" si="1417"/>
        <v>TCGA-UCEC</v>
      </c>
      <c r="D21178" s="1" t="s">
        <v>493</v>
      </c>
      <c r="E21178" t="s">
        <v>598</v>
      </c>
      <c r="F21178" s="1">
        <v>2</v>
      </c>
      <c r="G21178" s="1" t="s">
        <v>32</v>
      </c>
      <c r="H21178" s="4" t="str">
        <f>HYPERLINK("https://portal.gdc.cancer.gov/cases/efa4c675-e35e-4f48-8d12-a40f30b63ddb","TCGA-D1-A17T-01A")</f>
        <v>TCGA-D1-A17T-01A</v>
      </c>
      <c r="I21178" t="s">
        <v>444</v>
      </c>
      <c r="J21178" t="s">
        <v>599</v>
      </c>
      <c r="K21178" t="s">
        <v>33</v>
      </c>
      <c r="L21178" t="s">
        <v>600</v>
      </c>
      <c r="N21178" t="s">
        <v>29</v>
      </c>
    </row>
    <row r="21179" spans="1:14">
      <c r="A21179" s="4" t="str">
        <f t="shared" si="1416"/>
        <v>EXP00451</v>
      </c>
      <c r="B21179" s="3" t="s">
        <v>66</v>
      </c>
      <c r="C21179" s="4" t="str">
        <f t="shared" si="1417"/>
        <v>TCGA-UCEC</v>
      </c>
      <c r="D21179" s="1" t="s">
        <v>493</v>
      </c>
      <c r="E21179" t="s">
        <v>598</v>
      </c>
      <c r="F21179" s="1">
        <v>2</v>
      </c>
      <c r="G21179" s="1" t="s">
        <v>32</v>
      </c>
      <c r="H21179" s="4" t="str">
        <f>HYPERLINK("https://portal.gdc.cancer.gov/cases/6397c4a1-0a29-4c2c-b8cb-ce73af93dd0b","TCGA-D1-A17U-01A")</f>
        <v>TCGA-D1-A17U-01A</v>
      </c>
      <c r="I21179" t="s">
        <v>444</v>
      </c>
      <c r="J21179" t="s">
        <v>599</v>
      </c>
      <c r="K21179" t="s">
        <v>33</v>
      </c>
      <c r="L21179" t="s">
        <v>600</v>
      </c>
      <c r="N21179" t="s">
        <v>29</v>
      </c>
    </row>
    <row r="21180" spans="1:14">
      <c r="A21180" s="4" t="str">
        <f t="shared" si="1416"/>
        <v>EXP00451</v>
      </c>
      <c r="B21180" s="3" t="s">
        <v>66</v>
      </c>
      <c r="C21180" s="4" t="str">
        <f t="shared" si="1417"/>
        <v>TCGA-UCEC</v>
      </c>
      <c r="D21180" s="1" t="s">
        <v>493</v>
      </c>
      <c r="E21180" t="s">
        <v>598</v>
      </c>
      <c r="F21180" s="1">
        <v>2</v>
      </c>
      <c r="G21180" s="1" t="s">
        <v>32</v>
      </c>
      <c r="H21180" s="4" t="str">
        <f>HYPERLINK("https://portal.gdc.cancer.gov/cases/a79a4e56-09bf-4691-b7e0-81a9c2620d0f","TCGA-D1-A1NS-01A")</f>
        <v>TCGA-D1-A1NS-01A</v>
      </c>
      <c r="I21180" t="s">
        <v>444</v>
      </c>
      <c r="J21180" t="s">
        <v>599</v>
      </c>
      <c r="K21180" t="s">
        <v>33</v>
      </c>
      <c r="L21180" t="s">
        <v>600</v>
      </c>
      <c r="N21180" t="s">
        <v>29</v>
      </c>
    </row>
    <row r="21181" spans="1:14">
      <c r="A21181" s="4" t="str">
        <f t="shared" si="1416"/>
        <v>EXP00451</v>
      </c>
      <c r="B21181" s="3" t="s">
        <v>66</v>
      </c>
      <c r="C21181" s="4" t="str">
        <f t="shared" si="1417"/>
        <v>TCGA-UCEC</v>
      </c>
      <c r="D21181" s="1" t="s">
        <v>493</v>
      </c>
      <c r="E21181" t="s">
        <v>598</v>
      </c>
      <c r="F21181" s="1">
        <v>2</v>
      </c>
      <c r="G21181" s="1" t="s">
        <v>32</v>
      </c>
      <c r="H21181" s="4" t="str">
        <f>HYPERLINK("https://portal.gdc.cancer.gov/cases/e56491af-718f-4ca1-b3cd-0e5b3154697b","TCGA-D1-A1NU-01A")</f>
        <v>TCGA-D1-A1NU-01A</v>
      </c>
      <c r="I21181" t="s">
        <v>444</v>
      </c>
      <c r="J21181" t="s">
        <v>599</v>
      </c>
      <c r="K21181" t="s">
        <v>33</v>
      </c>
      <c r="L21181" t="s">
        <v>600</v>
      </c>
      <c r="N21181" t="s">
        <v>29</v>
      </c>
    </row>
    <row r="21182" spans="1:14">
      <c r="A21182" s="4" t="str">
        <f t="shared" si="1416"/>
        <v>EXP00451</v>
      </c>
      <c r="B21182" s="3" t="s">
        <v>66</v>
      </c>
      <c r="C21182" s="4" t="str">
        <f t="shared" si="1417"/>
        <v>TCGA-UCEC</v>
      </c>
      <c r="D21182" s="1" t="s">
        <v>493</v>
      </c>
      <c r="E21182" t="s">
        <v>598</v>
      </c>
      <c r="F21182" s="1">
        <v>2</v>
      </c>
      <c r="G21182" s="1" t="s">
        <v>32</v>
      </c>
      <c r="H21182" s="4" t="str">
        <f>HYPERLINK("https://portal.gdc.cancer.gov/cases/d7258a64-3ea0-40fc-b3f4-b581a1725fff","TCGA-D1-A1NW-01A")</f>
        <v>TCGA-D1-A1NW-01A</v>
      </c>
      <c r="I21182" t="s">
        <v>444</v>
      </c>
      <c r="J21182" t="s">
        <v>599</v>
      </c>
      <c r="K21182" t="s">
        <v>33</v>
      </c>
      <c r="L21182" t="s">
        <v>600</v>
      </c>
      <c r="N21182" t="s">
        <v>29</v>
      </c>
    </row>
    <row r="21183" spans="1:14">
      <c r="A21183" s="4" t="str">
        <f t="shared" si="1416"/>
        <v>EXP00451</v>
      </c>
      <c r="B21183" s="3" t="s">
        <v>66</v>
      </c>
      <c r="C21183" s="4" t="str">
        <f t="shared" si="1417"/>
        <v>TCGA-UCEC</v>
      </c>
      <c r="D21183" s="1" t="s">
        <v>493</v>
      </c>
      <c r="E21183" t="s">
        <v>598</v>
      </c>
      <c r="F21183" s="1">
        <v>2</v>
      </c>
      <c r="G21183" s="1" t="s">
        <v>32</v>
      </c>
      <c r="H21183" s="4" t="str">
        <f>HYPERLINK("https://portal.gdc.cancer.gov/cases/df01a5ee-e8b5-40b0-8a6a-b6b3faed9df9","TCGA-D1-A1NX-01A")</f>
        <v>TCGA-D1-A1NX-01A</v>
      </c>
      <c r="I21183" t="s">
        <v>444</v>
      </c>
      <c r="J21183" t="s">
        <v>599</v>
      </c>
      <c r="K21183" t="s">
        <v>33</v>
      </c>
      <c r="L21183" t="s">
        <v>600</v>
      </c>
      <c r="N21183" t="s">
        <v>29</v>
      </c>
    </row>
    <row r="21184" spans="1:14">
      <c r="A21184" s="4" t="str">
        <f t="shared" si="1416"/>
        <v>EXP00451</v>
      </c>
      <c r="B21184" s="3" t="s">
        <v>66</v>
      </c>
      <c r="C21184" s="4" t="str">
        <f t="shared" si="1417"/>
        <v>TCGA-UCEC</v>
      </c>
      <c r="D21184" s="1" t="s">
        <v>493</v>
      </c>
      <c r="E21184" t="s">
        <v>598</v>
      </c>
      <c r="F21184" s="1">
        <v>2</v>
      </c>
      <c r="G21184" s="1" t="s">
        <v>32</v>
      </c>
      <c r="H21184" s="4" t="str">
        <f>HYPERLINK("https://portal.gdc.cancer.gov/cases/0a9faff7-ec4d-4b5a-aa83-6fa358f72074","TCGA-D1-A1NY-01A")</f>
        <v>TCGA-D1-A1NY-01A</v>
      </c>
      <c r="I21184" t="s">
        <v>444</v>
      </c>
      <c r="J21184" t="s">
        <v>599</v>
      </c>
      <c r="K21184" t="s">
        <v>33</v>
      </c>
      <c r="L21184" t="s">
        <v>600</v>
      </c>
      <c r="N21184" t="s">
        <v>29</v>
      </c>
    </row>
    <row r="21185" spans="1:14">
      <c r="A21185" s="4" t="str">
        <f t="shared" si="1416"/>
        <v>EXP00451</v>
      </c>
      <c r="B21185" s="3" t="s">
        <v>66</v>
      </c>
      <c r="C21185" s="4" t="str">
        <f t="shared" si="1417"/>
        <v>TCGA-UCEC</v>
      </c>
      <c r="D21185" s="1" t="s">
        <v>493</v>
      </c>
      <c r="E21185" t="s">
        <v>598</v>
      </c>
      <c r="F21185" s="1">
        <v>2</v>
      </c>
      <c r="G21185" s="1" t="s">
        <v>32</v>
      </c>
      <c r="H21185" s="4" t="str">
        <f>HYPERLINK("https://portal.gdc.cancer.gov/cases/e49f545f-3268-4d25-b7a3-4da8e6ab2578","TCGA-D1-A1NZ-01A")</f>
        <v>TCGA-D1-A1NZ-01A</v>
      </c>
      <c r="I21185" t="s">
        <v>444</v>
      </c>
      <c r="J21185" t="s">
        <v>599</v>
      </c>
      <c r="K21185" t="s">
        <v>33</v>
      </c>
      <c r="L21185" t="s">
        <v>600</v>
      </c>
      <c r="N21185" t="s">
        <v>29</v>
      </c>
    </row>
    <row r="21186" spans="1:14">
      <c r="A21186" s="4" t="str">
        <f t="shared" si="1416"/>
        <v>EXP00451</v>
      </c>
      <c r="B21186" s="3" t="s">
        <v>66</v>
      </c>
      <c r="C21186" s="4" t="str">
        <f t="shared" si="1417"/>
        <v>TCGA-UCEC</v>
      </c>
      <c r="D21186" s="1" t="s">
        <v>493</v>
      </c>
      <c r="E21186" t="s">
        <v>598</v>
      </c>
      <c r="F21186" s="1">
        <v>2</v>
      </c>
      <c r="G21186" s="1" t="s">
        <v>32</v>
      </c>
      <c r="H21186" s="4" t="str">
        <f>HYPERLINK("https://portal.gdc.cancer.gov/cases/a98bbe29-8817-4380-a738-3c1bf9f8e0cc","TCGA-D1-A1O0-01A")</f>
        <v>TCGA-D1-A1O0-01A</v>
      </c>
      <c r="I21186" t="s">
        <v>444</v>
      </c>
      <c r="J21186" t="s">
        <v>599</v>
      </c>
      <c r="K21186" t="s">
        <v>33</v>
      </c>
      <c r="L21186" t="s">
        <v>600</v>
      </c>
      <c r="N21186" t="s">
        <v>29</v>
      </c>
    </row>
    <row r="21187" spans="1:14">
      <c r="A21187" s="4" t="str">
        <f t="shared" si="1416"/>
        <v>EXP00451</v>
      </c>
      <c r="B21187" s="3" t="s">
        <v>66</v>
      </c>
      <c r="C21187" s="4" t="str">
        <f t="shared" si="1417"/>
        <v>TCGA-UCEC</v>
      </c>
      <c r="D21187" s="1" t="s">
        <v>493</v>
      </c>
      <c r="E21187" t="s">
        <v>598</v>
      </c>
      <c r="F21187" s="1">
        <v>2</v>
      </c>
      <c r="G21187" s="1" t="s">
        <v>32</v>
      </c>
      <c r="H21187" s="4" t="str">
        <f>HYPERLINK("https://portal.gdc.cancer.gov/cases/f054a123-322f-444a-9971-53d3df371753","TCGA-D1-A1O5-01A")</f>
        <v>TCGA-D1-A1O5-01A</v>
      </c>
      <c r="I21187" t="s">
        <v>444</v>
      </c>
      <c r="J21187" t="s">
        <v>599</v>
      </c>
      <c r="K21187" t="s">
        <v>33</v>
      </c>
      <c r="L21187" t="s">
        <v>600</v>
      </c>
      <c r="N21187" t="s">
        <v>29</v>
      </c>
    </row>
    <row r="21188" spans="1:14">
      <c r="A21188" s="4" t="str">
        <f t="shared" si="1416"/>
        <v>EXP00451</v>
      </c>
      <c r="B21188" s="3" t="s">
        <v>66</v>
      </c>
      <c r="C21188" s="4" t="str">
        <f t="shared" si="1417"/>
        <v>TCGA-UCEC</v>
      </c>
      <c r="D21188" s="1" t="s">
        <v>493</v>
      </c>
      <c r="E21188" t="s">
        <v>598</v>
      </c>
      <c r="F21188" s="1">
        <v>2</v>
      </c>
      <c r="G21188" s="1" t="s">
        <v>32</v>
      </c>
      <c r="H21188" s="4" t="str">
        <f>HYPERLINK("https://portal.gdc.cancer.gov/cases/01ed791e-3187-4e24-a5ff-afff0778c152","TCGA-D1-A1O7-01A")</f>
        <v>TCGA-D1-A1O7-01A</v>
      </c>
      <c r="I21188" t="s">
        <v>444</v>
      </c>
      <c r="J21188" t="s">
        <v>599</v>
      </c>
      <c r="K21188" t="s">
        <v>33</v>
      </c>
      <c r="L21188" t="s">
        <v>600</v>
      </c>
      <c r="N21188" t="s">
        <v>29</v>
      </c>
    </row>
    <row r="21189" spans="1:14">
      <c r="A21189" s="4" t="str">
        <f t="shared" si="1416"/>
        <v>EXP00451</v>
      </c>
      <c r="B21189" s="3" t="s">
        <v>66</v>
      </c>
      <c r="C21189" s="4" t="str">
        <f t="shared" si="1417"/>
        <v>TCGA-UCEC</v>
      </c>
      <c r="D21189" s="1" t="s">
        <v>493</v>
      </c>
      <c r="E21189" t="s">
        <v>598</v>
      </c>
      <c r="F21189" s="1">
        <v>2</v>
      </c>
      <c r="G21189" s="1" t="s">
        <v>32</v>
      </c>
      <c r="H21189" s="4" t="str">
        <f>HYPERLINK("https://portal.gdc.cancer.gov/cases/21faf1a4-f6d3-4cc6-a49a-04b8541ef598","TCGA-D1-A1O8-01A")</f>
        <v>TCGA-D1-A1O8-01A</v>
      </c>
      <c r="I21189" t="s">
        <v>444</v>
      </c>
      <c r="J21189" t="s">
        <v>599</v>
      </c>
      <c r="K21189" t="s">
        <v>33</v>
      </c>
      <c r="L21189" t="s">
        <v>600</v>
      </c>
      <c r="N21189" t="s">
        <v>29</v>
      </c>
    </row>
    <row r="21190" spans="1:14">
      <c r="A21190" s="4" t="str">
        <f t="shared" si="1416"/>
        <v>EXP00451</v>
      </c>
      <c r="B21190" s="3" t="s">
        <v>66</v>
      </c>
      <c r="C21190" s="4" t="str">
        <f t="shared" si="1417"/>
        <v>TCGA-UCEC</v>
      </c>
      <c r="D21190" s="1" t="s">
        <v>493</v>
      </c>
      <c r="E21190" t="s">
        <v>598</v>
      </c>
      <c r="F21190" s="1">
        <v>2</v>
      </c>
      <c r="G21190" s="1" t="s">
        <v>32</v>
      </c>
      <c r="H21190" s="4" t="str">
        <f>HYPERLINK("https://portal.gdc.cancer.gov/cases/6f661f0d-f08b-486e-8bd7-4306e1593eb9","TCGA-D1-A2G0-01A")</f>
        <v>TCGA-D1-A2G0-01A</v>
      </c>
      <c r="I21190" t="s">
        <v>444</v>
      </c>
      <c r="J21190" t="s">
        <v>599</v>
      </c>
      <c r="K21190" t="s">
        <v>33</v>
      </c>
      <c r="L21190" t="s">
        <v>600</v>
      </c>
      <c r="N21190" t="s">
        <v>29</v>
      </c>
    </row>
    <row r="21191" spans="1:14">
      <c r="A21191" s="4" t="str">
        <f t="shared" si="1416"/>
        <v>EXP00451</v>
      </c>
      <c r="B21191" s="3" t="s">
        <v>66</v>
      </c>
      <c r="C21191" s="4" t="str">
        <f t="shared" si="1417"/>
        <v>TCGA-UCEC</v>
      </c>
      <c r="D21191" s="1" t="s">
        <v>493</v>
      </c>
      <c r="E21191" t="s">
        <v>598</v>
      </c>
      <c r="F21191" s="1">
        <v>2</v>
      </c>
      <c r="G21191" s="1" t="s">
        <v>32</v>
      </c>
      <c r="H21191" s="4" t="str">
        <f>HYPERLINK("https://portal.gdc.cancer.gov/cases/016e515e-7f78-4997-9b97-3628464d9222","TCGA-D1-A2G5-01A")</f>
        <v>TCGA-D1-A2G5-01A</v>
      </c>
      <c r="I21191" t="s">
        <v>444</v>
      </c>
      <c r="J21191" t="s">
        <v>599</v>
      </c>
      <c r="K21191" t="s">
        <v>33</v>
      </c>
      <c r="L21191" t="s">
        <v>600</v>
      </c>
      <c r="N21191" t="s">
        <v>29</v>
      </c>
    </row>
    <row r="21192" spans="1:14">
      <c r="A21192" s="4" t="str">
        <f t="shared" si="1416"/>
        <v>EXP00451</v>
      </c>
      <c r="B21192" s="3" t="s">
        <v>66</v>
      </c>
      <c r="C21192" s="4" t="str">
        <f t="shared" si="1417"/>
        <v>TCGA-UCEC</v>
      </c>
      <c r="D21192" s="1" t="s">
        <v>493</v>
      </c>
      <c r="E21192" t="s">
        <v>598</v>
      </c>
      <c r="F21192" s="1">
        <v>2</v>
      </c>
      <c r="G21192" s="1" t="s">
        <v>32</v>
      </c>
      <c r="H21192" s="4" t="str">
        <f>HYPERLINK("https://portal.gdc.cancer.gov/cases/46cd8ded-f8a1-4f8c-a4c2-2d5b51c04f18","TCGA-D1-A2G6-01A")</f>
        <v>TCGA-D1-A2G6-01A</v>
      </c>
      <c r="I21192" t="s">
        <v>444</v>
      </c>
      <c r="J21192" t="s">
        <v>599</v>
      </c>
      <c r="K21192" t="s">
        <v>33</v>
      </c>
      <c r="L21192" t="s">
        <v>600</v>
      </c>
      <c r="N21192" t="s">
        <v>29</v>
      </c>
    </row>
    <row r="21193" spans="1:14">
      <c r="A21193" s="4" t="str">
        <f t="shared" si="1416"/>
        <v>EXP00451</v>
      </c>
      <c r="B21193" s="3" t="s">
        <v>66</v>
      </c>
      <c r="C21193" s="4" t="str">
        <f t="shared" si="1417"/>
        <v>TCGA-UCEC</v>
      </c>
      <c r="D21193" s="1" t="s">
        <v>493</v>
      </c>
      <c r="E21193" t="s">
        <v>598</v>
      </c>
      <c r="F21193" s="1">
        <v>2</v>
      </c>
      <c r="G21193" s="1" t="s">
        <v>32</v>
      </c>
      <c r="H21193" s="4" t="str">
        <f>HYPERLINK("https://portal.gdc.cancer.gov/cases/32b5d0e4-a242-44d1-ac20-6e5ca2f35b71","TCGA-D1-A2G7-01A")</f>
        <v>TCGA-D1-A2G7-01A</v>
      </c>
      <c r="I21193" t="s">
        <v>444</v>
      </c>
      <c r="J21193" t="s">
        <v>599</v>
      </c>
      <c r="K21193" t="s">
        <v>33</v>
      </c>
      <c r="L21193" t="s">
        <v>600</v>
      </c>
      <c r="N21193" t="s">
        <v>29</v>
      </c>
    </row>
    <row r="21194" spans="1:14">
      <c r="A21194" s="4" t="str">
        <f t="shared" si="1416"/>
        <v>EXP00451</v>
      </c>
      <c r="B21194" s="3" t="s">
        <v>66</v>
      </c>
      <c r="C21194" s="4" t="str">
        <f t="shared" si="1417"/>
        <v>TCGA-UCEC</v>
      </c>
      <c r="D21194" s="1" t="s">
        <v>493</v>
      </c>
      <c r="E21194" t="s">
        <v>598</v>
      </c>
      <c r="F21194" s="1">
        <v>2</v>
      </c>
      <c r="G21194" s="1" t="s">
        <v>32</v>
      </c>
      <c r="H21194" s="4" t="str">
        <f>HYPERLINK("https://portal.gdc.cancer.gov/cases/e17a5fca-616c-4a74-abe7-778539ecdc0b","TCGA-D1-A3DA-01A")</f>
        <v>TCGA-D1-A3DA-01A</v>
      </c>
      <c r="I21194" t="s">
        <v>444</v>
      </c>
      <c r="J21194" t="s">
        <v>599</v>
      </c>
      <c r="K21194" t="s">
        <v>33</v>
      </c>
      <c r="L21194" t="s">
        <v>600</v>
      </c>
      <c r="N21194" t="s">
        <v>29</v>
      </c>
    </row>
    <row r="21195" spans="1:14">
      <c r="A21195" s="4" t="str">
        <f t="shared" si="1416"/>
        <v>EXP00451</v>
      </c>
      <c r="B21195" s="3" t="s">
        <v>66</v>
      </c>
      <c r="C21195" s="4" t="str">
        <f t="shared" si="1417"/>
        <v>TCGA-UCEC</v>
      </c>
      <c r="D21195" s="1" t="s">
        <v>493</v>
      </c>
      <c r="E21195" t="s">
        <v>598</v>
      </c>
      <c r="F21195" s="1">
        <v>2</v>
      </c>
      <c r="G21195" s="1" t="s">
        <v>32</v>
      </c>
      <c r="H21195" s="4" t="str">
        <f>HYPERLINK("https://portal.gdc.cancer.gov/cases/7890628d-7120-4dbc-85ae-1f895b6660c2","TCGA-D1-A3DG-01A")</f>
        <v>TCGA-D1-A3DG-01A</v>
      </c>
      <c r="I21195" t="s">
        <v>444</v>
      </c>
      <c r="J21195" t="s">
        <v>599</v>
      </c>
      <c r="K21195" t="s">
        <v>33</v>
      </c>
      <c r="L21195" t="s">
        <v>600</v>
      </c>
      <c r="N21195" t="s">
        <v>29</v>
      </c>
    </row>
    <row r="21196" spans="1:14">
      <c r="A21196" s="4" t="str">
        <f t="shared" si="1416"/>
        <v>EXP00451</v>
      </c>
      <c r="B21196" s="3" t="s">
        <v>66</v>
      </c>
      <c r="C21196" s="4" t="str">
        <f t="shared" si="1417"/>
        <v>TCGA-UCEC</v>
      </c>
      <c r="D21196" s="1" t="s">
        <v>493</v>
      </c>
      <c r="E21196" t="s">
        <v>598</v>
      </c>
      <c r="F21196" s="1">
        <v>2</v>
      </c>
      <c r="G21196" s="1" t="s">
        <v>32</v>
      </c>
      <c r="H21196" s="4" t="str">
        <f>HYPERLINK("https://portal.gdc.cancer.gov/cases/7d22ff96-9249-46b3-9cfa-e40dc4ecebd6","TCGA-D1-A3DH-01A")</f>
        <v>TCGA-D1-A3DH-01A</v>
      </c>
      <c r="I21196" t="s">
        <v>444</v>
      </c>
      <c r="J21196" t="s">
        <v>599</v>
      </c>
      <c r="K21196" t="s">
        <v>33</v>
      </c>
      <c r="L21196" t="s">
        <v>600</v>
      </c>
      <c r="N21196" t="s">
        <v>29</v>
      </c>
    </row>
    <row r="21197" spans="1:14">
      <c r="A21197" s="4" t="str">
        <f t="shared" si="1416"/>
        <v>EXP00451</v>
      </c>
      <c r="B21197" s="3" t="s">
        <v>66</v>
      </c>
      <c r="C21197" s="4" t="str">
        <f t="shared" si="1417"/>
        <v>TCGA-UCEC</v>
      </c>
      <c r="D21197" s="1" t="s">
        <v>493</v>
      </c>
      <c r="E21197" t="s">
        <v>598</v>
      </c>
      <c r="F21197" s="1">
        <v>2</v>
      </c>
      <c r="G21197" s="1" t="s">
        <v>32</v>
      </c>
      <c r="H21197" s="4" t="str">
        <f>HYPERLINK("https://portal.gdc.cancer.gov/cases/4846cb23-d7e7-47f4-972f-3abe229f7bdb","TCGA-D1-A3JP-01A")</f>
        <v>TCGA-D1-A3JP-01A</v>
      </c>
      <c r="I21197" t="s">
        <v>444</v>
      </c>
      <c r="J21197" t="s">
        <v>599</v>
      </c>
      <c r="K21197" t="s">
        <v>33</v>
      </c>
      <c r="L21197" t="s">
        <v>600</v>
      </c>
      <c r="N21197" t="s">
        <v>29</v>
      </c>
    </row>
    <row r="21198" spans="1:14">
      <c r="A21198" s="4" t="str">
        <f t="shared" si="1416"/>
        <v>EXP00451</v>
      </c>
      <c r="B21198" s="3" t="s">
        <v>66</v>
      </c>
      <c r="C21198" s="4" t="str">
        <f t="shared" si="1417"/>
        <v>TCGA-UCEC</v>
      </c>
      <c r="D21198" s="1" t="s">
        <v>493</v>
      </c>
      <c r="E21198" t="s">
        <v>598</v>
      </c>
      <c r="F21198" s="1">
        <v>2</v>
      </c>
      <c r="G21198" s="1" t="s">
        <v>32</v>
      </c>
      <c r="H21198" s="4" t="str">
        <f>HYPERLINK("https://portal.gdc.cancer.gov/cases/07c805c2-ff09-4d5a-95f8-1d7d9f84c33c","TCGA-D1-A3JQ-01A")</f>
        <v>TCGA-D1-A3JQ-01A</v>
      </c>
      <c r="I21198" t="s">
        <v>444</v>
      </c>
      <c r="J21198" t="s">
        <v>599</v>
      </c>
      <c r="K21198" t="s">
        <v>33</v>
      </c>
      <c r="L21198" t="s">
        <v>600</v>
      </c>
      <c r="N21198" t="s">
        <v>29</v>
      </c>
    </row>
    <row r="21199" spans="1:14">
      <c r="A21199" s="4" t="str">
        <f t="shared" si="1416"/>
        <v>EXP00451</v>
      </c>
      <c r="B21199" s="3" t="s">
        <v>66</v>
      </c>
      <c r="C21199" s="4" t="str">
        <f t="shared" si="1417"/>
        <v>TCGA-UCEC</v>
      </c>
      <c r="D21199" s="1" t="s">
        <v>493</v>
      </c>
      <c r="E21199" t="s">
        <v>598</v>
      </c>
      <c r="F21199" s="1">
        <v>2</v>
      </c>
      <c r="G21199" s="1" t="s">
        <v>32</v>
      </c>
      <c r="H21199" s="4" t="str">
        <f>HYPERLINK("https://portal.gdc.cancer.gov/cases/d438c58e-f038-47a3-8e62-485a5aca9695","TCGA-DF-A2KN-01A")</f>
        <v>TCGA-DF-A2KN-01A</v>
      </c>
      <c r="I21199" t="s">
        <v>444</v>
      </c>
      <c r="J21199" t="s">
        <v>599</v>
      </c>
      <c r="K21199" t="s">
        <v>33</v>
      </c>
      <c r="L21199" t="s">
        <v>600</v>
      </c>
      <c r="N21199" t="s">
        <v>29</v>
      </c>
    </row>
    <row r="21200" spans="1:14">
      <c r="A21200" s="4" t="str">
        <f t="shared" si="1416"/>
        <v>EXP00451</v>
      </c>
      <c r="B21200" s="3" t="s">
        <v>66</v>
      </c>
      <c r="C21200" s="4" t="str">
        <f t="shared" si="1417"/>
        <v>TCGA-UCEC</v>
      </c>
      <c r="D21200" s="1" t="s">
        <v>493</v>
      </c>
      <c r="E21200" t="s">
        <v>598</v>
      </c>
      <c r="F21200" s="1">
        <v>2</v>
      </c>
      <c r="G21200" s="1" t="s">
        <v>32</v>
      </c>
      <c r="H21200" s="4" t="str">
        <f>HYPERLINK("https://portal.gdc.cancer.gov/cases/30b62630-fc6d-4620-874a-1e15fd4f40ea","TCGA-DF-A2KR-01A")</f>
        <v>TCGA-DF-A2KR-01A</v>
      </c>
      <c r="I21200" t="s">
        <v>444</v>
      </c>
      <c r="J21200" t="s">
        <v>599</v>
      </c>
      <c r="K21200" t="s">
        <v>33</v>
      </c>
      <c r="L21200" t="s">
        <v>600</v>
      </c>
      <c r="N21200" t="s">
        <v>29</v>
      </c>
    </row>
    <row r="21201" spans="1:14">
      <c r="A21201" s="4" t="str">
        <f t="shared" si="1416"/>
        <v>EXP00451</v>
      </c>
      <c r="B21201" s="3" t="s">
        <v>66</v>
      </c>
      <c r="C21201" s="4" t="str">
        <f t="shared" si="1417"/>
        <v>TCGA-UCEC</v>
      </c>
      <c r="D21201" s="1" t="s">
        <v>493</v>
      </c>
      <c r="E21201" t="s">
        <v>598</v>
      </c>
      <c r="F21201" s="1">
        <v>2</v>
      </c>
      <c r="G21201" s="1" t="s">
        <v>32</v>
      </c>
      <c r="H21201" s="4" t="str">
        <f>HYPERLINK("https://portal.gdc.cancer.gov/cases/46e064cc-933b-444b-9e15-80fadbc53487","TCGA-DF-A2KS-01A")</f>
        <v>TCGA-DF-A2KS-01A</v>
      </c>
      <c r="I21201" t="s">
        <v>444</v>
      </c>
      <c r="J21201" t="s">
        <v>599</v>
      </c>
      <c r="K21201" t="s">
        <v>33</v>
      </c>
      <c r="L21201" t="s">
        <v>600</v>
      </c>
      <c r="N21201" t="s">
        <v>29</v>
      </c>
    </row>
    <row r="21202" spans="1:14">
      <c r="A21202" s="4" t="str">
        <f t="shared" si="1416"/>
        <v>EXP00451</v>
      </c>
      <c r="B21202" s="3" t="s">
        <v>66</v>
      </c>
      <c r="C21202" s="4" t="str">
        <f t="shared" si="1417"/>
        <v>TCGA-UCEC</v>
      </c>
      <c r="D21202" s="1" t="s">
        <v>493</v>
      </c>
      <c r="E21202" t="s">
        <v>598</v>
      </c>
      <c r="F21202" s="1">
        <v>2</v>
      </c>
      <c r="G21202" s="1" t="s">
        <v>32</v>
      </c>
      <c r="H21202" s="4" t="str">
        <f>HYPERLINK("https://portal.gdc.cancer.gov/cases/95eefb47-3f96-4a6d-8773-4d22843f0a6a","TCGA-DF-A2KU-01A")</f>
        <v>TCGA-DF-A2KU-01A</v>
      </c>
      <c r="I21202" t="s">
        <v>444</v>
      </c>
      <c r="J21202" t="s">
        <v>599</v>
      </c>
      <c r="K21202" t="s">
        <v>33</v>
      </c>
      <c r="L21202" t="s">
        <v>600</v>
      </c>
      <c r="N21202" t="s">
        <v>29</v>
      </c>
    </row>
    <row r="21203" spans="1:14">
      <c r="A21203" s="4" t="str">
        <f t="shared" si="1416"/>
        <v>EXP00451</v>
      </c>
      <c r="B21203" s="3" t="s">
        <v>66</v>
      </c>
      <c r="C21203" s="4" t="str">
        <f t="shared" si="1417"/>
        <v>TCGA-UCEC</v>
      </c>
      <c r="D21203" s="1" t="s">
        <v>493</v>
      </c>
      <c r="E21203" t="s">
        <v>598</v>
      </c>
      <c r="F21203" s="1">
        <v>2</v>
      </c>
      <c r="G21203" s="1" t="s">
        <v>32</v>
      </c>
      <c r="H21203" s="4" t="str">
        <f>HYPERLINK("https://portal.gdc.cancer.gov/cases/59cebae6-632d-4632-b695-c48ae46b2e67","TCGA-DF-A2KV-01A")</f>
        <v>TCGA-DF-A2KV-01A</v>
      </c>
      <c r="I21203" t="s">
        <v>444</v>
      </c>
      <c r="J21203" t="s">
        <v>599</v>
      </c>
      <c r="K21203" t="s">
        <v>33</v>
      </c>
      <c r="L21203" t="s">
        <v>600</v>
      </c>
      <c r="N21203" t="s">
        <v>29</v>
      </c>
    </row>
    <row r="21204" spans="1:14">
      <c r="A21204" s="4" t="str">
        <f t="shared" si="1416"/>
        <v>EXP00451</v>
      </c>
      <c r="B21204" s="3" t="s">
        <v>66</v>
      </c>
      <c r="C21204" s="4" t="str">
        <f t="shared" si="1417"/>
        <v>TCGA-UCEC</v>
      </c>
      <c r="D21204" s="1" t="s">
        <v>493</v>
      </c>
      <c r="E21204" t="s">
        <v>598</v>
      </c>
      <c r="F21204" s="1">
        <v>2</v>
      </c>
      <c r="G21204" s="1" t="s">
        <v>32</v>
      </c>
      <c r="H21204" s="4" t="str">
        <f>HYPERLINK("https://portal.gdc.cancer.gov/cases/5bf97d66-cdc6-47d0-ac74-5c6280b31072","TCGA-DF-A2KY-01A")</f>
        <v>TCGA-DF-A2KY-01A</v>
      </c>
      <c r="I21204" t="s">
        <v>444</v>
      </c>
      <c r="J21204" t="s">
        <v>599</v>
      </c>
      <c r="K21204" t="s">
        <v>33</v>
      </c>
      <c r="L21204" t="s">
        <v>600</v>
      </c>
      <c r="N21204" t="s">
        <v>29</v>
      </c>
    </row>
    <row r="21205" spans="1:14">
      <c r="A21205" s="4" t="str">
        <f t="shared" si="1416"/>
        <v>EXP00451</v>
      </c>
      <c r="B21205" s="3" t="s">
        <v>66</v>
      </c>
      <c r="C21205" s="4" t="str">
        <f t="shared" si="1417"/>
        <v>TCGA-UCEC</v>
      </c>
      <c r="D21205" s="1" t="s">
        <v>493</v>
      </c>
      <c r="E21205" t="s">
        <v>598</v>
      </c>
      <c r="F21205" s="1">
        <v>2</v>
      </c>
      <c r="G21205" s="1" t="s">
        <v>32</v>
      </c>
      <c r="H21205" s="4" t="str">
        <f>HYPERLINK("https://portal.gdc.cancer.gov/cases/3b218ab7-5c2e-4458-a0ac-5152ec3d2b94","TCGA-DF-A2KZ-01A")</f>
        <v>TCGA-DF-A2KZ-01A</v>
      </c>
      <c r="I21205" t="s">
        <v>444</v>
      </c>
      <c r="J21205" t="s">
        <v>599</v>
      </c>
      <c r="K21205" t="s">
        <v>33</v>
      </c>
      <c r="L21205" t="s">
        <v>600</v>
      </c>
      <c r="N21205" t="s">
        <v>29</v>
      </c>
    </row>
    <row r="21206" spans="1:14">
      <c r="A21206" s="4" t="str">
        <f t="shared" si="1416"/>
        <v>EXP00451</v>
      </c>
      <c r="B21206" s="3" t="s">
        <v>66</v>
      </c>
      <c r="C21206" s="4" t="str">
        <f t="shared" si="1417"/>
        <v>TCGA-UCEC</v>
      </c>
      <c r="D21206" s="1" t="s">
        <v>493</v>
      </c>
      <c r="E21206" t="s">
        <v>598</v>
      </c>
      <c r="F21206" s="1">
        <v>2</v>
      </c>
      <c r="G21206" s="1" t="s">
        <v>32</v>
      </c>
      <c r="H21206" s="4" t="str">
        <f>HYPERLINK("https://portal.gdc.cancer.gov/cases/7adaf608-19a5-4184-8b79-bbc6f9cf24ae","TCGA-DF-A2L0-01A")</f>
        <v>TCGA-DF-A2L0-01A</v>
      </c>
      <c r="I21206" t="s">
        <v>444</v>
      </c>
      <c r="J21206" t="s">
        <v>599</v>
      </c>
      <c r="K21206" t="s">
        <v>33</v>
      </c>
      <c r="L21206" t="s">
        <v>600</v>
      </c>
      <c r="N21206" t="s">
        <v>29</v>
      </c>
    </row>
    <row r="21207" spans="1:14">
      <c r="A21207" s="4" t="str">
        <f t="shared" si="1416"/>
        <v>EXP00451</v>
      </c>
      <c r="B21207" s="3" t="s">
        <v>66</v>
      </c>
      <c r="C21207" s="4" t="str">
        <f t="shared" si="1417"/>
        <v>TCGA-UCEC</v>
      </c>
      <c r="D21207" s="1" t="s">
        <v>493</v>
      </c>
      <c r="E21207" t="s">
        <v>598</v>
      </c>
      <c r="F21207" s="1">
        <v>2</v>
      </c>
      <c r="G21207" s="1" t="s">
        <v>32</v>
      </c>
      <c r="H21207" s="4" t="str">
        <f>HYPERLINK("https://portal.gdc.cancer.gov/cases/3dab68d3-232c-4b4f-81a4-ca8f72d69a43","TCGA-DI-A0WH-01A")</f>
        <v>TCGA-DI-A0WH-01A</v>
      </c>
      <c r="I21207" t="s">
        <v>444</v>
      </c>
      <c r="J21207" t="s">
        <v>599</v>
      </c>
      <c r="K21207" t="s">
        <v>33</v>
      </c>
      <c r="L21207" t="s">
        <v>600</v>
      </c>
      <c r="N21207" t="s">
        <v>29</v>
      </c>
    </row>
    <row r="21208" spans="1:14">
      <c r="A21208" s="4" t="str">
        <f t="shared" si="1416"/>
        <v>EXP00451</v>
      </c>
      <c r="B21208" s="3" t="s">
        <v>66</v>
      </c>
      <c r="C21208" s="4" t="str">
        <f t="shared" si="1417"/>
        <v>TCGA-UCEC</v>
      </c>
      <c r="D21208" s="1" t="s">
        <v>493</v>
      </c>
      <c r="E21208" t="s">
        <v>598</v>
      </c>
      <c r="F21208" s="1">
        <v>2</v>
      </c>
      <c r="G21208" s="1" t="s">
        <v>32</v>
      </c>
      <c r="H21208" s="4" t="str">
        <f>HYPERLINK("https://portal.gdc.cancer.gov/cases/53245616-e095-4616-89bb-6062669122da","TCGA-DI-A1BU-01A")</f>
        <v>TCGA-DI-A1BU-01A</v>
      </c>
      <c r="I21208" t="s">
        <v>444</v>
      </c>
      <c r="J21208" t="s">
        <v>599</v>
      </c>
      <c r="K21208" t="s">
        <v>33</v>
      </c>
      <c r="L21208" t="s">
        <v>600</v>
      </c>
      <c r="N21208" t="s">
        <v>29</v>
      </c>
    </row>
    <row r="21209" spans="1:14">
      <c r="A21209" s="4" t="str">
        <f t="shared" si="1416"/>
        <v>EXP00451</v>
      </c>
      <c r="B21209" s="3" t="s">
        <v>66</v>
      </c>
      <c r="C21209" s="4" t="str">
        <f t="shared" si="1417"/>
        <v>TCGA-UCEC</v>
      </c>
      <c r="D21209" s="1" t="s">
        <v>493</v>
      </c>
      <c r="E21209" t="s">
        <v>598</v>
      </c>
      <c r="F21209" s="1">
        <v>2</v>
      </c>
      <c r="G21209" s="1" t="s">
        <v>32</v>
      </c>
      <c r="H21209" s="4" t="str">
        <f>HYPERLINK("https://portal.gdc.cancer.gov/cases/e46b6434-ee88-4630-9fc3-441afc431745","TCGA-DI-A1BY-01A")</f>
        <v>TCGA-DI-A1BY-01A</v>
      </c>
      <c r="I21209" t="s">
        <v>444</v>
      </c>
      <c r="J21209" t="s">
        <v>599</v>
      </c>
      <c r="K21209" t="s">
        <v>33</v>
      </c>
      <c r="L21209" t="s">
        <v>600</v>
      </c>
      <c r="N21209" t="s">
        <v>29</v>
      </c>
    </row>
    <row r="21210" spans="1:14">
      <c r="A21210" s="4" t="str">
        <f t="shared" si="1416"/>
        <v>EXP00451</v>
      </c>
      <c r="B21210" s="3" t="s">
        <v>66</v>
      </c>
      <c r="C21210" s="4" t="str">
        <f t="shared" si="1417"/>
        <v>TCGA-UCEC</v>
      </c>
      <c r="D21210" s="1" t="s">
        <v>493</v>
      </c>
      <c r="E21210" t="s">
        <v>598</v>
      </c>
      <c r="F21210" s="1">
        <v>2</v>
      </c>
      <c r="G21210" s="1" t="s">
        <v>32</v>
      </c>
      <c r="H21210" s="4" t="str">
        <f>HYPERLINK("https://portal.gdc.cancer.gov/cases/944a102f-3475-45aa-9e30-4b92d1449f00","TCGA-DI-A1NN-01A")</f>
        <v>TCGA-DI-A1NN-01A</v>
      </c>
      <c r="I21210" t="s">
        <v>444</v>
      </c>
      <c r="J21210" t="s">
        <v>599</v>
      </c>
      <c r="K21210" t="s">
        <v>33</v>
      </c>
      <c r="L21210" t="s">
        <v>600</v>
      </c>
      <c r="N21210" t="s">
        <v>29</v>
      </c>
    </row>
    <row r="21211" spans="1:14">
      <c r="A21211" s="4" t="str">
        <f t="shared" si="1416"/>
        <v>EXP00451</v>
      </c>
      <c r="B21211" s="3" t="s">
        <v>66</v>
      </c>
      <c r="C21211" s="4" t="str">
        <f t="shared" si="1417"/>
        <v>TCGA-UCEC</v>
      </c>
      <c r="D21211" s="1" t="s">
        <v>493</v>
      </c>
      <c r="E21211" t="s">
        <v>598</v>
      </c>
      <c r="F21211" s="1">
        <v>2</v>
      </c>
      <c r="G21211" s="1" t="s">
        <v>32</v>
      </c>
      <c r="H21211" s="4" t="str">
        <f>HYPERLINK("https://portal.gdc.cancer.gov/cases/d3e93d76-6565-454a-a085-4492024350e9","TCGA-DI-A1NO-01A")</f>
        <v>TCGA-DI-A1NO-01A</v>
      </c>
      <c r="I21211" t="s">
        <v>444</v>
      </c>
      <c r="J21211" t="s">
        <v>599</v>
      </c>
      <c r="K21211" t="s">
        <v>33</v>
      </c>
      <c r="L21211" t="s">
        <v>600</v>
      </c>
      <c r="N21211" t="s">
        <v>29</v>
      </c>
    </row>
    <row r="21212" spans="1:14">
      <c r="A21212" s="4" t="str">
        <f t="shared" si="1416"/>
        <v>EXP00451</v>
      </c>
      <c r="B21212" s="3" t="s">
        <v>66</v>
      </c>
      <c r="C21212" s="4" t="str">
        <f t="shared" si="1417"/>
        <v>TCGA-UCEC</v>
      </c>
      <c r="D21212" s="1" t="s">
        <v>493</v>
      </c>
      <c r="E21212" t="s">
        <v>598</v>
      </c>
      <c r="F21212" s="1">
        <v>2</v>
      </c>
      <c r="G21212" s="1" t="s">
        <v>32</v>
      </c>
      <c r="H21212" s="4" t="str">
        <f>HYPERLINK("https://portal.gdc.cancer.gov/cases/ee932b34-0114-41dc-b119-210c0ed84bcb","TCGA-DI-A2QT-01A")</f>
        <v>TCGA-DI-A2QT-01A</v>
      </c>
      <c r="I21212" t="s">
        <v>444</v>
      </c>
      <c r="J21212" t="s">
        <v>599</v>
      </c>
      <c r="K21212" t="s">
        <v>33</v>
      </c>
      <c r="L21212" t="s">
        <v>600</v>
      </c>
      <c r="N21212" t="s">
        <v>29</v>
      </c>
    </row>
    <row r="21213" spans="1:14">
      <c r="A21213" s="4" t="str">
        <f t="shared" si="1416"/>
        <v>EXP00451</v>
      </c>
      <c r="B21213" s="3" t="s">
        <v>66</v>
      </c>
      <c r="C21213" s="4" t="str">
        <f t="shared" si="1417"/>
        <v>TCGA-UCEC</v>
      </c>
      <c r="D21213" s="1" t="s">
        <v>493</v>
      </c>
      <c r="E21213" t="s">
        <v>598</v>
      </c>
      <c r="F21213" s="1">
        <v>2</v>
      </c>
      <c r="G21213" s="1" t="s">
        <v>32</v>
      </c>
      <c r="H21213" s="4" t="str">
        <f>HYPERLINK("https://portal.gdc.cancer.gov/cases/e9fa66f5-282c-416a-9dcf-46714ea12fcf","TCGA-DI-A2QU-01A")</f>
        <v>TCGA-DI-A2QU-01A</v>
      </c>
      <c r="I21213" t="s">
        <v>444</v>
      </c>
      <c r="J21213" t="s">
        <v>599</v>
      </c>
      <c r="K21213" t="s">
        <v>33</v>
      </c>
      <c r="L21213" t="s">
        <v>600</v>
      </c>
      <c r="N21213" t="s">
        <v>29</v>
      </c>
    </row>
    <row r="21214" spans="1:14">
      <c r="A21214" s="4" t="str">
        <f t="shared" si="1416"/>
        <v>EXP00451</v>
      </c>
      <c r="B21214" s="3" t="s">
        <v>66</v>
      </c>
      <c r="C21214" s="4" t="str">
        <f t="shared" si="1417"/>
        <v>TCGA-UCEC</v>
      </c>
      <c r="D21214" s="1" t="s">
        <v>493</v>
      </c>
      <c r="E21214" t="s">
        <v>598</v>
      </c>
      <c r="F21214" s="1">
        <v>2</v>
      </c>
      <c r="G21214" s="1" t="s">
        <v>32</v>
      </c>
      <c r="H21214" s="4" t="str">
        <f>HYPERLINK("https://portal.gdc.cancer.gov/cases/6524a6d3-a9f0-4a46-ac0b-7beb0cd1b915","TCGA-DI-A2QY-01A")</f>
        <v>TCGA-DI-A2QY-01A</v>
      </c>
      <c r="I21214" t="s">
        <v>444</v>
      </c>
      <c r="J21214" t="s">
        <v>599</v>
      </c>
      <c r="K21214" t="s">
        <v>33</v>
      </c>
      <c r="L21214" t="s">
        <v>600</v>
      </c>
      <c r="N21214" t="s">
        <v>29</v>
      </c>
    </row>
    <row r="21215" spans="1:14">
      <c r="A21215" s="4" t="str">
        <f t="shared" si="1416"/>
        <v>EXP00451</v>
      </c>
      <c r="B21215" s="3" t="s">
        <v>66</v>
      </c>
      <c r="C21215" s="4" t="str">
        <f t="shared" si="1417"/>
        <v>TCGA-UCEC</v>
      </c>
      <c r="D21215" s="1" t="s">
        <v>493</v>
      </c>
      <c r="E21215" t="s">
        <v>598</v>
      </c>
      <c r="F21215" s="1">
        <v>2</v>
      </c>
      <c r="G21215" s="1" t="s">
        <v>32</v>
      </c>
      <c r="H21215" s="4" t="str">
        <f>HYPERLINK("https://portal.gdc.cancer.gov/cases/435b57e7-5cd4-486a-b3d4-ccb1ef160d52","TCGA-E6-A1LX-01A")</f>
        <v>TCGA-E6-A1LX-01A</v>
      </c>
      <c r="I21215" t="s">
        <v>444</v>
      </c>
      <c r="J21215" t="s">
        <v>599</v>
      </c>
      <c r="K21215" t="s">
        <v>33</v>
      </c>
      <c r="L21215" t="s">
        <v>600</v>
      </c>
      <c r="N21215" t="s">
        <v>29</v>
      </c>
    </row>
    <row r="21216" spans="1:14">
      <c r="A21216" s="4" t="str">
        <f t="shared" si="1416"/>
        <v>EXP00451</v>
      </c>
      <c r="B21216" s="3" t="s">
        <v>66</v>
      </c>
      <c r="C21216" s="4" t="str">
        <f t="shared" si="1417"/>
        <v>TCGA-UCEC</v>
      </c>
      <c r="D21216" s="1" t="s">
        <v>493</v>
      </c>
      <c r="E21216" t="s">
        <v>598</v>
      </c>
      <c r="F21216" s="1">
        <v>2</v>
      </c>
      <c r="G21216" s="1" t="s">
        <v>32</v>
      </c>
      <c r="H21216" s="4" t="str">
        <f>HYPERLINK("https://portal.gdc.cancer.gov/cases/9205c164-7975-421a-90c3-edfe8def595c","TCGA-E6-A1LZ-01A")</f>
        <v>TCGA-E6-A1LZ-01A</v>
      </c>
      <c r="I21216" t="s">
        <v>444</v>
      </c>
      <c r="J21216" t="s">
        <v>599</v>
      </c>
      <c r="K21216" t="s">
        <v>33</v>
      </c>
      <c r="L21216" t="s">
        <v>600</v>
      </c>
      <c r="N21216" t="s">
        <v>29</v>
      </c>
    </row>
    <row r="21217" spans="1:14">
      <c r="A21217" s="4" t="str">
        <f t="shared" si="1416"/>
        <v>EXP00451</v>
      </c>
      <c r="B21217" s="3" t="s">
        <v>66</v>
      </c>
      <c r="C21217" s="4" t="str">
        <f t="shared" si="1417"/>
        <v>TCGA-UCEC</v>
      </c>
      <c r="D21217" s="1" t="s">
        <v>493</v>
      </c>
      <c r="E21217" t="s">
        <v>598</v>
      </c>
      <c r="F21217" s="1">
        <v>2</v>
      </c>
      <c r="G21217" s="1" t="s">
        <v>32</v>
      </c>
      <c r="H21217" s="4" t="str">
        <f>HYPERLINK("https://portal.gdc.cancer.gov/cases/e3dcde4e-5def-4b89-97b4-047b8288919b","TCGA-E6-A1M0-01A")</f>
        <v>TCGA-E6-A1M0-01A</v>
      </c>
      <c r="I21217" t="s">
        <v>444</v>
      </c>
      <c r="J21217" t="s">
        <v>599</v>
      </c>
      <c r="K21217" t="s">
        <v>33</v>
      </c>
      <c r="L21217" t="s">
        <v>600</v>
      </c>
      <c r="N21217" t="s">
        <v>29</v>
      </c>
    </row>
    <row r="21218" spans="1:14">
      <c r="A21218" s="4" t="str">
        <f t="shared" si="1416"/>
        <v>EXP00451</v>
      </c>
      <c r="B21218" s="3" t="s">
        <v>66</v>
      </c>
      <c r="C21218" s="4" t="str">
        <f t="shared" si="1417"/>
        <v>TCGA-UCEC</v>
      </c>
      <c r="D21218" s="1" t="s">
        <v>493</v>
      </c>
      <c r="E21218" t="s">
        <v>598</v>
      </c>
      <c r="F21218" s="1">
        <v>2</v>
      </c>
      <c r="G21218" s="1" t="s">
        <v>32</v>
      </c>
      <c r="H21218" s="4" t="str">
        <f>HYPERLINK("https://portal.gdc.cancer.gov/cases/d213da3a-ff1c-4fbd-8d4e-7f9e6a2318d0","TCGA-E6-A2P8-01A")</f>
        <v>TCGA-E6-A2P8-01A</v>
      </c>
      <c r="I21218" t="s">
        <v>444</v>
      </c>
      <c r="J21218" t="s">
        <v>599</v>
      </c>
      <c r="K21218" t="s">
        <v>33</v>
      </c>
      <c r="L21218" t="s">
        <v>600</v>
      </c>
      <c r="N21218" t="s">
        <v>29</v>
      </c>
    </row>
    <row r="21219" spans="1:14">
      <c r="A21219" s="4" t="str">
        <f t="shared" si="1416"/>
        <v>EXP00451</v>
      </c>
      <c r="B21219" s="3" t="s">
        <v>66</v>
      </c>
      <c r="C21219" s="4" t="str">
        <f t="shared" si="1417"/>
        <v>TCGA-UCEC</v>
      </c>
      <c r="D21219" s="1" t="s">
        <v>493</v>
      </c>
      <c r="E21219" t="s">
        <v>598</v>
      </c>
      <c r="F21219" s="1">
        <v>2</v>
      </c>
      <c r="G21219" s="1" t="s">
        <v>32</v>
      </c>
      <c r="H21219" s="4" t="str">
        <f>HYPERLINK("https://portal.gdc.cancer.gov/cases/077bdc90-1bbd-49ec-93a5-729b1ac1ba8d","TCGA-E6-A2P9-01A")</f>
        <v>TCGA-E6-A2P9-01A</v>
      </c>
      <c r="I21219" t="s">
        <v>444</v>
      </c>
      <c r="J21219" t="s">
        <v>599</v>
      </c>
      <c r="K21219" t="s">
        <v>33</v>
      </c>
      <c r="L21219" t="s">
        <v>600</v>
      </c>
      <c r="N21219" t="s">
        <v>29</v>
      </c>
    </row>
    <row r="21220" spans="1:14">
      <c r="A21220" s="4" t="str">
        <f t="shared" si="1416"/>
        <v>EXP00451</v>
      </c>
      <c r="B21220" s="3" t="s">
        <v>66</v>
      </c>
      <c r="C21220" s="4" t="str">
        <f t="shared" si="1417"/>
        <v>TCGA-UCEC</v>
      </c>
      <c r="D21220" s="1" t="s">
        <v>493</v>
      </c>
      <c r="E21220" t="s">
        <v>598</v>
      </c>
      <c r="F21220" s="1">
        <v>2</v>
      </c>
      <c r="G21220" s="1" t="s">
        <v>32</v>
      </c>
      <c r="H21220" s="4" t="str">
        <f>HYPERLINK("https://portal.gdc.cancer.gov/cases/eb642568-30d4-4805-a295-bda314ccaaaf","TCGA-E6-A8L9-01A")</f>
        <v>TCGA-E6-A8L9-01A</v>
      </c>
      <c r="I21220" t="s">
        <v>444</v>
      </c>
      <c r="J21220" t="s">
        <v>599</v>
      </c>
      <c r="K21220" t="s">
        <v>33</v>
      </c>
      <c r="L21220" t="s">
        <v>600</v>
      </c>
      <c r="N21220" t="s">
        <v>29</v>
      </c>
    </row>
    <row r="21221" spans="1:14">
      <c r="A21221" s="4" t="str">
        <f t="shared" si="1416"/>
        <v>EXP00451</v>
      </c>
      <c r="B21221" s="3" t="s">
        <v>66</v>
      </c>
      <c r="C21221" s="4" t="str">
        <f t="shared" si="1417"/>
        <v>TCGA-UCEC</v>
      </c>
      <c r="D21221" s="1" t="s">
        <v>493</v>
      </c>
      <c r="E21221" t="s">
        <v>598</v>
      </c>
      <c r="F21221" s="1">
        <v>2</v>
      </c>
      <c r="G21221" s="1" t="s">
        <v>32</v>
      </c>
      <c r="H21221" s="4" t="str">
        <f>HYPERLINK("https://portal.gdc.cancer.gov/cases/b3aa16d6-1677-445d-a8d3-46657d4f8b43","TCGA-EC-A1NJ-01A")</f>
        <v>TCGA-EC-A1NJ-01A</v>
      </c>
      <c r="I21221" t="s">
        <v>444</v>
      </c>
      <c r="J21221" t="s">
        <v>599</v>
      </c>
      <c r="K21221" t="s">
        <v>33</v>
      </c>
      <c r="L21221" t="s">
        <v>600</v>
      </c>
      <c r="N21221" t="s">
        <v>29</v>
      </c>
    </row>
    <row r="21222" spans="1:14">
      <c r="A21222" s="4" t="str">
        <f t="shared" si="1416"/>
        <v>EXP00451</v>
      </c>
      <c r="B21222" s="3" t="s">
        <v>66</v>
      </c>
      <c r="C21222" s="4" t="str">
        <f t="shared" si="1417"/>
        <v>TCGA-UCEC</v>
      </c>
      <c r="D21222" s="1" t="s">
        <v>493</v>
      </c>
      <c r="E21222" t="s">
        <v>598</v>
      </c>
      <c r="F21222" s="1">
        <v>2</v>
      </c>
      <c r="G21222" s="1" t="s">
        <v>32</v>
      </c>
      <c r="H21222" s="4" t="str">
        <f>HYPERLINK("https://portal.gdc.cancer.gov/cases/f17bb238-2651-48a5-9a47-5077218efe08","TCGA-EC-A1QX-01A")</f>
        <v>TCGA-EC-A1QX-01A</v>
      </c>
      <c r="I21222" t="s">
        <v>444</v>
      </c>
      <c r="J21222" t="s">
        <v>599</v>
      </c>
      <c r="K21222" t="s">
        <v>33</v>
      </c>
      <c r="L21222" t="s">
        <v>600</v>
      </c>
      <c r="N21222" t="s">
        <v>29</v>
      </c>
    </row>
    <row r="21223" spans="1:14">
      <c r="A21223" s="4" t="str">
        <f t="shared" si="1416"/>
        <v>EXP00451</v>
      </c>
      <c r="B21223" s="3" t="s">
        <v>66</v>
      </c>
      <c r="C21223" s="4" t="str">
        <f t="shared" si="1417"/>
        <v>TCGA-UCEC</v>
      </c>
      <c r="D21223" s="1" t="s">
        <v>493</v>
      </c>
      <c r="E21223" t="s">
        <v>598</v>
      </c>
      <c r="F21223" s="1">
        <v>2</v>
      </c>
      <c r="G21223" s="1" t="s">
        <v>32</v>
      </c>
      <c r="H21223" s="4" t="str">
        <f>HYPERLINK("https://portal.gdc.cancer.gov/cases/b5c1e511-baf2-45b3-9919-110e8941e3c2","TCGA-EC-A24G-01A")</f>
        <v>TCGA-EC-A24G-01A</v>
      </c>
      <c r="I21223" t="s">
        <v>444</v>
      </c>
      <c r="J21223" t="s">
        <v>599</v>
      </c>
      <c r="K21223" t="s">
        <v>33</v>
      </c>
      <c r="L21223" t="s">
        <v>600</v>
      </c>
      <c r="N21223" t="s">
        <v>29</v>
      </c>
    </row>
    <row r="21224" spans="1:14">
      <c r="A21224" s="4" t="str">
        <f t="shared" si="1416"/>
        <v>EXP00451</v>
      </c>
      <c r="B21224" s="3" t="s">
        <v>66</v>
      </c>
      <c r="C21224" s="4" t="str">
        <f t="shared" si="1417"/>
        <v>TCGA-UCEC</v>
      </c>
      <c r="D21224" s="1" t="s">
        <v>493</v>
      </c>
      <c r="E21224" t="s">
        <v>598</v>
      </c>
      <c r="F21224" s="1">
        <v>2</v>
      </c>
      <c r="G21224" s="1" t="s">
        <v>32</v>
      </c>
      <c r="H21224" s="4" t="str">
        <f>HYPERLINK("https://portal.gdc.cancer.gov/cases/5f2f2e7a-8aec-4011-b261-0c5bc68da840","TCGA-EO-A1Y5-01A")</f>
        <v>TCGA-EO-A1Y5-01A</v>
      </c>
      <c r="I21224" t="s">
        <v>444</v>
      </c>
      <c r="J21224" t="s">
        <v>599</v>
      </c>
      <c r="K21224" t="s">
        <v>33</v>
      </c>
      <c r="L21224" t="s">
        <v>600</v>
      </c>
      <c r="N21224" t="s">
        <v>29</v>
      </c>
    </row>
    <row r="21225" spans="1:14">
      <c r="A21225" s="4" t="str">
        <f t="shared" si="1416"/>
        <v>EXP00451</v>
      </c>
      <c r="B21225" s="3" t="s">
        <v>66</v>
      </c>
      <c r="C21225" s="4" t="str">
        <f t="shared" si="1417"/>
        <v>TCGA-UCEC</v>
      </c>
      <c r="D21225" s="1" t="s">
        <v>493</v>
      </c>
      <c r="E21225" t="s">
        <v>598</v>
      </c>
      <c r="F21225" s="1">
        <v>2</v>
      </c>
      <c r="G21225" s="1" t="s">
        <v>32</v>
      </c>
      <c r="H21225" s="4" t="str">
        <f>HYPERLINK("https://portal.gdc.cancer.gov/cases/71ed2681-79bb-4ffb-985c-6d3cf18e9168","TCGA-EO-A1Y7-01A")</f>
        <v>TCGA-EO-A1Y7-01A</v>
      </c>
      <c r="I21225" t="s">
        <v>444</v>
      </c>
      <c r="J21225" t="s">
        <v>599</v>
      </c>
      <c r="K21225" t="s">
        <v>33</v>
      </c>
      <c r="L21225" t="s">
        <v>600</v>
      </c>
      <c r="N21225" t="s">
        <v>29</v>
      </c>
    </row>
    <row r="21226" spans="1:14">
      <c r="A21226" s="4" t="str">
        <f t="shared" si="1416"/>
        <v>EXP00451</v>
      </c>
      <c r="B21226" s="3" t="s">
        <v>66</v>
      </c>
      <c r="C21226" s="4" t="str">
        <f t="shared" si="1417"/>
        <v>TCGA-UCEC</v>
      </c>
      <c r="D21226" s="1" t="s">
        <v>493</v>
      </c>
      <c r="E21226" t="s">
        <v>598</v>
      </c>
      <c r="F21226" s="1">
        <v>2</v>
      </c>
      <c r="G21226" s="1" t="s">
        <v>32</v>
      </c>
      <c r="H21226" s="4" t="str">
        <f>HYPERLINK("https://portal.gdc.cancer.gov/cases/de4e13c8-5ad0-46d2-ae54-b9ca22b939d8","TCGA-EO-A1Y8-01A")</f>
        <v>TCGA-EO-A1Y8-01A</v>
      </c>
      <c r="I21226" t="s">
        <v>444</v>
      </c>
      <c r="J21226" t="s">
        <v>599</v>
      </c>
      <c r="K21226" t="s">
        <v>33</v>
      </c>
      <c r="L21226" t="s">
        <v>600</v>
      </c>
      <c r="N21226" t="s">
        <v>29</v>
      </c>
    </row>
    <row r="21227" spans="1:14">
      <c r="A21227" s="4" t="str">
        <f t="shared" si="1416"/>
        <v>EXP00451</v>
      </c>
      <c r="B21227" s="3" t="s">
        <v>66</v>
      </c>
      <c r="C21227" s="4" t="str">
        <f t="shared" si="1417"/>
        <v>TCGA-UCEC</v>
      </c>
      <c r="D21227" s="1" t="s">
        <v>493</v>
      </c>
      <c r="E21227" t="s">
        <v>598</v>
      </c>
      <c r="F21227" s="1">
        <v>2</v>
      </c>
      <c r="G21227" s="1" t="s">
        <v>32</v>
      </c>
      <c r="H21227" s="4" t="str">
        <f>HYPERLINK("https://portal.gdc.cancer.gov/cases/508bf716-46f9-44dc-8e39-09261dfb073e","TCGA-EO-A22R-01A")</f>
        <v>TCGA-EO-A22R-01A</v>
      </c>
      <c r="I21227" t="s">
        <v>444</v>
      </c>
      <c r="J21227" t="s">
        <v>599</v>
      </c>
      <c r="K21227" t="s">
        <v>33</v>
      </c>
      <c r="L21227" t="s">
        <v>600</v>
      </c>
      <c r="N21227" t="s">
        <v>29</v>
      </c>
    </row>
    <row r="21228" spans="1:14">
      <c r="A21228" s="4" t="str">
        <f t="shared" si="1416"/>
        <v>EXP00451</v>
      </c>
      <c r="B21228" s="3" t="s">
        <v>66</v>
      </c>
      <c r="C21228" s="4" t="str">
        <f t="shared" si="1417"/>
        <v>TCGA-UCEC</v>
      </c>
      <c r="D21228" s="1" t="s">
        <v>493</v>
      </c>
      <c r="E21228" t="s">
        <v>598</v>
      </c>
      <c r="F21228" s="1">
        <v>2</v>
      </c>
      <c r="G21228" s="1" t="s">
        <v>32</v>
      </c>
      <c r="H21228" s="4" t="str">
        <f>HYPERLINK("https://portal.gdc.cancer.gov/cases/8f2d3495-8ce7-4f6e-a41d-8cfae5750937","TCGA-EO-A22S-01A")</f>
        <v>TCGA-EO-A22S-01A</v>
      </c>
      <c r="I21228" t="s">
        <v>444</v>
      </c>
      <c r="J21228" t="s">
        <v>599</v>
      </c>
      <c r="K21228" t="s">
        <v>33</v>
      </c>
      <c r="L21228" t="s">
        <v>600</v>
      </c>
      <c r="N21228" t="s">
        <v>29</v>
      </c>
    </row>
    <row r="21229" spans="1:14">
      <c r="A21229" s="4" t="str">
        <f t="shared" si="1416"/>
        <v>EXP00451</v>
      </c>
      <c r="B21229" s="3" t="s">
        <v>66</v>
      </c>
      <c r="C21229" s="4" t="str">
        <f t="shared" si="1417"/>
        <v>TCGA-UCEC</v>
      </c>
      <c r="D21229" s="1" t="s">
        <v>493</v>
      </c>
      <c r="E21229" t="s">
        <v>598</v>
      </c>
      <c r="F21229" s="1">
        <v>2</v>
      </c>
      <c r="G21229" s="1" t="s">
        <v>32</v>
      </c>
      <c r="H21229" s="4" t="str">
        <f>HYPERLINK("https://portal.gdc.cancer.gov/cases/63170b0e-78cf-45d9-af9d-ce986ac66991","TCGA-EO-A22T-01A")</f>
        <v>TCGA-EO-A22T-01A</v>
      </c>
      <c r="I21229" t="s">
        <v>444</v>
      </c>
      <c r="J21229" t="s">
        <v>599</v>
      </c>
      <c r="K21229" t="s">
        <v>33</v>
      </c>
      <c r="L21229" t="s">
        <v>600</v>
      </c>
      <c r="N21229" t="s">
        <v>29</v>
      </c>
    </row>
    <row r="21230" spans="1:14">
      <c r="A21230" s="4" t="str">
        <f t="shared" si="1416"/>
        <v>EXP00451</v>
      </c>
      <c r="B21230" s="3" t="s">
        <v>66</v>
      </c>
      <c r="C21230" s="4" t="str">
        <f t="shared" si="1417"/>
        <v>TCGA-UCEC</v>
      </c>
      <c r="D21230" s="1" t="s">
        <v>493</v>
      </c>
      <c r="E21230" t="s">
        <v>598</v>
      </c>
      <c r="F21230" s="1">
        <v>2</v>
      </c>
      <c r="G21230" s="1" t="s">
        <v>32</v>
      </c>
      <c r="H21230" s="4" t="str">
        <f>HYPERLINK("https://portal.gdc.cancer.gov/cases/30bc72d5-07b5-48d2-b025-bba9bcf2f09f","TCGA-EO-A22U-01A")</f>
        <v>TCGA-EO-A22U-01A</v>
      </c>
      <c r="I21230" t="s">
        <v>444</v>
      </c>
      <c r="J21230" t="s">
        <v>599</v>
      </c>
      <c r="K21230" t="s">
        <v>33</v>
      </c>
      <c r="L21230" t="s">
        <v>600</v>
      </c>
      <c r="N21230" t="s">
        <v>29</v>
      </c>
    </row>
    <row r="21231" spans="1:14">
      <c r="A21231" s="4" t="str">
        <f t="shared" si="1416"/>
        <v>EXP00451</v>
      </c>
      <c r="B21231" s="3" t="s">
        <v>66</v>
      </c>
      <c r="C21231" s="4" t="str">
        <f t="shared" si="1417"/>
        <v>TCGA-UCEC</v>
      </c>
      <c r="D21231" s="1" t="s">
        <v>493</v>
      </c>
      <c r="E21231" t="s">
        <v>598</v>
      </c>
      <c r="F21231" s="1">
        <v>2</v>
      </c>
      <c r="G21231" s="1" t="s">
        <v>32</v>
      </c>
      <c r="H21231" s="4" t="str">
        <f>HYPERLINK("https://portal.gdc.cancer.gov/cases/10eb7dfa-d43d-479f-8c46-c0424207f958","TCGA-EO-A22X-01A")</f>
        <v>TCGA-EO-A22X-01A</v>
      </c>
      <c r="I21231" t="s">
        <v>444</v>
      </c>
      <c r="J21231" t="s">
        <v>599</v>
      </c>
      <c r="K21231" t="s">
        <v>33</v>
      </c>
      <c r="L21231" t="s">
        <v>600</v>
      </c>
      <c r="N21231" t="s">
        <v>29</v>
      </c>
    </row>
    <row r="21232" spans="1:14">
      <c r="A21232" s="4" t="str">
        <f t="shared" si="1416"/>
        <v>EXP00451</v>
      </c>
      <c r="B21232" s="3" t="s">
        <v>66</v>
      </c>
      <c r="C21232" s="4" t="str">
        <f t="shared" si="1417"/>
        <v>TCGA-UCEC</v>
      </c>
      <c r="D21232" s="1" t="s">
        <v>493</v>
      </c>
      <c r="E21232" t="s">
        <v>598</v>
      </c>
      <c r="F21232" s="1">
        <v>2</v>
      </c>
      <c r="G21232" s="1" t="s">
        <v>32</v>
      </c>
      <c r="H21232" s="4" t="str">
        <f>HYPERLINK("https://portal.gdc.cancer.gov/cases/e6183a43-24b9-4fe1-95c3-4cff67e6c1ed","TCGA-EO-A22Y-01A")</f>
        <v>TCGA-EO-A22Y-01A</v>
      </c>
      <c r="I21232" t="s">
        <v>444</v>
      </c>
      <c r="J21232" t="s">
        <v>599</v>
      </c>
      <c r="K21232" t="s">
        <v>33</v>
      </c>
      <c r="L21232" t="s">
        <v>600</v>
      </c>
      <c r="N21232" t="s">
        <v>29</v>
      </c>
    </row>
    <row r="21233" spans="1:14">
      <c r="A21233" s="4" t="str">
        <f t="shared" si="1416"/>
        <v>EXP00451</v>
      </c>
      <c r="B21233" s="3" t="s">
        <v>66</v>
      </c>
      <c r="C21233" s="4" t="str">
        <f t="shared" si="1417"/>
        <v>TCGA-UCEC</v>
      </c>
      <c r="D21233" s="1" t="s">
        <v>493</v>
      </c>
      <c r="E21233" t="s">
        <v>598</v>
      </c>
      <c r="F21233" s="1">
        <v>2</v>
      </c>
      <c r="G21233" s="1" t="s">
        <v>32</v>
      </c>
      <c r="H21233" s="4" t="str">
        <f>HYPERLINK("https://portal.gdc.cancer.gov/cases/af363cec-bec9-4de3-8cc2-e98b0eed2858","TCGA-EO-A2CG-01A")</f>
        <v>TCGA-EO-A2CG-01A</v>
      </c>
      <c r="I21233" t="s">
        <v>444</v>
      </c>
      <c r="J21233" t="s">
        <v>599</v>
      </c>
      <c r="K21233" t="s">
        <v>33</v>
      </c>
      <c r="L21233" t="s">
        <v>600</v>
      </c>
      <c r="N21233" t="s">
        <v>29</v>
      </c>
    </row>
    <row r="21234" spans="1:14">
      <c r="A21234" s="4" t="str">
        <f t="shared" si="1416"/>
        <v>EXP00451</v>
      </c>
      <c r="B21234" s="3" t="s">
        <v>66</v>
      </c>
      <c r="C21234" s="4" t="str">
        <f t="shared" si="1417"/>
        <v>TCGA-UCEC</v>
      </c>
      <c r="D21234" s="1" t="s">
        <v>493</v>
      </c>
      <c r="E21234" t="s">
        <v>598</v>
      </c>
      <c r="F21234" s="1">
        <v>2</v>
      </c>
      <c r="G21234" s="1" t="s">
        <v>32</v>
      </c>
      <c r="H21234" s="4" t="str">
        <f>HYPERLINK("https://portal.gdc.cancer.gov/cases/0cc9a11f-1ac4-431d-8f94-52a3bc02b572","TCGA-EO-A2CH-01A")</f>
        <v>TCGA-EO-A2CH-01A</v>
      </c>
      <c r="I21234" t="s">
        <v>444</v>
      </c>
      <c r="J21234" t="s">
        <v>599</v>
      </c>
      <c r="K21234" t="s">
        <v>33</v>
      </c>
      <c r="L21234" t="s">
        <v>600</v>
      </c>
      <c r="N21234" t="s">
        <v>29</v>
      </c>
    </row>
    <row r="21235" spans="1:14">
      <c r="A21235" s="4" t="str">
        <f t="shared" si="1416"/>
        <v>EXP00451</v>
      </c>
      <c r="B21235" s="3" t="s">
        <v>66</v>
      </c>
      <c r="C21235" s="4" t="str">
        <f t="shared" si="1417"/>
        <v>TCGA-UCEC</v>
      </c>
      <c r="D21235" s="1" t="s">
        <v>493</v>
      </c>
      <c r="E21235" t="s">
        <v>598</v>
      </c>
      <c r="F21235" s="1">
        <v>2</v>
      </c>
      <c r="G21235" s="1" t="s">
        <v>32</v>
      </c>
      <c r="H21235" s="4" t="str">
        <f>HYPERLINK("https://portal.gdc.cancer.gov/cases/2c3e95b5-2c63-43c7-baa2-47ef914b25a8","TCGA-EO-A3AS-01A")</f>
        <v>TCGA-EO-A3AS-01A</v>
      </c>
      <c r="I21235" t="s">
        <v>444</v>
      </c>
      <c r="J21235" t="s">
        <v>599</v>
      </c>
      <c r="K21235" t="s">
        <v>33</v>
      </c>
      <c r="L21235" t="s">
        <v>600</v>
      </c>
      <c r="N21235" t="s">
        <v>29</v>
      </c>
    </row>
    <row r="21236" spans="1:14">
      <c r="A21236" s="4" t="str">
        <f t="shared" si="1416"/>
        <v>EXP00451</v>
      </c>
      <c r="B21236" s="3" t="s">
        <v>66</v>
      </c>
      <c r="C21236" s="4" t="str">
        <f t="shared" si="1417"/>
        <v>TCGA-UCEC</v>
      </c>
      <c r="D21236" s="1" t="s">
        <v>493</v>
      </c>
      <c r="E21236" t="s">
        <v>598</v>
      </c>
      <c r="F21236" s="1">
        <v>2</v>
      </c>
      <c r="G21236" s="1" t="s">
        <v>32</v>
      </c>
      <c r="H21236" s="4" t="str">
        <f>HYPERLINK("https://portal.gdc.cancer.gov/cases/8e225f5f-49c1-4a39-a8b5-41fea6a79819","TCGA-EO-A3AU-01A")</f>
        <v>TCGA-EO-A3AU-01A</v>
      </c>
      <c r="I21236" t="s">
        <v>444</v>
      </c>
      <c r="J21236" t="s">
        <v>599</v>
      </c>
      <c r="K21236" t="s">
        <v>33</v>
      </c>
      <c r="L21236" t="s">
        <v>600</v>
      </c>
      <c r="N21236" t="s">
        <v>29</v>
      </c>
    </row>
    <row r="21237" spans="1:14">
      <c r="A21237" s="4" t="str">
        <f t="shared" ref="A21237:A21300" si="1418">HYPERLINK("http://hcmdb.i-sanger.com/experiment/details/experiment_id/EXP00451","EXP00451")</f>
        <v>EXP00451</v>
      </c>
      <c r="B21237" s="3" t="s">
        <v>66</v>
      </c>
      <c r="C21237" s="4" t="str">
        <f t="shared" ref="C21237:C21300" si="1419">HYPERLINK("https://portal.gdc.cancer.gov/projects/TCGA-UCEC","TCGA-UCEC")</f>
        <v>TCGA-UCEC</v>
      </c>
      <c r="D21237" s="1" t="s">
        <v>493</v>
      </c>
      <c r="E21237" t="s">
        <v>598</v>
      </c>
      <c r="F21237" s="1">
        <v>2</v>
      </c>
      <c r="G21237" s="1" t="s">
        <v>32</v>
      </c>
      <c r="H21237" s="4" t="str">
        <f>HYPERLINK("https://portal.gdc.cancer.gov/cases/d383008a-a1bf-4689-b243-3c464c79b818","TCGA-EO-A3AV-01A")</f>
        <v>TCGA-EO-A3AV-01A</v>
      </c>
      <c r="I21237" t="s">
        <v>444</v>
      </c>
      <c r="J21237" t="s">
        <v>599</v>
      </c>
      <c r="K21237" t="s">
        <v>33</v>
      </c>
      <c r="L21237" t="s">
        <v>600</v>
      </c>
      <c r="N21237" t="s">
        <v>29</v>
      </c>
    </row>
    <row r="21238" spans="1:14">
      <c r="A21238" s="4" t="str">
        <f t="shared" si="1418"/>
        <v>EXP00451</v>
      </c>
      <c r="B21238" s="3" t="s">
        <v>66</v>
      </c>
      <c r="C21238" s="4" t="str">
        <f t="shared" si="1419"/>
        <v>TCGA-UCEC</v>
      </c>
      <c r="D21238" s="1" t="s">
        <v>493</v>
      </c>
      <c r="E21238" t="s">
        <v>598</v>
      </c>
      <c r="F21238" s="1">
        <v>2</v>
      </c>
      <c r="G21238" s="1" t="s">
        <v>32</v>
      </c>
      <c r="H21238" s="4" t="str">
        <f>HYPERLINK("https://portal.gdc.cancer.gov/cases/0878e44d-bdc8-4d5f-9bf4-31101f14f797","TCGA-EO-A3AY-01A")</f>
        <v>TCGA-EO-A3AY-01A</v>
      </c>
      <c r="I21238" t="s">
        <v>444</v>
      </c>
      <c r="J21238" t="s">
        <v>599</v>
      </c>
      <c r="K21238" t="s">
        <v>33</v>
      </c>
      <c r="L21238" t="s">
        <v>600</v>
      </c>
      <c r="N21238" t="s">
        <v>29</v>
      </c>
    </row>
    <row r="21239" spans="1:14">
      <c r="A21239" s="4" t="str">
        <f t="shared" si="1418"/>
        <v>EXP00451</v>
      </c>
      <c r="B21239" s="3" t="s">
        <v>66</v>
      </c>
      <c r="C21239" s="4" t="str">
        <f t="shared" si="1419"/>
        <v>TCGA-UCEC</v>
      </c>
      <c r="D21239" s="1" t="s">
        <v>493</v>
      </c>
      <c r="E21239" t="s">
        <v>598</v>
      </c>
      <c r="F21239" s="1">
        <v>2</v>
      </c>
      <c r="G21239" s="1" t="s">
        <v>32</v>
      </c>
      <c r="H21239" s="4" t="str">
        <f>HYPERLINK("https://portal.gdc.cancer.gov/cases/38bf8476-fde7-423b-bbaa-15483207de39","TCGA-EO-A3AZ-01A")</f>
        <v>TCGA-EO-A3AZ-01A</v>
      </c>
      <c r="I21239" t="s">
        <v>444</v>
      </c>
      <c r="J21239" t="s">
        <v>599</v>
      </c>
      <c r="K21239" t="s">
        <v>33</v>
      </c>
      <c r="L21239" t="s">
        <v>600</v>
      </c>
      <c r="N21239" t="s">
        <v>29</v>
      </c>
    </row>
    <row r="21240" spans="1:14">
      <c r="A21240" s="4" t="str">
        <f t="shared" si="1418"/>
        <v>EXP00451</v>
      </c>
      <c r="B21240" s="3" t="s">
        <v>66</v>
      </c>
      <c r="C21240" s="4" t="str">
        <f t="shared" si="1419"/>
        <v>TCGA-UCEC</v>
      </c>
      <c r="D21240" s="1" t="s">
        <v>493</v>
      </c>
      <c r="E21240" t="s">
        <v>598</v>
      </c>
      <c r="F21240" s="1">
        <v>2</v>
      </c>
      <c r="G21240" s="1" t="s">
        <v>32</v>
      </c>
      <c r="H21240" s="4" t="str">
        <f>HYPERLINK("https://portal.gdc.cancer.gov/cases/4c2e6abf-02e1-4ef7-a0be-6a6d4069581d","TCGA-EO-A3B0-01A")</f>
        <v>TCGA-EO-A3B0-01A</v>
      </c>
      <c r="I21240" t="s">
        <v>444</v>
      </c>
      <c r="J21240" t="s">
        <v>599</v>
      </c>
      <c r="K21240" t="s">
        <v>33</v>
      </c>
      <c r="L21240" t="s">
        <v>600</v>
      </c>
      <c r="N21240" t="s">
        <v>29</v>
      </c>
    </row>
    <row r="21241" spans="1:14">
      <c r="A21241" s="4" t="str">
        <f t="shared" si="1418"/>
        <v>EXP00451</v>
      </c>
      <c r="B21241" s="3" t="s">
        <v>66</v>
      </c>
      <c r="C21241" s="4" t="str">
        <f t="shared" si="1419"/>
        <v>TCGA-UCEC</v>
      </c>
      <c r="D21241" s="1" t="s">
        <v>493</v>
      </c>
      <c r="E21241" t="s">
        <v>598</v>
      </c>
      <c r="F21241" s="1">
        <v>2</v>
      </c>
      <c r="G21241" s="1" t="s">
        <v>32</v>
      </c>
      <c r="H21241" s="4" t="str">
        <f>HYPERLINK("https://portal.gdc.cancer.gov/cases/2cf8de9f-b305-4d98-bfd4-33377bf6138f","TCGA-EO-A3B1-01A")</f>
        <v>TCGA-EO-A3B1-01A</v>
      </c>
      <c r="I21241" t="s">
        <v>444</v>
      </c>
      <c r="J21241" t="s">
        <v>599</v>
      </c>
      <c r="K21241" t="s">
        <v>33</v>
      </c>
      <c r="L21241" t="s">
        <v>600</v>
      </c>
      <c r="N21241" t="s">
        <v>29</v>
      </c>
    </row>
    <row r="21242" spans="1:14">
      <c r="A21242" s="4" t="str">
        <f t="shared" si="1418"/>
        <v>EXP00451</v>
      </c>
      <c r="B21242" s="3" t="s">
        <v>66</v>
      </c>
      <c r="C21242" s="4" t="str">
        <f t="shared" si="1419"/>
        <v>TCGA-UCEC</v>
      </c>
      <c r="D21242" s="1" t="s">
        <v>493</v>
      </c>
      <c r="E21242" t="s">
        <v>598</v>
      </c>
      <c r="F21242" s="1">
        <v>2</v>
      </c>
      <c r="G21242" s="1" t="s">
        <v>32</v>
      </c>
      <c r="H21242" s="4" t="str">
        <f>HYPERLINK("https://portal.gdc.cancer.gov/cases/db67a9cd-65ba-4d6f-a799-031b6b3df599","TCGA-EO-A3KU-01A")</f>
        <v>TCGA-EO-A3KU-01A</v>
      </c>
      <c r="I21242" t="s">
        <v>444</v>
      </c>
      <c r="J21242" t="s">
        <v>599</v>
      </c>
      <c r="K21242" t="s">
        <v>33</v>
      </c>
      <c r="L21242" t="s">
        <v>600</v>
      </c>
      <c r="N21242" t="s">
        <v>29</v>
      </c>
    </row>
    <row r="21243" spans="1:14">
      <c r="A21243" s="4" t="str">
        <f t="shared" si="1418"/>
        <v>EXP00451</v>
      </c>
      <c r="B21243" s="3" t="s">
        <v>66</v>
      </c>
      <c r="C21243" s="4" t="str">
        <f t="shared" si="1419"/>
        <v>TCGA-UCEC</v>
      </c>
      <c r="D21243" s="1" t="s">
        <v>493</v>
      </c>
      <c r="E21243" t="s">
        <v>598</v>
      </c>
      <c r="F21243" s="1">
        <v>2</v>
      </c>
      <c r="G21243" s="1" t="s">
        <v>32</v>
      </c>
      <c r="H21243" s="4" t="str">
        <f>HYPERLINK("https://portal.gdc.cancer.gov/cases/5f764ac1-3de7-4cfd-a77a-d21baa418834","TCGA-EO-A3KW-01A")</f>
        <v>TCGA-EO-A3KW-01A</v>
      </c>
      <c r="I21243" t="s">
        <v>444</v>
      </c>
      <c r="J21243" t="s">
        <v>599</v>
      </c>
      <c r="K21243" t="s">
        <v>33</v>
      </c>
      <c r="L21243" t="s">
        <v>600</v>
      </c>
      <c r="N21243" t="s">
        <v>29</v>
      </c>
    </row>
    <row r="21244" spans="1:14">
      <c r="A21244" s="4" t="str">
        <f t="shared" si="1418"/>
        <v>EXP00451</v>
      </c>
      <c r="B21244" s="3" t="s">
        <v>66</v>
      </c>
      <c r="C21244" s="4" t="str">
        <f t="shared" si="1419"/>
        <v>TCGA-UCEC</v>
      </c>
      <c r="D21244" s="1" t="s">
        <v>493</v>
      </c>
      <c r="E21244" t="s">
        <v>598</v>
      </c>
      <c r="F21244" s="1">
        <v>2</v>
      </c>
      <c r="G21244" s="1" t="s">
        <v>32</v>
      </c>
      <c r="H21244" s="4" t="str">
        <f>HYPERLINK("https://portal.gdc.cancer.gov/cases/fe2e89f7-8f4d-420a-a551-4877cf0fd1d3","TCGA-EO-A3KX-01A")</f>
        <v>TCGA-EO-A3KX-01A</v>
      </c>
      <c r="I21244" t="s">
        <v>444</v>
      </c>
      <c r="J21244" t="s">
        <v>599</v>
      </c>
      <c r="K21244" t="s">
        <v>33</v>
      </c>
      <c r="L21244" t="s">
        <v>600</v>
      </c>
      <c r="N21244" t="s">
        <v>29</v>
      </c>
    </row>
    <row r="21245" spans="1:14">
      <c r="A21245" s="4" t="str">
        <f t="shared" si="1418"/>
        <v>EXP00451</v>
      </c>
      <c r="B21245" s="3" t="s">
        <v>66</v>
      </c>
      <c r="C21245" s="4" t="str">
        <f t="shared" si="1419"/>
        <v>TCGA-UCEC</v>
      </c>
      <c r="D21245" s="1" t="s">
        <v>493</v>
      </c>
      <c r="E21245" t="s">
        <v>598</v>
      </c>
      <c r="F21245" s="1">
        <v>2</v>
      </c>
      <c r="G21245" s="1" t="s">
        <v>32</v>
      </c>
      <c r="H21245" s="4" t="str">
        <f>HYPERLINK("https://portal.gdc.cancer.gov/cases/423da953-30aa-4f7e-96b5-1f6fd24f8874","TCGA-EO-A3L0-01A")</f>
        <v>TCGA-EO-A3L0-01A</v>
      </c>
      <c r="I21245" t="s">
        <v>444</v>
      </c>
      <c r="J21245" t="s">
        <v>599</v>
      </c>
      <c r="K21245" t="s">
        <v>33</v>
      </c>
      <c r="L21245" t="s">
        <v>600</v>
      </c>
      <c r="N21245" t="s">
        <v>29</v>
      </c>
    </row>
    <row r="21246" spans="1:14">
      <c r="A21246" s="4" t="str">
        <f t="shared" si="1418"/>
        <v>EXP00451</v>
      </c>
      <c r="B21246" s="3" t="s">
        <v>66</v>
      </c>
      <c r="C21246" s="4" t="str">
        <f t="shared" si="1419"/>
        <v>TCGA-UCEC</v>
      </c>
      <c r="D21246" s="1" t="s">
        <v>493</v>
      </c>
      <c r="E21246" t="s">
        <v>598</v>
      </c>
      <c r="F21246" s="1">
        <v>2</v>
      </c>
      <c r="G21246" s="1" t="s">
        <v>32</v>
      </c>
      <c r="H21246" s="4" t="str">
        <f>HYPERLINK("https://portal.gdc.cancer.gov/cases/6b2e93b9-8271-4205-842e-0b7292b8115a","TCGA-EY-A1G7-01A")</f>
        <v>TCGA-EY-A1G7-01A</v>
      </c>
      <c r="I21246" t="s">
        <v>444</v>
      </c>
      <c r="J21246" t="s">
        <v>599</v>
      </c>
      <c r="K21246" t="s">
        <v>33</v>
      </c>
      <c r="L21246" t="s">
        <v>600</v>
      </c>
      <c r="N21246" t="s">
        <v>29</v>
      </c>
    </row>
    <row r="21247" spans="1:14">
      <c r="A21247" s="4" t="str">
        <f t="shared" si="1418"/>
        <v>EXP00451</v>
      </c>
      <c r="B21247" s="3" t="s">
        <v>66</v>
      </c>
      <c r="C21247" s="4" t="str">
        <f t="shared" si="1419"/>
        <v>TCGA-UCEC</v>
      </c>
      <c r="D21247" s="1" t="s">
        <v>493</v>
      </c>
      <c r="E21247" t="s">
        <v>598</v>
      </c>
      <c r="F21247" s="1">
        <v>2</v>
      </c>
      <c r="G21247" s="1" t="s">
        <v>32</v>
      </c>
      <c r="H21247" s="4" t="str">
        <f>HYPERLINK("https://portal.gdc.cancer.gov/cases/db3a4986-55d5-4ecc-be73-59725dce3c33","TCGA-EY-A1G8-01A")</f>
        <v>TCGA-EY-A1G8-01A</v>
      </c>
      <c r="I21247" t="s">
        <v>444</v>
      </c>
      <c r="J21247" t="s">
        <v>599</v>
      </c>
      <c r="K21247" t="s">
        <v>33</v>
      </c>
      <c r="L21247" t="s">
        <v>600</v>
      </c>
      <c r="N21247" t="s">
        <v>29</v>
      </c>
    </row>
    <row r="21248" spans="1:14">
      <c r="A21248" s="4" t="str">
        <f t="shared" si="1418"/>
        <v>EXP00451</v>
      </c>
      <c r="B21248" s="3" t="s">
        <v>66</v>
      </c>
      <c r="C21248" s="4" t="str">
        <f t="shared" si="1419"/>
        <v>TCGA-UCEC</v>
      </c>
      <c r="D21248" s="1" t="s">
        <v>493</v>
      </c>
      <c r="E21248" t="s">
        <v>598</v>
      </c>
      <c r="F21248" s="1">
        <v>2</v>
      </c>
      <c r="G21248" s="1" t="s">
        <v>32</v>
      </c>
      <c r="H21248" s="4" t="str">
        <f>HYPERLINK("https://portal.gdc.cancer.gov/cases/ebc25a41-becb-4395-ae33-483a304b07d8","TCGA-EY-A1GC-01A")</f>
        <v>TCGA-EY-A1GC-01A</v>
      </c>
      <c r="I21248" t="s">
        <v>444</v>
      </c>
      <c r="J21248" t="s">
        <v>599</v>
      </c>
      <c r="K21248" t="s">
        <v>33</v>
      </c>
      <c r="L21248" t="s">
        <v>600</v>
      </c>
      <c r="N21248" t="s">
        <v>29</v>
      </c>
    </row>
    <row r="21249" spans="1:14">
      <c r="A21249" s="4" t="str">
        <f t="shared" si="1418"/>
        <v>EXP00451</v>
      </c>
      <c r="B21249" s="3" t="s">
        <v>66</v>
      </c>
      <c r="C21249" s="4" t="str">
        <f t="shared" si="1419"/>
        <v>TCGA-UCEC</v>
      </c>
      <c r="D21249" s="1" t="s">
        <v>493</v>
      </c>
      <c r="E21249" t="s">
        <v>598</v>
      </c>
      <c r="F21249" s="1">
        <v>2</v>
      </c>
      <c r="G21249" s="1" t="s">
        <v>32</v>
      </c>
      <c r="H21249" s="4" t="str">
        <f>HYPERLINK("https://portal.gdc.cancer.gov/cases/33efe6c6-9159-48e8-b759-fba9ddbde761","TCGA-EY-A1GD-01A")</f>
        <v>TCGA-EY-A1GD-01A</v>
      </c>
      <c r="I21249" t="s">
        <v>444</v>
      </c>
      <c r="J21249" t="s">
        <v>599</v>
      </c>
      <c r="K21249" t="s">
        <v>33</v>
      </c>
      <c r="L21249" t="s">
        <v>600</v>
      </c>
      <c r="N21249" t="s">
        <v>29</v>
      </c>
    </row>
    <row r="21250" spans="1:14">
      <c r="A21250" s="4" t="str">
        <f t="shared" si="1418"/>
        <v>EXP00451</v>
      </c>
      <c r="B21250" s="3" t="s">
        <v>66</v>
      </c>
      <c r="C21250" s="4" t="str">
        <f t="shared" si="1419"/>
        <v>TCGA-UCEC</v>
      </c>
      <c r="D21250" s="1" t="s">
        <v>493</v>
      </c>
      <c r="E21250" t="s">
        <v>598</v>
      </c>
      <c r="F21250" s="1">
        <v>2</v>
      </c>
      <c r="G21250" s="1" t="s">
        <v>32</v>
      </c>
      <c r="H21250" s="4" t="str">
        <f>HYPERLINK("https://portal.gdc.cancer.gov/cases/a28beb70-d309-45b8-a2ba-40558f3c8f4f","TCGA-EY-A1GE-01A")</f>
        <v>TCGA-EY-A1GE-01A</v>
      </c>
      <c r="I21250" t="s">
        <v>444</v>
      </c>
      <c r="J21250" t="s">
        <v>599</v>
      </c>
      <c r="K21250" t="s">
        <v>33</v>
      </c>
      <c r="L21250" t="s">
        <v>600</v>
      </c>
      <c r="N21250" t="s">
        <v>29</v>
      </c>
    </row>
    <row r="21251" spans="1:14">
      <c r="A21251" s="4" t="str">
        <f t="shared" si="1418"/>
        <v>EXP00451</v>
      </c>
      <c r="B21251" s="3" t="s">
        <v>66</v>
      </c>
      <c r="C21251" s="4" t="str">
        <f t="shared" si="1419"/>
        <v>TCGA-UCEC</v>
      </c>
      <c r="D21251" s="1" t="s">
        <v>493</v>
      </c>
      <c r="E21251" t="s">
        <v>598</v>
      </c>
      <c r="F21251" s="1">
        <v>2</v>
      </c>
      <c r="G21251" s="1" t="s">
        <v>32</v>
      </c>
      <c r="H21251" s="4" t="str">
        <f>HYPERLINK("https://portal.gdc.cancer.gov/cases/615ea37d-6302-4d68-b253-d24efd947c3e","TCGA-EY-A1GF-01A")</f>
        <v>TCGA-EY-A1GF-01A</v>
      </c>
      <c r="I21251" t="s">
        <v>444</v>
      </c>
      <c r="J21251" t="s">
        <v>599</v>
      </c>
      <c r="K21251" t="s">
        <v>33</v>
      </c>
      <c r="L21251" t="s">
        <v>600</v>
      </c>
      <c r="N21251" t="s">
        <v>29</v>
      </c>
    </row>
    <row r="21252" spans="1:14">
      <c r="A21252" s="4" t="str">
        <f t="shared" si="1418"/>
        <v>EXP00451</v>
      </c>
      <c r="B21252" s="3" t="s">
        <v>66</v>
      </c>
      <c r="C21252" s="4" t="str">
        <f t="shared" si="1419"/>
        <v>TCGA-UCEC</v>
      </c>
      <c r="D21252" s="1" t="s">
        <v>493</v>
      </c>
      <c r="E21252" t="s">
        <v>598</v>
      </c>
      <c r="F21252" s="1">
        <v>2</v>
      </c>
      <c r="G21252" s="1" t="s">
        <v>32</v>
      </c>
      <c r="H21252" s="4" t="str">
        <f>HYPERLINK("https://portal.gdc.cancer.gov/cases/a45a2343-f425-4e62-9049-7782733b6234","TCGA-EY-A1GH-01A")</f>
        <v>TCGA-EY-A1GH-01A</v>
      </c>
      <c r="I21252" t="s">
        <v>444</v>
      </c>
      <c r="J21252" t="s">
        <v>599</v>
      </c>
      <c r="K21252" t="s">
        <v>33</v>
      </c>
      <c r="L21252" t="s">
        <v>600</v>
      </c>
      <c r="N21252" t="s">
        <v>29</v>
      </c>
    </row>
    <row r="21253" spans="1:14">
      <c r="A21253" s="4" t="str">
        <f t="shared" si="1418"/>
        <v>EXP00451</v>
      </c>
      <c r="B21253" s="3" t="s">
        <v>66</v>
      </c>
      <c r="C21253" s="4" t="str">
        <f t="shared" si="1419"/>
        <v>TCGA-UCEC</v>
      </c>
      <c r="D21253" s="1" t="s">
        <v>493</v>
      </c>
      <c r="E21253" t="s">
        <v>598</v>
      </c>
      <c r="F21253" s="1">
        <v>2</v>
      </c>
      <c r="G21253" s="1" t="s">
        <v>32</v>
      </c>
      <c r="H21253" s="4" t="str">
        <f>HYPERLINK("https://portal.gdc.cancer.gov/cases/16bde24f-61b8-458d-aca3-df4806abbd1b","TCGA-EY-A1GI-01A")</f>
        <v>TCGA-EY-A1GI-01A</v>
      </c>
      <c r="I21253" t="s">
        <v>444</v>
      </c>
      <c r="J21253" t="s">
        <v>599</v>
      </c>
      <c r="K21253" t="s">
        <v>33</v>
      </c>
      <c r="L21253" t="s">
        <v>600</v>
      </c>
      <c r="N21253" t="s">
        <v>29</v>
      </c>
    </row>
    <row r="21254" spans="1:14">
      <c r="A21254" s="4" t="str">
        <f t="shared" si="1418"/>
        <v>EXP00451</v>
      </c>
      <c r="B21254" s="3" t="s">
        <v>66</v>
      </c>
      <c r="C21254" s="4" t="str">
        <f t="shared" si="1419"/>
        <v>TCGA-UCEC</v>
      </c>
      <c r="D21254" s="1" t="s">
        <v>493</v>
      </c>
      <c r="E21254" t="s">
        <v>598</v>
      </c>
      <c r="F21254" s="1">
        <v>2</v>
      </c>
      <c r="G21254" s="1" t="s">
        <v>32</v>
      </c>
      <c r="H21254" s="4" t="str">
        <f>HYPERLINK("https://portal.gdc.cancer.gov/cases/972db411-9744-46f0-89c7-efe14135f1b4","TCGA-EY-A1GK-01A")</f>
        <v>TCGA-EY-A1GK-01A</v>
      </c>
      <c r="I21254" t="s">
        <v>444</v>
      </c>
      <c r="J21254" t="s">
        <v>599</v>
      </c>
      <c r="K21254" t="s">
        <v>33</v>
      </c>
      <c r="L21254" t="s">
        <v>600</v>
      </c>
      <c r="N21254" t="s">
        <v>29</v>
      </c>
    </row>
    <row r="21255" spans="1:14">
      <c r="A21255" s="4" t="str">
        <f t="shared" si="1418"/>
        <v>EXP00451</v>
      </c>
      <c r="B21255" s="3" t="s">
        <v>66</v>
      </c>
      <c r="C21255" s="4" t="str">
        <f t="shared" si="1419"/>
        <v>TCGA-UCEC</v>
      </c>
      <c r="D21255" s="1" t="s">
        <v>493</v>
      </c>
      <c r="E21255" t="s">
        <v>598</v>
      </c>
      <c r="F21255" s="1">
        <v>2</v>
      </c>
      <c r="G21255" s="1" t="s">
        <v>32</v>
      </c>
      <c r="H21255" s="4" t="str">
        <f>HYPERLINK("https://portal.gdc.cancer.gov/cases/d46d5af5-62ae-43eb-a885-4c078e0c956e","TCGA-EY-A1GL-01A")</f>
        <v>TCGA-EY-A1GL-01A</v>
      </c>
      <c r="I21255" t="s">
        <v>444</v>
      </c>
      <c r="J21255" t="s">
        <v>599</v>
      </c>
      <c r="K21255" t="s">
        <v>33</v>
      </c>
      <c r="L21255" t="s">
        <v>600</v>
      </c>
      <c r="N21255" t="s">
        <v>29</v>
      </c>
    </row>
    <row r="21256" spans="1:14">
      <c r="A21256" s="4" t="str">
        <f t="shared" si="1418"/>
        <v>EXP00451</v>
      </c>
      <c r="B21256" s="3" t="s">
        <v>66</v>
      </c>
      <c r="C21256" s="4" t="str">
        <f t="shared" si="1419"/>
        <v>TCGA-UCEC</v>
      </c>
      <c r="D21256" s="1" t="s">
        <v>493</v>
      </c>
      <c r="E21256" t="s">
        <v>598</v>
      </c>
      <c r="F21256" s="1">
        <v>2</v>
      </c>
      <c r="G21256" s="1" t="s">
        <v>32</v>
      </c>
      <c r="H21256" s="4" t="str">
        <f>HYPERLINK("https://portal.gdc.cancer.gov/cases/1a094c2b-9fba-4bb1-929d-bb2cdf874bee","TCGA-EY-A1GM-01A")</f>
        <v>TCGA-EY-A1GM-01A</v>
      </c>
      <c r="I21256" t="s">
        <v>444</v>
      </c>
      <c r="J21256" t="s">
        <v>599</v>
      </c>
      <c r="K21256" t="s">
        <v>33</v>
      </c>
      <c r="L21256" t="s">
        <v>600</v>
      </c>
      <c r="N21256" t="s">
        <v>29</v>
      </c>
    </row>
    <row r="21257" spans="1:14">
      <c r="A21257" s="4" t="str">
        <f t="shared" si="1418"/>
        <v>EXP00451</v>
      </c>
      <c r="B21257" s="3" t="s">
        <v>66</v>
      </c>
      <c r="C21257" s="4" t="str">
        <f t="shared" si="1419"/>
        <v>TCGA-UCEC</v>
      </c>
      <c r="D21257" s="1" t="s">
        <v>493</v>
      </c>
      <c r="E21257" t="s">
        <v>598</v>
      </c>
      <c r="F21257" s="1">
        <v>2</v>
      </c>
      <c r="G21257" s="1" t="s">
        <v>32</v>
      </c>
      <c r="H21257" s="4" t="str">
        <f>HYPERLINK("https://portal.gdc.cancer.gov/cases/9370e189-8fb7-4bfa-8ef9-2220f3557188","TCGA-EY-A1GO-01A")</f>
        <v>TCGA-EY-A1GO-01A</v>
      </c>
      <c r="I21257" t="s">
        <v>444</v>
      </c>
      <c r="J21257" t="s">
        <v>599</v>
      </c>
      <c r="K21257" t="s">
        <v>33</v>
      </c>
      <c r="L21257" t="s">
        <v>600</v>
      </c>
      <c r="N21257" t="s">
        <v>29</v>
      </c>
    </row>
    <row r="21258" spans="1:14">
      <c r="A21258" s="4" t="str">
        <f t="shared" si="1418"/>
        <v>EXP00451</v>
      </c>
      <c r="B21258" s="3" t="s">
        <v>66</v>
      </c>
      <c r="C21258" s="4" t="str">
        <f t="shared" si="1419"/>
        <v>TCGA-UCEC</v>
      </c>
      <c r="D21258" s="1" t="s">
        <v>493</v>
      </c>
      <c r="E21258" t="s">
        <v>598</v>
      </c>
      <c r="F21258" s="1">
        <v>2</v>
      </c>
      <c r="G21258" s="1" t="s">
        <v>32</v>
      </c>
      <c r="H21258" s="4" t="str">
        <f>HYPERLINK("https://portal.gdc.cancer.gov/cases/75fb484d-cd12-4cf0-a99d-faf27aead118","TCGA-EY-A1GP-01A")</f>
        <v>TCGA-EY-A1GP-01A</v>
      </c>
      <c r="I21258" t="s">
        <v>444</v>
      </c>
      <c r="J21258" t="s">
        <v>599</v>
      </c>
      <c r="K21258" t="s">
        <v>33</v>
      </c>
      <c r="L21258" t="s">
        <v>600</v>
      </c>
      <c r="N21258" t="s">
        <v>29</v>
      </c>
    </row>
    <row r="21259" spans="1:14">
      <c r="A21259" s="4" t="str">
        <f t="shared" si="1418"/>
        <v>EXP00451</v>
      </c>
      <c r="B21259" s="3" t="s">
        <v>66</v>
      </c>
      <c r="C21259" s="4" t="str">
        <f t="shared" si="1419"/>
        <v>TCGA-UCEC</v>
      </c>
      <c r="D21259" s="1" t="s">
        <v>493</v>
      </c>
      <c r="E21259" t="s">
        <v>598</v>
      </c>
      <c r="F21259" s="1">
        <v>2</v>
      </c>
      <c r="G21259" s="1" t="s">
        <v>32</v>
      </c>
      <c r="H21259" s="4" t="str">
        <f>HYPERLINK("https://portal.gdc.cancer.gov/cases/8636db4d-a67b-4d8a-b02f-15fce553cf17","TCGA-EY-A1GQ-01A")</f>
        <v>TCGA-EY-A1GQ-01A</v>
      </c>
      <c r="I21259" t="s">
        <v>444</v>
      </c>
      <c r="J21259" t="s">
        <v>599</v>
      </c>
      <c r="K21259" t="s">
        <v>33</v>
      </c>
      <c r="L21259" t="s">
        <v>600</v>
      </c>
      <c r="N21259" t="s">
        <v>29</v>
      </c>
    </row>
    <row r="21260" spans="1:14">
      <c r="A21260" s="4" t="str">
        <f t="shared" si="1418"/>
        <v>EXP00451</v>
      </c>
      <c r="B21260" s="3" t="s">
        <v>66</v>
      </c>
      <c r="C21260" s="4" t="str">
        <f t="shared" si="1419"/>
        <v>TCGA-UCEC</v>
      </c>
      <c r="D21260" s="1" t="s">
        <v>493</v>
      </c>
      <c r="E21260" t="s">
        <v>598</v>
      </c>
      <c r="F21260" s="1">
        <v>2</v>
      </c>
      <c r="G21260" s="1" t="s">
        <v>32</v>
      </c>
      <c r="H21260" s="4" t="str">
        <f>HYPERLINK("https://portal.gdc.cancer.gov/cases/70cdb758-26c9-4c11-a495-0c31cbc84949","TCGA-EY-A1GR-01A")</f>
        <v>TCGA-EY-A1GR-01A</v>
      </c>
      <c r="I21260" t="s">
        <v>444</v>
      </c>
      <c r="J21260" t="s">
        <v>599</v>
      </c>
      <c r="K21260" t="s">
        <v>33</v>
      </c>
      <c r="L21260" t="s">
        <v>600</v>
      </c>
      <c r="N21260" t="s">
        <v>29</v>
      </c>
    </row>
    <row r="21261" spans="1:14">
      <c r="A21261" s="4" t="str">
        <f t="shared" si="1418"/>
        <v>EXP00451</v>
      </c>
      <c r="B21261" s="3" t="s">
        <v>66</v>
      </c>
      <c r="C21261" s="4" t="str">
        <f t="shared" si="1419"/>
        <v>TCGA-UCEC</v>
      </c>
      <c r="D21261" s="1" t="s">
        <v>493</v>
      </c>
      <c r="E21261" t="s">
        <v>598</v>
      </c>
      <c r="F21261" s="1">
        <v>2</v>
      </c>
      <c r="G21261" s="1" t="s">
        <v>32</v>
      </c>
      <c r="H21261" s="4" t="str">
        <f>HYPERLINK("https://portal.gdc.cancer.gov/cases/c10b2885-70ea-4d32-bc48-8b85530df702","TCGA-EY-A1GS-01A")</f>
        <v>TCGA-EY-A1GS-01A</v>
      </c>
      <c r="I21261" t="s">
        <v>444</v>
      </c>
      <c r="J21261" t="s">
        <v>599</v>
      </c>
      <c r="K21261" t="s">
        <v>33</v>
      </c>
      <c r="L21261" t="s">
        <v>600</v>
      </c>
      <c r="N21261" t="s">
        <v>29</v>
      </c>
    </row>
    <row r="21262" spans="1:14">
      <c r="A21262" s="4" t="str">
        <f t="shared" si="1418"/>
        <v>EXP00451</v>
      </c>
      <c r="B21262" s="3" t="s">
        <v>66</v>
      </c>
      <c r="C21262" s="4" t="str">
        <f t="shared" si="1419"/>
        <v>TCGA-UCEC</v>
      </c>
      <c r="D21262" s="1" t="s">
        <v>493</v>
      </c>
      <c r="E21262" t="s">
        <v>598</v>
      </c>
      <c r="F21262" s="1">
        <v>2</v>
      </c>
      <c r="G21262" s="1" t="s">
        <v>32</v>
      </c>
      <c r="H21262" s="4" t="str">
        <f>HYPERLINK("https://portal.gdc.cancer.gov/cases/e0d13e2d-cf48-4b66-bfc2-88f872f67d79","TCGA-EY-A1GT-01A")</f>
        <v>TCGA-EY-A1GT-01A</v>
      </c>
      <c r="I21262" t="s">
        <v>444</v>
      </c>
      <c r="J21262" t="s">
        <v>599</v>
      </c>
      <c r="K21262" t="s">
        <v>33</v>
      </c>
      <c r="L21262" t="s">
        <v>600</v>
      </c>
      <c r="N21262" t="s">
        <v>29</v>
      </c>
    </row>
    <row r="21263" spans="1:14">
      <c r="A21263" s="4" t="str">
        <f t="shared" si="1418"/>
        <v>EXP00451</v>
      </c>
      <c r="B21263" s="3" t="s">
        <v>66</v>
      </c>
      <c r="C21263" s="4" t="str">
        <f t="shared" si="1419"/>
        <v>TCGA-UCEC</v>
      </c>
      <c r="D21263" s="1" t="s">
        <v>493</v>
      </c>
      <c r="E21263" t="s">
        <v>598</v>
      </c>
      <c r="F21263" s="1">
        <v>2</v>
      </c>
      <c r="G21263" s="1" t="s">
        <v>32</v>
      </c>
      <c r="H21263" s="4" t="str">
        <f>HYPERLINK("https://portal.gdc.cancer.gov/cases/5dd28537-d24f-4a6d-a454-6f64cf37e16a","TCGA-EY-A1GU-01A")</f>
        <v>TCGA-EY-A1GU-01A</v>
      </c>
      <c r="I21263" t="s">
        <v>444</v>
      </c>
      <c r="J21263" t="s">
        <v>599</v>
      </c>
      <c r="K21263" t="s">
        <v>33</v>
      </c>
      <c r="L21263" t="s">
        <v>600</v>
      </c>
      <c r="N21263" t="s">
        <v>29</v>
      </c>
    </row>
    <row r="21264" spans="1:14">
      <c r="A21264" s="4" t="str">
        <f t="shared" si="1418"/>
        <v>EXP00451</v>
      </c>
      <c r="B21264" s="3" t="s">
        <v>66</v>
      </c>
      <c r="C21264" s="4" t="str">
        <f t="shared" si="1419"/>
        <v>TCGA-UCEC</v>
      </c>
      <c r="D21264" s="1" t="s">
        <v>493</v>
      </c>
      <c r="E21264" t="s">
        <v>598</v>
      </c>
      <c r="F21264" s="1">
        <v>2</v>
      </c>
      <c r="G21264" s="1" t="s">
        <v>32</v>
      </c>
      <c r="H21264" s="4" t="str">
        <f>HYPERLINK("https://portal.gdc.cancer.gov/cases/e3e39474-c2b0-45af-bbe1-4c24f17cc284","TCGA-EY-A1GV-01A")</f>
        <v>TCGA-EY-A1GV-01A</v>
      </c>
      <c r="I21264" t="s">
        <v>444</v>
      </c>
      <c r="J21264" t="s">
        <v>599</v>
      </c>
      <c r="K21264" t="s">
        <v>33</v>
      </c>
      <c r="L21264" t="s">
        <v>600</v>
      </c>
      <c r="N21264" t="s">
        <v>29</v>
      </c>
    </row>
    <row r="21265" spans="1:14">
      <c r="A21265" s="4" t="str">
        <f t="shared" si="1418"/>
        <v>EXP00451</v>
      </c>
      <c r="B21265" s="3" t="s">
        <v>66</v>
      </c>
      <c r="C21265" s="4" t="str">
        <f t="shared" si="1419"/>
        <v>TCGA-UCEC</v>
      </c>
      <c r="D21265" s="1" t="s">
        <v>493</v>
      </c>
      <c r="E21265" t="s">
        <v>598</v>
      </c>
      <c r="F21265" s="1">
        <v>2</v>
      </c>
      <c r="G21265" s="1" t="s">
        <v>32</v>
      </c>
      <c r="H21265" s="4" t="str">
        <f>HYPERLINK("https://portal.gdc.cancer.gov/cases/f8ac5fd2-11f2-4b3a-a3a6-ff1a6d8e1cae","TCGA-EY-A1GW-01A")</f>
        <v>TCGA-EY-A1GW-01A</v>
      </c>
      <c r="I21265" t="s">
        <v>444</v>
      </c>
      <c r="J21265" t="s">
        <v>599</v>
      </c>
      <c r="K21265" t="s">
        <v>33</v>
      </c>
      <c r="L21265" t="s">
        <v>600</v>
      </c>
      <c r="N21265" t="s">
        <v>29</v>
      </c>
    </row>
    <row r="21266" spans="1:14">
      <c r="A21266" s="4" t="str">
        <f t="shared" si="1418"/>
        <v>EXP00451</v>
      </c>
      <c r="B21266" s="3" t="s">
        <v>66</v>
      </c>
      <c r="C21266" s="4" t="str">
        <f t="shared" si="1419"/>
        <v>TCGA-UCEC</v>
      </c>
      <c r="D21266" s="1" t="s">
        <v>493</v>
      </c>
      <c r="E21266" t="s">
        <v>598</v>
      </c>
      <c r="F21266" s="1">
        <v>2</v>
      </c>
      <c r="G21266" s="1" t="s">
        <v>32</v>
      </c>
      <c r="H21266" s="4" t="str">
        <f>HYPERLINK("https://portal.gdc.cancer.gov/cases/a7fd6522-8953-461f-9e5f-fdeb7d180d46","TCGA-EY-A1GX-01A")</f>
        <v>TCGA-EY-A1GX-01A</v>
      </c>
      <c r="I21266" t="s">
        <v>444</v>
      </c>
      <c r="J21266" t="s">
        <v>599</v>
      </c>
      <c r="K21266" t="s">
        <v>33</v>
      </c>
      <c r="L21266" t="s">
        <v>600</v>
      </c>
      <c r="N21266" t="s">
        <v>29</v>
      </c>
    </row>
    <row r="21267" spans="1:14">
      <c r="A21267" s="4" t="str">
        <f t="shared" si="1418"/>
        <v>EXP00451</v>
      </c>
      <c r="B21267" s="3" t="s">
        <v>66</v>
      </c>
      <c r="C21267" s="4" t="str">
        <f t="shared" si="1419"/>
        <v>TCGA-UCEC</v>
      </c>
      <c r="D21267" s="1" t="s">
        <v>493</v>
      </c>
      <c r="E21267" t="s">
        <v>598</v>
      </c>
      <c r="F21267" s="1">
        <v>2</v>
      </c>
      <c r="G21267" s="1" t="s">
        <v>32</v>
      </c>
      <c r="H21267" s="4" t="str">
        <f>HYPERLINK("https://portal.gdc.cancer.gov/cases/c71e0986-56c0-45f4-be8d-2236e4418604","TCGA-EY-A1H0-01A")</f>
        <v>TCGA-EY-A1H0-01A</v>
      </c>
      <c r="I21267" t="s">
        <v>444</v>
      </c>
      <c r="J21267" t="s">
        <v>599</v>
      </c>
      <c r="K21267" t="s">
        <v>33</v>
      </c>
      <c r="L21267" t="s">
        <v>600</v>
      </c>
      <c r="N21267" t="s">
        <v>29</v>
      </c>
    </row>
    <row r="21268" spans="1:14">
      <c r="A21268" s="4" t="str">
        <f t="shared" si="1418"/>
        <v>EXP00451</v>
      </c>
      <c r="B21268" s="3" t="s">
        <v>66</v>
      </c>
      <c r="C21268" s="4" t="str">
        <f t="shared" si="1419"/>
        <v>TCGA-UCEC</v>
      </c>
      <c r="D21268" s="1" t="s">
        <v>493</v>
      </c>
      <c r="E21268" t="s">
        <v>598</v>
      </c>
      <c r="F21268" s="1">
        <v>2</v>
      </c>
      <c r="G21268" s="1" t="s">
        <v>32</v>
      </c>
      <c r="H21268" s="4" t="str">
        <f>HYPERLINK("https://portal.gdc.cancer.gov/cases/ea1c693d-490d-4816-b6e3-d12946ad7cc1","TCGA-EY-A210-01A")</f>
        <v>TCGA-EY-A210-01A</v>
      </c>
      <c r="I21268" t="s">
        <v>444</v>
      </c>
      <c r="J21268" t="s">
        <v>599</v>
      </c>
      <c r="K21268" t="s">
        <v>33</v>
      </c>
      <c r="L21268" t="s">
        <v>600</v>
      </c>
      <c r="N21268" t="s">
        <v>29</v>
      </c>
    </row>
    <row r="21269" spans="1:14">
      <c r="A21269" s="4" t="str">
        <f t="shared" si="1418"/>
        <v>EXP00451</v>
      </c>
      <c r="B21269" s="3" t="s">
        <v>66</v>
      </c>
      <c r="C21269" s="4" t="str">
        <f t="shared" si="1419"/>
        <v>TCGA-UCEC</v>
      </c>
      <c r="D21269" s="1" t="s">
        <v>493</v>
      </c>
      <c r="E21269" t="s">
        <v>598</v>
      </c>
      <c r="F21269" s="1">
        <v>2</v>
      </c>
      <c r="G21269" s="1" t="s">
        <v>32</v>
      </c>
      <c r="H21269" s="4" t="str">
        <f>HYPERLINK("https://portal.gdc.cancer.gov/cases/37981e2c-4761-4f82-aaf2-4e6963a71603","TCGA-EY-A212-01A")</f>
        <v>TCGA-EY-A212-01A</v>
      </c>
      <c r="I21269" t="s">
        <v>444</v>
      </c>
      <c r="J21269" t="s">
        <v>599</v>
      </c>
      <c r="K21269" t="s">
        <v>33</v>
      </c>
      <c r="L21269" t="s">
        <v>600</v>
      </c>
      <c r="N21269" t="s">
        <v>29</v>
      </c>
    </row>
    <row r="21270" spans="1:14">
      <c r="A21270" s="4" t="str">
        <f t="shared" si="1418"/>
        <v>EXP00451</v>
      </c>
      <c r="B21270" s="3" t="s">
        <v>66</v>
      </c>
      <c r="C21270" s="4" t="str">
        <f t="shared" si="1419"/>
        <v>TCGA-UCEC</v>
      </c>
      <c r="D21270" s="1" t="s">
        <v>493</v>
      </c>
      <c r="E21270" t="s">
        <v>598</v>
      </c>
      <c r="F21270" s="1">
        <v>2</v>
      </c>
      <c r="G21270" s="1" t="s">
        <v>32</v>
      </c>
      <c r="H21270" s="4" t="str">
        <f>HYPERLINK("https://portal.gdc.cancer.gov/cases/4125e3e5-51c0-4577-9935-10cd086fc415","TCGA-EY-A214-01A")</f>
        <v>TCGA-EY-A214-01A</v>
      </c>
      <c r="I21270" t="s">
        <v>444</v>
      </c>
      <c r="J21270" t="s">
        <v>599</v>
      </c>
      <c r="K21270" t="s">
        <v>33</v>
      </c>
      <c r="L21270" t="s">
        <v>600</v>
      </c>
      <c r="N21270" t="s">
        <v>29</v>
      </c>
    </row>
    <row r="21271" spans="1:14">
      <c r="A21271" s="4" t="str">
        <f t="shared" si="1418"/>
        <v>EXP00451</v>
      </c>
      <c r="B21271" s="3" t="s">
        <v>66</v>
      </c>
      <c r="C21271" s="4" t="str">
        <f t="shared" si="1419"/>
        <v>TCGA-UCEC</v>
      </c>
      <c r="D21271" s="1" t="s">
        <v>493</v>
      </c>
      <c r="E21271" t="s">
        <v>598</v>
      </c>
      <c r="F21271" s="1">
        <v>2</v>
      </c>
      <c r="G21271" s="1" t="s">
        <v>32</v>
      </c>
      <c r="H21271" s="4" t="str">
        <f>HYPERLINK("https://portal.gdc.cancer.gov/cases/48ab48a5-30e7-4f2e-8d0f-9bad7b8dc7db","TCGA-EY-A215-01A")</f>
        <v>TCGA-EY-A215-01A</v>
      </c>
      <c r="I21271" t="s">
        <v>444</v>
      </c>
      <c r="J21271" t="s">
        <v>599</v>
      </c>
      <c r="K21271" t="s">
        <v>33</v>
      </c>
      <c r="L21271" t="s">
        <v>600</v>
      </c>
      <c r="N21271" t="s">
        <v>29</v>
      </c>
    </row>
    <row r="21272" spans="1:14">
      <c r="A21272" s="4" t="str">
        <f t="shared" si="1418"/>
        <v>EXP00451</v>
      </c>
      <c r="B21272" s="3" t="s">
        <v>66</v>
      </c>
      <c r="C21272" s="4" t="str">
        <f t="shared" si="1419"/>
        <v>TCGA-UCEC</v>
      </c>
      <c r="D21272" s="1" t="s">
        <v>493</v>
      </c>
      <c r="E21272" t="s">
        <v>598</v>
      </c>
      <c r="F21272" s="1">
        <v>2</v>
      </c>
      <c r="G21272" s="1" t="s">
        <v>32</v>
      </c>
      <c r="H21272" s="4" t="str">
        <f>HYPERLINK("https://portal.gdc.cancer.gov/cases/2b60ef45-336c-42e0-aa3f-577069310d1f","TCGA-EY-A2OM-01A")</f>
        <v>TCGA-EY-A2OM-01A</v>
      </c>
      <c r="I21272" t="s">
        <v>444</v>
      </c>
      <c r="J21272" t="s">
        <v>599</v>
      </c>
      <c r="K21272" t="s">
        <v>33</v>
      </c>
      <c r="L21272" t="s">
        <v>600</v>
      </c>
      <c r="N21272" t="s">
        <v>29</v>
      </c>
    </row>
    <row r="21273" spans="1:14">
      <c r="A21273" s="4" t="str">
        <f t="shared" si="1418"/>
        <v>EXP00451</v>
      </c>
      <c r="B21273" s="3" t="s">
        <v>66</v>
      </c>
      <c r="C21273" s="4" t="str">
        <f t="shared" si="1419"/>
        <v>TCGA-UCEC</v>
      </c>
      <c r="D21273" s="1" t="s">
        <v>493</v>
      </c>
      <c r="E21273" t="s">
        <v>598</v>
      </c>
      <c r="F21273" s="1">
        <v>2</v>
      </c>
      <c r="G21273" s="1" t="s">
        <v>32</v>
      </c>
      <c r="H21273" s="4" t="str">
        <f>HYPERLINK("https://portal.gdc.cancer.gov/cases/bee58be0-c2b0-4cdc-adf6-b99243da586a","TCGA-EY-A2ON-01A")</f>
        <v>TCGA-EY-A2ON-01A</v>
      </c>
      <c r="I21273" t="s">
        <v>444</v>
      </c>
      <c r="J21273" t="s">
        <v>599</v>
      </c>
      <c r="K21273" t="s">
        <v>33</v>
      </c>
      <c r="L21273" t="s">
        <v>600</v>
      </c>
      <c r="N21273" t="s">
        <v>29</v>
      </c>
    </row>
    <row r="21274" spans="1:14">
      <c r="A21274" s="4" t="str">
        <f t="shared" si="1418"/>
        <v>EXP00451</v>
      </c>
      <c r="B21274" s="3" t="s">
        <v>66</v>
      </c>
      <c r="C21274" s="4" t="str">
        <f t="shared" si="1419"/>
        <v>TCGA-UCEC</v>
      </c>
      <c r="D21274" s="1" t="s">
        <v>493</v>
      </c>
      <c r="E21274" t="s">
        <v>598</v>
      </c>
      <c r="F21274" s="1">
        <v>2</v>
      </c>
      <c r="G21274" s="1" t="s">
        <v>32</v>
      </c>
      <c r="H21274" s="4" t="str">
        <f>HYPERLINK("https://portal.gdc.cancer.gov/cases/068016e2-7829-493c-b8be-d3b85beaab13","TCGA-EY-A2OO-01A")</f>
        <v>TCGA-EY-A2OO-01A</v>
      </c>
      <c r="I21274" t="s">
        <v>444</v>
      </c>
      <c r="J21274" t="s">
        <v>599</v>
      </c>
      <c r="K21274" t="s">
        <v>33</v>
      </c>
      <c r="L21274" t="s">
        <v>600</v>
      </c>
      <c r="N21274" t="s">
        <v>29</v>
      </c>
    </row>
    <row r="21275" spans="1:14">
      <c r="A21275" s="4" t="str">
        <f t="shared" si="1418"/>
        <v>EXP00451</v>
      </c>
      <c r="B21275" s="3" t="s">
        <v>66</v>
      </c>
      <c r="C21275" s="4" t="str">
        <f t="shared" si="1419"/>
        <v>TCGA-UCEC</v>
      </c>
      <c r="D21275" s="1" t="s">
        <v>493</v>
      </c>
      <c r="E21275" t="s">
        <v>598</v>
      </c>
      <c r="F21275" s="1">
        <v>2</v>
      </c>
      <c r="G21275" s="1" t="s">
        <v>32</v>
      </c>
      <c r="H21275" s="4" t="str">
        <f>HYPERLINK("https://portal.gdc.cancer.gov/cases/f7165dea-c528-44f3-954f-e111a3d77b4e","TCGA-EY-A2OP-01A")</f>
        <v>TCGA-EY-A2OP-01A</v>
      </c>
      <c r="I21275" t="s">
        <v>444</v>
      </c>
      <c r="J21275" t="s">
        <v>599</v>
      </c>
      <c r="K21275" t="s">
        <v>33</v>
      </c>
      <c r="L21275" t="s">
        <v>600</v>
      </c>
      <c r="N21275" t="s">
        <v>29</v>
      </c>
    </row>
    <row r="21276" spans="1:14">
      <c r="A21276" s="4" t="str">
        <f t="shared" si="1418"/>
        <v>EXP00451</v>
      </c>
      <c r="B21276" s="3" t="s">
        <v>66</v>
      </c>
      <c r="C21276" s="4" t="str">
        <f t="shared" si="1419"/>
        <v>TCGA-UCEC</v>
      </c>
      <c r="D21276" s="1" t="s">
        <v>493</v>
      </c>
      <c r="E21276" t="s">
        <v>598</v>
      </c>
      <c r="F21276" s="1">
        <v>2</v>
      </c>
      <c r="G21276" s="1" t="s">
        <v>32</v>
      </c>
      <c r="H21276" s="4" t="str">
        <f>HYPERLINK("https://portal.gdc.cancer.gov/cases/029f0f1d-dd22-44d2-a623-cb9a33cb9438","TCGA-EY-A2OQ-01A")</f>
        <v>TCGA-EY-A2OQ-01A</v>
      </c>
      <c r="I21276" t="s">
        <v>444</v>
      </c>
      <c r="J21276" t="s">
        <v>599</v>
      </c>
      <c r="K21276" t="s">
        <v>33</v>
      </c>
      <c r="L21276" t="s">
        <v>600</v>
      </c>
      <c r="N21276" t="s">
        <v>29</v>
      </c>
    </row>
    <row r="21277" spans="1:14">
      <c r="A21277" s="4" t="str">
        <f t="shared" si="1418"/>
        <v>EXP00451</v>
      </c>
      <c r="B21277" s="3" t="s">
        <v>66</v>
      </c>
      <c r="C21277" s="4" t="str">
        <f t="shared" si="1419"/>
        <v>TCGA-UCEC</v>
      </c>
      <c r="D21277" s="1" t="s">
        <v>493</v>
      </c>
      <c r="E21277" t="s">
        <v>598</v>
      </c>
      <c r="F21277" s="1">
        <v>2</v>
      </c>
      <c r="G21277" s="1" t="s">
        <v>32</v>
      </c>
      <c r="H21277" s="4" t="str">
        <f>HYPERLINK("https://portal.gdc.cancer.gov/cases/06728b1b-6b69-4467-8e10-a8a4e6328ac8","TCGA-EY-A3L3-01A")</f>
        <v>TCGA-EY-A3L3-01A</v>
      </c>
      <c r="I21277" t="s">
        <v>444</v>
      </c>
      <c r="J21277" t="s">
        <v>599</v>
      </c>
      <c r="K21277" t="s">
        <v>33</v>
      </c>
      <c r="L21277" t="s">
        <v>600</v>
      </c>
      <c r="N21277" t="s">
        <v>29</v>
      </c>
    </row>
    <row r="21278" spans="1:14">
      <c r="A21278" s="4" t="str">
        <f t="shared" si="1418"/>
        <v>EXP00451</v>
      </c>
      <c r="B21278" s="3" t="s">
        <v>66</v>
      </c>
      <c r="C21278" s="4" t="str">
        <f t="shared" si="1419"/>
        <v>TCGA-UCEC</v>
      </c>
      <c r="D21278" s="1" t="s">
        <v>493</v>
      </c>
      <c r="E21278" t="s">
        <v>598</v>
      </c>
      <c r="F21278" s="1">
        <v>2</v>
      </c>
      <c r="G21278" s="1" t="s">
        <v>32</v>
      </c>
      <c r="H21278" s="4" t="str">
        <f>HYPERLINK("https://portal.gdc.cancer.gov/cases/8bb89c0f-0f04-485e-8e08-801042dfcba9","TCGA-EY-A3QX-01A")</f>
        <v>TCGA-EY-A3QX-01A</v>
      </c>
      <c r="I21278" t="s">
        <v>444</v>
      </c>
      <c r="J21278" t="s">
        <v>599</v>
      </c>
      <c r="K21278" t="s">
        <v>33</v>
      </c>
      <c r="L21278" t="s">
        <v>600</v>
      </c>
      <c r="N21278" t="s">
        <v>29</v>
      </c>
    </row>
    <row r="21279" spans="1:14">
      <c r="A21279" s="4" t="str">
        <f t="shared" si="1418"/>
        <v>EXP00451</v>
      </c>
      <c r="B21279" s="3" t="s">
        <v>66</v>
      </c>
      <c r="C21279" s="4" t="str">
        <f t="shared" si="1419"/>
        <v>TCGA-UCEC</v>
      </c>
      <c r="D21279" s="1" t="s">
        <v>493</v>
      </c>
      <c r="E21279" t="s">
        <v>598</v>
      </c>
      <c r="F21279" s="1">
        <v>2</v>
      </c>
      <c r="G21279" s="1" t="s">
        <v>32</v>
      </c>
      <c r="H21279" s="4" t="str">
        <f>HYPERLINK("https://portal.gdc.cancer.gov/cases/df27b584-fa45-4a8f-bd12-a018cc63dca1","TCGA-EY-A4KR-01A")</f>
        <v>TCGA-EY-A4KR-01A</v>
      </c>
      <c r="I21279" t="s">
        <v>444</v>
      </c>
      <c r="J21279" t="s">
        <v>599</v>
      </c>
      <c r="K21279" t="s">
        <v>33</v>
      </c>
      <c r="L21279" t="s">
        <v>600</v>
      </c>
      <c r="N21279" t="s">
        <v>29</v>
      </c>
    </row>
    <row r="21280" spans="1:14">
      <c r="A21280" s="4" t="str">
        <f t="shared" si="1418"/>
        <v>EXP00451</v>
      </c>
      <c r="B21280" s="3" t="s">
        <v>66</v>
      </c>
      <c r="C21280" s="4" t="str">
        <f t="shared" si="1419"/>
        <v>TCGA-UCEC</v>
      </c>
      <c r="D21280" s="1" t="s">
        <v>493</v>
      </c>
      <c r="E21280" t="s">
        <v>598</v>
      </c>
      <c r="F21280" s="1">
        <v>2</v>
      </c>
      <c r="G21280" s="1" t="s">
        <v>32</v>
      </c>
      <c r="H21280" s="4" t="str">
        <f>HYPERLINK("https://portal.gdc.cancer.gov/cases/3424120f-248f-451a-948c-e320c19d1b19","TCGA-EY-A547-01A")</f>
        <v>TCGA-EY-A547-01A</v>
      </c>
      <c r="I21280" t="s">
        <v>444</v>
      </c>
      <c r="J21280" t="s">
        <v>599</v>
      </c>
      <c r="K21280" t="s">
        <v>33</v>
      </c>
      <c r="L21280" t="s">
        <v>600</v>
      </c>
      <c r="N21280" t="s">
        <v>29</v>
      </c>
    </row>
    <row r="21281" spans="1:14">
      <c r="A21281" s="4" t="str">
        <f t="shared" si="1418"/>
        <v>EXP00451</v>
      </c>
      <c r="B21281" s="3" t="s">
        <v>66</v>
      </c>
      <c r="C21281" s="4" t="str">
        <f t="shared" si="1419"/>
        <v>TCGA-UCEC</v>
      </c>
      <c r="D21281" s="1" t="s">
        <v>493</v>
      </c>
      <c r="E21281" t="s">
        <v>598</v>
      </c>
      <c r="F21281" s="1">
        <v>2</v>
      </c>
      <c r="G21281" s="1" t="s">
        <v>32</v>
      </c>
      <c r="H21281" s="4" t="str">
        <f>HYPERLINK("https://portal.gdc.cancer.gov/cases/56bdb68c-a647-4aba-94ac-9cd52bb5344a","TCGA-EY-A548-01A")</f>
        <v>TCGA-EY-A548-01A</v>
      </c>
      <c r="I21281" t="s">
        <v>444</v>
      </c>
      <c r="J21281" t="s">
        <v>599</v>
      </c>
      <c r="K21281" t="s">
        <v>33</v>
      </c>
      <c r="L21281" t="s">
        <v>600</v>
      </c>
      <c r="N21281" t="s">
        <v>29</v>
      </c>
    </row>
    <row r="21282" spans="1:14">
      <c r="A21282" s="4" t="str">
        <f t="shared" si="1418"/>
        <v>EXP00451</v>
      </c>
      <c r="B21282" s="3" t="s">
        <v>66</v>
      </c>
      <c r="C21282" s="4" t="str">
        <f t="shared" si="1419"/>
        <v>TCGA-UCEC</v>
      </c>
      <c r="D21282" s="1" t="s">
        <v>493</v>
      </c>
      <c r="E21282" t="s">
        <v>598</v>
      </c>
      <c r="F21282" s="1">
        <v>2</v>
      </c>
      <c r="G21282" s="1" t="s">
        <v>32</v>
      </c>
      <c r="H21282" s="4" t="str">
        <f>HYPERLINK("https://portal.gdc.cancer.gov/cases/3d9828ae-eb65-4d0a-8d7a-cc09e98b5e99","TCGA-EY-A549-01A")</f>
        <v>TCGA-EY-A549-01A</v>
      </c>
      <c r="I21282" t="s">
        <v>444</v>
      </c>
      <c r="J21282" t="s">
        <v>599</v>
      </c>
      <c r="K21282" t="s">
        <v>33</v>
      </c>
      <c r="L21282" t="s">
        <v>600</v>
      </c>
      <c r="N21282" t="s">
        <v>29</v>
      </c>
    </row>
    <row r="21283" spans="1:14">
      <c r="A21283" s="4" t="str">
        <f t="shared" si="1418"/>
        <v>EXP00451</v>
      </c>
      <c r="B21283" s="3" t="s">
        <v>66</v>
      </c>
      <c r="C21283" s="4" t="str">
        <f t="shared" si="1419"/>
        <v>TCGA-UCEC</v>
      </c>
      <c r="D21283" s="1" t="s">
        <v>493</v>
      </c>
      <c r="E21283" t="s">
        <v>598</v>
      </c>
      <c r="F21283" s="1">
        <v>2</v>
      </c>
      <c r="G21283" s="1" t="s">
        <v>32</v>
      </c>
      <c r="H21283" s="4" t="str">
        <f>HYPERLINK("https://portal.gdc.cancer.gov/cases/75783dbe-e18c-4535-b9eb-2affd320e098","TCGA-EY-A54A-01A")</f>
        <v>TCGA-EY-A54A-01A</v>
      </c>
      <c r="I21283" t="s">
        <v>444</v>
      </c>
      <c r="J21283" t="s">
        <v>599</v>
      </c>
      <c r="K21283" t="s">
        <v>33</v>
      </c>
      <c r="L21283" t="s">
        <v>600</v>
      </c>
      <c r="N21283" t="s">
        <v>29</v>
      </c>
    </row>
    <row r="21284" spans="1:14">
      <c r="A21284" s="4" t="str">
        <f t="shared" si="1418"/>
        <v>EXP00451</v>
      </c>
      <c r="B21284" s="3" t="s">
        <v>66</v>
      </c>
      <c r="C21284" s="4" t="str">
        <f t="shared" si="1419"/>
        <v>TCGA-UCEC</v>
      </c>
      <c r="D21284" s="1" t="s">
        <v>493</v>
      </c>
      <c r="E21284" t="s">
        <v>598</v>
      </c>
      <c r="F21284" s="1">
        <v>2</v>
      </c>
      <c r="G21284" s="1" t="s">
        <v>32</v>
      </c>
      <c r="H21284" s="4" t="str">
        <f>HYPERLINK("https://portal.gdc.cancer.gov/cases/1944e155-b765-48c3-9602-6787c105e551","TCGA-EY-A5W2-01A")</f>
        <v>TCGA-EY-A5W2-01A</v>
      </c>
      <c r="I21284" t="s">
        <v>444</v>
      </c>
      <c r="J21284" t="s">
        <v>599</v>
      </c>
      <c r="K21284" t="s">
        <v>33</v>
      </c>
      <c r="L21284" t="s">
        <v>600</v>
      </c>
      <c r="N21284" t="s">
        <v>29</v>
      </c>
    </row>
    <row r="21285" spans="1:14">
      <c r="A21285" s="4" t="str">
        <f t="shared" si="1418"/>
        <v>EXP00451</v>
      </c>
      <c r="B21285" s="3" t="s">
        <v>66</v>
      </c>
      <c r="C21285" s="4" t="str">
        <f t="shared" si="1419"/>
        <v>TCGA-UCEC</v>
      </c>
      <c r="D21285" s="1" t="s">
        <v>493</v>
      </c>
      <c r="E21285" t="s">
        <v>598</v>
      </c>
      <c r="F21285" s="1">
        <v>2</v>
      </c>
      <c r="G21285" s="1" t="s">
        <v>32</v>
      </c>
      <c r="H21285" s="4" t="str">
        <f>HYPERLINK("https://portal.gdc.cancer.gov/cases/a12df3d7-c560-4e7d-a482-1025a6e5b465","TCGA-EY-A72D-01A")</f>
        <v>TCGA-EY-A72D-01A</v>
      </c>
      <c r="I21285" t="s">
        <v>444</v>
      </c>
      <c r="J21285" t="s">
        <v>599</v>
      </c>
      <c r="K21285" t="s">
        <v>33</v>
      </c>
      <c r="L21285" t="s">
        <v>600</v>
      </c>
      <c r="N21285" t="s">
        <v>29</v>
      </c>
    </row>
    <row r="21286" spans="1:14">
      <c r="A21286" s="4" t="str">
        <f t="shared" si="1418"/>
        <v>EXP00451</v>
      </c>
      <c r="B21286" s="3" t="s">
        <v>66</v>
      </c>
      <c r="C21286" s="4" t="str">
        <f t="shared" si="1419"/>
        <v>TCGA-UCEC</v>
      </c>
      <c r="D21286" s="1" t="s">
        <v>493</v>
      </c>
      <c r="E21286" t="s">
        <v>598</v>
      </c>
      <c r="F21286" s="1">
        <v>2</v>
      </c>
      <c r="G21286" s="1" t="s">
        <v>32</v>
      </c>
      <c r="H21286" s="4" t="str">
        <f>HYPERLINK("https://portal.gdc.cancer.gov/cases/dffc7091-bc27-452c-ad94-1ee214107593","TCGA-FI-A2CX-01A")</f>
        <v>TCGA-FI-A2CX-01A</v>
      </c>
      <c r="I21286" t="s">
        <v>444</v>
      </c>
      <c r="J21286" t="s">
        <v>599</v>
      </c>
      <c r="K21286" t="s">
        <v>33</v>
      </c>
      <c r="L21286" t="s">
        <v>600</v>
      </c>
      <c r="N21286" t="s">
        <v>29</v>
      </c>
    </row>
    <row r="21287" spans="1:14">
      <c r="A21287" s="4" t="str">
        <f t="shared" si="1418"/>
        <v>EXP00451</v>
      </c>
      <c r="B21287" s="3" t="s">
        <v>66</v>
      </c>
      <c r="C21287" s="4" t="str">
        <f t="shared" si="1419"/>
        <v>TCGA-UCEC</v>
      </c>
      <c r="D21287" s="1" t="s">
        <v>493</v>
      </c>
      <c r="E21287" t="s">
        <v>598</v>
      </c>
      <c r="F21287" s="1">
        <v>2</v>
      </c>
      <c r="G21287" s="1" t="s">
        <v>32</v>
      </c>
      <c r="H21287" s="4" t="str">
        <f>HYPERLINK("https://portal.gdc.cancer.gov/cases/b9ab4ab9-ba9c-4a01-9f61-55c82b924936","TCGA-FI-A2CY-01A")</f>
        <v>TCGA-FI-A2CY-01A</v>
      </c>
      <c r="I21287" t="s">
        <v>444</v>
      </c>
      <c r="J21287" t="s">
        <v>599</v>
      </c>
      <c r="K21287" t="s">
        <v>33</v>
      </c>
      <c r="L21287" t="s">
        <v>600</v>
      </c>
      <c r="N21287" t="s">
        <v>29</v>
      </c>
    </row>
    <row r="21288" spans="1:14">
      <c r="A21288" s="4" t="str">
        <f t="shared" si="1418"/>
        <v>EXP00451</v>
      </c>
      <c r="B21288" s="3" t="s">
        <v>66</v>
      </c>
      <c r="C21288" s="4" t="str">
        <f t="shared" si="1419"/>
        <v>TCGA-UCEC</v>
      </c>
      <c r="D21288" s="1" t="s">
        <v>493</v>
      </c>
      <c r="E21288" t="s">
        <v>598</v>
      </c>
      <c r="F21288" s="1">
        <v>2</v>
      </c>
      <c r="G21288" s="1" t="s">
        <v>32</v>
      </c>
      <c r="H21288" s="4" t="str">
        <f>HYPERLINK("https://portal.gdc.cancer.gov/cases/1b35d083-f7c9-47d2-9a9e-718788f9e39a","TCGA-FI-A2D0-01A")</f>
        <v>TCGA-FI-A2D0-01A</v>
      </c>
      <c r="I21288" t="s">
        <v>444</v>
      </c>
      <c r="J21288" t="s">
        <v>599</v>
      </c>
      <c r="K21288" t="s">
        <v>33</v>
      </c>
      <c r="L21288" t="s">
        <v>600</v>
      </c>
      <c r="N21288" t="s">
        <v>29</v>
      </c>
    </row>
    <row r="21289" spans="1:14">
      <c r="A21289" s="4" t="str">
        <f t="shared" si="1418"/>
        <v>EXP00451</v>
      </c>
      <c r="B21289" s="3" t="s">
        <v>66</v>
      </c>
      <c r="C21289" s="4" t="str">
        <f t="shared" si="1419"/>
        <v>TCGA-UCEC</v>
      </c>
      <c r="D21289" s="1" t="s">
        <v>493</v>
      </c>
      <c r="E21289" t="s">
        <v>598</v>
      </c>
      <c r="F21289" s="1">
        <v>2</v>
      </c>
      <c r="G21289" s="1" t="s">
        <v>32</v>
      </c>
      <c r="H21289" s="4" t="str">
        <f>HYPERLINK("https://portal.gdc.cancer.gov/cases/46a1fdb9-548d-44d1-ab77-d51d44ac8198","TCGA-FI-A2D2-01A")</f>
        <v>TCGA-FI-A2D2-01A</v>
      </c>
      <c r="I21289" t="s">
        <v>444</v>
      </c>
      <c r="J21289" t="s">
        <v>599</v>
      </c>
      <c r="K21289" t="s">
        <v>33</v>
      </c>
      <c r="L21289" t="s">
        <v>600</v>
      </c>
      <c r="N21289" t="s">
        <v>29</v>
      </c>
    </row>
    <row r="21290" spans="1:14">
      <c r="A21290" s="4" t="str">
        <f t="shared" si="1418"/>
        <v>EXP00451</v>
      </c>
      <c r="B21290" s="3" t="s">
        <v>66</v>
      </c>
      <c r="C21290" s="4" t="str">
        <f t="shared" si="1419"/>
        <v>TCGA-UCEC</v>
      </c>
      <c r="D21290" s="1" t="s">
        <v>493</v>
      </c>
      <c r="E21290" t="s">
        <v>598</v>
      </c>
      <c r="F21290" s="1">
        <v>2</v>
      </c>
      <c r="G21290" s="1" t="s">
        <v>32</v>
      </c>
      <c r="H21290" s="4" t="str">
        <f>HYPERLINK("https://portal.gdc.cancer.gov/cases/490ae247-ee67-48d4-94ed-93df5b9bbefe","TCGA-FI-A2D4-01A")</f>
        <v>TCGA-FI-A2D4-01A</v>
      </c>
      <c r="I21290" t="s">
        <v>444</v>
      </c>
      <c r="J21290" t="s">
        <v>599</v>
      </c>
      <c r="K21290" t="s">
        <v>33</v>
      </c>
      <c r="L21290" t="s">
        <v>600</v>
      </c>
      <c r="N21290" t="s">
        <v>29</v>
      </c>
    </row>
    <row r="21291" spans="1:14">
      <c r="A21291" s="4" t="str">
        <f t="shared" si="1418"/>
        <v>EXP00451</v>
      </c>
      <c r="B21291" s="3" t="s">
        <v>66</v>
      </c>
      <c r="C21291" s="4" t="str">
        <f t="shared" si="1419"/>
        <v>TCGA-UCEC</v>
      </c>
      <c r="D21291" s="1" t="s">
        <v>493</v>
      </c>
      <c r="E21291" t="s">
        <v>598</v>
      </c>
      <c r="F21291" s="1">
        <v>2</v>
      </c>
      <c r="G21291" s="1" t="s">
        <v>32</v>
      </c>
      <c r="H21291" s="4" t="str">
        <f>HYPERLINK("https://portal.gdc.cancer.gov/cases/dcfbe781-a92a-45b5-b80a-e3bb3bdc0d9a","TCGA-FI-A2D5-01A")</f>
        <v>TCGA-FI-A2D5-01A</v>
      </c>
      <c r="I21291" t="s">
        <v>444</v>
      </c>
      <c r="J21291" t="s">
        <v>599</v>
      </c>
      <c r="K21291" t="s">
        <v>33</v>
      </c>
      <c r="L21291" t="s">
        <v>600</v>
      </c>
      <c r="N21291" t="s">
        <v>29</v>
      </c>
    </row>
    <row r="21292" spans="1:14">
      <c r="A21292" s="4" t="str">
        <f t="shared" si="1418"/>
        <v>EXP00451</v>
      </c>
      <c r="B21292" s="3" t="s">
        <v>66</v>
      </c>
      <c r="C21292" s="4" t="str">
        <f t="shared" si="1419"/>
        <v>TCGA-UCEC</v>
      </c>
      <c r="D21292" s="1" t="s">
        <v>493</v>
      </c>
      <c r="E21292" t="s">
        <v>598</v>
      </c>
      <c r="F21292" s="1">
        <v>2</v>
      </c>
      <c r="G21292" s="1" t="s">
        <v>32</v>
      </c>
      <c r="H21292" s="4" t="str">
        <f>HYPERLINK("https://portal.gdc.cancer.gov/cases/787d313f-9255-4b93-8ac2-0aa8febb7909","TCGA-FI-A2D6-01A")</f>
        <v>TCGA-FI-A2D6-01A</v>
      </c>
      <c r="I21292" t="s">
        <v>444</v>
      </c>
      <c r="J21292" t="s">
        <v>599</v>
      </c>
      <c r="K21292" t="s">
        <v>33</v>
      </c>
      <c r="L21292" t="s">
        <v>600</v>
      </c>
      <c r="N21292" t="s">
        <v>29</v>
      </c>
    </row>
    <row r="21293" spans="1:14">
      <c r="A21293" s="4" t="str">
        <f t="shared" si="1418"/>
        <v>EXP00451</v>
      </c>
      <c r="B21293" s="3" t="s">
        <v>66</v>
      </c>
      <c r="C21293" s="4" t="str">
        <f t="shared" si="1419"/>
        <v>TCGA-UCEC</v>
      </c>
      <c r="D21293" s="1" t="s">
        <v>493</v>
      </c>
      <c r="E21293" t="s">
        <v>598</v>
      </c>
      <c r="F21293" s="1">
        <v>2</v>
      </c>
      <c r="G21293" s="1" t="s">
        <v>32</v>
      </c>
      <c r="H21293" s="4" t="str">
        <f>HYPERLINK("https://portal.gdc.cancer.gov/cases/4284a85d-d9b6-40ee-aac4-c2c03554528e","TCGA-FI-A2EU-01A")</f>
        <v>TCGA-FI-A2EU-01A</v>
      </c>
      <c r="I21293" t="s">
        <v>444</v>
      </c>
      <c r="J21293" t="s">
        <v>599</v>
      </c>
      <c r="K21293" t="s">
        <v>33</v>
      </c>
      <c r="L21293" t="s">
        <v>600</v>
      </c>
      <c r="N21293" t="s">
        <v>29</v>
      </c>
    </row>
    <row r="21294" spans="1:14">
      <c r="A21294" s="4" t="str">
        <f t="shared" si="1418"/>
        <v>EXP00451</v>
      </c>
      <c r="B21294" s="3" t="s">
        <v>66</v>
      </c>
      <c r="C21294" s="4" t="str">
        <f t="shared" si="1419"/>
        <v>TCGA-UCEC</v>
      </c>
      <c r="D21294" s="1" t="s">
        <v>493</v>
      </c>
      <c r="E21294" t="s">
        <v>598</v>
      </c>
      <c r="F21294" s="1">
        <v>2</v>
      </c>
      <c r="G21294" s="1" t="s">
        <v>32</v>
      </c>
      <c r="H21294" s="4" t="str">
        <f>HYPERLINK("https://portal.gdc.cancer.gov/cases/93d6df4a-aea2-48c2-8b6a-4b3eca0bf26f","TCGA-FI-A2EW-01A")</f>
        <v>TCGA-FI-A2EW-01A</v>
      </c>
      <c r="I21294" t="s">
        <v>444</v>
      </c>
      <c r="J21294" t="s">
        <v>599</v>
      </c>
      <c r="K21294" t="s">
        <v>33</v>
      </c>
      <c r="L21294" t="s">
        <v>600</v>
      </c>
      <c r="N21294" t="s">
        <v>29</v>
      </c>
    </row>
    <row r="21295" spans="1:14">
      <c r="A21295" s="4" t="str">
        <f t="shared" si="1418"/>
        <v>EXP00451</v>
      </c>
      <c r="B21295" s="3" t="s">
        <v>66</v>
      </c>
      <c r="C21295" s="4" t="str">
        <f t="shared" si="1419"/>
        <v>TCGA-UCEC</v>
      </c>
      <c r="D21295" s="1" t="s">
        <v>493</v>
      </c>
      <c r="E21295" t="s">
        <v>598</v>
      </c>
      <c r="F21295" s="1">
        <v>2</v>
      </c>
      <c r="G21295" s="1" t="s">
        <v>32</v>
      </c>
      <c r="H21295" s="4" t="str">
        <f>HYPERLINK("https://portal.gdc.cancer.gov/cases/3878f58e-76ba-4480-a784-88505bd464d0","TCGA-FI-A2EX-01A")</f>
        <v>TCGA-FI-A2EX-01A</v>
      </c>
      <c r="I21295" t="s">
        <v>444</v>
      </c>
      <c r="J21295" t="s">
        <v>599</v>
      </c>
      <c r="K21295" t="s">
        <v>33</v>
      </c>
      <c r="L21295" t="s">
        <v>600</v>
      </c>
      <c r="N21295" t="s">
        <v>29</v>
      </c>
    </row>
    <row r="21296" spans="1:14">
      <c r="A21296" s="4" t="str">
        <f t="shared" si="1418"/>
        <v>EXP00451</v>
      </c>
      <c r="B21296" s="3" t="s">
        <v>66</v>
      </c>
      <c r="C21296" s="4" t="str">
        <f t="shared" si="1419"/>
        <v>TCGA-UCEC</v>
      </c>
      <c r="D21296" s="1" t="s">
        <v>493</v>
      </c>
      <c r="E21296" t="s">
        <v>598</v>
      </c>
      <c r="F21296" s="1">
        <v>2</v>
      </c>
      <c r="G21296" s="1" t="s">
        <v>32</v>
      </c>
      <c r="H21296" s="4" t="str">
        <f>HYPERLINK("https://portal.gdc.cancer.gov/cases/787c3e2f-a708-4985-a5b1-b2383c7bfc52","TCGA-FI-A2EY-01A")</f>
        <v>TCGA-FI-A2EY-01A</v>
      </c>
      <c r="I21296" t="s">
        <v>444</v>
      </c>
      <c r="J21296" t="s">
        <v>599</v>
      </c>
      <c r="K21296" t="s">
        <v>33</v>
      </c>
      <c r="L21296" t="s">
        <v>600</v>
      </c>
      <c r="N21296" t="s">
        <v>29</v>
      </c>
    </row>
    <row r="21297" spans="1:14">
      <c r="A21297" s="4" t="str">
        <f t="shared" si="1418"/>
        <v>EXP00451</v>
      </c>
      <c r="B21297" s="3" t="s">
        <v>66</v>
      </c>
      <c r="C21297" s="4" t="str">
        <f t="shared" si="1419"/>
        <v>TCGA-UCEC</v>
      </c>
      <c r="D21297" s="1" t="s">
        <v>493</v>
      </c>
      <c r="E21297" t="s">
        <v>598</v>
      </c>
      <c r="F21297" s="1">
        <v>2</v>
      </c>
      <c r="G21297" s="1" t="s">
        <v>32</v>
      </c>
      <c r="H21297" s="4" t="str">
        <f>HYPERLINK("https://portal.gdc.cancer.gov/cases/43476c88-86bc-4a65-9327-f0d24a41c971","TCGA-FI-A2F4-01A")</f>
        <v>TCGA-FI-A2F4-01A</v>
      </c>
      <c r="I21297" t="s">
        <v>444</v>
      </c>
      <c r="J21297" t="s">
        <v>599</v>
      </c>
      <c r="K21297" t="s">
        <v>33</v>
      </c>
      <c r="L21297" t="s">
        <v>600</v>
      </c>
      <c r="N21297" t="s">
        <v>29</v>
      </c>
    </row>
    <row r="21298" spans="1:14">
      <c r="A21298" s="4" t="str">
        <f t="shared" si="1418"/>
        <v>EXP00451</v>
      </c>
      <c r="B21298" s="3" t="s">
        <v>66</v>
      </c>
      <c r="C21298" s="4" t="str">
        <f t="shared" si="1419"/>
        <v>TCGA-UCEC</v>
      </c>
      <c r="D21298" s="1" t="s">
        <v>493</v>
      </c>
      <c r="E21298" t="s">
        <v>598</v>
      </c>
      <c r="F21298" s="1">
        <v>2</v>
      </c>
      <c r="G21298" s="1" t="s">
        <v>32</v>
      </c>
      <c r="H21298" s="4" t="str">
        <f>HYPERLINK("https://portal.gdc.cancer.gov/cases/601734da-2d11-4745-a260-0965f58aadea","TCGA-FI-A2F8-01A")</f>
        <v>TCGA-FI-A2F8-01A</v>
      </c>
      <c r="I21298" t="s">
        <v>444</v>
      </c>
      <c r="J21298" t="s">
        <v>599</v>
      </c>
      <c r="K21298" t="s">
        <v>33</v>
      </c>
      <c r="L21298" t="s">
        <v>600</v>
      </c>
      <c r="N21298" t="s">
        <v>29</v>
      </c>
    </row>
    <row r="21299" spans="1:14">
      <c r="A21299" s="4" t="str">
        <f t="shared" si="1418"/>
        <v>EXP00451</v>
      </c>
      <c r="B21299" s="3" t="s">
        <v>66</v>
      </c>
      <c r="C21299" s="4" t="str">
        <f t="shared" si="1419"/>
        <v>TCGA-UCEC</v>
      </c>
      <c r="D21299" s="1" t="s">
        <v>493</v>
      </c>
      <c r="E21299" t="s">
        <v>598</v>
      </c>
      <c r="F21299" s="1">
        <v>2</v>
      </c>
      <c r="G21299" s="1" t="s">
        <v>32</v>
      </c>
      <c r="H21299" s="4" t="str">
        <f>HYPERLINK("https://portal.gdc.cancer.gov/cases/25e7d9d6-7381-40e1-b7ed-1d8c936b7c5c","TCGA-FI-A2F9-01A")</f>
        <v>TCGA-FI-A2F9-01A</v>
      </c>
      <c r="I21299" t="s">
        <v>444</v>
      </c>
      <c r="J21299" t="s">
        <v>599</v>
      </c>
      <c r="K21299" t="s">
        <v>33</v>
      </c>
      <c r="L21299" t="s">
        <v>600</v>
      </c>
      <c r="N21299" t="s">
        <v>29</v>
      </c>
    </row>
    <row r="21300" spans="1:14">
      <c r="A21300" s="4" t="str">
        <f t="shared" si="1418"/>
        <v>EXP00451</v>
      </c>
      <c r="B21300" s="3" t="s">
        <v>66</v>
      </c>
      <c r="C21300" s="4" t="str">
        <f t="shared" si="1419"/>
        <v>TCGA-UCEC</v>
      </c>
      <c r="D21300" s="1" t="s">
        <v>493</v>
      </c>
      <c r="E21300" t="s">
        <v>598</v>
      </c>
      <c r="F21300" s="1">
        <v>2</v>
      </c>
      <c r="G21300" s="1" t="s">
        <v>32</v>
      </c>
      <c r="H21300" s="4" t="str">
        <f>HYPERLINK("https://portal.gdc.cancer.gov/cases/60e307dd-e11e-40ba-93c1-7e8a1f669f60","TCGA-FI-A3PV-01A")</f>
        <v>TCGA-FI-A3PV-01A</v>
      </c>
      <c r="I21300" t="s">
        <v>444</v>
      </c>
      <c r="J21300" t="s">
        <v>599</v>
      </c>
      <c r="K21300" t="s">
        <v>33</v>
      </c>
      <c r="L21300" t="s">
        <v>600</v>
      </c>
      <c r="N21300" t="s">
        <v>29</v>
      </c>
    </row>
    <row r="21301" spans="1:14">
      <c r="A21301" s="4" t="str">
        <f t="shared" ref="A21301:A21325" si="1420">HYPERLINK("http://hcmdb.i-sanger.com/experiment/details/experiment_id/EXP00451","EXP00451")</f>
        <v>EXP00451</v>
      </c>
      <c r="B21301" s="3" t="s">
        <v>66</v>
      </c>
      <c r="C21301" s="4" t="str">
        <f t="shared" ref="C21301:C21364" si="1421">HYPERLINK("https://portal.gdc.cancer.gov/projects/TCGA-UCEC","TCGA-UCEC")</f>
        <v>TCGA-UCEC</v>
      </c>
      <c r="D21301" s="1" t="s">
        <v>493</v>
      </c>
      <c r="E21301" t="s">
        <v>598</v>
      </c>
      <c r="F21301" s="1">
        <v>2</v>
      </c>
      <c r="G21301" s="1" t="s">
        <v>32</v>
      </c>
      <c r="H21301" s="4" t="str">
        <f>HYPERLINK("https://portal.gdc.cancer.gov/cases/3e8e34c8-766a-4514-97f4-8000b5350ab9","TCGA-FI-A3PX-01A")</f>
        <v>TCGA-FI-A3PX-01A</v>
      </c>
      <c r="I21301" t="s">
        <v>444</v>
      </c>
      <c r="J21301" t="s">
        <v>599</v>
      </c>
      <c r="K21301" t="s">
        <v>33</v>
      </c>
      <c r="L21301" t="s">
        <v>600</v>
      </c>
      <c r="N21301" t="s">
        <v>29</v>
      </c>
    </row>
    <row r="21302" spans="1:14">
      <c r="A21302" s="4" t="str">
        <f t="shared" si="1420"/>
        <v>EXP00451</v>
      </c>
      <c r="B21302" s="3" t="s">
        <v>66</v>
      </c>
      <c r="C21302" s="4" t="str">
        <f t="shared" si="1421"/>
        <v>TCGA-UCEC</v>
      </c>
      <c r="D21302" s="1" t="s">
        <v>493</v>
      </c>
      <c r="E21302" t="s">
        <v>598</v>
      </c>
      <c r="F21302" s="1">
        <v>2</v>
      </c>
      <c r="G21302" s="1" t="s">
        <v>32</v>
      </c>
      <c r="H21302" s="4" t="str">
        <f>HYPERLINK("https://portal.gdc.cancer.gov/cases/fdb395e7-ff30-400d-861e-0cf2462ee390","TCGA-H5-A2HR-01A")</f>
        <v>TCGA-H5-A2HR-01A</v>
      </c>
      <c r="I21302" t="s">
        <v>444</v>
      </c>
      <c r="J21302" t="s">
        <v>599</v>
      </c>
      <c r="K21302" t="s">
        <v>33</v>
      </c>
      <c r="L21302" t="s">
        <v>600</v>
      </c>
      <c r="N21302" t="s">
        <v>29</v>
      </c>
    </row>
    <row r="21303" spans="1:14">
      <c r="A21303" s="4" t="str">
        <f t="shared" si="1420"/>
        <v>EXP00451</v>
      </c>
      <c r="B21303" s="3" t="s">
        <v>66</v>
      </c>
      <c r="C21303" s="4" t="str">
        <f t="shared" si="1421"/>
        <v>TCGA-UCEC</v>
      </c>
      <c r="D21303" s="1" t="s">
        <v>493</v>
      </c>
      <c r="E21303" t="s">
        <v>598</v>
      </c>
      <c r="F21303" s="1">
        <v>2</v>
      </c>
      <c r="G21303" s="1" t="s">
        <v>32</v>
      </c>
      <c r="H21303" s="4" t="str">
        <f>HYPERLINK("https://portal.gdc.cancer.gov/cases/3e41cf2f-3de9-44c1-a819-bce693baf67d","TCGA-JU-AAVI-01A")</f>
        <v>TCGA-JU-AAVI-01A</v>
      </c>
      <c r="I21303" t="s">
        <v>444</v>
      </c>
      <c r="J21303" t="s">
        <v>599</v>
      </c>
      <c r="K21303" t="s">
        <v>33</v>
      </c>
      <c r="L21303" t="s">
        <v>600</v>
      </c>
      <c r="N21303" t="s">
        <v>29</v>
      </c>
    </row>
    <row r="21304" spans="1:14">
      <c r="A21304" s="4" t="str">
        <f t="shared" si="1420"/>
        <v>EXP00451</v>
      </c>
      <c r="B21304" s="3" t="s">
        <v>66</v>
      </c>
      <c r="C21304" s="4" t="str">
        <f t="shared" si="1421"/>
        <v>TCGA-UCEC</v>
      </c>
      <c r="D21304" s="1" t="s">
        <v>493</v>
      </c>
      <c r="E21304" t="s">
        <v>598</v>
      </c>
      <c r="F21304" s="1">
        <v>2</v>
      </c>
      <c r="G21304" s="1" t="s">
        <v>32</v>
      </c>
      <c r="H21304" s="4" t="str">
        <f>HYPERLINK("https://portal.gdc.cancer.gov/cases/d6303a05-f705-4413-8860-506a105d5b08","TCGA-K6-A3WQ-01A")</f>
        <v>TCGA-K6-A3WQ-01A</v>
      </c>
      <c r="I21304" t="s">
        <v>444</v>
      </c>
      <c r="J21304" t="s">
        <v>599</v>
      </c>
      <c r="K21304" t="s">
        <v>33</v>
      </c>
      <c r="L21304" t="s">
        <v>600</v>
      </c>
      <c r="N21304" t="s">
        <v>29</v>
      </c>
    </row>
    <row r="21305" spans="1:14">
      <c r="A21305" s="4" t="str">
        <f t="shared" si="1420"/>
        <v>EXP00451</v>
      </c>
      <c r="B21305" s="3" t="s">
        <v>66</v>
      </c>
      <c r="C21305" s="4" t="str">
        <f t="shared" si="1421"/>
        <v>TCGA-UCEC</v>
      </c>
      <c r="D21305" s="1" t="s">
        <v>493</v>
      </c>
      <c r="E21305" t="s">
        <v>598</v>
      </c>
      <c r="F21305" s="1">
        <v>2</v>
      </c>
      <c r="G21305" s="1" t="s">
        <v>32</v>
      </c>
      <c r="H21305" s="4" t="str">
        <f>HYPERLINK("https://portal.gdc.cancer.gov/cases/1a36d5de-a097-4323-90e9-f1b924a8a5d8","TCGA-KJ-A3U4-01A")</f>
        <v>TCGA-KJ-A3U4-01A</v>
      </c>
      <c r="I21305" t="s">
        <v>444</v>
      </c>
      <c r="J21305" t="s">
        <v>599</v>
      </c>
      <c r="K21305" t="s">
        <v>33</v>
      </c>
      <c r="L21305" t="s">
        <v>600</v>
      </c>
      <c r="N21305" t="s">
        <v>29</v>
      </c>
    </row>
    <row r="21306" spans="1:14">
      <c r="A21306" s="4" t="str">
        <f t="shared" si="1420"/>
        <v>EXP00451</v>
      </c>
      <c r="B21306" s="3" t="s">
        <v>66</v>
      </c>
      <c r="C21306" s="4" t="str">
        <f t="shared" si="1421"/>
        <v>TCGA-UCEC</v>
      </c>
      <c r="D21306" s="1" t="s">
        <v>493</v>
      </c>
      <c r="E21306" t="s">
        <v>598</v>
      </c>
      <c r="F21306" s="1">
        <v>2</v>
      </c>
      <c r="G21306" s="1" t="s">
        <v>32</v>
      </c>
      <c r="H21306" s="4" t="str">
        <f>HYPERLINK("https://portal.gdc.cancer.gov/cases/6b35a816-f9c4-44d4-9824-5dee4804b80d","TCGA-KP-A3VZ-01A")</f>
        <v>TCGA-KP-A3VZ-01A</v>
      </c>
      <c r="I21306" t="s">
        <v>444</v>
      </c>
      <c r="J21306" t="s">
        <v>599</v>
      </c>
      <c r="K21306" t="s">
        <v>33</v>
      </c>
      <c r="L21306" t="s">
        <v>600</v>
      </c>
      <c r="N21306" t="s">
        <v>29</v>
      </c>
    </row>
    <row r="21307" spans="1:14">
      <c r="A21307" s="4" t="str">
        <f t="shared" si="1420"/>
        <v>EXP00451</v>
      </c>
      <c r="B21307" s="3" t="s">
        <v>66</v>
      </c>
      <c r="C21307" s="4" t="str">
        <f t="shared" si="1421"/>
        <v>TCGA-UCEC</v>
      </c>
      <c r="D21307" s="1" t="s">
        <v>493</v>
      </c>
      <c r="E21307" t="s">
        <v>598</v>
      </c>
      <c r="F21307" s="1">
        <v>2</v>
      </c>
      <c r="G21307" s="1" t="s">
        <v>32</v>
      </c>
      <c r="H21307" s="4" t="str">
        <f>HYPERLINK("https://portal.gdc.cancer.gov/cases/c9ebaeff-6a27-4a6c-a34c-5337a3508a52","TCGA-KP-A3W0-01A")</f>
        <v>TCGA-KP-A3W0-01A</v>
      </c>
      <c r="I21307" t="s">
        <v>444</v>
      </c>
      <c r="J21307" t="s">
        <v>599</v>
      </c>
      <c r="K21307" t="s">
        <v>33</v>
      </c>
      <c r="L21307" t="s">
        <v>600</v>
      </c>
      <c r="N21307" t="s">
        <v>29</v>
      </c>
    </row>
    <row r="21308" spans="1:14">
      <c r="A21308" s="4" t="str">
        <f t="shared" si="1420"/>
        <v>EXP00451</v>
      </c>
      <c r="B21308" s="3" t="s">
        <v>66</v>
      </c>
      <c r="C21308" s="4" t="str">
        <f t="shared" si="1421"/>
        <v>TCGA-UCEC</v>
      </c>
      <c r="D21308" s="1" t="s">
        <v>493</v>
      </c>
      <c r="E21308" t="s">
        <v>598</v>
      </c>
      <c r="F21308" s="1">
        <v>2</v>
      </c>
      <c r="G21308" s="1" t="s">
        <v>32</v>
      </c>
      <c r="H21308" s="4" t="str">
        <f>HYPERLINK("https://portal.gdc.cancer.gov/cases/3bce9803-e74c-462e-bd40-8ec337a66f3a","TCGA-KP-A3W1-01A")</f>
        <v>TCGA-KP-A3W1-01A</v>
      </c>
      <c r="I21308" t="s">
        <v>444</v>
      </c>
      <c r="J21308" t="s">
        <v>599</v>
      </c>
      <c r="K21308" t="s">
        <v>33</v>
      </c>
      <c r="L21308" t="s">
        <v>600</v>
      </c>
      <c r="N21308" t="s">
        <v>29</v>
      </c>
    </row>
    <row r="21309" spans="1:14">
      <c r="A21309" s="4" t="str">
        <f t="shared" si="1420"/>
        <v>EXP00451</v>
      </c>
      <c r="B21309" s="3" t="s">
        <v>66</v>
      </c>
      <c r="C21309" s="4" t="str">
        <f t="shared" si="1421"/>
        <v>TCGA-UCEC</v>
      </c>
      <c r="D21309" s="1" t="s">
        <v>493</v>
      </c>
      <c r="E21309" t="s">
        <v>598</v>
      </c>
      <c r="F21309" s="1">
        <v>2</v>
      </c>
      <c r="G21309" s="1" t="s">
        <v>32</v>
      </c>
      <c r="H21309" s="4" t="str">
        <f>HYPERLINK("https://portal.gdc.cancer.gov/cases/22669a01-21d3-404c-ac19-cf0a6c03bb1d","TCGA-PG-A5BC-01A")</f>
        <v>TCGA-PG-A5BC-01A</v>
      </c>
      <c r="I21309" t="s">
        <v>444</v>
      </c>
      <c r="J21309" t="s">
        <v>599</v>
      </c>
      <c r="K21309" t="s">
        <v>33</v>
      </c>
      <c r="L21309" t="s">
        <v>600</v>
      </c>
      <c r="N21309" t="s">
        <v>29</v>
      </c>
    </row>
    <row r="21310" spans="1:14">
      <c r="A21310" s="4" t="str">
        <f t="shared" si="1420"/>
        <v>EXP00451</v>
      </c>
      <c r="B21310" s="3" t="s">
        <v>66</v>
      </c>
      <c r="C21310" s="4" t="str">
        <f t="shared" si="1421"/>
        <v>TCGA-UCEC</v>
      </c>
      <c r="D21310" s="1" t="s">
        <v>493</v>
      </c>
      <c r="E21310" t="s">
        <v>598</v>
      </c>
      <c r="F21310" s="1">
        <v>2</v>
      </c>
      <c r="G21310" s="1" t="s">
        <v>32</v>
      </c>
      <c r="H21310" s="4" t="str">
        <f>HYPERLINK("https://portal.gdc.cancer.gov/cases/e8c7195b-a26b-4d98-b1c5-0aa18385e9c8","TCGA-PG-A6IB-01A")</f>
        <v>TCGA-PG-A6IB-01A</v>
      </c>
      <c r="I21310" t="s">
        <v>444</v>
      </c>
      <c r="J21310" t="s">
        <v>599</v>
      </c>
      <c r="K21310" t="s">
        <v>33</v>
      </c>
      <c r="L21310" t="s">
        <v>600</v>
      </c>
      <c r="N21310" t="s">
        <v>29</v>
      </c>
    </row>
    <row r="21311" spans="1:14">
      <c r="A21311" s="4" t="str">
        <f t="shared" si="1420"/>
        <v>EXP00451</v>
      </c>
      <c r="B21311" s="3" t="s">
        <v>66</v>
      </c>
      <c r="C21311" s="4" t="str">
        <f t="shared" si="1421"/>
        <v>TCGA-UCEC</v>
      </c>
      <c r="D21311" s="1" t="s">
        <v>493</v>
      </c>
      <c r="E21311" t="s">
        <v>598</v>
      </c>
      <c r="F21311" s="1">
        <v>2</v>
      </c>
      <c r="G21311" s="1" t="s">
        <v>32</v>
      </c>
      <c r="H21311" s="4" t="str">
        <f>HYPERLINK("https://portal.gdc.cancer.gov/cases/4adc20d7-5af1-4126-9073-c7d7ae465d92","TCGA-PG-A7D5-01A")</f>
        <v>TCGA-PG-A7D5-01A</v>
      </c>
      <c r="I21311" t="s">
        <v>444</v>
      </c>
      <c r="J21311" t="s">
        <v>599</v>
      </c>
      <c r="K21311" t="s">
        <v>33</v>
      </c>
      <c r="L21311" t="s">
        <v>600</v>
      </c>
      <c r="N21311" t="s">
        <v>29</v>
      </c>
    </row>
    <row r="21312" spans="1:14">
      <c r="A21312" s="4" t="str">
        <f t="shared" si="1420"/>
        <v>EXP00451</v>
      </c>
      <c r="B21312" s="3" t="s">
        <v>66</v>
      </c>
      <c r="C21312" s="4" t="str">
        <f t="shared" si="1421"/>
        <v>TCGA-UCEC</v>
      </c>
      <c r="D21312" s="1" t="s">
        <v>493</v>
      </c>
      <c r="E21312" t="s">
        <v>598</v>
      </c>
      <c r="F21312" s="1">
        <v>2</v>
      </c>
      <c r="G21312" s="1" t="s">
        <v>32</v>
      </c>
      <c r="H21312" s="4" t="str">
        <f>HYPERLINK("https://portal.gdc.cancer.gov/cases/ff6b5fc8-0572-4b58-b3a5-bcda41badbc8","TCGA-PG-A914-01A")</f>
        <v>TCGA-PG-A914-01A</v>
      </c>
      <c r="I21312" t="s">
        <v>444</v>
      </c>
      <c r="J21312" t="s">
        <v>599</v>
      </c>
      <c r="K21312" t="s">
        <v>33</v>
      </c>
      <c r="L21312" t="s">
        <v>600</v>
      </c>
      <c r="N21312" t="s">
        <v>29</v>
      </c>
    </row>
    <row r="21313" spans="1:14">
      <c r="A21313" s="4" t="str">
        <f t="shared" si="1420"/>
        <v>EXP00451</v>
      </c>
      <c r="B21313" s="3" t="s">
        <v>66</v>
      </c>
      <c r="C21313" s="4" t="str">
        <f t="shared" si="1421"/>
        <v>TCGA-UCEC</v>
      </c>
      <c r="D21313" s="1" t="s">
        <v>493</v>
      </c>
      <c r="E21313" t="s">
        <v>598</v>
      </c>
      <c r="F21313" s="1">
        <v>2</v>
      </c>
      <c r="G21313" s="1" t="s">
        <v>32</v>
      </c>
      <c r="H21313" s="4" t="str">
        <f>HYPERLINK("https://portal.gdc.cancer.gov/cases/ea95897e-3fe0-4c79-b170-88b0f229794c","TCGA-PG-A915-01A")</f>
        <v>TCGA-PG-A915-01A</v>
      </c>
      <c r="I21313" t="s">
        <v>444</v>
      </c>
      <c r="J21313" t="s">
        <v>599</v>
      </c>
      <c r="K21313" t="s">
        <v>33</v>
      </c>
      <c r="L21313" t="s">
        <v>600</v>
      </c>
      <c r="N21313" t="s">
        <v>29</v>
      </c>
    </row>
    <row r="21314" spans="1:14">
      <c r="A21314" s="4" t="str">
        <f t="shared" si="1420"/>
        <v>EXP00451</v>
      </c>
      <c r="B21314" s="3" t="s">
        <v>66</v>
      </c>
      <c r="C21314" s="4" t="str">
        <f t="shared" si="1421"/>
        <v>TCGA-UCEC</v>
      </c>
      <c r="D21314" s="1" t="s">
        <v>493</v>
      </c>
      <c r="E21314" t="s">
        <v>598</v>
      </c>
      <c r="F21314" s="1">
        <v>2</v>
      </c>
      <c r="G21314" s="1" t="s">
        <v>32</v>
      </c>
      <c r="H21314" s="4" t="str">
        <f>HYPERLINK("https://portal.gdc.cancer.gov/cases/5edaed6d-9914-4df2-a843-d6009c36cbcc","TCGA-PG-A916-01A")</f>
        <v>TCGA-PG-A916-01A</v>
      </c>
      <c r="I21314" t="s">
        <v>444</v>
      </c>
      <c r="J21314" t="s">
        <v>599</v>
      </c>
      <c r="K21314" t="s">
        <v>33</v>
      </c>
      <c r="L21314" t="s">
        <v>600</v>
      </c>
      <c r="N21314" t="s">
        <v>29</v>
      </c>
    </row>
    <row r="21315" spans="1:14">
      <c r="A21315" s="4" t="str">
        <f t="shared" si="1420"/>
        <v>EXP00451</v>
      </c>
      <c r="B21315" s="3" t="s">
        <v>66</v>
      </c>
      <c r="C21315" s="4" t="str">
        <f t="shared" si="1421"/>
        <v>TCGA-UCEC</v>
      </c>
      <c r="D21315" s="1" t="s">
        <v>493</v>
      </c>
      <c r="E21315" t="s">
        <v>598</v>
      </c>
      <c r="F21315" s="1">
        <v>2</v>
      </c>
      <c r="G21315" s="1" t="s">
        <v>32</v>
      </c>
      <c r="H21315" s="4" t="str">
        <f>HYPERLINK("https://portal.gdc.cancer.gov/cases/b1b9173c-b370-4fe5-a263-c807e8a9709c","TCGA-PG-A917-01A")</f>
        <v>TCGA-PG-A917-01A</v>
      </c>
      <c r="I21315" t="s">
        <v>444</v>
      </c>
      <c r="J21315" t="s">
        <v>599</v>
      </c>
      <c r="K21315" t="s">
        <v>33</v>
      </c>
      <c r="L21315" t="s">
        <v>600</v>
      </c>
      <c r="N21315" t="s">
        <v>29</v>
      </c>
    </row>
    <row r="21316" spans="1:14">
      <c r="A21316" s="4" t="str">
        <f t="shared" si="1420"/>
        <v>EXP00451</v>
      </c>
      <c r="B21316" s="3" t="s">
        <v>66</v>
      </c>
      <c r="C21316" s="4" t="str">
        <f t="shared" si="1421"/>
        <v>TCGA-UCEC</v>
      </c>
      <c r="D21316" s="1" t="s">
        <v>493</v>
      </c>
      <c r="E21316" t="s">
        <v>598</v>
      </c>
      <c r="F21316" s="1">
        <v>2</v>
      </c>
      <c r="G21316" s="1" t="s">
        <v>32</v>
      </c>
      <c r="H21316" s="4" t="str">
        <f>HYPERLINK("https://portal.gdc.cancer.gov/cases/df15901c-2508-42c9-bf06-026efd89e51f","TCGA-QF-A5YS-01A")</f>
        <v>TCGA-QF-A5YS-01A</v>
      </c>
      <c r="I21316" t="s">
        <v>444</v>
      </c>
      <c r="J21316" t="s">
        <v>599</v>
      </c>
      <c r="K21316" t="s">
        <v>33</v>
      </c>
      <c r="L21316" t="s">
        <v>600</v>
      </c>
      <c r="N21316" t="s">
        <v>29</v>
      </c>
    </row>
    <row r="21317" spans="1:14">
      <c r="A21317" s="4" t="str">
        <f t="shared" si="1420"/>
        <v>EXP00451</v>
      </c>
      <c r="B21317" s="3" t="s">
        <v>66</v>
      </c>
      <c r="C21317" s="4" t="str">
        <f t="shared" si="1421"/>
        <v>TCGA-UCEC</v>
      </c>
      <c r="D21317" s="1" t="s">
        <v>493</v>
      </c>
      <c r="E21317" t="s">
        <v>598</v>
      </c>
      <c r="F21317" s="1">
        <v>2</v>
      </c>
      <c r="G21317" s="1" t="s">
        <v>32</v>
      </c>
      <c r="H21317" s="4" t="str">
        <f>HYPERLINK("https://portal.gdc.cancer.gov/cases/e4bccea0-0104-40c4-9e3c-2ad7262d918e","TCGA-QF-A5YT-01A")</f>
        <v>TCGA-QF-A5YT-01A</v>
      </c>
      <c r="I21317" t="s">
        <v>444</v>
      </c>
      <c r="J21317" t="s">
        <v>599</v>
      </c>
      <c r="K21317" t="s">
        <v>33</v>
      </c>
      <c r="L21317" t="s">
        <v>600</v>
      </c>
      <c r="N21317" t="s">
        <v>29</v>
      </c>
    </row>
    <row r="21318" spans="1:14">
      <c r="A21318" s="4" t="str">
        <f t="shared" si="1420"/>
        <v>EXP00451</v>
      </c>
      <c r="B21318" s="3" t="s">
        <v>66</v>
      </c>
      <c r="C21318" s="4" t="str">
        <f t="shared" si="1421"/>
        <v>TCGA-UCEC</v>
      </c>
      <c r="D21318" s="1" t="s">
        <v>493</v>
      </c>
      <c r="E21318" t="s">
        <v>598</v>
      </c>
      <c r="F21318" s="1">
        <v>2</v>
      </c>
      <c r="G21318" s="1" t="s">
        <v>32</v>
      </c>
      <c r="H21318" s="4" t="str">
        <f>HYPERLINK("https://portal.gdc.cancer.gov/cases/03381d49-e25f-4376-8e36-f47063a7d3fb","TCGA-QS-A5YQ-01A")</f>
        <v>TCGA-QS-A5YQ-01A</v>
      </c>
      <c r="I21318" t="s">
        <v>444</v>
      </c>
      <c r="J21318" t="s">
        <v>599</v>
      </c>
      <c r="K21318" t="s">
        <v>33</v>
      </c>
      <c r="L21318" t="s">
        <v>600</v>
      </c>
      <c r="N21318" t="s">
        <v>29</v>
      </c>
    </row>
    <row r="21319" spans="1:14">
      <c r="A21319" s="4" t="str">
        <f t="shared" si="1420"/>
        <v>EXP00451</v>
      </c>
      <c r="B21319" s="3" t="s">
        <v>66</v>
      </c>
      <c r="C21319" s="4" t="str">
        <f t="shared" si="1421"/>
        <v>TCGA-UCEC</v>
      </c>
      <c r="D21319" s="1" t="s">
        <v>493</v>
      </c>
      <c r="E21319" t="s">
        <v>598</v>
      </c>
      <c r="F21319" s="1">
        <v>2</v>
      </c>
      <c r="G21319" s="1" t="s">
        <v>32</v>
      </c>
      <c r="H21319" s="4" t="str">
        <f>HYPERLINK("https://portal.gdc.cancer.gov/cases/6696cf88-3c43-482c-aabb-f1ea5cf565aa","TCGA-QS-A5YR-01A")</f>
        <v>TCGA-QS-A5YR-01A</v>
      </c>
      <c r="I21319" t="s">
        <v>444</v>
      </c>
      <c r="J21319" t="s">
        <v>599</v>
      </c>
      <c r="K21319" t="s">
        <v>33</v>
      </c>
      <c r="L21319" t="s">
        <v>600</v>
      </c>
      <c r="N21319" t="s">
        <v>29</v>
      </c>
    </row>
    <row r="21320" spans="1:14">
      <c r="A21320" s="4" t="str">
        <f t="shared" si="1420"/>
        <v>EXP00451</v>
      </c>
      <c r="B21320" s="3" t="s">
        <v>66</v>
      </c>
      <c r="C21320" s="4" t="str">
        <f t="shared" si="1421"/>
        <v>TCGA-UCEC</v>
      </c>
      <c r="D21320" s="1" t="s">
        <v>493</v>
      </c>
      <c r="E21320" t="s">
        <v>598</v>
      </c>
      <c r="F21320" s="1">
        <v>2</v>
      </c>
      <c r="G21320" s="1" t="s">
        <v>32</v>
      </c>
      <c r="H21320" s="4" t="str">
        <f>HYPERLINK("https://portal.gdc.cancer.gov/cases/8e8f19bd-dbaa-4738-bad2-207f634cd63d","TCGA-QS-A744-01A")</f>
        <v>TCGA-QS-A744-01A</v>
      </c>
      <c r="I21320" t="s">
        <v>444</v>
      </c>
      <c r="J21320" t="s">
        <v>599</v>
      </c>
      <c r="K21320" t="s">
        <v>33</v>
      </c>
      <c r="L21320" t="s">
        <v>600</v>
      </c>
      <c r="N21320" t="s">
        <v>29</v>
      </c>
    </row>
    <row r="21321" spans="1:14">
      <c r="A21321" s="4" t="str">
        <f t="shared" si="1420"/>
        <v>EXP00451</v>
      </c>
      <c r="B21321" s="3" t="s">
        <v>66</v>
      </c>
      <c r="C21321" s="4" t="str">
        <f t="shared" si="1421"/>
        <v>TCGA-UCEC</v>
      </c>
      <c r="D21321" s="1" t="s">
        <v>493</v>
      </c>
      <c r="E21321" t="s">
        <v>598</v>
      </c>
      <c r="F21321" s="1">
        <v>2</v>
      </c>
      <c r="G21321" s="1" t="s">
        <v>32</v>
      </c>
      <c r="H21321" s="4" t="str">
        <f>HYPERLINK("https://portal.gdc.cancer.gov/cases/54ac877a-52ff-450c-9df9-b7cd3fc8e2e2","TCGA-QS-A8F1-01A")</f>
        <v>TCGA-QS-A8F1-01A</v>
      </c>
      <c r="I21321" t="s">
        <v>444</v>
      </c>
      <c r="J21321" t="s">
        <v>599</v>
      </c>
      <c r="K21321" t="s">
        <v>33</v>
      </c>
      <c r="L21321" t="s">
        <v>600</v>
      </c>
      <c r="N21321" t="s">
        <v>29</v>
      </c>
    </row>
    <row r="21322" spans="1:14">
      <c r="A21322" s="4" t="str">
        <f t="shared" si="1420"/>
        <v>EXP00451</v>
      </c>
      <c r="B21322" s="3" t="s">
        <v>66</v>
      </c>
      <c r="C21322" s="4" t="str">
        <f t="shared" si="1421"/>
        <v>TCGA-UCEC</v>
      </c>
      <c r="D21322" s="1" t="s">
        <v>493</v>
      </c>
      <c r="E21322" t="s">
        <v>598</v>
      </c>
      <c r="F21322" s="1">
        <v>2</v>
      </c>
      <c r="G21322" s="1" t="s">
        <v>32</v>
      </c>
      <c r="H21322" s="4" t="str">
        <f>HYPERLINK("https://portal.gdc.cancer.gov/cases/3c2a6e30-a507-49f6-8b1f-36eb3aa41e60","TCGA-SJ-A6ZI-01A")</f>
        <v>TCGA-SJ-A6ZI-01A</v>
      </c>
      <c r="I21322" t="s">
        <v>444</v>
      </c>
      <c r="J21322" t="s">
        <v>599</v>
      </c>
      <c r="K21322" t="s">
        <v>33</v>
      </c>
      <c r="L21322" t="s">
        <v>600</v>
      </c>
      <c r="N21322" t="s">
        <v>29</v>
      </c>
    </row>
    <row r="21323" spans="1:14">
      <c r="A21323" s="4" t="str">
        <f t="shared" si="1420"/>
        <v>EXP00451</v>
      </c>
      <c r="B21323" s="3" t="s">
        <v>66</v>
      </c>
      <c r="C21323" s="4" t="str">
        <f t="shared" si="1421"/>
        <v>TCGA-UCEC</v>
      </c>
      <c r="D21323" s="1" t="s">
        <v>493</v>
      </c>
      <c r="E21323" t="s">
        <v>598</v>
      </c>
      <c r="F21323" s="1">
        <v>2</v>
      </c>
      <c r="G21323" s="1" t="s">
        <v>32</v>
      </c>
      <c r="H21323" s="4" t="str">
        <f>HYPERLINK("https://portal.gdc.cancer.gov/cases/fbfed398-2a44-44a9-83cf-657c29cb7d28","TCGA-SJ-A6ZJ-01A")</f>
        <v>TCGA-SJ-A6ZJ-01A</v>
      </c>
      <c r="I21323" t="s">
        <v>444</v>
      </c>
      <c r="J21323" t="s">
        <v>599</v>
      </c>
      <c r="K21323" t="s">
        <v>33</v>
      </c>
      <c r="L21323" t="s">
        <v>600</v>
      </c>
      <c r="N21323" t="s">
        <v>29</v>
      </c>
    </row>
    <row r="21324" spans="1:14">
      <c r="A21324" s="4" t="str">
        <f t="shared" si="1420"/>
        <v>EXP00451</v>
      </c>
      <c r="B21324" s="3" t="s">
        <v>66</v>
      </c>
      <c r="C21324" s="4" t="str">
        <f t="shared" si="1421"/>
        <v>TCGA-UCEC</v>
      </c>
      <c r="D21324" s="1" t="s">
        <v>493</v>
      </c>
      <c r="E21324" t="s">
        <v>598</v>
      </c>
      <c r="F21324" s="1">
        <v>2</v>
      </c>
      <c r="G21324" s="1" t="s">
        <v>32</v>
      </c>
      <c r="H21324" s="4" t="str">
        <f>HYPERLINK("https://portal.gdc.cancer.gov/cases/c1f1dc90-2c67-4862-9e5f-078b861ffc6e","TCGA-SL-A6J9-01A")</f>
        <v>TCGA-SL-A6J9-01A</v>
      </c>
      <c r="I21324" t="s">
        <v>444</v>
      </c>
      <c r="J21324" t="s">
        <v>599</v>
      </c>
      <c r="K21324" t="s">
        <v>33</v>
      </c>
      <c r="L21324" t="s">
        <v>600</v>
      </c>
      <c r="N21324" t="s">
        <v>29</v>
      </c>
    </row>
    <row r="21325" spans="1:14">
      <c r="A21325" s="4" t="str">
        <f t="shared" si="1420"/>
        <v>EXP00451</v>
      </c>
      <c r="B21325" s="3" t="s">
        <v>66</v>
      </c>
      <c r="C21325" s="4" t="str">
        <f t="shared" si="1421"/>
        <v>TCGA-UCEC</v>
      </c>
      <c r="D21325" s="1" t="s">
        <v>493</v>
      </c>
      <c r="E21325" t="s">
        <v>598</v>
      </c>
      <c r="F21325" s="1">
        <v>2</v>
      </c>
      <c r="G21325" s="1" t="s">
        <v>32</v>
      </c>
      <c r="H21325" s="4" t="str">
        <f>HYPERLINK("https://portal.gdc.cancer.gov/cases/2a19051e-3ad1-444a-9d02-f895c26ac02c","TCGA-SL-A6JA-01A")</f>
        <v>TCGA-SL-A6JA-01A</v>
      </c>
      <c r="I21325" t="s">
        <v>444</v>
      </c>
      <c r="J21325" t="s">
        <v>599</v>
      </c>
      <c r="K21325" t="s">
        <v>33</v>
      </c>
      <c r="L21325" t="s">
        <v>600</v>
      </c>
      <c r="N21325" t="s">
        <v>29</v>
      </c>
    </row>
    <row r="21326" spans="1:14">
      <c r="A21326" s="4" t="str">
        <f t="shared" ref="A21326:A21389" si="1422">HYPERLINK("http://hcmdb.i-sanger.com/experiment/details/experiment_id/EXP00452","EXP00452")</f>
        <v>EXP00452</v>
      </c>
      <c r="B21326" s="3" t="s">
        <v>66</v>
      </c>
      <c r="C21326" s="4" t="str">
        <f t="shared" si="1421"/>
        <v>TCGA-UCEC</v>
      </c>
      <c r="D21326" s="1" t="s">
        <v>493</v>
      </c>
      <c r="E21326" t="s">
        <v>601</v>
      </c>
      <c r="F21326" s="1">
        <v>1</v>
      </c>
      <c r="G21326" s="1" t="s">
        <v>36</v>
      </c>
      <c r="H21326" s="4" t="str">
        <f>HYPERLINK("https://portal.gdc.cancer.gov/cases/9002fc6c-26de-4b8f-8985-a4814cd3daf7","TCGA-AJ-A2QL-11A")</f>
        <v>TCGA-AJ-A2QL-11A</v>
      </c>
      <c r="I21326" t="s">
        <v>444</v>
      </c>
      <c r="J21326" t="s">
        <v>599</v>
      </c>
      <c r="K21326" t="s">
        <v>33</v>
      </c>
      <c r="L21326" t="s">
        <v>600</v>
      </c>
      <c r="N21326" t="s">
        <v>37</v>
      </c>
    </row>
    <row r="21327" spans="1:14">
      <c r="A21327" s="4" t="str">
        <f t="shared" si="1422"/>
        <v>EXP00452</v>
      </c>
      <c r="B21327" s="3" t="s">
        <v>66</v>
      </c>
      <c r="C21327" s="4" t="str">
        <f t="shared" si="1421"/>
        <v>TCGA-UCEC</v>
      </c>
      <c r="D21327" s="1" t="s">
        <v>493</v>
      </c>
      <c r="E21327" t="s">
        <v>601</v>
      </c>
      <c r="F21327" s="1">
        <v>1</v>
      </c>
      <c r="G21327" s="1" t="s">
        <v>36</v>
      </c>
      <c r="H21327" s="4" t="str">
        <f>HYPERLINK("https://portal.gdc.cancer.gov/cases/c8fb94dd-c535-48f4-9419-aac2bf47bbb4","TCGA-AJ-A3NC-11A")</f>
        <v>TCGA-AJ-A3NC-11A</v>
      </c>
      <c r="I21327" t="s">
        <v>444</v>
      </c>
      <c r="J21327" t="s">
        <v>599</v>
      </c>
      <c r="K21327" t="s">
        <v>33</v>
      </c>
      <c r="L21327" t="s">
        <v>600</v>
      </c>
      <c r="N21327" t="s">
        <v>37</v>
      </c>
    </row>
    <row r="21328" spans="1:14">
      <c r="A21328" s="4" t="str">
        <f t="shared" si="1422"/>
        <v>EXP00452</v>
      </c>
      <c r="B21328" s="3" t="s">
        <v>66</v>
      </c>
      <c r="C21328" s="4" t="str">
        <f t="shared" si="1421"/>
        <v>TCGA-UCEC</v>
      </c>
      <c r="D21328" s="1" t="s">
        <v>493</v>
      </c>
      <c r="E21328" t="s">
        <v>601</v>
      </c>
      <c r="F21328" s="1">
        <v>1</v>
      </c>
      <c r="G21328" s="1" t="s">
        <v>36</v>
      </c>
      <c r="H21328" s="4" t="str">
        <f>HYPERLINK("https://portal.gdc.cancer.gov/cases/1dcf33e9-4c9b-4b2b-914e-15e6be5dcd07","TCGA-AJ-A3NE-11A")</f>
        <v>TCGA-AJ-A3NE-11A</v>
      </c>
      <c r="I21328" t="s">
        <v>444</v>
      </c>
      <c r="J21328" t="s">
        <v>599</v>
      </c>
      <c r="K21328" t="s">
        <v>33</v>
      </c>
      <c r="L21328" t="s">
        <v>600</v>
      </c>
      <c r="N21328" t="s">
        <v>37</v>
      </c>
    </row>
    <row r="21329" spans="1:14">
      <c r="A21329" s="4" t="str">
        <f t="shared" si="1422"/>
        <v>EXP00452</v>
      </c>
      <c r="B21329" s="3" t="s">
        <v>66</v>
      </c>
      <c r="C21329" s="4" t="str">
        <f t="shared" si="1421"/>
        <v>TCGA-UCEC</v>
      </c>
      <c r="D21329" s="1" t="s">
        <v>493</v>
      </c>
      <c r="E21329" t="s">
        <v>601</v>
      </c>
      <c r="F21329" s="1">
        <v>1</v>
      </c>
      <c r="G21329" s="1" t="s">
        <v>36</v>
      </c>
      <c r="H21329" s="4" t="str">
        <f>HYPERLINK("https://portal.gdc.cancer.gov/cases/7186180a-688a-4fcc-9a67-166eff032e4b","TCGA-AJ-A3NH-11A")</f>
        <v>TCGA-AJ-A3NH-11A</v>
      </c>
      <c r="I21329" t="s">
        <v>444</v>
      </c>
      <c r="J21329" t="s">
        <v>599</v>
      </c>
      <c r="K21329" t="s">
        <v>33</v>
      </c>
      <c r="L21329" t="s">
        <v>600</v>
      </c>
      <c r="N21329" t="s">
        <v>37</v>
      </c>
    </row>
    <row r="21330" spans="1:14">
      <c r="A21330" s="4" t="str">
        <f t="shared" si="1422"/>
        <v>EXP00452</v>
      </c>
      <c r="B21330" s="3" t="s">
        <v>66</v>
      </c>
      <c r="C21330" s="4" t="str">
        <f t="shared" si="1421"/>
        <v>TCGA-UCEC</v>
      </c>
      <c r="D21330" s="1" t="s">
        <v>493</v>
      </c>
      <c r="E21330" t="s">
        <v>601</v>
      </c>
      <c r="F21330" s="1">
        <v>1</v>
      </c>
      <c r="G21330" s="1" t="s">
        <v>36</v>
      </c>
      <c r="H21330" s="4" t="str">
        <f>HYPERLINK("https://portal.gdc.cancer.gov/cases/cbe0bd4a-02b7-43e7-b08e-2b0f13560eaf","TCGA-AX-A05Y-11A")</f>
        <v>TCGA-AX-A05Y-11A</v>
      </c>
      <c r="I21330" t="s">
        <v>444</v>
      </c>
      <c r="J21330" t="s">
        <v>599</v>
      </c>
      <c r="K21330" t="s">
        <v>33</v>
      </c>
      <c r="L21330" t="s">
        <v>600</v>
      </c>
      <c r="N21330" t="s">
        <v>37</v>
      </c>
    </row>
    <row r="21331" spans="1:14">
      <c r="A21331" s="4" t="str">
        <f t="shared" si="1422"/>
        <v>EXP00452</v>
      </c>
      <c r="B21331" s="3" t="s">
        <v>66</v>
      </c>
      <c r="C21331" s="4" t="str">
        <f t="shared" si="1421"/>
        <v>TCGA-UCEC</v>
      </c>
      <c r="D21331" s="1" t="s">
        <v>493</v>
      </c>
      <c r="E21331" t="s">
        <v>601</v>
      </c>
      <c r="F21331" s="1">
        <v>1</v>
      </c>
      <c r="G21331" s="1" t="s">
        <v>36</v>
      </c>
      <c r="H21331" s="4" t="str">
        <f>HYPERLINK("https://portal.gdc.cancer.gov/cases/11285dc5-8742-477a-8692-af1b6e2c1434","TCGA-AX-A0IZ-11A")</f>
        <v>TCGA-AX-A0IZ-11A</v>
      </c>
      <c r="I21331" t="s">
        <v>444</v>
      </c>
      <c r="J21331" t="s">
        <v>599</v>
      </c>
      <c r="K21331" t="s">
        <v>33</v>
      </c>
      <c r="L21331" t="s">
        <v>600</v>
      </c>
      <c r="N21331" t="s">
        <v>37</v>
      </c>
    </row>
    <row r="21332" spans="1:14">
      <c r="A21332" s="4" t="str">
        <f t="shared" si="1422"/>
        <v>EXP00452</v>
      </c>
      <c r="B21332" s="3" t="s">
        <v>66</v>
      </c>
      <c r="C21332" s="4" t="str">
        <f t="shared" si="1421"/>
        <v>TCGA-UCEC</v>
      </c>
      <c r="D21332" s="1" t="s">
        <v>493</v>
      </c>
      <c r="E21332" t="s">
        <v>601</v>
      </c>
      <c r="F21332" s="1">
        <v>1</v>
      </c>
      <c r="G21332" s="1" t="s">
        <v>36</v>
      </c>
      <c r="H21332" s="4" t="str">
        <f>HYPERLINK("https://portal.gdc.cancer.gov/cases/1c7b41fc-daa7-4a6e-b553-aff73e8ebac6","TCGA-AX-A0J0-11A")</f>
        <v>TCGA-AX-A0J0-11A</v>
      </c>
      <c r="I21332" t="s">
        <v>444</v>
      </c>
      <c r="J21332" t="s">
        <v>599</v>
      </c>
      <c r="K21332" t="s">
        <v>33</v>
      </c>
      <c r="L21332" t="s">
        <v>600</v>
      </c>
      <c r="N21332" t="s">
        <v>37</v>
      </c>
    </row>
    <row r="21333" spans="1:14">
      <c r="A21333" s="4" t="str">
        <f t="shared" si="1422"/>
        <v>EXP00452</v>
      </c>
      <c r="B21333" s="3" t="s">
        <v>66</v>
      </c>
      <c r="C21333" s="4" t="str">
        <f t="shared" si="1421"/>
        <v>TCGA-UCEC</v>
      </c>
      <c r="D21333" s="1" t="s">
        <v>493</v>
      </c>
      <c r="E21333" t="s">
        <v>601</v>
      </c>
      <c r="F21333" s="1">
        <v>1</v>
      </c>
      <c r="G21333" s="1" t="s">
        <v>36</v>
      </c>
      <c r="H21333" s="4" t="str">
        <f>HYPERLINK("https://portal.gdc.cancer.gov/cases/20dcf91a-0529-4e96-99a2-362a41fbe4a4","TCGA-AX-A1CF-11A")</f>
        <v>TCGA-AX-A1CF-11A</v>
      </c>
      <c r="I21333" t="s">
        <v>444</v>
      </c>
      <c r="J21333" t="s">
        <v>599</v>
      </c>
      <c r="K21333" t="s">
        <v>33</v>
      </c>
      <c r="L21333" t="s">
        <v>600</v>
      </c>
      <c r="N21333" t="s">
        <v>37</v>
      </c>
    </row>
    <row r="21334" spans="1:14">
      <c r="A21334" s="4" t="str">
        <f t="shared" si="1422"/>
        <v>EXP00452</v>
      </c>
      <c r="B21334" s="3" t="s">
        <v>66</v>
      </c>
      <c r="C21334" s="4" t="str">
        <f t="shared" si="1421"/>
        <v>TCGA-UCEC</v>
      </c>
      <c r="D21334" s="1" t="s">
        <v>493</v>
      </c>
      <c r="E21334" t="s">
        <v>601</v>
      </c>
      <c r="F21334" s="1">
        <v>1</v>
      </c>
      <c r="G21334" s="1" t="s">
        <v>36</v>
      </c>
      <c r="H21334" s="4" t="str">
        <f>HYPERLINK("https://portal.gdc.cancer.gov/cases/fba80122-d8b2-4d8d-a032-9767e8160f9f","TCGA-AX-A1CI-11A")</f>
        <v>TCGA-AX-A1CI-11A</v>
      </c>
      <c r="I21334" t="s">
        <v>444</v>
      </c>
      <c r="J21334" t="s">
        <v>599</v>
      </c>
      <c r="K21334" t="s">
        <v>33</v>
      </c>
      <c r="L21334" t="s">
        <v>600</v>
      </c>
      <c r="N21334" t="s">
        <v>37</v>
      </c>
    </row>
    <row r="21335" spans="1:14">
      <c r="A21335" s="4" t="str">
        <f t="shared" si="1422"/>
        <v>EXP00452</v>
      </c>
      <c r="B21335" s="3" t="s">
        <v>66</v>
      </c>
      <c r="C21335" s="4" t="str">
        <f t="shared" si="1421"/>
        <v>TCGA-UCEC</v>
      </c>
      <c r="D21335" s="1" t="s">
        <v>493</v>
      </c>
      <c r="E21335" t="s">
        <v>601</v>
      </c>
      <c r="F21335" s="1">
        <v>1</v>
      </c>
      <c r="G21335" s="1" t="s">
        <v>36</v>
      </c>
      <c r="H21335" s="4" t="str">
        <f>HYPERLINK("https://portal.gdc.cancer.gov/cases/45effb44-0b5f-4081-a202-d85969c72f2b","TCGA-AX-A1CK-11A")</f>
        <v>TCGA-AX-A1CK-11A</v>
      </c>
      <c r="I21335" t="s">
        <v>444</v>
      </c>
      <c r="J21335" t="s">
        <v>599</v>
      </c>
      <c r="K21335" t="s">
        <v>33</v>
      </c>
      <c r="L21335" t="s">
        <v>600</v>
      </c>
      <c r="N21335" t="s">
        <v>37</v>
      </c>
    </row>
    <row r="21336" spans="1:14">
      <c r="A21336" s="4" t="str">
        <f t="shared" si="1422"/>
        <v>EXP00452</v>
      </c>
      <c r="B21336" s="3" t="s">
        <v>66</v>
      </c>
      <c r="C21336" s="4" t="str">
        <f t="shared" si="1421"/>
        <v>TCGA-UCEC</v>
      </c>
      <c r="D21336" s="1" t="s">
        <v>493</v>
      </c>
      <c r="E21336" t="s">
        <v>601</v>
      </c>
      <c r="F21336" s="1">
        <v>1</v>
      </c>
      <c r="G21336" s="1" t="s">
        <v>36</v>
      </c>
      <c r="H21336" s="4" t="str">
        <f>HYPERLINK("https://portal.gdc.cancer.gov/cases/da0474b3-48ab-4398-ae4b-f15e27e99b2d","TCGA-AX-A2H8-11A")</f>
        <v>TCGA-AX-A2H8-11A</v>
      </c>
      <c r="I21336" t="s">
        <v>444</v>
      </c>
      <c r="J21336" t="s">
        <v>599</v>
      </c>
      <c r="K21336" t="s">
        <v>33</v>
      </c>
      <c r="L21336" t="s">
        <v>600</v>
      </c>
      <c r="N21336" t="s">
        <v>37</v>
      </c>
    </row>
    <row r="21337" spans="1:14">
      <c r="A21337" s="4" t="str">
        <f t="shared" si="1422"/>
        <v>EXP00452</v>
      </c>
      <c r="B21337" s="3" t="s">
        <v>66</v>
      </c>
      <c r="C21337" s="4" t="str">
        <f t="shared" si="1421"/>
        <v>TCGA-UCEC</v>
      </c>
      <c r="D21337" s="1" t="s">
        <v>493</v>
      </c>
      <c r="E21337" t="s">
        <v>601</v>
      </c>
      <c r="F21337" s="1">
        <v>1</v>
      </c>
      <c r="G21337" s="1" t="s">
        <v>36</v>
      </c>
      <c r="H21337" s="4" t="str">
        <f>HYPERLINK("https://portal.gdc.cancer.gov/cases/9d84dff8-6c19-4881-93c6-56c98a3049b5","TCGA-AX-A2HA-11A")</f>
        <v>TCGA-AX-A2HA-11A</v>
      </c>
      <c r="I21337" t="s">
        <v>444</v>
      </c>
      <c r="J21337" t="s">
        <v>599</v>
      </c>
      <c r="K21337" t="s">
        <v>33</v>
      </c>
      <c r="L21337" t="s">
        <v>600</v>
      </c>
      <c r="N21337" t="s">
        <v>37</v>
      </c>
    </row>
    <row r="21338" spans="1:14">
      <c r="A21338" s="4" t="str">
        <f t="shared" si="1422"/>
        <v>EXP00452</v>
      </c>
      <c r="B21338" s="3" t="s">
        <v>66</v>
      </c>
      <c r="C21338" s="4" t="str">
        <f t="shared" si="1421"/>
        <v>TCGA-UCEC</v>
      </c>
      <c r="D21338" s="1" t="s">
        <v>493</v>
      </c>
      <c r="E21338" t="s">
        <v>601</v>
      </c>
      <c r="F21338" s="1">
        <v>1</v>
      </c>
      <c r="G21338" s="1" t="s">
        <v>36</v>
      </c>
      <c r="H21338" s="4" t="str">
        <f>HYPERLINK("https://portal.gdc.cancer.gov/cases/53e8e07e-18f9-4c9b-9783-a5b67ceddcf7","TCGA-AX-A2HC-11A")</f>
        <v>TCGA-AX-A2HC-11A</v>
      </c>
      <c r="I21338" t="s">
        <v>444</v>
      </c>
      <c r="J21338" t="s">
        <v>599</v>
      </c>
      <c r="K21338" t="s">
        <v>33</v>
      </c>
      <c r="L21338" t="s">
        <v>600</v>
      </c>
      <c r="N21338" t="s">
        <v>37</v>
      </c>
    </row>
    <row r="21339" spans="1:14">
      <c r="A21339" s="4" t="str">
        <f t="shared" si="1422"/>
        <v>EXP00452</v>
      </c>
      <c r="B21339" s="3" t="s">
        <v>66</v>
      </c>
      <c r="C21339" s="4" t="str">
        <f t="shared" si="1421"/>
        <v>TCGA-UCEC</v>
      </c>
      <c r="D21339" s="1" t="s">
        <v>493</v>
      </c>
      <c r="E21339" t="s">
        <v>601</v>
      </c>
      <c r="F21339" s="1">
        <v>1</v>
      </c>
      <c r="G21339" s="1" t="s">
        <v>36</v>
      </c>
      <c r="H21339" s="4" t="str">
        <f>HYPERLINK("https://portal.gdc.cancer.gov/cases/a8def1a0-a136-47f4-9ad9-60ebcf9b726b","TCGA-AX-A2HD-11A")</f>
        <v>TCGA-AX-A2HD-11A</v>
      </c>
      <c r="I21339" t="s">
        <v>444</v>
      </c>
      <c r="J21339" t="s">
        <v>599</v>
      </c>
      <c r="K21339" t="s">
        <v>33</v>
      </c>
      <c r="L21339" t="s">
        <v>600</v>
      </c>
      <c r="N21339" t="s">
        <v>37</v>
      </c>
    </row>
    <row r="21340" spans="1:14">
      <c r="A21340" s="4" t="str">
        <f t="shared" si="1422"/>
        <v>EXP00452</v>
      </c>
      <c r="B21340" s="3" t="s">
        <v>66</v>
      </c>
      <c r="C21340" s="4" t="str">
        <f t="shared" si="1421"/>
        <v>TCGA-UCEC</v>
      </c>
      <c r="D21340" s="1" t="s">
        <v>493</v>
      </c>
      <c r="E21340" t="s">
        <v>601</v>
      </c>
      <c r="F21340" s="1">
        <v>1</v>
      </c>
      <c r="G21340" s="1" t="s">
        <v>36</v>
      </c>
      <c r="H21340" s="4" t="str">
        <f>HYPERLINK("https://portal.gdc.cancer.gov/cases/49adc60f-211b-4547-84f6-094257767409","TCGA-BG-A2AD-11A")</f>
        <v>TCGA-BG-A2AD-11A</v>
      </c>
      <c r="I21340" t="s">
        <v>444</v>
      </c>
      <c r="J21340" t="s">
        <v>599</v>
      </c>
      <c r="K21340" t="s">
        <v>33</v>
      </c>
      <c r="L21340" t="s">
        <v>600</v>
      </c>
      <c r="N21340" t="s">
        <v>37</v>
      </c>
    </row>
    <row r="21341" spans="1:14">
      <c r="A21341" s="4" t="str">
        <f t="shared" si="1422"/>
        <v>EXP00452</v>
      </c>
      <c r="B21341" s="3" t="s">
        <v>66</v>
      </c>
      <c r="C21341" s="4" t="str">
        <f t="shared" si="1421"/>
        <v>TCGA-UCEC</v>
      </c>
      <c r="D21341" s="1" t="s">
        <v>493</v>
      </c>
      <c r="E21341" t="s">
        <v>601</v>
      </c>
      <c r="F21341" s="1">
        <v>1</v>
      </c>
      <c r="G21341" s="1" t="s">
        <v>36</v>
      </c>
      <c r="H21341" s="4" t="str">
        <f>HYPERLINK("https://portal.gdc.cancer.gov/cases/a31554af-d77a-4862-8aed-4581fb2bd877","TCGA-BG-A3EW-11A")</f>
        <v>TCGA-BG-A3EW-11A</v>
      </c>
      <c r="I21341" t="s">
        <v>444</v>
      </c>
      <c r="J21341" t="s">
        <v>599</v>
      </c>
      <c r="K21341" t="s">
        <v>33</v>
      </c>
      <c r="L21341" t="s">
        <v>600</v>
      </c>
      <c r="N21341" t="s">
        <v>37</v>
      </c>
    </row>
    <row r="21342" spans="1:14">
      <c r="A21342" s="4" t="str">
        <f t="shared" si="1422"/>
        <v>EXP00452</v>
      </c>
      <c r="B21342" s="3" t="s">
        <v>66</v>
      </c>
      <c r="C21342" s="4" t="str">
        <f t="shared" si="1421"/>
        <v>TCGA-UCEC</v>
      </c>
      <c r="D21342" s="1" t="s">
        <v>493</v>
      </c>
      <c r="E21342" t="s">
        <v>601</v>
      </c>
      <c r="F21342" s="1">
        <v>1</v>
      </c>
      <c r="G21342" s="1" t="s">
        <v>36</v>
      </c>
      <c r="H21342" s="4" t="str">
        <f>HYPERLINK("https://portal.gdc.cancer.gov/cases/9f92080f-f6e0-42db-a02b-b3069664f6d0","TCGA-BG-A3PP-11A")</f>
        <v>TCGA-BG-A3PP-11A</v>
      </c>
      <c r="I21342" t="s">
        <v>444</v>
      </c>
      <c r="J21342" t="s">
        <v>599</v>
      </c>
      <c r="K21342" t="s">
        <v>33</v>
      </c>
      <c r="L21342" t="s">
        <v>600</v>
      </c>
      <c r="N21342" t="s">
        <v>37</v>
      </c>
    </row>
    <row r="21343" spans="1:14">
      <c r="A21343" s="4" t="str">
        <f t="shared" si="1422"/>
        <v>EXP00452</v>
      </c>
      <c r="B21343" s="3" t="s">
        <v>66</v>
      </c>
      <c r="C21343" s="4" t="str">
        <f t="shared" si="1421"/>
        <v>TCGA-UCEC</v>
      </c>
      <c r="D21343" s="1" t="s">
        <v>493</v>
      </c>
      <c r="E21343" t="s">
        <v>601</v>
      </c>
      <c r="F21343" s="1">
        <v>1</v>
      </c>
      <c r="G21343" s="1" t="s">
        <v>36</v>
      </c>
      <c r="H21343" s="4" t="str">
        <f>HYPERLINK("https://portal.gdc.cancer.gov/cases/59e9029a-8ddd-4447-b35a-72bc39f82a30","TCGA-BK-A0CB-11A")</f>
        <v>TCGA-BK-A0CB-11A</v>
      </c>
      <c r="I21343" t="s">
        <v>444</v>
      </c>
      <c r="J21343" t="s">
        <v>599</v>
      </c>
      <c r="K21343" t="s">
        <v>33</v>
      </c>
      <c r="L21343" t="s">
        <v>600</v>
      </c>
      <c r="N21343" t="s">
        <v>37</v>
      </c>
    </row>
    <row r="21344" spans="1:14">
      <c r="A21344" s="4" t="str">
        <f t="shared" si="1422"/>
        <v>EXP00452</v>
      </c>
      <c r="B21344" s="3" t="s">
        <v>66</v>
      </c>
      <c r="C21344" s="4" t="str">
        <f t="shared" si="1421"/>
        <v>TCGA-UCEC</v>
      </c>
      <c r="D21344" s="1" t="s">
        <v>493</v>
      </c>
      <c r="E21344" t="s">
        <v>601</v>
      </c>
      <c r="F21344" s="1">
        <v>1</v>
      </c>
      <c r="G21344" s="1" t="s">
        <v>36</v>
      </c>
      <c r="H21344" s="4" t="str">
        <f>HYPERLINK("https://portal.gdc.cancer.gov/cases/1c4d225e-e065-4e26-9413-78f54a7e0cf5","TCGA-BK-A4ZD-11A")</f>
        <v>TCGA-BK-A4ZD-11A</v>
      </c>
      <c r="I21344" t="s">
        <v>444</v>
      </c>
      <c r="J21344" t="s">
        <v>599</v>
      </c>
      <c r="K21344" t="s">
        <v>33</v>
      </c>
      <c r="L21344" t="s">
        <v>600</v>
      </c>
      <c r="N21344" t="s">
        <v>37</v>
      </c>
    </row>
    <row r="21345" spans="1:14">
      <c r="A21345" s="4" t="str">
        <f t="shared" si="1422"/>
        <v>EXP00452</v>
      </c>
      <c r="B21345" s="3" t="s">
        <v>66</v>
      </c>
      <c r="C21345" s="4" t="str">
        <f t="shared" si="1421"/>
        <v>TCGA-UCEC</v>
      </c>
      <c r="D21345" s="1" t="s">
        <v>493</v>
      </c>
      <c r="E21345" t="s">
        <v>601</v>
      </c>
      <c r="F21345" s="1">
        <v>1</v>
      </c>
      <c r="G21345" s="1" t="s">
        <v>36</v>
      </c>
      <c r="H21345" s="4" t="str">
        <f>HYPERLINK("https://portal.gdc.cancer.gov/cases/e9fa66f5-282c-416a-9dcf-46714ea12fcf","TCGA-DI-A2QU-11A")</f>
        <v>TCGA-DI-A2QU-11A</v>
      </c>
      <c r="I21345" t="s">
        <v>444</v>
      </c>
      <c r="J21345" t="s">
        <v>599</v>
      </c>
      <c r="K21345" t="s">
        <v>33</v>
      </c>
      <c r="L21345" t="s">
        <v>600</v>
      </c>
      <c r="N21345" t="s">
        <v>37</v>
      </c>
    </row>
    <row r="21346" spans="1:14">
      <c r="A21346" s="4" t="str">
        <f t="shared" si="1422"/>
        <v>EXP00452</v>
      </c>
      <c r="B21346" s="3" t="s">
        <v>66</v>
      </c>
      <c r="C21346" s="4" t="str">
        <f t="shared" si="1421"/>
        <v>TCGA-UCEC</v>
      </c>
      <c r="D21346" s="1" t="s">
        <v>493</v>
      </c>
      <c r="E21346" t="s">
        <v>601</v>
      </c>
      <c r="F21346" s="1">
        <v>1</v>
      </c>
      <c r="G21346" s="1" t="s">
        <v>36</v>
      </c>
      <c r="H21346" s="4" t="str">
        <f>HYPERLINK("https://portal.gdc.cancer.gov/cases/6524a6d3-a9f0-4a46-ac0b-7beb0cd1b915","TCGA-DI-A2QY-11A")</f>
        <v>TCGA-DI-A2QY-11A</v>
      </c>
      <c r="I21346" t="s">
        <v>444</v>
      </c>
      <c r="J21346" t="s">
        <v>599</v>
      </c>
      <c r="K21346" t="s">
        <v>33</v>
      </c>
      <c r="L21346" t="s">
        <v>600</v>
      </c>
      <c r="N21346" t="s">
        <v>37</v>
      </c>
    </row>
    <row r="21347" spans="1:14">
      <c r="A21347" s="4" t="str">
        <f t="shared" si="1422"/>
        <v>EXP00452</v>
      </c>
      <c r="B21347" s="3" t="s">
        <v>66</v>
      </c>
      <c r="C21347" s="4" t="str">
        <f t="shared" si="1421"/>
        <v>TCGA-UCEC</v>
      </c>
      <c r="D21347" s="1" t="s">
        <v>493</v>
      </c>
      <c r="E21347" t="s">
        <v>601</v>
      </c>
      <c r="F21347" s="1">
        <v>1</v>
      </c>
      <c r="G21347" s="1" t="s">
        <v>36</v>
      </c>
      <c r="H21347" s="4" t="str">
        <f>HYPERLINK("https://portal.gdc.cancer.gov/cases/e3dcde4e-5def-4b89-97b4-047b8288919b","TCGA-E6-A1M0-11A")</f>
        <v>TCGA-E6-A1M0-11A</v>
      </c>
      <c r="I21347" t="s">
        <v>444</v>
      </c>
      <c r="J21347" t="s">
        <v>599</v>
      </c>
      <c r="K21347" t="s">
        <v>33</v>
      </c>
      <c r="L21347" t="s">
        <v>600</v>
      </c>
      <c r="N21347" t="s">
        <v>37</v>
      </c>
    </row>
    <row r="21348" spans="1:14">
      <c r="A21348" s="4" t="str">
        <f t="shared" si="1422"/>
        <v>EXP00452</v>
      </c>
      <c r="B21348" s="3" t="s">
        <v>66</v>
      </c>
      <c r="C21348" s="4" t="str">
        <f t="shared" si="1421"/>
        <v>TCGA-UCEC</v>
      </c>
      <c r="D21348" s="1" t="s">
        <v>493</v>
      </c>
      <c r="E21348" t="s">
        <v>601</v>
      </c>
      <c r="F21348" s="1">
        <v>2</v>
      </c>
      <c r="G21348" s="1" t="s">
        <v>28</v>
      </c>
      <c r="H21348" s="4" t="str">
        <f>HYPERLINK("https://portal.gdc.cancer.gov/cases/9583c10b-b21a-4863-98fa-61e735e64ea5","TCGA-2E-A9G8-01A")</f>
        <v>TCGA-2E-A9G8-01A</v>
      </c>
      <c r="I21348" t="s">
        <v>444</v>
      </c>
      <c r="J21348" t="s">
        <v>599</v>
      </c>
      <c r="K21348" t="s">
        <v>33</v>
      </c>
      <c r="L21348" t="s">
        <v>600</v>
      </c>
      <c r="N21348" t="s">
        <v>29</v>
      </c>
    </row>
    <row r="21349" spans="1:14">
      <c r="A21349" s="4" t="str">
        <f t="shared" si="1422"/>
        <v>EXP00452</v>
      </c>
      <c r="B21349" s="3" t="s">
        <v>66</v>
      </c>
      <c r="C21349" s="4" t="str">
        <f t="shared" si="1421"/>
        <v>TCGA-UCEC</v>
      </c>
      <c r="D21349" s="1" t="s">
        <v>493</v>
      </c>
      <c r="E21349" t="s">
        <v>601</v>
      </c>
      <c r="F21349" s="1">
        <v>2</v>
      </c>
      <c r="G21349" s="1" t="s">
        <v>28</v>
      </c>
      <c r="H21349" s="4" t="str">
        <f>HYPERLINK("https://portal.gdc.cancer.gov/cases/b43de98d-4bb1-41a1-91f2-ce4e7ea4d0ca","TCGA-4E-A92E-01A")</f>
        <v>TCGA-4E-A92E-01A</v>
      </c>
      <c r="I21349" t="s">
        <v>444</v>
      </c>
      <c r="J21349" t="s">
        <v>599</v>
      </c>
      <c r="K21349" t="s">
        <v>33</v>
      </c>
      <c r="L21349" t="s">
        <v>600</v>
      </c>
      <c r="N21349" t="s">
        <v>29</v>
      </c>
    </row>
    <row r="21350" spans="1:14">
      <c r="A21350" s="4" t="str">
        <f t="shared" si="1422"/>
        <v>EXP00452</v>
      </c>
      <c r="B21350" s="3" t="s">
        <v>66</v>
      </c>
      <c r="C21350" s="4" t="str">
        <f t="shared" si="1421"/>
        <v>TCGA-UCEC</v>
      </c>
      <c r="D21350" s="1" t="s">
        <v>493</v>
      </c>
      <c r="E21350" t="s">
        <v>601</v>
      </c>
      <c r="F21350" s="1">
        <v>2</v>
      </c>
      <c r="G21350" s="1" t="s">
        <v>28</v>
      </c>
      <c r="H21350" s="4" t="str">
        <f>HYPERLINK("https://portal.gdc.cancer.gov/cases/16ac4341-cf8f-45e2-b90b-2d12d5f74a59","TCGA-5B-A90C-01A")</f>
        <v>TCGA-5B-A90C-01A</v>
      </c>
      <c r="I21350" t="s">
        <v>444</v>
      </c>
      <c r="J21350" t="s">
        <v>599</v>
      </c>
      <c r="K21350" t="s">
        <v>33</v>
      </c>
      <c r="L21350" t="s">
        <v>600</v>
      </c>
      <c r="N21350" t="s">
        <v>29</v>
      </c>
    </row>
    <row r="21351" spans="1:14">
      <c r="A21351" s="4" t="str">
        <f t="shared" si="1422"/>
        <v>EXP00452</v>
      </c>
      <c r="B21351" s="3" t="s">
        <v>66</v>
      </c>
      <c r="C21351" s="4" t="str">
        <f t="shared" si="1421"/>
        <v>TCGA-UCEC</v>
      </c>
      <c r="D21351" s="1" t="s">
        <v>493</v>
      </c>
      <c r="E21351" t="s">
        <v>601</v>
      </c>
      <c r="F21351" s="1">
        <v>2</v>
      </c>
      <c r="G21351" s="1" t="s">
        <v>28</v>
      </c>
      <c r="H21351" s="4" t="str">
        <f>HYPERLINK("https://portal.gdc.cancer.gov/cases/8751429b-4a11-451e-b978-dc9e9db0eb36","TCGA-5S-A9Q8-01A")</f>
        <v>TCGA-5S-A9Q8-01A</v>
      </c>
      <c r="I21351" t="s">
        <v>444</v>
      </c>
      <c r="J21351" t="s">
        <v>599</v>
      </c>
      <c r="K21351" t="s">
        <v>33</v>
      </c>
      <c r="L21351" t="s">
        <v>600</v>
      </c>
      <c r="N21351" t="s">
        <v>29</v>
      </c>
    </row>
    <row r="21352" spans="1:14">
      <c r="A21352" s="4" t="str">
        <f t="shared" si="1422"/>
        <v>EXP00452</v>
      </c>
      <c r="B21352" s="3" t="s">
        <v>66</v>
      </c>
      <c r="C21352" s="4" t="str">
        <f t="shared" si="1421"/>
        <v>TCGA-UCEC</v>
      </c>
      <c r="D21352" s="1" t="s">
        <v>493</v>
      </c>
      <c r="E21352" t="s">
        <v>601</v>
      </c>
      <c r="F21352" s="1">
        <v>2</v>
      </c>
      <c r="G21352" s="1" t="s">
        <v>28</v>
      </c>
      <c r="H21352" s="4" t="str">
        <f>HYPERLINK("https://portal.gdc.cancer.gov/cases/53707bb3-426a-43cb-830f-3eeed930295f","TCGA-A5-A0G1-01A")</f>
        <v>TCGA-A5-A0G1-01A</v>
      </c>
      <c r="I21352" t="s">
        <v>444</v>
      </c>
      <c r="J21352" t="s">
        <v>599</v>
      </c>
      <c r="K21352" t="s">
        <v>33</v>
      </c>
      <c r="L21352" t="s">
        <v>600</v>
      </c>
      <c r="N21352" t="s">
        <v>29</v>
      </c>
    </row>
    <row r="21353" spans="1:14">
      <c r="A21353" s="4" t="str">
        <f t="shared" si="1422"/>
        <v>EXP00452</v>
      </c>
      <c r="B21353" s="3" t="s">
        <v>66</v>
      </c>
      <c r="C21353" s="4" t="str">
        <f t="shared" si="1421"/>
        <v>TCGA-UCEC</v>
      </c>
      <c r="D21353" s="1" t="s">
        <v>493</v>
      </c>
      <c r="E21353" t="s">
        <v>601</v>
      </c>
      <c r="F21353" s="1">
        <v>2</v>
      </c>
      <c r="G21353" s="1" t="s">
        <v>28</v>
      </c>
      <c r="H21353" s="4" t="str">
        <f>HYPERLINK("https://portal.gdc.cancer.gov/cases/4abbd258-0f0c-4428-901d-625d47ad363a","TCGA-A5-A0G2-01A")</f>
        <v>TCGA-A5-A0G2-01A</v>
      </c>
      <c r="I21353" t="s">
        <v>444</v>
      </c>
      <c r="J21353" t="s">
        <v>599</v>
      </c>
      <c r="K21353" t="s">
        <v>33</v>
      </c>
      <c r="L21353" t="s">
        <v>600</v>
      </c>
      <c r="N21353" t="s">
        <v>29</v>
      </c>
    </row>
    <row r="21354" spans="1:14">
      <c r="A21354" s="4" t="str">
        <f t="shared" si="1422"/>
        <v>EXP00452</v>
      </c>
      <c r="B21354" s="3" t="s">
        <v>66</v>
      </c>
      <c r="C21354" s="4" t="str">
        <f t="shared" si="1421"/>
        <v>TCGA-UCEC</v>
      </c>
      <c r="D21354" s="1" t="s">
        <v>493</v>
      </c>
      <c r="E21354" t="s">
        <v>601</v>
      </c>
      <c r="F21354" s="1">
        <v>2</v>
      </c>
      <c r="G21354" s="1" t="s">
        <v>28</v>
      </c>
      <c r="H21354" s="4" t="str">
        <f>HYPERLINK("https://portal.gdc.cancer.gov/cases/8432401d-799f-4f2f-b536-e79e1e8be064","TCGA-A5-A0G3-01A")</f>
        <v>TCGA-A5-A0G3-01A</v>
      </c>
      <c r="I21354" t="s">
        <v>444</v>
      </c>
      <c r="J21354" t="s">
        <v>599</v>
      </c>
      <c r="K21354" t="s">
        <v>33</v>
      </c>
      <c r="L21354" t="s">
        <v>600</v>
      </c>
      <c r="N21354" t="s">
        <v>29</v>
      </c>
    </row>
    <row r="21355" spans="1:14">
      <c r="A21355" s="4" t="str">
        <f t="shared" si="1422"/>
        <v>EXP00452</v>
      </c>
      <c r="B21355" s="3" t="s">
        <v>66</v>
      </c>
      <c r="C21355" s="4" t="str">
        <f t="shared" si="1421"/>
        <v>TCGA-UCEC</v>
      </c>
      <c r="D21355" s="1" t="s">
        <v>493</v>
      </c>
      <c r="E21355" t="s">
        <v>601</v>
      </c>
      <c r="F21355" s="1">
        <v>2</v>
      </c>
      <c r="G21355" s="1" t="s">
        <v>28</v>
      </c>
      <c r="H21355" s="4" t="str">
        <f>HYPERLINK("https://portal.gdc.cancer.gov/cases/4806d9a6-e65d-4a82-b422-1b287980a0c6","TCGA-A5-A0G5-01A")</f>
        <v>TCGA-A5-A0G5-01A</v>
      </c>
      <c r="I21355" t="s">
        <v>444</v>
      </c>
      <c r="J21355" t="s">
        <v>599</v>
      </c>
      <c r="K21355" t="s">
        <v>33</v>
      </c>
      <c r="L21355" t="s">
        <v>600</v>
      </c>
      <c r="N21355" t="s">
        <v>29</v>
      </c>
    </row>
    <row r="21356" spans="1:14">
      <c r="A21356" s="4" t="str">
        <f t="shared" si="1422"/>
        <v>EXP00452</v>
      </c>
      <c r="B21356" s="3" t="s">
        <v>66</v>
      </c>
      <c r="C21356" s="4" t="str">
        <f t="shared" si="1421"/>
        <v>TCGA-UCEC</v>
      </c>
      <c r="D21356" s="1" t="s">
        <v>493</v>
      </c>
      <c r="E21356" t="s">
        <v>601</v>
      </c>
      <c r="F21356" s="1">
        <v>2</v>
      </c>
      <c r="G21356" s="1" t="s">
        <v>28</v>
      </c>
      <c r="H21356" s="4" t="str">
        <f>HYPERLINK("https://portal.gdc.cancer.gov/cases/45d58088-d3f4-4eb0-b75c-bcb98c0981dc","TCGA-A5-A0G9-01A")</f>
        <v>TCGA-A5-A0G9-01A</v>
      </c>
      <c r="I21356" t="s">
        <v>444</v>
      </c>
      <c r="J21356" t="s">
        <v>599</v>
      </c>
      <c r="K21356" t="s">
        <v>33</v>
      </c>
      <c r="L21356" t="s">
        <v>600</v>
      </c>
      <c r="N21356" t="s">
        <v>29</v>
      </c>
    </row>
    <row r="21357" spans="1:14">
      <c r="A21357" s="4" t="str">
        <f t="shared" si="1422"/>
        <v>EXP00452</v>
      </c>
      <c r="B21357" s="3" t="s">
        <v>66</v>
      </c>
      <c r="C21357" s="4" t="str">
        <f t="shared" si="1421"/>
        <v>TCGA-UCEC</v>
      </c>
      <c r="D21357" s="1" t="s">
        <v>493</v>
      </c>
      <c r="E21357" t="s">
        <v>601</v>
      </c>
      <c r="F21357" s="1">
        <v>2</v>
      </c>
      <c r="G21357" s="1" t="s">
        <v>28</v>
      </c>
      <c r="H21357" s="4" t="str">
        <f>HYPERLINK("https://portal.gdc.cancer.gov/cases/71fed998-8fac-4e6b-b38a-22c83e05e958","TCGA-A5-A0GA-01A")</f>
        <v>TCGA-A5-A0GA-01A</v>
      </c>
      <c r="I21357" t="s">
        <v>444</v>
      </c>
      <c r="J21357" t="s">
        <v>599</v>
      </c>
      <c r="K21357" t="s">
        <v>33</v>
      </c>
      <c r="L21357" t="s">
        <v>600</v>
      </c>
      <c r="N21357" t="s">
        <v>29</v>
      </c>
    </row>
    <row r="21358" spans="1:14">
      <c r="A21358" s="4" t="str">
        <f t="shared" si="1422"/>
        <v>EXP00452</v>
      </c>
      <c r="B21358" s="3" t="s">
        <v>66</v>
      </c>
      <c r="C21358" s="4" t="str">
        <f t="shared" si="1421"/>
        <v>TCGA-UCEC</v>
      </c>
      <c r="D21358" s="1" t="s">
        <v>493</v>
      </c>
      <c r="E21358" t="s">
        <v>601</v>
      </c>
      <c r="F21358" s="1">
        <v>2</v>
      </c>
      <c r="G21358" s="1" t="s">
        <v>28</v>
      </c>
      <c r="H21358" s="4" t="str">
        <f>HYPERLINK("https://portal.gdc.cancer.gov/cases/2f4458b6-3caf-4e33-890e-a04722badd1b","TCGA-A5-A0GB-01A")</f>
        <v>TCGA-A5-A0GB-01A</v>
      </c>
      <c r="I21358" t="s">
        <v>444</v>
      </c>
      <c r="J21358" t="s">
        <v>599</v>
      </c>
      <c r="K21358" t="s">
        <v>33</v>
      </c>
      <c r="L21358" t="s">
        <v>600</v>
      </c>
      <c r="N21358" t="s">
        <v>29</v>
      </c>
    </row>
    <row r="21359" spans="1:14">
      <c r="A21359" s="4" t="str">
        <f t="shared" si="1422"/>
        <v>EXP00452</v>
      </c>
      <c r="B21359" s="3" t="s">
        <v>66</v>
      </c>
      <c r="C21359" s="4" t="str">
        <f t="shared" si="1421"/>
        <v>TCGA-UCEC</v>
      </c>
      <c r="D21359" s="1" t="s">
        <v>493</v>
      </c>
      <c r="E21359" t="s">
        <v>601</v>
      </c>
      <c r="F21359" s="1">
        <v>2</v>
      </c>
      <c r="G21359" s="1" t="s">
        <v>28</v>
      </c>
      <c r="H21359" s="4" t="str">
        <f>HYPERLINK("https://portal.gdc.cancer.gov/cases/1486a031-b74d-4976-8b0b-4569e6978f49","TCGA-A5-A0GD-01A")</f>
        <v>TCGA-A5-A0GD-01A</v>
      </c>
      <c r="I21359" t="s">
        <v>444</v>
      </c>
      <c r="J21359" t="s">
        <v>599</v>
      </c>
      <c r="K21359" t="s">
        <v>33</v>
      </c>
      <c r="L21359" t="s">
        <v>600</v>
      </c>
      <c r="N21359" t="s">
        <v>29</v>
      </c>
    </row>
    <row r="21360" spans="1:14">
      <c r="A21360" s="4" t="str">
        <f t="shared" si="1422"/>
        <v>EXP00452</v>
      </c>
      <c r="B21360" s="3" t="s">
        <v>66</v>
      </c>
      <c r="C21360" s="4" t="str">
        <f t="shared" si="1421"/>
        <v>TCGA-UCEC</v>
      </c>
      <c r="D21360" s="1" t="s">
        <v>493</v>
      </c>
      <c r="E21360" t="s">
        <v>601</v>
      </c>
      <c r="F21360" s="1">
        <v>2</v>
      </c>
      <c r="G21360" s="1" t="s">
        <v>28</v>
      </c>
      <c r="H21360" s="4" t="str">
        <f>HYPERLINK("https://portal.gdc.cancer.gov/cases/a587e62e-430e-4f1b-82b7-6fbe856fdaf1","TCGA-A5-A0GE-01A")</f>
        <v>TCGA-A5-A0GE-01A</v>
      </c>
      <c r="I21360" t="s">
        <v>444</v>
      </c>
      <c r="J21360" t="s">
        <v>599</v>
      </c>
      <c r="K21360" t="s">
        <v>33</v>
      </c>
      <c r="L21360" t="s">
        <v>600</v>
      </c>
      <c r="N21360" t="s">
        <v>29</v>
      </c>
    </row>
    <row r="21361" spans="1:14">
      <c r="A21361" s="4" t="str">
        <f t="shared" si="1422"/>
        <v>EXP00452</v>
      </c>
      <c r="B21361" s="3" t="s">
        <v>66</v>
      </c>
      <c r="C21361" s="4" t="str">
        <f t="shared" si="1421"/>
        <v>TCGA-UCEC</v>
      </c>
      <c r="D21361" s="1" t="s">
        <v>493</v>
      </c>
      <c r="E21361" t="s">
        <v>601</v>
      </c>
      <c r="F21361" s="1">
        <v>2</v>
      </c>
      <c r="G21361" s="1" t="s">
        <v>28</v>
      </c>
      <c r="H21361" s="4" t="str">
        <f>HYPERLINK("https://portal.gdc.cancer.gov/cases/a8614c49-c7f1-4de9-bd2f-4764b094d604","TCGA-A5-A0GG-01A")</f>
        <v>TCGA-A5-A0GG-01A</v>
      </c>
      <c r="I21361" t="s">
        <v>444</v>
      </c>
      <c r="J21361" t="s">
        <v>599</v>
      </c>
      <c r="K21361" t="s">
        <v>33</v>
      </c>
      <c r="L21361" t="s">
        <v>600</v>
      </c>
      <c r="N21361" t="s">
        <v>29</v>
      </c>
    </row>
    <row r="21362" spans="1:14">
      <c r="A21362" s="4" t="str">
        <f t="shared" si="1422"/>
        <v>EXP00452</v>
      </c>
      <c r="B21362" s="3" t="s">
        <v>66</v>
      </c>
      <c r="C21362" s="4" t="str">
        <f t="shared" si="1421"/>
        <v>TCGA-UCEC</v>
      </c>
      <c r="D21362" s="1" t="s">
        <v>493</v>
      </c>
      <c r="E21362" t="s">
        <v>601</v>
      </c>
      <c r="F21362" s="1">
        <v>2</v>
      </c>
      <c r="G21362" s="1" t="s">
        <v>28</v>
      </c>
      <c r="H21362" s="4" t="str">
        <f>HYPERLINK("https://portal.gdc.cancer.gov/cases/32e33897-29c8-48f2-b833-98f37204e0e7","TCGA-A5-A0GH-01A")</f>
        <v>TCGA-A5-A0GH-01A</v>
      </c>
      <c r="I21362" t="s">
        <v>444</v>
      </c>
      <c r="J21362" t="s">
        <v>599</v>
      </c>
      <c r="K21362" t="s">
        <v>33</v>
      </c>
      <c r="L21362" t="s">
        <v>600</v>
      </c>
      <c r="N21362" t="s">
        <v>29</v>
      </c>
    </row>
    <row r="21363" spans="1:14">
      <c r="A21363" s="4" t="str">
        <f t="shared" si="1422"/>
        <v>EXP00452</v>
      </c>
      <c r="B21363" s="3" t="s">
        <v>66</v>
      </c>
      <c r="C21363" s="4" t="str">
        <f t="shared" si="1421"/>
        <v>TCGA-UCEC</v>
      </c>
      <c r="D21363" s="1" t="s">
        <v>493</v>
      </c>
      <c r="E21363" t="s">
        <v>601</v>
      </c>
      <c r="F21363" s="1">
        <v>2</v>
      </c>
      <c r="G21363" s="1" t="s">
        <v>28</v>
      </c>
      <c r="H21363" s="4" t="str">
        <f>HYPERLINK("https://portal.gdc.cancer.gov/cases/3b21b47e-a15c-4b10-9702-62a14afdfb8c","TCGA-A5-A0GI-01A")</f>
        <v>TCGA-A5-A0GI-01A</v>
      </c>
      <c r="I21363" t="s">
        <v>444</v>
      </c>
      <c r="J21363" t="s">
        <v>599</v>
      </c>
      <c r="K21363" t="s">
        <v>33</v>
      </c>
      <c r="L21363" t="s">
        <v>600</v>
      </c>
      <c r="N21363" t="s">
        <v>29</v>
      </c>
    </row>
    <row r="21364" spans="1:14">
      <c r="A21364" s="4" t="str">
        <f t="shared" si="1422"/>
        <v>EXP00452</v>
      </c>
      <c r="B21364" s="3" t="s">
        <v>66</v>
      </c>
      <c r="C21364" s="4" t="str">
        <f t="shared" si="1421"/>
        <v>TCGA-UCEC</v>
      </c>
      <c r="D21364" s="1" t="s">
        <v>493</v>
      </c>
      <c r="E21364" t="s">
        <v>601</v>
      </c>
      <c r="F21364" s="1">
        <v>2</v>
      </c>
      <c r="G21364" s="1" t="s">
        <v>28</v>
      </c>
      <c r="H21364" s="4" t="str">
        <f>HYPERLINK("https://portal.gdc.cancer.gov/cases/94817e78-78f5-4556-9394-610df65605e2","TCGA-A5-A0GJ-01A")</f>
        <v>TCGA-A5-A0GJ-01A</v>
      </c>
      <c r="I21364" t="s">
        <v>444</v>
      </c>
      <c r="J21364" t="s">
        <v>599</v>
      </c>
      <c r="K21364" t="s">
        <v>33</v>
      </c>
      <c r="L21364" t="s">
        <v>600</v>
      </c>
      <c r="N21364" t="s">
        <v>29</v>
      </c>
    </row>
    <row r="21365" spans="1:14">
      <c r="A21365" s="4" t="str">
        <f t="shared" si="1422"/>
        <v>EXP00452</v>
      </c>
      <c r="B21365" s="3" t="s">
        <v>66</v>
      </c>
      <c r="C21365" s="4" t="str">
        <f t="shared" ref="C21365:C21428" si="1423">HYPERLINK("https://portal.gdc.cancer.gov/projects/TCGA-UCEC","TCGA-UCEC")</f>
        <v>TCGA-UCEC</v>
      </c>
      <c r="D21365" s="1" t="s">
        <v>493</v>
      </c>
      <c r="E21365" t="s">
        <v>601</v>
      </c>
      <c r="F21365" s="1">
        <v>2</v>
      </c>
      <c r="G21365" s="1" t="s">
        <v>28</v>
      </c>
      <c r="H21365" s="4" t="str">
        <f>HYPERLINK("https://portal.gdc.cancer.gov/cases/976bb47a-d999-4e24-ad08-452fea73c846","TCGA-A5-A0GM-01A")</f>
        <v>TCGA-A5-A0GM-01A</v>
      </c>
      <c r="I21365" t="s">
        <v>444</v>
      </c>
      <c r="J21365" t="s">
        <v>599</v>
      </c>
      <c r="K21365" t="s">
        <v>33</v>
      </c>
      <c r="L21365" t="s">
        <v>600</v>
      </c>
      <c r="N21365" t="s">
        <v>29</v>
      </c>
    </row>
    <row r="21366" spans="1:14">
      <c r="A21366" s="4" t="str">
        <f t="shared" si="1422"/>
        <v>EXP00452</v>
      </c>
      <c r="B21366" s="3" t="s">
        <v>66</v>
      </c>
      <c r="C21366" s="4" t="str">
        <f t="shared" si="1423"/>
        <v>TCGA-UCEC</v>
      </c>
      <c r="D21366" s="1" t="s">
        <v>493</v>
      </c>
      <c r="E21366" t="s">
        <v>601</v>
      </c>
      <c r="F21366" s="1">
        <v>2</v>
      </c>
      <c r="G21366" s="1" t="s">
        <v>28</v>
      </c>
      <c r="H21366" s="4" t="str">
        <f>HYPERLINK("https://portal.gdc.cancer.gov/cases/a2a2dbda-d10c-49c4-86a8-61baf6160cda","TCGA-A5-A0GN-01A")</f>
        <v>TCGA-A5-A0GN-01A</v>
      </c>
      <c r="I21366" t="s">
        <v>444</v>
      </c>
      <c r="J21366" t="s">
        <v>599</v>
      </c>
      <c r="K21366" t="s">
        <v>33</v>
      </c>
      <c r="L21366" t="s">
        <v>600</v>
      </c>
      <c r="N21366" t="s">
        <v>29</v>
      </c>
    </row>
    <row r="21367" spans="1:14">
      <c r="A21367" s="4" t="str">
        <f t="shared" si="1422"/>
        <v>EXP00452</v>
      </c>
      <c r="B21367" s="3" t="s">
        <v>66</v>
      </c>
      <c r="C21367" s="4" t="str">
        <f t="shared" si="1423"/>
        <v>TCGA-UCEC</v>
      </c>
      <c r="D21367" s="1" t="s">
        <v>493</v>
      </c>
      <c r="E21367" t="s">
        <v>601</v>
      </c>
      <c r="F21367" s="1">
        <v>2</v>
      </c>
      <c r="G21367" s="1" t="s">
        <v>28</v>
      </c>
      <c r="H21367" s="4" t="str">
        <f>HYPERLINK("https://portal.gdc.cancer.gov/cases/0547cdfa-c488-4da0-9bb5-4cc63a637179","TCGA-A5-A0GP-01A")</f>
        <v>TCGA-A5-A0GP-01A</v>
      </c>
      <c r="I21367" t="s">
        <v>444</v>
      </c>
      <c r="J21367" t="s">
        <v>599</v>
      </c>
      <c r="K21367" t="s">
        <v>33</v>
      </c>
      <c r="L21367" t="s">
        <v>600</v>
      </c>
      <c r="N21367" t="s">
        <v>29</v>
      </c>
    </row>
    <row r="21368" spans="1:14">
      <c r="A21368" s="4" t="str">
        <f t="shared" si="1422"/>
        <v>EXP00452</v>
      </c>
      <c r="B21368" s="3" t="s">
        <v>66</v>
      </c>
      <c r="C21368" s="4" t="str">
        <f t="shared" si="1423"/>
        <v>TCGA-UCEC</v>
      </c>
      <c r="D21368" s="1" t="s">
        <v>493</v>
      </c>
      <c r="E21368" t="s">
        <v>601</v>
      </c>
      <c r="F21368" s="1">
        <v>2</v>
      </c>
      <c r="G21368" s="1" t="s">
        <v>28</v>
      </c>
      <c r="H21368" s="4" t="str">
        <f>HYPERLINK("https://portal.gdc.cancer.gov/cases/c8d672ed-9910-4f80-b222-38c833f55850","TCGA-A5-A0GQ-01A")</f>
        <v>TCGA-A5-A0GQ-01A</v>
      </c>
      <c r="I21368" t="s">
        <v>444</v>
      </c>
      <c r="J21368" t="s">
        <v>599</v>
      </c>
      <c r="K21368" t="s">
        <v>33</v>
      </c>
      <c r="L21368" t="s">
        <v>600</v>
      </c>
      <c r="N21368" t="s">
        <v>29</v>
      </c>
    </row>
    <row r="21369" spans="1:14">
      <c r="A21369" s="4" t="str">
        <f t="shared" si="1422"/>
        <v>EXP00452</v>
      </c>
      <c r="B21369" s="3" t="s">
        <v>66</v>
      </c>
      <c r="C21369" s="4" t="str">
        <f t="shared" si="1423"/>
        <v>TCGA-UCEC</v>
      </c>
      <c r="D21369" s="1" t="s">
        <v>493</v>
      </c>
      <c r="E21369" t="s">
        <v>601</v>
      </c>
      <c r="F21369" s="1">
        <v>2</v>
      </c>
      <c r="G21369" s="1" t="s">
        <v>28</v>
      </c>
      <c r="H21369" s="4" t="str">
        <f>HYPERLINK("https://portal.gdc.cancer.gov/cases/82c51af5-4ba2-48fe-b5e2-a0f1c9d68f34","TCGA-A5-A0GR-01A")</f>
        <v>TCGA-A5-A0GR-01A</v>
      </c>
      <c r="I21369" t="s">
        <v>444</v>
      </c>
      <c r="J21369" t="s">
        <v>599</v>
      </c>
      <c r="K21369" t="s">
        <v>33</v>
      </c>
      <c r="L21369" t="s">
        <v>600</v>
      </c>
      <c r="N21369" t="s">
        <v>29</v>
      </c>
    </row>
    <row r="21370" spans="1:14">
      <c r="A21370" s="4" t="str">
        <f t="shared" si="1422"/>
        <v>EXP00452</v>
      </c>
      <c r="B21370" s="3" t="s">
        <v>66</v>
      </c>
      <c r="C21370" s="4" t="str">
        <f t="shared" si="1423"/>
        <v>TCGA-UCEC</v>
      </c>
      <c r="D21370" s="1" t="s">
        <v>493</v>
      </c>
      <c r="E21370" t="s">
        <v>601</v>
      </c>
      <c r="F21370" s="1">
        <v>2</v>
      </c>
      <c r="G21370" s="1" t="s">
        <v>28</v>
      </c>
      <c r="H21370" s="4" t="str">
        <f>HYPERLINK("https://portal.gdc.cancer.gov/cases/adc22472-e31d-419f-aeae-cb01b9423343","TCGA-A5-A0GU-01A")</f>
        <v>TCGA-A5-A0GU-01A</v>
      </c>
      <c r="I21370" t="s">
        <v>444</v>
      </c>
      <c r="J21370" t="s">
        <v>599</v>
      </c>
      <c r="K21370" t="s">
        <v>33</v>
      </c>
      <c r="L21370" t="s">
        <v>600</v>
      </c>
      <c r="N21370" t="s">
        <v>29</v>
      </c>
    </row>
    <row r="21371" spans="1:14">
      <c r="A21371" s="4" t="str">
        <f t="shared" si="1422"/>
        <v>EXP00452</v>
      </c>
      <c r="B21371" s="3" t="s">
        <v>66</v>
      </c>
      <c r="C21371" s="4" t="str">
        <f t="shared" si="1423"/>
        <v>TCGA-UCEC</v>
      </c>
      <c r="D21371" s="1" t="s">
        <v>493</v>
      </c>
      <c r="E21371" t="s">
        <v>601</v>
      </c>
      <c r="F21371" s="1">
        <v>2</v>
      </c>
      <c r="G21371" s="1" t="s">
        <v>28</v>
      </c>
      <c r="H21371" s="4" t="str">
        <f>HYPERLINK("https://portal.gdc.cancer.gov/cases/5e3b981e-73fe-4cc9-8c89-b420e8e2f426","TCGA-A5-A0GV-01A")</f>
        <v>TCGA-A5-A0GV-01A</v>
      </c>
      <c r="I21371" t="s">
        <v>444</v>
      </c>
      <c r="J21371" t="s">
        <v>599</v>
      </c>
      <c r="K21371" t="s">
        <v>33</v>
      </c>
      <c r="L21371" t="s">
        <v>600</v>
      </c>
      <c r="N21371" t="s">
        <v>29</v>
      </c>
    </row>
    <row r="21372" spans="1:14">
      <c r="A21372" s="4" t="str">
        <f t="shared" si="1422"/>
        <v>EXP00452</v>
      </c>
      <c r="B21372" s="3" t="s">
        <v>66</v>
      </c>
      <c r="C21372" s="4" t="str">
        <f t="shared" si="1423"/>
        <v>TCGA-UCEC</v>
      </c>
      <c r="D21372" s="1" t="s">
        <v>493</v>
      </c>
      <c r="E21372" t="s">
        <v>601</v>
      </c>
      <c r="F21372" s="1">
        <v>2</v>
      </c>
      <c r="G21372" s="1" t="s">
        <v>28</v>
      </c>
      <c r="H21372" s="4" t="str">
        <f>HYPERLINK("https://portal.gdc.cancer.gov/cases/5b6b9d0f-787c-4ae9-afd4-de7ce6c57a42","TCGA-A5-A0GW-01A")</f>
        <v>TCGA-A5-A0GW-01A</v>
      </c>
      <c r="I21372" t="s">
        <v>444</v>
      </c>
      <c r="J21372" t="s">
        <v>599</v>
      </c>
      <c r="K21372" t="s">
        <v>33</v>
      </c>
      <c r="L21372" t="s">
        <v>600</v>
      </c>
      <c r="N21372" t="s">
        <v>29</v>
      </c>
    </row>
    <row r="21373" spans="1:14">
      <c r="A21373" s="4" t="str">
        <f t="shared" si="1422"/>
        <v>EXP00452</v>
      </c>
      <c r="B21373" s="3" t="s">
        <v>66</v>
      </c>
      <c r="C21373" s="4" t="str">
        <f t="shared" si="1423"/>
        <v>TCGA-UCEC</v>
      </c>
      <c r="D21373" s="1" t="s">
        <v>493</v>
      </c>
      <c r="E21373" t="s">
        <v>601</v>
      </c>
      <c r="F21373" s="1">
        <v>2</v>
      </c>
      <c r="G21373" s="1" t="s">
        <v>28</v>
      </c>
      <c r="H21373" s="4" t="str">
        <f>HYPERLINK("https://portal.gdc.cancer.gov/cases/553f0ccd-4e6f-4ae2-9b39-97529eb3d826","TCGA-A5-A0GX-01A")</f>
        <v>TCGA-A5-A0GX-01A</v>
      </c>
      <c r="I21373" t="s">
        <v>444</v>
      </c>
      <c r="J21373" t="s">
        <v>599</v>
      </c>
      <c r="K21373" t="s">
        <v>33</v>
      </c>
      <c r="L21373" t="s">
        <v>600</v>
      </c>
      <c r="N21373" t="s">
        <v>29</v>
      </c>
    </row>
    <row r="21374" spans="1:14">
      <c r="A21374" s="4" t="str">
        <f t="shared" si="1422"/>
        <v>EXP00452</v>
      </c>
      <c r="B21374" s="3" t="s">
        <v>66</v>
      </c>
      <c r="C21374" s="4" t="str">
        <f t="shared" si="1423"/>
        <v>TCGA-UCEC</v>
      </c>
      <c r="D21374" s="1" t="s">
        <v>493</v>
      </c>
      <c r="E21374" t="s">
        <v>601</v>
      </c>
      <c r="F21374" s="1">
        <v>2</v>
      </c>
      <c r="G21374" s="1" t="s">
        <v>28</v>
      </c>
      <c r="H21374" s="4" t="str">
        <f>HYPERLINK("https://portal.gdc.cancer.gov/cases/39609d3c-f5d3-4bc4-b356-1403c6dd1cb5","TCGA-A5-A0R6-01A")</f>
        <v>TCGA-A5-A0R6-01A</v>
      </c>
      <c r="I21374" t="s">
        <v>444</v>
      </c>
      <c r="J21374" t="s">
        <v>599</v>
      </c>
      <c r="K21374" t="s">
        <v>33</v>
      </c>
      <c r="L21374" t="s">
        <v>600</v>
      </c>
      <c r="N21374" t="s">
        <v>29</v>
      </c>
    </row>
    <row r="21375" spans="1:14">
      <c r="A21375" s="4" t="str">
        <f t="shared" si="1422"/>
        <v>EXP00452</v>
      </c>
      <c r="B21375" s="3" t="s">
        <v>66</v>
      </c>
      <c r="C21375" s="4" t="str">
        <f t="shared" si="1423"/>
        <v>TCGA-UCEC</v>
      </c>
      <c r="D21375" s="1" t="s">
        <v>493</v>
      </c>
      <c r="E21375" t="s">
        <v>601</v>
      </c>
      <c r="F21375" s="1">
        <v>2</v>
      </c>
      <c r="G21375" s="1" t="s">
        <v>28</v>
      </c>
      <c r="H21375" s="4" t="str">
        <f>HYPERLINK("https://portal.gdc.cancer.gov/cases/02b25675-094d-4098-96da-51d121380fec","TCGA-A5-A0R7-01A")</f>
        <v>TCGA-A5-A0R7-01A</v>
      </c>
      <c r="I21375" t="s">
        <v>444</v>
      </c>
      <c r="J21375" t="s">
        <v>599</v>
      </c>
      <c r="K21375" t="s">
        <v>33</v>
      </c>
      <c r="L21375" t="s">
        <v>600</v>
      </c>
      <c r="N21375" t="s">
        <v>29</v>
      </c>
    </row>
    <row r="21376" spans="1:14">
      <c r="A21376" s="4" t="str">
        <f t="shared" si="1422"/>
        <v>EXP00452</v>
      </c>
      <c r="B21376" s="3" t="s">
        <v>66</v>
      </c>
      <c r="C21376" s="4" t="str">
        <f t="shared" si="1423"/>
        <v>TCGA-UCEC</v>
      </c>
      <c r="D21376" s="1" t="s">
        <v>493</v>
      </c>
      <c r="E21376" t="s">
        <v>601</v>
      </c>
      <c r="F21376" s="1">
        <v>2</v>
      </c>
      <c r="G21376" s="1" t="s">
        <v>28</v>
      </c>
      <c r="H21376" s="4" t="str">
        <f>HYPERLINK("https://portal.gdc.cancer.gov/cases/06d16b6b-9ca6-4cec-a785-f27aa4323cec","TCGA-A5-A0R8-01A")</f>
        <v>TCGA-A5-A0R8-01A</v>
      </c>
      <c r="I21376" t="s">
        <v>444</v>
      </c>
      <c r="J21376" t="s">
        <v>599</v>
      </c>
      <c r="K21376" t="s">
        <v>33</v>
      </c>
      <c r="L21376" t="s">
        <v>600</v>
      </c>
      <c r="N21376" t="s">
        <v>29</v>
      </c>
    </row>
    <row r="21377" spans="1:14">
      <c r="A21377" s="4" t="str">
        <f t="shared" si="1422"/>
        <v>EXP00452</v>
      </c>
      <c r="B21377" s="3" t="s">
        <v>66</v>
      </c>
      <c r="C21377" s="4" t="str">
        <f t="shared" si="1423"/>
        <v>TCGA-UCEC</v>
      </c>
      <c r="D21377" s="1" t="s">
        <v>493</v>
      </c>
      <c r="E21377" t="s">
        <v>601</v>
      </c>
      <c r="F21377" s="1">
        <v>2</v>
      </c>
      <c r="G21377" s="1" t="s">
        <v>28</v>
      </c>
      <c r="H21377" s="4" t="str">
        <f>HYPERLINK("https://portal.gdc.cancer.gov/cases/284174fd-1320-4617-9e99-75bd75df9bf3","TCGA-A5-A0R9-01A")</f>
        <v>TCGA-A5-A0R9-01A</v>
      </c>
      <c r="I21377" t="s">
        <v>444</v>
      </c>
      <c r="J21377" t="s">
        <v>599</v>
      </c>
      <c r="K21377" t="s">
        <v>33</v>
      </c>
      <c r="L21377" t="s">
        <v>600</v>
      </c>
      <c r="N21377" t="s">
        <v>29</v>
      </c>
    </row>
    <row r="21378" spans="1:14">
      <c r="A21378" s="4" t="str">
        <f t="shared" si="1422"/>
        <v>EXP00452</v>
      </c>
      <c r="B21378" s="3" t="s">
        <v>66</v>
      </c>
      <c r="C21378" s="4" t="str">
        <f t="shared" si="1423"/>
        <v>TCGA-UCEC</v>
      </c>
      <c r="D21378" s="1" t="s">
        <v>493</v>
      </c>
      <c r="E21378" t="s">
        <v>601</v>
      </c>
      <c r="F21378" s="1">
        <v>2</v>
      </c>
      <c r="G21378" s="1" t="s">
        <v>28</v>
      </c>
      <c r="H21378" s="4" t="str">
        <f>HYPERLINK("https://portal.gdc.cancer.gov/cases/afd710b8-d172-4ac4-9973-e969db1ed231","TCGA-A5-A0RA-01A")</f>
        <v>TCGA-A5-A0RA-01A</v>
      </c>
      <c r="I21378" t="s">
        <v>444</v>
      </c>
      <c r="J21378" t="s">
        <v>599</v>
      </c>
      <c r="K21378" t="s">
        <v>33</v>
      </c>
      <c r="L21378" t="s">
        <v>600</v>
      </c>
      <c r="N21378" t="s">
        <v>29</v>
      </c>
    </row>
    <row r="21379" spans="1:14">
      <c r="A21379" s="4" t="str">
        <f t="shared" si="1422"/>
        <v>EXP00452</v>
      </c>
      <c r="B21379" s="3" t="s">
        <v>66</v>
      </c>
      <c r="C21379" s="4" t="str">
        <f t="shared" si="1423"/>
        <v>TCGA-UCEC</v>
      </c>
      <c r="D21379" s="1" t="s">
        <v>493</v>
      </c>
      <c r="E21379" t="s">
        <v>601</v>
      </c>
      <c r="F21379" s="1">
        <v>2</v>
      </c>
      <c r="G21379" s="1" t="s">
        <v>28</v>
      </c>
      <c r="H21379" s="4" t="str">
        <f>HYPERLINK("https://portal.gdc.cancer.gov/cases/0648f046-2206-4b97-9b6e-419c2e325b6d","TCGA-A5-A0VO-01A")</f>
        <v>TCGA-A5-A0VO-01A</v>
      </c>
      <c r="I21379" t="s">
        <v>444</v>
      </c>
      <c r="J21379" t="s">
        <v>599</v>
      </c>
      <c r="K21379" t="s">
        <v>33</v>
      </c>
      <c r="L21379" t="s">
        <v>600</v>
      </c>
      <c r="N21379" t="s">
        <v>29</v>
      </c>
    </row>
    <row r="21380" spans="1:14">
      <c r="A21380" s="4" t="str">
        <f t="shared" si="1422"/>
        <v>EXP00452</v>
      </c>
      <c r="B21380" s="3" t="s">
        <v>66</v>
      </c>
      <c r="C21380" s="4" t="str">
        <f t="shared" si="1423"/>
        <v>TCGA-UCEC</v>
      </c>
      <c r="D21380" s="1" t="s">
        <v>493</v>
      </c>
      <c r="E21380" t="s">
        <v>601</v>
      </c>
      <c r="F21380" s="1">
        <v>2</v>
      </c>
      <c r="G21380" s="1" t="s">
        <v>28</v>
      </c>
      <c r="H21380" s="4" t="str">
        <f>HYPERLINK("https://portal.gdc.cancer.gov/cases/2db0fb62-64ce-457c-9e22-dd05ef59f684","TCGA-A5-A0VP-01A")</f>
        <v>TCGA-A5-A0VP-01A</v>
      </c>
      <c r="I21380" t="s">
        <v>444</v>
      </c>
      <c r="J21380" t="s">
        <v>599</v>
      </c>
      <c r="K21380" t="s">
        <v>33</v>
      </c>
      <c r="L21380" t="s">
        <v>600</v>
      </c>
      <c r="N21380" t="s">
        <v>29</v>
      </c>
    </row>
    <row r="21381" spans="1:14">
      <c r="A21381" s="4" t="str">
        <f t="shared" si="1422"/>
        <v>EXP00452</v>
      </c>
      <c r="B21381" s="3" t="s">
        <v>66</v>
      </c>
      <c r="C21381" s="4" t="str">
        <f t="shared" si="1423"/>
        <v>TCGA-UCEC</v>
      </c>
      <c r="D21381" s="1" t="s">
        <v>493</v>
      </c>
      <c r="E21381" t="s">
        <v>601</v>
      </c>
      <c r="F21381" s="1">
        <v>2</v>
      </c>
      <c r="G21381" s="1" t="s">
        <v>28</v>
      </c>
      <c r="H21381" s="4" t="str">
        <f>HYPERLINK("https://portal.gdc.cancer.gov/cases/23489245-48d7-4f19-8a42-e23b1181412b","TCGA-A5-A0VQ-01A")</f>
        <v>TCGA-A5-A0VQ-01A</v>
      </c>
      <c r="I21381" t="s">
        <v>444</v>
      </c>
      <c r="J21381" t="s">
        <v>599</v>
      </c>
      <c r="K21381" t="s">
        <v>33</v>
      </c>
      <c r="L21381" t="s">
        <v>600</v>
      </c>
      <c r="N21381" t="s">
        <v>29</v>
      </c>
    </row>
    <row r="21382" spans="1:14">
      <c r="A21382" s="4" t="str">
        <f t="shared" si="1422"/>
        <v>EXP00452</v>
      </c>
      <c r="B21382" s="3" t="s">
        <v>66</v>
      </c>
      <c r="C21382" s="4" t="str">
        <f t="shared" si="1423"/>
        <v>TCGA-UCEC</v>
      </c>
      <c r="D21382" s="1" t="s">
        <v>493</v>
      </c>
      <c r="E21382" t="s">
        <v>601</v>
      </c>
      <c r="F21382" s="1">
        <v>2</v>
      </c>
      <c r="G21382" s="1" t="s">
        <v>28</v>
      </c>
      <c r="H21382" s="4" t="str">
        <f>HYPERLINK("https://portal.gdc.cancer.gov/cases/286c112d-7b73-40a1-b23c-99911388fdef","TCGA-A5-A1OF-01A")</f>
        <v>TCGA-A5-A1OF-01A</v>
      </c>
      <c r="I21382" t="s">
        <v>444</v>
      </c>
      <c r="J21382" t="s">
        <v>599</v>
      </c>
      <c r="K21382" t="s">
        <v>33</v>
      </c>
      <c r="L21382" t="s">
        <v>600</v>
      </c>
      <c r="N21382" t="s">
        <v>29</v>
      </c>
    </row>
    <row r="21383" spans="1:14">
      <c r="A21383" s="4" t="str">
        <f t="shared" si="1422"/>
        <v>EXP00452</v>
      </c>
      <c r="B21383" s="3" t="s">
        <v>66</v>
      </c>
      <c r="C21383" s="4" t="str">
        <f t="shared" si="1423"/>
        <v>TCGA-UCEC</v>
      </c>
      <c r="D21383" s="1" t="s">
        <v>493</v>
      </c>
      <c r="E21383" t="s">
        <v>601</v>
      </c>
      <c r="F21383" s="1">
        <v>2</v>
      </c>
      <c r="G21383" s="1" t="s">
        <v>28</v>
      </c>
      <c r="H21383" s="4" t="str">
        <f>HYPERLINK("https://portal.gdc.cancer.gov/cases/5c3f826c-b447-457d-a90e-715bad3c7118","TCGA-A5-A1OG-01A")</f>
        <v>TCGA-A5-A1OG-01A</v>
      </c>
      <c r="I21383" t="s">
        <v>444</v>
      </c>
      <c r="J21383" t="s">
        <v>599</v>
      </c>
      <c r="K21383" t="s">
        <v>33</v>
      </c>
      <c r="L21383" t="s">
        <v>600</v>
      </c>
      <c r="N21383" t="s">
        <v>29</v>
      </c>
    </row>
    <row r="21384" spans="1:14">
      <c r="A21384" s="4" t="str">
        <f t="shared" si="1422"/>
        <v>EXP00452</v>
      </c>
      <c r="B21384" s="3" t="s">
        <v>66</v>
      </c>
      <c r="C21384" s="4" t="str">
        <f t="shared" si="1423"/>
        <v>TCGA-UCEC</v>
      </c>
      <c r="D21384" s="1" t="s">
        <v>493</v>
      </c>
      <c r="E21384" t="s">
        <v>601</v>
      </c>
      <c r="F21384" s="1">
        <v>2</v>
      </c>
      <c r="G21384" s="1" t="s">
        <v>28</v>
      </c>
      <c r="H21384" s="4" t="str">
        <f>HYPERLINK("https://portal.gdc.cancer.gov/cases/9bce44a2-dcee-4d1a-a522-c2bcb9a8e025","TCGA-A5-A1OH-01A")</f>
        <v>TCGA-A5-A1OH-01A</v>
      </c>
      <c r="I21384" t="s">
        <v>444</v>
      </c>
      <c r="J21384" t="s">
        <v>599</v>
      </c>
      <c r="K21384" t="s">
        <v>33</v>
      </c>
      <c r="L21384" t="s">
        <v>600</v>
      </c>
      <c r="N21384" t="s">
        <v>29</v>
      </c>
    </row>
    <row r="21385" spans="1:14">
      <c r="A21385" s="4" t="str">
        <f t="shared" si="1422"/>
        <v>EXP00452</v>
      </c>
      <c r="B21385" s="3" t="s">
        <v>66</v>
      </c>
      <c r="C21385" s="4" t="str">
        <f t="shared" si="1423"/>
        <v>TCGA-UCEC</v>
      </c>
      <c r="D21385" s="1" t="s">
        <v>493</v>
      </c>
      <c r="E21385" t="s">
        <v>601</v>
      </c>
      <c r="F21385" s="1">
        <v>2</v>
      </c>
      <c r="G21385" s="1" t="s">
        <v>28</v>
      </c>
      <c r="H21385" s="4" t="str">
        <f>HYPERLINK("https://portal.gdc.cancer.gov/cases/0f361166-2b7d-4ef5-9f8f-ee2488548a0b","TCGA-A5-A1OJ-01A")</f>
        <v>TCGA-A5-A1OJ-01A</v>
      </c>
      <c r="I21385" t="s">
        <v>444</v>
      </c>
      <c r="J21385" t="s">
        <v>599</v>
      </c>
      <c r="K21385" t="s">
        <v>33</v>
      </c>
      <c r="L21385" t="s">
        <v>600</v>
      </c>
      <c r="N21385" t="s">
        <v>29</v>
      </c>
    </row>
    <row r="21386" spans="1:14">
      <c r="A21386" s="4" t="str">
        <f t="shared" si="1422"/>
        <v>EXP00452</v>
      </c>
      <c r="B21386" s="3" t="s">
        <v>66</v>
      </c>
      <c r="C21386" s="4" t="str">
        <f t="shared" si="1423"/>
        <v>TCGA-UCEC</v>
      </c>
      <c r="D21386" s="1" t="s">
        <v>493</v>
      </c>
      <c r="E21386" t="s">
        <v>601</v>
      </c>
      <c r="F21386" s="1">
        <v>2</v>
      </c>
      <c r="G21386" s="1" t="s">
        <v>28</v>
      </c>
      <c r="H21386" s="4" t="str">
        <f>HYPERLINK("https://portal.gdc.cancer.gov/cases/2fe46394-cfc5-44bb-81a9-e438a0126f5b","TCGA-A5-A1OK-01A")</f>
        <v>TCGA-A5-A1OK-01A</v>
      </c>
      <c r="I21386" t="s">
        <v>444</v>
      </c>
      <c r="J21386" t="s">
        <v>599</v>
      </c>
      <c r="K21386" t="s">
        <v>33</v>
      </c>
      <c r="L21386" t="s">
        <v>600</v>
      </c>
      <c r="N21386" t="s">
        <v>29</v>
      </c>
    </row>
    <row r="21387" spans="1:14">
      <c r="A21387" s="4" t="str">
        <f t="shared" si="1422"/>
        <v>EXP00452</v>
      </c>
      <c r="B21387" s="3" t="s">
        <v>66</v>
      </c>
      <c r="C21387" s="4" t="str">
        <f t="shared" si="1423"/>
        <v>TCGA-UCEC</v>
      </c>
      <c r="D21387" s="1" t="s">
        <v>493</v>
      </c>
      <c r="E21387" t="s">
        <v>601</v>
      </c>
      <c r="F21387" s="1">
        <v>2</v>
      </c>
      <c r="G21387" s="1" t="s">
        <v>28</v>
      </c>
      <c r="H21387" s="4" t="str">
        <f>HYPERLINK("https://portal.gdc.cancer.gov/cases/840ff11f-f991-4e1b-861b-98d236d573d3","TCGA-A5-A2K2-01A")</f>
        <v>TCGA-A5-A2K2-01A</v>
      </c>
      <c r="I21387" t="s">
        <v>444</v>
      </c>
      <c r="J21387" t="s">
        <v>599</v>
      </c>
      <c r="K21387" t="s">
        <v>33</v>
      </c>
      <c r="L21387" t="s">
        <v>600</v>
      </c>
      <c r="N21387" t="s">
        <v>29</v>
      </c>
    </row>
    <row r="21388" spans="1:14">
      <c r="A21388" s="4" t="str">
        <f t="shared" si="1422"/>
        <v>EXP00452</v>
      </c>
      <c r="B21388" s="3" t="s">
        <v>66</v>
      </c>
      <c r="C21388" s="4" t="str">
        <f t="shared" si="1423"/>
        <v>TCGA-UCEC</v>
      </c>
      <c r="D21388" s="1" t="s">
        <v>493</v>
      </c>
      <c r="E21388" t="s">
        <v>601</v>
      </c>
      <c r="F21388" s="1">
        <v>2</v>
      </c>
      <c r="G21388" s="1" t="s">
        <v>28</v>
      </c>
      <c r="H21388" s="4" t="str">
        <f>HYPERLINK("https://portal.gdc.cancer.gov/cases/c3096984-bd11-44a0-8ee0-47f07ad04d81","TCGA-A5-A2K3-01A")</f>
        <v>TCGA-A5-A2K3-01A</v>
      </c>
      <c r="I21388" t="s">
        <v>444</v>
      </c>
      <c r="J21388" t="s">
        <v>599</v>
      </c>
      <c r="K21388" t="s">
        <v>33</v>
      </c>
      <c r="L21388" t="s">
        <v>600</v>
      </c>
      <c r="N21388" t="s">
        <v>29</v>
      </c>
    </row>
    <row r="21389" spans="1:14">
      <c r="A21389" s="4" t="str">
        <f t="shared" si="1422"/>
        <v>EXP00452</v>
      </c>
      <c r="B21389" s="3" t="s">
        <v>66</v>
      </c>
      <c r="C21389" s="4" t="str">
        <f t="shared" si="1423"/>
        <v>TCGA-UCEC</v>
      </c>
      <c r="D21389" s="1" t="s">
        <v>493</v>
      </c>
      <c r="E21389" t="s">
        <v>601</v>
      </c>
      <c r="F21389" s="1">
        <v>2</v>
      </c>
      <c r="G21389" s="1" t="s">
        <v>28</v>
      </c>
      <c r="H21389" s="4" t="str">
        <f>HYPERLINK("https://portal.gdc.cancer.gov/cases/c4f8f33f-a07c-4dfb-be24-c52d577bd640","TCGA-A5-A2K4-01A")</f>
        <v>TCGA-A5-A2K4-01A</v>
      </c>
      <c r="I21389" t="s">
        <v>444</v>
      </c>
      <c r="J21389" t="s">
        <v>599</v>
      </c>
      <c r="K21389" t="s">
        <v>33</v>
      </c>
      <c r="L21389" t="s">
        <v>600</v>
      </c>
      <c r="N21389" t="s">
        <v>29</v>
      </c>
    </row>
    <row r="21390" spans="1:14">
      <c r="A21390" s="4" t="str">
        <f t="shared" ref="A21390:A21453" si="1424">HYPERLINK("http://hcmdb.i-sanger.com/experiment/details/experiment_id/EXP00452","EXP00452")</f>
        <v>EXP00452</v>
      </c>
      <c r="B21390" s="3" t="s">
        <v>66</v>
      </c>
      <c r="C21390" s="4" t="str">
        <f t="shared" si="1423"/>
        <v>TCGA-UCEC</v>
      </c>
      <c r="D21390" s="1" t="s">
        <v>493</v>
      </c>
      <c r="E21390" t="s">
        <v>601</v>
      </c>
      <c r="F21390" s="1">
        <v>2</v>
      </c>
      <c r="G21390" s="1" t="s">
        <v>28</v>
      </c>
      <c r="H21390" s="4" t="str">
        <f>HYPERLINK("https://portal.gdc.cancer.gov/cases/cf77afe9-3785-45d4-ba2a-61c9cb706225","TCGA-A5-A2K5-01A")</f>
        <v>TCGA-A5-A2K5-01A</v>
      </c>
      <c r="I21390" t="s">
        <v>444</v>
      </c>
      <c r="J21390" t="s">
        <v>599</v>
      </c>
      <c r="K21390" t="s">
        <v>33</v>
      </c>
      <c r="L21390" t="s">
        <v>600</v>
      </c>
      <c r="N21390" t="s">
        <v>29</v>
      </c>
    </row>
    <row r="21391" spans="1:14">
      <c r="A21391" s="4" t="str">
        <f t="shared" si="1424"/>
        <v>EXP00452</v>
      </c>
      <c r="B21391" s="3" t="s">
        <v>66</v>
      </c>
      <c r="C21391" s="4" t="str">
        <f t="shared" si="1423"/>
        <v>TCGA-UCEC</v>
      </c>
      <c r="D21391" s="1" t="s">
        <v>493</v>
      </c>
      <c r="E21391" t="s">
        <v>601</v>
      </c>
      <c r="F21391" s="1">
        <v>2</v>
      </c>
      <c r="G21391" s="1" t="s">
        <v>28</v>
      </c>
      <c r="H21391" s="4" t="str">
        <f>HYPERLINK("https://portal.gdc.cancer.gov/cases/f42868c0-ff59-438b-90a7-489aea678de9","TCGA-A5-A2K7-01A")</f>
        <v>TCGA-A5-A2K7-01A</v>
      </c>
      <c r="I21391" t="s">
        <v>444</v>
      </c>
      <c r="J21391" t="s">
        <v>599</v>
      </c>
      <c r="K21391" t="s">
        <v>33</v>
      </c>
      <c r="L21391" t="s">
        <v>600</v>
      </c>
      <c r="N21391" t="s">
        <v>29</v>
      </c>
    </row>
    <row r="21392" spans="1:14">
      <c r="A21392" s="4" t="str">
        <f t="shared" si="1424"/>
        <v>EXP00452</v>
      </c>
      <c r="B21392" s="3" t="s">
        <v>66</v>
      </c>
      <c r="C21392" s="4" t="str">
        <f t="shared" si="1423"/>
        <v>TCGA-UCEC</v>
      </c>
      <c r="D21392" s="1" t="s">
        <v>493</v>
      </c>
      <c r="E21392" t="s">
        <v>601</v>
      </c>
      <c r="F21392" s="1">
        <v>2</v>
      </c>
      <c r="G21392" s="1" t="s">
        <v>28</v>
      </c>
      <c r="H21392" s="4" t="str">
        <f>HYPERLINK("https://portal.gdc.cancer.gov/cases/2a2bc155-ca7c-48b2-bb77-ccfd6313710a","TCGA-A5-A3LO-01A")</f>
        <v>TCGA-A5-A3LO-01A</v>
      </c>
      <c r="I21392" t="s">
        <v>444</v>
      </c>
      <c r="J21392" t="s">
        <v>599</v>
      </c>
      <c r="K21392" t="s">
        <v>33</v>
      </c>
      <c r="L21392" t="s">
        <v>600</v>
      </c>
      <c r="N21392" t="s">
        <v>29</v>
      </c>
    </row>
    <row r="21393" spans="1:14">
      <c r="A21393" s="4" t="str">
        <f t="shared" si="1424"/>
        <v>EXP00452</v>
      </c>
      <c r="B21393" s="3" t="s">
        <v>66</v>
      </c>
      <c r="C21393" s="4" t="str">
        <f t="shared" si="1423"/>
        <v>TCGA-UCEC</v>
      </c>
      <c r="D21393" s="1" t="s">
        <v>493</v>
      </c>
      <c r="E21393" t="s">
        <v>601</v>
      </c>
      <c r="F21393" s="1">
        <v>2</v>
      </c>
      <c r="G21393" s="1" t="s">
        <v>28</v>
      </c>
      <c r="H21393" s="4" t="str">
        <f>HYPERLINK("https://portal.gdc.cancer.gov/cases/9becf65d-01f2-4e84-a256-106002e22526","TCGA-A5-A3LP-01A")</f>
        <v>TCGA-A5-A3LP-01A</v>
      </c>
      <c r="I21393" t="s">
        <v>444</v>
      </c>
      <c r="J21393" t="s">
        <v>599</v>
      </c>
      <c r="K21393" t="s">
        <v>33</v>
      </c>
      <c r="L21393" t="s">
        <v>600</v>
      </c>
      <c r="N21393" t="s">
        <v>29</v>
      </c>
    </row>
    <row r="21394" spans="1:14">
      <c r="A21394" s="4" t="str">
        <f t="shared" si="1424"/>
        <v>EXP00452</v>
      </c>
      <c r="B21394" s="3" t="s">
        <v>66</v>
      </c>
      <c r="C21394" s="4" t="str">
        <f t="shared" si="1423"/>
        <v>TCGA-UCEC</v>
      </c>
      <c r="D21394" s="1" t="s">
        <v>493</v>
      </c>
      <c r="E21394" t="s">
        <v>601</v>
      </c>
      <c r="F21394" s="1">
        <v>2</v>
      </c>
      <c r="G21394" s="1" t="s">
        <v>28</v>
      </c>
      <c r="H21394" s="4" t="str">
        <f>HYPERLINK("https://portal.gdc.cancer.gov/cases/a3e728ce-0874-4f4b-a83d-8c679f4bd938","TCGA-A5-A7WJ-01A")</f>
        <v>TCGA-A5-A7WJ-01A</v>
      </c>
      <c r="I21394" t="s">
        <v>444</v>
      </c>
      <c r="J21394" t="s">
        <v>599</v>
      </c>
      <c r="K21394" t="s">
        <v>33</v>
      </c>
      <c r="L21394" t="s">
        <v>600</v>
      </c>
      <c r="N21394" t="s">
        <v>29</v>
      </c>
    </row>
    <row r="21395" spans="1:14">
      <c r="A21395" s="4" t="str">
        <f t="shared" si="1424"/>
        <v>EXP00452</v>
      </c>
      <c r="B21395" s="3" t="s">
        <v>66</v>
      </c>
      <c r="C21395" s="4" t="str">
        <f t="shared" si="1423"/>
        <v>TCGA-UCEC</v>
      </c>
      <c r="D21395" s="1" t="s">
        <v>493</v>
      </c>
      <c r="E21395" t="s">
        <v>601</v>
      </c>
      <c r="F21395" s="1">
        <v>2</v>
      </c>
      <c r="G21395" s="1" t="s">
        <v>28</v>
      </c>
      <c r="H21395" s="4" t="str">
        <f>HYPERLINK("https://portal.gdc.cancer.gov/cases/ded408ee-053a-43ed-9bcf-1d15cd203051","TCGA-A5-A7WK-01A")</f>
        <v>TCGA-A5-A7WK-01A</v>
      </c>
      <c r="I21395" t="s">
        <v>444</v>
      </c>
      <c r="J21395" t="s">
        <v>599</v>
      </c>
      <c r="K21395" t="s">
        <v>33</v>
      </c>
      <c r="L21395" t="s">
        <v>600</v>
      </c>
      <c r="N21395" t="s">
        <v>29</v>
      </c>
    </row>
    <row r="21396" spans="1:14">
      <c r="A21396" s="4" t="str">
        <f t="shared" si="1424"/>
        <v>EXP00452</v>
      </c>
      <c r="B21396" s="3" t="s">
        <v>66</v>
      </c>
      <c r="C21396" s="4" t="str">
        <f t="shared" si="1423"/>
        <v>TCGA-UCEC</v>
      </c>
      <c r="D21396" s="1" t="s">
        <v>493</v>
      </c>
      <c r="E21396" t="s">
        <v>601</v>
      </c>
      <c r="F21396" s="1">
        <v>2</v>
      </c>
      <c r="G21396" s="1" t="s">
        <v>28</v>
      </c>
      <c r="H21396" s="4" t="str">
        <f>HYPERLINK("https://portal.gdc.cancer.gov/cases/8a67ed86-156f-4b45-b460-000fe33da26b","TCGA-A5-AB3J-01A")</f>
        <v>TCGA-A5-AB3J-01A</v>
      </c>
      <c r="I21396" t="s">
        <v>444</v>
      </c>
      <c r="J21396" t="s">
        <v>599</v>
      </c>
      <c r="K21396" t="s">
        <v>33</v>
      </c>
      <c r="L21396" t="s">
        <v>600</v>
      </c>
      <c r="N21396" t="s">
        <v>29</v>
      </c>
    </row>
    <row r="21397" spans="1:14">
      <c r="A21397" s="4" t="str">
        <f t="shared" si="1424"/>
        <v>EXP00452</v>
      </c>
      <c r="B21397" s="3" t="s">
        <v>66</v>
      </c>
      <c r="C21397" s="4" t="str">
        <f t="shared" si="1423"/>
        <v>TCGA-UCEC</v>
      </c>
      <c r="D21397" s="1" t="s">
        <v>493</v>
      </c>
      <c r="E21397" t="s">
        <v>601</v>
      </c>
      <c r="F21397" s="1">
        <v>2</v>
      </c>
      <c r="G21397" s="1" t="s">
        <v>28</v>
      </c>
      <c r="H21397" s="4" t="str">
        <f>HYPERLINK("https://portal.gdc.cancer.gov/cases/d39df936-4bc6-404d-9e1d-f6416cc5a34c","TCGA-AJ-A23M-01A")</f>
        <v>TCGA-AJ-A23M-01A</v>
      </c>
      <c r="I21397" t="s">
        <v>444</v>
      </c>
      <c r="J21397" t="s">
        <v>599</v>
      </c>
      <c r="K21397" t="s">
        <v>33</v>
      </c>
      <c r="L21397" t="s">
        <v>600</v>
      </c>
      <c r="N21397" t="s">
        <v>29</v>
      </c>
    </row>
    <row r="21398" spans="1:14">
      <c r="A21398" s="4" t="str">
        <f t="shared" si="1424"/>
        <v>EXP00452</v>
      </c>
      <c r="B21398" s="3" t="s">
        <v>66</v>
      </c>
      <c r="C21398" s="4" t="str">
        <f t="shared" si="1423"/>
        <v>TCGA-UCEC</v>
      </c>
      <c r="D21398" s="1" t="s">
        <v>493</v>
      </c>
      <c r="E21398" t="s">
        <v>601</v>
      </c>
      <c r="F21398" s="1">
        <v>2</v>
      </c>
      <c r="G21398" s="1" t="s">
        <v>28</v>
      </c>
      <c r="H21398" s="4" t="str">
        <f>HYPERLINK("https://portal.gdc.cancer.gov/cases/5d39e9a2-1073-4db2-b02e-db05d59563a7","TCGA-AJ-A23N-01A")</f>
        <v>TCGA-AJ-A23N-01A</v>
      </c>
      <c r="I21398" t="s">
        <v>444</v>
      </c>
      <c r="J21398" t="s">
        <v>599</v>
      </c>
      <c r="K21398" t="s">
        <v>33</v>
      </c>
      <c r="L21398" t="s">
        <v>600</v>
      </c>
      <c r="N21398" t="s">
        <v>29</v>
      </c>
    </row>
    <row r="21399" spans="1:14">
      <c r="A21399" s="4" t="str">
        <f t="shared" si="1424"/>
        <v>EXP00452</v>
      </c>
      <c r="B21399" s="3" t="s">
        <v>66</v>
      </c>
      <c r="C21399" s="4" t="str">
        <f t="shared" si="1423"/>
        <v>TCGA-UCEC</v>
      </c>
      <c r="D21399" s="1" t="s">
        <v>493</v>
      </c>
      <c r="E21399" t="s">
        <v>601</v>
      </c>
      <c r="F21399" s="1">
        <v>2</v>
      </c>
      <c r="G21399" s="1" t="s">
        <v>28</v>
      </c>
      <c r="H21399" s="4" t="str">
        <f>HYPERLINK("https://portal.gdc.cancer.gov/cases/70b4b353-10d4-49d0-bcc1-855616d8c8cc","TCGA-AJ-A23O-01A")</f>
        <v>TCGA-AJ-A23O-01A</v>
      </c>
      <c r="I21399" t="s">
        <v>444</v>
      </c>
      <c r="J21399" t="s">
        <v>599</v>
      </c>
      <c r="K21399" t="s">
        <v>33</v>
      </c>
      <c r="L21399" t="s">
        <v>600</v>
      </c>
      <c r="N21399" t="s">
        <v>29</v>
      </c>
    </row>
    <row r="21400" spans="1:14">
      <c r="A21400" s="4" t="str">
        <f t="shared" si="1424"/>
        <v>EXP00452</v>
      </c>
      <c r="B21400" s="3" t="s">
        <v>66</v>
      </c>
      <c r="C21400" s="4" t="str">
        <f t="shared" si="1423"/>
        <v>TCGA-UCEC</v>
      </c>
      <c r="D21400" s="1" t="s">
        <v>493</v>
      </c>
      <c r="E21400" t="s">
        <v>601</v>
      </c>
      <c r="F21400" s="1">
        <v>2</v>
      </c>
      <c r="G21400" s="1" t="s">
        <v>28</v>
      </c>
      <c r="H21400" s="4" t="str">
        <f>HYPERLINK("https://portal.gdc.cancer.gov/cases/de5abe44-6d9d-4797-a57a-5adfd71383f0","TCGA-AJ-A2QK-01A")</f>
        <v>TCGA-AJ-A2QK-01A</v>
      </c>
      <c r="I21400" t="s">
        <v>444</v>
      </c>
      <c r="J21400" t="s">
        <v>599</v>
      </c>
      <c r="K21400" t="s">
        <v>33</v>
      </c>
      <c r="L21400" t="s">
        <v>600</v>
      </c>
      <c r="N21400" t="s">
        <v>29</v>
      </c>
    </row>
    <row r="21401" spans="1:14">
      <c r="A21401" s="4" t="str">
        <f t="shared" si="1424"/>
        <v>EXP00452</v>
      </c>
      <c r="B21401" s="3" t="s">
        <v>66</v>
      </c>
      <c r="C21401" s="4" t="str">
        <f t="shared" si="1423"/>
        <v>TCGA-UCEC</v>
      </c>
      <c r="D21401" s="1" t="s">
        <v>493</v>
      </c>
      <c r="E21401" t="s">
        <v>601</v>
      </c>
      <c r="F21401" s="1">
        <v>2</v>
      </c>
      <c r="G21401" s="1" t="s">
        <v>28</v>
      </c>
      <c r="H21401" s="4" t="str">
        <f>HYPERLINK("https://portal.gdc.cancer.gov/cases/9002fc6c-26de-4b8f-8985-a4814cd3daf7","TCGA-AJ-A2QL-01A")</f>
        <v>TCGA-AJ-A2QL-01A</v>
      </c>
      <c r="I21401" t="s">
        <v>444</v>
      </c>
      <c r="J21401" t="s">
        <v>599</v>
      </c>
      <c r="K21401" t="s">
        <v>33</v>
      </c>
      <c r="L21401" t="s">
        <v>600</v>
      </c>
      <c r="N21401" t="s">
        <v>29</v>
      </c>
    </row>
    <row r="21402" spans="1:14">
      <c r="A21402" s="4" t="str">
        <f t="shared" si="1424"/>
        <v>EXP00452</v>
      </c>
      <c r="B21402" s="3" t="s">
        <v>66</v>
      </c>
      <c r="C21402" s="4" t="str">
        <f t="shared" si="1423"/>
        <v>TCGA-UCEC</v>
      </c>
      <c r="D21402" s="1" t="s">
        <v>493</v>
      </c>
      <c r="E21402" t="s">
        <v>601</v>
      </c>
      <c r="F21402" s="1">
        <v>2</v>
      </c>
      <c r="G21402" s="1" t="s">
        <v>28</v>
      </c>
      <c r="H21402" s="4" t="str">
        <f>HYPERLINK("https://portal.gdc.cancer.gov/cases/d9f4a2c1-ac6d-48c6-95fe-ffbc2fa08268","TCGA-AJ-A2QM-01A")</f>
        <v>TCGA-AJ-A2QM-01A</v>
      </c>
      <c r="I21402" t="s">
        <v>444</v>
      </c>
      <c r="J21402" t="s">
        <v>599</v>
      </c>
      <c r="K21402" t="s">
        <v>33</v>
      </c>
      <c r="L21402" t="s">
        <v>600</v>
      </c>
      <c r="N21402" t="s">
        <v>29</v>
      </c>
    </row>
    <row r="21403" spans="1:14">
      <c r="A21403" s="4" t="str">
        <f t="shared" si="1424"/>
        <v>EXP00452</v>
      </c>
      <c r="B21403" s="3" t="s">
        <v>66</v>
      </c>
      <c r="C21403" s="4" t="str">
        <f t="shared" si="1423"/>
        <v>TCGA-UCEC</v>
      </c>
      <c r="D21403" s="1" t="s">
        <v>493</v>
      </c>
      <c r="E21403" t="s">
        <v>601</v>
      </c>
      <c r="F21403" s="1">
        <v>2</v>
      </c>
      <c r="G21403" s="1" t="s">
        <v>28</v>
      </c>
      <c r="H21403" s="4" t="str">
        <f>HYPERLINK("https://portal.gdc.cancer.gov/cases/e00f6dc5-bc8b-472d-bac3-c7823364f01e","TCGA-AJ-A2QN-01A")</f>
        <v>TCGA-AJ-A2QN-01A</v>
      </c>
      <c r="I21403" t="s">
        <v>444</v>
      </c>
      <c r="J21403" t="s">
        <v>599</v>
      </c>
      <c r="K21403" t="s">
        <v>33</v>
      </c>
      <c r="L21403" t="s">
        <v>600</v>
      </c>
      <c r="N21403" t="s">
        <v>29</v>
      </c>
    </row>
    <row r="21404" spans="1:14">
      <c r="A21404" s="4" t="str">
        <f t="shared" si="1424"/>
        <v>EXP00452</v>
      </c>
      <c r="B21404" s="3" t="s">
        <v>66</v>
      </c>
      <c r="C21404" s="4" t="str">
        <f t="shared" si="1423"/>
        <v>TCGA-UCEC</v>
      </c>
      <c r="D21404" s="1" t="s">
        <v>493</v>
      </c>
      <c r="E21404" t="s">
        <v>601</v>
      </c>
      <c r="F21404" s="1">
        <v>2</v>
      </c>
      <c r="G21404" s="1" t="s">
        <v>28</v>
      </c>
      <c r="H21404" s="4" t="str">
        <f>HYPERLINK("https://portal.gdc.cancer.gov/cases/dcf1beb9-bce4-4f4c-98dd-1226d8e0c125","TCGA-AJ-A2QO-01A")</f>
        <v>TCGA-AJ-A2QO-01A</v>
      </c>
      <c r="I21404" t="s">
        <v>444</v>
      </c>
      <c r="J21404" t="s">
        <v>599</v>
      </c>
      <c r="K21404" t="s">
        <v>33</v>
      </c>
      <c r="L21404" t="s">
        <v>600</v>
      </c>
      <c r="N21404" t="s">
        <v>29</v>
      </c>
    </row>
    <row r="21405" spans="1:14">
      <c r="A21405" s="4" t="str">
        <f t="shared" si="1424"/>
        <v>EXP00452</v>
      </c>
      <c r="B21405" s="3" t="s">
        <v>66</v>
      </c>
      <c r="C21405" s="4" t="str">
        <f t="shared" si="1423"/>
        <v>TCGA-UCEC</v>
      </c>
      <c r="D21405" s="1" t="s">
        <v>493</v>
      </c>
      <c r="E21405" t="s">
        <v>601</v>
      </c>
      <c r="F21405" s="1">
        <v>2</v>
      </c>
      <c r="G21405" s="1" t="s">
        <v>28</v>
      </c>
      <c r="H21405" s="4" t="str">
        <f>HYPERLINK("https://portal.gdc.cancer.gov/cases/ab68cd1b-5075-4b30-a829-d6d0f95871cb","TCGA-AJ-A3BD-01A")</f>
        <v>TCGA-AJ-A3BD-01A</v>
      </c>
      <c r="I21405" t="s">
        <v>444</v>
      </c>
      <c r="J21405" t="s">
        <v>599</v>
      </c>
      <c r="K21405" t="s">
        <v>33</v>
      </c>
      <c r="L21405" t="s">
        <v>600</v>
      </c>
      <c r="N21405" t="s">
        <v>29</v>
      </c>
    </row>
    <row r="21406" spans="1:14">
      <c r="A21406" s="4" t="str">
        <f t="shared" si="1424"/>
        <v>EXP00452</v>
      </c>
      <c r="B21406" s="3" t="s">
        <v>66</v>
      </c>
      <c r="C21406" s="4" t="str">
        <f t="shared" si="1423"/>
        <v>TCGA-UCEC</v>
      </c>
      <c r="D21406" s="1" t="s">
        <v>493</v>
      </c>
      <c r="E21406" t="s">
        <v>601</v>
      </c>
      <c r="F21406" s="1">
        <v>2</v>
      </c>
      <c r="G21406" s="1" t="s">
        <v>28</v>
      </c>
      <c r="H21406" s="4" t="str">
        <f>HYPERLINK("https://portal.gdc.cancer.gov/cases/40287cdc-19dd-4370-a6a0-f324960e1148","TCGA-AJ-A3BF-01A")</f>
        <v>TCGA-AJ-A3BF-01A</v>
      </c>
      <c r="I21406" t="s">
        <v>444</v>
      </c>
      <c r="J21406" t="s">
        <v>599</v>
      </c>
      <c r="K21406" t="s">
        <v>33</v>
      </c>
      <c r="L21406" t="s">
        <v>600</v>
      </c>
      <c r="N21406" t="s">
        <v>29</v>
      </c>
    </row>
    <row r="21407" spans="1:14">
      <c r="A21407" s="4" t="str">
        <f t="shared" si="1424"/>
        <v>EXP00452</v>
      </c>
      <c r="B21407" s="3" t="s">
        <v>66</v>
      </c>
      <c r="C21407" s="4" t="str">
        <f t="shared" si="1423"/>
        <v>TCGA-UCEC</v>
      </c>
      <c r="D21407" s="1" t="s">
        <v>493</v>
      </c>
      <c r="E21407" t="s">
        <v>601</v>
      </c>
      <c r="F21407" s="1">
        <v>2</v>
      </c>
      <c r="G21407" s="1" t="s">
        <v>28</v>
      </c>
      <c r="H21407" s="4" t="str">
        <f>HYPERLINK("https://portal.gdc.cancer.gov/cases/77ed36ad-222f-4693-8668-0ecf9073d6e8","TCGA-AJ-A3BG-01A")</f>
        <v>TCGA-AJ-A3BG-01A</v>
      </c>
      <c r="I21407" t="s">
        <v>444</v>
      </c>
      <c r="J21407" t="s">
        <v>599</v>
      </c>
      <c r="K21407" t="s">
        <v>33</v>
      </c>
      <c r="L21407" t="s">
        <v>600</v>
      </c>
      <c r="N21407" t="s">
        <v>29</v>
      </c>
    </row>
    <row r="21408" spans="1:14">
      <c r="A21408" s="4" t="str">
        <f t="shared" si="1424"/>
        <v>EXP00452</v>
      </c>
      <c r="B21408" s="3" t="s">
        <v>66</v>
      </c>
      <c r="C21408" s="4" t="str">
        <f t="shared" si="1423"/>
        <v>TCGA-UCEC</v>
      </c>
      <c r="D21408" s="1" t="s">
        <v>493</v>
      </c>
      <c r="E21408" t="s">
        <v>601</v>
      </c>
      <c r="F21408" s="1">
        <v>2</v>
      </c>
      <c r="G21408" s="1" t="s">
        <v>28</v>
      </c>
      <c r="H21408" s="4" t="str">
        <f>HYPERLINK("https://portal.gdc.cancer.gov/cases/a7d07151-5fc8-4c2a-a1cd-e7c7a2a9a7a7","TCGA-AJ-A3BH-01A")</f>
        <v>TCGA-AJ-A3BH-01A</v>
      </c>
      <c r="I21408" t="s">
        <v>444</v>
      </c>
      <c r="J21408" t="s">
        <v>599</v>
      </c>
      <c r="K21408" t="s">
        <v>33</v>
      </c>
      <c r="L21408" t="s">
        <v>600</v>
      </c>
      <c r="N21408" t="s">
        <v>29</v>
      </c>
    </row>
    <row r="21409" spans="1:14">
      <c r="A21409" s="4" t="str">
        <f t="shared" si="1424"/>
        <v>EXP00452</v>
      </c>
      <c r="B21409" s="3" t="s">
        <v>66</v>
      </c>
      <c r="C21409" s="4" t="str">
        <f t="shared" si="1423"/>
        <v>TCGA-UCEC</v>
      </c>
      <c r="D21409" s="1" t="s">
        <v>493</v>
      </c>
      <c r="E21409" t="s">
        <v>601</v>
      </c>
      <c r="F21409" s="1">
        <v>2</v>
      </c>
      <c r="G21409" s="1" t="s">
        <v>28</v>
      </c>
      <c r="H21409" s="4" t="str">
        <f>HYPERLINK("https://portal.gdc.cancer.gov/cases/525fb4fc-2167-4506-b4fa-fb896bf64cd0","TCGA-AJ-A3BI-01A")</f>
        <v>TCGA-AJ-A3BI-01A</v>
      </c>
      <c r="I21409" t="s">
        <v>444</v>
      </c>
      <c r="J21409" t="s">
        <v>599</v>
      </c>
      <c r="K21409" t="s">
        <v>33</v>
      </c>
      <c r="L21409" t="s">
        <v>600</v>
      </c>
      <c r="N21409" t="s">
        <v>29</v>
      </c>
    </row>
    <row r="21410" spans="1:14">
      <c r="A21410" s="4" t="str">
        <f t="shared" si="1424"/>
        <v>EXP00452</v>
      </c>
      <c r="B21410" s="3" t="s">
        <v>66</v>
      </c>
      <c r="C21410" s="4" t="str">
        <f t="shared" si="1423"/>
        <v>TCGA-UCEC</v>
      </c>
      <c r="D21410" s="1" t="s">
        <v>493</v>
      </c>
      <c r="E21410" t="s">
        <v>601</v>
      </c>
      <c r="F21410" s="1">
        <v>2</v>
      </c>
      <c r="G21410" s="1" t="s">
        <v>28</v>
      </c>
      <c r="H21410" s="4" t="str">
        <f>HYPERLINK("https://portal.gdc.cancer.gov/cases/503e6c30-1b62-4f85-bcb4-e34c009894ab","TCGA-AJ-A3BK-01A")</f>
        <v>TCGA-AJ-A3BK-01A</v>
      </c>
      <c r="I21410" t="s">
        <v>444</v>
      </c>
      <c r="J21410" t="s">
        <v>599</v>
      </c>
      <c r="K21410" t="s">
        <v>33</v>
      </c>
      <c r="L21410" t="s">
        <v>600</v>
      </c>
      <c r="N21410" t="s">
        <v>29</v>
      </c>
    </row>
    <row r="21411" spans="1:14">
      <c r="A21411" s="4" t="str">
        <f t="shared" si="1424"/>
        <v>EXP00452</v>
      </c>
      <c r="B21411" s="3" t="s">
        <v>66</v>
      </c>
      <c r="C21411" s="4" t="str">
        <f t="shared" si="1423"/>
        <v>TCGA-UCEC</v>
      </c>
      <c r="D21411" s="1" t="s">
        <v>493</v>
      </c>
      <c r="E21411" t="s">
        <v>601</v>
      </c>
      <c r="F21411" s="1">
        <v>2</v>
      </c>
      <c r="G21411" s="1" t="s">
        <v>28</v>
      </c>
      <c r="H21411" s="4" t="str">
        <f>HYPERLINK("https://portal.gdc.cancer.gov/cases/672de064-3378-4004-a3ea-f79885e10d78","TCGA-AJ-A3EJ-01A")</f>
        <v>TCGA-AJ-A3EJ-01A</v>
      </c>
      <c r="I21411" t="s">
        <v>444</v>
      </c>
      <c r="J21411" t="s">
        <v>599</v>
      </c>
      <c r="K21411" t="s">
        <v>33</v>
      </c>
      <c r="L21411" t="s">
        <v>600</v>
      </c>
      <c r="N21411" t="s">
        <v>29</v>
      </c>
    </row>
    <row r="21412" spans="1:14">
      <c r="A21412" s="4" t="str">
        <f t="shared" si="1424"/>
        <v>EXP00452</v>
      </c>
      <c r="B21412" s="3" t="s">
        <v>66</v>
      </c>
      <c r="C21412" s="4" t="str">
        <f t="shared" si="1423"/>
        <v>TCGA-UCEC</v>
      </c>
      <c r="D21412" s="1" t="s">
        <v>493</v>
      </c>
      <c r="E21412" t="s">
        <v>601</v>
      </c>
      <c r="F21412" s="1">
        <v>2</v>
      </c>
      <c r="G21412" s="1" t="s">
        <v>28</v>
      </c>
      <c r="H21412" s="4" t="str">
        <f>HYPERLINK("https://portal.gdc.cancer.gov/cases/14db56ef-ec5e-4775-a229-5d83e58e027c","TCGA-AJ-A3EK-01A")</f>
        <v>TCGA-AJ-A3EK-01A</v>
      </c>
      <c r="I21412" t="s">
        <v>444</v>
      </c>
      <c r="J21412" t="s">
        <v>599</v>
      </c>
      <c r="K21412" t="s">
        <v>33</v>
      </c>
      <c r="L21412" t="s">
        <v>600</v>
      </c>
      <c r="N21412" t="s">
        <v>29</v>
      </c>
    </row>
    <row r="21413" spans="1:14">
      <c r="A21413" s="4" t="str">
        <f t="shared" si="1424"/>
        <v>EXP00452</v>
      </c>
      <c r="B21413" s="3" t="s">
        <v>66</v>
      </c>
      <c r="C21413" s="4" t="str">
        <f t="shared" si="1423"/>
        <v>TCGA-UCEC</v>
      </c>
      <c r="D21413" s="1" t="s">
        <v>493</v>
      </c>
      <c r="E21413" t="s">
        <v>601</v>
      </c>
      <c r="F21413" s="1">
        <v>2</v>
      </c>
      <c r="G21413" s="1" t="s">
        <v>28</v>
      </c>
      <c r="H21413" s="4" t="str">
        <f>HYPERLINK("https://portal.gdc.cancer.gov/cases/23e1d96e-6175-4145-8267-8f0a88f54c4d","TCGA-AJ-A3EL-01A")</f>
        <v>TCGA-AJ-A3EL-01A</v>
      </c>
      <c r="I21413" t="s">
        <v>444</v>
      </c>
      <c r="J21413" t="s">
        <v>599</v>
      </c>
      <c r="K21413" t="s">
        <v>33</v>
      </c>
      <c r="L21413" t="s">
        <v>600</v>
      </c>
      <c r="N21413" t="s">
        <v>29</v>
      </c>
    </row>
    <row r="21414" spans="1:14">
      <c r="A21414" s="4" t="str">
        <f t="shared" si="1424"/>
        <v>EXP00452</v>
      </c>
      <c r="B21414" s="3" t="s">
        <v>66</v>
      </c>
      <c r="C21414" s="4" t="str">
        <f t="shared" si="1423"/>
        <v>TCGA-UCEC</v>
      </c>
      <c r="D21414" s="1" t="s">
        <v>493</v>
      </c>
      <c r="E21414" t="s">
        <v>601</v>
      </c>
      <c r="F21414" s="1">
        <v>2</v>
      </c>
      <c r="G21414" s="1" t="s">
        <v>28</v>
      </c>
      <c r="H21414" s="4" t="str">
        <f>HYPERLINK("https://portal.gdc.cancer.gov/cases/c856e031-bbd0-431f-b44f-b3ad9b39af7b","TCGA-AJ-A3EM-01A")</f>
        <v>TCGA-AJ-A3EM-01A</v>
      </c>
      <c r="I21414" t="s">
        <v>444</v>
      </c>
      <c r="J21414" t="s">
        <v>599</v>
      </c>
      <c r="K21414" t="s">
        <v>33</v>
      </c>
      <c r="L21414" t="s">
        <v>600</v>
      </c>
      <c r="N21414" t="s">
        <v>29</v>
      </c>
    </row>
    <row r="21415" spans="1:14">
      <c r="A21415" s="4" t="str">
        <f t="shared" si="1424"/>
        <v>EXP00452</v>
      </c>
      <c r="B21415" s="3" t="s">
        <v>66</v>
      </c>
      <c r="C21415" s="4" t="str">
        <f t="shared" si="1423"/>
        <v>TCGA-UCEC</v>
      </c>
      <c r="D21415" s="1" t="s">
        <v>493</v>
      </c>
      <c r="E21415" t="s">
        <v>601</v>
      </c>
      <c r="F21415" s="1">
        <v>2</v>
      </c>
      <c r="G21415" s="1" t="s">
        <v>28</v>
      </c>
      <c r="H21415" s="4" t="str">
        <f>HYPERLINK("https://portal.gdc.cancer.gov/cases/e5d64754-15e8-494e-b7f7-25cf2819fe4c","TCGA-AJ-A3I9-01A")</f>
        <v>TCGA-AJ-A3I9-01A</v>
      </c>
      <c r="I21415" t="s">
        <v>444</v>
      </c>
      <c r="J21415" t="s">
        <v>599</v>
      </c>
      <c r="K21415" t="s">
        <v>33</v>
      </c>
      <c r="L21415" t="s">
        <v>600</v>
      </c>
      <c r="N21415" t="s">
        <v>29</v>
      </c>
    </row>
    <row r="21416" spans="1:14">
      <c r="A21416" s="4" t="str">
        <f t="shared" si="1424"/>
        <v>EXP00452</v>
      </c>
      <c r="B21416" s="3" t="s">
        <v>66</v>
      </c>
      <c r="C21416" s="4" t="str">
        <f t="shared" si="1423"/>
        <v>TCGA-UCEC</v>
      </c>
      <c r="D21416" s="1" t="s">
        <v>493</v>
      </c>
      <c r="E21416" t="s">
        <v>601</v>
      </c>
      <c r="F21416" s="1">
        <v>2</v>
      </c>
      <c r="G21416" s="1" t="s">
        <v>28</v>
      </c>
      <c r="H21416" s="4" t="str">
        <f>HYPERLINK("https://portal.gdc.cancer.gov/cases/8a0a58a0-5c12-4366-af43-4fd25f8ff454","TCGA-AJ-A3IA-01A")</f>
        <v>TCGA-AJ-A3IA-01A</v>
      </c>
      <c r="I21416" t="s">
        <v>444</v>
      </c>
      <c r="J21416" t="s">
        <v>599</v>
      </c>
      <c r="K21416" t="s">
        <v>33</v>
      </c>
      <c r="L21416" t="s">
        <v>600</v>
      </c>
      <c r="N21416" t="s">
        <v>29</v>
      </c>
    </row>
    <row r="21417" spans="1:14">
      <c r="A21417" s="4" t="str">
        <f t="shared" si="1424"/>
        <v>EXP00452</v>
      </c>
      <c r="B21417" s="3" t="s">
        <v>66</v>
      </c>
      <c r="C21417" s="4" t="str">
        <f t="shared" si="1423"/>
        <v>TCGA-UCEC</v>
      </c>
      <c r="D21417" s="1" t="s">
        <v>493</v>
      </c>
      <c r="E21417" t="s">
        <v>601</v>
      </c>
      <c r="F21417" s="1">
        <v>2</v>
      </c>
      <c r="G21417" s="1" t="s">
        <v>28</v>
      </c>
      <c r="H21417" s="4" t="str">
        <f>HYPERLINK("https://portal.gdc.cancer.gov/cases/c8fb94dd-c535-48f4-9419-aac2bf47bbb4","TCGA-AJ-A3NC-01A")</f>
        <v>TCGA-AJ-A3NC-01A</v>
      </c>
      <c r="I21417" t="s">
        <v>444</v>
      </c>
      <c r="J21417" t="s">
        <v>599</v>
      </c>
      <c r="K21417" t="s">
        <v>33</v>
      </c>
      <c r="L21417" t="s">
        <v>600</v>
      </c>
      <c r="N21417" t="s">
        <v>29</v>
      </c>
    </row>
    <row r="21418" spans="1:14">
      <c r="A21418" s="4" t="str">
        <f t="shared" si="1424"/>
        <v>EXP00452</v>
      </c>
      <c r="B21418" s="3" t="s">
        <v>66</v>
      </c>
      <c r="C21418" s="4" t="str">
        <f t="shared" si="1423"/>
        <v>TCGA-UCEC</v>
      </c>
      <c r="D21418" s="1" t="s">
        <v>493</v>
      </c>
      <c r="E21418" t="s">
        <v>601</v>
      </c>
      <c r="F21418" s="1">
        <v>2</v>
      </c>
      <c r="G21418" s="1" t="s">
        <v>28</v>
      </c>
      <c r="H21418" s="4" t="str">
        <f>HYPERLINK("https://portal.gdc.cancer.gov/cases/1dcf33e9-4c9b-4b2b-914e-15e6be5dcd07","TCGA-AJ-A3NE-01A")</f>
        <v>TCGA-AJ-A3NE-01A</v>
      </c>
      <c r="I21418" t="s">
        <v>444</v>
      </c>
      <c r="J21418" t="s">
        <v>599</v>
      </c>
      <c r="K21418" t="s">
        <v>33</v>
      </c>
      <c r="L21418" t="s">
        <v>600</v>
      </c>
      <c r="N21418" t="s">
        <v>29</v>
      </c>
    </row>
    <row r="21419" spans="1:14">
      <c r="A21419" s="4" t="str">
        <f t="shared" si="1424"/>
        <v>EXP00452</v>
      </c>
      <c r="B21419" s="3" t="s">
        <v>66</v>
      </c>
      <c r="C21419" s="4" t="str">
        <f t="shared" si="1423"/>
        <v>TCGA-UCEC</v>
      </c>
      <c r="D21419" s="1" t="s">
        <v>493</v>
      </c>
      <c r="E21419" t="s">
        <v>601</v>
      </c>
      <c r="F21419" s="1">
        <v>2</v>
      </c>
      <c r="G21419" s="1" t="s">
        <v>28</v>
      </c>
      <c r="H21419" s="4" t="str">
        <f>HYPERLINK("https://portal.gdc.cancer.gov/cases/9fcbef9e-2cca-4033-b574-daab2a42198b","TCGA-AJ-A3NF-01A")</f>
        <v>TCGA-AJ-A3NF-01A</v>
      </c>
      <c r="I21419" t="s">
        <v>444</v>
      </c>
      <c r="J21419" t="s">
        <v>599</v>
      </c>
      <c r="K21419" t="s">
        <v>33</v>
      </c>
      <c r="L21419" t="s">
        <v>600</v>
      </c>
      <c r="N21419" t="s">
        <v>29</v>
      </c>
    </row>
    <row r="21420" spans="1:14">
      <c r="A21420" s="4" t="str">
        <f t="shared" si="1424"/>
        <v>EXP00452</v>
      </c>
      <c r="B21420" s="3" t="s">
        <v>66</v>
      </c>
      <c r="C21420" s="4" t="str">
        <f t="shared" si="1423"/>
        <v>TCGA-UCEC</v>
      </c>
      <c r="D21420" s="1" t="s">
        <v>493</v>
      </c>
      <c r="E21420" t="s">
        <v>601</v>
      </c>
      <c r="F21420" s="1">
        <v>2</v>
      </c>
      <c r="G21420" s="1" t="s">
        <v>28</v>
      </c>
      <c r="H21420" s="4" t="str">
        <f>HYPERLINK("https://portal.gdc.cancer.gov/cases/1addcd66-79ab-4976-9679-37f0f31ba1df","TCGA-AJ-A3NG-01A")</f>
        <v>TCGA-AJ-A3NG-01A</v>
      </c>
      <c r="I21420" t="s">
        <v>444</v>
      </c>
      <c r="J21420" t="s">
        <v>599</v>
      </c>
      <c r="K21420" t="s">
        <v>33</v>
      </c>
      <c r="L21420" t="s">
        <v>600</v>
      </c>
      <c r="N21420" t="s">
        <v>29</v>
      </c>
    </row>
    <row r="21421" spans="1:14">
      <c r="A21421" s="4" t="str">
        <f t="shared" si="1424"/>
        <v>EXP00452</v>
      </c>
      <c r="B21421" s="3" t="s">
        <v>66</v>
      </c>
      <c r="C21421" s="4" t="str">
        <f t="shared" si="1423"/>
        <v>TCGA-UCEC</v>
      </c>
      <c r="D21421" s="1" t="s">
        <v>493</v>
      </c>
      <c r="E21421" t="s">
        <v>601</v>
      </c>
      <c r="F21421" s="1">
        <v>2</v>
      </c>
      <c r="G21421" s="1" t="s">
        <v>28</v>
      </c>
      <c r="H21421" s="4" t="str">
        <f>HYPERLINK("https://portal.gdc.cancer.gov/cases/7186180a-688a-4fcc-9a67-166eff032e4b","TCGA-AJ-A3NH-01A")</f>
        <v>TCGA-AJ-A3NH-01A</v>
      </c>
      <c r="I21421" t="s">
        <v>444</v>
      </c>
      <c r="J21421" t="s">
        <v>599</v>
      </c>
      <c r="K21421" t="s">
        <v>33</v>
      </c>
      <c r="L21421" t="s">
        <v>600</v>
      </c>
      <c r="N21421" t="s">
        <v>29</v>
      </c>
    </row>
    <row r="21422" spans="1:14">
      <c r="A21422" s="4" t="str">
        <f t="shared" si="1424"/>
        <v>EXP00452</v>
      </c>
      <c r="B21422" s="3" t="s">
        <v>66</v>
      </c>
      <c r="C21422" s="4" t="str">
        <f t="shared" si="1423"/>
        <v>TCGA-UCEC</v>
      </c>
      <c r="D21422" s="1" t="s">
        <v>493</v>
      </c>
      <c r="E21422" t="s">
        <v>601</v>
      </c>
      <c r="F21422" s="1">
        <v>2</v>
      </c>
      <c r="G21422" s="1" t="s">
        <v>28</v>
      </c>
      <c r="H21422" s="4" t="str">
        <f>HYPERLINK("https://portal.gdc.cancer.gov/cases/76f98002-e8df-4dfa-926e-8bb2d5114966","TCGA-AJ-A3OJ-01A")</f>
        <v>TCGA-AJ-A3OJ-01A</v>
      </c>
      <c r="I21422" t="s">
        <v>444</v>
      </c>
      <c r="J21422" t="s">
        <v>599</v>
      </c>
      <c r="K21422" t="s">
        <v>33</v>
      </c>
      <c r="L21422" t="s">
        <v>600</v>
      </c>
      <c r="N21422" t="s">
        <v>29</v>
      </c>
    </row>
    <row r="21423" spans="1:14">
      <c r="A21423" s="4" t="str">
        <f t="shared" si="1424"/>
        <v>EXP00452</v>
      </c>
      <c r="B21423" s="3" t="s">
        <v>66</v>
      </c>
      <c r="C21423" s="4" t="str">
        <f t="shared" si="1423"/>
        <v>TCGA-UCEC</v>
      </c>
      <c r="D21423" s="1" t="s">
        <v>493</v>
      </c>
      <c r="E21423" t="s">
        <v>601</v>
      </c>
      <c r="F21423" s="1">
        <v>2</v>
      </c>
      <c r="G21423" s="1" t="s">
        <v>28</v>
      </c>
      <c r="H21423" s="4" t="str">
        <f>HYPERLINK("https://portal.gdc.cancer.gov/cases/12df24c6-1229-4777-ad90-7dd66259b65f","TCGA-AJ-A3OK-01A")</f>
        <v>TCGA-AJ-A3OK-01A</v>
      </c>
      <c r="I21423" t="s">
        <v>444</v>
      </c>
      <c r="J21423" t="s">
        <v>599</v>
      </c>
      <c r="K21423" t="s">
        <v>33</v>
      </c>
      <c r="L21423" t="s">
        <v>600</v>
      </c>
      <c r="N21423" t="s">
        <v>29</v>
      </c>
    </row>
    <row r="21424" spans="1:14">
      <c r="A21424" s="4" t="str">
        <f t="shared" si="1424"/>
        <v>EXP00452</v>
      </c>
      <c r="B21424" s="3" t="s">
        <v>66</v>
      </c>
      <c r="C21424" s="4" t="str">
        <f t="shared" si="1423"/>
        <v>TCGA-UCEC</v>
      </c>
      <c r="D21424" s="1" t="s">
        <v>493</v>
      </c>
      <c r="E21424" t="s">
        <v>601</v>
      </c>
      <c r="F21424" s="1">
        <v>2</v>
      </c>
      <c r="G21424" s="1" t="s">
        <v>28</v>
      </c>
      <c r="H21424" s="4" t="str">
        <f>HYPERLINK("https://portal.gdc.cancer.gov/cases/7f91a0c5-d639-48ea-b3f7-b6f385e047ed","TCGA-AJ-A3OL-01A")</f>
        <v>TCGA-AJ-A3OL-01A</v>
      </c>
      <c r="I21424" t="s">
        <v>444</v>
      </c>
      <c r="J21424" t="s">
        <v>599</v>
      </c>
      <c r="K21424" t="s">
        <v>33</v>
      </c>
      <c r="L21424" t="s">
        <v>600</v>
      </c>
      <c r="N21424" t="s">
        <v>29</v>
      </c>
    </row>
    <row r="21425" spans="1:14">
      <c r="A21425" s="4" t="str">
        <f t="shared" si="1424"/>
        <v>EXP00452</v>
      </c>
      <c r="B21425" s="3" t="s">
        <v>66</v>
      </c>
      <c r="C21425" s="4" t="str">
        <f t="shared" si="1423"/>
        <v>TCGA-UCEC</v>
      </c>
      <c r="D21425" s="1" t="s">
        <v>493</v>
      </c>
      <c r="E21425" t="s">
        <v>601</v>
      </c>
      <c r="F21425" s="1">
        <v>2</v>
      </c>
      <c r="G21425" s="1" t="s">
        <v>28</v>
      </c>
      <c r="H21425" s="4" t="str">
        <f>HYPERLINK("https://portal.gdc.cancer.gov/cases/69fc74bc-e961-40e2-9169-d7b51658eb10","TCGA-AJ-A3QS-01A")</f>
        <v>TCGA-AJ-A3QS-01A</v>
      </c>
      <c r="I21425" t="s">
        <v>444</v>
      </c>
      <c r="J21425" t="s">
        <v>599</v>
      </c>
      <c r="K21425" t="s">
        <v>33</v>
      </c>
      <c r="L21425" t="s">
        <v>600</v>
      </c>
      <c r="N21425" t="s">
        <v>29</v>
      </c>
    </row>
    <row r="21426" spans="1:14">
      <c r="A21426" s="4" t="str">
        <f t="shared" si="1424"/>
        <v>EXP00452</v>
      </c>
      <c r="B21426" s="3" t="s">
        <v>66</v>
      </c>
      <c r="C21426" s="4" t="str">
        <f t="shared" si="1423"/>
        <v>TCGA-UCEC</v>
      </c>
      <c r="D21426" s="1" t="s">
        <v>493</v>
      </c>
      <c r="E21426" t="s">
        <v>601</v>
      </c>
      <c r="F21426" s="1">
        <v>2</v>
      </c>
      <c r="G21426" s="1" t="s">
        <v>28</v>
      </c>
      <c r="H21426" s="4" t="str">
        <f>HYPERLINK("https://portal.gdc.cancer.gov/cases/9ee944ef-4293-4228-b750-cc34ab388eb3","TCGA-AJ-A3TW-01A")</f>
        <v>TCGA-AJ-A3TW-01A</v>
      </c>
      <c r="I21426" t="s">
        <v>444</v>
      </c>
      <c r="J21426" t="s">
        <v>599</v>
      </c>
      <c r="K21426" t="s">
        <v>33</v>
      </c>
      <c r="L21426" t="s">
        <v>600</v>
      </c>
      <c r="N21426" t="s">
        <v>29</v>
      </c>
    </row>
    <row r="21427" spans="1:14">
      <c r="A21427" s="4" t="str">
        <f t="shared" si="1424"/>
        <v>EXP00452</v>
      </c>
      <c r="B21427" s="3" t="s">
        <v>66</v>
      </c>
      <c r="C21427" s="4" t="str">
        <f t="shared" si="1423"/>
        <v>TCGA-UCEC</v>
      </c>
      <c r="D21427" s="1" t="s">
        <v>493</v>
      </c>
      <c r="E21427" t="s">
        <v>601</v>
      </c>
      <c r="F21427" s="1">
        <v>2</v>
      </c>
      <c r="G21427" s="1" t="s">
        <v>28</v>
      </c>
      <c r="H21427" s="4" t="str">
        <f>HYPERLINK("https://portal.gdc.cancer.gov/cases/c7b3ac87-5260-4042-895a-279cd8cda620","TCGA-AJ-A5DV-01A")</f>
        <v>TCGA-AJ-A5DV-01A</v>
      </c>
      <c r="I21427" t="s">
        <v>444</v>
      </c>
      <c r="J21427" t="s">
        <v>599</v>
      </c>
      <c r="K21427" t="s">
        <v>33</v>
      </c>
      <c r="L21427" t="s">
        <v>600</v>
      </c>
      <c r="N21427" t="s">
        <v>29</v>
      </c>
    </row>
    <row r="21428" spans="1:14">
      <c r="A21428" s="4" t="str">
        <f t="shared" si="1424"/>
        <v>EXP00452</v>
      </c>
      <c r="B21428" s="3" t="s">
        <v>66</v>
      </c>
      <c r="C21428" s="4" t="str">
        <f t="shared" si="1423"/>
        <v>TCGA-UCEC</v>
      </c>
      <c r="D21428" s="1" t="s">
        <v>493</v>
      </c>
      <c r="E21428" t="s">
        <v>601</v>
      </c>
      <c r="F21428" s="1">
        <v>2</v>
      </c>
      <c r="G21428" s="1" t="s">
        <v>28</v>
      </c>
      <c r="H21428" s="4" t="str">
        <f>HYPERLINK("https://portal.gdc.cancer.gov/cases/c0b684d1-b96c-4420-9285-172402b7b123","TCGA-AJ-A5DW-01A")</f>
        <v>TCGA-AJ-A5DW-01A</v>
      </c>
      <c r="I21428" t="s">
        <v>444</v>
      </c>
      <c r="J21428" t="s">
        <v>599</v>
      </c>
      <c r="K21428" t="s">
        <v>33</v>
      </c>
      <c r="L21428" t="s">
        <v>600</v>
      </c>
      <c r="N21428" t="s">
        <v>29</v>
      </c>
    </row>
    <row r="21429" spans="1:14">
      <c r="A21429" s="4" t="str">
        <f t="shared" si="1424"/>
        <v>EXP00452</v>
      </c>
      <c r="B21429" s="3" t="s">
        <v>66</v>
      </c>
      <c r="C21429" s="4" t="str">
        <f t="shared" ref="C21429:C21492" si="1425">HYPERLINK("https://portal.gdc.cancer.gov/projects/TCGA-UCEC","TCGA-UCEC")</f>
        <v>TCGA-UCEC</v>
      </c>
      <c r="D21429" s="1" t="s">
        <v>493</v>
      </c>
      <c r="E21429" t="s">
        <v>601</v>
      </c>
      <c r="F21429" s="1">
        <v>2</v>
      </c>
      <c r="G21429" s="1" t="s">
        <v>28</v>
      </c>
      <c r="H21429" s="4" t="str">
        <f>HYPERLINK("https://portal.gdc.cancer.gov/cases/6c2232b2-80ce-4156-a0b4-ffa411b0963e","TCGA-AJ-A8CT-01A")</f>
        <v>TCGA-AJ-A8CT-01A</v>
      </c>
      <c r="I21429" t="s">
        <v>444</v>
      </c>
      <c r="J21429" t="s">
        <v>599</v>
      </c>
      <c r="K21429" t="s">
        <v>33</v>
      </c>
      <c r="L21429" t="s">
        <v>600</v>
      </c>
      <c r="N21429" t="s">
        <v>29</v>
      </c>
    </row>
    <row r="21430" spans="1:14">
      <c r="A21430" s="4" t="str">
        <f t="shared" si="1424"/>
        <v>EXP00452</v>
      </c>
      <c r="B21430" s="3" t="s">
        <v>66</v>
      </c>
      <c r="C21430" s="4" t="str">
        <f t="shared" si="1425"/>
        <v>TCGA-UCEC</v>
      </c>
      <c r="D21430" s="1" t="s">
        <v>493</v>
      </c>
      <c r="E21430" t="s">
        <v>601</v>
      </c>
      <c r="F21430" s="1">
        <v>2</v>
      </c>
      <c r="G21430" s="1" t="s">
        <v>28</v>
      </c>
      <c r="H21430" s="4" t="str">
        <f>HYPERLINK("https://portal.gdc.cancer.gov/cases/4557d1fb-9786-4780-bd33-02e9da04b7e3","TCGA-AJ-A8CV-01A")</f>
        <v>TCGA-AJ-A8CV-01A</v>
      </c>
      <c r="I21430" t="s">
        <v>444</v>
      </c>
      <c r="J21430" t="s">
        <v>599</v>
      </c>
      <c r="K21430" t="s">
        <v>33</v>
      </c>
      <c r="L21430" t="s">
        <v>600</v>
      </c>
      <c r="N21430" t="s">
        <v>29</v>
      </c>
    </row>
    <row r="21431" spans="1:14">
      <c r="A21431" s="4" t="str">
        <f t="shared" si="1424"/>
        <v>EXP00452</v>
      </c>
      <c r="B21431" s="3" t="s">
        <v>66</v>
      </c>
      <c r="C21431" s="4" t="str">
        <f t="shared" si="1425"/>
        <v>TCGA-UCEC</v>
      </c>
      <c r="D21431" s="1" t="s">
        <v>493</v>
      </c>
      <c r="E21431" t="s">
        <v>601</v>
      </c>
      <c r="F21431" s="1">
        <v>2</v>
      </c>
      <c r="G21431" s="1" t="s">
        <v>28</v>
      </c>
      <c r="H21431" s="4" t="str">
        <f>HYPERLINK("https://portal.gdc.cancer.gov/cases/43e08773-767e-4b81-94e4-8848565c23e9","TCGA-AJ-A8CW-01A")</f>
        <v>TCGA-AJ-A8CW-01A</v>
      </c>
      <c r="I21431" t="s">
        <v>444</v>
      </c>
      <c r="J21431" t="s">
        <v>599</v>
      </c>
      <c r="K21431" t="s">
        <v>33</v>
      </c>
      <c r="L21431" t="s">
        <v>600</v>
      </c>
      <c r="N21431" t="s">
        <v>29</v>
      </c>
    </row>
    <row r="21432" spans="1:14">
      <c r="A21432" s="4" t="str">
        <f t="shared" si="1424"/>
        <v>EXP00452</v>
      </c>
      <c r="B21432" s="3" t="s">
        <v>66</v>
      </c>
      <c r="C21432" s="4" t="str">
        <f t="shared" si="1425"/>
        <v>TCGA-UCEC</v>
      </c>
      <c r="D21432" s="1" t="s">
        <v>493</v>
      </c>
      <c r="E21432" t="s">
        <v>601</v>
      </c>
      <c r="F21432" s="1">
        <v>2</v>
      </c>
      <c r="G21432" s="1" t="s">
        <v>28</v>
      </c>
      <c r="H21432" s="4" t="str">
        <f>HYPERLINK("https://portal.gdc.cancer.gov/cases/b045f24b-f822-4df9-9ffa-47308edcec8c","TCGA-AP-A051-01A")</f>
        <v>TCGA-AP-A051-01A</v>
      </c>
      <c r="I21432" t="s">
        <v>444</v>
      </c>
      <c r="J21432" t="s">
        <v>599</v>
      </c>
      <c r="K21432" t="s">
        <v>33</v>
      </c>
      <c r="L21432" t="s">
        <v>600</v>
      </c>
      <c r="N21432" t="s">
        <v>29</v>
      </c>
    </row>
    <row r="21433" spans="1:14">
      <c r="A21433" s="4" t="str">
        <f t="shared" si="1424"/>
        <v>EXP00452</v>
      </c>
      <c r="B21433" s="3" t="s">
        <v>66</v>
      </c>
      <c r="C21433" s="4" t="str">
        <f t="shared" si="1425"/>
        <v>TCGA-UCEC</v>
      </c>
      <c r="D21433" s="1" t="s">
        <v>493</v>
      </c>
      <c r="E21433" t="s">
        <v>601</v>
      </c>
      <c r="F21433" s="1">
        <v>2</v>
      </c>
      <c r="G21433" s="1" t="s">
        <v>28</v>
      </c>
      <c r="H21433" s="4" t="str">
        <f>HYPERLINK("https://portal.gdc.cancer.gov/cases/af37d8f0-fea0-47f6-be0a-2fb55a5da5c4","TCGA-AP-A053-01A")</f>
        <v>TCGA-AP-A053-01A</v>
      </c>
      <c r="I21433" t="s">
        <v>444</v>
      </c>
      <c r="J21433" t="s">
        <v>599</v>
      </c>
      <c r="K21433" t="s">
        <v>33</v>
      </c>
      <c r="L21433" t="s">
        <v>600</v>
      </c>
      <c r="N21433" t="s">
        <v>29</v>
      </c>
    </row>
    <row r="21434" spans="1:14">
      <c r="A21434" s="4" t="str">
        <f t="shared" si="1424"/>
        <v>EXP00452</v>
      </c>
      <c r="B21434" s="3" t="s">
        <v>66</v>
      </c>
      <c r="C21434" s="4" t="str">
        <f t="shared" si="1425"/>
        <v>TCGA-UCEC</v>
      </c>
      <c r="D21434" s="1" t="s">
        <v>493</v>
      </c>
      <c r="E21434" t="s">
        <v>601</v>
      </c>
      <c r="F21434" s="1">
        <v>2</v>
      </c>
      <c r="G21434" s="1" t="s">
        <v>28</v>
      </c>
      <c r="H21434" s="4" t="str">
        <f>HYPERLINK("https://portal.gdc.cancer.gov/cases/d77e4dbc-b239-4742-8cb7-efd427010d13","TCGA-AP-A054-01A")</f>
        <v>TCGA-AP-A054-01A</v>
      </c>
      <c r="I21434" t="s">
        <v>444</v>
      </c>
      <c r="J21434" t="s">
        <v>599</v>
      </c>
      <c r="K21434" t="s">
        <v>33</v>
      </c>
      <c r="L21434" t="s">
        <v>600</v>
      </c>
      <c r="N21434" t="s">
        <v>29</v>
      </c>
    </row>
    <row r="21435" spans="1:14">
      <c r="A21435" s="4" t="str">
        <f t="shared" si="1424"/>
        <v>EXP00452</v>
      </c>
      <c r="B21435" s="3" t="s">
        <v>66</v>
      </c>
      <c r="C21435" s="4" t="str">
        <f t="shared" si="1425"/>
        <v>TCGA-UCEC</v>
      </c>
      <c r="D21435" s="1" t="s">
        <v>493</v>
      </c>
      <c r="E21435" t="s">
        <v>601</v>
      </c>
      <c r="F21435" s="1">
        <v>2</v>
      </c>
      <c r="G21435" s="1" t="s">
        <v>28</v>
      </c>
      <c r="H21435" s="4" t="str">
        <f>HYPERLINK("https://portal.gdc.cancer.gov/cases/4549bff6-6886-4102-a1de-02691b664c52","TCGA-AP-A059-01A")</f>
        <v>TCGA-AP-A059-01A</v>
      </c>
      <c r="I21435" t="s">
        <v>444</v>
      </c>
      <c r="J21435" t="s">
        <v>599</v>
      </c>
      <c r="K21435" t="s">
        <v>33</v>
      </c>
      <c r="L21435" t="s">
        <v>600</v>
      </c>
      <c r="N21435" t="s">
        <v>29</v>
      </c>
    </row>
    <row r="21436" spans="1:14">
      <c r="A21436" s="4" t="str">
        <f t="shared" si="1424"/>
        <v>EXP00452</v>
      </c>
      <c r="B21436" s="3" t="s">
        <v>66</v>
      </c>
      <c r="C21436" s="4" t="str">
        <f t="shared" si="1425"/>
        <v>TCGA-UCEC</v>
      </c>
      <c r="D21436" s="1" t="s">
        <v>493</v>
      </c>
      <c r="E21436" t="s">
        <v>601</v>
      </c>
      <c r="F21436" s="1">
        <v>2</v>
      </c>
      <c r="G21436" s="1" t="s">
        <v>28</v>
      </c>
      <c r="H21436" s="4" t="str">
        <f>HYPERLINK("https://portal.gdc.cancer.gov/cases/49431740-7ed1-4c67-8d66-730629825895","TCGA-AP-A05O-01A")</f>
        <v>TCGA-AP-A05O-01A</v>
      </c>
      <c r="I21436" t="s">
        <v>444</v>
      </c>
      <c r="J21436" t="s">
        <v>599</v>
      </c>
      <c r="K21436" t="s">
        <v>33</v>
      </c>
      <c r="L21436" t="s">
        <v>600</v>
      </c>
      <c r="N21436" t="s">
        <v>29</v>
      </c>
    </row>
    <row r="21437" spans="1:14">
      <c r="A21437" s="4" t="str">
        <f t="shared" si="1424"/>
        <v>EXP00452</v>
      </c>
      <c r="B21437" s="3" t="s">
        <v>66</v>
      </c>
      <c r="C21437" s="4" t="str">
        <f t="shared" si="1425"/>
        <v>TCGA-UCEC</v>
      </c>
      <c r="D21437" s="1" t="s">
        <v>493</v>
      </c>
      <c r="E21437" t="s">
        <v>601</v>
      </c>
      <c r="F21437" s="1">
        <v>2</v>
      </c>
      <c r="G21437" s="1" t="s">
        <v>28</v>
      </c>
      <c r="H21437" s="4" t="str">
        <f>HYPERLINK("https://portal.gdc.cancer.gov/cases/3cb83517-78a4-47b8-8b1e-57e765dbdd2e","TCGA-AP-A05P-01A")</f>
        <v>TCGA-AP-A05P-01A</v>
      </c>
      <c r="I21437" t="s">
        <v>444</v>
      </c>
      <c r="J21437" t="s">
        <v>599</v>
      </c>
      <c r="K21437" t="s">
        <v>33</v>
      </c>
      <c r="L21437" t="s">
        <v>600</v>
      </c>
      <c r="N21437" t="s">
        <v>29</v>
      </c>
    </row>
    <row r="21438" spans="1:14">
      <c r="A21438" s="4" t="str">
        <f t="shared" si="1424"/>
        <v>EXP00452</v>
      </c>
      <c r="B21438" s="3" t="s">
        <v>66</v>
      </c>
      <c r="C21438" s="4" t="str">
        <f t="shared" si="1425"/>
        <v>TCGA-UCEC</v>
      </c>
      <c r="D21438" s="1" t="s">
        <v>493</v>
      </c>
      <c r="E21438" t="s">
        <v>601</v>
      </c>
      <c r="F21438" s="1">
        <v>2</v>
      </c>
      <c r="G21438" s="1" t="s">
        <v>28</v>
      </c>
      <c r="H21438" s="4" t="str">
        <f>HYPERLINK("https://portal.gdc.cancer.gov/cases/9aa8c2b4-db32-4899-bf0c-d578cb175e90","TCGA-AP-A0L8-01A")</f>
        <v>TCGA-AP-A0L8-01A</v>
      </c>
      <c r="I21438" t="s">
        <v>444</v>
      </c>
      <c r="J21438" t="s">
        <v>599</v>
      </c>
      <c r="K21438" t="s">
        <v>33</v>
      </c>
      <c r="L21438" t="s">
        <v>600</v>
      </c>
      <c r="N21438" t="s">
        <v>29</v>
      </c>
    </row>
    <row r="21439" spans="1:14">
      <c r="A21439" s="4" t="str">
        <f t="shared" si="1424"/>
        <v>EXP00452</v>
      </c>
      <c r="B21439" s="3" t="s">
        <v>66</v>
      </c>
      <c r="C21439" s="4" t="str">
        <f t="shared" si="1425"/>
        <v>TCGA-UCEC</v>
      </c>
      <c r="D21439" s="1" t="s">
        <v>493</v>
      </c>
      <c r="E21439" t="s">
        <v>601</v>
      </c>
      <c r="F21439" s="1">
        <v>2</v>
      </c>
      <c r="G21439" s="1" t="s">
        <v>28</v>
      </c>
      <c r="H21439" s="4" t="str">
        <f>HYPERLINK("https://portal.gdc.cancer.gov/cases/7b9947d5-e86b-4006-8890-ea5209584a88","TCGA-AP-A0L9-01A")</f>
        <v>TCGA-AP-A0L9-01A</v>
      </c>
      <c r="I21439" t="s">
        <v>444</v>
      </c>
      <c r="J21439" t="s">
        <v>599</v>
      </c>
      <c r="K21439" t="s">
        <v>33</v>
      </c>
      <c r="L21439" t="s">
        <v>600</v>
      </c>
      <c r="N21439" t="s">
        <v>29</v>
      </c>
    </row>
    <row r="21440" spans="1:14">
      <c r="A21440" s="4" t="str">
        <f t="shared" si="1424"/>
        <v>EXP00452</v>
      </c>
      <c r="B21440" s="3" t="s">
        <v>66</v>
      </c>
      <c r="C21440" s="4" t="str">
        <f t="shared" si="1425"/>
        <v>TCGA-UCEC</v>
      </c>
      <c r="D21440" s="1" t="s">
        <v>493</v>
      </c>
      <c r="E21440" t="s">
        <v>601</v>
      </c>
      <c r="F21440" s="1">
        <v>2</v>
      </c>
      <c r="G21440" s="1" t="s">
        <v>28</v>
      </c>
      <c r="H21440" s="4" t="str">
        <f>HYPERLINK("https://portal.gdc.cancer.gov/cases/1200c8b7-a058-4c01-bbe2-04ec09a65245","TCGA-AP-A0LD-01A")</f>
        <v>TCGA-AP-A0LD-01A</v>
      </c>
      <c r="I21440" t="s">
        <v>444</v>
      </c>
      <c r="J21440" t="s">
        <v>599</v>
      </c>
      <c r="K21440" t="s">
        <v>33</v>
      </c>
      <c r="L21440" t="s">
        <v>600</v>
      </c>
      <c r="N21440" t="s">
        <v>29</v>
      </c>
    </row>
    <row r="21441" spans="1:14">
      <c r="A21441" s="4" t="str">
        <f t="shared" si="1424"/>
        <v>EXP00452</v>
      </c>
      <c r="B21441" s="3" t="s">
        <v>66</v>
      </c>
      <c r="C21441" s="4" t="str">
        <f t="shared" si="1425"/>
        <v>TCGA-UCEC</v>
      </c>
      <c r="D21441" s="1" t="s">
        <v>493</v>
      </c>
      <c r="E21441" t="s">
        <v>601</v>
      </c>
      <c r="F21441" s="1">
        <v>2</v>
      </c>
      <c r="G21441" s="1" t="s">
        <v>28</v>
      </c>
      <c r="H21441" s="4" t="str">
        <f>HYPERLINK("https://portal.gdc.cancer.gov/cases/dcff8659-ecca-4798-80a3-dd6e7642ba2b","TCGA-AP-A0LE-01A")</f>
        <v>TCGA-AP-A0LE-01A</v>
      </c>
      <c r="I21441" t="s">
        <v>444</v>
      </c>
      <c r="J21441" t="s">
        <v>599</v>
      </c>
      <c r="K21441" t="s">
        <v>33</v>
      </c>
      <c r="L21441" t="s">
        <v>600</v>
      </c>
      <c r="N21441" t="s">
        <v>29</v>
      </c>
    </row>
    <row r="21442" spans="1:14">
      <c r="A21442" s="4" t="str">
        <f t="shared" si="1424"/>
        <v>EXP00452</v>
      </c>
      <c r="B21442" s="3" t="s">
        <v>66</v>
      </c>
      <c r="C21442" s="4" t="str">
        <f t="shared" si="1425"/>
        <v>TCGA-UCEC</v>
      </c>
      <c r="D21442" s="1" t="s">
        <v>493</v>
      </c>
      <c r="E21442" t="s">
        <v>601</v>
      </c>
      <c r="F21442" s="1">
        <v>2</v>
      </c>
      <c r="G21442" s="1" t="s">
        <v>28</v>
      </c>
      <c r="H21442" s="4" t="str">
        <f>HYPERLINK("https://portal.gdc.cancer.gov/cases/748e38b1-2ead-4a0a-8881-d640617b856b","TCGA-AP-A0LF-01A")</f>
        <v>TCGA-AP-A0LF-01A</v>
      </c>
      <c r="I21442" t="s">
        <v>444</v>
      </c>
      <c r="J21442" t="s">
        <v>599</v>
      </c>
      <c r="K21442" t="s">
        <v>33</v>
      </c>
      <c r="L21442" t="s">
        <v>600</v>
      </c>
      <c r="N21442" t="s">
        <v>29</v>
      </c>
    </row>
    <row r="21443" spans="1:14">
      <c r="A21443" s="4" t="str">
        <f t="shared" si="1424"/>
        <v>EXP00452</v>
      </c>
      <c r="B21443" s="3" t="s">
        <v>66</v>
      </c>
      <c r="C21443" s="4" t="str">
        <f t="shared" si="1425"/>
        <v>TCGA-UCEC</v>
      </c>
      <c r="D21443" s="1" t="s">
        <v>493</v>
      </c>
      <c r="E21443" t="s">
        <v>601</v>
      </c>
      <c r="F21443" s="1">
        <v>2</v>
      </c>
      <c r="G21443" s="1" t="s">
        <v>28</v>
      </c>
      <c r="H21443" s="4" t="str">
        <f>HYPERLINK("https://portal.gdc.cancer.gov/cases/cca5717d-226d-4390-a99b-c7aed6d9d70e","TCGA-AP-A0LG-01A")</f>
        <v>TCGA-AP-A0LG-01A</v>
      </c>
      <c r="I21443" t="s">
        <v>444</v>
      </c>
      <c r="J21443" t="s">
        <v>599</v>
      </c>
      <c r="K21443" t="s">
        <v>33</v>
      </c>
      <c r="L21443" t="s">
        <v>600</v>
      </c>
      <c r="N21443" t="s">
        <v>29</v>
      </c>
    </row>
    <row r="21444" spans="1:14">
      <c r="A21444" s="4" t="str">
        <f t="shared" si="1424"/>
        <v>EXP00452</v>
      </c>
      <c r="B21444" s="3" t="s">
        <v>66</v>
      </c>
      <c r="C21444" s="4" t="str">
        <f t="shared" si="1425"/>
        <v>TCGA-UCEC</v>
      </c>
      <c r="D21444" s="1" t="s">
        <v>493</v>
      </c>
      <c r="E21444" t="s">
        <v>601</v>
      </c>
      <c r="F21444" s="1">
        <v>2</v>
      </c>
      <c r="G21444" s="1" t="s">
        <v>28</v>
      </c>
      <c r="H21444" s="4" t="str">
        <f>HYPERLINK("https://portal.gdc.cancer.gov/cases/7dce4215-01f6-43e9-9378-9e22c26c23a2","TCGA-AP-A0LH-01A")</f>
        <v>TCGA-AP-A0LH-01A</v>
      </c>
      <c r="I21444" t="s">
        <v>444</v>
      </c>
      <c r="J21444" t="s">
        <v>599</v>
      </c>
      <c r="K21444" t="s">
        <v>33</v>
      </c>
      <c r="L21444" t="s">
        <v>600</v>
      </c>
      <c r="N21444" t="s">
        <v>29</v>
      </c>
    </row>
    <row r="21445" spans="1:14">
      <c r="A21445" s="4" t="str">
        <f t="shared" si="1424"/>
        <v>EXP00452</v>
      </c>
      <c r="B21445" s="3" t="s">
        <v>66</v>
      </c>
      <c r="C21445" s="4" t="str">
        <f t="shared" si="1425"/>
        <v>TCGA-UCEC</v>
      </c>
      <c r="D21445" s="1" t="s">
        <v>493</v>
      </c>
      <c r="E21445" t="s">
        <v>601</v>
      </c>
      <c r="F21445" s="1">
        <v>2</v>
      </c>
      <c r="G21445" s="1" t="s">
        <v>28</v>
      </c>
      <c r="H21445" s="4" t="str">
        <f>HYPERLINK("https://portal.gdc.cancer.gov/cases/e1e8dc66-467c-48a5-be56-3db4f665b9f1","TCGA-AP-A0LI-01A")</f>
        <v>TCGA-AP-A0LI-01A</v>
      </c>
      <c r="I21445" t="s">
        <v>444</v>
      </c>
      <c r="J21445" t="s">
        <v>599</v>
      </c>
      <c r="K21445" t="s">
        <v>33</v>
      </c>
      <c r="L21445" t="s">
        <v>600</v>
      </c>
      <c r="N21445" t="s">
        <v>29</v>
      </c>
    </row>
    <row r="21446" spans="1:14">
      <c r="A21446" s="4" t="str">
        <f t="shared" si="1424"/>
        <v>EXP00452</v>
      </c>
      <c r="B21446" s="3" t="s">
        <v>66</v>
      </c>
      <c r="C21446" s="4" t="str">
        <f t="shared" si="1425"/>
        <v>TCGA-UCEC</v>
      </c>
      <c r="D21446" s="1" t="s">
        <v>493</v>
      </c>
      <c r="E21446" t="s">
        <v>601</v>
      </c>
      <c r="F21446" s="1">
        <v>2</v>
      </c>
      <c r="G21446" s="1" t="s">
        <v>28</v>
      </c>
      <c r="H21446" s="4" t="str">
        <f>HYPERLINK("https://portal.gdc.cancer.gov/cases/b4a520ae-f259-48c8-823e-c10b9b8a133a","TCGA-AP-A0LJ-01A")</f>
        <v>TCGA-AP-A0LJ-01A</v>
      </c>
      <c r="I21446" t="s">
        <v>444</v>
      </c>
      <c r="J21446" t="s">
        <v>599</v>
      </c>
      <c r="K21446" t="s">
        <v>33</v>
      </c>
      <c r="L21446" t="s">
        <v>600</v>
      </c>
      <c r="N21446" t="s">
        <v>29</v>
      </c>
    </row>
    <row r="21447" spans="1:14">
      <c r="A21447" s="4" t="str">
        <f t="shared" si="1424"/>
        <v>EXP00452</v>
      </c>
      <c r="B21447" s="3" t="s">
        <v>66</v>
      </c>
      <c r="C21447" s="4" t="str">
        <f t="shared" si="1425"/>
        <v>TCGA-UCEC</v>
      </c>
      <c r="D21447" s="1" t="s">
        <v>493</v>
      </c>
      <c r="E21447" t="s">
        <v>601</v>
      </c>
      <c r="F21447" s="1">
        <v>2</v>
      </c>
      <c r="G21447" s="1" t="s">
        <v>28</v>
      </c>
      <c r="H21447" s="4" t="str">
        <f>HYPERLINK("https://portal.gdc.cancer.gov/cases/d17668c4-5d66-4e16-8b70-b54616581aae","TCGA-AP-A0LL-01A")</f>
        <v>TCGA-AP-A0LL-01A</v>
      </c>
      <c r="I21447" t="s">
        <v>444</v>
      </c>
      <c r="J21447" t="s">
        <v>599</v>
      </c>
      <c r="K21447" t="s">
        <v>33</v>
      </c>
      <c r="L21447" t="s">
        <v>600</v>
      </c>
      <c r="N21447" t="s">
        <v>29</v>
      </c>
    </row>
    <row r="21448" spans="1:14">
      <c r="A21448" s="4" t="str">
        <f t="shared" si="1424"/>
        <v>EXP00452</v>
      </c>
      <c r="B21448" s="3" t="s">
        <v>66</v>
      </c>
      <c r="C21448" s="4" t="str">
        <f t="shared" si="1425"/>
        <v>TCGA-UCEC</v>
      </c>
      <c r="D21448" s="1" t="s">
        <v>493</v>
      </c>
      <c r="E21448" t="s">
        <v>601</v>
      </c>
      <c r="F21448" s="1">
        <v>2</v>
      </c>
      <c r="G21448" s="1" t="s">
        <v>28</v>
      </c>
      <c r="H21448" s="4" t="str">
        <f>HYPERLINK("https://portal.gdc.cancer.gov/cases/43e228ae-c890-444f-afbd-49385562e33a","TCGA-AP-A0LM-01A")</f>
        <v>TCGA-AP-A0LM-01A</v>
      </c>
      <c r="I21448" t="s">
        <v>444</v>
      </c>
      <c r="J21448" t="s">
        <v>599</v>
      </c>
      <c r="K21448" t="s">
        <v>33</v>
      </c>
      <c r="L21448" t="s">
        <v>600</v>
      </c>
      <c r="N21448" t="s">
        <v>29</v>
      </c>
    </row>
    <row r="21449" spans="1:14">
      <c r="A21449" s="4" t="str">
        <f t="shared" si="1424"/>
        <v>EXP00452</v>
      </c>
      <c r="B21449" s="3" t="s">
        <v>66</v>
      </c>
      <c r="C21449" s="4" t="str">
        <f t="shared" si="1425"/>
        <v>TCGA-UCEC</v>
      </c>
      <c r="D21449" s="1" t="s">
        <v>493</v>
      </c>
      <c r="E21449" t="s">
        <v>601</v>
      </c>
      <c r="F21449" s="1">
        <v>2</v>
      </c>
      <c r="G21449" s="1" t="s">
        <v>28</v>
      </c>
      <c r="H21449" s="4" t="str">
        <f>HYPERLINK("https://portal.gdc.cancer.gov/cases/60fcf50a-8598-475d-8dd0-6b3044661233","TCGA-AP-A0LN-01A")</f>
        <v>TCGA-AP-A0LN-01A</v>
      </c>
      <c r="I21449" t="s">
        <v>444</v>
      </c>
      <c r="J21449" t="s">
        <v>599</v>
      </c>
      <c r="K21449" t="s">
        <v>33</v>
      </c>
      <c r="L21449" t="s">
        <v>600</v>
      </c>
      <c r="N21449" t="s">
        <v>29</v>
      </c>
    </row>
    <row r="21450" spans="1:14">
      <c r="A21450" s="4" t="str">
        <f t="shared" si="1424"/>
        <v>EXP00452</v>
      </c>
      <c r="B21450" s="3" t="s">
        <v>66</v>
      </c>
      <c r="C21450" s="4" t="str">
        <f t="shared" si="1425"/>
        <v>TCGA-UCEC</v>
      </c>
      <c r="D21450" s="1" t="s">
        <v>493</v>
      </c>
      <c r="E21450" t="s">
        <v>601</v>
      </c>
      <c r="F21450" s="1">
        <v>2</v>
      </c>
      <c r="G21450" s="1" t="s">
        <v>28</v>
      </c>
      <c r="H21450" s="4" t="str">
        <f>HYPERLINK("https://portal.gdc.cancer.gov/cases/a081da6f-51f3-4555-a6b8-736f8c6cda39","TCGA-AP-A0LO-01A")</f>
        <v>TCGA-AP-A0LO-01A</v>
      </c>
      <c r="I21450" t="s">
        <v>444</v>
      </c>
      <c r="J21450" t="s">
        <v>599</v>
      </c>
      <c r="K21450" t="s">
        <v>33</v>
      </c>
      <c r="L21450" t="s">
        <v>600</v>
      </c>
      <c r="N21450" t="s">
        <v>29</v>
      </c>
    </row>
    <row r="21451" spans="1:14">
      <c r="A21451" s="4" t="str">
        <f t="shared" si="1424"/>
        <v>EXP00452</v>
      </c>
      <c r="B21451" s="3" t="s">
        <v>66</v>
      </c>
      <c r="C21451" s="4" t="str">
        <f t="shared" si="1425"/>
        <v>TCGA-UCEC</v>
      </c>
      <c r="D21451" s="1" t="s">
        <v>493</v>
      </c>
      <c r="E21451" t="s">
        <v>601</v>
      </c>
      <c r="F21451" s="1">
        <v>2</v>
      </c>
      <c r="G21451" s="1" t="s">
        <v>28</v>
      </c>
      <c r="H21451" s="4" t="str">
        <f>HYPERLINK("https://portal.gdc.cancer.gov/cases/efae3940-d3cc-4988-bdb4-fa05d977aff5","TCGA-AP-A0LP-01A")</f>
        <v>TCGA-AP-A0LP-01A</v>
      </c>
      <c r="I21451" t="s">
        <v>444</v>
      </c>
      <c r="J21451" t="s">
        <v>599</v>
      </c>
      <c r="K21451" t="s">
        <v>33</v>
      </c>
      <c r="L21451" t="s">
        <v>600</v>
      </c>
      <c r="N21451" t="s">
        <v>29</v>
      </c>
    </row>
    <row r="21452" spans="1:14">
      <c r="A21452" s="4" t="str">
        <f t="shared" si="1424"/>
        <v>EXP00452</v>
      </c>
      <c r="B21452" s="3" t="s">
        <v>66</v>
      </c>
      <c r="C21452" s="4" t="str">
        <f t="shared" si="1425"/>
        <v>TCGA-UCEC</v>
      </c>
      <c r="D21452" s="1" t="s">
        <v>493</v>
      </c>
      <c r="E21452" t="s">
        <v>601</v>
      </c>
      <c r="F21452" s="1">
        <v>2</v>
      </c>
      <c r="G21452" s="1" t="s">
        <v>28</v>
      </c>
      <c r="H21452" s="4" t="str">
        <f>HYPERLINK("https://portal.gdc.cancer.gov/cases/c5a797d3-82ae-49dc-b2fe-0da64da271a2","TCGA-AP-A0LS-01A")</f>
        <v>TCGA-AP-A0LS-01A</v>
      </c>
      <c r="I21452" t="s">
        <v>444</v>
      </c>
      <c r="J21452" t="s">
        <v>599</v>
      </c>
      <c r="K21452" t="s">
        <v>33</v>
      </c>
      <c r="L21452" t="s">
        <v>600</v>
      </c>
      <c r="N21452" t="s">
        <v>29</v>
      </c>
    </row>
    <row r="21453" spans="1:14">
      <c r="A21453" s="4" t="str">
        <f t="shared" si="1424"/>
        <v>EXP00452</v>
      </c>
      <c r="B21453" s="3" t="s">
        <v>66</v>
      </c>
      <c r="C21453" s="4" t="str">
        <f t="shared" si="1425"/>
        <v>TCGA-UCEC</v>
      </c>
      <c r="D21453" s="1" t="s">
        <v>493</v>
      </c>
      <c r="E21453" t="s">
        <v>601</v>
      </c>
      <c r="F21453" s="1">
        <v>2</v>
      </c>
      <c r="G21453" s="1" t="s">
        <v>28</v>
      </c>
      <c r="H21453" s="4" t="str">
        <f>HYPERLINK("https://portal.gdc.cancer.gov/cases/43714e9a-e9c4-4206-af92-1d00d2a8ae35","TCGA-AP-A0LT-01A")</f>
        <v>TCGA-AP-A0LT-01A</v>
      </c>
      <c r="I21453" t="s">
        <v>444</v>
      </c>
      <c r="J21453" t="s">
        <v>599</v>
      </c>
      <c r="K21453" t="s">
        <v>33</v>
      </c>
      <c r="L21453" t="s">
        <v>600</v>
      </c>
      <c r="N21453" t="s">
        <v>29</v>
      </c>
    </row>
    <row r="21454" spans="1:14">
      <c r="A21454" s="4" t="str">
        <f t="shared" ref="A21454:A21517" si="1426">HYPERLINK("http://hcmdb.i-sanger.com/experiment/details/experiment_id/EXP00452","EXP00452")</f>
        <v>EXP00452</v>
      </c>
      <c r="B21454" s="3" t="s">
        <v>66</v>
      </c>
      <c r="C21454" s="4" t="str">
        <f t="shared" si="1425"/>
        <v>TCGA-UCEC</v>
      </c>
      <c r="D21454" s="1" t="s">
        <v>493</v>
      </c>
      <c r="E21454" t="s">
        <v>601</v>
      </c>
      <c r="F21454" s="1">
        <v>2</v>
      </c>
      <c r="G21454" s="1" t="s">
        <v>28</v>
      </c>
      <c r="H21454" s="4" t="str">
        <f>HYPERLINK("https://portal.gdc.cancer.gov/cases/5dfdfcfc-72cc-4e33-aa3f-0d744eb94330","TCGA-AP-A0LV-01A")</f>
        <v>TCGA-AP-A0LV-01A</v>
      </c>
      <c r="I21454" t="s">
        <v>444</v>
      </c>
      <c r="J21454" t="s">
        <v>599</v>
      </c>
      <c r="K21454" t="s">
        <v>33</v>
      </c>
      <c r="L21454" t="s">
        <v>600</v>
      </c>
      <c r="N21454" t="s">
        <v>29</v>
      </c>
    </row>
    <row r="21455" spans="1:14">
      <c r="A21455" s="4" t="str">
        <f t="shared" si="1426"/>
        <v>EXP00452</v>
      </c>
      <c r="B21455" s="3" t="s">
        <v>66</v>
      </c>
      <c r="C21455" s="4" t="str">
        <f t="shared" si="1425"/>
        <v>TCGA-UCEC</v>
      </c>
      <c r="D21455" s="1" t="s">
        <v>493</v>
      </c>
      <c r="E21455" t="s">
        <v>601</v>
      </c>
      <c r="F21455" s="1">
        <v>2</v>
      </c>
      <c r="G21455" s="1" t="s">
        <v>28</v>
      </c>
      <c r="H21455" s="4" t="str">
        <f>HYPERLINK("https://portal.gdc.cancer.gov/cases/07d1aef3-31c7-4c44-a078-16a9eb096d58","TCGA-AP-A1DH-01A")</f>
        <v>TCGA-AP-A1DH-01A</v>
      </c>
      <c r="I21455" t="s">
        <v>444</v>
      </c>
      <c r="J21455" t="s">
        <v>599</v>
      </c>
      <c r="K21455" t="s">
        <v>33</v>
      </c>
      <c r="L21455" t="s">
        <v>600</v>
      </c>
      <c r="N21455" t="s">
        <v>29</v>
      </c>
    </row>
    <row r="21456" spans="1:14">
      <c r="A21456" s="4" t="str">
        <f t="shared" si="1426"/>
        <v>EXP00452</v>
      </c>
      <c r="B21456" s="3" t="s">
        <v>66</v>
      </c>
      <c r="C21456" s="4" t="str">
        <f t="shared" si="1425"/>
        <v>TCGA-UCEC</v>
      </c>
      <c r="D21456" s="1" t="s">
        <v>493</v>
      </c>
      <c r="E21456" t="s">
        <v>601</v>
      </c>
      <c r="F21456" s="1">
        <v>2</v>
      </c>
      <c r="G21456" s="1" t="s">
        <v>28</v>
      </c>
      <c r="H21456" s="4" t="str">
        <f>HYPERLINK("https://portal.gdc.cancer.gov/cases/51de7e94-e2fa-420b-9aa2-3637d17fc6ea","TCGA-AP-A1DK-01A")</f>
        <v>TCGA-AP-A1DK-01A</v>
      </c>
      <c r="I21456" t="s">
        <v>444</v>
      </c>
      <c r="J21456" t="s">
        <v>599</v>
      </c>
      <c r="K21456" t="s">
        <v>33</v>
      </c>
      <c r="L21456" t="s">
        <v>600</v>
      </c>
      <c r="N21456" t="s">
        <v>29</v>
      </c>
    </row>
    <row r="21457" spans="1:14">
      <c r="A21457" s="4" t="str">
        <f t="shared" si="1426"/>
        <v>EXP00452</v>
      </c>
      <c r="B21457" s="3" t="s">
        <v>66</v>
      </c>
      <c r="C21457" s="4" t="str">
        <f t="shared" si="1425"/>
        <v>TCGA-UCEC</v>
      </c>
      <c r="D21457" s="1" t="s">
        <v>493</v>
      </c>
      <c r="E21457" t="s">
        <v>601</v>
      </c>
      <c r="F21457" s="1">
        <v>2</v>
      </c>
      <c r="G21457" s="1" t="s">
        <v>28</v>
      </c>
      <c r="H21457" s="4" t="str">
        <f>HYPERLINK("https://portal.gdc.cancer.gov/cases/ca7f9d8b-2abc-4606-bf95-4c42791b38bd","TCGA-AP-A1DM-01A")</f>
        <v>TCGA-AP-A1DM-01A</v>
      </c>
      <c r="I21457" t="s">
        <v>444</v>
      </c>
      <c r="J21457" t="s">
        <v>599</v>
      </c>
      <c r="K21457" t="s">
        <v>33</v>
      </c>
      <c r="L21457" t="s">
        <v>600</v>
      </c>
      <c r="N21457" t="s">
        <v>29</v>
      </c>
    </row>
    <row r="21458" spans="1:14">
      <c r="A21458" s="4" t="str">
        <f t="shared" si="1426"/>
        <v>EXP00452</v>
      </c>
      <c r="B21458" s="3" t="s">
        <v>66</v>
      </c>
      <c r="C21458" s="4" t="str">
        <f t="shared" si="1425"/>
        <v>TCGA-UCEC</v>
      </c>
      <c r="D21458" s="1" t="s">
        <v>493</v>
      </c>
      <c r="E21458" t="s">
        <v>601</v>
      </c>
      <c r="F21458" s="1">
        <v>2</v>
      </c>
      <c r="G21458" s="1" t="s">
        <v>28</v>
      </c>
      <c r="H21458" s="4" t="str">
        <f>HYPERLINK("https://portal.gdc.cancer.gov/cases/3348a7aa-f5c3-4fba-9968-68da5cedfd7e","TCGA-AP-A1DO-01A")</f>
        <v>TCGA-AP-A1DO-01A</v>
      </c>
      <c r="I21458" t="s">
        <v>444</v>
      </c>
      <c r="J21458" t="s">
        <v>599</v>
      </c>
      <c r="K21458" t="s">
        <v>33</v>
      </c>
      <c r="L21458" t="s">
        <v>600</v>
      </c>
      <c r="N21458" t="s">
        <v>29</v>
      </c>
    </row>
    <row r="21459" spans="1:14">
      <c r="A21459" s="4" t="str">
        <f t="shared" si="1426"/>
        <v>EXP00452</v>
      </c>
      <c r="B21459" s="3" t="s">
        <v>66</v>
      </c>
      <c r="C21459" s="4" t="str">
        <f t="shared" si="1425"/>
        <v>TCGA-UCEC</v>
      </c>
      <c r="D21459" s="1" t="s">
        <v>493</v>
      </c>
      <c r="E21459" t="s">
        <v>601</v>
      </c>
      <c r="F21459" s="1">
        <v>2</v>
      </c>
      <c r="G21459" s="1" t="s">
        <v>28</v>
      </c>
      <c r="H21459" s="4" t="str">
        <f>HYPERLINK("https://portal.gdc.cancer.gov/cases/a93c47a9-65b5-4785-af4f-a2078db4514e","TCGA-AP-A1DP-01A")</f>
        <v>TCGA-AP-A1DP-01A</v>
      </c>
      <c r="I21459" t="s">
        <v>444</v>
      </c>
      <c r="J21459" t="s">
        <v>599</v>
      </c>
      <c r="K21459" t="s">
        <v>33</v>
      </c>
      <c r="L21459" t="s">
        <v>600</v>
      </c>
      <c r="N21459" t="s">
        <v>29</v>
      </c>
    </row>
    <row r="21460" spans="1:14">
      <c r="A21460" s="4" t="str">
        <f t="shared" si="1426"/>
        <v>EXP00452</v>
      </c>
      <c r="B21460" s="3" t="s">
        <v>66</v>
      </c>
      <c r="C21460" s="4" t="str">
        <f t="shared" si="1425"/>
        <v>TCGA-UCEC</v>
      </c>
      <c r="D21460" s="1" t="s">
        <v>493</v>
      </c>
      <c r="E21460" t="s">
        <v>601</v>
      </c>
      <c r="F21460" s="1">
        <v>2</v>
      </c>
      <c r="G21460" s="1" t="s">
        <v>28</v>
      </c>
      <c r="H21460" s="4" t="str">
        <f>HYPERLINK("https://portal.gdc.cancer.gov/cases/ad0806a5-df9e-48ea-bc8b-d4a3c9ea7ea0","TCGA-AP-A1DQ-01A")</f>
        <v>TCGA-AP-A1DQ-01A</v>
      </c>
      <c r="I21460" t="s">
        <v>444</v>
      </c>
      <c r="J21460" t="s">
        <v>599</v>
      </c>
      <c r="K21460" t="s">
        <v>33</v>
      </c>
      <c r="L21460" t="s">
        <v>600</v>
      </c>
      <c r="N21460" t="s">
        <v>29</v>
      </c>
    </row>
    <row r="21461" spans="1:14">
      <c r="A21461" s="4" t="str">
        <f t="shared" si="1426"/>
        <v>EXP00452</v>
      </c>
      <c r="B21461" s="3" t="s">
        <v>66</v>
      </c>
      <c r="C21461" s="4" t="str">
        <f t="shared" si="1425"/>
        <v>TCGA-UCEC</v>
      </c>
      <c r="D21461" s="1" t="s">
        <v>493</v>
      </c>
      <c r="E21461" t="s">
        <v>601</v>
      </c>
      <c r="F21461" s="1">
        <v>2</v>
      </c>
      <c r="G21461" s="1" t="s">
        <v>28</v>
      </c>
      <c r="H21461" s="4" t="str">
        <f>HYPERLINK("https://portal.gdc.cancer.gov/cases/0f064588-2d7e-439a-90a6-dfa17bb8af15","TCGA-AP-A1DR-01A")</f>
        <v>TCGA-AP-A1DR-01A</v>
      </c>
      <c r="I21461" t="s">
        <v>444</v>
      </c>
      <c r="J21461" t="s">
        <v>599</v>
      </c>
      <c r="K21461" t="s">
        <v>33</v>
      </c>
      <c r="L21461" t="s">
        <v>600</v>
      </c>
      <c r="N21461" t="s">
        <v>29</v>
      </c>
    </row>
    <row r="21462" spans="1:14">
      <c r="A21462" s="4" t="str">
        <f t="shared" si="1426"/>
        <v>EXP00452</v>
      </c>
      <c r="B21462" s="3" t="s">
        <v>66</v>
      </c>
      <c r="C21462" s="4" t="str">
        <f t="shared" si="1425"/>
        <v>TCGA-UCEC</v>
      </c>
      <c r="D21462" s="1" t="s">
        <v>493</v>
      </c>
      <c r="E21462" t="s">
        <v>601</v>
      </c>
      <c r="F21462" s="1">
        <v>2</v>
      </c>
      <c r="G21462" s="1" t="s">
        <v>28</v>
      </c>
      <c r="H21462" s="4" t="str">
        <f>HYPERLINK("https://portal.gdc.cancer.gov/cases/1b685c46-57b3-4052-b5b9-1f704809bf04","TCGA-AP-A1DV-01A")</f>
        <v>TCGA-AP-A1DV-01A</v>
      </c>
      <c r="I21462" t="s">
        <v>444</v>
      </c>
      <c r="J21462" t="s">
        <v>599</v>
      </c>
      <c r="K21462" t="s">
        <v>33</v>
      </c>
      <c r="L21462" t="s">
        <v>600</v>
      </c>
      <c r="N21462" t="s">
        <v>29</v>
      </c>
    </row>
    <row r="21463" spans="1:14">
      <c r="A21463" s="4" t="str">
        <f t="shared" si="1426"/>
        <v>EXP00452</v>
      </c>
      <c r="B21463" s="3" t="s">
        <v>66</v>
      </c>
      <c r="C21463" s="4" t="str">
        <f t="shared" si="1425"/>
        <v>TCGA-UCEC</v>
      </c>
      <c r="D21463" s="1" t="s">
        <v>493</v>
      </c>
      <c r="E21463" t="s">
        <v>601</v>
      </c>
      <c r="F21463" s="1">
        <v>2</v>
      </c>
      <c r="G21463" s="1" t="s">
        <v>28</v>
      </c>
      <c r="H21463" s="4" t="str">
        <f>HYPERLINK("https://portal.gdc.cancer.gov/cases/84b96f93-6273-4101-a259-9602000ae491","TCGA-AP-A1E0-01A")</f>
        <v>TCGA-AP-A1E0-01A</v>
      </c>
      <c r="I21463" t="s">
        <v>444</v>
      </c>
      <c r="J21463" t="s">
        <v>599</v>
      </c>
      <c r="K21463" t="s">
        <v>33</v>
      </c>
      <c r="L21463" t="s">
        <v>600</v>
      </c>
      <c r="N21463" t="s">
        <v>29</v>
      </c>
    </row>
    <row r="21464" spans="1:14">
      <c r="A21464" s="4" t="str">
        <f t="shared" si="1426"/>
        <v>EXP00452</v>
      </c>
      <c r="B21464" s="3" t="s">
        <v>66</v>
      </c>
      <c r="C21464" s="4" t="str">
        <f t="shared" si="1425"/>
        <v>TCGA-UCEC</v>
      </c>
      <c r="D21464" s="1" t="s">
        <v>493</v>
      </c>
      <c r="E21464" t="s">
        <v>601</v>
      </c>
      <c r="F21464" s="1">
        <v>2</v>
      </c>
      <c r="G21464" s="1" t="s">
        <v>28</v>
      </c>
      <c r="H21464" s="4" t="str">
        <f>HYPERLINK("https://portal.gdc.cancer.gov/cases/2b85b84f-e680-4b5c-93ea-3c71567227e8","TCGA-AP-A1E1-01A")</f>
        <v>TCGA-AP-A1E1-01A</v>
      </c>
      <c r="I21464" t="s">
        <v>444</v>
      </c>
      <c r="J21464" t="s">
        <v>599</v>
      </c>
      <c r="K21464" t="s">
        <v>33</v>
      </c>
      <c r="L21464" t="s">
        <v>600</v>
      </c>
      <c r="N21464" t="s">
        <v>29</v>
      </c>
    </row>
    <row r="21465" spans="1:14">
      <c r="A21465" s="4" t="str">
        <f t="shared" si="1426"/>
        <v>EXP00452</v>
      </c>
      <c r="B21465" s="3" t="s">
        <v>66</v>
      </c>
      <c r="C21465" s="4" t="str">
        <f t="shared" si="1425"/>
        <v>TCGA-UCEC</v>
      </c>
      <c r="D21465" s="1" t="s">
        <v>493</v>
      </c>
      <c r="E21465" t="s">
        <v>601</v>
      </c>
      <c r="F21465" s="1">
        <v>2</v>
      </c>
      <c r="G21465" s="1" t="s">
        <v>28</v>
      </c>
      <c r="H21465" s="4" t="str">
        <f>HYPERLINK("https://portal.gdc.cancer.gov/cases/44ac7093-a733-4c55-a964-0ba9ec141d2d","TCGA-AP-A1E3-01A")</f>
        <v>TCGA-AP-A1E3-01A</v>
      </c>
      <c r="I21465" t="s">
        <v>444</v>
      </c>
      <c r="J21465" t="s">
        <v>599</v>
      </c>
      <c r="K21465" t="s">
        <v>33</v>
      </c>
      <c r="L21465" t="s">
        <v>600</v>
      </c>
      <c r="N21465" t="s">
        <v>29</v>
      </c>
    </row>
    <row r="21466" spans="1:14">
      <c r="A21466" s="4" t="str">
        <f t="shared" si="1426"/>
        <v>EXP00452</v>
      </c>
      <c r="B21466" s="3" t="s">
        <v>66</v>
      </c>
      <c r="C21466" s="4" t="str">
        <f t="shared" si="1425"/>
        <v>TCGA-UCEC</v>
      </c>
      <c r="D21466" s="1" t="s">
        <v>493</v>
      </c>
      <c r="E21466" t="s">
        <v>601</v>
      </c>
      <c r="F21466" s="1">
        <v>2</v>
      </c>
      <c r="G21466" s="1" t="s">
        <v>28</v>
      </c>
      <c r="H21466" s="4" t="str">
        <f>HYPERLINK("https://portal.gdc.cancer.gov/cases/0b2eb188-dd23-4dbf-91bb-02e3c81a69bc","TCGA-AP-A1E4-01A")</f>
        <v>TCGA-AP-A1E4-01A</v>
      </c>
      <c r="I21466" t="s">
        <v>444</v>
      </c>
      <c r="J21466" t="s">
        <v>599</v>
      </c>
      <c r="K21466" t="s">
        <v>33</v>
      </c>
      <c r="L21466" t="s">
        <v>600</v>
      </c>
      <c r="N21466" t="s">
        <v>29</v>
      </c>
    </row>
    <row r="21467" spans="1:14">
      <c r="A21467" s="4" t="str">
        <f t="shared" si="1426"/>
        <v>EXP00452</v>
      </c>
      <c r="B21467" s="3" t="s">
        <v>66</v>
      </c>
      <c r="C21467" s="4" t="str">
        <f t="shared" si="1425"/>
        <v>TCGA-UCEC</v>
      </c>
      <c r="D21467" s="1" t="s">
        <v>493</v>
      </c>
      <c r="E21467" t="s">
        <v>601</v>
      </c>
      <c r="F21467" s="1">
        <v>2</v>
      </c>
      <c r="G21467" s="1" t="s">
        <v>28</v>
      </c>
      <c r="H21467" s="4" t="str">
        <f>HYPERLINK("https://portal.gdc.cancer.gov/cases/211b2c52-1ad8-4d33-af0b-69ec1a56c821","TCGA-AP-A3K1-01A")</f>
        <v>TCGA-AP-A3K1-01A</v>
      </c>
      <c r="I21467" t="s">
        <v>444</v>
      </c>
      <c r="J21467" t="s">
        <v>599</v>
      </c>
      <c r="K21467" t="s">
        <v>33</v>
      </c>
      <c r="L21467" t="s">
        <v>600</v>
      </c>
      <c r="N21467" t="s">
        <v>29</v>
      </c>
    </row>
    <row r="21468" spans="1:14">
      <c r="A21468" s="4" t="str">
        <f t="shared" si="1426"/>
        <v>EXP00452</v>
      </c>
      <c r="B21468" s="3" t="s">
        <v>66</v>
      </c>
      <c r="C21468" s="4" t="str">
        <f t="shared" si="1425"/>
        <v>TCGA-UCEC</v>
      </c>
      <c r="D21468" s="1" t="s">
        <v>493</v>
      </c>
      <c r="E21468" t="s">
        <v>601</v>
      </c>
      <c r="F21468" s="1">
        <v>2</v>
      </c>
      <c r="G21468" s="1" t="s">
        <v>28</v>
      </c>
      <c r="H21468" s="4" t="str">
        <f>HYPERLINK("https://portal.gdc.cancer.gov/cases/a633d316-59a4-45ae-8bf8-135cfbd27656","TCGA-AP-A5FX-01A")</f>
        <v>TCGA-AP-A5FX-01A</v>
      </c>
      <c r="I21468" t="s">
        <v>444</v>
      </c>
      <c r="J21468" t="s">
        <v>599</v>
      </c>
      <c r="K21468" t="s">
        <v>33</v>
      </c>
      <c r="L21468" t="s">
        <v>600</v>
      </c>
      <c r="N21468" t="s">
        <v>29</v>
      </c>
    </row>
    <row r="21469" spans="1:14">
      <c r="A21469" s="4" t="str">
        <f t="shared" si="1426"/>
        <v>EXP00452</v>
      </c>
      <c r="B21469" s="3" t="s">
        <v>66</v>
      </c>
      <c r="C21469" s="4" t="str">
        <f t="shared" si="1425"/>
        <v>TCGA-UCEC</v>
      </c>
      <c r="D21469" s="1" t="s">
        <v>493</v>
      </c>
      <c r="E21469" t="s">
        <v>601</v>
      </c>
      <c r="F21469" s="1">
        <v>2</v>
      </c>
      <c r="G21469" s="1" t="s">
        <v>28</v>
      </c>
      <c r="H21469" s="4" t="str">
        <f>HYPERLINK("https://portal.gdc.cancer.gov/cases/4cb4dd07-0ce5-4de7-a0bd-546183949efe","TCGA-AW-A1PO-01A")</f>
        <v>TCGA-AW-A1PO-01A</v>
      </c>
      <c r="I21469" t="s">
        <v>444</v>
      </c>
      <c r="J21469" t="s">
        <v>599</v>
      </c>
      <c r="K21469" t="s">
        <v>33</v>
      </c>
      <c r="L21469" t="s">
        <v>600</v>
      </c>
      <c r="N21469" t="s">
        <v>29</v>
      </c>
    </row>
    <row r="21470" spans="1:14">
      <c r="A21470" s="4" t="str">
        <f t="shared" si="1426"/>
        <v>EXP00452</v>
      </c>
      <c r="B21470" s="3" t="s">
        <v>66</v>
      </c>
      <c r="C21470" s="4" t="str">
        <f t="shared" si="1425"/>
        <v>TCGA-UCEC</v>
      </c>
      <c r="D21470" s="1" t="s">
        <v>493</v>
      </c>
      <c r="E21470" t="s">
        <v>601</v>
      </c>
      <c r="F21470" s="1">
        <v>2</v>
      </c>
      <c r="G21470" s="1" t="s">
        <v>28</v>
      </c>
      <c r="H21470" s="4" t="str">
        <f>HYPERLINK("https://portal.gdc.cancer.gov/cases/3a4a6aff-4720-41fc-a114-85f38610ebb1","TCGA-AX-A05S-01A")</f>
        <v>TCGA-AX-A05S-01A</v>
      </c>
      <c r="I21470" t="s">
        <v>444</v>
      </c>
      <c r="J21470" t="s">
        <v>599</v>
      </c>
      <c r="K21470" t="s">
        <v>33</v>
      </c>
      <c r="L21470" t="s">
        <v>600</v>
      </c>
      <c r="N21470" t="s">
        <v>29</v>
      </c>
    </row>
    <row r="21471" spans="1:14">
      <c r="A21471" s="4" t="str">
        <f t="shared" si="1426"/>
        <v>EXP00452</v>
      </c>
      <c r="B21471" s="3" t="s">
        <v>66</v>
      </c>
      <c r="C21471" s="4" t="str">
        <f t="shared" si="1425"/>
        <v>TCGA-UCEC</v>
      </c>
      <c r="D21471" s="1" t="s">
        <v>493</v>
      </c>
      <c r="E21471" t="s">
        <v>601</v>
      </c>
      <c r="F21471" s="1">
        <v>2</v>
      </c>
      <c r="G21471" s="1" t="s">
        <v>28</v>
      </c>
      <c r="H21471" s="4" t="str">
        <f>HYPERLINK("https://portal.gdc.cancer.gov/cases/0119eab6-00e7-4346-aa52-cbbeeba3621d","TCGA-AX-A05T-01A")</f>
        <v>TCGA-AX-A05T-01A</v>
      </c>
      <c r="I21471" t="s">
        <v>444</v>
      </c>
      <c r="J21471" t="s">
        <v>599</v>
      </c>
      <c r="K21471" t="s">
        <v>33</v>
      </c>
      <c r="L21471" t="s">
        <v>600</v>
      </c>
      <c r="N21471" t="s">
        <v>29</v>
      </c>
    </row>
    <row r="21472" spans="1:14">
      <c r="A21472" s="4" t="str">
        <f t="shared" si="1426"/>
        <v>EXP00452</v>
      </c>
      <c r="B21472" s="3" t="s">
        <v>66</v>
      </c>
      <c r="C21472" s="4" t="str">
        <f t="shared" si="1425"/>
        <v>TCGA-UCEC</v>
      </c>
      <c r="D21472" s="1" t="s">
        <v>493</v>
      </c>
      <c r="E21472" t="s">
        <v>601</v>
      </c>
      <c r="F21472" s="1">
        <v>2</v>
      </c>
      <c r="G21472" s="1" t="s">
        <v>28</v>
      </c>
      <c r="H21472" s="4" t="str">
        <f>HYPERLINK("https://portal.gdc.cancer.gov/cases/e56c6abc-b36c-4667-a347-0a541ce4791d","TCGA-AX-A05U-01A")</f>
        <v>TCGA-AX-A05U-01A</v>
      </c>
      <c r="I21472" t="s">
        <v>444</v>
      </c>
      <c r="J21472" t="s">
        <v>599</v>
      </c>
      <c r="K21472" t="s">
        <v>33</v>
      </c>
      <c r="L21472" t="s">
        <v>600</v>
      </c>
      <c r="N21472" t="s">
        <v>29</v>
      </c>
    </row>
    <row r="21473" spans="1:14">
      <c r="A21473" s="4" t="str">
        <f t="shared" si="1426"/>
        <v>EXP00452</v>
      </c>
      <c r="B21473" s="3" t="s">
        <v>66</v>
      </c>
      <c r="C21473" s="4" t="str">
        <f t="shared" si="1425"/>
        <v>TCGA-UCEC</v>
      </c>
      <c r="D21473" s="1" t="s">
        <v>493</v>
      </c>
      <c r="E21473" t="s">
        <v>601</v>
      </c>
      <c r="F21473" s="1">
        <v>2</v>
      </c>
      <c r="G21473" s="1" t="s">
        <v>28</v>
      </c>
      <c r="H21473" s="4" t="str">
        <f>HYPERLINK("https://portal.gdc.cancer.gov/cases/87e44856-eb9a-475f-96b1-047b7f77b0da","TCGA-AX-A05W-01A")</f>
        <v>TCGA-AX-A05W-01A</v>
      </c>
      <c r="I21473" t="s">
        <v>444</v>
      </c>
      <c r="J21473" t="s">
        <v>599</v>
      </c>
      <c r="K21473" t="s">
        <v>33</v>
      </c>
      <c r="L21473" t="s">
        <v>600</v>
      </c>
      <c r="N21473" t="s">
        <v>29</v>
      </c>
    </row>
    <row r="21474" spans="1:14">
      <c r="A21474" s="4" t="str">
        <f t="shared" si="1426"/>
        <v>EXP00452</v>
      </c>
      <c r="B21474" s="3" t="s">
        <v>66</v>
      </c>
      <c r="C21474" s="4" t="str">
        <f t="shared" si="1425"/>
        <v>TCGA-UCEC</v>
      </c>
      <c r="D21474" s="1" t="s">
        <v>493</v>
      </c>
      <c r="E21474" t="s">
        <v>601</v>
      </c>
      <c r="F21474" s="1">
        <v>2</v>
      </c>
      <c r="G21474" s="1" t="s">
        <v>28</v>
      </c>
      <c r="H21474" s="4" t="str">
        <f>HYPERLINK("https://portal.gdc.cancer.gov/cases/cbe0bd4a-02b7-43e7-b08e-2b0f13560eaf","TCGA-AX-A05Y-01A")</f>
        <v>TCGA-AX-A05Y-01A</v>
      </c>
      <c r="I21474" t="s">
        <v>444</v>
      </c>
      <c r="J21474" t="s">
        <v>599</v>
      </c>
      <c r="K21474" t="s">
        <v>33</v>
      </c>
      <c r="L21474" t="s">
        <v>600</v>
      </c>
      <c r="N21474" t="s">
        <v>29</v>
      </c>
    </row>
    <row r="21475" spans="1:14">
      <c r="A21475" s="4" t="str">
        <f t="shared" si="1426"/>
        <v>EXP00452</v>
      </c>
      <c r="B21475" s="3" t="s">
        <v>66</v>
      </c>
      <c r="C21475" s="4" t="str">
        <f t="shared" si="1425"/>
        <v>TCGA-UCEC</v>
      </c>
      <c r="D21475" s="1" t="s">
        <v>493</v>
      </c>
      <c r="E21475" t="s">
        <v>601</v>
      </c>
      <c r="F21475" s="1">
        <v>2</v>
      </c>
      <c r="G21475" s="1" t="s">
        <v>28</v>
      </c>
      <c r="H21475" s="4" t="str">
        <f>HYPERLINK("https://portal.gdc.cancer.gov/cases/bf632368-8ce7-4b4b-8842-d1b1801e62ef","TCGA-AX-A05Z-01A")</f>
        <v>TCGA-AX-A05Z-01A</v>
      </c>
      <c r="I21475" t="s">
        <v>444</v>
      </c>
      <c r="J21475" t="s">
        <v>599</v>
      </c>
      <c r="K21475" t="s">
        <v>33</v>
      </c>
      <c r="L21475" t="s">
        <v>600</v>
      </c>
      <c r="N21475" t="s">
        <v>29</v>
      </c>
    </row>
    <row r="21476" spans="1:14">
      <c r="A21476" s="4" t="str">
        <f t="shared" si="1426"/>
        <v>EXP00452</v>
      </c>
      <c r="B21476" s="3" t="s">
        <v>66</v>
      </c>
      <c r="C21476" s="4" t="str">
        <f t="shared" si="1425"/>
        <v>TCGA-UCEC</v>
      </c>
      <c r="D21476" s="1" t="s">
        <v>493</v>
      </c>
      <c r="E21476" t="s">
        <v>601</v>
      </c>
      <c r="F21476" s="1">
        <v>2</v>
      </c>
      <c r="G21476" s="1" t="s">
        <v>28</v>
      </c>
      <c r="H21476" s="4" t="str">
        <f>HYPERLINK("https://portal.gdc.cancer.gov/cases/d1b615f4-50c9-497b-8a69-8de78aa17e09","TCGA-AX-A060-01A")</f>
        <v>TCGA-AX-A060-01A</v>
      </c>
      <c r="I21476" t="s">
        <v>444</v>
      </c>
      <c r="J21476" t="s">
        <v>599</v>
      </c>
      <c r="K21476" t="s">
        <v>33</v>
      </c>
      <c r="L21476" t="s">
        <v>600</v>
      </c>
      <c r="N21476" t="s">
        <v>29</v>
      </c>
    </row>
    <row r="21477" spans="1:14">
      <c r="A21477" s="4" t="str">
        <f t="shared" si="1426"/>
        <v>EXP00452</v>
      </c>
      <c r="B21477" s="3" t="s">
        <v>66</v>
      </c>
      <c r="C21477" s="4" t="str">
        <f t="shared" si="1425"/>
        <v>TCGA-UCEC</v>
      </c>
      <c r="D21477" s="1" t="s">
        <v>493</v>
      </c>
      <c r="E21477" t="s">
        <v>601</v>
      </c>
      <c r="F21477" s="1">
        <v>2</v>
      </c>
      <c r="G21477" s="1" t="s">
        <v>28</v>
      </c>
      <c r="H21477" s="4" t="str">
        <f>HYPERLINK("https://portal.gdc.cancer.gov/cases/4af65655-a3bd-4252-9b2f-2b2c4394f95c","TCGA-AX-A062-01A")</f>
        <v>TCGA-AX-A062-01A</v>
      </c>
      <c r="I21477" t="s">
        <v>444</v>
      </c>
      <c r="J21477" t="s">
        <v>599</v>
      </c>
      <c r="K21477" t="s">
        <v>33</v>
      </c>
      <c r="L21477" t="s">
        <v>600</v>
      </c>
      <c r="N21477" t="s">
        <v>29</v>
      </c>
    </row>
    <row r="21478" spans="1:14">
      <c r="A21478" s="4" t="str">
        <f t="shared" si="1426"/>
        <v>EXP00452</v>
      </c>
      <c r="B21478" s="3" t="s">
        <v>66</v>
      </c>
      <c r="C21478" s="4" t="str">
        <f t="shared" si="1425"/>
        <v>TCGA-UCEC</v>
      </c>
      <c r="D21478" s="1" t="s">
        <v>493</v>
      </c>
      <c r="E21478" t="s">
        <v>601</v>
      </c>
      <c r="F21478" s="1">
        <v>2</v>
      </c>
      <c r="G21478" s="1" t="s">
        <v>28</v>
      </c>
      <c r="H21478" s="4" t="str">
        <f>HYPERLINK("https://portal.gdc.cancer.gov/cases/e8909bdf-460c-4291-8e9b-7be12f343eae","TCGA-AX-A063-01A")</f>
        <v>TCGA-AX-A063-01A</v>
      </c>
      <c r="I21478" t="s">
        <v>444</v>
      </c>
      <c r="J21478" t="s">
        <v>599</v>
      </c>
      <c r="K21478" t="s">
        <v>33</v>
      </c>
      <c r="L21478" t="s">
        <v>600</v>
      </c>
      <c r="N21478" t="s">
        <v>29</v>
      </c>
    </row>
    <row r="21479" spans="1:14">
      <c r="A21479" s="4" t="str">
        <f t="shared" si="1426"/>
        <v>EXP00452</v>
      </c>
      <c r="B21479" s="3" t="s">
        <v>66</v>
      </c>
      <c r="C21479" s="4" t="str">
        <f t="shared" si="1425"/>
        <v>TCGA-UCEC</v>
      </c>
      <c r="D21479" s="1" t="s">
        <v>493</v>
      </c>
      <c r="E21479" t="s">
        <v>601</v>
      </c>
      <c r="F21479" s="1">
        <v>2</v>
      </c>
      <c r="G21479" s="1" t="s">
        <v>28</v>
      </c>
      <c r="H21479" s="4" t="str">
        <f>HYPERLINK("https://portal.gdc.cancer.gov/cases/633e6994-3e8b-4c0b-9b79-06cf4ab6f9bc","TCGA-AX-A064-01A")</f>
        <v>TCGA-AX-A064-01A</v>
      </c>
      <c r="I21479" t="s">
        <v>444</v>
      </c>
      <c r="J21479" t="s">
        <v>599</v>
      </c>
      <c r="K21479" t="s">
        <v>33</v>
      </c>
      <c r="L21479" t="s">
        <v>600</v>
      </c>
      <c r="N21479" t="s">
        <v>29</v>
      </c>
    </row>
    <row r="21480" spans="1:14">
      <c r="A21480" s="4" t="str">
        <f t="shared" si="1426"/>
        <v>EXP00452</v>
      </c>
      <c r="B21480" s="3" t="s">
        <v>66</v>
      </c>
      <c r="C21480" s="4" t="str">
        <f t="shared" si="1425"/>
        <v>TCGA-UCEC</v>
      </c>
      <c r="D21480" s="1" t="s">
        <v>493</v>
      </c>
      <c r="E21480" t="s">
        <v>601</v>
      </c>
      <c r="F21480" s="1">
        <v>2</v>
      </c>
      <c r="G21480" s="1" t="s">
        <v>28</v>
      </c>
      <c r="H21480" s="4" t="str">
        <f>HYPERLINK("https://portal.gdc.cancer.gov/cases/95e6d327-9ab7-45de-9527-f5634b3995c3","TCGA-AX-A06B-01A")</f>
        <v>TCGA-AX-A06B-01A</v>
      </c>
      <c r="I21480" t="s">
        <v>444</v>
      </c>
      <c r="J21480" t="s">
        <v>599</v>
      </c>
      <c r="K21480" t="s">
        <v>33</v>
      </c>
      <c r="L21480" t="s">
        <v>600</v>
      </c>
      <c r="N21480" t="s">
        <v>29</v>
      </c>
    </row>
    <row r="21481" spans="1:14">
      <c r="A21481" s="4" t="str">
        <f t="shared" si="1426"/>
        <v>EXP00452</v>
      </c>
      <c r="B21481" s="3" t="s">
        <v>66</v>
      </c>
      <c r="C21481" s="4" t="str">
        <f t="shared" si="1425"/>
        <v>TCGA-UCEC</v>
      </c>
      <c r="D21481" s="1" t="s">
        <v>493</v>
      </c>
      <c r="E21481" t="s">
        <v>601</v>
      </c>
      <c r="F21481" s="1">
        <v>2</v>
      </c>
      <c r="G21481" s="1" t="s">
        <v>28</v>
      </c>
      <c r="H21481" s="4" t="str">
        <f>HYPERLINK("https://portal.gdc.cancer.gov/cases/905291b0-f077-48f7-9c14-5cfa9d8a3e6e","TCGA-AX-A06D-01A")</f>
        <v>TCGA-AX-A06D-01A</v>
      </c>
      <c r="I21481" t="s">
        <v>444</v>
      </c>
      <c r="J21481" t="s">
        <v>599</v>
      </c>
      <c r="K21481" t="s">
        <v>33</v>
      </c>
      <c r="L21481" t="s">
        <v>600</v>
      </c>
      <c r="N21481" t="s">
        <v>29</v>
      </c>
    </row>
    <row r="21482" spans="1:14">
      <c r="A21482" s="4" t="str">
        <f t="shared" si="1426"/>
        <v>EXP00452</v>
      </c>
      <c r="B21482" s="3" t="s">
        <v>66</v>
      </c>
      <c r="C21482" s="4" t="str">
        <f t="shared" si="1425"/>
        <v>TCGA-UCEC</v>
      </c>
      <c r="D21482" s="1" t="s">
        <v>493</v>
      </c>
      <c r="E21482" t="s">
        <v>601</v>
      </c>
      <c r="F21482" s="1">
        <v>2</v>
      </c>
      <c r="G21482" s="1" t="s">
        <v>28</v>
      </c>
      <c r="H21482" s="4" t="str">
        <f>HYPERLINK("https://portal.gdc.cancer.gov/cases/f17e446a-c145-45be-8335-a856acb0b9b8","TCGA-AX-A06F-01A")</f>
        <v>TCGA-AX-A06F-01A</v>
      </c>
      <c r="I21482" t="s">
        <v>444</v>
      </c>
      <c r="J21482" t="s">
        <v>599</v>
      </c>
      <c r="K21482" t="s">
        <v>33</v>
      </c>
      <c r="L21482" t="s">
        <v>600</v>
      </c>
      <c r="N21482" t="s">
        <v>29</v>
      </c>
    </row>
    <row r="21483" spans="1:14">
      <c r="A21483" s="4" t="str">
        <f t="shared" si="1426"/>
        <v>EXP00452</v>
      </c>
      <c r="B21483" s="3" t="s">
        <v>66</v>
      </c>
      <c r="C21483" s="4" t="str">
        <f t="shared" si="1425"/>
        <v>TCGA-UCEC</v>
      </c>
      <c r="D21483" s="1" t="s">
        <v>493</v>
      </c>
      <c r="E21483" t="s">
        <v>601</v>
      </c>
      <c r="F21483" s="1">
        <v>2</v>
      </c>
      <c r="G21483" s="1" t="s">
        <v>28</v>
      </c>
      <c r="H21483" s="4" t="str">
        <f>HYPERLINK("https://portal.gdc.cancer.gov/cases/e5d74e47-b63f-410a-8b7a-c9aacc9aa337","TCGA-AX-A06H-01A")</f>
        <v>TCGA-AX-A06H-01A</v>
      </c>
      <c r="I21483" t="s">
        <v>444</v>
      </c>
      <c r="J21483" t="s">
        <v>599</v>
      </c>
      <c r="K21483" t="s">
        <v>33</v>
      </c>
      <c r="L21483" t="s">
        <v>600</v>
      </c>
      <c r="N21483" t="s">
        <v>29</v>
      </c>
    </row>
    <row r="21484" spans="1:14">
      <c r="A21484" s="4" t="str">
        <f t="shared" si="1426"/>
        <v>EXP00452</v>
      </c>
      <c r="B21484" s="3" t="s">
        <v>66</v>
      </c>
      <c r="C21484" s="4" t="str">
        <f t="shared" si="1425"/>
        <v>TCGA-UCEC</v>
      </c>
      <c r="D21484" s="1" t="s">
        <v>493</v>
      </c>
      <c r="E21484" t="s">
        <v>601</v>
      </c>
      <c r="F21484" s="1">
        <v>2</v>
      </c>
      <c r="G21484" s="1" t="s">
        <v>28</v>
      </c>
      <c r="H21484" s="4" t="str">
        <f>HYPERLINK("https://portal.gdc.cancer.gov/cases/b6819b52-6f01-4011-9bd3-a1a00397e0c9","TCGA-AX-A06J-01A")</f>
        <v>TCGA-AX-A06J-01A</v>
      </c>
      <c r="I21484" t="s">
        <v>444</v>
      </c>
      <c r="J21484" t="s">
        <v>599</v>
      </c>
      <c r="K21484" t="s">
        <v>33</v>
      </c>
      <c r="L21484" t="s">
        <v>600</v>
      </c>
      <c r="N21484" t="s">
        <v>29</v>
      </c>
    </row>
    <row r="21485" spans="1:14">
      <c r="A21485" s="4" t="str">
        <f t="shared" si="1426"/>
        <v>EXP00452</v>
      </c>
      <c r="B21485" s="3" t="s">
        <v>66</v>
      </c>
      <c r="C21485" s="4" t="str">
        <f t="shared" si="1425"/>
        <v>TCGA-UCEC</v>
      </c>
      <c r="D21485" s="1" t="s">
        <v>493</v>
      </c>
      <c r="E21485" t="s">
        <v>601</v>
      </c>
      <c r="F21485" s="1">
        <v>2</v>
      </c>
      <c r="G21485" s="1" t="s">
        <v>28</v>
      </c>
      <c r="H21485" s="4" t="str">
        <f>HYPERLINK("https://portal.gdc.cancer.gov/cases/f4a7f2ff-be76-48d3-9f59-9223db33680e","TCGA-AX-A06L-01A")</f>
        <v>TCGA-AX-A06L-01A</v>
      </c>
      <c r="I21485" t="s">
        <v>444</v>
      </c>
      <c r="J21485" t="s">
        <v>599</v>
      </c>
      <c r="K21485" t="s">
        <v>33</v>
      </c>
      <c r="L21485" t="s">
        <v>600</v>
      </c>
      <c r="N21485" t="s">
        <v>29</v>
      </c>
    </row>
    <row r="21486" spans="1:14">
      <c r="A21486" s="4" t="str">
        <f t="shared" si="1426"/>
        <v>EXP00452</v>
      </c>
      <c r="B21486" s="3" t="s">
        <v>66</v>
      </c>
      <c r="C21486" s="4" t="str">
        <f t="shared" si="1425"/>
        <v>TCGA-UCEC</v>
      </c>
      <c r="D21486" s="1" t="s">
        <v>493</v>
      </c>
      <c r="E21486" t="s">
        <v>601</v>
      </c>
      <c r="F21486" s="1">
        <v>2</v>
      </c>
      <c r="G21486" s="1" t="s">
        <v>28</v>
      </c>
      <c r="H21486" s="4" t="str">
        <f>HYPERLINK("https://portal.gdc.cancer.gov/cases/2e5cf721-90b1-4470-b430-f055a1297c7f","TCGA-AX-A0IS-01A")</f>
        <v>TCGA-AX-A0IS-01A</v>
      </c>
      <c r="I21486" t="s">
        <v>444</v>
      </c>
      <c r="J21486" t="s">
        <v>599</v>
      </c>
      <c r="K21486" t="s">
        <v>33</v>
      </c>
      <c r="L21486" t="s">
        <v>600</v>
      </c>
      <c r="N21486" t="s">
        <v>29</v>
      </c>
    </row>
    <row r="21487" spans="1:14">
      <c r="A21487" s="4" t="str">
        <f t="shared" si="1426"/>
        <v>EXP00452</v>
      </c>
      <c r="B21487" s="3" t="s">
        <v>66</v>
      </c>
      <c r="C21487" s="4" t="str">
        <f t="shared" si="1425"/>
        <v>TCGA-UCEC</v>
      </c>
      <c r="D21487" s="1" t="s">
        <v>493</v>
      </c>
      <c r="E21487" t="s">
        <v>601</v>
      </c>
      <c r="F21487" s="1">
        <v>2</v>
      </c>
      <c r="G21487" s="1" t="s">
        <v>28</v>
      </c>
      <c r="H21487" s="4" t="str">
        <f>HYPERLINK("https://portal.gdc.cancer.gov/cases/7e64ea6c-a3db-48eb-91be-131361510a92","TCGA-AX-A0IU-01A")</f>
        <v>TCGA-AX-A0IU-01A</v>
      </c>
      <c r="I21487" t="s">
        <v>444</v>
      </c>
      <c r="J21487" t="s">
        <v>599</v>
      </c>
      <c r="K21487" t="s">
        <v>33</v>
      </c>
      <c r="L21487" t="s">
        <v>600</v>
      </c>
      <c r="N21487" t="s">
        <v>29</v>
      </c>
    </row>
    <row r="21488" spans="1:14">
      <c r="A21488" s="4" t="str">
        <f t="shared" si="1426"/>
        <v>EXP00452</v>
      </c>
      <c r="B21488" s="3" t="s">
        <v>66</v>
      </c>
      <c r="C21488" s="4" t="str">
        <f t="shared" si="1425"/>
        <v>TCGA-UCEC</v>
      </c>
      <c r="D21488" s="1" t="s">
        <v>493</v>
      </c>
      <c r="E21488" t="s">
        <v>601</v>
      </c>
      <c r="F21488" s="1">
        <v>2</v>
      </c>
      <c r="G21488" s="1" t="s">
        <v>28</v>
      </c>
      <c r="H21488" s="4" t="str">
        <f>HYPERLINK("https://portal.gdc.cancer.gov/cases/db21fccf-40cb-4235-a34d-336a03b8c8f4","TCGA-AX-A0IW-01A")</f>
        <v>TCGA-AX-A0IW-01A</v>
      </c>
      <c r="I21488" t="s">
        <v>444</v>
      </c>
      <c r="J21488" t="s">
        <v>599</v>
      </c>
      <c r="K21488" t="s">
        <v>33</v>
      </c>
      <c r="L21488" t="s">
        <v>600</v>
      </c>
      <c r="N21488" t="s">
        <v>29</v>
      </c>
    </row>
    <row r="21489" spans="1:14">
      <c r="A21489" s="4" t="str">
        <f t="shared" si="1426"/>
        <v>EXP00452</v>
      </c>
      <c r="B21489" s="3" t="s">
        <v>66</v>
      </c>
      <c r="C21489" s="4" t="str">
        <f t="shared" si="1425"/>
        <v>TCGA-UCEC</v>
      </c>
      <c r="D21489" s="1" t="s">
        <v>493</v>
      </c>
      <c r="E21489" t="s">
        <v>601</v>
      </c>
      <c r="F21489" s="1">
        <v>2</v>
      </c>
      <c r="G21489" s="1" t="s">
        <v>28</v>
      </c>
      <c r="H21489" s="4" t="str">
        <f>HYPERLINK("https://portal.gdc.cancer.gov/cases/11285dc5-8742-477a-8692-af1b6e2c1434","TCGA-AX-A0IZ-01A")</f>
        <v>TCGA-AX-A0IZ-01A</v>
      </c>
      <c r="I21489" t="s">
        <v>444</v>
      </c>
      <c r="J21489" t="s">
        <v>599</v>
      </c>
      <c r="K21489" t="s">
        <v>33</v>
      </c>
      <c r="L21489" t="s">
        <v>600</v>
      </c>
      <c r="N21489" t="s">
        <v>29</v>
      </c>
    </row>
    <row r="21490" spans="1:14">
      <c r="A21490" s="4" t="str">
        <f t="shared" si="1426"/>
        <v>EXP00452</v>
      </c>
      <c r="B21490" s="3" t="s">
        <v>66</v>
      </c>
      <c r="C21490" s="4" t="str">
        <f t="shared" si="1425"/>
        <v>TCGA-UCEC</v>
      </c>
      <c r="D21490" s="1" t="s">
        <v>493</v>
      </c>
      <c r="E21490" t="s">
        <v>601</v>
      </c>
      <c r="F21490" s="1">
        <v>2</v>
      </c>
      <c r="G21490" s="1" t="s">
        <v>28</v>
      </c>
      <c r="H21490" s="4" t="str">
        <f>HYPERLINK("https://portal.gdc.cancer.gov/cases/1c7b41fc-daa7-4a6e-b553-aff73e8ebac6","TCGA-AX-A0J0-01A")</f>
        <v>TCGA-AX-A0J0-01A</v>
      </c>
      <c r="I21490" t="s">
        <v>444</v>
      </c>
      <c r="J21490" t="s">
        <v>599</v>
      </c>
      <c r="K21490" t="s">
        <v>33</v>
      </c>
      <c r="L21490" t="s">
        <v>600</v>
      </c>
      <c r="N21490" t="s">
        <v>29</v>
      </c>
    </row>
    <row r="21491" spans="1:14">
      <c r="A21491" s="4" t="str">
        <f t="shared" si="1426"/>
        <v>EXP00452</v>
      </c>
      <c r="B21491" s="3" t="s">
        <v>66</v>
      </c>
      <c r="C21491" s="4" t="str">
        <f t="shared" si="1425"/>
        <v>TCGA-UCEC</v>
      </c>
      <c r="D21491" s="1" t="s">
        <v>493</v>
      </c>
      <c r="E21491" t="s">
        <v>601</v>
      </c>
      <c r="F21491" s="1">
        <v>2</v>
      </c>
      <c r="G21491" s="1" t="s">
        <v>28</v>
      </c>
      <c r="H21491" s="4" t="str">
        <f>HYPERLINK("https://portal.gdc.cancer.gov/cases/ec7a9d74-8b3f-4747-8926-1739a016ab2b","TCGA-AX-A0J1-01A")</f>
        <v>TCGA-AX-A0J1-01A</v>
      </c>
      <c r="I21491" t="s">
        <v>444</v>
      </c>
      <c r="J21491" t="s">
        <v>599</v>
      </c>
      <c r="K21491" t="s">
        <v>33</v>
      </c>
      <c r="L21491" t="s">
        <v>600</v>
      </c>
      <c r="N21491" t="s">
        <v>29</v>
      </c>
    </row>
    <row r="21492" spans="1:14">
      <c r="A21492" s="4" t="str">
        <f t="shared" si="1426"/>
        <v>EXP00452</v>
      </c>
      <c r="B21492" s="3" t="s">
        <v>66</v>
      </c>
      <c r="C21492" s="4" t="str">
        <f t="shared" si="1425"/>
        <v>TCGA-UCEC</v>
      </c>
      <c r="D21492" s="1" t="s">
        <v>493</v>
      </c>
      <c r="E21492" t="s">
        <v>601</v>
      </c>
      <c r="F21492" s="1">
        <v>2</v>
      </c>
      <c r="G21492" s="1" t="s">
        <v>28</v>
      </c>
      <c r="H21492" s="4" t="str">
        <f>HYPERLINK("https://portal.gdc.cancer.gov/cases/40ce24c6-b331-4be2-baf9-2fa7dc855f9b","TCGA-AX-A1C4-01A")</f>
        <v>TCGA-AX-A1C4-01A</v>
      </c>
      <c r="I21492" t="s">
        <v>444</v>
      </c>
      <c r="J21492" t="s">
        <v>599</v>
      </c>
      <c r="K21492" t="s">
        <v>33</v>
      </c>
      <c r="L21492" t="s">
        <v>600</v>
      </c>
      <c r="N21492" t="s">
        <v>29</v>
      </c>
    </row>
    <row r="21493" spans="1:14">
      <c r="A21493" s="4" t="str">
        <f t="shared" si="1426"/>
        <v>EXP00452</v>
      </c>
      <c r="B21493" s="3" t="s">
        <v>66</v>
      </c>
      <c r="C21493" s="4" t="str">
        <f t="shared" ref="C21493:C21556" si="1427">HYPERLINK("https://portal.gdc.cancer.gov/projects/TCGA-UCEC","TCGA-UCEC")</f>
        <v>TCGA-UCEC</v>
      </c>
      <c r="D21493" s="1" t="s">
        <v>493</v>
      </c>
      <c r="E21493" t="s">
        <v>601</v>
      </c>
      <c r="F21493" s="1">
        <v>2</v>
      </c>
      <c r="G21493" s="1" t="s">
        <v>28</v>
      </c>
      <c r="H21493" s="4" t="str">
        <f>HYPERLINK("https://portal.gdc.cancer.gov/cases/caebdce0-f954-471a-ac63-5daaa2e76d97","TCGA-AX-A1C5-01A")</f>
        <v>TCGA-AX-A1C5-01A</v>
      </c>
      <c r="I21493" t="s">
        <v>444</v>
      </c>
      <c r="J21493" t="s">
        <v>599</v>
      </c>
      <c r="K21493" t="s">
        <v>33</v>
      </c>
      <c r="L21493" t="s">
        <v>600</v>
      </c>
      <c r="N21493" t="s">
        <v>29</v>
      </c>
    </row>
    <row r="21494" spans="1:14">
      <c r="A21494" s="4" t="str">
        <f t="shared" si="1426"/>
        <v>EXP00452</v>
      </c>
      <c r="B21494" s="3" t="s">
        <v>66</v>
      </c>
      <c r="C21494" s="4" t="str">
        <f t="shared" si="1427"/>
        <v>TCGA-UCEC</v>
      </c>
      <c r="D21494" s="1" t="s">
        <v>493</v>
      </c>
      <c r="E21494" t="s">
        <v>601</v>
      </c>
      <c r="F21494" s="1">
        <v>2</v>
      </c>
      <c r="G21494" s="1" t="s">
        <v>28</v>
      </c>
      <c r="H21494" s="4" t="str">
        <f>HYPERLINK("https://portal.gdc.cancer.gov/cases/755d7ab7-4563-408a-9135-f852048af975","TCGA-AX-A1C7-01A")</f>
        <v>TCGA-AX-A1C7-01A</v>
      </c>
      <c r="I21494" t="s">
        <v>444</v>
      </c>
      <c r="J21494" t="s">
        <v>599</v>
      </c>
      <c r="K21494" t="s">
        <v>33</v>
      </c>
      <c r="L21494" t="s">
        <v>600</v>
      </c>
      <c r="N21494" t="s">
        <v>29</v>
      </c>
    </row>
    <row r="21495" spans="1:14">
      <c r="A21495" s="4" t="str">
        <f t="shared" si="1426"/>
        <v>EXP00452</v>
      </c>
      <c r="B21495" s="3" t="s">
        <v>66</v>
      </c>
      <c r="C21495" s="4" t="str">
        <f t="shared" si="1427"/>
        <v>TCGA-UCEC</v>
      </c>
      <c r="D21495" s="1" t="s">
        <v>493</v>
      </c>
      <c r="E21495" t="s">
        <v>601</v>
      </c>
      <c r="F21495" s="1">
        <v>2</v>
      </c>
      <c r="G21495" s="1" t="s">
        <v>28</v>
      </c>
      <c r="H21495" s="4" t="str">
        <f>HYPERLINK("https://portal.gdc.cancer.gov/cases/bad34c92-1e64-4187-a0b4-061105fd13ba","TCGA-AX-A1C8-01A")</f>
        <v>TCGA-AX-A1C8-01A</v>
      </c>
      <c r="I21495" t="s">
        <v>444</v>
      </c>
      <c r="J21495" t="s">
        <v>599</v>
      </c>
      <c r="K21495" t="s">
        <v>33</v>
      </c>
      <c r="L21495" t="s">
        <v>600</v>
      </c>
      <c r="N21495" t="s">
        <v>29</v>
      </c>
    </row>
    <row r="21496" spans="1:14">
      <c r="A21496" s="4" t="str">
        <f t="shared" si="1426"/>
        <v>EXP00452</v>
      </c>
      <c r="B21496" s="3" t="s">
        <v>66</v>
      </c>
      <c r="C21496" s="4" t="str">
        <f t="shared" si="1427"/>
        <v>TCGA-UCEC</v>
      </c>
      <c r="D21496" s="1" t="s">
        <v>493</v>
      </c>
      <c r="E21496" t="s">
        <v>601</v>
      </c>
      <c r="F21496" s="1">
        <v>2</v>
      </c>
      <c r="G21496" s="1" t="s">
        <v>28</v>
      </c>
      <c r="H21496" s="4" t="str">
        <f>HYPERLINK("https://portal.gdc.cancer.gov/cases/2714af93-e200-4b4a-9df8-7d837b37489f","TCGA-AX-A1C9-01A")</f>
        <v>TCGA-AX-A1C9-01A</v>
      </c>
      <c r="I21496" t="s">
        <v>444</v>
      </c>
      <c r="J21496" t="s">
        <v>599</v>
      </c>
      <c r="K21496" t="s">
        <v>33</v>
      </c>
      <c r="L21496" t="s">
        <v>600</v>
      </c>
      <c r="N21496" t="s">
        <v>29</v>
      </c>
    </row>
    <row r="21497" spans="1:14">
      <c r="A21497" s="4" t="str">
        <f t="shared" si="1426"/>
        <v>EXP00452</v>
      </c>
      <c r="B21497" s="3" t="s">
        <v>66</v>
      </c>
      <c r="C21497" s="4" t="str">
        <f t="shared" si="1427"/>
        <v>TCGA-UCEC</v>
      </c>
      <c r="D21497" s="1" t="s">
        <v>493</v>
      </c>
      <c r="E21497" t="s">
        <v>601</v>
      </c>
      <c r="F21497" s="1">
        <v>2</v>
      </c>
      <c r="G21497" s="1" t="s">
        <v>28</v>
      </c>
      <c r="H21497" s="4" t="str">
        <f>HYPERLINK("https://portal.gdc.cancer.gov/cases/3ede5dff-8cf5-43e8-bf4b-e8ad75bf68ee","TCGA-AX-A1CA-01A")</f>
        <v>TCGA-AX-A1CA-01A</v>
      </c>
      <c r="I21497" t="s">
        <v>444</v>
      </c>
      <c r="J21497" t="s">
        <v>599</v>
      </c>
      <c r="K21497" t="s">
        <v>33</v>
      </c>
      <c r="L21497" t="s">
        <v>600</v>
      </c>
      <c r="N21497" t="s">
        <v>29</v>
      </c>
    </row>
    <row r="21498" spans="1:14">
      <c r="A21498" s="4" t="str">
        <f t="shared" si="1426"/>
        <v>EXP00452</v>
      </c>
      <c r="B21498" s="3" t="s">
        <v>66</v>
      </c>
      <c r="C21498" s="4" t="str">
        <f t="shared" si="1427"/>
        <v>TCGA-UCEC</v>
      </c>
      <c r="D21498" s="1" t="s">
        <v>493</v>
      </c>
      <c r="E21498" t="s">
        <v>601</v>
      </c>
      <c r="F21498" s="1">
        <v>2</v>
      </c>
      <c r="G21498" s="1" t="s">
        <v>28</v>
      </c>
      <c r="H21498" s="4" t="str">
        <f>HYPERLINK("https://portal.gdc.cancer.gov/cases/bc02493a-0296-4329-939a-bf91a4d0c16a","TCGA-AX-A1CC-01A")</f>
        <v>TCGA-AX-A1CC-01A</v>
      </c>
      <c r="I21498" t="s">
        <v>444</v>
      </c>
      <c r="J21498" t="s">
        <v>599</v>
      </c>
      <c r="K21498" t="s">
        <v>33</v>
      </c>
      <c r="L21498" t="s">
        <v>600</v>
      </c>
      <c r="N21498" t="s">
        <v>29</v>
      </c>
    </row>
    <row r="21499" spans="1:14">
      <c r="A21499" s="4" t="str">
        <f t="shared" si="1426"/>
        <v>EXP00452</v>
      </c>
      <c r="B21499" s="3" t="s">
        <v>66</v>
      </c>
      <c r="C21499" s="4" t="str">
        <f t="shared" si="1427"/>
        <v>TCGA-UCEC</v>
      </c>
      <c r="D21499" s="1" t="s">
        <v>493</v>
      </c>
      <c r="E21499" t="s">
        <v>601</v>
      </c>
      <c r="F21499" s="1">
        <v>2</v>
      </c>
      <c r="G21499" s="1" t="s">
        <v>28</v>
      </c>
      <c r="H21499" s="4" t="str">
        <f>HYPERLINK("https://portal.gdc.cancer.gov/cases/4db38349-28d2-4af5-a12f-3d861937b0e0","TCGA-AX-A1CE-01A")</f>
        <v>TCGA-AX-A1CE-01A</v>
      </c>
      <c r="I21499" t="s">
        <v>444</v>
      </c>
      <c r="J21499" t="s">
        <v>599</v>
      </c>
      <c r="K21499" t="s">
        <v>33</v>
      </c>
      <c r="L21499" t="s">
        <v>600</v>
      </c>
      <c r="N21499" t="s">
        <v>29</v>
      </c>
    </row>
    <row r="21500" spans="1:14">
      <c r="A21500" s="4" t="str">
        <f t="shared" si="1426"/>
        <v>EXP00452</v>
      </c>
      <c r="B21500" s="3" t="s">
        <v>66</v>
      </c>
      <c r="C21500" s="4" t="str">
        <f t="shared" si="1427"/>
        <v>TCGA-UCEC</v>
      </c>
      <c r="D21500" s="1" t="s">
        <v>493</v>
      </c>
      <c r="E21500" t="s">
        <v>601</v>
      </c>
      <c r="F21500" s="1">
        <v>2</v>
      </c>
      <c r="G21500" s="1" t="s">
        <v>28</v>
      </c>
      <c r="H21500" s="4" t="str">
        <f>HYPERLINK("https://portal.gdc.cancer.gov/cases/20dcf91a-0529-4e96-99a2-362a41fbe4a4","TCGA-AX-A1CF-01A")</f>
        <v>TCGA-AX-A1CF-01A</v>
      </c>
      <c r="I21500" t="s">
        <v>444</v>
      </c>
      <c r="J21500" t="s">
        <v>599</v>
      </c>
      <c r="K21500" t="s">
        <v>33</v>
      </c>
      <c r="L21500" t="s">
        <v>600</v>
      </c>
      <c r="N21500" t="s">
        <v>29</v>
      </c>
    </row>
    <row r="21501" spans="1:14">
      <c r="A21501" s="4" t="str">
        <f t="shared" si="1426"/>
        <v>EXP00452</v>
      </c>
      <c r="B21501" s="3" t="s">
        <v>66</v>
      </c>
      <c r="C21501" s="4" t="str">
        <f t="shared" si="1427"/>
        <v>TCGA-UCEC</v>
      </c>
      <c r="D21501" s="1" t="s">
        <v>493</v>
      </c>
      <c r="E21501" t="s">
        <v>601</v>
      </c>
      <c r="F21501" s="1">
        <v>2</v>
      </c>
      <c r="G21501" s="1" t="s">
        <v>28</v>
      </c>
      <c r="H21501" s="4" t="str">
        <f>HYPERLINK("https://portal.gdc.cancer.gov/cases/fba80122-d8b2-4d8d-a032-9767e8160f9f","TCGA-AX-A1CI-01A")</f>
        <v>TCGA-AX-A1CI-01A</v>
      </c>
      <c r="I21501" t="s">
        <v>444</v>
      </c>
      <c r="J21501" t="s">
        <v>599</v>
      </c>
      <c r="K21501" t="s">
        <v>33</v>
      </c>
      <c r="L21501" t="s">
        <v>600</v>
      </c>
      <c r="N21501" t="s">
        <v>29</v>
      </c>
    </row>
    <row r="21502" spans="1:14">
      <c r="A21502" s="4" t="str">
        <f t="shared" si="1426"/>
        <v>EXP00452</v>
      </c>
      <c r="B21502" s="3" t="s">
        <v>66</v>
      </c>
      <c r="C21502" s="4" t="str">
        <f t="shared" si="1427"/>
        <v>TCGA-UCEC</v>
      </c>
      <c r="D21502" s="1" t="s">
        <v>493</v>
      </c>
      <c r="E21502" t="s">
        <v>601</v>
      </c>
      <c r="F21502" s="1">
        <v>2</v>
      </c>
      <c r="G21502" s="1" t="s">
        <v>28</v>
      </c>
      <c r="H21502" s="4" t="str">
        <f>HYPERLINK("https://portal.gdc.cancer.gov/cases/abaf757b-f79f-40bd-96e3-e2c0f63061f0","TCGA-AX-A1CJ-01A")</f>
        <v>TCGA-AX-A1CJ-01A</v>
      </c>
      <c r="I21502" t="s">
        <v>444</v>
      </c>
      <c r="J21502" t="s">
        <v>599</v>
      </c>
      <c r="K21502" t="s">
        <v>33</v>
      </c>
      <c r="L21502" t="s">
        <v>600</v>
      </c>
      <c r="N21502" t="s">
        <v>29</v>
      </c>
    </row>
    <row r="21503" spans="1:14">
      <c r="A21503" s="4" t="str">
        <f t="shared" si="1426"/>
        <v>EXP00452</v>
      </c>
      <c r="B21503" s="3" t="s">
        <v>66</v>
      </c>
      <c r="C21503" s="4" t="str">
        <f t="shared" si="1427"/>
        <v>TCGA-UCEC</v>
      </c>
      <c r="D21503" s="1" t="s">
        <v>493</v>
      </c>
      <c r="E21503" t="s">
        <v>601</v>
      </c>
      <c r="F21503" s="1">
        <v>2</v>
      </c>
      <c r="G21503" s="1" t="s">
        <v>28</v>
      </c>
      <c r="H21503" s="4" t="str">
        <f>HYPERLINK("https://portal.gdc.cancer.gov/cases/45effb44-0b5f-4081-a202-d85969c72f2b","TCGA-AX-A1CK-01A")</f>
        <v>TCGA-AX-A1CK-01A</v>
      </c>
      <c r="I21503" t="s">
        <v>444</v>
      </c>
      <c r="J21503" t="s">
        <v>599</v>
      </c>
      <c r="K21503" t="s">
        <v>33</v>
      </c>
      <c r="L21503" t="s">
        <v>600</v>
      </c>
      <c r="N21503" t="s">
        <v>29</v>
      </c>
    </row>
    <row r="21504" spans="1:14">
      <c r="A21504" s="4" t="str">
        <f t="shared" si="1426"/>
        <v>EXP00452</v>
      </c>
      <c r="B21504" s="3" t="s">
        <v>66</v>
      </c>
      <c r="C21504" s="4" t="str">
        <f t="shared" si="1427"/>
        <v>TCGA-UCEC</v>
      </c>
      <c r="D21504" s="1" t="s">
        <v>493</v>
      </c>
      <c r="E21504" t="s">
        <v>601</v>
      </c>
      <c r="F21504" s="1">
        <v>2</v>
      </c>
      <c r="G21504" s="1" t="s">
        <v>28</v>
      </c>
      <c r="H21504" s="4" t="str">
        <f>HYPERLINK("https://portal.gdc.cancer.gov/cases/d70b3c6e-04da-4abc-a832-a461e4cfcc94","TCGA-AX-A1CN-01A")</f>
        <v>TCGA-AX-A1CN-01A</v>
      </c>
      <c r="I21504" t="s">
        <v>444</v>
      </c>
      <c r="J21504" t="s">
        <v>599</v>
      </c>
      <c r="K21504" t="s">
        <v>33</v>
      </c>
      <c r="L21504" t="s">
        <v>600</v>
      </c>
      <c r="N21504" t="s">
        <v>29</v>
      </c>
    </row>
    <row r="21505" spans="1:14">
      <c r="A21505" s="4" t="str">
        <f t="shared" si="1426"/>
        <v>EXP00452</v>
      </c>
      <c r="B21505" s="3" t="s">
        <v>66</v>
      </c>
      <c r="C21505" s="4" t="str">
        <f t="shared" si="1427"/>
        <v>TCGA-UCEC</v>
      </c>
      <c r="D21505" s="1" t="s">
        <v>493</v>
      </c>
      <c r="E21505" t="s">
        <v>601</v>
      </c>
      <c r="F21505" s="1">
        <v>2</v>
      </c>
      <c r="G21505" s="1" t="s">
        <v>28</v>
      </c>
      <c r="H21505" s="4" t="str">
        <f>HYPERLINK("https://portal.gdc.cancer.gov/cases/e297551c-a662-4677-b00d-0d9be232adca","TCGA-AX-A1CP-01A")</f>
        <v>TCGA-AX-A1CP-01A</v>
      </c>
      <c r="I21505" t="s">
        <v>444</v>
      </c>
      <c r="J21505" t="s">
        <v>599</v>
      </c>
      <c r="K21505" t="s">
        <v>33</v>
      </c>
      <c r="L21505" t="s">
        <v>600</v>
      </c>
      <c r="N21505" t="s">
        <v>29</v>
      </c>
    </row>
    <row r="21506" spans="1:14">
      <c r="A21506" s="4" t="str">
        <f t="shared" si="1426"/>
        <v>EXP00452</v>
      </c>
      <c r="B21506" s="3" t="s">
        <v>66</v>
      </c>
      <c r="C21506" s="4" t="str">
        <f t="shared" si="1427"/>
        <v>TCGA-UCEC</v>
      </c>
      <c r="D21506" s="1" t="s">
        <v>493</v>
      </c>
      <c r="E21506" t="s">
        <v>601</v>
      </c>
      <c r="F21506" s="1">
        <v>2</v>
      </c>
      <c r="G21506" s="1" t="s">
        <v>28</v>
      </c>
      <c r="H21506" s="4" t="str">
        <f>HYPERLINK("https://portal.gdc.cancer.gov/cases/3abaa1b6-7513-40e0-b79c-b968e788e932","TCGA-AX-A1CR-01A")</f>
        <v>TCGA-AX-A1CR-01A</v>
      </c>
      <c r="I21506" t="s">
        <v>444</v>
      </c>
      <c r="J21506" t="s">
        <v>599</v>
      </c>
      <c r="K21506" t="s">
        <v>33</v>
      </c>
      <c r="L21506" t="s">
        <v>600</v>
      </c>
      <c r="N21506" t="s">
        <v>29</v>
      </c>
    </row>
    <row r="21507" spans="1:14">
      <c r="A21507" s="4" t="str">
        <f t="shared" si="1426"/>
        <v>EXP00452</v>
      </c>
      <c r="B21507" s="3" t="s">
        <v>66</v>
      </c>
      <c r="C21507" s="4" t="str">
        <f t="shared" si="1427"/>
        <v>TCGA-UCEC</v>
      </c>
      <c r="D21507" s="1" t="s">
        <v>493</v>
      </c>
      <c r="E21507" t="s">
        <v>601</v>
      </c>
      <c r="F21507" s="1">
        <v>2</v>
      </c>
      <c r="G21507" s="1" t="s">
        <v>28</v>
      </c>
      <c r="H21507" s="4" t="str">
        <f>HYPERLINK("https://portal.gdc.cancer.gov/cases/e4510c66-a60b-4b09-a4e8-74ec5b26a3a5","TCGA-AX-A2H2-01A")</f>
        <v>TCGA-AX-A2H2-01A</v>
      </c>
      <c r="I21507" t="s">
        <v>444</v>
      </c>
      <c r="J21507" t="s">
        <v>599</v>
      </c>
      <c r="K21507" t="s">
        <v>33</v>
      </c>
      <c r="L21507" t="s">
        <v>600</v>
      </c>
      <c r="N21507" t="s">
        <v>29</v>
      </c>
    </row>
    <row r="21508" spans="1:14">
      <c r="A21508" s="4" t="str">
        <f t="shared" si="1426"/>
        <v>EXP00452</v>
      </c>
      <c r="B21508" s="3" t="s">
        <v>66</v>
      </c>
      <c r="C21508" s="4" t="str">
        <f t="shared" si="1427"/>
        <v>TCGA-UCEC</v>
      </c>
      <c r="D21508" s="1" t="s">
        <v>493</v>
      </c>
      <c r="E21508" t="s">
        <v>601</v>
      </c>
      <c r="F21508" s="1">
        <v>2</v>
      </c>
      <c r="G21508" s="1" t="s">
        <v>28</v>
      </c>
      <c r="H21508" s="4" t="str">
        <f>HYPERLINK("https://portal.gdc.cancer.gov/cases/afa79b18-2ac6-4179-9c8c-5fa4d1d09a7e","TCGA-AX-A2H4-01A")</f>
        <v>TCGA-AX-A2H4-01A</v>
      </c>
      <c r="I21508" t="s">
        <v>444</v>
      </c>
      <c r="J21508" t="s">
        <v>599</v>
      </c>
      <c r="K21508" t="s">
        <v>33</v>
      </c>
      <c r="L21508" t="s">
        <v>600</v>
      </c>
      <c r="N21508" t="s">
        <v>29</v>
      </c>
    </row>
    <row r="21509" spans="1:14">
      <c r="A21509" s="4" t="str">
        <f t="shared" si="1426"/>
        <v>EXP00452</v>
      </c>
      <c r="B21509" s="3" t="s">
        <v>66</v>
      </c>
      <c r="C21509" s="4" t="str">
        <f t="shared" si="1427"/>
        <v>TCGA-UCEC</v>
      </c>
      <c r="D21509" s="1" t="s">
        <v>493</v>
      </c>
      <c r="E21509" t="s">
        <v>601</v>
      </c>
      <c r="F21509" s="1">
        <v>2</v>
      </c>
      <c r="G21509" s="1" t="s">
        <v>28</v>
      </c>
      <c r="H21509" s="4" t="str">
        <f>HYPERLINK("https://portal.gdc.cancer.gov/cases/c88e3901-f3ee-436a-ba80-143c8eab7d69","TCGA-AX-A2H5-01A")</f>
        <v>TCGA-AX-A2H5-01A</v>
      </c>
      <c r="I21509" t="s">
        <v>444</v>
      </c>
      <c r="J21509" t="s">
        <v>599</v>
      </c>
      <c r="K21509" t="s">
        <v>33</v>
      </c>
      <c r="L21509" t="s">
        <v>600</v>
      </c>
      <c r="N21509" t="s">
        <v>29</v>
      </c>
    </row>
    <row r="21510" spans="1:14">
      <c r="A21510" s="4" t="str">
        <f t="shared" si="1426"/>
        <v>EXP00452</v>
      </c>
      <c r="B21510" s="3" t="s">
        <v>66</v>
      </c>
      <c r="C21510" s="4" t="str">
        <f t="shared" si="1427"/>
        <v>TCGA-UCEC</v>
      </c>
      <c r="D21510" s="1" t="s">
        <v>493</v>
      </c>
      <c r="E21510" t="s">
        <v>601</v>
      </c>
      <c r="F21510" s="1">
        <v>2</v>
      </c>
      <c r="G21510" s="1" t="s">
        <v>28</v>
      </c>
      <c r="H21510" s="4" t="str">
        <f>HYPERLINK("https://portal.gdc.cancer.gov/cases/a1780432-860e-4bff-9b66-a1e25c0076fe","TCGA-AX-A2H7-01A")</f>
        <v>TCGA-AX-A2H7-01A</v>
      </c>
      <c r="I21510" t="s">
        <v>444</v>
      </c>
      <c r="J21510" t="s">
        <v>599</v>
      </c>
      <c r="K21510" t="s">
        <v>33</v>
      </c>
      <c r="L21510" t="s">
        <v>600</v>
      </c>
      <c r="N21510" t="s">
        <v>29</v>
      </c>
    </row>
    <row r="21511" spans="1:14">
      <c r="A21511" s="4" t="str">
        <f t="shared" si="1426"/>
        <v>EXP00452</v>
      </c>
      <c r="B21511" s="3" t="s">
        <v>66</v>
      </c>
      <c r="C21511" s="4" t="str">
        <f t="shared" si="1427"/>
        <v>TCGA-UCEC</v>
      </c>
      <c r="D21511" s="1" t="s">
        <v>493</v>
      </c>
      <c r="E21511" t="s">
        <v>601</v>
      </c>
      <c r="F21511" s="1">
        <v>2</v>
      </c>
      <c r="G21511" s="1" t="s">
        <v>28</v>
      </c>
      <c r="H21511" s="4" t="str">
        <f>HYPERLINK("https://portal.gdc.cancer.gov/cases/da0474b3-48ab-4398-ae4b-f15e27e99b2d","TCGA-AX-A2H8-01A")</f>
        <v>TCGA-AX-A2H8-01A</v>
      </c>
      <c r="I21511" t="s">
        <v>444</v>
      </c>
      <c r="J21511" t="s">
        <v>599</v>
      </c>
      <c r="K21511" t="s">
        <v>33</v>
      </c>
      <c r="L21511" t="s">
        <v>600</v>
      </c>
      <c r="N21511" t="s">
        <v>29</v>
      </c>
    </row>
    <row r="21512" spans="1:14">
      <c r="A21512" s="4" t="str">
        <f t="shared" si="1426"/>
        <v>EXP00452</v>
      </c>
      <c r="B21512" s="3" t="s">
        <v>66</v>
      </c>
      <c r="C21512" s="4" t="str">
        <f t="shared" si="1427"/>
        <v>TCGA-UCEC</v>
      </c>
      <c r="D21512" s="1" t="s">
        <v>493</v>
      </c>
      <c r="E21512" t="s">
        <v>601</v>
      </c>
      <c r="F21512" s="1">
        <v>2</v>
      </c>
      <c r="G21512" s="1" t="s">
        <v>28</v>
      </c>
      <c r="H21512" s="4" t="str">
        <f>HYPERLINK("https://portal.gdc.cancer.gov/cases/9d84dff8-6c19-4881-93c6-56c98a3049b5","TCGA-AX-A2HA-01A")</f>
        <v>TCGA-AX-A2HA-01A</v>
      </c>
      <c r="I21512" t="s">
        <v>444</v>
      </c>
      <c r="J21512" t="s">
        <v>599</v>
      </c>
      <c r="K21512" t="s">
        <v>33</v>
      </c>
      <c r="L21512" t="s">
        <v>600</v>
      </c>
      <c r="N21512" t="s">
        <v>29</v>
      </c>
    </row>
    <row r="21513" spans="1:14">
      <c r="A21513" s="4" t="str">
        <f t="shared" si="1426"/>
        <v>EXP00452</v>
      </c>
      <c r="B21513" s="3" t="s">
        <v>66</v>
      </c>
      <c r="C21513" s="4" t="str">
        <f t="shared" si="1427"/>
        <v>TCGA-UCEC</v>
      </c>
      <c r="D21513" s="1" t="s">
        <v>493</v>
      </c>
      <c r="E21513" t="s">
        <v>601</v>
      </c>
      <c r="F21513" s="1">
        <v>2</v>
      </c>
      <c r="G21513" s="1" t="s">
        <v>28</v>
      </c>
      <c r="H21513" s="4" t="str">
        <f>HYPERLINK("https://portal.gdc.cancer.gov/cases/53e8e07e-18f9-4c9b-9783-a5b67ceddcf7","TCGA-AX-A2HC-01A")</f>
        <v>TCGA-AX-A2HC-01A</v>
      </c>
      <c r="I21513" t="s">
        <v>444</v>
      </c>
      <c r="J21513" t="s">
        <v>599</v>
      </c>
      <c r="K21513" t="s">
        <v>33</v>
      </c>
      <c r="L21513" t="s">
        <v>600</v>
      </c>
      <c r="N21513" t="s">
        <v>29</v>
      </c>
    </row>
    <row r="21514" spans="1:14">
      <c r="A21514" s="4" t="str">
        <f t="shared" si="1426"/>
        <v>EXP00452</v>
      </c>
      <c r="B21514" s="3" t="s">
        <v>66</v>
      </c>
      <c r="C21514" s="4" t="str">
        <f t="shared" si="1427"/>
        <v>TCGA-UCEC</v>
      </c>
      <c r="D21514" s="1" t="s">
        <v>493</v>
      </c>
      <c r="E21514" t="s">
        <v>601</v>
      </c>
      <c r="F21514" s="1">
        <v>2</v>
      </c>
      <c r="G21514" s="1" t="s">
        <v>28</v>
      </c>
      <c r="H21514" s="4" t="str">
        <f>HYPERLINK("https://portal.gdc.cancer.gov/cases/a8def1a0-a136-47f4-9ad9-60ebcf9b726b","TCGA-AX-A2HD-01A")</f>
        <v>TCGA-AX-A2HD-01A</v>
      </c>
      <c r="I21514" t="s">
        <v>444</v>
      </c>
      <c r="J21514" t="s">
        <v>599</v>
      </c>
      <c r="K21514" t="s">
        <v>33</v>
      </c>
      <c r="L21514" t="s">
        <v>600</v>
      </c>
      <c r="N21514" t="s">
        <v>29</v>
      </c>
    </row>
    <row r="21515" spans="1:14">
      <c r="A21515" s="4" t="str">
        <f t="shared" si="1426"/>
        <v>EXP00452</v>
      </c>
      <c r="B21515" s="3" t="s">
        <v>66</v>
      </c>
      <c r="C21515" s="4" t="str">
        <f t="shared" si="1427"/>
        <v>TCGA-UCEC</v>
      </c>
      <c r="D21515" s="1" t="s">
        <v>493</v>
      </c>
      <c r="E21515" t="s">
        <v>601</v>
      </c>
      <c r="F21515" s="1">
        <v>2</v>
      </c>
      <c r="G21515" s="1" t="s">
        <v>28</v>
      </c>
      <c r="H21515" s="4" t="str">
        <f>HYPERLINK("https://portal.gdc.cancer.gov/cases/7a077812-f6ee-4820-a084-1a52c7ef062c","TCGA-AX-A2HF-01A")</f>
        <v>TCGA-AX-A2HF-01A</v>
      </c>
      <c r="I21515" t="s">
        <v>444</v>
      </c>
      <c r="J21515" t="s">
        <v>599</v>
      </c>
      <c r="K21515" t="s">
        <v>33</v>
      </c>
      <c r="L21515" t="s">
        <v>600</v>
      </c>
      <c r="N21515" t="s">
        <v>29</v>
      </c>
    </row>
    <row r="21516" spans="1:14">
      <c r="A21516" s="4" t="str">
        <f t="shared" si="1426"/>
        <v>EXP00452</v>
      </c>
      <c r="B21516" s="3" t="s">
        <v>66</v>
      </c>
      <c r="C21516" s="4" t="str">
        <f t="shared" si="1427"/>
        <v>TCGA-UCEC</v>
      </c>
      <c r="D21516" s="1" t="s">
        <v>493</v>
      </c>
      <c r="E21516" t="s">
        <v>601</v>
      </c>
      <c r="F21516" s="1">
        <v>2</v>
      </c>
      <c r="G21516" s="1" t="s">
        <v>28</v>
      </c>
      <c r="H21516" s="4" t="str">
        <f>HYPERLINK("https://portal.gdc.cancer.gov/cases/7a2cf5ce-8317-4fff-946e-b9937afab815","TCGA-AX-A2HG-01A")</f>
        <v>TCGA-AX-A2HG-01A</v>
      </c>
      <c r="I21516" t="s">
        <v>444</v>
      </c>
      <c r="J21516" t="s">
        <v>599</v>
      </c>
      <c r="K21516" t="s">
        <v>33</v>
      </c>
      <c r="L21516" t="s">
        <v>600</v>
      </c>
      <c r="N21516" t="s">
        <v>29</v>
      </c>
    </row>
    <row r="21517" spans="1:14">
      <c r="A21517" s="4" t="str">
        <f t="shared" si="1426"/>
        <v>EXP00452</v>
      </c>
      <c r="B21517" s="3" t="s">
        <v>66</v>
      </c>
      <c r="C21517" s="4" t="str">
        <f t="shared" si="1427"/>
        <v>TCGA-UCEC</v>
      </c>
      <c r="D21517" s="1" t="s">
        <v>493</v>
      </c>
      <c r="E21517" t="s">
        <v>601</v>
      </c>
      <c r="F21517" s="1">
        <v>2</v>
      </c>
      <c r="G21517" s="1" t="s">
        <v>28</v>
      </c>
      <c r="H21517" s="4" t="str">
        <f>HYPERLINK("https://portal.gdc.cancer.gov/cases/52fef8a9-6860-48bd-b992-a56ccad1243c","TCGA-AX-A2HH-01A")</f>
        <v>TCGA-AX-A2HH-01A</v>
      </c>
      <c r="I21517" t="s">
        <v>444</v>
      </c>
      <c r="J21517" t="s">
        <v>599</v>
      </c>
      <c r="K21517" t="s">
        <v>33</v>
      </c>
      <c r="L21517" t="s">
        <v>600</v>
      </c>
      <c r="N21517" t="s">
        <v>29</v>
      </c>
    </row>
    <row r="21518" spans="1:14">
      <c r="A21518" s="4" t="str">
        <f t="shared" ref="A21518:A21581" si="1428">HYPERLINK("http://hcmdb.i-sanger.com/experiment/details/experiment_id/EXP00452","EXP00452")</f>
        <v>EXP00452</v>
      </c>
      <c r="B21518" s="3" t="s">
        <v>66</v>
      </c>
      <c r="C21518" s="4" t="str">
        <f t="shared" si="1427"/>
        <v>TCGA-UCEC</v>
      </c>
      <c r="D21518" s="1" t="s">
        <v>493</v>
      </c>
      <c r="E21518" t="s">
        <v>601</v>
      </c>
      <c r="F21518" s="1">
        <v>2</v>
      </c>
      <c r="G21518" s="1" t="s">
        <v>28</v>
      </c>
      <c r="H21518" s="4" t="str">
        <f>HYPERLINK("https://portal.gdc.cancer.gov/cases/32398808-c46a-41bf-a0a8-e08723b40ea2","TCGA-AX-A2HJ-01A")</f>
        <v>TCGA-AX-A2HJ-01A</v>
      </c>
      <c r="I21518" t="s">
        <v>444</v>
      </c>
      <c r="J21518" t="s">
        <v>599</v>
      </c>
      <c r="K21518" t="s">
        <v>33</v>
      </c>
      <c r="L21518" t="s">
        <v>600</v>
      </c>
      <c r="N21518" t="s">
        <v>29</v>
      </c>
    </row>
    <row r="21519" spans="1:14">
      <c r="A21519" s="4" t="str">
        <f t="shared" si="1428"/>
        <v>EXP00452</v>
      </c>
      <c r="B21519" s="3" t="s">
        <v>66</v>
      </c>
      <c r="C21519" s="4" t="str">
        <f t="shared" si="1427"/>
        <v>TCGA-UCEC</v>
      </c>
      <c r="D21519" s="1" t="s">
        <v>493</v>
      </c>
      <c r="E21519" t="s">
        <v>601</v>
      </c>
      <c r="F21519" s="1">
        <v>2</v>
      </c>
      <c r="G21519" s="1" t="s">
        <v>28</v>
      </c>
      <c r="H21519" s="4" t="str">
        <f>HYPERLINK("https://portal.gdc.cancer.gov/cases/6fa99ae9-1d72-455e-938e-0ec0d240f5a3","TCGA-AX-A2HK-01A")</f>
        <v>TCGA-AX-A2HK-01A</v>
      </c>
      <c r="I21519" t="s">
        <v>444</v>
      </c>
      <c r="J21519" t="s">
        <v>599</v>
      </c>
      <c r="K21519" t="s">
        <v>33</v>
      </c>
      <c r="L21519" t="s">
        <v>600</v>
      </c>
      <c r="N21519" t="s">
        <v>29</v>
      </c>
    </row>
    <row r="21520" spans="1:14">
      <c r="A21520" s="4" t="str">
        <f t="shared" si="1428"/>
        <v>EXP00452</v>
      </c>
      <c r="B21520" s="3" t="s">
        <v>66</v>
      </c>
      <c r="C21520" s="4" t="str">
        <f t="shared" si="1427"/>
        <v>TCGA-UCEC</v>
      </c>
      <c r="D21520" s="1" t="s">
        <v>493</v>
      </c>
      <c r="E21520" t="s">
        <v>601</v>
      </c>
      <c r="F21520" s="1">
        <v>2</v>
      </c>
      <c r="G21520" s="1" t="s">
        <v>28</v>
      </c>
      <c r="H21520" s="4" t="str">
        <f>HYPERLINK("https://portal.gdc.cancer.gov/cases/fe79ebe1-cd0a-4ce2-a86d-637c28354ed9","TCGA-AX-A2IN-01A")</f>
        <v>TCGA-AX-A2IN-01A</v>
      </c>
      <c r="I21520" t="s">
        <v>444</v>
      </c>
      <c r="J21520" t="s">
        <v>599</v>
      </c>
      <c r="K21520" t="s">
        <v>33</v>
      </c>
      <c r="L21520" t="s">
        <v>600</v>
      </c>
      <c r="N21520" t="s">
        <v>29</v>
      </c>
    </row>
    <row r="21521" spans="1:14">
      <c r="A21521" s="4" t="str">
        <f t="shared" si="1428"/>
        <v>EXP00452</v>
      </c>
      <c r="B21521" s="3" t="s">
        <v>66</v>
      </c>
      <c r="C21521" s="4" t="str">
        <f t="shared" si="1427"/>
        <v>TCGA-UCEC</v>
      </c>
      <c r="D21521" s="1" t="s">
        <v>493</v>
      </c>
      <c r="E21521" t="s">
        <v>601</v>
      </c>
      <c r="F21521" s="1">
        <v>2</v>
      </c>
      <c r="G21521" s="1" t="s">
        <v>28</v>
      </c>
      <c r="H21521" s="4" t="str">
        <f>HYPERLINK("https://portal.gdc.cancer.gov/cases/8a235d4d-5ee1-4d6b-839e-e71cadcd8c39","TCGA-AX-A2IO-01A")</f>
        <v>TCGA-AX-A2IO-01A</v>
      </c>
      <c r="I21521" t="s">
        <v>444</v>
      </c>
      <c r="J21521" t="s">
        <v>599</v>
      </c>
      <c r="K21521" t="s">
        <v>33</v>
      </c>
      <c r="L21521" t="s">
        <v>600</v>
      </c>
      <c r="N21521" t="s">
        <v>29</v>
      </c>
    </row>
    <row r="21522" spans="1:14">
      <c r="A21522" s="4" t="str">
        <f t="shared" si="1428"/>
        <v>EXP00452</v>
      </c>
      <c r="B21522" s="3" t="s">
        <v>66</v>
      </c>
      <c r="C21522" s="4" t="str">
        <f t="shared" si="1427"/>
        <v>TCGA-UCEC</v>
      </c>
      <c r="D21522" s="1" t="s">
        <v>493</v>
      </c>
      <c r="E21522" t="s">
        <v>601</v>
      </c>
      <c r="F21522" s="1">
        <v>2</v>
      </c>
      <c r="G21522" s="1" t="s">
        <v>28</v>
      </c>
      <c r="H21522" s="4" t="str">
        <f>HYPERLINK("https://portal.gdc.cancer.gov/cases/8c6b9b54-58eb-4d5f-b8a9-8007163db457","TCGA-AX-A3FS-01A")</f>
        <v>TCGA-AX-A3FS-01A</v>
      </c>
      <c r="I21522" t="s">
        <v>444</v>
      </c>
      <c r="J21522" t="s">
        <v>599</v>
      </c>
      <c r="K21522" t="s">
        <v>33</v>
      </c>
      <c r="L21522" t="s">
        <v>600</v>
      </c>
      <c r="N21522" t="s">
        <v>29</v>
      </c>
    </row>
    <row r="21523" spans="1:14">
      <c r="A21523" s="4" t="str">
        <f t="shared" si="1428"/>
        <v>EXP00452</v>
      </c>
      <c r="B21523" s="3" t="s">
        <v>66</v>
      </c>
      <c r="C21523" s="4" t="str">
        <f t="shared" si="1427"/>
        <v>TCGA-UCEC</v>
      </c>
      <c r="D21523" s="1" t="s">
        <v>493</v>
      </c>
      <c r="E21523" t="s">
        <v>601</v>
      </c>
      <c r="F21523" s="1">
        <v>2</v>
      </c>
      <c r="G21523" s="1" t="s">
        <v>28</v>
      </c>
      <c r="H21523" s="4" t="str">
        <f>HYPERLINK("https://portal.gdc.cancer.gov/cases/8b4cf993-1e16-4009-a37f-a629528b7d7e","TCGA-AX-A3FT-01A")</f>
        <v>TCGA-AX-A3FT-01A</v>
      </c>
      <c r="I21523" t="s">
        <v>444</v>
      </c>
      <c r="J21523" t="s">
        <v>599</v>
      </c>
      <c r="K21523" t="s">
        <v>33</v>
      </c>
      <c r="L21523" t="s">
        <v>600</v>
      </c>
      <c r="N21523" t="s">
        <v>29</v>
      </c>
    </row>
    <row r="21524" spans="1:14">
      <c r="A21524" s="4" t="str">
        <f t="shared" si="1428"/>
        <v>EXP00452</v>
      </c>
      <c r="B21524" s="3" t="s">
        <v>66</v>
      </c>
      <c r="C21524" s="4" t="str">
        <f t="shared" si="1427"/>
        <v>TCGA-UCEC</v>
      </c>
      <c r="D21524" s="1" t="s">
        <v>493</v>
      </c>
      <c r="E21524" t="s">
        <v>601</v>
      </c>
      <c r="F21524" s="1">
        <v>2</v>
      </c>
      <c r="G21524" s="1" t="s">
        <v>28</v>
      </c>
      <c r="H21524" s="4" t="str">
        <f>HYPERLINK("https://portal.gdc.cancer.gov/cases/a033fbea-7cd0-4e65-94c4-b54f2f80b895","TCGA-AX-A3FV-01A")</f>
        <v>TCGA-AX-A3FV-01A</v>
      </c>
      <c r="I21524" t="s">
        <v>444</v>
      </c>
      <c r="J21524" t="s">
        <v>599</v>
      </c>
      <c r="K21524" t="s">
        <v>33</v>
      </c>
      <c r="L21524" t="s">
        <v>600</v>
      </c>
      <c r="N21524" t="s">
        <v>29</v>
      </c>
    </row>
    <row r="21525" spans="1:14">
      <c r="A21525" s="4" t="str">
        <f t="shared" si="1428"/>
        <v>EXP00452</v>
      </c>
      <c r="B21525" s="3" t="s">
        <v>66</v>
      </c>
      <c r="C21525" s="4" t="str">
        <f t="shared" si="1427"/>
        <v>TCGA-UCEC</v>
      </c>
      <c r="D21525" s="1" t="s">
        <v>493</v>
      </c>
      <c r="E21525" t="s">
        <v>601</v>
      </c>
      <c r="F21525" s="1">
        <v>2</v>
      </c>
      <c r="G21525" s="1" t="s">
        <v>28</v>
      </c>
      <c r="H21525" s="4" t="str">
        <f>HYPERLINK("https://portal.gdc.cancer.gov/cases/3052065a-b8b1-48d3-971d-9d605292249c","TCGA-AX-A3FW-01A")</f>
        <v>TCGA-AX-A3FW-01A</v>
      </c>
      <c r="I21525" t="s">
        <v>444</v>
      </c>
      <c r="J21525" t="s">
        <v>599</v>
      </c>
      <c r="K21525" t="s">
        <v>33</v>
      </c>
      <c r="L21525" t="s">
        <v>600</v>
      </c>
      <c r="N21525" t="s">
        <v>29</v>
      </c>
    </row>
    <row r="21526" spans="1:14">
      <c r="A21526" s="4" t="str">
        <f t="shared" si="1428"/>
        <v>EXP00452</v>
      </c>
      <c r="B21526" s="3" t="s">
        <v>66</v>
      </c>
      <c r="C21526" s="4" t="str">
        <f t="shared" si="1427"/>
        <v>TCGA-UCEC</v>
      </c>
      <c r="D21526" s="1" t="s">
        <v>493</v>
      </c>
      <c r="E21526" t="s">
        <v>601</v>
      </c>
      <c r="F21526" s="1">
        <v>2</v>
      </c>
      <c r="G21526" s="1" t="s">
        <v>28</v>
      </c>
      <c r="H21526" s="4" t="str">
        <f>HYPERLINK("https://portal.gdc.cancer.gov/cases/6f45a2e9-1ca5-438c-b06f-1cd8eb845465","TCGA-AX-A3FX-01A")</f>
        <v>TCGA-AX-A3FX-01A</v>
      </c>
      <c r="I21526" t="s">
        <v>444</v>
      </c>
      <c r="J21526" t="s">
        <v>599</v>
      </c>
      <c r="K21526" t="s">
        <v>33</v>
      </c>
      <c r="L21526" t="s">
        <v>600</v>
      </c>
      <c r="N21526" t="s">
        <v>29</v>
      </c>
    </row>
    <row r="21527" spans="1:14">
      <c r="A21527" s="4" t="str">
        <f t="shared" si="1428"/>
        <v>EXP00452</v>
      </c>
      <c r="B21527" s="3" t="s">
        <v>66</v>
      </c>
      <c r="C21527" s="4" t="str">
        <f t="shared" si="1427"/>
        <v>TCGA-UCEC</v>
      </c>
      <c r="D21527" s="1" t="s">
        <v>493</v>
      </c>
      <c r="E21527" t="s">
        <v>601</v>
      </c>
      <c r="F21527" s="1">
        <v>2</v>
      </c>
      <c r="G21527" s="1" t="s">
        <v>28</v>
      </c>
      <c r="H21527" s="4" t="str">
        <f>HYPERLINK("https://portal.gdc.cancer.gov/cases/5262d82d-fc43-41f4-9b23-c9ac6f237ff0","TCGA-AX-A3FZ-01A")</f>
        <v>TCGA-AX-A3FZ-01A</v>
      </c>
      <c r="I21527" t="s">
        <v>444</v>
      </c>
      <c r="J21527" t="s">
        <v>599</v>
      </c>
      <c r="K21527" t="s">
        <v>33</v>
      </c>
      <c r="L21527" t="s">
        <v>600</v>
      </c>
      <c r="N21527" t="s">
        <v>29</v>
      </c>
    </row>
    <row r="21528" spans="1:14">
      <c r="A21528" s="4" t="str">
        <f t="shared" si="1428"/>
        <v>EXP00452</v>
      </c>
      <c r="B21528" s="3" t="s">
        <v>66</v>
      </c>
      <c r="C21528" s="4" t="str">
        <f t="shared" si="1427"/>
        <v>TCGA-UCEC</v>
      </c>
      <c r="D21528" s="1" t="s">
        <v>493</v>
      </c>
      <c r="E21528" t="s">
        <v>601</v>
      </c>
      <c r="F21528" s="1">
        <v>2</v>
      </c>
      <c r="G21528" s="1" t="s">
        <v>28</v>
      </c>
      <c r="H21528" s="4" t="str">
        <f>HYPERLINK("https://portal.gdc.cancer.gov/cases/9cc1b44a-ac26-408d-b12b-084e982ccadf","TCGA-AX-A3G1-01A")</f>
        <v>TCGA-AX-A3G1-01A</v>
      </c>
      <c r="I21528" t="s">
        <v>444</v>
      </c>
      <c r="J21528" t="s">
        <v>599</v>
      </c>
      <c r="K21528" t="s">
        <v>33</v>
      </c>
      <c r="L21528" t="s">
        <v>600</v>
      </c>
      <c r="N21528" t="s">
        <v>29</v>
      </c>
    </row>
    <row r="21529" spans="1:14">
      <c r="A21529" s="4" t="str">
        <f t="shared" si="1428"/>
        <v>EXP00452</v>
      </c>
      <c r="B21529" s="3" t="s">
        <v>66</v>
      </c>
      <c r="C21529" s="4" t="str">
        <f t="shared" si="1427"/>
        <v>TCGA-UCEC</v>
      </c>
      <c r="D21529" s="1" t="s">
        <v>493</v>
      </c>
      <c r="E21529" t="s">
        <v>601</v>
      </c>
      <c r="F21529" s="1">
        <v>2</v>
      </c>
      <c r="G21529" s="1" t="s">
        <v>28</v>
      </c>
      <c r="H21529" s="4" t="str">
        <f>HYPERLINK("https://portal.gdc.cancer.gov/cases/16745dfb-8b28-4f5d-9ef1-2aa31ccb7293","TCGA-AX-A3G3-01A")</f>
        <v>TCGA-AX-A3G3-01A</v>
      </c>
      <c r="I21529" t="s">
        <v>444</v>
      </c>
      <c r="J21529" t="s">
        <v>599</v>
      </c>
      <c r="K21529" t="s">
        <v>33</v>
      </c>
      <c r="L21529" t="s">
        <v>600</v>
      </c>
      <c r="N21529" t="s">
        <v>29</v>
      </c>
    </row>
    <row r="21530" spans="1:14">
      <c r="A21530" s="4" t="str">
        <f t="shared" si="1428"/>
        <v>EXP00452</v>
      </c>
      <c r="B21530" s="3" t="s">
        <v>66</v>
      </c>
      <c r="C21530" s="4" t="str">
        <f t="shared" si="1427"/>
        <v>TCGA-UCEC</v>
      </c>
      <c r="D21530" s="1" t="s">
        <v>493</v>
      </c>
      <c r="E21530" t="s">
        <v>601</v>
      </c>
      <c r="F21530" s="1">
        <v>2</v>
      </c>
      <c r="G21530" s="1" t="s">
        <v>28</v>
      </c>
      <c r="H21530" s="4" t="str">
        <f>HYPERLINK("https://portal.gdc.cancer.gov/cases/83f2cd11-0dd7-47a6-b4b3-8212faac94bb","TCGA-AX-A3G4-01A")</f>
        <v>TCGA-AX-A3G4-01A</v>
      </c>
      <c r="I21530" t="s">
        <v>444</v>
      </c>
      <c r="J21530" t="s">
        <v>599</v>
      </c>
      <c r="K21530" t="s">
        <v>33</v>
      </c>
      <c r="L21530" t="s">
        <v>600</v>
      </c>
      <c r="N21530" t="s">
        <v>29</v>
      </c>
    </row>
    <row r="21531" spans="1:14">
      <c r="A21531" s="4" t="str">
        <f t="shared" si="1428"/>
        <v>EXP00452</v>
      </c>
      <c r="B21531" s="3" t="s">
        <v>66</v>
      </c>
      <c r="C21531" s="4" t="str">
        <f t="shared" si="1427"/>
        <v>TCGA-UCEC</v>
      </c>
      <c r="D21531" s="1" t="s">
        <v>493</v>
      </c>
      <c r="E21531" t="s">
        <v>601</v>
      </c>
      <c r="F21531" s="1">
        <v>2</v>
      </c>
      <c r="G21531" s="1" t="s">
        <v>28</v>
      </c>
      <c r="H21531" s="4" t="str">
        <f>HYPERLINK("https://portal.gdc.cancer.gov/cases/e31db89c-15ac-45a4-9788-afb339b0f3bc","TCGA-AX-A3G6-01A")</f>
        <v>TCGA-AX-A3G6-01A</v>
      </c>
      <c r="I21531" t="s">
        <v>444</v>
      </c>
      <c r="J21531" t="s">
        <v>599</v>
      </c>
      <c r="K21531" t="s">
        <v>33</v>
      </c>
      <c r="L21531" t="s">
        <v>600</v>
      </c>
      <c r="N21531" t="s">
        <v>29</v>
      </c>
    </row>
    <row r="21532" spans="1:14">
      <c r="A21532" s="4" t="str">
        <f t="shared" si="1428"/>
        <v>EXP00452</v>
      </c>
      <c r="B21532" s="3" t="s">
        <v>66</v>
      </c>
      <c r="C21532" s="4" t="str">
        <f t="shared" si="1427"/>
        <v>TCGA-UCEC</v>
      </c>
      <c r="D21532" s="1" t="s">
        <v>493</v>
      </c>
      <c r="E21532" t="s">
        <v>601</v>
      </c>
      <c r="F21532" s="1">
        <v>2</v>
      </c>
      <c r="G21532" s="1" t="s">
        <v>28</v>
      </c>
      <c r="H21532" s="4" t="str">
        <f>HYPERLINK("https://portal.gdc.cancer.gov/cases/71ed7d6d-8c44-4d37-a04a-7a78df21e514","TCGA-AX-A3G7-01A")</f>
        <v>TCGA-AX-A3G7-01A</v>
      </c>
      <c r="I21532" t="s">
        <v>444</v>
      </c>
      <c r="J21532" t="s">
        <v>599</v>
      </c>
      <c r="K21532" t="s">
        <v>33</v>
      </c>
      <c r="L21532" t="s">
        <v>600</v>
      </c>
      <c r="N21532" t="s">
        <v>29</v>
      </c>
    </row>
    <row r="21533" spans="1:14">
      <c r="A21533" s="4" t="str">
        <f t="shared" si="1428"/>
        <v>EXP00452</v>
      </c>
      <c r="B21533" s="3" t="s">
        <v>66</v>
      </c>
      <c r="C21533" s="4" t="str">
        <f t="shared" si="1427"/>
        <v>TCGA-UCEC</v>
      </c>
      <c r="D21533" s="1" t="s">
        <v>493</v>
      </c>
      <c r="E21533" t="s">
        <v>601</v>
      </c>
      <c r="F21533" s="1">
        <v>2</v>
      </c>
      <c r="G21533" s="1" t="s">
        <v>28</v>
      </c>
      <c r="H21533" s="4" t="str">
        <f>HYPERLINK("https://portal.gdc.cancer.gov/cases/6d3fdb58-fdc0-4937-ad38-3a455225ea51","TCGA-AX-A3G8-01A")</f>
        <v>TCGA-AX-A3G8-01A</v>
      </c>
      <c r="I21533" t="s">
        <v>444</v>
      </c>
      <c r="J21533" t="s">
        <v>599</v>
      </c>
      <c r="K21533" t="s">
        <v>33</v>
      </c>
      <c r="L21533" t="s">
        <v>600</v>
      </c>
      <c r="N21533" t="s">
        <v>29</v>
      </c>
    </row>
    <row r="21534" spans="1:14">
      <c r="A21534" s="4" t="str">
        <f t="shared" si="1428"/>
        <v>EXP00452</v>
      </c>
      <c r="B21534" s="3" t="s">
        <v>66</v>
      </c>
      <c r="C21534" s="4" t="str">
        <f t="shared" si="1427"/>
        <v>TCGA-UCEC</v>
      </c>
      <c r="D21534" s="1" t="s">
        <v>493</v>
      </c>
      <c r="E21534" t="s">
        <v>601</v>
      </c>
      <c r="F21534" s="1">
        <v>2</v>
      </c>
      <c r="G21534" s="1" t="s">
        <v>28</v>
      </c>
      <c r="H21534" s="4" t="str">
        <f>HYPERLINK("https://portal.gdc.cancer.gov/cases/f7527b5e-5330-49ea-82ce-f6f2cdccbadc","TCGA-AX-A3G9-01A")</f>
        <v>TCGA-AX-A3G9-01A</v>
      </c>
      <c r="I21534" t="s">
        <v>444</v>
      </c>
      <c r="J21534" t="s">
        <v>599</v>
      </c>
      <c r="K21534" t="s">
        <v>33</v>
      </c>
      <c r="L21534" t="s">
        <v>600</v>
      </c>
      <c r="N21534" t="s">
        <v>29</v>
      </c>
    </row>
    <row r="21535" spans="1:14">
      <c r="A21535" s="4" t="str">
        <f t="shared" si="1428"/>
        <v>EXP00452</v>
      </c>
      <c r="B21535" s="3" t="s">
        <v>66</v>
      </c>
      <c r="C21535" s="4" t="str">
        <f t="shared" si="1427"/>
        <v>TCGA-UCEC</v>
      </c>
      <c r="D21535" s="1" t="s">
        <v>493</v>
      </c>
      <c r="E21535" t="s">
        <v>601</v>
      </c>
      <c r="F21535" s="1">
        <v>2</v>
      </c>
      <c r="G21535" s="1" t="s">
        <v>28</v>
      </c>
      <c r="H21535" s="4" t="str">
        <f>HYPERLINK("https://portal.gdc.cancer.gov/cases/aa3ad7c0-37cf-4337-945e-cefeee801bbb","TCGA-AX-A3GB-01A")</f>
        <v>TCGA-AX-A3GB-01A</v>
      </c>
      <c r="I21535" t="s">
        <v>444</v>
      </c>
      <c r="J21535" t="s">
        <v>599</v>
      </c>
      <c r="K21535" t="s">
        <v>33</v>
      </c>
      <c r="L21535" t="s">
        <v>600</v>
      </c>
      <c r="N21535" t="s">
        <v>29</v>
      </c>
    </row>
    <row r="21536" spans="1:14">
      <c r="A21536" s="4" t="str">
        <f t="shared" si="1428"/>
        <v>EXP00452</v>
      </c>
      <c r="B21536" s="3" t="s">
        <v>66</v>
      </c>
      <c r="C21536" s="4" t="str">
        <f t="shared" si="1427"/>
        <v>TCGA-UCEC</v>
      </c>
      <c r="D21536" s="1" t="s">
        <v>493</v>
      </c>
      <c r="E21536" t="s">
        <v>601</v>
      </c>
      <c r="F21536" s="1">
        <v>2</v>
      </c>
      <c r="G21536" s="1" t="s">
        <v>28</v>
      </c>
      <c r="H21536" s="4" t="str">
        <f>HYPERLINK("https://portal.gdc.cancer.gov/cases/e4787c7b-40e7-483c-98c0-38da03e26b56","TCGA-AX-A3GI-01A")</f>
        <v>TCGA-AX-A3GI-01A</v>
      </c>
      <c r="I21536" t="s">
        <v>444</v>
      </c>
      <c r="J21536" t="s">
        <v>599</v>
      </c>
      <c r="K21536" t="s">
        <v>33</v>
      </c>
      <c r="L21536" t="s">
        <v>600</v>
      </c>
      <c r="N21536" t="s">
        <v>29</v>
      </c>
    </row>
    <row r="21537" spans="1:14">
      <c r="A21537" s="4" t="str">
        <f t="shared" si="1428"/>
        <v>EXP00452</v>
      </c>
      <c r="B21537" s="3" t="s">
        <v>66</v>
      </c>
      <c r="C21537" s="4" t="str">
        <f t="shared" si="1427"/>
        <v>TCGA-UCEC</v>
      </c>
      <c r="D21537" s="1" t="s">
        <v>493</v>
      </c>
      <c r="E21537" t="s">
        <v>601</v>
      </c>
      <c r="F21537" s="1">
        <v>2</v>
      </c>
      <c r="G21537" s="1" t="s">
        <v>28</v>
      </c>
      <c r="H21537" s="4" t="str">
        <f>HYPERLINK("https://portal.gdc.cancer.gov/cases/b60f22ac-a659-4f33-b01d-820e86a9a5c9","TCGA-B5-A0JN-01A")</f>
        <v>TCGA-B5-A0JN-01A</v>
      </c>
      <c r="I21537" t="s">
        <v>444</v>
      </c>
      <c r="J21537" t="s">
        <v>599</v>
      </c>
      <c r="K21537" t="s">
        <v>33</v>
      </c>
      <c r="L21537" t="s">
        <v>600</v>
      </c>
      <c r="N21537" t="s">
        <v>29</v>
      </c>
    </row>
    <row r="21538" spans="1:14">
      <c r="A21538" s="4" t="str">
        <f t="shared" si="1428"/>
        <v>EXP00452</v>
      </c>
      <c r="B21538" s="3" t="s">
        <v>66</v>
      </c>
      <c r="C21538" s="4" t="str">
        <f t="shared" si="1427"/>
        <v>TCGA-UCEC</v>
      </c>
      <c r="D21538" s="1" t="s">
        <v>493</v>
      </c>
      <c r="E21538" t="s">
        <v>601</v>
      </c>
      <c r="F21538" s="1">
        <v>2</v>
      </c>
      <c r="G21538" s="1" t="s">
        <v>28</v>
      </c>
      <c r="H21538" s="4" t="str">
        <f>HYPERLINK("https://portal.gdc.cancer.gov/cases/a766d113-bc3f-4448-a4e5-f391fb0c0e22","TCGA-B5-A0JR-01A")</f>
        <v>TCGA-B5-A0JR-01A</v>
      </c>
      <c r="I21538" t="s">
        <v>444</v>
      </c>
      <c r="J21538" t="s">
        <v>599</v>
      </c>
      <c r="K21538" t="s">
        <v>33</v>
      </c>
      <c r="L21538" t="s">
        <v>600</v>
      </c>
      <c r="N21538" t="s">
        <v>29</v>
      </c>
    </row>
    <row r="21539" spans="1:14">
      <c r="A21539" s="4" t="str">
        <f t="shared" si="1428"/>
        <v>EXP00452</v>
      </c>
      <c r="B21539" s="3" t="s">
        <v>66</v>
      </c>
      <c r="C21539" s="4" t="str">
        <f t="shared" si="1427"/>
        <v>TCGA-UCEC</v>
      </c>
      <c r="D21539" s="1" t="s">
        <v>493</v>
      </c>
      <c r="E21539" t="s">
        <v>601</v>
      </c>
      <c r="F21539" s="1">
        <v>2</v>
      </c>
      <c r="G21539" s="1" t="s">
        <v>28</v>
      </c>
      <c r="H21539" s="4" t="str">
        <f>HYPERLINK("https://portal.gdc.cancer.gov/cases/0da7bbd4-ed8d-474b-b494-cb93c5fa811e","TCGA-B5-A0JS-01A")</f>
        <v>TCGA-B5-A0JS-01A</v>
      </c>
      <c r="I21539" t="s">
        <v>444</v>
      </c>
      <c r="J21539" t="s">
        <v>599</v>
      </c>
      <c r="K21539" t="s">
        <v>33</v>
      </c>
      <c r="L21539" t="s">
        <v>600</v>
      </c>
      <c r="N21539" t="s">
        <v>29</v>
      </c>
    </row>
    <row r="21540" spans="1:14">
      <c r="A21540" s="4" t="str">
        <f t="shared" si="1428"/>
        <v>EXP00452</v>
      </c>
      <c r="B21540" s="3" t="s">
        <v>66</v>
      </c>
      <c r="C21540" s="4" t="str">
        <f t="shared" si="1427"/>
        <v>TCGA-UCEC</v>
      </c>
      <c r="D21540" s="1" t="s">
        <v>493</v>
      </c>
      <c r="E21540" t="s">
        <v>601</v>
      </c>
      <c r="F21540" s="1">
        <v>2</v>
      </c>
      <c r="G21540" s="1" t="s">
        <v>28</v>
      </c>
      <c r="H21540" s="4" t="str">
        <f>HYPERLINK("https://portal.gdc.cancer.gov/cases/d5f2bae1-7cd1-49bf-ae41-12d2aa44408e","TCGA-B5-A0JT-01A")</f>
        <v>TCGA-B5-A0JT-01A</v>
      </c>
      <c r="I21540" t="s">
        <v>444</v>
      </c>
      <c r="J21540" t="s">
        <v>599</v>
      </c>
      <c r="K21540" t="s">
        <v>33</v>
      </c>
      <c r="L21540" t="s">
        <v>600</v>
      </c>
      <c r="N21540" t="s">
        <v>29</v>
      </c>
    </row>
    <row r="21541" spans="1:14">
      <c r="A21541" s="4" t="str">
        <f t="shared" si="1428"/>
        <v>EXP00452</v>
      </c>
      <c r="B21541" s="3" t="s">
        <v>66</v>
      </c>
      <c r="C21541" s="4" t="str">
        <f t="shared" si="1427"/>
        <v>TCGA-UCEC</v>
      </c>
      <c r="D21541" s="1" t="s">
        <v>493</v>
      </c>
      <c r="E21541" t="s">
        <v>601</v>
      </c>
      <c r="F21541" s="1">
        <v>2</v>
      </c>
      <c r="G21541" s="1" t="s">
        <v>28</v>
      </c>
      <c r="H21541" s="4" t="str">
        <f>HYPERLINK("https://portal.gdc.cancer.gov/cases/65ef7168-69c6-4910-a141-d7558d0027c9","TCGA-B5-A0JU-01B")</f>
        <v>TCGA-B5-A0JU-01B</v>
      </c>
      <c r="I21541" t="s">
        <v>444</v>
      </c>
      <c r="J21541" t="s">
        <v>599</v>
      </c>
      <c r="K21541" t="s">
        <v>33</v>
      </c>
      <c r="L21541" t="s">
        <v>600</v>
      </c>
      <c r="N21541" t="s">
        <v>29</v>
      </c>
    </row>
    <row r="21542" spans="1:14">
      <c r="A21542" s="4" t="str">
        <f t="shared" si="1428"/>
        <v>EXP00452</v>
      </c>
      <c r="B21542" s="3" t="s">
        <v>66</v>
      </c>
      <c r="C21542" s="4" t="str">
        <f t="shared" si="1427"/>
        <v>TCGA-UCEC</v>
      </c>
      <c r="D21542" s="1" t="s">
        <v>493</v>
      </c>
      <c r="E21542" t="s">
        <v>601</v>
      </c>
      <c r="F21542" s="1">
        <v>2</v>
      </c>
      <c r="G21542" s="1" t="s">
        <v>28</v>
      </c>
      <c r="H21542" s="4" t="str">
        <f>HYPERLINK("https://portal.gdc.cancer.gov/cases/233e947a-d5e2-48e5-a8ce-5da1abb20681","TCGA-B5-A0JV-01A")</f>
        <v>TCGA-B5-A0JV-01A</v>
      </c>
      <c r="I21542" t="s">
        <v>444</v>
      </c>
      <c r="J21542" t="s">
        <v>599</v>
      </c>
      <c r="K21542" t="s">
        <v>33</v>
      </c>
      <c r="L21542" t="s">
        <v>600</v>
      </c>
      <c r="N21542" t="s">
        <v>29</v>
      </c>
    </row>
    <row r="21543" spans="1:14">
      <c r="A21543" s="4" t="str">
        <f t="shared" si="1428"/>
        <v>EXP00452</v>
      </c>
      <c r="B21543" s="3" t="s">
        <v>66</v>
      </c>
      <c r="C21543" s="4" t="str">
        <f t="shared" si="1427"/>
        <v>TCGA-UCEC</v>
      </c>
      <c r="D21543" s="1" t="s">
        <v>493</v>
      </c>
      <c r="E21543" t="s">
        <v>601</v>
      </c>
      <c r="F21543" s="1">
        <v>2</v>
      </c>
      <c r="G21543" s="1" t="s">
        <v>28</v>
      </c>
      <c r="H21543" s="4" t="str">
        <f>HYPERLINK("https://portal.gdc.cancer.gov/cases/586d7b3f-67a8-4a22-862f-cf50de3c1598","TCGA-B5-A0JX-01A")</f>
        <v>TCGA-B5-A0JX-01A</v>
      </c>
      <c r="I21543" t="s">
        <v>444</v>
      </c>
      <c r="J21543" t="s">
        <v>599</v>
      </c>
      <c r="K21543" t="s">
        <v>33</v>
      </c>
      <c r="L21543" t="s">
        <v>600</v>
      </c>
      <c r="N21543" t="s">
        <v>29</v>
      </c>
    </row>
    <row r="21544" spans="1:14">
      <c r="A21544" s="4" t="str">
        <f t="shared" si="1428"/>
        <v>EXP00452</v>
      </c>
      <c r="B21544" s="3" t="s">
        <v>66</v>
      </c>
      <c r="C21544" s="4" t="str">
        <f t="shared" si="1427"/>
        <v>TCGA-UCEC</v>
      </c>
      <c r="D21544" s="1" t="s">
        <v>493</v>
      </c>
      <c r="E21544" t="s">
        <v>601</v>
      </c>
      <c r="F21544" s="1">
        <v>2</v>
      </c>
      <c r="G21544" s="1" t="s">
        <v>28</v>
      </c>
      <c r="H21544" s="4" t="str">
        <f>HYPERLINK("https://portal.gdc.cancer.gov/cases/61935424-44d0-4211-81c1-c925e436eac5","TCGA-B5-A0JY-01A")</f>
        <v>TCGA-B5-A0JY-01A</v>
      </c>
      <c r="I21544" t="s">
        <v>444</v>
      </c>
      <c r="J21544" t="s">
        <v>599</v>
      </c>
      <c r="K21544" t="s">
        <v>33</v>
      </c>
      <c r="L21544" t="s">
        <v>600</v>
      </c>
      <c r="N21544" t="s">
        <v>29</v>
      </c>
    </row>
    <row r="21545" spans="1:14">
      <c r="A21545" s="4" t="str">
        <f t="shared" si="1428"/>
        <v>EXP00452</v>
      </c>
      <c r="B21545" s="3" t="s">
        <v>66</v>
      </c>
      <c r="C21545" s="4" t="str">
        <f t="shared" si="1427"/>
        <v>TCGA-UCEC</v>
      </c>
      <c r="D21545" s="1" t="s">
        <v>493</v>
      </c>
      <c r="E21545" t="s">
        <v>601</v>
      </c>
      <c r="F21545" s="1">
        <v>2</v>
      </c>
      <c r="G21545" s="1" t="s">
        <v>28</v>
      </c>
      <c r="H21545" s="4" t="str">
        <f>HYPERLINK("https://portal.gdc.cancer.gov/cases/d129ebb4-db21-4342-8d9b-318a67aefa56","TCGA-B5-A0JZ-01A")</f>
        <v>TCGA-B5-A0JZ-01A</v>
      </c>
      <c r="I21545" t="s">
        <v>444</v>
      </c>
      <c r="J21545" t="s">
        <v>599</v>
      </c>
      <c r="K21545" t="s">
        <v>33</v>
      </c>
      <c r="L21545" t="s">
        <v>600</v>
      </c>
      <c r="N21545" t="s">
        <v>29</v>
      </c>
    </row>
    <row r="21546" spans="1:14">
      <c r="A21546" s="4" t="str">
        <f t="shared" si="1428"/>
        <v>EXP00452</v>
      </c>
      <c r="B21546" s="3" t="s">
        <v>66</v>
      </c>
      <c r="C21546" s="4" t="str">
        <f t="shared" si="1427"/>
        <v>TCGA-UCEC</v>
      </c>
      <c r="D21546" s="1" t="s">
        <v>493</v>
      </c>
      <c r="E21546" t="s">
        <v>601</v>
      </c>
      <c r="F21546" s="1">
        <v>2</v>
      </c>
      <c r="G21546" s="1" t="s">
        <v>28</v>
      </c>
      <c r="H21546" s="4" t="str">
        <f>HYPERLINK("https://portal.gdc.cancer.gov/cases/29c8f468-5ac1-4d6c-8376-e36e6d246926","TCGA-B5-A0K0-01A")</f>
        <v>TCGA-B5-A0K0-01A</v>
      </c>
      <c r="I21546" t="s">
        <v>444</v>
      </c>
      <c r="J21546" t="s">
        <v>599</v>
      </c>
      <c r="K21546" t="s">
        <v>33</v>
      </c>
      <c r="L21546" t="s">
        <v>600</v>
      </c>
      <c r="N21546" t="s">
        <v>29</v>
      </c>
    </row>
    <row r="21547" spans="1:14">
      <c r="A21547" s="4" t="str">
        <f t="shared" si="1428"/>
        <v>EXP00452</v>
      </c>
      <c r="B21547" s="3" t="s">
        <v>66</v>
      </c>
      <c r="C21547" s="4" t="str">
        <f t="shared" si="1427"/>
        <v>TCGA-UCEC</v>
      </c>
      <c r="D21547" s="1" t="s">
        <v>493</v>
      </c>
      <c r="E21547" t="s">
        <v>601</v>
      </c>
      <c r="F21547" s="1">
        <v>2</v>
      </c>
      <c r="G21547" s="1" t="s">
        <v>28</v>
      </c>
      <c r="H21547" s="4" t="str">
        <f>HYPERLINK("https://portal.gdc.cancer.gov/cases/40a3ed98-3892-449c-b07e-7b7612bd997e","TCGA-B5-A0K1-01A")</f>
        <v>TCGA-B5-A0K1-01A</v>
      </c>
      <c r="I21547" t="s">
        <v>444</v>
      </c>
      <c r="J21547" t="s">
        <v>599</v>
      </c>
      <c r="K21547" t="s">
        <v>33</v>
      </c>
      <c r="L21547" t="s">
        <v>600</v>
      </c>
      <c r="N21547" t="s">
        <v>29</v>
      </c>
    </row>
    <row r="21548" spans="1:14">
      <c r="A21548" s="4" t="str">
        <f t="shared" si="1428"/>
        <v>EXP00452</v>
      </c>
      <c r="B21548" s="3" t="s">
        <v>66</v>
      </c>
      <c r="C21548" s="4" t="str">
        <f t="shared" si="1427"/>
        <v>TCGA-UCEC</v>
      </c>
      <c r="D21548" s="1" t="s">
        <v>493</v>
      </c>
      <c r="E21548" t="s">
        <v>601</v>
      </c>
      <c r="F21548" s="1">
        <v>2</v>
      </c>
      <c r="G21548" s="1" t="s">
        <v>28</v>
      </c>
      <c r="H21548" s="4" t="str">
        <f>HYPERLINK("https://portal.gdc.cancer.gov/cases/a8079ea5-c37b-4f77-aca0-b043bf420675","TCGA-B5-A0K2-01A")</f>
        <v>TCGA-B5-A0K2-01A</v>
      </c>
      <c r="I21548" t="s">
        <v>444</v>
      </c>
      <c r="J21548" t="s">
        <v>599</v>
      </c>
      <c r="K21548" t="s">
        <v>33</v>
      </c>
      <c r="L21548" t="s">
        <v>600</v>
      </c>
      <c r="N21548" t="s">
        <v>29</v>
      </c>
    </row>
    <row r="21549" spans="1:14">
      <c r="A21549" s="4" t="str">
        <f t="shared" si="1428"/>
        <v>EXP00452</v>
      </c>
      <c r="B21549" s="3" t="s">
        <v>66</v>
      </c>
      <c r="C21549" s="4" t="str">
        <f t="shared" si="1427"/>
        <v>TCGA-UCEC</v>
      </c>
      <c r="D21549" s="1" t="s">
        <v>493</v>
      </c>
      <c r="E21549" t="s">
        <v>601</v>
      </c>
      <c r="F21549" s="1">
        <v>2</v>
      </c>
      <c r="G21549" s="1" t="s">
        <v>28</v>
      </c>
      <c r="H21549" s="4" t="str">
        <f>HYPERLINK("https://portal.gdc.cancer.gov/cases/79ecc142-8f6e-4260-a7ce-c8e2a6212c35","TCGA-B5-A0K3-01A")</f>
        <v>TCGA-B5-A0K3-01A</v>
      </c>
      <c r="I21549" t="s">
        <v>444</v>
      </c>
      <c r="J21549" t="s">
        <v>599</v>
      </c>
      <c r="K21549" t="s">
        <v>33</v>
      </c>
      <c r="L21549" t="s">
        <v>600</v>
      </c>
      <c r="N21549" t="s">
        <v>29</v>
      </c>
    </row>
    <row r="21550" spans="1:14">
      <c r="A21550" s="4" t="str">
        <f t="shared" si="1428"/>
        <v>EXP00452</v>
      </c>
      <c r="B21550" s="3" t="s">
        <v>66</v>
      </c>
      <c r="C21550" s="4" t="str">
        <f t="shared" si="1427"/>
        <v>TCGA-UCEC</v>
      </c>
      <c r="D21550" s="1" t="s">
        <v>493</v>
      </c>
      <c r="E21550" t="s">
        <v>601</v>
      </c>
      <c r="F21550" s="1">
        <v>2</v>
      </c>
      <c r="G21550" s="1" t="s">
        <v>28</v>
      </c>
      <c r="H21550" s="4" t="str">
        <f>HYPERLINK("https://portal.gdc.cancer.gov/cases/a8f38e37-978b-4435-b676-e8d4c34da909","TCGA-B5-A0K4-01A")</f>
        <v>TCGA-B5-A0K4-01A</v>
      </c>
      <c r="I21550" t="s">
        <v>444</v>
      </c>
      <c r="J21550" t="s">
        <v>599</v>
      </c>
      <c r="K21550" t="s">
        <v>33</v>
      </c>
      <c r="L21550" t="s">
        <v>600</v>
      </c>
      <c r="N21550" t="s">
        <v>29</v>
      </c>
    </row>
    <row r="21551" spans="1:14">
      <c r="A21551" s="4" t="str">
        <f t="shared" si="1428"/>
        <v>EXP00452</v>
      </c>
      <c r="B21551" s="3" t="s">
        <v>66</v>
      </c>
      <c r="C21551" s="4" t="str">
        <f t="shared" si="1427"/>
        <v>TCGA-UCEC</v>
      </c>
      <c r="D21551" s="1" t="s">
        <v>493</v>
      </c>
      <c r="E21551" t="s">
        <v>601</v>
      </c>
      <c r="F21551" s="1">
        <v>2</v>
      </c>
      <c r="G21551" s="1" t="s">
        <v>28</v>
      </c>
      <c r="H21551" s="4" t="str">
        <f>HYPERLINK("https://portal.gdc.cancer.gov/cases/5cba9441-6812-49c0-a0f6-7928ed4e5b81","TCGA-B5-A0K6-01A")</f>
        <v>TCGA-B5-A0K6-01A</v>
      </c>
      <c r="I21551" t="s">
        <v>444</v>
      </c>
      <c r="J21551" t="s">
        <v>599</v>
      </c>
      <c r="K21551" t="s">
        <v>33</v>
      </c>
      <c r="L21551" t="s">
        <v>600</v>
      </c>
      <c r="N21551" t="s">
        <v>29</v>
      </c>
    </row>
    <row r="21552" spans="1:14">
      <c r="A21552" s="4" t="str">
        <f t="shared" si="1428"/>
        <v>EXP00452</v>
      </c>
      <c r="B21552" s="3" t="s">
        <v>66</v>
      </c>
      <c r="C21552" s="4" t="str">
        <f t="shared" si="1427"/>
        <v>TCGA-UCEC</v>
      </c>
      <c r="D21552" s="1" t="s">
        <v>493</v>
      </c>
      <c r="E21552" t="s">
        <v>601</v>
      </c>
      <c r="F21552" s="1">
        <v>2</v>
      </c>
      <c r="G21552" s="1" t="s">
        <v>28</v>
      </c>
      <c r="H21552" s="4" t="str">
        <f>HYPERLINK("https://portal.gdc.cancer.gov/cases/2f0640bc-598c-4714-9e9b-7e0f2ca4567f","TCGA-B5-A0K7-01A")</f>
        <v>TCGA-B5-A0K7-01A</v>
      </c>
      <c r="I21552" t="s">
        <v>444</v>
      </c>
      <c r="J21552" t="s">
        <v>599</v>
      </c>
      <c r="K21552" t="s">
        <v>33</v>
      </c>
      <c r="L21552" t="s">
        <v>600</v>
      </c>
      <c r="N21552" t="s">
        <v>29</v>
      </c>
    </row>
    <row r="21553" spans="1:14">
      <c r="A21553" s="4" t="str">
        <f t="shared" si="1428"/>
        <v>EXP00452</v>
      </c>
      <c r="B21553" s="3" t="s">
        <v>66</v>
      </c>
      <c r="C21553" s="4" t="str">
        <f t="shared" si="1427"/>
        <v>TCGA-UCEC</v>
      </c>
      <c r="D21553" s="1" t="s">
        <v>493</v>
      </c>
      <c r="E21553" t="s">
        <v>601</v>
      </c>
      <c r="F21553" s="1">
        <v>2</v>
      </c>
      <c r="G21553" s="1" t="s">
        <v>28</v>
      </c>
      <c r="H21553" s="4" t="str">
        <f>HYPERLINK("https://portal.gdc.cancer.gov/cases/24118b8f-59fe-482a-aed3-7b1bde1571b7","TCGA-B5-A0K8-01A")</f>
        <v>TCGA-B5-A0K8-01A</v>
      </c>
      <c r="I21553" t="s">
        <v>444</v>
      </c>
      <c r="J21553" t="s">
        <v>599</v>
      </c>
      <c r="K21553" t="s">
        <v>33</v>
      </c>
      <c r="L21553" t="s">
        <v>600</v>
      </c>
      <c r="N21553" t="s">
        <v>29</v>
      </c>
    </row>
    <row r="21554" spans="1:14">
      <c r="A21554" s="4" t="str">
        <f t="shared" si="1428"/>
        <v>EXP00452</v>
      </c>
      <c r="B21554" s="3" t="s">
        <v>66</v>
      </c>
      <c r="C21554" s="4" t="str">
        <f t="shared" si="1427"/>
        <v>TCGA-UCEC</v>
      </c>
      <c r="D21554" s="1" t="s">
        <v>493</v>
      </c>
      <c r="E21554" t="s">
        <v>601</v>
      </c>
      <c r="F21554" s="1">
        <v>2</v>
      </c>
      <c r="G21554" s="1" t="s">
        <v>28</v>
      </c>
      <c r="H21554" s="4" t="str">
        <f>HYPERLINK("https://portal.gdc.cancer.gov/cases/4485cc98-5d58-4eb4-8325-7d1a617b6461","TCGA-B5-A0K9-01A")</f>
        <v>TCGA-B5-A0K9-01A</v>
      </c>
      <c r="I21554" t="s">
        <v>444</v>
      </c>
      <c r="J21554" t="s">
        <v>599</v>
      </c>
      <c r="K21554" t="s">
        <v>33</v>
      </c>
      <c r="L21554" t="s">
        <v>600</v>
      </c>
      <c r="N21554" t="s">
        <v>29</v>
      </c>
    </row>
    <row r="21555" spans="1:14">
      <c r="A21555" s="4" t="str">
        <f t="shared" si="1428"/>
        <v>EXP00452</v>
      </c>
      <c r="B21555" s="3" t="s">
        <v>66</v>
      </c>
      <c r="C21555" s="4" t="str">
        <f t="shared" si="1427"/>
        <v>TCGA-UCEC</v>
      </c>
      <c r="D21555" s="1" t="s">
        <v>493</v>
      </c>
      <c r="E21555" t="s">
        <v>601</v>
      </c>
      <c r="F21555" s="1">
        <v>2</v>
      </c>
      <c r="G21555" s="1" t="s">
        <v>28</v>
      </c>
      <c r="H21555" s="4" t="str">
        <f>HYPERLINK("https://portal.gdc.cancer.gov/cases/e604f5d4-f2c0-4404-9073-b8dbc8396778","TCGA-B5-A0KB-01B")</f>
        <v>TCGA-B5-A0KB-01B</v>
      </c>
      <c r="I21555" t="s">
        <v>444</v>
      </c>
      <c r="J21555" t="s">
        <v>599</v>
      </c>
      <c r="K21555" t="s">
        <v>33</v>
      </c>
      <c r="L21555" t="s">
        <v>600</v>
      </c>
      <c r="N21555" t="s">
        <v>29</v>
      </c>
    </row>
    <row r="21556" spans="1:14">
      <c r="A21556" s="4" t="str">
        <f t="shared" si="1428"/>
        <v>EXP00452</v>
      </c>
      <c r="B21556" s="3" t="s">
        <v>66</v>
      </c>
      <c r="C21556" s="4" t="str">
        <f t="shared" si="1427"/>
        <v>TCGA-UCEC</v>
      </c>
      <c r="D21556" s="1" t="s">
        <v>493</v>
      </c>
      <c r="E21556" t="s">
        <v>601</v>
      </c>
      <c r="F21556" s="1">
        <v>2</v>
      </c>
      <c r="G21556" s="1" t="s">
        <v>28</v>
      </c>
      <c r="H21556" s="4" t="str">
        <f>HYPERLINK("https://portal.gdc.cancer.gov/cases/38a3ea92-8965-4bda-9dbd-144832975cdd","TCGA-B5-A11E-01A")</f>
        <v>TCGA-B5-A11E-01A</v>
      </c>
      <c r="I21556" t="s">
        <v>444</v>
      </c>
      <c r="J21556" t="s">
        <v>599</v>
      </c>
      <c r="K21556" t="s">
        <v>33</v>
      </c>
      <c r="L21556" t="s">
        <v>600</v>
      </c>
      <c r="N21556" t="s">
        <v>29</v>
      </c>
    </row>
    <row r="21557" spans="1:14">
      <c r="A21557" s="4" t="str">
        <f t="shared" si="1428"/>
        <v>EXP00452</v>
      </c>
      <c r="B21557" s="3" t="s">
        <v>66</v>
      </c>
      <c r="C21557" s="4" t="str">
        <f t="shared" ref="C21557:C21620" si="1429">HYPERLINK("https://portal.gdc.cancer.gov/projects/TCGA-UCEC","TCGA-UCEC")</f>
        <v>TCGA-UCEC</v>
      </c>
      <c r="D21557" s="1" t="s">
        <v>493</v>
      </c>
      <c r="E21557" t="s">
        <v>601</v>
      </c>
      <c r="F21557" s="1">
        <v>2</v>
      </c>
      <c r="G21557" s="1" t="s">
        <v>28</v>
      </c>
      <c r="H21557" s="4" t="str">
        <f>HYPERLINK("https://portal.gdc.cancer.gov/cases/3ea53b15-37f0-446e-a130-6bb2dee56865","TCGA-B5-A11F-01A")</f>
        <v>TCGA-B5-A11F-01A</v>
      </c>
      <c r="I21557" t="s">
        <v>444</v>
      </c>
      <c r="J21557" t="s">
        <v>599</v>
      </c>
      <c r="K21557" t="s">
        <v>33</v>
      </c>
      <c r="L21557" t="s">
        <v>600</v>
      </c>
      <c r="N21557" t="s">
        <v>29</v>
      </c>
    </row>
    <row r="21558" spans="1:14">
      <c r="A21558" s="4" t="str">
        <f t="shared" si="1428"/>
        <v>EXP00452</v>
      </c>
      <c r="B21558" s="3" t="s">
        <v>66</v>
      </c>
      <c r="C21558" s="4" t="str">
        <f t="shared" si="1429"/>
        <v>TCGA-UCEC</v>
      </c>
      <c r="D21558" s="1" t="s">
        <v>493</v>
      </c>
      <c r="E21558" t="s">
        <v>601</v>
      </c>
      <c r="F21558" s="1">
        <v>2</v>
      </c>
      <c r="G21558" s="1" t="s">
        <v>28</v>
      </c>
      <c r="H21558" s="4" t="str">
        <f>HYPERLINK("https://portal.gdc.cancer.gov/cases/d2aa7d70-a25f-4a9e-9d52-37e372461824","TCGA-B5-A11G-01A")</f>
        <v>TCGA-B5-A11G-01A</v>
      </c>
      <c r="I21558" t="s">
        <v>444</v>
      </c>
      <c r="J21558" t="s">
        <v>599</v>
      </c>
      <c r="K21558" t="s">
        <v>33</v>
      </c>
      <c r="L21558" t="s">
        <v>600</v>
      </c>
      <c r="N21558" t="s">
        <v>29</v>
      </c>
    </row>
    <row r="21559" spans="1:14">
      <c r="A21559" s="4" t="str">
        <f t="shared" si="1428"/>
        <v>EXP00452</v>
      </c>
      <c r="B21559" s="3" t="s">
        <v>66</v>
      </c>
      <c r="C21559" s="4" t="str">
        <f t="shared" si="1429"/>
        <v>TCGA-UCEC</v>
      </c>
      <c r="D21559" s="1" t="s">
        <v>493</v>
      </c>
      <c r="E21559" t="s">
        <v>601</v>
      </c>
      <c r="F21559" s="1">
        <v>2</v>
      </c>
      <c r="G21559" s="1" t="s">
        <v>28</v>
      </c>
      <c r="H21559" s="4" t="str">
        <f>HYPERLINK("https://portal.gdc.cancer.gov/cases/dee43082-4aa7-4650-981c-a779e9fe7b55","TCGA-B5-A11H-01A")</f>
        <v>TCGA-B5-A11H-01A</v>
      </c>
      <c r="I21559" t="s">
        <v>444</v>
      </c>
      <c r="J21559" t="s">
        <v>599</v>
      </c>
      <c r="K21559" t="s">
        <v>33</v>
      </c>
      <c r="L21559" t="s">
        <v>600</v>
      </c>
      <c r="N21559" t="s">
        <v>29</v>
      </c>
    </row>
    <row r="21560" spans="1:14">
      <c r="A21560" s="4" t="str">
        <f t="shared" si="1428"/>
        <v>EXP00452</v>
      </c>
      <c r="B21560" s="3" t="s">
        <v>66</v>
      </c>
      <c r="C21560" s="4" t="str">
        <f t="shared" si="1429"/>
        <v>TCGA-UCEC</v>
      </c>
      <c r="D21560" s="1" t="s">
        <v>493</v>
      </c>
      <c r="E21560" t="s">
        <v>601</v>
      </c>
      <c r="F21560" s="1">
        <v>2</v>
      </c>
      <c r="G21560" s="1" t="s">
        <v>28</v>
      </c>
      <c r="H21560" s="4" t="str">
        <f>HYPERLINK("https://portal.gdc.cancer.gov/cases/f6d136c7-c250-4361-9fed-50f513959a40","TCGA-B5-A11I-01A")</f>
        <v>TCGA-B5-A11I-01A</v>
      </c>
      <c r="I21560" t="s">
        <v>444</v>
      </c>
      <c r="J21560" t="s">
        <v>599</v>
      </c>
      <c r="K21560" t="s">
        <v>33</v>
      </c>
      <c r="L21560" t="s">
        <v>600</v>
      </c>
      <c r="N21560" t="s">
        <v>29</v>
      </c>
    </row>
    <row r="21561" spans="1:14">
      <c r="A21561" s="4" t="str">
        <f t="shared" si="1428"/>
        <v>EXP00452</v>
      </c>
      <c r="B21561" s="3" t="s">
        <v>66</v>
      </c>
      <c r="C21561" s="4" t="str">
        <f t="shared" si="1429"/>
        <v>TCGA-UCEC</v>
      </c>
      <c r="D21561" s="1" t="s">
        <v>493</v>
      </c>
      <c r="E21561" t="s">
        <v>601</v>
      </c>
      <c r="F21561" s="1">
        <v>2</v>
      </c>
      <c r="G21561" s="1" t="s">
        <v>28</v>
      </c>
      <c r="H21561" s="4" t="str">
        <f>HYPERLINK("https://portal.gdc.cancer.gov/cases/027b2a29-2fad-4ca8-a7cd-eb913d0205f8","TCGA-B5-A11J-01A")</f>
        <v>TCGA-B5-A11J-01A</v>
      </c>
      <c r="I21561" t="s">
        <v>444</v>
      </c>
      <c r="J21561" t="s">
        <v>599</v>
      </c>
      <c r="K21561" t="s">
        <v>33</v>
      </c>
      <c r="L21561" t="s">
        <v>600</v>
      </c>
      <c r="N21561" t="s">
        <v>29</v>
      </c>
    </row>
    <row r="21562" spans="1:14">
      <c r="A21562" s="4" t="str">
        <f t="shared" si="1428"/>
        <v>EXP00452</v>
      </c>
      <c r="B21562" s="3" t="s">
        <v>66</v>
      </c>
      <c r="C21562" s="4" t="str">
        <f t="shared" si="1429"/>
        <v>TCGA-UCEC</v>
      </c>
      <c r="D21562" s="1" t="s">
        <v>493</v>
      </c>
      <c r="E21562" t="s">
        <v>601</v>
      </c>
      <c r="F21562" s="1">
        <v>2</v>
      </c>
      <c r="G21562" s="1" t="s">
        <v>28</v>
      </c>
      <c r="H21562" s="4" t="str">
        <f>HYPERLINK("https://portal.gdc.cancer.gov/cases/07b24a23-3d9f-4591-800f-8738cc232f9a","TCGA-B5-A11L-01B")</f>
        <v>TCGA-B5-A11L-01B</v>
      </c>
      <c r="I21562" t="s">
        <v>444</v>
      </c>
      <c r="J21562" t="s">
        <v>599</v>
      </c>
      <c r="K21562" t="s">
        <v>33</v>
      </c>
      <c r="L21562" t="s">
        <v>600</v>
      </c>
      <c r="N21562" t="s">
        <v>29</v>
      </c>
    </row>
    <row r="21563" spans="1:14">
      <c r="A21563" s="4" t="str">
        <f t="shared" si="1428"/>
        <v>EXP00452</v>
      </c>
      <c r="B21563" s="3" t="s">
        <v>66</v>
      </c>
      <c r="C21563" s="4" t="str">
        <f t="shared" si="1429"/>
        <v>TCGA-UCEC</v>
      </c>
      <c r="D21563" s="1" t="s">
        <v>493</v>
      </c>
      <c r="E21563" t="s">
        <v>601</v>
      </c>
      <c r="F21563" s="1">
        <v>2</v>
      </c>
      <c r="G21563" s="1" t="s">
        <v>28</v>
      </c>
      <c r="H21563" s="4" t="str">
        <f>HYPERLINK("https://portal.gdc.cancer.gov/cases/fd370e9d-2719-45e0-b8f1-048ed1ee602f","TCGA-B5-A11M-01A")</f>
        <v>TCGA-B5-A11M-01A</v>
      </c>
      <c r="I21563" t="s">
        <v>444</v>
      </c>
      <c r="J21563" t="s">
        <v>599</v>
      </c>
      <c r="K21563" t="s">
        <v>33</v>
      </c>
      <c r="L21563" t="s">
        <v>600</v>
      </c>
      <c r="N21563" t="s">
        <v>29</v>
      </c>
    </row>
    <row r="21564" spans="1:14">
      <c r="A21564" s="4" t="str">
        <f t="shared" si="1428"/>
        <v>EXP00452</v>
      </c>
      <c r="B21564" s="3" t="s">
        <v>66</v>
      </c>
      <c r="C21564" s="4" t="str">
        <f t="shared" si="1429"/>
        <v>TCGA-UCEC</v>
      </c>
      <c r="D21564" s="1" t="s">
        <v>493</v>
      </c>
      <c r="E21564" t="s">
        <v>601</v>
      </c>
      <c r="F21564" s="1">
        <v>2</v>
      </c>
      <c r="G21564" s="1" t="s">
        <v>28</v>
      </c>
      <c r="H21564" s="4" t="str">
        <f>HYPERLINK("https://portal.gdc.cancer.gov/cases/ca594f56-9c68-4b7e-84b2-669f1004e3a4","TCGA-B5-A11N-01A")</f>
        <v>TCGA-B5-A11N-01A</v>
      </c>
      <c r="I21564" t="s">
        <v>444</v>
      </c>
      <c r="J21564" t="s">
        <v>599</v>
      </c>
      <c r="K21564" t="s">
        <v>33</v>
      </c>
      <c r="L21564" t="s">
        <v>600</v>
      </c>
      <c r="N21564" t="s">
        <v>29</v>
      </c>
    </row>
    <row r="21565" spans="1:14">
      <c r="A21565" s="4" t="str">
        <f t="shared" si="1428"/>
        <v>EXP00452</v>
      </c>
      <c r="B21565" s="3" t="s">
        <v>66</v>
      </c>
      <c r="C21565" s="4" t="str">
        <f t="shared" si="1429"/>
        <v>TCGA-UCEC</v>
      </c>
      <c r="D21565" s="1" t="s">
        <v>493</v>
      </c>
      <c r="E21565" t="s">
        <v>601</v>
      </c>
      <c r="F21565" s="1">
        <v>2</v>
      </c>
      <c r="G21565" s="1" t="s">
        <v>28</v>
      </c>
      <c r="H21565" s="4" t="str">
        <f>HYPERLINK("https://portal.gdc.cancer.gov/cases/a59a79fd-433d-44dc-9601-4c63d599ab28","TCGA-B5-A11O-01A")</f>
        <v>TCGA-B5-A11O-01A</v>
      </c>
      <c r="I21565" t="s">
        <v>444</v>
      </c>
      <c r="J21565" t="s">
        <v>599</v>
      </c>
      <c r="K21565" t="s">
        <v>33</v>
      </c>
      <c r="L21565" t="s">
        <v>600</v>
      </c>
      <c r="N21565" t="s">
        <v>29</v>
      </c>
    </row>
    <row r="21566" spans="1:14">
      <c r="A21566" s="4" t="str">
        <f t="shared" si="1428"/>
        <v>EXP00452</v>
      </c>
      <c r="B21566" s="3" t="s">
        <v>66</v>
      </c>
      <c r="C21566" s="4" t="str">
        <f t="shared" si="1429"/>
        <v>TCGA-UCEC</v>
      </c>
      <c r="D21566" s="1" t="s">
        <v>493</v>
      </c>
      <c r="E21566" t="s">
        <v>601</v>
      </c>
      <c r="F21566" s="1">
        <v>2</v>
      </c>
      <c r="G21566" s="1" t="s">
        <v>28</v>
      </c>
      <c r="H21566" s="4" t="str">
        <f>HYPERLINK("https://portal.gdc.cancer.gov/cases/d1c65e6a-098e-4c10-9183-c303ba66015a","TCGA-B5-A11P-01B")</f>
        <v>TCGA-B5-A11P-01B</v>
      </c>
      <c r="I21566" t="s">
        <v>444</v>
      </c>
      <c r="J21566" t="s">
        <v>599</v>
      </c>
      <c r="K21566" t="s">
        <v>33</v>
      </c>
      <c r="L21566" t="s">
        <v>600</v>
      </c>
      <c r="N21566" t="s">
        <v>29</v>
      </c>
    </row>
    <row r="21567" spans="1:14">
      <c r="A21567" s="4" t="str">
        <f t="shared" si="1428"/>
        <v>EXP00452</v>
      </c>
      <c r="B21567" s="3" t="s">
        <v>66</v>
      </c>
      <c r="C21567" s="4" t="str">
        <f t="shared" si="1429"/>
        <v>TCGA-UCEC</v>
      </c>
      <c r="D21567" s="1" t="s">
        <v>493</v>
      </c>
      <c r="E21567" t="s">
        <v>601</v>
      </c>
      <c r="F21567" s="1">
        <v>2</v>
      </c>
      <c r="G21567" s="1" t="s">
        <v>28</v>
      </c>
      <c r="H21567" s="4" t="str">
        <f>HYPERLINK("https://portal.gdc.cancer.gov/cases/af852215-5a4b-44b4-8e8e-b887dcb3cf8c","TCGA-B5-A11Q-01A")</f>
        <v>TCGA-B5-A11Q-01A</v>
      </c>
      <c r="I21567" t="s">
        <v>444</v>
      </c>
      <c r="J21567" t="s">
        <v>599</v>
      </c>
      <c r="K21567" t="s">
        <v>33</v>
      </c>
      <c r="L21567" t="s">
        <v>600</v>
      </c>
      <c r="N21567" t="s">
        <v>29</v>
      </c>
    </row>
    <row r="21568" spans="1:14">
      <c r="A21568" s="4" t="str">
        <f t="shared" si="1428"/>
        <v>EXP00452</v>
      </c>
      <c r="B21568" s="3" t="s">
        <v>66</v>
      </c>
      <c r="C21568" s="4" t="str">
        <f t="shared" si="1429"/>
        <v>TCGA-UCEC</v>
      </c>
      <c r="D21568" s="1" t="s">
        <v>493</v>
      </c>
      <c r="E21568" t="s">
        <v>601</v>
      </c>
      <c r="F21568" s="1">
        <v>2</v>
      </c>
      <c r="G21568" s="1" t="s">
        <v>28</v>
      </c>
      <c r="H21568" s="4" t="str">
        <f>HYPERLINK("https://portal.gdc.cancer.gov/cases/f04befed-6c81-4676-8715-b8c6a33cb9d1","TCGA-B5-A11R-01A")</f>
        <v>TCGA-B5-A11R-01A</v>
      </c>
      <c r="I21568" t="s">
        <v>444</v>
      </c>
      <c r="J21568" t="s">
        <v>599</v>
      </c>
      <c r="K21568" t="s">
        <v>33</v>
      </c>
      <c r="L21568" t="s">
        <v>600</v>
      </c>
      <c r="N21568" t="s">
        <v>29</v>
      </c>
    </row>
    <row r="21569" spans="1:14">
      <c r="A21569" s="4" t="str">
        <f t="shared" si="1428"/>
        <v>EXP00452</v>
      </c>
      <c r="B21569" s="3" t="s">
        <v>66</v>
      </c>
      <c r="C21569" s="4" t="str">
        <f t="shared" si="1429"/>
        <v>TCGA-UCEC</v>
      </c>
      <c r="D21569" s="1" t="s">
        <v>493</v>
      </c>
      <c r="E21569" t="s">
        <v>601</v>
      </c>
      <c r="F21569" s="1">
        <v>2</v>
      </c>
      <c r="G21569" s="1" t="s">
        <v>28</v>
      </c>
      <c r="H21569" s="4" t="str">
        <f>HYPERLINK("https://portal.gdc.cancer.gov/cases/cfd096ac-4d0f-4b89-8822-00656bc7f516","TCGA-B5-A11S-01A")</f>
        <v>TCGA-B5-A11S-01A</v>
      </c>
      <c r="I21569" t="s">
        <v>444</v>
      </c>
      <c r="J21569" t="s">
        <v>599</v>
      </c>
      <c r="K21569" t="s">
        <v>33</v>
      </c>
      <c r="L21569" t="s">
        <v>600</v>
      </c>
      <c r="N21569" t="s">
        <v>29</v>
      </c>
    </row>
    <row r="21570" spans="1:14">
      <c r="A21570" s="4" t="str">
        <f t="shared" si="1428"/>
        <v>EXP00452</v>
      </c>
      <c r="B21570" s="3" t="s">
        <v>66</v>
      </c>
      <c r="C21570" s="4" t="str">
        <f t="shared" si="1429"/>
        <v>TCGA-UCEC</v>
      </c>
      <c r="D21570" s="1" t="s">
        <v>493</v>
      </c>
      <c r="E21570" t="s">
        <v>601</v>
      </c>
      <c r="F21570" s="1">
        <v>2</v>
      </c>
      <c r="G21570" s="1" t="s">
        <v>28</v>
      </c>
      <c r="H21570" s="4" t="str">
        <f>HYPERLINK("https://portal.gdc.cancer.gov/cases/0b672aa4-fc13-476f-b61e-5f2c3a615c23","TCGA-B5-A11U-01A")</f>
        <v>TCGA-B5-A11U-01A</v>
      </c>
      <c r="I21570" t="s">
        <v>444</v>
      </c>
      <c r="J21570" t="s">
        <v>599</v>
      </c>
      <c r="K21570" t="s">
        <v>33</v>
      </c>
      <c r="L21570" t="s">
        <v>600</v>
      </c>
      <c r="N21570" t="s">
        <v>29</v>
      </c>
    </row>
    <row r="21571" spans="1:14">
      <c r="A21571" s="4" t="str">
        <f t="shared" si="1428"/>
        <v>EXP00452</v>
      </c>
      <c r="B21571" s="3" t="s">
        <v>66</v>
      </c>
      <c r="C21571" s="4" t="str">
        <f t="shared" si="1429"/>
        <v>TCGA-UCEC</v>
      </c>
      <c r="D21571" s="1" t="s">
        <v>493</v>
      </c>
      <c r="E21571" t="s">
        <v>601</v>
      </c>
      <c r="F21571" s="1">
        <v>2</v>
      </c>
      <c r="G21571" s="1" t="s">
        <v>28</v>
      </c>
      <c r="H21571" s="4" t="str">
        <f>HYPERLINK("https://portal.gdc.cancer.gov/cases/d3c83c5e-acb1-4cb0-8f56-96341822582f","TCGA-B5-A11V-01A")</f>
        <v>TCGA-B5-A11V-01A</v>
      </c>
      <c r="I21571" t="s">
        <v>444</v>
      </c>
      <c r="J21571" t="s">
        <v>599</v>
      </c>
      <c r="K21571" t="s">
        <v>33</v>
      </c>
      <c r="L21571" t="s">
        <v>600</v>
      </c>
      <c r="N21571" t="s">
        <v>29</v>
      </c>
    </row>
    <row r="21572" spans="1:14">
      <c r="A21572" s="4" t="str">
        <f t="shared" si="1428"/>
        <v>EXP00452</v>
      </c>
      <c r="B21572" s="3" t="s">
        <v>66</v>
      </c>
      <c r="C21572" s="4" t="str">
        <f t="shared" si="1429"/>
        <v>TCGA-UCEC</v>
      </c>
      <c r="D21572" s="1" t="s">
        <v>493</v>
      </c>
      <c r="E21572" t="s">
        <v>601</v>
      </c>
      <c r="F21572" s="1">
        <v>2</v>
      </c>
      <c r="G21572" s="1" t="s">
        <v>28</v>
      </c>
      <c r="H21572" s="4" t="str">
        <f>HYPERLINK("https://portal.gdc.cancer.gov/cases/f5bd3902-ff7f-4233-8f74-beef3676af9a","TCGA-B5-A11W-01A")</f>
        <v>TCGA-B5-A11W-01A</v>
      </c>
      <c r="I21572" t="s">
        <v>444</v>
      </c>
      <c r="J21572" t="s">
        <v>599</v>
      </c>
      <c r="K21572" t="s">
        <v>33</v>
      </c>
      <c r="L21572" t="s">
        <v>600</v>
      </c>
      <c r="N21572" t="s">
        <v>29</v>
      </c>
    </row>
    <row r="21573" spans="1:14">
      <c r="A21573" s="4" t="str">
        <f t="shared" si="1428"/>
        <v>EXP00452</v>
      </c>
      <c r="B21573" s="3" t="s">
        <v>66</v>
      </c>
      <c r="C21573" s="4" t="str">
        <f t="shared" si="1429"/>
        <v>TCGA-UCEC</v>
      </c>
      <c r="D21573" s="1" t="s">
        <v>493</v>
      </c>
      <c r="E21573" t="s">
        <v>601</v>
      </c>
      <c r="F21573" s="1">
        <v>2</v>
      </c>
      <c r="G21573" s="1" t="s">
        <v>28</v>
      </c>
      <c r="H21573" s="4" t="str">
        <f>HYPERLINK("https://portal.gdc.cancer.gov/cases/f70a64a8-3faa-468a-a6f3-4815eb01e5a3","TCGA-B5-A11X-01A")</f>
        <v>TCGA-B5-A11X-01A</v>
      </c>
      <c r="I21573" t="s">
        <v>444</v>
      </c>
      <c r="J21573" t="s">
        <v>599</v>
      </c>
      <c r="K21573" t="s">
        <v>33</v>
      </c>
      <c r="L21573" t="s">
        <v>600</v>
      </c>
      <c r="N21573" t="s">
        <v>29</v>
      </c>
    </row>
    <row r="21574" spans="1:14">
      <c r="A21574" s="4" t="str">
        <f t="shared" si="1428"/>
        <v>EXP00452</v>
      </c>
      <c r="B21574" s="3" t="s">
        <v>66</v>
      </c>
      <c r="C21574" s="4" t="str">
        <f t="shared" si="1429"/>
        <v>TCGA-UCEC</v>
      </c>
      <c r="D21574" s="1" t="s">
        <v>493</v>
      </c>
      <c r="E21574" t="s">
        <v>601</v>
      </c>
      <c r="F21574" s="1">
        <v>2</v>
      </c>
      <c r="G21574" s="1" t="s">
        <v>28</v>
      </c>
      <c r="H21574" s="4" t="str">
        <f>HYPERLINK("https://portal.gdc.cancer.gov/cases/c0db966b-1024-4ee3-899a-f12e3c71a42c","TCGA-B5-A11Y-01A")</f>
        <v>TCGA-B5-A11Y-01A</v>
      </c>
      <c r="I21574" t="s">
        <v>444</v>
      </c>
      <c r="J21574" t="s">
        <v>599</v>
      </c>
      <c r="K21574" t="s">
        <v>33</v>
      </c>
      <c r="L21574" t="s">
        <v>600</v>
      </c>
      <c r="N21574" t="s">
        <v>29</v>
      </c>
    </row>
    <row r="21575" spans="1:14">
      <c r="A21575" s="4" t="str">
        <f t="shared" si="1428"/>
        <v>EXP00452</v>
      </c>
      <c r="B21575" s="3" t="s">
        <v>66</v>
      </c>
      <c r="C21575" s="4" t="str">
        <f t="shared" si="1429"/>
        <v>TCGA-UCEC</v>
      </c>
      <c r="D21575" s="1" t="s">
        <v>493</v>
      </c>
      <c r="E21575" t="s">
        <v>601</v>
      </c>
      <c r="F21575" s="1">
        <v>2</v>
      </c>
      <c r="G21575" s="1" t="s">
        <v>28</v>
      </c>
      <c r="H21575" s="4" t="str">
        <f>HYPERLINK("https://portal.gdc.cancer.gov/cases/cc141997-edab-4aae-a056-0c079eaa7362","TCGA-B5-A11Z-01A")</f>
        <v>TCGA-B5-A11Z-01A</v>
      </c>
      <c r="I21575" t="s">
        <v>444</v>
      </c>
      <c r="J21575" t="s">
        <v>599</v>
      </c>
      <c r="K21575" t="s">
        <v>33</v>
      </c>
      <c r="L21575" t="s">
        <v>600</v>
      </c>
      <c r="N21575" t="s">
        <v>29</v>
      </c>
    </row>
    <row r="21576" spans="1:14">
      <c r="A21576" s="4" t="str">
        <f t="shared" si="1428"/>
        <v>EXP00452</v>
      </c>
      <c r="B21576" s="3" t="s">
        <v>66</v>
      </c>
      <c r="C21576" s="4" t="str">
        <f t="shared" si="1429"/>
        <v>TCGA-UCEC</v>
      </c>
      <c r="D21576" s="1" t="s">
        <v>493</v>
      </c>
      <c r="E21576" t="s">
        <v>601</v>
      </c>
      <c r="F21576" s="1">
        <v>2</v>
      </c>
      <c r="G21576" s="1" t="s">
        <v>28</v>
      </c>
      <c r="H21576" s="4" t="str">
        <f>HYPERLINK("https://portal.gdc.cancer.gov/cases/19511f9e-7b0e-4a06-998d-c1837d37c6ec","TCGA-B5-A121-01A")</f>
        <v>TCGA-B5-A121-01A</v>
      </c>
      <c r="I21576" t="s">
        <v>444</v>
      </c>
      <c r="J21576" t="s">
        <v>599</v>
      </c>
      <c r="K21576" t="s">
        <v>33</v>
      </c>
      <c r="L21576" t="s">
        <v>600</v>
      </c>
      <c r="N21576" t="s">
        <v>29</v>
      </c>
    </row>
    <row r="21577" spans="1:14">
      <c r="A21577" s="4" t="str">
        <f t="shared" si="1428"/>
        <v>EXP00452</v>
      </c>
      <c r="B21577" s="3" t="s">
        <v>66</v>
      </c>
      <c r="C21577" s="4" t="str">
        <f t="shared" si="1429"/>
        <v>TCGA-UCEC</v>
      </c>
      <c r="D21577" s="1" t="s">
        <v>493</v>
      </c>
      <c r="E21577" t="s">
        <v>601</v>
      </c>
      <c r="F21577" s="1">
        <v>2</v>
      </c>
      <c r="G21577" s="1" t="s">
        <v>28</v>
      </c>
      <c r="H21577" s="4" t="str">
        <f>HYPERLINK("https://portal.gdc.cancer.gov/cases/02af18ee-ab8e-4ac3-b22e-dec80c201058","TCGA-B5-A1MR-01A")</f>
        <v>TCGA-B5-A1MR-01A</v>
      </c>
      <c r="I21577" t="s">
        <v>444</v>
      </c>
      <c r="J21577" t="s">
        <v>599</v>
      </c>
      <c r="K21577" t="s">
        <v>33</v>
      </c>
      <c r="L21577" t="s">
        <v>600</v>
      </c>
      <c r="N21577" t="s">
        <v>29</v>
      </c>
    </row>
    <row r="21578" spans="1:14">
      <c r="A21578" s="4" t="str">
        <f t="shared" si="1428"/>
        <v>EXP00452</v>
      </c>
      <c r="B21578" s="3" t="s">
        <v>66</v>
      </c>
      <c r="C21578" s="4" t="str">
        <f t="shared" si="1429"/>
        <v>TCGA-UCEC</v>
      </c>
      <c r="D21578" s="1" t="s">
        <v>493</v>
      </c>
      <c r="E21578" t="s">
        <v>601</v>
      </c>
      <c r="F21578" s="1">
        <v>2</v>
      </c>
      <c r="G21578" s="1" t="s">
        <v>28</v>
      </c>
      <c r="H21578" s="4" t="str">
        <f>HYPERLINK("https://portal.gdc.cancer.gov/cases/b2aa0220-6387-4eea-b6d4-a4fa0f15b2d9","TCGA-B5-A1MS-01B")</f>
        <v>TCGA-B5-A1MS-01B</v>
      </c>
      <c r="I21578" t="s">
        <v>444</v>
      </c>
      <c r="J21578" t="s">
        <v>599</v>
      </c>
      <c r="K21578" t="s">
        <v>33</v>
      </c>
      <c r="L21578" t="s">
        <v>600</v>
      </c>
      <c r="N21578" t="s">
        <v>29</v>
      </c>
    </row>
    <row r="21579" spans="1:14">
      <c r="A21579" s="4" t="str">
        <f t="shared" si="1428"/>
        <v>EXP00452</v>
      </c>
      <c r="B21579" s="3" t="s">
        <v>66</v>
      </c>
      <c r="C21579" s="4" t="str">
        <f t="shared" si="1429"/>
        <v>TCGA-UCEC</v>
      </c>
      <c r="D21579" s="1" t="s">
        <v>493</v>
      </c>
      <c r="E21579" t="s">
        <v>601</v>
      </c>
      <c r="F21579" s="1">
        <v>2</v>
      </c>
      <c r="G21579" s="1" t="s">
        <v>28</v>
      </c>
      <c r="H21579" s="4" t="str">
        <f>HYPERLINK("https://portal.gdc.cancer.gov/cases/f5261330-596e-4632-a5a3-8d3a2aa5de38","TCGA-B5-A1MU-01A")</f>
        <v>TCGA-B5-A1MU-01A</v>
      </c>
      <c r="I21579" t="s">
        <v>444</v>
      </c>
      <c r="J21579" t="s">
        <v>599</v>
      </c>
      <c r="K21579" t="s">
        <v>33</v>
      </c>
      <c r="L21579" t="s">
        <v>600</v>
      </c>
      <c r="N21579" t="s">
        <v>29</v>
      </c>
    </row>
    <row r="21580" spans="1:14">
      <c r="A21580" s="4" t="str">
        <f t="shared" si="1428"/>
        <v>EXP00452</v>
      </c>
      <c r="B21580" s="3" t="s">
        <v>66</v>
      </c>
      <c r="C21580" s="4" t="str">
        <f t="shared" si="1429"/>
        <v>TCGA-UCEC</v>
      </c>
      <c r="D21580" s="1" t="s">
        <v>493</v>
      </c>
      <c r="E21580" t="s">
        <v>601</v>
      </c>
      <c r="F21580" s="1">
        <v>2</v>
      </c>
      <c r="G21580" s="1" t="s">
        <v>28</v>
      </c>
      <c r="H21580" s="4" t="str">
        <f>HYPERLINK("https://portal.gdc.cancer.gov/cases/0f36c3a2-0ba5-4c43-a3f0-78d125e5d0ac","TCGA-B5-A1MV-01A")</f>
        <v>TCGA-B5-A1MV-01A</v>
      </c>
      <c r="I21580" t="s">
        <v>444</v>
      </c>
      <c r="J21580" t="s">
        <v>599</v>
      </c>
      <c r="K21580" t="s">
        <v>33</v>
      </c>
      <c r="L21580" t="s">
        <v>600</v>
      </c>
      <c r="N21580" t="s">
        <v>29</v>
      </c>
    </row>
    <row r="21581" spans="1:14">
      <c r="A21581" s="4" t="str">
        <f t="shared" si="1428"/>
        <v>EXP00452</v>
      </c>
      <c r="B21581" s="3" t="s">
        <v>66</v>
      </c>
      <c r="C21581" s="4" t="str">
        <f t="shared" si="1429"/>
        <v>TCGA-UCEC</v>
      </c>
      <c r="D21581" s="1" t="s">
        <v>493</v>
      </c>
      <c r="E21581" t="s">
        <v>601</v>
      </c>
      <c r="F21581" s="1">
        <v>2</v>
      </c>
      <c r="G21581" s="1" t="s">
        <v>28</v>
      </c>
      <c r="H21581" s="4" t="str">
        <f>HYPERLINK("https://portal.gdc.cancer.gov/cases/e2b48d0d-57ca-400b-8598-55ef132e350e","TCGA-B5-A1MW-01A")</f>
        <v>TCGA-B5-A1MW-01A</v>
      </c>
      <c r="I21581" t="s">
        <v>444</v>
      </c>
      <c r="J21581" t="s">
        <v>599</v>
      </c>
      <c r="K21581" t="s">
        <v>33</v>
      </c>
      <c r="L21581" t="s">
        <v>600</v>
      </c>
      <c r="N21581" t="s">
        <v>29</v>
      </c>
    </row>
    <row r="21582" spans="1:14">
      <c r="A21582" s="4" t="str">
        <f t="shared" ref="A21582:A21645" si="1430">HYPERLINK("http://hcmdb.i-sanger.com/experiment/details/experiment_id/EXP00452","EXP00452")</f>
        <v>EXP00452</v>
      </c>
      <c r="B21582" s="3" t="s">
        <v>66</v>
      </c>
      <c r="C21582" s="4" t="str">
        <f t="shared" si="1429"/>
        <v>TCGA-UCEC</v>
      </c>
      <c r="D21582" s="1" t="s">
        <v>493</v>
      </c>
      <c r="E21582" t="s">
        <v>601</v>
      </c>
      <c r="F21582" s="1">
        <v>2</v>
      </c>
      <c r="G21582" s="1" t="s">
        <v>28</v>
      </c>
      <c r="H21582" s="4" t="str">
        <f>HYPERLINK("https://portal.gdc.cancer.gov/cases/37bac6ba-be93-42cc-892b-efd0bdb850bd","TCGA-B5-A1MX-01A")</f>
        <v>TCGA-B5-A1MX-01A</v>
      </c>
      <c r="I21582" t="s">
        <v>444</v>
      </c>
      <c r="J21582" t="s">
        <v>599</v>
      </c>
      <c r="K21582" t="s">
        <v>33</v>
      </c>
      <c r="L21582" t="s">
        <v>600</v>
      </c>
      <c r="N21582" t="s">
        <v>29</v>
      </c>
    </row>
    <row r="21583" spans="1:14">
      <c r="A21583" s="4" t="str">
        <f t="shared" si="1430"/>
        <v>EXP00452</v>
      </c>
      <c r="B21583" s="3" t="s">
        <v>66</v>
      </c>
      <c r="C21583" s="4" t="str">
        <f t="shared" si="1429"/>
        <v>TCGA-UCEC</v>
      </c>
      <c r="D21583" s="1" t="s">
        <v>493</v>
      </c>
      <c r="E21583" t="s">
        <v>601</v>
      </c>
      <c r="F21583" s="1">
        <v>2</v>
      </c>
      <c r="G21583" s="1" t="s">
        <v>28</v>
      </c>
      <c r="H21583" s="4" t="str">
        <f>HYPERLINK("https://portal.gdc.cancer.gov/cases/5d2f1a0f-a01b-48c2-b749-1ca710aa2bb4","TCGA-B5-A1MY-01A")</f>
        <v>TCGA-B5-A1MY-01A</v>
      </c>
      <c r="I21583" t="s">
        <v>444</v>
      </c>
      <c r="J21583" t="s">
        <v>599</v>
      </c>
      <c r="K21583" t="s">
        <v>33</v>
      </c>
      <c r="L21583" t="s">
        <v>600</v>
      </c>
      <c r="N21583" t="s">
        <v>29</v>
      </c>
    </row>
    <row r="21584" spans="1:14">
      <c r="A21584" s="4" t="str">
        <f t="shared" si="1430"/>
        <v>EXP00452</v>
      </c>
      <c r="B21584" s="3" t="s">
        <v>66</v>
      </c>
      <c r="C21584" s="4" t="str">
        <f t="shared" si="1429"/>
        <v>TCGA-UCEC</v>
      </c>
      <c r="D21584" s="1" t="s">
        <v>493</v>
      </c>
      <c r="E21584" t="s">
        <v>601</v>
      </c>
      <c r="F21584" s="1">
        <v>2</v>
      </c>
      <c r="G21584" s="1" t="s">
        <v>28</v>
      </c>
      <c r="H21584" s="4" t="str">
        <f>HYPERLINK("https://portal.gdc.cancer.gov/cases/838fcc2b-48b4-49dd-b8fc-ff27bbd16b17","TCGA-B5-A1MZ-01A")</f>
        <v>TCGA-B5-A1MZ-01A</v>
      </c>
      <c r="I21584" t="s">
        <v>444</v>
      </c>
      <c r="J21584" t="s">
        <v>599</v>
      </c>
      <c r="K21584" t="s">
        <v>33</v>
      </c>
      <c r="L21584" t="s">
        <v>600</v>
      </c>
      <c r="N21584" t="s">
        <v>29</v>
      </c>
    </row>
    <row r="21585" spans="1:14">
      <c r="A21585" s="4" t="str">
        <f t="shared" si="1430"/>
        <v>EXP00452</v>
      </c>
      <c r="B21585" s="3" t="s">
        <v>66</v>
      </c>
      <c r="C21585" s="4" t="str">
        <f t="shared" si="1429"/>
        <v>TCGA-UCEC</v>
      </c>
      <c r="D21585" s="1" t="s">
        <v>493</v>
      </c>
      <c r="E21585" t="s">
        <v>601</v>
      </c>
      <c r="F21585" s="1">
        <v>2</v>
      </c>
      <c r="G21585" s="1" t="s">
        <v>28</v>
      </c>
      <c r="H21585" s="4" t="str">
        <f>HYPERLINK("https://portal.gdc.cancer.gov/cases/d79e692c-5053-4484-a180-01a094c5ff45","TCGA-B5-A1N2-01A")</f>
        <v>TCGA-B5-A1N2-01A</v>
      </c>
      <c r="I21585" t="s">
        <v>444</v>
      </c>
      <c r="J21585" t="s">
        <v>599</v>
      </c>
      <c r="K21585" t="s">
        <v>33</v>
      </c>
      <c r="L21585" t="s">
        <v>600</v>
      </c>
      <c r="N21585" t="s">
        <v>29</v>
      </c>
    </row>
    <row r="21586" spans="1:14">
      <c r="A21586" s="4" t="str">
        <f t="shared" si="1430"/>
        <v>EXP00452</v>
      </c>
      <c r="B21586" s="3" t="s">
        <v>66</v>
      </c>
      <c r="C21586" s="4" t="str">
        <f t="shared" si="1429"/>
        <v>TCGA-UCEC</v>
      </c>
      <c r="D21586" s="1" t="s">
        <v>493</v>
      </c>
      <c r="E21586" t="s">
        <v>601</v>
      </c>
      <c r="F21586" s="1">
        <v>2</v>
      </c>
      <c r="G21586" s="1" t="s">
        <v>28</v>
      </c>
      <c r="H21586" s="4" t="str">
        <f>HYPERLINK("https://portal.gdc.cancer.gov/cases/21941181-8ed5-4211-867d-516ad09fbe06","TCGA-B5-A3F9-01A")</f>
        <v>TCGA-B5-A3F9-01A</v>
      </c>
      <c r="I21586" t="s">
        <v>444</v>
      </c>
      <c r="J21586" t="s">
        <v>599</v>
      </c>
      <c r="K21586" t="s">
        <v>33</v>
      </c>
      <c r="L21586" t="s">
        <v>600</v>
      </c>
      <c r="N21586" t="s">
        <v>29</v>
      </c>
    </row>
    <row r="21587" spans="1:14">
      <c r="A21587" s="4" t="str">
        <f t="shared" si="1430"/>
        <v>EXP00452</v>
      </c>
      <c r="B21587" s="3" t="s">
        <v>66</v>
      </c>
      <c r="C21587" s="4" t="str">
        <f t="shared" si="1429"/>
        <v>TCGA-UCEC</v>
      </c>
      <c r="D21587" s="1" t="s">
        <v>493</v>
      </c>
      <c r="E21587" t="s">
        <v>601</v>
      </c>
      <c r="F21587" s="1">
        <v>2</v>
      </c>
      <c r="G21587" s="1" t="s">
        <v>28</v>
      </c>
      <c r="H21587" s="4" t="str">
        <f>HYPERLINK("https://portal.gdc.cancer.gov/cases/ac9ec63a-c3b6-4d0c-b1a9-7c72dbad456c","TCGA-B5-A3FA-01A")</f>
        <v>TCGA-B5-A3FA-01A</v>
      </c>
      <c r="I21587" t="s">
        <v>444</v>
      </c>
      <c r="J21587" t="s">
        <v>599</v>
      </c>
      <c r="K21587" t="s">
        <v>33</v>
      </c>
      <c r="L21587" t="s">
        <v>600</v>
      </c>
      <c r="N21587" t="s">
        <v>29</v>
      </c>
    </row>
    <row r="21588" spans="1:14">
      <c r="A21588" s="4" t="str">
        <f t="shared" si="1430"/>
        <v>EXP00452</v>
      </c>
      <c r="B21588" s="3" t="s">
        <v>66</v>
      </c>
      <c r="C21588" s="4" t="str">
        <f t="shared" si="1429"/>
        <v>TCGA-UCEC</v>
      </c>
      <c r="D21588" s="1" t="s">
        <v>493</v>
      </c>
      <c r="E21588" t="s">
        <v>601</v>
      </c>
      <c r="F21588" s="1">
        <v>2</v>
      </c>
      <c r="G21588" s="1" t="s">
        <v>28</v>
      </c>
      <c r="H21588" s="4" t="str">
        <f>HYPERLINK("https://portal.gdc.cancer.gov/cases/0c1946a8-ee54-4b9b-8054-9a7bece74d33","TCGA-B5-A3FB-01A")</f>
        <v>TCGA-B5-A3FB-01A</v>
      </c>
      <c r="I21588" t="s">
        <v>444</v>
      </c>
      <c r="J21588" t="s">
        <v>599</v>
      </c>
      <c r="K21588" t="s">
        <v>33</v>
      </c>
      <c r="L21588" t="s">
        <v>600</v>
      </c>
      <c r="N21588" t="s">
        <v>29</v>
      </c>
    </row>
    <row r="21589" spans="1:14">
      <c r="A21589" s="4" t="str">
        <f t="shared" si="1430"/>
        <v>EXP00452</v>
      </c>
      <c r="B21589" s="3" t="s">
        <v>66</v>
      </c>
      <c r="C21589" s="4" t="str">
        <f t="shared" si="1429"/>
        <v>TCGA-UCEC</v>
      </c>
      <c r="D21589" s="1" t="s">
        <v>493</v>
      </c>
      <c r="E21589" t="s">
        <v>601</v>
      </c>
      <c r="F21589" s="1">
        <v>2</v>
      </c>
      <c r="G21589" s="1" t="s">
        <v>28</v>
      </c>
      <c r="H21589" s="4" t="str">
        <f>HYPERLINK("https://portal.gdc.cancer.gov/cases/ec2040a3-788b-4f2c-a093-c5c4b3dc4b6c","TCGA-B5-A3FC-01A")</f>
        <v>TCGA-B5-A3FC-01A</v>
      </c>
      <c r="I21589" t="s">
        <v>444</v>
      </c>
      <c r="J21589" t="s">
        <v>599</v>
      </c>
      <c r="K21589" t="s">
        <v>33</v>
      </c>
      <c r="L21589" t="s">
        <v>600</v>
      </c>
      <c r="N21589" t="s">
        <v>29</v>
      </c>
    </row>
    <row r="21590" spans="1:14">
      <c r="A21590" s="4" t="str">
        <f t="shared" si="1430"/>
        <v>EXP00452</v>
      </c>
      <c r="B21590" s="3" t="s">
        <v>66</v>
      </c>
      <c r="C21590" s="4" t="str">
        <f t="shared" si="1429"/>
        <v>TCGA-UCEC</v>
      </c>
      <c r="D21590" s="1" t="s">
        <v>493</v>
      </c>
      <c r="E21590" t="s">
        <v>601</v>
      </c>
      <c r="F21590" s="1">
        <v>2</v>
      </c>
      <c r="G21590" s="1" t="s">
        <v>28</v>
      </c>
      <c r="H21590" s="4" t="str">
        <f>HYPERLINK("https://portal.gdc.cancer.gov/cases/eeb327b4-b705-4161-ba94-647f0e14f5b4","TCGA-B5-A3FD-01A")</f>
        <v>TCGA-B5-A3FD-01A</v>
      </c>
      <c r="I21590" t="s">
        <v>444</v>
      </c>
      <c r="J21590" t="s">
        <v>599</v>
      </c>
      <c r="K21590" t="s">
        <v>33</v>
      </c>
      <c r="L21590" t="s">
        <v>600</v>
      </c>
      <c r="N21590" t="s">
        <v>29</v>
      </c>
    </row>
    <row r="21591" spans="1:14">
      <c r="A21591" s="4" t="str">
        <f t="shared" si="1430"/>
        <v>EXP00452</v>
      </c>
      <c r="B21591" s="3" t="s">
        <v>66</v>
      </c>
      <c r="C21591" s="4" t="str">
        <f t="shared" si="1429"/>
        <v>TCGA-UCEC</v>
      </c>
      <c r="D21591" s="1" t="s">
        <v>493</v>
      </c>
      <c r="E21591" t="s">
        <v>601</v>
      </c>
      <c r="F21591" s="1">
        <v>2</v>
      </c>
      <c r="G21591" s="1" t="s">
        <v>28</v>
      </c>
      <c r="H21591" s="4" t="str">
        <f>HYPERLINK("https://portal.gdc.cancer.gov/cases/139e2c5a-cc0c-43a2-b30e-b8ac17c0b5f2","TCGA-B5-A3FH-01A")</f>
        <v>TCGA-B5-A3FH-01A</v>
      </c>
      <c r="I21591" t="s">
        <v>444</v>
      </c>
      <c r="J21591" t="s">
        <v>599</v>
      </c>
      <c r="K21591" t="s">
        <v>33</v>
      </c>
      <c r="L21591" t="s">
        <v>600</v>
      </c>
      <c r="N21591" t="s">
        <v>29</v>
      </c>
    </row>
    <row r="21592" spans="1:14">
      <c r="A21592" s="4" t="str">
        <f t="shared" si="1430"/>
        <v>EXP00452</v>
      </c>
      <c r="B21592" s="3" t="s">
        <v>66</v>
      </c>
      <c r="C21592" s="4" t="str">
        <f t="shared" si="1429"/>
        <v>TCGA-UCEC</v>
      </c>
      <c r="D21592" s="1" t="s">
        <v>493</v>
      </c>
      <c r="E21592" t="s">
        <v>601</v>
      </c>
      <c r="F21592" s="1">
        <v>2</v>
      </c>
      <c r="G21592" s="1" t="s">
        <v>28</v>
      </c>
      <c r="H21592" s="4" t="str">
        <f>HYPERLINK("https://portal.gdc.cancer.gov/cases/3789ae3f-286b-42f0-a805-320ad69ea1df","TCGA-B5-A3S1-01A")</f>
        <v>TCGA-B5-A3S1-01A</v>
      </c>
      <c r="I21592" t="s">
        <v>444</v>
      </c>
      <c r="J21592" t="s">
        <v>599</v>
      </c>
      <c r="K21592" t="s">
        <v>33</v>
      </c>
      <c r="L21592" t="s">
        <v>600</v>
      </c>
      <c r="N21592" t="s">
        <v>29</v>
      </c>
    </row>
    <row r="21593" spans="1:14">
      <c r="A21593" s="4" t="str">
        <f t="shared" si="1430"/>
        <v>EXP00452</v>
      </c>
      <c r="B21593" s="3" t="s">
        <v>66</v>
      </c>
      <c r="C21593" s="4" t="str">
        <f t="shared" si="1429"/>
        <v>TCGA-UCEC</v>
      </c>
      <c r="D21593" s="1" t="s">
        <v>493</v>
      </c>
      <c r="E21593" t="s">
        <v>601</v>
      </c>
      <c r="F21593" s="1">
        <v>2</v>
      </c>
      <c r="G21593" s="1" t="s">
        <v>28</v>
      </c>
      <c r="H21593" s="4" t="str">
        <f>HYPERLINK("https://portal.gdc.cancer.gov/cases/ae8a4958-5407-4c01-93c3-8090862533ae","TCGA-B5-A5OC-01A")</f>
        <v>TCGA-B5-A5OC-01A</v>
      </c>
      <c r="I21593" t="s">
        <v>444</v>
      </c>
      <c r="J21593" t="s">
        <v>599</v>
      </c>
      <c r="K21593" t="s">
        <v>33</v>
      </c>
      <c r="L21593" t="s">
        <v>600</v>
      </c>
      <c r="N21593" t="s">
        <v>29</v>
      </c>
    </row>
    <row r="21594" spans="1:14">
      <c r="A21594" s="4" t="str">
        <f t="shared" si="1430"/>
        <v>EXP00452</v>
      </c>
      <c r="B21594" s="3" t="s">
        <v>66</v>
      </c>
      <c r="C21594" s="4" t="str">
        <f t="shared" si="1429"/>
        <v>TCGA-UCEC</v>
      </c>
      <c r="D21594" s="1" t="s">
        <v>493</v>
      </c>
      <c r="E21594" t="s">
        <v>601</v>
      </c>
      <c r="F21594" s="1">
        <v>2</v>
      </c>
      <c r="G21594" s="1" t="s">
        <v>28</v>
      </c>
      <c r="H21594" s="4" t="str">
        <f>HYPERLINK("https://portal.gdc.cancer.gov/cases/3e240dc0-80b7-41ea-81b3-33ece2753c2b","TCGA-B5-A5OD-01A")</f>
        <v>TCGA-B5-A5OD-01A</v>
      </c>
      <c r="I21594" t="s">
        <v>444</v>
      </c>
      <c r="J21594" t="s">
        <v>599</v>
      </c>
      <c r="K21594" t="s">
        <v>33</v>
      </c>
      <c r="L21594" t="s">
        <v>600</v>
      </c>
      <c r="N21594" t="s">
        <v>29</v>
      </c>
    </row>
    <row r="21595" spans="1:14">
      <c r="A21595" s="4" t="str">
        <f t="shared" si="1430"/>
        <v>EXP00452</v>
      </c>
      <c r="B21595" s="3" t="s">
        <v>66</v>
      </c>
      <c r="C21595" s="4" t="str">
        <f t="shared" si="1429"/>
        <v>TCGA-UCEC</v>
      </c>
      <c r="D21595" s="1" t="s">
        <v>493</v>
      </c>
      <c r="E21595" t="s">
        <v>601</v>
      </c>
      <c r="F21595" s="1">
        <v>2</v>
      </c>
      <c r="G21595" s="1" t="s">
        <v>28</v>
      </c>
      <c r="H21595" s="4" t="str">
        <f>HYPERLINK("https://portal.gdc.cancer.gov/cases/d5ee39e8-a1d2-4244-9c38-07d7c5c1baba","TCGA-B5-A5OE-01A")</f>
        <v>TCGA-B5-A5OE-01A</v>
      </c>
      <c r="I21595" t="s">
        <v>444</v>
      </c>
      <c r="J21595" t="s">
        <v>599</v>
      </c>
      <c r="K21595" t="s">
        <v>33</v>
      </c>
      <c r="L21595" t="s">
        <v>600</v>
      </c>
      <c r="N21595" t="s">
        <v>29</v>
      </c>
    </row>
    <row r="21596" spans="1:14">
      <c r="A21596" s="4" t="str">
        <f t="shared" si="1430"/>
        <v>EXP00452</v>
      </c>
      <c r="B21596" s="3" t="s">
        <v>66</v>
      </c>
      <c r="C21596" s="4" t="str">
        <f t="shared" si="1429"/>
        <v>TCGA-UCEC</v>
      </c>
      <c r="D21596" s="1" t="s">
        <v>493</v>
      </c>
      <c r="E21596" t="s">
        <v>601</v>
      </c>
      <c r="F21596" s="1">
        <v>2</v>
      </c>
      <c r="G21596" s="1" t="s">
        <v>28</v>
      </c>
      <c r="H21596" s="4" t="str">
        <f>HYPERLINK("https://portal.gdc.cancer.gov/cases/68181bc9-aa8b-44ec-8601-564b30ea0561","TCGA-BG-A0LW-01A")</f>
        <v>TCGA-BG-A0LW-01A</v>
      </c>
      <c r="I21596" t="s">
        <v>444</v>
      </c>
      <c r="J21596" t="s">
        <v>599</v>
      </c>
      <c r="K21596" t="s">
        <v>33</v>
      </c>
      <c r="L21596" t="s">
        <v>600</v>
      </c>
      <c r="N21596" t="s">
        <v>29</v>
      </c>
    </row>
    <row r="21597" spans="1:14">
      <c r="A21597" s="4" t="str">
        <f t="shared" si="1430"/>
        <v>EXP00452</v>
      </c>
      <c r="B21597" s="3" t="s">
        <v>66</v>
      </c>
      <c r="C21597" s="4" t="str">
        <f t="shared" si="1429"/>
        <v>TCGA-UCEC</v>
      </c>
      <c r="D21597" s="1" t="s">
        <v>493</v>
      </c>
      <c r="E21597" t="s">
        <v>601</v>
      </c>
      <c r="F21597" s="1">
        <v>2</v>
      </c>
      <c r="G21597" s="1" t="s">
        <v>28</v>
      </c>
      <c r="H21597" s="4" t="str">
        <f>HYPERLINK("https://portal.gdc.cancer.gov/cases/ac1d3946-fe6c-4bd8-b02c-638799cb0f67","TCGA-BG-A0LX-01A")</f>
        <v>TCGA-BG-A0LX-01A</v>
      </c>
      <c r="I21597" t="s">
        <v>444</v>
      </c>
      <c r="J21597" t="s">
        <v>599</v>
      </c>
      <c r="K21597" t="s">
        <v>33</v>
      </c>
      <c r="L21597" t="s">
        <v>600</v>
      </c>
      <c r="N21597" t="s">
        <v>29</v>
      </c>
    </row>
    <row r="21598" spans="1:14">
      <c r="A21598" s="4" t="str">
        <f t="shared" si="1430"/>
        <v>EXP00452</v>
      </c>
      <c r="B21598" s="3" t="s">
        <v>66</v>
      </c>
      <c r="C21598" s="4" t="str">
        <f t="shared" si="1429"/>
        <v>TCGA-UCEC</v>
      </c>
      <c r="D21598" s="1" t="s">
        <v>493</v>
      </c>
      <c r="E21598" t="s">
        <v>601</v>
      </c>
      <c r="F21598" s="1">
        <v>2</v>
      </c>
      <c r="G21598" s="1" t="s">
        <v>28</v>
      </c>
      <c r="H21598" s="4" t="str">
        <f>HYPERLINK("https://portal.gdc.cancer.gov/cases/8bf0b156-6eb4-45e8-9cbb-0979efbea898","TCGA-BG-A0M0-01A")</f>
        <v>TCGA-BG-A0M0-01A</v>
      </c>
      <c r="I21598" t="s">
        <v>444</v>
      </c>
      <c r="J21598" t="s">
        <v>599</v>
      </c>
      <c r="K21598" t="s">
        <v>33</v>
      </c>
      <c r="L21598" t="s">
        <v>600</v>
      </c>
      <c r="N21598" t="s">
        <v>29</v>
      </c>
    </row>
    <row r="21599" spans="1:14">
      <c r="A21599" s="4" t="str">
        <f t="shared" si="1430"/>
        <v>EXP00452</v>
      </c>
      <c r="B21599" s="3" t="s">
        <v>66</v>
      </c>
      <c r="C21599" s="4" t="str">
        <f t="shared" si="1429"/>
        <v>TCGA-UCEC</v>
      </c>
      <c r="D21599" s="1" t="s">
        <v>493</v>
      </c>
      <c r="E21599" t="s">
        <v>601</v>
      </c>
      <c r="F21599" s="1">
        <v>2</v>
      </c>
      <c r="G21599" s="1" t="s">
        <v>28</v>
      </c>
      <c r="H21599" s="4" t="str">
        <f>HYPERLINK("https://portal.gdc.cancer.gov/cases/9731e0b3-c62d-43cb-8ae7-8f973d69ab19","TCGA-BG-A0M2-01A")</f>
        <v>TCGA-BG-A0M2-01A</v>
      </c>
      <c r="I21599" t="s">
        <v>444</v>
      </c>
      <c r="J21599" t="s">
        <v>599</v>
      </c>
      <c r="K21599" t="s">
        <v>33</v>
      </c>
      <c r="L21599" t="s">
        <v>600</v>
      </c>
      <c r="N21599" t="s">
        <v>29</v>
      </c>
    </row>
    <row r="21600" spans="1:14">
      <c r="A21600" s="4" t="str">
        <f t="shared" si="1430"/>
        <v>EXP00452</v>
      </c>
      <c r="B21600" s="3" t="s">
        <v>66</v>
      </c>
      <c r="C21600" s="4" t="str">
        <f t="shared" si="1429"/>
        <v>TCGA-UCEC</v>
      </c>
      <c r="D21600" s="1" t="s">
        <v>493</v>
      </c>
      <c r="E21600" t="s">
        <v>601</v>
      </c>
      <c r="F21600" s="1">
        <v>2</v>
      </c>
      <c r="G21600" s="1" t="s">
        <v>28</v>
      </c>
      <c r="H21600" s="4" t="str">
        <f>HYPERLINK("https://portal.gdc.cancer.gov/cases/8bdd4e0e-5bec-43f2-b9fa-d6e94a72fe05","TCGA-BG-A0M3-01A")</f>
        <v>TCGA-BG-A0M3-01A</v>
      </c>
      <c r="I21600" t="s">
        <v>444</v>
      </c>
      <c r="J21600" t="s">
        <v>599</v>
      </c>
      <c r="K21600" t="s">
        <v>33</v>
      </c>
      <c r="L21600" t="s">
        <v>600</v>
      </c>
      <c r="N21600" t="s">
        <v>29</v>
      </c>
    </row>
    <row r="21601" spans="1:14">
      <c r="A21601" s="4" t="str">
        <f t="shared" si="1430"/>
        <v>EXP00452</v>
      </c>
      <c r="B21601" s="3" t="s">
        <v>66</v>
      </c>
      <c r="C21601" s="4" t="str">
        <f t="shared" si="1429"/>
        <v>TCGA-UCEC</v>
      </c>
      <c r="D21601" s="1" t="s">
        <v>493</v>
      </c>
      <c r="E21601" t="s">
        <v>601</v>
      </c>
      <c r="F21601" s="1">
        <v>2</v>
      </c>
      <c r="G21601" s="1" t="s">
        <v>28</v>
      </c>
      <c r="H21601" s="4" t="str">
        <f>HYPERLINK("https://portal.gdc.cancer.gov/cases/73e5310d-ba8c-4cbc-aa4f-e06206f898f4","TCGA-BG-A0M4-01A")</f>
        <v>TCGA-BG-A0M4-01A</v>
      </c>
      <c r="I21601" t="s">
        <v>444</v>
      </c>
      <c r="J21601" t="s">
        <v>599</v>
      </c>
      <c r="K21601" t="s">
        <v>33</v>
      </c>
      <c r="L21601" t="s">
        <v>600</v>
      </c>
      <c r="N21601" t="s">
        <v>29</v>
      </c>
    </row>
    <row r="21602" spans="1:14">
      <c r="A21602" s="4" t="str">
        <f t="shared" si="1430"/>
        <v>EXP00452</v>
      </c>
      <c r="B21602" s="3" t="s">
        <v>66</v>
      </c>
      <c r="C21602" s="4" t="str">
        <f t="shared" si="1429"/>
        <v>TCGA-UCEC</v>
      </c>
      <c r="D21602" s="1" t="s">
        <v>493</v>
      </c>
      <c r="E21602" t="s">
        <v>601</v>
      </c>
      <c r="F21602" s="1">
        <v>2</v>
      </c>
      <c r="G21602" s="1" t="s">
        <v>28</v>
      </c>
      <c r="H21602" s="4" t="str">
        <f>HYPERLINK("https://portal.gdc.cancer.gov/cases/002724fa-7051-49fa-9c58-4bcb7eba4ac6","TCGA-BG-A0M6-01A")</f>
        <v>TCGA-BG-A0M6-01A</v>
      </c>
      <c r="I21602" t="s">
        <v>444</v>
      </c>
      <c r="J21602" t="s">
        <v>599</v>
      </c>
      <c r="K21602" t="s">
        <v>33</v>
      </c>
      <c r="L21602" t="s">
        <v>600</v>
      </c>
      <c r="N21602" t="s">
        <v>29</v>
      </c>
    </row>
    <row r="21603" spans="1:14">
      <c r="A21603" s="4" t="str">
        <f t="shared" si="1430"/>
        <v>EXP00452</v>
      </c>
      <c r="B21603" s="3" t="s">
        <v>66</v>
      </c>
      <c r="C21603" s="4" t="str">
        <f t="shared" si="1429"/>
        <v>TCGA-UCEC</v>
      </c>
      <c r="D21603" s="1" t="s">
        <v>493</v>
      </c>
      <c r="E21603" t="s">
        <v>601</v>
      </c>
      <c r="F21603" s="1">
        <v>2</v>
      </c>
      <c r="G21603" s="1" t="s">
        <v>28</v>
      </c>
      <c r="H21603" s="4" t="str">
        <f>HYPERLINK("https://portal.gdc.cancer.gov/cases/1d9c2113-ddcb-4440-89c3-cd21cee6d401","TCGA-BG-A0M7-01A")</f>
        <v>TCGA-BG-A0M7-01A</v>
      </c>
      <c r="I21603" t="s">
        <v>444</v>
      </c>
      <c r="J21603" t="s">
        <v>599</v>
      </c>
      <c r="K21603" t="s">
        <v>33</v>
      </c>
      <c r="L21603" t="s">
        <v>600</v>
      </c>
      <c r="N21603" t="s">
        <v>29</v>
      </c>
    </row>
    <row r="21604" spans="1:14">
      <c r="A21604" s="4" t="str">
        <f t="shared" si="1430"/>
        <v>EXP00452</v>
      </c>
      <c r="B21604" s="3" t="s">
        <v>66</v>
      </c>
      <c r="C21604" s="4" t="str">
        <f t="shared" si="1429"/>
        <v>TCGA-UCEC</v>
      </c>
      <c r="D21604" s="1" t="s">
        <v>493</v>
      </c>
      <c r="E21604" t="s">
        <v>601</v>
      </c>
      <c r="F21604" s="1">
        <v>2</v>
      </c>
      <c r="G21604" s="1" t="s">
        <v>28</v>
      </c>
      <c r="H21604" s="4" t="str">
        <f>HYPERLINK("https://portal.gdc.cancer.gov/cases/e055db71-f3da-43d3-a9b2-2f65dfb23d3e","TCGA-BG-A0M8-01A")</f>
        <v>TCGA-BG-A0M8-01A</v>
      </c>
      <c r="I21604" t="s">
        <v>444</v>
      </c>
      <c r="J21604" t="s">
        <v>599</v>
      </c>
      <c r="K21604" t="s">
        <v>33</v>
      </c>
      <c r="L21604" t="s">
        <v>600</v>
      </c>
      <c r="N21604" t="s">
        <v>29</v>
      </c>
    </row>
    <row r="21605" spans="1:14">
      <c r="A21605" s="4" t="str">
        <f t="shared" si="1430"/>
        <v>EXP00452</v>
      </c>
      <c r="B21605" s="3" t="s">
        <v>66</v>
      </c>
      <c r="C21605" s="4" t="str">
        <f t="shared" si="1429"/>
        <v>TCGA-UCEC</v>
      </c>
      <c r="D21605" s="1" t="s">
        <v>493</v>
      </c>
      <c r="E21605" t="s">
        <v>601</v>
      </c>
      <c r="F21605" s="1">
        <v>2</v>
      </c>
      <c r="G21605" s="1" t="s">
        <v>28</v>
      </c>
      <c r="H21605" s="4" t="str">
        <f>HYPERLINK("https://portal.gdc.cancer.gov/cases/4fd1cb59-6c50-4355-9d37-a341e1f4fad9","TCGA-BG-A0M9-01A")</f>
        <v>TCGA-BG-A0M9-01A</v>
      </c>
      <c r="I21605" t="s">
        <v>444</v>
      </c>
      <c r="J21605" t="s">
        <v>599</v>
      </c>
      <c r="K21605" t="s">
        <v>33</v>
      </c>
      <c r="L21605" t="s">
        <v>600</v>
      </c>
      <c r="N21605" t="s">
        <v>29</v>
      </c>
    </row>
    <row r="21606" spans="1:14">
      <c r="A21606" s="4" t="str">
        <f t="shared" si="1430"/>
        <v>EXP00452</v>
      </c>
      <c r="B21606" s="3" t="s">
        <v>66</v>
      </c>
      <c r="C21606" s="4" t="str">
        <f t="shared" si="1429"/>
        <v>TCGA-UCEC</v>
      </c>
      <c r="D21606" s="1" t="s">
        <v>493</v>
      </c>
      <c r="E21606" t="s">
        <v>601</v>
      </c>
      <c r="F21606" s="1">
        <v>2</v>
      </c>
      <c r="G21606" s="1" t="s">
        <v>28</v>
      </c>
      <c r="H21606" s="4" t="str">
        <f>HYPERLINK("https://portal.gdc.cancer.gov/cases/f85bc60b-ab07-4b24-820b-6860b198e910","TCGA-BG-A0MA-01A")</f>
        <v>TCGA-BG-A0MA-01A</v>
      </c>
      <c r="I21606" t="s">
        <v>444</v>
      </c>
      <c r="J21606" t="s">
        <v>599</v>
      </c>
      <c r="K21606" t="s">
        <v>33</v>
      </c>
      <c r="L21606" t="s">
        <v>600</v>
      </c>
      <c r="N21606" t="s">
        <v>29</v>
      </c>
    </row>
    <row r="21607" spans="1:14">
      <c r="A21607" s="4" t="str">
        <f t="shared" si="1430"/>
        <v>EXP00452</v>
      </c>
      <c r="B21607" s="3" t="s">
        <v>66</v>
      </c>
      <c r="C21607" s="4" t="str">
        <f t="shared" si="1429"/>
        <v>TCGA-UCEC</v>
      </c>
      <c r="D21607" s="1" t="s">
        <v>493</v>
      </c>
      <c r="E21607" t="s">
        <v>601</v>
      </c>
      <c r="F21607" s="1">
        <v>2</v>
      </c>
      <c r="G21607" s="1" t="s">
        <v>28</v>
      </c>
      <c r="H21607" s="4" t="str">
        <f>HYPERLINK("https://portal.gdc.cancer.gov/cases/884fd57d-bd8e-40e7-82f6-0ba1c71101a9","TCGA-BG-A0MC-01A")</f>
        <v>TCGA-BG-A0MC-01A</v>
      </c>
      <c r="I21607" t="s">
        <v>444</v>
      </c>
      <c r="J21607" t="s">
        <v>599</v>
      </c>
      <c r="K21607" t="s">
        <v>33</v>
      </c>
      <c r="L21607" t="s">
        <v>600</v>
      </c>
      <c r="N21607" t="s">
        <v>29</v>
      </c>
    </row>
    <row r="21608" spans="1:14">
      <c r="A21608" s="4" t="str">
        <f t="shared" si="1430"/>
        <v>EXP00452</v>
      </c>
      <c r="B21608" s="3" t="s">
        <v>66</v>
      </c>
      <c r="C21608" s="4" t="str">
        <f t="shared" si="1429"/>
        <v>TCGA-UCEC</v>
      </c>
      <c r="D21608" s="1" t="s">
        <v>493</v>
      </c>
      <c r="E21608" t="s">
        <v>601</v>
      </c>
      <c r="F21608" s="1">
        <v>2</v>
      </c>
      <c r="G21608" s="1" t="s">
        <v>28</v>
      </c>
      <c r="H21608" s="4" t="str">
        <f>HYPERLINK("https://portal.gdc.cancer.gov/cases/9cde90c8-2be0-4328-a032-ff1dc19e66fd","TCGA-BG-A0MG-01A")</f>
        <v>TCGA-BG-A0MG-01A</v>
      </c>
      <c r="I21608" t="s">
        <v>444</v>
      </c>
      <c r="J21608" t="s">
        <v>599</v>
      </c>
      <c r="K21608" t="s">
        <v>33</v>
      </c>
      <c r="L21608" t="s">
        <v>600</v>
      </c>
      <c r="N21608" t="s">
        <v>29</v>
      </c>
    </row>
    <row r="21609" spans="1:14">
      <c r="A21609" s="4" t="str">
        <f t="shared" si="1430"/>
        <v>EXP00452</v>
      </c>
      <c r="B21609" s="3" t="s">
        <v>66</v>
      </c>
      <c r="C21609" s="4" t="str">
        <f t="shared" si="1429"/>
        <v>TCGA-UCEC</v>
      </c>
      <c r="D21609" s="1" t="s">
        <v>493</v>
      </c>
      <c r="E21609" t="s">
        <v>601</v>
      </c>
      <c r="F21609" s="1">
        <v>2</v>
      </c>
      <c r="G21609" s="1" t="s">
        <v>28</v>
      </c>
      <c r="H21609" s="4" t="str">
        <f>HYPERLINK("https://portal.gdc.cancer.gov/cases/bfac45a6-fa01-4edb-9807-6898ea82e80e","TCGA-BG-A0MH-01A")</f>
        <v>TCGA-BG-A0MH-01A</v>
      </c>
      <c r="I21609" t="s">
        <v>444</v>
      </c>
      <c r="J21609" t="s">
        <v>599</v>
      </c>
      <c r="K21609" t="s">
        <v>33</v>
      </c>
      <c r="L21609" t="s">
        <v>600</v>
      </c>
      <c r="N21609" t="s">
        <v>29</v>
      </c>
    </row>
    <row r="21610" spans="1:14">
      <c r="A21610" s="4" t="str">
        <f t="shared" si="1430"/>
        <v>EXP00452</v>
      </c>
      <c r="B21610" s="3" t="s">
        <v>66</v>
      </c>
      <c r="C21610" s="4" t="str">
        <f t="shared" si="1429"/>
        <v>TCGA-UCEC</v>
      </c>
      <c r="D21610" s="1" t="s">
        <v>493</v>
      </c>
      <c r="E21610" t="s">
        <v>601</v>
      </c>
      <c r="F21610" s="1">
        <v>2</v>
      </c>
      <c r="G21610" s="1" t="s">
        <v>28</v>
      </c>
      <c r="H21610" s="4" t="str">
        <f>HYPERLINK("https://portal.gdc.cancer.gov/cases/b8588e0f-aad6-4ded-845e-3cff67a48d8f","TCGA-BG-A0MI-01A")</f>
        <v>TCGA-BG-A0MI-01A</v>
      </c>
      <c r="I21610" t="s">
        <v>444</v>
      </c>
      <c r="J21610" t="s">
        <v>599</v>
      </c>
      <c r="K21610" t="s">
        <v>33</v>
      </c>
      <c r="L21610" t="s">
        <v>600</v>
      </c>
      <c r="N21610" t="s">
        <v>29</v>
      </c>
    </row>
    <row r="21611" spans="1:14">
      <c r="A21611" s="4" t="str">
        <f t="shared" si="1430"/>
        <v>EXP00452</v>
      </c>
      <c r="B21611" s="3" t="s">
        <v>66</v>
      </c>
      <c r="C21611" s="4" t="str">
        <f t="shared" si="1429"/>
        <v>TCGA-UCEC</v>
      </c>
      <c r="D21611" s="1" t="s">
        <v>493</v>
      </c>
      <c r="E21611" t="s">
        <v>601</v>
      </c>
      <c r="F21611" s="1">
        <v>2</v>
      </c>
      <c r="G21611" s="1" t="s">
        <v>28</v>
      </c>
      <c r="H21611" s="4" t="str">
        <f>HYPERLINK("https://portal.gdc.cancer.gov/cases/1f9b1b71-8753-4cd5-a585-708bea8ff1fa","TCGA-BG-A0MK-01A")</f>
        <v>TCGA-BG-A0MK-01A</v>
      </c>
      <c r="I21611" t="s">
        <v>444</v>
      </c>
      <c r="J21611" t="s">
        <v>599</v>
      </c>
      <c r="K21611" t="s">
        <v>33</v>
      </c>
      <c r="L21611" t="s">
        <v>600</v>
      </c>
      <c r="N21611" t="s">
        <v>29</v>
      </c>
    </row>
    <row r="21612" spans="1:14">
      <c r="A21612" s="4" t="str">
        <f t="shared" si="1430"/>
        <v>EXP00452</v>
      </c>
      <c r="B21612" s="3" t="s">
        <v>66</v>
      </c>
      <c r="C21612" s="4" t="str">
        <f t="shared" si="1429"/>
        <v>TCGA-UCEC</v>
      </c>
      <c r="D21612" s="1" t="s">
        <v>493</v>
      </c>
      <c r="E21612" t="s">
        <v>601</v>
      </c>
      <c r="F21612" s="1">
        <v>2</v>
      </c>
      <c r="G21612" s="1" t="s">
        <v>28</v>
      </c>
      <c r="H21612" s="4" t="str">
        <f>HYPERLINK("https://portal.gdc.cancer.gov/cases/734ef97f-807c-480e-8df9-feaf041032d2","TCGA-BG-A0MO-01A")</f>
        <v>TCGA-BG-A0MO-01A</v>
      </c>
      <c r="I21612" t="s">
        <v>444</v>
      </c>
      <c r="J21612" t="s">
        <v>599</v>
      </c>
      <c r="K21612" t="s">
        <v>33</v>
      </c>
      <c r="L21612" t="s">
        <v>600</v>
      </c>
      <c r="N21612" t="s">
        <v>29</v>
      </c>
    </row>
    <row r="21613" spans="1:14">
      <c r="A21613" s="4" t="str">
        <f t="shared" si="1430"/>
        <v>EXP00452</v>
      </c>
      <c r="B21613" s="3" t="s">
        <v>66</v>
      </c>
      <c r="C21613" s="4" t="str">
        <f t="shared" si="1429"/>
        <v>TCGA-UCEC</v>
      </c>
      <c r="D21613" s="1" t="s">
        <v>493</v>
      </c>
      <c r="E21613" t="s">
        <v>601</v>
      </c>
      <c r="F21613" s="1">
        <v>2</v>
      </c>
      <c r="G21613" s="1" t="s">
        <v>28</v>
      </c>
      <c r="H21613" s="4" t="str">
        <f>HYPERLINK("https://portal.gdc.cancer.gov/cases/12d36a1d-9922-4311-bbda-71f32ac2c03b","TCGA-BG-A0MQ-01A")</f>
        <v>TCGA-BG-A0MQ-01A</v>
      </c>
      <c r="I21613" t="s">
        <v>444</v>
      </c>
      <c r="J21613" t="s">
        <v>599</v>
      </c>
      <c r="K21613" t="s">
        <v>33</v>
      </c>
      <c r="L21613" t="s">
        <v>600</v>
      </c>
      <c r="N21613" t="s">
        <v>29</v>
      </c>
    </row>
    <row r="21614" spans="1:14">
      <c r="A21614" s="4" t="str">
        <f t="shared" si="1430"/>
        <v>EXP00452</v>
      </c>
      <c r="B21614" s="3" t="s">
        <v>66</v>
      </c>
      <c r="C21614" s="4" t="str">
        <f t="shared" si="1429"/>
        <v>TCGA-UCEC</v>
      </c>
      <c r="D21614" s="1" t="s">
        <v>493</v>
      </c>
      <c r="E21614" t="s">
        <v>601</v>
      </c>
      <c r="F21614" s="1">
        <v>2</v>
      </c>
      <c r="G21614" s="1" t="s">
        <v>28</v>
      </c>
      <c r="H21614" s="4" t="str">
        <f>HYPERLINK("https://portal.gdc.cancer.gov/cases/a798a8cc-4e72-4a8c-9e20-74a14deafd12","TCGA-BG-A0MS-01A")</f>
        <v>TCGA-BG-A0MS-01A</v>
      </c>
      <c r="I21614" t="s">
        <v>444</v>
      </c>
      <c r="J21614" t="s">
        <v>599</v>
      </c>
      <c r="K21614" t="s">
        <v>33</v>
      </c>
      <c r="L21614" t="s">
        <v>600</v>
      </c>
      <c r="N21614" t="s">
        <v>29</v>
      </c>
    </row>
    <row r="21615" spans="1:14">
      <c r="A21615" s="4" t="str">
        <f t="shared" si="1430"/>
        <v>EXP00452</v>
      </c>
      <c r="B21615" s="3" t="s">
        <v>66</v>
      </c>
      <c r="C21615" s="4" t="str">
        <f t="shared" si="1429"/>
        <v>TCGA-UCEC</v>
      </c>
      <c r="D21615" s="1" t="s">
        <v>493</v>
      </c>
      <c r="E21615" t="s">
        <v>601</v>
      </c>
      <c r="F21615" s="1">
        <v>2</v>
      </c>
      <c r="G21615" s="1" t="s">
        <v>28</v>
      </c>
      <c r="H21615" s="4" t="str">
        <f>HYPERLINK("https://portal.gdc.cancer.gov/cases/082e32c5-7f82-466a-b52d-a3293a8f8e57","TCGA-BG-A0MT-01A")</f>
        <v>TCGA-BG-A0MT-01A</v>
      </c>
      <c r="I21615" t="s">
        <v>444</v>
      </c>
      <c r="J21615" t="s">
        <v>599</v>
      </c>
      <c r="K21615" t="s">
        <v>33</v>
      </c>
      <c r="L21615" t="s">
        <v>600</v>
      </c>
      <c r="N21615" t="s">
        <v>29</v>
      </c>
    </row>
    <row r="21616" spans="1:14">
      <c r="A21616" s="4" t="str">
        <f t="shared" si="1430"/>
        <v>EXP00452</v>
      </c>
      <c r="B21616" s="3" t="s">
        <v>66</v>
      </c>
      <c r="C21616" s="4" t="str">
        <f t="shared" si="1429"/>
        <v>TCGA-UCEC</v>
      </c>
      <c r="D21616" s="1" t="s">
        <v>493</v>
      </c>
      <c r="E21616" t="s">
        <v>601</v>
      </c>
      <c r="F21616" s="1">
        <v>2</v>
      </c>
      <c r="G21616" s="1" t="s">
        <v>28</v>
      </c>
      <c r="H21616" s="4" t="str">
        <f>HYPERLINK("https://portal.gdc.cancer.gov/cases/a7329910-b1c7-4a18-b28e-8fad79121339","TCGA-BG-A0MU-01A")</f>
        <v>TCGA-BG-A0MU-01A</v>
      </c>
      <c r="I21616" t="s">
        <v>444</v>
      </c>
      <c r="J21616" t="s">
        <v>599</v>
      </c>
      <c r="K21616" t="s">
        <v>33</v>
      </c>
      <c r="L21616" t="s">
        <v>600</v>
      </c>
      <c r="N21616" t="s">
        <v>29</v>
      </c>
    </row>
    <row r="21617" spans="1:14">
      <c r="A21617" s="4" t="str">
        <f t="shared" si="1430"/>
        <v>EXP00452</v>
      </c>
      <c r="B21617" s="3" t="s">
        <v>66</v>
      </c>
      <c r="C21617" s="4" t="str">
        <f t="shared" si="1429"/>
        <v>TCGA-UCEC</v>
      </c>
      <c r="D21617" s="1" t="s">
        <v>493</v>
      </c>
      <c r="E21617" t="s">
        <v>601</v>
      </c>
      <c r="F21617" s="1">
        <v>2</v>
      </c>
      <c r="G21617" s="1" t="s">
        <v>28</v>
      </c>
      <c r="H21617" s="4" t="str">
        <f>HYPERLINK("https://portal.gdc.cancer.gov/cases/f299ad43-bb16-46ce-9617-48cc6c6f29e7","TCGA-BG-A0RY-01A")</f>
        <v>TCGA-BG-A0RY-01A</v>
      </c>
      <c r="I21617" t="s">
        <v>444</v>
      </c>
      <c r="J21617" t="s">
        <v>599</v>
      </c>
      <c r="K21617" t="s">
        <v>33</v>
      </c>
      <c r="L21617" t="s">
        <v>600</v>
      </c>
      <c r="N21617" t="s">
        <v>29</v>
      </c>
    </row>
    <row r="21618" spans="1:14">
      <c r="A21618" s="4" t="str">
        <f t="shared" si="1430"/>
        <v>EXP00452</v>
      </c>
      <c r="B21618" s="3" t="s">
        <v>66</v>
      </c>
      <c r="C21618" s="4" t="str">
        <f t="shared" si="1429"/>
        <v>TCGA-UCEC</v>
      </c>
      <c r="D21618" s="1" t="s">
        <v>493</v>
      </c>
      <c r="E21618" t="s">
        <v>601</v>
      </c>
      <c r="F21618" s="1">
        <v>2</v>
      </c>
      <c r="G21618" s="1" t="s">
        <v>28</v>
      </c>
      <c r="H21618" s="4" t="str">
        <f>HYPERLINK("https://portal.gdc.cancer.gov/cases/cc058b8c-df40-4f9e-88e3-3d1131b22b41","TCGA-BG-A0VT-01A")</f>
        <v>TCGA-BG-A0VT-01A</v>
      </c>
      <c r="I21618" t="s">
        <v>444</v>
      </c>
      <c r="J21618" t="s">
        <v>599</v>
      </c>
      <c r="K21618" t="s">
        <v>33</v>
      </c>
      <c r="L21618" t="s">
        <v>600</v>
      </c>
      <c r="N21618" t="s">
        <v>29</v>
      </c>
    </row>
    <row r="21619" spans="1:14">
      <c r="A21619" s="4" t="str">
        <f t="shared" si="1430"/>
        <v>EXP00452</v>
      </c>
      <c r="B21619" s="3" t="s">
        <v>66</v>
      </c>
      <c r="C21619" s="4" t="str">
        <f t="shared" si="1429"/>
        <v>TCGA-UCEC</v>
      </c>
      <c r="D21619" s="1" t="s">
        <v>493</v>
      </c>
      <c r="E21619" t="s">
        <v>601</v>
      </c>
      <c r="F21619" s="1">
        <v>2</v>
      </c>
      <c r="G21619" s="1" t="s">
        <v>28</v>
      </c>
      <c r="H21619" s="4" t="str">
        <f>HYPERLINK("https://portal.gdc.cancer.gov/cases/6164588a-d03a-46fc-82fb-a32cbaa54cac","TCGA-BG-A0VV-01A")</f>
        <v>TCGA-BG-A0VV-01A</v>
      </c>
      <c r="I21619" t="s">
        <v>444</v>
      </c>
      <c r="J21619" t="s">
        <v>599</v>
      </c>
      <c r="K21619" t="s">
        <v>33</v>
      </c>
      <c r="L21619" t="s">
        <v>600</v>
      </c>
      <c r="N21619" t="s">
        <v>29</v>
      </c>
    </row>
    <row r="21620" spans="1:14">
      <c r="A21620" s="4" t="str">
        <f t="shared" si="1430"/>
        <v>EXP00452</v>
      </c>
      <c r="B21620" s="3" t="s">
        <v>66</v>
      </c>
      <c r="C21620" s="4" t="str">
        <f t="shared" si="1429"/>
        <v>TCGA-UCEC</v>
      </c>
      <c r="D21620" s="1" t="s">
        <v>493</v>
      </c>
      <c r="E21620" t="s">
        <v>601</v>
      </c>
      <c r="F21620" s="1">
        <v>2</v>
      </c>
      <c r="G21620" s="1" t="s">
        <v>28</v>
      </c>
      <c r="H21620" s="4" t="str">
        <f>HYPERLINK("https://portal.gdc.cancer.gov/cases/62d71839-4fba-42e9-9929-8d937f0fe287","TCGA-BG-A0VW-01A")</f>
        <v>TCGA-BG-A0VW-01A</v>
      </c>
      <c r="I21620" t="s">
        <v>444</v>
      </c>
      <c r="J21620" t="s">
        <v>599</v>
      </c>
      <c r="K21620" t="s">
        <v>33</v>
      </c>
      <c r="L21620" t="s">
        <v>600</v>
      </c>
      <c r="N21620" t="s">
        <v>29</v>
      </c>
    </row>
    <row r="21621" spans="1:14">
      <c r="A21621" s="4" t="str">
        <f t="shared" si="1430"/>
        <v>EXP00452</v>
      </c>
      <c r="B21621" s="3" t="s">
        <v>66</v>
      </c>
      <c r="C21621" s="4" t="str">
        <f t="shared" ref="C21621:C21684" si="1431">HYPERLINK("https://portal.gdc.cancer.gov/projects/TCGA-UCEC","TCGA-UCEC")</f>
        <v>TCGA-UCEC</v>
      </c>
      <c r="D21621" s="1" t="s">
        <v>493</v>
      </c>
      <c r="E21621" t="s">
        <v>601</v>
      </c>
      <c r="F21621" s="1">
        <v>2</v>
      </c>
      <c r="G21621" s="1" t="s">
        <v>28</v>
      </c>
      <c r="H21621" s="4" t="str">
        <f>HYPERLINK("https://portal.gdc.cancer.gov/cases/6c2a0f37-49cd-4fd0-b126-58b35f9121df","TCGA-BG-A0VX-01A")</f>
        <v>TCGA-BG-A0VX-01A</v>
      </c>
      <c r="I21621" t="s">
        <v>444</v>
      </c>
      <c r="J21621" t="s">
        <v>599</v>
      </c>
      <c r="K21621" t="s">
        <v>33</v>
      </c>
      <c r="L21621" t="s">
        <v>600</v>
      </c>
      <c r="N21621" t="s">
        <v>29</v>
      </c>
    </row>
    <row r="21622" spans="1:14">
      <c r="A21622" s="4" t="str">
        <f t="shared" si="1430"/>
        <v>EXP00452</v>
      </c>
      <c r="B21622" s="3" t="s">
        <v>66</v>
      </c>
      <c r="C21622" s="4" t="str">
        <f t="shared" si="1431"/>
        <v>TCGA-UCEC</v>
      </c>
      <c r="D21622" s="1" t="s">
        <v>493</v>
      </c>
      <c r="E21622" t="s">
        <v>601</v>
      </c>
      <c r="F21622" s="1">
        <v>2</v>
      </c>
      <c r="G21622" s="1" t="s">
        <v>28</v>
      </c>
      <c r="H21622" s="4" t="str">
        <f>HYPERLINK("https://portal.gdc.cancer.gov/cases/edee2bf5-284c-4d77-823a-d037fe4c4b9e","TCGA-BG-A0VZ-01A")</f>
        <v>TCGA-BG-A0VZ-01A</v>
      </c>
      <c r="I21622" t="s">
        <v>444</v>
      </c>
      <c r="J21622" t="s">
        <v>599</v>
      </c>
      <c r="K21622" t="s">
        <v>33</v>
      </c>
      <c r="L21622" t="s">
        <v>600</v>
      </c>
      <c r="N21622" t="s">
        <v>29</v>
      </c>
    </row>
    <row r="21623" spans="1:14">
      <c r="A21623" s="4" t="str">
        <f t="shared" si="1430"/>
        <v>EXP00452</v>
      </c>
      <c r="B21623" s="3" t="s">
        <v>66</v>
      </c>
      <c r="C21623" s="4" t="str">
        <f t="shared" si="1431"/>
        <v>TCGA-UCEC</v>
      </c>
      <c r="D21623" s="1" t="s">
        <v>493</v>
      </c>
      <c r="E21623" t="s">
        <v>601</v>
      </c>
      <c r="F21623" s="1">
        <v>2</v>
      </c>
      <c r="G21623" s="1" t="s">
        <v>28</v>
      </c>
      <c r="H21623" s="4" t="str">
        <f>HYPERLINK("https://portal.gdc.cancer.gov/cases/2d750c67-24a2-4b12-b4f2-dbd65f2f27f0","TCGA-BG-A0W1-01A")</f>
        <v>TCGA-BG-A0W1-01A</v>
      </c>
      <c r="I21623" t="s">
        <v>444</v>
      </c>
      <c r="J21623" t="s">
        <v>599</v>
      </c>
      <c r="K21623" t="s">
        <v>33</v>
      </c>
      <c r="L21623" t="s">
        <v>600</v>
      </c>
      <c r="N21623" t="s">
        <v>29</v>
      </c>
    </row>
    <row r="21624" spans="1:14">
      <c r="A21624" s="4" t="str">
        <f t="shared" si="1430"/>
        <v>EXP00452</v>
      </c>
      <c r="B21624" s="3" t="s">
        <v>66</v>
      </c>
      <c r="C21624" s="4" t="str">
        <f t="shared" si="1431"/>
        <v>TCGA-UCEC</v>
      </c>
      <c r="D21624" s="1" t="s">
        <v>493</v>
      </c>
      <c r="E21624" t="s">
        <v>601</v>
      </c>
      <c r="F21624" s="1">
        <v>2</v>
      </c>
      <c r="G21624" s="1" t="s">
        <v>28</v>
      </c>
      <c r="H21624" s="4" t="str">
        <f>HYPERLINK("https://portal.gdc.cancer.gov/cases/f47df5f9-7c60-4b1a-b574-7036245af341","TCGA-BG-A0W2-01A")</f>
        <v>TCGA-BG-A0W2-01A</v>
      </c>
      <c r="I21624" t="s">
        <v>444</v>
      </c>
      <c r="J21624" t="s">
        <v>599</v>
      </c>
      <c r="K21624" t="s">
        <v>33</v>
      </c>
      <c r="L21624" t="s">
        <v>600</v>
      </c>
      <c r="N21624" t="s">
        <v>29</v>
      </c>
    </row>
    <row r="21625" spans="1:14">
      <c r="A21625" s="4" t="str">
        <f t="shared" si="1430"/>
        <v>EXP00452</v>
      </c>
      <c r="B21625" s="3" t="s">
        <v>66</v>
      </c>
      <c r="C21625" s="4" t="str">
        <f t="shared" si="1431"/>
        <v>TCGA-UCEC</v>
      </c>
      <c r="D21625" s="1" t="s">
        <v>493</v>
      </c>
      <c r="E21625" t="s">
        <v>601</v>
      </c>
      <c r="F21625" s="1">
        <v>2</v>
      </c>
      <c r="G21625" s="1" t="s">
        <v>28</v>
      </c>
      <c r="H21625" s="4" t="str">
        <f>HYPERLINK("https://portal.gdc.cancer.gov/cases/957ac10a-7365-47b1-bbed-47e5d42fbfdf","TCGA-BG-A0YU-01A")</f>
        <v>TCGA-BG-A0YU-01A</v>
      </c>
      <c r="I21625" t="s">
        <v>444</v>
      </c>
      <c r="J21625" t="s">
        <v>599</v>
      </c>
      <c r="K21625" t="s">
        <v>33</v>
      </c>
      <c r="L21625" t="s">
        <v>600</v>
      </c>
      <c r="N21625" t="s">
        <v>29</v>
      </c>
    </row>
    <row r="21626" spans="1:14">
      <c r="A21626" s="4" t="str">
        <f t="shared" si="1430"/>
        <v>EXP00452</v>
      </c>
      <c r="B21626" s="3" t="s">
        <v>66</v>
      </c>
      <c r="C21626" s="4" t="str">
        <f t="shared" si="1431"/>
        <v>TCGA-UCEC</v>
      </c>
      <c r="D21626" s="1" t="s">
        <v>493</v>
      </c>
      <c r="E21626" t="s">
        <v>601</v>
      </c>
      <c r="F21626" s="1">
        <v>2</v>
      </c>
      <c r="G21626" s="1" t="s">
        <v>28</v>
      </c>
      <c r="H21626" s="4" t="str">
        <f>HYPERLINK("https://portal.gdc.cancer.gov/cases/d8e57746-37a1-482a-a3d3-a11bd00cdc11","TCGA-BG-A0YV-01A")</f>
        <v>TCGA-BG-A0YV-01A</v>
      </c>
      <c r="I21626" t="s">
        <v>444</v>
      </c>
      <c r="J21626" t="s">
        <v>599</v>
      </c>
      <c r="K21626" t="s">
        <v>33</v>
      </c>
      <c r="L21626" t="s">
        <v>600</v>
      </c>
      <c r="N21626" t="s">
        <v>29</v>
      </c>
    </row>
    <row r="21627" spans="1:14">
      <c r="A21627" s="4" t="str">
        <f t="shared" si="1430"/>
        <v>EXP00452</v>
      </c>
      <c r="B21627" s="3" t="s">
        <v>66</v>
      </c>
      <c r="C21627" s="4" t="str">
        <f t="shared" si="1431"/>
        <v>TCGA-UCEC</v>
      </c>
      <c r="D21627" s="1" t="s">
        <v>493</v>
      </c>
      <c r="E21627" t="s">
        <v>601</v>
      </c>
      <c r="F21627" s="1">
        <v>2</v>
      </c>
      <c r="G21627" s="1" t="s">
        <v>28</v>
      </c>
      <c r="H21627" s="4" t="str">
        <f>HYPERLINK("https://portal.gdc.cancer.gov/cases/fe4db898-3a9f-4dff-adcb-7b8c30137350","TCGA-BG-A186-01A")</f>
        <v>TCGA-BG-A186-01A</v>
      </c>
      <c r="I21627" t="s">
        <v>444</v>
      </c>
      <c r="J21627" t="s">
        <v>599</v>
      </c>
      <c r="K21627" t="s">
        <v>33</v>
      </c>
      <c r="L21627" t="s">
        <v>600</v>
      </c>
      <c r="N21627" t="s">
        <v>29</v>
      </c>
    </row>
    <row r="21628" spans="1:14">
      <c r="A21628" s="4" t="str">
        <f t="shared" si="1430"/>
        <v>EXP00452</v>
      </c>
      <c r="B21628" s="3" t="s">
        <v>66</v>
      </c>
      <c r="C21628" s="4" t="str">
        <f t="shared" si="1431"/>
        <v>TCGA-UCEC</v>
      </c>
      <c r="D21628" s="1" t="s">
        <v>493</v>
      </c>
      <c r="E21628" t="s">
        <v>601</v>
      </c>
      <c r="F21628" s="1">
        <v>2</v>
      </c>
      <c r="G21628" s="1" t="s">
        <v>28</v>
      </c>
      <c r="H21628" s="4" t="str">
        <f>HYPERLINK("https://portal.gdc.cancer.gov/cases/0f59bb0a-135c-4793-b1a7-5ad5172ed82d","TCGA-BG-A187-01A")</f>
        <v>TCGA-BG-A187-01A</v>
      </c>
      <c r="I21628" t="s">
        <v>444</v>
      </c>
      <c r="J21628" t="s">
        <v>599</v>
      </c>
      <c r="K21628" t="s">
        <v>33</v>
      </c>
      <c r="L21628" t="s">
        <v>600</v>
      </c>
      <c r="N21628" t="s">
        <v>29</v>
      </c>
    </row>
    <row r="21629" spans="1:14">
      <c r="A21629" s="4" t="str">
        <f t="shared" si="1430"/>
        <v>EXP00452</v>
      </c>
      <c r="B21629" s="3" t="s">
        <v>66</v>
      </c>
      <c r="C21629" s="4" t="str">
        <f t="shared" si="1431"/>
        <v>TCGA-UCEC</v>
      </c>
      <c r="D21629" s="1" t="s">
        <v>493</v>
      </c>
      <c r="E21629" t="s">
        <v>601</v>
      </c>
      <c r="F21629" s="1">
        <v>2</v>
      </c>
      <c r="G21629" s="1" t="s">
        <v>28</v>
      </c>
      <c r="H21629" s="4" t="str">
        <f>HYPERLINK("https://portal.gdc.cancer.gov/cases/feb3e930-3638-44b4-ac0f-a5dcb01fed76","TCGA-BG-A18A-01A")</f>
        <v>TCGA-BG-A18A-01A</v>
      </c>
      <c r="I21629" t="s">
        <v>444</v>
      </c>
      <c r="J21629" t="s">
        <v>599</v>
      </c>
      <c r="K21629" t="s">
        <v>33</v>
      </c>
      <c r="L21629" t="s">
        <v>600</v>
      </c>
      <c r="N21629" t="s">
        <v>29</v>
      </c>
    </row>
    <row r="21630" spans="1:14">
      <c r="A21630" s="4" t="str">
        <f t="shared" si="1430"/>
        <v>EXP00452</v>
      </c>
      <c r="B21630" s="3" t="s">
        <v>66</v>
      </c>
      <c r="C21630" s="4" t="str">
        <f t="shared" si="1431"/>
        <v>TCGA-UCEC</v>
      </c>
      <c r="D21630" s="1" t="s">
        <v>493</v>
      </c>
      <c r="E21630" t="s">
        <v>601</v>
      </c>
      <c r="F21630" s="1">
        <v>2</v>
      </c>
      <c r="G21630" s="1" t="s">
        <v>28</v>
      </c>
      <c r="H21630" s="4" t="str">
        <f>HYPERLINK("https://portal.gdc.cancer.gov/cases/62ae3bb1-8102-4693-aee6-4d8d0d2bc515","TCGA-BG-A18B-01A")</f>
        <v>TCGA-BG-A18B-01A</v>
      </c>
      <c r="I21630" t="s">
        <v>444</v>
      </c>
      <c r="J21630" t="s">
        <v>599</v>
      </c>
      <c r="K21630" t="s">
        <v>33</v>
      </c>
      <c r="L21630" t="s">
        <v>600</v>
      </c>
      <c r="N21630" t="s">
        <v>29</v>
      </c>
    </row>
    <row r="21631" spans="1:14">
      <c r="A21631" s="4" t="str">
        <f t="shared" si="1430"/>
        <v>EXP00452</v>
      </c>
      <c r="B21631" s="3" t="s">
        <v>66</v>
      </c>
      <c r="C21631" s="4" t="str">
        <f t="shared" si="1431"/>
        <v>TCGA-UCEC</v>
      </c>
      <c r="D21631" s="1" t="s">
        <v>493</v>
      </c>
      <c r="E21631" t="s">
        <v>601</v>
      </c>
      <c r="F21631" s="1">
        <v>2</v>
      </c>
      <c r="G21631" s="1" t="s">
        <v>28</v>
      </c>
      <c r="H21631" s="4" t="str">
        <f>HYPERLINK("https://portal.gdc.cancer.gov/cases/66e305ca-8a16-44f0-b837-85e529b7ad55","TCGA-BG-A18C-01A")</f>
        <v>TCGA-BG-A18C-01A</v>
      </c>
      <c r="I21631" t="s">
        <v>444</v>
      </c>
      <c r="J21631" t="s">
        <v>599</v>
      </c>
      <c r="K21631" t="s">
        <v>33</v>
      </c>
      <c r="L21631" t="s">
        <v>600</v>
      </c>
      <c r="N21631" t="s">
        <v>29</v>
      </c>
    </row>
    <row r="21632" spans="1:14">
      <c r="A21632" s="4" t="str">
        <f t="shared" si="1430"/>
        <v>EXP00452</v>
      </c>
      <c r="B21632" s="3" t="s">
        <v>66</v>
      </c>
      <c r="C21632" s="4" t="str">
        <f t="shared" si="1431"/>
        <v>TCGA-UCEC</v>
      </c>
      <c r="D21632" s="1" t="s">
        <v>493</v>
      </c>
      <c r="E21632" t="s">
        <v>601</v>
      </c>
      <c r="F21632" s="1">
        <v>2</v>
      </c>
      <c r="G21632" s="1" t="s">
        <v>28</v>
      </c>
      <c r="H21632" s="4" t="str">
        <f>HYPERLINK("https://portal.gdc.cancer.gov/cases/e7e667be-9b31-4870-9c38-740098f37213","TCGA-BG-A221-01A")</f>
        <v>TCGA-BG-A221-01A</v>
      </c>
      <c r="I21632" t="s">
        <v>444</v>
      </c>
      <c r="J21632" t="s">
        <v>599</v>
      </c>
      <c r="K21632" t="s">
        <v>33</v>
      </c>
      <c r="L21632" t="s">
        <v>600</v>
      </c>
      <c r="N21632" t="s">
        <v>29</v>
      </c>
    </row>
    <row r="21633" spans="1:14">
      <c r="A21633" s="4" t="str">
        <f t="shared" si="1430"/>
        <v>EXP00452</v>
      </c>
      <c r="B21633" s="3" t="s">
        <v>66</v>
      </c>
      <c r="C21633" s="4" t="str">
        <f t="shared" si="1431"/>
        <v>TCGA-UCEC</v>
      </c>
      <c r="D21633" s="1" t="s">
        <v>493</v>
      </c>
      <c r="E21633" t="s">
        <v>601</v>
      </c>
      <c r="F21633" s="1">
        <v>2</v>
      </c>
      <c r="G21633" s="1" t="s">
        <v>28</v>
      </c>
      <c r="H21633" s="4" t="str">
        <f>HYPERLINK("https://portal.gdc.cancer.gov/cases/397b2672-d014-4b57-88dd-17e66ff8be4d","TCGA-BG-A222-01A")</f>
        <v>TCGA-BG-A222-01A</v>
      </c>
      <c r="I21633" t="s">
        <v>444</v>
      </c>
      <c r="J21633" t="s">
        <v>599</v>
      </c>
      <c r="K21633" t="s">
        <v>33</v>
      </c>
      <c r="L21633" t="s">
        <v>600</v>
      </c>
      <c r="N21633" t="s">
        <v>29</v>
      </c>
    </row>
    <row r="21634" spans="1:14">
      <c r="A21634" s="4" t="str">
        <f t="shared" si="1430"/>
        <v>EXP00452</v>
      </c>
      <c r="B21634" s="3" t="s">
        <v>66</v>
      </c>
      <c r="C21634" s="4" t="str">
        <f t="shared" si="1431"/>
        <v>TCGA-UCEC</v>
      </c>
      <c r="D21634" s="1" t="s">
        <v>493</v>
      </c>
      <c r="E21634" t="s">
        <v>601</v>
      </c>
      <c r="F21634" s="1">
        <v>2</v>
      </c>
      <c r="G21634" s="1" t="s">
        <v>28</v>
      </c>
      <c r="H21634" s="4" t="str">
        <f>HYPERLINK("https://portal.gdc.cancer.gov/cases/49adc60f-211b-4547-84f6-094257767409","TCGA-BG-A2AD-01A")</f>
        <v>TCGA-BG-A2AD-01A</v>
      </c>
      <c r="I21634" t="s">
        <v>444</v>
      </c>
      <c r="J21634" t="s">
        <v>599</v>
      </c>
      <c r="K21634" t="s">
        <v>33</v>
      </c>
      <c r="L21634" t="s">
        <v>600</v>
      </c>
      <c r="N21634" t="s">
        <v>29</v>
      </c>
    </row>
    <row r="21635" spans="1:14">
      <c r="A21635" s="4" t="str">
        <f t="shared" si="1430"/>
        <v>EXP00452</v>
      </c>
      <c r="B21635" s="3" t="s">
        <v>66</v>
      </c>
      <c r="C21635" s="4" t="str">
        <f t="shared" si="1431"/>
        <v>TCGA-UCEC</v>
      </c>
      <c r="D21635" s="1" t="s">
        <v>493</v>
      </c>
      <c r="E21635" t="s">
        <v>601</v>
      </c>
      <c r="F21635" s="1">
        <v>2</v>
      </c>
      <c r="G21635" s="1" t="s">
        <v>28</v>
      </c>
      <c r="H21635" s="4" t="str">
        <f>HYPERLINK("https://portal.gdc.cancer.gov/cases/f384eb3f-92ab-4327-87eb-45b5f72a1580","TCGA-BG-A2AE-01A")</f>
        <v>TCGA-BG-A2AE-01A</v>
      </c>
      <c r="I21635" t="s">
        <v>444</v>
      </c>
      <c r="J21635" t="s">
        <v>599</v>
      </c>
      <c r="K21635" t="s">
        <v>33</v>
      </c>
      <c r="L21635" t="s">
        <v>600</v>
      </c>
      <c r="N21635" t="s">
        <v>29</v>
      </c>
    </row>
    <row r="21636" spans="1:14">
      <c r="A21636" s="4" t="str">
        <f t="shared" si="1430"/>
        <v>EXP00452</v>
      </c>
      <c r="B21636" s="3" t="s">
        <v>66</v>
      </c>
      <c r="C21636" s="4" t="str">
        <f t="shared" si="1431"/>
        <v>TCGA-UCEC</v>
      </c>
      <c r="D21636" s="1" t="s">
        <v>493</v>
      </c>
      <c r="E21636" t="s">
        <v>601</v>
      </c>
      <c r="F21636" s="1">
        <v>2</v>
      </c>
      <c r="G21636" s="1" t="s">
        <v>28</v>
      </c>
      <c r="H21636" s="4" t="str">
        <f>HYPERLINK("https://portal.gdc.cancer.gov/cases/214a09bb-ce52-4055-b036-065e8cb7ac7d","TCGA-BG-A2L7-01A")</f>
        <v>TCGA-BG-A2L7-01A</v>
      </c>
      <c r="I21636" t="s">
        <v>444</v>
      </c>
      <c r="J21636" t="s">
        <v>599</v>
      </c>
      <c r="K21636" t="s">
        <v>33</v>
      </c>
      <c r="L21636" t="s">
        <v>600</v>
      </c>
      <c r="N21636" t="s">
        <v>29</v>
      </c>
    </row>
    <row r="21637" spans="1:14">
      <c r="A21637" s="4" t="str">
        <f t="shared" si="1430"/>
        <v>EXP00452</v>
      </c>
      <c r="B21637" s="3" t="s">
        <v>66</v>
      </c>
      <c r="C21637" s="4" t="str">
        <f t="shared" si="1431"/>
        <v>TCGA-UCEC</v>
      </c>
      <c r="D21637" s="1" t="s">
        <v>493</v>
      </c>
      <c r="E21637" t="s">
        <v>601</v>
      </c>
      <c r="F21637" s="1">
        <v>2</v>
      </c>
      <c r="G21637" s="1" t="s">
        <v>28</v>
      </c>
      <c r="H21637" s="4" t="str">
        <f>HYPERLINK("https://portal.gdc.cancer.gov/cases/a31554af-d77a-4862-8aed-4581fb2bd877","TCGA-BG-A3EW-01A")</f>
        <v>TCGA-BG-A3EW-01A</v>
      </c>
      <c r="I21637" t="s">
        <v>444</v>
      </c>
      <c r="J21637" t="s">
        <v>599</v>
      </c>
      <c r="K21637" t="s">
        <v>33</v>
      </c>
      <c r="L21637" t="s">
        <v>600</v>
      </c>
      <c r="N21637" t="s">
        <v>29</v>
      </c>
    </row>
    <row r="21638" spans="1:14">
      <c r="A21638" s="4" t="str">
        <f t="shared" si="1430"/>
        <v>EXP00452</v>
      </c>
      <c r="B21638" s="3" t="s">
        <v>66</v>
      </c>
      <c r="C21638" s="4" t="str">
        <f t="shared" si="1431"/>
        <v>TCGA-UCEC</v>
      </c>
      <c r="D21638" s="1" t="s">
        <v>493</v>
      </c>
      <c r="E21638" t="s">
        <v>601</v>
      </c>
      <c r="F21638" s="1">
        <v>2</v>
      </c>
      <c r="G21638" s="1" t="s">
        <v>28</v>
      </c>
      <c r="H21638" s="4" t="str">
        <f>HYPERLINK("https://portal.gdc.cancer.gov/cases/9f92080f-f6e0-42db-a02b-b3069664f6d0","TCGA-BG-A3PP-01A")</f>
        <v>TCGA-BG-A3PP-01A</v>
      </c>
      <c r="I21638" t="s">
        <v>444</v>
      </c>
      <c r="J21638" t="s">
        <v>599</v>
      </c>
      <c r="K21638" t="s">
        <v>33</v>
      </c>
      <c r="L21638" t="s">
        <v>600</v>
      </c>
      <c r="N21638" t="s">
        <v>29</v>
      </c>
    </row>
    <row r="21639" spans="1:14">
      <c r="A21639" s="4" t="str">
        <f t="shared" si="1430"/>
        <v>EXP00452</v>
      </c>
      <c r="B21639" s="3" t="s">
        <v>66</v>
      </c>
      <c r="C21639" s="4" t="str">
        <f t="shared" si="1431"/>
        <v>TCGA-UCEC</v>
      </c>
      <c r="D21639" s="1" t="s">
        <v>493</v>
      </c>
      <c r="E21639" t="s">
        <v>601</v>
      </c>
      <c r="F21639" s="1">
        <v>2</v>
      </c>
      <c r="G21639" s="1" t="s">
        <v>28</v>
      </c>
      <c r="H21639" s="4" t="str">
        <f>HYPERLINK("https://portal.gdc.cancer.gov/cases/92a2cae3-b8ee-4ebb-ac5c-01e58749448f","TCGA-BK-A0C9-01A")</f>
        <v>TCGA-BK-A0C9-01A</v>
      </c>
      <c r="I21639" t="s">
        <v>444</v>
      </c>
      <c r="J21639" t="s">
        <v>599</v>
      </c>
      <c r="K21639" t="s">
        <v>33</v>
      </c>
      <c r="L21639" t="s">
        <v>600</v>
      </c>
      <c r="N21639" t="s">
        <v>29</v>
      </c>
    </row>
    <row r="21640" spans="1:14">
      <c r="A21640" s="4" t="str">
        <f t="shared" si="1430"/>
        <v>EXP00452</v>
      </c>
      <c r="B21640" s="3" t="s">
        <v>66</v>
      </c>
      <c r="C21640" s="4" t="str">
        <f t="shared" si="1431"/>
        <v>TCGA-UCEC</v>
      </c>
      <c r="D21640" s="1" t="s">
        <v>493</v>
      </c>
      <c r="E21640" t="s">
        <v>601</v>
      </c>
      <c r="F21640" s="1">
        <v>2</v>
      </c>
      <c r="G21640" s="1" t="s">
        <v>28</v>
      </c>
      <c r="H21640" s="4" t="str">
        <f>HYPERLINK("https://portal.gdc.cancer.gov/cases/51bd85e2-2c60-4654-bfcb-83dccef8964b","TCGA-BK-A0CA-01A")</f>
        <v>TCGA-BK-A0CA-01A</v>
      </c>
      <c r="I21640" t="s">
        <v>444</v>
      </c>
      <c r="J21640" t="s">
        <v>599</v>
      </c>
      <c r="K21640" t="s">
        <v>33</v>
      </c>
      <c r="L21640" t="s">
        <v>600</v>
      </c>
      <c r="N21640" t="s">
        <v>29</v>
      </c>
    </row>
    <row r="21641" spans="1:14">
      <c r="A21641" s="4" t="str">
        <f t="shared" si="1430"/>
        <v>EXP00452</v>
      </c>
      <c r="B21641" s="3" t="s">
        <v>66</v>
      </c>
      <c r="C21641" s="4" t="str">
        <f t="shared" si="1431"/>
        <v>TCGA-UCEC</v>
      </c>
      <c r="D21641" s="1" t="s">
        <v>493</v>
      </c>
      <c r="E21641" t="s">
        <v>601</v>
      </c>
      <c r="F21641" s="1">
        <v>2</v>
      </c>
      <c r="G21641" s="1" t="s">
        <v>28</v>
      </c>
      <c r="H21641" s="4" t="str">
        <f>HYPERLINK("https://portal.gdc.cancer.gov/cases/51bd85e2-2c60-4654-bfcb-83dccef8964b","TCGA-BK-A0CA-01B")</f>
        <v>TCGA-BK-A0CA-01B</v>
      </c>
      <c r="I21641" t="s">
        <v>444</v>
      </c>
      <c r="J21641" t="s">
        <v>599</v>
      </c>
      <c r="K21641" t="s">
        <v>33</v>
      </c>
      <c r="L21641" t="s">
        <v>600</v>
      </c>
      <c r="N21641" t="s">
        <v>29</v>
      </c>
    </row>
    <row r="21642" spans="1:14">
      <c r="A21642" s="4" t="str">
        <f t="shared" si="1430"/>
        <v>EXP00452</v>
      </c>
      <c r="B21642" s="3" t="s">
        <v>66</v>
      </c>
      <c r="C21642" s="4" t="str">
        <f t="shared" si="1431"/>
        <v>TCGA-UCEC</v>
      </c>
      <c r="D21642" s="1" t="s">
        <v>493</v>
      </c>
      <c r="E21642" t="s">
        <v>601</v>
      </c>
      <c r="F21642" s="1">
        <v>2</v>
      </c>
      <c r="G21642" s="1" t="s">
        <v>28</v>
      </c>
      <c r="H21642" s="4" t="str">
        <f>HYPERLINK("https://portal.gdc.cancer.gov/cases/2b865f8c-539f-4cb2-8f08-41709e9511e5","TCGA-BK-A0CC-01A")</f>
        <v>TCGA-BK-A0CC-01A</v>
      </c>
      <c r="I21642" t="s">
        <v>444</v>
      </c>
      <c r="J21642" t="s">
        <v>599</v>
      </c>
      <c r="K21642" t="s">
        <v>33</v>
      </c>
      <c r="L21642" t="s">
        <v>600</v>
      </c>
      <c r="N21642" t="s">
        <v>29</v>
      </c>
    </row>
    <row r="21643" spans="1:14">
      <c r="A21643" s="4" t="str">
        <f t="shared" si="1430"/>
        <v>EXP00452</v>
      </c>
      <c r="B21643" s="3" t="s">
        <v>66</v>
      </c>
      <c r="C21643" s="4" t="str">
        <f t="shared" si="1431"/>
        <v>TCGA-UCEC</v>
      </c>
      <c r="D21643" s="1" t="s">
        <v>493</v>
      </c>
      <c r="E21643" t="s">
        <v>601</v>
      </c>
      <c r="F21643" s="1">
        <v>2</v>
      </c>
      <c r="G21643" s="1" t="s">
        <v>28</v>
      </c>
      <c r="H21643" s="4" t="str">
        <f>HYPERLINK("https://portal.gdc.cancer.gov/cases/2b865f8c-539f-4cb2-8f08-41709e9511e5","TCGA-BK-A0CC-01B")</f>
        <v>TCGA-BK-A0CC-01B</v>
      </c>
      <c r="I21643" t="s">
        <v>444</v>
      </c>
      <c r="J21643" t="s">
        <v>599</v>
      </c>
      <c r="K21643" t="s">
        <v>33</v>
      </c>
      <c r="L21643" t="s">
        <v>600</v>
      </c>
      <c r="N21643" t="s">
        <v>29</v>
      </c>
    </row>
    <row r="21644" spans="1:14">
      <c r="A21644" s="4" t="str">
        <f t="shared" si="1430"/>
        <v>EXP00452</v>
      </c>
      <c r="B21644" s="3" t="s">
        <v>66</v>
      </c>
      <c r="C21644" s="4" t="str">
        <f t="shared" si="1431"/>
        <v>TCGA-UCEC</v>
      </c>
      <c r="D21644" s="1" t="s">
        <v>493</v>
      </c>
      <c r="E21644" t="s">
        <v>601</v>
      </c>
      <c r="F21644" s="1">
        <v>2</v>
      </c>
      <c r="G21644" s="1" t="s">
        <v>28</v>
      </c>
      <c r="H21644" s="4" t="str">
        <f>HYPERLINK("https://portal.gdc.cancer.gov/cases/8d9e4917-334b-4c76-aee1-1e22be772db0","TCGA-BK-A139-01A")</f>
        <v>TCGA-BK-A139-01A</v>
      </c>
      <c r="I21644" t="s">
        <v>444</v>
      </c>
      <c r="J21644" t="s">
        <v>599</v>
      </c>
      <c r="K21644" t="s">
        <v>33</v>
      </c>
      <c r="L21644" t="s">
        <v>600</v>
      </c>
      <c r="N21644" t="s">
        <v>29</v>
      </c>
    </row>
    <row r="21645" spans="1:14">
      <c r="A21645" s="4" t="str">
        <f t="shared" si="1430"/>
        <v>EXP00452</v>
      </c>
      <c r="B21645" s="3" t="s">
        <v>66</v>
      </c>
      <c r="C21645" s="4" t="str">
        <f t="shared" si="1431"/>
        <v>TCGA-UCEC</v>
      </c>
      <c r="D21645" s="1" t="s">
        <v>493</v>
      </c>
      <c r="E21645" t="s">
        <v>601</v>
      </c>
      <c r="F21645" s="1">
        <v>2</v>
      </c>
      <c r="G21645" s="1" t="s">
        <v>28</v>
      </c>
      <c r="H21645" s="4" t="str">
        <f>HYPERLINK("https://portal.gdc.cancer.gov/cases/e71b3ce1-41e0-4cfc-9570-367b8c2124c1","TCGA-BK-A13B-01A")</f>
        <v>TCGA-BK-A13B-01A</v>
      </c>
      <c r="I21645" t="s">
        <v>444</v>
      </c>
      <c r="J21645" t="s">
        <v>599</v>
      </c>
      <c r="K21645" t="s">
        <v>33</v>
      </c>
      <c r="L21645" t="s">
        <v>600</v>
      </c>
      <c r="N21645" t="s">
        <v>29</v>
      </c>
    </row>
    <row r="21646" spans="1:14">
      <c r="A21646" s="4" t="str">
        <f t="shared" ref="A21646:A21709" si="1432">HYPERLINK("http://hcmdb.i-sanger.com/experiment/details/experiment_id/EXP00452","EXP00452")</f>
        <v>EXP00452</v>
      </c>
      <c r="B21646" s="3" t="s">
        <v>66</v>
      </c>
      <c r="C21646" s="4" t="str">
        <f t="shared" si="1431"/>
        <v>TCGA-UCEC</v>
      </c>
      <c r="D21646" s="1" t="s">
        <v>493</v>
      </c>
      <c r="E21646" t="s">
        <v>601</v>
      </c>
      <c r="F21646" s="1">
        <v>2</v>
      </c>
      <c r="G21646" s="1" t="s">
        <v>28</v>
      </c>
      <c r="H21646" s="4" t="str">
        <f>HYPERLINK("https://portal.gdc.cancer.gov/cases/ce73d0aa-bb3d-4aa3-8ed3-e9912cf25d38","TCGA-BK-A13C-01A")</f>
        <v>TCGA-BK-A13C-01A</v>
      </c>
      <c r="I21646" t="s">
        <v>444</v>
      </c>
      <c r="J21646" t="s">
        <v>599</v>
      </c>
      <c r="K21646" t="s">
        <v>33</v>
      </c>
      <c r="L21646" t="s">
        <v>600</v>
      </c>
      <c r="N21646" t="s">
        <v>29</v>
      </c>
    </row>
    <row r="21647" spans="1:14">
      <c r="A21647" s="4" t="str">
        <f t="shared" si="1432"/>
        <v>EXP00452</v>
      </c>
      <c r="B21647" s="3" t="s">
        <v>66</v>
      </c>
      <c r="C21647" s="4" t="str">
        <f t="shared" si="1431"/>
        <v>TCGA-UCEC</v>
      </c>
      <c r="D21647" s="1" t="s">
        <v>493</v>
      </c>
      <c r="E21647" t="s">
        <v>601</v>
      </c>
      <c r="F21647" s="1">
        <v>2</v>
      </c>
      <c r="G21647" s="1" t="s">
        <v>28</v>
      </c>
      <c r="H21647" s="4" t="str">
        <f>HYPERLINK("https://portal.gdc.cancer.gov/cases/ab7adf74-6e87-4117-9742-54e323348e06","TCGA-BK-A26L-01A")</f>
        <v>TCGA-BK-A26L-01A</v>
      </c>
      <c r="I21647" t="s">
        <v>444</v>
      </c>
      <c r="J21647" t="s">
        <v>599</v>
      </c>
      <c r="K21647" t="s">
        <v>33</v>
      </c>
      <c r="L21647" t="s">
        <v>600</v>
      </c>
      <c r="N21647" t="s">
        <v>29</v>
      </c>
    </row>
    <row r="21648" spans="1:14">
      <c r="A21648" s="4" t="str">
        <f t="shared" si="1432"/>
        <v>EXP00452</v>
      </c>
      <c r="B21648" s="3" t="s">
        <v>66</v>
      </c>
      <c r="C21648" s="4" t="str">
        <f t="shared" si="1431"/>
        <v>TCGA-UCEC</v>
      </c>
      <c r="D21648" s="1" t="s">
        <v>493</v>
      </c>
      <c r="E21648" t="s">
        <v>601</v>
      </c>
      <c r="F21648" s="1">
        <v>2</v>
      </c>
      <c r="G21648" s="1" t="s">
        <v>28</v>
      </c>
      <c r="H21648" s="4" t="str">
        <f>HYPERLINK("https://portal.gdc.cancer.gov/cases/ab7adf74-6e87-4117-9742-54e323348e06","TCGA-BK-A26L-01C")</f>
        <v>TCGA-BK-A26L-01C</v>
      </c>
      <c r="I21648" t="s">
        <v>444</v>
      </c>
      <c r="J21648" t="s">
        <v>599</v>
      </c>
      <c r="K21648" t="s">
        <v>33</v>
      </c>
      <c r="L21648" t="s">
        <v>600</v>
      </c>
      <c r="N21648" t="s">
        <v>29</v>
      </c>
    </row>
    <row r="21649" spans="1:14">
      <c r="A21649" s="4" t="str">
        <f t="shared" si="1432"/>
        <v>EXP00452</v>
      </c>
      <c r="B21649" s="3" t="s">
        <v>66</v>
      </c>
      <c r="C21649" s="4" t="str">
        <f t="shared" si="1431"/>
        <v>TCGA-UCEC</v>
      </c>
      <c r="D21649" s="1" t="s">
        <v>493</v>
      </c>
      <c r="E21649" t="s">
        <v>601</v>
      </c>
      <c r="F21649" s="1">
        <v>2</v>
      </c>
      <c r="G21649" s="1" t="s">
        <v>28</v>
      </c>
      <c r="H21649" s="4" t="str">
        <f>HYPERLINK("https://portal.gdc.cancer.gov/cases/1c4d225e-e065-4e26-9413-78f54a7e0cf5","TCGA-BK-A4ZD-01A")</f>
        <v>TCGA-BK-A4ZD-01A</v>
      </c>
      <c r="I21649" t="s">
        <v>444</v>
      </c>
      <c r="J21649" t="s">
        <v>599</v>
      </c>
      <c r="K21649" t="s">
        <v>33</v>
      </c>
      <c r="L21649" t="s">
        <v>600</v>
      </c>
      <c r="N21649" t="s">
        <v>29</v>
      </c>
    </row>
    <row r="21650" spans="1:14">
      <c r="A21650" s="4" t="str">
        <f t="shared" si="1432"/>
        <v>EXP00452</v>
      </c>
      <c r="B21650" s="3" t="s">
        <v>66</v>
      </c>
      <c r="C21650" s="4" t="str">
        <f t="shared" si="1431"/>
        <v>TCGA-UCEC</v>
      </c>
      <c r="D21650" s="1" t="s">
        <v>493</v>
      </c>
      <c r="E21650" t="s">
        <v>601</v>
      </c>
      <c r="F21650" s="1">
        <v>2</v>
      </c>
      <c r="G21650" s="1" t="s">
        <v>28</v>
      </c>
      <c r="H21650" s="4" t="str">
        <f>HYPERLINK("https://portal.gdc.cancer.gov/cases/2d166dc0-8890-4b00-ab73-9e2dbb6c530d","TCGA-BK-A56F-01A")</f>
        <v>TCGA-BK-A56F-01A</v>
      </c>
      <c r="I21650" t="s">
        <v>444</v>
      </c>
      <c r="J21650" t="s">
        <v>599</v>
      </c>
      <c r="K21650" t="s">
        <v>33</v>
      </c>
      <c r="L21650" t="s">
        <v>600</v>
      </c>
      <c r="N21650" t="s">
        <v>29</v>
      </c>
    </row>
    <row r="21651" spans="1:14">
      <c r="A21651" s="4" t="str">
        <f t="shared" si="1432"/>
        <v>EXP00452</v>
      </c>
      <c r="B21651" s="3" t="s">
        <v>66</v>
      </c>
      <c r="C21651" s="4" t="str">
        <f t="shared" si="1431"/>
        <v>TCGA-UCEC</v>
      </c>
      <c r="D21651" s="1" t="s">
        <v>493</v>
      </c>
      <c r="E21651" t="s">
        <v>601</v>
      </c>
      <c r="F21651" s="1">
        <v>2</v>
      </c>
      <c r="G21651" s="1" t="s">
        <v>28</v>
      </c>
      <c r="H21651" s="4" t="str">
        <f>HYPERLINK("https://portal.gdc.cancer.gov/cases/119b1761-a5b4-42b6-9971-ece11fb0e0f6","TCGA-BK-A6W3-01A")</f>
        <v>TCGA-BK-A6W3-01A</v>
      </c>
      <c r="I21651" t="s">
        <v>444</v>
      </c>
      <c r="J21651" t="s">
        <v>599</v>
      </c>
      <c r="K21651" t="s">
        <v>33</v>
      </c>
      <c r="L21651" t="s">
        <v>600</v>
      </c>
      <c r="N21651" t="s">
        <v>29</v>
      </c>
    </row>
    <row r="21652" spans="1:14">
      <c r="A21652" s="4" t="str">
        <f t="shared" si="1432"/>
        <v>EXP00452</v>
      </c>
      <c r="B21652" s="3" t="s">
        <v>66</v>
      </c>
      <c r="C21652" s="4" t="str">
        <f t="shared" si="1431"/>
        <v>TCGA-UCEC</v>
      </c>
      <c r="D21652" s="1" t="s">
        <v>493</v>
      </c>
      <c r="E21652" t="s">
        <v>601</v>
      </c>
      <c r="F21652" s="1">
        <v>2</v>
      </c>
      <c r="G21652" s="1" t="s">
        <v>28</v>
      </c>
      <c r="H21652" s="4" t="str">
        <f>HYPERLINK("https://portal.gdc.cancer.gov/cases/8e7792b3-2b6c-47ac-acbe-3da7462a8321","TCGA-BK-A6W4-01A")</f>
        <v>TCGA-BK-A6W4-01A</v>
      </c>
      <c r="I21652" t="s">
        <v>444</v>
      </c>
      <c r="J21652" t="s">
        <v>599</v>
      </c>
      <c r="K21652" t="s">
        <v>33</v>
      </c>
      <c r="L21652" t="s">
        <v>600</v>
      </c>
      <c r="N21652" t="s">
        <v>29</v>
      </c>
    </row>
    <row r="21653" spans="1:14">
      <c r="A21653" s="4" t="str">
        <f t="shared" si="1432"/>
        <v>EXP00452</v>
      </c>
      <c r="B21653" s="3" t="s">
        <v>66</v>
      </c>
      <c r="C21653" s="4" t="str">
        <f t="shared" si="1431"/>
        <v>TCGA-UCEC</v>
      </c>
      <c r="D21653" s="1" t="s">
        <v>493</v>
      </c>
      <c r="E21653" t="s">
        <v>601</v>
      </c>
      <c r="F21653" s="1">
        <v>2</v>
      </c>
      <c r="G21653" s="1" t="s">
        <v>28</v>
      </c>
      <c r="H21653" s="4" t="str">
        <f>HYPERLINK("https://portal.gdc.cancer.gov/cases/4eb95566-0e73-4260-853e-f7df650667a0","TCGA-BS-A0T9-01A")</f>
        <v>TCGA-BS-A0T9-01A</v>
      </c>
      <c r="I21653" t="s">
        <v>444</v>
      </c>
      <c r="J21653" t="s">
        <v>599</v>
      </c>
      <c r="K21653" t="s">
        <v>33</v>
      </c>
      <c r="L21653" t="s">
        <v>600</v>
      </c>
      <c r="N21653" t="s">
        <v>29</v>
      </c>
    </row>
    <row r="21654" spans="1:14">
      <c r="A21654" s="4" t="str">
        <f t="shared" si="1432"/>
        <v>EXP00452</v>
      </c>
      <c r="B21654" s="3" t="s">
        <v>66</v>
      </c>
      <c r="C21654" s="4" t="str">
        <f t="shared" si="1431"/>
        <v>TCGA-UCEC</v>
      </c>
      <c r="D21654" s="1" t="s">
        <v>493</v>
      </c>
      <c r="E21654" t="s">
        <v>601</v>
      </c>
      <c r="F21654" s="1">
        <v>2</v>
      </c>
      <c r="G21654" s="1" t="s">
        <v>28</v>
      </c>
      <c r="H21654" s="4" t="str">
        <f>HYPERLINK("https://portal.gdc.cancer.gov/cases/ad3d8420-f562-4cbe-ac82-c968bd4f782d","TCGA-BS-A0TA-01A")</f>
        <v>TCGA-BS-A0TA-01A</v>
      </c>
      <c r="I21654" t="s">
        <v>444</v>
      </c>
      <c r="J21654" t="s">
        <v>599</v>
      </c>
      <c r="K21654" t="s">
        <v>33</v>
      </c>
      <c r="L21654" t="s">
        <v>600</v>
      </c>
      <c r="N21654" t="s">
        <v>29</v>
      </c>
    </row>
    <row r="21655" spans="1:14">
      <c r="A21655" s="4" t="str">
        <f t="shared" si="1432"/>
        <v>EXP00452</v>
      </c>
      <c r="B21655" s="3" t="s">
        <v>66</v>
      </c>
      <c r="C21655" s="4" t="str">
        <f t="shared" si="1431"/>
        <v>TCGA-UCEC</v>
      </c>
      <c r="D21655" s="1" t="s">
        <v>493</v>
      </c>
      <c r="E21655" t="s">
        <v>601</v>
      </c>
      <c r="F21655" s="1">
        <v>2</v>
      </c>
      <c r="G21655" s="1" t="s">
        <v>28</v>
      </c>
      <c r="H21655" s="4" t="str">
        <f>HYPERLINK("https://portal.gdc.cancer.gov/cases/7b7d2d2b-abe6-4f32-add0-3715096995d1","TCGA-BS-A0TC-01A")</f>
        <v>TCGA-BS-A0TC-01A</v>
      </c>
      <c r="I21655" t="s">
        <v>444</v>
      </c>
      <c r="J21655" t="s">
        <v>599</v>
      </c>
      <c r="K21655" t="s">
        <v>33</v>
      </c>
      <c r="L21655" t="s">
        <v>600</v>
      </c>
      <c r="N21655" t="s">
        <v>29</v>
      </c>
    </row>
    <row r="21656" spans="1:14">
      <c r="A21656" s="4" t="str">
        <f t="shared" si="1432"/>
        <v>EXP00452</v>
      </c>
      <c r="B21656" s="3" t="s">
        <v>66</v>
      </c>
      <c r="C21656" s="4" t="str">
        <f t="shared" si="1431"/>
        <v>TCGA-UCEC</v>
      </c>
      <c r="D21656" s="1" t="s">
        <v>493</v>
      </c>
      <c r="E21656" t="s">
        <v>601</v>
      </c>
      <c r="F21656" s="1">
        <v>2</v>
      </c>
      <c r="G21656" s="1" t="s">
        <v>28</v>
      </c>
      <c r="H21656" s="4" t="str">
        <f>HYPERLINK("https://portal.gdc.cancer.gov/cases/ffaa98a0-2b69-46dc-aee5-c5c3f2abbc38","TCGA-BS-A0TD-01A")</f>
        <v>TCGA-BS-A0TD-01A</v>
      </c>
      <c r="I21656" t="s">
        <v>444</v>
      </c>
      <c r="J21656" t="s">
        <v>599</v>
      </c>
      <c r="K21656" t="s">
        <v>33</v>
      </c>
      <c r="L21656" t="s">
        <v>600</v>
      </c>
      <c r="N21656" t="s">
        <v>29</v>
      </c>
    </row>
    <row r="21657" spans="1:14">
      <c r="A21657" s="4" t="str">
        <f t="shared" si="1432"/>
        <v>EXP00452</v>
      </c>
      <c r="B21657" s="3" t="s">
        <v>66</v>
      </c>
      <c r="C21657" s="4" t="str">
        <f t="shared" si="1431"/>
        <v>TCGA-UCEC</v>
      </c>
      <c r="D21657" s="1" t="s">
        <v>493</v>
      </c>
      <c r="E21657" t="s">
        <v>601</v>
      </c>
      <c r="F21657" s="1">
        <v>2</v>
      </c>
      <c r="G21657" s="1" t="s">
        <v>28</v>
      </c>
      <c r="H21657" s="4" t="str">
        <f>HYPERLINK("https://portal.gdc.cancer.gov/cases/09066fbf-6a1d-46c9-a4c5-c53340c3d1ba","TCGA-BS-A0TE-01A")</f>
        <v>TCGA-BS-A0TE-01A</v>
      </c>
      <c r="I21657" t="s">
        <v>444</v>
      </c>
      <c r="J21657" t="s">
        <v>599</v>
      </c>
      <c r="K21657" t="s">
        <v>33</v>
      </c>
      <c r="L21657" t="s">
        <v>600</v>
      </c>
      <c r="N21657" t="s">
        <v>29</v>
      </c>
    </row>
    <row r="21658" spans="1:14">
      <c r="A21658" s="4" t="str">
        <f t="shared" si="1432"/>
        <v>EXP00452</v>
      </c>
      <c r="B21658" s="3" t="s">
        <v>66</v>
      </c>
      <c r="C21658" s="4" t="str">
        <f t="shared" si="1431"/>
        <v>TCGA-UCEC</v>
      </c>
      <c r="D21658" s="1" t="s">
        <v>493</v>
      </c>
      <c r="E21658" t="s">
        <v>601</v>
      </c>
      <c r="F21658" s="1">
        <v>2</v>
      </c>
      <c r="G21658" s="1" t="s">
        <v>28</v>
      </c>
      <c r="H21658" s="4" t="str">
        <f>HYPERLINK("https://portal.gdc.cancer.gov/cases/13f31bcb-befd-4ed2-adc0-dc9e9ce52b75","TCGA-BS-A0TG-01A")</f>
        <v>TCGA-BS-A0TG-01A</v>
      </c>
      <c r="I21658" t="s">
        <v>444</v>
      </c>
      <c r="J21658" t="s">
        <v>599</v>
      </c>
      <c r="K21658" t="s">
        <v>33</v>
      </c>
      <c r="L21658" t="s">
        <v>600</v>
      </c>
      <c r="N21658" t="s">
        <v>29</v>
      </c>
    </row>
    <row r="21659" spans="1:14">
      <c r="A21659" s="4" t="str">
        <f t="shared" si="1432"/>
        <v>EXP00452</v>
      </c>
      <c r="B21659" s="3" t="s">
        <v>66</v>
      </c>
      <c r="C21659" s="4" t="str">
        <f t="shared" si="1431"/>
        <v>TCGA-UCEC</v>
      </c>
      <c r="D21659" s="1" t="s">
        <v>493</v>
      </c>
      <c r="E21659" t="s">
        <v>601</v>
      </c>
      <c r="F21659" s="1">
        <v>2</v>
      </c>
      <c r="G21659" s="1" t="s">
        <v>28</v>
      </c>
      <c r="H21659" s="4" t="str">
        <f>HYPERLINK("https://portal.gdc.cancer.gov/cases/df857bc6-fd6a-4713-bef9-6ee1301e5fb1","TCGA-BS-A0TI-01A")</f>
        <v>TCGA-BS-A0TI-01A</v>
      </c>
      <c r="I21659" t="s">
        <v>444</v>
      </c>
      <c r="J21659" t="s">
        <v>599</v>
      </c>
      <c r="K21659" t="s">
        <v>33</v>
      </c>
      <c r="L21659" t="s">
        <v>600</v>
      </c>
      <c r="N21659" t="s">
        <v>29</v>
      </c>
    </row>
    <row r="21660" spans="1:14">
      <c r="A21660" s="4" t="str">
        <f t="shared" si="1432"/>
        <v>EXP00452</v>
      </c>
      <c r="B21660" s="3" t="s">
        <v>66</v>
      </c>
      <c r="C21660" s="4" t="str">
        <f t="shared" si="1431"/>
        <v>TCGA-UCEC</v>
      </c>
      <c r="D21660" s="1" t="s">
        <v>493</v>
      </c>
      <c r="E21660" t="s">
        <v>601</v>
      </c>
      <c r="F21660" s="1">
        <v>2</v>
      </c>
      <c r="G21660" s="1" t="s">
        <v>28</v>
      </c>
      <c r="H21660" s="4" t="str">
        <f>HYPERLINK("https://portal.gdc.cancer.gov/cases/f74da4c6-4291-46d2-abd4-7d7f6ef03b00","TCGA-BS-A0TJ-01A")</f>
        <v>TCGA-BS-A0TJ-01A</v>
      </c>
      <c r="I21660" t="s">
        <v>444</v>
      </c>
      <c r="J21660" t="s">
        <v>599</v>
      </c>
      <c r="K21660" t="s">
        <v>33</v>
      </c>
      <c r="L21660" t="s">
        <v>600</v>
      </c>
      <c r="N21660" t="s">
        <v>29</v>
      </c>
    </row>
    <row r="21661" spans="1:14">
      <c r="A21661" s="4" t="str">
        <f t="shared" si="1432"/>
        <v>EXP00452</v>
      </c>
      <c r="B21661" s="3" t="s">
        <v>66</v>
      </c>
      <c r="C21661" s="4" t="str">
        <f t="shared" si="1431"/>
        <v>TCGA-UCEC</v>
      </c>
      <c r="D21661" s="1" t="s">
        <v>493</v>
      </c>
      <c r="E21661" t="s">
        <v>601</v>
      </c>
      <c r="F21661" s="1">
        <v>2</v>
      </c>
      <c r="G21661" s="1" t="s">
        <v>28</v>
      </c>
      <c r="H21661" s="4" t="str">
        <f>HYPERLINK("https://portal.gdc.cancer.gov/cases/c306d7e8-5486-41d3-84dd-9311ce3e2069","TCGA-BS-A0U5-01A")</f>
        <v>TCGA-BS-A0U5-01A</v>
      </c>
      <c r="I21661" t="s">
        <v>444</v>
      </c>
      <c r="J21661" t="s">
        <v>599</v>
      </c>
      <c r="K21661" t="s">
        <v>33</v>
      </c>
      <c r="L21661" t="s">
        <v>600</v>
      </c>
      <c r="N21661" t="s">
        <v>29</v>
      </c>
    </row>
    <row r="21662" spans="1:14">
      <c r="A21662" s="4" t="str">
        <f t="shared" si="1432"/>
        <v>EXP00452</v>
      </c>
      <c r="B21662" s="3" t="s">
        <v>66</v>
      </c>
      <c r="C21662" s="4" t="str">
        <f t="shared" si="1431"/>
        <v>TCGA-UCEC</v>
      </c>
      <c r="D21662" s="1" t="s">
        <v>493</v>
      </c>
      <c r="E21662" t="s">
        <v>601</v>
      </c>
      <c r="F21662" s="1">
        <v>2</v>
      </c>
      <c r="G21662" s="1" t="s">
        <v>28</v>
      </c>
      <c r="H21662" s="4" t="str">
        <f>HYPERLINK("https://portal.gdc.cancer.gov/cases/282ddc43-922d-4f1f-80c7-6ba2de23b7bc","TCGA-BS-A0U7-01A")</f>
        <v>TCGA-BS-A0U7-01A</v>
      </c>
      <c r="I21662" t="s">
        <v>444</v>
      </c>
      <c r="J21662" t="s">
        <v>599</v>
      </c>
      <c r="K21662" t="s">
        <v>33</v>
      </c>
      <c r="L21662" t="s">
        <v>600</v>
      </c>
      <c r="N21662" t="s">
        <v>29</v>
      </c>
    </row>
    <row r="21663" spans="1:14">
      <c r="A21663" s="4" t="str">
        <f t="shared" si="1432"/>
        <v>EXP00452</v>
      </c>
      <c r="B21663" s="3" t="s">
        <v>66</v>
      </c>
      <c r="C21663" s="4" t="str">
        <f t="shared" si="1431"/>
        <v>TCGA-UCEC</v>
      </c>
      <c r="D21663" s="1" t="s">
        <v>493</v>
      </c>
      <c r="E21663" t="s">
        <v>601</v>
      </c>
      <c r="F21663" s="1">
        <v>2</v>
      </c>
      <c r="G21663" s="1" t="s">
        <v>28</v>
      </c>
      <c r="H21663" s="4" t="str">
        <f>HYPERLINK("https://portal.gdc.cancer.gov/cases/fb7475df-30cc-4316-b9ac-37cbeeb6ba2b","TCGA-BS-A0U8-01A")</f>
        <v>TCGA-BS-A0U8-01A</v>
      </c>
      <c r="I21663" t="s">
        <v>444</v>
      </c>
      <c r="J21663" t="s">
        <v>599</v>
      </c>
      <c r="K21663" t="s">
        <v>33</v>
      </c>
      <c r="L21663" t="s">
        <v>600</v>
      </c>
      <c r="N21663" t="s">
        <v>29</v>
      </c>
    </row>
    <row r="21664" spans="1:14">
      <c r="A21664" s="4" t="str">
        <f t="shared" si="1432"/>
        <v>EXP00452</v>
      </c>
      <c r="B21664" s="3" t="s">
        <v>66</v>
      </c>
      <c r="C21664" s="4" t="str">
        <f t="shared" si="1431"/>
        <v>TCGA-UCEC</v>
      </c>
      <c r="D21664" s="1" t="s">
        <v>493</v>
      </c>
      <c r="E21664" t="s">
        <v>601</v>
      </c>
      <c r="F21664" s="1">
        <v>2</v>
      </c>
      <c r="G21664" s="1" t="s">
        <v>28</v>
      </c>
      <c r="H21664" s="4" t="str">
        <f>HYPERLINK("https://portal.gdc.cancer.gov/cases/5ffa2ec6-2d94-4b09-8fb9-3591cf38fa4f","TCGA-BS-A0U9-01B")</f>
        <v>TCGA-BS-A0U9-01B</v>
      </c>
      <c r="I21664" t="s">
        <v>444</v>
      </c>
      <c r="J21664" t="s">
        <v>599</v>
      </c>
      <c r="K21664" t="s">
        <v>33</v>
      </c>
      <c r="L21664" t="s">
        <v>600</v>
      </c>
      <c r="N21664" t="s">
        <v>29</v>
      </c>
    </row>
    <row r="21665" spans="1:14">
      <c r="A21665" s="4" t="str">
        <f t="shared" si="1432"/>
        <v>EXP00452</v>
      </c>
      <c r="B21665" s="3" t="s">
        <v>66</v>
      </c>
      <c r="C21665" s="4" t="str">
        <f t="shared" si="1431"/>
        <v>TCGA-UCEC</v>
      </c>
      <c r="D21665" s="1" t="s">
        <v>493</v>
      </c>
      <c r="E21665" t="s">
        <v>601</v>
      </c>
      <c r="F21665" s="1">
        <v>2</v>
      </c>
      <c r="G21665" s="1" t="s">
        <v>28</v>
      </c>
      <c r="H21665" s="4" t="str">
        <f>HYPERLINK("https://portal.gdc.cancer.gov/cases/a1a0177d-e670-4f2f-a99d-6f668a2f9e8a","TCGA-BS-A0UA-01A")</f>
        <v>TCGA-BS-A0UA-01A</v>
      </c>
      <c r="I21665" t="s">
        <v>444</v>
      </c>
      <c r="J21665" t="s">
        <v>599</v>
      </c>
      <c r="K21665" t="s">
        <v>33</v>
      </c>
      <c r="L21665" t="s">
        <v>600</v>
      </c>
      <c r="N21665" t="s">
        <v>29</v>
      </c>
    </row>
    <row r="21666" spans="1:14">
      <c r="A21666" s="4" t="str">
        <f t="shared" si="1432"/>
        <v>EXP00452</v>
      </c>
      <c r="B21666" s="3" t="s">
        <v>66</v>
      </c>
      <c r="C21666" s="4" t="str">
        <f t="shared" si="1431"/>
        <v>TCGA-UCEC</v>
      </c>
      <c r="D21666" s="1" t="s">
        <v>493</v>
      </c>
      <c r="E21666" t="s">
        <v>601</v>
      </c>
      <c r="F21666" s="1">
        <v>2</v>
      </c>
      <c r="G21666" s="1" t="s">
        <v>28</v>
      </c>
      <c r="H21666" s="4" t="str">
        <f>HYPERLINK("https://portal.gdc.cancer.gov/cases/f77d7256-2ccf-42a7-9b30-332ac24ca812","TCGA-BS-A0UF-01A")</f>
        <v>TCGA-BS-A0UF-01A</v>
      </c>
      <c r="I21666" t="s">
        <v>444</v>
      </c>
      <c r="J21666" t="s">
        <v>599</v>
      </c>
      <c r="K21666" t="s">
        <v>33</v>
      </c>
      <c r="L21666" t="s">
        <v>600</v>
      </c>
      <c r="N21666" t="s">
        <v>29</v>
      </c>
    </row>
    <row r="21667" spans="1:14">
      <c r="A21667" s="4" t="str">
        <f t="shared" si="1432"/>
        <v>EXP00452</v>
      </c>
      <c r="B21667" s="3" t="s">
        <v>66</v>
      </c>
      <c r="C21667" s="4" t="str">
        <f t="shared" si="1431"/>
        <v>TCGA-UCEC</v>
      </c>
      <c r="D21667" s="1" t="s">
        <v>493</v>
      </c>
      <c r="E21667" t="s">
        <v>601</v>
      </c>
      <c r="F21667" s="1">
        <v>2</v>
      </c>
      <c r="G21667" s="1" t="s">
        <v>28</v>
      </c>
      <c r="H21667" s="4" t="str">
        <f>HYPERLINK("https://portal.gdc.cancer.gov/cases/ff82548a-f1bb-4daa-a8f7-b3831b5843ad","TCGA-BS-A0UJ-01A")</f>
        <v>TCGA-BS-A0UJ-01A</v>
      </c>
      <c r="I21667" t="s">
        <v>444</v>
      </c>
      <c r="J21667" t="s">
        <v>599</v>
      </c>
      <c r="K21667" t="s">
        <v>33</v>
      </c>
      <c r="L21667" t="s">
        <v>600</v>
      </c>
      <c r="N21667" t="s">
        <v>29</v>
      </c>
    </row>
    <row r="21668" spans="1:14">
      <c r="A21668" s="4" t="str">
        <f t="shared" si="1432"/>
        <v>EXP00452</v>
      </c>
      <c r="B21668" s="3" t="s">
        <v>66</v>
      </c>
      <c r="C21668" s="4" t="str">
        <f t="shared" si="1431"/>
        <v>TCGA-UCEC</v>
      </c>
      <c r="D21668" s="1" t="s">
        <v>493</v>
      </c>
      <c r="E21668" t="s">
        <v>601</v>
      </c>
      <c r="F21668" s="1">
        <v>2</v>
      </c>
      <c r="G21668" s="1" t="s">
        <v>28</v>
      </c>
      <c r="H21668" s="4" t="str">
        <f>HYPERLINK("https://portal.gdc.cancer.gov/cases/5428c4b2-37c2-4f8c-a474-39fe1aacb26b","TCGA-BS-A0UL-01A")</f>
        <v>TCGA-BS-A0UL-01A</v>
      </c>
      <c r="I21668" t="s">
        <v>444</v>
      </c>
      <c r="J21668" t="s">
        <v>599</v>
      </c>
      <c r="K21668" t="s">
        <v>33</v>
      </c>
      <c r="L21668" t="s">
        <v>600</v>
      </c>
      <c r="N21668" t="s">
        <v>29</v>
      </c>
    </row>
    <row r="21669" spans="1:14">
      <c r="A21669" s="4" t="str">
        <f t="shared" si="1432"/>
        <v>EXP00452</v>
      </c>
      <c r="B21669" s="3" t="s">
        <v>66</v>
      </c>
      <c r="C21669" s="4" t="str">
        <f t="shared" si="1431"/>
        <v>TCGA-UCEC</v>
      </c>
      <c r="D21669" s="1" t="s">
        <v>493</v>
      </c>
      <c r="E21669" t="s">
        <v>601</v>
      </c>
      <c r="F21669" s="1">
        <v>2</v>
      </c>
      <c r="G21669" s="1" t="s">
        <v>28</v>
      </c>
      <c r="H21669" s="4" t="str">
        <f>HYPERLINK("https://portal.gdc.cancer.gov/cases/a7c565fc-c711-4b63-9549-4cd74d1f57c2","TCGA-BS-A0UM-01A")</f>
        <v>TCGA-BS-A0UM-01A</v>
      </c>
      <c r="I21669" t="s">
        <v>444</v>
      </c>
      <c r="J21669" t="s">
        <v>599</v>
      </c>
      <c r="K21669" t="s">
        <v>33</v>
      </c>
      <c r="L21669" t="s">
        <v>600</v>
      </c>
      <c r="N21669" t="s">
        <v>29</v>
      </c>
    </row>
    <row r="21670" spans="1:14">
      <c r="A21670" s="4" t="str">
        <f t="shared" si="1432"/>
        <v>EXP00452</v>
      </c>
      <c r="B21670" s="3" t="s">
        <v>66</v>
      </c>
      <c r="C21670" s="4" t="str">
        <f t="shared" si="1431"/>
        <v>TCGA-UCEC</v>
      </c>
      <c r="D21670" s="1" t="s">
        <v>493</v>
      </c>
      <c r="E21670" t="s">
        <v>601</v>
      </c>
      <c r="F21670" s="1">
        <v>2</v>
      </c>
      <c r="G21670" s="1" t="s">
        <v>28</v>
      </c>
      <c r="H21670" s="4" t="str">
        <f>HYPERLINK("https://portal.gdc.cancer.gov/cases/e2b1d0de-5221-44a1-8fad-9708a3cada14","TCGA-BS-A0UT-01A")</f>
        <v>TCGA-BS-A0UT-01A</v>
      </c>
      <c r="I21670" t="s">
        <v>444</v>
      </c>
      <c r="J21670" t="s">
        <v>599</v>
      </c>
      <c r="K21670" t="s">
        <v>33</v>
      </c>
      <c r="L21670" t="s">
        <v>600</v>
      </c>
      <c r="N21670" t="s">
        <v>29</v>
      </c>
    </row>
    <row r="21671" spans="1:14">
      <c r="A21671" s="4" t="str">
        <f t="shared" si="1432"/>
        <v>EXP00452</v>
      </c>
      <c r="B21671" s="3" t="s">
        <v>66</v>
      </c>
      <c r="C21671" s="4" t="str">
        <f t="shared" si="1431"/>
        <v>TCGA-UCEC</v>
      </c>
      <c r="D21671" s="1" t="s">
        <v>493</v>
      </c>
      <c r="E21671" t="s">
        <v>601</v>
      </c>
      <c r="F21671" s="1">
        <v>2</v>
      </c>
      <c r="G21671" s="1" t="s">
        <v>28</v>
      </c>
      <c r="H21671" s="4" t="str">
        <f>HYPERLINK("https://portal.gdc.cancer.gov/cases/b19425ab-a82f-4c2a-bf58-d1bd30511d74","TCGA-BS-A0UV-01A")</f>
        <v>TCGA-BS-A0UV-01A</v>
      </c>
      <c r="I21671" t="s">
        <v>444</v>
      </c>
      <c r="J21671" t="s">
        <v>599</v>
      </c>
      <c r="K21671" t="s">
        <v>33</v>
      </c>
      <c r="L21671" t="s">
        <v>600</v>
      </c>
      <c r="N21671" t="s">
        <v>29</v>
      </c>
    </row>
    <row r="21672" spans="1:14">
      <c r="A21672" s="4" t="str">
        <f t="shared" si="1432"/>
        <v>EXP00452</v>
      </c>
      <c r="B21672" s="3" t="s">
        <v>66</v>
      </c>
      <c r="C21672" s="4" t="str">
        <f t="shared" si="1431"/>
        <v>TCGA-UCEC</v>
      </c>
      <c r="D21672" s="1" t="s">
        <v>493</v>
      </c>
      <c r="E21672" t="s">
        <v>601</v>
      </c>
      <c r="F21672" s="1">
        <v>2</v>
      </c>
      <c r="G21672" s="1" t="s">
        <v>28</v>
      </c>
      <c r="H21672" s="4" t="str">
        <f>HYPERLINK("https://portal.gdc.cancer.gov/cases/e3f515f8-a940-40d1-86b0-baed0f410f2c","TCGA-BS-A0V4-01A")</f>
        <v>TCGA-BS-A0V4-01A</v>
      </c>
      <c r="I21672" t="s">
        <v>444</v>
      </c>
      <c r="J21672" t="s">
        <v>599</v>
      </c>
      <c r="K21672" t="s">
        <v>33</v>
      </c>
      <c r="L21672" t="s">
        <v>600</v>
      </c>
      <c r="N21672" t="s">
        <v>29</v>
      </c>
    </row>
    <row r="21673" spans="1:14">
      <c r="A21673" s="4" t="str">
        <f t="shared" si="1432"/>
        <v>EXP00452</v>
      </c>
      <c r="B21673" s="3" t="s">
        <v>66</v>
      </c>
      <c r="C21673" s="4" t="str">
        <f t="shared" si="1431"/>
        <v>TCGA-UCEC</v>
      </c>
      <c r="D21673" s="1" t="s">
        <v>493</v>
      </c>
      <c r="E21673" t="s">
        <v>601</v>
      </c>
      <c r="F21673" s="1">
        <v>2</v>
      </c>
      <c r="G21673" s="1" t="s">
        <v>28</v>
      </c>
      <c r="H21673" s="4" t="str">
        <f>HYPERLINK("https://portal.gdc.cancer.gov/cases/a9b6cd65-f042-4073-9000-4143a2c55373","TCGA-BS-A0V6-01A")</f>
        <v>TCGA-BS-A0V6-01A</v>
      </c>
      <c r="I21673" t="s">
        <v>444</v>
      </c>
      <c r="J21673" t="s">
        <v>599</v>
      </c>
      <c r="K21673" t="s">
        <v>33</v>
      </c>
      <c r="L21673" t="s">
        <v>600</v>
      </c>
      <c r="N21673" t="s">
        <v>29</v>
      </c>
    </row>
    <row r="21674" spans="1:14">
      <c r="A21674" s="4" t="str">
        <f t="shared" si="1432"/>
        <v>EXP00452</v>
      </c>
      <c r="B21674" s="3" t="s">
        <v>66</v>
      </c>
      <c r="C21674" s="4" t="str">
        <f t="shared" si="1431"/>
        <v>TCGA-UCEC</v>
      </c>
      <c r="D21674" s="1" t="s">
        <v>493</v>
      </c>
      <c r="E21674" t="s">
        <v>601</v>
      </c>
      <c r="F21674" s="1">
        <v>2</v>
      </c>
      <c r="G21674" s="1" t="s">
        <v>28</v>
      </c>
      <c r="H21674" s="4" t="str">
        <f>HYPERLINK("https://portal.gdc.cancer.gov/cases/ca858743-1f06-40e3-accf-395d08375b63","TCGA-BS-A0V7-01A")</f>
        <v>TCGA-BS-A0V7-01A</v>
      </c>
      <c r="I21674" t="s">
        <v>444</v>
      </c>
      <c r="J21674" t="s">
        <v>599</v>
      </c>
      <c r="K21674" t="s">
        <v>33</v>
      </c>
      <c r="L21674" t="s">
        <v>600</v>
      </c>
      <c r="N21674" t="s">
        <v>29</v>
      </c>
    </row>
    <row r="21675" spans="1:14">
      <c r="A21675" s="4" t="str">
        <f t="shared" si="1432"/>
        <v>EXP00452</v>
      </c>
      <c r="B21675" s="3" t="s">
        <v>66</v>
      </c>
      <c r="C21675" s="4" t="str">
        <f t="shared" si="1431"/>
        <v>TCGA-UCEC</v>
      </c>
      <c r="D21675" s="1" t="s">
        <v>493</v>
      </c>
      <c r="E21675" t="s">
        <v>601</v>
      </c>
      <c r="F21675" s="1">
        <v>2</v>
      </c>
      <c r="G21675" s="1" t="s">
        <v>28</v>
      </c>
      <c r="H21675" s="4" t="str">
        <f>HYPERLINK("https://portal.gdc.cancer.gov/cases/2b76cc9c-c379-43e4-9c3f-56197a3353be","TCGA-BS-A0V8-01A")</f>
        <v>TCGA-BS-A0V8-01A</v>
      </c>
      <c r="I21675" t="s">
        <v>444</v>
      </c>
      <c r="J21675" t="s">
        <v>599</v>
      </c>
      <c r="K21675" t="s">
        <v>33</v>
      </c>
      <c r="L21675" t="s">
        <v>600</v>
      </c>
      <c r="N21675" t="s">
        <v>29</v>
      </c>
    </row>
    <row r="21676" spans="1:14">
      <c r="A21676" s="4" t="str">
        <f t="shared" si="1432"/>
        <v>EXP00452</v>
      </c>
      <c r="B21676" s="3" t="s">
        <v>66</v>
      </c>
      <c r="C21676" s="4" t="str">
        <f t="shared" si="1431"/>
        <v>TCGA-UCEC</v>
      </c>
      <c r="D21676" s="1" t="s">
        <v>493</v>
      </c>
      <c r="E21676" t="s">
        <v>601</v>
      </c>
      <c r="F21676" s="1">
        <v>2</v>
      </c>
      <c r="G21676" s="1" t="s">
        <v>28</v>
      </c>
      <c r="H21676" s="4" t="str">
        <f>HYPERLINK("https://portal.gdc.cancer.gov/cases/3405c549-7da5-48ee-ba48-177a67bbcc5d","TCGA-BS-A0VI-01A")</f>
        <v>TCGA-BS-A0VI-01A</v>
      </c>
      <c r="I21676" t="s">
        <v>444</v>
      </c>
      <c r="J21676" t="s">
        <v>599</v>
      </c>
      <c r="K21676" t="s">
        <v>33</v>
      </c>
      <c r="L21676" t="s">
        <v>600</v>
      </c>
      <c r="N21676" t="s">
        <v>29</v>
      </c>
    </row>
    <row r="21677" spans="1:14">
      <c r="A21677" s="4" t="str">
        <f t="shared" si="1432"/>
        <v>EXP00452</v>
      </c>
      <c r="B21677" s="3" t="s">
        <v>66</v>
      </c>
      <c r="C21677" s="4" t="str">
        <f t="shared" si="1431"/>
        <v>TCGA-UCEC</v>
      </c>
      <c r="D21677" s="1" t="s">
        <v>493</v>
      </c>
      <c r="E21677" t="s">
        <v>601</v>
      </c>
      <c r="F21677" s="1">
        <v>2</v>
      </c>
      <c r="G21677" s="1" t="s">
        <v>28</v>
      </c>
      <c r="H21677" s="4" t="str">
        <f>HYPERLINK("https://portal.gdc.cancer.gov/cases/e095a927-d985-4fbd-8093-46c1c6ace4de","TCGA-BS-A0WQ-01A")</f>
        <v>TCGA-BS-A0WQ-01A</v>
      </c>
      <c r="I21677" t="s">
        <v>444</v>
      </c>
      <c r="J21677" t="s">
        <v>599</v>
      </c>
      <c r="K21677" t="s">
        <v>33</v>
      </c>
      <c r="L21677" t="s">
        <v>600</v>
      </c>
      <c r="N21677" t="s">
        <v>29</v>
      </c>
    </row>
    <row r="21678" spans="1:14">
      <c r="A21678" s="4" t="str">
        <f t="shared" si="1432"/>
        <v>EXP00452</v>
      </c>
      <c r="B21678" s="3" t="s">
        <v>66</v>
      </c>
      <c r="C21678" s="4" t="str">
        <f t="shared" si="1431"/>
        <v>TCGA-UCEC</v>
      </c>
      <c r="D21678" s="1" t="s">
        <v>493</v>
      </c>
      <c r="E21678" t="s">
        <v>601</v>
      </c>
      <c r="F21678" s="1">
        <v>2</v>
      </c>
      <c r="G21678" s="1" t="s">
        <v>28</v>
      </c>
      <c r="H21678" s="4" t="str">
        <f>HYPERLINK("https://portal.gdc.cancer.gov/cases/916ccf0d-02ef-4ccb-824b-6b4294095a08","TCGA-D1-A0ZN-01A")</f>
        <v>TCGA-D1-A0ZN-01A</v>
      </c>
      <c r="I21678" t="s">
        <v>444</v>
      </c>
      <c r="J21678" t="s">
        <v>599</v>
      </c>
      <c r="K21678" t="s">
        <v>33</v>
      </c>
      <c r="L21678" t="s">
        <v>600</v>
      </c>
      <c r="N21678" t="s">
        <v>29</v>
      </c>
    </row>
    <row r="21679" spans="1:14">
      <c r="A21679" s="4" t="str">
        <f t="shared" si="1432"/>
        <v>EXP00452</v>
      </c>
      <c r="B21679" s="3" t="s">
        <v>66</v>
      </c>
      <c r="C21679" s="4" t="str">
        <f t="shared" si="1431"/>
        <v>TCGA-UCEC</v>
      </c>
      <c r="D21679" s="1" t="s">
        <v>493</v>
      </c>
      <c r="E21679" t="s">
        <v>601</v>
      </c>
      <c r="F21679" s="1">
        <v>2</v>
      </c>
      <c r="G21679" s="1" t="s">
        <v>28</v>
      </c>
      <c r="H21679" s="4" t="str">
        <f>HYPERLINK("https://portal.gdc.cancer.gov/cases/b3d635b3-d7ac-4cf8-a318-0a9dd0073e89","TCGA-D1-A0ZO-01A")</f>
        <v>TCGA-D1-A0ZO-01A</v>
      </c>
      <c r="I21679" t="s">
        <v>444</v>
      </c>
      <c r="J21679" t="s">
        <v>599</v>
      </c>
      <c r="K21679" t="s">
        <v>33</v>
      </c>
      <c r="L21679" t="s">
        <v>600</v>
      </c>
      <c r="N21679" t="s">
        <v>29</v>
      </c>
    </row>
    <row r="21680" spans="1:14">
      <c r="A21680" s="4" t="str">
        <f t="shared" si="1432"/>
        <v>EXP00452</v>
      </c>
      <c r="B21680" s="3" t="s">
        <v>66</v>
      </c>
      <c r="C21680" s="4" t="str">
        <f t="shared" si="1431"/>
        <v>TCGA-UCEC</v>
      </c>
      <c r="D21680" s="1" t="s">
        <v>493</v>
      </c>
      <c r="E21680" t="s">
        <v>601</v>
      </c>
      <c r="F21680" s="1">
        <v>2</v>
      </c>
      <c r="G21680" s="1" t="s">
        <v>28</v>
      </c>
      <c r="H21680" s="4" t="str">
        <f>HYPERLINK("https://portal.gdc.cancer.gov/cases/ac216bb5-15e4-4462-955e-8a522380690e","TCGA-D1-A0ZP-01A")</f>
        <v>TCGA-D1-A0ZP-01A</v>
      </c>
      <c r="I21680" t="s">
        <v>444</v>
      </c>
      <c r="J21680" t="s">
        <v>599</v>
      </c>
      <c r="K21680" t="s">
        <v>33</v>
      </c>
      <c r="L21680" t="s">
        <v>600</v>
      </c>
      <c r="N21680" t="s">
        <v>29</v>
      </c>
    </row>
    <row r="21681" spans="1:14">
      <c r="A21681" s="4" t="str">
        <f t="shared" si="1432"/>
        <v>EXP00452</v>
      </c>
      <c r="B21681" s="3" t="s">
        <v>66</v>
      </c>
      <c r="C21681" s="4" t="str">
        <f t="shared" si="1431"/>
        <v>TCGA-UCEC</v>
      </c>
      <c r="D21681" s="1" t="s">
        <v>493</v>
      </c>
      <c r="E21681" t="s">
        <v>601</v>
      </c>
      <c r="F21681" s="1">
        <v>2</v>
      </c>
      <c r="G21681" s="1" t="s">
        <v>28</v>
      </c>
      <c r="H21681" s="4" t="str">
        <f>HYPERLINK("https://portal.gdc.cancer.gov/cases/38243a33-073a-479b-8cf6-c8847aeb5a48","TCGA-D1-A0ZQ-01A")</f>
        <v>TCGA-D1-A0ZQ-01A</v>
      </c>
      <c r="I21681" t="s">
        <v>444</v>
      </c>
      <c r="J21681" t="s">
        <v>599</v>
      </c>
      <c r="K21681" t="s">
        <v>33</v>
      </c>
      <c r="L21681" t="s">
        <v>600</v>
      </c>
      <c r="N21681" t="s">
        <v>29</v>
      </c>
    </row>
    <row r="21682" spans="1:14">
      <c r="A21682" s="4" t="str">
        <f t="shared" si="1432"/>
        <v>EXP00452</v>
      </c>
      <c r="B21682" s="3" t="s">
        <v>66</v>
      </c>
      <c r="C21682" s="4" t="str">
        <f t="shared" si="1431"/>
        <v>TCGA-UCEC</v>
      </c>
      <c r="D21682" s="1" t="s">
        <v>493</v>
      </c>
      <c r="E21682" t="s">
        <v>601</v>
      </c>
      <c r="F21682" s="1">
        <v>2</v>
      </c>
      <c r="G21682" s="1" t="s">
        <v>28</v>
      </c>
      <c r="H21682" s="4" t="str">
        <f>HYPERLINK("https://portal.gdc.cancer.gov/cases/0ce940f2-9eb1-4757-8f8f-147a4f3a1e67","TCGA-D1-A0ZR-01A")</f>
        <v>TCGA-D1-A0ZR-01A</v>
      </c>
      <c r="I21682" t="s">
        <v>444</v>
      </c>
      <c r="J21682" t="s">
        <v>599</v>
      </c>
      <c r="K21682" t="s">
        <v>33</v>
      </c>
      <c r="L21682" t="s">
        <v>600</v>
      </c>
      <c r="N21682" t="s">
        <v>29</v>
      </c>
    </row>
    <row r="21683" spans="1:14">
      <c r="A21683" s="4" t="str">
        <f t="shared" si="1432"/>
        <v>EXP00452</v>
      </c>
      <c r="B21683" s="3" t="s">
        <v>66</v>
      </c>
      <c r="C21683" s="4" t="str">
        <f t="shared" si="1431"/>
        <v>TCGA-UCEC</v>
      </c>
      <c r="D21683" s="1" t="s">
        <v>493</v>
      </c>
      <c r="E21683" t="s">
        <v>601</v>
      </c>
      <c r="F21683" s="1">
        <v>2</v>
      </c>
      <c r="G21683" s="1" t="s">
        <v>28</v>
      </c>
      <c r="H21683" s="4" t="str">
        <f>HYPERLINK("https://portal.gdc.cancer.gov/cases/80105773-372e-4552-a10b-5df188b15b16","TCGA-D1-A0ZS-01A")</f>
        <v>TCGA-D1-A0ZS-01A</v>
      </c>
      <c r="I21683" t="s">
        <v>444</v>
      </c>
      <c r="J21683" t="s">
        <v>599</v>
      </c>
      <c r="K21683" t="s">
        <v>33</v>
      </c>
      <c r="L21683" t="s">
        <v>600</v>
      </c>
      <c r="N21683" t="s">
        <v>29</v>
      </c>
    </row>
    <row r="21684" spans="1:14">
      <c r="A21684" s="4" t="str">
        <f t="shared" si="1432"/>
        <v>EXP00452</v>
      </c>
      <c r="B21684" s="3" t="s">
        <v>66</v>
      </c>
      <c r="C21684" s="4" t="str">
        <f t="shared" si="1431"/>
        <v>TCGA-UCEC</v>
      </c>
      <c r="D21684" s="1" t="s">
        <v>493</v>
      </c>
      <c r="E21684" t="s">
        <v>601</v>
      </c>
      <c r="F21684" s="1">
        <v>2</v>
      </c>
      <c r="G21684" s="1" t="s">
        <v>28</v>
      </c>
      <c r="H21684" s="4" t="str">
        <f>HYPERLINK("https://portal.gdc.cancer.gov/cases/d74bc72e-8103-4aed-8958-5f40953d48eb","TCGA-D1-A0ZU-01A")</f>
        <v>TCGA-D1-A0ZU-01A</v>
      </c>
      <c r="I21684" t="s">
        <v>444</v>
      </c>
      <c r="J21684" t="s">
        <v>599</v>
      </c>
      <c r="K21684" t="s">
        <v>33</v>
      </c>
      <c r="L21684" t="s">
        <v>600</v>
      </c>
      <c r="N21684" t="s">
        <v>29</v>
      </c>
    </row>
    <row r="21685" spans="1:14">
      <c r="A21685" s="4" t="str">
        <f t="shared" si="1432"/>
        <v>EXP00452</v>
      </c>
      <c r="B21685" s="3" t="s">
        <v>66</v>
      </c>
      <c r="C21685" s="4" t="str">
        <f t="shared" ref="C21685:C21748" si="1433">HYPERLINK("https://portal.gdc.cancer.gov/projects/TCGA-UCEC","TCGA-UCEC")</f>
        <v>TCGA-UCEC</v>
      </c>
      <c r="D21685" s="1" t="s">
        <v>493</v>
      </c>
      <c r="E21685" t="s">
        <v>601</v>
      </c>
      <c r="F21685" s="1">
        <v>2</v>
      </c>
      <c r="G21685" s="1" t="s">
        <v>28</v>
      </c>
      <c r="H21685" s="4" t="str">
        <f>HYPERLINK("https://portal.gdc.cancer.gov/cases/0c01c673-e396-47b2-9562-4144d7705ebf","TCGA-D1-A0ZV-01A")</f>
        <v>TCGA-D1-A0ZV-01A</v>
      </c>
      <c r="I21685" t="s">
        <v>444</v>
      </c>
      <c r="J21685" t="s">
        <v>599</v>
      </c>
      <c r="K21685" t="s">
        <v>33</v>
      </c>
      <c r="L21685" t="s">
        <v>600</v>
      </c>
      <c r="N21685" t="s">
        <v>29</v>
      </c>
    </row>
    <row r="21686" spans="1:14">
      <c r="A21686" s="4" t="str">
        <f t="shared" si="1432"/>
        <v>EXP00452</v>
      </c>
      <c r="B21686" s="3" t="s">
        <v>66</v>
      </c>
      <c r="C21686" s="4" t="str">
        <f t="shared" si="1433"/>
        <v>TCGA-UCEC</v>
      </c>
      <c r="D21686" s="1" t="s">
        <v>493</v>
      </c>
      <c r="E21686" t="s">
        <v>601</v>
      </c>
      <c r="F21686" s="1">
        <v>2</v>
      </c>
      <c r="G21686" s="1" t="s">
        <v>28</v>
      </c>
      <c r="H21686" s="4" t="str">
        <f>HYPERLINK("https://portal.gdc.cancer.gov/cases/4d3af3af-24f4-415a-9677-20b0f366a102","TCGA-D1-A0ZZ-01A")</f>
        <v>TCGA-D1-A0ZZ-01A</v>
      </c>
      <c r="I21686" t="s">
        <v>444</v>
      </c>
      <c r="J21686" t="s">
        <v>599</v>
      </c>
      <c r="K21686" t="s">
        <v>33</v>
      </c>
      <c r="L21686" t="s">
        <v>600</v>
      </c>
      <c r="N21686" t="s">
        <v>29</v>
      </c>
    </row>
    <row r="21687" spans="1:14">
      <c r="A21687" s="4" t="str">
        <f t="shared" si="1432"/>
        <v>EXP00452</v>
      </c>
      <c r="B21687" s="3" t="s">
        <v>66</v>
      </c>
      <c r="C21687" s="4" t="str">
        <f t="shared" si="1433"/>
        <v>TCGA-UCEC</v>
      </c>
      <c r="D21687" s="1" t="s">
        <v>493</v>
      </c>
      <c r="E21687" t="s">
        <v>601</v>
      </c>
      <c r="F21687" s="1">
        <v>2</v>
      </c>
      <c r="G21687" s="1" t="s">
        <v>28</v>
      </c>
      <c r="H21687" s="4" t="str">
        <f>HYPERLINK("https://portal.gdc.cancer.gov/cases/9da5ecd0-a287-4e67-84b6-af9077a98009","TCGA-D1-A101-01A")</f>
        <v>TCGA-D1-A101-01A</v>
      </c>
      <c r="I21687" t="s">
        <v>444</v>
      </c>
      <c r="J21687" t="s">
        <v>599</v>
      </c>
      <c r="K21687" t="s">
        <v>33</v>
      </c>
      <c r="L21687" t="s">
        <v>600</v>
      </c>
      <c r="N21687" t="s">
        <v>29</v>
      </c>
    </row>
    <row r="21688" spans="1:14">
      <c r="A21688" s="4" t="str">
        <f t="shared" si="1432"/>
        <v>EXP00452</v>
      </c>
      <c r="B21688" s="3" t="s">
        <v>66</v>
      </c>
      <c r="C21688" s="4" t="str">
        <f t="shared" si="1433"/>
        <v>TCGA-UCEC</v>
      </c>
      <c r="D21688" s="1" t="s">
        <v>493</v>
      </c>
      <c r="E21688" t="s">
        <v>601</v>
      </c>
      <c r="F21688" s="1">
        <v>2</v>
      </c>
      <c r="G21688" s="1" t="s">
        <v>28</v>
      </c>
      <c r="H21688" s="4" t="str">
        <f>HYPERLINK("https://portal.gdc.cancer.gov/cases/f9cf4125-0db3-4b66-b51b-bc2f0240c9ef","TCGA-D1-A102-01A")</f>
        <v>TCGA-D1-A102-01A</v>
      </c>
      <c r="I21688" t="s">
        <v>444</v>
      </c>
      <c r="J21688" t="s">
        <v>599</v>
      </c>
      <c r="K21688" t="s">
        <v>33</v>
      </c>
      <c r="L21688" t="s">
        <v>600</v>
      </c>
      <c r="N21688" t="s">
        <v>29</v>
      </c>
    </row>
    <row r="21689" spans="1:14">
      <c r="A21689" s="4" t="str">
        <f t="shared" si="1432"/>
        <v>EXP00452</v>
      </c>
      <c r="B21689" s="3" t="s">
        <v>66</v>
      </c>
      <c r="C21689" s="4" t="str">
        <f t="shared" si="1433"/>
        <v>TCGA-UCEC</v>
      </c>
      <c r="D21689" s="1" t="s">
        <v>493</v>
      </c>
      <c r="E21689" t="s">
        <v>601</v>
      </c>
      <c r="F21689" s="1">
        <v>2</v>
      </c>
      <c r="G21689" s="1" t="s">
        <v>28</v>
      </c>
      <c r="H21689" s="4" t="str">
        <f>HYPERLINK("https://portal.gdc.cancer.gov/cases/7427f9e8-1140-45fd-9613-78b72b13a7ba","TCGA-D1-A103-01A")</f>
        <v>TCGA-D1-A103-01A</v>
      </c>
      <c r="I21689" t="s">
        <v>444</v>
      </c>
      <c r="J21689" t="s">
        <v>599</v>
      </c>
      <c r="K21689" t="s">
        <v>33</v>
      </c>
      <c r="L21689" t="s">
        <v>600</v>
      </c>
      <c r="N21689" t="s">
        <v>29</v>
      </c>
    </row>
    <row r="21690" spans="1:14">
      <c r="A21690" s="4" t="str">
        <f t="shared" si="1432"/>
        <v>EXP00452</v>
      </c>
      <c r="B21690" s="3" t="s">
        <v>66</v>
      </c>
      <c r="C21690" s="4" t="str">
        <f t="shared" si="1433"/>
        <v>TCGA-UCEC</v>
      </c>
      <c r="D21690" s="1" t="s">
        <v>493</v>
      </c>
      <c r="E21690" t="s">
        <v>601</v>
      </c>
      <c r="F21690" s="1">
        <v>2</v>
      </c>
      <c r="G21690" s="1" t="s">
        <v>28</v>
      </c>
      <c r="H21690" s="4" t="str">
        <f>HYPERLINK("https://portal.gdc.cancer.gov/cases/f7010b87-a559-4501-99f9-0fcca1e986e1","TCGA-D1-A15V-01A")</f>
        <v>TCGA-D1-A15V-01A</v>
      </c>
      <c r="I21690" t="s">
        <v>444</v>
      </c>
      <c r="J21690" t="s">
        <v>599</v>
      </c>
      <c r="K21690" t="s">
        <v>33</v>
      </c>
      <c r="L21690" t="s">
        <v>600</v>
      </c>
      <c r="N21690" t="s">
        <v>29</v>
      </c>
    </row>
    <row r="21691" spans="1:14">
      <c r="A21691" s="4" t="str">
        <f t="shared" si="1432"/>
        <v>EXP00452</v>
      </c>
      <c r="B21691" s="3" t="s">
        <v>66</v>
      </c>
      <c r="C21691" s="4" t="str">
        <f t="shared" si="1433"/>
        <v>TCGA-UCEC</v>
      </c>
      <c r="D21691" s="1" t="s">
        <v>493</v>
      </c>
      <c r="E21691" t="s">
        <v>601</v>
      </c>
      <c r="F21691" s="1">
        <v>2</v>
      </c>
      <c r="G21691" s="1" t="s">
        <v>28</v>
      </c>
      <c r="H21691" s="4" t="str">
        <f>HYPERLINK("https://portal.gdc.cancer.gov/cases/d6562acf-6d82-4f08-a779-82cdc5df16f9","TCGA-D1-A15W-01A")</f>
        <v>TCGA-D1-A15W-01A</v>
      </c>
      <c r="I21691" t="s">
        <v>444</v>
      </c>
      <c r="J21691" t="s">
        <v>599</v>
      </c>
      <c r="K21691" t="s">
        <v>33</v>
      </c>
      <c r="L21691" t="s">
        <v>600</v>
      </c>
      <c r="N21691" t="s">
        <v>29</v>
      </c>
    </row>
    <row r="21692" spans="1:14">
      <c r="A21692" s="4" t="str">
        <f t="shared" si="1432"/>
        <v>EXP00452</v>
      </c>
      <c r="B21692" s="3" t="s">
        <v>66</v>
      </c>
      <c r="C21692" s="4" t="str">
        <f t="shared" si="1433"/>
        <v>TCGA-UCEC</v>
      </c>
      <c r="D21692" s="1" t="s">
        <v>493</v>
      </c>
      <c r="E21692" t="s">
        <v>601</v>
      </c>
      <c r="F21692" s="1">
        <v>2</v>
      </c>
      <c r="G21692" s="1" t="s">
        <v>28</v>
      </c>
      <c r="H21692" s="4" t="str">
        <f>HYPERLINK("https://portal.gdc.cancer.gov/cases/14c03068-8930-472a-9fd1-49c9fd4db47d","TCGA-D1-A15X-01A")</f>
        <v>TCGA-D1-A15X-01A</v>
      </c>
      <c r="I21692" t="s">
        <v>444</v>
      </c>
      <c r="J21692" t="s">
        <v>599</v>
      </c>
      <c r="K21692" t="s">
        <v>33</v>
      </c>
      <c r="L21692" t="s">
        <v>600</v>
      </c>
      <c r="N21692" t="s">
        <v>29</v>
      </c>
    </row>
    <row r="21693" spans="1:14">
      <c r="A21693" s="4" t="str">
        <f t="shared" si="1432"/>
        <v>EXP00452</v>
      </c>
      <c r="B21693" s="3" t="s">
        <v>66</v>
      </c>
      <c r="C21693" s="4" t="str">
        <f t="shared" si="1433"/>
        <v>TCGA-UCEC</v>
      </c>
      <c r="D21693" s="1" t="s">
        <v>493</v>
      </c>
      <c r="E21693" t="s">
        <v>601</v>
      </c>
      <c r="F21693" s="1">
        <v>2</v>
      </c>
      <c r="G21693" s="1" t="s">
        <v>28</v>
      </c>
      <c r="H21693" s="4" t="str">
        <f>HYPERLINK("https://portal.gdc.cancer.gov/cases/c5df9142-27f6-4d97-933e-c79ea9199362","TCGA-D1-A15Z-01A")</f>
        <v>TCGA-D1-A15Z-01A</v>
      </c>
      <c r="I21693" t="s">
        <v>444</v>
      </c>
      <c r="J21693" t="s">
        <v>599</v>
      </c>
      <c r="K21693" t="s">
        <v>33</v>
      </c>
      <c r="L21693" t="s">
        <v>600</v>
      </c>
      <c r="N21693" t="s">
        <v>29</v>
      </c>
    </row>
    <row r="21694" spans="1:14">
      <c r="A21694" s="4" t="str">
        <f t="shared" si="1432"/>
        <v>EXP00452</v>
      </c>
      <c r="B21694" s="3" t="s">
        <v>66</v>
      </c>
      <c r="C21694" s="4" t="str">
        <f t="shared" si="1433"/>
        <v>TCGA-UCEC</v>
      </c>
      <c r="D21694" s="1" t="s">
        <v>493</v>
      </c>
      <c r="E21694" t="s">
        <v>601</v>
      </c>
      <c r="F21694" s="1">
        <v>2</v>
      </c>
      <c r="G21694" s="1" t="s">
        <v>28</v>
      </c>
      <c r="H21694" s="4" t="str">
        <f>HYPERLINK("https://portal.gdc.cancer.gov/cases/170bbbac-940f-4e1b-b0b8-60fa36d0fa23","TCGA-D1-A160-01A")</f>
        <v>TCGA-D1-A160-01A</v>
      </c>
      <c r="I21694" t="s">
        <v>444</v>
      </c>
      <c r="J21694" t="s">
        <v>599</v>
      </c>
      <c r="K21694" t="s">
        <v>33</v>
      </c>
      <c r="L21694" t="s">
        <v>600</v>
      </c>
      <c r="N21694" t="s">
        <v>29</v>
      </c>
    </row>
    <row r="21695" spans="1:14">
      <c r="A21695" s="4" t="str">
        <f t="shared" si="1432"/>
        <v>EXP00452</v>
      </c>
      <c r="B21695" s="3" t="s">
        <v>66</v>
      </c>
      <c r="C21695" s="4" t="str">
        <f t="shared" si="1433"/>
        <v>TCGA-UCEC</v>
      </c>
      <c r="D21695" s="1" t="s">
        <v>493</v>
      </c>
      <c r="E21695" t="s">
        <v>601</v>
      </c>
      <c r="F21695" s="1">
        <v>2</v>
      </c>
      <c r="G21695" s="1" t="s">
        <v>28</v>
      </c>
      <c r="H21695" s="4" t="str">
        <f>HYPERLINK("https://portal.gdc.cancer.gov/cases/0305db4a-62ee-4ecb-bede-032981298732","TCGA-D1-A161-01A")</f>
        <v>TCGA-D1-A161-01A</v>
      </c>
      <c r="I21695" t="s">
        <v>444</v>
      </c>
      <c r="J21695" t="s">
        <v>599</v>
      </c>
      <c r="K21695" t="s">
        <v>33</v>
      </c>
      <c r="L21695" t="s">
        <v>600</v>
      </c>
      <c r="N21695" t="s">
        <v>29</v>
      </c>
    </row>
    <row r="21696" spans="1:14">
      <c r="A21696" s="4" t="str">
        <f t="shared" si="1432"/>
        <v>EXP00452</v>
      </c>
      <c r="B21696" s="3" t="s">
        <v>66</v>
      </c>
      <c r="C21696" s="4" t="str">
        <f t="shared" si="1433"/>
        <v>TCGA-UCEC</v>
      </c>
      <c r="D21696" s="1" t="s">
        <v>493</v>
      </c>
      <c r="E21696" t="s">
        <v>601</v>
      </c>
      <c r="F21696" s="1">
        <v>2</v>
      </c>
      <c r="G21696" s="1" t="s">
        <v>28</v>
      </c>
      <c r="H21696" s="4" t="str">
        <f>HYPERLINK("https://portal.gdc.cancer.gov/cases/3f96b142-77b6-40a1-8e16-6581b964583b","TCGA-D1-A162-01A")</f>
        <v>TCGA-D1-A162-01A</v>
      </c>
      <c r="I21696" t="s">
        <v>444</v>
      </c>
      <c r="J21696" t="s">
        <v>599</v>
      </c>
      <c r="K21696" t="s">
        <v>33</v>
      </c>
      <c r="L21696" t="s">
        <v>600</v>
      </c>
      <c r="N21696" t="s">
        <v>29</v>
      </c>
    </row>
    <row r="21697" spans="1:14">
      <c r="A21697" s="4" t="str">
        <f t="shared" si="1432"/>
        <v>EXP00452</v>
      </c>
      <c r="B21697" s="3" t="s">
        <v>66</v>
      </c>
      <c r="C21697" s="4" t="str">
        <f t="shared" si="1433"/>
        <v>TCGA-UCEC</v>
      </c>
      <c r="D21697" s="1" t="s">
        <v>493</v>
      </c>
      <c r="E21697" t="s">
        <v>601</v>
      </c>
      <c r="F21697" s="1">
        <v>2</v>
      </c>
      <c r="G21697" s="1" t="s">
        <v>28</v>
      </c>
      <c r="H21697" s="4" t="str">
        <f>HYPERLINK("https://portal.gdc.cancer.gov/cases/a438dce7-6592-4ea6-a401-57f5a8fe8ba6","TCGA-D1-A163-01A")</f>
        <v>TCGA-D1-A163-01A</v>
      </c>
      <c r="I21697" t="s">
        <v>444</v>
      </c>
      <c r="J21697" t="s">
        <v>599</v>
      </c>
      <c r="K21697" t="s">
        <v>33</v>
      </c>
      <c r="L21697" t="s">
        <v>600</v>
      </c>
      <c r="N21697" t="s">
        <v>29</v>
      </c>
    </row>
    <row r="21698" spans="1:14">
      <c r="A21698" s="4" t="str">
        <f t="shared" si="1432"/>
        <v>EXP00452</v>
      </c>
      <c r="B21698" s="3" t="s">
        <v>66</v>
      </c>
      <c r="C21698" s="4" t="str">
        <f t="shared" si="1433"/>
        <v>TCGA-UCEC</v>
      </c>
      <c r="D21698" s="1" t="s">
        <v>493</v>
      </c>
      <c r="E21698" t="s">
        <v>601</v>
      </c>
      <c r="F21698" s="1">
        <v>2</v>
      </c>
      <c r="G21698" s="1" t="s">
        <v>28</v>
      </c>
      <c r="H21698" s="4" t="str">
        <f>HYPERLINK("https://portal.gdc.cancer.gov/cases/9bc2f33f-3067-4000-bc8a-1c5bb671d101","TCGA-D1-A165-01A")</f>
        <v>TCGA-D1-A165-01A</v>
      </c>
      <c r="I21698" t="s">
        <v>444</v>
      </c>
      <c r="J21698" t="s">
        <v>599</v>
      </c>
      <c r="K21698" t="s">
        <v>33</v>
      </c>
      <c r="L21698" t="s">
        <v>600</v>
      </c>
      <c r="N21698" t="s">
        <v>29</v>
      </c>
    </row>
    <row r="21699" spans="1:14">
      <c r="A21699" s="4" t="str">
        <f t="shared" si="1432"/>
        <v>EXP00452</v>
      </c>
      <c r="B21699" s="3" t="s">
        <v>66</v>
      </c>
      <c r="C21699" s="4" t="str">
        <f t="shared" si="1433"/>
        <v>TCGA-UCEC</v>
      </c>
      <c r="D21699" s="1" t="s">
        <v>493</v>
      </c>
      <c r="E21699" t="s">
        <v>601</v>
      </c>
      <c r="F21699" s="1">
        <v>2</v>
      </c>
      <c r="G21699" s="1" t="s">
        <v>28</v>
      </c>
      <c r="H21699" s="4" t="str">
        <f>HYPERLINK("https://portal.gdc.cancer.gov/cases/3d215e20-9eea-47e0-849e-cff1fee5634d","TCGA-D1-A167-01A")</f>
        <v>TCGA-D1-A167-01A</v>
      </c>
      <c r="I21699" t="s">
        <v>444</v>
      </c>
      <c r="J21699" t="s">
        <v>599</v>
      </c>
      <c r="K21699" t="s">
        <v>33</v>
      </c>
      <c r="L21699" t="s">
        <v>600</v>
      </c>
      <c r="N21699" t="s">
        <v>29</v>
      </c>
    </row>
    <row r="21700" spans="1:14">
      <c r="A21700" s="4" t="str">
        <f t="shared" si="1432"/>
        <v>EXP00452</v>
      </c>
      <c r="B21700" s="3" t="s">
        <v>66</v>
      </c>
      <c r="C21700" s="4" t="str">
        <f t="shared" si="1433"/>
        <v>TCGA-UCEC</v>
      </c>
      <c r="D21700" s="1" t="s">
        <v>493</v>
      </c>
      <c r="E21700" t="s">
        <v>601</v>
      </c>
      <c r="F21700" s="1">
        <v>2</v>
      </c>
      <c r="G21700" s="1" t="s">
        <v>28</v>
      </c>
      <c r="H21700" s="4" t="str">
        <f>HYPERLINK("https://portal.gdc.cancer.gov/cases/41893e97-7e90-4b03-b738-260f288ade4c","TCGA-D1-A168-01A")</f>
        <v>TCGA-D1-A168-01A</v>
      </c>
      <c r="I21700" t="s">
        <v>444</v>
      </c>
      <c r="J21700" t="s">
        <v>599</v>
      </c>
      <c r="K21700" t="s">
        <v>33</v>
      </c>
      <c r="L21700" t="s">
        <v>600</v>
      </c>
      <c r="N21700" t="s">
        <v>29</v>
      </c>
    </row>
    <row r="21701" spans="1:14">
      <c r="A21701" s="4" t="str">
        <f t="shared" si="1432"/>
        <v>EXP00452</v>
      </c>
      <c r="B21701" s="3" t="s">
        <v>66</v>
      </c>
      <c r="C21701" s="4" t="str">
        <f t="shared" si="1433"/>
        <v>TCGA-UCEC</v>
      </c>
      <c r="D21701" s="1" t="s">
        <v>493</v>
      </c>
      <c r="E21701" t="s">
        <v>601</v>
      </c>
      <c r="F21701" s="1">
        <v>2</v>
      </c>
      <c r="G21701" s="1" t="s">
        <v>28</v>
      </c>
      <c r="H21701" s="4" t="str">
        <f>HYPERLINK("https://portal.gdc.cancer.gov/cases/9a599f57-0e8d-4e1f-a181-791f5fdeadb7","TCGA-D1-A169-01A")</f>
        <v>TCGA-D1-A169-01A</v>
      </c>
      <c r="I21701" t="s">
        <v>444</v>
      </c>
      <c r="J21701" t="s">
        <v>599</v>
      </c>
      <c r="K21701" t="s">
        <v>33</v>
      </c>
      <c r="L21701" t="s">
        <v>600</v>
      </c>
      <c r="N21701" t="s">
        <v>29</v>
      </c>
    </row>
    <row r="21702" spans="1:14">
      <c r="A21702" s="4" t="str">
        <f t="shared" si="1432"/>
        <v>EXP00452</v>
      </c>
      <c r="B21702" s="3" t="s">
        <v>66</v>
      </c>
      <c r="C21702" s="4" t="str">
        <f t="shared" si="1433"/>
        <v>TCGA-UCEC</v>
      </c>
      <c r="D21702" s="1" t="s">
        <v>493</v>
      </c>
      <c r="E21702" t="s">
        <v>601</v>
      </c>
      <c r="F21702" s="1">
        <v>2</v>
      </c>
      <c r="G21702" s="1" t="s">
        <v>28</v>
      </c>
      <c r="H21702" s="4" t="str">
        <f>HYPERLINK("https://portal.gdc.cancer.gov/cases/bca1057a-1e96-404d-8a37-5a8dc1944ee7","TCGA-D1-A16B-01A")</f>
        <v>TCGA-D1-A16B-01A</v>
      </c>
      <c r="I21702" t="s">
        <v>444</v>
      </c>
      <c r="J21702" t="s">
        <v>599</v>
      </c>
      <c r="K21702" t="s">
        <v>33</v>
      </c>
      <c r="L21702" t="s">
        <v>600</v>
      </c>
      <c r="N21702" t="s">
        <v>29</v>
      </c>
    </row>
    <row r="21703" spans="1:14">
      <c r="A21703" s="4" t="str">
        <f t="shared" si="1432"/>
        <v>EXP00452</v>
      </c>
      <c r="B21703" s="3" t="s">
        <v>66</v>
      </c>
      <c r="C21703" s="4" t="str">
        <f t="shared" si="1433"/>
        <v>TCGA-UCEC</v>
      </c>
      <c r="D21703" s="1" t="s">
        <v>493</v>
      </c>
      <c r="E21703" t="s">
        <v>601</v>
      </c>
      <c r="F21703" s="1">
        <v>2</v>
      </c>
      <c r="G21703" s="1" t="s">
        <v>28</v>
      </c>
      <c r="H21703" s="4" t="str">
        <f>HYPERLINK("https://portal.gdc.cancer.gov/cases/5693302a-4548-4c0b-8725-0cb7c67bc4f8","TCGA-D1-A16D-01A")</f>
        <v>TCGA-D1-A16D-01A</v>
      </c>
      <c r="I21703" t="s">
        <v>444</v>
      </c>
      <c r="J21703" t="s">
        <v>599</v>
      </c>
      <c r="K21703" t="s">
        <v>33</v>
      </c>
      <c r="L21703" t="s">
        <v>600</v>
      </c>
      <c r="N21703" t="s">
        <v>29</v>
      </c>
    </row>
    <row r="21704" spans="1:14">
      <c r="A21704" s="4" t="str">
        <f t="shared" si="1432"/>
        <v>EXP00452</v>
      </c>
      <c r="B21704" s="3" t="s">
        <v>66</v>
      </c>
      <c r="C21704" s="4" t="str">
        <f t="shared" si="1433"/>
        <v>TCGA-UCEC</v>
      </c>
      <c r="D21704" s="1" t="s">
        <v>493</v>
      </c>
      <c r="E21704" t="s">
        <v>601</v>
      </c>
      <c r="F21704" s="1">
        <v>2</v>
      </c>
      <c r="G21704" s="1" t="s">
        <v>28</v>
      </c>
      <c r="H21704" s="4" t="str">
        <f>HYPERLINK("https://portal.gdc.cancer.gov/cases/e70465f6-1922-4eb7-b646-8b01ad3ce77b","TCGA-D1-A16E-01A")</f>
        <v>TCGA-D1-A16E-01A</v>
      </c>
      <c r="I21704" t="s">
        <v>444</v>
      </c>
      <c r="J21704" t="s">
        <v>599</v>
      </c>
      <c r="K21704" t="s">
        <v>33</v>
      </c>
      <c r="L21704" t="s">
        <v>600</v>
      </c>
      <c r="N21704" t="s">
        <v>29</v>
      </c>
    </row>
    <row r="21705" spans="1:14">
      <c r="A21705" s="4" t="str">
        <f t="shared" si="1432"/>
        <v>EXP00452</v>
      </c>
      <c r="B21705" s="3" t="s">
        <v>66</v>
      </c>
      <c r="C21705" s="4" t="str">
        <f t="shared" si="1433"/>
        <v>TCGA-UCEC</v>
      </c>
      <c r="D21705" s="1" t="s">
        <v>493</v>
      </c>
      <c r="E21705" t="s">
        <v>601</v>
      </c>
      <c r="F21705" s="1">
        <v>2</v>
      </c>
      <c r="G21705" s="1" t="s">
        <v>28</v>
      </c>
      <c r="H21705" s="4" t="str">
        <f>HYPERLINK("https://portal.gdc.cancer.gov/cases/60c65e5e-57a4-4f15-8b95-30bd2dbd9010","TCGA-D1-A16F-01A")</f>
        <v>TCGA-D1-A16F-01A</v>
      </c>
      <c r="I21705" t="s">
        <v>444</v>
      </c>
      <c r="J21705" t="s">
        <v>599</v>
      </c>
      <c r="K21705" t="s">
        <v>33</v>
      </c>
      <c r="L21705" t="s">
        <v>600</v>
      </c>
      <c r="N21705" t="s">
        <v>29</v>
      </c>
    </row>
    <row r="21706" spans="1:14">
      <c r="A21706" s="4" t="str">
        <f t="shared" si="1432"/>
        <v>EXP00452</v>
      </c>
      <c r="B21706" s="3" t="s">
        <v>66</v>
      </c>
      <c r="C21706" s="4" t="str">
        <f t="shared" si="1433"/>
        <v>TCGA-UCEC</v>
      </c>
      <c r="D21706" s="1" t="s">
        <v>493</v>
      </c>
      <c r="E21706" t="s">
        <v>601</v>
      </c>
      <c r="F21706" s="1">
        <v>2</v>
      </c>
      <c r="G21706" s="1" t="s">
        <v>28</v>
      </c>
      <c r="H21706" s="4" t="str">
        <f>HYPERLINK("https://portal.gdc.cancer.gov/cases/16e69011-c295-479f-b521-86e66fba498d","TCGA-D1-A16G-01A")</f>
        <v>TCGA-D1-A16G-01A</v>
      </c>
      <c r="I21706" t="s">
        <v>444</v>
      </c>
      <c r="J21706" t="s">
        <v>599</v>
      </c>
      <c r="K21706" t="s">
        <v>33</v>
      </c>
      <c r="L21706" t="s">
        <v>600</v>
      </c>
      <c r="N21706" t="s">
        <v>29</v>
      </c>
    </row>
    <row r="21707" spans="1:14">
      <c r="A21707" s="4" t="str">
        <f t="shared" si="1432"/>
        <v>EXP00452</v>
      </c>
      <c r="B21707" s="3" t="s">
        <v>66</v>
      </c>
      <c r="C21707" s="4" t="str">
        <f t="shared" si="1433"/>
        <v>TCGA-UCEC</v>
      </c>
      <c r="D21707" s="1" t="s">
        <v>493</v>
      </c>
      <c r="E21707" t="s">
        <v>601</v>
      </c>
      <c r="F21707" s="1">
        <v>2</v>
      </c>
      <c r="G21707" s="1" t="s">
        <v>28</v>
      </c>
      <c r="H21707" s="4" t="str">
        <f>HYPERLINK("https://portal.gdc.cancer.gov/cases/548ec160-4183-459f-8393-f4b4672a3251","TCGA-D1-A16I-01A")</f>
        <v>TCGA-D1-A16I-01A</v>
      </c>
      <c r="I21707" t="s">
        <v>444</v>
      </c>
      <c r="J21707" t="s">
        <v>599</v>
      </c>
      <c r="K21707" t="s">
        <v>33</v>
      </c>
      <c r="L21707" t="s">
        <v>600</v>
      </c>
      <c r="N21707" t="s">
        <v>29</v>
      </c>
    </row>
    <row r="21708" spans="1:14">
      <c r="A21708" s="4" t="str">
        <f t="shared" si="1432"/>
        <v>EXP00452</v>
      </c>
      <c r="B21708" s="3" t="s">
        <v>66</v>
      </c>
      <c r="C21708" s="4" t="str">
        <f t="shared" si="1433"/>
        <v>TCGA-UCEC</v>
      </c>
      <c r="D21708" s="1" t="s">
        <v>493</v>
      </c>
      <c r="E21708" t="s">
        <v>601</v>
      </c>
      <c r="F21708" s="1">
        <v>2</v>
      </c>
      <c r="G21708" s="1" t="s">
        <v>28</v>
      </c>
      <c r="H21708" s="4" t="str">
        <f>HYPERLINK("https://portal.gdc.cancer.gov/cases/4db4d048-016a-4186-a519-bfbad237762f","TCGA-D1-A16J-01A")</f>
        <v>TCGA-D1-A16J-01A</v>
      </c>
      <c r="I21708" t="s">
        <v>444</v>
      </c>
      <c r="J21708" t="s">
        <v>599</v>
      </c>
      <c r="K21708" t="s">
        <v>33</v>
      </c>
      <c r="L21708" t="s">
        <v>600</v>
      </c>
      <c r="N21708" t="s">
        <v>29</v>
      </c>
    </row>
    <row r="21709" spans="1:14">
      <c r="A21709" s="4" t="str">
        <f t="shared" si="1432"/>
        <v>EXP00452</v>
      </c>
      <c r="B21709" s="3" t="s">
        <v>66</v>
      </c>
      <c r="C21709" s="4" t="str">
        <f t="shared" si="1433"/>
        <v>TCGA-UCEC</v>
      </c>
      <c r="D21709" s="1" t="s">
        <v>493</v>
      </c>
      <c r="E21709" t="s">
        <v>601</v>
      </c>
      <c r="F21709" s="1">
        <v>2</v>
      </c>
      <c r="G21709" s="1" t="s">
        <v>28</v>
      </c>
      <c r="H21709" s="4" t="str">
        <f>HYPERLINK("https://portal.gdc.cancer.gov/cases/dbbbddae-d711-40f5-bd10-863735885b1f","TCGA-D1-A16N-01A")</f>
        <v>TCGA-D1-A16N-01A</v>
      </c>
      <c r="I21709" t="s">
        <v>444</v>
      </c>
      <c r="J21709" t="s">
        <v>599</v>
      </c>
      <c r="K21709" t="s">
        <v>33</v>
      </c>
      <c r="L21709" t="s">
        <v>600</v>
      </c>
      <c r="N21709" t="s">
        <v>29</v>
      </c>
    </row>
    <row r="21710" spans="1:14">
      <c r="A21710" s="4" t="str">
        <f t="shared" ref="A21710:A21773" si="1434">HYPERLINK("http://hcmdb.i-sanger.com/experiment/details/experiment_id/EXP00452","EXP00452")</f>
        <v>EXP00452</v>
      </c>
      <c r="B21710" s="3" t="s">
        <v>66</v>
      </c>
      <c r="C21710" s="4" t="str">
        <f t="shared" si="1433"/>
        <v>TCGA-UCEC</v>
      </c>
      <c r="D21710" s="1" t="s">
        <v>493</v>
      </c>
      <c r="E21710" t="s">
        <v>601</v>
      </c>
      <c r="F21710" s="1">
        <v>2</v>
      </c>
      <c r="G21710" s="1" t="s">
        <v>28</v>
      </c>
      <c r="H21710" s="4" t="str">
        <f>HYPERLINK("https://portal.gdc.cancer.gov/cases/8f508b78-cdc6-4a3d-b86e-520746d78653","TCGA-D1-A16O-01A")</f>
        <v>TCGA-D1-A16O-01A</v>
      </c>
      <c r="I21710" t="s">
        <v>444</v>
      </c>
      <c r="J21710" t="s">
        <v>599</v>
      </c>
      <c r="K21710" t="s">
        <v>33</v>
      </c>
      <c r="L21710" t="s">
        <v>600</v>
      </c>
      <c r="N21710" t="s">
        <v>29</v>
      </c>
    </row>
    <row r="21711" spans="1:14">
      <c r="A21711" s="4" t="str">
        <f t="shared" si="1434"/>
        <v>EXP00452</v>
      </c>
      <c r="B21711" s="3" t="s">
        <v>66</v>
      </c>
      <c r="C21711" s="4" t="str">
        <f t="shared" si="1433"/>
        <v>TCGA-UCEC</v>
      </c>
      <c r="D21711" s="1" t="s">
        <v>493</v>
      </c>
      <c r="E21711" t="s">
        <v>601</v>
      </c>
      <c r="F21711" s="1">
        <v>2</v>
      </c>
      <c r="G21711" s="1" t="s">
        <v>28</v>
      </c>
      <c r="H21711" s="4" t="str">
        <f>HYPERLINK("https://portal.gdc.cancer.gov/cases/7f4f3aed-69af-421e-817b-b258dcc0bac5","TCGA-D1-A16Q-01A")</f>
        <v>TCGA-D1-A16Q-01A</v>
      </c>
      <c r="I21711" t="s">
        <v>444</v>
      </c>
      <c r="J21711" t="s">
        <v>599</v>
      </c>
      <c r="K21711" t="s">
        <v>33</v>
      </c>
      <c r="L21711" t="s">
        <v>600</v>
      </c>
      <c r="N21711" t="s">
        <v>29</v>
      </c>
    </row>
    <row r="21712" spans="1:14">
      <c r="A21712" s="4" t="str">
        <f t="shared" si="1434"/>
        <v>EXP00452</v>
      </c>
      <c r="B21712" s="3" t="s">
        <v>66</v>
      </c>
      <c r="C21712" s="4" t="str">
        <f t="shared" si="1433"/>
        <v>TCGA-UCEC</v>
      </c>
      <c r="D21712" s="1" t="s">
        <v>493</v>
      </c>
      <c r="E21712" t="s">
        <v>601</v>
      </c>
      <c r="F21712" s="1">
        <v>2</v>
      </c>
      <c r="G21712" s="1" t="s">
        <v>28</v>
      </c>
      <c r="H21712" s="4" t="str">
        <f>HYPERLINK("https://portal.gdc.cancer.gov/cases/40f43483-b504-4ea7-ad24-40682b10caac","TCGA-D1-A16R-01A")</f>
        <v>TCGA-D1-A16R-01A</v>
      </c>
      <c r="I21712" t="s">
        <v>444</v>
      </c>
      <c r="J21712" t="s">
        <v>599</v>
      </c>
      <c r="K21712" t="s">
        <v>33</v>
      </c>
      <c r="L21712" t="s">
        <v>600</v>
      </c>
      <c r="N21712" t="s">
        <v>29</v>
      </c>
    </row>
    <row r="21713" spans="1:14">
      <c r="A21713" s="4" t="str">
        <f t="shared" si="1434"/>
        <v>EXP00452</v>
      </c>
      <c r="B21713" s="3" t="s">
        <v>66</v>
      </c>
      <c r="C21713" s="4" t="str">
        <f t="shared" si="1433"/>
        <v>TCGA-UCEC</v>
      </c>
      <c r="D21713" s="1" t="s">
        <v>493</v>
      </c>
      <c r="E21713" t="s">
        <v>601</v>
      </c>
      <c r="F21713" s="1">
        <v>2</v>
      </c>
      <c r="G21713" s="1" t="s">
        <v>28</v>
      </c>
      <c r="H21713" s="4" t="str">
        <f>HYPERLINK("https://portal.gdc.cancer.gov/cases/0b670df6-c487-4ed6-9b48-ef4b01a1aec3","TCGA-D1-A16S-01A")</f>
        <v>TCGA-D1-A16S-01A</v>
      </c>
      <c r="I21713" t="s">
        <v>444</v>
      </c>
      <c r="J21713" t="s">
        <v>599</v>
      </c>
      <c r="K21713" t="s">
        <v>33</v>
      </c>
      <c r="L21713" t="s">
        <v>600</v>
      </c>
      <c r="N21713" t="s">
        <v>29</v>
      </c>
    </row>
    <row r="21714" spans="1:14">
      <c r="A21714" s="4" t="str">
        <f t="shared" si="1434"/>
        <v>EXP00452</v>
      </c>
      <c r="B21714" s="3" t="s">
        <v>66</v>
      </c>
      <c r="C21714" s="4" t="str">
        <f t="shared" si="1433"/>
        <v>TCGA-UCEC</v>
      </c>
      <c r="D21714" s="1" t="s">
        <v>493</v>
      </c>
      <c r="E21714" t="s">
        <v>601</v>
      </c>
      <c r="F21714" s="1">
        <v>2</v>
      </c>
      <c r="G21714" s="1" t="s">
        <v>28</v>
      </c>
      <c r="H21714" s="4" t="str">
        <f>HYPERLINK("https://portal.gdc.cancer.gov/cases/8b19c8ac-68e6-4dc8-aec9-1556e62ca20f","TCGA-D1-A16V-01A")</f>
        <v>TCGA-D1-A16V-01A</v>
      </c>
      <c r="I21714" t="s">
        <v>444</v>
      </c>
      <c r="J21714" t="s">
        <v>599</v>
      </c>
      <c r="K21714" t="s">
        <v>33</v>
      </c>
      <c r="L21714" t="s">
        <v>600</v>
      </c>
      <c r="N21714" t="s">
        <v>29</v>
      </c>
    </row>
    <row r="21715" spans="1:14">
      <c r="A21715" s="4" t="str">
        <f t="shared" si="1434"/>
        <v>EXP00452</v>
      </c>
      <c r="B21715" s="3" t="s">
        <v>66</v>
      </c>
      <c r="C21715" s="4" t="str">
        <f t="shared" si="1433"/>
        <v>TCGA-UCEC</v>
      </c>
      <c r="D21715" s="1" t="s">
        <v>493</v>
      </c>
      <c r="E21715" t="s">
        <v>601</v>
      </c>
      <c r="F21715" s="1">
        <v>2</v>
      </c>
      <c r="G21715" s="1" t="s">
        <v>28</v>
      </c>
      <c r="H21715" s="4" t="str">
        <f>HYPERLINK("https://portal.gdc.cancer.gov/cases/22618073-4ef0-4c3a-97b9-90ba1caa1d72","TCGA-D1-A16X-01A")</f>
        <v>TCGA-D1-A16X-01A</v>
      </c>
      <c r="I21715" t="s">
        <v>444</v>
      </c>
      <c r="J21715" t="s">
        <v>599</v>
      </c>
      <c r="K21715" t="s">
        <v>33</v>
      </c>
      <c r="L21715" t="s">
        <v>600</v>
      </c>
      <c r="N21715" t="s">
        <v>29</v>
      </c>
    </row>
    <row r="21716" spans="1:14">
      <c r="A21716" s="4" t="str">
        <f t="shared" si="1434"/>
        <v>EXP00452</v>
      </c>
      <c r="B21716" s="3" t="s">
        <v>66</v>
      </c>
      <c r="C21716" s="4" t="str">
        <f t="shared" si="1433"/>
        <v>TCGA-UCEC</v>
      </c>
      <c r="D21716" s="1" t="s">
        <v>493</v>
      </c>
      <c r="E21716" t="s">
        <v>601</v>
      </c>
      <c r="F21716" s="1">
        <v>2</v>
      </c>
      <c r="G21716" s="1" t="s">
        <v>28</v>
      </c>
      <c r="H21716" s="4" t="str">
        <f>HYPERLINK("https://portal.gdc.cancer.gov/cases/0e9c36fd-2d5d-48da-8364-f8c5edc3d873","TCGA-D1-A16Y-01A")</f>
        <v>TCGA-D1-A16Y-01A</v>
      </c>
      <c r="I21716" t="s">
        <v>444</v>
      </c>
      <c r="J21716" t="s">
        <v>599</v>
      </c>
      <c r="K21716" t="s">
        <v>33</v>
      </c>
      <c r="L21716" t="s">
        <v>600</v>
      </c>
      <c r="N21716" t="s">
        <v>29</v>
      </c>
    </row>
    <row r="21717" spans="1:14">
      <c r="A21717" s="4" t="str">
        <f t="shared" si="1434"/>
        <v>EXP00452</v>
      </c>
      <c r="B21717" s="3" t="s">
        <v>66</v>
      </c>
      <c r="C21717" s="4" t="str">
        <f t="shared" si="1433"/>
        <v>TCGA-UCEC</v>
      </c>
      <c r="D21717" s="1" t="s">
        <v>493</v>
      </c>
      <c r="E21717" t="s">
        <v>601</v>
      </c>
      <c r="F21717" s="1">
        <v>2</v>
      </c>
      <c r="G21717" s="1" t="s">
        <v>28</v>
      </c>
      <c r="H21717" s="4" t="str">
        <f>HYPERLINK("https://portal.gdc.cancer.gov/cases/fc7315b0-9f48-4206-b197-2268c0518eb4","TCGA-D1-A174-01A")</f>
        <v>TCGA-D1-A174-01A</v>
      </c>
      <c r="I21717" t="s">
        <v>444</v>
      </c>
      <c r="J21717" t="s">
        <v>599</v>
      </c>
      <c r="K21717" t="s">
        <v>33</v>
      </c>
      <c r="L21717" t="s">
        <v>600</v>
      </c>
      <c r="N21717" t="s">
        <v>29</v>
      </c>
    </row>
    <row r="21718" spans="1:14">
      <c r="A21718" s="4" t="str">
        <f t="shared" si="1434"/>
        <v>EXP00452</v>
      </c>
      <c r="B21718" s="3" t="s">
        <v>66</v>
      </c>
      <c r="C21718" s="4" t="str">
        <f t="shared" si="1433"/>
        <v>TCGA-UCEC</v>
      </c>
      <c r="D21718" s="1" t="s">
        <v>493</v>
      </c>
      <c r="E21718" t="s">
        <v>601</v>
      </c>
      <c r="F21718" s="1">
        <v>2</v>
      </c>
      <c r="G21718" s="1" t="s">
        <v>28</v>
      </c>
      <c r="H21718" s="4" t="str">
        <f>HYPERLINK("https://portal.gdc.cancer.gov/cases/f0b3ab10-43f8-48a8-b460-66ceaaf637db","TCGA-D1-A175-01A")</f>
        <v>TCGA-D1-A175-01A</v>
      </c>
      <c r="I21718" t="s">
        <v>444</v>
      </c>
      <c r="J21718" t="s">
        <v>599</v>
      </c>
      <c r="K21718" t="s">
        <v>33</v>
      </c>
      <c r="L21718" t="s">
        <v>600</v>
      </c>
      <c r="N21718" t="s">
        <v>29</v>
      </c>
    </row>
    <row r="21719" spans="1:14">
      <c r="A21719" s="4" t="str">
        <f t="shared" si="1434"/>
        <v>EXP00452</v>
      </c>
      <c r="B21719" s="3" t="s">
        <v>66</v>
      </c>
      <c r="C21719" s="4" t="str">
        <f t="shared" si="1433"/>
        <v>TCGA-UCEC</v>
      </c>
      <c r="D21719" s="1" t="s">
        <v>493</v>
      </c>
      <c r="E21719" t="s">
        <v>601</v>
      </c>
      <c r="F21719" s="1">
        <v>2</v>
      </c>
      <c r="G21719" s="1" t="s">
        <v>28</v>
      </c>
      <c r="H21719" s="4" t="str">
        <f>HYPERLINK("https://portal.gdc.cancer.gov/cases/6d061ca9-ba7e-4b82-ab3c-34e33f244a54","TCGA-D1-A176-01A")</f>
        <v>TCGA-D1-A176-01A</v>
      </c>
      <c r="I21719" t="s">
        <v>444</v>
      </c>
      <c r="J21719" t="s">
        <v>599</v>
      </c>
      <c r="K21719" t="s">
        <v>33</v>
      </c>
      <c r="L21719" t="s">
        <v>600</v>
      </c>
      <c r="N21719" t="s">
        <v>29</v>
      </c>
    </row>
    <row r="21720" spans="1:14">
      <c r="A21720" s="4" t="str">
        <f t="shared" si="1434"/>
        <v>EXP00452</v>
      </c>
      <c r="B21720" s="3" t="s">
        <v>66</v>
      </c>
      <c r="C21720" s="4" t="str">
        <f t="shared" si="1433"/>
        <v>TCGA-UCEC</v>
      </c>
      <c r="D21720" s="1" t="s">
        <v>493</v>
      </c>
      <c r="E21720" t="s">
        <v>601</v>
      </c>
      <c r="F21720" s="1">
        <v>2</v>
      </c>
      <c r="G21720" s="1" t="s">
        <v>28</v>
      </c>
      <c r="H21720" s="4" t="str">
        <f>HYPERLINK("https://portal.gdc.cancer.gov/cases/e8c58d8b-51d7-4599-af79-469ee6f269db","TCGA-D1-A177-01A")</f>
        <v>TCGA-D1-A177-01A</v>
      </c>
      <c r="I21720" t="s">
        <v>444</v>
      </c>
      <c r="J21720" t="s">
        <v>599</v>
      </c>
      <c r="K21720" t="s">
        <v>33</v>
      </c>
      <c r="L21720" t="s">
        <v>600</v>
      </c>
      <c r="N21720" t="s">
        <v>29</v>
      </c>
    </row>
    <row r="21721" spans="1:14">
      <c r="A21721" s="4" t="str">
        <f t="shared" si="1434"/>
        <v>EXP00452</v>
      </c>
      <c r="B21721" s="3" t="s">
        <v>66</v>
      </c>
      <c r="C21721" s="4" t="str">
        <f t="shared" si="1433"/>
        <v>TCGA-UCEC</v>
      </c>
      <c r="D21721" s="1" t="s">
        <v>493</v>
      </c>
      <c r="E21721" t="s">
        <v>601</v>
      </c>
      <c r="F21721" s="1">
        <v>2</v>
      </c>
      <c r="G21721" s="1" t="s">
        <v>28</v>
      </c>
      <c r="H21721" s="4" t="str">
        <f>HYPERLINK("https://portal.gdc.cancer.gov/cases/37d5c1d9-3ff5-44fe-afdc-ff430a0f3510","TCGA-D1-A179-01A")</f>
        <v>TCGA-D1-A179-01A</v>
      </c>
      <c r="I21721" t="s">
        <v>444</v>
      </c>
      <c r="J21721" t="s">
        <v>599</v>
      </c>
      <c r="K21721" t="s">
        <v>33</v>
      </c>
      <c r="L21721" t="s">
        <v>600</v>
      </c>
      <c r="N21721" t="s">
        <v>29</v>
      </c>
    </row>
    <row r="21722" spans="1:14">
      <c r="A21722" s="4" t="str">
        <f t="shared" si="1434"/>
        <v>EXP00452</v>
      </c>
      <c r="B21722" s="3" t="s">
        <v>66</v>
      </c>
      <c r="C21722" s="4" t="str">
        <f t="shared" si="1433"/>
        <v>TCGA-UCEC</v>
      </c>
      <c r="D21722" s="1" t="s">
        <v>493</v>
      </c>
      <c r="E21722" t="s">
        <v>601</v>
      </c>
      <c r="F21722" s="1">
        <v>2</v>
      </c>
      <c r="G21722" s="1" t="s">
        <v>28</v>
      </c>
      <c r="H21722" s="4" t="str">
        <f>HYPERLINK("https://portal.gdc.cancer.gov/cases/c68dd983-b199-4f53-ac0c-b2d8dd6a7931","TCGA-D1-A17A-01A")</f>
        <v>TCGA-D1-A17A-01A</v>
      </c>
      <c r="I21722" t="s">
        <v>444</v>
      </c>
      <c r="J21722" t="s">
        <v>599</v>
      </c>
      <c r="K21722" t="s">
        <v>33</v>
      </c>
      <c r="L21722" t="s">
        <v>600</v>
      </c>
      <c r="N21722" t="s">
        <v>29</v>
      </c>
    </row>
    <row r="21723" spans="1:14">
      <c r="A21723" s="4" t="str">
        <f t="shared" si="1434"/>
        <v>EXP00452</v>
      </c>
      <c r="B21723" s="3" t="s">
        <v>66</v>
      </c>
      <c r="C21723" s="4" t="str">
        <f t="shared" si="1433"/>
        <v>TCGA-UCEC</v>
      </c>
      <c r="D21723" s="1" t="s">
        <v>493</v>
      </c>
      <c r="E21723" t="s">
        <v>601</v>
      </c>
      <c r="F21723" s="1">
        <v>2</v>
      </c>
      <c r="G21723" s="1" t="s">
        <v>28</v>
      </c>
      <c r="H21723" s="4" t="str">
        <f>HYPERLINK("https://portal.gdc.cancer.gov/cases/e55dd65a-c75e-4a3c-bb24-8b3af4d65321","TCGA-D1-A17B-01A")</f>
        <v>TCGA-D1-A17B-01A</v>
      </c>
      <c r="I21723" t="s">
        <v>444</v>
      </c>
      <c r="J21723" t="s">
        <v>599</v>
      </c>
      <c r="K21723" t="s">
        <v>33</v>
      </c>
      <c r="L21723" t="s">
        <v>600</v>
      </c>
      <c r="N21723" t="s">
        <v>29</v>
      </c>
    </row>
    <row r="21724" spans="1:14">
      <c r="A21724" s="4" t="str">
        <f t="shared" si="1434"/>
        <v>EXP00452</v>
      </c>
      <c r="B21724" s="3" t="s">
        <v>66</v>
      </c>
      <c r="C21724" s="4" t="str">
        <f t="shared" si="1433"/>
        <v>TCGA-UCEC</v>
      </c>
      <c r="D21724" s="1" t="s">
        <v>493</v>
      </c>
      <c r="E21724" t="s">
        <v>601</v>
      </c>
      <c r="F21724" s="1">
        <v>2</v>
      </c>
      <c r="G21724" s="1" t="s">
        <v>28</v>
      </c>
      <c r="H21724" s="4" t="str">
        <f>HYPERLINK("https://portal.gdc.cancer.gov/cases/6f4f0cdd-8387-45d0-a9e8-efce6260159d","TCGA-D1-A17C-01A")</f>
        <v>TCGA-D1-A17C-01A</v>
      </c>
      <c r="I21724" t="s">
        <v>444</v>
      </c>
      <c r="J21724" t="s">
        <v>599</v>
      </c>
      <c r="K21724" t="s">
        <v>33</v>
      </c>
      <c r="L21724" t="s">
        <v>600</v>
      </c>
      <c r="N21724" t="s">
        <v>29</v>
      </c>
    </row>
    <row r="21725" spans="1:14">
      <c r="A21725" s="4" t="str">
        <f t="shared" si="1434"/>
        <v>EXP00452</v>
      </c>
      <c r="B21725" s="3" t="s">
        <v>66</v>
      </c>
      <c r="C21725" s="4" t="str">
        <f t="shared" si="1433"/>
        <v>TCGA-UCEC</v>
      </c>
      <c r="D21725" s="1" t="s">
        <v>493</v>
      </c>
      <c r="E21725" t="s">
        <v>601</v>
      </c>
      <c r="F21725" s="1">
        <v>2</v>
      </c>
      <c r="G21725" s="1" t="s">
        <v>28</v>
      </c>
      <c r="H21725" s="4" t="str">
        <f>HYPERLINK("https://portal.gdc.cancer.gov/cases/7ddeddd1-b2ad-425f-94a2-9c476b959f2a","TCGA-D1-A17D-01A")</f>
        <v>TCGA-D1-A17D-01A</v>
      </c>
      <c r="I21725" t="s">
        <v>444</v>
      </c>
      <c r="J21725" t="s">
        <v>599</v>
      </c>
      <c r="K21725" t="s">
        <v>33</v>
      </c>
      <c r="L21725" t="s">
        <v>600</v>
      </c>
      <c r="N21725" t="s">
        <v>29</v>
      </c>
    </row>
    <row r="21726" spans="1:14">
      <c r="A21726" s="4" t="str">
        <f t="shared" si="1434"/>
        <v>EXP00452</v>
      </c>
      <c r="B21726" s="3" t="s">
        <v>66</v>
      </c>
      <c r="C21726" s="4" t="str">
        <f t="shared" si="1433"/>
        <v>TCGA-UCEC</v>
      </c>
      <c r="D21726" s="1" t="s">
        <v>493</v>
      </c>
      <c r="E21726" t="s">
        <v>601</v>
      </c>
      <c r="F21726" s="1">
        <v>2</v>
      </c>
      <c r="G21726" s="1" t="s">
        <v>28</v>
      </c>
      <c r="H21726" s="4" t="str">
        <f>HYPERLINK("https://portal.gdc.cancer.gov/cases/129a49d4-edb8-4a1d-aabb-51b9ad5a8dd1","TCGA-D1-A17F-01A")</f>
        <v>TCGA-D1-A17F-01A</v>
      </c>
      <c r="I21726" t="s">
        <v>444</v>
      </c>
      <c r="J21726" t="s">
        <v>599</v>
      </c>
      <c r="K21726" t="s">
        <v>33</v>
      </c>
      <c r="L21726" t="s">
        <v>600</v>
      </c>
      <c r="N21726" t="s">
        <v>29</v>
      </c>
    </row>
    <row r="21727" spans="1:14">
      <c r="A21727" s="4" t="str">
        <f t="shared" si="1434"/>
        <v>EXP00452</v>
      </c>
      <c r="B21727" s="3" t="s">
        <v>66</v>
      </c>
      <c r="C21727" s="4" t="str">
        <f t="shared" si="1433"/>
        <v>TCGA-UCEC</v>
      </c>
      <c r="D21727" s="1" t="s">
        <v>493</v>
      </c>
      <c r="E21727" t="s">
        <v>601</v>
      </c>
      <c r="F21727" s="1">
        <v>2</v>
      </c>
      <c r="G21727" s="1" t="s">
        <v>28</v>
      </c>
      <c r="H21727" s="4" t="str">
        <f>HYPERLINK("https://portal.gdc.cancer.gov/cases/6c526c42-2fb2-4dfa-8a3d-5651dd600ac7","TCGA-D1-A17H-01A")</f>
        <v>TCGA-D1-A17H-01A</v>
      </c>
      <c r="I21727" t="s">
        <v>444</v>
      </c>
      <c r="J21727" t="s">
        <v>599</v>
      </c>
      <c r="K21727" t="s">
        <v>33</v>
      </c>
      <c r="L21727" t="s">
        <v>600</v>
      </c>
      <c r="N21727" t="s">
        <v>29</v>
      </c>
    </row>
    <row r="21728" spans="1:14">
      <c r="A21728" s="4" t="str">
        <f t="shared" si="1434"/>
        <v>EXP00452</v>
      </c>
      <c r="B21728" s="3" t="s">
        <v>66</v>
      </c>
      <c r="C21728" s="4" t="str">
        <f t="shared" si="1433"/>
        <v>TCGA-UCEC</v>
      </c>
      <c r="D21728" s="1" t="s">
        <v>493</v>
      </c>
      <c r="E21728" t="s">
        <v>601</v>
      </c>
      <c r="F21728" s="1">
        <v>2</v>
      </c>
      <c r="G21728" s="1" t="s">
        <v>28</v>
      </c>
      <c r="H21728" s="4" t="str">
        <f>HYPERLINK("https://portal.gdc.cancer.gov/cases/5c22c8d6-5805-455c-8e1c-e6b8006738e4","TCGA-D1-A17K-01A")</f>
        <v>TCGA-D1-A17K-01A</v>
      </c>
      <c r="I21728" t="s">
        <v>444</v>
      </c>
      <c r="J21728" t="s">
        <v>599</v>
      </c>
      <c r="K21728" t="s">
        <v>33</v>
      </c>
      <c r="L21728" t="s">
        <v>600</v>
      </c>
      <c r="N21728" t="s">
        <v>29</v>
      </c>
    </row>
    <row r="21729" spans="1:14">
      <c r="A21729" s="4" t="str">
        <f t="shared" si="1434"/>
        <v>EXP00452</v>
      </c>
      <c r="B21729" s="3" t="s">
        <v>66</v>
      </c>
      <c r="C21729" s="4" t="str">
        <f t="shared" si="1433"/>
        <v>TCGA-UCEC</v>
      </c>
      <c r="D21729" s="1" t="s">
        <v>493</v>
      </c>
      <c r="E21729" t="s">
        <v>601</v>
      </c>
      <c r="F21729" s="1">
        <v>2</v>
      </c>
      <c r="G21729" s="1" t="s">
        <v>28</v>
      </c>
      <c r="H21729" s="4" t="str">
        <f>HYPERLINK("https://portal.gdc.cancer.gov/cases/67ccb182-3021-4621-bffb-6565574dbc58","TCGA-D1-A17L-01A")</f>
        <v>TCGA-D1-A17L-01A</v>
      </c>
      <c r="I21729" t="s">
        <v>444</v>
      </c>
      <c r="J21729" t="s">
        <v>599</v>
      </c>
      <c r="K21729" t="s">
        <v>33</v>
      </c>
      <c r="L21729" t="s">
        <v>600</v>
      </c>
      <c r="N21729" t="s">
        <v>29</v>
      </c>
    </row>
    <row r="21730" spans="1:14">
      <c r="A21730" s="4" t="str">
        <f t="shared" si="1434"/>
        <v>EXP00452</v>
      </c>
      <c r="B21730" s="3" t="s">
        <v>66</v>
      </c>
      <c r="C21730" s="4" t="str">
        <f t="shared" si="1433"/>
        <v>TCGA-UCEC</v>
      </c>
      <c r="D21730" s="1" t="s">
        <v>493</v>
      </c>
      <c r="E21730" t="s">
        <v>601</v>
      </c>
      <c r="F21730" s="1">
        <v>2</v>
      </c>
      <c r="G21730" s="1" t="s">
        <v>28</v>
      </c>
      <c r="H21730" s="4" t="str">
        <f>HYPERLINK("https://portal.gdc.cancer.gov/cases/02b2cd50-221f-437c-a1ce-6da1467ec809","TCGA-D1-A17M-01A")</f>
        <v>TCGA-D1-A17M-01A</v>
      </c>
      <c r="I21730" t="s">
        <v>444</v>
      </c>
      <c r="J21730" t="s">
        <v>599</v>
      </c>
      <c r="K21730" t="s">
        <v>33</v>
      </c>
      <c r="L21730" t="s">
        <v>600</v>
      </c>
      <c r="N21730" t="s">
        <v>29</v>
      </c>
    </row>
    <row r="21731" spans="1:14">
      <c r="A21731" s="4" t="str">
        <f t="shared" si="1434"/>
        <v>EXP00452</v>
      </c>
      <c r="B21731" s="3" t="s">
        <v>66</v>
      </c>
      <c r="C21731" s="4" t="str">
        <f t="shared" si="1433"/>
        <v>TCGA-UCEC</v>
      </c>
      <c r="D21731" s="1" t="s">
        <v>493</v>
      </c>
      <c r="E21731" t="s">
        <v>601</v>
      </c>
      <c r="F21731" s="1">
        <v>2</v>
      </c>
      <c r="G21731" s="1" t="s">
        <v>28</v>
      </c>
      <c r="H21731" s="4" t="str">
        <f>HYPERLINK("https://portal.gdc.cancer.gov/cases/001e0309-9c50-42b0-9e38-347883ee2cd3","TCGA-D1-A17N-01A")</f>
        <v>TCGA-D1-A17N-01A</v>
      </c>
      <c r="I21731" t="s">
        <v>444</v>
      </c>
      <c r="J21731" t="s">
        <v>599</v>
      </c>
      <c r="K21731" t="s">
        <v>33</v>
      </c>
      <c r="L21731" t="s">
        <v>600</v>
      </c>
      <c r="N21731" t="s">
        <v>29</v>
      </c>
    </row>
    <row r="21732" spans="1:14">
      <c r="A21732" s="4" t="str">
        <f t="shared" si="1434"/>
        <v>EXP00452</v>
      </c>
      <c r="B21732" s="3" t="s">
        <v>66</v>
      </c>
      <c r="C21732" s="4" t="str">
        <f t="shared" si="1433"/>
        <v>TCGA-UCEC</v>
      </c>
      <c r="D21732" s="1" t="s">
        <v>493</v>
      </c>
      <c r="E21732" t="s">
        <v>601</v>
      </c>
      <c r="F21732" s="1">
        <v>2</v>
      </c>
      <c r="G21732" s="1" t="s">
        <v>28</v>
      </c>
      <c r="H21732" s="4" t="str">
        <f>HYPERLINK("https://portal.gdc.cancer.gov/cases/ca8dbbfd-8928-4e25-94c6-b875de631bbd","TCGA-D1-A17Q-01A")</f>
        <v>TCGA-D1-A17Q-01A</v>
      </c>
      <c r="I21732" t="s">
        <v>444</v>
      </c>
      <c r="J21732" t="s">
        <v>599</v>
      </c>
      <c r="K21732" t="s">
        <v>33</v>
      </c>
      <c r="L21732" t="s">
        <v>600</v>
      </c>
      <c r="N21732" t="s">
        <v>29</v>
      </c>
    </row>
    <row r="21733" spans="1:14">
      <c r="A21733" s="4" t="str">
        <f t="shared" si="1434"/>
        <v>EXP00452</v>
      </c>
      <c r="B21733" s="3" t="s">
        <v>66</v>
      </c>
      <c r="C21733" s="4" t="str">
        <f t="shared" si="1433"/>
        <v>TCGA-UCEC</v>
      </c>
      <c r="D21733" s="1" t="s">
        <v>493</v>
      </c>
      <c r="E21733" t="s">
        <v>601</v>
      </c>
      <c r="F21733" s="1">
        <v>2</v>
      </c>
      <c r="G21733" s="1" t="s">
        <v>28</v>
      </c>
      <c r="H21733" s="4" t="str">
        <f>HYPERLINK("https://portal.gdc.cancer.gov/cases/73a0dd38-115d-48fb-b683-04aa5d612f2a","TCGA-D1-A17R-01A")</f>
        <v>TCGA-D1-A17R-01A</v>
      </c>
      <c r="I21733" t="s">
        <v>444</v>
      </c>
      <c r="J21733" t="s">
        <v>599</v>
      </c>
      <c r="K21733" t="s">
        <v>33</v>
      </c>
      <c r="L21733" t="s">
        <v>600</v>
      </c>
      <c r="N21733" t="s">
        <v>29</v>
      </c>
    </row>
    <row r="21734" spans="1:14">
      <c r="A21734" s="4" t="str">
        <f t="shared" si="1434"/>
        <v>EXP00452</v>
      </c>
      <c r="B21734" s="3" t="s">
        <v>66</v>
      </c>
      <c r="C21734" s="4" t="str">
        <f t="shared" si="1433"/>
        <v>TCGA-UCEC</v>
      </c>
      <c r="D21734" s="1" t="s">
        <v>493</v>
      </c>
      <c r="E21734" t="s">
        <v>601</v>
      </c>
      <c r="F21734" s="1">
        <v>2</v>
      </c>
      <c r="G21734" s="1" t="s">
        <v>28</v>
      </c>
      <c r="H21734" s="4" t="str">
        <f>HYPERLINK("https://portal.gdc.cancer.gov/cases/24434832-46fc-485a-9ff4-2aa95c3d3936","TCGA-D1-A17S-01A")</f>
        <v>TCGA-D1-A17S-01A</v>
      </c>
      <c r="I21734" t="s">
        <v>444</v>
      </c>
      <c r="J21734" t="s">
        <v>599</v>
      </c>
      <c r="K21734" t="s">
        <v>33</v>
      </c>
      <c r="L21734" t="s">
        <v>600</v>
      </c>
      <c r="N21734" t="s">
        <v>29</v>
      </c>
    </row>
    <row r="21735" spans="1:14">
      <c r="A21735" s="4" t="str">
        <f t="shared" si="1434"/>
        <v>EXP00452</v>
      </c>
      <c r="B21735" s="3" t="s">
        <v>66</v>
      </c>
      <c r="C21735" s="4" t="str">
        <f t="shared" si="1433"/>
        <v>TCGA-UCEC</v>
      </c>
      <c r="D21735" s="1" t="s">
        <v>493</v>
      </c>
      <c r="E21735" t="s">
        <v>601</v>
      </c>
      <c r="F21735" s="1">
        <v>2</v>
      </c>
      <c r="G21735" s="1" t="s">
        <v>28</v>
      </c>
      <c r="H21735" s="4" t="str">
        <f>HYPERLINK("https://portal.gdc.cancer.gov/cases/efa4c675-e35e-4f48-8d12-a40f30b63ddb","TCGA-D1-A17T-01A")</f>
        <v>TCGA-D1-A17T-01A</v>
      </c>
      <c r="I21735" t="s">
        <v>444</v>
      </c>
      <c r="J21735" t="s">
        <v>599</v>
      </c>
      <c r="K21735" t="s">
        <v>33</v>
      </c>
      <c r="L21735" t="s">
        <v>600</v>
      </c>
      <c r="N21735" t="s">
        <v>29</v>
      </c>
    </row>
    <row r="21736" spans="1:14">
      <c r="A21736" s="4" t="str">
        <f t="shared" si="1434"/>
        <v>EXP00452</v>
      </c>
      <c r="B21736" s="3" t="s">
        <v>66</v>
      </c>
      <c r="C21736" s="4" t="str">
        <f t="shared" si="1433"/>
        <v>TCGA-UCEC</v>
      </c>
      <c r="D21736" s="1" t="s">
        <v>493</v>
      </c>
      <c r="E21736" t="s">
        <v>601</v>
      </c>
      <c r="F21736" s="1">
        <v>2</v>
      </c>
      <c r="G21736" s="1" t="s">
        <v>28</v>
      </c>
      <c r="H21736" s="4" t="str">
        <f>HYPERLINK("https://portal.gdc.cancer.gov/cases/6397c4a1-0a29-4c2c-b8cb-ce73af93dd0b","TCGA-D1-A17U-01A")</f>
        <v>TCGA-D1-A17U-01A</v>
      </c>
      <c r="I21736" t="s">
        <v>444</v>
      </c>
      <c r="J21736" t="s">
        <v>599</v>
      </c>
      <c r="K21736" t="s">
        <v>33</v>
      </c>
      <c r="L21736" t="s">
        <v>600</v>
      </c>
      <c r="N21736" t="s">
        <v>29</v>
      </c>
    </row>
    <row r="21737" spans="1:14">
      <c r="A21737" s="4" t="str">
        <f t="shared" si="1434"/>
        <v>EXP00452</v>
      </c>
      <c r="B21737" s="3" t="s">
        <v>66</v>
      </c>
      <c r="C21737" s="4" t="str">
        <f t="shared" si="1433"/>
        <v>TCGA-UCEC</v>
      </c>
      <c r="D21737" s="1" t="s">
        <v>493</v>
      </c>
      <c r="E21737" t="s">
        <v>601</v>
      </c>
      <c r="F21737" s="1">
        <v>2</v>
      </c>
      <c r="G21737" s="1" t="s">
        <v>28</v>
      </c>
      <c r="H21737" s="4" t="str">
        <f>HYPERLINK("https://portal.gdc.cancer.gov/cases/a79a4e56-09bf-4691-b7e0-81a9c2620d0f","TCGA-D1-A1NS-01A")</f>
        <v>TCGA-D1-A1NS-01A</v>
      </c>
      <c r="I21737" t="s">
        <v>444</v>
      </c>
      <c r="J21737" t="s">
        <v>599</v>
      </c>
      <c r="K21737" t="s">
        <v>33</v>
      </c>
      <c r="L21737" t="s">
        <v>600</v>
      </c>
      <c r="N21737" t="s">
        <v>29</v>
      </c>
    </row>
    <row r="21738" spans="1:14">
      <c r="A21738" s="4" t="str">
        <f t="shared" si="1434"/>
        <v>EXP00452</v>
      </c>
      <c r="B21738" s="3" t="s">
        <v>66</v>
      </c>
      <c r="C21738" s="4" t="str">
        <f t="shared" si="1433"/>
        <v>TCGA-UCEC</v>
      </c>
      <c r="D21738" s="1" t="s">
        <v>493</v>
      </c>
      <c r="E21738" t="s">
        <v>601</v>
      </c>
      <c r="F21738" s="1">
        <v>2</v>
      </c>
      <c r="G21738" s="1" t="s">
        <v>28</v>
      </c>
      <c r="H21738" s="4" t="str">
        <f>HYPERLINK("https://portal.gdc.cancer.gov/cases/e56491af-718f-4ca1-b3cd-0e5b3154697b","TCGA-D1-A1NU-01A")</f>
        <v>TCGA-D1-A1NU-01A</v>
      </c>
      <c r="I21738" t="s">
        <v>444</v>
      </c>
      <c r="J21738" t="s">
        <v>599</v>
      </c>
      <c r="K21738" t="s">
        <v>33</v>
      </c>
      <c r="L21738" t="s">
        <v>600</v>
      </c>
      <c r="N21738" t="s">
        <v>29</v>
      </c>
    </row>
    <row r="21739" spans="1:14">
      <c r="A21739" s="4" t="str">
        <f t="shared" si="1434"/>
        <v>EXP00452</v>
      </c>
      <c r="B21739" s="3" t="s">
        <v>66</v>
      </c>
      <c r="C21739" s="4" t="str">
        <f t="shared" si="1433"/>
        <v>TCGA-UCEC</v>
      </c>
      <c r="D21739" s="1" t="s">
        <v>493</v>
      </c>
      <c r="E21739" t="s">
        <v>601</v>
      </c>
      <c r="F21739" s="1">
        <v>2</v>
      </c>
      <c r="G21739" s="1" t="s">
        <v>28</v>
      </c>
      <c r="H21739" s="4" t="str">
        <f>HYPERLINK("https://portal.gdc.cancer.gov/cases/d7258a64-3ea0-40fc-b3f4-b581a1725fff","TCGA-D1-A1NW-01A")</f>
        <v>TCGA-D1-A1NW-01A</v>
      </c>
      <c r="I21739" t="s">
        <v>444</v>
      </c>
      <c r="J21739" t="s">
        <v>599</v>
      </c>
      <c r="K21739" t="s">
        <v>33</v>
      </c>
      <c r="L21739" t="s">
        <v>600</v>
      </c>
      <c r="N21739" t="s">
        <v>29</v>
      </c>
    </row>
    <row r="21740" spans="1:14">
      <c r="A21740" s="4" t="str">
        <f t="shared" si="1434"/>
        <v>EXP00452</v>
      </c>
      <c r="B21740" s="3" t="s">
        <v>66</v>
      </c>
      <c r="C21740" s="4" t="str">
        <f t="shared" si="1433"/>
        <v>TCGA-UCEC</v>
      </c>
      <c r="D21740" s="1" t="s">
        <v>493</v>
      </c>
      <c r="E21740" t="s">
        <v>601</v>
      </c>
      <c r="F21740" s="1">
        <v>2</v>
      </c>
      <c r="G21740" s="1" t="s">
        <v>28</v>
      </c>
      <c r="H21740" s="4" t="str">
        <f>HYPERLINK("https://portal.gdc.cancer.gov/cases/df01a5ee-e8b5-40b0-8a6a-b6b3faed9df9","TCGA-D1-A1NX-01A")</f>
        <v>TCGA-D1-A1NX-01A</v>
      </c>
      <c r="I21740" t="s">
        <v>444</v>
      </c>
      <c r="J21740" t="s">
        <v>599</v>
      </c>
      <c r="K21740" t="s">
        <v>33</v>
      </c>
      <c r="L21740" t="s">
        <v>600</v>
      </c>
      <c r="N21740" t="s">
        <v>29</v>
      </c>
    </row>
    <row r="21741" spans="1:14">
      <c r="A21741" s="4" t="str">
        <f t="shared" si="1434"/>
        <v>EXP00452</v>
      </c>
      <c r="B21741" s="3" t="s">
        <v>66</v>
      </c>
      <c r="C21741" s="4" t="str">
        <f t="shared" si="1433"/>
        <v>TCGA-UCEC</v>
      </c>
      <c r="D21741" s="1" t="s">
        <v>493</v>
      </c>
      <c r="E21741" t="s">
        <v>601</v>
      </c>
      <c r="F21741" s="1">
        <v>2</v>
      </c>
      <c r="G21741" s="1" t="s">
        <v>28</v>
      </c>
      <c r="H21741" s="4" t="str">
        <f>HYPERLINK("https://portal.gdc.cancer.gov/cases/0a9faff7-ec4d-4b5a-aa83-6fa358f72074","TCGA-D1-A1NY-01A")</f>
        <v>TCGA-D1-A1NY-01A</v>
      </c>
      <c r="I21741" t="s">
        <v>444</v>
      </c>
      <c r="J21741" t="s">
        <v>599</v>
      </c>
      <c r="K21741" t="s">
        <v>33</v>
      </c>
      <c r="L21741" t="s">
        <v>600</v>
      </c>
      <c r="N21741" t="s">
        <v>29</v>
      </c>
    </row>
    <row r="21742" spans="1:14">
      <c r="A21742" s="4" t="str">
        <f t="shared" si="1434"/>
        <v>EXP00452</v>
      </c>
      <c r="B21742" s="3" t="s">
        <v>66</v>
      </c>
      <c r="C21742" s="4" t="str">
        <f t="shared" si="1433"/>
        <v>TCGA-UCEC</v>
      </c>
      <c r="D21742" s="1" t="s">
        <v>493</v>
      </c>
      <c r="E21742" t="s">
        <v>601</v>
      </c>
      <c r="F21742" s="1">
        <v>2</v>
      </c>
      <c r="G21742" s="1" t="s">
        <v>28</v>
      </c>
      <c r="H21742" s="4" t="str">
        <f>HYPERLINK("https://portal.gdc.cancer.gov/cases/e49f545f-3268-4d25-b7a3-4da8e6ab2578","TCGA-D1-A1NZ-01A")</f>
        <v>TCGA-D1-A1NZ-01A</v>
      </c>
      <c r="I21742" t="s">
        <v>444</v>
      </c>
      <c r="J21742" t="s">
        <v>599</v>
      </c>
      <c r="K21742" t="s">
        <v>33</v>
      </c>
      <c r="L21742" t="s">
        <v>600</v>
      </c>
      <c r="N21742" t="s">
        <v>29</v>
      </c>
    </row>
    <row r="21743" spans="1:14">
      <c r="A21743" s="4" t="str">
        <f t="shared" si="1434"/>
        <v>EXP00452</v>
      </c>
      <c r="B21743" s="3" t="s">
        <v>66</v>
      </c>
      <c r="C21743" s="4" t="str">
        <f t="shared" si="1433"/>
        <v>TCGA-UCEC</v>
      </c>
      <c r="D21743" s="1" t="s">
        <v>493</v>
      </c>
      <c r="E21743" t="s">
        <v>601</v>
      </c>
      <c r="F21743" s="1">
        <v>2</v>
      </c>
      <c r="G21743" s="1" t="s">
        <v>28</v>
      </c>
      <c r="H21743" s="4" t="str">
        <f>HYPERLINK("https://portal.gdc.cancer.gov/cases/a98bbe29-8817-4380-a738-3c1bf9f8e0cc","TCGA-D1-A1O0-01A")</f>
        <v>TCGA-D1-A1O0-01A</v>
      </c>
      <c r="I21743" t="s">
        <v>444</v>
      </c>
      <c r="J21743" t="s">
        <v>599</v>
      </c>
      <c r="K21743" t="s">
        <v>33</v>
      </c>
      <c r="L21743" t="s">
        <v>600</v>
      </c>
      <c r="N21743" t="s">
        <v>29</v>
      </c>
    </row>
    <row r="21744" spans="1:14">
      <c r="A21744" s="4" t="str">
        <f t="shared" si="1434"/>
        <v>EXP00452</v>
      </c>
      <c r="B21744" s="3" t="s">
        <v>66</v>
      </c>
      <c r="C21744" s="4" t="str">
        <f t="shared" si="1433"/>
        <v>TCGA-UCEC</v>
      </c>
      <c r="D21744" s="1" t="s">
        <v>493</v>
      </c>
      <c r="E21744" t="s">
        <v>601</v>
      </c>
      <c r="F21744" s="1">
        <v>2</v>
      </c>
      <c r="G21744" s="1" t="s">
        <v>28</v>
      </c>
      <c r="H21744" s="4" t="str">
        <f>HYPERLINK("https://portal.gdc.cancer.gov/cases/f054a123-322f-444a-9971-53d3df371753","TCGA-D1-A1O5-01A")</f>
        <v>TCGA-D1-A1O5-01A</v>
      </c>
      <c r="I21744" t="s">
        <v>444</v>
      </c>
      <c r="J21744" t="s">
        <v>599</v>
      </c>
      <c r="K21744" t="s">
        <v>33</v>
      </c>
      <c r="L21744" t="s">
        <v>600</v>
      </c>
      <c r="N21744" t="s">
        <v>29</v>
      </c>
    </row>
    <row r="21745" spans="1:14">
      <c r="A21745" s="4" t="str">
        <f t="shared" si="1434"/>
        <v>EXP00452</v>
      </c>
      <c r="B21745" s="3" t="s">
        <v>66</v>
      </c>
      <c r="C21745" s="4" t="str">
        <f t="shared" si="1433"/>
        <v>TCGA-UCEC</v>
      </c>
      <c r="D21745" s="1" t="s">
        <v>493</v>
      </c>
      <c r="E21745" t="s">
        <v>601</v>
      </c>
      <c r="F21745" s="1">
        <v>2</v>
      </c>
      <c r="G21745" s="1" t="s">
        <v>28</v>
      </c>
      <c r="H21745" s="4" t="str">
        <f>HYPERLINK("https://portal.gdc.cancer.gov/cases/01ed791e-3187-4e24-a5ff-afff0778c152","TCGA-D1-A1O7-01A")</f>
        <v>TCGA-D1-A1O7-01A</v>
      </c>
      <c r="I21745" t="s">
        <v>444</v>
      </c>
      <c r="J21745" t="s">
        <v>599</v>
      </c>
      <c r="K21745" t="s">
        <v>33</v>
      </c>
      <c r="L21745" t="s">
        <v>600</v>
      </c>
      <c r="N21745" t="s">
        <v>29</v>
      </c>
    </row>
    <row r="21746" spans="1:14">
      <c r="A21746" s="4" t="str">
        <f t="shared" si="1434"/>
        <v>EXP00452</v>
      </c>
      <c r="B21746" s="3" t="s">
        <v>66</v>
      </c>
      <c r="C21746" s="4" t="str">
        <f t="shared" si="1433"/>
        <v>TCGA-UCEC</v>
      </c>
      <c r="D21746" s="1" t="s">
        <v>493</v>
      </c>
      <c r="E21746" t="s">
        <v>601</v>
      </c>
      <c r="F21746" s="1">
        <v>2</v>
      </c>
      <c r="G21746" s="1" t="s">
        <v>28</v>
      </c>
      <c r="H21746" s="4" t="str">
        <f>HYPERLINK("https://portal.gdc.cancer.gov/cases/21faf1a4-f6d3-4cc6-a49a-04b8541ef598","TCGA-D1-A1O8-01A")</f>
        <v>TCGA-D1-A1O8-01A</v>
      </c>
      <c r="I21746" t="s">
        <v>444</v>
      </c>
      <c r="J21746" t="s">
        <v>599</v>
      </c>
      <c r="K21746" t="s">
        <v>33</v>
      </c>
      <c r="L21746" t="s">
        <v>600</v>
      </c>
      <c r="N21746" t="s">
        <v>29</v>
      </c>
    </row>
    <row r="21747" spans="1:14">
      <c r="A21747" s="4" t="str">
        <f t="shared" si="1434"/>
        <v>EXP00452</v>
      </c>
      <c r="B21747" s="3" t="s">
        <v>66</v>
      </c>
      <c r="C21747" s="4" t="str">
        <f t="shared" si="1433"/>
        <v>TCGA-UCEC</v>
      </c>
      <c r="D21747" s="1" t="s">
        <v>493</v>
      </c>
      <c r="E21747" t="s">
        <v>601</v>
      </c>
      <c r="F21747" s="1">
        <v>2</v>
      </c>
      <c r="G21747" s="1" t="s">
        <v>28</v>
      </c>
      <c r="H21747" s="4" t="str">
        <f>HYPERLINK("https://portal.gdc.cancer.gov/cases/6f661f0d-f08b-486e-8bd7-4306e1593eb9","TCGA-D1-A2G0-01A")</f>
        <v>TCGA-D1-A2G0-01A</v>
      </c>
      <c r="I21747" t="s">
        <v>444</v>
      </c>
      <c r="J21747" t="s">
        <v>599</v>
      </c>
      <c r="K21747" t="s">
        <v>33</v>
      </c>
      <c r="L21747" t="s">
        <v>600</v>
      </c>
      <c r="N21747" t="s">
        <v>29</v>
      </c>
    </row>
    <row r="21748" spans="1:14">
      <c r="A21748" s="4" t="str">
        <f t="shared" si="1434"/>
        <v>EXP00452</v>
      </c>
      <c r="B21748" s="3" t="s">
        <v>66</v>
      </c>
      <c r="C21748" s="4" t="str">
        <f t="shared" si="1433"/>
        <v>TCGA-UCEC</v>
      </c>
      <c r="D21748" s="1" t="s">
        <v>493</v>
      </c>
      <c r="E21748" t="s">
        <v>601</v>
      </c>
      <c r="F21748" s="1">
        <v>2</v>
      </c>
      <c r="G21748" s="1" t="s">
        <v>28</v>
      </c>
      <c r="H21748" s="4" t="str">
        <f>HYPERLINK("https://portal.gdc.cancer.gov/cases/016e515e-7f78-4997-9b97-3628464d9222","TCGA-D1-A2G5-01A")</f>
        <v>TCGA-D1-A2G5-01A</v>
      </c>
      <c r="I21748" t="s">
        <v>444</v>
      </c>
      <c r="J21748" t="s">
        <v>599</v>
      </c>
      <c r="K21748" t="s">
        <v>33</v>
      </c>
      <c r="L21748" t="s">
        <v>600</v>
      </c>
      <c r="N21748" t="s">
        <v>29</v>
      </c>
    </row>
    <row r="21749" spans="1:14">
      <c r="A21749" s="4" t="str">
        <f t="shared" si="1434"/>
        <v>EXP00452</v>
      </c>
      <c r="B21749" s="3" t="s">
        <v>66</v>
      </c>
      <c r="C21749" s="4" t="str">
        <f t="shared" ref="C21749:C21812" si="1435">HYPERLINK("https://portal.gdc.cancer.gov/projects/TCGA-UCEC","TCGA-UCEC")</f>
        <v>TCGA-UCEC</v>
      </c>
      <c r="D21749" s="1" t="s">
        <v>493</v>
      </c>
      <c r="E21749" t="s">
        <v>601</v>
      </c>
      <c r="F21749" s="1">
        <v>2</v>
      </c>
      <c r="G21749" s="1" t="s">
        <v>28</v>
      </c>
      <c r="H21749" s="4" t="str">
        <f>HYPERLINK("https://portal.gdc.cancer.gov/cases/46cd8ded-f8a1-4f8c-a4c2-2d5b51c04f18","TCGA-D1-A2G6-01A")</f>
        <v>TCGA-D1-A2G6-01A</v>
      </c>
      <c r="I21749" t="s">
        <v>444</v>
      </c>
      <c r="J21749" t="s">
        <v>599</v>
      </c>
      <c r="K21749" t="s">
        <v>33</v>
      </c>
      <c r="L21749" t="s">
        <v>600</v>
      </c>
      <c r="N21749" t="s">
        <v>29</v>
      </c>
    </row>
    <row r="21750" spans="1:14">
      <c r="A21750" s="4" t="str">
        <f t="shared" si="1434"/>
        <v>EXP00452</v>
      </c>
      <c r="B21750" s="3" t="s">
        <v>66</v>
      </c>
      <c r="C21750" s="4" t="str">
        <f t="shared" si="1435"/>
        <v>TCGA-UCEC</v>
      </c>
      <c r="D21750" s="1" t="s">
        <v>493</v>
      </c>
      <c r="E21750" t="s">
        <v>601</v>
      </c>
      <c r="F21750" s="1">
        <v>2</v>
      </c>
      <c r="G21750" s="1" t="s">
        <v>28</v>
      </c>
      <c r="H21750" s="4" t="str">
        <f>HYPERLINK("https://portal.gdc.cancer.gov/cases/32b5d0e4-a242-44d1-ac20-6e5ca2f35b71","TCGA-D1-A2G7-01A")</f>
        <v>TCGA-D1-A2G7-01A</v>
      </c>
      <c r="I21750" t="s">
        <v>444</v>
      </c>
      <c r="J21750" t="s">
        <v>599</v>
      </c>
      <c r="K21750" t="s">
        <v>33</v>
      </c>
      <c r="L21750" t="s">
        <v>600</v>
      </c>
      <c r="N21750" t="s">
        <v>29</v>
      </c>
    </row>
    <row r="21751" spans="1:14">
      <c r="A21751" s="4" t="str">
        <f t="shared" si="1434"/>
        <v>EXP00452</v>
      </c>
      <c r="B21751" s="3" t="s">
        <v>66</v>
      </c>
      <c r="C21751" s="4" t="str">
        <f t="shared" si="1435"/>
        <v>TCGA-UCEC</v>
      </c>
      <c r="D21751" s="1" t="s">
        <v>493</v>
      </c>
      <c r="E21751" t="s">
        <v>601</v>
      </c>
      <c r="F21751" s="1">
        <v>2</v>
      </c>
      <c r="G21751" s="1" t="s">
        <v>28</v>
      </c>
      <c r="H21751" s="4" t="str">
        <f>HYPERLINK("https://portal.gdc.cancer.gov/cases/e17a5fca-616c-4a74-abe7-778539ecdc0b","TCGA-D1-A3DA-01A")</f>
        <v>TCGA-D1-A3DA-01A</v>
      </c>
      <c r="I21751" t="s">
        <v>444</v>
      </c>
      <c r="J21751" t="s">
        <v>599</v>
      </c>
      <c r="K21751" t="s">
        <v>33</v>
      </c>
      <c r="L21751" t="s">
        <v>600</v>
      </c>
      <c r="N21751" t="s">
        <v>29</v>
      </c>
    </row>
    <row r="21752" spans="1:14">
      <c r="A21752" s="4" t="str">
        <f t="shared" si="1434"/>
        <v>EXP00452</v>
      </c>
      <c r="B21752" s="3" t="s">
        <v>66</v>
      </c>
      <c r="C21752" s="4" t="str">
        <f t="shared" si="1435"/>
        <v>TCGA-UCEC</v>
      </c>
      <c r="D21752" s="1" t="s">
        <v>493</v>
      </c>
      <c r="E21752" t="s">
        <v>601</v>
      </c>
      <c r="F21752" s="1">
        <v>2</v>
      </c>
      <c r="G21752" s="1" t="s">
        <v>28</v>
      </c>
      <c r="H21752" s="4" t="str">
        <f>HYPERLINK("https://portal.gdc.cancer.gov/cases/7890628d-7120-4dbc-85ae-1f895b6660c2","TCGA-D1-A3DG-01A")</f>
        <v>TCGA-D1-A3DG-01A</v>
      </c>
      <c r="I21752" t="s">
        <v>444</v>
      </c>
      <c r="J21752" t="s">
        <v>599</v>
      </c>
      <c r="K21752" t="s">
        <v>33</v>
      </c>
      <c r="L21752" t="s">
        <v>600</v>
      </c>
      <c r="N21752" t="s">
        <v>29</v>
      </c>
    </row>
    <row r="21753" spans="1:14">
      <c r="A21753" s="4" t="str">
        <f t="shared" si="1434"/>
        <v>EXP00452</v>
      </c>
      <c r="B21753" s="3" t="s">
        <v>66</v>
      </c>
      <c r="C21753" s="4" t="str">
        <f t="shared" si="1435"/>
        <v>TCGA-UCEC</v>
      </c>
      <c r="D21753" s="1" t="s">
        <v>493</v>
      </c>
      <c r="E21753" t="s">
        <v>601</v>
      </c>
      <c r="F21753" s="1">
        <v>2</v>
      </c>
      <c r="G21753" s="1" t="s">
        <v>28</v>
      </c>
      <c r="H21753" s="4" t="str">
        <f>HYPERLINK("https://portal.gdc.cancer.gov/cases/7d22ff96-9249-46b3-9cfa-e40dc4ecebd6","TCGA-D1-A3DH-01A")</f>
        <v>TCGA-D1-A3DH-01A</v>
      </c>
      <c r="I21753" t="s">
        <v>444</v>
      </c>
      <c r="J21753" t="s">
        <v>599</v>
      </c>
      <c r="K21753" t="s">
        <v>33</v>
      </c>
      <c r="L21753" t="s">
        <v>600</v>
      </c>
      <c r="N21753" t="s">
        <v>29</v>
      </c>
    </row>
    <row r="21754" spans="1:14">
      <c r="A21754" s="4" t="str">
        <f t="shared" si="1434"/>
        <v>EXP00452</v>
      </c>
      <c r="B21754" s="3" t="s">
        <v>66</v>
      </c>
      <c r="C21754" s="4" t="str">
        <f t="shared" si="1435"/>
        <v>TCGA-UCEC</v>
      </c>
      <c r="D21754" s="1" t="s">
        <v>493</v>
      </c>
      <c r="E21754" t="s">
        <v>601</v>
      </c>
      <c r="F21754" s="1">
        <v>2</v>
      </c>
      <c r="G21754" s="1" t="s">
        <v>28</v>
      </c>
      <c r="H21754" s="4" t="str">
        <f>HYPERLINK("https://portal.gdc.cancer.gov/cases/4846cb23-d7e7-47f4-972f-3abe229f7bdb","TCGA-D1-A3JP-01A")</f>
        <v>TCGA-D1-A3JP-01A</v>
      </c>
      <c r="I21754" t="s">
        <v>444</v>
      </c>
      <c r="J21754" t="s">
        <v>599</v>
      </c>
      <c r="K21754" t="s">
        <v>33</v>
      </c>
      <c r="L21754" t="s">
        <v>600</v>
      </c>
      <c r="N21754" t="s">
        <v>29</v>
      </c>
    </row>
    <row r="21755" spans="1:14">
      <c r="A21755" s="4" t="str">
        <f t="shared" si="1434"/>
        <v>EXP00452</v>
      </c>
      <c r="B21755" s="3" t="s">
        <v>66</v>
      </c>
      <c r="C21755" s="4" t="str">
        <f t="shared" si="1435"/>
        <v>TCGA-UCEC</v>
      </c>
      <c r="D21755" s="1" t="s">
        <v>493</v>
      </c>
      <c r="E21755" t="s">
        <v>601</v>
      </c>
      <c r="F21755" s="1">
        <v>2</v>
      </c>
      <c r="G21755" s="1" t="s">
        <v>28</v>
      </c>
      <c r="H21755" s="4" t="str">
        <f>HYPERLINK("https://portal.gdc.cancer.gov/cases/07c805c2-ff09-4d5a-95f8-1d7d9f84c33c","TCGA-D1-A3JQ-01A")</f>
        <v>TCGA-D1-A3JQ-01A</v>
      </c>
      <c r="I21755" t="s">
        <v>444</v>
      </c>
      <c r="J21755" t="s">
        <v>599</v>
      </c>
      <c r="K21755" t="s">
        <v>33</v>
      </c>
      <c r="L21755" t="s">
        <v>600</v>
      </c>
      <c r="N21755" t="s">
        <v>29</v>
      </c>
    </row>
    <row r="21756" spans="1:14">
      <c r="A21756" s="4" t="str">
        <f t="shared" si="1434"/>
        <v>EXP00452</v>
      </c>
      <c r="B21756" s="3" t="s">
        <v>66</v>
      </c>
      <c r="C21756" s="4" t="str">
        <f t="shared" si="1435"/>
        <v>TCGA-UCEC</v>
      </c>
      <c r="D21756" s="1" t="s">
        <v>493</v>
      </c>
      <c r="E21756" t="s">
        <v>601</v>
      </c>
      <c r="F21756" s="1">
        <v>2</v>
      </c>
      <c r="G21756" s="1" t="s">
        <v>28</v>
      </c>
      <c r="H21756" s="4" t="str">
        <f>HYPERLINK("https://portal.gdc.cancer.gov/cases/d438c58e-f038-47a3-8e62-485a5aca9695","TCGA-DF-A2KN-01A")</f>
        <v>TCGA-DF-A2KN-01A</v>
      </c>
      <c r="I21756" t="s">
        <v>444</v>
      </c>
      <c r="J21756" t="s">
        <v>599</v>
      </c>
      <c r="K21756" t="s">
        <v>33</v>
      </c>
      <c r="L21756" t="s">
        <v>600</v>
      </c>
      <c r="N21756" t="s">
        <v>29</v>
      </c>
    </row>
    <row r="21757" spans="1:14">
      <c r="A21757" s="4" t="str">
        <f t="shared" si="1434"/>
        <v>EXP00452</v>
      </c>
      <c r="B21757" s="3" t="s">
        <v>66</v>
      </c>
      <c r="C21757" s="4" t="str">
        <f t="shared" si="1435"/>
        <v>TCGA-UCEC</v>
      </c>
      <c r="D21757" s="1" t="s">
        <v>493</v>
      </c>
      <c r="E21757" t="s">
        <v>601</v>
      </c>
      <c r="F21757" s="1">
        <v>2</v>
      </c>
      <c r="G21757" s="1" t="s">
        <v>28</v>
      </c>
      <c r="H21757" s="4" t="str">
        <f>HYPERLINK("https://portal.gdc.cancer.gov/cases/30b62630-fc6d-4620-874a-1e15fd4f40ea","TCGA-DF-A2KR-01A")</f>
        <v>TCGA-DF-A2KR-01A</v>
      </c>
      <c r="I21757" t="s">
        <v>444</v>
      </c>
      <c r="J21757" t="s">
        <v>599</v>
      </c>
      <c r="K21757" t="s">
        <v>33</v>
      </c>
      <c r="L21757" t="s">
        <v>600</v>
      </c>
      <c r="N21757" t="s">
        <v>29</v>
      </c>
    </row>
    <row r="21758" spans="1:14">
      <c r="A21758" s="4" t="str">
        <f t="shared" si="1434"/>
        <v>EXP00452</v>
      </c>
      <c r="B21758" s="3" t="s">
        <v>66</v>
      </c>
      <c r="C21758" s="4" t="str">
        <f t="shared" si="1435"/>
        <v>TCGA-UCEC</v>
      </c>
      <c r="D21758" s="1" t="s">
        <v>493</v>
      </c>
      <c r="E21758" t="s">
        <v>601</v>
      </c>
      <c r="F21758" s="1">
        <v>2</v>
      </c>
      <c r="G21758" s="1" t="s">
        <v>28</v>
      </c>
      <c r="H21758" s="4" t="str">
        <f>HYPERLINK("https://portal.gdc.cancer.gov/cases/46e064cc-933b-444b-9e15-80fadbc53487","TCGA-DF-A2KS-01A")</f>
        <v>TCGA-DF-A2KS-01A</v>
      </c>
      <c r="I21758" t="s">
        <v>444</v>
      </c>
      <c r="J21758" t="s">
        <v>599</v>
      </c>
      <c r="K21758" t="s">
        <v>33</v>
      </c>
      <c r="L21758" t="s">
        <v>600</v>
      </c>
      <c r="N21758" t="s">
        <v>29</v>
      </c>
    </row>
    <row r="21759" spans="1:14">
      <c r="A21759" s="4" t="str">
        <f t="shared" si="1434"/>
        <v>EXP00452</v>
      </c>
      <c r="B21759" s="3" t="s">
        <v>66</v>
      </c>
      <c r="C21759" s="4" t="str">
        <f t="shared" si="1435"/>
        <v>TCGA-UCEC</v>
      </c>
      <c r="D21759" s="1" t="s">
        <v>493</v>
      </c>
      <c r="E21759" t="s">
        <v>601</v>
      </c>
      <c r="F21759" s="1">
        <v>2</v>
      </c>
      <c r="G21759" s="1" t="s">
        <v>28</v>
      </c>
      <c r="H21759" s="4" t="str">
        <f>HYPERLINK("https://portal.gdc.cancer.gov/cases/95eefb47-3f96-4a6d-8773-4d22843f0a6a","TCGA-DF-A2KU-01A")</f>
        <v>TCGA-DF-A2KU-01A</v>
      </c>
      <c r="I21759" t="s">
        <v>444</v>
      </c>
      <c r="J21759" t="s">
        <v>599</v>
      </c>
      <c r="K21759" t="s">
        <v>33</v>
      </c>
      <c r="L21759" t="s">
        <v>600</v>
      </c>
      <c r="N21759" t="s">
        <v>29</v>
      </c>
    </row>
    <row r="21760" spans="1:14">
      <c r="A21760" s="4" t="str">
        <f t="shared" si="1434"/>
        <v>EXP00452</v>
      </c>
      <c r="B21760" s="3" t="s">
        <v>66</v>
      </c>
      <c r="C21760" s="4" t="str">
        <f t="shared" si="1435"/>
        <v>TCGA-UCEC</v>
      </c>
      <c r="D21760" s="1" t="s">
        <v>493</v>
      </c>
      <c r="E21760" t="s">
        <v>601</v>
      </c>
      <c r="F21760" s="1">
        <v>2</v>
      </c>
      <c r="G21760" s="1" t="s">
        <v>28</v>
      </c>
      <c r="H21760" s="4" t="str">
        <f>HYPERLINK("https://portal.gdc.cancer.gov/cases/59cebae6-632d-4632-b695-c48ae46b2e67","TCGA-DF-A2KV-01A")</f>
        <v>TCGA-DF-A2KV-01A</v>
      </c>
      <c r="I21760" t="s">
        <v>444</v>
      </c>
      <c r="J21760" t="s">
        <v>599</v>
      </c>
      <c r="K21760" t="s">
        <v>33</v>
      </c>
      <c r="L21760" t="s">
        <v>600</v>
      </c>
      <c r="N21760" t="s">
        <v>29</v>
      </c>
    </row>
    <row r="21761" spans="1:14">
      <c r="A21761" s="4" t="str">
        <f t="shared" si="1434"/>
        <v>EXP00452</v>
      </c>
      <c r="B21761" s="3" t="s">
        <v>66</v>
      </c>
      <c r="C21761" s="4" t="str">
        <f t="shared" si="1435"/>
        <v>TCGA-UCEC</v>
      </c>
      <c r="D21761" s="1" t="s">
        <v>493</v>
      </c>
      <c r="E21761" t="s">
        <v>601</v>
      </c>
      <c r="F21761" s="1">
        <v>2</v>
      </c>
      <c r="G21761" s="1" t="s">
        <v>28</v>
      </c>
      <c r="H21761" s="4" t="str">
        <f>HYPERLINK("https://portal.gdc.cancer.gov/cases/5bf97d66-cdc6-47d0-ac74-5c6280b31072","TCGA-DF-A2KY-01A")</f>
        <v>TCGA-DF-A2KY-01A</v>
      </c>
      <c r="I21761" t="s">
        <v>444</v>
      </c>
      <c r="J21761" t="s">
        <v>599</v>
      </c>
      <c r="K21761" t="s">
        <v>33</v>
      </c>
      <c r="L21761" t="s">
        <v>600</v>
      </c>
      <c r="N21761" t="s">
        <v>29</v>
      </c>
    </row>
    <row r="21762" spans="1:14">
      <c r="A21762" s="4" t="str">
        <f t="shared" si="1434"/>
        <v>EXP00452</v>
      </c>
      <c r="B21762" s="3" t="s">
        <v>66</v>
      </c>
      <c r="C21762" s="4" t="str">
        <f t="shared" si="1435"/>
        <v>TCGA-UCEC</v>
      </c>
      <c r="D21762" s="1" t="s">
        <v>493</v>
      </c>
      <c r="E21762" t="s">
        <v>601</v>
      </c>
      <c r="F21762" s="1">
        <v>2</v>
      </c>
      <c r="G21762" s="1" t="s">
        <v>28</v>
      </c>
      <c r="H21762" s="4" t="str">
        <f>HYPERLINK("https://portal.gdc.cancer.gov/cases/3b218ab7-5c2e-4458-a0ac-5152ec3d2b94","TCGA-DF-A2KZ-01A")</f>
        <v>TCGA-DF-A2KZ-01A</v>
      </c>
      <c r="I21762" t="s">
        <v>444</v>
      </c>
      <c r="J21762" t="s">
        <v>599</v>
      </c>
      <c r="K21762" t="s">
        <v>33</v>
      </c>
      <c r="L21762" t="s">
        <v>600</v>
      </c>
      <c r="N21762" t="s">
        <v>29</v>
      </c>
    </row>
    <row r="21763" spans="1:14">
      <c r="A21763" s="4" t="str">
        <f t="shared" si="1434"/>
        <v>EXP00452</v>
      </c>
      <c r="B21763" s="3" t="s">
        <v>66</v>
      </c>
      <c r="C21763" s="4" t="str">
        <f t="shared" si="1435"/>
        <v>TCGA-UCEC</v>
      </c>
      <c r="D21763" s="1" t="s">
        <v>493</v>
      </c>
      <c r="E21763" t="s">
        <v>601</v>
      </c>
      <c r="F21763" s="1">
        <v>2</v>
      </c>
      <c r="G21763" s="1" t="s">
        <v>28</v>
      </c>
      <c r="H21763" s="4" t="str">
        <f>HYPERLINK("https://portal.gdc.cancer.gov/cases/7adaf608-19a5-4184-8b79-bbc6f9cf24ae","TCGA-DF-A2L0-01A")</f>
        <v>TCGA-DF-A2L0-01A</v>
      </c>
      <c r="I21763" t="s">
        <v>444</v>
      </c>
      <c r="J21763" t="s">
        <v>599</v>
      </c>
      <c r="K21763" t="s">
        <v>33</v>
      </c>
      <c r="L21763" t="s">
        <v>600</v>
      </c>
      <c r="N21763" t="s">
        <v>29</v>
      </c>
    </row>
    <row r="21764" spans="1:14">
      <c r="A21764" s="4" t="str">
        <f t="shared" si="1434"/>
        <v>EXP00452</v>
      </c>
      <c r="B21764" s="3" t="s">
        <v>66</v>
      </c>
      <c r="C21764" s="4" t="str">
        <f t="shared" si="1435"/>
        <v>TCGA-UCEC</v>
      </c>
      <c r="D21764" s="1" t="s">
        <v>493</v>
      </c>
      <c r="E21764" t="s">
        <v>601</v>
      </c>
      <c r="F21764" s="1">
        <v>2</v>
      </c>
      <c r="G21764" s="1" t="s">
        <v>28</v>
      </c>
      <c r="H21764" s="4" t="str">
        <f>HYPERLINK("https://portal.gdc.cancer.gov/cases/3dab68d3-232c-4b4f-81a4-ca8f72d69a43","TCGA-DI-A0WH-01A")</f>
        <v>TCGA-DI-A0WH-01A</v>
      </c>
      <c r="I21764" t="s">
        <v>444</v>
      </c>
      <c r="J21764" t="s">
        <v>599</v>
      </c>
      <c r="K21764" t="s">
        <v>33</v>
      </c>
      <c r="L21764" t="s">
        <v>600</v>
      </c>
      <c r="N21764" t="s">
        <v>29</v>
      </c>
    </row>
    <row r="21765" spans="1:14">
      <c r="A21765" s="4" t="str">
        <f t="shared" si="1434"/>
        <v>EXP00452</v>
      </c>
      <c r="B21765" s="3" t="s">
        <v>66</v>
      </c>
      <c r="C21765" s="4" t="str">
        <f t="shared" si="1435"/>
        <v>TCGA-UCEC</v>
      </c>
      <c r="D21765" s="1" t="s">
        <v>493</v>
      </c>
      <c r="E21765" t="s">
        <v>601</v>
      </c>
      <c r="F21765" s="1">
        <v>2</v>
      </c>
      <c r="G21765" s="1" t="s">
        <v>28</v>
      </c>
      <c r="H21765" s="4" t="str">
        <f>HYPERLINK("https://portal.gdc.cancer.gov/cases/53245616-e095-4616-89bb-6062669122da","TCGA-DI-A1BU-01A")</f>
        <v>TCGA-DI-A1BU-01A</v>
      </c>
      <c r="I21765" t="s">
        <v>444</v>
      </c>
      <c r="J21765" t="s">
        <v>599</v>
      </c>
      <c r="K21765" t="s">
        <v>33</v>
      </c>
      <c r="L21765" t="s">
        <v>600</v>
      </c>
      <c r="N21765" t="s">
        <v>29</v>
      </c>
    </row>
    <row r="21766" spans="1:14">
      <c r="A21766" s="4" t="str">
        <f t="shared" si="1434"/>
        <v>EXP00452</v>
      </c>
      <c r="B21766" s="3" t="s">
        <v>66</v>
      </c>
      <c r="C21766" s="4" t="str">
        <f t="shared" si="1435"/>
        <v>TCGA-UCEC</v>
      </c>
      <c r="D21766" s="1" t="s">
        <v>493</v>
      </c>
      <c r="E21766" t="s">
        <v>601</v>
      </c>
      <c r="F21766" s="1">
        <v>2</v>
      </c>
      <c r="G21766" s="1" t="s">
        <v>28</v>
      </c>
      <c r="H21766" s="4" t="str">
        <f>HYPERLINK("https://portal.gdc.cancer.gov/cases/e46b6434-ee88-4630-9fc3-441afc431745","TCGA-DI-A1BY-01A")</f>
        <v>TCGA-DI-A1BY-01A</v>
      </c>
      <c r="I21766" t="s">
        <v>444</v>
      </c>
      <c r="J21766" t="s">
        <v>599</v>
      </c>
      <c r="K21766" t="s">
        <v>33</v>
      </c>
      <c r="L21766" t="s">
        <v>600</v>
      </c>
      <c r="N21766" t="s">
        <v>29</v>
      </c>
    </row>
    <row r="21767" spans="1:14">
      <c r="A21767" s="4" t="str">
        <f t="shared" si="1434"/>
        <v>EXP00452</v>
      </c>
      <c r="B21767" s="3" t="s">
        <v>66</v>
      </c>
      <c r="C21767" s="4" t="str">
        <f t="shared" si="1435"/>
        <v>TCGA-UCEC</v>
      </c>
      <c r="D21767" s="1" t="s">
        <v>493</v>
      </c>
      <c r="E21767" t="s">
        <v>601</v>
      </c>
      <c r="F21767" s="1">
        <v>2</v>
      </c>
      <c r="G21767" s="1" t="s">
        <v>28</v>
      </c>
      <c r="H21767" s="4" t="str">
        <f>HYPERLINK("https://portal.gdc.cancer.gov/cases/944a102f-3475-45aa-9e30-4b92d1449f00","TCGA-DI-A1NN-01A")</f>
        <v>TCGA-DI-A1NN-01A</v>
      </c>
      <c r="I21767" t="s">
        <v>444</v>
      </c>
      <c r="J21767" t="s">
        <v>599</v>
      </c>
      <c r="K21767" t="s">
        <v>33</v>
      </c>
      <c r="L21767" t="s">
        <v>600</v>
      </c>
      <c r="N21767" t="s">
        <v>29</v>
      </c>
    </row>
    <row r="21768" spans="1:14">
      <c r="A21768" s="4" t="str">
        <f t="shared" si="1434"/>
        <v>EXP00452</v>
      </c>
      <c r="B21768" s="3" t="s">
        <v>66</v>
      </c>
      <c r="C21768" s="4" t="str">
        <f t="shared" si="1435"/>
        <v>TCGA-UCEC</v>
      </c>
      <c r="D21768" s="1" t="s">
        <v>493</v>
      </c>
      <c r="E21768" t="s">
        <v>601</v>
      </c>
      <c r="F21768" s="1">
        <v>2</v>
      </c>
      <c r="G21768" s="1" t="s">
        <v>28</v>
      </c>
      <c r="H21768" s="4" t="str">
        <f>HYPERLINK("https://portal.gdc.cancer.gov/cases/d3e93d76-6565-454a-a085-4492024350e9","TCGA-DI-A1NO-01A")</f>
        <v>TCGA-DI-A1NO-01A</v>
      </c>
      <c r="I21768" t="s">
        <v>444</v>
      </c>
      <c r="J21768" t="s">
        <v>599</v>
      </c>
      <c r="K21768" t="s">
        <v>33</v>
      </c>
      <c r="L21768" t="s">
        <v>600</v>
      </c>
      <c r="N21768" t="s">
        <v>29</v>
      </c>
    </row>
    <row r="21769" spans="1:14">
      <c r="A21769" s="4" t="str">
        <f t="shared" si="1434"/>
        <v>EXP00452</v>
      </c>
      <c r="B21769" s="3" t="s">
        <v>66</v>
      </c>
      <c r="C21769" s="4" t="str">
        <f t="shared" si="1435"/>
        <v>TCGA-UCEC</v>
      </c>
      <c r="D21769" s="1" t="s">
        <v>493</v>
      </c>
      <c r="E21769" t="s">
        <v>601</v>
      </c>
      <c r="F21769" s="1">
        <v>2</v>
      </c>
      <c r="G21769" s="1" t="s">
        <v>28</v>
      </c>
      <c r="H21769" s="4" t="str">
        <f>HYPERLINK("https://portal.gdc.cancer.gov/cases/ee932b34-0114-41dc-b119-210c0ed84bcb","TCGA-DI-A2QT-01A")</f>
        <v>TCGA-DI-A2QT-01A</v>
      </c>
      <c r="I21769" t="s">
        <v>444</v>
      </c>
      <c r="J21769" t="s">
        <v>599</v>
      </c>
      <c r="K21769" t="s">
        <v>33</v>
      </c>
      <c r="L21769" t="s">
        <v>600</v>
      </c>
      <c r="N21769" t="s">
        <v>29</v>
      </c>
    </row>
    <row r="21770" spans="1:14">
      <c r="A21770" s="4" t="str">
        <f t="shared" si="1434"/>
        <v>EXP00452</v>
      </c>
      <c r="B21770" s="3" t="s">
        <v>66</v>
      </c>
      <c r="C21770" s="4" t="str">
        <f t="shared" si="1435"/>
        <v>TCGA-UCEC</v>
      </c>
      <c r="D21770" s="1" t="s">
        <v>493</v>
      </c>
      <c r="E21770" t="s">
        <v>601</v>
      </c>
      <c r="F21770" s="1">
        <v>2</v>
      </c>
      <c r="G21770" s="1" t="s">
        <v>28</v>
      </c>
      <c r="H21770" s="4" t="str">
        <f>HYPERLINK("https://portal.gdc.cancer.gov/cases/e9fa66f5-282c-416a-9dcf-46714ea12fcf","TCGA-DI-A2QU-01A")</f>
        <v>TCGA-DI-A2QU-01A</v>
      </c>
      <c r="I21770" t="s">
        <v>444</v>
      </c>
      <c r="J21770" t="s">
        <v>599</v>
      </c>
      <c r="K21770" t="s">
        <v>33</v>
      </c>
      <c r="L21770" t="s">
        <v>600</v>
      </c>
      <c r="N21770" t="s">
        <v>29</v>
      </c>
    </row>
    <row r="21771" spans="1:14">
      <c r="A21771" s="4" t="str">
        <f t="shared" si="1434"/>
        <v>EXP00452</v>
      </c>
      <c r="B21771" s="3" t="s">
        <v>66</v>
      </c>
      <c r="C21771" s="4" t="str">
        <f t="shared" si="1435"/>
        <v>TCGA-UCEC</v>
      </c>
      <c r="D21771" s="1" t="s">
        <v>493</v>
      </c>
      <c r="E21771" t="s">
        <v>601</v>
      </c>
      <c r="F21771" s="1">
        <v>2</v>
      </c>
      <c r="G21771" s="1" t="s">
        <v>28</v>
      </c>
      <c r="H21771" s="4" t="str">
        <f>HYPERLINK("https://portal.gdc.cancer.gov/cases/6524a6d3-a9f0-4a46-ac0b-7beb0cd1b915","TCGA-DI-A2QY-01A")</f>
        <v>TCGA-DI-A2QY-01A</v>
      </c>
      <c r="I21771" t="s">
        <v>444</v>
      </c>
      <c r="J21771" t="s">
        <v>599</v>
      </c>
      <c r="K21771" t="s">
        <v>33</v>
      </c>
      <c r="L21771" t="s">
        <v>600</v>
      </c>
      <c r="N21771" t="s">
        <v>29</v>
      </c>
    </row>
    <row r="21772" spans="1:14">
      <c r="A21772" s="4" t="str">
        <f t="shared" si="1434"/>
        <v>EXP00452</v>
      </c>
      <c r="B21772" s="3" t="s">
        <v>66</v>
      </c>
      <c r="C21772" s="4" t="str">
        <f t="shared" si="1435"/>
        <v>TCGA-UCEC</v>
      </c>
      <c r="D21772" s="1" t="s">
        <v>493</v>
      </c>
      <c r="E21772" t="s">
        <v>601</v>
      </c>
      <c r="F21772" s="1">
        <v>2</v>
      </c>
      <c r="G21772" s="1" t="s">
        <v>28</v>
      </c>
      <c r="H21772" s="4" t="str">
        <f>HYPERLINK("https://portal.gdc.cancer.gov/cases/435b57e7-5cd4-486a-b3d4-ccb1ef160d52","TCGA-E6-A1LX-01A")</f>
        <v>TCGA-E6-A1LX-01A</v>
      </c>
      <c r="I21772" t="s">
        <v>444</v>
      </c>
      <c r="J21772" t="s">
        <v>599</v>
      </c>
      <c r="K21772" t="s">
        <v>33</v>
      </c>
      <c r="L21772" t="s">
        <v>600</v>
      </c>
      <c r="N21772" t="s">
        <v>29</v>
      </c>
    </row>
    <row r="21773" spans="1:14">
      <c r="A21773" s="4" t="str">
        <f t="shared" si="1434"/>
        <v>EXP00452</v>
      </c>
      <c r="B21773" s="3" t="s">
        <v>66</v>
      </c>
      <c r="C21773" s="4" t="str">
        <f t="shared" si="1435"/>
        <v>TCGA-UCEC</v>
      </c>
      <c r="D21773" s="1" t="s">
        <v>493</v>
      </c>
      <c r="E21773" t="s">
        <v>601</v>
      </c>
      <c r="F21773" s="1">
        <v>2</v>
      </c>
      <c r="G21773" s="1" t="s">
        <v>28</v>
      </c>
      <c r="H21773" s="4" t="str">
        <f>HYPERLINK("https://portal.gdc.cancer.gov/cases/9205c164-7975-421a-90c3-edfe8def595c","TCGA-E6-A1LZ-01A")</f>
        <v>TCGA-E6-A1LZ-01A</v>
      </c>
      <c r="I21773" t="s">
        <v>444</v>
      </c>
      <c r="J21773" t="s">
        <v>599</v>
      </c>
      <c r="K21773" t="s">
        <v>33</v>
      </c>
      <c r="L21773" t="s">
        <v>600</v>
      </c>
      <c r="N21773" t="s">
        <v>29</v>
      </c>
    </row>
    <row r="21774" spans="1:14">
      <c r="A21774" s="4" t="str">
        <f t="shared" ref="A21774:A21837" si="1436">HYPERLINK("http://hcmdb.i-sanger.com/experiment/details/experiment_id/EXP00452","EXP00452")</f>
        <v>EXP00452</v>
      </c>
      <c r="B21774" s="3" t="s">
        <v>66</v>
      </c>
      <c r="C21774" s="4" t="str">
        <f t="shared" si="1435"/>
        <v>TCGA-UCEC</v>
      </c>
      <c r="D21774" s="1" t="s">
        <v>493</v>
      </c>
      <c r="E21774" t="s">
        <v>601</v>
      </c>
      <c r="F21774" s="1">
        <v>2</v>
      </c>
      <c r="G21774" s="1" t="s">
        <v>28</v>
      </c>
      <c r="H21774" s="4" t="str">
        <f>HYPERLINK("https://portal.gdc.cancer.gov/cases/e3dcde4e-5def-4b89-97b4-047b8288919b","TCGA-E6-A1M0-01A")</f>
        <v>TCGA-E6-A1M0-01A</v>
      </c>
      <c r="I21774" t="s">
        <v>444</v>
      </c>
      <c r="J21774" t="s">
        <v>599</v>
      </c>
      <c r="K21774" t="s">
        <v>33</v>
      </c>
      <c r="L21774" t="s">
        <v>600</v>
      </c>
      <c r="N21774" t="s">
        <v>29</v>
      </c>
    </row>
    <row r="21775" spans="1:14">
      <c r="A21775" s="4" t="str">
        <f t="shared" si="1436"/>
        <v>EXP00452</v>
      </c>
      <c r="B21775" s="3" t="s">
        <v>66</v>
      </c>
      <c r="C21775" s="4" t="str">
        <f t="shared" si="1435"/>
        <v>TCGA-UCEC</v>
      </c>
      <c r="D21775" s="1" t="s">
        <v>493</v>
      </c>
      <c r="E21775" t="s">
        <v>601</v>
      </c>
      <c r="F21775" s="1">
        <v>2</v>
      </c>
      <c r="G21775" s="1" t="s">
        <v>28</v>
      </c>
      <c r="H21775" s="4" t="str">
        <f>HYPERLINK("https://portal.gdc.cancer.gov/cases/d213da3a-ff1c-4fbd-8d4e-7f9e6a2318d0","TCGA-E6-A2P8-01A")</f>
        <v>TCGA-E6-A2P8-01A</v>
      </c>
      <c r="I21775" t="s">
        <v>444</v>
      </c>
      <c r="J21775" t="s">
        <v>599</v>
      </c>
      <c r="K21775" t="s">
        <v>33</v>
      </c>
      <c r="L21775" t="s">
        <v>600</v>
      </c>
      <c r="N21775" t="s">
        <v>29</v>
      </c>
    </row>
    <row r="21776" spans="1:14">
      <c r="A21776" s="4" t="str">
        <f t="shared" si="1436"/>
        <v>EXP00452</v>
      </c>
      <c r="B21776" s="3" t="s">
        <v>66</v>
      </c>
      <c r="C21776" s="4" t="str">
        <f t="shared" si="1435"/>
        <v>TCGA-UCEC</v>
      </c>
      <c r="D21776" s="1" t="s">
        <v>493</v>
      </c>
      <c r="E21776" t="s">
        <v>601</v>
      </c>
      <c r="F21776" s="1">
        <v>2</v>
      </c>
      <c r="G21776" s="1" t="s">
        <v>28</v>
      </c>
      <c r="H21776" s="4" t="str">
        <f>HYPERLINK("https://portal.gdc.cancer.gov/cases/077bdc90-1bbd-49ec-93a5-729b1ac1ba8d","TCGA-E6-A2P9-01A")</f>
        <v>TCGA-E6-A2P9-01A</v>
      </c>
      <c r="I21776" t="s">
        <v>444</v>
      </c>
      <c r="J21776" t="s">
        <v>599</v>
      </c>
      <c r="K21776" t="s">
        <v>33</v>
      </c>
      <c r="L21776" t="s">
        <v>600</v>
      </c>
      <c r="N21776" t="s">
        <v>29</v>
      </c>
    </row>
    <row r="21777" spans="1:14">
      <c r="A21777" s="4" t="str">
        <f t="shared" si="1436"/>
        <v>EXP00452</v>
      </c>
      <c r="B21777" s="3" t="s">
        <v>66</v>
      </c>
      <c r="C21777" s="4" t="str">
        <f t="shared" si="1435"/>
        <v>TCGA-UCEC</v>
      </c>
      <c r="D21777" s="1" t="s">
        <v>493</v>
      </c>
      <c r="E21777" t="s">
        <v>601</v>
      </c>
      <c r="F21777" s="1">
        <v>2</v>
      </c>
      <c r="G21777" s="1" t="s">
        <v>28</v>
      </c>
      <c r="H21777" s="4" t="str">
        <f>HYPERLINK("https://portal.gdc.cancer.gov/cases/eb642568-30d4-4805-a295-bda314ccaaaf","TCGA-E6-A8L9-01A")</f>
        <v>TCGA-E6-A8L9-01A</v>
      </c>
      <c r="I21777" t="s">
        <v>444</v>
      </c>
      <c r="J21777" t="s">
        <v>599</v>
      </c>
      <c r="K21777" t="s">
        <v>33</v>
      </c>
      <c r="L21777" t="s">
        <v>600</v>
      </c>
      <c r="N21777" t="s">
        <v>29</v>
      </c>
    </row>
    <row r="21778" spans="1:14">
      <c r="A21778" s="4" t="str">
        <f t="shared" si="1436"/>
        <v>EXP00452</v>
      </c>
      <c r="B21778" s="3" t="s">
        <v>66</v>
      </c>
      <c r="C21778" s="4" t="str">
        <f t="shared" si="1435"/>
        <v>TCGA-UCEC</v>
      </c>
      <c r="D21778" s="1" t="s">
        <v>493</v>
      </c>
      <c r="E21778" t="s">
        <v>601</v>
      </c>
      <c r="F21778" s="1">
        <v>2</v>
      </c>
      <c r="G21778" s="1" t="s">
        <v>28</v>
      </c>
      <c r="H21778" s="4" t="str">
        <f>HYPERLINK("https://portal.gdc.cancer.gov/cases/b3aa16d6-1677-445d-a8d3-46657d4f8b43","TCGA-EC-A1NJ-01A")</f>
        <v>TCGA-EC-A1NJ-01A</v>
      </c>
      <c r="I21778" t="s">
        <v>444</v>
      </c>
      <c r="J21778" t="s">
        <v>599</v>
      </c>
      <c r="K21778" t="s">
        <v>33</v>
      </c>
      <c r="L21778" t="s">
        <v>600</v>
      </c>
      <c r="N21778" t="s">
        <v>29</v>
      </c>
    </row>
    <row r="21779" spans="1:14">
      <c r="A21779" s="4" t="str">
        <f t="shared" si="1436"/>
        <v>EXP00452</v>
      </c>
      <c r="B21779" s="3" t="s">
        <v>66</v>
      </c>
      <c r="C21779" s="4" t="str">
        <f t="shared" si="1435"/>
        <v>TCGA-UCEC</v>
      </c>
      <c r="D21779" s="1" t="s">
        <v>493</v>
      </c>
      <c r="E21779" t="s">
        <v>601</v>
      </c>
      <c r="F21779" s="1">
        <v>2</v>
      </c>
      <c r="G21779" s="1" t="s">
        <v>28</v>
      </c>
      <c r="H21779" s="4" t="str">
        <f>HYPERLINK("https://portal.gdc.cancer.gov/cases/f17bb238-2651-48a5-9a47-5077218efe08","TCGA-EC-A1QX-01A")</f>
        <v>TCGA-EC-A1QX-01A</v>
      </c>
      <c r="I21779" t="s">
        <v>444</v>
      </c>
      <c r="J21779" t="s">
        <v>599</v>
      </c>
      <c r="K21779" t="s">
        <v>33</v>
      </c>
      <c r="L21779" t="s">
        <v>600</v>
      </c>
      <c r="N21779" t="s">
        <v>29</v>
      </c>
    </row>
    <row r="21780" spans="1:14">
      <c r="A21780" s="4" t="str">
        <f t="shared" si="1436"/>
        <v>EXP00452</v>
      </c>
      <c r="B21780" s="3" t="s">
        <v>66</v>
      </c>
      <c r="C21780" s="4" t="str">
        <f t="shared" si="1435"/>
        <v>TCGA-UCEC</v>
      </c>
      <c r="D21780" s="1" t="s">
        <v>493</v>
      </c>
      <c r="E21780" t="s">
        <v>601</v>
      </c>
      <c r="F21780" s="1">
        <v>2</v>
      </c>
      <c r="G21780" s="1" t="s">
        <v>28</v>
      </c>
      <c r="H21780" s="4" t="str">
        <f>HYPERLINK("https://portal.gdc.cancer.gov/cases/b5c1e511-baf2-45b3-9919-110e8941e3c2","TCGA-EC-A24G-01A")</f>
        <v>TCGA-EC-A24G-01A</v>
      </c>
      <c r="I21780" t="s">
        <v>444</v>
      </c>
      <c r="J21780" t="s">
        <v>599</v>
      </c>
      <c r="K21780" t="s">
        <v>33</v>
      </c>
      <c r="L21780" t="s">
        <v>600</v>
      </c>
      <c r="N21780" t="s">
        <v>29</v>
      </c>
    </row>
    <row r="21781" spans="1:14">
      <c r="A21781" s="4" t="str">
        <f t="shared" si="1436"/>
        <v>EXP00452</v>
      </c>
      <c r="B21781" s="3" t="s">
        <v>66</v>
      </c>
      <c r="C21781" s="4" t="str">
        <f t="shared" si="1435"/>
        <v>TCGA-UCEC</v>
      </c>
      <c r="D21781" s="1" t="s">
        <v>493</v>
      </c>
      <c r="E21781" t="s">
        <v>601</v>
      </c>
      <c r="F21781" s="1">
        <v>2</v>
      </c>
      <c r="G21781" s="1" t="s">
        <v>28</v>
      </c>
      <c r="H21781" s="4" t="str">
        <f>HYPERLINK("https://portal.gdc.cancer.gov/cases/5f2f2e7a-8aec-4011-b261-0c5bc68da840","TCGA-EO-A1Y5-01A")</f>
        <v>TCGA-EO-A1Y5-01A</v>
      </c>
      <c r="I21781" t="s">
        <v>444</v>
      </c>
      <c r="J21781" t="s">
        <v>599</v>
      </c>
      <c r="K21781" t="s">
        <v>33</v>
      </c>
      <c r="L21781" t="s">
        <v>600</v>
      </c>
      <c r="N21781" t="s">
        <v>29</v>
      </c>
    </row>
    <row r="21782" spans="1:14">
      <c r="A21782" s="4" t="str">
        <f t="shared" si="1436"/>
        <v>EXP00452</v>
      </c>
      <c r="B21782" s="3" t="s">
        <v>66</v>
      </c>
      <c r="C21782" s="4" t="str">
        <f t="shared" si="1435"/>
        <v>TCGA-UCEC</v>
      </c>
      <c r="D21782" s="1" t="s">
        <v>493</v>
      </c>
      <c r="E21782" t="s">
        <v>601</v>
      </c>
      <c r="F21782" s="1">
        <v>2</v>
      </c>
      <c r="G21782" s="1" t="s">
        <v>28</v>
      </c>
      <c r="H21782" s="4" t="str">
        <f>HYPERLINK("https://portal.gdc.cancer.gov/cases/71ed2681-79bb-4ffb-985c-6d3cf18e9168","TCGA-EO-A1Y7-01A")</f>
        <v>TCGA-EO-A1Y7-01A</v>
      </c>
      <c r="I21782" t="s">
        <v>444</v>
      </c>
      <c r="J21782" t="s">
        <v>599</v>
      </c>
      <c r="K21782" t="s">
        <v>33</v>
      </c>
      <c r="L21782" t="s">
        <v>600</v>
      </c>
      <c r="N21782" t="s">
        <v>29</v>
      </c>
    </row>
    <row r="21783" spans="1:14">
      <c r="A21783" s="4" t="str">
        <f t="shared" si="1436"/>
        <v>EXP00452</v>
      </c>
      <c r="B21783" s="3" t="s">
        <v>66</v>
      </c>
      <c r="C21783" s="4" t="str">
        <f t="shared" si="1435"/>
        <v>TCGA-UCEC</v>
      </c>
      <c r="D21783" s="1" t="s">
        <v>493</v>
      </c>
      <c r="E21783" t="s">
        <v>601</v>
      </c>
      <c r="F21783" s="1">
        <v>2</v>
      </c>
      <c r="G21783" s="1" t="s">
        <v>28</v>
      </c>
      <c r="H21783" s="4" t="str">
        <f>HYPERLINK("https://portal.gdc.cancer.gov/cases/de4e13c8-5ad0-46d2-ae54-b9ca22b939d8","TCGA-EO-A1Y8-01A")</f>
        <v>TCGA-EO-A1Y8-01A</v>
      </c>
      <c r="I21783" t="s">
        <v>444</v>
      </c>
      <c r="J21783" t="s">
        <v>599</v>
      </c>
      <c r="K21783" t="s">
        <v>33</v>
      </c>
      <c r="L21783" t="s">
        <v>600</v>
      </c>
      <c r="N21783" t="s">
        <v>29</v>
      </c>
    </row>
    <row r="21784" spans="1:14">
      <c r="A21784" s="4" t="str">
        <f t="shared" si="1436"/>
        <v>EXP00452</v>
      </c>
      <c r="B21784" s="3" t="s">
        <v>66</v>
      </c>
      <c r="C21784" s="4" t="str">
        <f t="shared" si="1435"/>
        <v>TCGA-UCEC</v>
      </c>
      <c r="D21784" s="1" t="s">
        <v>493</v>
      </c>
      <c r="E21784" t="s">
        <v>601</v>
      </c>
      <c r="F21784" s="1">
        <v>2</v>
      </c>
      <c r="G21784" s="1" t="s">
        <v>28</v>
      </c>
      <c r="H21784" s="4" t="str">
        <f>HYPERLINK("https://portal.gdc.cancer.gov/cases/508bf716-46f9-44dc-8e39-09261dfb073e","TCGA-EO-A22R-01A")</f>
        <v>TCGA-EO-A22R-01A</v>
      </c>
      <c r="I21784" t="s">
        <v>444</v>
      </c>
      <c r="J21784" t="s">
        <v>599</v>
      </c>
      <c r="K21784" t="s">
        <v>33</v>
      </c>
      <c r="L21784" t="s">
        <v>600</v>
      </c>
      <c r="N21784" t="s">
        <v>29</v>
      </c>
    </row>
    <row r="21785" spans="1:14">
      <c r="A21785" s="4" t="str">
        <f t="shared" si="1436"/>
        <v>EXP00452</v>
      </c>
      <c r="B21785" s="3" t="s">
        <v>66</v>
      </c>
      <c r="C21785" s="4" t="str">
        <f t="shared" si="1435"/>
        <v>TCGA-UCEC</v>
      </c>
      <c r="D21785" s="1" t="s">
        <v>493</v>
      </c>
      <c r="E21785" t="s">
        <v>601</v>
      </c>
      <c r="F21785" s="1">
        <v>2</v>
      </c>
      <c r="G21785" s="1" t="s">
        <v>28</v>
      </c>
      <c r="H21785" s="4" t="str">
        <f>HYPERLINK("https://portal.gdc.cancer.gov/cases/8f2d3495-8ce7-4f6e-a41d-8cfae5750937","TCGA-EO-A22S-01A")</f>
        <v>TCGA-EO-A22S-01A</v>
      </c>
      <c r="I21785" t="s">
        <v>444</v>
      </c>
      <c r="J21785" t="s">
        <v>599</v>
      </c>
      <c r="K21785" t="s">
        <v>33</v>
      </c>
      <c r="L21785" t="s">
        <v>600</v>
      </c>
      <c r="N21785" t="s">
        <v>29</v>
      </c>
    </row>
    <row r="21786" spans="1:14">
      <c r="A21786" s="4" t="str">
        <f t="shared" si="1436"/>
        <v>EXP00452</v>
      </c>
      <c r="B21786" s="3" t="s">
        <v>66</v>
      </c>
      <c r="C21786" s="4" t="str">
        <f t="shared" si="1435"/>
        <v>TCGA-UCEC</v>
      </c>
      <c r="D21786" s="1" t="s">
        <v>493</v>
      </c>
      <c r="E21786" t="s">
        <v>601</v>
      </c>
      <c r="F21786" s="1">
        <v>2</v>
      </c>
      <c r="G21786" s="1" t="s">
        <v>28</v>
      </c>
      <c r="H21786" s="4" t="str">
        <f>HYPERLINK("https://portal.gdc.cancer.gov/cases/63170b0e-78cf-45d9-af9d-ce986ac66991","TCGA-EO-A22T-01A")</f>
        <v>TCGA-EO-A22T-01A</v>
      </c>
      <c r="I21786" t="s">
        <v>444</v>
      </c>
      <c r="J21786" t="s">
        <v>599</v>
      </c>
      <c r="K21786" t="s">
        <v>33</v>
      </c>
      <c r="L21786" t="s">
        <v>600</v>
      </c>
      <c r="N21786" t="s">
        <v>29</v>
      </c>
    </row>
    <row r="21787" spans="1:14">
      <c r="A21787" s="4" t="str">
        <f t="shared" si="1436"/>
        <v>EXP00452</v>
      </c>
      <c r="B21787" s="3" t="s">
        <v>66</v>
      </c>
      <c r="C21787" s="4" t="str">
        <f t="shared" si="1435"/>
        <v>TCGA-UCEC</v>
      </c>
      <c r="D21787" s="1" t="s">
        <v>493</v>
      </c>
      <c r="E21787" t="s">
        <v>601</v>
      </c>
      <c r="F21787" s="1">
        <v>2</v>
      </c>
      <c r="G21787" s="1" t="s">
        <v>28</v>
      </c>
      <c r="H21787" s="4" t="str">
        <f>HYPERLINK("https://portal.gdc.cancer.gov/cases/30bc72d5-07b5-48d2-b025-bba9bcf2f09f","TCGA-EO-A22U-01A")</f>
        <v>TCGA-EO-A22U-01A</v>
      </c>
      <c r="I21787" t="s">
        <v>444</v>
      </c>
      <c r="J21787" t="s">
        <v>599</v>
      </c>
      <c r="K21787" t="s">
        <v>33</v>
      </c>
      <c r="L21787" t="s">
        <v>600</v>
      </c>
      <c r="N21787" t="s">
        <v>29</v>
      </c>
    </row>
    <row r="21788" spans="1:14">
      <c r="A21788" s="4" t="str">
        <f t="shared" si="1436"/>
        <v>EXP00452</v>
      </c>
      <c r="B21788" s="3" t="s">
        <v>66</v>
      </c>
      <c r="C21788" s="4" t="str">
        <f t="shared" si="1435"/>
        <v>TCGA-UCEC</v>
      </c>
      <c r="D21788" s="1" t="s">
        <v>493</v>
      </c>
      <c r="E21788" t="s">
        <v>601</v>
      </c>
      <c r="F21788" s="1">
        <v>2</v>
      </c>
      <c r="G21788" s="1" t="s">
        <v>28</v>
      </c>
      <c r="H21788" s="4" t="str">
        <f>HYPERLINK("https://portal.gdc.cancer.gov/cases/10eb7dfa-d43d-479f-8c46-c0424207f958","TCGA-EO-A22X-01A")</f>
        <v>TCGA-EO-A22X-01A</v>
      </c>
      <c r="I21788" t="s">
        <v>444</v>
      </c>
      <c r="J21788" t="s">
        <v>599</v>
      </c>
      <c r="K21788" t="s">
        <v>33</v>
      </c>
      <c r="L21788" t="s">
        <v>600</v>
      </c>
      <c r="N21788" t="s">
        <v>29</v>
      </c>
    </row>
    <row r="21789" spans="1:14">
      <c r="A21789" s="4" t="str">
        <f t="shared" si="1436"/>
        <v>EXP00452</v>
      </c>
      <c r="B21789" s="3" t="s">
        <v>66</v>
      </c>
      <c r="C21789" s="4" t="str">
        <f t="shared" si="1435"/>
        <v>TCGA-UCEC</v>
      </c>
      <c r="D21789" s="1" t="s">
        <v>493</v>
      </c>
      <c r="E21789" t="s">
        <v>601</v>
      </c>
      <c r="F21789" s="1">
        <v>2</v>
      </c>
      <c r="G21789" s="1" t="s">
        <v>28</v>
      </c>
      <c r="H21789" s="4" t="str">
        <f>HYPERLINK("https://portal.gdc.cancer.gov/cases/e6183a43-24b9-4fe1-95c3-4cff67e6c1ed","TCGA-EO-A22Y-01A")</f>
        <v>TCGA-EO-A22Y-01A</v>
      </c>
      <c r="I21789" t="s">
        <v>444</v>
      </c>
      <c r="J21789" t="s">
        <v>599</v>
      </c>
      <c r="K21789" t="s">
        <v>33</v>
      </c>
      <c r="L21789" t="s">
        <v>600</v>
      </c>
      <c r="N21789" t="s">
        <v>29</v>
      </c>
    </row>
    <row r="21790" spans="1:14">
      <c r="A21790" s="4" t="str">
        <f t="shared" si="1436"/>
        <v>EXP00452</v>
      </c>
      <c r="B21790" s="3" t="s">
        <v>66</v>
      </c>
      <c r="C21790" s="4" t="str">
        <f t="shared" si="1435"/>
        <v>TCGA-UCEC</v>
      </c>
      <c r="D21790" s="1" t="s">
        <v>493</v>
      </c>
      <c r="E21790" t="s">
        <v>601</v>
      </c>
      <c r="F21790" s="1">
        <v>2</v>
      </c>
      <c r="G21790" s="1" t="s">
        <v>28</v>
      </c>
      <c r="H21790" s="4" t="str">
        <f>HYPERLINK("https://portal.gdc.cancer.gov/cases/af363cec-bec9-4de3-8cc2-e98b0eed2858","TCGA-EO-A2CG-01A")</f>
        <v>TCGA-EO-A2CG-01A</v>
      </c>
      <c r="I21790" t="s">
        <v>444</v>
      </c>
      <c r="J21790" t="s">
        <v>599</v>
      </c>
      <c r="K21790" t="s">
        <v>33</v>
      </c>
      <c r="L21790" t="s">
        <v>600</v>
      </c>
      <c r="N21790" t="s">
        <v>29</v>
      </c>
    </row>
    <row r="21791" spans="1:14">
      <c r="A21791" s="4" t="str">
        <f t="shared" si="1436"/>
        <v>EXP00452</v>
      </c>
      <c r="B21791" s="3" t="s">
        <v>66</v>
      </c>
      <c r="C21791" s="4" t="str">
        <f t="shared" si="1435"/>
        <v>TCGA-UCEC</v>
      </c>
      <c r="D21791" s="1" t="s">
        <v>493</v>
      </c>
      <c r="E21791" t="s">
        <v>601</v>
      </c>
      <c r="F21791" s="1">
        <v>2</v>
      </c>
      <c r="G21791" s="1" t="s">
        <v>28</v>
      </c>
      <c r="H21791" s="4" t="str">
        <f>HYPERLINK("https://portal.gdc.cancer.gov/cases/0cc9a11f-1ac4-431d-8f94-52a3bc02b572","TCGA-EO-A2CH-01A")</f>
        <v>TCGA-EO-A2CH-01A</v>
      </c>
      <c r="I21791" t="s">
        <v>444</v>
      </c>
      <c r="J21791" t="s">
        <v>599</v>
      </c>
      <c r="K21791" t="s">
        <v>33</v>
      </c>
      <c r="L21791" t="s">
        <v>600</v>
      </c>
      <c r="N21791" t="s">
        <v>29</v>
      </c>
    </row>
    <row r="21792" spans="1:14">
      <c r="A21792" s="4" t="str">
        <f t="shared" si="1436"/>
        <v>EXP00452</v>
      </c>
      <c r="B21792" s="3" t="s">
        <v>66</v>
      </c>
      <c r="C21792" s="4" t="str">
        <f t="shared" si="1435"/>
        <v>TCGA-UCEC</v>
      </c>
      <c r="D21792" s="1" t="s">
        <v>493</v>
      </c>
      <c r="E21792" t="s">
        <v>601</v>
      </c>
      <c r="F21792" s="1">
        <v>2</v>
      </c>
      <c r="G21792" s="1" t="s">
        <v>28</v>
      </c>
      <c r="H21792" s="4" t="str">
        <f>HYPERLINK("https://portal.gdc.cancer.gov/cases/2c3e95b5-2c63-43c7-baa2-47ef914b25a8","TCGA-EO-A3AS-01A")</f>
        <v>TCGA-EO-A3AS-01A</v>
      </c>
      <c r="I21792" t="s">
        <v>444</v>
      </c>
      <c r="J21792" t="s">
        <v>599</v>
      </c>
      <c r="K21792" t="s">
        <v>33</v>
      </c>
      <c r="L21792" t="s">
        <v>600</v>
      </c>
      <c r="N21792" t="s">
        <v>29</v>
      </c>
    </row>
    <row r="21793" spans="1:14">
      <c r="A21793" s="4" t="str">
        <f t="shared" si="1436"/>
        <v>EXP00452</v>
      </c>
      <c r="B21793" s="3" t="s">
        <v>66</v>
      </c>
      <c r="C21793" s="4" t="str">
        <f t="shared" si="1435"/>
        <v>TCGA-UCEC</v>
      </c>
      <c r="D21793" s="1" t="s">
        <v>493</v>
      </c>
      <c r="E21793" t="s">
        <v>601</v>
      </c>
      <c r="F21793" s="1">
        <v>2</v>
      </c>
      <c r="G21793" s="1" t="s">
        <v>28</v>
      </c>
      <c r="H21793" s="4" t="str">
        <f>HYPERLINK("https://portal.gdc.cancer.gov/cases/8e225f5f-49c1-4a39-a8b5-41fea6a79819","TCGA-EO-A3AU-01A")</f>
        <v>TCGA-EO-A3AU-01A</v>
      </c>
      <c r="I21793" t="s">
        <v>444</v>
      </c>
      <c r="J21793" t="s">
        <v>599</v>
      </c>
      <c r="K21793" t="s">
        <v>33</v>
      </c>
      <c r="L21793" t="s">
        <v>600</v>
      </c>
      <c r="N21793" t="s">
        <v>29</v>
      </c>
    </row>
    <row r="21794" spans="1:14">
      <c r="A21794" s="4" t="str">
        <f t="shared" si="1436"/>
        <v>EXP00452</v>
      </c>
      <c r="B21794" s="3" t="s">
        <v>66</v>
      </c>
      <c r="C21794" s="4" t="str">
        <f t="shared" si="1435"/>
        <v>TCGA-UCEC</v>
      </c>
      <c r="D21794" s="1" t="s">
        <v>493</v>
      </c>
      <c r="E21794" t="s">
        <v>601</v>
      </c>
      <c r="F21794" s="1">
        <v>2</v>
      </c>
      <c r="G21794" s="1" t="s">
        <v>28</v>
      </c>
      <c r="H21794" s="4" t="str">
        <f>HYPERLINK("https://portal.gdc.cancer.gov/cases/d383008a-a1bf-4689-b243-3c464c79b818","TCGA-EO-A3AV-01A")</f>
        <v>TCGA-EO-A3AV-01A</v>
      </c>
      <c r="I21794" t="s">
        <v>444</v>
      </c>
      <c r="J21794" t="s">
        <v>599</v>
      </c>
      <c r="K21794" t="s">
        <v>33</v>
      </c>
      <c r="L21794" t="s">
        <v>600</v>
      </c>
      <c r="N21794" t="s">
        <v>29</v>
      </c>
    </row>
    <row r="21795" spans="1:14">
      <c r="A21795" s="4" t="str">
        <f t="shared" si="1436"/>
        <v>EXP00452</v>
      </c>
      <c r="B21795" s="3" t="s">
        <v>66</v>
      </c>
      <c r="C21795" s="4" t="str">
        <f t="shared" si="1435"/>
        <v>TCGA-UCEC</v>
      </c>
      <c r="D21795" s="1" t="s">
        <v>493</v>
      </c>
      <c r="E21795" t="s">
        <v>601</v>
      </c>
      <c r="F21795" s="1">
        <v>2</v>
      </c>
      <c r="G21795" s="1" t="s">
        <v>28</v>
      </c>
      <c r="H21795" s="4" t="str">
        <f>HYPERLINK("https://portal.gdc.cancer.gov/cases/0878e44d-bdc8-4d5f-9bf4-31101f14f797","TCGA-EO-A3AY-01A")</f>
        <v>TCGA-EO-A3AY-01A</v>
      </c>
      <c r="I21795" t="s">
        <v>444</v>
      </c>
      <c r="J21795" t="s">
        <v>599</v>
      </c>
      <c r="K21795" t="s">
        <v>33</v>
      </c>
      <c r="L21795" t="s">
        <v>600</v>
      </c>
      <c r="N21795" t="s">
        <v>29</v>
      </c>
    </row>
    <row r="21796" spans="1:14">
      <c r="A21796" s="4" t="str">
        <f t="shared" si="1436"/>
        <v>EXP00452</v>
      </c>
      <c r="B21796" s="3" t="s">
        <v>66</v>
      </c>
      <c r="C21796" s="4" t="str">
        <f t="shared" si="1435"/>
        <v>TCGA-UCEC</v>
      </c>
      <c r="D21796" s="1" t="s">
        <v>493</v>
      </c>
      <c r="E21796" t="s">
        <v>601</v>
      </c>
      <c r="F21796" s="1">
        <v>2</v>
      </c>
      <c r="G21796" s="1" t="s">
        <v>28</v>
      </c>
      <c r="H21796" s="4" t="str">
        <f>HYPERLINK("https://portal.gdc.cancer.gov/cases/38bf8476-fde7-423b-bbaa-15483207de39","TCGA-EO-A3AZ-01A")</f>
        <v>TCGA-EO-A3AZ-01A</v>
      </c>
      <c r="I21796" t="s">
        <v>444</v>
      </c>
      <c r="J21796" t="s">
        <v>599</v>
      </c>
      <c r="K21796" t="s">
        <v>33</v>
      </c>
      <c r="L21796" t="s">
        <v>600</v>
      </c>
      <c r="N21796" t="s">
        <v>29</v>
      </c>
    </row>
    <row r="21797" spans="1:14">
      <c r="A21797" s="4" t="str">
        <f t="shared" si="1436"/>
        <v>EXP00452</v>
      </c>
      <c r="B21797" s="3" t="s">
        <v>66</v>
      </c>
      <c r="C21797" s="4" t="str">
        <f t="shared" si="1435"/>
        <v>TCGA-UCEC</v>
      </c>
      <c r="D21797" s="1" t="s">
        <v>493</v>
      </c>
      <c r="E21797" t="s">
        <v>601</v>
      </c>
      <c r="F21797" s="1">
        <v>2</v>
      </c>
      <c r="G21797" s="1" t="s">
        <v>28</v>
      </c>
      <c r="H21797" s="4" t="str">
        <f>HYPERLINK("https://portal.gdc.cancer.gov/cases/4c2e6abf-02e1-4ef7-a0be-6a6d4069581d","TCGA-EO-A3B0-01A")</f>
        <v>TCGA-EO-A3B0-01A</v>
      </c>
      <c r="I21797" t="s">
        <v>444</v>
      </c>
      <c r="J21797" t="s">
        <v>599</v>
      </c>
      <c r="K21797" t="s">
        <v>33</v>
      </c>
      <c r="L21797" t="s">
        <v>600</v>
      </c>
      <c r="N21797" t="s">
        <v>29</v>
      </c>
    </row>
    <row r="21798" spans="1:14">
      <c r="A21798" s="4" t="str">
        <f t="shared" si="1436"/>
        <v>EXP00452</v>
      </c>
      <c r="B21798" s="3" t="s">
        <v>66</v>
      </c>
      <c r="C21798" s="4" t="str">
        <f t="shared" si="1435"/>
        <v>TCGA-UCEC</v>
      </c>
      <c r="D21798" s="1" t="s">
        <v>493</v>
      </c>
      <c r="E21798" t="s">
        <v>601</v>
      </c>
      <c r="F21798" s="1">
        <v>2</v>
      </c>
      <c r="G21798" s="1" t="s">
        <v>28</v>
      </c>
      <c r="H21798" s="4" t="str">
        <f>HYPERLINK("https://portal.gdc.cancer.gov/cases/2cf8de9f-b305-4d98-bfd4-33377bf6138f","TCGA-EO-A3B1-01A")</f>
        <v>TCGA-EO-A3B1-01A</v>
      </c>
      <c r="I21798" t="s">
        <v>444</v>
      </c>
      <c r="J21798" t="s">
        <v>599</v>
      </c>
      <c r="K21798" t="s">
        <v>33</v>
      </c>
      <c r="L21798" t="s">
        <v>600</v>
      </c>
      <c r="N21798" t="s">
        <v>29</v>
      </c>
    </row>
    <row r="21799" spans="1:14">
      <c r="A21799" s="4" t="str">
        <f t="shared" si="1436"/>
        <v>EXP00452</v>
      </c>
      <c r="B21799" s="3" t="s">
        <v>66</v>
      </c>
      <c r="C21799" s="4" t="str">
        <f t="shared" si="1435"/>
        <v>TCGA-UCEC</v>
      </c>
      <c r="D21799" s="1" t="s">
        <v>493</v>
      </c>
      <c r="E21799" t="s">
        <v>601</v>
      </c>
      <c r="F21799" s="1">
        <v>2</v>
      </c>
      <c r="G21799" s="1" t="s">
        <v>28</v>
      </c>
      <c r="H21799" s="4" t="str">
        <f>HYPERLINK("https://portal.gdc.cancer.gov/cases/db67a9cd-65ba-4d6f-a799-031b6b3df599","TCGA-EO-A3KU-01A")</f>
        <v>TCGA-EO-A3KU-01A</v>
      </c>
      <c r="I21799" t="s">
        <v>444</v>
      </c>
      <c r="J21799" t="s">
        <v>599</v>
      </c>
      <c r="K21799" t="s">
        <v>33</v>
      </c>
      <c r="L21799" t="s">
        <v>600</v>
      </c>
      <c r="N21799" t="s">
        <v>29</v>
      </c>
    </row>
    <row r="21800" spans="1:14">
      <c r="A21800" s="4" t="str">
        <f t="shared" si="1436"/>
        <v>EXP00452</v>
      </c>
      <c r="B21800" s="3" t="s">
        <v>66</v>
      </c>
      <c r="C21800" s="4" t="str">
        <f t="shared" si="1435"/>
        <v>TCGA-UCEC</v>
      </c>
      <c r="D21800" s="1" t="s">
        <v>493</v>
      </c>
      <c r="E21800" t="s">
        <v>601</v>
      </c>
      <c r="F21800" s="1">
        <v>2</v>
      </c>
      <c r="G21800" s="1" t="s">
        <v>28</v>
      </c>
      <c r="H21800" s="4" t="str">
        <f>HYPERLINK("https://portal.gdc.cancer.gov/cases/5f764ac1-3de7-4cfd-a77a-d21baa418834","TCGA-EO-A3KW-01A")</f>
        <v>TCGA-EO-A3KW-01A</v>
      </c>
      <c r="I21800" t="s">
        <v>444</v>
      </c>
      <c r="J21800" t="s">
        <v>599</v>
      </c>
      <c r="K21800" t="s">
        <v>33</v>
      </c>
      <c r="L21800" t="s">
        <v>600</v>
      </c>
      <c r="N21800" t="s">
        <v>29</v>
      </c>
    </row>
    <row r="21801" spans="1:14">
      <c r="A21801" s="4" t="str">
        <f t="shared" si="1436"/>
        <v>EXP00452</v>
      </c>
      <c r="B21801" s="3" t="s">
        <v>66</v>
      </c>
      <c r="C21801" s="4" t="str">
        <f t="shared" si="1435"/>
        <v>TCGA-UCEC</v>
      </c>
      <c r="D21801" s="1" t="s">
        <v>493</v>
      </c>
      <c r="E21801" t="s">
        <v>601</v>
      </c>
      <c r="F21801" s="1">
        <v>2</v>
      </c>
      <c r="G21801" s="1" t="s">
        <v>28</v>
      </c>
      <c r="H21801" s="4" t="str">
        <f>HYPERLINK("https://portal.gdc.cancer.gov/cases/fe2e89f7-8f4d-420a-a551-4877cf0fd1d3","TCGA-EO-A3KX-01A")</f>
        <v>TCGA-EO-A3KX-01A</v>
      </c>
      <c r="I21801" t="s">
        <v>444</v>
      </c>
      <c r="J21801" t="s">
        <v>599</v>
      </c>
      <c r="K21801" t="s">
        <v>33</v>
      </c>
      <c r="L21801" t="s">
        <v>600</v>
      </c>
      <c r="N21801" t="s">
        <v>29</v>
      </c>
    </row>
    <row r="21802" spans="1:14">
      <c r="A21802" s="4" t="str">
        <f t="shared" si="1436"/>
        <v>EXP00452</v>
      </c>
      <c r="B21802" s="3" t="s">
        <v>66</v>
      </c>
      <c r="C21802" s="4" t="str">
        <f t="shared" si="1435"/>
        <v>TCGA-UCEC</v>
      </c>
      <c r="D21802" s="1" t="s">
        <v>493</v>
      </c>
      <c r="E21802" t="s">
        <v>601</v>
      </c>
      <c r="F21802" s="1">
        <v>2</v>
      </c>
      <c r="G21802" s="1" t="s">
        <v>28</v>
      </c>
      <c r="H21802" s="4" t="str">
        <f>HYPERLINK("https://portal.gdc.cancer.gov/cases/423da953-30aa-4f7e-96b5-1f6fd24f8874","TCGA-EO-A3L0-01A")</f>
        <v>TCGA-EO-A3L0-01A</v>
      </c>
      <c r="I21802" t="s">
        <v>444</v>
      </c>
      <c r="J21802" t="s">
        <v>599</v>
      </c>
      <c r="K21802" t="s">
        <v>33</v>
      </c>
      <c r="L21802" t="s">
        <v>600</v>
      </c>
      <c r="N21802" t="s">
        <v>29</v>
      </c>
    </row>
    <row r="21803" spans="1:14">
      <c r="A21803" s="4" t="str">
        <f t="shared" si="1436"/>
        <v>EXP00452</v>
      </c>
      <c r="B21803" s="3" t="s">
        <v>66</v>
      </c>
      <c r="C21803" s="4" t="str">
        <f t="shared" si="1435"/>
        <v>TCGA-UCEC</v>
      </c>
      <c r="D21803" s="1" t="s">
        <v>493</v>
      </c>
      <c r="E21803" t="s">
        <v>601</v>
      </c>
      <c r="F21803" s="1">
        <v>2</v>
      </c>
      <c r="G21803" s="1" t="s">
        <v>28</v>
      </c>
      <c r="H21803" s="4" t="str">
        <f>HYPERLINK("https://portal.gdc.cancer.gov/cases/6b2e93b9-8271-4205-842e-0b7292b8115a","TCGA-EY-A1G7-01A")</f>
        <v>TCGA-EY-A1G7-01A</v>
      </c>
      <c r="I21803" t="s">
        <v>444</v>
      </c>
      <c r="J21803" t="s">
        <v>599</v>
      </c>
      <c r="K21803" t="s">
        <v>33</v>
      </c>
      <c r="L21803" t="s">
        <v>600</v>
      </c>
      <c r="N21803" t="s">
        <v>29</v>
      </c>
    </row>
    <row r="21804" spans="1:14">
      <c r="A21804" s="4" t="str">
        <f t="shared" si="1436"/>
        <v>EXP00452</v>
      </c>
      <c r="B21804" s="3" t="s">
        <v>66</v>
      </c>
      <c r="C21804" s="4" t="str">
        <f t="shared" si="1435"/>
        <v>TCGA-UCEC</v>
      </c>
      <c r="D21804" s="1" t="s">
        <v>493</v>
      </c>
      <c r="E21804" t="s">
        <v>601</v>
      </c>
      <c r="F21804" s="1">
        <v>2</v>
      </c>
      <c r="G21804" s="1" t="s">
        <v>28</v>
      </c>
      <c r="H21804" s="4" t="str">
        <f>HYPERLINK("https://portal.gdc.cancer.gov/cases/db3a4986-55d5-4ecc-be73-59725dce3c33","TCGA-EY-A1G8-01A")</f>
        <v>TCGA-EY-A1G8-01A</v>
      </c>
      <c r="I21804" t="s">
        <v>444</v>
      </c>
      <c r="J21804" t="s">
        <v>599</v>
      </c>
      <c r="K21804" t="s">
        <v>33</v>
      </c>
      <c r="L21804" t="s">
        <v>600</v>
      </c>
      <c r="N21804" t="s">
        <v>29</v>
      </c>
    </row>
    <row r="21805" spans="1:14">
      <c r="A21805" s="4" t="str">
        <f t="shared" si="1436"/>
        <v>EXP00452</v>
      </c>
      <c r="B21805" s="3" t="s">
        <v>66</v>
      </c>
      <c r="C21805" s="4" t="str">
        <f t="shared" si="1435"/>
        <v>TCGA-UCEC</v>
      </c>
      <c r="D21805" s="1" t="s">
        <v>493</v>
      </c>
      <c r="E21805" t="s">
        <v>601</v>
      </c>
      <c r="F21805" s="1">
        <v>2</v>
      </c>
      <c r="G21805" s="1" t="s">
        <v>28</v>
      </c>
      <c r="H21805" s="4" t="str">
        <f>HYPERLINK("https://portal.gdc.cancer.gov/cases/ebc25a41-becb-4395-ae33-483a304b07d8","TCGA-EY-A1GC-01A")</f>
        <v>TCGA-EY-A1GC-01A</v>
      </c>
      <c r="I21805" t="s">
        <v>444</v>
      </c>
      <c r="J21805" t="s">
        <v>599</v>
      </c>
      <c r="K21805" t="s">
        <v>33</v>
      </c>
      <c r="L21805" t="s">
        <v>600</v>
      </c>
      <c r="N21805" t="s">
        <v>29</v>
      </c>
    </row>
    <row r="21806" spans="1:14">
      <c r="A21806" s="4" t="str">
        <f t="shared" si="1436"/>
        <v>EXP00452</v>
      </c>
      <c r="B21806" s="3" t="s">
        <v>66</v>
      </c>
      <c r="C21806" s="4" t="str">
        <f t="shared" si="1435"/>
        <v>TCGA-UCEC</v>
      </c>
      <c r="D21806" s="1" t="s">
        <v>493</v>
      </c>
      <c r="E21806" t="s">
        <v>601</v>
      </c>
      <c r="F21806" s="1">
        <v>2</v>
      </c>
      <c r="G21806" s="1" t="s">
        <v>28</v>
      </c>
      <c r="H21806" s="4" t="str">
        <f>HYPERLINK("https://portal.gdc.cancer.gov/cases/33efe6c6-9159-48e8-b759-fba9ddbde761","TCGA-EY-A1GD-01A")</f>
        <v>TCGA-EY-A1GD-01A</v>
      </c>
      <c r="I21806" t="s">
        <v>444</v>
      </c>
      <c r="J21806" t="s">
        <v>599</v>
      </c>
      <c r="K21806" t="s">
        <v>33</v>
      </c>
      <c r="L21806" t="s">
        <v>600</v>
      </c>
      <c r="N21806" t="s">
        <v>29</v>
      </c>
    </row>
    <row r="21807" spans="1:14">
      <c r="A21807" s="4" t="str">
        <f t="shared" si="1436"/>
        <v>EXP00452</v>
      </c>
      <c r="B21807" s="3" t="s">
        <v>66</v>
      </c>
      <c r="C21807" s="4" t="str">
        <f t="shared" si="1435"/>
        <v>TCGA-UCEC</v>
      </c>
      <c r="D21807" s="1" t="s">
        <v>493</v>
      </c>
      <c r="E21807" t="s">
        <v>601</v>
      </c>
      <c r="F21807" s="1">
        <v>2</v>
      </c>
      <c r="G21807" s="1" t="s">
        <v>28</v>
      </c>
      <c r="H21807" s="4" t="str">
        <f>HYPERLINK("https://portal.gdc.cancer.gov/cases/a28beb70-d309-45b8-a2ba-40558f3c8f4f","TCGA-EY-A1GE-01A")</f>
        <v>TCGA-EY-A1GE-01A</v>
      </c>
      <c r="I21807" t="s">
        <v>444</v>
      </c>
      <c r="J21807" t="s">
        <v>599</v>
      </c>
      <c r="K21807" t="s">
        <v>33</v>
      </c>
      <c r="L21807" t="s">
        <v>600</v>
      </c>
      <c r="N21807" t="s">
        <v>29</v>
      </c>
    </row>
    <row r="21808" spans="1:14">
      <c r="A21808" s="4" t="str">
        <f t="shared" si="1436"/>
        <v>EXP00452</v>
      </c>
      <c r="B21808" s="3" t="s">
        <v>66</v>
      </c>
      <c r="C21808" s="4" t="str">
        <f t="shared" si="1435"/>
        <v>TCGA-UCEC</v>
      </c>
      <c r="D21808" s="1" t="s">
        <v>493</v>
      </c>
      <c r="E21808" t="s">
        <v>601</v>
      </c>
      <c r="F21808" s="1">
        <v>2</v>
      </c>
      <c r="G21808" s="1" t="s">
        <v>28</v>
      </c>
      <c r="H21808" s="4" t="str">
        <f>HYPERLINK("https://portal.gdc.cancer.gov/cases/615ea37d-6302-4d68-b253-d24efd947c3e","TCGA-EY-A1GF-01A")</f>
        <v>TCGA-EY-A1GF-01A</v>
      </c>
      <c r="I21808" t="s">
        <v>444</v>
      </c>
      <c r="J21808" t="s">
        <v>599</v>
      </c>
      <c r="K21808" t="s">
        <v>33</v>
      </c>
      <c r="L21808" t="s">
        <v>600</v>
      </c>
      <c r="N21808" t="s">
        <v>29</v>
      </c>
    </row>
    <row r="21809" spans="1:14">
      <c r="A21809" s="4" t="str">
        <f t="shared" si="1436"/>
        <v>EXP00452</v>
      </c>
      <c r="B21809" s="3" t="s">
        <v>66</v>
      </c>
      <c r="C21809" s="4" t="str">
        <f t="shared" si="1435"/>
        <v>TCGA-UCEC</v>
      </c>
      <c r="D21809" s="1" t="s">
        <v>493</v>
      </c>
      <c r="E21809" t="s">
        <v>601</v>
      </c>
      <c r="F21809" s="1">
        <v>2</v>
      </c>
      <c r="G21809" s="1" t="s">
        <v>28</v>
      </c>
      <c r="H21809" s="4" t="str">
        <f>HYPERLINK("https://portal.gdc.cancer.gov/cases/a45a2343-f425-4e62-9049-7782733b6234","TCGA-EY-A1GH-01A")</f>
        <v>TCGA-EY-A1GH-01A</v>
      </c>
      <c r="I21809" t="s">
        <v>444</v>
      </c>
      <c r="J21809" t="s">
        <v>599</v>
      </c>
      <c r="K21809" t="s">
        <v>33</v>
      </c>
      <c r="L21809" t="s">
        <v>600</v>
      </c>
      <c r="N21809" t="s">
        <v>29</v>
      </c>
    </row>
    <row r="21810" spans="1:14">
      <c r="A21810" s="4" t="str">
        <f t="shared" si="1436"/>
        <v>EXP00452</v>
      </c>
      <c r="B21810" s="3" t="s">
        <v>66</v>
      </c>
      <c r="C21810" s="4" t="str">
        <f t="shared" si="1435"/>
        <v>TCGA-UCEC</v>
      </c>
      <c r="D21810" s="1" t="s">
        <v>493</v>
      </c>
      <c r="E21810" t="s">
        <v>601</v>
      </c>
      <c r="F21810" s="1">
        <v>2</v>
      </c>
      <c r="G21810" s="1" t="s">
        <v>28</v>
      </c>
      <c r="H21810" s="4" t="str">
        <f>HYPERLINK("https://portal.gdc.cancer.gov/cases/16bde24f-61b8-458d-aca3-df4806abbd1b","TCGA-EY-A1GI-01A")</f>
        <v>TCGA-EY-A1GI-01A</v>
      </c>
      <c r="I21810" t="s">
        <v>444</v>
      </c>
      <c r="J21810" t="s">
        <v>599</v>
      </c>
      <c r="K21810" t="s">
        <v>33</v>
      </c>
      <c r="L21810" t="s">
        <v>600</v>
      </c>
      <c r="N21810" t="s">
        <v>29</v>
      </c>
    </row>
    <row r="21811" spans="1:14">
      <c r="A21811" s="4" t="str">
        <f t="shared" si="1436"/>
        <v>EXP00452</v>
      </c>
      <c r="B21811" s="3" t="s">
        <v>66</v>
      </c>
      <c r="C21811" s="4" t="str">
        <f t="shared" si="1435"/>
        <v>TCGA-UCEC</v>
      </c>
      <c r="D21811" s="1" t="s">
        <v>493</v>
      </c>
      <c r="E21811" t="s">
        <v>601</v>
      </c>
      <c r="F21811" s="1">
        <v>2</v>
      </c>
      <c r="G21811" s="1" t="s">
        <v>28</v>
      </c>
      <c r="H21811" s="4" t="str">
        <f>HYPERLINK("https://portal.gdc.cancer.gov/cases/972db411-9744-46f0-89c7-efe14135f1b4","TCGA-EY-A1GK-01A")</f>
        <v>TCGA-EY-A1GK-01A</v>
      </c>
      <c r="I21811" t="s">
        <v>444</v>
      </c>
      <c r="J21811" t="s">
        <v>599</v>
      </c>
      <c r="K21811" t="s">
        <v>33</v>
      </c>
      <c r="L21811" t="s">
        <v>600</v>
      </c>
      <c r="N21811" t="s">
        <v>29</v>
      </c>
    </row>
    <row r="21812" spans="1:14">
      <c r="A21812" s="4" t="str">
        <f t="shared" si="1436"/>
        <v>EXP00452</v>
      </c>
      <c r="B21812" s="3" t="s">
        <v>66</v>
      </c>
      <c r="C21812" s="4" t="str">
        <f t="shared" si="1435"/>
        <v>TCGA-UCEC</v>
      </c>
      <c r="D21812" s="1" t="s">
        <v>493</v>
      </c>
      <c r="E21812" t="s">
        <v>601</v>
      </c>
      <c r="F21812" s="1">
        <v>2</v>
      </c>
      <c r="G21812" s="1" t="s">
        <v>28</v>
      </c>
      <c r="H21812" s="4" t="str">
        <f>HYPERLINK("https://portal.gdc.cancer.gov/cases/d46d5af5-62ae-43eb-a885-4c078e0c956e","TCGA-EY-A1GL-01A")</f>
        <v>TCGA-EY-A1GL-01A</v>
      </c>
      <c r="I21812" t="s">
        <v>444</v>
      </c>
      <c r="J21812" t="s">
        <v>599</v>
      </c>
      <c r="K21812" t="s">
        <v>33</v>
      </c>
      <c r="L21812" t="s">
        <v>600</v>
      </c>
      <c r="N21812" t="s">
        <v>29</v>
      </c>
    </row>
    <row r="21813" spans="1:14">
      <c r="A21813" s="4" t="str">
        <f t="shared" si="1436"/>
        <v>EXP00452</v>
      </c>
      <c r="B21813" s="3" t="s">
        <v>66</v>
      </c>
      <c r="C21813" s="4" t="str">
        <f t="shared" ref="C21813:C21876" si="1437">HYPERLINK("https://portal.gdc.cancer.gov/projects/TCGA-UCEC","TCGA-UCEC")</f>
        <v>TCGA-UCEC</v>
      </c>
      <c r="D21813" s="1" t="s">
        <v>493</v>
      </c>
      <c r="E21813" t="s">
        <v>601</v>
      </c>
      <c r="F21813" s="1">
        <v>2</v>
      </c>
      <c r="G21813" s="1" t="s">
        <v>28</v>
      </c>
      <c r="H21813" s="4" t="str">
        <f>HYPERLINK("https://portal.gdc.cancer.gov/cases/1a094c2b-9fba-4bb1-929d-bb2cdf874bee","TCGA-EY-A1GM-01A")</f>
        <v>TCGA-EY-A1GM-01A</v>
      </c>
      <c r="I21813" t="s">
        <v>444</v>
      </c>
      <c r="J21813" t="s">
        <v>599</v>
      </c>
      <c r="K21813" t="s">
        <v>33</v>
      </c>
      <c r="L21813" t="s">
        <v>600</v>
      </c>
      <c r="N21813" t="s">
        <v>29</v>
      </c>
    </row>
    <row r="21814" spans="1:14">
      <c r="A21814" s="4" t="str">
        <f t="shared" si="1436"/>
        <v>EXP00452</v>
      </c>
      <c r="B21814" s="3" t="s">
        <v>66</v>
      </c>
      <c r="C21814" s="4" t="str">
        <f t="shared" si="1437"/>
        <v>TCGA-UCEC</v>
      </c>
      <c r="D21814" s="1" t="s">
        <v>493</v>
      </c>
      <c r="E21814" t="s">
        <v>601</v>
      </c>
      <c r="F21814" s="1">
        <v>2</v>
      </c>
      <c r="G21814" s="1" t="s">
        <v>28</v>
      </c>
      <c r="H21814" s="4" t="str">
        <f>HYPERLINK("https://portal.gdc.cancer.gov/cases/9370e189-8fb7-4bfa-8ef9-2220f3557188","TCGA-EY-A1GO-01A")</f>
        <v>TCGA-EY-A1GO-01A</v>
      </c>
      <c r="I21814" t="s">
        <v>444</v>
      </c>
      <c r="J21814" t="s">
        <v>599</v>
      </c>
      <c r="K21814" t="s">
        <v>33</v>
      </c>
      <c r="L21814" t="s">
        <v>600</v>
      </c>
      <c r="N21814" t="s">
        <v>29</v>
      </c>
    </row>
    <row r="21815" spans="1:14">
      <c r="A21815" s="4" t="str">
        <f t="shared" si="1436"/>
        <v>EXP00452</v>
      </c>
      <c r="B21815" s="3" t="s">
        <v>66</v>
      </c>
      <c r="C21815" s="4" t="str">
        <f t="shared" si="1437"/>
        <v>TCGA-UCEC</v>
      </c>
      <c r="D21815" s="1" t="s">
        <v>493</v>
      </c>
      <c r="E21815" t="s">
        <v>601</v>
      </c>
      <c r="F21815" s="1">
        <v>2</v>
      </c>
      <c r="G21815" s="1" t="s">
        <v>28</v>
      </c>
      <c r="H21815" s="4" t="str">
        <f>HYPERLINK("https://portal.gdc.cancer.gov/cases/75fb484d-cd12-4cf0-a99d-faf27aead118","TCGA-EY-A1GP-01A")</f>
        <v>TCGA-EY-A1GP-01A</v>
      </c>
      <c r="I21815" t="s">
        <v>444</v>
      </c>
      <c r="J21815" t="s">
        <v>599</v>
      </c>
      <c r="K21815" t="s">
        <v>33</v>
      </c>
      <c r="L21815" t="s">
        <v>600</v>
      </c>
      <c r="N21815" t="s">
        <v>29</v>
      </c>
    </row>
    <row r="21816" spans="1:14">
      <c r="A21816" s="4" t="str">
        <f t="shared" si="1436"/>
        <v>EXP00452</v>
      </c>
      <c r="B21816" s="3" t="s">
        <v>66</v>
      </c>
      <c r="C21816" s="4" t="str">
        <f t="shared" si="1437"/>
        <v>TCGA-UCEC</v>
      </c>
      <c r="D21816" s="1" t="s">
        <v>493</v>
      </c>
      <c r="E21816" t="s">
        <v>601</v>
      </c>
      <c r="F21816" s="1">
        <v>2</v>
      </c>
      <c r="G21816" s="1" t="s">
        <v>28</v>
      </c>
      <c r="H21816" s="4" t="str">
        <f>HYPERLINK("https://portal.gdc.cancer.gov/cases/8636db4d-a67b-4d8a-b02f-15fce553cf17","TCGA-EY-A1GQ-01A")</f>
        <v>TCGA-EY-A1GQ-01A</v>
      </c>
      <c r="I21816" t="s">
        <v>444</v>
      </c>
      <c r="J21816" t="s">
        <v>599</v>
      </c>
      <c r="K21816" t="s">
        <v>33</v>
      </c>
      <c r="L21816" t="s">
        <v>600</v>
      </c>
      <c r="N21816" t="s">
        <v>29</v>
      </c>
    </row>
    <row r="21817" spans="1:14">
      <c r="A21817" s="4" t="str">
        <f t="shared" si="1436"/>
        <v>EXP00452</v>
      </c>
      <c r="B21817" s="3" t="s">
        <v>66</v>
      </c>
      <c r="C21817" s="4" t="str">
        <f t="shared" si="1437"/>
        <v>TCGA-UCEC</v>
      </c>
      <c r="D21817" s="1" t="s">
        <v>493</v>
      </c>
      <c r="E21817" t="s">
        <v>601</v>
      </c>
      <c r="F21817" s="1">
        <v>2</v>
      </c>
      <c r="G21817" s="1" t="s">
        <v>28</v>
      </c>
      <c r="H21817" s="4" t="str">
        <f>HYPERLINK("https://portal.gdc.cancer.gov/cases/70cdb758-26c9-4c11-a495-0c31cbc84949","TCGA-EY-A1GR-01A")</f>
        <v>TCGA-EY-A1GR-01A</v>
      </c>
      <c r="I21817" t="s">
        <v>444</v>
      </c>
      <c r="J21817" t="s">
        <v>599</v>
      </c>
      <c r="K21817" t="s">
        <v>33</v>
      </c>
      <c r="L21817" t="s">
        <v>600</v>
      </c>
      <c r="N21817" t="s">
        <v>29</v>
      </c>
    </row>
    <row r="21818" spans="1:14">
      <c r="A21818" s="4" t="str">
        <f t="shared" si="1436"/>
        <v>EXP00452</v>
      </c>
      <c r="B21818" s="3" t="s">
        <v>66</v>
      </c>
      <c r="C21818" s="4" t="str">
        <f t="shared" si="1437"/>
        <v>TCGA-UCEC</v>
      </c>
      <c r="D21818" s="1" t="s">
        <v>493</v>
      </c>
      <c r="E21818" t="s">
        <v>601</v>
      </c>
      <c r="F21818" s="1">
        <v>2</v>
      </c>
      <c r="G21818" s="1" t="s">
        <v>28</v>
      </c>
      <c r="H21818" s="4" t="str">
        <f>HYPERLINK("https://portal.gdc.cancer.gov/cases/c10b2885-70ea-4d32-bc48-8b85530df702","TCGA-EY-A1GS-01A")</f>
        <v>TCGA-EY-A1GS-01A</v>
      </c>
      <c r="I21818" t="s">
        <v>444</v>
      </c>
      <c r="J21818" t="s">
        <v>599</v>
      </c>
      <c r="K21818" t="s">
        <v>33</v>
      </c>
      <c r="L21818" t="s">
        <v>600</v>
      </c>
      <c r="N21818" t="s">
        <v>29</v>
      </c>
    </row>
    <row r="21819" spans="1:14">
      <c r="A21819" s="4" t="str">
        <f t="shared" si="1436"/>
        <v>EXP00452</v>
      </c>
      <c r="B21819" s="3" t="s">
        <v>66</v>
      </c>
      <c r="C21819" s="4" t="str">
        <f t="shared" si="1437"/>
        <v>TCGA-UCEC</v>
      </c>
      <c r="D21819" s="1" t="s">
        <v>493</v>
      </c>
      <c r="E21819" t="s">
        <v>601</v>
      </c>
      <c r="F21819" s="1">
        <v>2</v>
      </c>
      <c r="G21819" s="1" t="s">
        <v>28</v>
      </c>
      <c r="H21819" s="4" t="str">
        <f>HYPERLINK("https://portal.gdc.cancer.gov/cases/e0d13e2d-cf48-4b66-bfc2-88f872f67d79","TCGA-EY-A1GT-01A")</f>
        <v>TCGA-EY-A1GT-01A</v>
      </c>
      <c r="I21819" t="s">
        <v>444</v>
      </c>
      <c r="J21819" t="s">
        <v>599</v>
      </c>
      <c r="K21819" t="s">
        <v>33</v>
      </c>
      <c r="L21819" t="s">
        <v>600</v>
      </c>
      <c r="N21819" t="s">
        <v>29</v>
      </c>
    </row>
    <row r="21820" spans="1:14">
      <c r="A21820" s="4" t="str">
        <f t="shared" si="1436"/>
        <v>EXP00452</v>
      </c>
      <c r="B21820" s="3" t="s">
        <v>66</v>
      </c>
      <c r="C21820" s="4" t="str">
        <f t="shared" si="1437"/>
        <v>TCGA-UCEC</v>
      </c>
      <c r="D21820" s="1" t="s">
        <v>493</v>
      </c>
      <c r="E21820" t="s">
        <v>601</v>
      </c>
      <c r="F21820" s="1">
        <v>2</v>
      </c>
      <c r="G21820" s="1" t="s">
        <v>28</v>
      </c>
      <c r="H21820" s="4" t="str">
        <f>HYPERLINK("https://portal.gdc.cancer.gov/cases/5dd28537-d24f-4a6d-a454-6f64cf37e16a","TCGA-EY-A1GU-01A")</f>
        <v>TCGA-EY-A1GU-01A</v>
      </c>
      <c r="I21820" t="s">
        <v>444</v>
      </c>
      <c r="J21820" t="s">
        <v>599</v>
      </c>
      <c r="K21820" t="s">
        <v>33</v>
      </c>
      <c r="L21820" t="s">
        <v>600</v>
      </c>
      <c r="N21820" t="s">
        <v>29</v>
      </c>
    </row>
    <row r="21821" spans="1:14">
      <c r="A21821" s="4" t="str">
        <f t="shared" si="1436"/>
        <v>EXP00452</v>
      </c>
      <c r="B21821" s="3" t="s">
        <v>66</v>
      </c>
      <c r="C21821" s="4" t="str">
        <f t="shared" si="1437"/>
        <v>TCGA-UCEC</v>
      </c>
      <c r="D21821" s="1" t="s">
        <v>493</v>
      </c>
      <c r="E21821" t="s">
        <v>601</v>
      </c>
      <c r="F21821" s="1">
        <v>2</v>
      </c>
      <c r="G21821" s="1" t="s">
        <v>28</v>
      </c>
      <c r="H21821" s="4" t="str">
        <f>HYPERLINK("https://portal.gdc.cancer.gov/cases/e3e39474-c2b0-45af-bbe1-4c24f17cc284","TCGA-EY-A1GV-01A")</f>
        <v>TCGA-EY-A1GV-01A</v>
      </c>
      <c r="I21821" t="s">
        <v>444</v>
      </c>
      <c r="J21821" t="s">
        <v>599</v>
      </c>
      <c r="K21821" t="s">
        <v>33</v>
      </c>
      <c r="L21821" t="s">
        <v>600</v>
      </c>
      <c r="N21821" t="s">
        <v>29</v>
      </c>
    </row>
    <row r="21822" spans="1:14">
      <c r="A21822" s="4" t="str">
        <f t="shared" si="1436"/>
        <v>EXP00452</v>
      </c>
      <c r="B21822" s="3" t="s">
        <v>66</v>
      </c>
      <c r="C21822" s="4" t="str">
        <f t="shared" si="1437"/>
        <v>TCGA-UCEC</v>
      </c>
      <c r="D21822" s="1" t="s">
        <v>493</v>
      </c>
      <c r="E21822" t="s">
        <v>601</v>
      </c>
      <c r="F21822" s="1">
        <v>2</v>
      </c>
      <c r="G21822" s="1" t="s">
        <v>28</v>
      </c>
      <c r="H21822" s="4" t="str">
        <f>HYPERLINK("https://portal.gdc.cancer.gov/cases/f8ac5fd2-11f2-4b3a-a3a6-ff1a6d8e1cae","TCGA-EY-A1GW-01A")</f>
        <v>TCGA-EY-A1GW-01A</v>
      </c>
      <c r="I21822" t="s">
        <v>444</v>
      </c>
      <c r="J21822" t="s">
        <v>599</v>
      </c>
      <c r="K21822" t="s">
        <v>33</v>
      </c>
      <c r="L21822" t="s">
        <v>600</v>
      </c>
      <c r="N21822" t="s">
        <v>29</v>
      </c>
    </row>
    <row r="21823" spans="1:14">
      <c r="A21823" s="4" t="str">
        <f t="shared" si="1436"/>
        <v>EXP00452</v>
      </c>
      <c r="B21823" s="3" t="s">
        <v>66</v>
      </c>
      <c r="C21823" s="4" t="str">
        <f t="shared" si="1437"/>
        <v>TCGA-UCEC</v>
      </c>
      <c r="D21823" s="1" t="s">
        <v>493</v>
      </c>
      <c r="E21823" t="s">
        <v>601</v>
      </c>
      <c r="F21823" s="1">
        <v>2</v>
      </c>
      <c r="G21823" s="1" t="s">
        <v>28</v>
      </c>
      <c r="H21823" s="4" t="str">
        <f>HYPERLINK("https://portal.gdc.cancer.gov/cases/a7fd6522-8953-461f-9e5f-fdeb7d180d46","TCGA-EY-A1GX-01A")</f>
        <v>TCGA-EY-A1GX-01A</v>
      </c>
      <c r="I21823" t="s">
        <v>444</v>
      </c>
      <c r="J21823" t="s">
        <v>599</v>
      </c>
      <c r="K21823" t="s">
        <v>33</v>
      </c>
      <c r="L21823" t="s">
        <v>600</v>
      </c>
      <c r="N21823" t="s">
        <v>29</v>
      </c>
    </row>
    <row r="21824" spans="1:14">
      <c r="A21824" s="4" t="str">
        <f t="shared" si="1436"/>
        <v>EXP00452</v>
      </c>
      <c r="B21824" s="3" t="s">
        <v>66</v>
      </c>
      <c r="C21824" s="4" t="str">
        <f t="shared" si="1437"/>
        <v>TCGA-UCEC</v>
      </c>
      <c r="D21824" s="1" t="s">
        <v>493</v>
      </c>
      <c r="E21824" t="s">
        <v>601</v>
      </c>
      <c r="F21824" s="1">
        <v>2</v>
      </c>
      <c r="G21824" s="1" t="s">
        <v>28</v>
      </c>
      <c r="H21824" s="4" t="str">
        <f>HYPERLINK("https://portal.gdc.cancer.gov/cases/c71e0986-56c0-45f4-be8d-2236e4418604","TCGA-EY-A1H0-01A")</f>
        <v>TCGA-EY-A1H0-01A</v>
      </c>
      <c r="I21824" t="s">
        <v>444</v>
      </c>
      <c r="J21824" t="s">
        <v>599</v>
      </c>
      <c r="K21824" t="s">
        <v>33</v>
      </c>
      <c r="L21824" t="s">
        <v>600</v>
      </c>
      <c r="N21824" t="s">
        <v>29</v>
      </c>
    </row>
    <row r="21825" spans="1:14">
      <c r="A21825" s="4" t="str">
        <f t="shared" si="1436"/>
        <v>EXP00452</v>
      </c>
      <c r="B21825" s="3" t="s">
        <v>66</v>
      </c>
      <c r="C21825" s="4" t="str">
        <f t="shared" si="1437"/>
        <v>TCGA-UCEC</v>
      </c>
      <c r="D21825" s="1" t="s">
        <v>493</v>
      </c>
      <c r="E21825" t="s">
        <v>601</v>
      </c>
      <c r="F21825" s="1">
        <v>2</v>
      </c>
      <c r="G21825" s="1" t="s">
        <v>28</v>
      </c>
      <c r="H21825" s="4" t="str">
        <f>HYPERLINK("https://portal.gdc.cancer.gov/cases/ea1c693d-490d-4816-b6e3-d12946ad7cc1","TCGA-EY-A210-01A")</f>
        <v>TCGA-EY-A210-01A</v>
      </c>
      <c r="I21825" t="s">
        <v>444</v>
      </c>
      <c r="J21825" t="s">
        <v>599</v>
      </c>
      <c r="K21825" t="s">
        <v>33</v>
      </c>
      <c r="L21825" t="s">
        <v>600</v>
      </c>
      <c r="N21825" t="s">
        <v>29</v>
      </c>
    </row>
    <row r="21826" spans="1:14">
      <c r="A21826" s="4" t="str">
        <f t="shared" si="1436"/>
        <v>EXP00452</v>
      </c>
      <c r="B21826" s="3" t="s">
        <v>66</v>
      </c>
      <c r="C21826" s="4" t="str">
        <f t="shared" si="1437"/>
        <v>TCGA-UCEC</v>
      </c>
      <c r="D21826" s="1" t="s">
        <v>493</v>
      </c>
      <c r="E21826" t="s">
        <v>601</v>
      </c>
      <c r="F21826" s="1">
        <v>2</v>
      </c>
      <c r="G21826" s="1" t="s">
        <v>28</v>
      </c>
      <c r="H21826" s="4" t="str">
        <f>HYPERLINK("https://portal.gdc.cancer.gov/cases/37981e2c-4761-4f82-aaf2-4e6963a71603","TCGA-EY-A212-01A")</f>
        <v>TCGA-EY-A212-01A</v>
      </c>
      <c r="I21826" t="s">
        <v>444</v>
      </c>
      <c r="J21826" t="s">
        <v>599</v>
      </c>
      <c r="K21826" t="s">
        <v>33</v>
      </c>
      <c r="L21826" t="s">
        <v>600</v>
      </c>
      <c r="N21826" t="s">
        <v>29</v>
      </c>
    </row>
    <row r="21827" spans="1:14">
      <c r="A21827" s="4" t="str">
        <f t="shared" si="1436"/>
        <v>EXP00452</v>
      </c>
      <c r="B21827" s="3" t="s">
        <v>66</v>
      </c>
      <c r="C21827" s="4" t="str">
        <f t="shared" si="1437"/>
        <v>TCGA-UCEC</v>
      </c>
      <c r="D21827" s="1" t="s">
        <v>493</v>
      </c>
      <c r="E21827" t="s">
        <v>601</v>
      </c>
      <c r="F21827" s="1">
        <v>2</v>
      </c>
      <c r="G21827" s="1" t="s">
        <v>28</v>
      </c>
      <c r="H21827" s="4" t="str">
        <f>HYPERLINK("https://portal.gdc.cancer.gov/cases/4125e3e5-51c0-4577-9935-10cd086fc415","TCGA-EY-A214-01A")</f>
        <v>TCGA-EY-A214-01A</v>
      </c>
      <c r="I21827" t="s">
        <v>444</v>
      </c>
      <c r="J21827" t="s">
        <v>599</v>
      </c>
      <c r="K21827" t="s">
        <v>33</v>
      </c>
      <c r="L21827" t="s">
        <v>600</v>
      </c>
      <c r="N21827" t="s">
        <v>29</v>
      </c>
    </row>
    <row r="21828" spans="1:14">
      <c r="A21828" s="4" t="str">
        <f t="shared" si="1436"/>
        <v>EXP00452</v>
      </c>
      <c r="B21828" s="3" t="s">
        <v>66</v>
      </c>
      <c r="C21828" s="4" t="str">
        <f t="shared" si="1437"/>
        <v>TCGA-UCEC</v>
      </c>
      <c r="D21828" s="1" t="s">
        <v>493</v>
      </c>
      <c r="E21828" t="s">
        <v>601</v>
      </c>
      <c r="F21828" s="1">
        <v>2</v>
      </c>
      <c r="G21828" s="1" t="s">
        <v>28</v>
      </c>
      <c r="H21828" s="4" t="str">
        <f>HYPERLINK("https://portal.gdc.cancer.gov/cases/48ab48a5-30e7-4f2e-8d0f-9bad7b8dc7db","TCGA-EY-A215-01A")</f>
        <v>TCGA-EY-A215-01A</v>
      </c>
      <c r="I21828" t="s">
        <v>444</v>
      </c>
      <c r="J21828" t="s">
        <v>599</v>
      </c>
      <c r="K21828" t="s">
        <v>33</v>
      </c>
      <c r="L21828" t="s">
        <v>600</v>
      </c>
      <c r="N21828" t="s">
        <v>29</v>
      </c>
    </row>
    <row r="21829" spans="1:14">
      <c r="A21829" s="4" t="str">
        <f t="shared" si="1436"/>
        <v>EXP00452</v>
      </c>
      <c r="B21829" s="3" t="s">
        <v>66</v>
      </c>
      <c r="C21829" s="4" t="str">
        <f t="shared" si="1437"/>
        <v>TCGA-UCEC</v>
      </c>
      <c r="D21829" s="1" t="s">
        <v>493</v>
      </c>
      <c r="E21829" t="s">
        <v>601</v>
      </c>
      <c r="F21829" s="1">
        <v>2</v>
      </c>
      <c r="G21829" s="1" t="s">
        <v>28</v>
      </c>
      <c r="H21829" s="4" t="str">
        <f>HYPERLINK("https://portal.gdc.cancer.gov/cases/2b60ef45-336c-42e0-aa3f-577069310d1f","TCGA-EY-A2OM-01A")</f>
        <v>TCGA-EY-A2OM-01A</v>
      </c>
      <c r="I21829" t="s">
        <v>444</v>
      </c>
      <c r="J21829" t="s">
        <v>599</v>
      </c>
      <c r="K21829" t="s">
        <v>33</v>
      </c>
      <c r="L21829" t="s">
        <v>600</v>
      </c>
      <c r="N21829" t="s">
        <v>29</v>
      </c>
    </row>
    <row r="21830" spans="1:14">
      <c r="A21830" s="4" t="str">
        <f t="shared" si="1436"/>
        <v>EXP00452</v>
      </c>
      <c r="B21830" s="3" t="s">
        <v>66</v>
      </c>
      <c r="C21830" s="4" t="str">
        <f t="shared" si="1437"/>
        <v>TCGA-UCEC</v>
      </c>
      <c r="D21830" s="1" t="s">
        <v>493</v>
      </c>
      <c r="E21830" t="s">
        <v>601</v>
      </c>
      <c r="F21830" s="1">
        <v>2</v>
      </c>
      <c r="G21830" s="1" t="s">
        <v>28</v>
      </c>
      <c r="H21830" s="4" t="str">
        <f>HYPERLINK("https://portal.gdc.cancer.gov/cases/bee58be0-c2b0-4cdc-adf6-b99243da586a","TCGA-EY-A2ON-01A")</f>
        <v>TCGA-EY-A2ON-01A</v>
      </c>
      <c r="I21830" t="s">
        <v>444</v>
      </c>
      <c r="J21830" t="s">
        <v>599</v>
      </c>
      <c r="K21830" t="s">
        <v>33</v>
      </c>
      <c r="L21830" t="s">
        <v>600</v>
      </c>
      <c r="N21830" t="s">
        <v>29</v>
      </c>
    </row>
    <row r="21831" spans="1:14">
      <c r="A21831" s="4" t="str">
        <f t="shared" si="1436"/>
        <v>EXP00452</v>
      </c>
      <c r="B21831" s="3" t="s">
        <v>66</v>
      </c>
      <c r="C21831" s="4" t="str">
        <f t="shared" si="1437"/>
        <v>TCGA-UCEC</v>
      </c>
      <c r="D21831" s="1" t="s">
        <v>493</v>
      </c>
      <c r="E21831" t="s">
        <v>601</v>
      </c>
      <c r="F21831" s="1">
        <v>2</v>
      </c>
      <c r="G21831" s="1" t="s">
        <v>28</v>
      </c>
      <c r="H21831" s="4" t="str">
        <f>HYPERLINK("https://portal.gdc.cancer.gov/cases/068016e2-7829-493c-b8be-d3b85beaab13","TCGA-EY-A2OO-01A")</f>
        <v>TCGA-EY-A2OO-01A</v>
      </c>
      <c r="I21831" t="s">
        <v>444</v>
      </c>
      <c r="J21831" t="s">
        <v>599</v>
      </c>
      <c r="K21831" t="s">
        <v>33</v>
      </c>
      <c r="L21831" t="s">
        <v>600</v>
      </c>
      <c r="N21831" t="s">
        <v>29</v>
      </c>
    </row>
    <row r="21832" spans="1:14">
      <c r="A21832" s="4" t="str">
        <f t="shared" si="1436"/>
        <v>EXP00452</v>
      </c>
      <c r="B21832" s="3" t="s">
        <v>66</v>
      </c>
      <c r="C21832" s="4" t="str">
        <f t="shared" si="1437"/>
        <v>TCGA-UCEC</v>
      </c>
      <c r="D21832" s="1" t="s">
        <v>493</v>
      </c>
      <c r="E21832" t="s">
        <v>601</v>
      </c>
      <c r="F21832" s="1">
        <v>2</v>
      </c>
      <c r="G21832" s="1" t="s">
        <v>28</v>
      </c>
      <c r="H21832" s="4" t="str">
        <f>HYPERLINK("https://portal.gdc.cancer.gov/cases/f7165dea-c528-44f3-954f-e111a3d77b4e","TCGA-EY-A2OP-01A")</f>
        <v>TCGA-EY-A2OP-01A</v>
      </c>
      <c r="I21832" t="s">
        <v>444</v>
      </c>
      <c r="J21832" t="s">
        <v>599</v>
      </c>
      <c r="K21832" t="s">
        <v>33</v>
      </c>
      <c r="L21832" t="s">
        <v>600</v>
      </c>
      <c r="N21832" t="s">
        <v>29</v>
      </c>
    </row>
    <row r="21833" spans="1:14">
      <c r="A21833" s="4" t="str">
        <f t="shared" si="1436"/>
        <v>EXP00452</v>
      </c>
      <c r="B21833" s="3" t="s">
        <v>66</v>
      </c>
      <c r="C21833" s="4" t="str">
        <f t="shared" si="1437"/>
        <v>TCGA-UCEC</v>
      </c>
      <c r="D21833" s="1" t="s">
        <v>493</v>
      </c>
      <c r="E21833" t="s">
        <v>601</v>
      </c>
      <c r="F21833" s="1">
        <v>2</v>
      </c>
      <c r="G21833" s="1" t="s">
        <v>28</v>
      </c>
      <c r="H21833" s="4" t="str">
        <f>HYPERLINK("https://portal.gdc.cancer.gov/cases/029f0f1d-dd22-44d2-a623-cb9a33cb9438","TCGA-EY-A2OQ-01A")</f>
        <v>TCGA-EY-A2OQ-01A</v>
      </c>
      <c r="I21833" t="s">
        <v>444</v>
      </c>
      <c r="J21833" t="s">
        <v>599</v>
      </c>
      <c r="K21833" t="s">
        <v>33</v>
      </c>
      <c r="L21833" t="s">
        <v>600</v>
      </c>
      <c r="N21833" t="s">
        <v>29</v>
      </c>
    </row>
    <row r="21834" spans="1:14">
      <c r="A21834" s="4" t="str">
        <f t="shared" si="1436"/>
        <v>EXP00452</v>
      </c>
      <c r="B21834" s="3" t="s">
        <v>66</v>
      </c>
      <c r="C21834" s="4" t="str">
        <f t="shared" si="1437"/>
        <v>TCGA-UCEC</v>
      </c>
      <c r="D21834" s="1" t="s">
        <v>493</v>
      </c>
      <c r="E21834" t="s">
        <v>601</v>
      </c>
      <c r="F21834" s="1">
        <v>2</v>
      </c>
      <c r="G21834" s="1" t="s">
        <v>28</v>
      </c>
      <c r="H21834" s="4" t="str">
        <f>HYPERLINK("https://portal.gdc.cancer.gov/cases/06728b1b-6b69-4467-8e10-a8a4e6328ac8","TCGA-EY-A3L3-01A")</f>
        <v>TCGA-EY-A3L3-01A</v>
      </c>
      <c r="I21834" t="s">
        <v>444</v>
      </c>
      <c r="J21834" t="s">
        <v>599</v>
      </c>
      <c r="K21834" t="s">
        <v>33</v>
      </c>
      <c r="L21834" t="s">
        <v>600</v>
      </c>
      <c r="N21834" t="s">
        <v>29</v>
      </c>
    </row>
    <row r="21835" spans="1:14">
      <c r="A21835" s="4" t="str">
        <f t="shared" si="1436"/>
        <v>EXP00452</v>
      </c>
      <c r="B21835" s="3" t="s">
        <v>66</v>
      </c>
      <c r="C21835" s="4" t="str">
        <f t="shared" si="1437"/>
        <v>TCGA-UCEC</v>
      </c>
      <c r="D21835" s="1" t="s">
        <v>493</v>
      </c>
      <c r="E21835" t="s">
        <v>601</v>
      </c>
      <c r="F21835" s="1">
        <v>2</v>
      </c>
      <c r="G21835" s="1" t="s">
        <v>28</v>
      </c>
      <c r="H21835" s="4" t="str">
        <f>HYPERLINK("https://portal.gdc.cancer.gov/cases/8bb89c0f-0f04-485e-8e08-801042dfcba9","TCGA-EY-A3QX-01A")</f>
        <v>TCGA-EY-A3QX-01A</v>
      </c>
      <c r="I21835" t="s">
        <v>444</v>
      </c>
      <c r="J21835" t="s">
        <v>599</v>
      </c>
      <c r="K21835" t="s">
        <v>33</v>
      </c>
      <c r="L21835" t="s">
        <v>600</v>
      </c>
      <c r="N21835" t="s">
        <v>29</v>
      </c>
    </row>
    <row r="21836" spans="1:14">
      <c r="A21836" s="4" t="str">
        <f t="shared" si="1436"/>
        <v>EXP00452</v>
      </c>
      <c r="B21836" s="3" t="s">
        <v>66</v>
      </c>
      <c r="C21836" s="4" t="str">
        <f t="shared" si="1437"/>
        <v>TCGA-UCEC</v>
      </c>
      <c r="D21836" s="1" t="s">
        <v>493</v>
      </c>
      <c r="E21836" t="s">
        <v>601</v>
      </c>
      <c r="F21836" s="1">
        <v>2</v>
      </c>
      <c r="G21836" s="1" t="s">
        <v>28</v>
      </c>
      <c r="H21836" s="4" t="str">
        <f>HYPERLINK("https://portal.gdc.cancer.gov/cases/df27b584-fa45-4a8f-bd12-a018cc63dca1","TCGA-EY-A4KR-01A")</f>
        <v>TCGA-EY-A4KR-01A</v>
      </c>
      <c r="I21836" t="s">
        <v>444</v>
      </c>
      <c r="J21836" t="s">
        <v>599</v>
      </c>
      <c r="K21836" t="s">
        <v>33</v>
      </c>
      <c r="L21836" t="s">
        <v>600</v>
      </c>
      <c r="N21836" t="s">
        <v>29</v>
      </c>
    </row>
    <row r="21837" spans="1:14">
      <c r="A21837" s="4" t="str">
        <f t="shared" si="1436"/>
        <v>EXP00452</v>
      </c>
      <c r="B21837" s="3" t="s">
        <v>66</v>
      </c>
      <c r="C21837" s="4" t="str">
        <f t="shared" si="1437"/>
        <v>TCGA-UCEC</v>
      </c>
      <c r="D21837" s="1" t="s">
        <v>493</v>
      </c>
      <c r="E21837" t="s">
        <v>601</v>
      </c>
      <c r="F21837" s="1">
        <v>2</v>
      </c>
      <c r="G21837" s="1" t="s">
        <v>28</v>
      </c>
      <c r="H21837" s="4" t="str">
        <f>HYPERLINK("https://portal.gdc.cancer.gov/cases/3424120f-248f-451a-948c-e320c19d1b19","TCGA-EY-A547-01A")</f>
        <v>TCGA-EY-A547-01A</v>
      </c>
      <c r="I21837" t="s">
        <v>444</v>
      </c>
      <c r="J21837" t="s">
        <v>599</v>
      </c>
      <c r="K21837" t="s">
        <v>33</v>
      </c>
      <c r="L21837" t="s">
        <v>600</v>
      </c>
      <c r="N21837" t="s">
        <v>29</v>
      </c>
    </row>
    <row r="21838" spans="1:14">
      <c r="A21838" s="4" t="str">
        <f t="shared" ref="A21838:A21882" si="1438">HYPERLINK("http://hcmdb.i-sanger.com/experiment/details/experiment_id/EXP00452","EXP00452")</f>
        <v>EXP00452</v>
      </c>
      <c r="B21838" s="3" t="s">
        <v>66</v>
      </c>
      <c r="C21838" s="4" t="str">
        <f t="shared" si="1437"/>
        <v>TCGA-UCEC</v>
      </c>
      <c r="D21838" s="1" t="s">
        <v>493</v>
      </c>
      <c r="E21838" t="s">
        <v>601</v>
      </c>
      <c r="F21838" s="1">
        <v>2</v>
      </c>
      <c r="G21838" s="1" t="s">
        <v>28</v>
      </c>
      <c r="H21838" s="4" t="str">
        <f>HYPERLINK("https://portal.gdc.cancer.gov/cases/56bdb68c-a647-4aba-94ac-9cd52bb5344a","TCGA-EY-A548-01A")</f>
        <v>TCGA-EY-A548-01A</v>
      </c>
      <c r="I21838" t="s">
        <v>444</v>
      </c>
      <c r="J21838" t="s">
        <v>599</v>
      </c>
      <c r="K21838" t="s">
        <v>33</v>
      </c>
      <c r="L21838" t="s">
        <v>600</v>
      </c>
      <c r="N21838" t="s">
        <v>29</v>
      </c>
    </row>
    <row r="21839" spans="1:14">
      <c r="A21839" s="4" t="str">
        <f t="shared" si="1438"/>
        <v>EXP00452</v>
      </c>
      <c r="B21839" s="3" t="s">
        <v>66</v>
      </c>
      <c r="C21839" s="4" t="str">
        <f t="shared" si="1437"/>
        <v>TCGA-UCEC</v>
      </c>
      <c r="D21839" s="1" t="s">
        <v>493</v>
      </c>
      <c r="E21839" t="s">
        <v>601</v>
      </c>
      <c r="F21839" s="1">
        <v>2</v>
      </c>
      <c r="G21839" s="1" t="s">
        <v>28</v>
      </c>
      <c r="H21839" s="4" t="str">
        <f>HYPERLINK("https://portal.gdc.cancer.gov/cases/3d9828ae-eb65-4d0a-8d7a-cc09e98b5e99","TCGA-EY-A549-01A")</f>
        <v>TCGA-EY-A549-01A</v>
      </c>
      <c r="I21839" t="s">
        <v>444</v>
      </c>
      <c r="J21839" t="s">
        <v>599</v>
      </c>
      <c r="K21839" t="s">
        <v>33</v>
      </c>
      <c r="L21839" t="s">
        <v>600</v>
      </c>
      <c r="N21839" t="s">
        <v>29</v>
      </c>
    </row>
    <row r="21840" spans="1:14">
      <c r="A21840" s="4" t="str">
        <f t="shared" si="1438"/>
        <v>EXP00452</v>
      </c>
      <c r="B21840" s="3" t="s">
        <v>66</v>
      </c>
      <c r="C21840" s="4" t="str">
        <f t="shared" si="1437"/>
        <v>TCGA-UCEC</v>
      </c>
      <c r="D21840" s="1" t="s">
        <v>493</v>
      </c>
      <c r="E21840" t="s">
        <v>601</v>
      </c>
      <c r="F21840" s="1">
        <v>2</v>
      </c>
      <c r="G21840" s="1" t="s">
        <v>28</v>
      </c>
      <c r="H21840" s="4" t="str">
        <f>HYPERLINK("https://portal.gdc.cancer.gov/cases/75783dbe-e18c-4535-b9eb-2affd320e098","TCGA-EY-A54A-01A")</f>
        <v>TCGA-EY-A54A-01A</v>
      </c>
      <c r="I21840" t="s">
        <v>444</v>
      </c>
      <c r="J21840" t="s">
        <v>599</v>
      </c>
      <c r="K21840" t="s">
        <v>33</v>
      </c>
      <c r="L21840" t="s">
        <v>600</v>
      </c>
      <c r="N21840" t="s">
        <v>29</v>
      </c>
    </row>
    <row r="21841" spans="1:14">
      <c r="A21841" s="4" t="str">
        <f t="shared" si="1438"/>
        <v>EXP00452</v>
      </c>
      <c r="B21841" s="3" t="s">
        <v>66</v>
      </c>
      <c r="C21841" s="4" t="str">
        <f t="shared" si="1437"/>
        <v>TCGA-UCEC</v>
      </c>
      <c r="D21841" s="1" t="s">
        <v>493</v>
      </c>
      <c r="E21841" t="s">
        <v>601</v>
      </c>
      <c r="F21841" s="1">
        <v>2</v>
      </c>
      <c r="G21841" s="1" t="s">
        <v>28</v>
      </c>
      <c r="H21841" s="4" t="str">
        <f>HYPERLINK("https://portal.gdc.cancer.gov/cases/1944e155-b765-48c3-9602-6787c105e551","TCGA-EY-A5W2-01A")</f>
        <v>TCGA-EY-A5W2-01A</v>
      </c>
      <c r="I21841" t="s">
        <v>444</v>
      </c>
      <c r="J21841" t="s">
        <v>599</v>
      </c>
      <c r="K21841" t="s">
        <v>33</v>
      </c>
      <c r="L21841" t="s">
        <v>600</v>
      </c>
      <c r="N21841" t="s">
        <v>29</v>
      </c>
    </row>
    <row r="21842" spans="1:14">
      <c r="A21842" s="4" t="str">
        <f t="shared" si="1438"/>
        <v>EXP00452</v>
      </c>
      <c r="B21842" s="3" t="s">
        <v>66</v>
      </c>
      <c r="C21842" s="4" t="str">
        <f t="shared" si="1437"/>
        <v>TCGA-UCEC</v>
      </c>
      <c r="D21842" s="1" t="s">
        <v>493</v>
      </c>
      <c r="E21842" t="s">
        <v>601</v>
      </c>
      <c r="F21842" s="1">
        <v>2</v>
      </c>
      <c r="G21842" s="1" t="s">
        <v>28</v>
      </c>
      <c r="H21842" s="4" t="str">
        <f>HYPERLINK("https://portal.gdc.cancer.gov/cases/a12df3d7-c560-4e7d-a482-1025a6e5b465","TCGA-EY-A72D-01A")</f>
        <v>TCGA-EY-A72D-01A</v>
      </c>
      <c r="I21842" t="s">
        <v>444</v>
      </c>
      <c r="J21842" t="s">
        <v>599</v>
      </c>
      <c r="K21842" t="s">
        <v>33</v>
      </c>
      <c r="L21842" t="s">
        <v>600</v>
      </c>
      <c r="N21842" t="s">
        <v>29</v>
      </c>
    </row>
    <row r="21843" spans="1:14">
      <c r="A21843" s="4" t="str">
        <f t="shared" si="1438"/>
        <v>EXP00452</v>
      </c>
      <c r="B21843" s="3" t="s">
        <v>66</v>
      </c>
      <c r="C21843" s="4" t="str">
        <f t="shared" si="1437"/>
        <v>TCGA-UCEC</v>
      </c>
      <c r="D21843" s="1" t="s">
        <v>493</v>
      </c>
      <c r="E21843" t="s">
        <v>601</v>
      </c>
      <c r="F21843" s="1">
        <v>2</v>
      </c>
      <c r="G21843" s="1" t="s">
        <v>28</v>
      </c>
      <c r="H21843" s="4" t="str">
        <f>HYPERLINK("https://portal.gdc.cancer.gov/cases/dffc7091-bc27-452c-ad94-1ee214107593","TCGA-FI-A2CX-01A")</f>
        <v>TCGA-FI-A2CX-01A</v>
      </c>
      <c r="I21843" t="s">
        <v>444</v>
      </c>
      <c r="J21843" t="s">
        <v>599</v>
      </c>
      <c r="K21843" t="s">
        <v>33</v>
      </c>
      <c r="L21843" t="s">
        <v>600</v>
      </c>
      <c r="N21843" t="s">
        <v>29</v>
      </c>
    </row>
    <row r="21844" spans="1:14">
      <c r="A21844" s="4" t="str">
        <f t="shared" si="1438"/>
        <v>EXP00452</v>
      </c>
      <c r="B21844" s="3" t="s">
        <v>66</v>
      </c>
      <c r="C21844" s="4" t="str">
        <f t="shared" si="1437"/>
        <v>TCGA-UCEC</v>
      </c>
      <c r="D21844" s="1" t="s">
        <v>493</v>
      </c>
      <c r="E21844" t="s">
        <v>601</v>
      </c>
      <c r="F21844" s="1">
        <v>2</v>
      </c>
      <c r="G21844" s="1" t="s">
        <v>28</v>
      </c>
      <c r="H21844" s="4" t="str">
        <f>HYPERLINK("https://portal.gdc.cancer.gov/cases/b9ab4ab9-ba9c-4a01-9f61-55c82b924936","TCGA-FI-A2CY-01A")</f>
        <v>TCGA-FI-A2CY-01A</v>
      </c>
      <c r="I21844" t="s">
        <v>444</v>
      </c>
      <c r="J21844" t="s">
        <v>599</v>
      </c>
      <c r="K21844" t="s">
        <v>33</v>
      </c>
      <c r="L21844" t="s">
        <v>600</v>
      </c>
      <c r="N21844" t="s">
        <v>29</v>
      </c>
    </row>
    <row r="21845" spans="1:14">
      <c r="A21845" s="4" t="str">
        <f t="shared" si="1438"/>
        <v>EXP00452</v>
      </c>
      <c r="B21845" s="3" t="s">
        <v>66</v>
      </c>
      <c r="C21845" s="4" t="str">
        <f t="shared" si="1437"/>
        <v>TCGA-UCEC</v>
      </c>
      <c r="D21845" s="1" t="s">
        <v>493</v>
      </c>
      <c r="E21845" t="s">
        <v>601</v>
      </c>
      <c r="F21845" s="1">
        <v>2</v>
      </c>
      <c r="G21845" s="1" t="s">
        <v>28</v>
      </c>
      <c r="H21845" s="4" t="str">
        <f>HYPERLINK("https://portal.gdc.cancer.gov/cases/1b35d083-f7c9-47d2-9a9e-718788f9e39a","TCGA-FI-A2D0-01A")</f>
        <v>TCGA-FI-A2D0-01A</v>
      </c>
      <c r="I21845" t="s">
        <v>444</v>
      </c>
      <c r="J21845" t="s">
        <v>599</v>
      </c>
      <c r="K21845" t="s">
        <v>33</v>
      </c>
      <c r="L21845" t="s">
        <v>600</v>
      </c>
      <c r="N21845" t="s">
        <v>29</v>
      </c>
    </row>
    <row r="21846" spans="1:14">
      <c r="A21846" s="4" t="str">
        <f t="shared" si="1438"/>
        <v>EXP00452</v>
      </c>
      <c r="B21846" s="3" t="s">
        <v>66</v>
      </c>
      <c r="C21846" s="4" t="str">
        <f t="shared" si="1437"/>
        <v>TCGA-UCEC</v>
      </c>
      <c r="D21846" s="1" t="s">
        <v>493</v>
      </c>
      <c r="E21846" t="s">
        <v>601</v>
      </c>
      <c r="F21846" s="1">
        <v>2</v>
      </c>
      <c r="G21846" s="1" t="s">
        <v>28</v>
      </c>
      <c r="H21846" s="4" t="str">
        <f>HYPERLINK("https://portal.gdc.cancer.gov/cases/46a1fdb9-548d-44d1-ab77-d51d44ac8198","TCGA-FI-A2D2-01A")</f>
        <v>TCGA-FI-A2D2-01A</v>
      </c>
      <c r="I21846" t="s">
        <v>444</v>
      </c>
      <c r="J21846" t="s">
        <v>599</v>
      </c>
      <c r="K21846" t="s">
        <v>33</v>
      </c>
      <c r="L21846" t="s">
        <v>600</v>
      </c>
      <c r="N21846" t="s">
        <v>29</v>
      </c>
    </row>
    <row r="21847" spans="1:14">
      <c r="A21847" s="4" t="str">
        <f t="shared" si="1438"/>
        <v>EXP00452</v>
      </c>
      <c r="B21847" s="3" t="s">
        <v>66</v>
      </c>
      <c r="C21847" s="4" t="str">
        <f t="shared" si="1437"/>
        <v>TCGA-UCEC</v>
      </c>
      <c r="D21847" s="1" t="s">
        <v>493</v>
      </c>
      <c r="E21847" t="s">
        <v>601</v>
      </c>
      <c r="F21847" s="1">
        <v>2</v>
      </c>
      <c r="G21847" s="1" t="s">
        <v>28</v>
      </c>
      <c r="H21847" s="4" t="str">
        <f>HYPERLINK("https://portal.gdc.cancer.gov/cases/490ae247-ee67-48d4-94ed-93df5b9bbefe","TCGA-FI-A2D4-01A")</f>
        <v>TCGA-FI-A2D4-01A</v>
      </c>
      <c r="I21847" t="s">
        <v>444</v>
      </c>
      <c r="J21847" t="s">
        <v>599</v>
      </c>
      <c r="K21847" t="s">
        <v>33</v>
      </c>
      <c r="L21847" t="s">
        <v>600</v>
      </c>
      <c r="N21847" t="s">
        <v>29</v>
      </c>
    </row>
    <row r="21848" spans="1:14">
      <c r="A21848" s="4" t="str">
        <f t="shared" si="1438"/>
        <v>EXP00452</v>
      </c>
      <c r="B21848" s="3" t="s">
        <v>66</v>
      </c>
      <c r="C21848" s="4" t="str">
        <f t="shared" si="1437"/>
        <v>TCGA-UCEC</v>
      </c>
      <c r="D21848" s="1" t="s">
        <v>493</v>
      </c>
      <c r="E21848" t="s">
        <v>601</v>
      </c>
      <c r="F21848" s="1">
        <v>2</v>
      </c>
      <c r="G21848" s="1" t="s">
        <v>28</v>
      </c>
      <c r="H21848" s="4" t="str">
        <f>HYPERLINK("https://portal.gdc.cancer.gov/cases/dcfbe781-a92a-45b5-b80a-e3bb3bdc0d9a","TCGA-FI-A2D5-01A")</f>
        <v>TCGA-FI-A2D5-01A</v>
      </c>
      <c r="I21848" t="s">
        <v>444</v>
      </c>
      <c r="J21848" t="s">
        <v>599</v>
      </c>
      <c r="K21848" t="s">
        <v>33</v>
      </c>
      <c r="L21848" t="s">
        <v>600</v>
      </c>
      <c r="N21848" t="s">
        <v>29</v>
      </c>
    </row>
    <row r="21849" spans="1:14">
      <c r="A21849" s="4" t="str">
        <f t="shared" si="1438"/>
        <v>EXP00452</v>
      </c>
      <c r="B21849" s="3" t="s">
        <v>66</v>
      </c>
      <c r="C21849" s="4" t="str">
        <f t="shared" si="1437"/>
        <v>TCGA-UCEC</v>
      </c>
      <c r="D21849" s="1" t="s">
        <v>493</v>
      </c>
      <c r="E21849" t="s">
        <v>601</v>
      </c>
      <c r="F21849" s="1">
        <v>2</v>
      </c>
      <c r="G21849" s="1" t="s">
        <v>28</v>
      </c>
      <c r="H21849" s="4" t="str">
        <f>HYPERLINK("https://portal.gdc.cancer.gov/cases/787d313f-9255-4b93-8ac2-0aa8febb7909","TCGA-FI-A2D6-01A")</f>
        <v>TCGA-FI-A2D6-01A</v>
      </c>
      <c r="I21849" t="s">
        <v>444</v>
      </c>
      <c r="J21849" t="s">
        <v>599</v>
      </c>
      <c r="K21849" t="s">
        <v>33</v>
      </c>
      <c r="L21849" t="s">
        <v>600</v>
      </c>
      <c r="N21849" t="s">
        <v>29</v>
      </c>
    </row>
    <row r="21850" spans="1:14">
      <c r="A21850" s="4" t="str">
        <f t="shared" si="1438"/>
        <v>EXP00452</v>
      </c>
      <c r="B21850" s="3" t="s">
        <v>66</v>
      </c>
      <c r="C21850" s="4" t="str">
        <f t="shared" si="1437"/>
        <v>TCGA-UCEC</v>
      </c>
      <c r="D21850" s="1" t="s">
        <v>493</v>
      </c>
      <c r="E21850" t="s">
        <v>601</v>
      </c>
      <c r="F21850" s="1">
        <v>2</v>
      </c>
      <c r="G21850" s="1" t="s">
        <v>28</v>
      </c>
      <c r="H21850" s="4" t="str">
        <f>HYPERLINK("https://portal.gdc.cancer.gov/cases/4284a85d-d9b6-40ee-aac4-c2c03554528e","TCGA-FI-A2EU-01A")</f>
        <v>TCGA-FI-A2EU-01A</v>
      </c>
      <c r="I21850" t="s">
        <v>444</v>
      </c>
      <c r="J21850" t="s">
        <v>599</v>
      </c>
      <c r="K21850" t="s">
        <v>33</v>
      </c>
      <c r="L21850" t="s">
        <v>600</v>
      </c>
      <c r="N21850" t="s">
        <v>29</v>
      </c>
    </row>
    <row r="21851" spans="1:14">
      <c r="A21851" s="4" t="str">
        <f t="shared" si="1438"/>
        <v>EXP00452</v>
      </c>
      <c r="B21851" s="3" t="s">
        <v>66</v>
      </c>
      <c r="C21851" s="4" t="str">
        <f t="shared" si="1437"/>
        <v>TCGA-UCEC</v>
      </c>
      <c r="D21851" s="1" t="s">
        <v>493</v>
      </c>
      <c r="E21851" t="s">
        <v>601</v>
      </c>
      <c r="F21851" s="1">
        <v>2</v>
      </c>
      <c r="G21851" s="1" t="s">
        <v>28</v>
      </c>
      <c r="H21851" s="4" t="str">
        <f>HYPERLINK("https://portal.gdc.cancer.gov/cases/93d6df4a-aea2-48c2-8b6a-4b3eca0bf26f","TCGA-FI-A2EW-01A")</f>
        <v>TCGA-FI-A2EW-01A</v>
      </c>
      <c r="I21851" t="s">
        <v>444</v>
      </c>
      <c r="J21851" t="s">
        <v>599</v>
      </c>
      <c r="K21851" t="s">
        <v>33</v>
      </c>
      <c r="L21851" t="s">
        <v>600</v>
      </c>
      <c r="N21851" t="s">
        <v>29</v>
      </c>
    </row>
    <row r="21852" spans="1:14">
      <c r="A21852" s="4" t="str">
        <f t="shared" si="1438"/>
        <v>EXP00452</v>
      </c>
      <c r="B21852" s="3" t="s">
        <v>66</v>
      </c>
      <c r="C21852" s="4" t="str">
        <f t="shared" si="1437"/>
        <v>TCGA-UCEC</v>
      </c>
      <c r="D21852" s="1" t="s">
        <v>493</v>
      </c>
      <c r="E21852" t="s">
        <v>601</v>
      </c>
      <c r="F21852" s="1">
        <v>2</v>
      </c>
      <c r="G21852" s="1" t="s">
        <v>28</v>
      </c>
      <c r="H21852" s="4" t="str">
        <f>HYPERLINK("https://portal.gdc.cancer.gov/cases/3878f58e-76ba-4480-a784-88505bd464d0","TCGA-FI-A2EX-01A")</f>
        <v>TCGA-FI-A2EX-01A</v>
      </c>
      <c r="I21852" t="s">
        <v>444</v>
      </c>
      <c r="J21852" t="s">
        <v>599</v>
      </c>
      <c r="K21852" t="s">
        <v>33</v>
      </c>
      <c r="L21852" t="s">
        <v>600</v>
      </c>
      <c r="N21852" t="s">
        <v>29</v>
      </c>
    </row>
    <row r="21853" spans="1:14">
      <c r="A21853" s="4" t="str">
        <f t="shared" si="1438"/>
        <v>EXP00452</v>
      </c>
      <c r="B21853" s="3" t="s">
        <v>66</v>
      </c>
      <c r="C21853" s="4" t="str">
        <f t="shared" si="1437"/>
        <v>TCGA-UCEC</v>
      </c>
      <c r="D21853" s="1" t="s">
        <v>493</v>
      </c>
      <c r="E21853" t="s">
        <v>601</v>
      </c>
      <c r="F21853" s="1">
        <v>2</v>
      </c>
      <c r="G21853" s="1" t="s">
        <v>28</v>
      </c>
      <c r="H21853" s="4" t="str">
        <f>HYPERLINK("https://portal.gdc.cancer.gov/cases/787c3e2f-a708-4985-a5b1-b2383c7bfc52","TCGA-FI-A2EY-01A")</f>
        <v>TCGA-FI-A2EY-01A</v>
      </c>
      <c r="I21853" t="s">
        <v>444</v>
      </c>
      <c r="J21853" t="s">
        <v>599</v>
      </c>
      <c r="K21853" t="s">
        <v>33</v>
      </c>
      <c r="L21853" t="s">
        <v>600</v>
      </c>
      <c r="N21853" t="s">
        <v>29</v>
      </c>
    </row>
    <row r="21854" spans="1:14">
      <c r="A21854" s="4" t="str">
        <f t="shared" si="1438"/>
        <v>EXP00452</v>
      </c>
      <c r="B21854" s="3" t="s">
        <v>66</v>
      </c>
      <c r="C21854" s="4" t="str">
        <f t="shared" si="1437"/>
        <v>TCGA-UCEC</v>
      </c>
      <c r="D21854" s="1" t="s">
        <v>493</v>
      </c>
      <c r="E21854" t="s">
        <v>601</v>
      </c>
      <c r="F21854" s="1">
        <v>2</v>
      </c>
      <c r="G21854" s="1" t="s">
        <v>28</v>
      </c>
      <c r="H21854" s="4" t="str">
        <f>HYPERLINK("https://portal.gdc.cancer.gov/cases/43476c88-86bc-4a65-9327-f0d24a41c971","TCGA-FI-A2F4-01A")</f>
        <v>TCGA-FI-A2F4-01A</v>
      </c>
      <c r="I21854" t="s">
        <v>444</v>
      </c>
      <c r="J21854" t="s">
        <v>599</v>
      </c>
      <c r="K21854" t="s">
        <v>33</v>
      </c>
      <c r="L21854" t="s">
        <v>600</v>
      </c>
      <c r="N21854" t="s">
        <v>29</v>
      </c>
    </row>
    <row r="21855" spans="1:14">
      <c r="A21855" s="4" t="str">
        <f t="shared" si="1438"/>
        <v>EXP00452</v>
      </c>
      <c r="B21855" s="3" t="s">
        <v>66</v>
      </c>
      <c r="C21855" s="4" t="str">
        <f t="shared" si="1437"/>
        <v>TCGA-UCEC</v>
      </c>
      <c r="D21855" s="1" t="s">
        <v>493</v>
      </c>
      <c r="E21855" t="s">
        <v>601</v>
      </c>
      <c r="F21855" s="1">
        <v>2</v>
      </c>
      <c r="G21855" s="1" t="s">
        <v>28</v>
      </c>
      <c r="H21855" s="4" t="str">
        <f>HYPERLINK("https://portal.gdc.cancer.gov/cases/601734da-2d11-4745-a260-0965f58aadea","TCGA-FI-A2F8-01A")</f>
        <v>TCGA-FI-A2F8-01A</v>
      </c>
      <c r="I21855" t="s">
        <v>444</v>
      </c>
      <c r="J21855" t="s">
        <v>599</v>
      </c>
      <c r="K21855" t="s">
        <v>33</v>
      </c>
      <c r="L21855" t="s">
        <v>600</v>
      </c>
      <c r="N21855" t="s">
        <v>29</v>
      </c>
    </row>
    <row r="21856" spans="1:14">
      <c r="A21856" s="4" t="str">
        <f t="shared" si="1438"/>
        <v>EXP00452</v>
      </c>
      <c r="B21856" s="3" t="s">
        <v>66</v>
      </c>
      <c r="C21856" s="4" t="str">
        <f t="shared" si="1437"/>
        <v>TCGA-UCEC</v>
      </c>
      <c r="D21856" s="1" t="s">
        <v>493</v>
      </c>
      <c r="E21856" t="s">
        <v>601</v>
      </c>
      <c r="F21856" s="1">
        <v>2</v>
      </c>
      <c r="G21856" s="1" t="s">
        <v>28</v>
      </c>
      <c r="H21856" s="4" t="str">
        <f>HYPERLINK("https://portal.gdc.cancer.gov/cases/25e7d9d6-7381-40e1-b7ed-1d8c936b7c5c","TCGA-FI-A2F9-01A")</f>
        <v>TCGA-FI-A2F9-01A</v>
      </c>
      <c r="I21856" t="s">
        <v>444</v>
      </c>
      <c r="J21856" t="s">
        <v>599</v>
      </c>
      <c r="K21856" t="s">
        <v>33</v>
      </c>
      <c r="L21856" t="s">
        <v>600</v>
      </c>
      <c r="N21856" t="s">
        <v>29</v>
      </c>
    </row>
    <row r="21857" spans="1:14">
      <c r="A21857" s="4" t="str">
        <f t="shared" si="1438"/>
        <v>EXP00452</v>
      </c>
      <c r="B21857" s="3" t="s">
        <v>66</v>
      </c>
      <c r="C21857" s="4" t="str">
        <f t="shared" si="1437"/>
        <v>TCGA-UCEC</v>
      </c>
      <c r="D21857" s="1" t="s">
        <v>493</v>
      </c>
      <c r="E21857" t="s">
        <v>601</v>
      </c>
      <c r="F21857" s="1">
        <v>2</v>
      </c>
      <c r="G21857" s="1" t="s">
        <v>28</v>
      </c>
      <c r="H21857" s="4" t="str">
        <f>HYPERLINK("https://portal.gdc.cancer.gov/cases/60e307dd-e11e-40ba-93c1-7e8a1f669f60","TCGA-FI-A3PV-01A")</f>
        <v>TCGA-FI-A3PV-01A</v>
      </c>
      <c r="I21857" t="s">
        <v>444</v>
      </c>
      <c r="J21857" t="s">
        <v>599</v>
      </c>
      <c r="K21857" t="s">
        <v>33</v>
      </c>
      <c r="L21857" t="s">
        <v>600</v>
      </c>
      <c r="N21857" t="s">
        <v>29</v>
      </c>
    </row>
    <row r="21858" spans="1:14">
      <c r="A21858" s="4" t="str">
        <f t="shared" si="1438"/>
        <v>EXP00452</v>
      </c>
      <c r="B21858" s="3" t="s">
        <v>66</v>
      </c>
      <c r="C21858" s="4" t="str">
        <f t="shared" si="1437"/>
        <v>TCGA-UCEC</v>
      </c>
      <c r="D21858" s="1" t="s">
        <v>493</v>
      </c>
      <c r="E21858" t="s">
        <v>601</v>
      </c>
      <c r="F21858" s="1">
        <v>2</v>
      </c>
      <c r="G21858" s="1" t="s">
        <v>28</v>
      </c>
      <c r="H21858" s="4" t="str">
        <f>HYPERLINK("https://portal.gdc.cancer.gov/cases/3e8e34c8-766a-4514-97f4-8000b5350ab9","TCGA-FI-A3PX-01A")</f>
        <v>TCGA-FI-A3PX-01A</v>
      </c>
      <c r="I21858" t="s">
        <v>444</v>
      </c>
      <c r="J21858" t="s">
        <v>599</v>
      </c>
      <c r="K21858" t="s">
        <v>33</v>
      </c>
      <c r="L21858" t="s">
        <v>600</v>
      </c>
      <c r="N21858" t="s">
        <v>29</v>
      </c>
    </row>
    <row r="21859" spans="1:14">
      <c r="A21859" s="4" t="str">
        <f t="shared" si="1438"/>
        <v>EXP00452</v>
      </c>
      <c r="B21859" s="3" t="s">
        <v>66</v>
      </c>
      <c r="C21859" s="4" t="str">
        <f t="shared" si="1437"/>
        <v>TCGA-UCEC</v>
      </c>
      <c r="D21859" s="1" t="s">
        <v>493</v>
      </c>
      <c r="E21859" t="s">
        <v>601</v>
      </c>
      <c r="F21859" s="1">
        <v>2</v>
      </c>
      <c r="G21859" s="1" t="s">
        <v>28</v>
      </c>
      <c r="H21859" s="4" t="str">
        <f>HYPERLINK("https://portal.gdc.cancer.gov/cases/fdb395e7-ff30-400d-861e-0cf2462ee390","TCGA-H5-A2HR-01A")</f>
        <v>TCGA-H5-A2HR-01A</v>
      </c>
      <c r="I21859" t="s">
        <v>444</v>
      </c>
      <c r="J21859" t="s">
        <v>599</v>
      </c>
      <c r="K21859" t="s">
        <v>33</v>
      </c>
      <c r="L21859" t="s">
        <v>600</v>
      </c>
      <c r="N21859" t="s">
        <v>29</v>
      </c>
    </row>
    <row r="21860" spans="1:14">
      <c r="A21860" s="4" t="str">
        <f t="shared" si="1438"/>
        <v>EXP00452</v>
      </c>
      <c r="B21860" s="3" t="s">
        <v>66</v>
      </c>
      <c r="C21860" s="4" t="str">
        <f t="shared" si="1437"/>
        <v>TCGA-UCEC</v>
      </c>
      <c r="D21860" s="1" t="s">
        <v>493</v>
      </c>
      <c r="E21860" t="s">
        <v>601</v>
      </c>
      <c r="F21860" s="1">
        <v>2</v>
      </c>
      <c r="G21860" s="1" t="s">
        <v>28</v>
      </c>
      <c r="H21860" s="4" t="str">
        <f>HYPERLINK("https://portal.gdc.cancer.gov/cases/3e41cf2f-3de9-44c1-a819-bce693baf67d","TCGA-JU-AAVI-01A")</f>
        <v>TCGA-JU-AAVI-01A</v>
      </c>
      <c r="I21860" t="s">
        <v>444</v>
      </c>
      <c r="J21860" t="s">
        <v>599</v>
      </c>
      <c r="K21860" t="s">
        <v>33</v>
      </c>
      <c r="L21860" t="s">
        <v>600</v>
      </c>
      <c r="N21860" t="s">
        <v>29</v>
      </c>
    </row>
    <row r="21861" spans="1:14">
      <c r="A21861" s="4" t="str">
        <f t="shared" si="1438"/>
        <v>EXP00452</v>
      </c>
      <c r="B21861" s="3" t="s">
        <v>66</v>
      </c>
      <c r="C21861" s="4" t="str">
        <f t="shared" si="1437"/>
        <v>TCGA-UCEC</v>
      </c>
      <c r="D21861" s="1" t="s">
        <v>493</v>
      </c>
      <c r="E21861" t="s">
        <v>601</v>
      </c>
      <c r="F21861" s="1">
        <v>2</v>
      </c>
      <c r="G21861" s="1" t="s">
        <v>28</v>
      </c>
      <c r="H21861" s="4" t="str">
        <f>HYPERLINK("https://portal.gdc.cancer.gov/cases/d6303a05-f705-4413-8860-506a105d5b08","TCGA-K6-A3WQ-01A")</f>
        <v>TCGA-K6-A3WQ-01A</v>
      </c>
      <c r="I21861" t="s">
        <v>444</v>
      </c>
      <c r="J21861" t="s">
        <v>599</v>
      </c>
      <c r="K21861" t="s">
        <v>33</v>
      </c>
      <c r="L21861" t="s">
        <v>600</v>
      </c>
      <c r="N21861" t="s">
        <v>29</v>
      </c>
    </row>
    <row r="21862" spans="1:14">
      <c r="A21862" s="4" t="str">
        <f t="shared" si="1438"/>
        <v>EXP00452</v>
      </c>
      <c r="B21862" s="3" t="s">
        <v>66</v>
      </c>
      <c r="C21862" s="4" t="str">
        <f t="shared" si="1437"/>
        <v>TCGA-UCEC</v>
      </c>
      <c r="D21862" s="1" t="s">
        <v>493</v>
      </c>
      <c r="E21862" t="s">
        <v>601</v>
      </c>
      <c r="F21862" s="1">
        <v>2</v>
      </c>
      <c r="G21862" s="1" t="s">
        <v>28</v>
      </c>
      <c r="H21862" s="4" t="str">
        <f>HYPERLINK("https://portal.gdc.cancer.gov/cases/1a36d5de-a097-4323-90e9-f1b924a8a5d8","TCGA-KJ-A3U4-01A")</f>
        <v>TCGA-KJ-A3U4-01A</v>
      </c>
      <c r="I21862" t="s">
        <v>444</v>
      </c>
      <c r="J21862" t="s">
        <v>599</v>
      </c>
      <c r="K21862" t="s">
        <v>33</v>
      </c>
      <c r="L21862" t="s">
        <v>600</v>
      </c>
      <c r="N21862" t="s">
        <v>29</v>
      </c>
    </row>
    <row r="21863" spans="1:14">
      <c r="A21863" s="4" t="str">
        <f t="shared" si="1438"/>
        <v>EXP00452</v>
      </c>
      <c r="B21863" s="3" t="s">
        <v>66</v>
      </c>
      <c r="C21863" s="4" t="str">
        <f t="shared" si="1437"/>
        <v>TCGA-UCEC</v>
      </c>
      <c r="D21863" s="1" t="s">
        <v>493</v>
      </c>
      <c r="E21863" t="s">
        <v>601</v>
      </c>
      <c r="F21863" s="1">
        <v>2</v>
      </c>
      <c r="G21863" s="1" t="s">
        <v>28</v>
      </c>
      <c r="H21863" s="4" t="str">
        <f>HYPERLINK("https://portal.gdc.cancer.gov/cases/6b35a816-f9c4-44d4-9824-5dee4804b80d","TCGA-KP-A3VZ-01A")</f>
        <v>TCGA-KP-A3VZ-01A</v>
      </c>
      <c r="I21863" t="s">
        <v>444</v>
      </c>
      <c r="J21863" t="s">
        <v>599</v>
      </c>
      <c r="K21863" t="s">
        <v>33</v>
      </c>
      <c r="L21863" t="s">
        <v>600</v>
      </c>
      <c r="N21863" t="s">
        <v>29</v>
      </c>
    </row>
    <row r="21864" spans="1:14">
      <c r="A21864" s="4" t="str">
        <f t="shared" si="1438"/>
        <v>EXP00452</v>
      </c>
      <c r="B21864" s="3" t="s">
        <v>66</v>
      </c>
      <c r="C21864" s="4" t="str">
        <f t="shared" si="1437"/>
        <v>TCGA-UCEC</v>
      </c>
      <c r="D21864" s="1" t="s">
        <v>493</v>
      </c>
      <c r="E21864" t="s">
        <v>601</v>
      </c>
      <c r="F21864" s="1">
        <v>2</v>
      </c>
      <c r="G21864" s="1" t="s">
        <v>28</v>
      </c>
      <c r="H21864" s="4" t="str">
        <f>HYPERLINK("https://portal.gdc.cancer.gov/cases/c9ebaeff-6a27-4a6c-a34c-5337a3508a52","TCGA-KP-A3W0-01A")</f>
        <v>TCGA-KP-A3W0-01A</v>
      </c>
      <c r="I21864" t="s">
        <v>444</v>
      </c>
      <c r="J21864" t="s">
        <v>599</v>
      </c>
      <c r="K21864" t="s">
        <v>33</v>
      </c>
      <c r="L21864" t="s">
        <v>600</v>
      </c>
      <c r="N21864" t="s">
        <v>29</v>
      </c>
    </row>
    <row r="21865" spans="1:14">
      <c r="A21865" s="4" t="str">
        <f t="shared" si="1438"/>
        <v>EXP00452</v>
      </c>
      <c r="B21865" s="3" t="s">
        <v>66</v>
      </c>
      <c r="C21865" s="4" t="str">
        <f t="shared" si="1437"/>
        <v>TCGA-UCEC</v>
      </c>
      <c r="D21865" s="1" t="s">
        <v>493</v>
      </c>
      <c r="E21865" t="s">
        <v>601</v>
      </c>
      <c r="F21865" s="1">
        <v>2</v>
      </c>
      <c r="G21865" s="1" t="s">
        <v>28</v>
      </c>
      <c r="H21865" s="4" t="str">
        <f>HYPERLINK("https://portal.gdc.cancer.gov/cases/3bce9803-e74c-462e-bd40-8ec337a66f3a","TCGA-KP-A3W1-01A")</f>
        <v>TCGA-KP-A3W1-01A</v>
      </c>
      <c r="I21865" t="s">
        <v>444</v>
      </c>
      <c r="J21865" t="s">
        <v>599</v>
      </c>
      <c r="K21865" t="s">
        <v>33</v>
      </c>
      <c r="L21865" t="s">
        <v>600</v>
      </c>
      <c r="N21865" t="s">
        <v>29</v>
      </c>
    </row>
    <row r="21866" spans="1:14">
      <c r="A21866" s="4" t="str">
        <f t="shared" si="1438"/>
        <v>EXP00452</v>
      </c>
      <c r="B21866" s="3" t="s">
        <v>66</v>
      </c>
      <c r="C21866" s="4" t="str">
        <f t="shared" si="1437"/>
        <v>TCGA-UCEC</v>
      </c>
      <c r="D21866" s="1" t="s">
        <v>493</v>
      </c>
      <c r="E21866" t="s">
        <v>601</v>
      </c>
      <c r="F21866" s="1">
        <v>2</v>
      </c>
      <c r="G21866" s="1" t="s">
        <v>28</v>
      </c>
      <c r="H21866" s="4" t="str">
        <f>HYPERLINK("https://portal.gdc.cancer.gov/cases/22669a01-21d3-404c-ac19-cf0a6c03bb1d","TCGA-PG-A5BC-01A")</f>
        <v>TCGA-PG-A5BC-01A</v>
      </c>
      <c r="I21866" t="s">
        <v>444</v>
      </c>
      <c r="J21866" t="s">
        <v>599</v>
      </c>
      <c r="K21866" t="s">
        <v>33</v>
      </c>
      <c r="L21866" t="s">
        <v>600</v>
      </c>
      <c r="N21866" t="s">
        <v>29</v>
      </c>
    </row>
    <row r="21867" spans="1:14">
      <c r="A21867" s="4" t="str">
        <f t="shared" si="1438"/>
        <v>EXP00452</v>
      </c>
      <c r="B21867" s="3" t="s">
        <v>66</v>
      </c>
      <c r="C21867" s="4" t="str">
        <f t="shared" si="1437"/>
        <v>TCGA-UCEC</v>
      </c>
      <c r="D21867" s="1" t="s">
        <v>493</v>
      </c>
      <c r="E21867" t="s">
        <v>601</v>
      </c>
      <c r="F21867" s="1">
        <v>2</v>
      </c>
      <c r="G21867" s="1" t="s">
        <v>28</v>
      </c>
      <c r="H21867" s="4" t="str">
        <f>HYPERLINK("https://portal.gdc.cancer.gov/cases/e8c7195b-a26b-4d98-b1c5-0aa18385e9c8","TCGA-PG-A6IB-01A")</f>
        <v>TCGA-PG-A6IB-01A</v>
      </c>
      <c r="I21867" t="s">
        <v>444</v>
      </c>
      <c r="J21867" t="s">
        <v>599</v>
      </c>
      <c r="K21867" t="s">
        <v>33</v>
      </c>
      <c r="L21867" t="s">
        <v>600</v>
      </c>
      <c r="N21867" t="s">
        <v>29</v>
      </c>
    </row>
    <row r="21868" spans="1:14">
      <c r="A21868" s="4" t="str">
        <f t="shared" si="1438"/>
        <v>EXP00452</v>
      </c>
      <c r="B21868" s="3" t="s">
        <v>66</v>
      </c>
      <c r="C21868" s="4" t="str">
        <f t="shared" si="1437"/>
        <v>TCGA-UCEC</v>
      </c>
      <c r="D21868" s="1" t="s">
        <v>493</v>
      </c>
      <c r="E21868" t="s">
        <v>601</v>
      </c>
      <c r="F21868" s="1">
        <v>2</v>
      </c>
      <c r="G21868" s="1" t="s">
        <v>28</v>
      </c>
      <c r="H21868" s="4" t="str">
        <f>HYPERLINK("https://portal.gdc.cancer.gov/cases/4adc20d7-5af1-4126-9073-c7d7ae465d92","TCGA-PG-A7D5-01A")</f>
        <v>TCGA-PG-A7D5-01A</v>
      </c>
      <c r="I21868" t="s">
        <v>444</v>
      </c>
      <c r="J21868" t="s">
        <v>599</v>
      </c>
      <c r="K21868" t="s">
        <v>33</v>
      </c>
      <c r="L21868" t="s">
        <v>600</v>
      </c>
      <c r="N21868" t="s">
        <v>29</v>
      </c>
    </row>
    <row r="21869" spans="1:14">
      <c r="A21869" s="4" t="str">
        <f t="shared" si="1438"/>
        <v>EXP00452</v>
      </c>
      <c r="B21869" s="3" t="s">
        <v>66</v>
      </c>
      <c r="C21869" s="4" t="str">
        <f t="shared" si="1437"/>
        <v>TCGA-UCEC</v>
      </c>
      <c r="D21869" s="1" t="s">
        <v>493</v>
      </c>
      <c r="E21869" t="s">
        <v>601</v>
      </c>
      <c r="F21869" s="1">
        <v>2</v>
      </c>
      <c r="G21869" s="1" t="s">
        <v>28</v>
      </c>
      <c r="H21869" s="4" t="str">
        <f>HYPERLINK("https://portal.gdc.cancer.gov/cases/ff6b5fc8-0572-4b58-b3a5-bcda41badbc8","TCGA-PG-A914-01A")</f>
        <v>TCGA-PG-A914-01A</v>
      </c>
      <c r="I21869" t="s">
        <v>444</v>
      </c>
      <c r="J21869" t="s">
        <v>599</v>
      </c>
      <c r="K21869" t="s">
        <v>33</v>
      </c>
      <c r="L21869" t="s">
        <v>600</v>
      </c>
      <c r="N21869" t="s">
        <v>29</v>
      </c>
    </row>
    <row r="21870" spans="1:14">
      <c r="A21870" s="4" t="str">
        <f t="shared" si="1438"/>
        <v>EXP00452</v>
      </c>
      <c r="B21870" s="3" t="s">
        <v>66</v>
      </c>
      <c r="C21870" s="4" t="str">
        <f t="shared" si="1437"/>
        <v>TCGA-UCEC</v>
      </c>
      <c r="D21870" s="1" t="s">
        <v>493</v>
      </c>
      <c r="E21870" t="s">
        <v>601</v>
      </c>
      <c r="F21870" s="1">
        <v>2</v>
      </c>
      <c r="G21870" s="1" t="s">
        <v>28</v>
      </c>
      <c r="H21870" s="4" t="str">
        <f>HYPERLINK("https://portal.gdc.cancer.gov/cases/ea95897e-3fe0-4c79-b170-88b0f229794c","TCGA-PG-A915-01A")</f>
        <v>TCGA-PG-A915-01A</v>
      </c>
      <c r="I21870" t="s">
        <v>444</v>
      </c>
      <c r="J21870" t="s">
        <v>599</v>
      </c>
      <c r="K21870" t="s">
        <v>33</v>
      </c>
      <c r="L21870" t="s">
        <v>600</v>
      </c>
      <c r="N21870" t="s">
        <v>29</v>
      </c>
    </row>
    <row r="21871" spans="1:14">
      <c r="A21871" s="4" t="str">
        <f t="shared" si="1438"/>
        <v>EXP00452</v>
      </c>
      <c r="B21871" s="3" t="s">
        <v>66</v>
      </c>
      <c r="C21871" s="4" t="str">
        <f t="shared" si="1437"/>
        <v>TCGA-UCEC</v>
      </c>
      <c r="D21871" s="1" t="s">
        <v>493</v>
      </c>
      <c r="E21871" t="s">
        <v>601</v>
      </c>
      <c r="F21871" s="1">
        <v>2</v>
      </c>
      <c r="G21871" s="1" t="s">
        <v>28</v>
      </c>
      <c r="H21871" s="4" t="str">
        <f>HYPERLINK("https://portal.gdc.cancer.gov/cases/5edaed6d-9914-4df2-a843-d6009c36cbcc","TCGA-PG-A916-01A")</f>
        <v>TCGA-PG-A916-01A</v>
      </c>
      <c r="I21871" t="s">
        <v>444</v>
      </c>
      <c r="J21871" t="s">
        <v>599</v>
      </c>
      <c r="K21871" t="s">
        <v>33</v>
      </c>
      <c r="L21871" t="s">
        <v>600</v>
      </c>
      <c r="N21871" t="s">
        <v>29</v>
      </c>
    </row>
    <row r="21872" spans="1:14">
      <c r="A21872" s="4" t="str">
        <f t="shared" si="1438"/>
        <v>EXP00452</v>
      </c>
      <c r="B21872" s="3" t="s">
        <v>66</v>
      </c>
      <c r="C21872" s="4" t="str">
        <f t="shared" si="1437"/>
        <v>TCGA-UCEC</v>
      </c>
      <c r="D21872" s="1" t="s">
        <v>493</v>
      </c>
      <c r="E21872" t="s">
        <v>601</v>
      </c>
      <c r="F21872" s="1">
        <v>2</v>
      </c>
      <c r="G21872" s="1" t="s">
        <v>28</v>
      </c>
      <c r="H21872" s="4" t="str">
        <f>HYPERLINK("https://portal.gdc.cancer.gov/cases/b1b9173c-b370-4fe5-a263-c807e8a9709c","TCGA-PG-A917-01A")</f>
        <v>TCGA-PG-A917-01A</v>
      </c>
      <c r="I21872" t="s">
        <v>444</v>
      </c>
      <c r="J21872" t="s">
        <v>599</v>
      </c>
      <c r="K21872" t="s">
        <v>33</v>
      </c>
      <c r="L21872" t="s">
        <v>600</v>
      </c>
      <c r="N21872" t="s">
        <v>29</v>
      </c>
    </row>
    <row r="21873" spans="1:14">
      <c r="A21873" s="4" t="str">
        <f t="shared" si="1438"/>
        <v>EXP00452</v>
      </c>
      <c r="B21873" s="3" t="s">
        <v>66</v>
      </c>
      <c r="C21873" s="4" t="str">
        <f t="shared" si="1437"/>
        <v>TCGA-UCEC</v>
      </c>
      <c r="D21873" s="1" t="s">
        <v>493</v>
      </c>
      <c r="E21873" t="s">
        <v>601</v>
      </c>
      <c r="F21873" s="1">
        <v>2</v>
      </c>
      <c r="G21873" s="1" t="s">
        <v>28</v>
      </c>
      <c r="H21873" s="4" t="str">
        <f>HYPERLINK("https://portal.gdc.cancer.gov/cases/df15901c-2508-42c9-bf06-026efd89e51f","TCGA-QF-A5YS-01A")</f>
        <v>TCGA-QF-A5YS-01A</v>
      </c>
      <c r="I21873" t="s">
        <v>444</v>
      </c>
      <c r="J21873" t="s">
        <v>599</v>
      </c>
      <c r="K21873" t="s">
        <v>33</v>
      </c>
      <c r="L21873" t="s">
        <v>600</v>
      </c>
      <c r="N21873" t="s">
        <v>29</v>
      </c>
    </row>
    <row r="21874" spans="1:14">
      <c r="A21874" s="4" t="str">
        <f t="shared" si="1438"/>
        <v>EXP00452</v>
      </c>
      <c r="B21874" s="3" t="s">
        <v>66</v>
      </c>
      <c r="C21874" s="4" t="str">
        <f t="shared" si="1437"/>
        <v>TCGA-UCEC</v>
      </c>
      <c r="D21874" s="1" t="s">
        <v>493</v>
      </c>
      <c r="E21874" t="s">
        <v>601</v>
      </c>
      <c r="F21874" s="1">
        <v>2</v>
      </c>
      <c r="G21874" s="1" t="s">
        <v>28</v>
      </c>
      <c r="H21874" s="4" t="str">
        <f>HYPERLINK("https://portal.gdc.cancer.gov/cases/e4bccea0-0104-40c4-9e3c-2ad7262d918e","TCGA-QF-A5YT-01A")</f>
        <v>TCGA-QF-A5YT-01A</v>
      </c>
      <c r="I21874" t="s">
        <v>444</v>
      </c>
      <c r="J21874" t="s">
        <v>599</v>
      </c>
      <c r="K21874" t="s">
        <v>33</v>
      </c>
      <c r="L21874" t="s">
        <v>600</v>
      </c>
      <c r="N21874" t="s">
        <v>29</v>
      </c>
    </row>
    <row r="21875" spans="1:14">
      <c r="A21875" s="4" t="str">
        <f t="shared" si="1438"/>
        <v>EXP00452</v>
      </c>
      <c r="B21875" s="3" t="s">
        <v>66</v>
      </c>
      <c r="C21875" s="4" t="str">
        <f t="shared" si="1437"/>
        <v>TCGA-UCEC</v>
      </c>
      <c r="D21875" s="1" t="s">
        <v>493</v>
      </c>
      <c r="E21875" t="s">
        <v>601</v>
      </c>
      <c r="F21875" s="1">
        <v>2</v>
      </c>
      <c r="G21875" s="1" t="s">
        <v>28</v>
      </c>
      <c r="H21875" s="4" t="str">
        <f>HYPERLINK("https://portal.gdc.cancer.gov/cases/03381d49-e25f-4376-8e36-f47063a7d3fb","TCGA-QS-A5YQ-01A")</f>
        <v>TCGA-QS-A5YQ-01A</v>
      </c>
      <c r="I21875" t="s">
        <v>444</v>
      </c>
      <c r="J21875" t="s">
        <v>599</v>
      </c>
      <c r="K21875" t="s">
        <v>33</v>
      </c>
      <c r="L21875" t="s">
        <v>600</v>
      </c>
      <c r="N21875" t="s">
        <v>29</v>
      </c>
    </row>
    <row r="21876" spans="1:14">
      <c r="A21876" s="4" t="str">
        <f t="shared" si="1438"/>
        <v>EXP00452</v>
      </c>
      <c r="B21876" s="3" t="s">
        <v>66</v>
      </c>
      <c r="C21876" s="4" t="str">
        <f t="shared" si="1437"/>
        <v>TCGA-UCEC</v>
      </c>
      <c r="D21876" s="1" t="s">
        <v>493</v>
      </c>
      <c r="E21876" t="s">
        <v>601</v>
      </c>
      <c r="F21876" s="1">
        <v>2</v>
      </c>
      <c r="G21876" s="1" t="s">
        <v>28</v>
      </c>
      <c r="H21876" s="4" t="str">
        <f>HYPERLINK("https://portal.gdc.cancer.gov/cases/6696cf88-3c43-482c-aabb-f1ea5cf565aa","TCGA-QS-A5YR-01A")</f>
        <v>TCGA-QS-A5YR-01A</v>
      </c>
      <c r="I21876" t="s">
        <v>444</v>
      </c>
      <c r="J21876" t="s">
        <v>599</v>
      </c>
      <c r="K21876" t="s">
        <v>33</v>
      </c>
      <c r="L21876" t="s">
        <v>600</v>
      </c>
      <c r="N21876" t="s">
        <v>29</v>
      </c>
    </row>
    <row r="21877" spans="1:14">
      <c r="A21877" s="4" t="str">
        <f t="shared" si="1438"/>
        <v>EXP00452</v>
      </c>
      <c r="B21877" s="3" t="s">
        <v>66</v>
      </c>
      <c r="C21877" s="4" t="str">
        <f t="shared" ref="C21877:C21882" si="1439">HYPERLINK("https://portal.gdc.cancer.gov/projects/TCGA-UCEC","TCGA-UCEC")</f>
        <v>TCGA-UCEC</v>
      </c>
      <c r="D21877" s="1" t="s">
        <v>493</v>
      </c>
      <c r="E21877" t="s">
        <v>601</v>
      </c>
      <c r="F21877" s="1">
        <v>2</v>
      </c>
      <c r="G21877" s="1" t="s">
        <v>28</v>
      </c>
      <c r="H21877" s="4" t="str">
        <f>HYPERLINK("https://portal.gdc.cancer.gov/cases/8e8f19bd-dbaa-4738-bad2-207f634cd63d","TCGA-QS-A744-01A")</f>
        <v>TCGA-QS-A744-01A</v>
      </c>
      <c r="I21877" t="s">
        <v>444</v>
      </c>
      <c r="J21877" t="s">
        <v>599</v>
      </c>
      <c r="K21877" t="s">
        <v>33</v>
      </c>
      <c r="L21877" t="s">
        <v>600</v>
      </c>
      <c r="N21877" t="s">
        <v>29</v>
      </c>
    </row>
    <row r="21878" spans="1:14">
      <c r="A21878" s="4" t="str">
        <f t="shared" si="1438"/>
        <v>EXP00452</v>
      </c>
      <c r="B21878" s="3" t="s">
        <v>66</v>
      </c>
      <c r="C21878" s="4" t="str">
        <f t="shared" si="1439"/>
        <v>TCGA-UCEC</v>
      </c>
      <c r="D21878" s="1" t="s">
        <v>493</v>
      </c>
      <c r="E21878" t="s">
        <v>601</v>
      </c>
      <c r="F21878" s="1">
        <v>2</v>
      </c>
      <c r="G21878" s="1" t="s">
        <v>28</v>
      </c>
      <c r="H21878" s="4" t="str">
        <f>HYPERLINK("https://portal.gdc.cancer.gov/cases/54ac877a-52ff-450c-9df9-b7cd3fc8e2e2","TCGA-QS-A8F1-01A")</f>
        <v>TCGA-QS-A8F1-01A</v>
      </c>
      <c r="I21878" t="s">
        <v>444</v>
      </c>
      <c r="J21878" t="s">
        <v>599</v>
      </c>
      <c r="K21878" t="s">
        <v>33</v>
      </c>
      <c r="L21878" t="s">
        <v>600</v>
      </c>
      <c r="N21878" t="s">
        <v>29</v>
      </c>
    </row>
    <row r="21879" spans="1:14">
      <c r="A21879" s="4" t="str">
        <f t="shared" si="1438"/>
        <v>EXP00452</v>
      </c>
      <c r="B21879" s="3" t="s">
        <v>66</v>
      </c>
      <c r="C21879" s="4" t="str">
        <f t="shared" si="1439"/>
        <v>TCGA-UCEC</v>
      </c>
      <c r="D21879" s="1" t="s">
        <v>493</v>
      </c>
      <c r="E21879" t="s">
        <v>601</v>
      </c>
      <c r="F21879" s="1">
        <v>2</v>
      </c>
      <c r="G21879" s="1" t="s">
        <v>28</v>
      </c>
      <c r="H21879" s="4" t="str">
        <f>HYPERLINK("https://portal.gdc.cancer.gov/cases/3c2a6e30-a507-49f6-8b1f-36eb3aa41e60","TCGA-SJ-A6ZI-01A")</f>
        <v>TCGA-SJ-A6ZI-01A</v>
      </c>
      <c r="I21879" t="s">
        <v>444</v>
      </c>
      <c r="J21879" t="s">
        <v>599</v>
      </c>
      <c r="K21879" t="s">
        <v>33</v>
      </c>
      <c r="L21879" t="s">
        <v>600</v>
      </c>
      <c r="N21879" t="s">
        <v>29</v>
      </c>
    </row>
    <row r="21880" spans="1:14">
      <c r="A21880" s="4" t="str">
        <f t="shared" si="1438"/>
        <v>EXP00452</v>
      </c>
      <c r="B21880" s="3" t="s">
        <v>66</v>
      </c>
      <c r="C21880" s="4" t="str">
        <f t="shared" si="1439"/>
        <v>TCGA-UCEC</v>
      </c>
      <c r="D21880" s="1" t="s">
        <v>493</v>
      </c>
      <c r="E21880" t="s">
        <v>601</v>
      </c>
      <c r="F21880" s="1">
        <v>2</v>
      </c>
      <c r="G21880" s="1" t="s">
        <v>28</v>
      </c>
      <c r="H21880" s="4" t="str">
        <f>HYPERLINK("https://portal.gdc.cancer.gov/cases/fbfed398-2a44-44a9-83cf-657c29cb7d28","TCGA-SJ-A6ZJ-01A")</f>
        <v>TCGA-SJ-A6ZJ-01A</v>
      </c>
      <c r="I21880" t="s">
        <v>444</v>
      </c>
      <c r="J21880" t="s">
        <v>599</v>
      </c>
      <c r="K21880" t="s">
        <v>33</v>
      </c>
      <c r="L21880" t="s">
        <v>600</v>
      </c>
      <c r="N21880" t="s">
        <v>29</v>
      </c>
    </row>
    <row r="21881" spans="1:14">
      <c r="A21881" s="4" t="str">
        <f t="shared" si="1438"/>
        <v>EXP00452</v>
      </c>
      <c r="B21881" s="3" t="s">
        <v>66</v>
      </c>
      <c r="C21881" s="4" t="str">
        <f t="shared" si="1439"/>
        <v>TCGA-UCEC</v>
      </c>
      <c r="D21881" s="1" t="s">
        <v>493</v>
      </c>
      <c r="E21881" t="s">
        <v>601</v>
      </c>
      <c r="F21881" s="1">
        <v>2</v>
      </c>
      <c r="G21881" s="1" t="s">
        <v>28</v>
      </c>
      <c r="H21881" s="4" t="str">
        <f>HYPERLINK("https://portal.gdc.cancer.gov/cases/c1f1dc90-2c67-4862-9e5f-078b861ffc6e","TCGA-SL-A6J9-01A")</f>
        <v>TCGA-SL-A6J9-01A</v>
      </c>
      <c r="I21881" t="s">
        <v>444</v>
      </c>
      <c r="J21881" t="s">
        <v>599</v>
      </c>
      <c r="K21881" t="s">
        <v>33</v>
      </c>
      <c r="L21881" t="s">
        <v>600</v>
      </c>
      <c r="N21881" t="s">
        <v>29</v>
      </c>
    </row>
    <row r="21882" spans="1:14">
      <c r="A21882" s="4" t="str">
        <f t="shared" si="1438"/>
        <v>EXP00452</v>
      </c>
      <c r="B21882" s="3" t="s">
        <v>66</v>
      </c>
      <c r="C21882" s="4" t="str">
        <f t="shared" si="1439"/>
        <v>TCGA-UCEC</v>
      </c>
      <c r="D21882" s="1" t="s">
        <v>493</v>
      </c>
      <c r="E21882" t="s">
        <v>601</v>
      </c>
      <c r="F21882" s="1">
        <v>2</v>
      </c>
      <c r="G21882" s="1" t="s">
        <v>28</v>
      </c>
      <c r="H21882" s="4" t="str">
        <f>HYPERLINK("https://portal.gdc.cancer.gov/cases/2a19051e-3ad1-444a-9d02-f895c26ac02c","TCGA-SL-A6JA-01A")</f>
        <v>TCGA-SL-A6JA-01A</v>
      </c>
      <c r="I21882" t="s">
        <v>444</v>
      </c>
      <c r="J21882" t="s">
        <v>599</v>
      </c>
      <c r="K21882" t="s">
        <v>33</v>
      </c>
      <c r="L21882" t="s">
        <v>600</v>
      </c>
      <c r="N21882" t="s">
        <v>29</v>
      </c>
    </row>
    <row r="21883" spans="1:14">
      <c r="A21883" s="4" t="str">
        <f t="shared" ref="A21883:A21888" si="1440">HYPERLINK("http://hcmdb.i-sanger.com/experiment/details/experiment_id/EXP00453","EXP00453")</f>
        <v>EXP00453</v>
      </c>
      <c r="B21883" s="3" t="s">
        <v>66</v>
      </c>
      <c r="C21883" s="4" t="str">
        <f t="shared" ref="C21883:C21914" si="1441">HYPERLINK("https://portal.gdc.cancer.gov/projects/TCGA-UCS","TCGA-UCS")</f>
        <v>TCGA-UCS</v>
      </c>
      <c r="D21883" s="1" t="s">
        <v>493</v>
      </c>
      <c r="E21883" t="s">
        <v>602</v>
      </c>
      <c r="F21883" s="1">
        <v>1</v>
      </c>
      <c r="G21883" s="1" t="s">
        <v>603</v>
      </c>
      <c r="H21883" s="4" t="str">
        <f>HYPERLINK("https://portal.gdc.cancer.gov/cases/4f0124a6-4a5b-4e42-b9ff-d7de51d2148c","TCGA-N6-A4VE-01A")</f>
        <v>TCGA-N6-A4VE-01A</v>
      </c>
      <c r="I21883" t="s">
        <v>444</v>
      </c>
      <c r="J21883" t="s">
        <v>604</v>
      </c>
      <c r="K21883" t="s">
        <v>19</v>
      </c>
      <c r="L21883" t="s">
        <v>600</v>
      </c>
      <c r="M21883" t="s">
        <v>50</v>
      </c>
      <c r="N21883" t="s">
        <v>29</v>
      </c>
    </row>
    <row r="21884" spans="1:14">
      <c r="A21884" s="4" t="str">
        <f t="shared" si="1440"/>
        <v>EXP00453</v>
      </c>
      <c r="B21884" s="3" t="s">
        <v>66</v>
      </c>
      <c r="C21884" s="4" t="str">
        <f t="shared" si="1441"/>
        <v>TCGA-UCS</v>
      </c>
      <c r="D21884" s="1" t="s">
        <v>493</v>
      </c>
      <c r="E21884" t="s">
        <v>602</v>
      </c>
      <c r="F21884" s="1">
        <v>1</v>
      </c>
      <c r="G21884" s="1" t="s">
        <v>603</v>
      </c>
      <c r="H21884" s="4" t="str">
        <f>HYPERLINK("https://portal.gdc.cancer.gov/cases/8481dc3d-109a-4f2d-a0ad-8f0fd2a61a53","TCGA-N8-A4PL-01A")</f>
        <v>TCGA-N8-A4PL-01A</v>
      </c>
      <c r="I21884" t="s">
        <v>444</v>
      </c>
      <c r="J21884" t="s">
        <v>604</v>
      </c>
      <c r="K21884" t="s">
        <v>19</v>
      </c>
      <c r="L21884" t="s">
        <v>600</v>
      </c>
      <c r="M21884" t="s">
        <v>50</v>
      </c>
      <c r="N21884" t="s">
        <v>29</v>
      </c>
    </row>
    <row r="21885" spans="1:14">
      <c r="A21885" s="4" t="str">
        <f t="shared" si="1440"/>
        <v>EXP00453</v>
      </c>
      <c r="B21885" s="3" t="s">
        <v>66</v>
      </c>
      <c r="C21885" s="4" t="str">
        <f t="shared" si="1441"/>
        <v>TCGA-UCS</v>
      </c>
      <c r="D21885" s="1" t="s">
        <v>493</v>
      </c>
      <c r="E21885" t="s">
        <v>602</v>
      </c>
      <c r="F21885" s="1">
        <v>1</v>
      </c>
      <c r="G21885" s="1" t="s">
        <v>603</v>
      </c>
      <c r="H21885" s="4" t="str">
        <f>HYPERLINK("https://portal.gdc.cancer.gov/cases/2aad74b4-8d66-4563-8958-88d83f86556d","TCGA-N8-A4PO-01A")</f>
        <v>TCGA-N8-A4PO-01A</v>
      </c>
      <c r="I21885" t="s">
        <v>444</v>
      </c>
      <c r="J21885" t="s">
        <v>604</v>
      </c>
      <c r="K21885" t="s">
        <v>19</v>
      </c>
      <c r="L21885" t="s">
        <v>600</v>
      </c>
      <c r="M21885" t="s">
        <v>50</v>
      </c>
      <c r="N21885" t="s">
        <v>29</v>
      </c>
    </row>
    <row r="21886" spans="1:14">
      <c r="A21886" s="4" t="str">
        <f t="shared" si="1440"/>
        <v>EXP00453</v>
      </c>
      <c r="B21886" s="3" t="s">
        <v>66</v>
      </c>
      <c r="C21886" s="4" t="str">
        <f t="shared" si="1441"/>
        <v>TCGA-UCS</v>
      </c>
      <c r="D21886" s="1" t="s">
        <v>493</v>
      </c>
      <c r="E21886" t="s">
        <v>602</v>
      </c>
      <c r="F21886" s="1">
        <v>2</v>
      </c>
      <c r="G21886" s="1" t="s">
        <v>605</v>
      </c>
      <c r="H21886" s="4" t="str">
        <f>HYPERLINK("https://portal.gdc.cancer.gov/cases/f98c183e-aaa1-40c4-83e7-c248cc3adb55","TCGA-N6-A4VC-01A")</f>
        <v>TCGA-N6-A4VC-01A</v>
      </c>
      <c r="I21886" t="s">
        <v>444</v>
      </c>
      <c r="J21886" t="s">
        <v>604</v>
      </c>
      <c r="K21886" t="s">
        <v>19</v>
      </c>
      <c r="L21886" t="s">
        <v>600</v>
      </c>
      <c r="M21886" t="s">
        <v>41</v>
      </c>
      <c r="N21886" t="s">
        <v>29</v>
      </c>
    </row>
    <row r="21887" spans="1:14">
      <c r="A21887" s="4" t="str">
        <f t="shared" si="1440"/>
        <v>EXP00453</v>
      </c>
      <c r="B21887" s="3" t="s">
        <v>66</v>
      </c>
      <c r="C21887" s="4" t="str">
        <f t="shared" si="1441"/>
        <v>TCGA-UCS</v>
      </c>
      <c r="D21887" s="1" t="s">
        <v>493</v>
      </c>
      <c r="E21887" t="s">
        <v>602</v>
      </c>
      <c r="F21887" s="1">
        <v>2</v>
      </c>
      <c r="G21887" s="1" t="s">
        <v>605</v>
      </c>
      <c r="H21887" s="4" t="str">
        <f>HYPERLINK("https://portal.gdc.cancer.gov/cases/8c8d4495-1a1d-4942-b0f0-1445fd05dfce","TCGA-N8-A4PI-01A")</f>
        <v>TCGA-N8-A4PI-01A</v>
      </c>
      <c r="I21887" t="s">
        <v>444</v>
      </c>
      <c r="J21887" t="s">
        <v>604</v>
      </c>
      <c r="K21887" t="s">
        <v>19</v>
      </c>
      <c r="L21887" t="s">
        <v>600</v>
      </c>
      <c r="M21887" t="s">
        <v>41</v>
      </c>
      <c r="N21887" t="s">
        <v>29</v>
      </c>
    </row>
    <row r="21888" spans="1:14">
      <c r="A21888" s="4" t="str">
        <f t="shared" si="1440"/>
        <v>EXP00453</v>
      </c>
      <c r="B21888" s="3" t="s">
        <v>66</v>
      </c>
      <c r="C21888" s="4" t="str">
        <f t="shared" si="1441"/>
        <v>TCGA-UCS</v>
      </c>
      <c r="D21888" s="1" t="s">
        <v>493</v>
      </c>
      <c r="E21888" t="s">
        <v>602</v>
      </c>
      <c r="F21888" s="1">
        <v>2</v>
      </c>
      <c r="G21888" s="1" t="s">
        <v>605</v>
      </c>
      <c r="H21888" s="4" t="str">
        <f>HYPERLINK("https://portal.gdc.cancer.gov/cases/82c37e7c-0899-497e-9753-84da21f8e0fe","TCGA-NG-A4VW-01A")</f>
        <v>TCGA-NG-A4VW-01A</v>
      </c>
      <c r="I21888" t="s">
        <v>444</v>
      </c>
      <c r="J21888" t="s">
        <v>604</v>
      </c>
      <c r="K21888" t="s">
        <v>19</v>
      </c>
      <c r="L21888" t="s">
        <v>600</v>
      </c>
      <c r="M21888" t="s">
        <v>41</v>
      </c>
      <c r="N21888" t="s">
        <v>29</v>
      </c>
    </row>
    <row r="21889" spans="1:14">
      <c r="A21889" s="4" t="str">
        <f t="shared" ref="A21889:A21920" si="1442">HYPERLINK("http://hcmdb.i-sanger.com/experiment/details/experiment_id/EXP00454","EXP00454")</f>
        <v>EXP00454</v>
      </c>
      <c r="B21889" s="3" t="s">
        <v>66</v>
      </c>
      <c r="C21889" s="4" t="str">
        <f t="shared" si="1441"/>
        <v>TCGA-UCS</v>
      </c>
      <c r="D21889" s="1" t="s">
        <v>493</v>
      </c>
      <c r="E21889" t="s">
        <v>606</v>
      </c>
      <c r="F21889" s="1">
        <v>1</v>
      </c>
      <c r="G21889" s="1" t="s">
        <v>31</v>
      </c>
      <c r="H21889" s="4" t="str">
        <f>HYPERLINK("https://portal.gdc.cancer.gov/cases/108d4b89-d1d5-4528-a040-c7e5696c8417","TCGA-N5-A4RJ-01A")</f>
        <v>TCGA-N5-A4RJ-01A</v>
      </c>
      <c r="I21889" t="s">
        <v>444</v>
      </c>
      <c r="J21889" t="s">
        <v>604</v>
      </c>
      <c r="K21889" t="s">
        <v>19</v>
      </c>
      <c r="L21889" t="s">
        <v>600</v>
      </c>
      <c r="M21889" t="s">
        <v>24</v>
      </c>
      <c r="N21889" t="s">
        <v>29</v>
      </c>
    </row>
    <row r="21890" spans="1:14">
      <c r="A21890" s="4" t="str">
        <f t="shared" si="1442"/>
        <v>EXP00454</v>
      </c>
      <c r="B21890" s="3" t="s">
        <v>66</v>
      </c>
      <c r="C21890" s="4" t="str">
        <f t="shared" si="1441"/>
        <v>TCGA-UCS</v>
      </c>
      <c r="D21890" s="1" t="s">
        <v>493</v>
      </c>
      <c r="E21890" t="s">
        <v>606</v>
      </c>
      <c r="F21890" s="1">
        <v>1</v>
      </c>
      <c r="G21890" s="1" t="s">
        <v>31</v>
      </c>
      <c r="H21890" s="4" t="str">
        <f>HYPERLINK("https://portal.gdc.cancer.gov/cases/4daeefc3-0e2e-4537-8e13-af9717b3ce29","TCGA-N5-A4RS-01A")</f>
        <v>TCGA-N5-A4RS-01A</v>
      </c>
      <c r="I21890" t="s">
        <v>444</v>
      </c>
      <c r="J21890" t="s">
        <v>604</v>
      </c>
      <c r="K21890" t="s">
        <v>19</v>
      </c>
      <c r="L21890" t="s">
        <v>600</v>
      </c>
      <c r="M21890" t="s">
        <v>135</v>
      </c>
      <c r="N21890" t="s">
        <v>29</v>
      </c>
    </row>
    <row r="21891" spans="1:14">
      <c r="A21891" s="4" t="str">
        <f t="shared" si="1442"/>
        <v>EXP00454</v>
      </c>
      <c r="B21891" s="3" t="s">
        <v>66</v>
      </c>
      <c r="C21891" s="4" t="str">
        <f t="shared" si="1441"/>
        <v>TCGA-UCS</v>
      </c>
      <c r="D21891" s="1" t="s">
        <v>493</v>
      </c>
      <c r="E21891" t="s">
        <v>606</v>
      </c>
      <c r="F21891" s="1">
        <v>1</v>
      </c>
      <c r="G21891" s="1" t="s">
        <v>31</v>
      </c>
      <c r="H21891" s="4" t="str">
        <f>HYPERLINK("https://portal.gdc.cancer.gov/cases/f98c183e-aaa1-40c4-83e7-c248cc3adb55","TCGA-N6-A4VC-01A")</f>
        <v>TCGA-N6-A4VC-01A</v>
      </c>
      <c r="I21891" t="s">
        <v>444</v>
      </c>
      <c r="J21891" t="s">
        <v>604</v>
      </c>
      <c r="K21891" t="s">
        <v>19</v>
      </c>
      <c r="L21891" t="s">
        <v>600</v>
      </c>
      <c r="M21891" t="s">
        <v>41</v>
      </c>
      <c r="N21891" t="s">
        <v>29</v>
      </c>
    </row>
    <row r="21892" spans="1:14">
      <c r="A21892" s="4" t="str">
        <f t="shared" si="1442"/>
        <v>EXP00454</v>
      </c>
      <c r="B21892" s="3" t="s">
        <v>66</v>
      </c>
      <c r="C21892" s="4" t="str">
        <f t="shared" si="1441"/>
        <v>TCGA-UCS</v>
      </c>
      <c r="D21892" s="1" t="s">
        <v>493</v>
      </c>
      <c r="E21892" t="s">
        <v>606</v>
      </c>
      <c r="F21892" s="1">
        <v>1</v>
      </c>
      <c r="G21892" s="1" t="s">
        <v>31</v>
      </c>
      <c r="H21892" s="4" t="str">
        <f>HYPERLINK("https://portal.gdc.cancer.gov/cases/14213209-2217-4812-9a19-d9b2b6718467","TCGA-N6-A4VD-01A")</f>
        <v>TCGA-N6-A4VD-01A</v>
      </c>
      <c r="I21892" t="s">
        <v>444</v>
      </c>
      <c r="J21892" t="s">
        <v>604</v>
      </c>
      <c r="K21892" t="s">
        <v>19</v>
      </c>
      <c r="L21892" t="s">
        <v>600</v>
      </c>
      <c r="M21892" t="s">
        <v>44</v>
      </c>
      <c r="N21892" t="s">
        <v>29</v>
      </c>
    </row>
    <row r="21893" spans="1:14">
      <c r="A21893" s="4" t="str">
        <f t="shared" si="1442"/>
        <v>EXP00454</v>
      </c>
      <c r="B21893" s="3" t="s">
        <v>66</v>
      </c>
      <c r="C21893" s="4" t="str">
        <f t="shared" si="1441"/>
        <v>TCGA-UCS</v>
      </c>
      <c r="D21893" s="1" t="s">
        <v>493</v>
      </c>
      <c r="E21893" t="s">
        <v>606</v>
      </c>
      <c r="F21893" s="1">
        <v>1</v>
      </c>
      <c r="G21893" s="1" t="s">
        <v>31</v>
      </c>
      <c r="H21893" s="4" t="str">
        <f>HYPERLINK("https://portal.gdc.cancer.gov/cases/4f0124a6-4a5b-4e42-b9ff-d7de51d2148c","TCGA-N6-A4VE-01A")</f>
        <v>TCGA-N6-A4VE-01A</v>
      </c>
      <c r="I21893" t="s">
        <v>444</v>
      </c>
      <c r="J21893" t="s">
        <v>604</v>
      </c>
      <c r="K21893" t="s">
        <v>19</v>
      </c>
      <c r="L21893" t="s">
        <v>600</v>
      </c>
      <c r="M21893" t="s">
        <v>50</v>
      </c>
      <c r="N21893" t="s">
        <v>29</v>
      </c>
    </row>
    <row r="21894" spans="1:14">
      <c r="A21894" s="4" t="str">
        <f t="shared" si="1442"/>
        <v>EXP00454</v>
      </c>
      <c r="B21894" s="3" t="s">
        <v>66</v>
      </c>
      <c r="C21894" s="4" t="str">
        <f t="shared" si="1441"/>
        <v>TCGA-UCS</v>
      </c>
      <c r="D21894" s="1" t="s">
        <v>493</v>
      </c>
      <c r="E21894" t="s">
        <v>606</v>
      </c>
      <c r="F21894" s="1">
        <v>1</v>
      </c>
      <c r="G21894" s="1" t="s">
        <v>31</v>
      </c>
      <c r="H21894" s="4" t="str">
        <f>HYPERLINK("https://portal.gdc.cancer.gov/cases/8c8d4495-1a1d-4942-b0f0-1445fd05dfce","TCGA-N8-A4PI-01A")</f>
        <v>TCGA-N8-A4PI-01A</v>
      </c>
      <c r="I21894" t="s">
        <v>444</v>
      </c>
      <c r="J21894" t="s">
        <v>604</v>
      </c>
      <c r="K21894" t="s">
        <v>19</v>
      </c>
      <c r="L21894" t="s">
        <v>600</v>
      </c>
      <c r="M21894" t="s">
        <v>41</v>
      </c>
      <c r="N21894" t="s">
        <v>29</v>
      </c>
    </row>
    <row r="21895" spans="1:14">
      <c r="A21895" s="4" t="str">
        <f t="shared" si="1442"/>
        <v>EXP00454</v>
      </c>
      <c r="B21895" s="3" t="s">
        <v>66</v>
      </c>
      <c r="C21895" s="4" t="str">
        <f t="shared" si="1441"/>
        <v>TCGA-UCS</v>
      </c>
      <c r="D21895" s="1" t="s">
        <v>493</v>
      </c>
      <c r="E21895" t="s">
        <v>606</v>
      </c>
      <c r="F21895" s="1">
        <v>1</v>
      </c>
      <c r="G21895" s="1" t="s">
        <v>31</v>
      </c>
      <c r="H21895" s="4" t="str">
        <f>HYPERLINK("https://portal.gdc.cancer.gov/cases/8481dc3d-109a-4f2d-a0ad-8f0fd2a61a53","TCGA-N8-A4PL-01A")</f>
        <v>TCGA-N8-A4PL-01A</v>
      </c>
      <c r="I21895" t="s">
        <v>444</v>
      </c>
      <c r="J21895" t="s">
        <v>604</v>
      </c>
      <c r="K21895" t="s">
        <v>19</v>
      </c>
      <c r="L21895" t="s">
        <v>600</v>
      </c>
      <c r="M21895" t="s">
        <v>50</v>
      </c>
      <c r="N21895" t="s">
        <v>29</v>
      </c>
    </row>
    <row r="21896" spans="1:14">
      <c r="A21896" s="4" t="str">
        <f t="shared" si="1442"/>
        <v>EXP00454</v>
      </c>
      <c r="B21896" s="3" t="s">
        <v>66</v>
      </c>
      <c r="C21896" s="4" t="str">
        <f t="shared" si="1441"/>
        <v>TCGA-UCS</v>
      </c>
      <c r="D21896" s="1" t="s">
        <v>493</v>
      </c>
      <c r="E21896" t="s">
        <v>606</v>
      </c>
      <c r="F21896" s="1">
        <v>1</v>
      </c>
      <c r="G21896" s="1" t="s">
        <v>31</v>
      </c>
      <c r="H21896" s="4" t="str">
        <f>HYPERLINK("https://portal.gdc.cancer.gov/cases/2aad74b4-8d66-4563-8958-88d83f86556d","TCGA-N8-A4PO-01A")</f>
        <v>TCGA-N8-A4PO-01A</v>
      </c>
      <c r="I21896" t="s">
        <v>444</v>
      </c>
      <c r="J21896" t="s">
        <v>604</v>
      </c>
      <c r="K21896" t="s">
        <v>19</v>
      </c>
      <c r="L21896" t="s">
        <v>600</v>
      </c>
      <c r="M21896" t="s">
        <v>50</v>
      </c>
      <c r="N21896" t="s">
        <v>29</v>
      </c>
    </row>
    <row r="21897" spans="1:14">
      <c r="A21897" s="4" t="str">
        <f t="shared" si="1442"/>
        <v>EXP00454</v>
      </c>
      <c r="B21897" s="3" t="s">
        <v>66</v>
      </c>
      <c r="C21897" s="4" t="str">
        <f t="shared" si="1441"/>
        <v>TCGA-UCS</v>
      </c>
      <c r="D21897" s="1" t="s">
        <v>493</v>
      </c>
      <c r="E21897" t="s">
        <v>606</v>
      </c>
      <c r="F21897" s="1">
        <v>1</v>
      </c>
      <c r="G21897" s="1" t="s">
        <v>31</v>
      </c>
      <c r="H21897" s="4" t="str">
        <f>HYPERLINK("https://portal.gdc.cancer.gov/cases/a1206473-cf9d-4bca-97c9-67f35817b806","TCGA-N9-A4Q1-01A")</f>
        <v>TCGA-N9-A4Q1-01A</v>
      </c>
      <c r="I21897" t="s">
        <v>444</v>
      </c>
      <c r="J21897" t="s">
        <v>604</v>
      </c>
      <c r="K21897" t="s">
        <v>19</v>
      </c>
      <c r="L21897" t="s">
        <v>600</v>
      </c>
      <c r="M21897" t="s">
        <v>521</v>
      </c>
      <c r="N21897" t="s">
        <v>29</v>
      </c>
    </row>
    <row r="21898" spans="1:14">
      <c r="A21898" s="4" t="str">
        <f t="shared" si="1442"/>
        <v>EXP00454</v>
      </c>
      <c r="B21898" s="3" t="s">
        <v>66</v>
      </c>
      <c r="C21898" s="4" t="str">
        <f t="shared" si="1441"/>
        <v>TCGA-UCS</v>
      </c>
      <c r="D21898" s="1" t="s">
        <v>493</v>
      </c>
      <c r="E21898" t="s">
        <v>606</v>
      </c>
      <c r="F21898" s="1">
        <v>1</v>
      </c>
      <c r="G21898" s="1" t="s">
        <v>31</v>
      </c>
      <c r="H21898" s="4" t="str">
        <f>HYPERLINK("https://portal.gdc.cancer.gov/cases/83059a0f-4de9-454c-8e51-9265ab5f3558","TCGA-N9-A4Q3-01A")</f>
        <v>TCGA-N9-A4Q3-01A</v>
      </c>
      <c r="I21898" t="s">
        <v>444</v>
      </c>
      <c r="J21898" t="s">
        <v>604</v>
      </c>
      <c r="K21898" t="s">
        <v>19</v>
      </c>
      <c r="L21898" t="s">
        <v>600</v>
      </c>
      <c r="M21898" t="s">
        <v>607</v>
      </c>
      <c r="N21898" t="s">
        <v>29</v>
      </c>
    </row>
    <row r="21899" spans="1:14">
      <c r="A21899" s="4" t="str">
        <f t="shared" si="1442"/>
        <v>EXP00454</v>
      </c>
      <c r="B21899" s="3" t="s">
        <v>66</v>
      </c>
      <c r="C21899" s="4" t="str">
        <f t="shared" si="1441"/>
        <v>TCGA-UCS</v>
      </c>
      <c r="D21899" s="1" t="s">
        <v>493</v>
      </c>
      <c r="E21899" t="s">
        <v>606</v>
      </c>
      <c r="F21899" s="1">
        <v>1</v>
      </c>
      <c r="G21899" s="1" t="s">
        <v>31</v>
      </c>
      <c r="H21899" s="4" t="str">
        <f>HYPERLINK("https://portal.gdc.cancer.gov/cases/79823022-7feb-49de-8de7-607721b595d2","TCGA-NA-A4QX-01A")</f>
        <v>TCGA-NA-A4QX-01A</v>
      </c>
      <c r="I21899" t="s">
        <v>444</v>
      </c>
      <c r="J21899" t="s">
        <v>604</v>
      </c>
      <c r="K21899" t="s">
        <v>19</v>
      </c>
      <c r="L21899" t="s">
        <v>600</v>
      </c>
      <c r="M21899" t="s">
        <v>209</v>
      </c>
      <c r="N21899" t="s">
        <v>29</v>
      </c>
    </row>
    <row r="21900" spans="1:14">
      <c r="A21900" s="4" t="str">
        <f t="shared" si="1442"/>
        <v>EXP00454</v>
      </c>
      <c r="B21900" s="3" t="s">
        <v>66</v>
      </c>
      <c r="C21900" s="4" t="str">
        <f t="shared" si="1441"/>
        <v>TCGA-UCS</v>
      </c>
      <c r="D21900" s="1" t="s">
        <v>493</v>
      </c>
      <c r="E21900" t="s">
        <v>606</v>
      </c>
      <c r="F21900" s="1">
        <v>1</v>
      </c>
      <c r="G21900" s="1" t="s">
        <v>31</v>
      </c>
      <c r="H21900" s="4" t="str">
        <f>HYPERLINK("https://portal.gdc.cancer.gov/cases/3428aa0a-127d-492a-bf4a-ee82563d3701","TCGA-NA-A5I1-01A")</f>
        <v>TCGA-NA-A5I1-01A</v>
      </c>
      <c r="I21900" t="s">
        <v>444</v>
      </c>
      <c r="J21900" t="s">
        <v>604</v>
      </c>
      <c r="K21900" t="s">
        <v>19</v>
      </c>
      <c r="L21900" t="s">
        <v>600</v>
      </c>
      <c r="M21900" t="s">
        <v>47</v>
      </c>
      <c r="N21900" t="s">
        <v>29</v>
      </c>
    </row>
    <row r="21901" spans="1:14">
      <c r="A21901" s="4" t="str">
        <f t="shared" si="1442"/>
        <v>EXP00454</v>
      </c>
      <c r="B21901" s="3" t="s">
        <v>66</v>
      </c>
      <c r="C21901" s="4" t="str">
        <f t="shared" si="1441"/>
        <v>TCGA-UCS</v>
      </c>
      <c r="D21901" s="1" t="s">
        <v>493</v>
      </c>
      <c r="E21901" t="s">
        <v>606</v>
      </c>
      <c r="F21901" s="1">
        <v>1</v>
      </c>
      <c r="G21901" s="1" t="s">
        <v>31</v>
      </c>
      <c r="H21901" s="4" t="str">
        <f>HYPERLINK("https://portal.gdc.cancer.gov/cases/82c37e7c-0899-497e-9753-84da21f8e0fe","TCGA-NG-A4VW-01A")</f>
        <v>TCGA-NG-A4VW-01A</v>
      </c>
      <c r="I21901" t="s">
        <v>444</v>
      </c>
      <c r="J21901" t="s">
        <v>604</v>
      </c>
      <c r="K21901" t="s">
        <v>19</v>
      </c>
      <c r="L21901" t="s">
        <v>600</v>
      </c>
      <c r="M21901" t="s">
        <v>41</v>
      </c>
      <c r="N21901" t="s">
        <v>29</v>
      </c>
    </row>
    <row r="21902" spans="1:14">
      <c r="A21902" s="4" t="str">
        <f t="shared" si="1442"/>
        <v>EXP00454</v>
      </c>
      <c r="B21902" s="3" t="s">
        <v>66</v>
      </c>
      <c r="C21902" s="4" t="str">
        <f t="shared" si="1441"/>
        <v>TCGA-UCS</v>
      </c>
      <c r="D21902" s="1" t="s">
        <v>493</v>
      </c>
      <c r="E21902" t="s">
        <v>606</v>
      </c>
      <c r="F21902" s="1">
        <v>2</v>
      </c>
      <c r="G21902" s="1" t="s">
        <v>32</v>
      </c>
      <c r="H21902" s="4" t="str">
        <f>HYPERLINK("https://portal.gdc.cancer.gov/cases/8c113bc1-101b-405f-9eb1-8c9e8ebbe185","TCGA-N5-A4R8-01A")</f>
        <v>TCGA-N5-A4R8-01A</v>
      </c>
      <c r="I21902" t="s">
        <v>444</v>
      </c>
      <c r="J21902" t="s">
        <v>604</v>
      </c>
      <c r="K21902" t="s">
        <v>33</v>
      </c>
      <c r="L21902" t="s">
        <v>600</v>
      </c>
      <c r="N21902" t="s">
        <v>29</v>
      </c>
    </row>
    <row r="21903" spans="1:14">
      <c r="A21903" s="4" t="str">
        <f t="shared" si="1442"/>
        <v>EXP00454</v>
      </c>
      <c r="B21903" s="3" t="s">
        <v>66</v>
      </c>
      <c r="C21903" s="4" t="str">
        <f t="shared" si="1441"/>
        <v>TCGA-UCS</v>
      </c>
      <c r="D21903" s="1" t="s">
        <v>493</v>
      </c>
      <c r="E21903" t="s">
        <v>606</v>
      </c>
      <c r="F21903" s="1">
        <v>2</v>
      </c>
      <c r="G21903" s="1" t="s">
        <v>32</v>
      </c>
      <c r="H21903" s="4" t="str">
        <f>HYPERLINK("https://portal.gdc.cancer.gov/cases/2aa77a19-efde-478a-a113-c0af75708b31","TCGA-N5-A4RA-01A")</f>
        <v>TCGA-N5-A4RA-01A</v>
      </c>
      <c r="I21903" t="s">
        <v>444</v>
      </c>
      <c r="J21903" t="s">
        <v>604</v>
      </c>
      <c r="K21903" t="s">
        <v>33</v>
      </c>
      <c r="L21903" t="s">
        <v>600</v>
      </c>
      <c r="N21903" t="s">
        <v>29</v>
      </c>
    </row>
    <row r="21904" spans="1:14">
      <c r="A21904" s="4" t="str">
        <f t="shared" si="1442"/>
        <v>EXP00454</v>
      </c>
      <c r="B21904" s="3" t="s">
        <v>66</v>
      </c>
      <c r="C21904" s="4" t="str">
        <f t="shared" si="1441"/>
        <v>TCGA-UCS</v>
      </c>
      <c r="D21904" s="1" t="s">
        <v>493</v>
      </c>
      <c r="E21904" t="s">
        <v>606</v>
      </c>
      <c r="F21904" s="1">
        <v>2</v>
      </c>
      <c r="G21904" s="1" t="s">
        <v>32</v>
      </c>
      <c r="H21904" s="4" t="str">
        <f>HYPERLINK("https://portal.gdc.cancer.gov/cases/d9952e44-b573-4854-893e-b3bbc5287f2f","TCGA-N5-A4RD-01A")</f>
        <v>TCGA-N5-A4RD-01A</v>
      </c>
      <c r="I21904" t="s">
        <v>444</v>
      </c>
      <c r="J21904" t="s">
        <v>604</v>
      </c>
      <c r="K21904" t="s">
        <v>33</v>
      </c>
      <c r="L21904" t="s">
        <v>600</v>
      </c>
      <c r="N21904" t="s">
        <v>29</v>
      </c>
    </row>
    <row r="21905" spans="1:14">
      <c r="A21905" s="4" t="str">
        <f t="shared" si="1442"/>
        <v>EXP00454</v>
      </c>
      <c r="B21905" s="3" t="s">
        <v>66</v>
      </c>
      <c r="C21905" s="4" t="str">
        <f t="shared" si="1441"/>
        <v>TCGA-UCS</v>
      </c>
      <c r="D21905" s="1" t="s">
        <v>493</v>
      </c>
      <c r="E21905" t="s">
        <v>606</v>
      </c>
      <c r="F21905" s="1">
        <v>2</v>
      </c>
      <c r="G21905" s="1" t="s">
        <v>32</v>
      </c>
      <c r="H21905" s="4" t="str">
        <f>HYPERLINK("https://portal.gdc.cancer.gov/cases/ee6083aa-9453-44ff-8cc5-79b71fea289d","TCGA-N5-A4RF-01A")</f>
        <v>TCGA-N5-A4RF-01A</v>
      </c>
      <c r="I21905" t="s">
        <v>444</v>
      </c>
      <c r="J21905" t="s">
        <v>604</v>
      </c>
      <c r="K21905" t="s">
        <v>33</v>
      </c>
      <c r="L21905" t="s">
        <v>600</v>
      </c>
      <c r="N21905" t="s">
        <v>29</v>
      </c>
    </row>
    <row r="21906" spans="1:14">
      <c r="A21906" s="4" t="str">
        <f t="shared" si="1442"/>
        <v>EXP00454</v>
      </c>
      <c r="B21906" s="3" t="s">
        <v>66</v>
      </c>
      <c r="C21906" s="4" t="str">
        <f t="shared" si="1441"/>
        <v>TCGA-UCS</v>
      </c>
      <c r="D21906" s="1" t="s">
        <v>493</v>
      </c>
      <c r="E21906" t="s">
        <v>606</v>
      </c>
      <c r="F21906" s="1">
        <v>2</v>
      </c>
      <c r="G21906" s="1" t="s">
        <v>32</v>
      </c>
      <c r="H21906" s="4" t="str">
        <f>HYPERLINK("https://portal.gdc.cancer.gov/cases/254f6921-82ac-4fe1-b1b4-ace94c420d05","TCGA-N5-A4RM-01A")</f>
        <v>TCGA-N5-A4RM-01A</v>
      </c>
      <c r="I21906" t="s">
        <v>444</v>
      </c>
      <c r="J21906" t="s">
        <v>604</v>
      </c>
      <c r="K21906" t="s">
        <v>33</v>
      </c>
      <c r="L21906" t="s">
        <v>600</v>
      </c>
      <c r="N21906" t="s">
        <v>29</v>
      </c>
    </row>
    <row r="21907" spans="1:14">
      <c r="A21907" s="4" t="str">
        <f t="shared" si="1442"/>
        <v>EXP00454</v>
      </c>
      <c r="B21907" s="3" t="s">
        <v>66</v>
      </c>
      <c r="C21907" s="4" t="str">
        <f t="shared" si="1441"/>
        <v>TCGA-UCS</v>
      </c>
      <c r="D21907" s="1" t="s">
        <v>493</v>
      </c>
      <c r="E21907" t="s">
        <v>606</v>
      </c>
      <c r="F21907" s="1">
        <v>2</v>
      </c>
      <c r="G21907" s="1" t="s">
        <v>32</v>
      </c>
      <c r="H21907" s="4" t="str">
        <f>HYPERLINK("https://portal.gdc.cancer.gov/cases/1d2937e8-6104-4330-b7dc-7bcd79dac927","TCGA-N5-A4RN-01A")</f>
        <v>TCGA-N5-A4RN-01A</v>
      </c>
      <c r="I21907" t="s">
        <v>444</v>
      </c>
      <c r="J21907" t="s">
        <v>604</v>
      </c>
      <c r="K21907" t="s">
        <v>33</v>
      </c>
      <c r="L21907" t="s">
        <v>600</v>
      </c>
      <c r="N21907" t="s">
        <v>29</v>
      </c>
    </row>
    <row r="21908" spans="1:14">
      <c r="A21908" s="4" t="str">
        <f t="shared" si="1442"/>
        <v>EXP00454</v>
      </c>
      <c r="B21908" s="3" t="s">
        <v>66</v>
      </c>
      <c r="C21908" s="4" t="str">
        <f t="shared" si="1441"/>
        <v>TCGA-UCS</v>
      </c>
      <c r="D21908" s="1" t="s">
        <v>493</v>
      </c>
      <c r="E21908" t="s">
        <v>606</v>
      </c>
      <c r="F21908" s="1">
        <v>2</v>
      </c>
      <c r="G21908" s="1" t="s">
        <v>32</v>
      </c>
      <c r="H21908" s="4" t="str">
        <f>HYPERLINK("https://portal.gdc.cancer.gov/cases/4f4906dc-7ebd-47f1-a8f5-b35d3950e740","TCGA-N5-A4RO-01A")</f>
        <v>TCGA-N5-A4RO-01A</v>
      </c>
      <c r="I21908" t="s">
        <v>444</v>
      </c>
      <c r="J21908" t="s">
        <v>604</v>
      </c>
      <c r="K21908" t="s">
        <v>33</v>
      </c>
      <c r="L21908" t="s">
        <v>600</v>
      </c>
      <c r="N21908" t="s">
        <v>29</v>
      </c>
    </row>
    <row r="21909" spans="1:14">
      <c r="A21909" s="4" t="str">
        <f t="shared" si="1442"/>
        <v>EXP00454</v>
      </c>
      <c r="B21909" s="3" t="s">
        <v>66</v>
      </c>
      <c r="C21909" s="4" t="str">
        <f t="shared" si="1441"/>
        <v>TCGA-UCS</v>
      </c>
      <c r="D21909" s="1" t="s">
        <v>493</v>
      </c>
      <c r="E21909" t="s">
        <v>606</v>
      </c>
      <c r="F21909" s="1">
        <v>2</v>
      </c>
      <c r="G21909" s="1" t="s">
        <v>32</v>
      </c>
      <c r="H21909" s="4" t="str">
        <f>HYPERLINK("https://portal.gdc.cancer.gov/cases/1791e250-70ac-439c-828b-15ba811935cc","TCGA-N5-A4RT-01A")</f>
        <v>TCGA-N5-A4RT-01A</v>
      </c>
      <c r="I21909" t="s">
        <v>444</v>
      </c>
      <c r="J21909" t="s">
        <v>604</v>
      </c>
      <c r="K21909" t="s">
        <v>33</v>
      </c>
      <c r="L21909" t="s">
        <v>600</v>
      </c>
      <c r="N21909" t="s">
        <v>29</v>
      </c>
    </row>
    <row r="21910" spans="1:14">
      <c r="A21910" s="4" t="str">
        <f t="shared" si="1442"/>
        <v>EXP00454</v>
      </c>
      <c r="B21910" s="3" t="s">
        <v>66</v>
      </c>
      <c r="C21910" s="4" t="str">
        <f t="shared" si="1441"/>
        <v>TCGA-UCS</v>
      </c>
      <c r="D21910" s="1" t="s">
        <v>493</v>
      </c>
      <c r="E21910" t="s">
        <v>606</v>
      </c>
      <c r="F21910" s="1">
        <v>2</v>
      </c>
      <c r="G21910" s="1" t="s">
        <v>32</v>
      </c>
      <c r="H21910" s="4" t="str">
        <f>HYPERLINK("https://portal.gdc.cancer.gov/cases/37c77a51-efce-46bd-ab8c-93e17c04c6ac","TCGA-N5-A4RU-01A")</f>
        <v>TCGA-N5-A4RU-01A</v>
      </c>
      <c r="I21910" t="s">
        <v>444</v>
      </c>
      <c r="J21910" t="s">
        <v>604</v>
      </c>
      <c r="K21910" t="s">
        <v>33</v>
      </c>
      <c r="L21910" t="s">
        <v>600</v>
      </c>
      <c r="N21910" t="s">
        <v>29</v>
      </c>
    </row>
    <row r="21911" spans="1:14">
      <c r="A21911" s="4" t="str">
        <f t="shared" si="1442"/>
        <v>EXP00454</v>
      </c>
      <c r="B21911" s="3" t="s">
        <v>66</v>
      </c>
      <c r="C21911" s="4" t="str">
        <f t="shared" si="1441"/>
        <v>TCGA-UCS</v>
      </c>
      <c r="D21911" s="1" t="s">
        <v>493</v>
      </c>
      <c r="E21911" t="s">
        <v>606</v>
      </c>
      <c r="F21911" s="1">
        <v>2</v>
      </c>
      <c r="G21911" s="1" t="s">
        <v>32</v>
      </c>
      <c r="H21911" s="4" t="str">
        <f>HYPERLINK("https://portal.gdc.cancer.gov/cases/3af5b391-e72f-463d-a086-a86c6c30a51a","TCGA-N5-A4RV-01A")</f>
        <v>TCGA-N5-A4RV-01A</v>
      </c>
      <c r="I21911" t="s">
        <v>444</v>
      </c>
      <c r="J21911" t="s">
        <v>604</v>
      </c>
      <c r="K21911" t="s">
        <v>33</v>
      </c>
      <c r="L21911" t="s">
        <v>600</v>
      </c>
      <c r="N21911" t="s">
        <v>29</v>
      </c>
    </row>
    <row r="21912" spans="1:14">
      <c r="A21912" s="4" t="str">
        <f t="shared" si="1442"/>
        <v>EXP00454</v>
      </c>
      <c r="B21912" s="3" t="s">
        <v>66</v>
      </c>
      <c r="C21912" s="4" t="str">
        <f t="shared" si="1441"/>
        <v>TCGA-UCS</v>
      </c>
      <c r="D21912" s="1" t="s">
        <v>493</v>
      </c>
      <c r="E21912" t="s">
        <v>606</v>
      </c>
      <c r="F21912" s="1">
        <v>2</v>
      </c>
      <c r="G21912" s="1" t="s">
        <v>32</v>
      </c>
      <c r="H21912" s="4" t="str">
        <f>HYPERLINK("https://portal.gdc.cancer.gov/cases/9205fbf2-f4ba-475c-8351-1aae5ff3b8bf","TCGA-N5-A59E-01A")</f>
        <v>TCGA-N5-A59E-01A</v>
      </c>
      <c r="I21912" t="s">
        <v>444</v>
      </c>
      <c r="J21912" t="s">
        <v>604</v>
      </c>
      <c r="K21912" t="s">
        <v>33</v>
      </c>
      <c r="L21912" t="s">
        <v>600</v>
      </c>
      <c r="N21912" t="s">
        <v>29</v>
      </c>
    </row>
    <row r="21913" spans="1:14">
      <c r="A21913" s="4" t="str">
        <f t="shared" si="1442"/>
        <v>EXP00454</v>
      </c>
      <c r="B21913" s="3" t="s">
        <v>66</v>
      </c>
      <c r="C21913" s="4" t="str">
        <f t="shared" si="1441"/>
        <v>TCGA-UCS</v>
      </c>
      <c r="D21913" s="1" t="s">
        <v>493</v>
      </c>
      <c r="E21913" t="s">
        <v>606</v>
      </c>
      <c r="F21913" s="1">
        <v>2</v>
      </c>
      <c r="G21913" s="1" t="s">
        <v>32</v>
      </c>
      <c r="H21913" s="4" t="str">
        <f>HYPERLINK("https://portal.gdc.cancer.gov/cases/158fd4c2-68dc-4ca4-8130-d5589c80d825","TCGA-N5-A59F-01A")</f>
        <v>TCGA-N5-A59F-01A</v>
      </c>
      <c r="I21913" t="s">
        <v>444</v>
      </c>
      <c r="J21913" t="s">
        <v>604</v>
      </c>
      <c r="K21913" t="s">
        <v>33</v>
      </c>
      <c r="L21913" t="s">
        <v>600</v>
      </c>
      <c r="N21913" t="s">
        <v>29</v>
      </c>
    </row>
    <row r="21914" spans="1:14">
      <c r="A21914" s="4" t="str">
        <f t="shared" si="1442"/>
        <v>EXP00454</v>
      </c>
      <c r="B21914" s="3" t="s">
        <v>66</v>
      </c>
      <c r="C21914" s="4" t="str">
        <f t="shared" si="1441"/>
        <v>TCGA-UCS</v>
      </c>
      <c r="D21914" s="1" t="s">
        <v>493</v>
      </c>
      <c r="E21914" t="s">
        <v>606</v>
      </c>
      <c r="F21914" s="1">
        <v>2</v>
      </c>
      <c r="G21914" s="1" t="s">
        <v>32</v>
      </c>
      <c r="H21914" s="4" t="str">
        <f>HYPERLINK("https://portal.gdc.cancer.gov/cases/75a43851-8fa0-4259-b843-88dc6fbce270","TCGA-N6-A4V9-01A")</f>
        <v>TCGA-N6-A4V9-01A</v>
      </c>
      <c r="I21914" t="s">
        <v>444</v>
      </c>
      <c r="J21914" t="s">
        <v>604</v>
      </c>
      <c r="K21914" t="s">
        <v>33</v>
      </c>
      <c r="L21914" t="s">
        <v>600</v>
      </c>
      <c r="N21914" t="s">
        <v>29</v>
      </c>
    </row>
    <row r="21915" spans="1:14">
      <c r="A21915" s="4" t="str">
        <f t="shared" si="1442"/>
        <v>EXP00454</v>
      </c>
      <c r="B21915" s="3" t="s">
        <v>66</v>
      </c>
      <c r="C21915" s="4" t="str">
        <f t="shared" ref="C21915:C21944" si="1443">HYPERLINK("https://portal.gdc.cancer.gov/projects/TCGA-UCS","TCGA-UCS")</f>
        <v>TCGA-UCS</v>
      </c>
      <c r="D21915" s="1" t="s">
        <v>493</v>
      </c>
      <c r="E21915" t="s">
        <v>606</v>
      </c>
      <c r="F21915" s="1">
        <v>2</v>
      </c>
      <c r="G21915" s="1" t="s">
        <v>32</v>
      </c>
      <c r="H21915" s="4" t="str">
        <f>HYPERLINK("https://portal.gdc.cancer.gov/cases/6dfe9121-29a0-4593-984f-1644166e1d39","TCGA-N6-A4VF-01A")</f>
        <v>TCGA-N6-A4VF-01A</v>
      </c>
      <c r="I21915" t="s">
        <v>444</v>
      </c>
      <c r="J21915" t="s">
        <v>604</v>
      </c>
      <c r="K21915" t="s">
        <v>33</v>
      </c>
      <c r="L21915" t="s">
        <v>600</v>
      </c>
      <c r="N21915" t="s">
        <v>29</v>
      </c>
    </row>
    <row r="21916" spans="1:14">
      <c r="A21916" s="4" t="str">
        <f t="shared" si="1442"/>
        <v>EXP00454</v>
      </c>
      <c r="B21916" s="3" t="s">
        <v>66</v>
      </c>
      <c r="C21916" s="4" t="str">
        <f t="shared" si="1443"/>
        <v>TCGA-UCS</v>
      </c>
      <c r="D21916" s="1" t="s">
        <v>493</v>
      </c>
      <c r="E21916" t="s">
        <v>606</v>
      </c>
      <c r="F21916" s="1">
        <v>2</v>
      </c>
      <c r="G21916" s="1" t="s">
        <v>32</v>
      </c>
      <c r="H21916" s="4" t="str">
        <f>HYPERLINK("https://portal.gdc.cancer.gov/cases/ae10b73d-e7f4-4334-8452-167b60d71cb5","TCGA-N6-A4VG-01A")</f>
        <v>TCGA-N6-A4VG-01A</v>
      </c>
      <c r="I21916" t="s">
        <v>444</v>
      </c>
      <c r="J21916" t="s">
        <v>604</v>
      </c>
      <c r="K21916" t="s">
        <v>33</v>
      </c>
      <c r="L21916" t="s">
        <v>600</v>
      </c>
      <c r="N21916" t="s">
        <v>29</v>
      </c>
    </row>
    <row r="21917" spans="1:14">
      <c r="A21917" s="4" t="str">
        <f t="shared" si="1442"/>
        <v>EXP00454</v>
      </c>
      <c r="B21917" s="3" t="s">
        <v>66</v>
      </c>
      <c r="C21917" s="4" t="str">
        <f t="shared" si="1443"/>
        <v>TCGA-UCS</v>
      </c>
      <c r="D21917" s="1" t="s">
        <v>493</v>
      </c>
      <c r="E21917" t="s">
        <v>606</v>
      </c>
      <c r="F21917" s="1">
        <v>2</v>
      </c>
      <c r="G21917" s="1" t="s">
        <v>32</v>
      </c>
      <c r="H21917" s="4" t="str">
        <f>HYPERLINK("https://portal.gdc.cancer.gov/cases/b0770eff-dff2-4e10-8fc9-c07a81efcc5e","TCGA-N7-A4Y0-01A")</f>
        <v>TCGA-N7-A4Y0-01A</v>
      </c>
      <c r="I21917" t="s">
        <v>444</v>
      </c>
      <c r="J21917" t="s">
        <v>604</v>
      </c>
      <c r="K21917" t="s">
        <v>33</v>
      </c>
      <c r="L21917" t="s">
        <v>600</v>
      </c>
      <c r="N21917" t="s">
        <v>29</v>
      </c>
    </row>
    <row r="21918" spans="1:14">
      <c r="A21918" s="4" t="str">
        <f t="shared" si="1442"/>
        <v>EXP00454</v>
      </c>
      <c r="B21918" s="3" t="s">
        <v>66</v>
      </c>
      <c r="C21918" s="4" t="str">
        <f t="shared" si="1443"/>
        <v>TCGA-UCS</v>
      </c>
      <c r="D21918" s="1" t="s">
        <v>493</v>
      </c>
      <c r="E21918" t="s">
        <v>606</v>
      </c>
      <c r="F21918" s="1">
        <v>2</v>
      </c>
      <c r="G21918" s="1" t="s">
        <v>32</v>
      </c>
      <c r="H21918" s="4" t="str">
        <f>HYPERLINK("https://portal.gdc.cancer.gov/cases/245e4254-dbc1-45bd-b5df-504d8c3822de","TCGA-N7-A4Y5-01A")</f>
        <v>TCGA-N7-A4Y5-01A</v>
      </c>
      <c r="I21918" t="s">
        <v>444</v>
      </c>
      <c r="J21918" t="s">
        <v>604</v>
      </c>
      <c r="K21918" t="s">
        <v>33</v>
      </c>
      <c r="L21918" t="s">
        <v>600</v>
      </c>
      <c r="N21918" t="s">
        <v>29</v>
      </c>
    </row>
    <row r="21919" spans="1:14">
      <c r="A21919" s="4" t="str">
        <f t="shared" si="1442"/>
        <v>EXP00454</v>
      </c>
      <c r="B21919" s="3" t="s">
        <v>66</v>
      </c>
      <c r="C21919" s="4" t="str">
        <f t="shared" si="1443"/>
        <v>TCGA-UCS</v>
      </c>
      <c r="D21919" s="1" t="s">
        <v>493</v>
      </c>
      <c r="E21919" t="s">
        <v>606</v>
      </c>
      <c r="F21919" s="1">
        <v>2</v>
      </c>
      <c r="G21919" s="1" t="s">
        <v>32</v>
      </c>
      <c r="H21919" s="4" t="str">
        <f>HYPERLINK("https://portal.gdc.cancer.gov/cases/8703c5c3-d519-4d78-a5f6-2ef53fca277a","TCGA-N7-A4Y8-01A")</f>
        <v>TCGA-N7-A4Y8-01A</v>
      </c>
      <c r="I21919" t="s">
        <v>444</v>
      </c>
      <c r="J21919" t="s">
        <v>604</v>
      </c>
      <c r="K21919" t="s">
        <v>33</v>
      </c>
      <c r="L21919" t="s">
        <v>600</v>
      </c>
      <c r="N21919" t="s">
        <v>29</v>
      </c>
    </row>
    <row r="21920" spans="1:14">
      <c r="A21920" s="4" t="str">
        <f t="shared" si="1442"/>
        <v>EXP00454</v>
      </c>
      <c r="B21920" s="3" t="s">
        <v>66</v>
      </c>
      <c r="C21920" s="4" t="str">
        <f t="shared" si="1443"/>
        <v>TCGA-UCS</v>
      </c>
      <c r="D21920" s="1" t="s">
        <v>493</v>
      </c>
      <c r="E21920" t="s">
        <v>606</v>
      </c>
      <c r="F21920" s="1">
        <v>2</v>
      </c>
      <c r="G21920" s="1" t="s">
        <v>32</v>
      </c>
      <c r="H21920" s="4" t="str">
        <f>HYPERLINK("https://portal.gdc.cancer.gov/cases/200f77a5-803c-4891-980b-5c3b08c91254","TCGA-N7-A59B-01A")</f>
        <v>TCGA-N7-A59B-01A</v>
      </c>
      <c r="I21920" t="s">
        <v>444</v>
      </c>
      <c r="J21920" t="s">
        <v>604</v>
      </c>
      <c r="K21920" t="s">
        <v>33</v>
      </c>
      <c r="L21920" t="s">
        <v>600</v>
      </c>
      <c r="N21920" t="s">
        <v>29</v>
      </c>
    </row>
    <row r="21921" spans="1:14">
      <c r="A21921" s="4" t="str">
        <f t="shared" ref="A21921:A21944" si="1444">HYPERLINK("http://hcmdb.i-sanger.com/experiment/details/experiment_id/EXP00454","EXP00454")</f>
        <v>EXP00454</v>
      </c>
      <c r="B21921" s="3" t="s">
        <v>66</v>
      </c>
      <c r="C21921" s="4" t="str">
        <f t="shared" si="1443"/>
        <v>TCGA-UCS</v>
      </c>
      <c r="D21921" s="1" t="s">
        <v>493</v>
      </c>
      <c r="E21921" t="s">
        <v>606</v>
      </c>
      <c r="F21921" s="1">
        <v>2</v>
      </c>
      <c r="G21921" s="1" t="s">
        <v>32</v>
      </c>
      <c r="H21921" s="4" t="str">
        <f>HYPERLINK("https://portal.gdc.cancer.gov/cases/eec002c4-7602-4179-8eb3-2b0508d5ee1c","TCGA-N8-A4PM-01A")</f>
        <v>TCGA-N8-A4PM-01A</v>
      </c>
      <c r="I21921" t="s">
        <v>444</v>
      </c>
      <c r="J21921" t="s">
        <v>604</v>
      </c>
      <c r="K21921" t="s">
        <v>33</v>
      </c>
      <c r="L21921" t="s">
        <v>600</v>
      </c>
      <c r="N21921" t="s">
        <v>29</v>
      </c>
    </row>
    <row r="21922" spans="1:14">
      <c r="A21922" s="4" t="str">
        <f t="shared" si="1444"/>
        <v>EXP00454</v>
      </c>
      <c r="B21922" s="3" t="s">
        <v>66</v>
      </c>
      <c r="C21922" s="4" t="str">
        <f t="shared" si="1443"/>
        <v>TCGA-UCS</v>
      </c>
      <c r="D21922" s="1" t="s">
        <v>493</v>
      </c>
      <c r="E21922" t="s">
        <v>606</v>
      </c>
      <c r="F21922" s="1">
        <v>2</v>
      </c>
      <c r="G21922" s="1" t="s">
        <v>32</v>
      </c>
      <c r="H21922" s="4" t="str">
        <f>HYPERLINK("https://portal.gdc.cancer.gov/cases/8b7c42cd-fc2a-4023-843e-a411821f94ff","TCGA-N8-A4PN-01A")</f>
        <v>TCGA-N8-A4PN-01A</v>
      </c>
      <c r="I21922" t="s">
        <v>444</v>
      </c>
      <c r="J21922" t="s">
        <v>604</v>
      </c>
      <c r="K21922" t="s">
        <v>33</v>
      </c>
      <c r="L21922" t="s">
        <v>600</v>
      </c>
      <c r="N21922" t="s">
        <v>29</v>
      </c>
    </row>
    <row r="21923" spans="1:14">
      <c r="A21923" s="4" t="str">
        <f t="shared" si="1444"/>
        <v>EXP00454</v>
      </c>
      <c r="B21923" s="3" t="s">
        <v>66</v>
      </c>
      <c r="C21923" s="4" t="str">
        <f t="shared" si="1443"/>
        <v>TCGA-UCS</v>
      </c>
      <c r="D21923" s="1" t="s">
        <v>493</v>
      </c>
      <c r="E21923" t="s">
        <v>606</v>
      </c>
      <c r="F21923" s="1">
        <v>2</v>
      </c>
      <c r="G21923" s="1" t="s">
        <v>32</v>
      </c>
      <c r="H21923" s="4" t="str">
        <f>HYPERLINK("https://portal.gdc.cancer.gov/cases/ebb834c6-374e-4077-a4ce-c74a850be358","TCGA-N8-A4PP-01A")</f>
        <v>TCGA-N8-A4PP-01A</v>
      </c>
      <c r="I21923" t="s">
        <v>444</v>
      </c>
      <c r="J21923" t="s">
        <v>604</v>
      </c>
      <c r="K21923" t="s">
        <v>33</v>
      </c>
      <c r="L21923" t="s">
        <v>600</v>
      </c>
      <c r="N21923" t="s">
        <v>29</v>
      </c>
    </row>
    <row r="21924" spans="1:14">
      <c r="A21924" s="4" t="str">
        <f t="shared" si="1444"/>
        <v>EXP00454</v>
      </c>
      <c r="B21924" s="3" t="s">
        <v>66</v>
      </c>
      <c r="C21924" s="4" t="str">
        <f t="shared" si="1443"/>
        <v>TCGA-UCS</v>
      </c>
      <c r="D21924" s="1" t="s">
        <v>493</v>
      </c>
      <c r="E21924" t="s">
        <v>606</v>
      </c>
      <c r="F21924" s="1">
        <v>2</v>
      </c>
      <c r="G21924" s="1" t="s">
        <v>32</v>
      </c>
      <c r="H21924" s="4" t="str">
        <f>HYPERLINK("https://portal.gdc.cancer.gov/cases/51f6692d-a05b-474b-ba99-637c8bc49b30","TCGA-N8-A4PQ-01A")</f>
        <v>TCGA-N8-A4PQ-01A</v>
      </c>
      <c r="I21924" t="s">
        <v>444</v>
      </c>
      <c r="J21924" t="s">
        <v>604</v>
      </c>
      <c r="K21924" t="s">
        <v>33</v>
      </c>
      <c r="L21924" t="s">
        <v>600</v>
      </c>
      <c r="N21924" t="s">
        <v>29</v>
      </c>
    </row>
    <row r="21925" spans="1:14">
      <c r="A21925" s="4" t="str">
        <f t="shared" si="1444"/>
        <v>EXP00454</v>
      </c>
      <c r="B21925" s="3" t="s">
        <v>66</v>
      </c>
      <c r="C21925" s="4" t="str">
        <f t="shared" si="1443"/>
        <v>TCGA-UCS</v>
      </c>
      <c r="D21925" s="1" t="s">
        <v>493</v>
      </c>
      <c r="E21925" t="s">
        <v>606</v>
      </c>
      <c r="F21925" s="1">
        <v>2</v>
      </c>
      <c r="G21925" s="1" t="s">
        <v>32</v>
      </c>
      <c r="H21925" s="4" t="str">
        <f>HYPERLINK("https://portal.gdc.cancer.gov/cases/33ad8d6e-10f4-4965-9721-1a9984f9e87d","TCGA-N8-A56S-01A")</f>
        <v>TCGA-N8-A56S-01A</v>
      </c>
      <c r="I21925" t="s">
        <v>444</v>
      </c>
      <c r="J21925" t="s">
        <v>604</v>
      </c>
      <c r="K21925" t="s">
        <v>33</v>
      </c>
      <c r="L21925" t="s">
        <v>600</v>
      </c>
      <c r="N21925" t="s">
        <v>29</v>
      </c>
    </row>
    <row r="21926" spans="1:14">
      <c r="A21926" s="4" t="str">
        <f t="shared" si="1444"/>
        <v>EXP00454</v>
      </c>
      <c r="B21926" s="3" t="s">
        <v>66</v>
      </c>
      <c r="C21926" s="4" t="str">
        <f t="shared" si="1443"/>
        <v>TCGA-UCS</v>
      </c>
      <c r="D21926" s="1" t="s">
        <v>493</v>
      </c>
      <c r="E21926" t="s">
        <v>606</v>
      </c>
      <c r="F21926" s="1">
        <v>2</v>
      </c>
      <c r="G21926" s="1" t="s">
        <v>32</v>
      </c>
      <c r="H21926" s="4" t="str">
        <f>HYPERLINK("https://portal.gdc.cancer.gov/cases/76b0106c-a4d2-4b29-bef4-fe03a25b5d21","TCGA-N9-A4PZ-01A")</f>
        <v>TCGA-N9-A4PZ-01A</v>
      </c>
      <c r="I21926" t="s">
        <v>444</v>
      </c>
      <c r="J21926" t="s">
        <v>604</v>
      </c>
      <c r="K21926" t="s">
        <v>33</v>
      </c>
      <c r="L21926" t="s">
        <v>600</v>
      </c>
      <c r="N21926" t="s">
        <v>29</v>
      </c>
    </row>
    <row r="21927" spans="1:14">
      <c r="A21927" s="4" t="str">
        <f t="shared" si="1444"/>
        <v>EXP00454</v>
      </c>
      <c r="B21927" s="3" t="s">
        <v>66</v>
      </c>
      <c r="C21927" s="4" t="str">
        <f t="shared" si="1443"/>
        <v>TCGA-UCS</v>
      </c>
      <c r="D21927" s="1" t="s">
        <v>493</v>
      </c>
      <c r="E21927" t="s">
        <v>606</v>
      </c>
      <c r="F21927" s="1">
        <v>2</v>
      </c>
      <c r="G21927" s="1" t="s">
        <v>32</v>
      </c>
      <c r="H21927" s="4" t="str">
        <f>HYPERLINK("https://portal.gdc.cancer.gov/cases/ffedc8be-1056-4205-b9d9-99b5bdb872db","TCGA-N9-A4Q4-01A")</f>
        <v>TCGA-N9-A4Q4-01A</v>
      </c>
      <c r="I21927" t="s">
        <v>444</v>
      </c>
      <c r="J21927" t="s">
        <v>604</v>
      </c>
      <c r="K21927" t="s">
        <v>33</v>
      </c>
      <c r="L21927" t="s">
        <v>600</v>
      </c>
      <c r="N21927" t="s">
        <v>29</v>
      </c>
    </row>
    <row r="21928" spans="1:14">
      <c r="A21928" s="4" t="str">
        <f t="shared" si="1444"/>
        <v>EXP00454</v>
      </c>
      <c r="B21928" s="3" t="s">
        <v>66</v>
      </c>
      <c r="C21928" s="4" t="str">
        <f t="shared" si="1443"/>
        <v>TCGA-UCS</v>
      </c>
      <c r="D21928" s="1" t="s">
        <v>493</v>
      </c>
      <c r="E21928" t="s">
        <v>606</v>
      </c>
      <c r="F21928" s="1">
        <v>2</v>
      </c>
      <c r="G21928" s="1" t="s">
        <v>32</v>
      </c>
      <c r="H21928" s="4" t="str">
        <f>HYPERLINK("https://portal.gdc.cancer.gov/cases/9f15bf13-11d2-400f-b6f9-c8be0a57c763","TCGA-N9-A4Q7-01A")</f>
        <v>TCGA-N9-A4Q7-01A</v>
      </c>
      <c r="I21928" t="s">
        <v>444</v>
      </c>
      <c r="J21928" t="s">
        <v>604</v>
      </c>
      <c r="K21928" t="s">
        <v>33</v>
      </c>
      <c r="L21928" t="s">
        <v>600</v>
      </c>
      <c r="N21928" t="s">
        <v>29</v>
      </c>
    </row>
    <row r="21929" spans="1:14">
      <c r="A21929" s="4" t="str">
        <f t="shared" si="1444"/>
        <v>EXP00454</v>
      </c>
      <c r="B21929" s="3" t="s">
        <v>66</v>
      </c>
      <c r="C21929" s="4" t="str">
        <f t="shared" si="1443"/>
        <v>TCGA-UCS</v>
      </c>
      <c r="D21929" s="1" t="s">
        <v>493</v>
      </c>
      <c r="E21929" t="s">
        <v>606</v>
      </c>
      <c r="F21929" s="1">
        <v>2</v>
      </c>
      <c r="G21929" s="1" t="s">
        <v>32</v>
      </c>
      <c r="H21929" s="4" t="str">
        <f>HYPERLINK("https://portal.gdc.cancer.gov/cases/cdde118f-4673-4e7e-b965-1f9fe007050d","TCGA-NA-A4QV-01A")</f>
        <v>TCGA-NA-A4QV-01A</v>
      </c>
      <c r="I21929" t="s">
        <v>444</v>
      </c>
      <c r="J21929" t="s">
        <v>604</v>
      </c>
      <c r="K21929" t="s">
        <v>33</v>
      </c>
      <c r="L21929" t="s">
        <v>600</v>
      </c>
      <c r="N21929" t="s">
        <v>29</v>
      </c>
    </row>
    <row r="21930" spans="1:14">
      <c r="A21930" s="4" t="str">
        <f t="shared" si="1444"/>
        <v>EXP00454</v>
      </c>
      <c r="B21930" s="3" t="s">
        <v>66</v>
      </c>
      <c r="C21930" s="4" t="str">
        <f t="shared" si="1443"/>
        <v>TCGA-UCS</v>
      </c>
      <c r="D21930" s="1" t="s">
        <v>493</v>
      </c>
      <c r="E21930" t="s">
        <v>606</v>
      </c>
      <c r="F21930" s="1">
        <v>2</v>
      </c>
      <c r="G21930" s="1" t="s">
        <v>32</v>
      </c>
      <c r="H21930" s="4" t="str">
        <f>HYPERLINK("https://portal.gdc.cancer.gov/cases/4a31c620-5c6e-44ae-b7f0-0553c4b7eb33","TCGA-NA-A4QW-01A")</f>
        <v>TCGA-NA-A4QW-01A</v>
      </c>
      <c r="I21930" t="s">
        <v>444</v>
      </c>
      <c r="J21930" t="s">
        <v>604</v>
      </c>
      <c r="K21930" t="s">
        <v>33</v>
      </c>
      <c r="L21930" t="s">
        <v>600</v>
      </c>
      <c r="N21930" t="s">
        <v>29</v>
      </c>
    </row>
    <row r="21931" spans="1:14">
      <c r="A21931" s="4" t="str">
        <f t="shared" si="1444"/>
        <v>EXP00454</v>
      </c>
      <c r="B21931" s="3" t="s">
        <v>66</v>
      </c>
      <c r="C21931" s="4" t="str">
        <f t="shared" si="1443"/>
        <v>TCGA-UCS</v>
      </c>
      <c r="D21931" s="1" t="s">
        <v>493</v>
      </c>
      <c r="E21931" t="s">
        <v>606</v>
      </c>
      <c r="F21931" s="1">
        <v>2</v>
      </c>
      <c r="G21931" s="1" t="s">
        <v>32</v>
      </c>
      <c r="H21931" s="4" t="str">
        <f>HYPERLINK("https://portal.gdc.cancer.gov/cases/ce2b2c41-7d28-4d8b-a037-af842a8fe20f","TCGA-NA-A4QY-01A")</f>
        <v>TCGA-NA-A4QY-01A</v>
      </c>
      <c r="I21931" t="s">
        <v>444</v>
      </c>
      <c r="J21931" t="s">
        <v>604</v>
      </c>
      <c r="K21931" t="s">
        <v>33</v>
      </c>
      <c r="L21931" t="s">
        <v>600</v>
      </c>
      <c r="N21931" t="s">
        <v>29</v>
      </c>
    </row>
    <row r="21932" spans="1:14">
      <c r="A21932" s="4" t="str">
        <f t="shared" si="1444"/>
        <v>EXP00454</v>
      </c>
      <c r="B21932" s="3" t="s">
        <v>66</v>
      </c>
      <c r="C21932" s="4" t="str">
        <f t="shared" si="1443"/>
        <v>TCGA-UCS</v>
      </c>
      <c r="D21932" s="1" t="s">
        <v>493</v>
      </c>
      <c r="E21932" t="s">
        <v>606</v>
      </c>
      <c r="F21932" s="1">
        <v>2</v>
      </c>
      <c r="G21932" s="1" t="s">
        <v>32</v>
      </c>
      <c r="H21932" s="4" t="str">
        <f>HYPERLINK("https://portal.gdc.cancer.gov/cases/89d0b316-65de-4f4c-988a-3c3861a68090","TCGA-NA-A4R0-01A")</f>
        <v>TCGA-NA-A4R0-01A</v>
      </c>
      <c r="I21932" t="s">
        <v>444</v>
      </c>
      <c r="J21932" t="s">
        <v>604</v>
      </c>
      <c r="K21932" t="s">
        <v>33</v>
      </c>
      <c r="L21932" t="s">
        <v>600</v>
      </c>
      <c r="N21932" t="s">
        <v>29</v>
      </c>
    </row>
    <row r="21933" spans="1:14">
      <c r="A21933" s="4" t="str">
        <f t="shared" si="1444"/>
        <v>EXP00454</v>
      </c>
      <c r="B21933" s="3" t="s">
        <v>66</v>
      </c>
      <c r="C21933" s="4" t="str">
        <f t="shared" si="1443"/>
        <v>TCGA-UCS</v>
      </c>
      <c r="D21933" s="1" t="s">
        <v>493</v>
      </c>
      <c r="E21933" t="s">
        <v>606</v>
      </c>
      <c r="F21933" s="1">
        <v>2</v>
      </c>
      <c r="G21933" s="1" t="s">
        <v>32</v>
      </c>
      <c r="H21933" s="4" t="str">
        <f>HYPERLINK("https://portal.gdc.cancer.gov/cases/98315e03-ffe8-449c-8f92-7fd2c0f20b79","TCGA-NA-A4R1-01A")</f>
        <v>TCGA-NA-A4R1-01A</v>
      </c>
      <c r="I21933" t="s">
        <v>444</v>
      </c>
      <c r="J21933" t="s">
        <v>604</v>
      </c>
      <c r="K21933" t="s">
        <v>33</v>
      </c>
      <c r="L21933" t="s">
        <v>600</v>
      </c>
      <c r="N21933" t="s">
        <v>29</v>
      </c>
    </row>
    <row r="21934" spans="1:14">
      <c r="A21934" s="4" t="str">
        <f t="shared" si="1444"/>
        <v>EXP00454</v>
      </c>
      <c r="B21934" s="3" t="s">
        <v>66</v>
      </c>
      <c r="C21934" s="4" t="str">
        <f t="shared" si="1443"/>
        <v>TCGA-UCS</v>
      </c>
      <c r="D21934" s="1" t="s">
        <v>493</v>
      </c>
      <c r="E21934" t="s">
        <v>606</v>
      </c>
      <c r="F21934" s="1">
        <v>2</v>
      </c>
      <c r="G21934" s="1" t="s">
        <v>32</v>
      </c>
      <c r="H21934" s="4" t="str">
        <f>HYPERLINK("https://portal.gdc.cancer.gov/cases/605e9e51-270c-48fb-b198-46b5512b29da","TCGA-ND-A4W6-01A")</f>
        <v>TCGA-ND-A4W6-01A</v>
      </c>
      <c r="I21934" t="s">
        <v>444</v>
      </c>
      <c r="J21934" t="s">
        <v>604</v>
      </c>
      <c r="K21934" t="s">
        <v>33</v>
      </c>
      <c r="L21934" t="s">
        <v>600</v>
      </c>
      <c r="N21934" t="s">
        <v>29</v>
      </c>
    </row>
    <row r="21935" spans="1:14">
      <c r="A21935" s="4" t="str">
        <f t="shared" si="1444"/>
        <v>EXP00454</v>
      </c>
      <c r="B21935" s="3" t="s">
        <v>66</v>
      </c>
      <c r="C21935" s="4" t="str">
        <f t="shared" si="1443"/>
        <v>TCGA-UCS</v>
      </c>
      <c r="D21935" s="1" t="s">
        <v>493</v>
      </c>
      <c r="E21935" t="s">
        <v>606</v>
      </c>
      <c r="F21935" s="1">
        <v>2</v>
      </c>
      <c r="G21935" s="1" t="s">
        <v>32</v>
      </c>
      <c r="H21935" s="4" t="str">
        <f>HYPERLINK("https://portal.gdc.cancer.gov/cases/76e4538f-3383-46b0-884d-978d031ee182","TCGA-ND-A4WA-01A")</f>
        <v>TCGA-ND-A4WA-01A</v>
      </c>
      <c r="I21935" t="s">
        <v>444</v>
      </c>
      <c r="J21935" t="s">
        <v>604</v>
      </c>
      <c r="K21935" t="s">
        <v>33</v>
      </c>
      <c r="L21935" t="s">
        <v>600</v>
      </c>
      <c r="N21935" t="s">
        <v>29</v>
      </c>
    </row>
    <row r="21936" spans="1:14">
      <c r="A21936" s="4" t="str">
        <f t="shared" si="1444"/>
        <v>EXP00454</v>
      </c>
      <c r="B21936" s="3" t="s">
        <v>66</v>
      </c>
      <c r="C21936" s="4" t="str">
        <f t="shared" si="1443"/>
        <v>TCGA-UCS</v>
      </c>
      <c r="D21936" s="1" t="s">
        <v>493</v>
      </c>
      <c r="E21936" t="s">
        <v>606</v>
      </c>
      <c r="F21936" s="1">
        <v>2</v>
      </c>
      <c r="G21936" s="1" t="s">
        <v>32</v>
      </c>
      <c r="H21936" s="4" t="str">
        <f>HYPERLINK("https://portal.gdc.cancer.gov/cases/6385194a-d75b-4bd3-9e70-9aa36250d5b9","TCGA-ND-A4WC-01A")</f>
        <v>TCGA-ND-A4WC-01A</v>
      </c>
      <c r="I21936" t="s">
        <v>444</v>
      </c>
      <c r="J21936" t="s">
        <v>604</v>
      </c>
      <c r="K21936" t="s">
        <v>33</v>
      </c>
      <c r="L21936" t="s">
        <v>600</v>
      </c>
      <c r="N21936" t="s">
        <v>29</v>
      </c>
    </row>
    <row r="21937" spans="1:14">
      <c r="A21937" s="4" t="str">
        <f t="shared" si="1444"/>
        <v>EXP00454</v>
      </c>
      <c r="B21937" s="3" t="s">
        <v>66</v>
      </c>
      <c r="C21937" s="4" t="str">
        <f t="shared" si="1443"/>
        <v>TCGA-UCS</v>
      </c>
      <c r="D21937" s="1" t="s">
        <v>493</v>
      </c>
      <c r="E21937" t="s">
        <v>606</v>
      </c>
      <c r="F21937" s="1">
        <v>2</v>
      </c>
      <c r="G21937" s="1" t="s">
        <v>32</v>
      </c>
      <c r="H21937" s="4" t="str">
        <f>HYPERLINK("https://portal.gdc.cancer.gov/cases/6717b82e-889d-45a4-9638-4d0e023399cc","TCGA-ND-A4WF-01A")</f>
        <v>TCGA-ND-A4WF-01A</v>
      </c>
      <c r="I21937" t="s">
        <v>444</v>
      </c>
      <c r="J21937" t="s">
        <v>604</v>
      </c>
      <c r="K21937" t="s">
        <v>33</v>
      </c>
      <c r="L21937" t="s">
        <v>600</v>
      </c>
      <c r="N21937" t="s">
        <v>29</v>
      </c>
    </row>
    <row r="21938" spans="1:14">
      <c r="A21938" s="4" t="str">
        <f t="shared" si="1444"/>
        <v>EXP00454</v>
      </c>
      <c r="B21938" s="3" t="s">
        <v>66</v>
      </c>
      <c r="C21938" s="4" t="str">
        <f t="shared" si="1443"/>
        <v>TCGA-UCS</v>
      </c>
      <c r="D21938" s="1" t="s">
        <v>493</v>
      </c>
      <c r="E21938" t="s">
        <v>606</v>
      </c>
      <c r="F21938" s="1">
        <v>2</v>
      </c>
      <c r="G21938" s="1" t="s">
        <v>32</v>
      </c>
      <c r="H21938" s="4" t="str">
        <f>HYPERLINK("https://portal.gdc.cancer.gov/cases/f2cc142b-9fc0-44d9-9ae3-558b4eace375","TCGA-NF-A4WU-01A")</f>
        <v>TCGA-NF-A4WU-01A</v>
      </c>
      <c r="I21938" t="s">
        <v>444</v>
      </c>
      <c r="J21938" t="s">
        <v>604</v>
      </c>
      <c r="K21938" t="s">
        <v>33</v>
      </c>
      <c r="L21938" t="s">
        <v>600</v>
      </c>
      <c r="N21938" t="s">
        <v>29</v>
      </c>
    </row>
    <row r="21939" spans="1:14">
      <c r="A21939" s="4" t="str">
        <f t="shared" si="1444"/>
        <v>EXP00454</v>
      </c>
      <c r="B21939" s="3" t="s">
        <v>66</v>
      </c>
      <c r="C21939" s="4" t="str">
        <f t="shared" si="1443"/>
        <v>TCGA-UCS</v>
      </c>
      <c r="D21939" s="1" t="s">
        <v>493</v>
      </c>
      <c r="E21939" t="s">
        <v>606</v>
      </c>
      <c r="F21939" s="1">
        <v>2</v>
      </c>
      <c r="G21939" s="1" t="s">
        <v>32</v>
      </c>
      <c r="H21939" s="4" t="str">
        <f>HYPERLINK("https://portal.gdc.cancer.gov/cases/64d00705-5070-4338-9433-ba74424528b3","TCGA-NF-A4WX-01A")</f>
        <v>TCGA-NF-A4WX-01A</v>
      </c>
      <c r="I21939" t="s">
        <v>444</v>
      </c>
      <c r="J21939" t="s">
        <v>604</v>
      </c>
      <c r="K21939" t="s">
        <v>33</v>
      </c>
      <c r="L21939" t="s">
        <v>600</v>
      </c>
      <c r="N21939" t="s">
        <v>29</v>
      </c>
    </row>
    <row r="21940" spans="1:14">
      <c r="A21940" s="4" t="str">
        <f t="shared" si="1444"/>
        <v>EXP00454</v>
      </c>
      <c r="B21940" s="3" t="s">
        <v>66</v>
      </c>
      <c r="C21940" s="4" t="str">
        <f t="shared" si="1443"/>
        <v>TCGA-UCS</v>
      </c>
      <c r="D21940" s="1" t="s">
        <v>493</v>
      </c>
      <c r="E21940" t="s">
        <v>606</v>
      </c>
      <c r="F21940" s="1">
        <v>2</v>
      </c>
      <c r="G21940" s="1" t="s">
        <v>32</v>
      </c>
      <c r="H21940" s="4" t="str">
        <f>HYPERLINK("https://portal.gdc.cancer.gov/cases/276dd6d1-a5ad-4b64-8536-916584805091","TCGA-NF-A4X2-01A")</f>
        <v>TCGA-NF-A4X2-01A</v>
      </c>
      <c r="I21940" t="s">
        <v>444</v>
      </c>
      <c r="J21940" t="s">
        <v>604</v>
      </c>
      <c r="K21940" t="s">
        <v>33</v>
      </c>
      <c r="L21940" t="s">
        <v>600</v>
      </c>
      <c r="N21940" t="s">
        <v>29</v>
      </c>
    </row>
    <row r="21941" spans="1:14">
      <c r="A21941" s="4" t="str">
        <f t="shared" si="1444"/>
        <v>EXP00454</v>
      </c>
      <c r="B21941" s="3" t="s">
        <v>66</v>
      </c>
      <c r="C21941" s="4" t="str">
        <f t="shared" si="1443"/>
        <v>TCGA-UCS</v>
      </c>
      <c r="D21941" s="1" t="s">
        <v>493</v>
      </c>
      <c r="E21941" t="s">
        <v>606</v>
      </c>
      <c r="F21941" s="1">
        <v>2</v>
      </c>
      <c r="G21941" s="1" t="s">
        <v>32</v>
      </c>
      <c r="H21941" s="4" t="str">
        <f>HYPERLINK("https://portal.gdc.cancer.gov/cases/ddfdd05e-058c-4877-b389-724a6c101353","TCGA-NF-A5CP-01A")</f>
        <v>TCGA-NF-A5CP-01A</v>
      </c>
      <c r="I21941" t="s">
        <v>444</v>
      </c>
      <c r="J21941" t="s">
        <v>604</v>
      </c>
      <c r="K21941" t="s">
        <v>33</v>
      </c>
      <c r="L21941" t="s">
        <v>600</v>
      </c>
      <c r="N21941" t="s">
        <v>29</v>
      </c>
    </row>
    <row r="21942" spans="1:14">
      <c r="A21942" s="4" t="str">
        <f t="shared" si="1444"/>
        <v>EXP00454</v>
      </c>
      <c r="B21942" s="3" t="s">
        <v>66</v>
      </c>
      <c r="C21942" s="4" t="str">
        <f t="shared" si="1443"/>
        <v>TCGA-UCS</v>
      </c>
      <c r="D21942" s="1" t="s">
        <v>493</v>
      </c>
      <c r="E21942" t="s">
        <v>606</v>
      </c>
      <c r="F21942" s="1">
        <v>2</v>
      </c>
      <c r="G21942" s="1" t="s">
        <v>32</v>
      </c>
      <c r="H21942" s="4" t="str">
        <f>HYPERLINK("https://portal.gdc.cancer.gov/cases/6db758a1-dd0f-4abb-a0ca-80c4b135e8a5","TCGA-NG-A4VU-01A")</f>
        <v>TCGA-NG-A4VU-01A</v>
      </c>
      <c r="I21942" t="s">
        <v>444</v>
      </c>
      <c r="J21942" t="s">
        <v>604</v>
      </c>
      <c r="K21942" t="s">
        <v>33</v>
      </c>
      <c r="L21942" t="s">
        <v>600</v>
      </c>
      <c r="N21942" t="s">
        <v>29</v>
      </c>
    </row>
    <row r="21943" spans="1:14">
      <c r="A21943" s="4" t="str">
        <f t="shared" si="1444"/>
        <v>EXP00454</v>
      </c>
      <c r="B21943" s="3" t="s">
        <v>66</v>
      </c>
      <c r="C21943" s="4" t="str">
        <f t="shared" si="1443"/>
        <v>TCGA-UCS</v>
      </c>
      <c r="D21943" s="1" t="s">
        <v>493</v>
      </c>
      <c r="E21943" t="s">
        <v>606</v>
      </c>
      <c r="F21943" s="1">
        <v>2</v>
      </c>
      <c r="G21943" s="1" t="s">
        <v>32</v>
      </c>
      <c r="H21943" s="4" t="str">
        <f>HYPERLINK("https://portal.gdc.cancer.gov/cases/485b221f-f40f-46a0-a9cf-023f807e6146","TCGA-QM-A5NM-01A")</f>
        <v>TCGA-QM-A5NM-01A</v>
      </c>
      <c r="I21943" t="s">
        <v>444</v>
      </c>
      <c r="J21943" t="s">
        <v>604</v>
      </c>
      <c r="K21943" t="s">
        <v>33</v>
      </c>
      <c r="L21943" t="s">
        <v>600</v>
      </c>
      <c r="N21943" t="s">
        <v>29</v>
      </c>
    </row>
    <row r="21944" spans="1:14">
      <c r="A21944" s="4" t="str">
        <f t="shared" si="1444"/>
        <v>EXP00454</v>
      </c>
      <c r="B21944" s="3" t="s">
        <v>66</v>
      </c>
      <c r="C21944" s="4" t="str">
        <f t="shared" si="1443"/>
        <v>TCGA-UCS</v>
      </c>
      <c r="D21944" s="1" t="s">
        <v>493</v>
      </c>
      <c r="E21944" t="s">
        <v>606</v>
      </c>
      <c r="F21944" s="1">
        <v>2</v>
      </c>
      <c r="G21944" s="1" t="s">
        <v>32</v>
      </c>
      <c r="H21944" s="4" t="str">
        <f>HYPERLINK("https://portal.gdc.cancer.gov/cases/8def73e4-83a5-4998-8f6e-f71f21c946ac","TCGA-QN-A5NN-01A")</f>
        <v>TCGA-QN-A5NN-01A</v>
      </c>
      <c r="I21944" t="s">
        <v>444</v>
      </c>
      <c r="J21944" t="s">
        <v>604</v>
      </c>
      <c r="K21944" t="s">
        <v>33</v>
      </c>
      <c r="L21944" t="s">
        <v>600</v>
      </c>
      <c r="N21944" t="s">
        <v>29</v>
      </c>
    </row>
    <row r="21945" spans="1:14">
      <c r="A21945" s="4" t="str">
        <f t="shared" ref="A21945:A21976" si="1445">HYPERLINK("http://hcmdb.i-sanger.com/experiment/details/experiment_id/EXP00455","EXP00455")</f>
        <v>EXP00455</v>
      </c>
      <c r="B21945" s="3" t="s">
        <v>66</v>
      </c>
      <c r="C21945" s="4" t="str">
        <f t="shared" ref="C21945:C21976" si="1446">HYPERLINK("https://portal.gdc.cancer.gov/projects/TCGA-UVM","TCGA-UVM")</f>
        <v>TCGA-UVM</v>
      </c>
      <c r="D21945" s="1" t="s">
        <v>493</v>
      </c>
      <c r="E21945" t="s">
        <v>438</v>
      </c>
      <c r="F21945" s="1">
        <v>1</v>
      </c>
      <c r="G21945" s="1" t="s">
        <v>31</v>
      </c>
      <c r="H21945" s="4" t="str">
        <f>HYPERLINK("https://portal.gdc.cancer.gov/cases/b5c516ba-4785-41dc-bd07-b129d47808dd","TCGA-V4-A9E7-01A")</f>
        <v>TCGA-V4-A9E7-01A</v>
      </c>
      <c r="I21945" t="s">
        <v>439</v>
      </c>
      <c r="J21945" t="s">
        <v>440</v>
      </c>
      <c r="K21945" t="s">
        <v>19</v>
      </c>
      <c r="L21945" t="s">
        <v>441</v>
      </c>
      <c r="M21945" t="s">
        <v>44</v>
      </c>
      <c r="N21945" t="s">
        <v>29</v>
      </c>
    </row>
    <row r="21946" spans="1:14">
      <c r="A21946" s="4" t="str">
        <f t="shared" si="1445"/>
        <v>EXP00455</v>
      </c>
      <c r="B21946" s="3" t="s">
        <v>66</v>
      </c>
      <c r="C21946" s="4" t="str">
        <f t="shared" si="1446"/>
        <v>TCGA-UVM</v>
      </c>
      <c r="D21946" s="1" t="s">
        <v>493</v>
      </c>
      <c r="E21946" t="s">
        <v>438</v>
      </c>
      <c r="F21946" s="1">
        <v>1</v>
      </c>
      <c r="G21946" s="1" t="s">
        <v>31</v>
      </c>
      <c r="H21946" s="4" t="str">
        <f>HYPERLINK("https://portal.gdc.cancer.gov/cases/df941bc1-6356-4f2e-a3f5-ae190266b441","TCGA-V4-A9E8-01A")</f>
        <v>TCGA-V4-A9E8-01A</v>
      </c>
      <c r="I21946" t="s">
        <v>439</v>
      </c>
      <c r="J21946" t="s">
        <v>440</v>
      </c>
      <c r="K21946" t="s">
        <v>19</v>
      </c>
      <c r="L21946" t="s">
        <v>441</v>
      </c>
      <c r="M21946" t="s">
        <v>44</v>
      </c>
      <c r="N21946" t="s">
        <v>29</v>
      </c>
    </row>
    <row r="21947" spans="1:14">
      <c r="A21947" s="4" t="str">
        <f t="shared" si="1445"/>
        <v>EXP00455</v>
      </c>
      <c r="B21947" s="3" t="s">
        <v>66</v>
      </c>
      <c r="C21947" s="4" t="str">
        <f t="shared" si="1446"/>
        <v>TCGA-UVM</v>
      </c>
      <c r="D21947" s="1" t="s">
        <v>493</v>
      </c>
      <c r="E21947" t="s">
        <v>438</v>
      </c>
      <c r="F21947" s="1">
        <v>1</v>
      </c>
      <c r="G21947" s="1" t="s">
        <v>31</v>
      </c>
      <c r="H21947" s="4" t="str">
        <f>HYPERLINK("https://portal.gdc.cancer.gov/cases/edbf6720-467e-4928-b1cb-0e7336358d18","TCGA-V4-A9EE-01A")</f>
        <v>TCGA-V4-A9EE-01A</v>
      </c>
      <c r="I21947" t="s">
        <v>439</v>
      </c>
      <c r="J21947" t="s">
        <v>440</v>
      </c>
      <c r="K21947" t="s">
        <v>19</v>
      </c>
      <c r="L21947" t="s">
        <v>441</v>
      </c>
      <c r="M21947" t="s">
        <v>44</v>
      </c>
      <c r="N21947" t="s">
        <v>29</v>
      </c>
    </row>
    <row r="21948" spans="1:14">
      <c r="A21948" s="4" t="str">
        <f t="shared" si="1445"/>
        <v>EXP00455</v>
      </c>
      <c r="B21948" s="3" t="s">
        <v>66</v>
      </c>
      <c r="C21948" s="4" t="str">
        <f t="shared" si="1446"/>
        <v>TCGA-UVM</v>
      </c>
      <c r="D21948" s="1" t="s">
        <v>493</v>
      </c>
      <c r="E21948" t="s">
        <v>438</v>
      </c>
      <c r="F21948" s="1">
        <v>1</v>
      </c>
      <c r="G21948" s="1" t="s">
        <v>31</v>
      </c>
      <c r="H21948" s="4" t="str">
        <f>HYPERLINK("https://portal.gdc.cancer.gov/cases/b533e555-90cf-4657-80c6-15b67da8ad26","TCGA-V4-A9EI-01A")</f>
        <v>TCGA-V4-A9EI-01A</v>
      </c>
      <c r="I21948" t="s">
        <v>439</v>
      </c>
      <c r="J21948" t="s">
        <v>440</v>
      </c>
      <c r="K21948" t="s">
        <v>19</v>
      </c>
      <c r="L21948" t="s">
        <v>441</v>
      </c>
      <c r="M21948" t="s">
        <v>44</v>
      </c>
      <c r="N21948" t="s">
        <v>29</v>
      </c>
    </row>
    <row r="21949" spans="1:14">
      <c r="A21949" s="4" t="str">
        <f t="shared" si="1445"/>
        <v>EXP00455</v>
      </c>
      <c r="B21949" s="3" t="s">
        <v>66</v>
      </c>
      <c r="C21949" s="4" t="str">
        <f t="shared" si="1446"/>
        <v>TCGA-UVM</v>
      </c>
      <c r="D21949" s="1" t="s">
        <v>493</v>
      </c>
      <c r="E21949" t="s">
        <v>438</v>
      </c>
      <c r="F21949" s="1">
        <v>1</v>
      </c>
      <c r="G21949" s="1" t="s">
        <v>31</v>
      </c>
      <c r="H21949" s="4" t="str">
        <f>HYPERLINK("https://portal.gdc.cancer.gov/cases/8de236f1-c029-44df-a2a9-319145488baa","TCGA-V4-A9EL-01A")</f>
        <v>TCGA-V4-A9EL-01A</v>
      </c>
      <c r="I21949" t="s">
        <v>439</v>
      </c>
      <c r="J21949" t="s">
        <v>440</v>
      </c>
      <c r="K21949" t="s">
        <v>19</v>
      </c>
      <c r="L21949" t="s">
        <v>441</v>
      </c>
      <c r="M21949" t="s">
        <v>44</v>
      </c>
      <c r="N21949" t="s">
        <v>29</v>
      </c>
    </row>
    <row r="21950" spans="1:14">
      <c r="A21950" s="4" t="str">
        <f t="shared" si="1445"/>
        <v>EXP00455</v>
      </c>
      <c r="B21950" s="3" t="s">
        <v>66</v>
      </c>
      <c r="C21950" s="4" t="str">
        <f t="shared" si="1446"/>
        <v>TCGA-UVM</v>
      </c>
      <c r="D21950" s="1" t="s">
        <v>493</v>
      </c>
      <c r="E21950" t="s">
        <v>438</v>
      </c>
      <c r="F21950" s="1">
        <v>1</v>
      </c>
      <c r="G21950" s="1" t="s">
        <v>31</v>
      </c>
      <c r="H21950" s="4" t="str">
        <f>HYPERLINK("https://portal.gdc.cancer.gov/cases/a6ff0b7a-1d04-4a64-af43-5011a4487cb2","TCGA-V4-A9EQ-01A")</f>
        <v>TCGA-V4-A9EQ-01A</v>
      </c>
      <c r="I21950" t="s">
        <v>439</v>
      </c>
      <c r="J21950" t="s">
        <v>440</v>
      </c>
      <c r="K21950" t="s">
        <v>19</v>
      </c>
      <c r="L21950" t="s">
        <v>441</v>
      </c>
      <c r="M21950" t="s">
        <v>44</v>
      </c>
      <c r="N21950" t="s">
        <v>29</v>
      </c>
    </row>
    <row r="21951" spans="1:14">
      <c r="A21951" s="4" t="str">
        <f t="shared" si="1445"/>
        <v>EXP00455</v>
      </c>
      <c r="B21951" s="3" t="s">
        <v>66</v>
      </c>
      <c r="C21951" s="4" t="str">
        <f t="shared" si="1446"/>
        <v>TCGA-UVM</v>
      </c>
      <c r="D21951" s="1" t="s">
        <v>493</v>
      </c>
      <c r="E21951" t="s">
        <v>438</v>
      </c>
      <c r="F21951" s="1">
        <v>1</v>
      </c>
      <c r="G21951" s="1" t="s">
        <v>31</v>
      </c>
      <c r="H21951" s="4" t="str">
        <f>HYPERLINK("https://portal.gdc.cancer.gov/cases/6be5176c-4980-4663-adff-d04f05737da0","TCGA-V4-A9EW-01A")</f>
        <v>TCGA-V4-A9EW-01A</v>
      </c>
      <c r="I21951" t="s">
        <v>439</v>
      </c>
      <c r="J21951" t="s">
        <v>440</v>
      </c>
      <c r="K21951" t="s">
        <v>19</v>
      </c>
      <c r="L21951" t="s">
        <v>441</v>
      </c>
      <c r="M21951" t="s">
        <v>44</v>
      </c>
      <c r="N21951" t="s">
        <v>29</v>
      </c>
    </row>
    <row r="21952" spans="1:14">
      <c r="A21952" s="4" t="str">
        <f t="shared" si="1445"/>
        <v>EXP00455</v>
      </c>
      <c r="B21952" s="3" t="s">
        <v>66</v>
      </c>
      <c r="C21952" s="4" t="str">
        <f t="shared" si="1446"/>
        <v>TCGA-UVM</v>
      </c>
      <c r="D21952" s="1" t="s">
        <v>493</v>
      </c>
      <c r="E21952" t="s">
        <v>438</v>
      </c>
      <c r="F21952" s="1">
        <v>1</v>
      </c>
      <c r="G21952" s="1" t="s">
        <v>31</v>
      </c>
      <c r="H21952" s="4" t="str">
        <f>HYPERLINK("https://portal.gdc.cancer.gov/cases/892e7630-b11e-47bd-987c-327d33258e11","TCGA-V4-A9EX-01A")</f>
        <v>TCGA-V4-A9EX-01A</v>
      </c>
      <c r="I21952" t="s">
        <v>439</v>
      </c>
      <c r="J21952" t="s">
        <v>440</v>
      </c>
      <c r="K21952" t="s">
        <v>19</v>
      </c>
      <c r="L21952" t="s">
        <v>441</v>
      </c>
      <c r="M21952" t="s">
        <v>44</v>
      </c>
      <c r="N21952" t="s">
        <v>29</v>
      </c>
    </row>
    <row r="21953" spans="1:14">
      <c r="A21953" s="4" t="str">
        <f t="shared" si="1445"/>
        <v>EXP00455</v>
      </c>
      <c r="B21953" s="3" t="s">
        <v>66</v>
      </c>
      <c r="C21953" s="4" t="str">
        <f t="shared" si="1446"/>
        <v>TCGA-UVM</v>
      </c>
      <c r="D21953" s="1" t="s">
        <v>493</v>
      </c>
      <c r="E21953" t="s">
        <v>438</v>
      </c>
      <c r="F21953" s="1">
        <v>1</v>
      </c>
      <c r="G21953" s="1" t="s">
        <v>31</v>
      </c>
      <c r="H21953" s="4" t="str">
        <f>HYPERLINK("https://portal.gdc.cancer.gov/cases/92fca97d-6123-46a7-9c34-7a6f877fe612","TCGA-V4-A9F0-01A")</f>
        <v>TCGA-V4-A9F0-01A</v>
      </c>
      <c r="I21953" t="s">
        <v>439</v>
      </c>
      <c r="J21953" t="s">
        <v>440</v>
      </c>
      <c r="K21953" t="s">
        <v>19</v>
      </c>
      <c r="L21953" t="s">
        <v>441</v>
      </c>
      <c r="M21953" t="s">
        <v>44</v>
      </c>
      <c r="N21953" t="s">
        <v>29</v>
      </c>
    </row>
    <row r="21954" spans="1:14">
      <c r="A21954" s="4" t="str">
        <f t="shared" si="1445"/>
        <v>EXP00455</v>
      </c>
      <c r="B21954" s="3" t="s">
        <v>66</v>
      </c>
      <c r="C21954" s="4" t="str">
        <f t="shared" si="1446"/>
        <v>TCGA-UVM</v>
      </c>
      <c r="D21954" s="1" t="s">
        <v>493</v>
      </c>
      <c r="E21954" t="s">
        <v>438</v>
      </c>
      <c r="F21954" s="1">
        <v>1</v>
      </c>
      <c r="G21954" s="1" t="s">
        <v>31</v>
      </c>
      <c r="H21954" s="4" t="str">
        <f>HYPERLINK("https://portal.gdc.cancer.gov/cases/e21d8018-8fe9-4c92-8b36-28d7d3f7df2b","TCGA-V4-A9F3-01A")</f>
        <v>TCGA-V4-A9F3-01A</v>
      </c>
      <c r="I21954" t="s">
        <v>439</v>
      </c>
      <c r="J21954" t="s">
        <v>440</v>
      </c>
      <c r="K21954" t="s">
        <v>19</v>
      </c>
      <c r="L21954" t="s">
        <v>441</v>
      </c>
      <c r="M21954" t="s">
        <v>234</v>
      </c>
      <c r="N21954" t="s">
        <v>29</v>
      </c>
    </row>
    <row r="21955" spans="1:14">
      <c r="A21955" s="4" t="str">
        <f t="shared" si="1445"/>
        <v>EXP00455</v>
      </c>
      <c r="B21955" s="3" t="s">
        <v>66</v>
      </c>
      <c r="C21955" s="4" t="str">
        <f t="shared" si="1446"/>
        <v>TCGA-UVM</v>
      </c>
      <c r="D21955" s="1" t="s">
        <v>493</v>
      </c>
      <c r="E21955" t="s">
        <v>438</v>
      </c>
      <c r="F21955" s="1">
        <v>1</v>
      </c>
      <c r="G21955" s="1" t="s">
        <v>31</v>
      </c>
      <c r="H21955" s="4" t="str">
        <f>HYPERLINK("https://portal.gdc.cancer.gov/cases/73b3e4dd-c53d-4fe3-8607-ee462c9cbbd1","TCGA-VD-A8KD-01A")</f>
        <v>TCGA-VD-A8KD-01A</v>
      </c>
      <c r="I21955" t="s">
        <v>439</v>
      </c>
      <c r="J21955" t="s">
        <v>440</v>
      </c>
      <c r="K21955" t="s">
        <v>19</v>
      </c>
      <c r="L21955" t="s">
        <v>441</v>
      </c>
      <c r="M21955" t="s">
        <v>44</v>
      </c>
      <c r="N21955" t="s">
        <v>29</v>
      </c>
    </row>
    <row r="21956" spans="1:14">
      <c r="A21956" s="4" t="str">
        <f t="shared" si="1445"/>
        <v>EXP00455</v>
      </c>
      <c r="B21956" s="3" t="s">
        <v>66</v>
      </c>
      <c r="C21956" s="4" t="str">
        <f t="shared" si="1446"/>
        <v>TCGA-UVM</v>
      </c>
      <c r="D21956" s="1" t="s">
        <v>493</v>
      </c>
      <c r="E21956" t="s">
        <v>438</v>
      </c>
      <c r="F21956" s="1">
        <v>1</v>
      </c>
      <c r="G21956" s="1" t="s">
        <v>31</v>
      </c>
      <c r="H21956" s="4" t="str">
        <f>HYPERLINK("https://portal.gdc.cancer.gov/cases/01b18f83-da8a-4d3f-b722-f00fe7559c60","TCGA-WC-AA9A-01A")</f>
        <v>TCGA-WC-AA9A-01A</v>
      </c>
      <c r="I21956" t="s">
        <v>439</v>
      </c>
      <c r="J21956" t="s">
        <v>440</v>
      </c>
      <c r="K21956" t="s">
        <v>19</v>
      </c>
      <c r="L21956" t="s">
        <v>441</v>
      </c>
      <c r="M21956" t="s">
        <v>27</v>
      </c>
      <c r="N21956" t="s">
        <v>29</v>
      </c>
    </row>
    <row r="21957" spans="1:14">
      <c r="A21957" s="4" t="str">
        <f t="shared" si="1445"/>
        <v>EXP00455</v>
      </c>
      <c r="B21957" s="3" t="s">
        <v>66</v>
      </c>
      <c r="C21957" s="4" t="str">
        <f t="shared" si="1446"/>
        <v>TCGA-UVM</v>
      </c>
      <c r="D21957" s="1" t="s">
        <v>493</v>
      </c>
      <c r="E21957" t="s">
        <v>438</v>
      </c>
      <c r="F21957" s="1">
        <v>1</v>
      </c>
      <c r="G21957" s="1" t="s">
        <v>31</v>
      </c>
      <c r="H21957" s="4" t="str">
        <f>HYPERLINK("https://portal.gdc.cancer.gov/cases/743fc661-9ba2-4fa8-966e-508fb4b965e0","TCGA-YZ-A984-01A")</f>
        <v>TCGA-YZ-A984-01A</v>
      </c>
      <c r="I21957" t="s">
        <v>439</v>
      </c>
      <c r="J21957" t="s">
        <v>440</v>
      </c>
      <c r="K21957" t="s">
        <v>19</v>
      </c>
      <c r="L21957" t="s">
        <v>441</v>
      </c>
      <c r="M21957" t="s">
        <v>44</v>
      </c>
      <c r="N21957" t="s">
        <v>29</v>
      </c>
    </row>
    <row r="21958" spans="1:14">
      <c r="A21958" s="4" t="str">
        <f t="shared" si="1445"/>
        <v>EXP00455</v>
      </c>
      <c r="B21958" s="3" t="s">
        <v>66</v>
      </c>
      <c r="C21958" s="4" t="str">
        <f t="shared" si="1446"/>
        <v>TCGA-UVM</v>
      </c>
      <c r="D21958" s="1" t="s">
        <v>493</v>
      </c>
      <c r="E21958" t="s">
        <v>438</v>
      </c>
      <c r="F21958" s="1">
        <v>2</v>
      </c>
      <c r="G21958" s="1" t="s">
        <v>32</v>
      </c>
      <c r="H21958" s="4" t="str">
        <f>HYPERLINK("https://portal.gdc.cancer.gov/cases/2bf47a88-df0a-4102-af2e-998c3d252b9c","TCGA-RZ-AB0B-01A")</f>
        <v>TCGA-RZ-AB0B-01A</v>
      </c>
      <c r="I21958" t="s">
        <v>439</v>
      </c>
      <c r="J21958" t="s">
        <v>440</v>
      </c>
      <c r="K21958" t="s">
        <v>33</v>
      </c>
      <c r="L21958" t="s">
        <v>441</v>
      </c>
      <c r="N21958" t="s">
        <v>29</v>
      </c>
    </row>
    <row r="21959" spans="1:14">
      <c r="A21959" s="4" t="str">
        <f t="shared" si="1445"/>
        <v>EXP00455</v>
      </c>
      <c r="B21959" s="3" t="s">
        <v>66</v>
      </c>
      <c r="C21959" s="4" t="str">
        <f t="shared" si="1446"/>
        <v>TCGA-UVM</v>
      </c>
      <c r="D21959" s="1" t="s">
        <v>493</v>
      </c>
      <c r="E21959" t="s">
        <v>438</v>
      </c>
      <c r="F21959" s="1">
        <v>2</v>
      </c>
      <c r="G21959" s="1" t="s">
        <v>32</v>
      </c>
      <c r="H21959" s="4" t="str">
        <f>HYPERLINK("https://portal.gdc.cancer.gov/cases/5019e7f1-db46-4a07-9e7b-b6e5d1481b84","TCGA-V3-A9ZX-01A")</f>
        <v>TCGA-V3-A9ZX-01A</v>
      </c>
      <c r="I21959" t="s">
        <v>439</v>
      </c>
      <c r="J21959" t="s">
        <v>440</v>
      </c>
      <c r="K21959" t="s">
        <v>33</v>
      </c>
      <c r="L21959" t="s">
        <v>441</v>
      </c>
      <c r="N21959" t="s">
        <v>29</v>
      </c>
    </row>
    <row r="21960" spans="1:14">
      <c r="A21960" s="4" t="str">
        <f t="shared" si="1445"/>
        <v>EXP00455</v>
      </c>
      <c r="B21960" s="3" t="s">
        <v>66</v>
      </c>
      <c r="C21960" s="4" t="str">
        <f t="shared" si="1446"/>
        <v>TCGA-UVM</v>
      </c>
      <c r="D21960" s="1" t="s">
        <v>493</v>
      </c>
      <c r="E21960" t="s">
        <v>438</v>
      </c>
      <c r="F21960" s="1">
        <v>2</v>
      </c>
      <c r="G21960" s="1" t="s">
        <v>32</v>
      </c>
      <c r="H21960" s="4" t="str">
        <f>HYPERLINK("https://portal.gdc.cancer.gov/cases/2112a42a-9b85-475a-a31b-4ce7751cdeb9","TCGA-V3-A9ZY-01A")</f>
        <v>TCGA-V3-A9ZY-01A</v>
      </c>
      <c r="I21960" t="s">
        <v>439</v>
      </c>
      <c r="J21960" t="s">
        <v>440</v>
      </c>
      <c r="K21960" t="s">
        <v>33</v>
      </c>
      <c r="L21960" t="s">
        <v>441</v>
      </c>
      <c r="N21960" t="s">
        <v>29</v>
      </c>
    </row>
    <row r="21961" spans="1:14">
      <c r="A21961" s="4" t="str">
        <f t="shared" si="1445"/>
        <v>EXP00455</v>
      </c>
      <c r="B21961" s="3" t="s">
        <v>66</v>
      </c>
      <c r="C21961" s="4" t="str">
        <f t="shared" si="1446"/>
        <v>TCGA-UVM</v>
      </c>
      <c r="D21961" s="1" t="s">
        <v>493</v>
      </c>
      <c r="E21961" t="s">
        <v>438</v>
      </c>
      <c r="F21961" s="1">
        <v>2</v>
      </c>
      <c r="G21961" s="1" t="s">
        <v>32</v>
      </c>
      <c r="H21961" s="4" t="str">
        <f>HYPERLINK("https://portal.gdc.cancer.gov/cases/029cc59c-60df-4411-a044-3a2eeee7b110","TCGA-V4-A9E5-01A")</f>
        <v>TCGA-V4-A9E5-01A</v>
      </c>
      <c r="I21961" t="s">
        <v>439</v>
      </c>
      <c r="J21961" t="s">
        <v>440</v>
      </c>
      <c r="K21961" t="s">
        <v>33</v>
      </c>
      <c r="L21961" t="s">
        <v>441</v>
      </c>
      <c r="N21961" t="s">
        <v>29</v>
      </c>
    </row>
    <row r="21962" spans="1:14">
      <c r="A21962" s="4" t="str">
        <f t="shared" si="1445"/>
        <v>EXP00455</v>
      </c>
      <c r="B21962" s="3" t="s">
        <v>66</v>
      </c>
      <c r="C21962" s="4" t="str">
        <f t="shared" si="1446"/>
        <v>TCGA-UVM</v>
      </c>
      <c r="D21962" s="1" t="s">
        <v>493</v>
      </c>
      <c r="E21962" t="s">
        <v>438</v>
      </c>
      <c r="F21962" s="1">
        <v>2</v>
      </c>
      <c r="G21962" s="1" t="s">
        <v>32</v>
      </c>
      <c r="H21962" s="4" t="str">
        <f>HYPERLINK("https://portal.gdc.cancer.gov/cases/418152bd-7d33-4f0a-b890-2356b30d6f44","TCGA-V4-A9E9-01A")</f>
        <v>TCGA-V4-A9E9-01A</v>
      </c>
      <c r="I21962" t="s">
        <v>439</v>
      </c>
      <c r="J21962" t="s">
        <v>440</v>
      </c>
      <c r="K21962" t="s">
        <v>33</v>
      </c>
      <c r="L21962" t="s">
        <v>441</v>
      </c>
      <c r="N21962" t="s">
        <v>29</v>
      </c>
    </row>
    <row r="21963" spans="1:14">
      <c r="A21963" s="4" t="str">
        <f t="shared" si="1445"/>
        <v>EXP00455</v>
      </c>
      <c r="B21963" s="3" t="s">
        <v>66</v>
      </c>
      <c r="C21963" s="4" t="str">
        <f t="shared" si="1446"/>
        <v>TCGA-UVM</v>
      </c>
      <c r="D21963" s="1" t="s">
        <v>493</v>
      </c>
      <c r="E21963" t="s">
        <v>438</v>
      </c>
      <c r="F21963" s="1">
        <v>2</v>
      </c>
      <c r="G21963" s="1" t="s">
        <v>32</v>
      </c>
      <c r="H21963" s="4" t="str">
        <f>HYPERLINK("https://portal.gdc.cancer.gov/cases/a9fe64a9-6d22-4e9f-96f3-f16af7d298f8","TCGA-V4-A9EA-01A")</f>
        <v>TCGA-V4-A9EA-01A</v>
      </c>
      <c r="I21963" t="s">
        <v>439</v>
      </c>
      <c r="J21963" t="s">
        <v>440</v>
      </c>
      <c r="K21963" t="s">
        <v>33</v>
      </c>
      <c r="L21963" t="s">
        <v>441</v>
      </c>
      <c r="N21963" t="s">
        <v>29</v>
      </c>
    </row>
    <row r="21964" spans="1:14">
      <c r="A21964" s="4" t="str">
        <f t="shared" si="1445"/>
        <v>EXP00455</v>
      </c>
      <c r="B21964" s="3" t="s">
        <v>66</v>
      </c>
      <c r="C21964" s="4" t="str">
        <f t="shared" si="1446"/>
        <v>TCGA-UVM</v>
      </c>
      <c r="D21964" s="1" t="s">
        <v>493</v>
      </c>
      <c r="E21964" t="s">
        <v>438</v>
      </c>
      <c r="F21964" s="1">
        <v>2</v>
      </c>
      <c r="G21964" s="1" t="s">
        <v>32</v>
      </c>
      <c r="H21964" s="4" t="str">
        <f>HYPERLINK("https://portal.gdc.cancer.gov/cases/eeab0529-31e6-4edb-bd2c-a21f2a169381","TCGA-V4-A9EC-01A")</f>
        <v>TCGA-V4-A9EC-01A</v>
      </c>
      <c r="I21964" t="s">
        <v>439</v>
      </c>
      <c r="J21964" t="s">
        <v>440</v>
      </c>
      <c r="K21964" t="s">
        <v>33</v>
      </c>
      <c r="L21964" t="s">
        <v>441</v>
      </c>
      <c r="N21964" t="s">
        <v>29</v>
      </c>
    </row>
    <row r="21965" spans="1:14">
      <c r="A21965" s="4" t="str">
        <f t="shared" si="1445"/>
        <v>EXP00455</v>
      </c>
      <c r="B21965" s="3" t="s">
        <v>66</v>
      </c>
      <c r="C21965" s="4" t="str">
        <f t="shared" si="1446"/>
        <v>TCGA-UVM</v>
      </c>
      <c r="D21965" s="1" t="s">
        <v>493</v>
      </c>
      <c r="E21965" t="s">
        <v>438</v>
      </c>
      <c r="F21965" s="1">
        <v>2</v>
      </c>
      <c r="G21965" s="1" t="s">
        <v>32</v>
      </c>
      <c r="H21965" s="4" t="str">
        <f>HYPERLINK("https://portal.gdc.cancer.gov/cases/367869f9-bbe7-4e57-a16f-f2b63f2de697","TCGA-V4-A9ED-01A")</f>
        <v>TCGA-V4-A9ED-01A</v>
      </c>
      <c r="I21965" t="s">
        <v>439</v>
      </c>
      <c r="J21965" t="s">
        <v>440</v>
      </c>
      <c r="K21965" t="s">
        <v>33</v>
      </c>
      <c r="L21965" t="s">
        <v>441</v>
      </c>
      <c r="N21965" t="s">
        <v>29</v>
      </c>
    </row>
    <row r="21966" spans="1:14">
      <c r="A21966" s="4" t="str">
        <f t="shared" si="1445"/>
        <v>EXP00455</v>
      </c>
      <c r="B21966" s="3" t="s">
        <v>66</v>
      </c>
      <c r="C21966" s="4" t="str">
        <f t="shared" si="1446"/>
        <v>TCGA-UVM</v>
      </c>
      <c r="D21966" s="1" t="s">
        <v>493</v>
      </c>
      <c r="E21966" t="s">
        <v>438</v>
      </c>
      <c r="F21966" s="1">
        <v>2</v>
      </c>
      <c r="G21966" s="1" t="s">
        <v>32</v>
      </c>
      <c r="H21966" s="4" t="str">
        <f>HYPERLINK("https://portal.gdc.cancer.gov/cases/a18d3ba3-e2f4-4144-9c25-2019cad193f4","TCGA-V4-A9EF-01A")</f>
        <v>TCGA-V4-A9EF-01A</v>
      </c>
      <c r="I21966" t="s">
        <v>439</v>
      </c>
      <c r="J21966" t="s">
        <v>440</v>
      </c>
      <c r="K21966" t="s">
        <v>33</v>
      </c>
      <c r="L21966" t="s">
        <v>441</v>
      </c>
      <c r="N21966" t="s">
        <v>29</v>
      </c>
    </row>
    <row r="21967" spans="1:14">
      <c r="A21967" s="4" t="str">
        <f t="shared" si="1445"/>
        <v>EXP00455</v>
      </c>
      <c r="B21967" s="3" t="s">
        <v>66</v>
      </c>
      <c r="C21967" s="4" t="str">
        <f t="shared" si="1446"/>
        <v>TCGA-UVM</v>
      </c>
      <c r="D21967" s="1" t="s">
        <v>493</v>
      </c>
      <c r="E21967" t="s">
        <v>438</v>
      </c>
      <c r="F21967" s="1">
        <v>2</v>
      </c>
      <c r="G21967" s="1" t="s">
        <v>32</v>
      </c>
      <c r="H21967" s="4" t="str">
        <f>HYPERLINK("https://portal.gdc.cancer.gov/cases/5e54122f-1c4d-45cc-8842-cd1c1df0eed8","TCGA-V4-A9EH-01A")</f>
        <v>TCGA-V4-A9EH-01A</v>
      </c>
      <c r="I21967" t="s">
        <v>439</v>
      </c>
      <c r="J21967" t="s">
        <v>440</v>
      </c>
      <c r="K21967" t="s">
        <v>33</v>
      </c>
      <c r="L21967" t="s">
        <v>441</v>
      </c>
      <c r="N21967" t="s">
        <v>29</v>
      </c>
    </row>
    <row r="21968" spans="1:14">
      <c r="A21968" s="4" t="str">
        <f t="shared" si="1445"/>
        <v>EXP00455</v>
      </c>
      <c r="B21968" s="3" t="s">
        <v>66</v>
      </c>
      <c r="C21968" s="4" t="str">
        <f t="shared" si="1446"/>
        <v>TCGA-UVM</v>
      </c>
      <c r="D21968" s="1" t="s">
        <v>493</v>
      </c>
      <c r="E21968" t="s">
        <v>438</v>
      </c>
      <c r="F21968" s="1">
        <v>2</v>
      </c>
      <c r="G21968" s="1" t="s">
        <v>32</v>
      </c>
      <c r="H21968" s="4" t="str">
        <f>HYPERLINK("https://portal.gdc.cancer.gov/cases/d9ccba9b-6bf0-44d9-8097-a97ab747f0bd","TCGA-V4-A9EJ-01A")</f>
        <v>TCGA-V4-A9EJ-01A</v>
      </c>
      <c r="I21968" t="s">
        <v>439</v>
      </c>
      <c r="J21968" t="s">
        <v>440</v>
      </c>
      <c r="K21968" t="s">
        <v>33</v>
      </c>
      <c r="L21968" t="s">
        <v>441</v>
      </c>
      <c r="N21968" t="s">
        <v>29</v>
      </c>
    </row>
    <row r="21969" spans="1:14">
      <c r="A21969" s="4" t="str">
        <f t="shared" si="1445"/>
        <v>EXP00455</v>
      </c>
      <c r="B21969" s="3" t="s">
        <v>66</v>
      </c>
      <c r="C21969" s="4" t="str">
        <f t="shared" si="1446"/>
        <v>TCGA-UVM</v>
      </c>
      <c r="D21969" s="1" t="s">
        <v>493</v>
      </c>
      <c r="E21969" t="s">
        <v>438</v>
      </c>
      <c r="F21969" s="1">
        <v>2</v>
      </c>
      <c r="G21969" s="1" t="s">
        <v>32</v>
      </c>
      <c r="H21969" s="4" t="str">
        <f>HYPERLINK("https://portal.gdc.cancer.gov/cases/4464418c-ec35-4826-b3d5-152ac2a27a04","TCGA-V4-A9EK-01A")</f>
        <v>TCGA-V4-A9EK-01A</v>
      </c>
      <c r="I21969" t="s">
        <v>439</v>
      </c>
      <c r="J21969" t="s">
        <v>440</v>
      </c>
      <c r="K21969" t="s">
        <v>33</v>
      </c>
      <c r="L21969" t="s">
        <v>441</v>
      </c>
      <c r="N21969" t="s">
        <v>29</v>
      </c>
    </row>
    <row r="21970" spans="1:14">
      <c r="A21970" s="4" t="str">
        <f t="shared" si="1445"/>
        <v>EXP00455</v>
      </c>
      <c r="B21970" s="3" t="s">
        <v>66</v>
      </c>
      <c r="C21970" s="4" t="str">
        <f t="shared" si="1446"/>
        <v>TCGA-UVM</v>
      </c>
      <c r="D21970" s="1" t="s">
        <v>493</v>
      </c>
      <c r="E21970" t="s">
        <v>438</v>
      </c>
      <c r="F21970" s="1">
        <v>2</v>
      </c>
      <c r="G21970" s="1" t="s">
        <v>32</v>
      </c>
      <c r="H21970" s="4" t="str">
        <f>HYPERLINK("https://portal.gdc.cancer.gov/cases/711eb720-4cb7-48de-9350-5c729bf9f0da","TCGA-V4-A9EM-01A")</f>
        <v>TCGA-V4-A9EM-01A</v>
      </c>
      <c r="I21970" t="s">
        <v>439</v>
      </c>
      <c r="J21970" t="s">
        <v>440</v>
      </c>
      <c r="K21970" t="s">
        <v>33</v>
      </c>
      <c r="L21970" t="s">
        <v>441</v>
      </c>
      <c r="N21970" t="s">
        <v>29</v>
      </c>
    </row>
    <row r="21971" spans="1:14">
      <c r="A21971" s="4" t="str">
        <f t="shared" si="1445"/>
        <v>EXP00455</v>
      </c>
      <c r="B21971" s="3" t="s">
        <v>66</v>
      </c>
      <c r="C21971" s="4" t="str">
        <f t="shared" si="1446"/>
        <v>TCGA-UVM</v>
      </c>
      <c r="D21971" s="1" t="s">
        <v>493</v>
      </c>
      <c r="E21971" t="s">
        <v>438</v>
      </c>
      <c r="F21971" s="1">
        <v>2</v>
      </c>
      <c r="G21971" s="1" t="s">
        <v>32</v>
      </c>
      <c r="H21971" s="4" t="str">
        <f>HYPERLINK("https://portal.gdc.cancer.gov/cases/bcb87378-9f43-45e4-bdf2-f6dfa6ac5b8c","TCGA-V4-A9EO-01A")</f>
        <v>TCGA-V4-A9EO-01A</v>
      </c>
      <c r="I21971" t="s">
        <v>439</v>
      </c>
      <c r="J21971" t="s">
        <v>440</v>
      </c>
      <c r="K21971" t="s">
        <v>33</v>
      </c>
      <c r="L21971" t="s">
        <v>441</v>
      </c>
      <c r="N21971" t="s">
        <v>29</v>
      </c>
    </row>
    <row r="21972" spans="1:14">
      <c r="A21972" s="4" t="str">
        <f t="shared" si="1445"/>
        <v>EXP00455</v>
      </c>
      <c r="B21972" s="3" t="s">
        <v>66</v>
      </c>
      <c r="C21972" s="4" t="str">
        <f t="shared" si="1446"/>
        <v>TCGA-UVM</v>
      </c>
      <c r="D21972" s="1" t="s">
        <v>493</v>
      </c>
      <c r="E21972" t="s">
        <v>438</v>
      </c>
      <c r="F21972" s="1">
        <v>2</v>
      </c>
      <c r="G21972" s="1" t="s">
        <v>32</v>
      </c>
      <c r="H21972" s="4" t="str">
        <f>HYPERLINK("https://portal.gdc.cancer.gov/cases/c510a423-6ab1-431e-9248-d2ac91fdedba","TCGA-V4-A9ES-01A")</f>
        <v>TCGA-V4-A9ES-01A</v>
      </c>
      <c r="I21972" t="s">
        <v>439</v>
      </c>
      <c r="J21972" t="s">
        <v>440</v>
      </c>
      <c r="K21972" t="s">
        <v>33</v>
      </c>
      <c r="L21972" t="s">
        <v>441</v>
      </c>
      <c r="N21972" t="s">
        <v>29</v>
      </c>
    </row>
    <row r="21973" spans="1:14">
      <c r="A21973" s="4" t="str">
        <f t="shared" si="1445"/>
        <v>EXP00455</v>
      </c>
      <c r="B21973" s="3" t="s">
        <v>66</v>
      </c>
      <c r="C21973" s="4" t="str">
        <f t="shared" si="1446"/>
        <v>TCGA-UVM</v>
      </c>
      <c r="D21973" s="1" t="s">
        <v>493</v>
      </c>
      <c r="E21973" t="s">
        <v>438</v>
      </c>
      <c r="F21973" s="1">
        <v>2</v>
      </c>
      <c r="G21973" s="1" t="s">
        <v>32</v>
      </c>
      <c r="H21973" s="4" t="str">
        <f>HYPERLINK("https://portal.gdc.cancer.gov/cases/5383fb57-69c2-4b34-af7f-c67208efb2b5","TCGA-V4-A9ET-01A")</f>
        <v>TCGA-V4-A9ET-01A</v>
      </c>
      <c r="I21973" t="s">
        <v>439</v>
      </c>
      <c r="J21973" t="s">
        <v>440</v>
      </c>
      <c r="K21973" t="s">
        <v>33</v>
      </c>
      <c r="L21973" t="s">
        <v>441</v>
      </c>
      <c r="N21973" t="s">
        <v>29</v>
      </c>
    </row>
    <row r="21974" spans="1:14">
      <c r="A21974" s="4" t="str">
        <f t="shared" si="1445"/>
        <v>EXP00455</v>
      </c>
      <c r="B21974" s="3" t="s">
        <v>66</v>
      </c>
      <c r="C21974" s="4" t="str">
        <f t="shared" si="1446"/>
        <v>TCGA-UVM</v>
      </c>
      <c r="D21974" s="1" t="s">
        <v>493</v>
      </c>
      <c r="E21974" t="s">
        <v>438</v>
      </c>
      <c r="F21974" s="1">
        <v>2</v>
      </c>
      <c r="G21974" s="1" t="s">
        <v>32</v>
      </c>
      <c r="H21974" s="4" t="str">
        <f>HYPERLINK("https://portal.gdc.cancer.gov/cases/df685f8c-645a-47ae-a471-63bf1973a0ae","TCGA-V4-A9EU-01A")</f>
        <v>TCGA-V4-A9EU-01A</v>
      </c>
      <c r="I21974" t="s">
        <v>439</v>
      </c>
      <c r="J21974" t="s">
        <v>440</v>
      </c>
      <c r="K21974" t="s">
        <v>33</v>
      </c>
      <c r="L21974" t="s">
        <v>441</v>
      </c>
      <c r="N21974" t="s">
        <v>29</v>
      </c>
    </row>
    <row r="21975" spans="1:14">
      <c r="A21975" s="4" t="str">
        <f t="shared" si="1445"/>
        <v>EXP00455</v>
      </c>
      <c r="B21975" s="3" t="s">
        <v>66</v>
      </c>
      <c r="C21975" s="4" t="str">
        <f t="shared" si="1446"/>
        <v>TCGA-UVM</v>
      </c>
      <c r="D21975" s="1" t="s">
        <v>493</v>
      </c>
      <c r="E21975" t="s">
        <v>438</v>
      </c>
      <c r="F21975" s="1">
        <v>2</v>
      </c>
      <c r="G21975" s="1" t="s">
        <v>32</v>
      </c>
      <c r="H21975" s="4" t="str">
        <f>HYPERLINK("https://portal.gdc.cancer.gov/cases/da6f0ed2-a6d5-4d87-823e-122ebd59aaba","TCGA-V4-A9EV-01A")</f>
        <v>TCGA-V4-A9EV-01A</v>
      </c>
      <c r="I21975" t="s">
        <v>439</v>
      </c>
      <c r="J21975" t="s">
        <v>440</v>
      </c>
      <c r="K21975" t="s">
        <v>33</v>
      </c>
      <c r="L21975" t="s">
        <v>441</v>
      </c>
      <c r="N21975" t="s">
        <v>29</v>
      </c>
    </row>
    <row r="21976" spans="1:14">
      <c r="A21976" s="4" t="str">
        <f t="shared" si="1445"/>
        <v>EXP00455</v>
      </c>
      <c r="B21976" s="3" t="s">
        <v>66</v>
      </c>
      <c r="C21976" s="4" t="str">
        <f t="shared" si="1446"/>
        <v>TCGA-UVM</v>
      </c>
      <c r="D21976" s="1" t="s">
        <v>493</v>
      </c>
      <c r="E21976" t="s">
        <v>438</v>
      </c>
      <c r="F21976" s="1">
        <v>2</v>
      </c>
      <c r="G21976" s="1" t="s">
        <v>32</v>
      </c>
      <c r="H21976" s="4" t="str">
        <f>HYPERLINK("https://portal.gdc.cancer.gov/cases/15d19ccc-52b8-41f6-b1c1-2cc55691aed5","TCGA-V4-A9EY-01A")</f>
        <v>TCGA-V4-A9EY-01A</v>
      </c>
      <c r="I21976" t="s">
        <v>439</v>
      </c>
      <c r="J21976" t="s">
        <v>440</v>
      </c>
      <c r="K21976" t="s">
        <v>33</v>
      </c>
      <c r="L21976" t="s">
        <v>441</v>
      </c>
      <c r="N21976" t="s">
        <v>29</v>
      </c>
    </row>
    <row r="21977" spans="1:14">
      <c r="A21977" s="4" t="str">
        <f t="shared" ref="A21977:A22008" si="1447">HYPERLINK("http://hcmdb.i-sanger.com/experiment/details/experiment_id/EXP00455","EXP00455")</f>
        <v>EXP00455</v>
      </c>
      <c r="B21977" s="3" t="s">
        <v>66</v>
      </c>
      <c r="C21977" s="4" t="str">
        <f t="shared" ref="C21977:C22008" si="1448">HYPERLINK("https://portal.gdc.cancer.gov/projects/TCGA-UVM","TCGA-UVM")</f>
        <v>TCGA-UVM</v>
      </c>
      <c r="D21977" s="1" t="s">
        <v>493</v>
      </c>
      <c r="E21977" t="s">
        <v>438</v>
      </c>
      <c r="F21977" s="1">
        <v>2</v>
      </c>
      <c r="G21977" s="1" t="s">
        <v>32</v>
      </c>
      <c r="H21977" s="4" t="str">
        <f>HYPERLINK("https://portal.gdc.cancer.gov/cases/39e494bc-7710-4f9f-98b0-0f509f7aef1a","TCGA-V4-A9EZ-01A")</f>
        <v>TCGA-V4-A9EZ-01A</v>
      </c>
      <c r="I21977" t="s">
        <v>439</v>
      </c>
      <c r="J21977" t="s">
        <v>440</v>
      </c>
      <c r="K21977" t="s">
        <v>33</v>
      </c>
      <c r="L21977" t="s">
        <v>441</v>
      </c>
      <c r="N21977" t="s">
        <v>29</v>
      </c>
    </row>
    <row r="21978" spans="1:14">
      <c r="A21978" s="4" t="str">
        <f t="shared" si="1447"/>
        <v>EXP00455</v>
      </c>
      <c r="B21978" s="3" t="s">
        <v>66</v>
      </c>
      <c r="C21978" s="4" t="str">
        <f t="shared" si="1448"/>
        <v>TCGA-UVM</v>
      </c>
      <c r="D21978" s="1" t="s">
        <v>493</v>
      </c>
      <c r="E21978" t="s">
        <v>438</v>
      </c>
      <c r="F21978" s="1">
        <v>2</v>
      </c>
      <c r="G21978" s="1" t="s">
        <v>32</v>
      </c>
      <c r="H21978" s="4" t="str">
        <f>HYPERLINK("https://portal.gdc.cancer.gov/cases/94f3d9b0-0ee4-4f6a-a8ff-ce7a4d8fab76","TCGA-V4-A9F1-01A")</f>
        <v>TCGA-V4-A9F1-01A</v>
      </c>
      <c r="I21978" t="s">
        <v>439</v>
      </c>
      <c r="J21978" t="s">
        <v>440</v>
      </c>
      <c r="K21978" t="s">
        <v>33</v>
      </c>
      <c r="L21978" t="s">
        <v>441</v>
      </c>
      <c r="N21978" t="s">
        <v>29</v>
      </c>
    </row>
    <row r="21979" spans="1:14">
      <c r="A21979" s="4" t="str">
        <f t="shared" si="1447"/>
        <v>EXP00455</v>
      </c>
      <c r="B21979" s="3" t="s">
        <v>66</v>
      </c>
      <c r="C21979" s="4" t="str">
        <f t="shared" si="1448"/>
        <v>TCGA-UVM</v>
      </c>
      <c r="D21979" s="1" t="s">
        <v>493</v>
      </c>
      <c r="E21979" t="s">
        <v>438</v>
      </c>
      <c r="F21979" s="1">
        <v>2</v>
      </c>
      <c r="G21979" s="1" t="s">
        <v>32</v>
      </c>
      <c r="H21979" s="4" t="str">
        <f>HYPERLINK("https://portal.gdc.cancer.gov/cases/411ddf79-fe92-44ad-8d10-eeb703f11be7","TCGA-V4-A9F2-01A")</f>
        <v>TCGA-V4-A9F2-01A</v>
      </c>
      <c r="I21979" t="s">
        <v>439</v>
      </c>
      <c r="J21979" t="s">
        <v>440</v>
      </c>
      <c r="K21979" t="s">
        <v>33</v>
      </c>
      <c r="L21979" t="s">
        <v>441</v>
      </c>
      <c r="N21979" t="s">
        <v>29</v>
      </c>
    </row>
    <row r="21980" spans="1:14">
      <c r="A21980" s="4" t="str">
        <f t="shared" si="1447"/>
        <v>EXP00455</v>
      </c>
      <c r="B21980" s="3" t="s">
        <v>66</v>
      </c>
      <c r="C21980" s="4" t="str">
        <f t="shared" si="1448"/>
        <v>TCGA-UVM</v>
      </c>
      <c r="D21980" s="1" t="s">
        <v>493</v>
      </c>
      <c r="E21980" t="s">
        <v>438</v>
      </c>
      <c r="F21980" s="1">
        <v>2</v>
      </c>
      <c r="G21980" s="1" t="s">
        <v>32</v>
      </c>
      <c r="H21980" s="4" t="str">
        <f>HYPERLINK("https://portal.gdc.cancer.gov/cases/4b9fd822-17aa-4a22-8e17-175a72931d5d","TCGA-V4-A9F4-01A")</f>
        <v>TCGA-V4-A9F4-01A</v>
      </c>
      <c r="I21980" t="s">
        <v>439</v>
      </c>
      <c r="J21980" t="s">
        <v>440</v>
      </c>
      <c r="K21980" t="s">
        <v>33</v>
      </c>
      <c r="L21980" t="s">
        <v>441</v>
      </c>
      <c r="N21980" t="s">
        <v>29</v>
      </c>
    </row>
    <row r="21981" spans="1:14">
      <c r="A21981" s="4" t="str">
        <f t="shared" si="1447"/>
        <v>EXP00455</v>
      </c>
      <c r="B21981" s="3" t="s">
        <v>66</v>
      </c>
      <c r="C21981" s="4" t="str">
        <f t="shared" si="1448"/>
        <v>TCGA-UVM</v>
      </c>
      <c r="D21981" s="1" t="s">
        <v>493</v>
      </c>
      <c r="E21981" t="s">
        <v>438</v>
      </c>
      <c r="F21981" s="1">
        <v>2</v>
      </c>
      <c r="G21981" s="1" t="s">
        <v>32</v>
      </c>
      <c r="H21981" s="4" t="str">
        <f>HYPERLINK("https://portal.gdc.cancer.gov/cases/bbf07e1f-8c17-4c2e-89ed-38332d82e455","TCGA-V4-A9F5-01A")</f>
        <v>TCGA-V4-A9F5-01A</v>
      </c>
      <c r="I21981" t="s">
        <v>439</v>
      </c>
      <c r="J21981" t="s">
        <v>440</v>
      </c>
      <c r="K21981" t="s">
        <v>33</v>
      </c>
      <c r="L21981" t="s">
        <v>441</v>
      </c>
      <c r="N21981" t="s">
        <v>29</v>
      </c>
    </row>
    <row r="21982" spans="1:14">
      <c r="A21982" s="4" t="str">
        <f t="shared" si="1447"/>
        <v>EXP00455</v>
      </c>
      <c r="B21982" s="3" t="s">
        <v>66</v>
      </c>
      <c r="C21982" s="4" t="str">
        <f t="shared" si="1448"/>
        <v>TCGA-UVM</v>
      </c>
      <c r="D21982" s="1" t="s">
        <v>493</v>
      </c>
      <c r="E21982" t="s">
        <v>438</v>
      </c>
      <c r="F21982" s="1">
        <v>2</v>
      </c>
      <c r="G21982" s="1" t="s">
        <v>32</v>
      </c>
      <c r="H21982" s="4" t="str">
        <f>HYPERLINK("https://portal.gdc.cancer.gov/cases/64422cc5-5e5b-4ef9-a9e2-214cebf8dfbc","TCGA-V4-A9F7-01A")</f>
        <v>TCGA-V4-A9F7-01A</v>
      </c>
      <c r="I21982" t="s">
        <v>439</v>
      </c>
      <c r="J21982" t="s">
        <v>440</v>
      </c>
      <c r="K21982" t="s">
        <v>33</v>
      </c>
      <c r="L21982" t="s">
        <v>441</v>
      </c>
      <c r="N21982" t="s">
        <v>29</v>
      </c>
    </row>
    <row r="21983" spans="1:14">
      <c r="A21983" s="4" t="str">
        <f t="shared" si="1447"/>
        <v>EXP00455</v>
      </c>
      <c r="B21983" s="3" t="s">
        <v>66</v>
      </c>
      <c r="C21983" s="4" t="str">
        <f t="shared" si="1448"/>
        <v>TCGA-UVM</v>
      </c>
      <c r="D21983" s="1" t="s">
        <v>493</v>
      </c>
      <c r="E21983" t="s">
        <v>438</v>
      </c>
      <c r="F21983" s="1">
        <v>2</v>
      </c>
      <c r="G21983" s="1" t="s">
        <v>32</v>
      </c>
      <c r="H21983" s="4" t="str">
        <f>HYPERLINK("https://portal.gdc.cancer.gov/cases/64bd88bd-1d5a-4569-9f46-f668d448c336","TCGA-V4-A9F8-01A")</f>
        <v>TCGA-V4-A9F8-01A</v>
      </c>
      <c r="I21983" t="s">
        <v>439</v>
      </c>
      <c r="J21983" t="s">
        <v>440</v>
      </c>
      <c r="K21983" t="s">
        <v>33</v>
      </c>
      <c r="L21983" t="s">
        <v>441</v>
      </c>
      <c r="N21983" t="s">
        <v>29</v>
      </c>
    </row>
    <row r="21984" spans="1:14">
      <c r="A21984" s="4" t="str">
        <f t="shared" si="1447"/>
        <v>EXP00455</v>
      </c>
      <c r="B21984" s="3" t="s">
        <v>66</v>
      </c>
      <c r="C21984" s="4" t="str">
        <f t="shared" si="1448"/>
        <v>TCGA-UVM</v>
      </c>
      <c r="D21984" s="1" t="s">
        <v>493</v>
      </c>
      <c r="E21984" t="s">
        <v>438</v>
      </c>
      <c r="F21984" s="1">
        <v>2</v>
      </c>
      <c r="G21984" s="1" t="s">
        <v>32</v>
      </c>
      <c r="H21984" s="4" t="str">
        <f>HYPERLINK("https://portal.gdc.cancer.gov/cases/6103e640-8b62-4e39-908b-b62a0debeb0e","TCGA-VD-A8K7-01B")</f>
        <v>TCGA-VD-A8K7-01B</v>
      </c>
      <c r="I21984" t="s">
        <v>439</v>
      </c>
      <c r="J21984" t="s">
        <v>440</v>
      </c>
      <c r="K21984" t="s">
        <v>33</v>
      </c>
      <c r="L21984" t="s">
        <v>441</v>
      </c>
      <c r="N21984" t="s">
        <v>29</v>
      </c>
    </row>
    <row r="21985" spans="1:14">
      <c r="A21985" s="4" t="str">
        <f t="shared" si="1447"/>
        <v>EXP00455</v>
      </c>
      <c r="B21985" s="3" t="s">
        <v>66</v>
      </c>
      <c r="C21985" s="4" t="str">
        <f t="shared" si="1448"/>
        <v>TCGA-UVM</v>
      </c>
      <c r="D21985" s="1" t="s">
        <v>493</v>
      </c>
      <c r="E21985" t="s">
        <v>438</v>
      </c>
      <c r="F21985" s="1">
        <v>2</v>
      </c>
      <c r="G21985" s="1" t="s">
        <v>32</v>
      </c>
      <c r="H21985" s="4" t="str">
        <f>HYPERLINK("https://portal.gdc.cancer.gov/cases/9b1ecfb2-9dfb-4e71-b51a-d2a0c5a7940e","TCGA-VD-A8K8-01A")</f>
        <v>TCGA-VD-A8K8-01A</v>
      </c>
      <c r="I21985" t="s">
        <v>439</v>
      </c>
      <c r="J21985" t="s">
        <v>440</v>
      </c>
      <c r="K21985" t="s">
        <v>33</v>
      </c>
      <c r="L21985" t="s">
        <v>441</v>
      </c>
      <c r="N21985" t="s">
        <v>29</v>
      </c>
    </row>
    <row r="21986" spans="1:14">
      <c r="A21986" s="4" t="str">
        <f t="shared" si="1447"/>
        <v>EXP00455</v>
      </c>
      <c r="B21986" s="3" t="s">
        <v>66</v>
      </c>
      <c r="C21986" s="4" t="str">
        <f t="shared" si="1448"/>
        <v>TCGA-UVM</v>
      </c>
      <c r="D21986" s="1" t="s">
        <v>493</v>
      </c>
      <c r="E21986" t="s">
        <v>438</v>
      </c>
      <c r="F21986" s="1">
        <v>2</v>
      </c>
      <c r="G21986" s="1" t="s">
        <v>32</v>
      </c>
      <c r="H21986" s="4" t="str">
        <f>HYPERLINK("https://portal.gdc.cancer.gov/cases/fa9089fa-9af9-4932-8ab7-0e7f2fd6b121","TCGA-VD-A8K9-01A")</f>
        <v>TCGA-VD-A8K9-01A</v>
      </c>
      <c r="I21986" t="s">
        <v>439</v>
      </c>
      <c r="J21986" t="s">
        <v>440</v>
      </c>
      <c r="K21986" t="s">
        <v>33</v>
      </c>
      <c r="L21986" t="s">
        <v>441</v>
      </c>
      <c r="N21986" t="s">
        <v>29</v>
      </c>
    </row>
    <row r="21987" spans="1:14">
      <c r="A21987" s="4" t="str">
        <f t="shared" si="1447"/>
        <v>EXP00455</v>
      </c>
      <c r="B21987" s="3" t="s">
        <v>66</v>
      </c>
      <c r="C21987" s="4" t="str">
        <f t="shared" si="1448"/>
        <v>TCGA-UVM</v>
      </c>
      <c r="D21987" s="1" t="s">
        <v>493</v>
      </c>
      <c r="E21987" t="s">
        <v>438</v>
      </c>
      <c r="F21987" s="1">
        <v>2</v>
      </c>
      <c r="G21987" s="1" t="s">
        <v>32</v>
      </c>
      <c r="H21987" s="4" t="str">
        <f>HYPERLINK("https://portal.gdc.cancer.gov/cases/af04ca52-8b71-497e-8135-6ddfca9ab221","TCGA-VD-A8KA-01B")</f>
        <v>TCGA-VD-A8KA-01B</v>
      </c>
      <c r="I21987" t="s">
        <v>439</v>
      </c>
      <c r="J21987" t="s">
        <v>440</v>
      </c>
      <c r="K21987" t="s">
        <v>33</v>
      </c>
      <c r="L21987" t="s">
        <v>441</v>
      </c>
      <c r="N21987" t="s">
        <v>29</v>
      </c>
    </row>
    <row r="21988" spans="1:14">
      <c r="A21988" s="4" t="str">
        <f t="shared" si="1447"/>
        <v>EXP00455</v>
      </c>
      <c r="B21988" s="3" t="s">
        <v>66</v>
      </c>
      <c r="C21988" s="4" t="str">
        <f t="shared" si="1448"/>
        <v>TCGA-UVM</v>
      </c>
      <c r="D21988" s="1" t="s">
        <v>493</v>
      </c>
      <c r="E21988" t="s">
        <v>438</v>
      </c>
      <c r="F21988" s="1">
        <v>2</v>
      </c>
      <c r="G21988" s="1" t="s">
        <v>32</v>
      </c>
      <c r="H21988" s="4" t="str">
        <f>HYPERLINK("https://portal.gdc.cancer.gov/cases/31771082-c094-4749-a9c7-80b67762f4d1","TCGA-VD-A8KB-01A")</f>
        <v>TCGA-VD-A8KB-01A</v>
      </c>
      <c r="I21988" t="s">
        <v>439</v>
      </c>
      <c r="J21988" t="s">
        <v>440</v>
      </c>
      <c r="K21988" t="s">
        <v>33</v>
      </c>
      <c r="L21988" t="s">
        <v>441</v>
      </c>
      <c r="N21988" t="s">
        <v>29</v>
      </c>
    </row>
    <row r="21989" spans="1:14">
      <c r="A21989" s="4" t="str">
        <f t="shared" si="1447"/>
        <v>EXP00455</v>
      </c>
      <c r="B21989" s="3" t="s">
        <v>66</v>
      </c>
      <c r="C21989" s="4" t="str">
        <f t="shared" si="1448"/>
        <v>TCGA-UVM</v>
      </c>
      <c r="D21989" s="1" t="s">
        <v>493</v>
      </c>
      <c r="E21989" t="s">
        <v>438</v>
      </c>
      <c r="F21989" s="1">
        <v>2</v>
      </c>
      <c r="G21989" s="1" t="s">
        <v>32</v>
      </c>
      <c r="H21989" s="4" t="str">
        <f>HYPERLINK("https://portal.gdc.cancer.gov/cases/c9bfc2a7-0914-4080-a0a3-1c6a4e58e1ab","TCGA-VD-A8KE-01A")</f>
        <v>TCGA-VD-A8KE-01A</v>
      </c>
      <c r="I21989" t="s">
        <v>439</v>
      </c>
      <c r="J21989" t="s">
        <v>440</v>
      </c>
      <c r="K21989" t="s">
        <v>33</v>
      </c>
      <c r="L21989" t="s">
        <v>441</v>
      </c>
      <c r="N21989" t="s">
        <v>29</v>
      </c>
    </row>
    <row r="21990" spans="1:14">
      <c r="A21990" s="4" t="str">
        <f t="shared" si="1447"/>
        <v>EXP00455</v>
      </c>
      <c r="B21990" s="3" t="s">
        <v>66</v>
      </c>
      <c r="C21990" s="4" t="str">
        <f t="shared" si="1448"/>
        <v>TCGA-UVM</v>
      </c>
      <c r="D21990" s="1" t="s">
        <v>493</v>
      </c>
      <c r="E21990" t="s">
        <v>438</v>
      </c>
      <c r="F21990" s="1">
        <v>2</v>
      </c>
      <c r="G21990" s="1" t="s">
        <v>32</v>
      </c>
      <c r="H21990" s="4" t="str">
        <f>HYPERLINK("https://portal.gdc.cancer.gov/cases/78039723-94a9-4903-8bb4-c00852e8e889","TCGA-VD-A8KF-01A")</f>
        <v>TCGA-VD-A8KF-01A</v>
      </c>
      <c r="I21990" t="s">
        <v>439</v>
      </c>
      <c r="J21990" t="s">
        <v>440</v>
      </c>
      <c r="K21990" t="s">
        <v>33</v>
      </c>
      <c r="L21990" t="s">
        <v>441</v>
      </c>
      <c r="N21990" t="s">
        <v>29</v>
      </c>
    </row>
    <row r="21991" spans="1:14">
      <c r="A21991" s="4" t="str">
        <f t="shared" si="1447"/>
        <v>EXP00455</v>
      </c>
      <c r="B21991" s="3" t="s">
        <v>66</v>
      </c>
      <c r="C21991" s="4" t="str">
        <f t="shared" si="1448"/>
        <v>TCGA-UVM</v>
      </c>
      <c r="D21991" s="1" t="s">
        <v>493</v>
      </c>
      <c r="E21991" t="s">
        <v>438</v>
      </c>
      <c r="F21991" s="1">
        <v>2</v>
      </c>
      <c r="G21991" s="1" t="s">
        <v>32</v>
      </c>
      <c r="H21991" s="4" t="str">
        <f>HYPERLINK("https://portal.gdc.cancer.gov/cases/9f57834a-4dc4-45ed-97de-ed4da9d0598d","TCGA-VD-A8KG-01A")</f>
        <v>TCGA-VD-A8KG-01A</v>
      </c>
      <c r="I21991" t="s">
        <v>439</v>
      </c>
      <c r="J21991" t="s">
        <v>440</v>
      </c>
      <c r="K21991" t="s">
        <v>33</v>
      </c>
      <c r="L21991" t="s">
        <v>441</v>
      </c>
      <c r="N21991" t="s">
        <v>29</v>
      </c>
    </row>
    <row r="21992" spans="1:14">
      <c r="A21992" s="4" t="str">
        <f t="shared" si="1447"/>
        <v>EXP00455</v>
      </c>
      <c r="B21992" s="3" t="s">
        <v>66</v>
      </c>
      <c r="C21992" s="4" t="str">
        <f t="shared" si="1448"/>
        <v>TCGA-UVM</v>
      </c>
      <c r="D21992" s="1" t="s">
        <v>493</v>
      </c>
      <c r="E21992" t="s">
        <v>438</v>
      </c>
      <c r="F21992" s="1">
        <v>2</v>
      </c>
      <c r="G21992" s="1" t="s">
        <v>32</v>
      </c>
      <c r="H21992" s="4" t="str">
        <f>HYPERLINK("https://portal.gdc.cancer.gov/cases/39af6e0f-908c-4b2b-97b8-a4d1966e47e1","TCGA-VD-A8KH-01A")</f>
        <v>TCGA-VD-A8KH-01A</v>
      </c>
      <c r="I21992" t="s">
        <v>439</v>
      </c>
      <c r="J21992" t="s">
        <v>440</v>
      </c>
      <c r="K21992" t="s">
        <v>33</v>
      </c>
      <c r="L21992" t="s">
        <v>441</v>
      </c>
      <c r="N21992" t="s">
        <v>29</v>
      </c>
    </row>
    <row r="21993" spans="1:14">
      <c r="A21993" s="4" t="str">
        <f t="shared" si="1447"/>
        <v>EXP00455</v>
      </c>
      <c r="B21993" s="3" t="s">
        <v>66</v>
      </c>
      <c r="C21993" s="4" t="str">
        <f t="shared" si="1448"/>
        <v>TCGA-UVM</v>
      </c>
      <c r="D21993" s="1" t="s">
        <v>493</v>
      </c>
      <c r="E21993" t="s">
        <v>438</v>
      </c>
      <c r="F21993" s="1">
        <v>2</v>
      </c>
      <c r="G21993" s="1" t="s">
        <v>32</v>
      </c>
      <c r="H21993" s="4" t="str">
        <f>HYPERLINK("https://portal.gdc.cancer.gov/cases/22e7816d-4be9-4f84-b487-baa6ca35452d","TCGA-VD-A8KI-01A")</f>
        <v>TCGA-VD-A8KI-01A</v>
      </c>
      <c r="I21993" t="s">
        <v>439</v>
      </c>
      <c r="J21993" t="s">
        <v>440</v>
      </c>
      <c r="K21993" t="s">
        <v>33</v>
      </c>
      <c r="L21993" t="s">
        <v>441</v>
      </c>
      <c r="N21993" t="s">
        <v>29</v>
      </c>
    </row>
    <row r="21994" spans="1:14">
      <c r="A21994" s="4" t="str">
        <f t="shared" si="1447"/>
        <v>EXP00455</v>
      </c>
      <c r="B21994" s="3" t="s">
        <v>66</v>
      </c>
      <c r="C21994" s="4" t="str">
        <f t="shared" si="1448"/>
        <v>TCGA-UVM</v>
      </c>
      <c r="D21994" s="1" t="s">
        <v>493</v>
      </c>
      <c r="E21994" t="s">
        <v>438</v>
      </c>
      <c r="F21994" s="1">
        <v>2</v>
      </c>
      <c r="G21994" s="1" t="s">
        <v>32</v>
      </c>
      <c r="H21994" s="4" t="str">
        <f>HYPERLINK("https://portal.gdc.cancer.gov/cases/7289bc25-2551-4c6d-b2fa-c7e13859b9b3","TCGA-VD-A8KJ-01A")</f>
        <v>TCGA-VD-A8KJ-01A</v>
      </c>
      <c r="I21994" t="s">
        <v>439</v>
      </c>
      <c r="J21994" t="s">
        <v>440</v>
      </c>
      <c r="K21994" t="s">
        <v>33</v>
      </c>
      <c r="L21994" t="s">
        <v>441</v>
      </c>
      <c r="N21994" t="s">
        <v>29</v>
      </c>
    </row>
    <row r="21995" spans="1:14">
      <c r="A21995" s="4" t="str">
        <f t="shared" si="1447"/>
        <v>EXP00455</v>
      </c>
      <c r="B21995" s="3" t="s">
        <v>66</v>
      </c>
      <c r="C21995" s="4" t="str">
        <f t="shared" si="1448"/>
        <v>TCGA-UVM</v>
      </c>
      <c r="D21995" s="1" t="s">
        <v>493</v>
      </c>
      <c r="E21995" t="s">
        <v>438</v>
      </c>
      <c r="F21995" s="1">
        <v>2</v>
      </c>
      <c r="G21995" s="1" t="s">
        <v>32</v>
      </c>
      <c r="H21995" s="4" t="str">
        <f>HYPERLINK("https://portal.gdc.cancer.gov/cases/8e6d3005-445a-4b7f-95ec-a988a121c628","TCGA-VD-A8KK-01A")</f>
        <v>TCGA-VD-A8KK-01A</v>
      </c>
      <c r="I21995" t="s">
        <v>439</v>
      </c>
      <c r="J21995" t="s">
        <v>440</v>
      </c>
      <c r="K21995" t="s">
        <v>33</v>
      </c>
      <c r="L21995" t="s">
        <v>441</v>
      </c>
      <c r="N21995" t="s">
        <v>29</v>
      </c>
    </row>
    <row r="21996" spans="1:14">
      <c r="A21996" s="4" t="str">
        <f t="shared" si="1447"/>
        <v>EXP00455</v>
      </c>
      <c r="B21996" s="3" t="s">
        <v>66</v>
      </c>
      <c r="C21996" s="4" t="str">
        <f t="shared" si="1448"/>
        <v>TCGA-UVM</v>
      </c>
      <c r="D21996" s="1" t="s">
        <v>493</v>
      </c>
      <c r="E21996" t="s">
        <v>438</v>
      </c>
      <c r="F21996" s="1">
        <v>2</v>
      </c>
      <c r="G21996" s="1" t="s">
        <v>32</v>
      </c>
      <c r="H21996" s="4" t="str">
        <f>HYPERLINK("https://portal.gdc.cancer.gov/cases/a9f956a0-660f-4185-a843-d9911d2484de","TCGA-VD-A8KL-01A")</f>
        <v>TCGA-VD-A8KL-01A</v>
      </c>
      <c r="I21996" t="s">
        <v>439</v>
      </c>
      <c r="J21996" t="s">
        <v>440</v>
      </c>
      <c r="K21996" t="s">
        <v>33</v>
      </c>
      <c r="L21996" t="s">
        <v>441</v>
      </c>
      <c r="N21996" t="s">
        <v>29</v>
      </c>
    </row>
    <row r="21997" spans="1:14">
      <c r="A21997" s="4" t="str">
        <f t="shared" si="1447"/>
        <v>EXP00455</v>
      </c>
      <c r="B21997" s="3" t="s">
        <v>66</v>
      </c>
      <c r="C21997" s="4" t="str">
        <f t="shared" si="1448"/>
        <v>TCGA-UVM</v>
      </c>
      <c r="D21997" s="1" t="s">
        <v>493</v>
      </c>
      <c r="E21997" t="s">
        <v>438</v>
      </c>
      <c r="F21997" s="1">
        <v>2</v>
      </c>
      <c r="G21997" s="1" t="s">
        <v>32</v>
      </c>
      <c r="H21997" s="4" t="str">
        <f>HYPERLINK("https://portal.gdc.cancer.gov/cases/1a2ce30c-5891-4bf6-8c97-6d1f34d4fe48","TCGA-VD-A8KM-01A")</f>
        <v>TCGA-VD-A8KM-01A</v>
      </c>
      <c r="I21997" t="s">
        <v>439</v>
      </c>
      <c r="J21997" t="s">
        <v>440</v>
      </c>
      <c r="K21997" t="s">
        <v>33</v>
      </c>
      <c r="L21997" t="s">
        <v>441</v>
      </c>
      <c r="N21997" t="s">
        <v>29</v>
      </c>
    </row>
    <row r="21998" spans="1:14">
      <c r="A21998" s="4" t="str">
        <f t="shared" si="1447"/>
        <v>EXP00455</v>
      </c>
      <c r="B21998" s="3" t="s">
        <v>66</v>
      </c>
      <c r="C21998" s="4" t="str">
        <f t="shared" si="1448"/>
        <v>TCGA-UVM</v>
      </c>
      <c r="D21998" s="1" t="s">
        <v>493</v>
      </c>
      <c r="E21998" t="s">
        <v>438</v>
      </c>
      <c r="F21998" s="1">
        <v>2</v>
      </c>
      <c r="G21998" s="1" t="s">
        <v>32</v>
      </c>
      <c r="H21998" s="4" t="str">
        <f>HYPERLINK("https://portal.gdc.cancer.gov/cases/b26cb5f2-4ff0-4476-8d02-7256ace7d8a3","TCGA-VD-A8KN-01A")</f>
        <v>TCGA-VD-A8KN-01A</v>
      </c>
      <c r="I21998" t="s">
        <v>439</v>
      </c>
      <c r="J21998" t="s">
        <v>440</v>
      </c>
      <c r="K21998" t="s">
        <v>33</v>
      </c>
      <c r="L21998" t="s">
        <v>441</v>
      </c>
      <c r="N21998" t="s">
        <v>29</v>
      </c>
    </row>
    <row r="21999" spans="1:14">
      <c r="A21999" s="4" t="str">
        <f t="shared" si="1447"/>
        <v>EXP00455</v>
      </c>
      <c r="B21999" s="3" t="s">
        <v>66</v>
      </c>
      <c r="C21999" s="4" t="str">
        <f t="shared" si="1448"/>
        <v>TCGA-UVM</v>
      </c>
      <c r="D21999" s="1" t="s">
        <v>493</v>
      </c>
      <c r="E21999" t="s">
        <v>438</v>
      </c>
      <c r="F21999" s="1">
        <v>2</v>
      </c>
      <c r="G21999" s="1" t="s">
        <v>32</v>
      </c>
      <c r="H21999" s="4" t="str">
        <f>HYPERLINK("https://portal.gdc.cancer.gov/cases/014d4b17-d683-438b-9287-33fcec82bf5a","TCGA-VD-A8KO-01A")</f>
        <v>TCGA-VD-A8KO-01A</v>
      </c>
      <c r="I21999" t="s">
        <v>439</v>
      </c>
      <c r="J21999" t="s">
        <v>440</v>
      </c>
      <c r="K21999" t="s">
        <v>33</v>
      </c>
      <c r="L21999" t="s">
        <v>441</v>
      </c>
      <c r="N21999" t="s">
        <v>29</v>
      </c>
    </row>
    <row r="22000" spans="1:14">
      <c r="A22000" s="4" t="str">
        <f t="shared" si="1447"/>
        <v>EXP00455</v>
      </c>
      <c r="B22000" s="3" t="s">
        <v>66</v>
      </c>
      <c r="C22000" s="4" t="str">
        <f t="shared" si="1448"/>
        <v>TCGA-UVM</v>
      </c>
      <c r="D22000" s="1" t="s">
        <v>493</v>
      </c>
      <c r="E22000" t="s">
        <v>438</v>
      </c>
      <c r="F22000" s="1">
        <v>2</v>
      </c>
      <c r="G22000" s="1" t="s">
        <v>32</v>
      </c>
      <c r="H22000" s="4" t="str">
        <f>HYPERLINK("https://portal.gdc.cancer.gov/cases/9dc5cc23-c903-4fe2-8354-64f8316ff0d4","TCGA-VD-AA8M-01A")</f>
        <v>TCGA-VD-AA8M-01A</v>
      </c>
      <c r="I22000" t="s">
        <v>439</v>
      </c>
      <c r="J22000" t="s">
        <v>440</v>
      </c>
      <c r="K22000" t="s">
        <v>33</v>
      </c>
      <c r="L22000" t="s">
        <v>441</v>
      </c>
      <c r="N22000" t="s">
        <v>29</v>
      </c>
    </row>
    <row r="22001" spans="1:14">
      <c r="A22001" s="4" t="str">
        <f t="shared" si="1447"/>
        <v>EXP00455</v>
      </c>
      <c r="B22001" s="3" t="s">
        <v>66</v>
      </c>
      <c r="C22001" s="4" t="str">
        <f t="shared" si="1448"/>
        <v>TCGA-UVM</v>
      </c>
      <c r="D22001" s="1" t="s">
        <v>493</v>
      </c>
      <c r="E22001" t="s">
        <v>438</v>
      </c>
      <c r="F22001" s="1">
        <v>2</v>
      </c>
      <c r="G22001" s="1" t="s">
        <v>32</v>
      </c>
      <c r="H22001" s="4" t="str">
        <f>HYPERLINK("https://portal.gdc.cancer.gov/cases/1dbd7b0e-9234-47d9-bdca-5b17f5af619b","TCGA-VD-AA8N-01A")</f>
        <v>TCGA-VD-AA8N-01A</v>
      </c>
      <c r="I22001" t="s">
        <v>439</v>
      </c>
      <c r="J22001" t="s">
        <v>440</v>
      </c>
      <c r="K22001" t="s">
        <v>33</v>
      </c>
      <c r="L22001" t="s">
        <v>441</v>
      </c>
      <c r="N22001" t="s">
        <v>29</v>
      </c>
    </row>
    <row r="22002" spans="1:14">
      <c r="A22002" s="4" t="str">
        <f t="shared" si="1447"/>
        <v>EXP00455</v>
      </c>
      <c r="B22002" s="3" t="s">
        <v>66</v>
      </c>
      <c r="C22002" s="4" t="str">
        <f t="shared" si="1448"/>
        <v>TCGA-UVM</v>
      </c>
      <c r="D22002" s="1" t="s">
        <v>493</v>
      </c>
      <c r="E22002" t="s">
        <v>438</v>
      </c>
      <c r="F22002" s="1">
        <v>2</v>
      </c>
      <c r="G22002" s="1" t="s">
        <v>32</v>
      </c>
      <c r="H22002" s="4" t="str">
        <f>HYPERLINK("https://portal.gdc.cancer.gov/cases/99d1bfcc-1989-4dd2-a5e9-78e08f6ce7cf","TCGA-VD-AA8O-01A")</f>
        <v>TCGA-VD-AA8O-01A</v>
      </c>
      <c r="I22002" t="s">
        <v>439</v>
      </c>
      <c r="J22002" t="s">
        <v>440</v>
      </c>
      <c r="K22002" t="s">
        <v>33</v>
      </c>
      <c r="L22002" t="s">
        <v>441</v>
      </c>
      <c r="N22002" t="s">
        <v>29</v>
      </c>
    </row>
    <row r="22003" spans="1:14">
      <c r="A22003" s="4" t="str">
        <f t="shared" si="1447"/>
        <v>EXP00455</v>
      </c>
      <c r="B22003" s="3" t="s">
        <v>66</v>
      </c>
      <c r="C22003" s="4" t="str">
        <f t="shared" si="1448"/>
        <v>TCGA-UVM</v>
      </c>
      <c r="D22003" s="1" t="s">
        <v>493</v>
      </c>
      <c r="E22003" t="s">
        <v>438</v>
      </c>
      <c r="F22003" s="1">
        <v>2</v>
      </c>
      <c r="G22003" s="1" t="s">
        <v>32</v>
      </c>
      <c r="H22003" s="4" t="str">
        <f>HYPERLINK("https://portal.gdc.cancer.gov/cases/b224e42d-8b6d-4578-963c-bf528b954900","TCGA-VD-AA8P-01A")</f>
        <v>TCGA-VD-AA8P-01A</v>
      </c>
      <c r="I22003" t="s">
        <v>439</v>
      </c>
      <c r="J22003" t="s">
        <v>440</v>
      </c>
      <c r="K22003" t="s">
        <v>33</v>
      </c>
      <c r="L22003" t="s">
        <v>441</v>
      </c>
      <c r="N22003" t="s">
        <v>29</v>
      </c>
    </row>
    <row r="22004" spans="1:14">
      <c r="A22004" s="4" t="str">
        <f t="shared" si="1447"/>
        <v>EXP00455</v>
      </c>
      <c r="B22004" s="3" t="s">
        <v>66</v>
      </c>
      <c r="C22004" s="4" t="str">
        <f t="shared" si="1448"/>
        <v>TCGA-UVM</v>
      </c>
      <c r="D22004" s="1" t="s">
        <v>493</v>
      </c>
      <c r="E22004" t="s">
        <v>438</v>
      </c>
      <c r="F22004" s="1">
        <v>2</v>
      </c>
      <c r="G22004" s="1" t="s">
        <v>32</v>
      </c>
      <c r="H22004" s="4" t="str">
        <f>HYPERLINK("https://portal.gdc.cancer.gov/cases/1d00217f-28df-4d91-aeb9-0d9a83a907e6","TCGA-VD-AA8Q-01A")</f>
        <v>TCGA-VD-AA8Q-01A</v>
      </c>
      <c r="I22004" t="s">
        <v>439</v>
      </c>
      <c r="J22004" t="s">
        <v>440</v>
      </c>
      <c r="K22004" t="s">
        <v>33</v>
      </c>
      <c r="L22004" t="s">
        <v>441</v>
      </c>
      <c r="N22004" t="s">
        <v>29</v>
      </c>
    </row>
    <row r="22005" spans="1:14">
      <c r="A22005" s="4" t="str">
        <f t="shared" si="1447"/>
        <v>EXP00455</v>
      </c>
      <c r="B22005" s="3" t="s">
        <v>66</v>
      </c>
      <c r="C22005" s="4" t="str">
        <f t="shared" si="1448"/>
        <v>TCGA-UVM</v>
      </c>
      <c r="D22005" s="1" t="s">
        <v>493</v>
      </c>
      <c r="E22005" t="s">
        <v>438</v>
      </c>
      <c r="F22005" s="1">
        <v>2</v>
      </c>
      <c r="G22005" s="1" t="s">
        <v>32</v>
      </c>
      <c r="H22005" s="4" t="str">
        <f>HYPERLINK("https://portal.gdc.cancer.gov/cases/995fcbf5-90aa-4d4a-b57b-46a7129209e0","TCGA-VD-AA8R-01A")</f>
        <v>TCGA-VD-AA8R-01A</v>
      </c>
      <c r="I22005" t="s">
        <v>439</v>
      </c>
      <c r="J22005" t="s">
        <v>440</v>
      </c>
      <c r="K22005" t="s">
        <v>33</v>
      </c>
      <c r="L22005" t="s">
        <v>441</v>
      </c>
      <c r="N22005" t="s">
        <v>29</v>
      </c>
    </row>
    <row r="22006" spans="1:14">
      <c r="A22006" s="4" t="str">
        <f t="shared" si="1447"/>
        <v>EXP00455</v>
      </c>
      <c r="B22006" s="3" t="s">
        <v>66</v>
      </c>
      <c r="C22006" s="4" t="str">
        <f t="shared" si="1448"/>
        <v>TCGA-UVM</v>
      </c>
      <c r="D22006" s="1" t="s">
        <v>493</v>
      </c>
      <c r="E22006" t="s">
        <v>438</v>
      </c>
      <c r="F22006" s="1">
        <v>2</v>
      </c>
      <c r="G22006" s="1" t="s">
        <v>32</v>
      </c>
      <c r="H22006" s="4" t="str">
        <f>HYPERLINK("https://portal.gdc.cancer.gov/cases/9752c320-79eb-49ea-aa1f-d7a79bead901","TCGA-VD-AA8S-01B")</f>
        <v>TCGA-VD-AA8S-01B</v>
      </c>
      <c r="I22006" t="s">
        <v>439</v>
      </c>
      <c r="J22006" t="s">
        <v>440</v>
      </c>
      <c r="K22006" t="s">
        <v>33</v>
      </c>
      <c r="L22006" t="s">
        <v>441</v>
      </c>
      <c r="N22006" t="s">
        <v>29</v>
      </c>
    </row>
    <row r="22007" spans="1:14">
      <c r="A22007" s="4" t="str">
        <f t="shared" si="1447"/>
        <v>EXP00455</v>
      </c>
      <c r="B22007" s="3" t="s">
        <v>66</v>
      </c>
      <c r="C22007" s="4" t="str">
        <f t="shared" si="1448"/>
        <v>TCGA-UVM</v>
      </c>
      <c r="D22007" s="1" t="s">
        <v>493</v>
      </c>
      <c r="E22007" t="s">
        <v>438</v>
      </c>
      <c r="F22007" s="1">
        <v>2</v>
      </c>
      <c r="G22007" s="1" t="s">
        <v>32</v>
      </c>
      <c r="H22007" s="4" t="str">
        <f>HYPERLINK("https://portal.gdc.cancer.gov/cases/9e35ef82-55b0-460b-8ab9-8cd708efa3b1","TCGA-VD-AA8T-01A")</f>
        <v>TCGA-VD-AA8T-01A</v>
      </c>
      <c r="I22007" t="s">
        <v>439</v>
      </c>
      <c r="J22007" t="s">
        <v>440</v>
      </c>
      <c r="K22007" t="s">
        <v>33</v>
      </c>
      <c r="L22007" t="s">
        <v>441</v>
      </c>
      <c r="N22007" t="s">
        <v>29</v>
      </c>
    </row>
    <row r="22008" spans="1:14">
      <c r="A22008" s="4" t="str">
        <f t="shared" si="1447"/>
        <v>EXP00455</v>
      </c>
      <c r="B22008" s="3" t="s">
        <v>66</v>
      </c>
      <c r="C22008" s="4" t="str">
        <f t="shared" si="1448"/>
        <v>TCGA-UVM</v>
      </c>
      <c r="D22008" s="1" t="s">
        <v>493</v>
      </c>
      <c r="E22008" t="s">
        <v>438</v>
      </c>
      <c r="F22008" s="1">
        <v>2</v>
      </c>
      <c r="G22008" s="1" t="s">
        <v>32</v>
      </c>
      <c r="H22008" s="4" t="str">
        <f>HYPERLINK("https://portal.gdc.cancer.gov/cases/3eb7aded-8887-4c27-a464-1b50ec090133","TCGA-WC-A87T-01A")</f>
        <v>TCGA-WC-A87T-01A</v>
      </c>
      <c r="I22008" t="s">
        <v>439</v>
      </c>
      <c r="J22008" t="s">
        <v>440</v>
      </c>
      <c r="K22008" t="s">
        <v>33</v>
      </c>
      <c r="L22008" t="s">
        <v>441</v>
      </c>
      <c r="N22008" t="s">
        <v>29</v>
      </c>
    </row>
    <row r="22009" spans="1:14">
      <c r="A22009" s="4" t="str">
        <f t="shared" ref="A22009:A22024" si="1449">HYPERLINK("http://hcmdb.i-sanger.com/experiment/details/experiment_id/EXP00455","EXP00455")</f>
        <v>EXP00455</v>
      </c>
      <c r="B22009" s="3" t="s">
        <v>66</v>
      </c>
      <c r="C22009" s="4" t="str">
        <f t="shared" ref="C22009:C22024" si="1450">HYPERLINK("https://portal.gdc.cancer.gov/projects/TCGA-UVM","TCGA-UVM")</f>
        <v>TCGA-UVM</v>
      </c>
      <c r="D22009" s="1" t="s">
        <v>493</v>
      </c>
      <c r="E22009" t="s">
        <v>438</v>
      </c>
      <c r="F22009" s="1">
        <v>2</v>
      </c>
      <c r="G22009" s="1" t="s">
        <v>32</v>
      </c>
      <c r="H22009" s="4" t="str">
        <f>HYPERLINK("https://portal.gdc.cancer.gov/cases/4498044c-1607-403e-867e-befd7fad275a","TCGA-WC-A87U-01A")</f>
        <v>TCGA-WC-A87U-01A</v>
      </c>
      <c r="I22009" t="s">
        <v>439</v>
      </c>
      <c r="J22009" t="s">
        <v>440</v>
      </c>
      <c r="K22009" t="s">
        <v>33</v>
      </c>
      <c r="L22009" t="s">
        <v>441</v>
      </c>
      <c r="N22009" t="s">
        <v>29</v>
      </c>
    </row>
    <row r="22010" spans="1:14">
      <c r="A22010" s="4" t="str">
        <f t="shared" si="1449"/>
        <v>EXP00455</v>
      </c>
      <c r="B22010" s="3" t="s">
        <v>66</v>
      </c>
      <c r="C22010" s="4" t="str">
        <f t="shared" si="1450"/>
        <v>TCGA-UVM</v>
      </c>
      <c r="D22010" s="1" t="s">
        <v>493</v>
      </c>
      <c r="E22010" t="s">
        <v>438</v>
      </c>
      <c r="F22010" s="1">
        <v>2</v>
      </c>
      <c r="G22010" s="1" t="s">
        <v>32</v>
      </c>
      <c r="H22010" s="4" t="str">
        <f>HYPERLINK("https://portal.gdc.cancer.gov/cases/60d7b6cf-d605-4837-9061-612f6bbb7393","TCGA-WC-A87W-01A")</f>
        <v>TCGA-WC-A87W-01A</v>
      </c>
      <c r="I22010" t="s">
        <v>439</v>
      </c>
      <c r="J22010" t="s">
        <v>440</v>
      </c>
      <c r="K22010" t="s">
        <v>33</v>
      </c>
      <c r="L22010" t="s">
        <v>441</v>
      </c>
      <c r="N22010" t="s">
        <v>29</v>
      </c>
    </row>
    <row r="22011" spans="1:14">
      <c r="A22011" s="4" t="str">
        <f t="shared" si="1449"/>
        <v>EXP00455</v>
      </c>
      <c r="B22011" s="3" t="s">
        <v>66</v>
      </c>
      <c r="C22011" s="4" t="str">
        <f t="shared" si="1450"/>
        <v>TCGA-UVM</v>
      </c>
      <c r="D22011" s="1" t="s">
        <v>493</v>
      </c>
      <c r="E22011" t="s">
        <v>438</v>
      </c>
      <c r="F22011" s="1">
        <v>2</v>
      </c>
      <c r="G22011" s="1" t="s">
        <v>32</v>
      </c>
      <c r="H22011" s="4" t="str">
        <f>HYPERLINK("https://portal.gdc.cancer.gov/cases/3a161c85-2544-4283-a10d-e332c9dd1692","TCGA-WC-A87Y-01A")</f>
        <v>TCGA-WC-A87Y-01A</v>
      </c>
      <c r="I22011" t="s">
        <v>439</v>
      </c>
      <c r="J22011" t="s">
        <v>440</v>
      </c>
      <c r="K22011" t="s">
        <v>33</v>
      </c>
      <c r="L22011" t="s">
        <v>441</v>
      </c>
      <c r="N22011" t="s">
        <v>29</v>
      </c>
    </row>
    <row r="22012" spans="1:14">
      <c r="A22012" s="4" t="str">
        <f t="shared" si="1449"/>
        <v>EXP00455</v>
      </c>
      <c r="B22012" s="3" t="s">
        <v>66</v>
      </c>
      <c r="C22012" s="4" t="str">
        <f t="shared" si="1450"/>
        <v>TCGA-UVM</v>
      </c>
      <c r="D22012" s="1" t="s">
        <v>493</v>
      </c>
      <c r="E22012" t="s">
        <v>438</v>
      </c>
      <c r="F22012" s="1">
        <v>2</v>
      </c>
      <c r="G22012" s="1" t="s">
        <v>32</v>
      </c>
      <c r="H22012" s="4" t="str">
        <f>HYPERLINK("https://portal.gdc.cancer.gov/cases/d8e15178-d8c5-4e4e-895c-57ffe5bc80c2","TCGA-WC-A880-01A")</f>
        <v>TCGA-WC-A880-01A</v>
      </c>
      <c r="I22012" t="s">
        <v>439</v>
      </c>
      <c r="J22012" t="s">
        <v>440</v>
      </c>
      <c r="K22012" t="s">
        <v>33</v>
      </c>
      <c r="L22012" t="s">
        <v>441</v>
      </c>
      <c r="N22012" t="s">
        <v>29</v>
      </c>
    </row>
    <row r="22013" spans="1:14">
      <c r="A22013" s="4" t="str">
        <f t="shared" si="1449"/>
        <v>EXP00455</v>
      </c>
      <c r="B22013" s="3" t="s">
        <v>66</v>
      </c>
      <c r="C22013" s="4" t="str">
        <f t="shared" si="1450"/>
        <v>TCGA-UVM</v>
      </c>
      <c r="D22013" s="1" t="s">
        <v>493</v>
      </c>
      <c r="E22013" t="s">
        <v>438</v>
      </c>
      <c r="F22013" s="1">
        <v>2</v>
      </c>
      <c r="G22013" s="1" t="s">
        <v>32</v>
      </c>
      <c r="H22013" s="4" t="str">
        <f>HYPERLINK("https://portal.gdc.cancer.gov/cases/56ed4ea2-18ce-48d4-bf72-9ffabe576ca9","TCGA-WC-A881-01A")</f>
        <v>TCGA-WC-A881-01A</v>
      </c>
      <c r="I22013" t="s">
        <v>439</v>
      </c>
      <c r="J22013" t="s">
        <v>440</v>
      </c>
      <c r="K22013" t="s">
        <v>33</v>
      </c>
      <c r="L22013" t="s">
        <v>441</v>
      </c>
      <c r="N22013" t="s">
        <v>29</v>
      </c>
    </row>
    <row r="22014" spans="1:14">
      <c r="A22014" s="4" t="str">
        <f t="shared" si="1449"/>
        <v>EXP00455</v>
      </c>
      <c r="B22014" s="3" t="s">
        <v>66</v>
      </c>
      <c r="C22014" s="4" t="str">
        <f t="shared" si="1450"/>
        <v>TCGA-UVM</v>
      </c>
      <c r="D22014" s="1" t="s">
        <v>493</v>
      </c>
      <c r="E22014" t="s">
        <v>438</v>
      </c>
      <c r="F22014" s="1">
        <v>2</v>
      </c>
      <c r="G22014" s="1" t="s">
        <v>32</v>
      </c>
      <c r="H22014" s="4" t="str">
        <f>HYPERLINK("https://portal.gdc.cancer.gov/cases/7f1e74d4-8789-4954-8a63-b0ca5f0373c3","TCGA-WC-A882-01A")</f>
        <v>TCGA-WC-A882-01A</v>
      </c>
      <c r="I22014" t="s">
        <v>439</v>
      </c>
      <c r="J22014" t="s">
        <v>440</v>
      </c>
      <c r="K22014" t="s">
        <v>33</v>
      </c>
      <c r="L22014" t="s">
        <v>441</v>
      </c>
      <c r="N22014" t="s">
        <v>29</v>
      </c>
    </row>
    <row r="22015" spans="1:14">
      <c r="A22015" s="4" t="str">
        <f t="shared" si="1449"/>
        <v>EXP00455</v>
      </c>
      <c r="B22015" s="3" t="s">
        <v>66</v>
      </c>
      <c r="C22015" s="4" t="str">
        <f t="shared" si="1450"/>
        <v>TCGA-UVM</v>
      </c>
      <c r="D22015" s="1" t="s">
        <v>493</v>
      </c>
      <c r="E22015" t="s">
        <v>438</v>
      </c>
      <c r="F22015" s="1">
        <v>2</v>
      </c>
      <c r="G22015" s="1" t="s">
        <v>32</v>
      </c>
      <c r="H22015" s="4" t="str">
        <f>HYPERLINK("https://portal.gdc.cancer.gov/cases/a08e4c1d-5d92-43ec-b0b9-87b2286d685e","TCGA-WC-A883-01A")</f>
        <v>TCGA-WC-A883-01A</v>
      </c>
      <c r="I22015" t="s">
        <v>439</v>
      </c>
      <c r="J22015" t="s">
        <v>440</v>
      </c>
      <c r="K22015" t="s">
        <v>33</v>
      </c>
      <c r="L22015" t="s">
        <v>441</v>
      </c>
      <c r="N22015" t="s">
        <v>29</v>
      </c>
    </row>
    <row r="22016" spans="1:14">
      <c r="A22016" s="4" t="str">
        <f t="shared" si="1449"/>
        <v>EXP00455</v>
      </c>
      <c r="B22016" s="3" t="s">
        <v>66</v>
      </c>
      <c r="C22016" s="4" t="str">
        <f t="shared" si="1450"/>
        <v>TCGA-UVM</v>
      </c>
      <c r="D22016" s="1" t="s">
        <v>493</v>
      </c>
      <c r="E22016" t="s">
        <v>438</v>
      </c>
      <c r="F22016" s="1">
        <v>2</v>
      </c>
      <c r="G22016" s="1" t="s">
        <v>32</v>
      </c>
      <c r="H22016" s="4" t="str">
        <f>HYPERLINK("https://portal.gdc.cancer.gov/cases/a83802da-0219-4cf1-9560-16295363491d","TCGA-WC-A884-01A")</f>
        <v>TCGA-WC-A884-01A</v>
      </c>
      <c r="I22016" t="s">
        <v>439</v>
      </c>
      <c r="J22016" t="s">
        <v>440</v>
      </c>
      <c r="K22016" t="s">
        <v>33</v>
      </c>
      <c r="L22016" t="s">
        <v>441</v>
      </c>
      <c r="N22016" t="s">
        <v>29</v>
      </c>
    </row>
    <row r="22017" spans="1:14">
      <c r="A22017" s="4" t="str">
        <f t="shared" si="1449"/>
        <v>EXP00455</v>
      </c>
      <c r="B22017" s="3" t="s">
        <v>66</v>
      </c>
      <c r="C22017" s="4" t="str">
        <f t="shared" si="1450"/>
        <v>TCGA-UVM</v>
      </c>
      <c r="D22017" s="1" t="s">
        <v>493</v>
      </c>
      <c r="E22017" t="s">
        <v>438</v>
      </c>
      <c r="F22017" s="1">
        <v>2</v>
      </c>
      <c r="G22017" s="1" t="s">
        <v>32</v>
      </c>
      <c r="H22017" s="4" t="str">
        <f>HYPERLINK("https://portal.gdc.cancer.gov/cases/f78d8541-b317-4c8a-aa66-f172a8eaf14f","TCGA-WC-A885-01A")</f>
        <v>TCGA-WC-A885-01A</v>
      </c>
      <c r="I22017" t="s">
        <v>439</v>
      </c>
      <c r="J22017" t="s">
        <v>440</v>
      </c>
      <c r="K22017" t="s">
        <v>33</v>
      </c>
      <c r="L22017" t="s">
        <v>441</v>
      </c>
      <c r="N22017" t="s">
        <v>29</v>
      </c>
    </row>
    <row r="22018" spans="1:14">
      <c r="A22018" s="4" t="str">
        <f t="shared" si="1449"/>
        <v>EXP00455</v>
      </c>
      <c r="B22018" s="3" t="s">
        <v>66</v>
      </c>
      <c r="C22018" s="4" t="str">
        <f t="shared" si="1450"/>
        <v>TCGA-UVM</v>
      </c>
      <c r="D22018" s="1" t="s">
        <v>493</v>
      </c>
      <c r="E22018" t="s">
        <v>438</v>
      </c>
      <c r="F22018" s="1">
        <v>2</v>
      </c>
      <c r="G22018" s="1" t="s">
        <v>32</v>
      </c>
      <c r="H22018" s="4" t="str">
        <f>HYPERLINK("https://portal.gdc.cancer.gov/cases/339490ef-6cf5-4d05-81b1-5e339e95f678","TCGA-WC-A888-01A")</f>
        <v>TCGA-WC-A888-01A</v>
      </c>
      <c r="I22018" t="s">
        <v>439</v>
      </c>
      <c r="J22018" t="s">
        <v>440</v>
      </c>
      <c r="K22018" t="s">
        <v>33</v>
      </c>
      <c r="L22018" t="s">
        <v>441</v>
      </c>
      <c r="N22018" t="s">
        <v>29</v>
      </c>
    </row>
    <row r="22019" spans="1:14">
      <c r="A22019" s="4" t="str">
        <f t="shared" si="1449"/>
        <v>EXP00455</v>
      </c>
      <c r="B22019" s="3" t="s">
        <v>66</v>
      </c>
      <c r="C22019" s="4" t="str">
        <f t="shared" si="1450"/>
        <v>TCGA-UVM</v>
      </c>
      <c r="D22019" s="1" t="s">
        <v>493</v>
      </c>
      <c r="E22019" t="s">
        <v>438</v>
      </c>
      <c r="F22019" s="1">
        <v>2</v>
      </c>
      <c r="G22019" s="1" t="s">
        <v>32</v>
      </c>
      <c r="H22019" s="4" t="str">
        <f>HYPERLINK("https://portal.gdc.cancer.gov/cases/4e531546-56f1-4165-94a2-ee45abd5e0f7","TCGA-WC-A88A-01A")</f>
        <v>TCGA-WC-A88A-01A</v>
      </c>
      <c r="I22019" t="s">
        <v>439</v>
      </c>
      <c r="J22019" t="s">
        <v>440</v>
      </c>
      <c r="K22019" t="s">
        <v>33</v>
      </c>
      <c r="L22019" t="s">
        <v>441</v>
      </c>
      <c r="N22019" t="s">
        <v>29</v>
      </c>
    </row>
    <row r="22020" spans="1:14">
      <c r="A22020" s="4" t="str">
        <f t="shared" si="1449"/>
        <v>EXP00455</v>
      </c>
      <c r="B22020" s="3" t="s">
        <v>66</v>
      </c>
      <c r="C22020" s="4" t="str">
        <f t="shared" si="1450"/>
        <v>TCGA-UVM</v>
      </c>
      <c r="D22020" s="1" t="s">
        <v>493</v>
      </c>
      <c r="E22020" t="s">
        <v>438</v>
      </c>
      <c r="F22020" s="1">
        <v>2</v>
      </c>
      <c r="G22020" s="1" t="s">
        <v>32</v>
      </c>
      <c r="H22020" s="4" t="str">
        <f>HYPERLINK("https://portal.gdc.cancer.gov/cases/4480d290-5e8a-4289-8e3c-de087e0de412","TCGA-WC-AA9E-01A")</f>
        <v>TCGA-WC-AA9E-01A</v>
      </c>
      <c r="I22020" t="s">
        <v>439</v>
      </c>
      <c r="J22020" t="s">
        <v>440</v>
      </c>
      <c r="K22020" t="s">
        <v>33</v>
      </c>
      <c r="L22020" t="s">
        <v>441</v>
      </c>
      <c r="N22020" t="s">
        <v>29</v>
      </c>
    </row>
    <row r="22021" spans="1:14">
      <c r="A22021" s="4" t="str">
        <f t="shared" si="1449"/>
        <v>EXP00455</v>
      </c>
      <c r="B22021" s="3" t="s">
        <v>66</v>
      </c>
      <c r="C22021" s="4" t="str">
        <f t="shared" si="1450"/>
        <v>TCGA-UVM</v>
      </c>
      <c r="D22021" s="1" t="s">
        <v>493</v>
      </c>
      <c r="E22021" t="s">
        <v>438</v>
      </c>
      <c r="F22021" s="1">
        <v>2</v>
      </c>
      <c r="G22021" s="1" t="s">
        <v>32</v>
      </c>
      <c r="H22021" s="4" t="str">
        <f>HYPERLINK("https://portal.gdc.cancer.gov/cases/e00ce846-9a0e-48b5-be9f-84d443a0f78a","TCGA-YZ-A980-01A")</f>
        <v>TCGA-YZ-A980-01A</v>
      </c>
      <c r="I22021" t="s">
        <v>439</v>
      </c>
      <c r="J22021" t="s">
        <v>440</v>
      </c>
      <c r="K22021" t="s">
        <v>33</v>
      </c>
      <c r="L22021" t="s">
        <v>441</v>
      </c>
      <c r="N22021" t="s">
        <v>29</v>
      </c>
    </row>
    <row r="22022" spans="1:14">
      <c r="A22022" s="4" t="str">
        <f t="shared" si="1449"/>
        <v>EXP00455</v>
      </c>
      <c r="B22022" s="3" t="s">
        <v>66</v>
      </c>
      <c r="C22022" s="4" t="str">
        <f t="shared" si="1450"/>
        <v>TCGA-UVM</v>
      </c>
      <c r="D22022" s="1" t="s">
        <v>493</v>
      </c>
      <c r="E22022" t="s">
        <v>438</v>
      </c>
      <c r="F22022" s="1">
        <v>2</v>
      </c>
      <c r="G22022" s="1" t="s">
        <v>32</v>
      </c>
      <c r="H22022" s="4" t="str">
        <f>HYPERLINK("https://portal.gdc.cancer.gov/cases/cba920f4-c57f-47bc-958d-9b7872df01c8","TCGA-YZ-A982-01A")</f>
        <v>TCGA-YZ-A982-01A</v>
      </c>
      <c r="I22022" t="s">
        <v>439</v>
      </c>
      <c r="J22022" t="s">
        <v>440</v>
      </c>
      <c r="K22022" t="s">
        <v>33</v>
      </c>
      <c r="L22022" t="s">
        <v>441</v>
      </c>
      <c r="N22022" t="s">
        <v>29</v>
      </c>
    </row>
    <row r="22023" spans="1:14">
      <c r="A22023" s="4" t="str">
        <f t="shared" si="1449"/>
        <v>EXP00455</v>
      </c>
      <c r="B22023" s="3" t="s">
        <v>66</v>
      </c>
      <c r="C22023" s="4" t="str">
        <f t="shared" si="1450"/>
        <v>TCGA-UVM</v>
      </c>
      <c r="D22023" s="1" t="s">
        <v>493</v>
      </c>
      <c r="E22023" t="s">
        <v>438</v>
      </c>
      <c r="F22023" s="1">
        <v>2</v>
      </c>
      <c r="G22023" s="1" t="s">
        <v>32</v>
      </c>
      <c r="H22023" s="4" t="str">
        <f>HYPERLINK("https://portal.gdc.cancer.gov/cases/df291bbf-fc62-4c40-9582-289ac78225fd","TCGA-YZ-A983-01A")</f>
        <v>TCGA-YZ-A983-01A</v>
      </c>
      <c r="I22023" t="s">
        <v>439</v>
      </c>
      <c r="J22023" t="s">
        <v>440</v>
      </c>
      <c r="K22023" t="s">
        <v>33</v>
      </c>
      <c r="L22023" t="s">
        <v>441</v>
      </c>
      <c r="N22023" t="s">
        <v>29</v>
      </c>
    </row>
    <row r="22024" spans="1:14">
      <c r="A22024" s="4" t="str">
        <f t="shared" si="1449"/>
        <v>EXP00455</v>
      </c>
      <c r="B22024" s="3" t="s">
        <v>66</v>
      </c>
      <c r="C22024" s="4" t="str">
        <f t="shared" si="1450"/>
        <v>TCGA-UVM</v>
      </c>
      <c r="D22024" s="1" t="s">
        <v>493</v>
      </c>
      <c r="E22024" t="s">
        <v>438</v>
      </c>
      <c r="F22024" s="1">
        <v>2</v>
      </c>
      <c r="G22024" s="1" t="s">
        <v>32</v>
      </c>
      <c r="H22024" s="4" t="str">
        <f>HYPERLINK("https://portal.gdc.cancer.gov/cases/ebdabfcb-1c68-4ca1-8b7f-3ea9cdac3a6a","TCGA-YZ-A985-01A")</f>
        <v>TCGA-YZ-A985-01A</v>
      </c>
      <c r="I22024" t="s">
        <v>439</v>
      </c>
      <c r="J22024" t="s">
        <v>440</v>
      </c>
      <c r="K22024" t="s">
        <v>33</v>
      </c>
      <c r="L22024" t="s">
        <v>441</v>
      </c>
      <c r="N22024" t="s">
        <v>29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dataset_information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Enzo John</dc:creator>
  <cp:lastModifiedBy>Enzo John</cp:lastModifiedBy>
  <cp:revision>1</cp:revision>
  <dcterms:created xsi:type="dcterms:W3CDTF">2017-10-10T10:08:00Z</dcterms:created>
  <dcterms:modified xsi:type="dcterms:W3CDTF">2017-10-11T02:14:22Z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